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thumbnail" Target="docProps/thumbnail.wmf"/><Relationship Id="rId2" Type="http://schemas.microsoft.com/office/2020/02/relationships/classificationlabels" Target="docMetadata/LabelInfo.xml"/><Relationship Id="rId1" Type="http://schemas.openxmlformats.org/officeDocument/2006/relationships/officeDocument" Target="xl/workbook.xml"/><Relationship Id="rId6" Type="http://schemas.openxmlformats.org/officeDocument/2006/relationships/custom-properties" Target="docProps/custom.xml"/><Relationship Id="rId5" Type="http://schemas.openxmlformats.org/officeDocument/2006/relationships/extended-properties" Target="docProps/app.xml"/><Relationship Id="rId4"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mc:AlternateContent xmlns:mc="http://schemas.openxmlformats.org/markup-compatibility/2006">
    <mc:Choice Requires="x15">
      <x15ac:absPath xmlns:x15ac="http://schemas.microsoft.com/office/spreadsheetml/2010/11/ac" url="https://eraeuropaeu-my.sharepoint.com/personal/francesco_rotoli_era_europa_eu/Documents/Desktop/Documents/Readings/Data analysis/Scientific publications/TRB/"/>
    </mc:Choice>
  </mc:AlternateContent>
  <xr:revisionPtr revIDLastSave="1" documentId="8_{90E6490C-44F6-4422-A8A1-8F3FE2EEDD81}" xr6:coauthVersionLast="47" xr6:coauthVersionMax="47" xr10:uidLastSave="{9C0B81CD-FC8A-4039-91D0-1BD66BF66CF7}"/>
  <bookViews>
    <workbookView xWindow="-110" yWindow="-110" windowWidth="19420" windowHeight="10420" tabRatio="603" xr2:uid="{00000000-000D-0000-FFFF-FFFF00000000}"/>
  </bookViews>
  <sheets>
    <sheet name="Investigations" sheetId="1" r:id="rId1"/>
    <sheet name="Safety recommendations" sheetId="2" r:id="rId2"/>
  </sheets>
  <externalReferences>
    <externalReference r:id="rId3"/>
  </externalReferences>
  <definedNames>
    <definedName name="_xlnm._FilterDatabase" localSheetId="0" hidden="1">Investigations!$A$1:$AK$3782</definedName>
    <definedName name="_xlnm._FilterDatabase" localSheetId="1" hidden="1">'Safety recommendations'!$A$1:$I$8095</definedName>
  </definedNames>
  <calcPr calcId="191028" iterateDelta="1E-4"/>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113" i="2" l="1"/>
  <c r="B8114" i="2"/>
  <c r="B8115" i="2"/>
  <c r="B8116" i="2"/>
  <c r="B8117" i="2"/>
  <c r="G3782" i="1" l="1"/>
  <c r="G3781" i="1" l="1"/>
  <c r="C3782" i="1"/>
  <c r="C3781" i="1"/>
  <c r="B8112" i="2"/>
  <c r="B8106" i="2"/>
  <c r="B8107" i="2"/>
  <c r="B8108" i="2"/>
  <c r="B8109" i="2"/>
  <c r="B8110" i="2"/>
  <c r="B8111" i="2"/>
  <c r="G3780" i="1" l="1"/>
  <c r="C3780" i="1"/>
  <c r="G3779" i="1" l="1"/>
  <c r="C3779" i="1" l="1"/>
  <c r="G3778" i="1" l="1"/>
  <c r="C3778" i="1" l="1"/>
  <c r="B8102" i="2" l="1"/>
  <c r="B8103" i="2"/>
  <c r="B8104" i="2"/>
  <c r="B8105" i="2"/>
  <c r="G3777" i="1" l="1"/>
  <c r="C3777" i="1"/>
  <c r="B8101" i="2"/>
  <c r="B8100" i="2"/>
  <c r="G3776" i="1"/>
  <c r="C3776" i="1"/>
  <c r="G3775" i="1"/>
  <c r="C3775" i="1" l="1"/>
  <c r="B8099" i="2"/>
  <c r="G3774" i="1" l="1"/>
  <c r="C3774" i="1" l="1"/>
  <c r="G3773" i="1"/>
  <c r="C3773" i="1"/>
  <c r="G3772" i="1" l="1"/>
  <c r="C3772" i="1"/>
  <c r="G3771" i="1" l="1"/>
  <c r="C3771" i="1"/>
  <c r="G3770" i="1"/>
  <c r="C3770" i="1"/>
  <c r="B8098" i="2" l="1"/>
  <c r="G3769" i="1"/>
  <c r="C3769" i="1"/>
  <c r="B8096" i="2"/>
  <c r="B8097" i="2"/>
  <c r="G3768" i="1" l="1"/>
  <c r="C3768" i="1"/>
  <c r="G3767" i="1" l="1"/>
  <c r="C3767" i="1"/>
  <c r="G3766" i="1" l="1"/>
  <c r="C3766" i="1"/>
  <c r="G3765" i="1"/>
  <c r="C3765" i="1"/>
  <c r="G3764" i="1" l="1"/>
  <c r="C3764" i="1"/>
  <c r="B8093" i="2" l="1"/>
  <c r="B8094" i="2"/>
  <c r="B8095" i="2"/>
  <c r="B8089" i="2" l="1"/>
  <c r="B8090" i="2"/>
  <c r="B8091" i="2"/>
  <c r="B8092" i="2"/>
  <c r="G3763" i="1" l="1"/>
  <c r="C3763" i="1"/>
  <c r="E3524" i="1"/>
  <c r="B8088" i="2" l="1"/>
  <c r="B8085" i="2" l="1"/>
  <c r="B8086" i="2"/>
  <c r="B8087" i="2"/>
  <c r="B8083" i="2"/>
  <c r="B8084" i="2"/>
  <c r="G3762" i="1"/>
  <c r="C3762" i="1"/>
  <c r="G3761" i="1"/>
  <c r="C3761" i="1" l="1"/>
  <c r="G3760" i="1" l="1"/>
  <c r="C3760" i="1" l="1"/>
  <c r="B8081" i="2"/>
  <c r="B8082" i="2"/>
  <c r="AH3297" i="1" l="1"/>
  <c r="G3759" i="1" l="1"/>
  <c r="C3759" i="1"/>
  <c r="G3758" i="1"/>
  <c r="C3758" i="1"/>
  <c r="B8074" i="2" l="1"/>
  <c r="B8075" i="2"/>
  <c r="B8076" i="2"/>
  <c r="B8077" i="2"/>
  <c r="B8078" i="2"/>
  <c r="B8079" i="2"/>
  <c r="B8080" i="2"/>
  <c r="B8073" i="2" l="1"/>
  <c r="C3757" i="1"/>
  <c r="G3757" i="1" l="1"/>
  <c r="B8067" i="2"/>
  <c r="B8068" i="2"/>
  <c r="B8069" i="2"/>
  <c r="B8070" i="2"/>
  <c r="B8071" i="2"/>
  <c r="B8072" i="2"/>
  <c r="G3756" i="1" l="1"/>
  <c r="C3756" i="1" l="1"/>
  <c r="G3755" i="1"/>
  <c r="C3755" i="1"/>
  <c r="G3754" i="1" l="1"/>
  <c r="C3754" i="1"/>
  <c r="G3753" i="1"/>
  <c r="C3753" i="1"/>
  <c r="G3752" i="1" l="1"/>
  <c r="C3752" i="1"/>
  <c r="B8064" i="2" l="1"/>
  <c r="B8065" i="2"/>
  <c r="B8066" i="2"/>
  <c r="B8063" i="2" l="1"/>
  <c r="B8062" i="2" l="1"/>
  <c r="B8061" i="2" l="1"/>
  <c r="G3751" i="1"/>
  <c r="C3751" i="1" l="1"/>
  <c r="G3750" i="1"/>
  <c r="C3750" i="1"/>
  <c r="B8059" i="2"/>
  <c r="B8060" i="2"/>
  <c r="B8058" i="2" l="1"/>
  <c r="B8057" i="2" l="1"/>
  <c r="B8056" i="2" l="1"/>
  <c r="G3749" i="1" l="1"/>
  <c r="C3749" i="1" l="1"/>
  <c r="G3748" i="1"/>
  <c r="C3748" i="1"/>
  <c r="G3747" i="1"/>
  <c r="C3747" i="1"/>
  <c r="B8051" i="2" l="1"/>
  <c r="B8052" i="2"/>
  <c r="B8053" i="2"/>
  <c r="B8054" i="2"/>
  <c r="B8055" i="2"/>
  <c r="G3744" i="1" l="1"/>
  <c r="C3744" i="1"/>
  <c r="G3743" i="1" l="1"/>
  <c r="C3743" i="1" l="1"/>
  <c r="G3746" i="1" l="1"/>
  <c r="C3746" i="1"/>
  <c r="B8049" i="2"/>
  <c r="B8050" i="2"/>
  <c r="G3745" i="1" l="1"/>
  <c r="C3745" i="1"/>
  <c r="B8047" i="2" l="1"/>
  <c r="B8048" i="2"/>
  <c r="B8046" i="2" l="1"/>
  <c r="B8044" i="2" l="1"/>
  <c r="B8045" i="2"/>
  <c r="G3742" i="1" l="1"/>
  <c r="C3742" i="1"/>
  <c r="G3741" i="1"/>
  <c r="C3741" i="1"/>
  <c r="B8043" i="2" l="1"/>
  <c r="G3609" i="1"/>
  <c r="C3609" i="1"/>
  <c r="G3740" i="1" l="1"/>
  <c r="C3740" i="1"/>
  <c r="G3624" i="1" l="1"/>
  <c r="G3738" i="1"/>
  <c r="C3738" i="1"/>
  <c r="B8042" i="2" l="1"/>
  <c r="G3722" i="1" l="1"/>
  <c r="C3722" i="1" l="1"/>
  <c r="B8037" i="2" l="1"/>
  <c r="B8038" i="2"/>
  <c r="B8039" i="2"/>
  <c r="B8040" i="2"/>
  <c r="B8041" i="2"/>
  <c r="B8036" i="2" l="1"/>
  <c r="G3737" i="1" l="1"/>
  <c r="C3737" i="1" l="1"/>
  <c r="B8033" i="2" l="1"/>
  <c r="B8034" i="2"/>
  <c r="B8035" i="2"/>
  <c r="B8026" i="2"/>
  <c r="B8027" i="2"/>
  <c r="B8028" i="2"/>
  <c r="B8029" i="2"/>
  <c r="B8030" i="2"/>
  <c r="B8031" i="2"/>
  <c r="B8032" i="2"/>
  <c r="G3739" i="1" l="1"/>
  <c r="C3739" i="1"/>
  <c r="G3733" i="1"/>
  <c r="C3733" i="1"/>
  <c r="B8025" i="2" l="1"/>
  <c r="B8024" i="2" l="1"/>
  <c r="G3735" i="1" l="1"/>
  <c r="C3735" i="1" l="1"/>
  <c r="G3736" i="1"/>
  <c r="C3736" i="1"/>
  <c r="G3734" i="1" l="1"/>
  <c r="C3734" i="1"/>
  <c r="G3710" i="1" l="1"/>
  <c r="C3710" i="1" l="1"/>
  <c r="G3719" i="1"/>
  <c r="C3719" i="1" l="1"/>
  <c r="B8016" i="2" l="1"/>
  <c r="B8017" i="2"/>
  <c r="B8018" i="2"/>
  <c r="B8019" i="2"/>
  <c r="B8020" i="2"/>
  <c r="B8021" i="2"/>
  <c r="B8022" i="2"/>
  <c r="B8023" i="2"/>
  <c r="G3708" i="1" l="1"/>
  <c r="C3708" i="1" l="1"/>
  <c r="G3718" i="1"/>
  <c r="C3718" i="1" l="1"/>
  <c r="B8014" i="2"/>
  <c r="B8015" i="2"/>
  <c r="B8013" i="2" l="1"/>
  <c r="G3732" i="1"/>
  <c r="C3732" i="1"/>
  <c r="G3599" i="1"/>
  <c r="B8008" i="2"/>
  <c r="B8009" i="2"/>
  <c r="B8010" i="2"/>
  <c r="B8011" i="2"/>
  <c r="B8012" i="2"/>
  <c r="G3728" i="1" l="1"/>
  <c r="C3728" i="1"/>
  <c r="G3727" i="1"/>
  <c r="C3727" i="1"/>
  <c r="G3731" i="1" l="1"/>
  <c r="C3731" i="1"/>
  <c r="G3730" i="1" l="1"/>
  <c r="C3730" i="1"/>
  <c r="G3203" i="1"/>
  <c r="B8003" i="2" l="1"/>
  <c r="B8004" i="2"/>
  <c r="B8005" i="2"/>
  <c r="B8006" i="2"/>
  <c r="B8007" i="2"/>
  <c r="G3729" i="1" l="1"/>
  <c r="C3729" i="1" l="1"/>
  <c r="B8001" i="2"/>
  <c r="B8002" i="2"/>
  <c r="G3726" i="1" l="1"/>
  <c r="C3726" i="1"/>
  <c r="B8000" i="2" l="1"/>
  <c r="B7999" i="2" l="1"/>
  <c r="G3711" i="1" l="1"/>
  <c r="C3711" i="1"/>
  <c r="G3696" i="1" l="1"/>
  <c r="C3696" i="1"/>
  <c r="C3725" i="1" l="1"/>
  <c r="G3725" i="1"/>
  <c r="G3724" i="1" l="1"/>
  <c r="C3724" i="1"/>
  <c r="G3674" i="1" l="1"/>
  <c r="C3674" i="1"/>
  <c r="B7996" i="2" l="1"/>
  <c r="B7997" i="2"/>
  <c r="B7998" i="2"/>
  <c r="B7995" i="2" l="1"/>
  <c r="G3694" i="1"/>
  <c r="G3693" i="1" l="1"/>
  <c r="C3693" i="1"/>
  <c r="C3694" i="1"/>
  <c r="G3704" i="1" l="1"/>
  <c r="C3704" i="1"/>
  <c r="G3667" i="1" l="1"/>
  <c r="C3667" i="1"/>
  <c r="G3723" i="1" l="1"/>
  <c r="C3723" i="1"/>
  <c r="B7987" i="2" l="1"/>
  <c r="B7988" i="2"/>
  <c r="B7989" i="2"/>
  <c r="B7990" i="2"/>
  <c r="B7991" i="2"/>
  <c r="B7992" i="2"/>
  <c r="B7993" i="2"/>
  <c r="B7994" i="2"/>
  <c r="G3721" i="1" l="1"/>
  <c r="C3721" i="1"/>
  <c r="G3720" i="1" l="1"/>
  <c r="C3720" i="1"/>
  <c r="B7986" i="2"/>
  <c r="G3717" i="1"/>
  <c r="C3717" i="1"/>
  <c r="G3716" i="1"/>
  <c r="C3716" i="1"/>
  <c r="B7983" i="2" l="1"/>
  <c r="B7984" i="2"/>
  <c r="B7985" i="2"/>
  <c r="B7982" i="2" l="1"/>
  <c r="G3713" i="1" l="1"/>
  <c r="G3712" i="1" l="1"/>
  <c r="C3712" i="1"/>
  <c r="C3713" i="1"/>
  <c r="G3715" i="1" l="1"/>
  <c r="C3715" i="1"/>
  <c r="G3695" i="1" l="1"/>
  <c r="C3695" i="1"/>
  <c r="G3714" i="1" l="1"/>
  <c r="C3714" i="1"/>
  <c r="G3707" i="1" l="1"/>
  <c r="C3707" i="1"/>
  <c r="B7978" i="2" l="1"/>
  <c r="B7979" i="2"/>
  <c r="B7980" i="2"/>
  <c r="B7981" i="2"/>
  <c r="B7973" i="2" l="1"/>
  <c r="B7974" i="2"/>
  <c r="B7975" i="2"/>
  <c r="B7976" i="2"/>
  <c r="B7977" i="2"/>
  <c r="G3705" i="1" l="1"/>
  <c r="C3705" i="1" l="1"/>
  <c r="G3706" i="1"/>
  <c r="C3706" i="1"/>
  <c r="B7971" i="2" l="1"/>
  <c r="B7972" i="2"/>
  <c r="B7966" i="2" l="1"/>
  <c r="B7967" i="2"/>
  <c r="B7968" i="2"/>
  <c r="B7969" i="2"/>
  <c r="B7970" i="2"/>
  <c r="G3709" i="1" l="1"/>
  <c r="C3709" i="1" l="1"/>
  <c r="G3703" i="1"/>
  <c r="C3703" i="1"/>
  <c r="G3702" i="1" l="1"/>
  <c r="C3702" i="1"/>
  <c r="G3699" i="1" l="1"/>
  <c r="G3701" i="1" l="1"/>
  <c r="C3701" i="1"/>
  <c r="C3699" i="1"/>
  <c r="G3698" i="1" l="1"/>
  <c r="C3698" i="1"/>
  <c r="G3700" i="1" l="1"/>
  <c r="C3700" i="1" l="1"/>
  <c r="G3631" i="1"/>
  <c r="C3631" i="1"/>
  <c r="B7963" i="2" l="1"/>
  <c r="B7964" i="2"/>
  <c r="B7965" i="2"/>
  <c r="G3697" i="1"/>
  <c r="C3697" i="1" l="1"/>
  <c r="G3691" i="1"/>
  <c r="C3691" i="1"/>
  <c r="G3670" i="1" l="1"/>
  <c r="C3670" i="1"/>
  <c r="G3692" i="1"/>
  <c r="C3692" i="1"/>
  <c r="G3690" i="1" l="1"/>
  <c r="C3690" i="1"/>
  <c r="G3689" i="1" l="1"/>
  <c r="C3689" i="1"/>
  <c r="G3688" i="1"/>
  <c r="C3688" i="1"/>
  <c r="G3685" i="1" l="1"/>
  <c r="C3685" i="1"/>
  <c r="G3687" i="1" l="1"/>
  <c r="G3686" i="1"/>
  <c r="C3687" i="1"/>
  <c r="C3686" i="1" l="1"/>
  <c r="B7962" i="2" l="1"/>
  <c r="G3684" i="1"/>
  <c r="C3684" i="1"/>
  <c r="G3663" i="1" l="1"/>
  <c r="C3663" i="1" l="1"/>
  <c r="G3666" i="1"/>
  <c r="C3666" i="1"/>
  <c r="G3657" i="1" l="1"/>
  <c r="C3657" i="1"/>
  <c r="B7955" i="2" l="1"/>
  <c r="B7956" i="2"/>
  <c r="B7957" i="2"/>
  <c r="B7958" i="2"/>
  <c r="B7959" i="2"/>
  <c r="B7960" i="2"/>
  <c r="B7961" i="2"/>
  <c r="B7949" i="2" l="1"/>
  <c r="B7950" i="2"/>
  <c r="B7951" i="2"/>
  <c r="B7952" i="2"/>
  <c r="B7953" i="2"/>
  <c r="B7954" i="2"/>
  <c r="G3608" i="1" l="1"/>
  <c r="C3608" i="1"/>
  <c r="G3683" i="1"/>
  <c r="C3683" i="1"/>
  <c r="B7948" i="2"/>
  <c r="G3548" i="1"/>
  <c r="G3681" i="1" l="1"/>
  <c r="C3681" i="1"/>
  <c r="G3682" i="1"/>
  <c r="C3682" i="1"/>
  <c r="G3680" i="1"/>
  <c r="C3680" i="1" l="1"/>
  <c r="C3649" i="1"/>
  <c r="B7942" i="2" l="1"/>
  <c r="B7943" i="2"/>
  <c r="B7944" i="2"/>
  <c r="B7945" i="2"/>
  <c r="B7946" i="2"/>
  <c r="B7947" i="2"/>
  <c r="G3673" i="1" l="1"/>
  <c r="G3678" i="1"/>
  <c r="G3679" i="1"/>
  <c r="G3677" i="1"/>
  <c r="G3676" i="1"/>
  <c r="G3675" i="1"/>
  <c r="G3672" i="1"/>
  <c r="G3668" i="1"/>
  <c r="G3671" i="1"/>
  <c r="G3669" i="1"/>
  <c r="C3678" i="1"/>
  <c r="C3679" i="1" l="1"/>
  <c r="C3673" i="1"/>
  <c r="C3677" i="1" l="1"/>
  <c r="B7941" i="2"/>
  <c r="C3676" i="1" l="1"/>
  <c r="B7939" i="2"/>
  <c r="B7940" i="2"/>
  <c r="B7936" i="2"/>
  <c r="B7937" i="2"/>
  <c r="B7938" i="2"/>
  <c r="C3675" i="1" l="1"/>
  <c r="C3672" i="1" l="1"/>
  <c r="B7934" i="2" l="1"/>
  <c r="B7935" i="2"/>
  <c r="C3671" i="1"/>
  <c r="C3668" i="1"/>
  <c r="C3669" i="1"/>
  <c r="G3664" i="1"/>
  <c r="C3664" i="1"/>
  <c r="B7932" i="2" l="1"/>
  <c r="B7933" i="2"/>
  <c r="G3503" i="1" l="1"/>
  <c r="G3665" i="1"/>
  <c r="C3665" i="1" l="1"/>
  <c r="G3520" i="1"/>
  <c r="B7928" i="2"/>
  <c r="B7929" i="2"/>
  <c r="B7930" i="2"/>
  <c r="B7931" i="2"/>
  <c r="B7926" i="2" l="1"/>
  <c r="B7927" i="2"/>
  <c r="G3662" i="1" l="1"/>
  <c r="C3662" i="1" l="1"/>
  <c r="B7924" i="2"/>
  <c r="B7925" i="2"/>
  <c r="B7922" i="2" l="1"/>
  <c r="B7923" i="2"/>
  <c r="G3661" i="1" l="1"/>
  <c r="C3661" i="1"/>
  <c r="G3658" i="1" l="1"/>
  <c r="C3658" i="1" l="1"/>
  <c r="G3659" i="1"/>
  <c r="C3659" i="1" l="1"/>
  <c r="G3660" i="1"/>
  <c r="C3660" i="1"/>
  <c r="B7921" i="2" l="1"/>
  <c r="B7918" i="2"/>
  <c r="B7919" i="2"/>
  <c r="B7920" i="2"/>
  <c r="B7910" i="2" l="1"/>
  <c r="B7911" i="2"/>
  <c r="B7912" i="2"/>
  <c r="B7913" i="2"/>
  <c r="B7914" i="2"/>
  <c r="B7915" i="2"/>
  <c r="B7916" i="2"/>
  <c r="B7917" i="2"/>
  <c r="G3655" i="1" l="1"/>
  <c r="C3655" i="1"/>
  <c r="B7909" i="2" l="1"/>
  <c r="B7906" i="2" l="1"/>
  <c r="B7907" i="2"/>
  <c r="B7908" i="2"/>
  <c r="G3656" i="1" l="1"/>
  <c r="C3656" i="1"/>
  <c r="B7905" i="2" l="1"/>
  <c r="G3646" i="1"/>
  <c r="C3646" i="1"/>
  <c r="G3645" i="1" l="1"/>
  <c r="C3645" i="1"/>
  <c r="G3654" i="1" l="1"/>
  <c r="C3654" i="1"/>
  <c r="G3653" i="1" l="1"/>
  <c r="C3653" i="1"/>
  <c r="G3647" i="1" l="1"/>
  <c r="C3647" i="1"/>
  <c r="G3652" i="1" l="1"/>
  <c r="C3652" i="1"/>
  <c r="B7904" i="2" l="1"/>
  <c r="G3651" i="1" l="1"/>
  <c r="C3651" i="1"/>
  <c r="B7903" i="2"/>
  <c r="B7898" i="2" l="1"/>
  <c r="B7899" i="2"/>
  <c r="B7900" i="2"/>
  <c r="B7901" i="2"/>
  <c r="B7902" i="2"/>
  <c r="G3649" i="1"/>
  <c r="G3650" i="1" l="1"/>
  <c r="C3650" i="1"/>
  <c r="B7897" i="2" l="1"/>
  <c r="G3638" i="1" l="1"/>
  <c r="C3638" i="1"/>
  <c r="G3648" i="1" l="1"/>
  <c r="C3648" i="1"/>
  <c r="B7896" i="2"/>
  <c r="B7895" i="2"/>
  <c r="B7890" i="2" l="1"/>
  <c r="B7891" i="2"/>
  <c r="B7892" i="2"/>
  <c r="B7893" i="2"/>
  <c r="B7894" i="2"/>
  <c r="G3644" i="1" l="1"/>
  <c r="C3644" i="1"/>
  <c r="G3640" i="1"/>
  <c r="C3640" i="1"/>
  <c r="G3642" i="1" l="1"/>
  <c r="C3642" i="1"/>
  <c r="G3643" i="1" l="1"/>
  <c r="C3643" i="1"/>
  <c r="G3641" i="1" l="1"/>
  <c r="C3641" i="1" l="1"/>
  <c r="B7889" i="2"/>
  <c r="B7887" i="2" l="1"/>
  <c r="B7888" i="2"/>
  <c r="B7884" i="2" l="1"/>
  <c r="B7885" i="2"/>
  <c r="B7886" i="2"/>
  <c r="B7882" i="2" l="1"/>
  <c r="B7883" i="2"/>
  <c r="B7881" i="2"/>
  <c r="B7879" i="2" l="1"/>
  <c r="B7880" i="2"/>
  <c r="B7878" i="2"/>
  <c r="G3639" i="1"/>
  <c r="C3639" i="1"/>
  <c r="G3544" i="1"/>
  <c r="C3544" i="1" l="1"/>
  <c r="G3462" i="1"/>
  <c r="G3637" i="1" l="1"/>
  <c r="C3462" i="1"/>
  <c r="B7875" i="2" l="1"/>
  <c r="B7876" i="2"/>
  <c r="B7877" i="2"/>
  <c r="B7874" i="2" l="1"/>
  <c r="C3637" i="1" l="1"/>
  <c r="B7872" i="2"/>
  <c r="B7873" i="2"/>
  <c r="B7870" i="2" l="1"/>
  <c r="B7871" i="2"/>
  <c r="B7864" i="2" l="1"/>
  <c r="B7865" i="2"/>
  <c r="B7866" i="2"/>
  <c r="B7867" i="2"/>
  <c r="B7868" i="2"/>
  <c r="B7869" i="2"/>
  <c r="G3636" i="1" l="1"/>
  <c r="C3636" i="1" l="1"/>
  <c r="B7862" i="2"/>
  <c r="B7863" i="2"/>
  <c r="B7861" i="2"/>
  <c r="G3632" i="1"/>
  <c r="C3632" i="1" l="1"/>
  <c r="G3628" i="1"/>
  <c r="C3628" i="1" l="1"/>
  <c r="G3635" i="1"/>
  <c r="C3635" i="1"/>
  <c r="G3629" i="1"/>
  <c r="C3629" i="1" l="1"/>
  <c r="G3633" i="1"/>
  <c r="C3633" i="1"/>
  <c r="G3634" i="1"/>
  <c r="C3634" i="1"/>
  <c r="G3469" i="1"/>
  <c r="G3563" i="1" l="1"/>
  <c r="C3563" i="1"/>
  <c r="G3625" i="1"/>
  <c r="C3625" i="1" l="1"/>
  <c r="B7853" i="2"/>
  <c r="B7854" i="2"/>
  <c r="B7855" i="2"/>
  <c r="B7856" i="2"/>
  <c r="B7857" i="2"/>
  <c r="B7858" i="2"/>
  <c r="B7859" i="2"/>
  <c r="B7860" i="2"/>
  <c r="G3630" i="1" l="1"/>
  <c r="C3630" i="1"/>
  <c r="G3626" i="1"/>
  <c r="C3626" i="1" l="1"/>
  <c r="G3627" i="1"/>
  <c r="C3627" i="1" l="1"/>
  <c r="C3624" i="1" l="1"/>
  <c r="G3623" i="1" l="1"/>
  <c r="C3623" i="1"/>
  <c r="B7845" i="2" l="1"/>
  <c r="B7846" i="2"/>
  <c r="B7847" i="2"/>
  <c r="B7848" i="2"/>
  <c r="B7849" i="2"/>
  <c r="B7850" i="2"/>
  <c r="B7851" i="2"/>
  <c r="B7852" i="2"/>
  <c r="AH3280" i="1"/>
  <c r="G3622" i="1" l="1"/>
  <c r="C3622" i="1" l="1"/>
  <c r="B7839" i="2" l="1"/>
  <c r="B7840" i="2"/>
  <c r="B7841" i="2"/>
  <c r="B7842" i="2"/>
  <c r="B7843" i="2"/>
  <c r="B7844" i="2"/>
  <c r="B7838" i="2" l="1"/>
  <c r="B7836" i="2" l="1"/>
  <c r="B7837" i="2"/>
  <c r="G3619" i="1" l="1"/>
  <c r="C3619" i="1" l="1"/>
  <c r="G3602" i="1" l="1"/>
  <c r="G3603" i="1" l="1"/>
  <c r="C3603" i="1" l="1"/>
  <c r="C3602" i="1"/>
  <c r="B7835" i="2"/>
  <c r="G3621" i="1"/>
  <c r="C3621" i="1"/>
  <c r="B7834" i="2" l="1"/>
  <c r="AH3285" i="1" l="1"/>
  <c r="AH3254" i="1"/>
  <c r="G3607" i="1" l="1"/>
  <c r="C3607" i="1" l="1"/>
  <c r="G3620" i="1"/>
  <c r="C3620" i="1"/>
  <c r="G3614" i="1" l="1"/>
  <c r="C3614" i="1" l="1"/>
  <c r="B7826" i="2"/>
  <c r="B7827" i="2"/>
  <c r="B7828" i="2"/>
  <c r="B7829" i="2"/>
  <c r="B7830" i="2"/>
  <c r="B7831" i="2"/>
  <c r="B7832" i="2"/>
  <c r="B7833" i="2"/>
  <c r="G3618" i="1" l="1"/>
  <c r="C3618" i="1" l="1"/>
  <c r="B7822" i="2"/>
  <c r="B7823" i="2"/>
  <c r="B7824" i="2"/>
  <c r="B7825" i="2"/>
  <c r="B7821" i="2"/>
  <c r="B7820" i="2" l="1"/>
  <c r="B7814" i="2" l="1"/>
  <c r="B7815" i="2"/>
  <c r="B7816" i="2"/>
  <c r="B7817" i="2"/>
  <c r="B7818" i="2"/>
  <c r="B7819" i="2"/>
  <c r="B7809" i="2"/>
  <c r="B7810" i="2"/>
  <c r="B7811" i="2"/>
  <c r="B7812" i="2"/>
  <c r="B7813" i="2"/>
  <c r="B7808" i="2"/>
  <c r="G3401" i="1"/>
  <c r="C3401" i="1"/>
  <c r="B7801" i="2"/>
  <c r="B7802" i="2"/>
  <c r="B7803" i="2"/>
  <c r="B7804" i="2"/>
  <c r="B7805" i="2"/>
  <c r="B7806" i="2"/>
  <c r="B7807" i="2"/>
  <c r="B7800" i="2"/>
  <c r="B7799" i="2" l="1"/>
  <c r="B7796" i="2" l="1"/>
  <c r="B7797" i="2"/>
  <c r="B7798" i="2"/>
  <c r="B7795" i="2"/>
  <c r="G3617" i="1" l="1"/>
  <c r="C3617" i="1"/>
  <c r="B7794" i="2"/>
  <c r="B7793" i="2"/>
  <c r="B7792" i="2"/>
  <c r="B7791" i="2"/>
  <c r="B7790" i="2"/>
  <c r="B7789" i="2"/>
  <c r="B7788" i="2"/>
  <c r="B7787" i="2"/>
  <c r="G3616" i="1"/>
  <c r="C3616" i="1" l="1"/>
  <c r="B7785" i="2"/>
  <c r="B7786" i="2"/>
  <c r="G3615" i="1" l="1"/>
  <c r="C3615" i="1" l="1"/>
  <c r="G3611" i="1"/>
  <c r="C3611" i="1"/>
  <c r="G3613" i="1" l="1"/>
  <c r="C3613" i="1"/>
  <c r="G3610" i="1" l="1"/>
  <c r="C3610" i="1"/>
  <c r="G3612" i="1" l="1"/>
  <c r="C3612" i="1" l="1"/>
  <c r="G3604" i="1"/>
  <c r="C3604" i="1" l="1"/>
  <c r="B7784" i="2"/>
  <c r="B7783" i="2" l="1"/>
  <c r="B7782" i="2" l="1"/>
  <c r="B7781" i="2"/>
  <c r="B7780" i="2"/>
  <c r="B7779" i="2"/>
  <c r="B7772" i="2" l="1"/>
  <c r="B7773" i="2"/>
  <c r="B7774" i="2"/>
  <c r="B7775" i="2"/>
  <c r="B7776" i="2"/>
  <c r="B7777" i="2"/>
  <c r="B7778" i="2"/>
  <c r="B7766" i="2" l="1"/>
  <c r="B7767" i="2"/>
  <c r="B7768" i="2"/>
  <c r="B7769" i="2"/>
  <c r="B7770" i="2"/>
  <c r="B7771" i="2"/>
  <c r="C3599" i="1" l="1"/>
  <c r="B7764" i="2"/>
  <c r="B7765" i="2"/>
  <c r="B7757" i="2"/>
  <c r="B7758" i="2"/>
  <c r="B7759" i="2"/>
  <c r="B7760" i="2"/>
  <c r="B7761" i="2"/>
  <c r="B7762" i="2"/>
  <c r="B7763" i="2"/>
  <c r="B7755" i="2" l="1"/>
  <c r="B7756" i="2"/>
  <c r="B7750" i="2" l="1"/>
  <c r="B7751" i="2"/>
  <c r="B7752" i="2"/>
  <c r="B7753" i="2"/>
  <c r="B7754" i="2"/>
  <c r="G3590" i="1" l="1"/>
  <c r="C3590" i="1" l="1"/>
  <c r="B7747" i="2"/>
  <c r="B7748" i="2"/>
  <c r="B7749" i="2"/>
  <c r="G3577" i="1" l="1"/>
  <c r="C3577" i="1" l="1"/>
  <c r="B7746" i="2"/>
  <c r="G3606" i="1" l="1"/>
  <c r="C3606" i="1"/>
  <c r="G3593" i="1" l="1"/>
  <c r="C3593" i="1" l="1"/>
  <c r="G3552" i="1"/>
  <c r="C3552" i="1" l="1"/>
  <c r="G3605" i="1"/>
  <c r="C3605" i="1" l="1"/>
  <c r="B7745" i="2"/>
  <c r="G3601" i="1" l="1"/>
  <c r="C3601" i="1" l="1"/>
  <c r="G3596" i="1"/>
  <c r="C3596" i="1" l="1"/>
  <c r="G3600" i="1"/>
  <c r="C3600" i="1"/>
  <c r="G3598" i="1" l="1"/>
  <c r="C3598" i="1"/>
  <c r="B7744" i="2" l="1"/>
  <c r="G3597" i="1"/>
  <c r="C3597" i="1"/>
  <c r="G3364" i="1"/>
  <c r="C3364" i="1"/>
  <c r="B7743" i="2" l="1"/>
  <c r="G3594" i="1" l="1"/>
  <c r="C3594" i="1" l="1"/>
  <c r="G3595" i="1"/>
  <c r="C3595" i="1"/>
  <c r="G3582" i="1"/>
  <c r="C3582" i="1" l="1"/>
  <c r="G3579" i="1"/>
  <c r="G3564" i="1" l="1"/>
  <c r="G3553" i="1" l="1"/>
  <c r="C3564" i="1" l="1"/>
  <c r="C3579" i="1"/>
  <c r="C3553" i="1"/>
  <c r="G3592" i="1" l="1"/>
  <c r="C3592" i="1" l="1"/>
  <c r="B7740" i="2"/>
  <c r="B7741" i="2"/>
  <c r="B7742" i="2"/>
  <c r="B7735" i="2" l="1"/>
  <c r="B7736" i="2"/>
  <c r="B7737" i="2"/>
  <c r="B7738" i="2"/>
  <c r="B7739" i="2"/>
  <c r="G3575" i="1" l="1"/>
  <c r="C3575" i="1" l="1"/>
  <c r="G3587" i="1"/>
  <c r="C3587" i="1" l="1"/>
  <c r="G3591" i="1"/>
  <c r="C3591" i="1"/>
  <c r="G3588" i="1" l="1"/>
  <c r="C3588" i="1" l="1"/>
  <c r="G3586" i="1"/>
  <c r="C3586" i="1" l="1"/>
  <c r="G3426" i="1"/>
  <c r="C3426" i="1"/>
  <c r="G3583" i="1" l="1"/>
  <c r="C3583" i="1"/>
  <c r="G3589" i="1" l="1"/>
  <c r="C3589" i="1"/>
  <c r="B7734" i="2" l="1"/>
  <c r="B7733" i="2"/>
  <c r="B7729" i="2"/>
  <c r="B7730" i="2"/>
  <c r="B7731" i="2"/>
  <c r="B7732" i="2"/>
  <c r="B7725" i="2" l="1"/>
  <c r="B7726" i="2"/>
  <c r="B7727" i="2"/>
  <c r="B7728" i="2"/>
  <c r="G3585" i="1" l="1"/>
  <c r="C3585" i="1"/>
  <c r="B7719" i="2"/>
  <c r="B7720" i="2"/>
  <c r="B7721" i="2"/>
  <c r="B7722" i="2"/>
  <c r="B7723" i="2"/>
  <c r="B7724" i="2"/>
  <c r="G3584" i="1" l="1"/>
  <c r="C3584" i="1" l="1"/>
  <c r="G3574" i="1"/>
  <c r="C3574" i="1" l="1"/>
  <c r="G3470" i="1"/>
  <c r="C3470" i="1" l="1"/>
  <c r="B7717" i="2" l="1"/>
  <c r="B7718" i="2"/>
  <c r="G3570" i="1" l="1"/>
  <c r="C3570" i="1" l="1"/>
  <c r="G3536" i="1"/>
  <c r="C3536" i="1" l="1"/>
  <c r="B7716" i="2"/>
  <c r="B7715" i="2" l="1"/>
  <c r="G3580" i="1" l="1"/>
  <c r="C3580" i="1" l="1"/>
  <c r="G3550" i="1"/>
  <c r="C3550" i="1" l="1"/>
  <c r="G3573" i="1"/>
  <c r="C3573" i="1"/>
  <c r="B7713" i="2" l="1"/>
  <c r="B7714" i="2"/>
  <c r="G3581" i="1"/>
  <c r="C3581" i="1"/>
  <c r="B7709" i="2" l="1"/>
  <c r="B7710" i="2"/>
  <c r="B7711" i="2"/>
  <c r="B7712" i="2"/>
  <c r="B7708" i="2" l="1"/>
  <c r="B7706" i="2" l="1"/>
  <c r="B7707" i="2"/>
  <c r="G3578" i="1" l="1"/>
  <c r="G3576" i="1" l="1"/>
  <c r="C3578" i="1"/>
  <c r="C3576" i="1"/>
  <c r="B7705" i="2"/>
  <c r="B7699" i="2" l="1"/>
  <c r="B7700" i="2"/>
  <c r="B7701" i="2"/>
  <c r="B7702" i="2"/>
  <c r="B7703" i="2"/>
  <c r="B7704" i="2"/>
  <c r="B7698" i="2" l="1"/>
  <c r="B7694" i="2" l="1"/>
  <c r="B7695" i="2"/>
  <c r="B7696" i="2"/>
  <c r="B7697" i="2"/>
  <c r="G3510" i="1"/>
  <c r="G3572" i="1" l="1"/>
  <c r="C3572" i="1" l="1"/>
  <c r="G3571" i="1" l="1"/>
  <c r="C3571" i="1"/>
  <c r="G3569" i="1"/>
  <c r="C3569" i="1"/>
  <c r="G3450" i="1"/>
  <c r="G3568" i="1"/>
  <c r="C3568" i="1" l="1"/>
  <c r="G3562" i="1"/>
  <c r="C3562" i="1" l="1"/>
  <c r="G3561" i="1"/>
  <c r="C3561" i="1" l="1"/>
  <c r="G3567" i="1" l="1"/>
  <c r="C3567" i="1" l="1"/>
  <c r="B7688" i="2"/>
  <c r="B7689" i="2"/>
  <c r="B7690" i="2"/>
  <c r="B7691" i="2"/>
  <c r="B7692" i="2"/>
  <c r="B7693" i="2"/>
  <c r="G3560" i="1" l="1"/>
  <c r="C3560" i="1"/>
  <c r="B7686" i="2" l="1"/>
  <c r="B7687" i="2"/>
  <c r="G3556" i="1" l="1"/>
  <c r="C3556" i="1"/>
  <c r="G3559" i="1" l="1"/>
  <c r="C3559" i="1" l="1"/>
  <c r="G3566" i="1"/>
  <c r="C3566" i="1" l="1"/>
  <c r="G3565" i="1" l="1"/>
  <c r="C3565" i="1"/>
  <c r="B7685" i="2" l="1"/>
  <c r="G3554" i="1" l="1"/>
  <c r="C3554" i="1"/>
  <c r="G3557" i="1" l="1"/>
  <c r="C3557" i="1" l="1"/>
  <c r="G3558" i="1"/>
  <c r="C3558" i="1" l="1"/>
  <c r="G3555" i="1"/>
  <c r="C3555" i="1"/>
  <c r="G3551" i="1"/>
  <c r="C3551" i="1" l="1"/>
  <c r="G3549" i="1"/>
  <c r="C3549" i="1"/>
  <c r="B7684" i="2"/>
  <c r="B7683" i="2"/>
  <c r="B7680" i="2" l="1"/>
  <c r="B7681" i="2"/>
  <c r="B7682" i="2"/>
  <c r="B7677" i="2" l="1"/>
  <c r="B7678" i="2"/>
  <c r="B7679" i="2"/>
  <c r="B7675" i="2" l="1"/>
  <c r="B7676" i="2"/>
  <c r="G3546" i="1" l="1"/>
  <c r="C3548" i="1" l="1"/>
  <c r="C3546" i="1"/>
  <c r="G3547" i="1"/>
  <c r="C3547" i="1"/>
  <c r="G3545" i="1"/>
  <c r="C3545" i="1"/>
  <c r="B7674" i="2"/>
  <c r="G3543" i="1"/>
  <c r="C3543" i="1"/>
  <c r="G3542" i="1" l="1"/>
  <c r="C3542" i="1"/>
  <c r="G3541" i="1" l="1"/>
  <c r="C3541" i="1"/>
  <c r="B7672" i="2"/>
  <c r="B7673" i="2"/>
  <c r="G3540" i="1"/>
  <c r="C3540" i="1" l="1"/>
  <c r="G3534" i="1"/>
  <c r="C3534" i="1" l="1"/>
  <c r="G3539" i="1"/>
  <c r="C3539" i="1" l="1"/>
  <c r="G3537" i="1"/>
  <c r="C3537" i="1"/>
  <c r="G3538" i="1"/>
  <c r="C3538" i="1"/>
  <c r="G3223" i="1" l="1"/>
  <c r="G3535" i="1"/>
  <c r="C3535" i="1"/>
  <c r="C3223" i="1" l="1"/>
  <c r="B7671" i="2"/>
  <c r="G3515" i="1" l="1"/>
  <c r="C3515" i="1"/>
  <c r="G3533" i="1"/>
  <c r="C3533" i="1" l="1"/>
  <c r="G3476" i="1"/>
  <c r="C3476" i="1" l="1"/>
  <c r="G3507" i="1"/>
  <c r="C3507" i="1" l="1"/>
  <c r="G3506" i="1"/>
  <c r="C3506" i="1"/>
  <c r="B7667" i="2" l="1"/>
  <c r="B7668" i="2"/>
  <c r="B7669" i="2"/>
  <c r="B7670" i="2"/>
  <c r="B7665" i="2" l="1"/>
  <c r="B7666" i="2"/>
  <c r="G2533" i="1" l="1"/>
  <c r="G3525" i="1"/>
  <c r="C3525" i="1" l="1"/>
  <c r="C3203" i="1" l="1"/>
  <c r="G3526" i="1"/>
  <c r="C3526" i="1" l="1"/>
  <c r="G3473" i="1"/>
  <c r="C3473" i="1" l="1"/>
  <c r="G3516" i="1" l="1"/>
  <c r="G3428" i="1" l="1"/>
  <c r="C3520" i="1" l="1"/>
  <c r="C3428" i="1"/>
  <c r="C3516" i="1"/>
  <c r="G3532" i="1"/>
  <c r="C3532" i="1" l="1"/>
  <c r="G3528" i="1" l="1"/>
  <c r="C3528" i="1" l="1"/>
  <c r="G3531" i="1"/>
  <c r="C3531" i="1" l="1"/>
  <c r="G3530" i="1"/>
  <c r="C3530" i="1" l="1"/>
  <c r="G3529" i="1"/>
  <c r="C3529" i="1" l="1"/>
  <c r="G3009" i="1" l="1"/>
  <c r="G2906" i="1"/>
  <c r="B7662" i="2"/>
  <c r="B7663" i="2"/>
  <c r="B7664" i="2"/>
  <c r="G3527" i="1" l="1"/>
  <c r="C3527" i="1"/>
  <c r="B7659" i="2" l="1"/>
  <c r="B7660" i="2"/>
  <c r="B7661" i="2"/>
  <c r="B7658" i="2"/>
  <c r="B7656" i="2"/>
  <c r="B7657" i="2"/>
  <c r="G3411" i="1"/>
  <c r="G3513" i="1" l="1"/>
  <c r="C3513" i="1" l="1"/>
  <c r="G3524" i="1"/>
  <c r="C3524" i="1" l="1"/>
  <c r="G3460" i="1"/>
  <c r="C3460" i="1"/>
  <c r="G3366" i="1"/>
  <c r="G3523" i="1" l="1"/>
  <c r="C3523" i="1" l="1"/>
  <c r="G3522" i="1" l="1"/>
  <c r="C3522" i="1" l="1"/>
  <c r="G3521" i="1"/>
  <c r="C3521" i="1"/>
  <c r="G3374" i="1" l="1"/>
  <c r="G3518" i="1" l="1"/>
  <c r="C3518" i="1"/>
  <c r="G3519" i="1"/>
  <c r="C3519" i="1" l="1"/>
  <c r="G3517" i="1"/>
  <c r="C3517" i="1" l="1"/>
  <c r="G3410" i="1"/>
  <c r="C3410" i="1" l="1"/>
  <c r="G3402" i="1"/>
  <c r="C3402" i="1"/>
  <c r="G3512" i="1" l="1"/>
  <c r="C3512" i="1"/>
  <c r="G3389" i="1" l="1"/>
  <c r="G3424" i="1" l="1"/>
  <c r="G3412" i="1" l="1"/>
  <c r="C3389" i="1"/>
  <c r="C3424" i="1"/>
  <c r="C3412" i="1"/>
  <c r="G3381" i="1" l="1"/>
  <c r="C3381" i="1"/>
  <c r="G3514" i="1" l="1"/>
  <c r="C3514" i="1" l="1"/>
  <c r="G3483" i="1"/>
  <c r="C3483" i="1"/>
  <c r="B7655" i="2"/>
  <c r="B7654" i="2" l="1"/>
  <c r="B7650" i="2"/>
  <c r="B7651" i="2"/>
  <c r="B7652" i="2"/>
  <c r="B7653" i="2"/>
  <c r="B7645" i="2" l="1"/>
  <c r="B7646" i="2"/>
  <c r="B7647" i="2"/>
  <c r="B7648" i="2"/>
  <c r="B7649" i="2"/>
  <c r="G3504" i="1" l="1"/>
  <c r="C3504" i="1" l="1"/>
  <c r="B7644" i="2" l="1"/>
  <c r="G3511" i="1" l="1"/>
  <c r="C3511" i="1" l="1"/>
  <c r="B7641" i="2"/>
  <c r="B7642" i="2"/>
  <c r="B7643" i="2"/>
  <c r="B7639" i="2" l="1"/>
  <c r="B7640" i="2"/>
  <c r="G3449" i="1" l="1"/>
  <c r="C3449" i="1" l="1"/>
  <c r="B7638" i="2"/>
  <c r="C3510" i="1" l="1"/>
  <c r="B7636" i="2"/>
  <c r="B7637" i="2"/>
  <c r="C3509" i="1" l="1"/>
  <c r="G3509" i="1"/>
  <c r="G3508" i="1"/>
  <c r="C3508" i="1"/>
  <c r="B7632" i="2"/>
  <c r="B7633" i="2"/>
  <c r="B7634" i="2"/>
  <c r="B7635" i="2"/>
  <c r="G3336" i="1" l="1"/>
  <c r="G3505" i="1" l="1"/>
  <c r="C3505" i="1"/>
  <c r="G3480" i="1" l="1"/>
  <c r="C3480" i="1" l="1"/>
  <c r="B7628" i="2"/>
  <c r="B7629" i="2"/>
  <c r="B7630" i="2"/>
  <c r="B7631" i="2"/>
  <c r="G3482" i="1" l="1"/>
  <c r="C3482" i="1"/>
  <c r="B7626" i="2" l="1"/>
  <c r="B7627" i="2"/>
  <c r="B7625" i="2"/>
  <c r="G2224" i="1"/>
  <c r="C2224" i="1"/>
  <c r="B7624" i="2"/>
  <c r="C3503" i="1"/>
  <c r="B7623" i="2"/>
  <c r="B7622" i="2" l="1"/>
  <c r="G3333" i="1"/>
  <c r="C3333" i="1"/>
  <c r="G3378" i="1" l="1"/>
  <c r="C3378" i="1" l="1"/>
  <c r="G3365" i="1"/>
  <c r="C3365" i="1" l="1"/>
  <c r="G3349" i="1" l="1"/>
  <c r="C3349" i="1"/>
  <c r="G3322" i="1" l="1"/>
  <c r="C3322" i="1"/>
  <c r="G3337" i="1" l="1"/>
  <c r="C3337" i="1"/>
  <c r="B7621" i="2"/>
  <c r="G3326" i="1" l="1"/>
  <c r="C3326" i="1" l="1"/>
  <c r="G2818" i="1"/>
  <c r="B7618" i="2"/>
  <c r="B7619" i="2"/>
  <c r="B7620" i="2"/>
  <c r="G3242" i="1"/>
  <c r="C3242" i="1"/>
  <c r="B7617" i="2" l="1"/>
  <c r="B7616" i="2" l="1"/>
  <c r="B7615" i="2" l="1"/>
  <c r="G3489" i="1" l="1"/>
  <c r="C3489" i="1"/>
  <c r="B7612" i="2" l="1"/>
  <c r="B7613" i="2"/>
  <c r="B7614" i="2"/>
  <c r="B7610" i="2" l="1"/>
  <c r="B7611" i="2"/>
  <c r="B7605" i="2" l="1"/>
  <c r="B7606" i="2"/>
  <c r="B7607" i="2"/>
  <c r="B7608" i="2"/>
  <c r="B7609" i="2"/>
  <c r="G3502" i="1" l="1"/>
  <c r="C3502" i="1" l="1"/>
  <c r="B7602" i="2"/>
  <c r="B7603" i="2"/>
  <c r="B7604" i="2"/>
  <c r="G3500" i="1" l="1"/>
  <c r="G3501" i="1" l="1"/>
  <c r="C3501" i="1"/>
  <c r="C3500" i="1"/>
  <c r="B7597" i="2" l="1"/>
  <c r="B7598" i="2"/>
  <c r="B7599" i="2"/>
  <c r="B7600" i="2"/>
  <c r="B7601" i="2"/>
  <c r="B7593" i="2" l="1"/>
  <c r="B7594" i="2"/>
  <c r="B7595" i="2"/>
  <c r="B7596" i="2"/>
  <c r="G3499" i="1" l="1"/>
  <c r="C3499" i="1"/>
  <c r="G3498" i="1"/>
  <c r="C3498" i="1" l="1"/>
  <c r="B7592" i="2"/>
  <c r="G3419" i="1" l="1"/>
  <c r="C3419" i="1"/>
  <c r="G3478" i="1" l="1"/>
  <c r="C3478" i="1" l="1"/>
  <c r="G3486" i="1"/>
  <c r="C3486" i="1"/>
  <c r="B7591" i="2" l="1"/>
  <c r="G3496" i="1" l="1"/>
  <c r="C3496" i="1" l="1"/>
  <c r="G3497" i="1"/>
  <c r="C3497" i="1"/>
  <c r="G3491" i="1"/>
  <c r="C3491" i="1" l="1"/>
  <c r="G3493" i="1"/>
  <c r="C3493" i="1" l="1"/>
  <c r="G3495" i="1"/>
  <c r="C3495" i="1" l="1"/>
  <c r="G3494" i="1"/>
  <c r="C3494" i="1"/>
  <c r="B7588" i="2"/>
  <c r="B7589" i="2"/>
  <c r="B7590" i="2"/>
  <c r="G3492" i="1" l="1"/>
  <c r="C3492" i="1" l="1"/>
  <c r="G3490" i="1" l="1"/>
  <c r="C3490" i="1"/>
  <c r="G3488" i="1"/>
  <c r="C3488" i="1" l="1"/>
  <c r="G3466" i="1"/>
  <c r="C3466" i="1"/>
  <c r="G3417" i="1" l="1"/>
  <c r="C3417" i="1"/>
  <c r="B7586" i="2" l="1"/>
  <c r="B7587" i="2"/>
  <c r="G3479" i="1" l="1"/>
  <c r="C3479" i="1"/>
  <c r="B7585" i="2" l="1"/>
  <c r="B7579" i="2" l="1"/>
  <c r="B7580" i="2"/>
  <c r="B7581" i="2"/>
  <c r="B7582" i="2"/>
  <c r="B7583" i="2"/>
  <c r="B7584" i="2"/>
  <c r="B7577" i="2" l="1"/>
  <c r="B7578" i="2"/>
  <c r="B7575" i="2" l="1"/>
  <c r="B7576" i="2"/>
  <c r="B7573" i="2"/>
  <c r="B7574" i="2"/>
  <c r="G3487" i="1" l="1"/>
  <c r="C3487" i="1" l="1"/>
  <c r="B7572" i="2"/>
  <c r="G3485" i="1" l="1"/>
  <c r="C3485" i="1"/>
  <c r="B7571" i="2"/>
  <c r="G3477" i="1"/>
  <c r="C3477" i="1" l="1"/>
  <c r="B7568" i="2"/>
  <c r="B7569" i="2"/>
  <c r="B7570" i="2"/>
  <c r="G3484" i="1" l="1"/>
  <c r="C3484" i="1" l="1"/>
  <c r="G3481" i="1"/>
  <c r="C3481" i="1" l="1"/>
  <c r="B7567" i="2"/>
  <c r="B7564" i="2" l="1"/>
  <c r="B7565" i="2"/>
  <c r="B7566" i="2"/>
  <c r="G3472" i="1"/>
  <c r="C3472" i="1" l="1"/>
  <c r="B7560" i="2"/>
  <c r="B7561" i="2"/>
  <c r="B7562" i="2"/>
  <c r="B7563" i="2"/>
  <c r="G3475" i="1" l="1"/>
  <c r="C3475" i="1" l="1"/>
  <c r="G3474" i="1"/>
  <c r="C3474" i="1" l="1"/>
  <c r="B7556" i="2"/>
  <c r="B7557" i="2"/>
  <c r="B7558" i="2"/>
  <c r="B7559" i="2"/>
  <c r="C3469" i="1" l="1"/>
  <c r="B7551" i="2"/>
  <c r="B7552" i="2"/>
  <c r="B7553" i="2"/>
  <c r="B7554" i="2"/>
  <c r="B7555" i="2"/>
  <c r="G3471" i="1" l="1"/>
  <c r="C3471" i="1"/>
  <c r="B7546" i="2"/>
  <c r="B7547" i="2"/>
  <c r="B7548" i="2"/>
  <c r="B7549" i="2"/>
  <c r="B7550" i="2"/>
  <c r="B7545" i="2" l="1"/>
  <c r="B7541" i="2"/>
  <c r="B7542" i="2"/>
  <c r="B7543" i="2"/>
  <c r="B7544" i="2"/>
  <c r="G3368" i="1" l="1"/>
  <c r="C3368" i="1" l="1"/>
  <c r="G3292" i="1"/>
  <c r="C3292" i="1" l="1"/>
  <c r="B7539" i="2"/>
  <c r="B7540" i="2"/>
  <c r="G3468" i="1" l="1"/>
  <c r="C3468" i="1"/>
  <c r="G3467" i="1"/>
  <c r="C3467" i="1" l="1"/>
  <c r="G3354" i="1"/>
  <c r="C3354" i="1" l="1"/>
  <c r="B7534" i="2" l="1"/>
  <c r="B7535" i="2"/>
  <c r="B7536" i="2"/>
  <c r="B7537" i="2"/>
  <c r="B7538" i="2"/>
  <c r="G3448" i="1" l="1"/>
  <c r="C3448" i="1" l="1"/>
  <c r="G3465" i="1"/>
  <c r="C3465" i="1"/>
  <c r="B7533" i="2"/>
  <c r="B7531" i="2"/>
  <c r="B7532" i="2"/>
  <c r="G3464" i="1" l="1"/>
  <c r="C3464" i="1"/>
  <c r="B7530" i="2"/>
  <c r="B7526" i="2"/>
  <c r="B7527" i="2"/>
  <c r="B7528" i="2"/>
  <c r="B7529" i="2"/>
  <c r="B7525" i="2"/>
  <c r="B7520" i="2" l="1"/>
  <c r="B7521" i="2"/>
  <c r="B7522" i="2"/>
  <c r="B7523" i="2"/>
  <c r="B7524" i="2"/>
  <c r="G3407" i="1"/>
  <c r="C3407" i="1"/>
  <c r="G3463" i="1" l="1"/>
  <c r="C3463" i="1" l="1"/>
  <c r="G3461" i="1"/>
  <c r="C3461" i="1"/>
  <c r="G3458" i="1" l="1"/>
  <c r="C3458" i="1" l="1"/>
  <c r="G3459" i="1"/>
  <c r="C3459" i="1"/>
  <c r="G3441" i="1" l="1"/>
  <c r="C3441" i="1" l="1"/>
  <c r="B7519" i="2" l="1"/>
  <c r="G2771" i="1" l="1"/>
  <c r="B7517" i="2" l="1"/>
  <c r="B7518" i="2"/>
  <c r="G3454" i="1" l="1"/>
  <c r="C3454" i="1" l="1"/>
  <c r="G3457" i="1" l="1"/>
  <c r="C3457" i="1" l="1"/>
  <c r="G3456" i="1"/>
  <c r="C3456" i="1" l="1"/>
  <c r="G3455" i="1"/>
  <c r="C3455" i="1"/>
  <c r="B7509" i="2"/>
  <c r="B7510" i="2"/>
  <c r="B7511" i="2"/>
  <c r="B7512" i="2"/>
  <c r="B7513" i="2"/>
  <c r="B7514" i="2"/>
  <c r="B7515" i="2"/>
  <c r="B7516" i="2"/>
  <c r="G3452" i="1" l="1"/>
  <c r="C3452" i="1" l="1"/>
  <c r="B7508" i="2"/>
  <c r="B7507" i="2" l="1"/>
  <c r="G3453" i="1" l="1"/>
  <c r="C3453" i="1" l="1"/>
  <c r="C3450" i="1"/>
  <c r="G3451" i="1"/>
  <c r="C3451" i="1" l="1"/>
  <c r="B7506" i="2" l="1"/>
  <c r="G2688" i="1"/>
  <c r="G3439" i="1" l="1"/>
  <c r="C3439" i="1" l="1"/>
  <c r="G3408" i="1" l="1"/>
  <c r="C3408" i="1" l="1"/>
  <c r="G3447" i="1" l="1"/>
  <c r="C3447" i="1"/>
  <c r="G3444" i="1"/>
  <c r="C3444" i="1" l="1"/>
  <c r="B7503" i="2"/>
  <c r="B7504" i="2"/>
  <c r="B7505" i="2"/>
  <c r="G3445" i="1" l="1"/>
  <c r="C3445" i="1" l="1"/>
  <c r="G3443" i="1"/>
  <c r="G3446" i="1"/>
  <c r="C3446" i="1"/>
  <c r="B7499" i="2"/>
  <c r="B7500" i="2"/>
  <c r="B7501" i="2"/>
  <c r="B7502" i="2"/>
  <c r="C3443" i="1" l="1"/>
  <c r="B7494" i="2"/>
  <c r="B7495" i="2"/>
  <c r="B7496" i="2"/>
  <c r="B7497" i="2"/>
  <c r="B7498" i="2"/>
  <c r="G3442" i="1"/>
  <c r="C3442" i="1"/>
  <c r="G3319" i="1" l="1"/>
  <c r="G3435" i="1" l="1"/>
  <c r="C3435" i="1" l="1"/>
  <c r="AH3309" i="1"/>
  <c r="G3440" i="1"/>
  <c r="C3440" i="1" l="1"/>
  <c r="G3438" i="1" l="1"/>
  <c r="C3438" i="1"/>
  <c r="G3436" i="1"/>
  <c r="C3436" i="1"/>
  <c r="G3432" i="1"/>
  <c r="C3432" i="1" l="1"/>
  <c r="G3437" i="1"/>
  <c r="C3437" i="1" l="1"/>
  <c r="G3434" i="1"/>
  <c r="C3434" i="1" l="1"/>
  <c r="B7493" i="2"/>
  <c r="G3433" i="1" l="1"/>
  <c r="C3433" i="1"/>
  <c r="B7490" i="2" l="1"/>
  <c r="B7491" i="2"/>
  <c r="B7492" i="2"/>
  <c r="G3392" i="1" l="1"/>
  <c r="C3392" i="1"/>
  <c r="G3405" i="1" l="1"/>
  <c r="C3405" i="1" l="1"/>
  <c r="G3431" i="1" l="1"/>
  <c r="C3431" i="1"/>
  <c r="G3425" i="1"/>
  <c r="C3425" i="1" l="1"/>
  <c r="G3409" i="1"/>
  <c r="C3409" i="1"/>
  <c r="G3427" i="1" l="1"/>
  <c r="C3427" i="1"/>
  <c r="G3430" i="1" l="1"/>
  <c r="C3430" i="1"/>
  <c r="B7489" i="2" l="1"/>
  <c r="B7485" i="2"/>
  <c r="B7486" i="2"/>
  <c r="B7487" i="2"/>
  <c r="B7488" i="2"/>
  <c r="B7484" i="2" l="1"/>
  <c r="G3318" i="1" l="1"/>
  <c r="B7477" i="2"/>
  <c r="B7478" i="2"/>
  <c r="B7479" i="2"/>
  <c r="B7480" i="2"/>
  <c r="B7481" i="2"/>
  <c r="B7482" i="2"/>
  <c r="B7483" i="2"/>
  <c r="C3411" i="1" l="1"/>
  <c r="C3318" i="1"/>
  <c r="G3429" i="1" l="1"/>
  <c r="C3429" i="1" l="1"/>
  <c r="G3423" i="1"/>
  <c r="C3423" i="1"/>
  <c r="G3422" i="1"/>
  <c r="C3422" i="1"/>
  <c r="G3421" i="1"/>
  <c r="C3421" i="1" l="1"/>
  <c r="B7476" i="2"/>
  <c r="G3420" i="1"/>
  <c r="C3420" i="1"/>
  <c r="G3416" i="1" l="1"/>
  <c r="C3416" i="1" l="1"/>
  <c r="G3404" i="1" l="1"/>
  <c r="C3404" i="1"/>
  <c r="G3418" i="1" l="1"/>
  <c r="C3418" i="1"/>
  <c r="G3415" i="1" l="1"/>
  <c r="C3415" i="1"/>
  <c r="G3213" i="1" l="1"/>
  <c r="G3286" i="1" l="1"/>
  <c r="G3414" i="1" l="1"/>
  <c r="C3414" i="1"/>
  <c r="B7473" i="2"/>
  <c r="B7474" i="2"/>
  <c r="B7475" i="2"/>
  <c r="G3396" i="1" l="1"/>
  <c r="G3406" i="1" l="1"/>
  <c r="C3406" i="1" l="1"/>
  <c r="C3396" i="1"/>
  <c r="B7470" i="2"/>
  <c r="B7471" i="2"/>
  <c r="B7472" i="2"/>
  <c r="G3413" i="1" l="1"/>
  <c r="C3413" i="1" l="1"/>
  <c r="B7468" i="2"/>
  <c r="B7469" i="2"/>
  <c r="G3398" i="1" l="1"/>
  <c r="C3398" i="1" l="1"/>
  <c r="B7467" i="2"/>
  <c r="B7466" i="2" l="1"/>
  <c r="B7462" i="2" l="1"/>
  <c r="B7463" i="2"/>
  <c r="B7464" i="2"/>
  <c r="B7465" i="2"/>
  <c r="G2976" i="1"/>
  <c r="B7461" i="2" l="1"/>
  <c r="B7459" i="2" l="1"/>
  <c r="B7460" i="2"/>
  <c r="G3252" i="1" l="1"/>
  <c r="C3252" i="1" l="1"/>
  <c r="B7456" i="2" l="1"/>
  <c r="B7457" i="2"/>
  <c r="B7458" i="2"/>
  <c r="B7455" i="2"/>
  <c r="B7454" i="2"/>
  <c r="B7453" i="2"/>
  <c r="B7451" i="2"/>
  <c r="B7452" i="2"/>
  <c r="B7439" i="2"/>
  <c r="B7440" i="2"/>
  <c r="B7441" i="2"/>
  <c r="B7442" i="2"/>
  <c r="B7443" i="2"/>
  <c r="B7444" i="2"/>
  <c r="B7445" i="2"/>
  <c r="B7446" i="2"/>
  <c r="B7447" i="2"/>
  <c r="B7448" i="2"/>
  <c r="B7449" i="2"/>
  <c r="B7450" i="2"/>
  <c r="B7436" i="2"/>
  <c r="B7437" i="2"/>
  <c r="B7438" i="2"/>
  <c r="B7433" i="2"/>
  <c r="B7434" i="2"/>
  <c r="B7435" i="2"/>
  <c r="G3403" i="1" l="1"/>
  <c r="C3403" i="1"/>
  <c r="B7432" i="2"/>
  <c r="G3397" i="1" l="1"/>
  <c r="C3397" i="1" l="1"/>
  <c r="B7429" i="2"/>
  <c r="B7430" i="2"/>
  <c r="B7431" i="2"/>
  <c r="B7426" i="2" l="1"/>
  <c r="B7427" i="2"/>
  <c r="B7428" i="2"/>
  <c r="B7423" i="2"/>
  <c r="B7424" i="2"/>
  <c r="B7425" i="2"/>
  <c r="B7420" i="2"/>
  <c r="B7421" i="2"/>
  <c r="B7422" i="2"/>
  <c r="B7414" i="2"/>
  <c r="B7415" i="2"/>
  <c r="B7416" i="2"/>
  <c r="B7417" i="2"/>
  <c r="B7418" i="2"/>
  <c r="B7419" i="2"/>
  <c r="B7412" i="2"/>
  <c r="B7413" i="2"/>
  <c r="B7410" i="2"/>
  <c r="B7411" i="2"/>
  <c r="B7408" i="2" l="1"/>
  <c r="B7409" i="2"/>
  <c r="G3400" i="1" l="1"/>
  <c r="B7406" i="2" l="1"/>
  <c r="B7407" i="2"/>
  <c r="G3391" i="1" l="1"/>
  <c r="C3391" i="1"/>
  <c r="G3399" i="1" l="1"/>
  <c r="C3399" i="1" l="1"/>
  <c r="G3150" i="1" l="1"/>
  <c r="C3150" i="1" l="1"/>
  <c r="B7405" i="2"/>
  <c r="G3341" i="1"/>
  <c r="C3341" i="1"/>
  <c r="B7404" i="2" l="1"/>
  <c r="B7403" i="2" l="1"/>
  <c r="B7402" i="2" l="1"/>
  <c r="G3393" i="1" l="1"/>
  <c r="C3393" i="1" l="1"/>
  <c r="G3395" i="1" l="1"/>
  <c r="C3395" i="1" l="1"/>
  <c r="G3394" i="1"/>
  <c r="C3394" i="1" l="1"/>
  <c r="B7401" i="2"/>
  <c r="B7400" i="2"/>
  <c r="AH3314" i="1"/>
  <c r="AH3301" i="1" l="1"/>
  <c r="B7399" i="2" l="1"/>
  <c r="B7398" i="2"/>
  <c r="G2405" i="1"/>
  <c r="G2905" i="1"/>
  <c r="B7395" i="2"/>
  <c r="B7396" i="2"/>
  <c r="B7397" i="2"/>
  <c r="B7394" i="2"/>
  <c r="G3390" i="1" l="1"/>
  <c r="C3390" i="1" l="1"/>
  <c r="B7393" i="2"/>
  <c r="G3388" i="1" l="1"/>
  <c r="C3388" i="1" l="1"/>
  <c r="G3387" i="1"/>
  <c r="C3387" i="1"/>
  <c r="G3386" i="1" l="1"/>
  <c r="C3386" i="1" l="1"/>
  <c r="G3385" i="1"/>
  <c r="C3385" i="1"/>
  <c r="G3380" i="1"/>
  <c r="C3380" i="1"/>
  <c r="G3384" i="1" l="1"/>
  <c r="C3384" i="1"/>
  <c r="G3383" i="1"/>
  <c r="C3383" i="1"/>
  <c r="B2849" i="2"/>
  <c r="B2850" i="2"/>
  <c r="G3379" i="1" l="1"/>
  <c r="C3379" i="1"/>
  <c r="G3375" i="1" l="1"/>
  <c r="C3375" i="1"/>
  <c r="G3369" i="1" l="1"/>
  <c r="C3369" i="1"/>
  <c r="G3306" i="1" l="1"/>
  <c r="C3306" i="1"/>
  <c r="G3382" i="1" l="1"/>
  <c r="C3382" i="1"/>
  <c r="C3" i="1"/>
  <c r="C4" i="1"/>
  <c r="C5" i="1"/>
  <c r="C6" i="1"/>
  <c r="C7" i="1"/>
  <c r="C8" i="1"/>
  <c r="C9" i="1"/>
  <c r="C10" i="1"/>
  <c r="C11" i="1"/>
  <c r="C12" i="1"/>
  <c r="C13" i="1"/>
  <c r="C14" i="1"/>
  <c r="C15" i="1"/>
  <c r="C16" i="1"/>
  <c r="C17" i="1"/>
  <c r="C18" i="1"/>
  <c r="C19" i="1"/>
  <c r="C20" i="1"/>
  <c r="C21" i="1"/>
  <c r="C22" i="1"/>
  <c r="C23" i="1"/>
  <c r="C24" i="1"/>
  <c r="C25" i="1"/>
  <c r="C28" i="1"/>
  <c r="C26" i="1"/>
  <c r="C27"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 r="C182" i="1"/>
  <c r="C183" i="1"/>
  <c r="C184" i="1"/>
  <c r="C185" i="1"/>
  <c r="C186" i="1"/>
  <c r="C187" i="1"/>
  <c r="C188" i="1"/>
  <c r="C189" i="1"/>
  <c r="C190" i="1"/>
  <c r="C191" i="1"/>
  <c r="C192" i="1"/>
  <c r="C193" i="1"/>
  <c r="C194" i="1"/>
  <c r="C195" i="1"/>
  <c r="C196" i="1"/>
  <c r="C197" i="1"/>
  <c r="C198" i="1"/>
  <c r="C199" i="1"/>
  <c r="C200" i="1"/>
  <c r="C201" i="1"/>
  <c r="C202" i="1"/>
  <c r="C203" i="1"/>
  <c r="C204" i="1"/>
  <c r="C205" i="1"/>
  <c r="C206" i="1"/>
  <c r="C207" i="1"/>
  <c r="C208" i="1"/>
  <c r="C209" i="1"/>
  <c r="C210" i="1"/>
  <c r="C211" i="1"/>
  <c r="C212" i="1"/>
  <c r="C213" i="1"/>
  <c r="C214" i="1"/>
  <c r="C215" i="1"/>
  <c r="C216" i="1"/>
  <c r="C217" i="1"/>
  <c r="C218" i="1"/>
  <c r="C219" i="1"/>
  <c r="C220" i="1"/>
  <c r="C221" i="1"/>
  <c r="C222" i="1"/>
  <c r="C223" i="1"/>
  <c r="C224" i="1"/>
  <c r="C225" i="1"/>
  <c r="C226" i="1"/>
  <c r="C227" i="1"/>
  <c r="C228" i="1"/>
  <c r="C229" i="1"/>
  <c r="C230" i="1"/>
  <c r="C231" i="1"/>
  <c r="C232" i="1"/>
  <c r="C233" i="1"/>
  <c r="C234" i="1"/>
  <c r="C235" i="1"/>
  <c r="C236" i="1"/>
  <c r="C237" i="1"/>
  <c r="C238" i="1"/>
  <c r="C239" i="1"/>
  <c r="C240" i="1"/>
  <c r="C241" i="1"/>
  <c r="C242" i="1"/>
  <c r="C243" i="1"/>
  <c r="C244" i="1"/>
  <c r="C245" i="1"/>
  <c r="C246" i="1"/>
  <c r="C247" i="1"/>
  <c r="C248" i="1"/>
  <c r="C249" i="1"/>
  <c r="C250" i="1"/>
  <c r="C251" i="1"/>
  <c r="C252" i="1"/>
  <c r="C253" i="1"/>
  <c r="C254" i="1"/>
  <c r="C255" i="1"/>
  <c r="C256" i="1"/>
  <c r="C257" i="1"/>
  <c r="C258" i="1"/>
  <c r="C259" i="1"/>
  <c r="C260" i="1"/>
  <c r="C261" i="1"/>
  <c r="C262" i="1"/>
  <c r="C263" i="1"/>
  <c r="C264" i="1"/>
  <c r="C265" i="1"/>
  <c r="C266" i="1"/>
  <c r="C267" i="1"/>
  <c r="C268" i="1"/>
  <c r="C269" i="1"/>
  <c r="C270" i="1"/>
  <c r="C271" i="1"/>
  <c r="C272" i="1"/>
  <c r="C273" i="1"/>
  <c r="C274" i="1"/>
  <c r="C275" i="1"/>
  <c r="C276" i="1"/>
  <c r="C277" i="1"/>
  <c r="C278" i="1"/>
  <c r="C279" i="1"/>
  <c r="C280" i="1"/>
  <c r="C281" i="1"/>
  <c r="C282" i="1"/>
  <c r="C283" i="1"/>
  <c r="C284" i="1"/>
  <c r="C285" i="1"/>
  <c r="C286" i="1"/>
  <c r="C287" i="1"/>
  <c r="C288" i="1"/>
  <c r="C289" i="1"/>
  <c r="C290" i="1"/>
  <c r="C291" i="1"/>
  <c r="C292" i="1"/>
  <c r="C294" i="1"/>
  <c r="C295" i="1"/>
  <c r="C293" i="1"/>
  <c r="C296" i="1"/>
  <c r="C297" i="1"/>
  <c r="C298" i="1"/>
  <c r="C299" i="1"/>
  <c r="C300" i="1"/>
  <c r="C301" i="1"/>
  <c r="C302" i="1"/>
  <c r="C303" i="1"/>
  <c r="C304" i="1"/>
  <c r="C305" i="1"/>
  <c r="C306" i="1"/>
  <c r="C307" i="1"/>
  <c r="C308" i="1"/>
  <c r="C309" i="1"/>
  <c r="C310" i="1"/>
  <c r="C311" i="1"/>
  <c r="C312" i="1"/>
  <c r="C313" i="1"/>
  <c r="C314" i="1"/>
  <c r="C315" i="1"/>
  <c r="C316" i="1"/>
  <c r="C317" i="1"/>
  <c r="C318" i="1"/>
  <c r="C319" i="1"/>
  <c r="C320" i="1"/>
  <c r="C321" i="1"/>
  <c r="C322" i="1"/>
  <c r="C323" i="1"/>
  <c r="C324" i="1"/>
  <c r="C325" i="1"/>
  <c r="C326" i="1"/>
  <c r="C327" i="1"/>
  <c r="C328" i="1"/>
  <c r="C329" i="1"/>
  <c r="C330" i="1"/>
  <c r="C331" i="1"/>
  <c r="C332" i="1"/>
  <c r="C333" i="1"/>
  <c r="C334" i="1"/>
  <c r="C335" i="1"/>
  <c r="C336" i="1"/>
  <c r="C337" i="1"/>
  <c r="C338" i="1"/>
  <c r="C339" i="1"/>
  <c r="C340" i="1"/>
  <c r="C341" i="1"/>
  <c r="C342" i="1"/>
  <c r="C343" i="1"/>
  <c r="C344" i="1"/>
  <c r="C345" i="1"/>
  <c r="C346" i="1"/>
  <c r="C347" i="1"/>
  <c r="C348" i="1"/>
  <c r="C349" i="1"/>
  <c r="C350" i="1"/>
  <c r="C351" i="1"/>
  <c r="C352" i="1"/>
  <c r="C353" i="1"/>
  <c r="C354" i="1"/>
  <c r="C355" i="1"/>
  <c r="C356" i="1"/>
  <c r="C357" i="1"/>
  <c r="C358" i="1"/>
  <c r="C359" i="1"/>
  <c r="C360" i="1"/>
  <c r="C361" i="1"/>
  <c r="C362" i="1"/>
  <c r="C363" i="1"/>
  <c r="C364" i="1"/>
  <c r="C365" i="1"/>
  <c r="C366" i="1"/>
  <c r="C367" i="1"/>
  <c r="C368" i="1"/>
  <c r="C369" i="1"/>
  <c r="C370" i="1"/>
  <c r="C371" i="1"/>
  <c r="C372" i="1"/>
  <c r="C373" i="1"/>
  <c r="C374" i="1"/>
  <c r="C375" i="1"/>
  <c r="C376" i="1"/>
  <c r="C377" i="1"/>
  <c r="C378" i="1"/>
  <c r="C379" i="1"/>
  <c r="C380" i="1"/>
  <c r="C381" i="1"/>
  <c r="C382" i="1"/>
  <c r="C383" i="1"/>
  <c r="C384" i="1"/>
  <c r="C385" i="1"/>
  <c r="C386" i="1"/>
  <c r="C387" i="1"/>
  <c r="C388" i="1"/>
  <c r="C389" i="1"/>
  <c r="C390" i="1"/>
  <c r="C391" i="1"/>
  <c r="C392" i="1"/>
  <c r="C393" i="1"/>
  <c r="C394" i="1"/>
  <c r="C395" i="1"/>
  <c r="C396" i="1"/>
  <c r="C397" i="1"/>
  <c r="C398" i="1"/>
  <c r="C399" i="1"/>
  <c r="C400" i="1"/>
  <c r="C401" i="1"/>
  <c r="C402" i="1"/>
  <c r="C403" i="1"/>
  <c r="C404" i="1"/>
  <c r="C405" i="1"/>
  <c r="C406" i="1"/>
  <c r="C407" i="1"/>
  <c r="C408" i="1"/>
  <c r="C409" i="1"/>
  <c r="C410" i="1"/>
  <c r="C411" i="1"/>
  <c r="C412" i="1"/>
  <c r="C413" i="1"/>
  <c r="C414" i="1"/>
  <c r="C415" i="1"/>
  <c r="C416" i="1"/>
  <c r="C417" i="1"/>
  <c r="C418" i="1"/>
  <c r="C419" i="1"/>
  <c r="C420" i="1"/>
  <c r="C421" i="1"/>
  <c r="C422" i="1"/>
  <c r="C423" i="1"/>
  <c r="C424" i="1"/>
  <c r="C425" i="1"/>
  <c r="C426" i="1"/>
  <c r="C427" i="1"/>
  <c r="C428" i="1"/>
  <c r="C429" i="1"/>
  <c r="C430" i="1"/>
  <c r="C431" i="1"/>
  <c r="C432" i="1"/>
  <c r="C433" i="1"/>
  <c r="C434" i="1"/>
  <c r="C435" i="1"/>
  <c r="C436" i="1"/>
  <c r="C437" i="1"/>
  <c r="C438" i="1"/>
  <c r="C439" i="1"/>
  <c r="C440" i="1"/>
  <c r="C441" i="1"/>
  <c r="C442" i="1"/>
  <c r="C443" i="1"/>
  <c r="C444" i="1"/>
  <c r="C445" i="1"/>
  <c r="C446" i="1"/>
  <c r="C447" i="1"/>
  <c r="C448" i="1"/>
  <c r="C449" i="1"/>
  <c r="C450" i="1"/>
  <c r="C451" i="1"/>
  <c r="C452" i="1"/>
  <c r="C453" i="1"/>
  <c r="C454" i="1"/>
  <c r="C455" i="1"/>
  <c r="C456" i="1"/>
  <c r="C457" i="1"/>
  <c r="C458" i="1"/>
  <c r="C459" i="1"/>
  <c r="C460" i="1"/>
  <c r="C461" i="1"/>
  <c r="C462" i="1"/>
  <c r="C463" i="1"/>
  <c r="C464" i="1"/>
  <c r="C465" i="1"/>
  <c r="C466" i="1"/>
  <c r="C467" i="1"/>
  <c r="C468" i="1"/>
  <c r="C469" i="1"/>
  <c r="C470" i="1"/>
  <c r="C471" i="1"/>
  <c r="C472" i="1"/>
  <c r="C473" i="1"/>
  <c r="C474" i="1"/>
  <c r="C475" i="1"/>
  <c r="C476" i="1"/>
  <c r="C477" i="1"/>
  <c r="C479" i="1"/>
  <c r="C478" i="1"/>
  <c r="C480" i="1"/>
  <c r="C481" i="1"/>
  <c r="C482" i="1"/>
  <c r="C483" i="1"/>
  <c r="C484" i="1"/>
  <c r="C485" i="1"/>
  <c r="C486" i="1"/>
  <c r="C487" i="1"/>
  <c r="C488" i="1"/>
  <c r="C489" i="1"/>
  <c r="C490" i="1"/>
  <c r="C491" i="1"/>
  <c r="C492" i="1"/>
  <c r="C493" i="1"/>
  <c r="C494" i="1"/>
  <c r="C495" i="1"/>
  <c r="C496" i="1"/>
  <c r="C497" i="1"/>
  <c r="C498" i="1"/>
  <c r="C499" i="1"/>
  <c r="C500" i="1"/>
  <c r="C501" i="1"/>
  <c r="C502" i="1"/>
  <c r="C503" i="1"/>
  <c r="C504" i="1"/>
  <c r="C505" i="1"/>
  <c r="C506" i="1"/>
  <c r="C507" i="1"/>
  <c r="C508" i="1"/>
  <c r="C509" i="1"/>
  <c r="C510" i="1"/>
  <c r="C511" i="1"/>
  <c r="C512" i="1"/>
  <c r="C513" i="1"/>
  <c r="C514" i="1"/>
  <c r="C515" i="1"/>
  <c r="C516" i="1"/>
  <c r="C517" i="1"/>
  <c r="C518" i="1"/>
  <c r="C519" i="1"/>
  <c r="C520" i="1"/>
  <c r="C521" i="1"/>
  <c r="C522" i="1"/>
  <c r="C523" i="1"/>
  <c r="C524" i="1"/>
  <c r="C525" i="1"/>
  <c r="C526" i="1"/>
  <c r="C527" i="1"/>
  <c r="C528" i="1"/>
  <c r="C529" i="1"/>
  <c r="C530" i="1"/>
  <c r="C531" i="1"/>
  <c r="C532" i="1"/>
  <c r="C533" i="1"/>
  <c r="C534" i="1"/>
  <c r="C535" i="1"/>
  <c r="C536" i="1"/>
  <c r="C537" i="1"/>
  <c r="C538" i="1"/>
  <c r="C539" i="1"/>
  <c r="C540" i="1"/>
  <c r="C541" i="1"/>
  <c r="C542" i="1"/>
  <c r="C543" i="1"/>
  <c r="C544" i="1"/>
  <c r="C545" i="1"/>
  <c r="C546" i="1"/>
  <c r="C547" i="1"/>
  <c r="C548" i="1"/>
  <c r="C549" i="1"/>
  <c r="C550" i="1"/>
  <c r="C551" i="1"/>
  <c r="C552" i="1"/>
  <c r="C553" i="1"/>
  <c r="C554" i="1"/>
  <c r="C555" i="1"/>
  <c r="C556" i="1"/>
  <c r="C557" i="1"/>
  <c r="C558" i="1"/>
  <c r="C559" i="1"/>
  <c r="C560" i="1"/>
  <c r="C561" i="1"/>
  <c r="C562" i="1"/>
  <c r="C563" i="1"/>
  <c r="C564" i="1"/>
  <c r="C565" i="1"/>
  <c r="C566" i="1"/>
  <c r="C567" i="1"/>
  <c r="C568" i="1"/>
  <c r="C569" i="1"/>
  <c r="C570" i="1"/>
  <c r="C571" i="1"/>
  <c r="C572" i="1"/>
  <c r="C573" i="1"/>
  <c r="C574" i="1"/>
  <c r="C575" i="1"/>
  <c r="C576" i="1"/>
  <c r="C577" i="1"/>
  <c r="C578" i="1"/>
  <c r="C579" i="1"/>
  <c r="C580" i="1"/>
  <c r="C581" i="1"/>
  <c r="C582" i="1"/>
  <c r="C583" i="1"/>
  <c r="C584" i="1"/>
  <c r="C585" i="1"/>
  <c r="C586" i="1"/>
  <c r="C587" i="1"/>
  <c r="C588" i="1"/>
  <c r="C589" i="1"/>
  <c r="C590" i="1"/>
  <c r="C591" i="1"/>
  <c r="C592" i="1"/>
  <c r="C593" i="1"/>
  <c r="C594" i="1"/>
  <c r="C595" i="1"/>
  <c r="C596" i="1"/>
  <c r="C597" i="1"/>
  <c r="C598" i="1"/>
  <c r="C599" i="1"/>
  <c r="C600" i="1"/>
  <c r="C601" i="1"/>
  <c r="C602" i="1"/>
  <c r="C603" i="1"/>
  <c r="C604" i="1"/>
  <c r="C605" i="1"/>
  <c r="C606" i="1"/>
  <c r="C607" i="1"/>
  <c r="C608" i="1"/>
  <c r="C609" i="1"/>
  <c r="C610" i="1"/>
  <c r="C611" i="1"/>
  <c r="C612" i="1"/>
  <c r="C613" i="1"/>
  <c r="C614" i="1"/>
  <c r="C615" i="1"/>
  <c r="C616" i="1"/>
  <c r="C617" i="1"/>
  <c r="C618" i="1"/>
  <c r="C619" i="1"/>
  <c r="C620" i="1"/>
  <c r="C621" i="1"/>
  <c r="C622" i="1"/>
  <c r="C623" i="1"/>
  <c r="C624" i="1"/>
  <c r="C625" i="1"/>
  <c r="C626" i="1"/>
  <c r="C627" i="1"/>
  <c r="C628" i="1"/>
  <c r="C629" i="1"/>
  <c r="C630" i="1"/>
  <c r="C631" i="1"/>
  <c r="C632" i="1"/>
  <c r="C633" i="1"/>
  <c r="C634" i="1"/>
  <c r="C635" i="1"/>
  <c r="C636" i="1"/>
  <c r="C637" i="1"/>
  <c r="C638" i="1"/>
  <c r="C639" i="1"/>
  <c r="C640" i="1"/>
  <c r="C641" i="1"/>
  <c r="C642" i="1"/>
  <c r="C643" i="1"/>
  <c r="C644" i="1"/>
  <c r="C645" i="1"/>
  <c r="C646" i="1"/>
  <c r="C647" i="1"/>
  <c r="C648" i="1"/>
  <c r="C649" i="1"/>
  <c r="C650" i="1"/>
  <c r="C651" i="1"/>
  <c r="C652" i="1"/>
  <c r="C653" i="1"/>
  <c r="C654" i="1"/>
  <c r="C655" i="1"/>
  <c r="C656" i="1"/>
  <c r="C657" i="1"/>
  <c r="C658" i="1"/>
  <c r="C659" i="1"/>
  <c r="C660" i="1"/>
  <c r="C661" i="1"/>
  <c r="C662" i="1"/>
  <c r="C663" i="1"/>
  <c r="C664" i="1"/>
  <c r="C665" i="1"/>
  <c r="C666" i="1"/>
  <c r="C667" i="1"/>
  <c r="C668" i="1"/>
  <c r="C669" i="1"/>
  <c r="C670" i="1"/>
  <c r="C676" i="1"/>
  <c r="C671" i="1"/>
  <c r="C672" i="1"/>
  <c r="C673" i="1"/>
  <c r="C674" i="1"/>
  <c r="C675" i="1"/>
  <c r="C677" i="1"/>
  <c r="C678" i="1"/>
  <c r="C679" i="1"/>
  <c r="C680" i="1"/>
  <c r="C681" i="1"/>
  <c r="C682" i="1"/>
  <c r="C683" i="1"/>
  <c r="C684" i="1"/>
  <c r="C685" i="1"/>
  <c r="C686" i="1"/>
  <c r="C687" i="1"/>
  <c r="C688" i="1"/>
  <c r="C689" i="1"/>
  <c r="C690" i="1"/>
  <c r="C691" i="1"/>
  <c r="C692" i="1"/>
  <c r="C693" i="1"/>
  <c r="C694" i="1"/>
  <c r="C695" i="1"/>
  <c r="C696" i="1"/>
  <c r="C697" i="1"/>
  <c r="C698" i="1"/>
  <c r="C699" i="1"/>
  <c r="C700" i="1"/>
  <c r="C701" i="1"/>
  <c r="C702" i="1"/>
  <c r="C703" i="1"/>
  <c r="C704" i="1"/>
  <c r="C705" i="1"/>
  <c r="C706" i="1"/>
  <c r="C707" i="1"/>
  <c r="C708" i="1"/>
  <c r="C709" i="1"/>
  <c r="C710" i="1"/>
  <c r="C711" i="1"/>
  <c r="C712" i="1"/>
  <c r="C713" i="1"/>
  <c r="C714" i="1"/>
  <c r="C715" i="1"/>
  <c r="C716" i="1"/>
  <c r="C717" i="1"/>
  <c r="C718" i="1"/>
  <c r="C719" i="1"/>
  <c r="C720" i="1"/>
  <c r="C721" i="1"/>
  <c r="C722" i="1"/>
  <c r="C723" i="1"/>
  <c r="C724" i="1"/>
  <c r="C725" i="1"/>
  <c r="C726" i="1"/>
  <c r="C727" i="1"/>
  <c r="C728" i="1"/>
  <c r="C729" i="1"/>
  <c r="C730" i="1"/>
  <c r="C731" i="1"/>
  <c r="C732" i="1"/>
  <c r="C733" i="1"/>
  <c r="C734" i="1"/>
  <c r="C735" i="1"/>
  <c r="C736" i="1"/>
  <c r="C737" i="1"/>
  <c r="C738" i="1"/>
  <c r="C739" i="1"/>
  <c r="C740" i="1"/>
  <c r="C741" i="1"/>
  <c r="C742" i="1"/>
  <c r="C743" i="1"/>
  <c r="C744" i="1"/>
  <c r="C745" i="1"/>
  <c r="C746" i="1"/>
  <c r="C747" i="1"/>
  <c r="C748" i="1"/>
  <c r="C749" i="1"/>
  <c r="C750" i="1"/>
  <c r="C751" i="1"/>
  <c r="C752" i="1"/>
  <c r="C753" i="1"/>
  <c r="C754" i="1"/>
  <c r="C755" i="1"/>
  <c r="C756" i="1"/>
  <c r="C757" i="1"/>
  <c r="C758" i="1"/>
  <c r="C759" i="1"/>
  <c r="C760" i="1"/>
  <c r="C761" i="1"/>
  <c r="C762" i="1"/>
  <c r="C763" i="1"/>
  <c r="C764" i="1"/>
  <c r="C765" i="1"/>
  <c r="C766" i="1"/>
  <c r="C767" i="1"/>
  <c r="C768" i="1"/>
  <c r="C769" i="1"/>
  <c r="C770" i="1"/>
  <c r="C771" i="1"/>
  <c r="C772" i="1"/>
  <c r="C773" i="1"/>
  <c r="C774" i="1"/>
  <c r="C775" i="1"/>
  <c r="C776" i="1"/>
  <c r="C777" i="1"/>
  <c r="C778" i="1"/>
  <c r="C779" i="1"/>
  <c r="C780" i="1"/>
  <c r="C781" i="1"/>
  <c r="C782" i="1"/>
  <c r="C783" i="1"/>
  <c r="C784" i="1"/>
  <c r="C785" i="1"/>
  <c r="C786" i="1"/>
  <c r="C787" i="1"/>
  <c r="C788" i="1"/>
  <c r="C789" i="1"/>
  <c r="C790" i="1"/>
  <c r="C791" i="1"/>
  <c r="C792" i="1"/>
  <c r="C793" i="1"/>
  <c r="C794" i="1"/>
  <c r="C795" i="1"/>
  <c r="C796" i="1"/>
  <c r="C797" i="1"/>
  <c r="C798" i="1"/>
  <c r="C799" i="1"/>
  <c r="C800" i="1"/>
  <c r="C801" i="1"/>
  <c r="C802" i="1"/>
  <c r="C803" i="1"/>
  <c r="C804" i="1"/>
  <c r="C805" i="1"/>
  <c r="C806" i="1"/>
  <c r="C807" i="1"/>
  <c r="C808" i="1"/>
  <c r="C809" i="1"/>
  <c r="C810" i="1"/>
  <c r="C811" i="1"/>
  <c r="C812" i="1"/>
  <c r="C813" i="1"/>
  <c r="C814" i="1"/>
  <c r="C815" i="1"/>
  <c r="C816" i="1"/>
  <c r="C817" i="1"/>
  <c r="C818" i="1"/>
  <c r="C819" i="1"/>
  <c r="C820" i="1"/>
  <c r="C821" i="1"/>
  <c r="C822" i="1"/>
  <c r="C823" i="1"/>
  <c r="C824" i="1"/>
  <c r="C825" i="1"/>
  <c r="C826" i="1"/>
  <c r="C827" i="1"/>
  <c r="C828" i="1"/>
  <c r="C829" i="1"/>
  <c r="C830" i="1"/>
  <c r="C831" i="1"/>
  <c r="C832" i="1"/>
  <c r="C833" i="1"/>
  <c r="C834" i="1"/>
  <c r="C835" i="1"/>
  <c r="C836" i="1"/>
  <c r="C837" i="1"/>
  <c r="C838" i="1"/>
  <c r="C839" i="1"/>
  <c r="C840" i="1"/>
  <c r="C841" i="1"/>
  <c r="C842" i="1"/>
  <c r="C843" i="1"/>
  <c r="C844" i="1"/>
  <c r="C845" i="1"/>
  <c r="C846" i="1"/>
  <c r="C847" i="1"/>
  <c r="C848" i="1"/>
  <c r="C849" i="1"/>
  <c r="C850" i="1"/>
  <c r="C851" i="1"/>
  <c r="C852" i="1"/>
  <c r="C853" i="1"/>
  <c r="C854" i="1"/>
  <c r="C855" i="1"/>
  <c r="C856" i="1"/>
  <c r="C857" i="1"/>
  <c r="C858" i="1"/>
  <c r="C859" i="1"/>
  <c r="C860" i="1"/>
  <c r="C861" i="1"/>
  <c r="C862" i="1"/>
  <c r="C863" i="1"/>
  <c r="C864" i="1"/>
  <c r="C865" i="1"/>
  <c r="C866" i="1"/>
  <c r="C867" i="1"/>
  <c r="C868" i="1"/>
  <c r="C869" i="1"/>
  <c r="C870" i="1"/>
  <c r="C871" i="1"/>
  <c r="C872" i="1"/>
  <c r="C873" i="1"/>
  <c r="C874" i="1"/>
  <c r="C875" i="1"/>
  <c r="C876" i="1"/>
  <c r="C877" i="1"/>
  <c r="C878" i="1"/>
  <c r="C879" i="1"/>
  <c r="C880" i="1"/>
  <c r="C881" i="1"/>
  <c r="C882" i="1"/>
  <c r="C883" i="1"/>
  <c r="C884" i="1"/>
  <c r="C885" i="1"/>
  <c r="C886" i="1"/>
  <c r="C887" i="1"/>
  <c r="C888" i="1"/>
  <c r="C889" i="1"/>
  <c r="C890" i="1"/>
  <c r="C891" i="1"/>
  <c r="C892" i="1"/>
  <c r="C893" i="1"/>
  <c r="C894" i="1"/>
  <c r="C895" i="1"/>
  <c r="C896" i="1"/>
  <c r="C897" i="1"/>
  <c r="C898" i="1"/>
  <c r="C899" i="1"/>
  <c r="C900" i="1"/>
  <c r="C901" i="1"/>
  <c r="C902" i="1"/>
  <c r="C903" i="1"/>
  <c r="C904" i="1"/>
  <c r="C905" i="1"/>
  <c r="C906" i="1"/>
  <c r="C907" i="1"/>
  <c r="C908" i="1"/>
  <c r="C909" i="1"/>
  <c r="C910" i="1"/>
  <c r="C911" i="1"/>
  <c r="C912" i="1"/>
  <c r="C913" i="1"/>
  <c r="C914" i="1"/>
  <c r="C915" i="1"/>
  <c r="C916" i="1"/>
  <c r="C917" i="1"/>
  <c r="C918" i="1"/>
  <c r="C919" i="1"/>
  <c r="C920" i="1"/>
  <c r="C921" i="1"/>
  <c r="C922" i="1"/>
  <c r="C923" i="1"/>
  <c r="C924" i="1"/>
  <c r="C925" i="1"/>
  <c r="C926" i="1"/>
  <c r="C927" i="1"/>
  <c r="C928" i="1"/>
  <c r="C929" i="1"/>
  <c r="C930" i="1"/>
  <c r="C931" i="1"/>
  <c r="C932" i="1"/>
  <c r="C933" i="1"/>
  <c r="C934" i="1"/>
  <c r="C935" i="1"/>
  <c r="C936" i="1"/>
  <c r="C937" i="1"/>
  <c r="C938" i="1"/>
  <c r="C939" i="1"/>
  <c r="C940" i="1"/>
  <c r="C941" i="1"/>
  <c r="C942" i="1"/>
  <c r="C943" i="1"/>
  <c r="C944" i="1"/>
  <c r="C945" i="1"/>
  <c r="C946" i="1"/>
  <c r="C947" i="1"/>
  <c r="C948" i="1"/>
  <c r="C949" i="1"/>
  <c r="C950" i="1"/>
  <c r="C951" i="1"/>
  <c r="C952" i="1"/>
  <c r="C953" i="1"/>
  <c r="C954" i="1"/>
  <c r="C955" i="1"/>
  <c r="C956" i="1"/>
  <c r="C957" i="1"/>
  <c r="C958" i="1"/>
  <c r="C959" i="1"/>
  <c r="C960" i="1"/>
  <c r="C961" i="1"/>
  <c r="C962" i="1"/>
  <c r="C963" i="1"/>
  <c r="C964" i="1"/>
  <c r="C965" i="1"/>
  <c r="C966" i="1"/>
  <c r="C967" i="1"/>
  <c r="C968" i="1"/>
  <c r="C969" i="1"/>
  <c r="C970" i="1"/>
  <c r="C971" i="1"/>
  <c r="C972" i="1"/>
  <c r="C973" i="1"/>
  <c r="C974" i="1"/>
  <c r="C975" i="1"/>
  <c r="C976" i="1"/>
  <c r="C977" i="1"/>
  <c r="C978" i="1"/>
  <c r="C979" i="1"/>
  <c r="C980" i="1"/>
  <c r="C981" i="1"/>
  <c r="C982" i="1"/>
  <c r="C983" i="1"/>
  <c r="C984" i="1"/>
  <c r="C985" i="1"/>
  <c r="C986" i="1"/>
  <c r="C989" i="1"/>
  <c r="C987" i="1"/>
  <c r="C988" i="1"/>
  <c r="C990" i="1"/>
  <c r="C991" i="1"/>
  <c r="C992" i="1"/>
  <c r="C993" i="1"/>
  <c r="C994" i="1"/>
  <c r="C995" i="1"/>
  <c r="C996" i="1"/>
  <c r="C997" i="1"/>
  <c r="C998" i="1"/>
  <c r="C999" i="1"/>
  <c r="C1000" i="1"/>
  <c r="C1001" i="1"/>
  <c r="C1002" i="1"/>
  <c r="C1003" i="1"/>
  <c r="C1004" i="1"/>
  <c r="C1005" i="1"/>
  <c r="C1006" i="1"/>
  <c r="C1007" i="1"/>
  <c r="C1008" i="1"/>
  <c r="C1009" i="1"/>
  <c r="C1010" i="1"/>
  <c r="C1011" i="1"/>
  <c r="C1012" i="1"/>
  <c r="C1013" i="1"/>
  <c r="C1015" i="1"/>
  <c r="C1016" i="1"/>
  <c r="C1017" i="1"/>
  <c r="C1014" i="1"/>
  <c r="C1018" i="1"/>
  <c r="C1019" i="1"/>
  <c r="C1020" i="1"/>
  <c r="C1021" i="1"/>
  <c r="C1022" i="1"/>
  <c r="C1023" i="1"/>
  <c r="C1024" i="1"/>
  <c r="C1025" i="1"/>
  <c r="C1026" i="1"/>
  <c r="C1027" i="1"/>
  <c r="C1028" i="1"/>
  <c r="C1029" i="1"/>
  <c r="C1030" i="1"/>
  <c r="C1031" i="1"/>
  <c r="C1032" i="1"/>
  <c r="C1033" i="1"/>
  <c r="C1034" i="1"/>
  <c r="C1035" i="1"/>
  <c r="C1036" i="1"/>
  <c r="C1037" i="1"/>
  <c r="C1038" i="1"/>
  <c r="C1039" i="1"/>
  <c r="C1040" i="1"/>
  <c r="C1041" i="1"/>
  <c r="C1042" i="1"/>
  <c r="C1043" i="1"/>
  <c r="C1044" i="1"/>
  <c r="C1045" i="1"/>
  <c r="C1046" i="1"/>
  <c r="C1047" i="1"/>
  <c r="C1048" i="1"/>
  <c r="C1049" i="1"/>
  <c r="C1050" i="1"/>
  <c r="C1051" i="1"/>
  <c r="C1052" i="1"/>
  <c r="C1053" i="1"/>
  <c r="C1054" i="1"/>
  <c r="C1055" i="1"/>
  <c r="C1056" i="1"/>
  <c r="C1057" i="1"/>
  <c r="C1058" i="1"/>
  <c r="C1059" i="1"/>
  <c r="C1060" i="1"/>
  <c r="C1061" i="1"/>
  <c r="C1062" i="1"/>
  <c r="C1063" i="1"/>
  <c r="C1064" i="1"/>
  <c r="C1065" i="1"/>
  <c r="C1066" i="1"/>
  <c r="C1067" i="1"/>
  <c r="C1068" i="1"/>
  <c r="C1069" i="1"/>
  <c r="C1070" i="1"/>
  <c r="C1071" i="1"/>
  <c r="C1072" i="1"/>
  <c r="C1073" i="1"/>
  <c r="C1074" i="1"/>
  <c r="C1075" i="1"/>
  <c r="C1076" i="1"/>
  <c r="C1077" i="1"/>
  <c r="C1078" i="1"/>
  <c r="C1079" i="1"/>
  <c r="C1080" i="1"/>
  <c r="C1081" i="1"/>
  <c r="C1082" i="1"/>
  <c r="C1083" i="1"/>
  <c r="C1084" i="1"/>
  <c r="C1085" i="1"/>
  <c r="C1086" i="1"/>
  <c r="C1087" i="1"/>
  <c r="C1088" i="1"/>
  <c r="C1089" i="1"/>
  <c r="C1090" i="1"/>
  <c r="C1091" i="1"/>
  <c r="C1092" i="1"/>
  <c r="C1093" i="1"/>
  <c r="C1094" i="1"/>
  <c r="C1095" i="1"/>
  <c r="C1096" i="1"/>
  <c r="C1097" i="1"/>
  <c r="C1098" i="1"/>
  <c r="C1099" i="1"/>
  <c r="C1100" i="1"/>
  <c r="C1101" i="1"/>
  <c r="C1102" i="1"/>
  <c r="C1103" i="1"/>
  <c r="C1104" i="1"/>
  <c r="C1105" i="1"/>
  <c r="C1106" i="1"/>
  <c r="C1107" i="1"/>
  <c r="C1108" i="1"/>
  <c r="C1109" i="1"/>
  <c r="C1110" i="1"/>
  <c r="C1111" i="1"/>
  <c r="C1112" i="1"/>
  <c r="C1113" i="1"/>
  <c r="C1114" i="1"/>
  <c r="C1115" i="1"/>
  <c r="C1116" i="1"/>
  <c r="C1117" i="1"/>
  <c r="C1118" i="1"/>
  <c r="C1119" i="1"/>
  <c r="C1120" i="1"/>
  <c r="C1121" i="1"/>
  <c r="C1122" i="1"/>
  <c r="C1123" i="1"/>
  <c r="C1124" i="1"/>
  <c r="C1125" i="1"/>
  <c r="C1126" i="1"/>
  <c r="C1127" i="1"/>
  <c r="C1128" i="1"/>
  <c r="C1129" i="1"/>
  <c r="C1130" i="1"/>
  <c r="C1131" i="1"/>
  <c r="C1132" i="1"/>
  <c r="C1133" i="1"/>
  <c r="C1134" i="1"/>
  <c r="C1135" i="1"/>
  <c r="C1136" i="1"/>
  <c r="C1137" i="1"/>
  <c r="C1138" i="1"/>
  <c r="C1139" i="1"/>
  <c r="C1140" i="1"/>
  <c r="C1141" i="1"/>
  <c r="C1142" i="1"/>
  <c r="C1143" i="1"/>
  <c r="C1144" i="1"/>
  <c r="C1145" i="1"/>
  <c r="C1146" i="1"/>
  <c r="C1147" i="1"/>
  <c r="C1148" i="1"/>
  <c r="C1149" i="1"/>
  <c r="C1150" i="1"/>
  <c r="C1151" i="1"/>
  <c r="C1152" i="1"/>
  <c r="C1153" i="1"/>
  <c r="C1154" i="1"/>
  <c r="C1155" i="1"/>
  <c r="C1156" i="1"/>
  <c r="C1157" i="1"/>
  <c r="C1158" i="1"/>
  <c r="C1159" i="1"/>
  <c r="C1160" i="1"/>
  <c r="C1161" i="1"/>
  <c r="C1162" i="1"/>
  <c r="C1163" i="1"/>
  <c r="C1164" i="1"/>
  <c r="C1165" i="1"/>
  <c r="C1166" i="1"/>
  <c r="C1167" i="1"/>
  <c r="C1168" i="1"/>
  <c r="C1169" i="1"/>
  <c r="C1170" i="1"/>
  <c r="C1171" i="1"/>
  <c r="C1172" i="1"/>
  <c r="C1173" i="1"/>
  <c r="C1174" i="1"/>
  <c r="C1175" i="1"/>
  <c r="C1176" i="1"/>
  <c r="C1177" i="1"/>
  <c r="C1178" i="1"/>
  <c r="C1179" i="1"/>
  <c r="C1180" i="1"/>
  <c r="C1181" i="1"/>
  <c r="C1182" i="1"/>
  <c r="C1183" i="1"/>
  <c r="C1184" i="1"/>
  <c r="C1185" i="1"/>
  <c r="C1186" i="1"/>
  <c r="C1187" i="1"/>
  <c r="C1188" i="1"/>
  <c r="C1189" i="1"/>
  <c r="C1190" i="1"/>
  <c r="C1191" i="1"/>
  <c r="C1192" i="1"/>
  <c r="C1193" i="1"/>
  <c r="C1194" i="1"/>
  <c r="C1195" i="1"/>
  <c r="C1196" i="1"/>
  <c r="C1197" i="1"/>
  <c r="C1198" i="1"/>
  <c r="C1199" i="1"/>
  <c r="C1200" i="1"/>
  <c r="C1201" i="1"/>
  <c r="C1202" i="1"/>
  <c r="C1203" i="1"/>
  <c r="C1204" i="1"/>
  <c r="C1205" i="1"/>
  <c r="C1206" i="1"/>
  <c r="C1207" i="1"/>
  <c r="C1208" i="1"/>
  <c r="C1209" i="1"/>
  <c r="C1210" i="1"/>
  <c r="C1211" i="1"/>
  <c r="C1212" i="1"/>
  <c r="C1213" i="1"/>
  <c r="C1214" i="1"/>
  <c r="C1215" i="1"/>
  <c r="C1216" i="1"/>
  <c r="C1217" i="1"/>
  <c r="C1218" i="1"/>
  <c r="C1219" i="1"/>
  <c r="C1220" i="1"/>
  <c r="C1221" i="1"/>
  <c r="C1222" i="1"/>
  <c r="C1223" i="1"/>
  <c r="C1224" i="1"/>
  <c r="C1225" i="1"/>
  <c r="C1228" i="1"/>
  <c r="C1226" i="1"/>
  <c r="C1227" i="1"/>
  <c r="C1229" i="1"/>
  <c r="C1230" i="1"/>
  <c r="C1231" i="1"/>
  <c r="C1232" i="1"/>
  <c r="C1233" i="1"/>
  <c r="C1234" i="1"/>
  <c r="C1235" i="1"/>
  <c r="C1236" i="1"/>
  <c r="C1237" i="1"/>
  <c r="C1238" i="1"/>
  <c r="C1239" i="1"/>
  <c r="C1240" i="1"/>
  <c r="C1241" i="1"/>
  <c r="C1242" i="1"/>
  <c r="C1243" i="1"/>
  <c r="C1244" i="1"/>
  <c r="C1245" i="1"/>
  <c r="C1246" i="1"/>
  <c r="C1247" i="1"/>
  <c r="C1248" i="1"/>
  <c r="C1249" i="1"/>
  <c r="C1250" i="1"/>
  <c r="C1251" i="1"/>
  <c r="C1252" i="1"/>
  <c r="C1253" i="1"/>
  <c r="C1254" i="1"/>
  <c r="C1255" i="1"/>
  <c r="C1256" i="1"/>
  <c r="C1257" i="1"/>
  <c r="C1258" i="1"/>
  <c r="C1259" i="1"/>
  <c r="C1260" i="1"/>
  <c r="C1261" i="1"/>
  <c r="C1262" i="1"/>
  <c r="C1263" i="1"/>
  <c r="C1264" i="1"/>
  <c r="C1265" i="1"/>
  <c r="C1266" i="1"/>
  <c r="C1267" i="1"/>
  <c r="C1268" i="1"/>
  <c r="C1269" i="1"/>
  <c r="C1270" i="1"/>
  <c r="C1271" i="1"/>
  <c r="C1272" i="1"/>
  <c r="C1273" i="1"/>
  <c r="C1274" i="1"/>
  <c r="C1275" i="1"/>
  <c r="C1276" i="1"/>
  <c r="C1277" i="1"/>
  <c r="C1278" i="1"/>
  <c r="C1279" i="1"/>
  <c r="C1280" i="1"/>
  <c r="C1281" i="1"/>
  <c r="C1282" i="1"/>
  <c r="C1283" i="1"/>
  <c r="C1284" i="1"/>
  <c r="C1285" i="1"/>
  <c r="C1286" i="1"/>
  <c r="C1287" i="1"/>
  <c r="C1288" i="1"/>
  <c r="C1289" i="1"/>
  <c r="C1290" i="1"/>
  <c r="C1291" i="1"/>
  <c r="C1292" i="1"/>
  <c r="C1293" i="1"/>
  <c r="C1294" i="1"/>
  <c r="C1295" i="1"/>
  <c r="C1296" i="1"/>
  <c r="C1297" i="1"/>
  <c r="C1298" i="1"/>
  <c r="C1299" i="1"/>
  <c r="C1300" i="1"/>
  <c r="C1301" i="1"/>
  <c r="C1302" i="1"/>
  <c r="C1303" i="1"/>
  <c r="C1305" i="1"/>
  <c r="C1306" i="1"/>
  <c r="C1307" i="1"/>
  <c r="C1308" i="1"/>
  <c r="C1309" i="1"/>
  <c r="C1310" i="1"/>
  <c r="C1311" i="1"/>
  <c r="C1312" i="1"/>
  <c r="C1313" i="1"/>
  <c r="C1314" i="1"/>
  <c r="C1315" i="1"/>
  <c r="C1316" i="1"/>
  <c r="C1317" i="1"/>
  <c r="C1318" i="1"/>
  <c r="C1319" i="1"/>
  <c r="C1320" i="1"/>
  <c r="C1321" i="1"/>
  <c r="C1322" i="1"/>
  <c r="C1323" i="1"/>
  <c r="C1324" i="1"/>
  <c r="C1325" i="1"/>
  <c r="C1326" i="1"/>
  <c r="C1327" i="1"/>
  <c r="C1328" i="1"/>
  <c r="C1329" i="1"/>
  <c r="C1330" i="1"/>
  <c r="C1331" i="1"/>
  <c r="C1332" i="1"/>
  <c r="C1333" i="1"/>
  <c r="C1334" i="1"/>
  <c r="C1335" i="1"/>
  <c r="C1336" i="1"/>
  <c r="C1337" i="1"/>
  <c r="C1338" i="1"/>
  <c r="C1339" i="1"/>
  <c r="C1340" i="1"/>
  <c r="C1341" i="1"/>
  <c r="C1342" i="1"/>
  <c r="C1343" i="1"/>
  <c r="C1344" i="1"/>
  <c r="C1345" i="1"/>
  <c r="C1346" i="1"/>
  <c r="C1347" i="1"/>
  <c r="C1348" i="1"/>
  <c r="C1349" i="1"/>
  <c r="C1350" i="1"/>
  <c r="C1351" i="1"/>
  <c r="C1352" i="1"/>
  <c r="C1353" i="1"/>
  <c r="C1354" i="1"/>
  <c r="C1355" i="1"/>
  <c r="C1356" i="1"/>
  <c r="C1357" i="1"/>
  <c r="C1358" i="1"/>
  <c r="C1359" i="1"/>
  <c r="C1360" i="1"/>
  <c r="C1361" i="1"/>
  <c r="C1362" i="1"/>
  <c r="C1363" i="1"/>
  <c r="C1364" i="1"/>
  <c r="C1365" i="1"/>
  <c r="C1366" i="1"/>
  <c r="C1367" i="1"/>
  <c r="C1368" i="1"/>
  <c r="C1369" i="1"/>
  <c r="C1370" i="1"/>
  <c r="C1371" i="1"/>
  <c r="C1372" i="1"/>
  <c r="C1373" i="1"/>
  <c r="C1374" i="1"/>
  <c r="C1375" i="1"/>
  <c r="C1376" i="1"/>
  <c r="C1377" i="1"/>
  <c r="C1378" i="1"/>
  <c r="C1379" i="1"/>
  <c r="C1380" i="1"/>
  <c r="C1381" i="1"/>
  <c r="C1382" i="1"/>
  <c r="C1383" i="1"/>
  <c r="C1384" i="1"/>
  <c r="C1385" i="1"/>
  <c r="C1387" i="1"/>
  <c r="C1386" i="1"/>
  <c r="C1388" i="1"/>
  <c r="C1389" i="1"/>
  <c r="C1390" i="1"/>
  <c r="C1391" i="1"/>
  <c r="C1392" i="1"/>
  <c r="C1393" i="1"/>
  <c r="C1394" i="1"/>
  <c r="C1395" i="1"/>
  <c r="C1396" i="1"/>
  <c r="C1397" i="1"/>
  <c r="C1398" i="1"/>
  <c r="C1399" i="1"/>
  <c r="C1400" i="1"/>
  <c r="C1401" i="1"/>
  <c r="C1402" i="1"/>
  <c r="C1403" i="1"/>
  <c r="C1404" i="1"/>
  <c r="C1405" i="1"/>
  <c r="C1406" i="1"/>
  <c r="C1407" i="1"/>
  <c r="C1408" i="1"/>
  <c r="C1409" i="1"/>
  <c r="C1410" i="1"/>
  <c r="C1411" i="1"/>
  <c r="C1412" i="1"/>
  <c r="C1413" i="1"/>
  <c r="C1414" i="1"/>
  <c r="C1415" i="1"/>
  <c r="C1416" i="1"/>
  <c r="C1417" i="1"/>
  <c r="C1418" i="1"/>
  <c r="C1419" i="1"/>
  <c r="C1420" i="1"/>
  <c r="C1421" i="1"/>
  <c r="C1422" i="1"/>
  <c r="C1423" i="1"/>
  <c r="C1424" i="1"/>
  <c r="C1425" i="1"/>
  <c r="C1426" i="1"/>
  <c r="C1427" i="1"/>
  <c r="C1428" i="1"/>
  <c r="C1429" i="1"/>
  <c r="C1430" i="1"/>
  <c r="C1431" i="1"/>
  <c r="C1432" i="1"/>
  <c r="C1433" i="1"/>
  <c r="C1434" i="1"/>
  <c r="C1435" i="1"/>
  <c r="C1436" i="1"/>
  <c r="C1437" i="1"/>
  <c r="C1438" i="1"/>
  <c r="C1439" i="1"/>
  <c r="C1440" i="1"/>
  <c r="C1441" i="1"/>
  <c r="C1443" i="1"/>
  <c r="C1444" i="1"/>
  <c r="C1445" i="1"/>
  <c r="C1446" i="1"/>
  <c r="C1447" i="1"/>
  <c r="C1448" i="1"/>
  <c r="C1449" i="1"/>
  <c r="C1450" i="1"/>
  <c r="C1451" i="1"/>
  <c r="C1452" i="1"/>
  <c r="C1453" i="1"/>
  <c r="C1454" i="1"/>
  <c r="C1455" i="1"/>
  <c r="C1456" i="1"/>
  <c r="C1457" i="1"/>
  <c r="C1458" i="1"/>
  <c r="C1459" i="1"/>
  <c r="C1460" i="1"/>
  <c r="C1461" i="1"/>
  <c r="C1462" i="1"/>
  <c r="C1463" i="1"/>
  <c r="C1464" i="1"/>
  <c r="C1465" i="1"/>
  <c r="C1466" i="1"/>
  <c r="C1467" i="1"/>
  <c r="C1468" i="1"/>
  <c r="C1469" i="1"/>
  <c r="C1470" i="1"/>
  <c r="C1304" i="1"/>
  <c r="C1471" i="1"/>
  <c r="C1472" i="1"/>
  <c r="C1473" i="1"/>
  <c r="C1474" i="1"/>
  <c r="C1475" i="1"/>
  <c r="C1476" i="1"/>
  <c r="C1477" i="1"/>
  <c r="C1478" i="1"/>
  <c r="C1479" i="1"/>
  <c r="C1480" i="1"/>
  <c r="C1481" i="1"/>
  <c r="C1482" i="1"/>
  <c r="C1483" i="1"/>
  <c r="C1484" i="1"/>
  <c r="C1485" i="1"/>
  <c r="C1486" i="1"/>
  <c r="C1487" i="1"/>
  <c r="C1488" i="1"/>
  <c r="C1489" i="1"/>
  <c r="C1490" i="1"/>
  <c r="C1491" i="1"/>
  <c r="C1492" i="1"/>
  <c r="C1493" i="1"/>
  <c r="C1494" i="1"/>
  <c r="C1495" i="1"/>
  <c r="C1496" i="1"/>
  <c r="C1497" i="1"/>
  <c r="C1498" i="1"/>
  <c r="C1499" i="1"/>
  <c r="C1500" i="1"/>
  <c r="C1501" i="1"/>
  <c r="C1502" i="1"/>
  <c r="C1503" i="1"/>
  <c r="C1504" i="1"/>
  <c r="C1505" i="1"/>
  <c r="C1506" i="1"/>
  <c r="C1507" i="1"/>
  <c r="C1508" i="1"/>
  <c r="C1509" i="1"/>
  <c r="C1510" i="1"/>
  <c r="C1511" i="1"/>
  <c r="C1512" i="1"/>
  <c r="C1513" i="1"/>
  <c r="C1514" i="1"/>
  <c r="C1515" i="1"/>
  <c r="C1516" i="1"/>
  <c r="C1517" i="1"/>
  <c r="C1518" i="1"/>
  <c r="C1519" i="1"/>
  <c r="C1520" i="1"/>
  <c r="C1521" i="1"/>
  <c r="C1522" i="1"/>
  <c r="C1523" i="1"/>
  <c r="C1524" i="1"/>
  <c r="C1525" i="1"/>
  <c r="C1526" i="1"/>
  <c r="C1527" i="1"/>
  <c r="C1528" i="1"/>
  <c r="C1529" i="1"/>
  <c r="C1530" i="1"/>
  <c r="C1531" i="1"/>
  <c r="C1532" i="1"/>
  <c r="C1533" i="1"/>
  <c r="C1534" i="1"/>
  <c r="C1535" i="1"/>
  <c r="C1536" i="1"/>
  <c r="C1537" i="1"/>
  <c r="C1538" i="1"/>
  <c r="C1539" i="1"/>
  <c r="C1540" i="1"/>
  <c r="C1541" i="1"/>
  <c r="C1542" i="1"/>
  <c r="C1543" i="1"/>
  <c r="C1544" i="1"/>
  <c r="C1545" i="1"/>
  <c r="C1546" i="1"/>
  <c r="C1547" i="1"/>
  <c r="C1548" i="1"/>
  <c r="C1549" i="1"/>
  <c r="C1550" i="1"/>
  <c r="C1551" i="1"/>
  <c r="C1552" i="1"/>
  <c r="C1553" i="1"/>
  <c r="C1554" i="1"/>
  <c r="C1555" i="1"/>
  <c r="C1556" i="1"/>
  <c r="C1557" i="1"/>
  <c r="C1558" i="1"/>
  <c r="C1559" i="1"/>
  <c r="C1560" i="1"/>
  <c r="C1561" i="1"/>
  <c r="C1562" i="1"/>
  <c r="C1563" i="1"/>
  <c r="C1564" i="1"/>
  <c r="C1565" i="1"/>
  <c r="C1566" i="1"/>
  <c r="C1567" i="1"/>
  <c r="C1568" i="1"/>
  <c r="C1569" i="1"/>
  <c r="C1570" i="1"/>
  <c r="C1571" i="1"/>
  <c r="C1572" i="1"/>
  <c r="C1573" i="1"/>
  <c r="C1574" i="1"/>
  <c r="C1575" i="1"/>
  <c r="C1576" i="1"/>
  <c r="C1577" i="1"/>
  <c r="C1578" i="1"/>
  <c r="C1579" i="1"/>
  <c r="C1580" i="1"/>
  <c r="C1581" i="1"/>
  <c r="C1582" i="1"/>
  <c r="C1583" i="1"/>
  <c r="C1584" i="1"/>
  <c r="C1585" i="1"/>
  <c r="C1586" i="1"/>
  <c r="C1587" i="1"/>
  <c r="C1588" i="1"/>
  <c r="C1589" i="1"/>
  <c r="C1590" i="1"/>
  <c r="C1591" i="1"/>
  <c r="C1592" i="1"/>
  <c r="C1593" i="1"/>
  <c r="C1594" i="1"/>
  <c r="C1595" i="1"/>
  <c r="C1596" i="1"/>
  <c r="C1597" i="1"/>
  <c r="C1598" i="1"/>
  <c r="C1599" i="1"/>
  <c r="C1601" i="1"/>
  <c r="C1600" i="1"/>
  <c r="C1602" i="1"/>
  <c r="C1603" i="1"/>
  <c r="C1604" i="1"/>
  <c r="C1605" i="1"/>
  <c r="C1606" i="1"/>
  <c r="C1607" i="1"/>
  <c r="C1608" i="1"/>
  <c r="C1609" i="1"/>
  <c r="C1610" i="1"/>
  <c r="C1611" i="1"/>
  <c r="C1612" i="1"/>
  <c r="C1613" i="1"/>
  <c r="C1614" i="1"/>
  <c r="C1615" i="1"/>
  <c r="C1616" i="1"/>
  <c r="C1617" i="1"/>
  <c r="C1618" i="1"/>
  <c r="C1619" i="1"/>
  <c r="C1620" i="1"/>
  <c r="C1621" i="1"/>
  <c r="C1622" i="1"/>
  <c r="C1623" i="1"/>
  <c r="C1624" i="1"/>
  <c r="C1625" i="1"/>
  <c r="C1626" i="1"/>
  <c r="C1627" i="1"/>
  <c r="C1629" i="1"/>
  <c r="C1630" i="1"/>
  <c r="C1628" i="1"/>
  <c r="C1631" i="1"/>
  <c r="C1632" i="1"/>
  <c r="C1633" i="1"/>
  <c r="C1634" i="1"/>
  <c r="C1635" i="1"/>
  <c r="C1636" i="1"/>
  <c r="C1637" i="1"/>
  <c r="C1638" i="1"/>
  <c r="C1639" i="1"/>
  <c r="C1640" i="1"/>
  <c r="C1641" i="1"/>
  <c r="C1642" i="1"/>
  <c r="C1643" i="1"/>
  <c r="C1645" i="1"/>
  <c r="C1644" i="1"/>
  <c r="C1646" i="1"/>
  <c r="C1647" i="1"/>
  <c r="C1648" i="1"/>
  <c r="C1649" i="1"/>
  <c r="C1650" i="1"/>
  <c r="C1651" i="1"/>
  <c r="C1652" i="1"/>
  <c r="C1653" i="1"/>
  <c r="C1654" i="1"/>
  <c r="C1655" i="1"/>
  <c r="C1656" i="1"/>
  <c r="C1657" i="1"/>
  <c r="C1658" i="1"/>
  <c r="C1659" i="1"/>
  <c r="C1660" i="1"/>
  <c r="C1661" i="1"/>
  <c r="C1662" i="1"/>
  <c r="C1663" i="1"/>
  <c r="C1664" i="1"/>
  <c r="C1665" i="1"/>
  <c r="C1666" i="1"/>
  <c r="C1667" i="1"/>
  <c r="C1668" i="1"/>
  <c r="C1669" i="1"/>
  <c r="C1670" i="1"/>
  <c r="C1671" i="1"/>
  <c r="C1672" i="1"/>
  <c r="C1673" i="1"/>
  <c r="C1674" i="1"/>
  <c r="C1675" i="1"/>
  <c r="C1676" i="1"/>
  <c r="C1677" i="1"/>
  <c r="C1678" i="1"/>
  <c r="C1679" i="1"/>
  <c r="C1681" i="1"/>
  <c r="C1680" i="1"/>
  <c r="C1682" i="1"/>
  <c r="C1683" i="1"/>
  <c r="C1684" i="1"/>
  <c r="C1685" i="1"/>
  <c r="C1687" i="1"/>
  <c r="C1686" i="1"/>
  <c r="C1688" i="1"/>
  <c r="C1689" i="1"/>
  <c r="C1690" i="1"/>
  <c r="C1691" i="1"/>
  <c r="C1692" i="1"/>
  <c r="C1693" i="1"/>
  <c r="C1694" i="1"/>
  <c r="C1695" i="1"/>
  <c r="C1696" i="1"/>
  <c r="C1697" i="1"/>
  <c r="C1698" i="1"/>
  <c r="C1699" i="1"/>
  <c r="C1700" i="1"/>
  <c r="C1701" i="1"/>
  <c r="C1702" i="1"/>
  <c r="C1703" i="1"/>
  <c r="C1704" i="1"/>
  <c r="C1705" i="1"/>
  <c r="C1706" i="1"/>
  <c r="C1707" i="1"/>
  <c r="C1708" i="1"/>
  <c r="C1709" i="1"/>
  <c r="C1710" i="1"/>
  <c r="C1711" i="1"/>
  <c r="C1712" i="1"/>
  <c r="C1714" i="1"/>
  <c r="C1713" i="1"/>
  <c r="C1715" i="1"/>
  <c r="C1716" i="1"/>
  <c r="C1717" i="1"/>
  <c r="C1718" i="1"/>
  <c r="C1719" i="1"/>
  <c r="C1720" i="1"/>
  <c r="C1721" i="1"/>
  <c r="C1722" i="1"/>
  <c r="C1723" i="1"/>
  <c r="C1724" i="1"/>
  <c r="C1725" i="1"/>
  <c r="C1726" i="1"/>
  <c r="C1727" i="1"/>
  <c r="C1728" i="1"/>
  <c r="C1729" i="1"/>
  <c r="C1730" i="1"/>
  <c r="C1731" i="1"/>
  <c r="C1732" i="1"/>
  <c r="C1733" i="1"/>
  <c r="C1734" i="1"/>
  <c r="C1735" i="1"/>
  <c r="C1736" i="1"/>
  <c r="C1737" i="1"/>
  <c r="C1738" i="1"/>
  <c r="C1739" i="1"/>
  <c r="C1740" i="1"/>
  <c r="C1741" i="1"/>
  <c r="C1742" i="1"/>
  <c r="C1743" i="1"/>
  <c r="C1744" i="1"/>
  <c r="C1745" i="1"/>
  <c r="C1746" i="1"/>
  <c r="C1747" i="1"/>
  <c r="C1748" i="1"/>
  <c r="C1749" i="1"/>
  <c r="C1750" i="1"/>
  <c r="C1751" i="1"/>
  <c r="C1752" i="1"/>
  <c r="C1753" i="1"/>
  <c r="C1754" i="1"/>
  <c r="C1755" i="1"/>
  <c r="C1756" i="1"/>
  <c r="C1757" i="1"/>
  <c r="C1758" i="1"/>
  <c r="C1759" i="1"/>
  <c r="C1760" i="1"/>
  <c r="C1761" i="1"/>
  <c r="C1762" i="1"/>
  <c r="C1763" i="1"/>
  <c r="C1764" i="1"/>
  <c r="C1765" i="1"/>
  <c r="C1766" i="1"/>
  <c r="C1767" i="1"/>
  <c r="C1768" i="1"/>
  <c r="C1770" i="1"/>
  <c r="C1771" i="1"/>
  <c r="C1772" i="1"/>
  <c r="C1769" i="1"/>
  <c r="C1773" i="1"/>
  <c r="C1774" i="1"/>
  <c r="C1776" i="1"/>
  <c r="C1775" i="1"/>
  <c r="C1777" i="1"/>
  <c r="C1778" i="1"/>
  <c r="C1779" i="1"/>
  <c r="C1780" i="1"/>
  <c r="C1781" i="1"/>
  <c r="C1782" i="1"/>
  <c r="C1783" i="1"/>
  <c r="C1784" i="1"/>
  <c r="C1785" i="1"/>
  <c r="C1786" i="1"/>
  <c r="C1787" i="1"/>
  <c r="C1788" i="1"/>
  <c r="C1789" i="1"/>
  <c r="C1790" i="1"/>
  <c r="C1791" i="1"/>
  <c r="C1792" i="1"/>
  <c r="C1793" i="1"/>
  <c r="C1794" i="1"/>
  <c r="C1795" i="1"/>
  <c r="C1796" i="1"/>
  <c r="C1797" i="1"/>
  <c r="C1798" i="1"/>
  <c r="C1799" i="1"/>
  <c r="C1800" i="1"/>
  <c r="C1801" i="1"/>
  <c r="C1802" i="1"/>
  <c r="C1803" i="1"/>
  <c r="C1804" i="1"/>
  <c r="C1806" i="1"/>
  <c r="C1807" i="1"/>
  <c r="C1805" i="1"/>
  <c r="C1808" i="1"/>
  <c r="C1809" i="1"/>
  <c r="C1810" i="1"/>
  <c r="C1811" i="1"/>
  <c r="C1812" i="1"/>
  <c r="C1813" i="1"/>
  <c r="C1814" i="1"/>
  <c r="C1815" i="1"/>
  <c r="C1816" i="1"/>
  <c r="C1817" i="1"/>
  <c r="C1818" i="1"/>
  <c r="C1819" i="1"/>
  <c r="C1820" i="1"/>
  <c r="C1821" i="1"/>
  <c r="C1822" i="1"/>
  <c r="C1823" i="1"/>
  <c r="C1824" i="1"/>
  <c r="C1825" i="1"/>
  <c r="C1826" i="1"/>
  <c r="C1827" i="1"/>
  <c r="C1828" i="1"/>
  <c r="C1829" i="1"/>
  <c r="C1830" i="1"/>
  <c r="C1831" i="1"/>
  <c r="C1832" i="1"/>
  <c r="C1833" i="1"/>
  <c r="C1834" i="1"/>
  <c r="C1835" i="1"/>
  <c r="C1836" i="1"/>
  <c r="C1837" i="1"/>
  <c r="C1838" i="1"/>
  <c r="C1839" i="1"/>
  <c r="C1840" i="1"/>
  <c r="C1841" i="1"/>
  <c r="C1842" i="1"/>
  <c r="C1843" i="1"/>
  <c r="C1844" i="1"/>
  <c r="C1845" i="1"/>
  <c r="C1846" i="1"/>
  <c r="C1847" i="1"/>
  <c r="C1848" i="1"/>
  <c r="C1849" i="1"/>
  <c r="C1850" i="1"/>
  <c r="C1851" i="1"/>
  <c r="C1852" i="1"/>
  <c r="C1853" i="1"/>
  <c r="C1854" i="1"/>
  <c r="C1855" i="1"/>
  <c r="C1856" i="1"/>
  <c r="C1857" i="1"/>
  <c r="C1858" i="1"/>
  <c r="C1859" i="1"/>
  <c r="C1860" i="1"/>
  <c r="C1861" i="1"/>
  <c r="C1862" i="1"/>
  <c r="C1863" i="1"/>
  <c r="C1864" i="1"/>
  <c r="C1865" i="1"/>
  <c r="C1866" i="1"/>
  <c r="C1867" i="1"/>
  <c r="C1868" i="1"/>
  <c r="C1869" i="1"/>
  <c r="C1870" i="1"/>
  <c r="C1871" i="1"/>
  <c r="C1872" i="1"/>
  <c r="C1873" i="1"/>
  <c r="C1874" i="1"/>
  <c r="C1875" i="1"/>
  <c r="C1876" i="1"/>
  <c r="C1877" i="1"/>
  <c r="C1878" i="1"/>
  <c r="C1879" i="1"/>
  <c r="C1880" i="1"/>
  <c r="C1881" i="1"/>
  <c r="C1882" i="1"/>
  <c r="C1883" i="1"/>
  <c r="C1884" i="1"/>
  <c r="C1885" i="1"/>
  <c r="C1886" i="1"/>
  <c r="C1887" i="1"/>
  <c r="C1888" i="1"/>
  <c r="C1889" i="1"/>
  <c r="C1890" i="1"/>
  <c r="C1891" i="1"/>
  <c r="C1892" i="1"/>
  <c r="C1893" i="1"/>
  <c r="C1894" i="1"/>
  <c r="C1895" i="1"/>
  <c r="C1896" i="1"/>
  <c r="C1897" i="1"/>
  <c r="C1898" i="1"/>
  <c r="C1899" i="1"/>
  <c r="C1900" i="1"/>
  <c r="C1901" i="1"/>
  <c r="C1902" i="1"/>
  <c r="C1903" i="1"/>
  <c r="C1904" i="1"/>
  <c r="C1905" i="1"/>
  <c r="C1906" i="1"/>
  <c r="C1907" i="1"/>
  <c r="C1908" i="1"/>
  <c r="C1909" i="1"/>
  <c r="C1910" i="1"/>
  <c r="C1911" i="1"/>
  <c r="C1912" i="1"/>
  <c r="C1913" i="1"/>
  <c r="C1914" i="1"/>
  <c r="C1915" i="1"/>
  <c r="C1916" i="1"/>
  <c r="C1917" i="1"/>
  <c r="C1918" i="1"/>
  <c r="C1919" i="1"/>
  <c r="C1920" i="1"/>
  <c r="C1921" i="1"/>
  <c r="C1922" i="1"/>
  <c r="C1923" i="1"/>
  <c r="C1924" i="1"/>
  <c r="C1925" i="1"/>
  <c r="C1926" i="1"/>
  <c r="C1927" i="1"/>
  <c r="C1928" i="1"/>
  <c r="C1929" i="1"/>
  <c r="C1930" i="1"/>
  <c r="C1931" i="1"/>
  <c r="C1932" i="1"/>
  <c r="C1933" i="1"/>
  <c r="C1934" i="1"/>
  <c r="C1935" i="1"/>
  <c r="C1936" i="1"/>
  <c r="C1937" i="1"/>
  <c r="C1938" i="1"/>
  <c r="C1939" i="1"/>
  <c r="C1940" i="1"/>
  <c r="C1941" i="1"/>
  <c r="C1942" i="1"/>
  <c r="C1943" i="1"/>
  <c r="C1944" i="1"/>
  <c r="C1945" i="1"/>
  <c r="C1946" i="1"/>
  <c r="C1947" i="1"/>
  <c r="C1948" i="1"/>
  <c r="C1949" i="1"/>
  <c r="C1950" i="1"/>
  <c r="C1951" i="1"/>
  <c r="C1952" i="1"/>
  <c r="C1953" i="1"/>
  <c r="C1954" i="1"/>
  <c r="C1955" i="1"/>
  <c r="C1956" i="1"/>
  <c r="C1957" i="1"/>
  <c r="C1958" i="1"/>
  <c r="C1959" i="1"/>
  <c r="C1960" i="1"/>
  <c r="C1961" i="1"/>
  <c r="C1962" i="1"/>
  <c r="C1964" i="1"/>
  <c r="C1965" i="1"/>
  <c r="C1966" i="1"/>
  <c r="C1967" i="1"/>
  <c r="C1968" i="1"/>
  <c r="C1969" i="1"/>
  <c r="C1970" i="1"/>
  <c r="C1971" i="1"/>
  <c r="C1972" i="1"/>
  <c r="C1973" i="1"/>
  <c r="C1974" i="1"/>
  <c r="C1975" i="1"/>
  <c r="C1976" i="1"/>
  <c r="C1977" i="1"/>
  <c r="C1978" i="1"/>
  <c r="C1979" i="1"/>
  <c r="C1980" i="1"/>
  <c r="C1981" i="1"/>
  <c r="C1982" i="1"/>
  <c r="C1983" i="1"/>
  <c r="C1984" i="1"/>
  <c r="C1985" i="1"/>
  <c r="C1986" i="1"/>
  <c r="C1987" i="1"/>
  <c r="C1988" i="1"/>
  <c r="C1989" i="1"/>
  <c r="C1990" i="1"/>
  <c r="C1991" i="1"/>
  <c r="C1992" i="1"/>
  <c r="C1993" i="1"/>
  <c r="C1994" i="1"/>
  <c r="C1995" i="1"/>
  <c r="C1996" i="1"/>
  <c r="C1997" i="1"/>
  <c r="C1998" i="1"/>
  <c r="C1999" i="1"/>
  <c r="C2000" i="1"/>
  <c r="C2001" i="1"/>
  <c r="C2002" i="1"/>
  <c r="C2003" i="1"/>
  <c r="C2004" i="1"/>
  <c r="C2005" i="1"/>
  <c r="C2006" i="1"/>
  <c r="C2007" i="1"/>
  <c r="C2008" i="1"/>
  <c r="C2009" i="1"/>
  <c r="C2010" i="1"/>
  <c r="C2011" i="1"/>
  <c r="C2012" i="1"/>
  <c r="C2013" i="1"/>
  <c r="C2014" i="1"/>
  <c r="C2015" i="1"/>
  <c r="C2016" i="1"/>
  <c r="C2017" i="1"/>
  <c r="C2018" i="1"/>
  <c r="C2019" i="1"/>
  <c r="C2020" i="1"/>
  <c r="C2021" i="1"/>
  <c r="C2022" i="1"/>
  <c r="C2023" i="1"/>
  <c r="C2024" i="1"/>
  <c r="C2025" i="1"/>
  <c r="C2026" i="1"/>
  <c r="C2027" i="1"/>
  <c r="C2028" i="1"/>
  <c r="C2029" i="1"/>
  <c r="C2030" i="1"/>
  <c r="C2031" i="1"/>
  <c r="C2032" i="1"/>
  <c r="C2033" i="1"/>
  <c r="C2034" i="1"/>
  <c r="C2035" i="1"/>
  <c r="C2036" i="1"/>
  <c r="C2037" i="1"/>
  <c r="C2038" i="1"/>
  <c r="C2039" i="1"/>
  <c r="C2040" i="1"/>
  <c r="C2041" i="1"/>
  <c r="C2042" i="1"/>
  <c r="C2043" i="1"/>
  <c r="C2044" i="1"/>
  <c r="C2045" i="1"/>
  <c r="C2046" i="1"/>
  <c r="C2047" i="1"/>
  <c r="C2048" i="1"/>
  <c r="C2049" i="1"/>
  <c r="C2050" i="1"/>
  <c r="C2051" i="1"/>
  <c r="C2052" i="1"/>
  <c r="C2053" i="1"/>
  <c r="C2054" i="1"/>
  <c r="C2055" i="1"/>
  <c r="C2056" i="1"/>
  <c r="C2057" i="1"/>
  <c r="C2058" i="1"/>
  <c r="C2059" i="1"/>
  <c r="C2060" i="1"/>
  <c r="C2061" i="1"/>
  <c r="C2062" i="1"/>
  <c r="C2063" i="1"/>
  <c r="C2064" i="1"/>
  <c r="C2065" i="1"/>
  <c r="C2066" i="1"/>
  <c r="C2067" i="1"/>
  <c r="C2068" i="1"/>
  <c r="C2069" i="1"/>
  <c r="C2070" i="1"/>
  <c r="C2071" i="1"/>
  <c r="C2072" i="1"/>
  <c r="C2073" i="1"/>
  <c r="C2074" i="1"/>
  <c r="C2075" i="1"/>
  <c r="C2076" i="1"/>
  <c r="C2077" i="1"/>
  <c r="C2078" i="1"/>
  <c r="C2079" i="1"/>
  <c r="C2080" i="1"/>
  <c r="C2081" i="1"/>
  <c r="C2082" i="1"/>
  <c r="C2083" i="1"/>
  <c r="C2084" i="1"/>
  <c r="C2085" i="1"/>
  <c r="C2086" i="1"/>
  <c r="C2087" i="1"/>
  <c r="C2088" i="1"/>
  <c r="C2089" i="1"/>
  <c r="C2090" i="1"/>
  <c r="C2091" i="1"/>
  <c r="C2092" i="1"/>
  <c r="C2093" i="1"/>
  <c r="C2094" i="1"/>
  <c r="C2095" i="1"/>
  <c r="C2096" i="1"/>
  <c r="C2097" i="1"/>
  <c r="C2098" i="1"/>
  <c r="C2099" i="1"/>
  <c r="C2100" i="1"/>
  <c r="C2101" i="1"/>
  <c r="C2102" i="1"/>
  <c r="C2103" i="1"/>
  <c r="C2104" i="1"/>
  <c r="C2105" i="1"/>
  <c r="C2106" i="1"/>
  <c r="C2107" i="1"/>
  <c r="C2108" i="1"/>
  <c r="C2109" i="1"/>
  <c r="C2110" i="1"/>
  <c r="C2111" i="1"/>
  <c r="C2112" i="1"/>
  <c r="C2113" i="1"/>
  <c r="C2114" i="1"/>
  <c r="C2115" i="1"/>
  <c r="C2116" i="1"/>
  <c r="C2117" i="1"/>
  <c r="C2118" i="1"/>
  <c r="C2119" i="1"/>
  <c r="C2120" i="1"/>
  <c r="C2121" i="1"/>
  <c r="C2122" i="1"/>
  <c r="C2123" i="1"/>
  <c r="C2124" i="1"/>
  <c r="C2125" i="1"/>
  <c r="C2126" i="1"/>
  <c r="C2128" i="1"/>
  <c r="C2129" i="1"/>
  <c r="C2127" i="1"/>
  <c r="C2130" i="1"/>
  <c r="C2131" i="1"/>
  <c r="C2132" i="1"/>
  <c r="C2133" i="1"/>
  <c r="C2135" i="1"/>
  <c r="C2136" i="1"/>
  <c r="C2137" i="1"/>
  <c r="C2138" i="1"/>
  <c r="C2139" i="1"/>
  <c r="C2140" i="1"/>
  <c r="C2141" i="1"/>
  <c r="C2142" i="1"/>
  <c r="C2143" i="1"/>
  <c r="C2144" i="1"/>
  <c r="C2145" i="1"/>
  <c r="C2146" i="1"/>
  <c r="C2147" i="1"/>
  <c r="C2148" i="1"/>
  <c r="C2149" i="1"/>
  <c r="C2151" i="1"/>
  <c r="C2152" i="1"/>
  <c r="C2153" i="1"/>
  <c r="C2154" i="1"/>
  <c r="C2155" i="1"/>
  <c r="C2156" i="1"/>
  <c r="C2157" i="1"/>
  <c r="C2158" i="1"/>
  <c r="C2159" i="1"/>
  <c r="C2160" i="1"/>
  <c r="C2161" i="1"/>
  <c r="C2162" i="1"/>
  <c r="C2163" i="1"/>
  <c r="C2164" i="1"/>
  <c r="C2165" i="1"/>
  <c r="C2166" i="1"/>
  <c r="C2167" i="1"/>
  <c r="C2168" i="1"/>
  <c r="C2169" i="1"/>
  <c r="C2170" i="1"/>
  <c r="C2171" i="1"/>
  <c r="C2172" i="1"/>
  <c r="C2173" i="1"/>
  <c r="C2174" i="1"/>
  <c r="C2175" i="1"/>
  <c r="C2176" i="1"/>
  <c r="C2177" i="1"/>
  <c r="C2178" i="1"/>
  <c r="C2179" i="1"/>
  <c r="C2180" i="1"/>
  <c r="C2181" i="1"/>
  <c r="C2182" i="1"/>
  <c r="C2183" i="1"/>
  <c r="C2184" i="1"/>
  <c r="C2185" i="1"/>
  <c r="C2186" i="1"/>
  <c r="C2187" i="1"/>
  <c r="C2188" i="1"/>
  <c r="C2189" i="1"/>
  <c r="C2190" i="1"/>
  <c r="C2191" i="1"/>
  <c r="C2192" i="1"/>
  <c r="C2193" i="1"/>
  <c r="C2194" i="1"/>
  <c r="C2195" i="1"/>
  <c r="C2196" i="1"/>
  <c r="C2197" i="1"/>
  <c r="C2198" i="1"/>
  <c r="C2199" i="1"/>
  <c r="C2201" i="1"/>
  <c r="C2200" i="1"/>
  <c r="C2202" i="1"/>
  <c r="C2203" i="1"/>
  <c r="C2204" i="1"/>
  <c r="C2205" i="1"/>
  <c r="C2206" i="1"/>
  <c r="C2207" i="1"/>
  <c r="C2208" i="1"/>
  <c r="C2209" i="1"/>
  <c r="C2210" i="1"/>
  <c r="C2211" i="1"/>
  <c r="C2212" i="1"/>
  <c r="C2213" i="1"/>
  <c r="C2214" i="1"/>
  <c r="C2215" i="1"/>
  <c r="C2216" i="1"/>
  <c r="C2217" i="1"/>
  <c r="C2218" i="1"/>
  <c r="C2219" i="1"/>
  <c r="C2220" i="1"/>
  <c r="C2221" i="1"/>
  <c r="C2222" i="1"/>
  <c r="C2223" i="1"/>
  <c r="C2225" i="1"/>
  <c r="C2226" i="1"/>
  <c r="C2227" i="1"/>
  <c r="C2228" i="1"/>
  <c r="C2229" i="1"/>
  <c r="C2230" i="1"/>
  <c r="C2232" i="1"/>
  <c r="C2233" i="1"/>
  <c r="C2234" i="1"/>
  <c r="C2235" i="1"/>
  <c r="C2236" i="1"/>
  <c r="C2237" i="1"/>
  <c r="C2238" i="1"/>
  <c r="C2240" i="1"/>
  <c r="C2241" i="1"/>
  <c r="C2242" i="1"/>
  <c r="C2243" i="1"/>
  <c r="C2244" i="1"/>
  <c r="C2231" i="1"/>
  <c r="C2245" i="1"/>
  <c r="C2246" i="1"/>
  <c r="C2247" i="1"/>
  <c r="C2248" i="1"/>
  <c r="C2249" i="1"/>
  <c r="C2250" i="1"/>
  <c r="C2251" i="1"/>
  <c r="C2252" i="1"/>
  <c r="C2253" i="1"/>
  <c r="C2254" i="1"/>
  <c r="C2255" i="1"/>
  <c r="C2256" i="1"/>
  <c r="C2257" i="1"/>
  <c r="C2258" i="1"/>
  <c r="C2259" i="1"/>
  <c r="C2260" i="1"/>
  <c r="C2262" i="1"/>
  <c r="C2263" i="1"/>
  <c r="C2264" i="1"/>
  <c r="C2265" i="1"/>
  <c r="C2266" i="1"/>
  <c r="C2267" i="1"/>
  <c r="C2268" i="1"/>
  <c r="C2269" i="1"/>
  <c r="C2270" i="1"/>
  <c r="C2271" i="1"/>
  <c r="C2272" i="1"/>
  <c r="C2273" i="1"/>
  <c r="C2274" i="1"/>
  <c r="C2275" i="1"/>
  <c r="C2276" i="1"/>
  <c r="C2277" i="1"/>
  <c r="C2278" i="1"/>
  <c r="C2279" i="1"/>
  <c r="C2280" i="1"/>
  <c r="C2281" i="1"/>
  <c r="C2282" i="1"/>
  <c r="C2283" i="1"/>
  <c r="C2284" i="1"/>
  <c r="C2285" i="1"/>
  <c r="C2286" i="1"/>
  <c r="C2287" i="1"/>
  <c r="C2288" i="1"/>
  <c r="C2289" i="1"/>
  <c r="C2290" i="1"/>
  <c r="C2291" i="1"/>
  <c r="C2292" i="1"/>
  <c r="C2293" i="1"/>
  <c r="C2294" i="1"/>
  <c r="C2295" i="1"/>
  <c r="C2296" i="1"/>
  <c r="C2297" i="1"/>
  <c r="C2299" i="1"/>
  <c r="C2300" i="1"/>
  <c r="C2301" i="1"/>
  <c r="C2302" i="1"/>
  <c r="C2303" i="1"/>
  <c r="C2304" i="1"/>
  <c r="C2305" i="1"/>
  <c r="C2306" i="1"/>
  <c r="C2307" i="1"/>
  <c r="C2308" i="1"/>
  <c r="C2309" i="1"/>
  <c r="C2310" i="1"/>
  <c r="C2311" i="1"/>
  <c r="C2312" i="1"/>
  <c r="C2313" i="1"/>
  <c r="C2314" i="1"/>
  <c r="C2315" i="1"/>
  <c r="C2316" i="1"/>
  <c r="C2317" i="1"/>
  <c r="C2318" i="1"/>
  <c r="C2319" i="1"/>
  <c r="C2320" i="1"/>
  <c r="C2321" i="1"/>
  <c r="C2322" i="1"/>
  <c r="C2323" i="1"/>
  <c r="C2324" i="1"/>
  <c r="C2325" i="1"/>
  <c r="C2326" i="1"/>
  <c r="C2327" i="1"/>
  <c r="C2328" i="1"/>
  <c r="C2329" i="1"/>
  <c r="C2330" i="1"/>
  <c r="C2331" i="1"/>
  <c r="C2332" i="1"/>
  <c r="C2333" i="1"/>
  <c r="C2334" i="1"/>
  <c r="C2335" i="1"/>
  <c r="C2336" i="1"/>
  <c r="C2337" i="1"/>
  <c r="C2338" i="1"/>
  <c r="C2339" i="1"/>
  <c r="C2340" i="1"/>
  <c r="C2341" i="1"/>
  <c r="C2342" i="1"/>
  <c r="C2343" i="1"/>
  <c r="C2344" i="1"/>
  <c r="C2345" i="1"/>
  <c r="C2346" i="1"/>
  <c r="C2347" i="1"/>
  <c r="C2348" i="1"/>
  <c r="C2349" i="1"/>
  <c r="C2350" i="1"/>
  <c r="C2351" i="1"/>
  <c r="C2352" i="1"/>
  <c r="C2353" i="1"/>
  <c r="C2354" i="1"/>
  <c r="C2355" i="1"/>
  <c r="C2356" i="1"/>
  <c r="C2357" i="1"/>
  <c r="C2358" i="1"/>
  <c r="C2359" i="1"/>
  <c r="C2360" i="1"/>
  <c r="C2361" i="1"/>
  <c r="C2362" i="1"/>
  <c r="C2364" i="1"/>
  <c r="C2365" i="1"/>
  <c r="C2366" i="1"/>
  <c r="C2367" i="1"/>
  <c r="C2368" i="1"/>
  <c r="C2369" i="1"/>
  <c r="C2370" i="1"/>
  <c r="C2373" i="1"/>
  <c r="C2371" i="1"/>
  <c r="C2372" i="1"/>
  <c r="C2374" i="1"/>
  <c r="C2375" i="1"/>
  <c r="C2376" i="1"/>
  <c r="C2377" i="1"/>
  <c r="C2378" i="1"/>
  <c r="C2379" i="1"/>
  <c r="C2380" i="1"/>
  <c r="C2381" i="1"/>
  <c r="C2382" i="1"/>
  <c r="C2383" i="1"/>
  <c r="C2384" i="1"/>
  <c r="C2385" i="1"/>
  <c r="C2386" i="1"/>
  <c r="C2387" i="1"/>
  <c r="C2388" i="1"/>
  <c r="C2389" i="1"/>
  <c r="C2390" i="1"/>
  <c r="C2391" i="1"/>
  <c r="C2392" i="1"/>
  <c r="C2393" i="1"/>
  <c r="C2394" i="1"/>
  <c r="C2395" i="1"/>
  <c r="C2396" i="1"/>
  <c r="C2397" i="1"/>
  <c r="C2398" i="1"/>
  <c r="C2399" i="1"/>
  <c r="C2400" i="1"/>
  <c r="C2401" i="1"/>
  <c r="C2402" i="1"/>
  <c r="C2403" i="1"/>
  <c r="C2404" i="1"/>
  <c r="C2405" i="1"/>
  <c r="C2406" i="1"/>
  <c r="C2407" i="1"/>
  <c r="C2408" i="1"/>
  <c r="C2409" i="1"/>
  <c r="C2410" i="1"/>
  <c r="C2411" i="1"/>
  <c r="C2412" i="1"/>
  <c r="C2413" i="1"/>
  <c r="C2414" i="1"/>
  <c r="C2415" i="1"/>
  <c r="C2416" i="1"/>
  <c r="C2417" i="1"/>
  <c r="C2418" i="1"/>
  <c r="C2419" i="1"/>
  <c r="C2420" i="1"/>
  <c r="C2421" i="1"/>
  <c r="C2422" i="1"/>
  <c r="C2423" i="1"/>
  <c r="C2424" i="1"/>
  <c r="C2425" i="1"/>
  <c r="C2426" i="1"/>
  <c r="C2427" i="1"/>
  <c r="C2428" i="1"/>
  <c r="C2430" i="1"/>
  <c r="C2431" i="1"/>
  <c r="C2432" i="1"/>
  <c r="C2433" i="1"/>
  <c r="C2434" i="1"/>
  <c r="C2435" i="1"/>
  <c r="C2436" i="1"/>
  <c r="C2437" i="1"/>
  <c r="C2438" i="1"/>
  <c r="C2439" i="1"/>
  <c r="C2440" i="1"/>
  <c r="C2441" i="1"/>
  <c r="C2442" i="1"/>
  <c r="C2443" i="1"/>
  <c r="C2444" i="1"/>
  <c r="C2445" i="1"/>
  <c r="C2446" i="1"/>
  <c r="C2447" i="1"/>
  <c r="C2448" i="1"/>
  <c r="C2449" i="1"/>
  <c r="C2450" i="1"/>
  <c r="C2451" i="1"/>
  <c r="C2453" i="1"/>
  <c r="C2454" i="1"/>
  <c r="C2455" i="1"/>
  <c r="C2456" i="1"/>
  <c r="C2457" i="1"/>
  <c r="C2458" i="1"/>
  <c r="C2459" i="1"/>
  <c r="C2460" i="1"/>
  <c r="C2461" i="1"/>
  <c r="C2462" i="1"/>
  <c r="C2463" i="1"/>
  <c r="C2464" i="1"/>
  <c r="C2465" i="1"/>
  <c r="C2466" i="1"/>
  <c r="C2467" i="1"/>
  <c r="C2468" i="1"/>
  <c r="C2469" i="1"/>
  <c r="C2470" i="1"/>
  <c r="C2471" i="1"/>
  <c r="C2472" i="1"/>
  <c r="C2473" i="1"/>
  <c r="C2474" i="1"/>
  <c r="C2475" i="1"/>
  <c r="C2476" i="1"/>
  <c r="C2477" i="1"/>
  <c r="C2478" i="1"/>
  <c r="C2479" i="1"/>
  <c r="C2480" i="1"/>
  <c r="C2481" i="1"/>
  <c r="C2482" i="1"/>
  <c r="C2483" i="1"/>
  <c r="C2484" i="1"/>
  <c r="C2485" i="1"/>
  <c r="C2486" i="1"/>
  <c r="C2487" i="1"/>
  <c r="C2488" i="1"/>
  <c r="C2489" i="1"/>
  <c r="C2490" i="1"/>
  <c r="C2491" i="1"/>
  <c r="C2492" i="1"/>
  <c r="C2493" i="1"/>
  <c r="C2494" i="1"/>
  <c r="C2495" i="1"/>
  <c r="C2497" i="1"/>
  <c r="C2498" i="1"/>
  <c r="C2499" i="1"/>
  <c r="C2500" i="1"/>
  <c r="C2501" i="1"/>
  <c r="C2502" i="1"/>
  <c r="C2503" i="1"/>
  <c r="C2504" i="1"/>
  <c r="C2505" i="1"/>
  <c r="C2506" i="1"/>
  <c r="C2507" i="1"/>
  <c r="C2508" i="1"/>
  <c r="C2509" i="1"/>
  <c r="C2511" i="1"/>
  <c r="C2512" i="1"/>
  <c r="C2513" i="1"/>
  <c r="C2514" i="1"/>
  <c r="C2515" i="1"/>
  <c r="C2516" i="1"/>
  <c r="C2517" i="1"/>
  <c r="C2518" i="1"/>
  <c r="C2519" i="1"/>
  <c r="C2520" i="1"/>
  <c r="C2521" i="1"/>
  <c r="C2522" i="1"/>
  <c r="C2523" i="1"/>
  <c r="C2524" i="1"/>
  <c r="C2525" i="1"/>
  <c r="C2526" i="1"/>
  <c r="C2527" i="1"/>
  <c r="C2528" i="1"/>
  <c r="C2529" i="1"/>
  <c r="C2530" i="1"/>
  <c r="C2533" i="1"/>
  <c r="C2534" i="1"/>
  <c r="C2535" i="1"/>
  <c r="C2536" i="1"/>
  <c r="C2537" i="1"/>
  <c r="C2538" i="1"/>
  <c r="C2539" i="1"/>
  <c r="C2540" i="1"/>
  <c r="C2541" i="1"/>
  <c r="C2542" i="1"/>
  <c r="C2543" i="1"/>
  <c r="C2544" i="1"/>
  <c r="C2545" i="1"/>
  <c r="C2546" i="1"/>
  <c r="C2548" i="1"/>
  <c r="C2549" i="1"/>
  <c r="C2550" i="1"/>
  <c r="C2551" i="1"/>
  <c r="C2552" i="1"/>
  <c r="C2553" i="1"/>
  <c r="C2554" i="1"/>
  <c r="C2555" i="1"/>
  <c r="C2556" i="1"/>
  <c r="C2558" i="1"/>
  <c r="C2560" i="1"/>
  <c r="C2562" i="1"/>
  <c r="C2563" i="1"/>
  <c r="C2564" i="1"/>
  <c r="C2565" i="1"/>
  <c r="C2566" i="1"/>
  <c r="C2567" i="1"/>
  <c r="C2568" i="1"/>
  <c r="C2569" i="1"/>
  <c r="C2570" i="1"/>
  <c r="C2571" i="1"/>
  <c r="C2574" i="1"/>
  <c r="C2572" i="1"/>
  <c r="C2573" i="1"/>
  <c r="C2575" i="1"/>
  <c r="C2576" i="1"/>
  <c r="C2577" i="1"/>
  <c r="C2578" i="1"/>
  <c r="C2579" i="1"/>
  <c r="C2580" i="1"/>
  <c r="C2582" i="1"/>
  <c r="C2584" i="1"/>
  <c r="C2585" i="1"/>
  <c r="C2586" i="1"/>
  <c r="C2587" i="1"/>
  <c r="C2588" i="1"/>
  <c r="C2589" i="1"/>
  <c r="C2590" i="1"/>
  <c r="C2591" i="1"/>
  <c r="C2592" i="1"/>
  <c r="C2593" i="1"/>
  <c r="C2594" i="1"/>
  <c r="C2595" i="1"/>
  <c r="C2596" i="1"/>
  <c r="C2597" i="1"/>
  <c r="C2599" i="1"/>
  <c r="C2600" i="1"/>
  <c r="C2601" i="1"/>
  <c r="C2602" i="1"/>
  <c r="C2604" i="1"/>
  <c r="C2605" i="1"/>
  <c r="C2606" i="1"/>
  <c r="C2607" i="1"/>
  <c r="C2608" i="1"/>
  <c r="C2610" i="1"/>
  <c r="C2613" i="1"/>
  <c r="C2614" i="1"/>
  <c r="C2615" i="1"/>
  <c r="C2617" i="1"/>
  <c r="C2618" i="1"/>
  <c r="C2619" i="1"/>
  <c r="C2620" i="1"/>
  <c r="C2621" i="1"/>
  <c r="C2622" i="1"/>
  <c r="C2623" i="1"/>
  <c r="C2624" i="1"/>
  <c r="C2625" i="1"/>
  <c r="C2626" i="1"/>
  <c r="C2627" i="1"/>
  <c r="C2628" i="1"/>
  <c r="C2630" i="1"/>
  <c r="C2631" i="1"/>
  <c r="C2632" i="1"/>
  <c r="C2633" i="1"/>
  <c r="C2634" i="1"/>
  <c r="C2635" i="1"/>
  <c r="C2636" i="1"/>
  <c r="C2637" i="1"/>
  <c r="C2638" i="1"/>
  <c r="C2639" i="1"/>
  <c r="C2640" i="1"/>
  <c r="C2641" i="1"/>
  <c r="C2642" i="1"/>
  <c r="C2644" i="1"/>
  <c r="C2645" i="1"/>
  <c r="C2646" i="1"/>
  <c r="C2647" i="1"/>
  <c r="C2648" i="1"/>
  <c r="C2649" i="1"/>
  <c r="C2650" i="1"/>
  <c r="C2652" i="1"/>
  <c r="C2653" i="1"/>
  <c r="C2654" i="1"/>
  <c r="C2655" i="1"/>
  <c r="C2657" i="1"/>
  <c r="C2658" i="1"/>
  <c r="C2659" i="1"/>
  <c r="C2660" i="1"/>
  <c r="C2661" i="1"/>
  <c r="C2663" i="1"/>
  <c r="C2664" i="1"/>
  <c r="C2665" i="1"/>
  <c r="C2666" i="1"/>
  <c r="C2667" i="1"/>
  <c r="C2668" i="1"/>
  <c r="C2669" i="1"/>
  <c r="C2671" i="1"/>
  <c r="C2672" i="1"/>
  <c r="C2673" i="1"/>
  <c r="C2674" i="1"/>
  <c r="C2675" i="1"/>
  <c r="C2676" i="1"/>
  <c r="C2677" i="1"/>
  <c r="C2678" i="1"/>
  <c r="C2679" i="1"/>
  <c r="C2680" i="1"/>
  <c r="C2681" i="1"/>
  <c r="C2683" i="1"/>
  <c r="C2684" i="1"/>
  <c r="C2685" i="1"/>
  <c r="C2686" i="1"/>
  <c r="C2687" i="1"/>
  <c r="C2690" i="1"/>
  <c r="C2691" i="1"/>
  <c r="C2692" i="1"/>
  <c r="C2693" i="1"/>
  <c r="C2694" i="1"/>
  <c r="C2695" i="1"/>
  <c r="C2697" i="1"/>
  <c r="C2696" i="1"/>
  <c r="C2698" i="1"/>
  <c r="C2700" i="1"/>
  <c r="C2701" i="1"/>
  <c r="C2702" i="1"/>
  <c r="C2703" i="1"/>
  <c r="C2704" i="1"/>
  <c r="C2705" i="1"/>
  <c r="C2708" i="1"/>
  <c r="C2710" i="1"/>
  <c r="C2715" i="1"/>
  <c r="C2706" i="1"/>
  <c r="C2759" i="1"/>
  <c r="C2753" i="1"/>
  <c r="C2662" i="1"/>
  <c r="C2740" i="1"/>
  <c r="C2717" i="1"/>
  <c r="C2720" i="1"/>
  <c r="C2722" i="1"/>
  <c r="C2723" i="1"/>
  <c r="C2724" i="1"/>
  <c r="C2727" i="1"/>
  <c r="C2730" i="1"/>
  <c r="C2731" i="1"/>
  <c r="C2739" i="1"/>
  <c r="C2741" i="1"/>
  <c r="C2742" i="1"/>
  <c r="C2754" i="1"/>
  <c r="C2760" i="1"/>
  <c r="C2764" i="1"/>
  <c r="C2765" i="1"/>
  <c r="C2766" i="1"/>
  <c r="C2768" i="1"/>
  <c r="C2716" i="1"/>
  <c r="C2682" i="1"/>
  <c r="C2729" i="1"/>
  <c r="C1963" i="1"/>
  <c r="C2134" i="1"/>
  <c r="C2261" i="1"/>
  <c r="C2711" i="1"/>
  <c r="C2689" i="1"/>
  <c r="C2707" i="1"/>
  <c r="C2531" i="1"/>
  <c r="C2532" i="1"/>
  <c r="C2561" i="1"/>
  <c r="C2726" i="1"/>
  <c r="C2714" i="1"/>
  <c r="C2721" i="1"/>
  <c r="C2737" i="1"/>
  <c r="C2743" i="1"/>
  <c r="C2713" i="1"/>
  <c r="C2712" i="1"/>
  <c r="C2734" i="1"/>
  <c r="C2752" i="1"/>
  <c r="C2732" i="1"/>
  <c r="C2745" i="1"/>
  <c r="C2510" i="1"/>
  <c r="C2733" i="1"/>
  <c r="C2735" i="1"/>
  <c r="C2738" i="1"/>
  <c r="C2748" i="1"/>
  <c r="C2756" i="1"/>
  <c r="C2757" i="1"/>
  <c r="C2767" i="1"/>
  <c r="C2769" i="1"/>
  <c r="C2772" i="1"/>
  <c r="C2773" i="1"/>
  <c r="C2725" i="1"/>
  <c r="C2744" i="1"/>
  <c r="C2751" i="1"/>
  <c r="C2755" i="1"/>
  <c r="C2749" i="1"/>
  <c r="C2736" i="1"/>
  <c r="C2762" i="1"/>
  <c r="C2670" i="1"/>
  <c r="C2781" i="1"/>
  <c r="C2784" i="1"/>
  <c r="C2785" i="1"/>
  <c r="C2796" i="1"/>
  <c r="C2794" i="1"/>
  <c r="C2798" i="1"/>
  <c r="C2799" i="1"/>
  <c r="C2616" i="1"/>
  <c r="C2806" i="1"/>
  <c r="C2809" i="1"/>
  <c r="C2771" i="1"/>
  <c r="C2656" i="1"/>
  <c r="C2688" i="1"/>
  <c r="C1442" i="1"/>
  <c r="C2559" i="1"/>
  <c r="C2797" i="1"/>
  <c r="C2805" i="1"/>
  <c r="C2776" i="1"/>
  <c r="C2779" i="1"/>
  <c r="C2770" i="1"/>
  <c r="C2774" i="1"/>
  <c r="C2782" i="1"/>
  <c r="C2643" i="1"/>
  <c r="C2780" i="1"/>
  <c r="C2793" i="1"/>
  <c r="C2788" i="1"/>
  <c r="C2783" i="1"/>
  <c r="C2787" i="1"/>
  <c r="C2789" i="1"/>
  <c r="C2792" i="1"/>
  <c r="C2795" i="1"/>
  <c r="C2800" i="1"/>
  <c r="C2807" i="1"/>
  <c r="C2758" i="1"/>
  <c r="C2763" i="1"/>
  <c r="C2786" i="1"/>
  <c r="C2778" i="1"/>
  <c r="C2830" i="1"/>
  <c r="C2848" i="1"/>
  <c r="C2810" i="1"/>
  <c r="C2822" i="1"/>
  <c r="C2823" i="1"/>
  <c r="C2826" i="1"/>
  <c r="C2829" i="1"/>
  <c r="C2832" i="1"/>
  <c r="C2791" i="1"/>
  <c r="C2846" i="1"/>
  <c r="C2852" i="1"/>
  <c r="C2853" i="1"/>
  <c r="C2854" i="1"/>
  <c r="C2857" i="1"/>
  <c r="C2858" i="1"/>
  <c r="C2860" i="1"/>
  <c r="C2861" i="1"/>
  <c r="C2862" i="1"/>
  <c r="C2865" i="1"/>
  <c r="C2868" i="1"/>
  <c r="C2775" i="1"/>
  <c r="C2839" i="1"/>
  <c r="C2856" i="1"/>
  <c r="C2818" i="1"/>
  <c r="C2842" i="1"/>
  <c r="C2808" i="1"/>
  <c r="C2651" i="1"/>
  <c r="C2746" i="1"/>
  <c r="C2750" i="1"/>
  <c r="C2827" i="1"/>
  <c r="C2718" i="1"/>
  <c r="C2429" i="1"/>
  <c r="C2820" i="1"/>
  <c r="C2815" i="1"/>
  <c r="C2849" i="1"/>
  <c r="C2843" i="1"/>
  <c r="C2801" i="1"/>
  <c r="C2811" i="1"/>
  <c r="C2825" i="1"/>
  <c r="C2855" i="1"/>
  <c r="C2813" i="1"/>
  <c r="C2812" i="1"/>
  <c r="C2814" i="1"/>
  <c r="C2816" i="1"/>
  <c r="C2817" i="1"/>
  <c r="C2819" i="1"/>
  <c r="C2824" i="1"/>
  <c r="C2821" i="1"/>
  <c r="C2828" i="1"/>
  <c r="C2831" i="1"/>
  <c r="C2833" i="1"/>
  <c r="C2835" i="1"/>
  <c r="C2838" i="1"/>
  <c r="C2844" i="1"/>
  <c r="C2709" i="1"/>
  <c r="C2836" i="1"/>
  <c r="C2837" i="1"/>
  <c r="C2864" i="1"/>
  <c r="C2869" i="1"/>
  <c r="C2583" i="1"/>
  <c r="C2790" i="1"/>
  <c r="C2803" i="1"/>
  <c r="C2802" i="1"/>
  <c r="C2840" i="1"/>
  <c r="C2845" i="1"/>
  <c r="C2882" i="1"/>
  <c r="C2875" i="1"/>
  <c r="C2876" i="1"/>
  <c r="C2878" i="1"/>
  <c r="C2885" i="1"/>
  <c r="C2888" i="1"/>
  <c r="C2903" i="1"/>
  <c r="C2880" i="1"/>
  <c r="C2879" i="1"/>
  <c r="C2884" i="1"/>
  <c r="C2847" i="1"/>
  <c r="C2871" i="1"/>
  <c r="C2777" i="1"/>
  <c r="C2804" i="1"/>
  <c r="C2873" i="1"/>
  <c r="C2898" i="1"/>
  <c r="C2870" i="1"/>
  <c r="C2834" i="1"/>
  <c r="C2872" i="1"/>
  <c r="C2877" i="1"/>
  <c r="C2881" i="1"/>
  <c r="C2891" i="1"/>
  <c r="C2893" i="1"/>
  <c r="C2897" i="1"/>
  <c r="C2901" i="1"/>
  <c r="C2902" i="1"/>
  <c r="C2866" i="1"/>
  <c r="C2867" i="1"/>
  <c r="C2887" i="1"/>
  <c r="C2892" i="1"/>
  <c r="C2899" i="1"/>
  <c r="C2883" i="1"/>
  <c r="C2850" i="1"/>
  <c r="C2915" i="1"/>
  <c r="C2874" i="1"/>
  <c r="C2905" i="1"/>
  <c r="C2914" i="1"/>
  <c r="C2889" i="1"/>
  <c r="C2907" i="1"/>
  <c r="C2909" i="1"/>
  <c r="C2912" i="1"/>
  <c r="C2920" i="1"/>
  <c r="C2904" i="1"/>
  <c r="C2895" i="1"/>
  <c r="C2916" i="1"/>
  <c r="C2962" i="1"/>
  <c r="C2922" i="1"/>
  <c r="C2931" i="1"/>
  <c r="C2937" i="1"/>
  <c r="C2935" i="1"/>
  <c r="C2939" i="1"/>
  <c r="C2945" i="1"/>
  <c r="C2947" i="1"/>
  <c r="C2951" i="1"/>
  <c r="C2952" i="1"/>
  <c r="C2971" i="1"/>
  <c r="C2972" i="1"/>
  <c r="C2944" i="1"/>
  <c r="C2958" i="1"/>
  <c r="C2963" i="1"/>
  <c r="C2896" i="1"/>
  <c r="C2938" i="1"/>
  <c r="C2894" i="1"/>
  <c r="C2917" i="1"/>
  <c r="C2923" i="1"/>
  <c r="C2966" i="1"/>
  <c r="C2973" i="1"/>
  <c r="C2919" i="1"/>
  <c r="C2911" i="1"/>
  <c r="C2948" i="1"/>
  <c r="C2954" i="1"/>
  <c r="C2863" i="1"/>
  <c r="C2953" i="1"/>
  <c r="C2957" i="1"/>
  <c r="C2960" i="1"/>
  <c r="C2921" i="1"/>
  <c r="C2924" i="1"/>
  <c r="C2925" i="1"/>
  <c r="C2926" i="1"/>
  <c r="C2933" i="1"/>
  <c r="C2955" i="1"/>
  <c r="C2959" i="1"/>
  <c r="C2964" i="1"/>
  <c r="C2965" i="1"/>
  <c r="C2968" i="1"/>
  <c r="C2978" i="1"/>
  <c r="C2969" i="1"/>
  <c r="C2913" i="1"/>
  <c r="C2929" i="1"/>
  <c r="C2956" i="1"/>
  <c r="C2979" i="1"/>
  <c r="C2981" i="1"/>
  <c r="C2975" i="1"/>
  <c r="C2984" i="1"/>
  <c r="C2990" i="1"/>
  <c r="C2995" i="1"/>
  <c r="C2886" i="1"/>
  <c r="C2930" i="1"/>
  <c r="C2949" i="1"/>
  <c r="C2699" i="1"/>
  <c r="C2609" i="1"/>
  <c r="C2991" i="1"/>
  <c r="C2992" i="1"/>
  <c r="C2976" i="1"/>
  <c r="C2980" i="1"/>
  <c r="C2986" i="1"/>
  <c r="C2994" i="1"/>
  <c r="C2996" i="1"/>
  <c r="C3006" i="1"/>
  <c r="C3022" i="1"/>
  <c r="C3003" i="1"/>
  <c r="C3001" i="1"/>
  <c r="C3004" i="1"/>
  <c r="C3017" i="1"/>
  <c r="C3018" i="1"/>
  <c r="C2967" i="1"/>
  <c r="C3025" i="1"/>
  <c r="C2974" i="1"/>
  <c r="C2993" i="1"/>
  <c r="C3008" i="1"/>
  <c r="C2747" i="1"/>
  <c r="C2910" i="1"/>
  <c r="C2928" i="1"/>
  <c r="C2932" i="1"/>
  <c r="C2940" i="1"/>
  <c r="C2908" i="1"/>
  <c r="C2989" i="1"/>
  <c r="C2977" i="1"/>
  <c r="C2859" i="1"/>
  <c r="C2936" i="1"/>
  <c r="C2961" i="1"/>
  <c r="C3024" i="1"/>
  <c r="C3000" i="1"/>
  <c r="C3020" i="1"/>
  <c r="C3016" i="1"/>
  <c r="C2942" i="1"/>
  <c r="C2941" i="1"/>
  <c r="C2943" i="1"/>
  <c r="C2950" i="1"/>
  <c r="C2997" i="1"/>
  <c r="C3002" i="1"/>
  <c r="C3005" i="1"/>
  <c r="C3007" i="1"/>
  <c r="C3010" i="1"/>
  <c r="C3015" i="1"/>
  <c r="C3019" i="1"/>
  <c r="C3026" i="1"/>
  <c r="C3029" i="1"/>
  <c r="C2999" i="1"/>
  <c r="C3030" i="1"/>
  <c r="C3034" i="1"/>
  <c r="C2970" i="1"/>
  <c r="C3013" i="1"/>
  <c r="C2998" i="1"/>
  <c r="C3012" i="1"/>
  <c r="C3032" i="1"/>
  <c r="C3031" i="1"/>
  <c r="C3033" i="1"/>
  <c r="C3039" i="1"/>
  <c r="C3023" i="1"/>
  <c r="C3028" i="1"/>
  <c r="C3014" i="1"/>
  <c r="C3027" i="1"/>
  <c r="C3038" i="1"/>
  <c r="C3036" i="1"/>
  <c r="C2987" i="1"/>
  <c r="C2946" i="1"/>
  <c r="C3040" i="1"/>
  <c r="C3041" i="1"/>
  <c r="C3043" i="1"/>
  <c r="C3037" i="1"/>
  <c r="C3047" i="1"/>
  <c r="C3066" i="1"/>
  <c r="C3011" i="1"/>
  <c r="C3049" i="1"/>
  <c r="C3050" i="1"/>
  <c r="C3035" i="1"/>
  <c r="C3042" i="1"/>
  <c r="C2603" i="1"/>
  <c r="C3046" i="1"/>
  <c r="C3068" i="1"/>
  <c r="C3058" i="1"/>
  <c r="C3045" i="1"/>
  <c r="C3054" i="1"/>
  <c r="C3055" i="1"/>
  <c r="C3060" i="1"/>
  <c r="C3061" i="1"/>
  <c r="C3064" i="1"/>
  <c r="C3071" i="1"/>
  <c r="C3052" i="1"/>
  <c r="C2927" i="1"/>
  <c r="C2239" i="1"/>
  <c r="C3069" i="1"/>
  <c r="C2934" i="1"/>
  <c r="C2918" i="1"/>
  <c r="C3076" i="1"/>
  <c r="C3080" i="1"/>
  <c r="C3081" i="1"/>
  <c r="C3082" i="1"/>
  <c r="C3089" i="1"/>
  <c r="C3090" i="1"/>
  <c r="C3048" i="1"/>
  <c r="C3074" i="1"/>
  <c r="C3067" i="1"/>
  <c r="C3085" i="1"/>
  <c r="C3053" i="1"/>
  <c r="C3096" i="1"/>
  <c r="C3105" i="1"/>
  <c r="C2150" i="1"/>
  <c r="C2557" i="1"/>
  <c r="C2496" i="1"/>
  <c r="C2452" i="1"/>
  <c r="C2629" i="1"/>
  <c r="C2612" i="1"/>
  <c r="C2719" i="1"/>
  <c r="C2728" i="1"/>
  <c r="C2761" i="1"/>
  <c r="C2581" i="1"/>
  <c r="C2598" i="1"/>
  <c r="C2900" i="1"/>
  <c r="C2985" i="1"/>
  <c r="C2988" i="1"/>
  <c r="C3021" i="1"/>
  <c r="C3057" i="1"/>
  <c r="C3075" i="1"/>
  <c r="C3083" i="1"/>
  <c r="C3070" i="1"/>
  <c r="C3062" i="1"/>
  <c r="C3091" i="1"/>
  <c r="C3077" i="1"/>
  <c r="C3100" i="1"/>
  <c r="C3051" i="1"/>
  <c r="C3063" i="1"/>
  <c r="C3073" i="1"/>
  <c r="C3078" i="1"/>
  <c r="C3079" i="1"/>
  <c r="C3084" i="1"/>
  <c r="C3086" i="1"/>
  <c r="C3088" i="1"/>
  <c r="C3093" i="1"/>
  <c r="C3097" i="1"/>
  <c r="C3099" i="1"/>
  <c r="C3108" i="1"/>
  <c r="C2841" i="1"/>
  <c r="C3059" i="1"/>
  <c r="C3056" i="1"/>
  <c r="C3101" i="1"/>
  <c r="C3092" i="1"/>
  <c r="C3118" i="1"/>
  <c r="C3123" i="1"/>
  <c r="C3132" i="1"/>
  <c r="C3136" i="1"/>
  <c r="C3149" i="1"/>
  <c r="C3148" i="1"/>
  <c r="C3151" i="1"/>
  <c r="C3152" i="1"/>
  <c r="C3155" i="1"/>
  <c r="C3158" i="1"/>
  <c r="C3112" i="1"/>
  <c r="C3119" i="1"/>
  <c r="C3138" i="1"/>
  <c r="C2890" i="1"/>
  <c r="C3142" i="1"/>
  <c r="C3134" i="1"/>
  <c r="C3122" i="1"/>
  <c r="C3065" i="1"/>
  <c r="C3116" i="1"/>
  <c r="C3124" i="1"/>
  <c r="C3125" i="1"/>
  <c r="C3106" i="1"/>
  <c r="C3141" i="1"/>
  <c r="C3143" i="1"/>
  <c r="C3161" i="1"/>
  <c r="C3044" i="1"/>
  <c r="C3126" i="1"/>
  <c r="C2906" i="1"/>
  <c r="C3113" i="1"/>
  <c r="C3114" i="1"/>
  <c r="C3127" i="1"/>
  <c r="C3128" i="1"/>
  <c r="C3115" i="1"/>
  <c r="C3120" i="1"/>
  <c r="C3129" i="1"/>
  <c r="C3146" i="1"/>
  <c r="C3144" i="1"/>
  <c r="C3098" i="1"/>
  <c r="C2851" i="1"/>
  <c r="C2983" i="1"/>
  <c r="C3147" i="1"/>
  <c r="C3109" i="1"/>
  <c r="C3087" i="1"/>
  <c r="C3110" i="1"/>
  <c r="C3117" i="1"/>
  <c r="C3140" i="1"/>
  <c r="C3162" i="1"/>
  <c r="C3164" i="1"/>
  <c r="C3163" i="1"/>
  <c r="C3167" i="1"/>
  <c r="C3171" i="1"/>
  <c r="C3174" i="1"/>
  <c r="C3175" i="1"/>
  <c r="C3176" i="1"/>
  <c r="C3177" i="1"/>
  <c r="C3178" i="1"/>
  <c r="C3182" i="1"/>
  <c r="C3154" i="1"/>
  <c r="C3157" i="1"/>
  <c r="C3168" i="1"/>
  <c r="C3172" i="1"/>
  <c r="C3179" i="1"/>
  <c r="C3139" i="1"/>
  <c r="C3145" i="1"/>
  <c r="C3165" i="1"/>
  <c r="C3121" i="1"/>
  <c r="C3183" i="1"/>
  <c r="C3160" i="1"/>
  <c r="C3169" i="1"/>
  <c r="C3153" i="1"/>
  <c r="C3184" i="1"/>
  <c r="C3104" i="1"/>
  <c r="C3187" i="1"/>
  <c r="C3189" i="1"/>
  <c r="C3190" i="1"/>
  <c r="C3193" i="1"/>
  <c r="C3200" i="1"/>
  <c r="C3201" i="1"/>
  <c r="C3205" i="1"/>
  <c r="C3209" i="1"/>
  <c r="C3212" i="1"/>
  <c r="C3166" i="1"/>
  <c r="C3180" i="1"/>
  <c r="C3133" i="1"/>
  <c r="C3137" i="1"/>
  <c r="C3199" i="1"/>
  <c r="C3211" i="1"/>
  <c r="C2982" i="1"/>
  <c r="C3103" i="1"/>
  <c r="C3195" i="1"/>
  <c r="C3208" i="1"/>
  <c r="C3220" i="1"/>
  <c r="C3204" i="1"/>
  <c r="C3215" i="1"/>
  <c r="C3191" i="1"/>
  <c r="C3072" i="1"/>
  <c r="C3218" i="1"/>
  <c r="C3196" i="1"/>
  <c r="C3156" i="1"/>
  <c r="C3159" i="1"/>
  <c r="C3194" i="1"/>
  <c r="C3202" i="1"/>
  <c r="C3009" i="1"/>
  <c r="C3185" i="1"/>
  <c r="C3197" i="1"/>
  <c r="C3206" i="1"/>
  <c r="C3207" i="1"/>
  <c r="C3210" i="1"/>
  <c r="C3219" i="1"/>
  <c r="C3222" i="1"/>
  <c r="C3224" i="1"/>
  <c r="C3228" i="1"/>
  <c r="C3186" i="1"/>
  <c r="C3188" i="1"/>
  <c r="C3230" i="1"/>
  <c r="C3229" i="1"/>
  <c r="C3231" i="1"/>
  <c r="C3232" i="1"/>
  <c r="C3227" i="1"/>
  <c r="C3226" i="1"/>
  <c r="C3217" i="1"/>
  <c r="C3221" i="1"/>
  <c r="C3233" i="1"/>
  <c r="C3235" i="1"/>
  <c r="C3234" i="1"/>
  <c r="C3094" i="1"/>
  <c r="C3238" i="1"/>
  <c r="C3240" i="1"/>
  <c r="C3244" i="1"/>
  <c r="C3237" i="1"/>
  <c r="C3107" i="1"/>
  <c r="C3241" i="1"/>
  <c r="C3248" i="1"/>
  <c r="C3239" i="1"/>
  <c r="C3246" i="1"/>
  <c r="C3247" i="1"/>
  <c r="C3253" i="1"/>
  <c r="C3245" i="1"/>
  <c r="C3256" i="1"/>
  <c r="C3257" i="1"/>
  <c r="C3249" i="1"/>
  <c r="C3255" i="1"/>
  <c r="C3261" i="1"/>
  <c r="C3251" i="1"/>
  <c r="C3259" i="1"/>
  <c r="C3264" i="1"/>
  <c r="C3260" i="1"/>
  <c r="C3262" i="1"/>
  <c r="C3267" i="1"/>
  <c r="C3266" i="1"/>
  <c r="C3270" i="1"/>
  <c r="C3268" i="1"/>
  <c r="C3265" i="1"/>
  <c r="C3269" i="1"/>
  <c r="C3250" i="1"/>
  <c r="C3271" i="1"/>
  <c r="C3276" i="1"/>
  <c r="C3277" i="1"/>
  <c r="C3278" i="1"/>
  <c r="C3281" i="1"/>
  <c r="C3284" i="1"/>
  <c r="C3279" i="1"/>
  <c r="C3282" i="1"/>
  <c r="C3272" i="1"/>
  <c r="C3283" i="1"/>
  <c r="C3287" i="1"/>
  <c r="C3288" i="1"/>
  <c r="C3290" i="1"/>
  <c r="C3289" i="1"/>
  <c r="C3293" i="1"/>
  <c r="C3294" i="1"/>
  <c r="C3295" i="1"/>
  <c r="C3296" i="1"/>
  <c r="C3102" i="1"/>
  <c r="C3299" i="1"/>
  <c r="C3301" i="1"/>
  <c r="C3302" i="1"/>
  <c r="C3300" i="1"/>
  <c r="C3305" i="1"/>
  <c r="C3303" i="1"/>
  <c r="C3135" i="1"/>
  <c r="C3214" i="1"/>
  <c r="C3314" i="1"/>
  <c r="C3309" i="1"/>
  <c r="C3173" i="1"/>
  <c r="C3304" i="1"/>
  <c r="C3316" i="1"/>
  <c r="C3274" i="1"/>
  <c r="C3280" i="1"/>
  <c r="C3312" i="1"/>
  <c r="C3311" i="1"/>
  <c r="C3297" i="1"/>
  <c r="C3320" i="1"/>
  <c r="C3111" i="1"/>
  <c r="C3313" i="1"/>
  <c r="C3321" i="1"/>
  <c r="C3243" i="1"/>
  <c r="C3315" i="1"/>
  <c r="C3324" i="1"/>
  <c r="C3329" i="1"/>
  <c r="C3327" i="1"/>
  <c r="C3328" i="1"/>
  <c r="C3330" i="1"/>
  <c r="C3331" i="1"/>
  <c r="C3291" i="1"/>
  <c r="C3308" i="1"/>
  <c r="C3332" i="1"/>
  <c r="C3334" i="1"/>
  <c r="C3130" i="1"/>
  <c r="C3335" i="1"/>
  <c r="C3336" i="1"/>
  <c r="C3338" i="1"/>
  <c r="C3340" i="1"/>
  <c r="C3343" i="1"/>
  <c r="C3347" i="1"/>
  <c r="C3344" i="1"/>
  <c r="C3346" i="1"/>
  <c r="C3350" i="1"/>
  <c r="C3351" i="1"/>
  <c r="C3348" i="1"/>
  <c r="C3352" i="1"/>
  <c r="C3345" i="1"/>
  <c r="C3342" i="1"/>
  <c r="C3357" i="1"/>
  <c r="C3353" i="1"/>
  <c r="C3258" i="1"/>
  <c r="C3358" i="1"/>
  <c r="C3360" i="1"/>
  <c r="C3361" i="1"/>
  <c r="C3325" i="1"/>
  <c r="C3356" i="1"/>
  <c r="C3362" i="1"/>
  <c r="C3363" i="1"/>
  <c r="C3225" i="1"/>
  <c r="C3366" i="1"/>
  <c r="C3339" i="1"/>
  <c r="C3273" i="1"/>
  <c r="C3367" i="1"/>
  <c r="C3370" i="1"/>
  <c r="C3323" i="1"/>
  <c r="C3372" i="1"/>
  <c r="C3371" i="1"/>
  <c r="C2298" i="1"/>
  <c r="C2547" i="1"/>
  <c r="C2363" i="1"/>
  <c r="C2611" i="1"/>
  <c r="C3095" i="1"/>
  <c r="C3131" i="1"/>
  <c r="C3170" i="1"/>
  <c r="C3216" i="1"/>
  <c r="C3355" i="1"/>
  <c r="C3376" i="1"/>
  <c r="C3377" i="1"/>
  <c r="C3373" i="1"/>
  <c r="C2" i="1"/>
  <c r="B7088" i="2"/>
  <c r="B5959" i="2" l="1"/>
  <c r="B5960" i="2"/>
  <c r="G3373" i="1" l="1"/>
  <c r="B1448" i="2" l="1"/>
  <c r="B1449" i="2"/>
  <c r="B1450" i="2"/>
  <c r="B1451" i="2"/>
  <c r="B1452" i="2"/>
  <c r="B2847" i="2" l="1"/>
  <c r="B2844" i="2"/>
  <c r="B2845" i="2"/>
  <c r="B2846" i="2"/>
  <c r="B2861" i="2"/>
  <c r="G3377" i="1" l="1"/>
  <c r="G3376" i="1" l="1"/>
  <c r="G3355" i="1" l="1"/>
  <c r="G3216" i="1" l="1"/>
  <c r="G3170" i="1"/>
  <c r="B2860" i="2"/>
  <c r="B2859" i="2"/>
  <c r="G3131" i="1"/>
  <c r="G3095" i="1"/>
  <c r="G2611" i="1"/>
  <c r="B2855" i="2"/>
  <c r="B2856" i="2"/>
  <c r="B2857" i="2"/>
  <c r="G2547" i="1"/>
  <c r="G2363" i="1"/>
  <c r="B2858" i="2"/>
  <c r="B2854" i="2"/>
  <c r="G2298" i="1"/>
  <c r="G3371" i="1" l="1"/>
  <c r="G3372" i="1" l="1"/>
  <c r="G3323" i="1" l="1"/>
  <c r="B658" i="2"/>
  <c r="B659" i="2"/>
  <c r="B660" i="2"/>
  <c r="B661" i="2"/>
  <c r="B1584" i="2" l="1"/>
  <c r="B1585" i="2"/>
  <c r="B1576" i="2"/>
  <c r="B1577" i="2"/>
  <c r="B1578" i="2"/>
  <c r="B1579" i="2"/>
  <c r="B1580" i="2"/>
  <c r="B1581" i="2"/>
  <c r="B1582" i="2"/>
  <c r="B1583" i="2"/>
  <c r="G3370" i="1" l="1"/>
  <c r="G2786" i="1"/>
  <c r="G2639" i="1"/>
  <c r="G2758" i="1"/>
  <c r="G2642" i="1"/>
  <c r="G2373" i="1"/>
  <c r="G2179" i="1"/>
  <c r="G1713" i="1"/>
  <c r="G2231" i="1"/>
  <c r="G28" i="1"/>
  <c r="G1304" i="1"/>
  <c r="G2807" i="1"/>
  <c r="G2787" i="1"/>
  <c r="G2569" i="1"/>
  <c r="G2200" i="1"/>
  <c r="G2166" i="1"/>
  <c r="B5957" i="2"/>
  <c r="B5958" i="2"/>
  <c r="G3367" i="1"/>
  <c r="B2841" i="2"/>
  <c r="B2842" i="2"/>
  <c r="B2843" i="2"/>
  <c r="G3273" i="1"/>
  <c r="G3339" i="1"/>
  <c r="B5956" i="2"/>
  <c r="B5955" i="2"/>
  <c r="B5954" i="2"/>
  <c r="B5953" i="2"/>
  <c r="B5951" i="2"/>
  <c r="B5952" i="2"/>
  <c r="G3198" i="1"/>
  <c r="G2127" i="1"/>
  <c r="G2018" i="1"/>
  <c r="G1686" i="1"/>
  <c r="G1014" i="1"/>
  <c r="G638" i="1"/>
  <c r="B2822" i="2"/>
  <c r="B2848" i="2"/>
  <c r="G3225" i="1"/>
  <c r="G2747" i="1"/>
  <c r="G2782" i="1"/>
  <c r="G2774" i="1"/>
  <c r="G3363" i="1"/>
  <c r="G3362" i="1"/>
  <c r="B7392" i="2"/>
  <c r="B7391" i="2"/>
  <c r="B7390" i="2"/>
  <c r="B7389" i="2"/>
  <c r="B7388" i="2"/>
  <c r="B7387" i="2"/>
  <c r="B5950" i="2"/>
  <c r="B5949" i="2"/>
  <c r="B6751" i="2"/>
  <c r="B6752" i="2"/>
  <c r="B6750" i="2"/>
  <c r="G3356" i="1"/>
  <c r="G3325" i="1"/>
  <c r="G3361" i="1"/>
  <c r="G3360" i="1"/>
  <c r="G3358" i="1"/>
  <c r="G3258" i="1"/>
  <c r="G3353" i="1"/>
  <c r="G3359" i="1"/>
  <c r="G3357" i="1"/>
  <c r="B5084" i="2"/>
  <c r="B5083" i="2"/>
  <c r="B759" i="2"/>
  <c r="G3112" i="1"/>
  <c r="G3342" i="1"/>
  <c r="G3345" i="1"/>
  <c r="G3352" i="1"/>
  <c r="G3348" i="1"/>
  <c r="G3351" i="1"/>
  <c r="G3350" i="1"/>
  <c r="G3346" i="1"/>
  <c r="G3344" i="1"/>
  <c r="G3347" i="1"/>
  <c r="G3343" i="1"/>
  <c r="G3340" i="1"/>
  <c r="G3338" i="1"/>
  <c r="G2718" i="1"/>
  <c r="G2559" i="1"/>
  <c r="G3335" i="1"/>
  <c r="G2806" i="1"/>
  <c r="G2785" i="1"/>
  <c r="B5082" i="2"/>
  <c r="G3130" i="1"/>
  <c r="AH3334" i="1"/>
  <c r="G3334" i="1"/>
  <c r="AH3332" i="1"/>
  <c r="G3332" i="1"/>
  <c r="G3313" i="1"/>
  <c r="G3308" i="1"/>
  <c r="G3291" i="1"/>
  <c r="G3331" i="1"/>
  <c r="G3330" i="1"/>
  <c r="G3328" i="1"/>
  <c r="G3327" i="1"/>
  <c r="G3329" i="1"/>
  <c r="G3324" i="1"/>
  <c r="G3315" i="1"/>
  <c r="B5948" i="2"/>
  <c r="G3243" i="1"/>
  <c r="G3321" i="1"/>
  <c r="G3111" i="1"/>
  <c r="AH3320" i="1"/>
  <c r="G3320" i="1"/>
  <c r="G3297" i="1"/>
  <c r="AH3311" i="1"/>
  <c r="G3311" i="1"/>
  <c r="AH3312" i="1"/>
  <c r="G3312" i="1"/>
  <c r="G3280" i="1"/>
  <c r="AH3274" i="1"/>
  <c r="G3274" i="1"/>
  <c r="AH3316" i="1"/>
  <c r="G3316" i="1"/>
  <c r="AH3317" i="1"/>
  <c r="G3317" i="1"/>
  <c r="AH3304" i="1"/>
  <c r="G3304" i="1"/>
  <c r="G3173" i="1"/>
  <c r="G3309" i="1"/>
  <c r="G3310" i="1"/>
  <c r="AH3310" i="1"/>
  <c r="G3314" i="1"/>
  <c r="G3214" i="1"/>
  <c r="AH3244" i="1"/>
  <c r="AH3238" i="1"/>
  <c r="AH3240" i="1"/>
  <c r="G3135" i="1"/>
  <c r="B2033" i="2"/>
  <c r="AH3303" i="1"/>
  <c r="G3303" i="1"/>
  <c r="AH3275" i="1"/>
  <c r="G3275" i="1"/>
  <c r="AH3307" i="1"/>
  <c r="G3307" i="1"/>
  <c r="AH3305" i="1"/>
  <c r="G3305" i="1"/>
  <c r="AH3300" i="1"/>
  <c r="G3300" i="1"/>
  <c r="AH3302" i="1"/>
  <c r="G3302" i="1"/>
  <c r="AH3299" i="1"/>
  <c r="AH3298" i="1"/>
  <c r="G3301" i="1"/>
  <c r="G3299" i="1"/>
  <c r="G3298" i="1"/>
  <c r="G3102" i="1"/>
  <c r="G2" i="1"/>
  <c r="G3" i="1"/>
  <c r="G4" i="1"/>
  <c r="G5" i="1"/>
  <c r="G6" i="1"/>
  <c r="G7" i="1"/>
  <c r="G8" i="1"/>
  <c r="G9" i="1"/>
  <c r="G10" i="1"/>
  <c r="G11" i="1"/>
  <c r="G12" i="1"/>
  <c r="G13" i="1"/>
  <c r="G14" i="1"/>
  <c r="G15" i="1"/>
  <c r="G16" i="1"/>
  <c r="G17" i="1"/>
  <c r="G18" i="1"/>
  <c r="G19" i="1"/>
  <c r="G20" i="1"/>
  <c r="G21" i="1"/>
  <c r="G22" i="1"/>
  <c r="G23" i="1"/>
  <c r="G24" i="1"/>
  <c r="G25" i="1"/>
  <c r="G26" i="1"/>
  <c r="G27"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4" i="1"/>
  <c r="G295" i="1"/>
  <c r="G293"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9" i="1"/>
  <c r="G478"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9"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6" i="1"/>
  <c r="G671" i="1"/>
  <c r="G672" i="1"/>
  <c r="G673" i="1"/>
  <c r="G674" i="1"/>
  <c r="G675"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0"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9" i="1"/>
  <c r="G987" i="1"/>
  <c r="G988" i="1"/>
  <c r="G990" i="1"/>
  <c r="G991" i="1"/>
  <c r="G992" i="1"/>
  <c r="G993" i="1"/>
  <c r="G994" i="1"/>
  <c r="G995" i="1"/>
  <c r="G996" i="1"/>
  <c r="G997" i="1"/>
  <c r="G998" i="1"/>
  <c r="G999" i="1"/>
  <c r="G1000" i="1"/>
  <c r="G1001" i="1"/>
  <c r="G1002" i="1"/>
  <c r="G1003" i="1"/>
  <c r="G1004" i="1"/>
  <c r="G1005" i="1"/>
  <c r="G1006" i="1"/>
  <c r="G1007" i="1"/>
  <c r="G1008" i="1"/>
  <c r="G1009" i="1"/>
  <c r="G1010" i="1"/>
  <c r="G1011" i="1"/>
  <c r="G1012" i="1"/>
  <c r="G1013" i="1"/>
  <c r="G1015" i="1"/>
  <c r="G1016" i="1"/>
  <c r="G1017" i="1"/>
  <c r="G1018" i="1"/>
  <c r="G1019" i="1"/>
  <c r="G1020" i="1"/>
  <c r="G1021" i="1"/>
  <c r="G1022" i="1"/>
  <c r="G1023" i="1"/>
  <c r="G1024" i="1"/>
  <c r="G1025" i="1"/>
  <c r="G1026" i="1"/>
  <c r="G1027" i="1"/>
  <c r="G1028" i="1"/>
  <c r="G1029" i="1"/>
  <c r="G1030" i="1"/>
  <c r="G1031" i="1"/>
  <c r="G1032" i="1"/>
  <c r="G1033" i="1"/>
  <c r="G1034" i="1"/>
  <c r="G1035" i="1"/>
  <c r="G1036" i="1"/>
  <c r="G1037" i="1"/>
  <c r="G1038" i="1"/>
  <c r="G1039" i="1"/>
  <c r="G1040" i="1"/>
  <c r="G1041" i="1"/>
  <c r="G1042" i="1"/>
  <c r="G1043" i="1"/>
  <c r="G1044" i="1"/>
  <c r="G1045" i="1"/>
  <c r="G1046" i="1"/>
  <c r="G1047" i="1"/>
  <c r="G1048" i="1"/>
  <c r="G1049" i="1"/>
  <c r="G1050" i="1"/>
  <c r="G1051" i="1"/>
  <c r="G1052" i="1"/>
  <c r="G1053" i="1"/>
  <c r="G1054" i="1"/>
  <c r="G1055" i="1"/>
  <c r="G1056" i="1"/>
  <c r="G1057" i="1"/>
  <c r="G1058" i="1"/>
  <c r="G1059" i="1"/>
  <c r="G1060" i="1"/>
  <c r="G1061" i="1"/>
  <c r="G1062" i="1"/>
  <c r="G1063" i="1"/>
  <c r="G1064" i="1"/>
  <c r="G1065" i="1"/>
  <c r="G1066" i="1"/>
  <c r="G1067" i="1"/>
  <c r="G1068" i="1"/>
  <c r="G1069" i="1"/>
  <c r="G1070" i="1"/>
  <c r="G1071" i="1"/>
  <c r="G1072" i="1"/>
  <c r="G1073" i="1"/>
  <c r="G1074" i="1"/>
  <c r="G1075" i="1"/>
  <c r="G1076" i="1"/>
  <c r="G1077" i="1"/>
  <c r="G1078" i="1"/>
  <c r="G1079" i="1"/>
  <c r="G1080" i="1"/>
  <c r="G1081" i="1"/>
  <c r="G1082" i="1"/>
  <c r="G1083" i="1"/>
  <c r="G1084" i="1"/>
  <c r="G1085" i="1"/>
  <c r="G1086" i="1"/>
  <c r="G1087" i="1"/>
  <c r="G1088" i="1"/>
  <c r="G1089" i="1"/>
  <c r="G1090" i="1"/>
  <c r="G1091" i="1"/>
  <c r="G1092" i="1"/>
  <c r="G1093" i="1"/>
  <c r="G1094" i="1"/>
  <c r="G1095" i="1"/>
  <c r="G1096" i="1"/>
  <c r="G1097" i="1"/>
  <c r="G1098" i="1"/>
  <c r="G1099" i="1"/>
  <c r="G1100" i="1"/>
  <c r="G1101" i="1"/>
  <c r="G1102" i="1"/>
  <c r="G1103" i="1"/>
  <c r="G1104" i="1"/>
  <c r="G1105" i="1"/>
  <c r="G1106" i="1"/>
  <c r="G1107" i="1"/>
  <c r="G1108" i="1"/>
  <c r="G1109" i="1"/>
  <c r="G1110" i="1"/>
  <c r="G1111" i="1"/>
  <c r="G1112" i="1"/>
  <c r="G1113" i="1"/>
  <c r="G1114" i="1"/>
  <c r="G1115" i="1"/>
  <c r="G1116" i="1"/>
  <c r="G1117" i="1"/>
  <c r="G1118" i="1"/>
  <c r="G1119" i="1"/>
  <c r="G1120" i="1"/>
  <c r="G1121" i="1"/>
  <c r="G1122" i="1"/>
  <c r="G1123" i="1"/>
  <c r="G1124" i="1"/>
  <c r="G1125" i="1"/>
  <c r="G1126" i="1"/>
  <c r="G1127" i="1"/>
  <c r="G1128" i="1"/>
  <c r="G1129" i="1"/>
  <c r="G1130" i="1"/>
  <c r="G1131" i="1"/>
  <c r="G1132" i="1"/>
  <c r="G1133" i="1"/>
  <c r="G1134" i="1"/>
  <c r="G1135" i="1"/>
  <c r="G1136" i="1"/>
  <c r="G1137" i="1"/>
  <c r="G1138" i="1"/>
  <c r="G1139" i="1"/>
  <c r="G1140" i="1"/>
  <c r="G1141" i="1"/>
  <c r="G1142" i="1"/>
  <c r="G1143" i="1"/>
  <c r="G1144" i="1"/>
  <c r="G1145" i="1"/>
  <c r="G1146" i="1"/>
  <c r="G1147" i="1"/>
  <c r="G1148" i="1"/>
  <c r="G1149" i="1"/>
  <c r="G1150" i="1"/>
  <c r="G1151" i="1"/>
  <c r="G1152" i="1"/>
  <c r="G1153" i="1"/>
  <c r="G1154" i="1"/>
  <c r="G1155" i="1"/>
  <c r="G1156" i="1"/>
  <c r="G1157" i="1"/>
  <c r="G1158" i="1"/>
  <c r="G1159" i="1"/>
  <c r="G1160" i="1"/>
  <c r="G1161" i="1"/>
  <c r="G1162" i="1"/>
  <c r="G1163" i="1"/>
  <c r="G1164" i="1"/>
  <c r="G1165" i="1"/>
  <c r="G1166" i="1"/>
  <c r="G1167" i="1"/>
  <c r="G1168" i="1"/>
  <c r="G1169" i="1"/>
  <c r="G1170" i="1"/>
  <c r="G1171" i="1"/>
  <c r="G1172" i="1"/>
  <c r="G1173" i="1"/>
  <c r="G1174" i="1"/>
  <c r="G1175" i="1"/>
  <c r="G1176" i="1"/>
  <c r="G1177" i="1"/>
  <c r="G1178" i="1"/>
  <c r="G1179" i="1"/>
  <c r="G1180" i="1"/>
  <c r="G1181" i="1"/>
  <c r="G1182" i="1"/>
  <c r="G1183" i="1"/>
  <c r="G1184" i="1"/>
  <c r="G1185" i="1"/>
  <c r="G1186" i="1"/>
  <c r="G1187" i="1"/>
  <c r="G1188" i="1"/>
  <c r="G1189" i="1"/>
  <c r="G1190" i="1"/>
  <c r="G1191" i="1"/>
  <c r="G1192" i="1"/>
  <c r="G1193" i="1"/>
  <c r="G1194" i="1"/>
  <c r="G1195" i="1"/>
  <c r="G1196" i="1"/>
  <c r="G1197" i="1"/>
  <c r="G1198" i="1"/>
  <c r="G1199" i="1"/>
  <c r="G1200" i="1"/>
  <c r="G1201" i="1"/>
  <c r="G1202" i="1"/>
  <c r="G1203" i="1"/>
  <c r="G1204" i="1"/>
  <c r="G1205" i="1"/>
  <c r="G1206" i="1"/>
  <c r="G1207" i="1"/>
  <c r="G1208" i="1"/>
  <c r="G1209" i="1"/>
  <c r="G1210" i="1"/>
  <c r="G1211" i="1"/>
  <c r="G1212" i="1"/>
  <c r="G1213" i="1"/>
  <c r="G1214" i="1"/>
  <c r="G1215" i="1"/>
  <c r="G1216" i="1"/>
  <c r="G1217" i="1"/>
  <c r="G1218" i="1"/>
  <c r="G1219" i="1"/>
  <c r="G1220" i="1"/>
  <c r="G1221" i="1"/>
  <c r="G1222" i="1"/>
  <c r="G1223" i="1"/>
  <c r="G1224" i="1"/>
  <c r="G1225" i="1"/>
  <c r="G1228" i="1"/>
  <c r="G1226" i="1"/>
  <c r="G1227" i="1"/>
  <c r="G1229" i="1"/>
  <c r="G1230" i="1"/>
  <c r="G1231" i="1"/>
  <c r="G1232" i="1"/>
  <c r="G1233" i="1"/>
  <c r="G1234" i="1"/>
  <c r="G1235" i="1"/>
  <c r="G1236" i="1"/>
  <c r="G1237" i="1"/>
  <c r="G1238" i="1"/>
  <c r="G1239" i="1"/>
  <c r="G1240" i="1"/>
  <c r="G1241" i="1"/>
  <c r="G1242" i="1"/>
  <c r="G1243" i="1"/>
  <c r="G1244" i="1"/>
  <c r="G1245" i="1"/>
  <c r="G1246" i="1"/>
  <c r="G1247" i="1"/>
  <c r="G1248" i="1"/>
  <c r="G1249" i="1"/>
  <c r="G1250" i="1"/>
  <c r="G1251" i="1"/>
  <c r="G1252" i="1"/>
  <c r="G1253" i="1"/>
  <c r="G1254" i="1"/>
  <c r="G1255" i="1"/>
  <c r="G1256" i="1"/>
  <c r="G1257" i="1"/>
  <c r="G1258" i="1"/>
  <c r="G1259" i="1"/>
  <c r="G1260" i="1"/>
  <c r="G1261" i="1"/>
  <c r="G1262" i="1"/>
  <c r="G1263" i="1"/>
  <c r="G1264" i="1"/>
  <c r="G1265" i="1"/>
  <c r="G1266" i="1"/>
  <c r="G1267" i="1"/>
  <c r="G1268" i="1"/>
  <c r="G1269" i="1"/>
  <c r="G1270" i="1"/>
  <c r="G1271" i="1"/>
  <c r="G1272" i="1"/>
  <c r="G1273" i="1"/>
  <c r="G1274" i="1"/>
  <c r="G1275" i="1"/>
  <c r="G1276" i="1"/>
  <c r="G1277" i="1"/>
  <c r="G1278" i="1"/>
  <c r="G1279" i="1"/>
  <c r="G1280" i="1"/>
  <c r="G1281" i="1"/>
  <c r="G1282" i="1"/>
  <c r="G1283" i="1"/>
  <c r="G1284" i="1"/>
  <c r="G1285" i="1"/>
  <c r="G1286" i="1"/>
  <c r="G1287" i="1"/>
  <c r="G1288" i="1"/>
  <c r="G1289" i="1"/>
  <c r="G1290" i="1"/>
  <c r="G1291" i="1"/>
  <c r="G1292" i="1"/>
  <c r="G1293" i="1"/>
  <c r="G1294" i="1"/>
  <c r="G1295" i="1"/>
  <c r="G1296" i="1"/>
  <c r="G1297" i="1"/>
  <c r="G1298" i="1"/>
  <c r="G1299" i="1"/>
  <c r="G1300" i="1"/>
  <c r="G1301" i="1"/>
  <c r="G1302" i="1"/>
  <c r="G1303" i="1"/>
  <c r="G1305" i="1"/>
  <c r="G1306" i="1"/>
  <c r="G1307" i="1"/>
  <c r="G1308" i="1"/>
  <c r="G1309" i="1"/>
  <c r="G1310" i="1"/>
  <c r="G1311" i="1"/>
  <c r="G1312" i="1"/>
  <c r="G1313" i="1"/>
  <c r="G1314" i="1"/>
  <c r="G1315" i="1"/>
  <c r="G1316" i="1"/>
  <c r="G1317" i="1"/>
  <c r="G1318" i="1"/>
  <c r="G1319" i="1"/>
  <c r="G1320" i="1"/>
  <c r="G1321" i="1"/>
  <c r="G1322" i="1"/>
  <c r="G1323" i="1"/>
  <c r="G1324" i="1"/>
  <c r="G1325" i="1"/>
  <c r="G1326" i="1"/>
  <c r="G1327" i="1"/>
  <c r="G1328" i="1"/>
  <c r="G1329" i="1"/>
  <c r="G1330" i="1"/>
  <c r="G1331" i="1"/>
  <c r="G1332" i="1"/>
  <c r="G1333" i="1"/>
  <c r="G1334" i="1"/>
  <c r="G1335" i="1"/>
  <c r="G1336" i="1"/>
  <c r="G1337" i="1"/>
  <c r="G1338" i="1"/>
  <c r="G1339" i="1"/>
  <c r="G1340" i="1"/>
  <c r="G1341" i="1"/>
  <c r="G1342" i="1"/>
  <c r="G1343" i="1"/>
  <c r="G1344" i="1"/>
  <c r="G1345" i="1"/>
  <c r="G1346" i="1"/>
  <c r="G1347" i="1"/>
  <c r="G1348" i="1"/>
  <c r="G1349" i="1"/>
  <c r="G1350" i="1"/>
  <c r="G1351" i="1"/>
  <c r="G1352" i="1"/>
  <c r="G1353" i="1"/>
  <c r="G1354" i="1"/>
  <c r="G1355" i="1"/>
  <c r="G1356" i="1"/>
  <c r="G1357" i="1"/>
  <c r="G1358" i="1"/>
  <c r="G1359" i="1"/>
  <c r="G1360" i="1"/>
  <c r="G1361" i="1"/>
  <c r="G1362" i="1"/>
  <c r="G1363" i="1"/>
  <c r="G1364" i="1"/>
  <c r="G1365" i="1"/>
  <c r="G1366" i="1"/>
  <c r="G1367" i="1"/>
  <c r="G1368" i="1"/>
  <c r="G1369" i="1"/>
  <c r="G1370" i="1"/>
  <c r="G1371" i="1"/>
  <c r="G1372" i="1"/>
  <c r="G1373" i="1"/>
  <c r="G1374" i="1"/>
  <c r="G1375" i="1"/>
  <c r="G1376" i="1"/>
  <c r="G1377" i="1"/>
  <c r="G1378" i="1"/>
  <c r="G1379" i="1"/>
  <c r="G1380" i="1"/>
  <c r="G1381" i="1"/>
  <c r="G1382" i="1"/>
  <c r="G1383" i="1"/>
  <c r="G1384" i="1"/>
  <c r="G1385" i="1"/>
  <c r="G1387" i="1"/>
  <c r="G1386" i="1"/>
  <c r="G1388" i="1"/>
  <c r="G1389" i="1"/>
  <c r="G1390" i="1"/>
  <c r="G1391" i="1"/>
  <c r="G1392" i="1"/>
  <c r="G1393" i="1"/>
  <c r="G1394" i="1"/>
  <c r="G1395" i="1"/>
  <c r="G1396" i="1"/>
  <c r="G1397" i="1"/>
  <c r="G1398" i="1"/>
  <c r="G1399" i="1"/>
  <c r="G1400" i="1"/>
  <c r="G1401" i="1"/>
  <c r="G1402" i="1"/>
  <c r="G1403" i="1"/>
  <c r="G1404" i="1"/>
  <c r="G1405" i="1"/>
  <c r="G1406" i="1"/>
  <c r="G1407" i="1"/>
  <c r="G1408" i="1"/>
  <c r="G1409" i="1"/>
  <c r="G1410" i="1"/>
  <c r="G1411" i="1"/>
  <c r="G1412" i="1"/>
  <c r="G1413" i="1"/>
  <c r="G1414" i="1"/>
  <c r="G1415" i="1"/>
  <c r="G1416" i="1"/>
  <c r="G1417" i="1"/>
  <c r="G1418" i="1"/>
  <c r="G1419" i="1"/>
  <c r="G1420" i="1"/>
  <c r="G1421" i="1"/>
  <c r="G1422" i="1"/>
  <c r="G1423" i="1"/>
  <c r="G1424" i="1"/>
  <c r="G1425" i="1"/>
  <c r="G1426" i="1"/>
  <c r="G1427" i="1"/>
  <c r="G1428" i="1"/>
  <c r="G1429" i="1"/>
  <c r="G1430" i="1"/>
  <c r="G1431" i="1"/>
  <c r="G1432" i="1"/>
  <c r="G1433" i="1"/>
  <c r="G1434" i="1"/>
  <c r="G1435" i="1"/>
  <c r="G1436" i="1"/>
  <c r="G1437" i="1"/>
  <c r="G1438" i="1"/>
  <c r="G1439" i="1"/>
  <c r="G1440" i="1"/>
  <c r="G1441" i="1"/>
  <c r="G1443" i="1"/>
  <c r="G1444" i="1"/>
  <c r="G1445" i="1"/>
  <c r="G1446" i="1"/>
  <c r="G1447" i="1"/>
  <c r="G1448" i="1"/>
  <c r="G1449" i="1"/>
  <c r="G1450" i="1"/>
  <c r="G1451" i="1"/>
  <c r="G1452" i="1"/>
  <c r="G1453" i="1"/>
  <c r="G1454" i="1"/>
  <c r="G1455" i="1"/>
  <c r="G1456" i="1"/>
  <c r="G1457" i="1"/>
  <c r="G1458" i="1"/>
  <c r="G1459" i="1"/>
  <c r="G1460" i="1"/>
  <c r="G1461" i="1"/>
  <c r="G1462" i="1"/>
  <c r="G1463" i="1"/>
  <c r="G1464" i="1"/>
  <c r="G1465" i="1"/>
  <c r="G1466" i="1"/>
  <c r="G1467" i="1"/>
  <c r="G1468" i="1"/>
  <c r="G1469" i="1"/>
  <c r="G1470" i="1"/>
  <c r="G1471" i="1"/>
  <c r="G1472" i="1"/>
  <c r="G1473" i="1"/>
  <c r="G1474" i="1"/>
  <c r="G1475" i="1"/>
  <c r="G1476" i="1"/>
  <c r="G1477" i="1"/>
  <c r="G1478" i="1"/>
  <c r="G1479" i="1"/>
  <c r="G1480" i="1"/>
  <c r="G1481" i="1"/>
  <c r="G1482" i="1"/>
  <c r="G1483" i="1"/>
  <c r="G1484" i="1"/>
  <c r="G1485" i="1"/>
  <c r="G1486" i="1"/>
  <c r="G1487" i="1"/>
  <c r="G1488" i="1"/>
  <c r="G1489" i="1"/>
  <c r="G1490" i="1"/>
  <c r="G1491" i="1"/>
  <c r="G1492" i="1"/>
  <c r="G1493" i="1"/>
  <c r="G1494" i="1"/>
  <c r="G1495" i="1"/>
  <c r="G1496" i="1"/>
  <c r="G1497" i="1"/>
  <c r="G1498" i="1"/>
  <c r="G1499" i="1"/>
  <c r="G1500" i="1"/>
  <c r="G1501" i="1"/>
  <c r="G1502" i="1"/>
  <c r="G1503" i="1"/>
  <c r="G1504" i="1"/>
  <c r="G1505" i="1"/>
  <c r="G1506" i="1"/>
  <c r="G1507" i="1"/>
  <c r="G1508" i="1"/>
  <c r="G1509" i="1"/>
  <c r="G1510" i="1"/>
  <c r="G1511" i="1"/>
  <c r="G1512" i="1"/>
  <c r="G1513" i="1"/>
  <c r="G1514" i="1"/>
  <c r="G1515" i="1"/>
  <c r="G1516" i="1"/>
  <c r="G1517" i="1"/>
  <c r="G1518" i="1"/>
  <c r="G1519" i="1"/>
  <c r="G1520" i="1"/>
  <c r="G1521" i="1"/>
  <c r="G1522" i="1"/>
  <c r="G1523" i="1"/>
  <c r="G1524" i="1"/>
  <c r="G1525" i="1"/>
  <c r="G1526" i="1"/>
  <c r="G1527" i="1"/>
  <c r="G1528" i="1"/>
  <c r="G1529" i="1"/>
  <c r="G1530" i="1"/>
  <c r="G1531" i="1"/>
  <c r="G1532" i="1"/>
  <c r="G1533" i="1"/>
  <c r="G1534" i="1"/>
  <c r="G1535" i="1"/>
  <c r="G1536" i="1"/>
  <c r="G1537" i="1"/>
  <c r="G1538" i="1"/>
  <c r="G1539" i="1"/>
  <c r="G1540" i="1"/>
  <c r="G1541" i="1"/>
  <c r="G1542" i="1"/>
  <c r="G1543" i="1"/>
  <c r="G1544" i="1"/>
  <c r="G1545" i="1"/>
  <c r="G1546" i="1"/>
  <c r="G1547" i="1"/>
  <c r="G1548" i="1"/>
  <c r="G1549" i="1"/>
  <c r="G1550" i="1"/>
  <c r="G1551" i="1"/>
  <c r="G1552" i="1"/>
  <c r="G1553" i="1"/>
  <c r="G1554" i="1"/>
  <c r="G1555" i="1"/>
  <c r="G1556" i="1"/>
  <c r="G1557" i="1"/>
  <c r="G1558" i="1"/>
  <c r="G1559" i="1"/>
  <c r="G1560" i="1"/>
  <c r="G1561" i="1"/>
  <c r="G1562" i="1"/>
  <c r="G1563" i="1"/>
  <c r="G1564" i="1"/>
  <c r="G1565" i="1"/>
  <c r="G1566" i="1"/>
  <c r="G1567" i="1"/>
  <c r="G1568" i="1"/>
  <c r="G1569" i="1"/>
  <c r="G1570" i="1"/>
  <c r="G1571" i="1"/>
  <c r="G1572" i="1"/>
  <c r="G1573" i="1"/>
  <c r="G1574" i="1"/>
  <c r="G1575" i="1"/>
  <c r="G1576" i="1"/>
  <c r="G1577" i="1"/>
  <c r="G1578" i="1"/>
  <c r="G1579" i="1"/>
  <c r="G1580" i="1"/>
  <c r="G1581" i="1"/>
  <c r="G1582" i="1"/>
  <c r="G1583" i="1"/>
  <c r="G1584" i="1"/>
  <c r="G1585" i="1"/>
  <c r="G1586" i="1"/>
  <c r="G1587" i="1"/>
  <c r="G1588" i="1"/>
  <c r="G1589" i="1"/>
  <c r="G1590" i="1"/>
  <c r="G1591" i="1"/>
  <c r="G1592" i="1"/>
  <c r="G1593" i="1"/>
  <c r="G1594" i="1"/>
  <c r="G1595" i="1"/>
  <c r="G1596" i="1"/>
  <c r="G1597" i="1"/>
  <c r="G1598" i="1"/>
  <c r="G1599" i="1"/>
  <c r="G1601" i="1"/>
  <c r="G1600" i="1"/>
  <c r="G1602" i="1"/>
  <c r="G1603" i="1"/>
  <c r="G1604" i="1"/>
  <c r="G1605" i="1"/>
  <c r="G1606" i="1"/>
  <c r="G1607" i="1"/>
  <c r="G1608" i="1"/>
  <c r="G1609" i="1"/>
  <c r="G1610" i="1"/>
  <c r="G1611" i="1"/>
  <c r="G1612" i="1"/>
  <c r="G1613" i="1"/>
  <c r="G1614" i="1"/>
  <c r="G1615" i="1"/>
  <c r="G1616" i="1"/>
  <c r="G1617" i="1"/>
  <c r="G1618" i="1"/>
  <c r="G1619" i="1"/>
  <c r="G1620" i="1"/>
  <c r="G1621" i="1"/>
  <c r="G1622" i="1"/>
  <c r="G1623" i="1"/>
  <c r="G1624" i="1"/>
  <c r="G1625" i="1"/>
  <c r="G1626" i="1"/>
  <c r="G1627" i="1"/>
  <c r="G1629" i="1"/>
  <c r="G1630" i="1"/>
  <c r="G1628" i="1"/>
  <c r="G1631" i="1"/>
  <c r="G1632" i="1"/>
  <c r="G1633" i="1"/>
  <c r="G1634" i="1"/>
  <c r="G1635" i="1"/>
  <c r="G1636" i="1"/>
  <c r="G1637" i="1"/>
  <c r="G1638" i="1"/>
  <c r="G1639" i="1"/>
  <c r="G1640" i="1"/>
  <c r="G1641" i="1"/>
  <c r="G1642" i="1"/>
  <c r="G1643" i="1"/>
  <c r="G1645" i="1"/>
  <c r="G1644" i="1"/>
  <c r="G1646" i="1"/>
  <c r="G1647" i="1"/>
  <c r="G1648" i="1"/>
  <c r="G1649" i="1"/>
  <c r="G1650" i="1"/>
  <c r="G1651" i="1"/>
  <c r="G1652" i="1"/>
  <c r="G1653" i="1"/>
  <c r="G1654" i="1"/>
  <c r="G1655" i="1"/>
  <c r="G1656" i="1"/>
  <c r="G1657" i="1"/>
  <c r="G1658" i="1"/>
  <c r="G1659" i="1"/>
  <c r="G1660" i="1"/>
  <c r="G1661" i="1"/>
  <c r="G1662" i="1"/>
  <c r="G1663" i="1"/>
  <c r="G1664" i="1"/>
  <c r="G1665" i="1"/>
  <c r="G1666" i="1"/>
  <c r="G1667" i="1"/>
  <c r="G1668" i="1"/>
  <c r="G1669" i="1"/>
  <c r="G1670" i="1"/>
  <c r="G1671" i="1"/>
  <c r="G1672" i="1"/>
  <c r="G1673" i="1"/>
  <c r="G1674" i="1"/>
  <c r="G1675" i="1"/>
  <c r="G1676" i="1"/>
  <c r="G1677" i="1"/>
  <c r="G1678" i="1"/>
  <c r="G1679" i="1"/>
  <c r="G1681" i="1"/>
  <c r="G1680" i="1"/>
  <c r="G1682" i="1"/>
  <c r="G1683" i="1"/>
  <c r="G1684" i="1"/>
  <c r="G1685" i="1"/>
  <c r="G1687" i="1"/>
  <c r="G1688" i="1"/>
  <c r="G1689" i="1"/>
  <c r="G1690" i="1"/>
  <c r="G1691" i="1"/>
  <c r="G1692" i="1"/>
  <c r="G1693" i="1"/>
  <c r="G1694" i="1"/>
  <c r="G1695" i="1"/>
  <c r="G1696" i="1"/>
  <c r="G1697" i="1"/>
  <c r="G1698" i="1"/>
  <c r="G1699" i="1"/>
  <c r="G1700" i="1"/>
  <c r="G1701" i="1"/>
  <c r="G1702" i="1"/>
  <c r="G1703" i="1"/>
  <c r="G1704" i="1"/>
  <c r="G1705" i="1"/>
  <c r="G1706" i="1"/>
  <c r="G1707" i="1"/>
  <c r="G1708" i="1"/>
  <c r="G1709" i="1"/>
  <c r="G1710" i="1"/>
  <c r="G1711" i="1"/>
  <c r="G1712" i="1"/>
  <c r="G1714" i="1"/>
  <c r="G1715" i="1"/>
  <c r="G1716" i="1"/>
  <c r="G1717" i="1"/>
  <c r="G1718" i="1"/>
  <c r="G1719" i="1"/>
  <c r="G1720" i="1"/>
  <c r="G1721" i="1"/>
  <c r="G1722" i="1"/>
  <c r="G1723" i="1"/>
  <c r="G1724" i="1"/>
  <c r="G1725" i="1"/>
  <c r="G1726" i="1"/>
  <c r="G1727" i="1"/>
  <c r="G1728" i="1"/>
  <c r="G1729" i="1"/>
  <c r="G1730" i="1"/>
  <c r="G1731" i="1"/>
  <c r="G1732" i="1"/>
  <c r="G1733" i="1"/>
  <c r="G1734" i="1"/>
  <c r="G1735" i="1"/>
  <c r="G1736" i="1"/>
  <c r="G1737" i="1"/>
  <c r="G1738" i="1"/>
  <c r="G1739" i="1"/>
  <c r="G1740" i="1"/>
  <c r="G1741" i="1"/>
  <c r="G1742" i="1"/>
  <c r="G1743" i="1"/>
  <c r="G1744" i="1"/>
  <c r="G1745" i="1"/>
  <c r="G1746" i="1"/>
  <c r="G1747" i="1"/>
  <c r="G1748" i="1"/>
  <c r="G1749" i="1"/>
  <c r="G1750" i="1"/>
  <c r="G1751" i="1"/>
  <c r="G1752" i="1"/>
  <c r="G1753" i="1"/>
  <c r="G1754" i="1"/>
  <c r="G1755" i="1"/>
  <c r="G1756" i="1"/>
  <c r="G1757" i="1"/>
  <c r="G1758" i="1"/>
  <c r="G1759" i="1"/>
  <c r="G1760" i="1"/>
  <c r="G1761" i="1"/>
  <c r="G1762" i="1"/>
  <c r="G1763" i="1"/>
  <c r="G1764" i="1"/>
  <c r="G1765" i="1"/>
  <c r="G1766" i="1"/>
  <c r="G1767" i="1"/>
  <c r="G1768" i="1"/>
  <c r="G1770" i="1"/>
  <c r="G1771" i="1"/>
  <c r="G1772" i="1"/>
  <c r="G1769" i="1"/>
  <c r="G1773" i="1"/>
  <c r="G1774" i="1"/>
  <c r="G1776" i="1"/>
  <c r="G1775" i="1"/>
  <c r="G1777" i="1"/>
  <c r="G1778" i="1"/>
  <c r="G1779" i="1"/>
  <c r="G1780" i="1"/>
  <c r="G1781" i="1"/>
  <c r="G1782" i="1"/>
  <c r="G1783" i="1"/>
  <c r="G1784" i="1"/>
  <c r="G1785" i="1"/>
  <c r="G1786" i="1"/>
  <c r="G1787" i="1"/>
  <c r="G1788" i="1"/>
  <c r="G1789" i="1"/>
  <c r="G1790" i="1"/>
  <c r="G1791" i="1"/>
  <c r="G1792" i="1"/>
  <c r="G1793" i="1"/>
  <c r="G1794" i="1"/>
  <c r="G1795" i="1"/>
  <c r="G1796" i="1"/>
  <c r="G1797" i="1"/>
  <c r="G1798" i="1"/>
  <c r="G1799" i="1"/>
  <c r="G1800" i="1"/>
  <c r="G1801" i="1"/>
  <c r="G1802" i="1"/>
  <c r="G1803" i="1"/>
  <c r="G1804" i="1"/>
  <c r="G1806" i="1"/>
  <c r="G1807" i="1"/>
  <c r="G1805" i="1"/>
  <c r="G1808" i="1"/>
  <c r="G1809" i="1"/>
  <c r="G1810" i="1"/>
  <c r="G1811" i="1"/>
  <c r="G1812" i="1"/>
  <c r="G1813" i="1"/>
  <c r="G1814" i="1"/>
  <c r="G1815" i="1"/>
  <c r="G1816" i="1"/>
  <c r="G1817" i="1"/>
  <c r="G1818" i="1"/>
  <c r="G1819" i="1"/>
  <c r="G1820" i="1"/>
  <c r="G1821" i="1"/>
  <c r="G1822" i="1"/>
  <c r="G1823" i="1"/>
  <c r="G1824" i="1"/>
  <c r="G1825" i="1"/>
  <c r="G1826" i="1"/>
  <c r="G1827" i="1"/>
  <c r="G1828" i="1"/>
  <c r="G1829" i="1"/>
  <c r="G1830" i="1"/>
  <c r="G1831" i="1"/>
  <c r="G1832" i="1"/>
  <c r="G1833" i="1"/>
  <c r="G1834" i="1"/>
  <c r="G1835" i="1"/>
  <c r="G1836" i="1"/>
  <c r="G1837" i="1"/>
  <c r="G1838" i="1"/>
  <c r="G1839" i="1"/>
  <c r="G1840" i="1"/>
  <c r="G1841" i="1"/>
  <c r="G1842" i="1"/>
  <c r="G1843" i="1"/>
  <c r="G1844" i="1"/>
  <c r="G1845" i="1"/>
  <c r="G1846" i="1"/>
  <c r="G1847" i="1"/>
  <c r="G1848" i="1"/>
  <c r="G1849" i="1"/>
  <c r="G1850" i="1"/>
  <c r="G1851" i="1"/>
  <c r="G1852" i="1"/>
  <c r="G1853" i="1"/>
  <c r="G1854" i="1"/>
  <c r="G1855" i="1"/>
  <c r="G1856" i="1"/>
  <c r="G1857" i="1"/>
  <c r="G1858" i="1"/>
  <c r="G1859" i="1"/>
  <c r="G1860" i="1"/>
  <c r="G1861" i="1"/>
  <c r="G1862" i="1"/>
  <c r="G1863" i="1"/>
  <c r="G1864" i="1"/>
  <c r="G1865" i="1"/>
  <c r="G1866" i="1"/>
  <c r="G1867" i="1"/>
  <c r="G1868" i="1"/>
  <c r="G1869" i="1"/>
  <c r="G1870" i="1"/>
  <c r="G1871" i="1"/>
  <c r="G1872" i="1"/>
  <c r="G1873" i="1"/>
  <c r="G1874" i="1"/>
  <c r="G1875" i="1"/>
  <c r="G1876" i="1"/>
  <c r="G1877" i="1"/>
  <c r="G1878" i="1"/>
  <c r="G1879" i="1"/>
  <c r="G1880" i="1"/>
  <c r="G1881" i="1"/>
  <c r="G1882" i="1"/>
  <c r="G1883" i="1"/>
  <c r="G1884" i="1"/>
  <c r="G1885" i="1"/>
  <c r="G1886" i="1"/>
  <c r="G1887" i="1"/>
  <c r="G1888" i="1"/>
  <c r="G1889" i="1"/>
  <c r="G1890" i="1"/>
  <c r="G1891" i="1"/>
  <c r="G1892" i="1"/>
  <c r="G1893" i="1"/>
  <c r="G1894" i="1"/>
  <c r="G1895" i="1"/>
  <c r="G1896" i="1"/>
  <c r="G1897" i="1"/>
  <c r="G1898" i="1"/>
  <c r="G1899" i="1"/>
  <c r="G1900" i="1"/>
  <c r="G1901" i="1"/>
  <c r="G1902" i="1"/>
  <c r="G1903" i="1"/>
  <c r="G1904" i="1"/>
  <c r="G1905" i="1"/>
  <c r="G1906" i="1"/>
  <c r="G1907" i="1"/>
  <c r="G1908" i="1"/>
  <c r="G1909" i="1"/>
  <c r="G1910" i="1"/>
  <c r="G1911" i="1"/>
  <c r="G1912" i="1"/>
  <c r="G1913" i="1"/>
  <c r="G1914" i="1"/>
  <c r="G1915" i="1"/>
  <c r="G1916" i="1"/>
  <c r="G1917" i="1"/>
  <c r="G1918" i="1"/>
  <c r="G1919" i="1"/>
  <c r="G1920" i="1"/>
  <c r="G1921" i="1"/>
  <c r="G1922" i="1"/>
  <c r="G1923" i="1"/>
  <c r="G1924" i="1"/>
  <c r="G1925" i="1"/>
  <c r="G1926" i="1"/>
  <c r="G1927" i="1"/>
  <c r="G1928" i="1"/>
  <c r="G1929" i="1"/>
  <c r="G1930" i="1"/>
  <c r="G1931" i="1"/>
  <c r="G1932" i="1"/>
  <c r="G1933" i="1"/>
  <c r="G1934" i="1"/>
  <c r="G1935" i="1"/>
  <c r="G1936" i="1"/>
  <c r="G1937" i="1"/>
  <c r="G1938" i="1"/>
  <c r="G1939" i="1"/>
  <c r="G1940" i="1"/>
  <c r="G1941" i="1"/>
  <c r="G1942" i="1"/>
  <c r="G1943" i="1"/>
  <c r="G1944" i="1"/>
  <c r="G1945" i="1"/>
  <c r="G1946" i="1"/>
  <c r="G1947" i="1"/>
  <c r="G1948" i="1"/>
  <c r="G1949" i="1"/>
  <c r="G1950" i="1"/>
  <c r="G1951" i="1"/>
  <c r="G1952" i="1"/>
  <c r="G1953" i="1"/>
  <c r="G1954" i="1"/>
  <c r="G1955" i="1"/>
  <c r="G1956" i="1"/>
  <c r="G1957" i="1"/>
  <c r="G1958" i="1"/>
  <c r="G1959" i="1"/>
  <c r="G1960" i="1"/>
  <c r="G1961" i="1"/>
  <c r="G1962" i="1"/>
  <c r="G1964" i="1"/>
  <c r="G1965" i="1"/>
  <c r="G1966" i="1"/>
  <c r="G1967" i="1"/>
  <c r="G1968" i="1"/>
  <c r="G1969" i="1"/>
  <c r="G1970" i="1"/>
  <c r="G1971" i="1"/>
  <c r="G1972" i="1"/>
  <c r="G1973" i="1"/>
  <c r="G1974" i="1"/>
  <c r="G1975" i="1"/>
  <c r="G1976" i="1"/>
  <c r="G1977" i="1"/>
  <c r="G1978" i="1"/>
  <c r="G1979" i="1"/>
  <c r="G1980" i="1"/>
  <c r="G1981" i="1"/>
  <c r="G1982" i="1"/>
  <c r="G1983" i="1"/>
  <c r="G1984" i="1"/>
  <c r="G1985" i="1"/>
  <c r="G1986" i="1"/>
  <c r="G1987" i="1"/>
  <c r="G1988" i="1"/>
  <c r="G1989" i="1"/>
  <c r="G1990" i="1"/>
  <c r="G1991" i="1"/>
  <c r="G1992" i="1"/>
  <c r="G1993" i="1"/>
  <c r="G1994" i="1"/>
  <c r="G1995" i="1"/>
  <c r="G1996" i="1"/>
  <c r="G1997" i="1"/>
  <c r="G1998" i="1"/>
  <c r="G1999" i="1"/>
  <c r="G2000" i="1"/>
  <c r="G2001" i="1"/>
  <c r="G2002" i="1"/>
  <c r="G2003" i="1"/>
  <c r="G2004" i="1"/>
  <c r="G2005" i="1"/>
  <c r="G2006" i="1"/>
  <c r="G2007" i="1"/>
  <c r="G2008" i="1"/>
  <c r="G2009" i="1"/>
  <c r="G2010" i="1"/>
  <c r="G2011" i="1"/>
  <c r="G2012" i="1"/>
  <c r="G2013" i="1"/>
  <c r="G2014" i="1"/>
  <c r="G2015" i="1"/>
  <c r="G2016" i="1"/>
  <c r="G2017" i="1"/>
  <c r="G2019" i="1"/>
  <c r="G2020" i="1"/>
  <c r="G2021" i="1"/>
  <c r="G2022" i="1"/>
  <c r="G2023" i="1"/>
  <c r="G2024" i="1"/>
  <c r="G2025" i="1"/>
  <c r="G2026" i="1"/>
  <c r="G2027" i="1"/>
  <c r="G2028" i="1"/>
  <c r="G2029" i="1"/>
  <c r="G2030" i="1"/>
  <c r="G2031" i="1"/>
  <c r="G2032" i="1"/>
  <c r="G2033" i="1"/>
  <c r="G2034" i="1"/>
  <c r="G2035" i="1"/>
  <c r="G2036" i="1"/>
  <c r="G2037" i="1"/>
  <c r="G2038" i="1"/>
  <c r="G2039" i="1"/>
  <c r="G2040" i="1"/>
  <c r="G2041" i="1"/>
  <c r="G2042" i="1"/>
  <c r="G2043" i="1"/>
  <c r="G2044" i="1"/>
  <c r="G2045" i="1"/>
  <c r="G2046" i="1"/>
  <c r="G2047" i="1"/>
  <c r="G2048" i="1"/>
  <c r="G2049" i="1"/>
  <c r="G2050" i="1"/>
  <c r="G2051" i="1"/>
  <c r="G2052" i="1"/>
  <c r="G2053" i="1"/>
  <c r="G2054" i="1"/>
  <c r="G2055" i="1"/>
  <c r="G2056" i="1"/>
  <c r="G2057" i="1"/>
  <c r="G2058" i="1"/>
  <c r="G2059" i="1"/>
  <c r="G2060" i="1"/>
  <c r="G2061" i="1"/>
  <c r="G2062" i="1"/>
  <c r="G2063" i="1"/>
  <c r="G2064" i="1"/>
  <c r="G2065" i="1"/>
  <c r="G2066" i="1"/>
  <c r="G2067" i="1"/>
  <c r="G2068" i="1"/>
  <c r="G2069" i="1"/>
  <c r="G2070" i="1"/>
  <c r="G2071" i="1"/>
  <c r="G2072" i="1"/>
  <c r="G2073" i="1"/>
  <c r="G2074" i="1"/>
  <c r="G2075" i="1"/>
  <c r="G2076" i="1"/>
  <c r="G2077" i="1"/>
  <c r="G2078" i="1"/>
  <c r="G2079" i="1"/>
  <c r="G2080" i="1"/>
  <c r="G2081" i="1"/>
  <c r="G2082" i="1"/>
  <c r="G2083" i="1"/>
  <c r="G2084" i="1"/>
  <c r="G2085" i="1"/>
  <c r="G2086" i="1"/>
  <c r="G2087" i="1"/>
  <c r="G2088" i="1"/>
  <c r="G2089" i="1"/>
  <c r="G2090" i="1"/>
  <c r="G2091" i="1"/>
  <c r="G2092" i="1"/>
  <c r="G2093" i="1"/>
  <c r="G2094" i="1"/>
  <c r="G2095" i="1"/>
  <c r="G2096" i="1"/>
  <c r="G2097" i="1"/>
  <c r="G2098" i="1"/>
  <c r="G2099" i="1"/>
  <c r="G2100" i="1"/>
  <c r="G2101" i="1"/>
  <c r="G2102" i="1"/>
  <c r="G2103" i="1"/>
  <c r="G2104" i="1"/>
  <c r="G2105" i="1"/>
  <c r="G2106" i="1"/>
  <c r="G2107" i="1"/>
  <c r="G2108" i="1"/>
  <c r="G2109" i="1"/>
  <c r="G2110" i="1"/>
  <c r="G2111" i="1"/>
  <c r="G2112" i="1"/>
  <c r="G2113" i="1"/>
  <c r="G2114" i="1"/>
  <c r="G2115" i="1"/>
  <c r="G2116" i="1"/>
  <c r="G2117" i="1"/>
  <c r="G2118" i="1"/>
  <c r="G2119" i="1"/>
  <c r="G2120" i="1"/>
  <c r="G2121" i="1"/>
  <c r="G2122" i="1"/>
  <c r="G2123" i="1"/>
  <c r="G2124" i="1"/>
  <c r="G2125" i="1"/>
  <c r="G2126" i="1"/>
  <c r="G2128" i="1"/>
  <c r="G2129" i="1"/>
  <c r="G2130" i="1"/>
  <c r="G2131" i="1"/>
  <c r="G2132" i="1"/>
  <c r="G2133" i="1"/>
  <c r="G2135" i="1"/>
  <c r="G2136" i="1"/>
  <c r="G2137" i="1"/>
  <c r="G2138" i="1"/>
  <c r="G2139" i="1"/>
  <c r="G2140" i="1"/>
  <c r="G2141" i="1"/>
  <c r="G2142" i="1"/>
  <c r="G2143" i="1"/>
  <c r="G2144" i="1"/>
  <c r="G2145" i="1"/>
  <c r="G2146" i="1"/>
  <c r="G2147" i="1"/>
  <c r="G2148" i="1"/>
  <c r="G2149" i="1"/>
  <c r="G2151" i="1"/>
  <c r="G2152" i="1"/>
  <c r="G2153" i="1"/>
  <c r="G2154" i="1"/>
  <c r="G2155" i="1"/>
  <c r="G2156" i="1"/>
  <c r="G2157" i="1"/>
  <c r="G2158" i="1"/>
  <c r="G2159" i="1"/>
  <c r="G2160" i="1"/>
  <c r="G2161" i="1"/>
  <c r="G2162" i="1"/>
  <c r="G2163" i="1"/>
  <c r="G2164" i="1"/>
  <c r="G2165" i="1"/>
  <c r="G2167" i="1"/>
  <c r="G2168" i="1"/>
  <c r="G2169" i="1"/>
  <c r="G2170" i="1"/>
  <c r="G2171" i="1"/>
  <c r="G2172" i="1"/>
  <c r="G2173" i="1"/>
  <c r="G2174" i="1"/>
  <c r="G2175" i="1"/>
  <c r="G2176" i="1"/>
  <c r="G2177" i="1"/>
  <c r="G2178" i="1"/>
  <c r="G2180" i="1"/>
  <c r="G2181" i="1"/>
  <c r="G2182" i="1"/>
  <c r="G2183" i="1"/>
  <c r="G2184" i="1"/>
  <c r="G2185" i="1"/>
  <c r="G2186" i="1"/>
  <c r="G2187" i="1"/>
  <c r="G2188" i="1"/>
  <c r="G2189" i="1"/>
  <c r="G2190" i="1"/>
  <c r="G2191" i="1"/>
  <c r="G2192" i="1"/>
  <c r="G2193" i="1"/>
  <c r="G2194" i="1"/>
  <c r="G2195" i="1"/>
  <c r="G2196" i="1"/>
  <c r="G2197" i="1"/>
  <c r="G2198" i="1"/>
  <c r="G2199" i="1"/>
  <c r="G2201" i="1"/>
  <c r="G2202" i="1"/>
  <c r="G2203" i="1"/>
  <c r="G2204" i="1"/>
  <c r="G2205" i="1"/>
  <c r="G2206" i="1"/>
  <c r="G2207" i="1"/>
  <c r="G2208" i="1"/>
  <c r="G2209" i="1"/>
  <c r="G2210" i="1"/>
  <c r="G2211" i="1"/>
  <c r="G2212" i="1"/>
  <c r="G2213" i="1"/>
  <c r="G2214" i="1"/>
  <c r="G2215" i="1"/>
  <c r="G2216" i="1"/>
  <c r="G2217" i="1"/>
  <c r="G2218" i="1"/>
  <c r="G2219" i="1"/>
  <c r="G2220" i="1"/>
  <c r="G2221" i="1"/>
  <c r="G2222" i="1"/>
  <c r="G2223" i="1"/>
  <c r="G2225" i="1"/>
  <c r="G2226" i="1"/>
  <c r="G2227" i="1"/>
  <c r="G2228" i="1"/>
  <c r="G2229" i="1"/>
  <c r="G2230" i="1"/>
  <c r="G2232" i="1"/>
  <c r="G2233" i="1"/>
  <c r="G2234" i="1"/>
  <c r="G2235" i="1"/>
  <c r="G2236" i="1"/>
  <c r="G2237" i="1"/>
  <c r="G2238" i="1"/>
  <c r="G2240" i="1"/>
  <c r="G2241" i="1"/>
  <c r="G2242" i="1"/>
  <c r="G2243" i="1"/>
  <c r="G2244" i="1"/>
  <c r="G2245" i="1"/>
  <c r="G2246" i="1"/>
  <c r="G2247" i="1"/>
  <c r="G2248" i="1"/>
  <c r="G2249" i="1"/>
  <c r="G2250" i="1"/>
  <c r="G2251" i="1"/>
  <c r="G2252" i="1"/>
  <c r="G2253" i="1"/>
  <c r="G2254" i="1"/>
  <c r="G2255" i="1"/>
  <c r="G2256" i="1"/>
  <c r="G2257" i="1"/>
  <c r="G2258" i="1"/>
  <c r="G2259" i="1"/>
  <c r="G2260" i="1"/>
  <c r="G2262" i="1"/>
  <c r="G2263" i="1"/>
  <c r="G2264" i="1"/>
  <c r="G2265" i="1"/>
  <c r="G2266" i="1"/>
  <c r="G2267" i="1"/>
  <c r="G2268" i="1"/>
  <c r="G2269" i="1"/>
  <c r="G2270" i="1"/>
  <c r="G2271" i="1"/>
  <c r="G2272" i="1"/>
  <c r="G2273" i="1"/>
  <c r="G2274" i="1"/>
  <c r="G2275" i="1"/>
  <c r="G2276" i="1"/>
  <c r="G2277" i="1"/>
  <c r="G2278" i="1"/>
  <c r="G2279" i="1"/>
  <c r="G2280" i="1"/>
  <c r="G2281" i="1"/>
  <c r="G2282" i="1"/>
  <c r="G2283" i="1"/>
  <c r="G2284" i="1"/>
  <c r="G2285" i="1"/>
  <c r="G2286" i="1"/>
  <c r="G2287" i="1"/>
  <c r="G2288" i="1"/>
  <c r="G2289" i="1"/>
  <c r="G2290" i="1"/>
  <c r="G2291" i="1"/>
  <c r="G2292" i="1"/>
  <c r="G2293" i="1"/>
  <c r="G2294" i="1"/>
  <c r="G2295" i="1"/>
  <c r="G2296" i="1"/>
  <c r="G2297" i="1"/>
  <c r="G2299" i="1"/>
  <c r="G2300" i="1"/>
  <c r="G2301" i="1"/>
  <c r="G2302" i="1"/>
  <c r="G2303" i="1"/>
  <c r="G2304" i="1"/>
  <c r="G2305" i="1"/>
  <c r="G2306" i="1"/>
  <c r="G2307" i="1"/>
  <c r="G2308" i="1"/>
  <c r="G2309" i="1"/>
  <c r="G2310" i="1"/>
  <c r="G2311" i="1"/>
  <c r="G2312" i="1"/>
  <c r="G2313" i="1"/>
  <c r="G2314" i="1"/>
  <c r="G2315" i="1"/>
  <c r="G2316" i="1"/>
  <c r="G2317" i="1"/>
  <c r="G2318" i="1"/>
  <c r="G2319" i="1"/>
  <c r="G2320" i="1"/>
  <c r="G2321" i="1"/>
  <c r="G2322" i="1"/>
  <c r="G2323" i="1"/>
  <c r="G2324" i="1"/>
  <c r="G2325" i="1"/>
  <c r="G2326" i="1"/>
  <c r="G2327" i="1"/>
  <c r="G2328" i="1"/>
  <c r="G2329" i="1"/>
  <c r="G2330" i="1"/>
  <c r="G2331" i="1"/>
  <c r="G2332" i="1"/>
  <c r="G2333" i="1"/>
  <c r="G2334" i="1"/>
  <c r="G2335" i="1"/>
  <c r="G2336" i="1"/>
  <c r="G2337" i="1"/>
  <c r="G2338" i="1"/>
  <c r="G2339" i="1"/>
  <c r="G2340" i="1"/>
  <c r="G2341" i="1"/>
  <c r="G2342" i="1"/>
  <c r="G2343" i="1"/>
  <c r="G2344" i="1"/>
  <c r="G2345" i="1"/>
  <c r="G2346" i="1"/>
  <c r="G2347" i="1"/>
  <c r="G2348" i="1"/>
  <c r="G2349" i="1"/>
  <c r="G2350" i="1"/>
  <c r="G2351" i="1"/>
  <c r="G2352" i="1"/>
  <c r="G2353" i="1"/>
  <c r="G2354" i="1"/>
  <c r="G2355" i="1"/>
  <c r="G2356" i="1"/>
  <c r="G2357" i="1"/>
  <c r="G2358" i="1"/>
  <c r="G2359" i="1"/>
  <c r="G2360" i="1"/>
  <c r="G2361" i="1"/>
  <c r="G2362" i="1"/>
  <c r="G2364" i="1"/>
  <c r="G2365" i="1"/>
  <c r="G2366" i="1"/>
  <c r="G2367" i="1"/>
  <c r="G2368" i="1"/>
  <c r="G2369" i="1"/>
  <c r="G2370" i="1"/>
  <c r="G2371" i="1"/>
  <c r="G2372" i="1"/>
  <c r="G2374" i="1"/>
  <c r="G2375" i="1"/>
  <c r="G2376" i="1"/>
  <c r="G2377" i="1"/>
  <c r="G2378" i="1"/>
  <c r="G2379" i="1"/>
  <c r="G2380" i="1"/>
  <c r="G2381" i="1"/>
  <c r="G2382" i="1"/>
  <c r="G2383" i="1"/>
  <c r="G2384" i="1"/>
  <c r="G2385" i="1"/>
  <c r="G2386" i="1"/>
  <c r="G2387" i="1"/>
  <c r="G2388" i="1"/>
  <c r="G2389" i="1"/>
  <c r="G2390" i="1"/>
  <c r="G2391" i="1"/>
  <c r="G2392" i="1"/>
  <c r="G2393" i="1"/>
  <c r="G2394" i="1"/>
  <c r="G2395" i="1"/>
  <c r="G2396" i="1"/>
  <c r="G2397" i="1"/>
  <c r="G2398" i="1"/>
  <c r="G2399" i="1"/>
  <c r="G2400" i="1"/>
  <c r="G2401" i="1"/>
  <c r="G2402" i="1"/>
  <c r="G2403" i="1"/>
  <c r="G2404" i="1"/>
  <c r="G2406" i="1"/>
  <c r="G2407" i="1"/>
  <c r="G2408" i="1"/>
  <c r="G2409" i="1"/>
  <c r="G2410" i="1"/>
  <c r="G2411" i="1"/>
  <c r="G2412" i="1"/>
  <c r="G2413" i="1"/>
  <c r="G2414" i="1"/>
  <c r="G2415" i="1"/>
  <c r="G2416" i="1"/>
  <c r="G2417" i="1"/>
  <c r="G2418" i="1"/>
  <c r="G2419" i="1"/>
  <c r="G2420" i="1"/>
  <c r="G2421" i="1"/>
  <c r="G2422" i="1"/>
  <c r="G2423" i="1"/>
  <c r="G2424" i="1"/>
  <c r="G2425" i="1"/>
  <c r="G2426" i="1"/>
  <c r="G2427" i="1"/>
  <c r="G2428" i="1"/>
  <c r="G2430" i="1"/>
  <c r="G2431" i="1"/>
  <c r="G2432" i="1"/>
  <c r="G2433" i="1"/>
  <c r="G2434" i="1"/>
  <c r="G2435" i="1"/>
  <c r="G2436" i="1"/>
  <c r="G2437" i="1"/>
  <c r="G2438" i="1"/>
  <c r="G2439" i="1"/>
  <c r="G2440" i="1"/>
  <c r="G2441" i="1"/>
  <c r="G2442" i="1"/>
  <c r="G2443" i="1"/>
  <c r="G2444" i="1"/>
  <c r="G2445" i="1"/>
  <c r="G2446" i="1"/>
  <c r="G2447" i="1"/>
  <c r="G2448" i="1"/>
  <c r="G2449" i="1"/>
  <c r="G2450" i="1"/>
  <c r="G2451" i="1"/>
  <c r="G2453" i="1"/>
  <c r="G2454" i="1"/>
  <c r="G2455" i="1"/>
  <c r="G2456" i="1"/>
  <c r="G2457" i="1"/>
  <c r="G2458" i="1"/>
  <c r="G2459" i="1"/>
  <c r="G2460" i="1"/>
  <c r="G2461" i="1"/>
  <c r="G2462" i="1"/>
  <c r="G2463" i="1"/>
  <c r="G2464" i="1"/>
  <c r="G2465" i="1"/>
  <c r="G2466" i="1"/>
  <c r="G2467" i="1"/>
  <c r="G2468" i="1"/>
  <c r="G2469" i="1"/>
  <c r="G2470" i="1"/>
  <c r="G2471" i="1"/>
  <c r="G2472" i="1"/>
  <c r="G2473" i="1"/>
  <c r="G2474" i="1"/>
  <c r="G2475" i="1"/>
  <c r="G2476" i="1"/>
  <c r="G2477" i="1"/>
  <c r="G2478" i="1"/>
  <c r="G2479" i="1"/>
  <c r="G2480" i="1"/>
  <c r="G2481" i="1"/>
  <c r="G2482" i="1"/>
  <c r="G2483" i="1"/>
  <c r="G2484" i="1"/>
  <c r="G2485" i="1"/>
  <c r="G2486" i="1"/>
  <c r="G2487" i="1"/>
  <c r="G2488" i="1"/>
  <c r="G2489" i="1"/>
  <c r="G2490" i="1"/>
  <c r="G2491" i="1"/>
  <c r="G2492" i="1"/>
  <c r="G2493" i="1"/>
  <c r="G2494" i="1"/>
  <c r="G2495" i="1"/>
  <c r="G2497" i="1"/>
  <c r="G2498" i="1"/>
  <c r="G2499" i="1"/>
  <c r="G2500" i="1"/>
  <c r="G2501" i="1"/>
  <c r="G2502" i="1"/>
  <c r="G2503" i="1"/>
  <c r="G2504" i="1"/>
  <c r="G2505" i="1"/>
  <c r="G2506" i="1"/>
  <c r="G2507" i="1"/>
  <c r="G2508" i="1"/>
  <c r="G2509" i="1"/>
  <c r="G2511" i="1"/>
  <c r="G2512" i="1"/>
  <c r="G2513" i="1"/>
  <c r="G2514" i="1"/>
  <c r="G2515" i="1"/>
  <c r="G2516" i="1"/>
  <c r="G2517" i="1"/>
  <c r="G2518" i="1"/>
  <c r="G2519" i="1"/>
  <c r="G2520" i="1"/>
  <c r="G2521" i="1"/>
  <c r="G2522" i="1"/>
  <c r="G2523" i="1"/>
  <c r="G2524" i="1"/>
  <c r="G2525" i="1"/>
  <c r="G2526" i="1"/>
  <c r="G2527" i="1"/>
  <c r="G2528" i="1"/>
  <c r="G2529" i="1"/>
  <c r="G2530" i="1"/>
  <c r="G2534" i="1"/>
  <c r="G2535" i="1"/>
  <c r="G2536" i="1"/>
  <c r="G2537" i="1"/>
  <c r="G2538" i="1"/>
  <c r="G2539" i="1"/>
  <c r="G2540" i="1"/>
  <c r="G2541" i="1"/>
  <c r="G2542" i="1"/>
  <c r="G2543" i="1"/>
  <c r="G2544" i="1"/>
  <c r="G2545" i="1"/>
  <c r="G2546" i="1"/>
  <c r="G2548" i="1"/>
  <c r="G2549" i="1"/>
  <c r="G2550" i="1"/>
  <c r="G2551" i="1"/>
  <c r="G2552" i="1"/>
  <c r="G2553" i="1"/>
  <c r="G2554" i="1"/>
  <c r="G2555" i="1"/>
  <c r="G2556" i="1"/>
  <c r="G2558" i="1"/>
  <c r="G2560" i="1"/>
  <c r="G2562" i="1"/>
  <c r="G2563" i="1"/>
  <c r="G2564" i="1"/>
  <c r="G2565" i="1"/>
  <c r="G2566" i="1"/>
  <c r="G2567" i="1"/>
  <c r="G2568" i="1"/>
  <c r="G2570" i="1"/>
  <c r="G2571" i="1"/>
  <c r="G2574" i="1"/>
  <c r="G2572" i="1"/>
  <c r="G2573" i="1"/>
  <c r="G2575" i="1"/>
  <c r="G2576" i="1"/>
  <c r="G2577" i="1"/>
  <c r="G2578" i="1"/>
  <c r="G2579" i="1"/>
  <c r="G2580" i="1"/>
  <c r="G2582" i="1"/>
  <c r="G2584" i="1"/>
  <c r="G2585" i="1"/>
  <c r="G2586" i="1"/>
  <c r="G2587" i="1"/>
  <c r="G2588" i="1"/>
  <c r="G2589" i="1"/>
  <c r="G2590" i="1"/>
  <c r="G2591" i="1"/>
  <c r="G2592" i="1"/>
  <c r="G2593" i="1"/>
  <c r="G2594" i="1"/>
  <c r="G2595" i="1"/>
  <c r="G2596" i="1"/>
  <c r="G2597" i="1"/>
  <c r="G2599" i="1"/>
  <c r="G2600" i="1"/>
  <c r="G2601" i="1"/>
  <c r="G2602" i="1"/>
  <c r="G2604" i="1"/>
  <c r="G2605" i="1"/>
  <c r="G2606" i="1"/>
  <c r="G2607" i="1"/>
  <c r="G2608" i="1"/>
  <c r="G2610" i="1"/>
  <c r="G2613" i="1"/>
  <c r="G2614" i="1"/>
  <c r="G2615" i="1"/>
  <c r="G2617" i="1"/>
  <c r="G2618" i="1"/>
  <c r="G2619" i="1"/>
  <c r="G2620" i="1"/>
  <c r="G2621" i="1"/>
  <c r="G2622" i="1"/>
  <c r="G2623" i="1"/>
  <c r="G2624" i="1"/>
  <c r="G2625" i="1"/>
  <c r="G2626" i="1"/>
  <c r="G2627" i="1"/>
  <c r="G2628" i="1"/>
  <c r="G2630" i="1"/>
  <c r="G2631" i="1"/>
  <c r="G2632" i="1"/>
  <c r="G2633" i="1"/>
  <c r="G2634" i="1"/>
  <c r="G2635" i="1"/>
  <c r="G2636" i="1"/>
  <c r="G2637" i="1"/>
  <c r="G2638" i="1"/>
  <c r="G2640" i="1"/>
  <c r="G2641" i="1"/>
  <c r="G2644" i="1"/>
  <c r="G2645" i="1"/>
  <c r="G2646" i="1"/>
  <c r="G2647" i="1"/>
  <c r="G2648" i="1"/>
  <c r="G2649" i="1"/>
  <c r="G2650" i="1"/>
  <c r="G2652" i="1"/>
  <c r="G2653" i="1"/>
  <c r="G2654" i="1"/>
  <c r="G2655" i="1"/>
  <c r="G2657" i="1"/>
  <c r="G2658" i="1"/>
  <c r="G2659" i="1"/>
  <c r="G2660" i="1"/>
  <c r="G2661" i="1"/>
  <c r="G2663" i="1"/>
  <c r="G2664" i="1"/>
  <c r="G2665" i="1"/>
  <c r="G2666" i="1"/>
  <c r="G2667" i="1"/>
  <c r="G2668" i="1"/>
  <c r="G2669" i="1"/>
  <c r="G2671" i="1"/>
  <c r="G2672" i="1"/>
  <c r="G2673" i="1"/>
  <c r="G2674" i="1"/>
  <c r="G2675" i="1"/>
  <c r="G2676" i="1"/>
  <c r="G2677" i="1"/>
  <c r="G2678" i="1"/>
  <c r="G2679" i="1"/>
  <c r="G2680" i="1"/>
  <c r="G2681" i="1"/>
  <c r="G2683" i="1"/>
  <c r="G2684" i="1"/>
  <c r="G2685" i="1"/>
  <c r="G2686" i="1"/>
  <c r="G2687" i="1"/>
  <c r="G2690" i="1"/>
  <c r="G2691" i="1"/>
  <c r="G2692" i="1"/>
  <c r="G2693" i="1"/>
  <c r="G2694" i="1"/>
  <c r="G2695" i="1"/>
  <c r="G2697" i="1"/>
  <c r="G2696" i="1"/>
  <c r="G2698" i="1"/>
  <c r="G2700" i="1"/>
  <c r="G2701" i="1"/>
  <c r="G2702" i="1"/>
  <c r="G2703" i="1"/>
  <c r="G2704" i="1"/>
  <c r="G2705" i="1"/>
  <c r="G2708" i="1"/>
  <c r="G2710" i="1"/>
  <c r="G2715" i="1"/>
  <c r="G2706" i="1"/>
  <c r="G2759" i="1"/>
  <c r="G2753" i="1"/>
  <c r="G2662" i="1"/>
  <c r="G2740" i="1"/>
  <c r="G2717" i="1"/>
  <c r="G2720" i="1"/>
  <c r="G2722" i="1"/>
  <c r="G2723" i="1"/>
  <c r="G2724" i="1"/>
  <c r="G2727" i="1"/>
  <c r="G2730" i="1"/>
  <c r="G2731" i="1"/>
  <c r="G2739" i="1"/>
  <c r="G2741" i="1"/>
  <c r="G2742" i="1"/>
  <c r="G2754" i="1"/>
  <c r="G2760" i="1"/>
  <c r="G2764" i="1"/>
  <c r="G2765" i="1"/>
  <c r="G2766" i="1"/>
  <c r="G2768" i="1"/>
  <c r="G2716" i="1"/>
  <c r="G2682" i="1"/>
  <c r="G2729" i="1"/>
  <c r="G1963" i="1"/>
  <c r="G2134" i="1"/>
  <c r="G2261" i="1"/>
  <c r="G2711" i="1"/>
  <c r="G2689" i="1"/>
  <c r="G2707" i="1"/>
  <c r="G2531" i="1"/>
  <c r="G2532" i="1"/>
  <c r="G2561" i="1"/>
  <c r="G2726" i="1"/>
  <c r="G2714" i="1"/>
  <c r="G2721" i="1"/>
  <c r="G2737" i="1"/>
  <c r="G2743" i="1"/>
  <c r="G2713" i="1"/>
  <c r="G2712" i="1"/>
  <c r="G2734" i="1"/>
  <c r="G2752" i="1"/>
  <c r="G2732" i="1"/>
  <c r="G2745" i="1"/>
  <c r="G2510" i="1"/>
  <c r="G2733" i="1"/>
  <c r="G2735" i="1"/>
  <c r="G2738" i="1"/>
  <c r="G2748" i="1"/>
  <c r="G2756" i="1"/>
  <c r="G2757" i="1"/>
  <c r="G2767" i="1"/>
  <c r="G2769" i="1"/>
  <c r="G2772" i="1"/>
  <c r="G2773" i="1"/>
  <c r="G2725" i="1"/>
  <c r="G2744" i="1"/>
  <c r="G2751" i="1"/>
  <c r="G2755" i="1"/>
  <c r="G2749" i="1"/>
  <c r="G2736" i="1"/>
  <c r="G2762" i="1"/>
  <c r="G2670" i="1"/>
  <c r="G2781" i="1"/>
  <c r="G2784" i="1"/>
  <c r="G2796" i="1"/>
  <c r="G2794" i="1"/>
  <c r="G2798" i="1"/>
  <c r="G2799" i="1"/>
  <c r="G2616" i="1"/>
  <c r="G2809" i="1"/>
  <c r="G2656" i="1"/>
  <c r="G1442" i="1"/>
  <c r="G2797" i="1"/>
  <c r="G2805" i="1"/>
  <c r="G2776" i="1"/>
  <c r="G2779" i="1"/>
  <c r="G2770" i="1"/>
  <c r="G2643" i="1"/>
  <c r="G2780" i="1"/>
  <c r="G2793" i="1"/>
  <c r="G2788" i="1"/>
  <c r="G2783" i="1"/>
  <c r="G2789" i="1"/>
  <c r="G2792" i="1"/>
  <c r="G2795" i="1"/>
  <c r="G2800" i="1"/>
  <c r="G2763" i="1"/>
  <c r="G2778" i="1"/>
  <c r="G2830" i="1"/>
  <c r="G2848" i="1"/>
  <c r="G2810" i="1"/>
  <c r="G2822" i="1"/>
  <c r="G2823" i="1"/>
  <c r="G2826" i="1"/>
  <c r="G2829" i="1"/>
  <c r="G2832" i="1"/>
  <c r="G2791" i="1"/>
  <c r="G2846" i="1"/>
  <c r="G2852" i="1"/>
  <c r="G2853" i="1"/>
  <c r="G2854" i="1"/>
  <c r="G2857" i="1"/>
  <c r="G2858" i="1"/>
  <c r="G2860" i="1"/>
  <c r="G2861" i="1"/>
  <c r="G2862" i="1"/>
  <c r="G2865" i="1"/>
  <c r="G2868" i="1"/>
  <c r="G2775" i="1"/>
  <c r="G2839" i="1"/>
  <c r="G2856" i="1"/>
  <c r="G2842" i="1"/>
  <c r="G2808" i="1"/>
  <c r="G2651" i="1"/>
  <c r="G2746" i="1"/>
  <c r="G2750" i="1"/>
  <c r="G2827" i="1"/>
  <c r="G2429" i="1"/>
  <c r="G2820" i="1"/>
  <c r="G2815" i="1"/>
  <c r="G2849" i="1"/>
  <c r="G2843" i="1"/>
  <c r="G2801" i="1"/>
  <c r="G2811" i="1"/>
  <c r="G2825" i="1"/>
  <c r="G2855" i="1"/>
  <c r="G2813" i="1"/>
  <c r="G2812" i="1"/>
  <c r="G2814" i="1"/>
  <c r="G2816" i="1"/>
  <c r="G2817" i="1"/>
  <c r="G2819" i="1"/>
  <c r="G2824" i="1"/>
  <c r="G2821" i="1"/>
  <c r="G2828" i="1"/>
  <c r="G2831" i="1"/>
  <c r="G2833" i="1"/>
  <c r="G2835" i="1"/>
  <c r="G2838" i="1"/>
  <c r="G2844" i="1"/>
  <c r="G2709" i="1"/>
  <c r="G2836" i="1"/>
  <c r="G2837" i="1"/>
  <c r="G2864" i="1"/>
  <c r="G2869" i="1"/>
  <c r="G2583" i="1"/>
  <c r="G2790" i="1"/>
  <c r="G2803" i="1"/>
  <c r="G2802" i="1"/>
  <c r="G2840" i="1"/>
  <c r="G2845" i="1"/>
  <c r="G2882" i="1"/>
  <c r="G2875" i="1"/>
  <c r="G2876" i="1"/>
  <c r="G2878" i="1"/>
  <c r="G2885" i="1"/>
  <c r="G2888" i="1"/>
  <c r="G2903" i="1"/>
  <c r="G2880" i="1"/>
  <c r="G2879" i="1"/>
  <c r="G2884" i="1"/>
  <c r="G2847" i="1"/>
  <c r="G2871" i="1"/>
  <c r="G2777" i="1"/>
  <c r="G2804" i="1"/>
  <c r="G2873" i="1"/>
  <c r="G2898" i="1"/>
  <c r="G2870" i="1"/>
  <c r="G2834" i="1"/>
  <c r="G2872" i="1"/>
  <c r="G2877" i="1"/>
  <c r="G2881" i="1"/>
  <c r="G2891" i="1"/>
  <c r="G2893" i="1"/>
  <c r="G2897" i="1"/>
  <c r="G2901" i="1"/>
  <c r="G2902" i="1"/>
  <c r="G2866" i="1"/>
  <c r="G2867" i="1"/>
  <c r="G2887" i="1"/>
  <c r="G2892" i="1"/>
  <c r="G2899" i="1"/>
  <c r="G2883" i="1"/>
  <c r="G2850" i="1"/>
  <c r="G2915" i="1"/>
  <c r="G2874" i="1"/>
  <c r="G2914" i="1"/>
  <c r="G2889" i="1"/>
  <c r="G2907" i="1"/>
  <c r="G2909" i="1"/>
  <c r="G2912" i="1"/>
  <c r="G2920" i="1"/>
  <c r="G2904" i="1"/>
  <c r="G2895" i="1"/>
  <c r="G2916" i="1"/>
  <c r="G2962" i="1"/>
  <c r="G2922" i="1"/>
  <c r="G2931" i="1"/>
  <c r="G2937" i="1"/>
  <c r="G2935" i="1"/>
  <c r="G2939" i="1"/>
  <c r="G2945" i="1"/>
  <c r="G2947" i="1"/>
  <c r="G2951" i="1"/>
  <c r="G2952" i="1"/>
  <c r="G2971" i="1"/>
  <c r="G2972" i="1"/>
  <c r="G2944" i="1"/>
  <c r="G2958" i="1"/>
  <c r="G2963" i="1"/>
  <c r="G2896" i="1"/>
  <c r="G2938" i="1"/>
  <c r="G2894" i="1"/>
  <c r="G2917" i="1"/>
  <c r="G2923" i="1"/>
  <c r="G2966" i="1"/>
  <c r="G2973" i="1"/>
  <c r="G2919" i="1"/>
  <c r="G2911" i="1"/>
  <c r="G2948" i="1"/>
  <c r="G2954" i="1"/>
  <c r="G2863" i="1"/>
  <c r="G2953" i="1"/>
  <c r="G2957" i="1"/>
  <c r="G2960" i="1"/>
  <c r="G2921" i="1"/>
  <c r="G2924" i="1"/>
  <c r="G2925" i="1"/>
  <c r="G2926" i="1"/>
  <c r="G2933" i="1"/>
  <c r="G2955" i="1"/>
  <c r="G2959" i="1"/>
  <c r="G2964" i="1"/>
  <c r="G2965" i="1"/>
  <c r="G2968" i="1"/>
  <c r="G2978" i="1"/>
  <c r="G2969" i="1"/>
  <c r="G2913" i="1"/>
  <c r="G2929" i="1"/>
  <c r="G2956" i="1"/>
  <c r="G2979" i="1"/>
  <c r="G2981" i="1"/>
  <c r="G2975" i="1"/>
  <c r="G2984" i="1"/>
  <c r="G2990" i="1"/>
  <c r="G2995" i="1"/>
  <c r="G2886" i="1"/>
  <c r="G2930" i="1"/>
  <c r="G2949" i="1"/>
  <c r="G2699" i="1"/>
  <c r="G2609" i="1"/>
  <c r="G2991" i="1"/>
  <c r="G2992" i="1"/>
  <c r="G2980" i="1"/>
  <c r="G2986" i="1"/>
  <c r="G2994" i="1"/>
  <c r="G2996" i="1"/>
  <c r="G3006" i="1"/>
  <c r="G3022" i="1"/>
  <c r="G3003" i="1"/>
  <c r="G3001" i="1"/>
  <c r="G3004" i="1"/>
  <c r="G3017" i="1"/>
  <c r="G3018" i="1"/>
  <c r="G2967" i="1"/>
  <c r="G3025" i="1"/>
  <c r="G2974" i="1"/>
  <c r="G2993" i="1"/>
  <c r="G3008" i="1"/>
  <c r="G2910" i="1"/>
  <c r="G2928" i="1"/>
  <c r="G2932" i="1"/>
  <c r="G2940" i="1"/>
  <c r="G2908" i="1"/>
  <c r="G2989" i="1"/>
  <c r="G2977" i="1"/>
  <c r="G2859" i="1"/>
  <c r="G2936" i="1"/>
  <c r="G2961" i="1"/>
  <c r="G3024" i="1"/>
  <c r="G3000" i="1"/>
  <c r="G3020" i="1"/>
  <c r="G3016" i="1"/>
  <c r="G2942" i="1"/>
  <c r="G2941" i="1"/>
  <c r="G2943" i="1"/>
  <c r="G2950" i="1"/>
  <c r="G2997" i="1"/>
  <c r="G3002" i="1"/>
  <c r="G3005" i="1"/>
  <c r="G3007" i="1"/>
  <c r="G3010" i="1"/>
  <c r="G3015" i="1"/>
  <c r="G3019" i="1"/>
  <c r="G3026" i="1"/>
  <c r="G3029" i="1"/>
  <c r="G2999" i="1"/>
  <c r="G3030" i="1"/>
  <c r="G3034" i="1"/>
  <c r="G2970" i="1"/>
  <c r="G3013" i="1"/>
  <c r="G2998" i="1"/>
  <c r="G3012" i="1"/>
  <c r="G3032" i="1"/>
  <c r="G3031" i="1"/>
  <c r="G3033" i="1"/>
  <c r="G3039" i="1"/>
  <c r="G3023" i="1"/>
  <c r="G3028" i="1"/>
  <c r="G3014" i="1"/>
  <c r="G3027" i="1"/>
  <c r="G3038" i="1"/>
  <c r="G3036" i="1"/>
  <c r="G2987" i="1"/>
  <c r="G2946" i="1"/>
  <c r="G3040" i="1"/>
  <c r="G3041" i="1"/>
  <c r="G3043" i="1"/>
  <c r="G3037" i="1"/>
  <c r="G3047" i="1"/>
  <c r="G3066" i="1"/>
  <c r="G3011" i="1"/>
  <c r="G3049" i="1"/>
  <c r="G3050" i="1"/>
  <c r="G3035" i="1"/>
  <c r="G3042" i="1"/>
  <c r="G2603" i="1"/>
  <c r="G3046" i="1"/>
  <c r="G3068" i="1"/>
  <c r="G3058" i="1"/>
  <c r="G3045" i="1"/>
  <c r="G3054" i="1"/>
  <c r="G3055" i="1"/>
  <c r="G3060" i="1"/>
  <c r="G3061" i="1"/>
  <c r="G3064" i="1"/>
  <c r="G3071" i="1"/>
  <c r="G3052" i="1"/>
  <c r="G2927" i="1"/>
  <c r="G2239" i="1"/>
  <c r="G3069" i="1"/>
  <c r="G2934" i="1"/>
  <c r="G2918" i="1"/>
  <c r="G3076" i="1"/>
  <c r="G3080" i="1"/>
  <c r="G3081" i="1"/>
  <c r="G3082" i="1"/>
  <c r="G3089" i="1"/>
  <c r="G3090" i="1"/>
  <c r="G3048" i="1"/>
  <c r="G3074" i="1"/>
  <c r="G3067" i="1"/>
  <c r="G3085" i="1"/>
  <c r="G3053" i="1"/>
  <c r="G3096" i="1"/>
  <c r="G3105" i="1"/>
  <c r="G2150" i="1"/>
  <c r="G2557" i="1"/>
  <c r="G2496" i="1"/>
  <c r="G2452" i="1"/>
  <c r="G2629" i="1"/>
  <c r="G2612" i="1"/>
  <c r="G2719" i="1"/>
  <c r="G2728" i="1"/>
  <c r="G2761" i="1"/>
  <c r="G2581" i="1"/>
  <c r="G2598" i="1"/>
  <c r="G2900" i="1"/>
  <c r="G2985" i="1"/>
  <c r="G2988" i="1"/>
  <c r="G3021" i="1"/>
  <c r="G3057" i="1"/>
  <c r="G3075" i="1"/>
  <c r="G3083" i="1"/>
  <c r="G3070" i="1"/>
  <c r="G3062" i="1"/>
  <c r="G3091" i="1"/>
  <c r="G3077" i="1"/>
  <c r="G3100" i="1"/>
  <c r="G3051" i="1"/>
  <c r="G3063" i="1"/>
  <c r="G3073" i="1"/>
  <c r="G3078" i="1"/>
  <c r="G3079" i="1"/>
  <c r="G3084" i="1"/>
  <c r="G3086" i="1"/>
  <c r="G3088" i="1"/>
  <c r="G3093" i="1"/>
  <c r="G3097" i="1"/>
  <c r="G3099" i="1"/>
  <c r="G3108" i="1"/>
  <c r="G2841" i="1"/>
  <c r="G3059" i="1"/>
  <c r="G3056" i="1"/>
  <c r="G3101" i="1"/>
  <c r="G3092" i="1"/>
  <c r="G3118" i="1"/>
  <c r="G3123" i="1"/>
  <c r="G3132" i="1"/>
  <c r="G3136" i="1"/>
  <c r="G3149" i="1"/>
  <c r="G3148" i="1"/>
  <c r="G3151" i="1"/>
  <c r="G3152" i="1"/>
  <c r="G3155" i="1"/>
  <c r="G3158" i="1"/>
  <c r="G3119" i="1"/>
  <c r="G3138" i="1"/>
  <c r="G2890" i="1"/>
  <c r="G3142" i="1"/>
  <c r="G3134" i="1"/>
  <c r="G3122" i="1"/>
  <c r="G3065" i="1"/>
  <c r="G3116" i="1"/>
  <c r="G3124" i="1"/>
  <c r="G3125" i="1"/>
  <c r="G3106" i="1"/>
  <c r="G3141" i="1"/>
  <c r="G3143" i="1"/>
  <c r="G3161" i="1"/>
  <c r="G3044" i="1"/>
  <c r="G3126" i="1"/>
  <c r="G3113" i="1"/>
  <c r="G3114" i="1"/>
  <c r="G3127" i="1"/>
  <c r="G3128" i="1"/>
  <c r="G3115" i="1"/>
  <c r="G3120" i="1"/>
  <c r="G3129" i="1"/>
  <c r="G3146" i="1"/>
  <c r="G3144" i="1"/>
  <c r="G3098" i="1"/>
  <c r="G2851" i="1"/>
  <c r="G2983" i="1"/>
  <c r="G3147" i="1"/>
  <c r="G3109" i="1"/>
  <c r="G3087" i="1"/>
  <c r="G3110" i="1"/>
  <c r="G3117" i="1"/>
  <c r="G3140" i="1"/>
  <c r="G3162" i="1"/>
  <c r="G3164" i="1"/>
  <c r="G3163" i="1"/>
  <c r="G3167" i="1"/>
  <c r="G3171" i="1"/>
  <c r="G3174" i="1"/>
  <c r="G3175" i="1"/>
  <c r="G3176" i="1"/>
  <c r="G3177" i="1"/>
  <c r="G3178" i="1"/>
  <c r="G3182" i="1"/>
  <c r="G3154" i="1"/>
  <c r="G3157" i="1"/>
  <c r="G3168" i="1"/>
  <c r="G3172" i="1"/>
  <c r="G3179" i="1"/>
  <c r="G3181" i="1"/>
  <c r="G3139" i="1"/>
  <c r="G3145" i="1"/>
  <c r="G3165" i="1"/>
  <c r="G3121" i="1"/>
  <c r="G3183" i="1"/>
  <c r="G3160" i="1"/>
  <c r="G3169" i="1"/>
  <c r="G3153" i="1"/>
  <c r="G3184" i="1"/>
  <c r="G3104" i="1"/>
  <c r="G3187" i="1"/>
  <c r="G3189" i="1"/>
  <c r="G3190" i="1"/>
  <c r="G3193" i="1"/>
  <c r="G3200" i="1"/>
  <c r="G3201" i="1"/>
  <c r="G3205" i="1"/>
  <c r="G3209" i="1"/>
  <c r="G3212" i="1"/>
  <c r="G3166" i="1"/>
  <c r="G3180" i="1"/>
  <c r="G3133" i="1"/>
  <c r="G3137" i="1"/>
  <c r="G3199" i="1"/>
  <c r="G3211" i="1"/>
  <c r="G2982" i="1"/>
  <c r="G3103" i="1"/>
  <c r="G3195" i="1"/>
  <c r="G3208" i="1"/>
  <c r="G3220" i="1"/>
  <c r="G3204" i="1"/>
  <c r="G3215" i="1"/>
  <c r="G3191" i="1"/>
  <c r="G3192" i="1"/>
  <c r="G3072" i="1"/>
  <c r="G3218" i="1"/>
  <c r="G3196" i="1"/>
  <c r="G3156" i="1"/>
  <c r="G3159" i="1"/>
  <c r="G3194" i="1"/>
  <c r="G3202" i="1"/>
  <c r="G3185" i="1"/>
  <c r="G3197" i="1"/>
  <c r="G3206" i="1"/>
  <c r="G3207" i="1"/>
  <c r="G3210" i="1"/>
  <c r="G3219" i="1"/>
  <c r="G3222" i="1"/>
  <c r="G3224" i="1"/>
  <c r="G3228" i="1"/>
  <c r="G3186" i="1"/>
  <c r="G3188" i="1"/>
  <c r="G3230" i="1"/>
  <c r="G3229" i="1"/>
  <c r="G3231" i="1"/>
  <c r="G3232" i="1"/>
  <c r="G3227" i="1"/>
  <c r="G3226" i="1"/>
  <c r="G3217" i="1"/>
  <c r="G3221" i="1"/>
  <c r="G3233" i="1"/>
  <c r="G3236" i="1"/>
  <c r="G3235" i="1"/>
  <c r="G3234" i="1"/>
  <c r="G3094" i="1"/>
  <c r="G3238" i="1"/>
  <c r="G3240" i="1"/>
  <c r="G3244" i="1"/>
  <c r="G3237" i="1"/>
  <c r="G3107" i="1"/>
  <c r="G3241" i="1"/>
  <c r="G3248" i="1"/>
  <c r="G3239" i="1"/>
  <c r="G3246" i="1"/>
  <c r="G3254" i="1"/>
  <c r="G3247" i="1"/>
  <c r="G3253" i="1"/>
  <c r="G3245" i="1"/>
  <c r="G3256" i="1"/>
  <c r="G3257" i="1"/>
  <c r="G3249" i="1"/>
  <c r="G3255" i="1"/>
  <c r="G3261" i="1"/>
  <c r="G3251" i="1"/>
  <c r="G3259" i="1"/>
  <c r="G3264" i="1"/>
  <c r="G3260" i="1"/>
  <c r="G3262" i="1"/>
  <c r="G3267" i="1"/>
  <c r="G3266" i="1"/>
  <c r="G3270" i="1"/>
  <c r="G3268" i="1"/>
  <c r="G3265" i="1"/>
  <c r="G3269" i="1"/>
  <c r="G3263" i="1"/>
  <c r="G3250" i="1"/>
  <c r="G3271" i="1"/>
  <c r="G3276" i="1"/>
  <c r="G3277" i="1"/>
  <c r="G3278" i="1"/>
  <c r="G3281" i="1"/>
  <c r="G3284" i="1"/>
  <c r="G3279" i="1"/>
  <c r="G3282" i="1"/>
  <c r="G3272" i="1"/>
  <c r="G3283" i="1"/>
  <c r="G3287" i="1"/>
  <c r="G3288" i="1"/>
  <c r="G3290" i="1"/>
  <c r="G3289" i="1"/>
  <c r="G3285" i="1"/>
  <c r="G3293" i="1"/>
  <c r="G3294" i="1"/>
  <c r="G3295" i="1"/>
  <c r="G329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PICONE Laura (Trainee)</author>
  </authors>
  <commentList>
    <comment ref="I2687" authorId="0" shapeId="0" xr:uid="{00000000-0006-0000-0000-000001000000}">
      <text>
        <r>
          <rPr>
            <b/>
            <sz val="9"/>
            <color indexed="81"/>
            <rFont val="Tahoma"/>
            <family val="2"/>
          </rPr>
          <t>PICONE Laura (Trainee):</t>
        </r>
        <r>
          <rPr>
            <sz val="9"/>
            <color indexed="81"/>
            <rFont val="Tahoma"/>
            <family val="2"/>
          </rPr>
          <t xml:space="preserve">
It is not specified in the file</t>
        </r>
      </text>
    </comment>
  </commentList>
</comments>
</file>

<file path=xl/sharedStrings.xml><?xml version="1.0" encoding="utf-8"?>
<sst xmlns="http://schemas.openxmlformats.org/spreadsheetml/2006/main" count="129691" uniqueCount="43697">
  <si>
    <t>Only received by email after ERAIL stopped to work</t>
  </si>
  <si>
    <t>Report Type</t>
  </si>
  <si>
    <t>Investigation Status</t>
  </si>
  <si>
    <t>ERAIL Occurrence</t>
  </si>
  <si>
    <t>Title</t>
  </si>
  <si>
    <t>Reporting Body</t>
  </si>
  <si>
    <t>Date of occurrence</t>
  </si>
  <si>
    <t>Time of occurrence</t>
  </si>
  <si>
    <t>Occurrence type</t>
  </si>
  <si>
    <t>Occurrence description</t>
  </si>
  <si>
    <t>Country</t>
  </si>
  <si>
    <t>Location name</t>
  </si>
  <si>
    <t>Railway System type</t>
  </si>
  <si>
    <t>Line type</t>
  </si>
  <si>
    <t>Location type</t>
  </si>
  <si>
    <t>Movement type</t>
  </si>
  <si>
    <t>RU involved</t>
  </si>
  <si>
    <t>IM involved</t>
  </si>
  <si>
    <t>Passenger fatalities</t>
  </si>
  <si>
    <t>Staff fatalities</t>
  </si>
  <si>
    <t>LC User fatalities</t>
  </si>
  <si>
    <t>Unauthorised person fatalities</t>
  </si>
  <si>
    <t>Other fatalities</t>
  </si>
  <si>
    <t>Total fatalities</t>
  </si>
  <si>
    <t>Passenger serious injuries</t>
  </si>
  <si>
    <t>Staff serious injuries</t>
  </si>
  <si>
    <t>LC User serious injuries</t>
  </si>
  <si>
    <t>Unauth. person serious injuries</t>
  </si>
  <si>
    <t>Other serious injuries</t>
  </si>
  <si>
    <t>Total serious injuries</t>
  </si>
  <si>
    <t>Estimated total material costs</t>
  </si>
  <si>
    <t>Damage Description</t>
  </si>
  <si>
    <t>Legal basis</t>
  </si>
  <si>
    <t xml:space="preserve">Decision to investigate </t>
  </si>
  <si>
    <t>N. of related Safety Recs</t>
  </si>
  <si>
    <t>Direct cause description (including causal and contributing factors, excluding those of systemic nature)</t>
  </si>
  <si>
    <t>Underlying and root causes description (i.e. systemic factors, if any)</t>
  </si>
  <si>
    <t>Final report</t>
  </si>
  <si>
    <t>FI-135</t>
  </si>
  <si>
    <t>Wrong-side signalling failure, 29/06/2002, Kouvola - Harju section of line (Finland)</t>
  </si>
  <si>
    <t>Accident Investigation Board of Finland</t>
  </si>
  <si>
    <t>Wrong-side signalling failure</t>
  </si>
  <si>
    <t>Signal malfunctioning</t>
  </si>
  <si>
    <t>Finland</t>
  </si>
  <si>
    <t>Kouvola - Harju section of line</t>
  </si>
  <si>
    <t>Railway</t>
  </si>
  <si>
    <t>Line</t>
  </si>
  <si>
    <t>Long distance passenger train</t>
  </si>
  <si>
    <t>VR Group Ltd</t>
  </si>
  <si>
    <t>Finnish Rail Administration</t>
  </si>
  <si>
    <t/>
  </si>
  <si>
    <t>Other national rules/ regulations not referred to the Safety Directive 2004/49/EC</t>
  </si>
  <si>
    <t>NL-444</t>
  </si>
  <si>
    <t>Train derailment, 30/04/2003, Station Apeldoorn (The Netherlands)</t>
  </si>
  <si>
    <t>The Dutch Safety Board</t>
  </si>
  <si>
    <t>Train derailment</t>
  </si>
  <si>
    <t>Derailment of a freight train which was loaded with coils of steel.</t>
  </si>
  <si>
    <t>The Netherlands</t>
  </si>
  <si>
    <t>Station Apeldoorn</t>
  </si>
  <si>
    <t>Station</t>
  </si>
  <si>
    <t>Freight train</t>
  </si>
  <si>
    <t>Railion Nederland</t>
  </si>
  <si>
    <t>ProRail</t>
  </si>
  <si>
    <t>A lot of wagons were destroyed and coils were located deep in the ground in and near by the tracks and some wagons and coils of steel where on the road.</t>
  </si>
  <si>
    <t>in light of Article 19 §1 of SD"</t>
  </si>
  <si>
    <t>FI-134</t>
  </si>
  <si>
    <t>Other, 15.4.2004, Kaukomarkkinat Oy's track at Hamina Port (Finland)</t>
  </si>
  <si>
    <t>Other</t>
  </si>
  <si>
    <t>Three methanol carrying Russian tank wagons derailed</t>
  </si>
  <si>
    <t>Kaukomarkkinat Oy's track at Hamina Port</t>
  </si>
  <si>
    <t>Multiple track</t>
  </si>
  <si>
    <t>Marshalling yard</t>
  </si>
  <si>
    <t>Shunting operation</t>
  </si>
  <si>
    <t>&lt; 150 000 €</t>
  </si>
  <si>
    <t>Rolling stock: one secondary air reservoir. Infrastructure: 40 m track.</t>
  </si>
  <si>
    <t>The incident was caused by the poor condition of the track owned by Kaukomarkkinat Oy. In fact the welding of the j-form rail fastenings made of flat bar iron proved deficient, as only the ends of the fastenings had been welded to the base plates. The detaching of a few fastenings generated a chain reaction that resulted in the detaching of the outer curve fastenings over a track length of about 40 metres and in a widening of the track under the wagons.</t>
  </si>
  <si>
    <t>FI-45</t>
  </si>
  <si>
    <t>Train derailment, 5/11/2004, Pieksämäki Railway Yard (Finland)</t>
  </si>
  <si>
    <t>Two wagons derailed</t>
  </si>
  <si>
    <t>Pieksämäki Railway Yard</t>
  </si>
  <si>
    <t>Single track</t>
  </si>
  <si>
    <t>Track was damaged over a distance of about 80 meters. The bogies of the second derailed wagon were badly damaged.</t>
  </si>
  <si>
    <t>The wooden sleepers were in poor condition and lateral deflections had generated at the rail joints.</t>
  </si>
  <si>
    <t>NL-168</t>
  </si>
  <si>
    <t>Spad, 21/05/2004, Station Amsterdam (The Netherlands)</t>
  </si>
  <si>
    <t>Spad</t>
  </si>
  <si>
    <t>SPAD (an empty double decker train collided with an intercity passenger train)</t>
  </si>
  <si>
    <t>Station Amsterdam</t>
  </si>
  <si>
    <t>NS passenger</t>
  </si>
  <si>
    <t>The damage to the infrastructure and the rolling stock was considerable.</t>
  </si>
  <si>
    <t>FI-137</t>
  </si>
  <si>
    <t>Train derailment, 30/07/2004, Kouvola Railway Yard (Finland)</t>
  </si>
  <si>
    <t>Kouvola Railway Yard</t>
  </si>
  <si>
    <t>Damage to approximately 60 meters of track including three points.Damage to the bogie and wheelsets of the derailed wagons</t>
  </si>
  <si>
    <t>FR-147</t>
  </si>
  <si>
    <t>Level crossing accident, 24/11/2004, Millau level crossing n° 71 (France)</t>
  </si>
  <si>
    <t>BEA - TT Land Transport Investigation Body</t>
  </si>
  <si>
    <t>Level crossing accident</t>
  </si>
  <si>
    <t>Collision between a truck and a train</t>
  </si>
  <si>
    <t>France</t>
  </si>
  <si>
    <t>Millau level crossing n° 71</t>
  </si>
  <si>
    <t>Société Nationale des Chemins de fer Français</t>
  </si>
  <si>
    <t>Réseau Ferré de France</t>
  </si>
  <si>
    <t>NO-631</t>
  </si>
  <si>
    <t>Fire in RS, 01/01/2005, open line, station and tunnel (Norway)</t>
  </si>
  <si>
    <t>Accident Investigation Board Norway</t>
  </si>
  <si>
    <t>Fire in RS</t>
  </si>
  <si>
    <t>smoke and fire</t>
  </si>
  <si>
    <t>Norway</t>
  </si>
  <si>
    <t>open line, station and tunnel</t>
  </si>
  <si>
    <t>Metro</t>
  </si>
  <si>
    <t>Oslo T-banedrift AS</t>
  </si>
  <si>
    <t>Oslo Sporveier AS</t>
  </si>
  <si>
    <t>Somke and fire development metro wagons and infrastructure</t>
  </si>
  <si>
    <t>(a) the seriousness of the accident or incident</t>
  </si>
  <si>
    <t>Some of the causal factors can be traced to the maintenance and cleaning of electrical installations in the metro wagons. During this period errors and defects led to other errors and defects on the rolling stock and infrastructure.</t>
  </si>
  <si>
    <t>The maintenance procedures for the metro wagons and infrastructure did not identify equipment with great safety significance as safety critical systems, but gave them the same priority as the rest of the technical equipment.</t>
  </si>
  <si>
    <t>SE-261</t>
  </si>
  <si>
    <t>Train derailment, 2005-02-28, Ledsgård station south of Gothenburg (Sweden)</t>
  </si>
  <si>
    <t>Swedish Accident Investigation Board</t>
  </si>
  <si>
    <t>Freight train no 5525 was not able to stop beford a main signal showing 'stop'-aspect on a siding, where the train should stop to let another train pass. The train the collided with the buffer stop at at short safety siding, which protected the main down track, and went out on a field with the loco and three wagons. The train consisted of locomotive and 12 tank wagons with Chloride gas. There were no leakage of gas.</t>
  </si>
  <si>
    <t>Sweden</t>
  </si>
  <si>
    <t>Ledsgård station south of Gothenburg</t>
  </si>
  <si>
    <t>Double track</t>
  </si>
  <si>
    <t>Green Cargo AB</t>
  </si>
  <si>
    <t>Banverket / Swedish National Rail Administration</t>
  </si>
  <si>
    <t>&gt; 2 000 000 €</t>
  </si>
  <si>
    <t>Severe damages to the locomotive and the framework of 3 wagons. The buffer stop was destroyed and there were damages on the track and a catenary pole.</t>
  </si>
  <si>
    <t>The direct cause of train 5525 was unable to stop before the stop signal on track 1 in Ledsgård was that the train's actual braking ability was greatly reduced because all load switches were in the wrong position - EMPTY instead of LOADED. This was not discovered when the train's braking ability was established in Bohus. 
Den direkta orsaken till att tåg 5525 inte kunde stanna före stoppsignalen på spår 1 i Ledsgård var att tågets verkliga bromsförmåga var starkt reducerad på grund av att samtliga lastväxlar låg i fel läge – TOM i stället för LAST. Detta upptäcktes inte när tågets bromsförmåga fastställdes i Bohus.</t>
  </si>
  <si>
    <t>In Ledsgård delayed ATC procedure when speed is not reduced as expected by the lack of closure codes in ATC slips. It was not for ¬ prevented the incident but mitigated the consequences. The same applies if the buck stops at protecting the track has been done correctly. Both of these conditions has its roots in a lack of planning procedures.The deficiencies in the performance of shifting, braking and determination of braking ability on departure from Bohus may have its roots in a lack of training and experience as well as the relatively coarse tracking of duty is applied. There are no barriers that prevent a train departs until a check has been made of the omställningshandtagens position is consistent with the brake weights used in the brake's calculation. _x000D_
_x000D_
System test braking and retardation controls is not enough to permit in an optimal way to capture deviations from the trainset theoretically determined braking capacity. 
I Ledsgård försenades ATC-ingreppet när hastigheten inte sänktes som förväntat genom att det saknades lutningskoder i ATC-beskeden. Det hade inte för¬hindrat händelsen men lindrat konsekvenserna. Detsamma gäller om stoppbocken på skyddsspåret varit korrekt utförd. Båda dessa förhållanden har sin bakgrund i bristande projekteringsrutiner._x000D_
_x000D_
Bristerna i utförandet av växling, bromsprov och fastställande av bromsförmågan inför avgången från Bohus kan ha sin bakgrund i bristande utbildning och rutin samt det relativt grovmaskiga system för uppföljning i tjänstgöringen som tillämpas. Det saknas barriärer som förhindrar att ett tåg avgår förrän en kontroll har gjorts av att omställningshandtagens läge stämmer överens med de bromsvikter som används vid bromstalsberäkningen._x000D_
_x000D_
Systemet med provbromsningar och retardationskontroller är inte tillräckligt för att på ett optimalt sätt fånga upp avvikelser från det för tågsättet teoretiskt fastställda bromstalet.</t>
  </si>
  <si>
    <t>FI-136</t>
  </si>
  <si>
    <t>Level crossing accident, 10/03/2005, At a level crosing in Mäntyluoto (Finland)</t>
  </si>
  <si>
    <t>Collision of a shunting unit and an articulated vehicle</t>
  </si>
  <si>
    <t>At a level crosing in Mäntyluoto</t>
  </si>
  <si>
    <t>Some rail fastenings broke off. The right front foot board of the engine ws damaged. The articulated vehicle was damages beyond repair.</t>
  </si>
  <si>
    <t>FI-497</t>
  </si>
  <si>
    <t>Trains collision with an obstacle, 4/20/2005, Helsinki Central Railway Station, end of a track. (Finland)</t>
  </si>
  <si>
    <t>Trains collision with an obstacle</t>
  </si>
  <si>
    <t>In Helsinki on 20 April 2005 at 16.04, while being shunted to its departure track, passenger train 171 collided with a rail barrier, broke it and, having mounted it, continued for a further six metres towards the end platform._x000D_
The collision caused no personal injuries. The rail barrier and the collision car was damaged and the departure of the train was cancelled due to the inspection of the cars.</t>
  </si>
  <si>
    <t>Helsinki Central Railway Station, end of a track.</t>
  </si>
  <si>
    <t>The end- and substructures of the collided coach and trackbuffer damaged.</t>
  </si>
  <si>
    <t>The cause of the accident was that there was some kind of black spot in radio audibility, which_x000D_
prevented the locomotive driver from hearing the instructions given by the conductor on the escort_x000D_
radio, causing the train’s situational speed to remain too high and braking to occur too late.</t>
  </si>
  <si>
    <t>NO-298</t>
  </si>
  <si>
    <t>Wrong-side signalling failure, 20/04/2005, On Sandvika station and Slependen block station on the Drammen line. (Norway)</t>
  </si>
  <si>
    <t>Two following trains got wrong-side signaling in the advance signal for Slependen block station.</t>
  </si>
  <si>
    <t>On Sandvika station and Slependen block station on the Drammen line.</t>
  </si>
  <si>
    <t>Regional passenger train</t>
  </si>
  <si>
    <t>NSB AS; 
Flytoget AS</t>
  </si>
  <si>
    <t>Bane NOR SF</t>
  </si>
  <si>
    <t>FI-140</t>
  </si>
  <si>
    <t>Train derailment, 4/27/2005, Eskola Railway Yard (Finland)</t>
  </si>
  <si>
    <t>A Russian wagon loaded with pellets derailed</t>
  </si>
  <si>
    <t>Eskola Railway Yard</t>
  </si>
  <si>
    <t>10 meters of rail and 2 signal post were damaged. The caliper assembly levers of the derailed wagon were bent when they hit the ground</t>
  </si>
  <si>
    <t>The accident was caused by the stiffness of the Russian Vok-type wagon's bogies, the screw_x000D_
attachment of the rails, the wooden sleepers and their condition, as well as the rail type and the_x000D_
wear on the rail on the outside curve. The stiffness of the bogies was due to wear and lack of_x000D_
greasing in the pivots. The worn K43 rail attached with screws to slightly worn wooden sleepers_x000D_
allowed the momentary widening of the rails as the bogies broke. When this happened, the space_x000D_
between the rails became large enough to allow the wheels on the inside curve to slip between_x000D_
the rails. And after that the wheels on the outside curve rose over the rail, derailing the wagon.</t>
  </si>
  <si>
    <t>Worn pivots pose a direct derailment risk on worn rails, as well as an indirect one through premature_x000D_
wear on the wheels.</t>
  </si>
  <si>
    <t>FI-139</t>
  </si>
  <si>
    <t>Train derailment, 28/04/2005, The western end of the Heinävesi yard, track 2 (Finland)</t>
  </si>
  <si>
    <t>Five wagons derailed</t>
  </si>
  <si>
    <t>The western end of the Heinävesi yard, track 2</t>
  </si>
  <si>
    <t>100 meters of rail were damaged 2 wagons damaged beyond repair 3 wagons repaired"</t>
  </si>
  <si>
    <t>SE-827</t>
  </si>
  <si>
    <t>Fire in RS, 2005-05-16, Rinkeby station northwest of Stockholm (Sweden)</t>
  </si>
  <si>
    <t>16 May 2005, shortly after noon. 08:00 a fire broke out in the undercarriage of a metro carriage when the train carriage was in was on Rinkeby subway station. The fire was noticed by a passenger who observed the strange sound and light phenomena. The passenger made ??contact with the driver who said smoke during tunnel cart. Metro station was evacuated and called emergency services searched for any remaining passengers and extinguished the fire. No people were seriously injured. 
Den 16 maj 2005 strax efter kl. 08:00 utbröt en brand i underredet till en tunnelvagn då tåget som vagnen fanns in stod på Rinkeby tunnelbanestation. Branden uppmärksammades av en passagerare som iakttog märkliga ljud och ljusfenomen. Passageraren tog kontakt med föraren som konstaterade rök under tunnelvagnen. Tunnelbanestationen utrymdes och tillkallad räddningstjänst sökte efter eventuellt kvarvarande passagerare och släckte branden. Inga personer skadades allvarligt.</t>
  </si>
  <si>
    <t>Rinkeby station northwest of Stockholm</t>
  </si>
  <si>
    <t>Veolia Transport Sverige AB</t>
  </si>
  <si>
    <t>SL AB</t>
  </si>
  <si>
    <t>Major damages on one wagon due to the fire major damages on the electrical system on one wagon minor damages on the electrical systems on several wagons."</t>
  </si>
  <si>
    <t>The direct cause of the accident was an electrical breakdown of the vehicle combined with that the rail system power supply protection function were put out of action. 
Den direkta orsaken till olyckan var ett elektriskt överslag i fordonet kombinerat med att banmatningens skyddsfunktoner var satta ur spel.</t>
  </si>
  <si>
    <t>Underlying causes were that the disconnector from 3,335 to 33,411 had been in a different position (closed) in connection with preparatory work for the SNOK-system and were not affected by the emergency switch that the dispatcher did._x000D_
_x000D_
Organisational reasons was that there was a system that ensured that switching positions were accurate based on planned location. The lack of an integrated safety management for the companies that appeared in the subway which meant that the common risks are not managed. 
Bakomliggande orsaker var att frånskiljare 3335-33411 hade lagts i avvikande läge (sluten) i samband med förberedande arbeten för SNOK-systemet och inte påverkades av den räddningsfrånkoppling som trafikledaren utförde._x000D_
_x000D_
Organisatoriska orsaker var att det inte fanns ett system som säkerställde att kopplingslägen var korrekta utifrån planerat läge. Det saknades en integrerad säkerhetsstyrning för de företag som verkade inom tunnelbanan vilket innebar att gemensamma risker inte hanterades.</t>
  </si>
  <si>
    <t>NL-161</t>
  </si>
  <si>
    <t>Train derailment, 06/06/2005, Amsterdam Central Station (The Netherlands)</t>
  </si>
  <si>
    <t>On 6 june, 10 june 2005, trains derailed on the western emplacement of Amsterdam Central Station. The Safety Board decided to make an unique investigation report on the both accident to see whether there was a possible link between the two._x000D_
On 6 june, a train carrying gravel derailed on the west side of the emplacement at Amsterdam Central Station. As a result of the derailment, several sections of the train came apart. The engine with 20 wagons came to a halt on the rails. The middle section of the train derailed and a number of wagons overtuned._x000D_
On 10 june 2005, an empty coal train derailed on the damaged set of points. The train consisted of an engine and 36 empty coal wagons. The rear three wagons derailed and one tipped over on its side._x000D_
On Monday 15 August 2005, the intercity train bound for Haarlem derailed in the western yard of Amsterdam Central station. No-one was injured but much property was damaged. This derailment was the third in the same yard within a short space of time, as on 6 June a loaded gravel-carrying train had already derailed, to be followed on 10 June by an empty coal train.</t>
  </si>
  <si>
    <t>Amsterdam Central Station</t>
  </si>
  <si>
    <t>Considerable damage to both equipment and infrastructure. For the accident of 10 june a number of points were also damaged."</t>
  </si>
  <si>
    <t>referred to the attached report</t>
  </si>
  <si>
    <t>AT-515</t>
  </si>
  <si>
    <t>Trains collision, 02/07/2005, between Bramberg and Muehlbach (Austria)</t>
  </si>
  <si>
    <t>Bundesanstalt für Verkehr Unfalluntersuchung Fachbereich Schiene</t>
  </si>
  <si>
    <t>Trains collision</t>
  </si>
  <si>
    <t>two trains collided head-on on a single track railway</t>
  </si>
  <si>
    <t>Austria</t>
  </si>
  <si>
    <t>between Bramberg and Muehlbach</t>
  </si>
  <si>
    <t>ÖBB-Personenverkehr AG</t>
  </si>
  <si>
    <t>ÖBB-Infrastruktur Betrieb AG</t>
  </si>
  <si>
    <t>Die Tfz 2095.002 und Tfz 2095.003 sowie 5 Reise- und Güterwagen wurden zum Teil schwer beschädigt. Die Gleis- und Fernmeldeanlagen wurden auf einer Länge von ca. 250 m zum Teil schwer beschädigt.Both locomotives  2095.002 and 2095.003 and  5 passenger-"</t>
  </si>
  <si>
    <t>Unerlaubte Abfahrt des Z 3313 aus der Zuglaufstelle Bramberg ohne Abwarten der planmäßigen Kreuzung mit Z 3310 und ohne nachvollziehbaren Erhalt einer Fahrerlaubnis zur Weiterfahrt. / Z 3313 left Bramberg without permission and the without waiting for the scheduled crossing with Z 3310. There was no replicable order or permission for leaving.</t>
  </si>
  <si>
    <t>Nichteinhaltung der Bestimmungen der und der ÖBB Anweisung GPS (N-BN-0502-2003 vom 06. 03.2003). /  Non-compliance oft the rule ÖBB DV V 5 and the order GPS (N-BN-0502-2003 vom 06. 03.2003)_x000D_
Unzureichende systematisierte Überprüfung der sicherheitsrelevanten Prozesse. /  Insufficiant monitoring of safety-relevant processes.</t>
  </si>
  <si>
    <t>FI-498</t>
  </si>
  <si>
    <t>Train derailment, 15/07/2005, Kontiomäki railway yard, Paltamo (Finland)</t>
  </si>
  <si>
    <t>The first two wagons of a freight train derailed when the train, reaching the south end of the yard, travelled to a turnout lane between two turnouts.</t>
  </si>
  <si>
    <t>Kontiomäki railway yard, Paltamo</t>
  </si>
  <si>
    <t>The hydraulic systems of two turnout-carrying wagons were damaged. The bo-gies of the wagons were severely damaged and had to be scrapped.One turnout broke. Track was damaged over a distance of about 20 metres."</t>
  </si>
  <si>
    <t>AT-537</t>
  </si>
  <si>
    <t>Trains collision, 26/07/2005, Bf Gramatneusiedl (Austria)</t>
  </si>
  <si>
    <t>Am 26. Juli 2005, um 11:28 Uhr, kam es im Streckenkilometer 18,641 im Bereich der Weichen 6 und 7 des Bf Gramatneusiedl zu einem Zusammenstoß (Flankenfahrt) des aus Richtung Himberg von Streckengleis 2 auf Bahnhofgleis 5 einfahrenden Verschubgüterzuges Z 75173 mit dem auf Bahnhofgleis 1 über das haltzeigende AS in Richtung Himberg fahrenden personenbefördernden Z 2618./On 26 July 2005, at 11:28 clock, at the station of Gramatneusiedl, in the area of points 6 and 7, there occured a train collision (flank collision) between freight train Z 75173, which entered station track 5 coming from Himberg from line track 2, and regional train Z 2618, which passed the stopsignal in station track 1 in direction of Himberg.</t>
  </si>
  <si>
    <t>Bf Gramatneusiedl</t>
  </si>
  <si>
    <t>Freight train; 
Regional passenger train</t>
  </si>
  <si>
    <t xml:space="preserve">ÖBB-Personenverkehr AG; 
</t>
  </si>
  <si>
    <t>serious damage to rolling stock of both trains and the infrastructure on a length of about 130 m</t>
  </si>
  <si>
    <t>FI-138</t>
  </si>
  <si>
    <t>Train derailment, 8/30/2005, Raahe freight yard (Finland)</t>
  </si>
  <si>
    <t>On Tuesday 30 August, 2005, the rear bogie of a wagon loaded with propane gas derailed on Raahe freight yard. The wagon in question was the sixth wagon of the train and the second one of a group of six propane gas wagons. The wagon derailed when the train was being pulled from a track to another track. No personal injury was caused. The derailed bogie of the derailed liquid_x000D_
gas wagon and its wheelsets were damaged. The frame beam of the wagon defleated and the rear-end traction equipment was damaged. One side buffer in the front end of a liquid gas wagon that was located behind the derailed wagon, as well as its traction equipment and brake conduit were damaged. The western junction track was damaged over a length of about 30 meters from derailing turnout onwards. The eastern track was reopened for traffic the same evening while the western track had to wait yet three days. The total costs generated by the incident amounted to about € 29,000.</t>
  </si>
  <si>
    <t>Raahe freight yard</t>
  </si>
  <si>
    <t>Damages to a turnout and rail fastenings. Bogie of derailed wagon its traction equipment and side buffer traction equipment and brake conduit of the following wagon damaged."</t>
  </si>
  <si>
    <t>The derailing of the bogie of the wagon resulted from a turnout position with both blades slightly open, when the wheelsets of the bogie entered the turnout. Therefore both wheel flanges slipped between the blade and the rail. The turnout had probably failed to be turned and the point had been trailed when the wagons were pushed toward the trailing point at a low speed, and hence the turnout remained in an intermediary position. When the pulling of the wagons was commenced, the turnout started to return to its initial position and when the wheels of the third bogie entered the turnout, it had assumed an intermediary position that allowed both wheels to penetrate between the blade and the rail. The turnout having probably failed to be operated implies a human error, to which several simultaneous stress factors contributed. Moreover the system in no way prevented the performance of shunting movements while the turnout featured an erroneous or intermediary position.</t>
  </si>
  <si>
    <t>NO-299</t>
  </si>
  <si>
    <t>Trains collision with an obstacle, 31/08/2005, Between Tønsberg and Stokke stations on the Vestfold line. (Norway)</t>
  </si>
  <si>
    <t>The passenger train collided with a lorry on a private, unsecured level crossing.</t>
  </si>
  <si>
    <t>Between Tønsberg and Stokke stations on the Vestfold line.</t>
  </si>
  <si>
    <t>NSB AS</t>
  </si>
  <si>
    <t>The lorry became total wreck. The locomotive was total burned out in the front end and to of the passenger wagons caught minor fire damages. The infrastructure had to exchange 220 meters of rails and slippers and one pylon for the overhead power suply w"</t>
  </si>
  <si>
    <t>UK-64</t>
  </si>
  <si>
    <t>Train derailment, 18/10/2005, The freight train derailed near Hatherley, just south of Cheltenham Spa station. (United Kingdom)</t>
  </si>
  <si>
    <t>RAIB - Railway Accident Investigation Branch</t>
  </si>
  <si>
    <t>The freight train was travelling between Bescot and Margam when all the wheels of one wagon became derailed at Hatherley, following the derailment, the train remained coupled together and travelled for a distance of 4 miles, causing extensive track damage.</t>
  </si>
  <si>
    <t>United Kingdom</t>
  </si>
  <si>
    <t>The freight train derailed near Hatherley, just south of Cheltenham Spa station.</t>
  </si>
  <si>
    <t>English Welsh &amp; Scottish Railway Ltd</t>
  </si>
  <si>
    <t>Network rail</t>
  </si>
  <si>
    <t>Sleeper damage along 4 miles of track</t>
  </si>
  <si>
    <t>The immediate cause of the derailment was the interaction between false flanges which had developed on the leading wheelset of SSA 470028 and 673B trailing points at Hatherley. This resulted in the wheelset riding up over the railhead and derailing to the right (six foot) side, approximately 20 m further down the track. The false flanges had developed as a result of the leading wheelset being dragged from its origin at Bescot Yard to the point of derailment with the handbrake applied.</t>
  </si>
  <si>
    <t>The causal factors were: The handbrake on SSA 470028 was not released during train preparation at Bescot Yard either because the train preparer did not check the status of the handbrake on that vehicle or did not confirm his belief that the handbrake was off by using the handbrake indicator (which was working correctly) or by checking that the brake rigging was slack (Recommendation 1).The applied handbrake was not detected during the roll-by examination as the train departed Bescot Yard (Recommendations 2 and 3).The dragging wheelset was not detected during the subsequent journey of train 6V19 between Bescot and the point of derailment (Recommendation 5).In addition several likely contributory factors were identified 1. Time pressure, either real or perceived, to complete the preparation of train 6V19, the locomotive for which had arrived 77 minutes late at Bescot and only 20 minutes before the booked departure time of train 6V19; 2. The wagon’s handbrake assembly had not been adequately maintained to ensure ease of operation, resulting in a stiff handbrake wheel which may have misled the train preparer into thinking that the handbrake was already off. Contributory factors which are likely to have led to this were: 1. Insufficient illumination in the vicinity of the shunters’ cabin at the north end of Bescot Yard during hours of darkness. 2.  Lack of any distinctive features or markings on the wheels to enable staff to reliably check whether the wheels of train 6V19 were rotating;  3.  Confusion amongst ground staff at Bescot Yard about whether or not the roll-by examination was mandatory, which may have adversely affected the vigilance exercised that night such that the examination was not effective  The dragging wheelset was not detected during the transit between Bescot Yard and Hatherley. Contributory factors were:1. The incident occurred in the early hours of the morning when there were few people in the vicinity of the railway. Usually such problems are detected by railway staff who spot the tell tale signs such as smoke, sparks or noise from skidding wheels with flats on their rolling surface. 2.  The rear view mirror fitted to locomotive 66221 was not used during the journey; had it been used, it may have enabled the detection of any sparks emanating from the leading wheelset of SSA 470028 as it slid on the rails. 3.  There are no automatic track mounted devices for detecting dragging wheelsets, such as hot wheel detectors - HWDs (as opposed to hot axle box detectors -  ABDs) on that route.</t>
  </si>
  <si>
    <t>UK-116</t>
  </si>
  <si>
    <t>Level crossing accident, 19/10/2005, Black Horse Drove crossing in Cambridgeshire (United Kingdom)</t>
  </si>
  <si>
    <t>The train struck a farm tractor on a User Worked Level Crossing. The train was carrying 32 passengers and travelling at 90 mph. The train was not derailed and came to a stand 1/2 mile beyond the crossing.</t>
  </si>
  <si>
    <t>Black Horse Drove crossing in Cambridgeshire</t>
  </si>
  <si>
    <t>One Railway</t>
  </si>
  <si>
    <t>The leading vehicle of the train suffered extensive damage to the front fairings but the cab structure withstood the impact without infringing the driver's survival space.</t>
  </si>
  <si>
    <t>(§6) other reasons than those referred to in Article 19</t>
  </si>
  <si>
    <t>The immediate cause of the incident was that the tractor driver either failed to notice that the red miniature stop light at the crossing was showing, or chose to ignore it, and drove his tractor onto the crossing.</t>
  </si>
  <si>
    <t>The view of the line towards Littleport was obscured by vegetation. Whilst not a requirement at a user worked crossing with miniature stop lights, the maintenance of clear sight lines by removal of lineside vegetation is a reasonably practicable measure that could have prevented this accident (Recommendation 1). The level crossing gates may have already been open when the tractor reached the crossing or the tractor driver may have opened them himself and then got distracted before restarting his tractor. The tractor driver had received no specific instruction in the use of this crossing from his employer and was expected to obey the normal Highway Code rules. Although the Highway Code gives these instructions, most road users very rarely encounter user worked crossings with miniature stop lights (Recommendation 2). User worked crossings with miniature stop lights are not common, according to RSSB statistics there are only 162 of them in existence nationally and only three in this area. Although the tractor driver had used this crossing previously, it is possible he may not have appreciated that the miniature stop lights apply equally to vehicle drivers and pedestrians.</t>
  </si>
  <si>
    <t>UK-331</t>
  </si>
  <si>
    <t>Train derailment, 21/10/2005, Phipps Bridge, Croydon (United Kingdom)</t>
  </si>
  <si>
    <t>At approximately 10.38, an eastbound tram travelling from Wimbledon to Elmers End derailed at the start of the double line at Phipps Bridge. The tram was carrying around 50 passengers.</t>
  </si>
  <si>
    <t>Phipps Bridge, Croydon</t>
  </si>
  <si>
    <t>Tramway</t>
  </si>
  <si>
    <t>First Cr</t>
  </si>
  <si>
    <t>TCL</t>
  </si>
  <si>
    <t>Some track damage and impact damage to the tram.</t>
  </si>
  <si>
    <t>The immediate cause of the accident was that the tram driver did not react to the display of the ‘points not correctly set’ indication on the indicator close to points PBR02G at Phipps Bridge, and did not stop the tram before reaching the points.</t>
  </si>
  <si>
    <t>Contributing factors were: the failure of the points to return to normal after the passage of the previous tram, and the vibration of the tram passing over the points caused them to spring back to the normal position under the tram; the failure of the control room staff to alert drivers on the Wimbledon line to the malfunction of the points; the poor conspicuity of the points position indicator display when the points are not set correctly.</t>
  </si>
  <si>
    <t>UK-67</t>
  </si>
  <si>
    <t>Train derailment, 26/10/2005, The train derailed when traversing the Liverpool loop, an underground single track line giving access from the Mersey Tunnel under the city. (United Kingdom)</t>
  </si>
  <si>
    <t>Shortly after leaving Lime street station the rear bogie of the rear coach became derailed. The train travelled a short distance (40 m) and came to a rest some 200m short of Liverpool Central Station. The derailment occured at low speed.</t>
  </si>
  <si>
    <t>The train derailed when traversing the Liverpool loop, an underground single track line giving access from the Mersey Tunnel under the city.</t>
  </si>
  <si>
    <t>Merseyrail</t>
  </si>
  <si>
    <t>As the derailment occurred at low speed there was limited consequential damage to the track and train."</t>
  </si>
  <si>
    <t>The immediate cause was the spreading of the track gauge during the passage of train 2W43 to such an extent that the right hand leading wheel of the last bogie was able to drop down the gauge face of the rail. This started the subsequent derailment of all the wheels on that (trailing) bogie before the train finally came to a halt. The gauge spread at the POD by two mechanisms – a sideways movement of the rails (‘shuffle’) followed by an outwards rotation of the rails. The dynamic gauge spreading described above was caused by the poor condition of the track.</t>
  </si>
  <si>
    <t>The causal analysis diagram at Figure 14 showing the causal and contributory factors that led to the derailment has already been referred to. Neither the handling of the train nor the signalling system contributed to the derailment. The causal factors of the accident break down into three main areas:* the design of the infrastructure and the trains which were not considered as a complete system;* the maintenance of the track that did not keep up with the deterioration that occurred;* the use of tie-bars to hold the track gauge. The degree of incompatibility between the class 508 (and class 507) trains using the Loop and the infrastructure provided a significant challenge to the maintainer. The nature of the infrastructure design containing a sharp radius curve without a check rail and the suspension characteristics of the trains using it gave rise to high lateral forces on the track. This, in turn, caused severe difficulties for the track maintainer both in the degree of sidewear occurring and in maintaining the rail fastening system to prevent gauge spread. Added to this was a very aggressive environment causing corrosion of the rail foot, the housings and the clips.  There was little evidence that a systems approach had been adopted to determine an appropriate maintenance regime, other than a consideration of wheel and rail wear. The maintenance of track needs to take into account the characteristics of the trains running over it necessitating an assessment of the risks arising from the train and infrastructure interface. The outcome of such an assessment should be an appropriate maintenance system and regime that may be required to go beyond the established track and rolling stock maintenance standards (Recommendation 1). The training of personnel who inspect the track is generic to the network and does not include the unique features in the track system in the Liverpool Loop such as the track fastening system, the tight radius curves, the degree of cant, the amount of sidewear the system of drainage and the accumulation of contamination around the fastenings and rail foot. The appropriate maintenance regime described in paragraph 189 above should therefore include a competence assurance system that ensures that maintenance staff are competent to maintain the Liverpool Loop (Recommendation 2). The RAIB’s investigation identified weaknesses in the track inspection regime and the corrective actions applied. These should be dealt with by management action by Network Rail to ensure that the system of track inspection was as a minimum in full conformance with standard NR/SP/TRK/001 pending any enhanced measures that may arise from the risk assessment described in paragraph 189. The main deficiency in the area of corrective actions was the widespread use of tie-bars of unknown provenance and fatigue life to hold the gauge rather than carrying out more durable repairs such as greater renewal of housings, more fitments of intermediate baseplates or even completion of the fitment of Pandrol e-Plus clips throughout. The use of tie-bars needs to be under tighter control to ensure that they are not used in quantity as a long term measure to control gauge. The process for granting dispensations on the 6 months time limit for using them needs to be more robust, and work is required to investigate their fatigue life in different applications so that, when fitted to the track, they are not likely to break due to fatigue (Recommendations 3, 4 and 5). It is self-evident that complete renewal of the track (as has now been carried out) at an earlier stage would also have prevented the derailment. A check rail would also have prevented the derailment. Following the risk assessment described in paragraph 186, it is incumbent upon each party to ensure that sufficient competent resources are provided to ensure that the required maintenance can be carried out. It is possible that, at the time of the derailment, staffing levels provided by Network Rail did not correctly match the workload owing to changes that occurred over previous years (see paragraphs 134 - 143). This is not considered to be a matter that was directly causal of the accident, but it probably made it more likely to occur (Recommendation 6). Finally, the aggressive environment had not been properly mitigated by the use of a planned system of jet-washing for some years, although it had been carried out on an ad-hoc basis. Such a system would appear to be essential in reducing corrosion and, therefore, extending the life of the asset and making derailments less likely to occur. Again, this is not considered to be directly causal of the accident, but it did make it more likely to occur (Recommendation 7).</t>
  </si>
  <si>
    <t>UK-332</t>
  </si>
  <si>
    <t>Level crossing accident, 27/10/2005, Staniforth Road, Sheffield (United Kingdom)</t>
  </si>
  <si>
    <t>At 14.10, a tram travelling north on the Meadowhall line of the SYT system struck a passenger at Staniforth Road level crossing. The tram came to a halt after a distance of approximately 64m from the collision.</t>
  </si>
  <si>
    <t>Staniforth Road, Sheffield</t>
  </si>
  <si>
    <t>South Yorkshire Supertram (SYT)</t>
  </si>
  <si>
    <t>The immediate cause of the accident was the pedestrian stepping directly in front of the oncoming tram</t>
  </si>
  <si>
    <t>The design and positioning of the parapet fence separating the foot and cycleways from the tramway on the approach to the crossing may have been a contributory factor.</t>
  </si>
  <si>
    <t>UK-369</t>
  </si>
  <si>
    <t>Accident to persons caused by RS in motion, 27/10/2005, Trafford Park, Manchester (United Kingdom)</t>
  </si>
  <si>
    <t>Accident to persons caused by RS in motion</t>
  </si>
  <si>
    <t>At approximately 09.35 hours, a passenger train travelling between Liverpool and Norwich struck a track worker at Trafford Park in Manchester. Injuries sustained by the track worker were fatal.</t>
  </si>
  <si>
    <t>Trafford Park, Manchester</t>
  </si>
  <si>
    <t>Carillion Construction Ltd</t>
  </si>
  <si>
    <t>The immediate cause of the accident was that the staff who were on the track did not respond to the approach of the train and move out of its path.</t>
  </si>
  <si>
    <t>Causal factors: 1. The three persons involved were able to gain access and went onto the line in an unplanned and uncontrolled manner; 2. There was not a defined, appropriate and adequate Safe System of Work (SSoW) for the inspection task being undertaken. Although the Schweizer Operations Manager had signed into the site in the capacity of a Controller of Site Safety (COSS), he had not identified himself to others as the COSS, or briefed them on the arrangements for the inspection task; 3. Although all three persons involved were certificated COSS and (Personal Track Safety) PTS, none of them challenged the inadequate safety arrangements in accordance with the training they had received.; 4. All three staff were preoccupied with technical tasks, including the correlation of track features to schematic diagram, to the exclusion of other considerations. Contributory factors were: 1. A lack of understanding by the Schweizer Operations Manager of the sequence of the main track renewal works and the consequential effect upon the ATWS components and the system configuration; 2. The ability of the Schweizer personnel to gain access to the Carillion site on that day without challenge regarding the content of their work activity;  3. The ability of the Schweizer Operations Manager to sign in to the Carillion site in the capacity of a COSS without an appropriate safety plan; 4.  Perception by the Schweizer Operations Manager of pressure to complete the installation of the ATWS system; 5. The possibility that the Schweizer Operations Manager’s request to complete the ATWS installation during the following weekend’s possession was refused; 6. A shortage of manpower to complete the ATWS installation works as originally planned during the previous weekend’s possession. Underlying cause: The current track safety skills accreditation system and operational safety rules, which allow staff to achieve and maintain levels of track safety responsibility, does not consider personal safety attitudes towards safety or the inherent safety culture of the organisations for which they work.</t>
  </si>
  <si>
    <t>UK-172</t>
  </si>
  <si>
    <t>Train derailment, 28/10/2005, Watford (United Kingdom)</t>
  </si>
  <si>
    <t>A train formed of a 4-car class 321 electric multiple unit, was derailed in the yard at Watford Junction station when being moved as an empty non passenger carrying train acroos the points connecting No 1 siding to the branch line to St Albans Abbey. There were no injuries to staff ans the derailment was limited to the second bogie of the second vehicle.</t>
  </si>
  <si>
    <t>Watford</t>
  </si>
  <si>
    <t>Silverlink</t>
  </si>
  <si>
    <t>Some damage to the track</t>
  </si>
  <si>
    <t>The immediate cause of the derailment was the operation of the points under the second vehicle of the train by the DSM.</t>
  </si>
  <si>
    <t>Contributing factors were: inadequate understanding by staff of the operation and function of a related track circuit and the indicator light at the ground frame; absence of suitable written instructions for the operation of the ground frame; the absence of any locking preventing the movement of the points during the passage of a train</t>
  </si>
  <si>
    <t>FI-499</t>
  </si>
  <si>
    <t>Train derailment, 31/10/2005, Peräseinäjoki railway yard (Finland)</t>
  </si>
  <si>
    <t>The locomotive and one wagon of a freight train with roundwood load derailed. The derailment took place when the train was leaving track 3 and entering turnout V008, where first the locomotive derailed and then the first roundwood carrying wagon, that the locomotive had pulled along.</t>
  </si>
  <si>
    <t>Peräseinäjoki railway yard</t>
  </si>
  <si>
    <t>Bogies and axle control equipment of the derailed locomotive had to be replaced and locomotive got outside damage. The wheelset buffer some handles and steps of the wagon had to be replaced.Two turnouts and an electric railway pole were damaged. In ad"</t>
  </si>
  <si>
    <t>UK-195</t>
  </si>
  <si>
    <t>Other, 02/11/2005, Haughead junstion, larkhall branch line, Scotland (United Kingdom)</t>
  </si>
  <si>
    <t>Contractors’ staff working on the re-opening of the Larkhall branch line were using a manually propelled trolley to move scrap at Merryton.  At 06.59 the trolley ran away from the site and entered the Hamilton Loop, which was open for traffic, at Haughead Junction.  The trolley came to a halt in Barncluith tunnel, after travelling over three miles._x000D_
_x000D_
No one was hurt as a result of the runaway, and no collision took place with any other train.</t>
  </si>
  <si>
    <t>Haughead junstion, larkhall branch line, Scotland</t>
  </si>
  <si>
    <t>Infrastructure works train</t>
  </si>
  <si>
    <t>The immediate causes of the runaway were :l The use of a heavily loaded trolley on a gradient steeper than permitted (see paragraph 217, Recommendation 13); and * The use of inappropriate brake lining material on the trolley whose braking characteristics degraded with contamination (see paragraph 174, Recommendation 1); and * Contamination of the brake lining (due to its operational environment, usage and storage) (see paragraph 220).</t>
  </si>
  <si>
    <t>Causal factors were: * The lack of guidance on the safe use of trolleys given to the work force on site (see paragraph 240, Recommendation 9).* The lack of on-site testing procedures for the trolley (see paragraph 193,Recommendation 4) * The lack of recognition that the gradient would affect the braking capacity of the trolley (see paragraph 216). * The omission of key facts in the briefing given to the work team by the COSSs relating to gradient hazards and manually propelled trolleys (see paragraph 238, Recommendation 6) * The decision to continue to use a manually propelled trolley despite the staff raising concerns over its safety on the gradient, and contrary to Carillion’s ‘Worksafe Procedure’(see paragraphs 71 – 73 and 139 - 147, Recommendation 6).* The lack of detail within the worksite risk assessment and method statement on gradient hazards, and on plant and trolley operator competence (see paragraph 43, Recommendation 6). Contributory factors were:*l The use of the wrong handle on the trolley that affected the effectiveness of braking mechanism during the unescorted part of the runaway (see paragraph 175, Recommendation 3).* The Railway Group Standard for a manually propelled trolley which does not incorporate requirements for the dynamic performance of the failsafe brakes with a specified braking distance (see paragraph 159, Recommendation 2).* Relevant detailed guidance about the safe use of trolleys is only found in Module T2 of the Rule Book, which was not applicable (see paragraph 231, Recommendation 8).* The lack of training material and competency standards concerning the operation of trolleys on Network Rail controlled infrastructure (see paragraph 232, Recommendation 10).* The lack of clear instructions from Network Rail to operators and suppliers on the need for acceptance and/or approval of design changes on plant subject to ‘grandfather rights’(see paragraph 183, Recommendation 12).* The lack of understanding by Harsco regarding acceptance and/or approval of design changes on plant subject to ‘grandfather rights’ (see paragraph 183, Recommendations 11 and 12).* The incomplete listing by Carillion of their Crane Controllers affected by the changes to the Sentinel system. (see paragraph 59, Recommendation 6).*l The lack of a robust system at the site for checking Crane Controller competence against the current requirements. (see paragraph 60, Recommendation 6).* The design of the Carillion Integrated Management System (IMS) which prevented staff being fully aware of all the documents pertinent to the possession and worksite (see paragraphs 233/234, Recommendation 6).* The lack of knowledge, experience and training of Carillion staff planning safety critical work (see paragraph 43, Recommendation 6). * The working relationship between Carillion Rail (Scotland) and Skyblue at Larkhall (see paragraphs 247, 251 - 253, Recommendations 6 and 7).</t>
  </si>
  <si>
    <t>UK-194</t>
  </si>
  <si>
    <t>Trains collision with an obstacle, 04/11/2005, Oubeck (United Kingdom)</t>
  </si>
  <si>
    <t>The incident happened at 13.57 when the 12.27 from Manchester Airport to Windermere, derailed at Oubeck, two miles south of Lancaster.  The train came to a halt after a distance of approximately one mile from the initial point of derailment.  No one was injured and the train was successfully evacuated.</t>
  </si>
  <si>
    <t>Oubeck</t>
  </si>
  <si>
    <t>TransPennine Express</t>
  </si>
  <si>
    <t>Some damage to the track and train</t>
  </si>
  <si>
    <t>The immediate cause of the derailment was the train running into material deposited on the track as a result of the cutting landslip.</t>
  </si>
  <si>
    <t>The causal factors leading to the landslip were the volume of water flowing through a field drain into the body of the slope, the wet period over the preceding two weeks, and the excessive rainfall during the previous day (Recommendation 1). Discharge from the field drain into the body of the slope may have been as a result of blockage or failure in a carrier drain or because of omission of a carrier drain during the original construction. The root cause of the landslip is that the field drain was hidden from view (Recommendation 2). In addition, the following factors were considered to be contributory: * the earthworks examination regime does not clearly identify all of the specific examinations to be carried out by different groups of workers, the associated periodicities, and the arrangements for formal reporting (Recommendation 3a); * the impracticality of implementing all elements of Network Rail’s earthworks standard (NR/SP/CIV/065) (Recommendation 3b); * not including the limitations from the inspection when assigning the risk to the cutting (Recommendation 3d); * the lack of guidance on the evaluation the lack of guidance on the evaluation process (Recommendation 3d); and * the classification of the cutting as serviceable (low risk) (Recommendation 3e). The immediate cause of the detachment of the coupler lateral bump stops from the train was the slotted mounting arrangement combined with a set of forces generated by the collision with the landslip and the absence of secondary retention. This is the first use of a coupler lateral bump stop mounting arrangement incorporating a slotted design in the UK. The root cause is therefore considered to be that the design process did not anticipate a longitudinal element of a load combination similar to that experienced at the coupler head during this accident scenario (Recommendation 4, 5 and 6). The immediate cause of the rail fractures was the impacting of the raised collars of the Thermit welds by the derailed wheel flange tip.</t>
  </si>
  <si>
    <t>UK-342</t>
  </si>
  <si>
    <t>Other, 08/11/2005, Radcliffe, Manchester (United Kingdom)</t>
  </si>
  <si>
    <t>Tram 1016, forming the 12BC Bury to Manchester service rounded a curve near Radcliffe station. With very little sighting time the driver saw a track worker on the track attempting to extricate a tool from the track. The track worker jumped clear with very_x000D_
little time to spare and was not injured. The tram driver was reported as saying that he only missed hitting him by a second or two. The tram hit the track tool and sustained minor damage. It was not derailed. No passenger or other injuries were sustained</t>
  </si>
  <si>
    <t>Radcliffe, Manchester</t>
  </si>
  <si>
    <t>Manchester Metrolink</t>
  </si>
  <si>
    <t>Some minor damage to the tram.</t>
  </si>
  <si>
    <t>The immediate cause of the incident was the inadequate safe system of work that was adopted. Particularly, there was insufficient time available for a lookout to sight an approaching tram and give warning to the track persons.</t>
  </si>
  <si>
    <t>Contributory factors were:* The lookout gave a late verbal warning notwithstanding the insufficient sighting time available.* The tram driver gave only a short duration audible warning.* The tram driver applied the service brake but not the emergency brake.* There was no risk assessment for the task of replacing fishplates so the most severe hazard with the fishplates removed, equivalent to a rail break, was neither identified nor measures prescribed to safeguard traffic from this hazard. * The control room was not aware that members of the Permanent Way Department were undertaking work on or about the railway system at the time of the incident and therefore could not provide protection for track persons and trams.* The Person in Charge (PIC) was inexperienced with respect to work on the segregated section. Underlying causes were: * the absence of structured, formal mentoring and supervision for inexperienced Permanent Way Department staff; *  the absence of a single source of documented information on Serco Metrolink system hazards for use in the planning of safe systems of work; * the use of working practices outside Serco Metrolink procedures and Rule Book requirements; l the absence of a system to monitor and audit safe system of work arrangements to ensure their adequacy.</t>
  </si>
  <si>
    <t>UK-68</t>
  </si>
  <si>
    <t>Level crossing accident, 13/11/2005, Swainsthorpe level crossing (United Kingdom)</t>
  </si>
  <si>
    <t>The train was brought to a stand 300 metres from the croosing with th car trapped beneath the leading coach. The train was not derailed. The car subsequently caught alight, further damaging the front coach.</t>
  </si>
  <si>
    <t>Swainsthorpe level crossing</t>
  </si>
  <si>
    <t>Fire damage to the front coach</t>
  </si>
  <si>
    <t>The collision occurred because a car was driven onto the level crossing after the approach of train 1G33 had already caused the road traffic light signals to operate and the crossing booms to lower.</t>
  </si>
  <si>
    <t>UK-126</t>
  </si>
  <si>
    <t>Level crossing accident, 21/11/2005, Barratts lane Level crossing, Attenborough (United Kingdom)</t>
  </si>
  <si>
    <t>The train from Birmingham New Street to Nottingham struck a pedestrian on a foot crossing in the vicinity of attenborough station</t>
  </si>
  <si>
    <t>Barratts lane Level crossing, Attenborough</t>
  </si>
  <si>
    <t>Central Trains Ltd</t>
  </si>
  <si>
    <t>The immediate cause of the accident was the pedestrian being struck by a train while using the footpath crossing in foggy conditions.</t>
  </si>
  <si>
    <t>Contributing factors were: The fog, the presence of which meant that the pedestrian made his decision to cross the railway and commit to that action unaware that a train was approaching.  In fog there is a breakdown of the effectiveness of the primary safety check (ie visual) available to pedestrians.  At the time of the accident there was not sufficient visibility for the individual concerned to obtain adequate assurance of the absence of trains for the whole of the time to make the transition from the point of commitment to a position of safety.  The reduced forward visibility caused by the fog prevented the driver of train 1 seeing the pedestrian using the crossing while there was still sufficient time for the driver’s 	subsequent warning to be assimilated by the pedestrian and for that person to move to a position of safety.  The impaired hearing of the pedestrian, both from his disability and from the use of a  hood at the time of the accident, may have prevented him registering any audible cues of the approach of the train before the sounding of the warning horn and while sufficient time remained to get clear.  The degree to which this contributory factor is relevant to the outcome of the accident remains unknown.  The root cause of the accident is the decision by the pedestrian to use the crossing in foggy weather in preference to other safer but less convenient crossings nearby</t>
  </si>
  <si>
    <t>UK-352</t>
  </si>
  <si>
    <t>Other, 21/11/2005, Gynn Square and Talbot Square (United Kingdom)</t>
  </si>
  <si>
    <t>This report covers three separate incidents, with many common factors between them, and all associated with single line working (trams passing in both directions over one line, while repairs were taking place on the other) between Gynn Square and Talbot Square. The first incident occurred on Monday 21 November at Talbot Square. Tram 644, travelling south, was leaving the single line section. This required it to reverse twice. Following the second reversal, the driver had just started the tram when the controller handle became detached because the controller end cover was loose. The driver was unable to replace the handle, and so he applied the emergency brake (activated by a button in the cab). The emergency brake failed to act and the tram, which was not under power, continued to roll down a slight gradient along the promenade as far as the old lifeboat house (about 600 metres), where the gradient levelled out and  it came to a stop._x000D_
_x000D_
The second incident was on Saturday 3 December at Gynn Square. The driver of tram 646, travelling south, left his cab to change ends for the reversal at the_x000D_
start of single line working. He did not set the emergency brake. As he was walking through the tram it began to move, and struck the barrier protecting the track repair works. The driver applied the emergency brake and the tram stopped._x000D_
_x000D_
The third incident occurred on 10 December, also at Gynn Square, and again involved tram 646. After completion of the reversing manoeuvre, the driver_x000D_
moved the tram forward a short distance and then attempted to stop to allow a member of staff to alight. The tram did not respond to a service brake application, so the driver applied the emergency brake and the tram stopped.</t>
  </si>
  <si>
    <t>Gynn Square and Talbot Square</t>
  </si>
  <si>
    <t>Blackpool Tramway</t>
  </si>
  <si>
    <t>The immediate causes of the first incident were the loose controller cover, which permitted the controller handle to come off the shaft when it was pushed to the ‘power’ position, and the freezing of the emergency brake relay valve, which prevented the brakes from being applied. The immediate cause of the second and third incidents was the inadvertent ‘flipping’ of the controller shaft by the drivers as the control handle was removed</t>
  </si>
  <si>
    <t>Contributing factors were: The driver had not been trained to apply the emergency brake when changing ends (first incident);  the driver did not apply the emergency brake before leaving the cab despite being trained to do so (second incident); the location of the reversing points for single line working on sloping sections of track (all incidents); the design of the controller handle and shaft end, which enabled the shaft to be inadvertently ‘flipped’ (see paragraph 21 and Figure 9) when the handle was removed (second and third incidents); failure to inspect and maintain the controllers, so that the loose end cover was not detected or rectified (first incident); and an instance of exceptionally (for Blackpool) cold weather and freezing fog (first incident).</t>
  </si>
  <si>
    <t>UK-343</t>
  </si>
  <si>
    <t>Trains collision, 23/11/2005, the single-line section between the New Addington terminus and King Henryâ€™s Drive tram stop (United Kingdom)</t>
  </si>
  <si>
    <t>The accident occurred at 08.17 when a tram, travelling in a westbound direction,_x000D_
collided with another tram as the westbound tram was leaving the single-line section_x000D_
between the New Addington terminus and King Henry’s Drive tram stop. No-one on either tram was injured in the accident, but damage was caused to both trams.</t>
  </si>
  <si>
    <t>the single-line section between the New Addington terminus and King Henryâ€™s Drive tram stop</t>
  </si>
  <si>
    <t>Some damage to both trams.</t>
  </si>
  <si>
    <t>The immediate cause of the accident was that the driver of tram 2533 did not react in a timely manner to the obstruction caused by tram 2538</t>
  </si>
  <si>
    <t>Causal factors were: *tram 2538 passing signal KHD02 whilst it displayed a STOP aspect; *	In addition, the following factors were considered to be contributory: * the non-use of the hazard brake by the driver of tram 2538. *the limited over-run distance between KHD02 and the fouling point; * the absence of SPAS indicators on the single line section between King Henry’s Drive and New Addington; * the reduced conditions of visibility caused by the fog. *The following factor affected the severity of the incident: The final stopping point of tram 2538 was only just foul of the other running line.  Had  this tram stopped several metres further forward a serious head-on collision could have occurred.</t>
  </si>
  <si>
    <t>UK-191</t>
  </si>
  <si>
    <t>Spad, 25/11/2005, Esher (United Kingdom)</t>
  </si>
  <si>
    <t>Both incidents (25/11 and 30/11) involved trains failing to stop at signals showing red aspects, and running past the signals by a sufficient distance to raise the possibility of a collision with another train._x000D_
_x000D_
On 25 November, at 06.33, a South West Trains Class 450 Desiro train, the 05.44 from Alton to London Waterloo, reporting number 1A12, was travelling between Woking and Surbiton on the 'Up Fast' line. At Esher it passed two signals on the 'Up Fast' line at red, before coming to a halt underneath the fly-over at Hampton Court Junction. At this point it was catching up with a preceding train, with the closest point of approach estimated at 300 metres._x000D_
In neither case did the over-run lead to a collision or to any injury._x000D_
The RAIB’s Inspectors have commenced investigations into both incidents, and are also investigating whether there is any wider trend of trains failing to stop in the autumnal weather conditions this year.</t>
  </si>
  <si>
    <t>Esher</t>
  </si>
  <si>
    <t>South West Trains</t>
  </si>
  <si>
    <t>(b) it forms part of a series of accidents or incidents relevant to the system as a whole</t>
  </si>
  <si>
    <t>The immediate cause of the incident was low adhesion on the up fast line between Hersham station and Hampton Court Junction</t>
  </si>
  <si>
    <t>Causal factors were: The presence of contaminants on the rail head of the up fast line which resulted in a level of adhesion no higher than 0.03 being available over a distance of approximately 2000 metres where train 1A12 was braking for signal WK338 at danger (paragraph 71).  The issue of sustained low adhesion conditions is addressed in the Part 3 report. * No rail head treatment of the up fast line between Woking and Surbiton (paragraph 53).This factor has already been satisfactorily addressed by Network Rail paragraph 92).*In addition, the following factors were considered to be contributory: Neither Network Rail nor SWT had any knowledge of the low adhesion conditions on the up fast line between Hersham and Esher until train 1A12 was required to slow in the area (paragraph 57). Part 3 report addresses the issue of monitoring for low adhesion conditions. *The professional driving policy of SWT was not optimal for low adhesion conditions, given the characteristics of the sanding equipment on the Class 450 EMU (paragraph 49).  The Part 3 report addresses professional driving in low adhesion conditions. *The configuration of the sanding equipment on the Class 450 EMU required the driver to select 75% braking effort before sand was dispensed (paragraph 72). In addition, unit 450 022 was dispensing sand at a relatively low rate in relation to the maximum flow rates contained in the relevant RGS (paragraph 75).  The part 3 report addresses the issue of sanding parameters for minimising stopping distances under low adhesion conditions.*The systems on board the Class 450 EMU appear to have functioned according to specification (paragraphs 77-79).  Wider issues relating to the design and performance of braking and WSP systems are addressed in the Part 3 report.</t>
  </si>
  <si>
    <t>UK-264</t>
  </si>
  <si>
    <t>Trains collision with an obstacle, 26/11/2005, Moy, near inverness, Scotland (United Kingdom)</t>
  </si>
  <si>
    <t>The derailment occurred at 07.06 when the 0648 Inverness – Edinburgh Waverley left the track on the single line between Culloden and Moy, due to a landslide blocking the track. The leading carriage of the train, a three-car class 170 unit, derailed all wheels but remained upright. The rear two carriages stayed on the track._x000D_
There were 74 passengers on the train, of whom six received injuries as did the driver and conductor. The injured were air lifted to hospital. Further evacuation was carried out using an assisting train.</t>
  </si>
  <si>
    <t>Moy, near inverness, Scotland</t>
  </si>
  <si>
    <t>First ScotRail</t>
  </si>
  <si>
    <t>Some damage to train</t>
  </si>
  <si>
    <t>In addition, the following factors were contributory to the derailment: *the approach adopted by Network Rail following the forecasting of the approaching rainstorm resulted in the forecast being interpreted solely as a flooding risk affecting too localised an area; * the cutting was not on the ‘at-risk’ list of earthworks. *The leading vehicle remained upright after derailing and did not deviate significantly from the track. It is likely that secondary guidance provided by a bracket on the leading bogie (not designed for this purpose) assisted in this. *The balance of evidence indicates that the landslip occurred because the groundwater rose to a high enough level to promote a small failure at the slope toe, that caused a disruption to flow paths, that resulted in the groundwater rising to a sufficiently high level to initiate a larger deep rotational failure. The groundwater level was high because: * the excessive rainfall during the preceding hours, which initiated Watercourse D, the flow of which was intercepted by the Parking Area; *the lack of adequate drainage on the Parking Area resulting in it acting as a sink and allowing water infiltration into the cutting slope;* the inadequacy of the drainage on the Parking Area was unnoticed. *In addition, the following factors were considered contributory to the failure of the cutting slope: * snow melt as a result of a recent rise in temperature contributing to the discharge on to the parking area; *soil permeability properties promoting a rapid rise in groundwater level; * the already relatively high regional groundwater level as a result of the rainfall over the previous 12 months; * Network Rail was unaware of the continued peat extraction and that the land had not been restored to its natural state, and therefore the likelihood of increased runoff from the land; * lack of need to consult with the Railtrack earthwork asset steward when constructing the parking area; * the decision not to undertake an Assessment and not to send a geotechnical engineer to site as part of the Network Rail earthwork management process; * the general implementation of aerial surveys for the Cyclical Examination of earthworks (not compliant with RT/SP/CIV/065), resulting in the identification of fewer critical features and a reduction in the ability of a subsequent SSHI analysis (if it had been undertaken) to indicate all of the failure mechanisms for which the cutting slope was at risk; * not undertaking an SSHI analysis (not compliant with RT/SP/CIV/065), resulting in no 	standard objective means of comparing the relative risks from different earthworks; * the lack of a consistent process and criteria for undertaking the Evaluation phase of the earthworks management process.</t>
  </si>
  <si>
    <t>NO-292</t>
  </si>
  <si>
    <t>Fire in RS, 29/11/2005, On the Holmenkollen line between Slemdal and Ris stations. (Norway)</t>
  </si>
  <si>
    <t>The current collector vas ripped of on two underground trains. The overhead power supply felt down on the roof and together with the defect current collector this caused a short circuit and a fire in the roof on one of the  metro trains.</t>
  </si>
  <si>
    <t>On the Holmenkollen line between Slemdal and Ris stations.</t>
  </si>
  <si>
    <t>The overhead powersuply system were damaged and there was burned a big hole in the roof on one of the metro trains."</t>
  </si>
  <si>
    <t>(a) metros trams and other light rail systems"</t>
  </si>
  <si>
    <t>UK-263</t>
  </si>
  <si>
    <t>Spad, 30/11/2005, Lewes (United Kingdom)</t>
  </si>
  <si>
    <t>The RAIB is investigating two incidents: at Esher on 25 November 2005; and Lewes on 30 November 2005. _x000D_
Both incidents involved trains failing to stop at signals showing red aspects, and running past the signals by a sufficient distance to raise the possibility of a collision with another train._x000D_
On 30 November, at 19.08, a Southern Railway Electrostar train, the 18.54 Brighton to Hastings, reporting number 2D45, passed a signal at red on the 'Down East Branch' line (platform 3) at Lewes by eight coach lengths, coming to a halt to the East of Lewes station where it had been due to call. At the same time, a route had been set from platform 5 at Lewes for the 19.07 Lewes to Seaford, reporting number 2F21, to precede 2D45. 2F21 had started its journey when its driver noticed 2D45 passing by. The driver of 2F21 then stopped the train short of the junction of the two lines._x000D_
In neither case did the over-run lead to a collision or to any injury._x000D_
The RAIB’s Inspectors have commenced investigations into both incidents, and are also investigating whether there is any wider trend of trains failing to stop in the autumnal weather conditions this year.</t>
  </si>
  <si>
    <t>Lewes</t>
  </si>
  <si>
    <t>New Southern Railway Ltd</t>
  </si>
  <si>
    <t>The immediate cause of the incident was low adhesion on the rail head of the down line between Falmer and Lewes.</t>
  </si>
  <si>
    <t>Causal factors were: l The presence of contaminants on the rail head of the down line resulted in an average level of adhesion of less than 0.02 adhesion being available over the section of line where train 2D45 was braking (paragraphs 70 - 73). The issue of severe low adhesion conditions is addressed in the Part 3 report. The configuration of the sanding system of the Class 377 unit only allowed for ten seconds sanding throughout the entire period that train 2D45 was sliding (paragraph 88). The Part 3 report addresses the issue of sanding parameters for minimising stopping distances under low adhesion conditions.  The change in weather conditions immediately before train 2D45 ran over the down line between Falmer and Lewes exacerbated the effects of the contamination that already existed on the rails (paragraphs 75-77). The Part 3 report addresses factors that influence adhesion. In addition, the following factors were considered to be contributory: The professional driving policy of Southern Railway, which did not take account of the benefits of rapidly increasing braking under low adhesion conditions (paragraph 87). The Part 3 report addresses professional driving in low adhesion conditions. The gradient of 1 in 84 on Falmer Bank (paragraph 32). The systems on board the Class 377 unit appear to have performed in accordance with their specification (paragraph 93). Wider issues relating to the design and performance of braking and WSP systems are addressed in the Part 3 report.  While neither causal nor contributory to the incident, the following factors were identified during the course of this investigation: l The signaller pressed the wrong button on the CSR emergency equipment which meant that no emergency stop message was sent to train 2F21, which was on a conflicting path with train 2D45 (paragraphs 38, 39, 55 and 56 and see Recommendation 1). The signaller was not tested for drugs and alcohol after the incident despite not sending a CSR emergency stop message to the driver of train 2F21 (paragraph 98 and see Recommendation 2). Under slightly different circumstances, such a message could have provided the critical means for preventing train 2F21 entering onto a collision path with train 2D45. The driver did not sound the horn on the approach to Lewes station (paragraph 64).In the event, this had no bearing on the outcome of the incident. Under slightly different circumstances, it could have provided the critical means by which the driver of train 2F21 was made aware of the fact that train 2D45 was on a potentially conflicting path. This matter has already been satisfactorily addressed by Southern Railway (paragraph 112).  Communications between Network Rail and Southern Railway after the incident did not highlight the involvement of train 2F21 (paragraph 99), thus resulting in the driver of train 2F21 driving a train in passenger service after having been involved in a near miss incident (Recommendation 3).l Potentially valuable information was not gathered after the incident (Recommendation 3). The Part 3 report addresses post-incident data gathering.</t>
  </si>
  <si>
    <t>IT-488</t>
  </si>
  <si>
    <t>Accident to persons caused by RS in motion, 03/12/2005, The Salerno station is connected with the marshalling yard of Salerno Port by a port line with 0,975 % of natural slope. (Italy)</t>
  </si>
  <si>
    <t>Ministero delle infrastrutture e dei trasporti</t>
  </si>
  <si>
    <t>The marshalling yard locomotive was stationed in the Salerno station. After twenty minutes late the locomotive started without drivers directed to the port line._x000D_
During the trip the locomotive crashed six cars, killed one people and injuried three people.</t>
  </si>
  <si>
    <t>Italy</t>
  </si>
  <si>
    <t>The Salerno station is connected with the marshalling yard of Salerno Port by a port line with 0,975 % of natural slope.</t>
  </si>
  <si>
    <t>Locomotive running solo</t>
  </si>
  <si>
    <t>RFI SpA</t>
  </si>
  <si>
    <t>Other national rules/ regulations not referred to the Safety Directive 2004/49/EC; 
in light of Article 19 §1 of SD"</t>
  </si>
  <si>
    <t>UK-123</t>
  </si>
  <si>
    <t>Level crossing accident, 03/12/2005, Elsenham (United Kingdom)</t>
  </si>
  <si>
    <t>Two young persons were struck and killed by the train from Birmingham to Stansted.They used the gated pedestrian crossings (commonly known as wicket gate crossings)</t>
  </si>
  <si>
    <t>Elsenham</t>
  </si>
  <si>
    <t>The immediate cause of the accident was the two teenage girls stepping into the path of an approaching train despite the continued display of a red light and the sounding of an audible alarm.</t>
  </si>
  <si>
    <t>The following factors contributed to the occurrence of the accident:* the design of the crossing at Elsenham did not physically prevent users from opening the gate and walking onto the line when a train was approaching; and * the warning signs and systems at the crossing did not deter the girls from stepping into the path of the second train (paragraph 376, Recommendations 4 and 5).</t>
  </si>
  <si>
    <t>FI-502</t>
  </si>
  <si>
    <t>Level crossing accident, 09-12-05, Level crossings in Finland (Finland)</t>
  </si>
  <si>
    <t>Safety study based on 5 - 10 level crossing accidents of different types and different scopes in Finland, and documents produced by the Traffic Damage Investigation Teams of the Traffic Safety Commis-sion of Insurance Companies (VALT) as well as documentation collected by VR-Group Ltd on level crossing accidents in 2003-2005. International statistics on level crossing accidents and international investigation reports on individual accidents as reference material.</t>
  </si>
  <si>
    <t>Level crossings in Finland</t>
  </si>
  <si>
    <t>150 000 - 2 000 000 €</t>
  </si>
  <si>
    <t>(d) requests from infrastructure managers the safety authority or the Member State"</t>
  </si>
  <si>
    <t>Many different kind of immediate, relating and root causes.</t>
  </si>
  <si>
    <t>NO-296</t>
  </si>
  <si>
    <t>Trains collision with an obstacle, 23/12/2005, Between Bulken and Evanger stations on the Bergen line. (Norway)</t>
  </si>
  <si>
    <t>The train run in to/collided with a land slide/rock fall and derailed.</t>
  </si>
  <si>
    <t>Between Bulken and Evanger stations on the Bergen line.</t>
  </si>
  <si>
    <t>CargoNet AS</t>
  </si>
  <si>
    <t>There were larger damages on the infrastructure.9 freight wagons and the locomotive was total wreck and was condemned.</t>
  </si>
  <si>
    <t>FI-500</t>
  </si>
  <si>
    <t>Train derailment, 12/28/2005, Kontiomäkiâ€“Vartius section of line (Finland)</t>
  </si>
  <si>
    <t>On Wednesday December 28, 2005, on the Ypykkävaara– Vartius section of line between Kontiomäki and Vartius in Finland, an incident took place in which the detaching of the traction equipment of a locomotive caused the derailment of the rear bogie of the third wagon of a freight train._x000D_
The incident generated no personal injury. The derailed wagon damaged some sleepers. The following day the track was repaired. The detached traction device caused some damage to the two locomotives in the train. The fuel tanks of the locomotives were pierced and the fuel contained therein leaked out. The costs generated by the incident amounted to about 108 000 Euros.</t>
  </si>
  <si>
    <t>Kontiomäkiâ€“Vartius section of line</t>
  </si>
  <si>
    <t>Two locomotives and a freight wagon damaged.18 concrete sleepers damaged.6 600 litres of fuel run on the tracks."</t>
  </si>
  <si>
    <t>The traction device of the locomotive detached as caused by the unfastening of the retention_x000D_
screws of the clamp disc of the traction device wedge. The clamp disc and the wedge fell off and_x000D_
the traction device detached from the locomotive.</t>
  </si>
  <si>
    <t>FI-501</t>
  </si>
  <si>
    <t>Train derailment, 31.12.2005, Tuupovaara railway yard (Finland)</t>
  </si>
  <si>
    <t>On Saturday 31 December 2005 at 9.14 a.m., a shunting accident occurred in the Tuupovaara railway yard, in which a group of empty wagons for carrying wood products, being pushed by an engine, collided with a derailer, causing the derailment of the first wagon in the direction of travel. The shunting foreman, who was standing on the wagon’s left end step, was seriously injured after falling between the tracks and being hit by the left end step of the next wagon as he extricated himself from the moving wagons. The step dragged him for several metres before he was able to break free.</t>
  </si>
  <si>
    <t>Tuupovaara railway yard</t>
  </si>
  <si>
    <t>The derailed wagon suffered minor damages.</t>
  </si>
  <si>
    <t>The accident occurred because the derailer had not been removed and the shunting_x000D_
foreman did not notice this in time.</t>
  </si>
  <si>
    <t>The non-removal of the derailer was possible because the key could be removed from_x000D_
the derailer's safety lock even though the derailer had not been removed from the rail.</t>
  </si>
  <si>
    <t>AT-589</t>
  </si>
  <si>
    <t>Train derailment, 03/01/2006, Strecke 151, Markt St. Aegyd am Neuwalde - Traisen, Bf. St. Aegyd am Neuwalde, km 28,225, Weiche 53 (Austria)</t>
  </si>
  <si>
    <t>Z 6704 fuhr mit einem Nachschiebe-Tfz in Richtung Markt St. Aegyd am Neuwalde. Das _x000D_
zusätzliche Tfz wurde beigegeben, um ein Stecken bleiben durch die witterungsbedingt hohe _x000D_
Schneelage zu verhindern. Bei der Einfahrt in den Bf St. Aegyd am Neuwalde stellte der Tfzf fest, _x000D_
dass das Weichenüberwachungssignal „WÜ 53“ erloschen war. Auf Grund der hohen Schneelage _x000D_
und um ein Stecken bleiben zu verhindern, wurde Z 6704 nicht vor der Weiche 53 angehalten, um _x000D_
das ordnungsgemäße Anliegen der Zungen- an die Backenschiene zu überprüfen. Beim Befahren _x000D_
der Weiche 53 kam es bei einer Geschwindigkeit von 33 km/h zur Entgleisung des VT und des Tfz _x000D_
mit allen Achsen. Z 6704 kam mit der Zugspitze im km 28,281 ca. 56 m nach der Spitze der _x000D_
Weiche 53 zum Stillstand. - Z 6704 run, with a helper engine (Tfz) behind, in the direction of the market on St. Aegyd Neuwalde. That additional TFZ has been added to prevent being stucked by the weather conditions - high snow. At the entrance to the St. Bf Aegyd Neuwalde the train driver (Tfzf) recognised that the monitoring signal of switch 53 was out. Due to the high snow to prevent beeing stucked Z 6704 didn't stop in front of switch 53 to check that the switch tongue has reached its end position. When running switch 53 at a speed of 33 km / h  the railcar and the additional Tfz derailed with all axles. The top of Z 6704 came to stillstand in km 28,281 about 56 meters after the top of the _x000D_
switch.</t>
  </si>
  <si>
    <t>Strecke 151, Markt St. Aegyd am Neuwalde - Traisen, Bf. St. Aegyd am Neuwalde, km 28,225, Weiche 53</t>
  </si>
  <si>
    <t>Fahrzeuge/Rolling stockDer VT 5047.004 sowie das Nachschiebe-Tfz 2070.012 wurden leicht beschädigt. Slight damage of VT 5047.004 and the helping engine 2070.012 Fahrweg/Infrastructure:Die Weiche 53 wurde zum Teil schwer beschädigt. Partly severe dam"</t>
  </si>
  <si>
    <t>CZ-111</t>
  </si>
  <si>
    <t>Train derailment, 03/01/2006, Station: Brodek u Prerova (Czech Republic)</t>
  </si>
  <si>
    <t>Rail Safety Inspection Office</t>
  </si>
  <si>
    <t>Deraiment of 6 freight wagons of train No. 51430. Position: km 192.225</t>
  </si>
  <si>
    <t>Czech Republic</t>
  </si>
  <si>
    <t>Station: Brodek u Prerova</t>
  </si>
  <si>
    <t>Ceske drahy a. s.</t>
  </si>
  <si>
    <t>Material damage (wagons track points and sleepers): CZK 33 688 904.40"</t>
  </si>
  <si>
    <t>UK-184</t>
  </si>
  <si>
    <t>Broken rails, 05/01/2006, Urchfont, Kennington (United Kingdom)</t>
  </si>
  <si>
    <t>Broken rails</t>
  </si>
  <si>
    <t>At 1600 track circuit UW80T on the Up Westbury Line at Urchfont failed after the passage of 6F95, DB 1050 Meldon Quarry – Hinksey Yard.  At 1900 it was confirmed that a broken rail had been discovered at this location._x000D_
_x000D_
At 1736 track circuit ‘AA’ on the Down Line at Kennington failed after the passage of 6F95, DB, 10 50 Meldon Quarry – Hinksey Yard (formed of 1 locomotive and 13 loaded and 1 empty JNA type wagons), at the same time an off duty signaller from Oxford PSB reported hearing an abnormal noise as 6F95 passed their property. At 1840 Network Rail Asset Response Staff reported the discovery of four broken rails.   At 1915 it was reported that after examination of 6F95 in Hinksey Yard severe wheelflats were found on one wagon (NLU 29553). The wagon concerned was examined at Hinckley and it was reported at 2342 that the wagon had a failed bearing with two wheels having 6 to 8” flats on wheelset three with brake blocks burnt out and other defects.</t>
  </si>
  <si>
    <t>Urchfont, Kennington</t>
  </si>
  <si>
    <t>Freightliner Ltd</t>
  </si>
  <si>
    <t>The immediate cause of the broken rails at Urchfont and Kennington was mechanical overload resulting from the high vertical impact loads imposed on the running rails by train 6F95 as it passed those locations on the journey from Meldon Quarry.</t>
  </si>
  <si>
    <t>The first causal factor was that wagon NLU 29553 had developed large wheel flats on both wheels of its third axle which generated high vertical impact loads, sufficient to cause complete fracture of the three rails, each of which had small, normally occurring, pre-existing manufacturing defects.  These would not have caused failure under normal traffic loading.  Contributory factors which are likely to have led to the formation of the wheel flats were: *Low rail head adhesion conditions on the Meldon branch line, which increased the risk of wheelsets locking up under braking and generating flats on their running surfaces.The style of driving train 6F95, which would not normally have caused wheel flat problems, was not matched to the specific characteristics of the Meldon branch line, given the low adhesion conditions at the time of the incident and the prolonged steep downhill gradients (Recommendation 2). The second causal factor is that a roll-by test was not undertaken at the exit from the Meldon Branch line, where the flats were most likely to have been created. The likely contributory factor which led to this was:* A Railtrack formal investigation recommendation for a roll-by test at Coleford Junction, issued in November 2000 to the quarry train operator at that time, following a previous wheel flat incident in December 1999, had not been implemented into the Sectional Appendix for the route, nor made known to the current operators of these quarry trains (Recommendations 3 &amp; 4).The third causal factor was that the wheel flats were not detected during the subsequent journey from Coleford Junction to Hinksey Yard. Likely contributory factors which led to this were:* There was only one automatic wheel impact load detector system on the route taken by train 6F95, at Cholsey, near the train’s final destination and that system was not in operation at the time of the incident due to ballast cleaning and relaying work in that area.  Had it been, it may have prevented the rail failures at Kennington but not at Urchfont (Recommendation 5). There were no reports of flats on that train, either from the driver or from railway staff, except for one report by an off-duty signaller at the end of the journey. Underlying factor: Despite the history of wheel flat problems on the Meldon branch line, involving a variety of wagon types and a spate of 3 incidents within the two months prior to the incident, the knowledge of these had not been adequately disseminated between the different parties involved in the Meldon quarry train operations.  This led to no collective assessment of the risk from the flats and no mitigation (Recommendation 6).</t>
  </si>
  <si>
    <t>AT-588</t>
  </si>
  <si>
    <t>Train derailment, 08/01/2006, Strecke 155 von Pöchlarn nach Kiernburg-Gaming, Bf Scheibbs, km 27,164 (Austria)</t>
  </si>
  <si>
    <t>Z 7079 fuhr vom Bf Kienberg-Gaming nach Bf Pöchlarn. Bei Annäherung an den Bf Scheibbs erkannte _x000D_
der Tfzf, dass das Weichenüberwachungssignal der Einfahrweiche 53 des Bf Scheibbs erloschen war. _x000D_
Der Tfzf verringerte darauf seine Fahrgeschwindigkeit von 40 km/h auf 12 km/h, blickte vom rollenden _x000D_
Twg aus auf die Stellung der Weiche 53, um durch Augenschein das gute Anliegen der Zungen-an die _x000D_
Backenschiene festzustellen. Nachdem der Tfzf davon überzeugt war, dass dies der Fall war, ließ er den _x000D_
Twg, ohne anzuhalten, mit ca. 10 km/h über die Weiche 53 rollen. _x000D_
Beim Befahren der Weiche entgleiste der Twg mit dem vorlaufenden Drehgestell zur Gänze in _x000D_
Fahrtrichtung nach links um ca. 20 cm und kam ca. 10 m nach der Weichenspitze zum Stillstand. _x000D_
- Z 7079 went from Bf Kienberg-Gaming to Bf Pöchlarn. When approaching Bf Scheibbs the traindriver (Tfzf) recognised  that the monitoring signal of entr-switch 53 of Bf Scheibbs was out. The Tfzf reduced speed from 40 km / h to 12 km / h, looked out of the rolling railcar (TWG) to the position of switch 53 to check by view whether the switch-tongue reached its end-position. After the Tfzf was convinced that this was the case, he let the TWG roll over the switch with about 10 km / h without stop. _x000D_
When running the switch the TWG derailed with the first bogie to the left about 20 cm. The train came to stillstand after about 10 meters.</t>
  </si>
  <si>
    <t>Strecke 155 von Pöchlarn nach Kiernburg-Gaming, Bf Scheibbs, km 27,164</t>
  </si>
  <si>
    <t>slight damage to the track</t>
  </si>
  <si>
    <t>UK-182</t>
  </si>
  <si>
    <t>Level crossing accident, 08/01/2006, Scate Moor footpath level crossing between Whixley and Cattal Station (United Kingdom)</t>
  </si>
  <si>
    <t>At 18:20 North Yorkshire Ambulance Service reported attending an injured person on Scate Moor level crossing after receiving a mobile phone call from the person. On arrival the ambulance staff reported finding the person with an amputated leg. There had been no reports from drivers, however, it was thought that 2C10 ED 1654 leeds -  York may have been involved.</t>
  </si>
  <si>
    <t>Scate Moor footpath level crossing between Whixley and Cattal Station</t>
  </si>
  <si>
    <t>Northern Rail Ltd</t>
  </si>
  <si>
    <t>The immediate cause of the accident was that the cyclist was on the crossing at the time that train 2C13 passed over the crossing.</t>
  </si>
  <si>
    <t>The only witness is the cyclist.  He is unable to recall what happened in the critical period from when he was pushing his bicycle up the approach to the crossing until when he was lying on his back with the train passing.  It is not possible with certainty to state the root cause of the accident.  After considering the evidence at least two possibilities remain. Either:? The cyclist reached the crossing at some time between the passage of the previous train and the train that he was injured by.  He then lost consciousness, and recovered as the second train was passing.  However, there is no medical evidence to support this possibility; or	? The cyclist reached the crossing slope but did not stop, look and listen.  He then stepped into the path of the train, saw the train at the last moment and either stepped backwards ,falling in the process or slipped and fell backwards.	Contributing factors may include: ? The cyclist’s slightly impaired eyesight; or	? Lack of light.  It was dark, there was no significant ambient light and the weather was inclement; however, visibility was reasonable and the train headlight was functioning correctly; or? The cyclist was wearing cycling shoes and had just cycled across a field and pushed his bicycle up a partially muddy slope.  He probably had mud on his soles that could have increased the possibility of him slipping. No failings that could have contributed to the accident have been found in the railway infrastructure, including the crossing, the train, its operation or the signalling.</t>
  </si>
  <si>
    <t>DK-171</t>
  </si>
  <si>
    <t>Train derailment, 11/01/2006, Switch at Nærum station. (Denmark)</t>
  </si>
  <si>
    <t>Havarikommissionen for Civil Luftfart og Jernbane</t>
  </si>
  <si>
    <t>As the train dispatcher lost control with a point (part of the interlocking system) the oncomming train was cleared to enter the station without proper signalling. The train driver checked the point in accordance with safety regulations and attempted to pass the switch. Propably due to the slowly pasing train some parts of the switch got moving, and made the train derailed.																																		_x000D_
																																		_x000D_
																																		_x000D_
																																		_x000D_
																																		_x000D_
								1</t>
  </si>
  <si>
    <t>Denmark</t>
  </si>
  <si>
    <t>Switch at Nærum station.</t>
  </si>
  <si>
    <t>Lokalbanen</t>
  </si>
  <si>
    <t>Hovedstadens Lokalbaner</t>
  </si>
  <si>
    <t>Minor damage on switch and minor damage on train</t>
  </si>
  <si>
    <t>UK-344</t>
  </si>
  <si>
    <t>Other, 11/01/2006, Thirsk station (United Kingdom)</t>
  </si>
  <si>
    <t>Cutting of a rail from a line that was still open to traffic</t>
  </si>
  <si>
    <t>Thirsk station</t>
  </si>
  <si>
    <t>High speed passenger train</t>
  </si>
  <si>
    <t>This incident occurred because the PICOP did not appreciate that the proposed site of work was outside the possession.</t>
  </si>
  <si>
    <t>Causal factors A wide range of causal factors have been identified. These are described in the following paragraphs: *No one applied for the entry of the new work item into the WON thereby bypassing the entry into the Possession Planning System and the routine check of mileage against possession limits. Had the process been correctly applied by submitting the Appendix A form it is considered likely that the discrepancy would have been detected by the area’s planning team. *The entry of incorrect data into the Depot Resource Sheet that was not detected prior to the commencement of the works. *Undetected errors in other local planning documentation. *There was no formal arrangement in place at the depot to check that worksite mileages were correct. *Insufficient checking of information contained in the WON (Recommendation 2).*When planning his activities over the week the PICOP did not identify the discrepancy between the location of the worksite and the limits of the possession on the night of the 11/12 January 2006. This omission can be traced to the following factors: a) the confusing way in which he recorded information within the Possession 	 Management Work Pack (arising from the attempt to record four planned possessions in one proforma) (Recommendation 3); b) the differing ways in which locations are described for worksites and possession limits (Recommendation 3); 	c) the PICOP did not make use of the available line diagrams (Recommendation 4); 	d) the sequence of ‘short’ and ‘long’ possessions through the week (see paragraph 32) made it difficult for the PICOP to detect the error when preparing the Possession  Management Work Pack. No one at the pre-possession meeting identified the discrepancy in the local planning documents. This omission can be traced to a combination of the following factors: a) the PICOP did not chair the meeting in an effective manner; b) the lack of a suitable venue; c) the disruption of the meeting due to the need to resolve programme conflicts; d) suitable documents and drawings were not available at the meeting; e) incorrect local planning documents; f) the general expectation, identified in Network Rail’s own investigation and in witness evidence to the RAIB, that local arrangements are able to bypass the formal planning process. *On the night of the incident, it is evident that the PICOP and ES did not communicate with each other the exact location of the worksite. Various factors are relevant in this context: a) The Rule Book makes no explicit requirement for the PICOP or ES to check that worksites are within the possession; b) the way that key safety information was presented to the PICOP and ES did not facilitate ease of checking. In particular: (i) the limits of the possession were referenced from numbered points and signals whilst the location of the worksite was given in miles and chains (Recommendation 5); (ii) the limits of the item 28 possession were described in the WON as Thirsk to Longlands.  This imprecise description may have contributed to the confusion in the PICOP’s mind when planning the possession (Recommendation 5); 	(iii) neither the PICOP nor the ES had in his possession a line diagram showing the layout and mileage of all key features (Recommendation 4). Contributory factors: The investigation has identified a number of underlying factors that have contributed to the occurrence of the specific errors and omissions listed in paragraphs 90 to 97.  These contributory factors are as follows: a) certain managers and staff at the local depot and in the area planning team had an incomplete understanding of the works planning processes and were unclear as to their respective responsibilities (Recommendations 2 and 3); b) available line diagrams showing key features and the associated mileages were not used in the planning process to identify the exact location of the worksite (Recommendation 4).The number of recent incidents involving failures of possession protection arrangements (see paragraphs 82-87) suggest that the incident at Thirsk is not an isolated case, but is instead, symptomatic of a more general problem with the procedures and management arrangements for the planning of engineering works.  The recommendations at paragraph 108 are therefore designed to address this more general problem. A general observation by the RAIB following a consideration of the more general issues is found at paragraph 107.</t>
  </si>
  <si>
    <t>UK-181</t>
  </si>
  <si>
    <t>Other, 12/01/2006, Haywards Heath (United Kingdom)</t>
  </si>
  <si>
    <t>Train overran Haywards Heath station by an unspecified distance, setting back with permission. The driver stated that the overrun was due to the brakes failing to apply when required. The driver was fit to continue. The service was terminated on arrival back at Haywards Heath.</t>
  </si>
  <si>
    <t>Haywards Heath</t>
  </si>
  <si>
    <t>Thameslink</t>
  </si>
  <si>
    <t>The immediate cause of the accident was the presence of an extraneous washer in a drumswitch of unit 319004 causing an electrical defect preventing the application of Brake Steps 2 and 3 (paragraph 14).</t>
  </si>
  <si>
    <t>A contributing factor was the difficulty in examining the front section of the drumswitch where the defect occurred which may have led to the presence of the washer being missed (paragraph 22 and Recommendation 1).The means by which the train was recovered to the Depot for investigation and repair did not impose an increased risk to the safe operation of the railway.</t>
  </si>
  <si>
    <t>UK-190</t>
  </si>
  <si>
    <t>Train derailment, 14/01/2006, Haymarket, Edinburgh (United Kingdom)</t>
  </si>
  <si>
    <t>At 15.03 train 6K03, the 1500 Haymarket East Junction – Millerhill Yard passed a signal at danger on exit from a possession.  This resulted in it approaching the 1500 Edinburgh – Glasgow Queen Street service.  This train was stopped and diverted onto another line.  However a derailment occurred as a result.</t>
  </si>
  <si>
    <t>Haymarket, Edinburgh</t>
  </si>
  <si>
    <t>The immediate cause of the first incident was that the driver of train 6K03 left the possession without obtaining authority from the signaller.The derailment occurred because the EWS fitter carried out a brake test while the train was standing over points which had been damaged during the first incident.</t>
  </si>
  <si>
    <t>Causal factors were: ? the standard of communication between the signaller, the driver, the PICOP and the ‘PICOP’s assistant ’ (paragraphs 54 to 57); the rules in module T3 of the Rule Book that govern the protection of possessions when the end of the possession is located between the last signal and a junction are complex and not easy to understand (paragraphs 85 to 95); ? the staff involved did not understand, or correctly apply the requirements of module T3 of the Rule Book governing the provision of a handsignaller and the limits of a possession (paragraphs 80 to 83);? late change to the possession limits at the request of a contractor;? the driver did not correctly apply the requirements of module T11 of the Rule Book concerning authority for movements out of a possession (paragraph 56);? trains were not stopped on the line that was open to traffic prior to the move towards the protection being authorised (paragraph 64 to 66);? confusion over the role and authority of the ‘PICOP’s assistant’ (paragraphs 58 to 63); and? there were issues associated with the quality of the training and competence assessment of these individuals which contributed to the incident (paragraphs 80 to 83).In addition, the following factors were considered to be contributory:? staff considered the placing of protection at a location in close proximity to points on a line that was still open to traffic to be unexceptional (paragraphs 69 to 79); and ? the planning process did not identify the need for the special working arrangements associated with protection that is positioned between the last signal and a junction (paragraphs 67 to 68). The subsequent derailment was caused by the release of the brakes when the train was still standing over the switch diamond points that had been damaged by the train running through them (paragraph 43).</t>
  </si>
  <si>
    <t>UK-187</t>
  </si>
  <si>
    <t>Train derailment, 18/01/2006, York (United Kingdom)</t>
  </si>
  <si>
    <t>One bogie of a southbound freight train derailed and then re-railed in platform 3 at York station. There were no injuries but some damage to the track and vehicle did occur.</t>
  </si>
  <si>
    <t>York</t>
  </si>
  <si>
    <t>Train - collapsed suspension and loss of suspension on six foot side together with loss of break gear on the rear bogie.Track - Considerable damage to the cable for track circuits together with damage to TPWS equipment"</t>
  </si>
  <si>
    <t>The immediate cause of the derailment was the significant reduction in vertical load at wheel four which then climbed the gauge face of the left hand rail, mounted the rail head and derailed in the direction of platform three.  Wheel three fell into the four foot at this time.</t>
  </si>
  <si>
    <t>The causal factor of the derailment was the loss of the link pin from the suspension spring at wheel one on bogie serial number 89 of wagon 7008990380.  The subsequent collapse of the suspension at wheel one caused diagonally opposite wheel four to become significantly unloaded and thus susceptible to flange climb.The contributory factors that promoted flange climb at the particular location were: (i) high adhesion at the wheel-rail interface and (ii) right hand horizontal track curvature.  Both were normal conditions that, when combined with wheel four’s significantly reduced vertical wheel load, increased its susceptibility to flange climb.Underlying causes: The likely underlying causes of the incident were: (i) the loss of the link pin due to degradation, fatigue cracking and rapid overload and (ii) the inability of the maintenance and inspection regime to detect link pin degradation and fatigue cracking sufficiently early in its inception to avoid failure between scheduled examinations (Recommendation 1).</t>
  </si>
  <si>
    <t>SE-341</t>
  </si>
  <si>
    <t>Runaway, 2006-01-19, Vasterhaninge station, which is on the regional train line between Nynashamn and Stockholm. (Sweden)</t>
  </si>
  <si>
    <t>Runaway</t>
  </si>
  <si>
    <t>A multiple-unit passenger train, which departed from Vasterhaninge, had some technical problems on the open line between Vasterhaninge and Jordbro and could not continue to Jordbro. The train driver and the train dispatcher decided that the train should drive back to Vasterhaninge. The train driver changed cab and drove back to Vasterhaninge. About two minutes after the train got back to Vasterhaninge the train guard noticed that there was an unit slowly coming from the open line towards the train. The train had been divided when it changed direction. 
Torsdagen den 19 januari 2006 kl. 06:52 avgick pendeltåg nr 2510 bestående av fyra enheter från Västerhaninge mot Stockholm. När föraren skulle prova bromsen, slogs huvudbrytarna från och tåget nödbromsades. Efter fel¬sökning körde föraren tillbaka tåget till Västerhaninge. Den sista vagnen blev då kvar på platsen, utan förarens vetskap. Efter att bromsarna på vagnen självlossat rullade den efter in till Västerhaninge och stannade strax bakom de övriga vagnarna i tåget._x000D_
_x000D_
Dagen före hade det gjorts ett misslyckat försök att koppla loss mellan de två enheter där kopplet lossade. Losskopplingscylindern hade då trycksatts men kopplen hade inte förmåtts att gå isär._x000D_
_x000D_
När provbromsningen gjordes på morgonen den 19 januari hade tåget en enhet av typ x10 sist i tåget, som på grund av att den även är utrustad med en elektrisk motståndsbroms, bromsade lite tidigare än övriga fordon, orsakade ett ryck i tåget som därmed kopplade isär vilket i sin tur orsakade huvudbrytarfrånslag och nödbromsning. Det var kallt vid tillfället och kylan kan ha medverkat till att kopplets mekanik var trög._x000D_
_x000D_
Innan tågsättet fördes tillbaka in till Västerhaninge lade föraren tågslut mellan de mittersta enheterna vilket innebar att de två sista enheterna inte längre kontrollerades av manöverströmskretsen. Föraren kunde då inte heller kontrollera att han kunde manövrera samtliga bromsar i tåget och därmed inte heller konstatera att en vagn var losskopplad._x000D_
_x000D_
Efter något mer än fem minuter självlossade bromsen på den kvarvarande vagnen. Att detta gick så snabbt berodde på defekta backventiler som orsakade att bromscylindrarna avluftades. Att bromscylindrarna var i defekt skick berodde på bristande underhåll och kontroll av bromscylin-derkretsens täthet.</t>
  </si>
  <si>
    <t>Vasterhaninge station, which is on the regional train line between Nynashamn and Stockholm.</t>
  </si>
  <si>
    <t>Citypendeln</t>
  </si>
  <si>
    <t>The non-return valve in the braking system could not keep the pressure. 
The direct cause of self-discharge is lack of maintenance, which led to leaking valves were in the vehicle and vented brake cylinders.</t>
  </si>
  <si>
    <t>Underlying causes were that the check valves were not audited and any analysis of the impact of changes to maintenance procedures had not been made. Trailer and the status of staff general belief that wagon braking system leaks quickly, showing that sufficient measures to compensate for the deleted revisions have been made. Thus, this relationship must be a fundamental cause of the incident. The leakage has not been discovered or remedied at the reviews. This means that quality deficiencies at the reviews or for long intervals between density controls have contributed to the incident has taken place. 
Bakomliggande orsaker var att backventilerna inte hade reviderats och någon analys av konsekvenserna för ändringar av underhållsrutiner inte hade gjorts. Vagnens status och den bland personalen allmänna uppfattningen att vagnarnas bromssystem läcker snabbt, visar att tillräckliga åtgärder för att kompensera för de borttagna revisionerna inte har gjorts. Alltså måste detta förhållande vara en grundläggande orsak till händelsen. Läckaget har inte heller upptäckts eller åtgärdats vid översynerna. Det innebär att kvalitetsbrister vid översynerna eller för långa intervaller mellan täthetskontrollerna har medverkat till att tillbudet har skett.</t>
  </si>
  <si>
    <t>DK-46</t>
  </si>
  <si>
    <t>Level crossing accident, 21-01-06, Skagen, Buttervej, Level crossing 120 (Denmark)</t>
  </si>
  <si>
    <t>After stopping at the platform the driver moved his train on towards the level crossing without activating the light and the barriers. When the train unit passed the crossing, it hit a car.</t>
  </si>
  <si>
    <t>Skagen, Buttervej, Level crossing 120</t>
  </si>
  <si>
    <t>Nordjyske Jernbaner A/S</t>
  </si>
  <si>
    <t>Nordjyske Jernbaner</t>
  </si>
  <si>
    <t>The car was heavily damaged (destroyed) - minor damage on the front of the train unit</t>
  </si>
  <si>
    <t>The level crossing's safety meassures wasn't activated before the train passed</t>
  </si>
  <si>
    <t>UK-183</t>
  </si>
  <si>
    <t>Train derailment, 21/01/2006, Patna, near Ayr (United Kingdom)</t>
  </si>
  <si>
    <t>Laden coal train derailed on freight only branch - rear six vehicles derailed approx 2-3 miles of dameged track. Point of derailment in Chalmestorn Scottish Coal opencast facility.</t>
  </si>
  <si>
    <t>Patna, near Ayr</t>
  </si>
  <si>
    <t>Scottish Coal</t>
  </si>
  <si>
    <t>2-3 miles of damaged track.</t>
  </si>
  <si>
    <t>The immediate cause of the incident was a transverse fracture to the running rail, presenting an obstruction.  This allowed a wheel to climb onto the rail head and derail.</t>
  </si>
  <si>
    <t>Causal factors were: a) Failure of the track support; b) A track inspection regime which was inadequate to identify and rectify track and geometry defects. (Recommendation 2 refers);c) A 4-weekly reporting regime which did not adequately record work required. (Recommendation 5 refers); and	d) The lack of a mutual understanding of the arrangements for track inspection and maintenance activities between Scottish Coal and EWS.  This resulted in confusion among those undertaking this activity and allowed gaps in responsibility to remain unresolved.  (Recommendations 1 and 2 refer). In addition, the following factors were considered to be contributory: a)	The poor condition of the line overall, leading to a high workload being reported by EWS inspection staff. As a consequence, evidence of sleeper deterioration at the site of the derailment was either not detected or not reported (paragraph 63). (Recommendations 2 and 5 refer); b) The lack of inspections involving the use of a working cross-level gauge which allowed track geometry defects to remain undetected. This served to increase the loading on the rail in the vicinity of the fracture.  Omitting to report that cross-levels were not being measured compounded this issue and led to a significant twist fault developing unnoticed, close to the point of derailment (paragraph 52). (Recommendation 4 refers); c) The submission of photocopied inspection reports over an extended period which did not quantify the scale of the defects or record changes to the condition of the track. This was compounded by the EWS engineer signing-off the covering report and served to compromise the effectiveness of the inspection process (paragraph 53). (Recommendation 4 refers);d)The postponement of track maintenance activity for a period of at least six months prior to the derailment.  This was despite sleeper condition being reported as ‘very poor’(paragraphs 52 and 60); e)The lack of specialist track maintenance knowledge or experience within, or available to, Scottish Coal.  This resulted in a lack of asset knowledge or ability to ensure their requirements were being effected (paragraph 46). (Recommendation 3 refers); and f)The decision by EWS to continue to support an arrangement which did not clearly stipulate standards (paragraph 56). (Recommendation 6 refers).The following factor affected the severity of the derailment:? The driver of train 6C64, remaining unaware of the derailment, continued to apply power until being brought to a halt by track failure after travelling approximately 3,800 metres with a derailed wheelset. Additional observation: ? Network Rail have no awareness of the condition of Scottish Coal’s infrastructure. Clause 4 in the 1988 agreement has therefore not been enacted (paragraph 17). Recommendation 7 refers.</t>
  </si>
  <si>
    <t>UK-131</t>
  </si>
  <si>
    <t>Trains collision with an obstacle, 27/01/2006, Sudbury, Suffolk (United Kingdom)</t>
  </si>
  <si>
    <t>At 18.28 the 18.05 Marks Tey – Sudbury service, collided with the buffer stops at the end of the single line at Sudbury.</t>
  </si>
  <si>
    <t>Sudbury, Suffolk</t>
  </si>
  <si>
    <t>The immediate cause of the accident was due to the late application of brakes during the final approach along the platform track. The only likely explanation of this is of misjudgement by the driver</t>
  </si>
  <si>
    <t>Apart from human error, no identifiable causal factors were found. No identifiable factors were considered to be contributory.</t>
  </si>
  <si>
    <t>UK-185</t>
  </si>
  <si>
    <t>Train derailment, 31/01/2006, Cricklewood (United Kingdom)</t>
  </si>
  <si>
    <t>Two wagons of a freight train derailed as it was traversing the Cricklewood Curve section of the line linking the Midland Main Line from the south to the freight line to Kew.  The derailed wagons overturned on an embankment._x000D_
No physical injuries to the driver but he was left shaken by the incident</t>
  </si>
  <si>
    <t>Cricklewood</t>
  </si>
  <si>
    <t>The derailment was caused by excessive track twist.  The track twist was caused by movement of the embankment at the site of the repair works leading to a general ‘sag’ in the cess rail.  This sag came to an abrupt end at the site of a tree stump which stabilised the embankment at that point.  The overall effect was to produce the twist.</t>
  </si>
  <si>
    <t>Causal factors The responsibility for monitoring the track during the work was not made clear, due to poor communication between the teams in the Network Rail York office and between the Network Rail offices at York and Bedford/Cricklewood (Recommendation 2).The local track maintenance staff did not recognise the potential hazard of excessive cant and did not apply control measures to reduce the risk.  Controls would have been to lift and pack the track immediately or to close the line (Recommendation 4).The local track maintenance staff did not measure the cant at the site when rescheduling maintenance work to correct the cant (Recommendation 3).The AMCO method statement did not fully take into account the designer’s risk assessment (Recommendation 5). The MP&amp;I minor works team classified the job as low risk on the basis of an internal unwritten ‘rule’ instead of implementing all parts of the designer’s risk assessment. Contributory factors: 	The bank was in a condition where it was prone to failure under heavy loading. 	The train which derailed was the heaviest load that the bank had been called upon to carry since the repair works started. The technical control of the job by the MP&amp;I minor works team was not robust and allowed the following events to occur, all of which contributed to the incident (Recommendation 5): ? Network Rail’s method statement acceptance process did not consider the designer’s risk assessment; ? Network Rail’s method statement acceptance process did not identify the risk posed by cutting an access road into the slope; ? A list of jobs showing the monitoring requirements at each one was not readily available to the project engineer.? The level of site supervision was low and allowed excavation to encroach closer to the track than the method statement stated. The Network Rail work instruction NR/WI/TRK/001 did not mention the limits on cant deviation specified in the business process document NR/SP/TRK/001 (Recommendation 4). The Network Rail business process document NR/SP/TRK/001 did not give guidance on time limits for fixing cant deviations or on appropriate actions for cant excess (Recommendation 3). The AMCO site team were not experienced in monitoring track for settlement during this type of earthworks (Recommendation 5).Network Rail’s organisation did not include a competent person with overall knowledge of all stages of the repair scheme throughout its life cycle (Recommendation 6).Underlying cause: Information on the bank condition, risks inherent in carrying out construction works on it and the means of mitigating the risk to rail traffic were not clearly communicated to AMCO. Correct application of the CDM regulations should have ensured that this was done (Recommendation 1).</t>
  </si>
  <si>
    <t>UK-180</t>
  </si>
  <si>
    <t>Trains collision, 04/02/2006, Loughborough Central (United Kingdom)</t>
  </si>
  <si>
    <t>Heritage line._x000D_
Collision between a Stanier Class 5 locomotive and a set of coaches standing at platform 1 of Loughborough Central Station._x000D_
Driver treated for minor facial injuries. One member of staff on board coaching stock trated for minor head injuries.</t>
  </si>
  <si>
    <t>Loughborough Central</t>
  </si>
  <si>
    <t>Great Central Railway (Heritage line)</t>
  </si>
  <si>
    <t>GCR</t>
  </si>
  <si>
    <t>The immediate cause of the incident was that the driver did not apply the locomotive brake to stop and therefore the locomotive collided with the carriages</t>
  </si>
  <si>
    <t>Contributory factors were most likely: ? the distraction of the driver from keeping a good look out due to doing other things at the time of the collision; ?the distraction of the fireman from keeping a good look out as he was attending to the fire; ? the driver’s reduced visibility due to a localised concentration of steam;? the driver’s reduced visual acuity when not wearing spectacles as required by his medical certificate.</t>
  </si>
  <si>
    <t>UK-179</t>
  </si>
  <si>
    <t>Train derailment, 06/02/2006, Carlisle (North Junction) (United Kingdom)</t>
  </si>
  <si>
    <t>At 13.20 hours the driver of 6E87 (1025 New Cumnock-Drax) whilst traversing the Up Main line, reported the rear vehicle of an engineers train on the Down Main line appeared to be derailed on 756A points at Carlisle North Junction._x000D_
At 13.48 the EWS Operations Manager on site reported that the rear vehicle had become derailed and divided on 756 points whilst working.</t>
  </si>
  <si>
    <t>Carlisle (North Junction)</t>
  </si>
  <si>
    <t>Damage was sustained to a 1 in 8 crossing 8 sleepers and point heater cables."</t>
  </si>
  <si>
    <t>The immediate cause of the accident was the gradual lowering of the plough in transit from Askham, allowing it to contact an adjacent running rail at 756A points at the north of Carlisle station.</t>
  </si>
  <si>
    <t>Causal factors were: *that during the stowage of the plough, following the cessation of work on site, the locking keys were not fitted.* there was no secondary means, neither mechanical or procedural, that ensures that the locking keys were in place before the plough brake van was moved from site (Recommendations 1 &amp; 2).</t>
  </si>
  <si>
    <t>UK-558</t>
  </si>
  <si>
    <t>Train derailment, 09/02/2006, Melton Mowbray (United Kingdom)</t>
  </si>
  <si>
    <t>SPAD by a loca and three wagon lengths with the train becoming derailed on the trap points and blocking the Up line. Locomotive 66017 and wagons REDA 14520 and 14789 derailed all wheel whilst WAGON reda 14776 derailed by the leading bogie.</t>
  </si>
  <si>
    <t>Melton Mowbray</t>
  </si>
  <si>
    <t>The immediate cause was that the driver had a microsleep just after he had applied power into the number three position 141 m from signal 53, and he was only woken up again after the locomotive derailed. It was not possible to determine exactly where in the final 141 m before signal 53 that the driver had a microsleep. It is also possible that the driver had more than one microsleep during this period.</t>
  </si>
  <si>
    <t>The principal causal factor was fatigue leading to the microsleep that was the immediate cause of the accident. In addition, the following factors were considered to be contributory: * The shift roster pattern during the week of the accident (week commencing 5 February 2006) consisted of spare turns where the driver was required to work two early turns where the driver’s sleep was likely to have been shortened, followed by a day where he was not required for duty followed by a night turn of duty where it would be difficult to get prior sleep. * The main driving task was in the second half of the shift when the risk of fatigue was greatest. * The rostering process did not specifically identify the risk of fatigue associated with a first night turn of duty or the timing of the main driving task within a shift. * The driver arrived at work early at 23:40 hrs owing to the unavailability of public transport after this time. This eroded the duration of his rest period at a time when it would have been easier to sleep if he had attempted to do so. This effectively increased the duration of the shift increasing the risk of fatigue. * Drivers could normally (in the absence of a random fitness for duty check) book on at Leicester Beal Street depot without any check as to their fitness for duty given the location is unsupervised. * The driver did not obtain sufficient prior sleep to maximise alertness during the turn of duty during which the accident occurred. * Briefing on coping with shiftworking had been given, but this did not give advice on how to cope with a first night turn of duty and had not been refreshed since 2003.</t>
  </si>
  <si>
    <t>UK-133</t>
  </si>
  <si>
    <t>Accident to persons caused by RS in motion, 15/02/2006, Huntingdon (United Kingdom)</t>
  </si>
  <si>
    <t>At 1603 WAGN TOC station staff at Huntingdon reported to the signaller at Peterborough PSB that a person had been struck by a train on the Up Slow line at Huntingdon but the person was still alive and conscious. All lines were blocked and emergency services summoned. Further investigations revealed that the injured person had attempted to join 1P71, HQ, 1544 Peterborough – London King’s Cross (unit No. 365502) but appeared to get an item of clothing caught in a door. The person was removed by paramedics with non life threatening injuries to Hinchingbrooke Hospital.</t>
  </si>
  <si>
    <t>Huntingdon</t>
  </si>
  <si>
    <t>West Anglia Great Northen Train Ltd</t>
  </si>
  <si>
    <t>The immediate cause of the accident was that the driver of train IP71 pulled away from platform two at Huntingdon station with a member of public trapped in a door.</t>
  </si>
  <si>
    <t>Causal and contributory factors: The actions of the injured person as the door closed increased the likelihood that his clothing would be trapped between the leaves of the closed door (paragraph 24). A combination of the design of the Class 365 Unit door seal and the closing forces of the Class 365 Unit door permitted the coat fabric to be trapped such that it could not be removed (paragraphs 34-52 and Recommendations 3 and 5). The action of the Driver (P1) in pulling up short of the DOO four-car monitor bank is likely to have reduced the image contrast on the CCTV monitors (paragraphs 53-66 and Recommendation 1). The design and construction of the Class 365 Unit door permitted the interlock to be given when the coat fabric was trapped (paragraph 45). The position and actions of P4 at the trailing door of the second vehicle [72242] immediately before P2 was trapped and during the first few seconds after, are likely to have obscured, or partially obscured, the image of the trapped person in the CCTV monitor from the Driver (P1) (paragraphs 74-78 and Recommendation 4). The design and construction of the display screens in the DOO monitors at Huntingdon station platform two was such, that if a driver pulled up short of the DOO monitor centreline he would see a reduced image contrast. The driver’s view of the trapped person in the more distant right-hand monitor was likely to have been affected by this reduction in monitor screen contrast (paragraphs 80-90 and Recommendation 2). The driver did not see the presence of a person, likely to be P2, in close proximity to the side of a train as being unusual and elected to continue to drive away. The image of this person if the driver had been looking directly at the monitors, would have only been visible for a very short time as the cab left-hand side window passed the right-hand side monitor (paragraph 66 and Recommendation 1).</t>
  </si>
  <si>
    <t>CZ-112</t>
  </si>
  <si>
    <t>Trains collision, 20/02/2006, Station: Kropacova Vrutice, km 51.376 (Czech Republic)</t>
  </si>
  <si>
    <t>Fast train N° 940 passed a signal at danger and collided with freight train N° 51430. 9 persons were slightly injured.</t>
  </si>
  <si>
    <t>Station: Kropacova Vrutice, km 51.376</t>
  </si>
  <si>
    <t>Freight train; 
Long distance passenger train</t>
  </si>
  <si>
    <t xml:space="preserve">Ceske drahy a. s.; 
</t>
  </si>
  <si>
    <t>Material damage (wagons tracks points sleepers): CZK 4 687 153.-"</t>
  </si>
  <si>
    <t>UK-186</t>
  </si>
  <si>
    <t>Other, 21/02/2006, Basford Hall (United Kingdom)</t>
  </si>
  <si>
    <t>At approximately 19.54 train 6D51 from Crewe to Toton was found on arrival to be in an unfit condition to travel. The load of used track panels was unsecured and the required load examined labels were missing._x000D_
_x000D_
The train was operated by EWS.  However, in this instance the train preparation was the responsibility of Freightliner Heavy Haul.</t>
  </si>
  <si>
    <t>Basford Hall</t>
  </si>
  <si>
    <t>Train 6D51 was dispatched onto the railway network with incorrect wagons, carrying an unsecured load.</t>
  </si>
  <si>
    <t>Causal factors were:* there was a breakdown in communication over which wagons were to be placed in train 6D51 between the team leader and a shunter in Basford Hall Yard (Paragraph 117); and * the shunter did not correctly follow the specified processes to check the train prior to departure and in particular he did not check the vehicle numbers or the security of the load of train 6D51 (Paragraph 118). The following factors were considered to be contributory;* the shifts that the shunter had previously worked, together with his off duty activities may have increased his susceptibility to fatigue, and to having an accident or incident (Paragraph 130); * the shunter may have been placed under time pressure (Paragraph 137); * the method of work for siding MO13 did not include sufficient controls to prevent vehicles being taken from the siding in error (Paragraph 133); * the process for writing, checking, authorising, issuing and briefing of local working instructions to shunting staff members was insufficient (Paragraphs 136); and * the reduced level of team leaders’ and supervisors’ monitoring of train preparation, compared with the requirements of Freightliner's own standard (Paragraphs 89 and 90). The underlying cause: The members of shunting staff at Basford Hall Yard did not always comply with the rules and regulations associated with the preparation of trains. The regime for ensuring the quality and safety of shunting work at Basford Hall Yard did not prevent such noncompliances and was therefore ineffective.</t>
  </si>
  <si>
    <t>FR-61</t>
  </si>
  <si>
    <t>Train derailment, 25/02/2006, derailment on single track between the stations St Flour and Andelat on the section Beziers to Neussargues. The derailment is at the km point : 692,480. This line is in the group UIC 8AV. (France)</t>
  </si>
  <si>
    <t>No description</t>
  </si>
  <si>
    <t>derailment on single track between the stations St Flour and Andelat on the section Beziers to Neussargues. The derailment is at the km point : 692,480. This line is in the group UIC 8AV.</t>
  </si>
  <si>
    <t>The line ( 100 m) is out of order. The locomotive and coaches have major damages. A catenary pillar is severed</t>
  </si>
  <si>
    <t>DK-50</t>
  </si>
  <si>
    <t>Level crossing accident, 27-02-06, Pederstrup, overkørsel 39 (Denmark)</t>
  </si>
  <si>
    <t>Serious damage to a truck trailer and the train. The Right side of the train got almost all windows smashed</t>
  </si>
  <si>
    <t>Pederstrup, overkørsel 39</t>
  </si>
  <si>
    <t>Danske Statsbaner</t>
  </si>
  <si>
    <t>Banedanmark</t>
  </si>
  <si>
    <t>The train driver didn't react to the warning signals from the level crossing interlocking</t>
  </si>
  <si>
    <t>FI-141</t>
  </si>
  <si>
    <t>Train derailment, 3/10/2006, Main line, Luumäki railway yard (Finland)</t>
  </si>
  <si>
    <t>A locomotive and two wagons derailed at a turnout on Luumäki railway yard</t>
  </si>
  <si>
    <t>Main line, Luumäki railway yard</t>
  </si>
  <si>
    <t>Slight damages to track and movagle-point-frog switch</t>
  </si>
  <si>
    <t>The incident was caused by the remote control operator and the engine driver being unable to act in an expedient manner in an exceptional situation.</t>
  </si>
  <si>
    <t>DE-52</t>
  </si>
  <si>
    <t>Trains collision, 15-03-06, line: Gremberg - Köln-Kalk-Nord (Germany)</t>
  </si>
  <si>
    <t>BFU</t>
  </si>
  <si>
    <t>Freight train 51245 ran into freight train 50216 which was standing in front of station Köln-Kalk-Nord. Speed of train 51245 before impact was about 30 km/h.</t>
  </si>
  <si>
    <t>Germany</t>
  </si>
  <si>
    <t>line: Gremberg - Köln-Kalk-Nord</t>
  </si>
  <si>
    <t>DB Schenker Rail Deutschland AG</t>
  </si>
  <si>
    <t>DB Netz AG</t>
  </si>
  <si>
    <t>Derailment of 11 vehicles. One of the 11 wagons was a tank wagon; UN-No. 1052.  No accidental escape of dangerous goods.</t>
  </si>
  <si>
    <t>in light of Article 19 §2 of SD"</t>
  </si>
  <si>
    <t>Abweichung in der Grundschaltung des Stellwerks Gnf-Deviation in the basic circuitry of the interlocking-Gnf 
Gnf-Deviation in the basic circuitry of the interlocking-Gnf</t>
  </si>
  <si>
    <t>Nicht ordnungsgemäße Bedienung der Stellwerksanlage-Operation of the interlocking not according to the regulations 
Operation of the interlocking not according to the regulations</t>
  </si>
  <si>
    <t>PT-76</t>
  </si>
  <si>
    <t>Level crossing accident, 18/03/2006, Level crossing is located in the suburb area of Leiria, with a few houses nearby and long distance low visibility for LC users. However when approaching the LC after surpassing the houses, railtrack visibility is good for LC users as it is viewed in a lon (Portugal)</t>
  </si>
  <si>
    <t>GISAF - Gabinete de Investigação de Segurança e de Acidentes Ferroviários</t>
  </si>
  <si>
    <t>the train collided with a car which had initialised crossing of the LC (Type B). The referred LC was functioning accordingly</t>
  </si>
  <si>
    <t>Portugal</t>
  </si>
  <si>
    <t>Level crossing is located in the suburb area of Leiria, with a few houses nearby and long distance low visibility for LC users. However when approaching the LC after surpassing the houses, railtrack visibility is good for LC users as it is viewed in a lon</t>
  </si>
  <si>
    <t>C.P. E.P.</t>
  </si>
  <si>
    <t>REFER E.P.</t>
  </si>
  <si>
    <t>Damages unabled Rolling stock to proceed trip</t>
  </si>
  <si>
    <t>UK-128</t>
  </si>
  <si>
    <t>Accident to persons caused by RS in motion, 19/03/2006, Manor Park (United Kingdom)</t>
  </si>
  <si>
    <t>The driver of passenger train 1Y06 stopped short of Manor Park to report thet the train had struck and run over six wheelbarrows on the main line. It was subsequently reported that three track workers attented hospital had been struck by flying ballast.</t>
  </si>
  <si>
    <t>Manor Park</t>
  </si>
  <si>
    <t>The immediate cause of this incident was the presence of a workgroup on the track outside the limits of a possession and without any means of protection.</t>
  </si>
  <si>
    <t>Causal factors were: a. poor communication between Kier Rail staff throughout the planning period and up to the time of the incident, resulting in the staff being sent to a work site where the possession had been curtailed (paragraph 96, Recommendation 2b refers); b. the COSS not being aware of the contents of the RIMINI plan which clearly showed the work was no longer planned to take place at the site at Manor Park (paragraph 81, Recommendation 2e refers); c. the lack of a clear understanding between the ES and the COSS at the start of the work as to where the work group was located (paragraph 87, Recommendation 1a refers); d. Network Rail not making sufficiently clear to Kier Rail the extent of the changes to the possession made shortly before the T-6 planning meeting (paragraph 102, Recommendation 1c refers). The following factors were considered to be contributory: a. the handing of the RIMINI plan to the COSS between 30 and 45 minutes before the commencement of activities, therefore leaving very little time for him (the COSS) to read it (paragraph 83, Recommendation 2d refers); b. the complex format of the RIMINI plan (paragraph 83, Recommendation 2c refers); c. the lack of a briefing of the COSS by the site supervisor (paragraph 85, Recommendation 2e refers); d. the ES and the COSS not jointly reviewing and signing form RT3199 (paragraph 89, Recommendation 1a refers); e. the planning of the work site, and in particular its size and the number of jobs within it (paragraph 91, Recommendation 1b refers); f. the late identification of the changes within Kier Rail (paragraph 97, Recommendations 2a and 2b refer); g. the lack of a clear mutual understanding of the location of the work activity between the RIMINI planner and the contract manager after their discussion on 13 March (paragraph 98, Recommendation 2a refers); and h. the lack of understanding by the RIMINI planner of the contractual limits between Kier Rail and Network Construction (paragraph 95). An underlying cause is planning complex work sites to encompass multiple jobs over many miles</t>
  </si>
  <si>
    <t>UK-370</t>
  </si>
  <si>
    <t>Train derailment, 22/03/2006, Long Millgate, Manchester Victoria (United Kingdom)</t>
  </si>
  <si>
    <t>At approximately 08.08 hrs tram 1011 derailed when leaving Manchester Victoria station heading towards the city centre. Two axles were derailed – the leading axle of the centre bogie and the leading axle of the trailing bogie. There were no reports of injuries but there was some minor damage to the roadway.</t>
  </si>
  <si>
    <t>Long Millgate, Manchester Victoria</t>
  </si>
  <si>
    <t>Minor damage to the roadway</t>
  </si>
  <si>
    <t>The immediate cause of the accident was the failure of a repaired section of track at the transition between two types of rail, which allowed the wheels to ride up the inner face of the grooved track and become derailed (paragraph 31).</t>
  </si>
  <si>
    <t>The causal factor was: * the repair to the transition area was undertaken without the use of a formal design change control process or quality control of the work done (Recommendation 4) (paragraph 56). Contributing factors were: * side wear on the outside rail of the curve in the transition area (paragraph 31); * the positioning of the transition between two types of track on a curve, rather than on straight track (Recommendation 2) (paragraph 43); * the choice of hard rail for track in the city centre area, making it difficult to make welded repairs to worn rails (paragraph 42). Underlying causes were: *l the lack of construction and inspection standards for light rail grooved tracks, or guidance on intervention points (Recommendation 1) (paragraph 65); * the absence of a defined renewal strategy based on the condition of the track on the Metrolink system (Recommendation 3) (paragraph 68).</t>
  </si>
  <si>
    <t>SE-564</t>
  </si>
  <si>
    <t>Train derailment, 2006-03-29, Between the stations Linköping - Vikingstad, which are located on the southbound main line between Norrköping and Malmö. (Sweden)</t>
  </si>
  <si>
    <t>Wednesday, 29 March 2006, a freight train derailment in 49302 staging Viking City and Linköping C. The train was traveling from Nässjö to Hallstavik and consisted of an electric locomotive and 20 open wagons loaded with timber. Freight train stopped on the line for the driver to investigate a brake wrongly braking. Shortly after the freight train is stopped it met a passenger train, train 8789th It was dark and the place where the train stopped was not illuminated._x000D_
_x000D_
In a very short distance passenger train driver discovered that his track was blocked by logs from a wagon in freight train that had passed. He applied the emergency brakes and the train stopped about 370 m immediately beyond the bridge. Both the majority of the freight train wagons that two of the passengers of the train bogies had derailed. A log penetrated the cab and another stock pushed up through the floor of the engine and injured a passenger. A couple of other passengers also received minor injuries. 
Onsdagen den 29 mars 2006 inträffade en urspårning i godståg 49302 mellan stationerna Vikingstad och Linköping C. Tåget var på väg från Nässjö till Hallstavik och bestod av ett ellok och 20 öppna vagnar lastade med timmer. Godståget stannade på linjen för att föraren skulle undersöka en misstänkt tjuvbromsning. Strax efter det att godståget stannat mötte det ett resandetåg, tåg 8789. Mörker rådde och platsen där tåget stannade var inte upplyst._x000D_
På mycket kort avstånd upptäckte resandetågets förare att nedspåret var blockerat av timmer från en vagn i godståget som hade vält. Han nödbromsade och motorvagnståget stannade efter ca 370 m omedelbart bortom en bro. Såväl flertalet av godstågets vagnar som två av resandetågets boggier hade spårat ur. En timmerstock trängde in i förarhytten och en annan stock trängde upp genom motorvagnens golv och skadade en resande. Ett par andra resande fick också lindriga skador._x000D_
_x000D_
Det spår, uppspåret, som godståget färdades på, fick omfattande skador på en sträcka av 916 m. Nedspåret, som resandetåget färdades på, fick omfattande skador på en sträcka av 370 m. Sammanlagt skadades nästan 1300 m spår._x000D_
Lagerhaveriet orsakades av allt att döma av en hjulskada, som förorsakat höga accelerationspåkänningar, och som funnits länge. De flesta typer av lager tål inte sådana påkänningar under en längre tid. Själva haveriförloppet var snabbt. Tåget passerade en s.k. varm-gångsdetektor söder om Mjölby ca 21 minuter före urspårningen. Då registrerades en viss temperaturförhöjning, men denna var inte så hög att det föranledde något larm. Vid säkerhetssyning före tågets avgång från Nässjö upptäcktes inte någon hjulskada. Det fanns inte heller några rapporter om skador från tidigare säkerhetssyningar._x000D_
_x000D_
Vid en kontrollvägning av fem vagnar visade det sig att flera av dem var överlastade. De uppgifter som hade getts till föraren om vagnarnas vikt var inte riktiga. _x000D_
Den urspårade timmervagnen var inte underhållen enligt gällande bestämmelser och tidsintervall (ettårsintervall, överskridet med fyra månader). Även andra vagnar i tågsättet hade passerat gränsvärden för detta, en vagn med så lång tid som nästan tre år._x000D_
_x000D_
Nya Inlandsgods AB, som var ansvarigt järnvägsföretag för godståget, saknade fastställda, heltäckande underhållsbestämmelser och en effektiv underhållsstyrning. Det fanns brister i säkerhetsstyrningssystemet och företagets säkerhetsordning. Detta trots att företaget under 2005 genomgått tillståndsprövning för licens och säkerhetsintyg.</t>
  </si>
  <si>
    <t>Between the stations Linköping - Vikingstad, which are located on the southbound main line between Norrköping and Malmö.</t>
  </si>
  <si>
    <t>SJ AB; 
Nya Inlandsgods AB</t>
  </si>
  <si>
    <t>Infrastructure: 1300 meter track damageRolling stock: 1 freight wagon and the engine car in the passenger train"</t>
  </si>
  <si>
    <t>The immediate cause of the derailment was a broken axle occurring as a result of overheating in a roller bearing. 
Den omedelbara orsaken till urspårningen var att ett axelbrott uppstod som följd av en varmgång i ett rullager.</t>
  </si>
  <si>
    <t>The bearing failed as a result of the axle had a damaged wheel that had been in service for a long time despite that the wagon should have been off service for repair.The reason for this was that the Inland Freight lacked adequate procedures to instruct the coaches to preventive maintenance on time, as well as to the daily functioning of the controls were not effective enough.The fundamental cause of the accident was an inadequate safety management at New Inland Freight AB. 
Rullagret havererade som en följd av att den berörda hjulaxeln hade ett skadat hjul, som fått gå i trafik en längre tid trots att vagnen borde ha ställts av för reparation. _x000D_
Anledningen till detta var att Inlandsgods inte haft tillräckliga rutiner för att beordra in vagnar till förebyggande underhåll i tid, liksom att de dagliga funktionskontrollerna inte varit tillräckligt effektiva._x000D_
Den grundläggande orsaken till olyckan var en otillräcklig säkerhetsstyrning hos Nya Inlandsgods AB.</t>
  </si>
  <si>
    <t>SK-169</t>
  </si>
  <si>
    <t>Train derailment, 30/03/2006, Line number 160 Trnava - Kuty (Slovak Republic)</t>
  </si>
  <si>
    <t>Ministry of Transport Posts and Telecommunication</t>
  </si>
  <si>
    <t>Due to miserable weather with a lot of rain falls unexpected flood occured.</t>
  </si>
  <si>
    <t>Slovak Republic</t>
  </si>
  <si>
    <t>Line number 160 Trnava - Kuty</t>
  </si>
  <si>
    <t>Zeleznicna spolocnost Slovensko a.s.</t>
  </si>
  <si>
    <t>The Railways of the Slovak Republic</t>
  </si>
  <si>
    <t>Damage for IM 930 604- Sk (26 500 EUR)Damage for RU Zeleznicna spolocnost Slovensko a.s. 805 000- Sk (23 000 EUR)Damage for RU ZSSK Cargo a.s. 666 000- Sk (20 000 EUR)"</t>
  </si>
  <si>
    <t>SK-96</t>
  </si>
  <si>
    <t>Trains collision with an obstacle, 31/03/2006, Line 145 between Handlova Stations and Sklene pri Handlovej station (Bralsky tunnel) (Slovak Republic)</t>
  </si>
  <si>
    <t>There had been ice fall in the ventilation shaft. The regional passenger train 5616 run into several ice block from ice accretion and derailed with the first rail car.</t>
  </si>
  <si>
    <t>Line 145 between Handlova Stations and Sklene pri Handlovej station (Bralsky tunnel)</t>
  </si>
  <si>
    <t>Rolling stock 1 230 000 Sk (35 000 EUR)</t>
  </si>
  <si>
    <t>ES-9</t>
  </si>
  <si>
    <t>Accident to persons caused by RS in motion, 07/04/2006, Railway line from Madrid to Alicante at the kilometre point 395,385. (Spain)</t>
  </si>
  <si>
    <t>Ministry of Development - Investigation Commission of Railway Accidents</t>
  </si>
  <si>
    <t>A youngster died after being hit by rolling stock motion at open line while walking to cross the track.</t>
  </si>
  <si>
    <t>Spain</t>
  </si>
  <si>
    <t>Railway line from Madrid to Alicante at the kilometre point 395,385.</t>
  </si>
  <si>
    <t>RENFE-Operadora</t>
  </si>
  <si>
    <t>ADIF</t>
  </si>
  <si>
    <t>The protection fence, which borders both side of the tracks, has several faulty paths.</t>
  </si>
  <si>
    <t>UK-132</t>
  </si>
  <si>
    <t>Spad, 07/04/2006, Camden Road, Camden, London (United Kingdom)</t>
  </si>
  <si>
    <t>At 16.40 hrs train 5L50, HP, the 1622 Willesden TMD – Camden Road service, passed CR1102 signal on the Up line at Camden Road at red by one coach length. The driver was challenged and reported that the brakes on unit No. 313104 had failed to operate correctly, having applied the brake with no effect in Steps 1-3 and emergency. The driver was forced to shut the unit down to activate the parking brake. Although a TPWS intervention had occurred, it was reported that the unit had likewise failed to respond. After consultation with Silverlink, the driver was judged fit to continue and was met at Camden Road. An assisting unit was despatched from Willesden TMD and on coupling with No. 313104 the driver was unable to take power as No. 313104 appeared to be pulling in the opposite direction to the assisting unit. A fitter attended and, following the traction motors having been isolated on unit No. 313104, both units commenced movement back to Willesden TMD at 1957, and completed by 2040.</t>
  </si>
  <si>
    <t>Camden Road, Camden, London</t>
  </si>
  <si>
    <t>The immediate cause of the accident was a unit being placed in traffic with incorrectly connected wiring (paragraphs 36, 61, 70).</t>
  </si>
  <si>
    <t>The following factor was considered to be causal: * the specified testing was not carried out after altering a wiring connection during repair at Wolverton Works (paragraphs 53, 74, Recommendation 1). The following factors were considered to be contributory: *l the generally poor condition of the cable identification numbers and specifically the absence of cable identification numbers adjacent to the terminals on the interlock blocks of the SCS (paragraphs 45, 89, 94, Recommendations 2, 4); * the lack of a formalised procedure for identifying cables when they are disconnected from terminals during the removal of electrical components (paragraphs 45, 46, 91, Recommendation 3); * the contracted test specification did not mandate a test sequence (paragraph 73, Recommendation 5); * the testing staff had limited understanding of the class 313 systems, but were allowed to carry out minor rectification work (paragraph 53, Recommendation 6); and * the design of the traction control circuits was such that a false feed caused by a single incorrect connection prevented the linebreakers from opening (paragraph 101, Recommendation 7).</t>
  </si>
  <si>
    <t>UK-198</t>
  </si>
  <si>
    <t>Fire in RS, 16/04/2006, North Yorkshire Moors Railway (United Kingdom)</t>
  </si>
  <si>
    <t>At approximately 1000 a blowback occurred with a steam locomotive on the North Yorkshire Moors Railway. The blowback onto the footplate slightly injured the driver. The blowback occurred due to a weld failure in the blast pipe and the locomotive has been taken out of service subject to a detailed inspection and repair._x000D_
Very minor scalding to driver-no treatment required.</t>
  </si>
  <si>
    <t>North Yorkshire Moors Railway</t>
  </si>
  <si>
    <t>The immediate cause of the accident was a loss of forward draught (from firebox to smokebox) at a time that the firehole doors were open.</t>
  </si>
  <si>
    <t>The following causal factors were identified: * the movement of the blastpipe leading to a loss of smokebox vacuum; * the locomotive was operating with a blastpipe base/saddle plate weld that had failed some time previously and had not been noticed and repaired (Recommendation 1). In addition, the following factors were considered to be contributory: * high exhaust pressure as a result of the control positions; * the blastpipe base/saddle plate weld was likely to have been made undersized relative to the design drawing (Recommendation 2); * the blastpipe base/saddleplate weld was subject to long-term corrosion and erosion; * the condition of the weld was not easy to see; * no party involved in the recent overhaul or associated inspections specifically inspected the blastpipe base/ saddle plate weld; * the responsibility for mechanical inspection of the locomotive during the recent overhaul, and associated inspection and testing was not clearly defined (Recommendation 3); * indicative signs prior to the incident did not lead to an examination of the blastpipe base/saddle plate weld by NYMR; * the NYMR maintenance regime did not call for periodic inspection of the blastpipe base/saddle plate weld (Recommendation 4). The following underlying causes were identified: * the risk associated with the failure of blastpipe base/saddle plate weld was not generally appreciated because such an incident had not occurred before and there was no detailed understanding of the construction of the blastpipe base/saddle plate interface; * NYMR maintains locomotives to procedures derived from universal BR steam *locomotive standards, with problems experienced causing maintenance procedures to be modified. This means that a specific risk associated with a specific locomotive type that has not been known to have occurred previously, may not be controlled (Recommendations 5 and 6). Other factors affecting the consequences. The relatively minor consequence of the blowback was a result of the crew being fortuitously positioned away from the firehole door.</t>
  </si>
  <si>
    <t>ES-8</t>
  </si>
  <si>
    <t>Accident to persons caused by RS in motion, 18/04/2006, Railway line from Madrid to Valencia, at kilometre point 9,900. (Spain)</t>
  </si>
  <si>
    <t>A person died after being hit by a long distance train at open line while crossing the tracks.</t>
  </si>
  <si>
    <t>Railway line from Madrid to Valencia, at kilometre point 9,900.</t>
  </si>
  <si>
    <t>DK-48</t>
  </si>
  <si>
    <t>Level crossing accident, 20/04/2006, Level crossing 45 at Rindsholm station (Langå-Struer) (Denmark)</t>
  </si>
  <si>
    <t>A car was hit by a train when passing the level crossing - the car got stuck under the train and the driver of the car died. The level crossing had passive warning signs and barriers to be operated manually by the car drivers, that is to be opened before passing the tracks and closed after passing. There were indications that these barriers were stuck in open position although they could be easily operated.</t>
  </si>
  <si>
    <t>Level crossing 45 at Rindsholm station (Langå-Struer)</t>
  </si>
  <si>
    <t>Arriva Tog A/S</t>
  </si>
  <si>
    <t>Heavy damage on train and car.</t>
  </si>
  <si>
    <t>ES-10</t>
  </si>
  <si>
    <t>Accident to persons caused by RS in motion, 21/04/2006, Grijota flag stop (Palencia) Railway line from Venta de Baños to Gijón, at kilometre point 5,800. (Spain)</t>
  </si>
  <si>
    <t>A person died after being hit by rolling stock in motion just before reaching the platform. This person had crossed the tracks at unauthorised place.</t>
  </si>
  <si>
    <t>Grijota flag stop (Palencia) Railway line from Venta de Baños to Gijón, at kilometre point 5,800.</t>
  </si>
  <si>
    <t>UK-197</t>
  </si>
  <si>
    <t>Train derailment, 23/04/2006, Trooperslane Crossing, County Antrim, Northern Ireland (United Kingdom)</t>
  </si>
  <si>
    <t>An engineering train was travelling to work site when it became derailed at Trooperslane Crossing. This was initially thought to have been the result of material becoming trapped under train. However the initial investigation suggests a part of the Regulator became partially detached and caught on the ground and derailed the unit. This resulted in damage to the strail crossing unit and possibly some damage to the Regulator.</t>
  </si>
  <si>
    <t>Trooperslane Crossing, County Antrim, Northern Ireland</t>
  </si>
  <si>
    <t>Northern Ireland Railways</t>
  </si>
  <si>
    <t>Damage to the strail crossing unit and possible damage to the Regulator</t>
  </si>
  <si>
    <t>The immediate cause of the derailment was the torque arm lifting the ballast regulator off the track after it hit Trooperslane level crossing deck (paragraph 187, Recommendation 2, paragraph 229).</t>
  </si>
  <si>
    <t>Causal and contributory factors: *The omission of the split pin from the upper torque arm securing pin is the sole causal factor in the derailment (paragraph 190, Recommendation 1 &amp; 2 paragraph 229). *The lack of a check process on the torque arm security is a contributory factor to the derailment (paragraph 190, Recommendation 1, paragraph 229). *The lack of a cross reference to the Plasser &amp; Theurer Operations manual within the VMI process and the lack of a specific VMI document relating to ballast regulator 315, and particularly the lack of reference to the torque arm, is a contributory factor to the derailment (paragraph 193, Recommendation 1, paragraph 229). *The installation of two bolts, where the torque arm meets the headstock, where a single failure could cause a catastrophic result, is the underlying cause of the derailment (paragraph 196, Recommendation 1 &amp; 2, paragraph 229).</t>
  </si>
  <si>
    <t>UK-177</t>
  </si>
  <si>
    <t>Other, 29/04/2006, Kensington High Street (United Kingdom)</t>
  </si>
  <si>
    <t>Train made an irregular move from High Street Kensigton Station. _x000D_
Eastbound passenger train 73 was delayed on the approach to High Street Kensigton Station due to a routing problem. It was decided to move the train back a short distance to the west. Howerver the train was moved irregularly by over two hundred metres._x000D_
There was no imminent likelihood of a collision and no injuries resulted from the incident.</t>
  </si>
  <si>
    <t>Kensington High Street</t>
  </si>
  <si>
    <t>LUL</t>
  </si>
  <si>
    <t>The immediate cause of the incident was that train 73 did not stop at the authorised limit of the move (ED171) due to the person-in-charge of the WDM not recognising that limit and not stopping the train at it. The Train Operator also did not identify ED171 and proceeded past a signal displaying a STOP aspect.</t>
  </si>
  <si>
    <t>Causal factors were: a) Operating staff were inadequately trained in the application of WDM procedures through a lack of local knowledge. They were thus unfamiliar with the actions they were being asked to undertake. They did not make this lack of knowledge clearly known to others involved in the WDM (see paragraphs 115 – 117, 119 Recommendation 1). b) There was confusion over the responsibilities of the person-in-charge of the WDM. The Duty Station Manager had the authority to order the train to stop at any time and this authority should have been exercised (see paragraph 125, Recommendation 3). The following factors were considered to be contributory: a) Control room staff did not take all the steps possible to identify the position of train (see paragraph 128, Recommendation 4). b) Management of rechargeable equipment at High Street Kensington (torches and portable station radio) and filing of WDM forms was inadequate (see paragraphs 129, 132, Recommendations 5 and 7). c) Knowledge was lacking about where emergency communications equipment such as the station train radio, station radio and portable phone could be expected to work (see paragraph 131, Recommendation 6). d) Communications internal to the control room, and with station staff were not clear, unambiguous and disciplined (see paragraph 133, Recommendation 8 and 11). e) Correct forms and paperwork were not completed by anyone associated with the WDM at the time of the incident (see paragraphs 67, 73 and 137, Recommendation 1). f) Potentially misleading guidance on what actions are to be taken to manage and operate a WDM is contained in the LUL Reference Manual (see paragraphs 120 124, Recommendation 9). g) The inadequate performance of the existing radio system played a significant part in changing a minor incident into a more complex one. Connect radio should be made available over the LUL network in the shortest practical time (Recommendation 10). h) An incorrect route was set by the programme machine (see paragraph 140). No recommendation. Underlying causes were: a) inadequate managerial understanding of the essential knowledge necessary for staff to carry out their duties (see paragraphs 115 – 117, 119, Recommendations 1, 2 and 3); and b) inadequate managerial enforcement of operating practices within the control room and at stations (see paragraphs 125, 128 &amp; 159, Recommendations 3, 4 and 14).</t>
  </si>
  <si>
    <t>NO-101</t>
  </si>
  <si>
    <t>Fire in RS, 08/05/2006, Østfold line near Oslo sentral station (Norway)</t>
  </si>
  <si>
    <t>Fire in the engineroom of the locomotive</t>
  </si>
  <si>
    <t>Østfold line near Oslo sentral station</t>
  </si>
  <si>
    <t>Damage in the engineroom</t>
  </si>
  <si>
    <t>ES-11</t>
  </si>
  <si>
    <t>Level crossing accident, 12/05/2006, Renedo station. Railway line from Palencia to Santander at kilometre point 494,174. (Spain)</t>
  </si>
  <si>
    <t>A person died after being hit by a train when going through a station pedestrian crossing equipped with barriers and stop lights. At that moment the barriers were down and the light was red.</t>
  </si>
  <si>
    <t>Renedo station. Railway line from Palencia to Santander at kilometre point 494,174.</t>
  </si>
  <si>
    <t>ES-12</t>
  </si>
  <si>
    <t>Level crossing accident, 16/05/2006, Villareal station. Railway line from Valencia to Tarragona at kilometre point 62,363. (Spain)</t>
  </si>
  <si>
    <t>A person died after being hit by a train at a level crossing equipped with barriers.</t>
  </si>
  <si>
    <t>Villareal station. Railway line from Valencia to Tarragona at kilometre point 62,363.</t>
  </si>
  <si>
    <t>NO-295</t>
  </si>
  <si>
    <t>Fire in RS, 16/05/2006, At Bekkelaget station on the Østfoldline. (Norway)</t>
  </si>
  <si>
    <t>Fire in the engine room on the locomotive</t>
  </si>
  <si>
    <t>At Bekkelaget station on the Østfoldline.</t>
  </si>
  <si>
    <t>Fire damages to the engine room.</t>
  </si>
  <si>
    <t>ES-13</t>
  </si>
  <si>
    <t>Accident to persons caused by RS in motion, 17/05/2006, Railway line from Murcia to Aguilas at kilometre point 0,385. (Spain)</t>
  </si>
  <si>
    <t>A person died after being hit by a train at open line while trying to cross the tracks.</t>
  </si>
  <si>
    <t>Railway line from Murcia to Aguilas at kilometre point 0,385.</t>
  </si>
  <si>
    <t>PT-77</t>
  </si>
  <si>
    <t>Other, 18/05/2006, level crossing near Moledo do Minho station (Portugal)</t>
  </si>
  <si>
    <t>Lifting barriers of level crossing barriers were opened when train passed despite no disfunction was detected in system's operation. 
Warning and protection systems of AHB level crossing were not activated when train approached.</t>
  </si>
  <si>
    <t>level crossing near Moledo do Minho station</t>
  </si>
  <si>
    <t>None</t>
  </si>
  <si>
    <t>art. 19.2 – Directive 2004/49/EC</t>
  </si>
  <si>
    <t>UK-221</t>
  </si>
  <si>
    <t>Other, 18/05/2006, Crofton Depot (United Kingdom)</t>
  </si>
  <si>
    <t>At 1017 the H&amp;S representative from Bombardier Depot, Crofton, reported that a train had passed over Crofton Old Station L.C. with the level crossing still open to road traffic. On this occasion, the signaller failed to apply the reminders, and cleared the protecting signals with road vehicles using the crossing.</t>
  </si>
  <si>
    <t>Crofton Depot</t>
  </si>
  <si>
    <t>no indication</t>
  </si>
  <si>
    <t>The level crossing’s down line protecting signal, Signal O313, showed a clear aspect for the passage of trains whilst the level crossing gates were open to the road.</t>
  </si>
  <si>
    <t>The following causal factors were identified for both incidents: * no interlocking was present between the level crossing gates and its down line protecting signal, O313 (paragraph 118); and * human error in omitting steps within the procedure for the method of working (paragraph 122, Recommendation 1). In addition, the following factors were considered to be contributory: * interlocking was not provided: a) at the time of the depot development in 2000 (paragraph 126) b) at the time the crossing was permanently staffed and re-designated as a MGH crossing (paragraph 141) c) once the high crossing usage and its possible risks were known, because of financial considerations and installation constraints (paragraph 146, Recommendation 1); * the new method of working introduced in February 2006 was susceptible to the human errors that occurred (paragraph 150, Recommendation 1); * the risk assessment undertaken, and subsequently reviewed prior to the approval by the issuing of the level crossing order, did not take account of the risks of human error in the new method of working (paragraph 150, Recommendation 4); and * for incident 2, distraction led to the special crossing reminder appliance not being replaced over the switch for Signal O313 the last time it was used (paragraph 167, Recommendation 1).</t>
  </si>
  <si>
    <t>UK-345</t>
  </si>
  <si>
    <t>Level crossing accident, 22/05/2006, Saxmundham Junction (United Kingdom)</t>
  </si>
  <si>
    <t>At around 09:23 a freight train, comprising 2 locomotives and one discharged nuclear flask, collided with a car at slow speed at a user worked crossing near Saxmundham in Suffolk.</t>
  </si>
  <si>
    <t>Saxmundham Junction</t>
  </si>
  <si>
    <t>Direct Rail Services</t>
  </si>
  <si>
    <t>Damage to the car and very superficial damage to the leading locomotive</t>
  </si>
  <si>
    <t>The immediate cause of the accident was that the motorist did not stop at the designated Stop Board and drove directly onto the crossing into the path of the approaching train without looking for approaching trains (Recommendation 1).</t>
  </si>
  <si>
    <t>The causal factors were: *the gates at the crossing had been left open for some time and could not be closed. This was due to overgrown vegetation, the inadequate maintenance of the gates and the non-implementation of the findings of crossing inspections (Recommendation 2); and *the driver did not look for approaching trains because he had never encountered a train at the crossing before (Recommendation 1).</t>
  </si>
  <si>
    <t>UK-557</t>
  </si>
  <si>
    <t>Other, 24/05/2006, Notting Hill Gate, London (United Kingdom)</t>
  </si>
  <si>
    <t>A serious near-miss occurred on the LUL Circle Line at 01:40. It is reported that a trolley loaded with an estimated 1 tonne of ballast ran-away from a worksite at Notting Hill Gate in the direction of High Street Kensington. The trolley is believed to have rolled for about 480m before colliding with another trolley and coming to a stand</t>
  </si>
  <si>
    <t>Notting Hill Gate, London</t>
  </si>
  <si>
    <t>The immediate cause of the incident was that, once applied, the trolley brakes failed to stop it.</t>
  </si>
  <si>
    <t>Causal factors were: * the prescribed pre-use check to detect brake faults and discard the defective trolley was not carried out (Recommendation 1); * the brake system had been modified in a way that reduced its effectiveness (Recommendation 1). In addition, the following factors were considered to be contributory: * the design of the brake mechanism made it easy to modify (Recommendations 2 and 3); * the failure of the roll-pin provided an immediate incentive to modify the mechanism (Recommendation 2); * the failure to adequately appreciate the risks arising from not carrying out the pre-use brake tests when operating trolleys on gradients (Recommendations 2 and 3); * TTOs were not provided with appropriate gradient information (Recommendation 5); The underlying cause was identified as: * the widespread unauthorised modification of brakes allowed and encouraged by this design of trolley (Recommendation 4).</t>
  </si>
  <si>
    <t>UK-371</t>
  </si>
  <si>
    <t>Train derailment, 25/05/2006, Phipps Bridge (United Kingdom)</t>
  </si>
  <si>
    <t>At approximately 15.57 hrs tram 2532, running from Wimbledon to Elmers End, derailed on the points at the entry to the double line section of track at Phipps Bridge.</t>
  </si>
  <si>
    <t>Phipps Bridge</t>
  </si>
  <si>
    <t>The immediate cause of the accident was that the tram driver did not react to the display of the ‘points not correctly set’ indication on the indicator close to points PBR02G at Phipps Bridge, and did not stop the tram before reaching the points (paragraph 45).</t>
  </si>
  <si>
    <t>Causal factors were: * the points did not return to normal after the passage of the previous tram, and the vibration of the tram passing over the points caused them to spring back to the normal position under the tram (paragraph 44). * the poor conspicuity of the indicator display when the points are not set correctly (paragraph 46). In addition, the following factors were considered to be contributory: * the unreliability of this set of points, which was the subject of a recommendation from the report into the derailment on 21 October 2005, and which had not been remedied (paragraph 66, Recommendation 1). * the recommendations from RAIB’s report into the derailment of 21 October 2005 relating to: a. the conspicuity of the PPI indication; and b. the reduction of the number of alarm messages received by the control room staff had not been implemented (paragraphs 61, 66, 69) . * the control room staff were not able to alert the tram driver in time to the malfunction of the points (paragraph 50). * the absence of a systematic approach to investigating and rectifying faults in the points mechanism at Phipps Bridge (Recommendation 1).</t>
  </si>
  <si>
    <t>ES-14</t>
  </si>
  <si>
    <t>Level crossing accident, 26/05/2006, Railway line from Tarragona to Barcelona to France at the kilometre point 88,906. (Spain)</t>
  </si>
  <si>
    <t>A person died after being hit by rolling stock motion at level crossing protected with barriers.</t>
  </si>
  <si>
    <t>Railway line from Tarragona to Barcelona to France at the kilometre point 88,906.</t>
  </si>
  <si>
    <t>SK-170</t>
  </si>
  <si>
    <t>Level crossing accident, 26/05/2006, Line 188 between Drienovska Nova Ves and Licartovce station, Level crossing km 6,773 (Slovak Republic)</t>
  </si>
  <si>
    <t>Freight train collided with a car which had initialised crossing of the LC. The reffered LC was functioning accordingly</t>
  </si>
  <si>
    <t>Line 188 between Drienovska Nova Ves and Licartovce station, Level crossing km 6,773</t>
  </si>
  <si>
    <t>ZSSK Cargo Slovakia</t>
  </si>
  <si>
    <t>Rolling stock 466 600 Sk (13 300 EUR)</t>
  </si>
  <si>
    <t>UK-199</t>
  </si>
  <si>
    <t>Train derailment, 29/05/2006, Spout House Curve, Near Dalegarth (United Kingdom)</t>
  </si>
  <si>
    <t>Derailment of 6th vehicle on down train from Dalegarth, in section between Dalegarth to Fisherground. Set comprised 108-116-131-132-133-134-135. Coach 134 derailed by leading axle on leading bogie. 131-135 comprise the Maxi set, longer (30ft) and wider than other coaches (length 25ft). Train ran 90ft before coming to a stand._x000D_
Point of derailment was at exit from left hand curve, location 1.5 miles from Dalegarth terminus. _x000D_
Last two vehicles were detached. Passengers transferred to front portion of train which then continued. Last two vehicles worked back to Dalegarth using loco of train already at Dalegarth. Line was cleared at 15:30. Vehicles remain at Dalegarth awaiting path for return to Ravenglass. _x000D_
Railway suspects cause of derailment was due to a dry bolster. This coach not having yet been greased.</t>
  </si>
  <si>
    <t>Spout House Curve, Near Dalegarth</t>
  </si>
  <si>
    <t>Ravenglass § Eskdale Railway</t>
  </si>
  <si>
    <t>Ravenglass &amp; Eskdale Railway</t>
  </si>
  <si>
    <t>Spout House Curve: The immediate cause of the derailment was flange climb of the leading right wheel of coach 134, due to the combination of a vehicle fault and the track condition. As it derailed to the right hand side of the track and the bogie yawed, the trailing wheelset was also pulled into derailment. The immediate cause of the derailment at Millwood Bank was flange climb of the leading right wheel of coach 110, due to a combination of vehicle, track and operational factors, which resulted in an excessive amount of vehicle sway and wheel unloading. The derailment of the trailing wheelset occurred 0.3 miles (0.5 km) further along the track from the POD when the leading bogie struck the level crossing at Muncaster Mill.</t>
  </si>
  <si>
    <t>Spout House Curve: The first causal factor was restricted movement of the left leading axlebox due to insufficient clearances between it and the bogie horn guides within which it slides. This led to an excessive loading of the leading left wheel and a corresponding excessive unloading of the leading right wheel at the POD. The contributory factor which led to this was: *l there was no specific requirement to check clearances of axleboxes in the horn guides on assembly or at maintenance or lubricate this interface, which resulted in the lack of sufficient clearance going undetected (Recommendation 1). The second causal factor was flange contact between the leading right wheel and rail which gave rise to lateral forces on that wheel and caused flange climbing under the excessive wheel unloading condition arising from the first causal factor. The contributory factors which led to this were: * the presence of voiding below the right hand rail at the POD, due to degradation of the ballast foundation, which created some track twist and exacerbated the degree of wheel unloading (Recommendation 2); * the normal curving behaviour of rail vehicles, where wheel flanges make contact with the gauge face of outside rails as bogies steer through relatively tight curves; * narrowing of the track gauge from the curve to the adjoining straight track in line with standard R&amp;ER track design practice, which contributed to the flange contact. An underlying cause of the derailment at Spout House Curve was that possible failure modes of the suspension and the sensitivity of vehicles to tolerances in track condition had not been adequately accounted for in existing maintenance procedures (Recommendation 3). Millwood Bank: The first causal factor was the lack of timely remedial action to the known rough track conditions at Millwood Bank, where there were sufficient voiding, alignment and cant problems to cause excessive vehicle sway and pose a derailment risk when combined with the other prevailing conditions described below (Recommendations 2 &amp; 6). The contributory factor which led to this was: * an existing system for reporting track faults had not been mandated and was not being used and therefore the urgency of repairs was not adequately conveyed to track maintenance staff (Recommendation 5). The second causal factor was that the train speed was excessive for the track condition, causing resonance between the frequency of track input forces and the natural sway frequency. This led to an increasing sway amplitude and wheel unloading as coach approached the POD. The contributory factor which led to this was: * there was no temporary speed restriction at Millwood Bank at the time of the accident to alert drivers about the need for caution through the rough track (Recommendations 5 &amp; 6). The third causal factor was the suspension set up which, in the tare condition, reduced the leading bogie’s tolerance to degraded track features (eg track twist, voiding) which cause wheel unloading. The contributory factor which led to this was: *l a previous suspension modification to improve ride quality had removed the flexibility *between the wheelset and bogie frame in the unloading direction and reduced the ability of the bogies to accommodate certain track faults and vehicle sway, thereby increasing the risk of flange climb derailments (Recommendation 7). Underlying factor: The hazard caused by the rough track condition at Millwood Bank and the sensitivity of the saloon type coaches to excessive sway, particularly at speeds higher than about 15 mph (24 km/h), was not sufficiently recognised (Recommendation 4).</t>
  </si>
  <si>
    <t>UK-372</t>
  </si>
  <si>
    <t>Train derailment, 30/05/2006, Starr Gate Loop (United Kingdom)</t>
  </si>
  <si>
    <t>Prototype third party tram 611 owned by Trampower being tested by Blackpool derailed whilst negotiating the turning loop. Centre single axle over articulation climbed over track. Tram was on test with no passengers, two staff and driver aboard. No indication_x000D_
as to why it derailed.</t>
  </si>
  <si>
    <t>Starr Gate Loop</t>
  </si>
  <si>
    <t>The immediate cause of the incident was the tip of the flange on the wheel under the central articulation module, and on the inner radius of the curve, contacting a worn portion of the rail, and hence promoting it to climb onto the rail head.</t>
  </si>
  <si>
    <t>The causal factor was that the derailment risks of operating a tram, having a type of running gear which was new to operations in Blackpool, on the type of worn rail and curved track found on the loop at Starr Gate, were not previously identified and therefore not mitigated against. The above causal factor is unlikely to present a derailment risk to BTS’s passenger trams. The track maintenance standard issued by BBC gives no quantitative limits or guidance for when action is needed to address rail sidewear defects. This is contributory to the derailment.</t>
  </si>
  <si>
    <t>FI-142</t>
  </si>
  <si>
    <t>Trains collision with an obstacle, 01/06/2006, Karjaa Railway Yard (Finland)</t>
  </si>
  <si>
    <t>A freight train collided with a rail barrier, and the locomotive derailed</t>
  </si>
  <si>
    <t>Karjaa Railway Yard</t>
  </si>
  <si>
    <t>Rail barrier damaged. Damages to the locomotive</t>
  </si>
  <si>
    <t>UK-196</t>
  </si>
  <si>
    <t>Train derailment, 02/06/2006, Archway, London (United Kingdom)</t>
  </si>
  <si>
    <t>Train 6 was in the process of reversing north to south via the reversing siding at Archway. The reversing siding is located in a separate running tunnel between the northbound and southbound lines. This was a routine move. The rear truck (bogie) of the last (6th) car derailed on the points between the main line and the siding. The rear car came to rest, with only minor damage, touching the tunnel walls and line side cables. The negative (centre) conductor rail and its insulators have been significantly damaged._x000D_
The right hand open switch blade was found to be fractured vertically 4ft from the tips. Based of information available to date it is believed this caused the wheels of the rear truck to follow the wrong path and to derail.</t>
  </si>
  <si>
    <t>Archway, London</t>
  </si>
  <si>
    <t>Only minor damage to rear car significant damage to negative (centre) conductor rail and its insulators."</t>
  </si>
  <si>
    <t>The immediate cause of the accident was the breakage of the right-hand switch rail of points 8A at Archway.</t>
  </si>
  <si>
    <t>A causal factor was: * a piece of surface scale and associated shallow indent at the lower back edge of the switch rail and the lack of a chamfer on this edge, which together created the conditions for a fatigue crack to develop from the lower back edge (Recommendations 1 and 2). Contributory factors were: * the presence of voids below the timber bearers of the points which permitted the rails to bend and produced high stresses in them each time a train passed over; * the lack of support given by the stock rail to the switch because of the loose fastenings in the assembly, arising from the poor condition of the timbers, which also increased the stresses in the switch rail; * the impracticability of detecting cracks in the part of the foot of the rail that is not in line with the web; * the lack of consistency between the two inspections relating to the condition of the timber bearers (Recommendation 3).</t>
  </si>
  <si>
    <t>DK-49</t>
  </si>
  <si>
    <t>Fire in RS, 05/06/2006, Tunnel under Storebælt (Great Belt Tunnel) (Denmark)</t>
  </si>
  <si>
    <t>While running through the tunnel the engine on the last of three working vehicles catches fire. This let the vehicles load of one tonne of rail welding packages catch fire.</t>
  </si>
  <si>
    <t>Tunnel under Storebælt (Great Belt Tunnel)</t>
  </si>
  <si>
    <t>banedanmark</t>
  </si>
  <si>
    <t>The maintenance vehicle is burned out and the concrete and some of tunnel installations are damaged</t>
  </si>
  <si>
    <t>The engine of the last of the maintenance vehicles was in a very bad mechanical state and could not follow the speed of the two other working vehicles.</t>
  </si>
  <si>
    <t>UK-373</t>
  </si>
  <si>
    <t>Level crossing accident, 08/06/2006, Swan Lane Level Crossing (United Kingdom)</t>
  </si>
  <si>
    <t>At approximately 09.44 tram 06 proceeding in a Wolverhampton bound direction on approach to Swan Lane Level crossing passed signal at a stop aspect. The driver of the tram applied full service brake and sounded the horn. However the ensuing SPAD resulted in a collision between the tram and a private hire taxi situated on the area of the level crossing that was subsequently shunted sideways in to the front offside area of a stationary plant haulage lorry._x000D_
Injuries were sustained to the driver and a passenger in the taxi as a result of the incident, both were taken_x000D_
to hospital for treatment.</t>
  </si>
  <si>
    <t>Swan Lane Level Crossing</t>
  </si>
  <si>
    <t>Midland Metro</t>
  </si>
  <si>
    <t>The tram sustained light damage to front bumper and was returned unassisted to depot for repair.The car incurred damage to the near and offside rear.The lorry incurred damage to the front offside."</t>
  </si>
  <si>
    <t>The immediate cause of the accident was the driver of the tram failing to stop at the signal displaying a stop aspect.</t>
  </si>
  <si>
    <t>The causal factor leading to the collision was that the driver expected that the signal would change to a proceed aspect before the tram reached the crossing. This is considered to be a consequence of the driver not adhering to the principles of Progressive Driving. The limited experience of the driver may have contributed to the accident. The driver’s decision not to apply the hazard brake on realising that the signal was unlikely to change to a proceed aspect contributed to the accident. The underlying cause behind this decision was the view amongst drivers that use of the hazard brake was discouraged (recommendation 1 and 2). The lack of familiarity with the performance of the hazard brake (due to minimal training in its use) and the briefing on the possibility of causing injury to the passengers and damage to the tram contributed to the driver’s decision not to apply the hazard brake (recommendation 1). Newly qualified tram drivers with less than six months experience are more likely to be involved in a safety-related incident than those who have been driving for a longer period (paragraph 85). Statistics show that the extent of this phenomenon at TMM is not dissimilar to that experienced on other tramway systems (and by car, bus and train drivers). No safety-related incidents on the system involving a newly qualified driver, prior to this event, has involved any injuries (Recommendation 1).</t>
  </si>
  <si>
    <t>ES-15</t>
  </si>
  <si>
    <t>Accident to persons caused by RS in motion, 09/06/2006, Railway line from Madrid to Valencia at the Kilometre point 9,550. (Spain)</t>
  </si>
  <si>
    <t>Two persons were crossing the tracks at open line when they were hit by a train. One of them died.</t>
  </si>
  <si>
    <t>Railway line from Madrid to Valencia at the Kilometre point 9,550.</t>
  </si>
  <si>
    <t>UK-130</t>
  </si>
  <si>
    <t>Other, 10/06/2006, Desborough (between Kettering and Market Harborough) (United Kingdom)</t>
  </si>
  <si>
    <t>At 1140 1D17, HI, 1030 London St. Pancras – Sheffield, formed of unit 222009, was stopped out of course on the Down Main line at Desborough (between Kettering and Market Harborough) after a passenger reported that door No. 2 on vehicle 60249, had come completely open whilst in traffic, with no loss of traction interlock.</t>
  </si>
  <si>
    <t>Desborough (between Kettering and Market Harborough)</t>
  </si>
  <si>
    <t>Midland Mainline</t>
  </si>
  <si>
    <t>The door became, and remained, both unlocked and un-motored in the response to the detection of a DLS malfunction. This occurred during the initial stages of the door opening sequence at Luton station; it resulted in the door being left able to open (paragraph 160).</t>
  </si>
  <si>
    <t>Causal factor: The DLS malfunction resulted in the EDCU identifying an ‘EM/DLS error’. The cause of the door being both unlocked and un-motored is attributed to the way in which the EDCU controlled the door motor when the fault was detected. The door had unlocked as part of the initial door opening sequence; it was not able to re-lock because the EDCU cut the current to the motor when the locking hook was in an orientation that prevented the falling latch being able to engage with it. Since the current remained cut, the door remained unmotored (paragraph 170, Recommendation 1). In addition, the following factors were considered to be contributory: a. the unintended change of the motor current limit as part of a recent EDCU software upgrade, leading to the conditions which prevented the falling latch engaging with the locking hook (paragraph 177, Recommendation 2); b. the presence of a foreign particle which resulted in the DLS becoming jammed (paragraph 184, Recommendation 3); c. the lack of an overt indication from the TMS to the train manager (or driver) that a door lock fault had occurred at Luton station (paragraph 192, Recommendation 4); d. the EDCU not motoring the door closed when the train started to depart Luton station (paragraph 197, Recommendations 1 and 2); e. the lack of a level 3 anomaly indication to the driver from the TMS when the door opened (paragraph 209b, Recommendation 4); f. the ‘pass comm/door activated’ light being ambiguous because it gives the same indication for different reasons (paragraph 209d, Recommendations 5 &amp; 7); g. the driver not noticing that the ‘door close/locked’ light extinguished when the door came open as it was difficult to observe when driving (paragraph 209c, Recommendations 6 &amp; 7); h. none of the passengers who observed the open door then operating a PCA emergency brake handle (paragraph 212); and i. the driver overriding the emergency brake and not stopping the train immediately when he became aware that there was a door open and that the train was therefore ‘in danger’ (paragraph 209a, Recommendations 7 and 9).</t>
  </si>
  <si>
    <t>FR-442</t>
  </si>
  <si>
    <t>Train derailment, 13/06/2006, The train was running on Charleville-Longuyon double track line. It commes from Dunkerque and was going to Dieulouard. (France)</t>
  </si>
  <si>
    <t>The train derailed on an open track. Only the last wagon (out of 44) derailed without breaking of coupling. It was an heavy train (3568 T) hold by two engines. It derailed at km 190,210 about and has been stopped at km. 199,800. It was loaded with iron ore.</t>
  </si>
  <si>
    <t>The train was running on Charleville-Longuyon double track line. It commes from Dunkerque and was going to Dieulouard.</t>
  </si>
  <si>
    <t>About 5000 m track to be rebuiltOne wagon"</t>
  </si>
  <si>
    <t>CZ-281</t>
  </si>
  <si>
    <t>Trains collision, 18/06/2006, Station: Nymburk hlavni nadrazi (Czech Republic)</t>
  </si>
  <si>
    <t>Freight train No.64922 collided with a locomotive. The locomotive derailed.</t>
  </si>
  <si>
    <t>Station: Nymburk hlavni nadrazi</t>
  </si>
  <si>
    <t>Freight train; 
Locomotive running solo</t>
  </si>
  <si>
    <t>Material damage (locomotives wagons tracks sleepers): CZK 5 124 617.-"</t>
  </si>
  <si>
    <t>NO-104</t>
  </si>
  <si>
    <t>Trains collision with an obstacle, 21/06/2006, Østfoldbanen (Norway)</t>
  </si>
  <si>
    <t>On 21 June 2006, the Accident Investigation Board Norway received notification that a carriage on one of CargoNet’s freight trains, laden with, among other things, a semi-trailer, had pulled down the overhead line near Ingedal station on the Østfold line. The freight train was on its way from Gothenburg heading towards Alnabru (Oslo). The train had pulled down a number of cantilevers for the overhead line in the tunnels along the Kornsjø-Tistedal-Berg section of the line. The messenger wire had been damaged in several places, and there was a great deal of damage to the contact wire. The high-tension cable at Tistedal station was also damaged.</t>
  </si>
  <si>
    <t>Østfoldbanen</t>
  </si>
  <si>
    <t>damage to infrastructure power line and semi -trailer."</t>
  </si>
  <si>
    <t>NO-293</t>
  </si>
  <si>
    <t>Fire in RS, 22/06/2006, On the Østfold line, between the distanse signal A and main signal A at Kornsjø station. (Norway)</t>
  </si>
  <si>
    <t>A fire started in the engine room on the locomotive.</t>
  </si>
  <si>
    <t>On the Østfold line, between the distanse signal A and main signal A at Kornsjø station.</t>
  </si>
  <si>
    <t>The locomotive caught large damages due to the fire. There was a leake of transformer oil from the locomotive. This was reported according to the regulations.</t>
  </si>
  <si>
    <t>ES-16</t>
  </si>
  <si>
    <t>Accident to persons caused by RS in motion, 23/06/2006, Railway line from Tarragona to Barcelona to France at the kilometre point 92,700. (Spain)</t>
  </si>
  <si>
    <t>A person died after being hit by rolling stock in motion at an unauthorised crossing.</t>
  </si>
  <si>
    <t>Railway line from Tarragona to Barcelona to France at the kilometre point 92,700.</t>
  </si>
  <si>
    <t>NO-102</t>
  </si>
  <si>
    <t>Fire in RS, 26/06/2006, Østfoldline close to Kornsjo station (Norway)</t>
  </si>
  <si>
    <t>Fire in the engineroom of the locomotive																																		_x000D_
																																		_x000D_
																																		_x000D_
																																		_x000D_
																																		_x000D_
								1</t>
  </si>
  <si>
    <t>Østfoldline close to Kornsjo station</t>
  </si>
  <si>
    <t>The locomotive was totaly destroyed by the fire. There was oil spill from the locomotive</t>
  </si>
  <si>
    <t>HU-262</t>
  </si>
  <si>
    <t>Level crossing accident, 28/06/2006, Line 111: Vasarosnameny station, LC:SR1 (Hungary)</t>
  </si>
  <si>
    <t>Transportation Safety Bureau</t>
  </si>
  <si>
    <t>A lorry loaded with shavings collided with the regional passanger train 6345. The signalling of the LC operated well. The engine was derailed. The driver of the lorry suffered minor injury.</t>
  </si>
  <si>
    <t>Hungary</t>
  </si>
  <si>
    <t>Line 111: Vasarosnameny station, LC:SR1</t>
  </si>
  <si>
    <t>MAV ZRt.</t>
  </si>
  <si>
    <t>MÁV Zrt.</t>
  </si>
  <si>
    <t>Infrastucture: 6 854 000 HUF ( 25 500 EUR) Rolling stock: 1 100 000 HUF (4 100 EUR)"</t>
  </si>
  <si>
    <t>UK-176</t>
  </si>
  <si>
    <t>Train derailment, 28/06/2006, Maltby (United Kingdom)</t>
  </si>
  <si>
    <t>The train consisted of locomotive 66 519 and 17 type HHA bogie coal wagons, as it crossed over the points at the entry to Maltby Colliery loop, the first three wagons of the train derailed._x000D_
Initial investigations indicate that the condition of the track did not contribute to the derailment</t>
  </si>
  <si>
    <t>Maltby</t>
  </si>
  <si>
    <t>The derailment was caused by points 31B moving from normal to reverse as the first wagon in the train passed over them (paragraphs 67 to 69).</t>
  </si>
  <si>
    <t>Causal Factors: The time of operation locking for these points, which is listed in the control tables, was not implemented. Had it been, the accident would not have occurred (paragraph 78, Recommendations 1 and 2). Though it cannot be proven positively, it is likely that the driver of train 6C51 did not observe signal M36 and passed it at danger (paragraphs 104 and 114). Though it cannot be proven positively, it is likely that the signaller pulled the lever for 31 points just as the locomotive reached signal M36. This would not have caused an accident had the train not passed the signal at danger at the same time (paragraph 96, Recommendation 1). Contributory Factors: 120 Signal M36 is poorly sited with a distance of only 3 m between it and 31B points (paragraphs 75 and 29). The length of the shifts being worked by the signallers at Maltby may have made them prone to fatigue (paragraph 109, Recommendation 3). The driver of train 6C51 may have been suffering the effects of fatigue following events associated with the locomotive failure earlier in his shift (paragraph 113).</t>
  </si>
  <si>
    <t>ES-17</t>
  </si>
  <si>
    <t>Accident to persons caused by RS in motion, 30/06/2006, Railway line from Madrid to Hendaya at kilometre point 285,330. (Spain)</t>
  </si>
  <si>
    <t>Two persons died after being hit by rolling stock in motion at a staff crossing (barrow crossing)</t>
  </si>
  <si>
    <t>Railway line from Madrid to Hendaya at kilometre point 285,330.</t>
  </si>
  <si>
    <t>HU-248</t>
  </si>
  <si>
    <t>Level crossing accident, 03/07/2006, Line 30, between Erd elagazas - Tarnok at the level crossing AS 15 (Hungary)</t>
  </si>
  <si>
    <t>The signalling of the LC did not operated because of stealing of the line cable. The driver of the car was unable to see the approaching train because of vegetation. The speed of the regional passenger train 9734 was about 90 km/h before the collision</t>
  </si>
  <si>
    <t>Line 30, between Erd elagazas - Tarnok at the level crossing AS 15</t>
  </si>
  <si>
    <t>Infrastructure 1 000 000 HUF (3700 Eur) Rolling stock: 1 000 000 HUF(3700 EUR)"</t>
  </si>
  <si>
    <t>PT-78</t>
  </si>
  <si>
    <t>Train derailment, 04/07/2006, Station L.Norte-Pampilhosa (Portugal)</t>
  </si>
  <si>
    <t>Derailment of six wagons of freight train at station.</t>
  </si>
  <si>
    <t>Station L.Norte-Pampilhosa</t>
  </si>
  <si>
    <t>CP Carga, S.A</t>
  </si>
  <si>
    <t>€ 66 503 (apenas infraestrutura || infrastructure only)</t>
  </si>
  <si>
    <t>Light to serious damage on 6 wagons. Significant damage on about 50 metres of track, including switches and crossings, and signalling
equipment.</t>
  </si>
  <si>
    <t>HU-252</t>
  </si>
  <si>
    <t>Train derailment, 05/07/2006, Line 71 between Rakospalota-Ujpest and Fot stations (Hungary)</t>
  </si>
  <si>
    <t>The track of the level crossing was under construction. There was not enough ballast chips on the pre-fabricated track panel. The traffic was allowed with the speed 20 km/h. The track panel moved in lateral direction under the last carrige of train 2424. It derailed with 4 axles.</t>
  </si>
  <si>
    <t>Line 71 between Rakospalota-Ujpest and Fot stations</t>
  </si>
  <si>
    <t>Infrastructure: 200 000 HUF (750 euros) rolling stock 100 000 HUF (370 euros)"</t>
  </si>
  <si>
    <t>NO-400</t>
  </si>
  <si>
    <t>Train derailment, 06/07/2006, On the line between Oslo and Kornsjø at km 77,5 close to Råde station. A singel-track line, powered by electricity and virtually horisontal. The line passes through a flat agricultural area. There are no buildings in the immediate vicinity of the derailme (Norway)</t>
  </si>
  <si>
    <t>Waggon nos. 5-7 and 9-10 in the train derailed. The locomotive and the other waggons in the train remained on the rails. The track had several bucklings from high air temperature and intense sunshine.</t>
  </si>
  <si>
    <t>On the line between Oslo and Kornsjø at km 77,5 close to Råde station. A singel-track line, powered by electricity and virtually horisontal. The line passes through a flat agricultural area. There are no buildings in the immediate vicinity of the derailme</t>
  </si>
  <si>
    <t>Relatively minor damages to the derailed waggons. Two overhead conductor masts were destroyd. Aproximatly 500 concrete sleepers were crushed or damaged and had to be replaced.</t>
  </si>
  <si>
    <t>(a) the seriousness of the accident or incident; 
(b) it forms part of a series of accidents or incidents relevant to the system as a whole</t>
  </si>
  <si>
    <t>PT-79</t>
  </si>
  <si>
    <t>Accident to persons caused by RS in motion, 06/07/2006, Norte Miramar, passenger access to platform (Portugal)</t>
  </si>
  <si>
    <t>a person was killed whilst crosing the way to access the station</t>
  </si>
  <si>
    <t>Norte Miramar, passenger access to platform</t>
  </si>
  <si>
    <t>none</t>
  </si>
  <si>
    <t>UK-374</t>
  </si>
  <si>
    <t>Train derailment, 06/07/2006, Blackpool Pleasure Beach (United Kingdom)</t>
  </si>
  <si>
    <t>At 14.46 Tram 720 southbound derailed on the facing points following the mismanagement of switching them back to normal after tram 724 had traversed them, moving on to the inner loop at Pleasure Beach. Approximately 15 passengers were_x000D_
detrained.</t>
  </si>
  <si>
    <t>Blackpool Pleasure Beach</t>
  </si>
  <si>
    <t>The immediate cause of the derailment was the trailing wheelsets of the tram travelling toward the inner loop (the loop) after the leading wheelset correctly travelled toward the normal, southbound route.</t>
  </si>
  <si>
    <t>The causal factor was that the hand points mechanism had not been correctly returned to the normal position before the passage of tram 720. The contributory factors were: * the stiffness of operation of the hand points mechanism; * the disturbance of the switch rails and subsequently the hand points mechanism by the passage of the leading wheelset; and * the crabbing of the leading bogie on the approach to the switch rails. The underlying cause was the procedure for operating the hand points mechanism.</t>
  </si>
  <si>
    <t>PT-75</t>
  </si>
  <si>
    <t>Accident to persons caused by RS in motion, 11/07/2006, between Cacela
station and Castro Marim station (Portugal)</t>
  </si>
  <si>
    <t>The train killed a worker which was developing cleaning works on the tracks for REFER (IM)</t>
  </si>
  <si>
    <t>between Cacela
station and Castro Marim station</t>
  </si>
  <si>
    <t>art. 19.1 – Directive 2004/49/EC</t>
  </si>
  <si>
    <t>FI-143</t>
  </si>
  <si>
    <t>Train derailment, 13/07/2006, Tuupovaara - Heinävaara line sectio (Finland)</t>
  </si>
  <si>
    <t>Five raw timber loaded wagons derailed</t>
  </si>
  <si>
    <t>Tuupovaara - Heinävaara line sectio</t>
  </si>
  <si>
    <t>100 meters track damaged. Damages to five wagons</t>
  </si>
  <si>
    <t>SK-125</t>
  </si>
  <si>
    <t>Level crossing accident, 14/07/2006, Line 152 Sturovo - Cata level crossing km 2,782 (Slovak Republic)</t>
  </si>
  <si>
    <t>Regional passenger train collided with the garbage car</t>
  </si>
  <si>
    <t>Line 152 Sturovo - Cata level crossing km 2,782</t>
  </si>
  <si>
    <t>Infrastructure 660 € rolling stock 58 280 €"</t>
  </si>
  <si>
    <t>HU-251</t>
  </si>
  <si>
    <t>Level crossing accident, 15/07/2006, Line 29, between Csajág and Balatonkenese, level crossing AS 380 (Hungary)</t>
  </si>
  <si>
    <t>A car collided with the long distance passenger train 1972. The signalling of the LC operated well. The car turned left from the road to the LC, but it was forbidden. A pregnant woman killed, she was the passanger of the car, the driver was injured seriously.</t>
  </si>
  <si>
    <t>Line 29, between Csajág and Balatonkenese, level crossing AS 380</t>
  </si>
  <si>
    <t>200 000 HUF (800 Euros)</t>
  </si>
  <si>
    <t>Notification</t>
  </si>
  <si>
    <t>PT-229</t>
  </si>
  <si>
    <t>Train derailment, 15/07/2006, Straight Line Path with good visibility conditions (Portugal)</t>
  </si>
  <si>
    <t>10 wagons derailment at Pegões Station, Alentejo Line,  causing disfunctions on Lines I e II; two signals and switch tracks  were dragged; collision of the derailed train with three wagons parked on line III</t>
  </si>
  <si>
    <t>Straight Line Path with good visibility conditions</t>
  </si>
  <si>
    <t>Serious damages on the lines switches and two signals"</t>
  </si>
  <si>
    <t>UK-122</t>
  </si>
  <si>
    <t>Accident to persons caused by RS in motion, 17/07/2006, Dagenham Dock (United Kingdom)</t>
  </si>
  <si>
    <t>On 17 July 2006 at approximately 12:20 hrs a shunter employed by Freightliner (Heavy Haul), who had been engaged in a shunting movement, controlled by radio, involving coupling a Class 47 locomotive and a single wagon at Dagenham, was found lying adjacent to the siding from which the train had just moved. The emergency services were summoned, but attempts to resuscitate the shunter failed and he was declared dead on site</t>
  </si>
  <si>
    <t>Dagenham Dock</t>
  </si>
  <si>
    <t>The shunter sustained fatal injuries when he fell between the buffers of the locomotive and the wagon. He had been standing or walking close to the train alongside a siding, and as the train passed he collapsed, or tripped, and fell into the gap between the buffers</t>
  </si>
  <si>
    <t>Causal factors were: a. the shunter tripping or collapsing and falling towards the moving train; and b. if the shunter tripped, the damaged condition of the trackside walkway on the north side of the siding, which presented a tripping hazard. In addition, the following factors were considered to be contributory: a. The existence of trackside walkways within 1.25 metres of the track which did not provide a place of safety as specified during Personal Track Safety (PTS) training. This would put a user at risk from moving trains; b. The shunter’s lack of information about or experience of the specific hazards presented by the particular siding; c. The proximity of a lamp-post to the track at the eastern end of siding 4. This post is in the walkway and had not been marked as having a limited clearance; d. The relatively wide gap between the left-hand buffers of the locomotive and the wagon due the to curvature of the track at the eastern end of siding 4; e. The container loading sequence, which resulted in the empty wagon’s being in the middle of a rake when too few containers were delivered, and the need to remove it if the train was to be prevented from running with empty wagons; f. The rapid charging of the brake system, which remained full of air after a previous movement. This may have led to the shunter’s being taken unawares when the train started to move sooner than he expected if the shunter was not in a place of safety when the instruction to move was given; and g. The driver being unaware of the shunter’s position during the final eastward movement.</t>
  </si>
  <si>
    <t>UK-117</t>
  </si>
  <si>
    <t>Accident to persons caused by RS in motion, 19/07/2006, Bronwydd Arms Station (United Kingdom)</t>
  </si>
  <si>
    <t>On 19 July 2006 at Bronwydd Arms on the Gwili Railway, near Carmarthen, a Class 03 locomotive was being used to add an additional Mark 1 carriage to a train. The move was controlled by hand signals. During this move the guard of the train was trapped between the carriage and the train, and sustained severe injuries as a result. He succumbed to those injuries a few hours later, despite the attempts of his colleagues and the emergency services and despite receiving hospital treatment.</t>
  </si>
  <si>
    <t>Bronwydd Arms Station</t>
  </si>
  <si>
    <t>Gwili Railway</t>
  </si>
  <si>
    <t>The immediate causes of the accident were: * a misunderstanding of hand signals between the fireman and driver resulting in the driver moving the locomotive and carriage towards the stationary carriages; and * at the same time the guard stepping in between the carriages to perform a task without advising the fireman, in the belief that the vehicles would not move.</t>
  </si>
  <si>
    <t>Causal factors were: The driver interpreting the fireman’s hand signal to mean ‘ease-up’ regardless of what was actually given, and not clarifying the intention (paragraph 81); * The guard had acted as shunter during an earlier stage of the shunting manoeuvres and although the replacement fireman had taken over this responsibility, a lack of clear understanding between the guard and fireman probably left the guard with the impression that he was still partly responsible for the train preparation (paragraph 82); * A lack of operational supervision on the day (paragraph 83).	In addition, the following factor was considered to be contributory; The non-appearance of the rostered fireman for the day which resulted in a replacement staff member being called in and staff doubling-up duties until he arrived (paragraph 31). Underlying factors were:*The overloading of duties on the chairman of the Gwili Railway, thus preventing him devoting enough time to safety management (paragraph 92); *Absence of management intervention to ensure that the line manager position was fulfilled (paragraphs 71 and 93); *Difficulty finding and retaining volunteers for taking on the line manager’s responsibilities (paragraph 93).</t>
  </si>
  <si>
    <t>HU-250</t>
  </si>
  <si>
    <t>Spad, 23/07/2006, Line 30, Balatonmariafürdö station (Hungary)</t>
  </si>
  <si>
    <t>The trains 5608-1 and 5209-2 approached each other on the same track. The train 5209-2 overran a red signal during departure from Balatonmariafürdö. The train 5608-1 arrived in the station at the same time. The trains stopped 50 meters away from each other.</t>
  </si>
  <si>
    <t>Line 30, Balatonmariafürdö station</t>
  </si>
  <si>
    <t>No material damage</t>
  </si>
  <si>
    <t>FR-645</t>
  </si>
  <si>
    <t>Train derailment, 24/07/2006, Open line beetween Culoz(Ain) and Chambéry (Savoie) (France)</t>
  </si>
  <si>
    <t>The train was just leaving Culoz yard where it had been prepared fir its night works on Grenoble-Moiransd track and ballast renewal. For an unknown reason for the moment, it derailed beetween Culoz Station and a bridge over the Rhone river (about 3 km from there). The beam wagon and some wagons loaded with sleepers crashed into the bridge.</t>
  </si>
  <si>
    <t>Open line beetween Culoz(Ain) and Chambéry (Savoie)</t>
  </si>
  <si>
    <t>The mettallic bridge (track 1) will have to be rebuilt. The beam wagon is destroyed and so are the derailed wagons loaded with sleepers. Some switches and rails will have to be changed.</t>
  </si>
  <si>
    <t>UK-173</t>
  </si>
  <si>
    <t>Train derailment, 25/07/2006, Ropley (United Kingdom)</t>
  </si>
  <si>
    <t>A passenger train from Alton to Alresford on the Mid Hants Railway was formed of a class 117 diesel multiple unit. As the train was running into the passing loop at Ropley it derailed on the points at the entry of the loop.</t>
  </si>
  <si>
    <t>Ropley</t>
  </si>
  <si>
    <t>Mid Hants Railways</t>
  </si>
  <si>
    <t>The immediate cause of the accident was the reversal of No.4 points at Ropley by the signalman at the time that the leading wheel of the 10:50 hrs service from Alton to Alresford was passing over them.</t>
  </si>
  <si>
    <t>The causal factors were: * Momentary confusion by the signalman regarding the exact location of the 10:50 hrs service from Alton to Alresford. * The lack of train detection and associated interlocking on No.4 points which allowed the points to be moved under a train. The contributory factors were: * The intended use of a member of platform staff to receive the token from the driver of the 10:50 hrs service from Alton to Alresford which was a departure from normal practice. * The absence of any conditions relating to the time over which temporary signalling arrangements at Ropley could remain in force in the original approval of them by the Railway Inspectorate in 1983. * The delay in installing and commissioning the new signal box and signalling at Ropley.</t>
  </si>
  <si>
    <t>NO-401</t>
  </si>
  <si>
    <t>Train derailment, 26/07/2006, On the Dovrebanen(Oslo-Trondheim)at km 340 between Dombås and Dovre stations. At the derailmentsite, the railway line goes into a semi-cutting in a relatively steep hillside. The line has a gradient of 14.5 - 16,0 o/oo, a horisontal curve with R=650m and (Norway)</t>
  </si>
  <si>
    <t>The train was en route from Trondheim to Alnabru (Oslo) and had left Dombås station when the locomotive driver noticed a strong sideways jolt in the locomotive and saw in the mirror that the first waggon had derailed. After stopping he asertained that a total of 7 vaggon had detailed.</t>
  </si>
  <si>
    <t>On the Dovrebanen(Oslo-Trondheim)at km 340 between Dombås and Dovre stations. At the derailmentsite, the railway line goes into a semi-cutting in a relatively steep hillside. The line has a gradient of 14.5 - 16,0 o/oo, a horisontal curve with R=650m and</t>
  </si>
  <si>
    <t>Serious damage to the derailed waggons; two containers had fallen off an were lying ca. 100 m from the track down the steep hillside while a third container were standing on its end. Several overhead conductor masts rails and approximatly 5oo concret sl"</t>
  </si>
  <si>
    <t>CZ-108</t>
  </si>
  <si>
    <t>Train derailment, 28/07/2006, Between stations: Prerov and Vezky (Czech Republic)</t>
  </si>
  <si>
    <t>Derailment of 3 carriages of passenger train No. 4031 at speed of 40km/h.</t>
  </si>
  <si>
    <t>Between stations: Prerov and Vezky</t>
  </si>
  <si>
    <t>Total material damage (carriages tracks sleepers): CZK 408 11847"</t>
  </si>
  <si>
    <t>DK-356</t>
  </si>
  <si>
    <t>Other, 28/07/2006, Track section with speed restriction (Denmark)</t>
  </si>
  <si>
    <t>A passenger train passed a section of the the line with 145 km/h in spite of a speed restriction of 40 km/h due to track conditions. The driver had been informed of the restriction (but not properly) and the restricted section wasn't properly marked with signals and/or ATC. It appeared that due to general track conditions there was so many suddenly imposed speed restrictions, that the IM had severe difficulties in handling the information to the  drivers and the properly marking of the track sections.</t>
  </si>
  <si>
    <t>Track section with speed restriction</t>
  </si>
  <si>
    <t>The driver got a bunch of prints ("slow orders") covering multiple extraordinary temporary speed restrictions (TSR) - he was distracted and forgot one of these</t>
  </si>
  <si>
    <t>The original "slow order" for the TSR was due to a misunderstanding cancelled. Until a new "slow order" was issued, 21 trains passed the track section_x000D_
The infrastructure manager issued lots of extraordinary "slow orders" and due to this the orders wasn't always communicated to the drivers and more of the temporary speed restrictions wasn't properly marked with signals and ATC-balises</t>
  </si>
  <si>
    <t>UK-121</t>
  </si>
  <si>
    <t>Other, 29/07/2006, Deal (United Kingdom)</t>
  </si>
  <si>
    <t>The driver of train 6Z25 died during his examination of the train following a report of defective brakes.  He was seen to touch the electric conductor rail and is believed to have received an electric shock.  The train was standing within an engineering possession of the line.</t>
  </si>
  <si>
    <t>Deal</t>
  </si>
  <si>
    <t>The immediate cause of the accident was the driver’s leg coming into contact with a live conductor rail at the same time as his arm was in contact with the buffer thus causing an electric shock.</t>
  </si>
  <si>
    <t>The following factors are considered to be causal: * the decision of the driver to pass between two wagons to avoid the walk around the train thus causing his leg to come into close proximity to a live conductor rail; and * a subsequent misjudgement, loss of balance, or slip causing the driver’s leg to drop into contact with the conductor rail. It is possible that the following factors were also causal:* the absence of specific rules prohibiting railway staff from stepping over a conductor rail whilst passing between coupled vehicles; and * the absence of specific training on the procedures to be adopted when attending a train in an area of DC electrification. The following factor is considered to be contributory: * combustion of oil contamination on hot brake blocks during the descent of the steep gradient between Martin Mill and Deal</t>
  </si>
  <si>
    <t>NO-297</t>
  </si>
  <si>
    <t>Trains collision with an obstacle, 05/08/2006, On Os station on the Røros line. (Norway)</t>
  </si>
  <si>
    <t>Five wagons in the train hit the platform edge with the lower edge of the doors in front.</t>
  </si>
  <si>
    <t>On Os station on the Røros line.</t>
  </si>
  <si>
    <t>A angle iron on the platform edge was partly snatched away there was damages on five doors and several windows was broken."</t>
  </si>
  <si>
    <t>HU-253</t>
  </si>
  <si>
    <t>Train derailment, 06/08/2006, Line 1, Komárom station (Hungary)</t>
  </si>
  <si>
    <t>The first 2 wagons of the train 45552 was derailed shortly after departure, because a wagons shoe was left under the second wagon. The locomotive was owned by BRKS (Slovak Republic) and the driver was its employee.</t>
  </si>
  <si>
    <t>Line 1, Komárom station</t>
  </si>
  <si>
    <t>MAV ZRt.; 
BRKS</t>
  </si>
  <si>
    <t>Minor damages in the infrastructure and RS.</t>
  </si>
  <si>
    <t>NO-294</t>
  </si>
  <si>
    <t>Train derailment, 06/08/2006, In Oslo, at Sæter stop on the Ekeberg line. (Norway)</t>
  </si>
  <si>
    <t>A tram derailed in a switch and hit a pylon.</t>
  </si>
  <si>
    <t>In Oslo, at Sæter stop on the Ekeberg line.</t>
  </si>
  <si>
    <t>Oslo sporvognsdrift AS</t>
  </si>
  <si>
    <t>The tram wagon and a pylon got som minor damages.</t>
  </si>
  <si>
    <t>PT-222</t>
  </si>
  <si>
    <t>Level crossing accident, 10/08/2006, Level crossing with good visibility conditions (Portugal)</t>
  </si>
  <si>
    <t>A light vehicle was hit by the train when crossing a B-Type Level Crossing located at Km 323,850  on North-South Line, causing death to driver of the vehicle.The automatic security conditions were operationals</t>
  </si>
  <si>
    <t>Level crossing with good visibility conditions</t>
  </si>
  <si>
    <t>Damage in the vehicle and in the locomotive</t>
  </si>
  <si>
    <t>CZ-109</t>
  </si>
  <si>
    <t>Level crossing accident, 11/08/2006, Between stations: Blazovice and Slapanice (Czech Republic)</t>
  </si>
  <si>
    <t>Regional fast train collided with a bus from France. The bus passed warning signal of the level crossing. The level crossing is equipped with automatic protection without barriers.</t>
  </si>
  <si>
    <t>Between stations: Blazovice and Slapanice</t>
  </si>
  <si>
    <t>Czech Railways</t>
  </si>
  <si>
    <t>Total material damage (carriages tracks level crossing installation and the bus): 1 265 000 Kc = € 43 600"</t>
  </si>
  <si>
    <t>Bus driver violence</t>
  </si>
  <si>
    <t>NO-106</t>
  </si>
  <si>
    <t>Wrong-side signalling failure, 15/08/2006, Dovre-line, Sjoa station (Norway)</t>
  </si>
  <si>
    <t>Wrong signal picture because of failure inn cabel connection																																		_x000D_
																																		_x000D_
																																		_x000D_
																																		_x000D_
																																		_x000D_
								1</t>
  </si>
  <si>
    <t>Dovre-line, Sjoa station</t>
  </si>
  <si>
    <t>Signal system gave wrong signal aspekt due to connection between two cores in a cable connection.</t>
  </si>
  <si>
    <t>UK-200</t>
  </si>
  <si>
    <t>Spad, 18/08/2006, Purley (United Kingdom)</t>
  </si>
  <si>
    <t>A freight train, was standing in Platform 4 at Purley station waiting to proceed north.  An adjacent passenger train in Platform 5 was departing when the driver of the passenger train observed the freight train move away alongside.  The driver of the passenger train stopped his train whilst it was still in the platform; the signaller then stopped the freight train at Purley Oaks by placing the next signal to danger.</t>
  </si>
  <si>
    <t>Purley</t>
  </si>
  <si>
    <t>Only minor damage to track as a result of this incident</t>
  </si>
  <si>
    <t>The immediate cause of the signal passed at danger (SPAD) incident was that the driver of train 6V66 incorrectly assumed that the adjacent signal (T174), which was at green, applied to him. The immediate cause of the TPWS reset and continue incident was that the driver of train 6V66 did not apply laid down procedures and communicate with the signaller after the TPWS intervention</t>
  </si>
  <si>
    <t>The main causal factors of the SPAD incident were: * the driver had positioned his locomotive incorrectly and could not see signal T172 from where he had stopped; and * no specific stop marker was provided on platform 4. The main causal factors of the TPWS reset and continue incident were: * the driver was probably confused because he had previously operated the TPWS train stop override when leaving the yard; * the driver incorrectly assumed that the adjacent signal (T174), which was at green applied to him; and * the driver’s lack of awareness and understanding of the functioning of the TPWS</t>
  </si>
  <si>
    <t>ES-18</t>
  </si>
  <si>
    <t>Train derailment, 21-08-06, Railway line from León to Palencia at kilometre point 46,200. (Spain)</t>
  </si>
  <si>
    <t>Seven persons died and six were injured, after a long distance train derailed at Villada Station while it was changing from track 1 to track 2.</t>
  </si>
  <si>
    <t>Railway line from León to Palencia at kilometre point 46,200.</t>
  </si>
  <si>
    <t>To the rolling stock:locomotive and four vehicles. To the railway instalations: road bridge trucks security instalations and electrical system instalation."</t>
  </si>
  <si>
    <t>Excessive speed.</t>
  </si>
  <si>
    <t>UK-115</t>
  </si>
  <si>
    <t>Fire in RS, 8/21/2006, a series of fire alarms alerted staff that there was a problem with Mission (train) 7370, the 13:24 hrs (CET) train from the UK Terminal through the tunnel to the French Terminal at Coquelles, near Calais. (United Kingdom)</t>
  </si>
  <si>
    <t>The train, a shuttle carrying 30 lorries, was brought to a controlled stop at a cross passage, and the crew and passengers were evacuated into the service tunnel, and thence on to France.  The train stopped some 20 km from the UK tunnel portal, in UK territory.  The fire was found to be on a small lorry on the penultimate carrier wagon of the train.  The fire was extinguished and the train was removed to the French end of the tunnel.</t>
  </si>
  <si>
    <t>a series of fire alarms alerted staff that there was a problem with Mission (train) 7370, the 13:24 hrs (CET) train from the UK Terminal through the tunnel to the French Terminal at Coquelles, near Calais.</t>
  </si>
  <si>
    <t>Eurotunnel</t>
  </si>
  <si>
    <t>Resultant damage to the tunnel infrastructure was repaired and full services resumed the following day.</t>
  </si>
  <si>
    <t>The immediate cause of the accident was a fire in the load compartment of a lorry on the penultimate wagon of an HGV shuttle.</t>
  </si>
  <si>
    <t>A contributory factor was the difficulty in detecting a smouldering fire within the load compartment of a lorry.</t>
  </si>
  <si>
    <t>UK-129</t>
  </si>
  <si>
    <t>Other, 27/08/2006, Styal (East Didsbury) (United Kingdom)</t>
  </si>
  <si>
    <t>An engineering train, consisting of a Class 66 locomotive, 38 wagons, and a second, uncrewed, class 66 locomotive, was running southwards through a possession towards Heald Green.  As the train approached Heald Green the coupling between the last wagon and the locomotive at the rear of the train failed, allowing the locomotive to roll away from the rest of the train.  The locomotive came to a halt, after passing through a work site at East Didsbury where staff were carrying out engineering work.  These staff saw the tail lights of the approaching locomotive, and moved clear of the line before it reached them. No other staff or trains were put at risk by the incident.</t>
  </si>
  <si>
    <t>Styal (East Didsbury)</t>
  </si>
  <si>
    <t>The immediate cause of the incident was that the rearmost wagon drawhook broke at a time when the train was on an upward gradient and when the trailing locomotive had no air supply available in its air reservoirs to apply the brakes</t>
  </si>
  <si>
    <t>The following causal factors were identified: * a sudden, larger than recently experienced tensile load was applied to the drawhook; * the drawhook had a pre-existing fatigue crack below the gedge slot; * the Assist Failed Train (AFT) cock on the trailing class 66 locomotive was not opened when train 6L22 left Crewe; * residual air within the trailing locomotive’s reservoirs was used up on the journey between Crewe and the incident location; and * the class 66 locomotive design requires the AFT cock to be manually opened to allow the locomotive to be safely dead-hauled on the back of a single piped train. * The following contributory factors were identified: * the Magnetic Particle Inspection (MPI) of the wagon drawhook stipulated in EWS *maintenance procedures, had not been carried out at Bescot depot as scheduled in *January 2006; * the only MPI operative at Bescot was out of MPI competency certification during *January 2006; * the completed maintenance documentation indicated that the MPI had been carried out; * the driver of train 6L22 did not understand the need to open the trailing locomotive’s AFT cock prior to top and tail working; * routine periodic assessment of the driver’s competency had not detected and remedied this lack of understanding; * written information and briefings provided to EWS drivers when top and tail working was introduced did not ensure and confirm drivers’ understanding of the necessary associated AFT cock operation; * the widely and officially used terms ‘Assist Failed Train’ and ‘AFT’ cock are not helpful insofar as they suggest the function is primarily associated with failed trains. Under current working arrangements, the function is primarily associated with top and tail working; and * the AFT cock was labelled ‘DEAD ENGINE’ and the labelling did not indicate the open and closed positions. Had the labelling been clearer, the driver’s long term misunderstanding may well have been corrected. The following underlying causes were identified: * the passing of the same critical information to different EWS drivers can be by training, which includes formal assessment, or briefing, which does not. This can be dependent upon factors other than the criticality of the information; in this case, the time the driver started in EWS employment; and * when top and tail working was started by EWS, the hazard associated with runaway trailing locomotives that it introduced was not analysed in sufficient detail to fully understand the risk and adequately mitigate against it.</t>
  </si>
  <si>
    <t>HU-254</t>
  </si>
  <si>
    <t>Trains collision with an obstacle, 30/08/2006, Line 80: Between Isaszeg and Pécel stations (Hungary)</t>
  </si>
  <si>
    <t>The train Nr. 3237 collided with a lorry. The lorry was fallen onto the track by a road accident. The first coach of the passenger train derailed and closed the other track too. The coach and the track damaged seriously.</t>
  </si>
  <si>
    <t>Line 80: Between Isaszeg and Pécel stations</t>
  </si>
  <si>
    <t>Rolling Stock: 750 000 HUF ( 3 000 EUR )       Infrastructure: 250 000 HUF (1 000 EUR )</t>
  </si>
  <si>
    <t>AT-93</t>
  </si>
  <si>
    <t>Train derailment, 31/08/2006, Line: Wien Südbahnhof - Laa an der Thaya (Austria)</t>
  </si>
  <si>
    <t>On 31 August 2006 around 15:20 between the BF Süssenbrunn and the BF Stadlau during suited the by signals course travel train 68146 (421 t, 235 m, 15 Wg, Tfz 1116,012-4) derailed of the 8. Wg 2181 2471 160-5 with both axles in km 13.015 in driving direction to the left. The derailing place is on the free distance of approx. 130 meters before the Einfahrsignal of the BF Stadlau north. As the car over the heart, derailed , the not used air shut-off valve of the running after car drove 3380 7966 444-1 to the switch 189 was not turn off. By air loss it came to the obligation braking and train 68146 was stopped in km 12.000.</t>
  </si>
  <si>
    <t>Line: Wien Südbahnhof - Laa an der Thaya</t>
  </si>
  <si>
    <t>A car derails by which derailing became the upper's building on a length damaged of 1000 m heavily."</t>
  </si>
  <si>
    <t>ES-19</t>
  </si>
  <si>
    <t>Accident to persons caused by RS in motion, 05/09/2006, Railway from Santander to Palencia at kilometre point 459,200. (Spain)</t>
  </si>
  <si>
    <t>1 person died after being hit by rolling stock in motion at open line while walking to cross the railway line.</t>
  </si>
  <si>
    <t>Railway from Santander to Palencia at kilometre point 459,200.</t>
  </si>
  <si>
    <t>PT-240</t>
  </si>
  <si>
    <t>Broken wheels or axles, 06/09/2006, The incident ocurred in open line (Portugal)</t>
  </si>
  <si>
    <t>Broken wheels or axles</t>
  </si>
  <si>
    <t>Failure of a wheelset axlebox of a wagon on a freight train</t>
  </si>
  <si>
    <t>Vale de Figueira station</t>
  </si>
  <si>
    <t>double track</t>
  </si>
  <si>
    <t>CP Carga</t>
  </si>
  <si>
    <t>€ 10784,00</t>
  </si>
  <si>
    <t>Significant damage on the axlebox</t>
  </si>
  <si>
    <t>DK-358</t>
  </si>
  <si>
    <t>Level crossing accident, 08/09/2006, Level crossing no 491 at Svenstrup (Denmark)</t>
  </si>
  <si>
    <t>A light truck was stuck between the barriers at the level crossing and the driver left the car. The automatic level crossing system signalled to the train driver, that the level crossing was protected. As he - at a speed of 120 km/h catched sight of the truck - he applied the brakes. The train hit the truck at a speed of 80 km/h and destroyed the truck.</t>
  </si>
  <si>
    <t>Level crossing no 491 at Svenstrup</t>
  </si>
  <si>
    <t>The truck was destroyed. Minor damages to the front of the IC3 train unit.</t>
  </si>
  <si>
    <t>UK-346</t>
  </si>
  <si>
    <t>Train derailment, 08/09/2006, Washwood Heath (United Kingdom)</t>
  </si>
  <si>
    <t>On 8 September 2006 at approximately 16:00 hrs a freight train, consisting of a Class 66 locomotive and 17 bogie wagons, was leaving the sidings at Washwood Heath, in northeast Birmingham, and crossing over the Derby to Birmingham line on its journey to_x000D_
Southampton. As the train pulled forward at less than 10 mph the signaller in Washwood Heath No 1 signal box observed that the front bogie of the 13th wagon was running derailed through a pair of points. He then saw the wheels re-rail themselves and_x000D_
made arrangements for the train to be stopped in the Saltley area.</t>
  </si>
  <si>
    <t>Washwood Heath</t>
  </si>
  <si>
    <t>Minor damage to track as result of derailment</t>
  </si>
  <si>
    <t>The immediate cause of the derailment of wagon 609001 was the flange of the wheels on the leading bogie climbing the gauge face of the left-hand rail as they traversed a righthand curve.</t>
  </si>
  <si>
    <t>Causal factors: The design and condition of the side bearer assembly on the FAA wagon produced high levels of bogie rotational resistance and wheel unloading. A combination of the above factors gave rise to high lateral forces against the gauge corner of the outer rail on curves and significant levels of wheel unloading when the wagon was subjected to track twist. The actual behaviour of the bogie/side bearer assembly was not accurately predicted during the design scrutiny or during tests carried out in 2003 to validate a proposed modification of the underframe wear plates. Contributory factors: The track twist of 1 in 108 encountered by train 4O26 as it traversed the SY274 crossover. Underlying cause: The process of design scrutiny did not correctly identify the factors that influence the dynamic performance of the FAA wagon when exposed to track twist.</t>
  </si>
  <si>
    <t>HU-378</t>
  </si>
  <si>
    <t>Level crossing accident, 09/09/2006, Line 29, Between Csajag and Balatonkenese stations, Level Crossing AS380 (Hungary)</t>
  </si>
  <si>
    <t>A car collided with the charter train Nr. 13972 in a level crossing. The signalling system of LC operated well. In the accident the LC equipment and the engine of the train suffered minor damage. Four person in the car injured, one of them seriously.</t>
  </si>
  <si>
    <t>Line 29, Between Csajag and Balatonkenese stations, Level Crossing AS380</t>
  </si>
  <si>
    <t>Infrastructure: 100 000 HUF (400 EUR)  Rolling stock: 50 000 HUF (200 EUR)</t>
  </si>
  <si>
    <t>UK-347</t>
  </si>
  <si>
    <t>Train derailment, 11/09/2006, Waterloo, South Sidings, London (United Kingdom)</t>
  </si>
  <si>
    <t>An empty pair of Class 455 electric multiple units, was entering the sidings at Waterloo South after having discharged its last load of passengers in the station. As the train was entering the sidings, at below 13 mph, the signaller in Wimbledon signal box observed several track circuits fail. The train stopped in the sidings, and the signaller and driver arranged for it to be examined. One pair of wheels on the penultimate bogie was found to be derailed, and a further pair had derailed and then climbed back onto the track. The point of derailment was found to be in the points at the entry to the sidings from the down slow line. The report encompasses derailments which occurred at London Waterloo station on 11 September and 24 October 2006. The incidents were similar in that both derailments resulted from incorrectly profiled rails within sets of points.</t>
  </si>
  <si>
    <t>Waterloo, South Sidings, London</t>
  </si>
  <si>
    <t>Only minor damage to the track as a result of the derailment.</t>
  </si>
  <si>
    <t>UK-348</t>
  </si>
  <si>
    <t>Trains collision with an obstacle, 12/09/2006, Croxton Level Crossing (United Kingdom)</t>
  </si>
  <si>
    <t>A passenger train consisting of a 2 car Class 170 Unit, passed over Croxton Level crossing on the Ely to Norwich line near Thetford. As the train went over the crossing it struck an object and the leading bogie derailed. The train was running at 89 mph, and took 415 metres to come to a stop.</t>
  </si>
  <si>
    <t>Croxton Level Crossing</t>
  </si>
  <si>
    <t>London Eastern Railway</t>
  </si>
  <si>
    <t>Track over which the derailed train ran was damaged and required repairs before re-opening.</t>
  </si>
  <si>
    <t>The immediate cause of the derailment was the train striking a HoldFast level crossing panel which had been dislodged by a tanker trailer lorry less than ten minutes earlier</t>
  </si>
  <si>
    <t>1. the lack of support under the Thetford end of crossing panel B4 due to incorrect sleeper spacings  2.the lack of  support under the Thetford end of crossing panel B4 due to the panels being less than their manufactured lengths 3. the panels had shortened in length whilst in service  4. the loadings at Croxton caused the panels to shorten   5. Network Rail not taking earlier action in response to the many reports of problems on the crossing in the five months prior to the derailment    6.the sleepers were not maintained in their correct positions when the panels were last refitted  7. 	there was a lack of understanding of the requirement to have the sleepers at the correct positions   8. the effect of panels shortening in service was not appreciated  9.there was no perception of risk that panel could come out  10.no provision of information to personnel involved with the crossing of the need to ensure correct sleeper spacings  11.   lack of specification and assurance of the duty to which level crossing panels are exposed     12. lack of adequate control of the design and application of the HoldFast level crossing system     13.  lack of a thorough risk assessment and monitoring of the behaviour of the product in service</t>
  </si>
  <si>
    <t>UK-351</t>
  </si>
  <si>
    <t>Train derailment, 12/09/2006, Epsom (United Kingdom)</t>
  </si>
  <si>
    <t>Train 2D57, the 19:09 hrs London Waterloo – Effingham Junction, formed by 2 4-car  Class 455 electric multiple units was approaching Epsom station from the direction of Ewell West when the front bogie on the 4th vehicle of the leading unit became derailed by all wheels. The train came to a stand with the leading unit in the platform at Epsom after travelling a distance of 100 yards. All passengers were detrained onto the platform, and no injuries were reported.</t>
  </si>
  <si>
    <t>Epsom</t>
  </si>
  <si>
    <t>South West Trains Ltd</t>
  </si>
  <si>
    <t>The immediate cause of the derailment was that two wheel flanges climbed the rail head immediately beyond the heel joint of points 840B.</t>
  </si>
  <si>
    <t>Causal factors were:* Poor track geometry created by a combination of lateral and vertical misalignment, local rail damage and sidewear. These defects were apparent from visual inspection, and measurement by inspection staff and the track recording coach, and were covered by standards which required action to be taken. * The absence of rail lubrication at the point of derailment, following removal of the local lubricator and the failure of the remote lubricator. * The lack of proper maintenance attention to the track at the point of derailment. * The non-renewal of the right hand half set of switches in points 840B, which had been planned for several years. This was a result of the poor resource situation in the maintenance organisation. * The lack of effective follow-up to facing point inspections which had identified various faults at points 840B over a period of two years . The following factor was considered to be contributory: *l The loss of the planned re-railing of the plain line on the approach to 840B points in June 2006. The underlying causes were: * The shortage of track maintenance staff in the area and the workload of staff at all levels in the maintenance organisation.* The failure of staff to understand the consequences of the removal of the lubricator on the curve approaching the points. * The absence of proper maintenance attention to a defective lubricator.</t>
  </si>
  <si>
    <t>DK-357</t>
  </si>
  <si>
    <t>Other, 9/14/2006, Open line between Nyborg and Odense (Denmark)</t>
  </si>
  <si>
    <t>While running at 180 km/h some of the passenger doors in a IC3 train unit opened</t>
  </si>
  <si>
    <t>Open line between Nyborg and Odense</t>
  </si>
  <si>
    <t>Maintenance</t>
  </si>
  <si>
    <t>ES-20</t>
  </si>
  <si>
    <t>Accident to persons caused by RS in motion, 16/09/2006, Railway from Lérida to Barcelona at kilometre point 330,200. (Spain)</t>
  </si>
  <si>
    <t>A backhoe loader operator died after being hit by rolling stock in motion at open line while working on the railway.</t>
  </si>
  <si>
    <t>Railway from Lérida to Barcelona at kilometre point 330,200.</t>
  </si>
  <si>
    <t>Damage to the locomotive and to the backhoe loader. Both burst into flames.</t>
  </si>
  <si>
    <t>HU-379</t>
  </si>
  <si>
    <t>Spad, 16/09/2006, Line 45: Between Aba-Sarkeresztur and Börgönd stations (Hungary)</t>
  </si>
  <si>
    <t>The train Nr 38491 passed over a red light signal and run on the same track with the freight train Nr. 80710. The engine drivers had been noticed the dangerous situation and stopped the trains approximately 300 m from each other.</t>
  </si>
  <si>
    <t>Line 45: Between Aba-Sarkeresztur and Börgönd stations</t>
  </si>
  <si>
    <t>MÁV Cargo Zrt; 
MAV ZRt.</t>
  </si>
  <si>
    <t>ES-21</t>
  </si>
  <si>
    <t>Accident to persons caused by RS in motion, 22/09/2006, Railway from Zamora to La Coruña at kilometre point 430,433. (Spain)</t>
  </si>
  <si>
    <t>A person died after being hit by rolling stock in motion at unauthorised place.</t>
  </si>
  <si>
    <t>Railway from Zamora to La Coruña at kilometre point 430,433.</t>
  </si>
  <si>
    <t>UK-120</t>
  </si>
  <si>
    <t>Trains collision with an obstacle, 25/09/2006, Copmanthorpe, approximately three miles south of York (United Kingdom)</t>
  </si>
  <si>
    <t>On 25 September 2006 at approximately 20:55 hrs a 5 car Virgin Voyager unit, struck a road vehicle that was across the track at the site of a closed level crossing at Moor Lane, Copmanthorpe._x000D_
The train was partially derailed in the collision, but remained upright and in line until brought to a controlled stop.  There were no injuries to staff or passengers on the train, but the driver of the car was killed in the collision.  Initial investigations indicate that none of the maintenance or driving of the train, or the state of the track or that of the signalling, contributed to the collision.</t>
  </si>
  <si>
    <t>Copmanthorpe, approximately three miles south of York</t>
  </si>
  <si>
    <t>Virgin Cross Country</t>
  </si>
  <si>
    <t>There was consequential damage to both the train and the track</t>
  </si>
  <si>
    <t>It has not been possible to establish why the car carried on past the end of the road at Moor Lane towards the railway. However, the car entering on to the railway through the boundary fence was the immediate cause of the collision between the car and the train, which in turn was the immediate cause of the death of the car driver</t>
  </si>
  <si>
    <t>It is not possible to state with certainty if the City of York Council and Network Rail’s omission of a risk assessment into vehicle incursion onto the railway at Moor Lane was contributory to the accident. On balance, the RAIB judges it to possibly have contributed to the accident.</t>
  </si>
  <si>
    <t>PT-223</t>
  </si>
  <si>
    <t>Accident to persons caused by RS in motion, 26/09/2006, Between the stations Gaia and Valadares nera a residential area (Portugal)</t>
  </si>
  <si>
    <t>Two children were hit by the train on North-South Line, causing death to one of them and serious injuries on the other one.</t>
  </si>
  <si>
    <t>Between the stations Gaia and Valadares nera a residential area</t>
  </si>
  <si>
    <t>NO-464</t>
  </si>
  <si>
    <t>Train derailment, 02/10/2006, At Lillestrøm Station (Norway)</t>
  </si>
  <si>
    <t>A suburban passenger train hit a broken point blade in a double switch when entering Lillestrøm station. The first two axels (boggie) was lifted off the track and the derailed train stopped about 10 m before hitting the end of the platform.</t>
  </si>
  <si>
    <t>At Lillestrøm Station</t>
  </si>
  <si>
    <t>Mainly minor damages to the train and the track</t>
  </si>
  <si>
    <t>A point blade in a double slip switch broke. The fracture remained undiscovered until a train derailed.</t>
  </si>
  <si>
    <t>A substandard point and point blade had over time experienced an increased traffic, espesially with high axel loads, without this having been compensated with increased inspections and maintenance._x000D_
The regulations set by the National Rail Administration is considererd to be weaker for checking piont blades than for the rest of the main track. The required prosess of local adaption og generec working procedures for checking and maintenance of points</t>
  </si>
  <si>
    <t>CZ-282</t>
  </si>
  <si>
    <t>Level crossing accident, 03/10/2006, Level crossing in km 89,164 between stations Krnov and Skrochovice (Czech Republic)</t>
  </si>
  <si>
    <t>Fast train No. 885 collided with road vehicle at level crossing equipped with automatic warning lights.</t>
  </si>
  <si>
    <t>Level crossing in km 89,164 between stations Krnov and Skrochovice</t>
  </si>
  <si>
    <t>Total material damage (wagons tracks level crossing installation and the car): CZK 195 000.-"</t>
  </si>
  <si>
    <t>ES-22</t>
  </si>
  <si>
    <t>Accident to persons caused by RS in motion, 05/10/2006, El Vendrell station. Railway from Barcelona Sants to S.V. de Calders at the kilometre point 28,750. (Spain)</t>
  </si>
  <si>
    <t>A person died after being hit by rolling stock in motion while crossing the tracks through a board crossing.</t>
  </si>
  <si>
    <t>El Vendrell station. Railway from Barcelona Sants to S.V. de Calders at the kilometre point 28,750.</t>
  </si>
  <si>
    <t>ES-29</t>
  </si>
  <si>
    <t>Accident to persons caused by RS in motion, 07/10/2006, Sant Ildefons de Cornellá flag stop. Railway line from S.V. de Calders to Barcelona at the kilometre point 93,900. (Spain)</t>
  </si>
  <si>
    <t>A person died after being hit by rolling stock in motion while crossing the tracks at unauthorised place.</t>
  </si>
  <si>
    <t>Sant Ildefons de Cornellá flag stop. Railway line from S.V. de Calders to Barcelona at the kilometre point 93,900.</t>
  </si>
  <si>
    <t>ES-23</t>
  </si>
  <si>
    <t>Accident to persons caused by RS in motion, 08/10/2006, Railway from Madrid to Barcelona at the kilometre point 625,120. (Spain)</t>
  </si>
  <si>
    <t>A person died after being hit by rolling stock in motion at open line while walking to cross the railway line.</t>
  </si>
  <si>
    <t>Railway from Madrid to Barcelona at the kilometre point 625,120.</t>
  </si>
  <si>
    <t>CZ-283</t>
  </si>
  <si>
    <t>Level crossing accident, 09/10/2006, Passive level crossing in km 15.590 between stations Sumperk and Petrov nad Desnou (Czech Republic)</t>
  </si>
  <si>
    <t>Passenger train No. 13772 collided with a motorcycle at level crossing. Motorcycle driver was slightly injured.</t>
  </si>
  <si>
    <t>Passive level crossing in km 15.590 between stations Sumperk and Petrov nad Desnou</t>
  </si>
  <si>
    <t>Connex Morava</t>
  </si>
  <si>
    <t>SART - Stavby a rekonstrukce a. s.</t>
  </si>
  <si>
    <t>Preliminary material damage (rolling stock and the motorcycle): CZK 42 740.-</t>
  </si>
  <si>
    <t>FR-59</t>
  </si>
  <si>
    <t>Trains collision, 11/10/2006, The collision occurs between Bettembourg station and Thionville station, at the border between Luxembourg and France, some meters on French side. From the last switcheof each station, length is about 1.3 km in Luxembourg and 14.6 km in France. (France)</t>
  </si>
  <si>
    <t>• Bettembourg Thionville line section is a double track line. Because of major maintenance work on track 2, track 1 was circulated under the condition of temporary single track at the moment of the accident. This section of line is equiped with "permanent either direction working". _x000D_
• The freight train (n° 45938), comming from France, entered first on the line section. When the commuter train (n°837617) stopped at the intrance signal to the common track, this signal was showing the indication "absolute stop signal". Movement inspector of Bettembourg signal box gave to the commuter train driver a permit to get over this signal although its showing._x000D_
• Few minutes later, the two trains collide. They were both running at about 100 km/h.</t>
  </si>
  <si>
    <t>The collision occurs between Bettembourg station and Thionville station, at the border between Luxembourg and France, some meters on French side. From the last switcheof each station, length is about 1.3 km in Luxembourg and 14.6 km in France.</t>
  </si>
  <si>
    <t>Société Nationale des Chemins de fer Français; 
Société Nationale des Chemins de Fer Luxembourgeois (CFL)</t>
  </si>
  <si>
    <t>The first car of the commuter train (3 cars EMU) is totaly destroyed. The second one has major damages when the third one has little damages. The engine of the freignt train has major damages 8 wagons are either destroyed either have major damages. The"</t>
  </si>
  <si>
    <t>ES-24</t>
  </si>
  <si>
    <t>Level crossing accident, 15/10/2006, Railway from Tarragona to Barcelona to France at the kilometre point 88,906. (Spain)</t>
  </si>
  <si>
    <t>A person died after being hit by rolling stock motion at level crossing type C protected with barriers.</t>
  </si>
  <si>
    <t>Railway from Tarragona to Barcelona to France at the kilometre point 88,906.</t>
  </si>
  <si>
    <t>ES-25</t>
  </si>
  <si>
    <t>Accident to persons caused by RS in motion, 15/10/2006, Santa Cruz de Mudela station. Railway from Alcazar de San Juan to Cádiz at the kilometre point 239,544. (Spain)</t>
  </si>
  <si>
    <t>A person died after being hit by rolling stock in motion while crossing the tracks at unauthorised place at the station.</t>
  </si>
  <si>
    <t>Santa Cruz de Mudela station. Railway from Alcazar de San Juan to Cádiz at the kilometre point 239,544.</t>
  </si>
  <si>
    <t>ES-26</t>
  </si>
  <si>
    <t>Level crossing accident, 15/10/2006, Railway from Valencia to Barcelona at the kilometre point 262,561. (Spain)</t>
  </si>
  <si>
    <t>A person, riding a motorcycle, was injuried and his companion died  after being hit by rolling stock motion at a level crossing type C, protected with barriers.</t>
  </si>
  <si>
    <t>Railway from Valencia to Barcelona at the kilometre point 262,561.</t>
  </si>
  <si>
    <t>CZ-110</t>
  </si>
  <si>
    <t>Train derailment, 17/10/2006, Station: Decin-vychod (Czech Republic)</t>
  </si>
  <si>
    <t>Derailment of last 6 loaded wagons of freight train No. 47338 on switch No. 3</t>
  </si>
  <si>
    <t>Station: Decin-vychod</t>
  </si>
  <si>
    <t>Material damage (wagons infrastructure load): CZK 13 376 617.-"</t>
  </si>
  <si>
    <t>AT-159</t>
  </si>
  <si>
    <t>Trains collision with an obstacle, 18/10/2006, Line: Salzburg Hbf - Wörgl, between Kirchberg in Tirol and Brixen im Thale (Austria)</t>
  </si>
  <si>
    <t>"During constructions on the line 10103 track 1 at km 170,975 to built in a provisory bridge with a special crane, occurred a collision between the counterweight of the special crane an train 5276. The driving trailer, the passenger stock and the traction unit was slightly damaged, nobody was injured."</t>
  </si>
  <si>
    <t>Line: Salzburg Hbf - Wörgl, between Kirchberg in Tirol and Brixen im Thale</t>
  </si>
  <si>
    <t>50% of the train set windows got broken.</t>
  </si>
  <si>
    <t>Fehlfunktion Gleisbaukran - Die Fehlfunktion der Drehkranzbremse durch den Defekt am Steuerrelais der Leiterplatte war Auslöser für die Kollision. Durch diesen Defekt, der die Drehkranzbremse ständig geöffnet hielt, erfolgte eine selbsttätige Bewegung des Gegengewichts in den lichten Raum des Nachbargleises.</t>
  </si>
  <si>
    <t>Mangelhafte Sicherheitseinrichtungen_x000D_
Mangelhafte Anwendung der Regelwerke für das Lichtraumprofil</t>
  </si>
  <si>
    <t>FR-60</t>
  </si>
  <si>
    <t>Level crossing accident, 18/10/2006, The level crossing n°18 where the accident occured is located in the city of Domène (surburbs of Grenoble). The railway line section is the one of Grenoble Montmélian (Chambéry) (France)</t>
  </si>
  <si>
    <t>A road exceptional consignment had to turn right just after the level crossing. As it had missed its bend, it was manooeuvring on the level crossing. Some whelles left the board crossing, so the consignment was blocked. Some minutes later a train arrived which crash into the consignment.</t>
  </si>
  <si>
    <t>The level crossing n°18 where the accident occured is located in the city of Domène (surburbs of Grenoble). The railway line section is the one of Grenoble Montmélian (Chambéry)</t>
  </si>
  <si>
    <t>The coupling of the train is out of order. Some other pieces are also damaged. PN18 and a switch are damaged.</t>
  </si>
  <si>
    <t>ES-27</t>
  </si>
  <si>
    <t>Level crossing accident, 19/10/2006, Railway from Madrid to Hendaya at the kilometer point 420,623. (Spain)</t>
  </si>
  <si>
    <t>2 person  died  after being hit by rolling stock motion at level crossing protect with optical/acoustic devices.</t>
  </si>
  <si>
    <t>Railway from Madrid to Hendaya at the kilometer point 420,623.</t>
  </si>
  <si>
    <t>RENFE</t>
  </si>
  <si>
    <t>Damage to rolling stock motion and to the security instalation.</t>
  </si>
  <si>
    <t>UK-203</t>
  </si>
  <si>
    <t>Train derailment, 24/10/2006, London, Waterloo Station (United Kingdom)</t>
  </si>
  <si>
    <t>At 18:27 hrs on 24 October 2006, a loaded passenger train, also formed of two class 455_x000D_
units derailed on 1507 points, which were traversed in the facing direction as the train_x000D_
approached Waterloo station from Dorking. These points had also been subject to recent_x000D_
unplanned maintenance.This report encompasses derailments which occurred at London Waterloo station on 11 September and 24 October 2006.</t>
  </si>
  <si>
    <t>London, Waterloo Station</t>
  </si>
  <si>
    <t>The immediate cause of both derailments was the condition of switch blades within each set of points. These exhibited known derailment risks which had not been identified by the routine inspection process or by detailed inspections following maintenance activity</t>
  </si>
  <si>
    <t>Causal factors were: a. a visual inspection practice which failed to properly identify defects; b. a reporting practice which resulted in essential information on the condition of the points being routinely unavailable to the Track Section Manager (TSM) and others with responsibility for track maintenance; c. at 1565 points, a grinding repair that failed to correct an existing rail profile defect and increased the surface roughness of the switch blade without applying lubrication; and d. at 1507 points, the repair of the defective switch blade which introduced a sharp edge along its upper surface, and exacerbated the derailment risk presented by an already defective and unlubricated switch blade profile. Contributory factors were: a. the Facing Point Inspection form (FPI form) used for recording three-monthly inspections,which was not effective in supporting the defined inspection process; b. the lack of guidance within the applicable standard on the scope of both visual and increased-frequency inspections; c. track access time during dayshift working, which was limited and compromised the effectiveness of the switch inspection regime; d. the provision of insufficient special inspection resources, which led to the Asset Inspectors having a significant and unremitting workload; e. lack of planning support, which placed an additional burden on the asset inspectors and did not result in track protection arrangements appropriate to their needs being arranged; f. the Track Section Manager not being trained or certified competent to undertake the necessary switch inspections, which led to over-reliance on the asset inspection regime; g. the lack of transfer of records or plan to install the replacement half set at 1565 points, which allowed the defective rail to remain in the track for an extended period; h. not observing the switch blade closed against the stock rail, or correctly recording the developing sidewear, which resulted in the effectiveness of the standard 053 inspections being seriously compromised; i. the Waterloo Grinding Supervisory Manager (GSM) whose authority was undermined when grinding went ahead at 1565 points. This resulted in an inappropriate grinding repair being attempted; j. the post-grinding inspection which did not identify the presence of a significant rail profile defect at 1565 points, or a sidewear value on the adjacent stock rail which required facing movements to be immediately prohibited; k. the lack of site checks by Network Rail which meant that they had no detailed knowledge of the activities of their sub-contractor; l. the lack of recognition of an existing standard 053 derailment hazard by both the welder and welding manager at 1507 points; and m. the welder’s lack of practical experience in undertaking standard 053 inspections which allowed a non-compliant switch profile to remain in the track at 1507 points. Underlying causes were: a. loss of information on legacy renewal plans; b. an inadequate understanding of the requirements of the Network Rail standard for detailed switch inspections by Network Rail staff and contractors working within the Wessex area; c. inadequate understanding or involvement by depot management staff in the facing point inspection process and a lack of checks on inspection and maintenance activity; d. a lack of an appreciation of the need to lubricate newly ground running surfaces; e. a general inadequacy of the various inspection forms and reports produced; and f. inadequate track access.</t>
  </si>
  <si>
    <t>PT-224</t>
  </si>
  <si>
    <t>Other, 25/10/2006, In Tramagal station and in open line (Portugal)</t>
  </si>
  <si>
    <t>Two wagons carrying cement were acidentally decoupled on Line II of Tramagal Station.</t>
  </si>
  <si>
    <t>In Tramagal station and in open line</t>
  </si>
  <si>
    <t>HU-380</t>
  </si>
  <si>
    <t>Train derailment, 28/10/2006, Line 120: Between Mende and Sülysap stations - open line (Hungary)</t>
  </si>
  <si>
    <t>The first bogie of the fifth unit of the train Nr. 96340, which was a special track maintainer machine derailed and caused damage to sleepers along 600 m of the track and diesel oil was leaked out from the tank of the special vehicle.</t>
  </si>
  <si>
    <t>Line 120: Between Mende and Sülysap stations - open line</t>
  </si>
  <si>
    <t>TRAIN HUNGARY Magánvasút Ipari Keresekedelmi és Szolgáltató Ltd.</t>
  </si>
  <si>
    <t>Infrastructure: 1 000 000 HUF (4 000 EUR) Rolling stock: 1 000 000 HUF (4 000 EUR)  Environment: 100 000 HUF (400 EUR)"</t>
  </si>
  <si>
    <t>PT-225</t>
  </si>
  <si>
    <t>Level crossing accident, 28/10/2006, Level crossing type C (without barriers)located in open line , in a farmer (Portugal)</t>
  </si>
  <si>
    <t>A light vehicle carrying 4 passengers was hit by train nº 6457, on the level-crossing West Line, causing death to three of the passengers and profound wounds to the fourth one.</t>
  </si>
  <si>
    <t>Level crossing type C (without barriers)located in open line , in a farmer</t>
  </si>
  <si>
    <t>Serious damage in the locomotive</t>
  </si>
  <si>
    <t>ES-28</t>
  </si>
  <si>
    <t>Accident to persons caused by RS in motion, 29/10/2006, Railway line from Xativa to Alcoi at the kilometre point 54,100. (Spain)</t>
  </si>
  <si>
    <t>A person died after being hit by rolling stock in motion at open line while walking to cross the track.</t>
  </si>
  <si>
    <t>Railway line from Xativa to Alcoi at the kilometre point 54,100.</t>
  </si>
  <si>
    <t>NO-100</t>
  </si>
  <si>
    <t>Other, 31/10/2006, Eidsvoll - Dombåsbanen, Molykkja station. (Norway)</t>
  </si>
  <si>
    <t>Due to heavy snow weather and problems with the signal systems the train was cancelled and passengers should be evacuated over to buses. The train staff had not asked the train controller for permission to start evacuation. Because of this the train controller had not fully restricted the station, and when the signal system was back in order he gave a long distance passenger train permission to pass the station. The long distance passenger train arrived at Molykkja station as the last passengers and train staff were walking in the track. The locomotive driver noticed  the persons in time and managed to stop the train 30-40 meters from them.   																																		_x000D_
																																		_x000D_
																																		_x000D_
																																		_x000D_
																																		_x000D_
								1</t>
  </si>
  <si>
    <t>Eidsvoll - Dombåsbanen, Molykkja station.</t>
  </si>
  <si>
    <t>Regional passenger train; 
Long distance passenger train</t>
  </si>
  <si>
    <t xml:space="preserve">NSB AS; 
</t>
  </si>
  <si>
    <t>UK-114</t>
  </si>
  <si>
    <t>Trains collision, 31/10/2006, A collision at the site of the closed Badminton station, between Swindon and Bristol Parkway. (United Kingdom)</t>
  </si>
  <si>
    <t>Two on track machines, a ballast regulator and a tamper, were travelling from Chipping Sodbury to Hullavington, within a worksite in an engineering possession.  The regulator had stopped at the site of Badminton station to pick up some staff for the work it was to carry out, and whilst stationary the tamper collided with the rear of it.</t>
  </si>
  <si>
    <t>A collision at the site of the closed Badminton station, between Swindon and Bristol Parkway.</t>
  </si>
  <si>
    <t>There was substantial damage to both machines</t>
  </si>
  <si>
    <t>The immediate cause of the accident was that the driver of the tamper did not control his speed or react to the presence of the stationary regulator on the line ahead, so as to be able to stop short of it</t>
  </si>
  <si>
    <t>Causal factors were: * the fatigue experienced by the driver, which may have made it difficult for him to remain alert; and * running the tamper and regulator separately, rather than coupling them together. In addition, the following factors were considered to be contributory to the severity of the accident: * the custom of OTM drivers of driving at more than 20 mph (32 km/h) in work sites, and the failure of First Engineering’s monitoring and assessment system to identify and correct this; and * the lack of a defined speed limit for movements in work sites</t>
  </si>
  <si>
    <t>DE-53</t>
  </si>
  <si>
    <t>Trains collision, 2006-11-01, station: Obervellmar, line: Kassel - Warburg (Germany)</t>
  </si>
  <si>
    <t>Freight tain 44983 ran into a infrastructure works train which was unauthorizedly standing in the same track. Both trains then were derailed. The freight train consisted exclusively of empty tank wagons. (UN-No 3082). No accidental escape of dangerous goods.</t>
  </si>
  <si>
    <t>station: Obervellmar, line: Kassel - Warburg</t>
  </si>
  <si>
    <t>Freight train; 
Infrastructure works train</t>
  </si>
  <si>
    <t xml:space="preserve">DB Schenker Rail Deutschland AG; 
</t>
  </si>
  <si>
    <t>Derailment of both engine and 4 wagons. One of them was a tank wagon. 3000 liters of diesel have run out out of the engine of the work train."</t>
  </si>
  <si>
    <t>Auf Grund mangelhafter Kommunikation zwischen Betriebsstelle, Rangierpersonal und des Triebfahrzeugführers der Rangierabteilung verließ die Rangierabteilung das Baugleis ohne Zustimmung des Fahrdienstleiters. 
Due to poor communication between the operating agency, shunting personel and the driver of the shunting movement, the shunting wagons left the construction track without permission of the dispatcher.</t>
  </si>
  <si>
    <t xml:space="preserve"> 
</t>
  </si>
  <si>
    <t>CZ-284</t>
  </si>
  <si>
    <t>Level crossing accident, 06/11/2006, Active level crossing in km 112.545 between Dobra and Frydek-Mistek stations (Czech Republic)</t>
  </si>
  <si>
    <t>Passenger train No. 12826 collided with a cyclist at a level crossing.</t>
  </si>
  <si>
    <t>Active level crossing in km 112.545 between Dobra and Frydek-Mistek stations</t>
  </si>
  <si>
    <t>Total damage (railcar and bicycle): CZK 17 000.-</t>
  </si>
  <si>
    <t>NO-99</t>
  </si>
  <si>
    <t>Trains collision with an obstacle, 06/11/2006, Bergensbanen, Nøbb tunnel between Flå and Bergheim stations at km 167,00 (Norway)</t>
  </si>
  <si>
    <t>There had been a rock fall/land slide in the opening of the Nøbb tunnel. The train run into several stone blocks and derailed with the locomotive and the three first wagons in the train. These were sleeping wagons. The rest of the train, four wagons, remained on the track.  No passengers or staff were seriously injured. The locomotive and the two first wagons slided into a 14 meter deep course of a brook where the locomotive stopped into the embankment. The first sleeping wagon tilted a little bit over to the right side.</t>
  </si>
  <si>
    <t>Bergensbanen, Nøbb tunnel between Flå and Bergheim stations at km 167,00</t>
  </si>
  <si>
    <t>The track was destroyed in about 75 meters. One overhead line post was destroyed. The locomotive and the three sleeping wagons suffered large damages.</t>
  </si>
  <si>
    <t>Rock fall in the mouth of a tunnel</t>
  </si>
  <si>
    <t>ES-31</t>
  </si>
  <si>
    <t>Accident to persons caused by RS in motion, 07/11/2006, Teruel station. Railway line from Zaragoza to Valencia (Nord Station) at the kilometre point 131,700. (Spain)</t>
  </si>
  <si>
    <t>A person died after being hit by rolling stock in motion at open line while walking alongside the track.</t>
  </si>
  <si>
    <t>Teruel station. Railway line from Zaragoza to Valencia (Nord Station) at the kilometre point 131,700.</t>
  </si>
  <si>
    <t>PT-226</t>
  </si>
  <si>
    <t>Level crossing accident, 07/11/2006, Level crossing located in open line near a tunnel (Portugal)</t>
  </si>
  <si>
    <t>A light vehicle carrying 1 passenger was hit by train nº 25625, on the level-crossing,Beira Baixa Line, causing death to the only passenger.The vehicle was dragged by the train into the tunnel</t>
  </si>
  <si>
    <t>Level crossing located in open line near a tunnel</t>
  </si>
  <si>
    <t>Serious damages in the locomotive</t>
  </si>
  <si>
    <t>NO-105</t>
  </si>
  <si>
    <t>Other, 09/11/2006, Tomsbakken level crossing at Vestfold line (Vestfoldbanen) (Norway)</t>
  </si>
  <si>
    <t>On 9 November 2006 at 11.05, a serious rail incident occurred at the Tomsbakken level crossing on the Vestfold line. Tomsbakken level crossing is secured by a half-barrier system. Train 816 passed the level crossing, whose barriers were raised, while at the same time the road signals showed white and the rail signals showed red. Two cars, one on either side of the level crossing, realised at the last moment that a train was approaching the level crossing, while at the same time, persons wearing protective clothing came running and waving their arms in an attempt to stop the traffic. The cars managed to stop just before the level crossing.</t>
  </si>
  <si>
    <t>Tomsbakken level crossing at Vestfold line (Vestfoldbanen)</t>
  </si>
  <si>
    <t>ES-30</t>
  </si>
  <si>
    <t>Accident to persons caused by RS in motion, 10/11/2006, Railway line from Tarragona to Barcelona to France at the kilometre point 231,500. (Spain)</t>
  </si>
  <si>
    <t>A person of the staff, while he was working on the track, died after being hit by rolling stock in motion at open line in a vicious level crossing.</t>
  </si>
  <si>
    <t>Railway line from Tarragona to Barcelona to France at the kilometre point 231,500.</t>
  </si>
  <si>
    <t>Damage to the rolling stock and to the railway material.</t>
  </si>
  <si>
    <t>FR-2</t>
  </si>
  <si>
    <t>Accident to persons caused by RS in motion, 10/11/2006, Chaville RD station , track 1 (France)</t>
  </si>
  <si>
    <t>Trains were very late on this day in relation with an important incident (fall of a catenary in early morning). Train  133473 was 28 minutes late in Suresnes. The trafic controller decides to change the mission of the train by cancellation of stops. At the level of Chaville RD station, somebody  hangs the emergency signal. The door in relation to this emergency signal is then liberated without speed control. The driver sees then that the « door open control » is lighted. Immediately he stops the train. Next train in Chaville find somedy hurted just after the platform. This personn dies later.</t>
  </si>
  <si>
    <t>Chaville RD station , track 1</t>
  </si>
  <si>
    <t>AT-94</t>
  </si>
  <si>
    <t>Train derailment, 11/11/2006, Bf Linz Verschiebebahnhof, Gleis 954 (Austria)</t>
  </si>
  <si>
    <t>Bei signalmäßig tauglicher Ausfahrt des Zuges 92517 RU: ÖBB-Rail Cargo Austria AG,  Zugdaten: 1485 Tonnen, 585 Meter, 50 Wagen., Triebfahrzeug 1116.106, Zuglauf: Linz Vbf nach St. Valentin, kam es zur Entgleisung von 5 Wagen, wobei zwei der entgleisten Wagen umstürzten. Beim Zwischenvorsignal “t 391“ mit dem Signalbegriff „Hauptsignal Frei mit 40 km/h“ (dessen Standort befindet sich am Ende einer Kombination aus Links- und Rechtsbögen mit Bogenradien von 190m) kam es, bei einer gefahrenen Geschwindigkeit von ca. 35 km/h, zu einer PZB Beeinflussung. Dies wurde durch den Tfzf zu spät quittiert, welches in weiterer Folge zu einer Zwangsbremsung führte, wodurch letztendlich die Entgleisung der 5 Wagen erfolgte. // During a signal-controlled correct departure of train 92517 RU: ÖBB-Rail Cargo Austria AG, train data: 1 485 tonnes, 585 metres, 50 wagons, traction unit 1116.106, route: Linz shunting yard to St Valentin, a derailment occurred of five wagons, with two of the derailed wagons overturning. At the intermediate caution signal ‘t 391’ with signal indication ‘Main signal clear at 40 km/h’ (the site of which was at the end of a combination of left and right bends with a radius of curvature of 190 m) when travelling at a speed of approximately 35 km/h, the intermittent automatic train control was set off. This was acknowledged too late by the traction unit driver which subsequently led to an emergency braking and ultimately resulted in the derailment of the five wagons.</t>
  </si>
  <si>
    <t>Bf Linz Verschiebebahnhof, Gleis 954</t>
  </si>
  <si>
    <t>ÖBB-Rail Cargo Austria AG; 
ÖBB-Traktion GmbH</t>
  </si>
  <si>
    <t>An 2 Wagen entstand totalschaden 3 Wagen wurden leicht beschädigt die Gleisanlagen auf ca. 20 m schwer beschädigt sicherungstechnische Einrichtingen wurden leicht beschädigt"</t>
  </si>
  <si>
    <t>ES-32</t>
  </si>
  <si>
    <t>Accident to persons caused by RS in motion, 11/11/2006, Railway line from Tarragona to Barcelona to France at the kilometre point 10,450. (Spain)</t>
  </si>
  <si>
    <t>A person died after being knocked down by a freight train at open line. The man had suddenly came out of the surrounding area.</t>
  </si>
  <si>
    <t>Railway line from Tarragona to Barcelona to France at the kilometre point 10,450.</t>
  </si>
  <si>
    <t>PT-239</t>
  </si>
  <si>
    <t>Train derailment, 13/11/2006, The derailment ocurred as the train was approaching the station (Portugal)</t>
  </si>
  <si>
    <t>Derailment of a wagons of a freight train while negotiating points at a station.</t>
  </si>
  <si>
    <t>Oliveira do Bairro station</t>
  </si>
  <si>
    <t>CP Carga, S.A.</t>
  </si>
  <si>
    <t>€ 125 098,40 (apenas infraestrutura || infrastructure only)</t>
  </si>
  <si>
    <t>Serious damage in the infrastructure and in the wagon</t>
  </si>
  <si>
    <t>ES-33</t>
  </si>
  <si>
    <t>Level crossing accident, 15/11/2006, Railway line from Silla to Gandía at the kilometre point 28,363. (Spain)</t>
  </si>
  <si>
    <t>A train hit a car while it was crossing a level crossing with barriers, type C. The car driver was killed.</t>
  </si>
  <si>
    <t>Railway line from Silla to Gandía at the kilometre point 28,363.</t>
  </si>
  <si>
    <t>A few damage to the rolling stock and to the instalations.</t>
  </si>
  <si>
    <t>UK-201</t>
  </si>
  <si>
    <t>Trains collision, 16/11/2006, Swanage (United Kingdom)</t>
  </si>
  <si>
    <t>A Class 33 diesel-electric locomotive hauling a works train, collided with five passenger coaches parked in platform two at Swanage station whilst performing a low speed shunting manoeuvre. Four members of staff were on the coaches at the time; one was taken to hospital for treatment. Initial investigations indicate that the mechanical condition of the locomotive and rolling stock did not contribute to the collision</t>
  </si>
  <si>
    <t>Swanage</t>
  </si>
  <si>
    <t>Swanage Railway</t>
  </si>
  <si>
    <t>The locomotive and one passenger coach suffered structural damage</t>
  </si>
  <si>
    <t>The immediate cause was the locomotive driver did not register the signalled route of the train when he checked the signal before starting the train move.</t>
  </si>
  <si>
    <t>A causal factor was that the driver controlled the locomotive from the rear cab (paragraph 69); Contributory factors were: (a) the signalman selected a route into an occupied platform; and (b) the lack of a clear understanding of the shunting movements between the operations manager and the driver</t>
  </si>
  <si>
    <t>DE-54</t>
  </si>
  <si>
    <t>Trains collision, 20/11/2006, Station Berlin Südkreutz (Germany)</t>
  </si>
  <si>
    <t>The regional passenger train passed the entry signal showing red and passed the signal by a long distance. Then it had a collision with a rail inspection train.</t>
  </si>
  <si>
    <t>Station Berlin Südkreutz</t>
  </si>
  <si>
    <t>S-Bahn Berlin</t>
  </si>
  <si>
    <t>UK-202</t>
  </si>
  <si>
    <t>Train derailment, 20/11/2006, Greenford East Curve (United Kingdom)</t>
  </si>
  <si>
    <t>The RAIB has initiated an investigation into a derailment of a rail crane on Network Rail infrastructure at Greenford. _x000D_
The rail crane and its associated vehicles, hauled by a Class 67 locomotive, derailed whilst traversing Greenford East Curve in the up direction at a speed of approximately 13 mph. There was some damage to the crane and track._x000D_
 Initial investigations indicate there was no obvious fault with the rail crane, the track or the train’s operation which could simply explain the derailment.  Ongoing work will consider combinations of factors.</t>
  </si>
  <si>
    <t>Greenford East Curve</t>
  </si>
  <si>
    <t>Some damage to crane and track</t>
  </si>
  <si>
    <t>ES-34</t>
  </si>
  <si>
    <t>Level crossing accident, 21/11/2006, Railway line from Reus to La Plana at the kilometre point 77,930. (Spain)</t>
  </si>
  <si>
    <t>A freight train hit a car while crossing a level crossing type A (road side fixed signage. Two persons were killed.</t>
  </si>
  <si>
    <t>Railway line from Reus to La Plana at the kilometre point 77,930.</t>
  </si>
  <si>
    <t>NL-300</t>
  </si>
  <si>
    <t>Train derailment, 26/11/2006, Forepark, The Hague (The Netherlands)</t>
  </si>
  <si>
    <t>Five derailments occurred in the Haaglanden region within a month of RandstadRail’s operational launch. Following the derailment at the Forepark stop on 29 November 2006, which resulted in injury to 17 passengers, the railway undertakings ceased operations and the Transport and Water Management Inspectorate formally disallowed these to continue by withdrawing the operating permit._x000D_
Four more derailments occurred following the resumption of services on sections of the RandstadRail_x000D_
network._x000D_
A total of nine RandstadRail derailments occurred. Based on their respective causes, these derailments_x000D_
can be divided into four categories._x000D_
1. The derailment of a RandstadRail vehicle belonging to RET on 29 November 2006, which_x000D_
resulted in injury to 17_x000D_
passengers, took place on a damaged switch close to the Forepark stop in Leidschenveen. The RandstadRail project bureau of the municipality of The Hague had not taken the possibility of damage to the newly installed switches sufficiently into ac- count. These switches remained in use during replacement of the railway section between Zoetermeer and The Hague and sustained damage as a result._x000D_
2. On the same day, a RandstadRail vehicle belonging to HTM derailed in a curve close to the Ternoot stop, which is near The Hague’s central station. HTM was aware of the risk of derail- ment in this curve but had underestimated the likelihood of actual occurrence. The curve proved in reality to have less favourable characteristics than HTM had assumed and, in addi- tion, the minimum speed of 50 km/h recommended by the vehicle manufacturer in connection_x000D_
with the guarantee issued could not always be achieved. The risk of derailment on this particular railway section was greater at lower speeds._x000D_
3. Three derailments occurred on the Muzenviaduct close to The Hague’s central station on a section of worn out railway track, one of which involved a city tram and the other two Rands tadRail vehicles belonging to HTM. The abrasion had been caused by a modification to The Hague’s city trams and the use of rails with a different hardness, causes that had not been_x000D_
recognised in time b_x000D_
y HTM._x000D_
4. Five derailments involving RandstadRail vehicles belonging to HTM occurred at a vehicle activated switch in the city tram network. The vehicle activated switch was introduced as part of the RandstadRail project and was of a type new to HTM. The switch is used to change tracks at a railway end point so that the vehicle can subsequently travel the route in the op posite direction. Investigation of the derailments revealed that the drivers of the vehicles had not been able to clearly see whether they had fully passed the switch and had therefore turned too early. Following these derailments, HTM introduced signs and marking at the turn ing point in question.</t>
  </si>
  <si>
    <t>Forepark, The Hague</t>
  </si>
  <si>
    <t>HTM/RET</t>
  </si>
  <si>
    <t>Haaglanden</t>
  </si>
  <si>
    <t>(a) metros trams and other light rail systems"; 
(b) it forms part of a series of accidents or incidents relevant to the system as a whole</t>
  </si>
  <si>
    <t>ES-35</t>
  </si>
  <si>
    <t>Accident to persons caused by RS in motion, 27/11/2006, Raiway line from Madrid to Valencia at the kilometre point 9,600. (Spain)</t>
  </si>
  <si>
    <t>A person died after being hit by rolling stock in motion at a faulty crossing.</t>
  </si>
  <si>
    <t>Raiway line from Madrid to Valencia at the kilometre point 9,600.</t>
  </si>
  <si>
    <t>PT-227</t>
  </si>
  <si>
    <t>Level crossing accident, 27/11/2006, Level crossing located in open line serving a residential area (almost excluive access for the residents) (Portugal)</t>
  </si>
  <si>
    <t>A light vehicle carrying 1 passenger was hit by train nº 60984 on the level-crossing, South Line, causing death to the car driver. Level crossing only equiped with road signals</t>
  </si>
  <si>
    <t>Level crossing located in open line serving a residential area (almost excluive access for the residents)</t>
  </si>
  <si>
    <t>Damage in the locomotive (3.740€) and in the infastructure (track magnet) (2.147€)</t>
  </si>
  <si>
    <t>ES-36</t>
  </si>
  <si>
    <t>Accident to persons caused by RS in motion, 28/11/2006, Railway line from Madrid to Valencia at the kilometre point 9,800. (Spain)</t>
  </si>
  <si>
    <t>A person died after being knocked down by a rolling stock in motion while crossing the tracks.</t>
  </si>
  <si>
    <t>Railway line from Madrid to Valencia at the kilometre point 9,800.</t>
  </si>
  <si>
    <t>ES-37</t>
  </si>
  <si>
    <t>Accident to persons caused by RS in motion, 30/11/2006, Railway line from Santiago to Redondela at the kilometre point 10,350. (Spain)</t>
  </si>
  <si>
    <t>A person died after being hit by rolling stock in motion at open line while walking to cross the tracks through at faulty path.</t>
  </si>
  <si>
    <t>Railway line from Santiago to Redondela at the kilometre point 10,350.</t>
  </si>
  <si>
    <t>ES-38</t>
  </si>
  <si>
    <t>Accident to persons caused by RS in motion, 01/12/2006, Railway line from Madrid to Hendaya at the kilometre point 5,400. (Spain)</t>
  </si>
  <si>
    <t>A person died and another was injured after being hit by rolling stock in motion at open line while walking alongside the tracks.</t>
  </si>
  <si>
    <t>Railway line from Madrid to Hendaya at the kilometre point 5,400.</t>
  </si>
  <si>
    <t>CZ-274</t>
  </si>
  <si>
    <t>Train derailment, 02/12/2006, Tramway line along Horni street, between J. Kotase and Hotelovy dum Hlubina stops (Czech Republic)</t>
  </si>
  <si>
    <t>Derailment of tram 12 occupied by passengers</t>
  </si>
  <si>
    <t>Tramway line along Horni street, between J. Kotase and Hotelovy dum Hlubina stops</t>
  </si>
  <si>
    <t>Dopravni podnik Ostrava a.s.</t>
  </si>
  <si>
    <t>Total material damage (tram tracks): CZK 26 680.- = EUR 1067.-"</t>
  </si>
  <si>
    <t>HU-381</t>
  </si>
  <si>
    <t>Train derailment, 07/12/2006, Line 100: Between Debrecen and Ebes stations (Hungary)</t>
  </si>
  <si>
    <t>Seven wagons of the freight train Nr. 63203 derailed at Ebes station. One of the lower doors of the 23th wagon ( empty graincarrying wagon ) of the train fallen onto the track and the last bogie of the wagon ran on it and derailed. The derailed wagon caused damage to track along 4 500 m. In the approaching side of the station two wagon fallen over and other five wagon derailed. The track damaged seriously.</t>
  </si>
  <si>
    <t>Line 100: Between Debrecen and Ebes stations</t>
  </si>
  <si>
    <t>MÁV Cargo Zrt</t>
  </si>
  <si>
    <t>Infrastructure: 100 000 000 HUF ( 400 000 EUR ) Rolling stock: Appr. 20 000 000 HUF ( 80 000 EUR )</t>
  </si>
  <si>
    <t>ES-39</t>
  </si>
  <si>
    <t>Accident to persons caused by RS in motion, 11/12/2006, Vilanova i la Geltrú station. Railway line from Madrid to Barcelona at the kilometre point 636,00. (Spain)</t>
  </si>
  <si>
    <t>A person died after being hit by a train when he tried to reach the opposite platform crossing the tracks.</t>
  </si>
  <si>
    <t>Vilanova i la Geltrú station. Railway line from Madrid to Barcelona at the kilometre point 636,00.</t>
  </si>
  <si>
    <t>HU-382</t>
  </si>
  <si>
    <t>Trains collision, 12/12/2006, Line 120: Between Szolnok and Ujszasz stations (Hungary)</t>
  </si>
  <si>
    <t>The train Nr 35371 passed over a red light signal and ran into an other passenger train (3351) stopping at the next signal. Six passenger of the train Nr. 35731 suffered minor injury. The rear-working engine of the train Nr. 3351 slightly, the motor engine of the train Nr. 35731 damaged seriouosly.</t>
  </si>
  <si>
    <t>Line 120: Between Szolnok and Ujszasz stations</t>
  </si>
  <si>
    <t>Regional passenger train; 
Other</t>
  </si>
  <si>
    <t xml:space="preserve">MAV ZRt.; 
</t>
  </si>
  <si>
    <t>Rolling stock: 10 000 000 HUF ( 40 000 EUR )</t>
  </si>
  <si>
    <t>FI-144</t>
  </si>
  <si>
    <t>Level crossing accident, 15/12/2006, Helsinki,Railway yard od Sörnäinen port (Finland)</t>
  </si>
  <si>
    <t>Shunting unit collided with a lorry. Shunting unit member injured seriously</t>
  </si>
  <si>
    <t>Helsinki,Railway yard od Sörnäinen port</t>
  </si>
  <si>
    <t>Slight</t>
  </si>
  <si>
    <t>PT-228</t>
  </si>
  <si>
    <t>Level crossing accident, 15/12/2006, Level crossing located in a urban area (Portugal)</t>
  </si>
  <si>
    <t>A light vehicle carrying 1 passenger was hit by train nº 6454 on the level-crossing, West Line, causing death to the only passenger.The vehicle cross the closed level crossing with the two barriers down</t>
  </si>
  <si>
    <t>Level crossing located in a urban area</t>
  </si>
  <si>
    <t>Damage in the locomotive</t>
  </si>
  <si>
    <t>UK-375</t>
  </si>
  <si>
    <t>Trains collision, 19/12/2006, Birmingham Metro (United Kingdom)</t>
  </si>
  <si>
    <t>The RAIB has initiated an investigation into a collision on the Metro near Soho Benson Road tram stop on 19 December 2006._x000D_
At approximately 11:40 hrs two trams were in transit toward Birmingham. The leading tram was stopped due to a technical fault when the second tram collided with it at approximately 24 km/h. There were minor injuries to passengers and tram crew and damage to both tram cabs. The Metro service was disrupted for approximately seven hours.</t>
  </si>
  <si>
    <t>Birmingham Metro</t>
  </si>
  <si>
    <t>Damage to both tram cabs.</t>
  </si>
  <si>
    <t>Tram 10 did not stop short of tram 09, which was stationary due to a technical fault</t>
  </si>
  <si>
    <t>The causal factors were that: a. tram 10’s driver did not modify their driving technique when dazzled by the low lying winter sun; and b. tram 10’s driver was too late in applying the tram’s hazard brake. The contributory factors were that: a. tram 10’s driver had reduced vision in the direction of travel while dazzled by the low lying winter sun; b. tram 10’s driver became occupied with adjusting a sunblind that would not remain in position to screen sunlight; and c. the TMM procedure for tram failure did not require a tram to display hazard warning lights while causing an obstruction.</t>
  </si>
  <si>
    <t>PT-247</t>
  </si>
  <si>
    <t>Train derailment, 20/12/2006, straight line ~4km from the main station of Pampilhosa (Portugal)</t>
  </si>
  <si>
    <t>Derailment of wagon, of a freight train (18 wagons)causing interdiction for circulation on both ways and damage to railway infrastructure and rolling-stock, affecting circulation of 94 trains and supression of 3 trains.</t>
  </si>
  <si>
    <t>straight line ~4km from the main station of Pampilhosa</t>
  </si>
  <si>
    <t>Serious damage in the wagon (~40.000€) and in the infrastructure (1.679.790€)</t>
  </si>
  <si>
    <t>CZ-275</t>
  </si>
  <si>
    <t>Accident to persons caused by RS in motion, 26/12/2006, Station: Brandys nad Orlici (Czech Republic)</t>
  </si>
  <si>
    <t>The EuroCity train No. 278 hit and killed a passenger leaving another train.</t>
  </si>
  <si>
    <t>Station: Brandys nad Orlici</t>
  </si>
  <si>
    <t>Infrastructure manager didn't provide passenger with safe access to/from train as required by the national legislation.</t>
  </si>
  <si>
    <t>ES-40</t>
  </si>
  <si>
    <t>Level crossing accident, 27/12/2006, Railway line from Madrid to Hendaya at the kilometre point 371,068. (Spain)</t>
  </si>
  <si>
    <t>A person died after being hit by rolling stock motion at level crossing type C, protected with barriers.</t>
  </si>
  <si>
    <t>Railway line from Madrid to Hendaya at the kilometre point 371,068.</t>
  </si>
  <si>
    <t>HU-383</t>
  </si>
  <si>
    <t>Train derailment, 27/12/2006, Line 1: Between Lebeny-Mosonszentmiklos and Kimle stations (Hungary)</t>
  </si>
  <si>
    <t>Four wagons of the train Nr. 47182, which were loaded with corn, derailed. An axle box of the fifth wagon was overheated and broken. As a result of this the wagon was derailed and caused damage to the sleepers along approximately 2 000 m of the track. After that the derailed wagon at a level crossing fallen over and three other wagons derailed, closed also the other track and caused serious damage to it.</t>
  </si>
  <si>
    <t>Line 1: Between Lebeny-Mosonszentmiklos and Kimle stations</t>
  </si>
  <si>
    <t>CER Hungary Zrt.</t>
  </si>
  <si>
    <t>Infrastructure: 80 000 000 HUF ( 320 000 EUR )  Rolling stock: 40 000 000 ( 160 000 EUR )</t>
  </si>
  <si>
    <t>AT-583</t>
  </si>
  <si>
    <t>Accident to persons caused by RS in motion, 29/12/2006, Strecke Innsbruck Hbf-Lindau Hbf zwischen Bahnhof Bregenz und Bahnhof Lochau-Hörbranz in km 7,76 Line Innsbruck Hbf-Lindau Hbf between station Bregenz and station Lochau-Hörbranz in km 7,76 (Austria)</t>
  </si>
  <si>
    <t>EC 196 fuhr in eine Personengruppe (3 Polizisten, 2 Bestatter)während der Bergung eines Toten, der am frühen Morgen von einem Zug erfasst wurde._x000D_
EC 196 run into a group of persons (3 policemen, 2 untertakers) who just was busy with retrieving the body of a dead person who was hit by a train on early morning</t>
  </si>
  <si>
    <t>Strecke Innsbruck Hbf-Lindau Hbf zwischen Bahnhof Bregenz und Bahnhof Lochau-Hörbranz in km 7,76 Line Innsbruck Hbf-Lindau Hbf between station Bregenz and station Lochau-Hörbranz in km 7,76</t>
  </si>
  <si>
    <t>ES-41</t>
  </si>
  <si>
    <t>Accident to persons caused by RS in motion, 31/12/2006, Railway line from Massanet to France, at Hostalrich flag stop. (Spain)</t>
  </si>
  <si>
    <t>A person died after being hit by rolling stock in motion while crossing through a staff crossing.</t>
  </si>
  <si>
    <t>Railway line from Massanet to France, at Hostalrich flag stop.</t>
  </si>
  <si>
    <t>ES-188</t>
  </si>
  <si>
    <t>Accident to persons caused by RS in motion, 11/01/2007, Santullano flag stop. Railway from León to Gijón at the kilometre point 116,913 (Spain)</t>
  </si>
  <si>
    <t>A person crossing a board crossing is hit by the Renfe LD train 10623</t>
  </si>
  <si>
    <t>Santullano flag stop. Railway from León to Gijón at the kilometre point 116,913</t>
  </si>
  <si>
    <t>CZ-610</t>
  </si>
  <si>
    <t>Level crossing accident, 12/01/2007, Active level crossing on "UNEX a.s. Unicov" siding, km 0,179 (Czech Republic)</t>
  </si>
  <si>
    <t>SIDING ACCIDENT: Collision of shunting wagons with a car at level crossing (car driver injured)</t>
  </si>
  <si>
    <t>Active level crossing on "UNEX a.s. Unicov" siding, km 0,179</t>
  </si>
  <si>
    <t>UNEX Servis s.r.o.</t>
  </si>
  <si>
    <t>Total damage (wagon car): CZK 201000.- (= EUR 8040.-)"</t>
  </si>
  <si>
    <t>(c) privately owned railway infrastructure that exist solely for use by the infrastructure owner for its own freight operations.</t>
  </si>
  <si>
    <t>UK-174</t>
  </si>
  <si>
    <t>Trains collision with an obstacle, 13/01/2007, Merstham, near Redhill, Surrey (United Kingdom)</t>
  </si>
  <si>
    <t>The leading axle of the train was derailed and it was brought to a halt a short distance away.There were no injuries to passengers or crew and the passengers were evacuated from the derailed train to continue their journeys.</t>
  </si>
  <si>
    <t>Merstham, near Redhill, Surrey</t>
  </si>
  <si>
    <t>The immediate cause of the derailment was an obstruction on the track formed by timbers from the king post wall displaced by the fall of a 6 tonne root ball from the cutting side</t>
  </si>
  <si>
    <t>Causal factors were: 1)  a.the lack of understanding about the risks presented from retained root balls and complex geology    b.the decision to leave root balls in situ on the cutting side after tree felling     c.the mass of the root ball that fell. Contributory factors were: 1)  a.above average rainfall over the south east of England prior to the derailment      b.the loss of cohesion of the materials forming the cutting side   c.the lack of a warning system   d.the speed of the train. Underlying causes were: 1 a.	the lack of guidance in NR/SP/CIV/065 ‘Examination of Earthworks’, 	NR/SP/TRK05201 ‘Management of Lineside Vegetation’ or other Network Rail company standards regarding root balls  b.the backlog of earthworks examinations inherited by Network Rail</t>
  </si>
  <si>
    <t>UK-539</t>
  </si>
  <si>
    <t>Trains collision with an obstacle, 15/01/2007, South of Kemble tunnel (United Kingdom)</t>
  </si>
  <si>
    <t>The 21:52 hrs train from Swindon to Cheltenham Spa, consisting of a two-car diesel multiple unit (DMU), was travelling at 51 mph (82 km/h) when it struck debris from a collapsed wall following a landslip in the cutting just south of Kemble tunnel. The leading bogie of the train was derailed and the train was brought to a halt at the tunnel mouth._x000D_
There were no injuries to passengers or crew.</t>
  </si>
  <si>
    <t>South of Kemble tunnel</t>
  </si>
  <si>
    <t>First Great Western Ltd</t>
  </si>
  <si>
    <t>The immediate cause of the derailment was the leading vehicle of train 2G93 striking a large number of concrete blocks which had fallen onto the line from the collapsed wall adjacent to right hand cess.</t>
  </si>
  <si>
    <t>There were two causal factors leading to the derailment, associated with the cutting slope and the wall.  Both factors were necessary for the derailment to occur. The first causal factor was the failure of the cutting, which caused the overloading of the wall and its subsequent collapse, spilling a large number of concrete blocks onto the line (paragraph 93).The contributory factors which led to this were:? the heavier than average rainfall during December 2006 and January 2007 (paragraph 96);? the poor drainage of the cutting slope resulting from the lack of a functioning crest drain (paragraph 97); and? the reclassification of the cutting as ‘marginal’ in 2004 from ‘poor’ which effectively increased its examination frequency from annually to 5 yearly (paragraph 99).The second causal factor was the collapse of the wall.  Although this was a consequence of the cutting failure, the wall itself probably posed a greater risk to the railway than the cutting failure and for this reason was itself a causal factor (paragraph 103, Recommendation 1).In addition to the failure of the cutting, the contributory factors which led to the collapse of the wall under the loading imposed by the cutting slip were:? the blocked weep holes which allowed water pressure to build up at the back of the wall in addition to pressure from the build up of slope material against the back of the wall (paragraph 104 , Recommendation 1) and;? the classification of the wall at Kemble as a ‘retaining wall’ probably prevented a correct assessment of the wall’s condition against the loading (paragraph 106, Recommendation 2).</t>
  </si>
  <si>
    <t>ES-189</t>
  </si>
  <si>
    <t>Accident to persons caused by RS in motion, 17/01/2007, Sigüenza station. Railway from Madrid to Barcelona. (Spain)</t>
  </si>
  <si>
    <t>A person walking through the station board crossing, without realising the train was coming, is hit by the freight train 54615.</t>
  </si>
  <si>
    <t>Sigüenza station. Railway from Madrid to Barcelona.</t>
  </si>
  <si>
    <t>FI-145</t>
  </si>
  <si>
    <t>Level crossing accident, 17-01-07, Närpïo, on the Seinäjoki - Kaskinen section of line (Finland)</t>
  </si>
  <si>
    <t>On Wednesday 17 January 2007 at 10.50 a.m. an accident occurred in Närpiö in which a train carrying lumber on its way from Seinäjoki to Kaskinen collided with a van at an unprotected level crossing. _x000D_
The van driver perished in the accident, and the van was wrecked beyond repair, while the front of the locomotive suffered only minor damage.</t>
  </si>
  <si>
    <t>Närpïo, on the Seinäjoki - Kaskinen section of line</t>
  </si>
  <si>
    <t>Slight damages to the locomotive the car was wrecked"</t>
  </si>
  <si>
    <t>The accident was caused by the van driver not driving clear of the train travelling from the right. It is obvious that the driver either did not look towards the approaching train or did not notice it.</t>
  </si>
  <si>
    <t>HU-384</t>
  </si>
  <si>
    <t>Spad, 17/01/2007, Line 81: Between Zagyvapalfalva and Kisterenye stations (Hungary)</t>
  </si>
  <si>
    <t>The movement inspector of Zagyvapalfalva station started the train Nr. 5823 without permission of Kisterenye station on the single track line, while the train Nr. 5836 (with permission) started from Kisterenye. When the movement inspector realized the dangerous situation called the engine drivers on their cell phones and ordered them to stop immediately. The trains approached each other cca 5 500 m.</t>
  </si>
  <si>
    <t>Line 81: Between Zagyvapalfalva and Kisterenye stations</t>
  </si>
  <si>
    <t>UK-376</t>
  </si>
  <si>
    <t>Train derailment, 17/01/2007, Near Pomona Station, Manchester Metrolink (United Kingdom)</t>
  </si>
  <si>
    <t>The RAIB has initiated an investigation into the derailment of a Manchester Metrolink tram at Pomona station on the Eccles branch._x000D_
On 17 January 2007 at approximately 17:15 hrs a tram from Eccles to Manchester Piccadilly derailed on the viaduct approaching Pomona station. The tram was travelling at approximately 10 mph (16 km/h). The leading axle of the train was derailed, and the_x000D_
tram stopped in the station. There were no injuries to passengers or crew, and the passengers were able to leave the derailed tram in the station. Services on the system were disrupted until the morning of 19 January 2007.</t>
  </si>
  <si>
    <t>Near Pomona Station, Manchester Metrolink</t>
  </si>
  <si>
    <t>Serco MM</t>
  </si>
  <si>
    <t>The derailment was caused by wide track gauge in the curve and a low resistance to gauge spread</t>
  </si>
  <si>
    <t>1. Serco Metrolink did not follow their procedures for inspecting the track at Pomona  2.Serco Metrolink did not follow their procedures for maintaining the track at Pomona  3. The contractual arrangements under which Serco operated and maintained the system for GMPTE may not have provided a robust framework for repairs to be carried out under  4. The lack of effective audit of the permanent way department allowed the lack of inspection and maintenance to go unnoticed  5. The lack of checks by GMPTE that Serco Metrolink were conducting external audits also allowed the lack of inspection and maintenance to go unnoticed</t>
  </si>
  <si>
    <t>CZ-279</t>
  </si>
  <si>
    <t>Trains collision with an obstacle, 18/01/2007, Between stations Dvur Kralove and Bila Tremesna (Czech Republic)</t>
  </si>
  <si>
    <t>Fast train No. 996 collided with an obstacle (fallen tree). 1st axle of leading railcar derailed.</t>
  </si>
  <si>
    <t>Between stations Dvur Kralove and Bila Tremesna</t>
  </si>
  <si>
    <t>Material damage (railcar): CZK 15 000.-</t>
  </si>
  <si>
    <t>(b) it forms part of a series of accidents or incidents relevant to the system as a whole; 
(c) its impact on railway safety on a Community level</t>
  </si>
  <si>
    <t>ES-204</t>
  </si>
  <si>
    <t>Level crossing accident, 18/01/2007, Sant Feliú de Llobregat station. The accident happened at a level crossing type C at the kilometre point 88,906. Railway line from Madrid to Barcelona. (Spain)</t>
  </si>
  <si>
    <t>A person is hit by the train 39212. This person was crossing through a level crossing when it was forbidden to cross.</t>
  </si>
  <si>
    <t>Sant Feliú de Llobregat station. The accident happened at a level crossing type C at the kilometre point 88,906. Railway line from Madrid to Barcelona.</t>
  </si>
  <si>
    <t>DE-55</t>
  </si>
  <si>
    <t>Train derailment, 23/01/2007, North Germany Line : Hamburg-Elmshorn, near Tornesch in line-km 24,6 (Germany)</t>
  </si>
  <si>
    <t>Freight train TEC 40023 was derailed north of Tornesch at 03:19 hours. 19 cars were derailed of 21 cars and partly overturned. Three of the cars been derailed were loaded with dangerous goods. In the case of a car it came to leaving of dangerous goods (UN-No. 1750). The second car was loaded with a container. After the accident a steel coil was in this container, another second steel coil had fallen through the container ground into the track.</t>
  </si>
  <si>
    <t>North Germany Line : Hamburg-Elmshorn, near Tornesch in line-km 24,6</t>
  </si>
  <si>
    <t>The infrastructure is detroyed on approx.200 m</t>
  </si>
  <si>
    <t>Ursächlich für das Ereignis ist die fehlerhafte Beladung der Stahlcoils in Kombination mit der nicht ausreichenden Belastbarkeit der Containerquerträger aufgrund unzureichender Ausfüh-rung von Schweißnähten. // The cause of the event is the incorrect loading of steel coils in combination with the insufficient load capacity of the container cross beams due to poor workmanship of welds seams.</t>
  </si>
  <si>
    <t>UK-301</t>
  </si>
  <si>
    <t>Fire in RS, 24/01/2007, Blackpool (United Kingdom)</t>
  </si>
  <si>
    <t>At the time of the incident experimental tram 611 was being tested on the Blackpool system, but not used for the carriage of passengers.  On 24 January 2007 at approximately 16:10 hrs it was returning to the depot at Blackpool after a series of test runs.  The driver was the only person on the tram.  The tram was stationary at Foxhall Square whilst permission was being obtained for it to proceed to the depot.  The driver became aware of smoke in the driving cabin, and shortly thereafter there was an outbreak of flames, and he left the tram. The flames spread and one end of the tram was severely damaged. The fire was extinguished by the emergency services. No-one was injured and there was no effect on tram services as the majority of the system was closed for winter track repairs.</t>
  </si>
  <si>
    <t>Blackpool</t>
  </si>
  <si>
    <t>Tram was severely damaged</t>
  </si>
  <si>
    <t>The fire probably occurred because of a fault in the low voltage electrical system of the tram.  The condition of the wiring and the equipment installation was not to a standard that would be acceptable for a tram carrying passengers.</t>
  </si>
  <si>
    <t>BTS did not carry out a risk assessment for the operation of this vehicle, which would have identified and adequately mitigated the risks to their employees and others, and in particular did not carry out any assessment of the risk from fire BTS did not develop any specific emergency arrangements relating to the testing of tram 611</t>
  </si>
  <si>
    <t>CZ-611</t>
  </si>
  <si>
    <t>Level crossing accident, 25/01/2007, Passive level crossing on "Pivovar RADEGAST" siding, km 0.683 (Czech Republic)</t>
  </si>
  <si>
    <t>SIDING ACCIDENT: Collision of shunting wagons with a lorry at level crossing (train crew slightly injured)</t>
  </si>
  <si>
    <t>Passive level crossing on "Pivovar RADEGAST" siding, km 0.683</t>
  </si>
  <si>
    <t>Slezskomoravska draha a. s.</t>
  </si>
  <si>
    <t>Total damage (locomotive wagon lorry track): CZK 1083684.- (= EUR 43347.-)"</t>
  </si>
  <si>
    <t>HU-466</t>
  </si>
  <si>
    <t>Train derailment, 25/01/2007, Line 100: station Szolnok (Hungary)</t>
  </si>
  <si>
    <t>Two empty tank wagons of train Nr 63000 derailed. The track and the signallning system damaged.</t>
  </si>
  <si>
    <t>Line 100: station Szolnok</t>
  </si>
  <si>
    <t>Infrastructure: The track (cca 150 m) slightly damaged a signal post fell overRS: one of the derailed wagons seriously the other slightly injured"</t>
  </si>
  <si>
    <t>UK-350</t>
  </si>
  <si>
    <t>Trains collision, 28/01/2007, Armathwaite near Carlisle (United Kingdom)</t>
  </si>
  <si>
    <t>The RAIB is carrying out an investigation into a runaway wagon at Armathwaite in Cumbria. At approximately 14:30 hrs on 28 January 2007 a bogie flat wagon that had been stabled within an engineers’ possession at Armathwaite on the Settle and Carlisle line started to move down the gradient. A member of staff observed the runaway and tried to apply the brakes without success, and then warned other staff in the vicinity, who stood clear of the track. After running approximately 500 metres, the wagon collided with a road rail excavator at low speed. The wagon derailed, although there was minimal damage to both vehicles; the excavator operator was physically unhurt, although shocked. There were no other casualties. The wagon was rerailed within the possession and there was no effect on services.</t>
  </si>
  <si>
    <t>Armathwaite near Carlisle</t>
  </si>
  <si>
    <t>The immediate cause of the accident was that the salmon wagon was not left secured on the gradient, and this led to its runaway and ultimate collision with the RRV after the wagon’s brakes leaked off</t>
  </si>
  <si>
    <t>1.The causal factor of the accident was unauthorised First Engineering staff coupling and uncoupling vehicles who were neither trained in Module SS2 of the rule book (covering shunting) nor competent to do so.  These actions were carried out despite there having been competent EWS staff available     2. The cant compensator system fitted to the Kirow crane was too sensitive and caused  spurious alarms to occur (paragraph 107).  No recommendation is made regarding this in view of the actions taken by First Engineering   3. The training given on the correct response to Kirow crane cant compensator alarms was 	inadequate   4.   There was a miscommunication between the Engineering Supervisor and the Kirow crane crew which led to the Kirow crane crew misunderstanding what the plan was for the Kirow crane following its derailment and acting under their own volition   5.  The train driver did not apply the handbrakes to the salmon wagon when he left the locomotive and wagon unattended.</t>
  </si>
  <si>
    <t>UK-377</t>
  </si>
  <si>
    <t>Train derailment, 29/01/2007, Birmingham Snow Hill Station (United Kingdom)</t>
  </si>
  <si>
    <t>At 14:25 hrs on 29 January 2007 West Midlands tram No 6 was arriving at the Birmingham Snow Hill terminus of the system from Wolverhampton, and was signalled into platform 4. As the tram passed through the points into platform 4 its centre bogie_x000D_
derailed; the tram rapidly came to a halt, and little damage resulted. There were no injuries and the passengers were evacuated into the station on foot. Services were curtailed to Jewellery Quarter station for the rest of the day.</t>
  </si>
  <si>
    <t>Birmingham Snow Hill Station</t>
  </si>
  <si>
    <t>The immediate cause of the derailment was the interaction between the wheel and the switch tip, causing the wheel to climb onto the top of the switch rail (paragraph 31).</t>
  </si>
  <si>
    <t>The causal factors were that: a.The left hand switch rail had not been restored to its as-designed geometry following weld repair (paragraph 40);b.The centre bogie left hand wheels were biased toward the left hand switch rail as the tram approached the S&amp;C (paragraph 44).The contributory factor was that the switch blade was not subjected to an appropriate post-repair inspection (paragraph 47).The underlying causes were that:a.neither TMM nor Carillion staff had sufficient competence to adequately inspect and maintain the Midland Metro S&amp;C (paragraph 58a and Recommendations 1 and 3);b.the TMM standards and procedures that support staff competence were not sufficiently prescriptive with respect to S&amp;C inspection, maintenance and repair (paragraph 58b and Recommendation 2).</t>
  </si>
  <si>
    <t>ES-205</t>
  </si>
  <si>
    <t>Accident to persons caused by RS in motion, 01/02/2007, Beasaín station. Railway from Madrid to Hendaya at the kilometre point 581,100 (Spain)</t>
  </si>
  <si>
    <t>A person, who had just disembarked from a train and crossed a board crossing, was hit by the long distance train 609 which was approaching the station on the opposite rail.</t>
  </si>
  <si>
    <t>Beasaín station. Railway from Madrid to Hendaya at the kilometre point 581,100</t>
  </si>
  <si>
    <t>PT-241</t>
  </si>
  <si>
    <t>Level crossing accident, 01/02/2007, The level crossing is located close to a residential area (Portugal)</t>
  </si>
  <si>
    <t>A light vehicle was hit by the train when crossing a D-Type Level Crossing located on Baira Baixa Line, causing death to driver of the vehicle</t>
  </si>
  <si>
    <t>The level crossing is located close to a residential area</t>
  </si>
  <si>
    <t>Damage in the locomotive (19.440€)</t>
  </si>
  <si>
    <t>(c) its impact on railway safety on a Community level</t>
  </si>
  <si>
    <t>FI-146</t>
  </si>
  <si>
    <t>Accident to persons caused by RS in motion, 2/2/2007, Joensuu marchalling yard in Eastern Finland (Finland)</t>
  </si>
  <si>
    <t>An accident claiming the life of a shunting unit foreman occurred at the Joensuu railway yard on Friday 2 February 2007 at 9.01 a.m. The foreman, employed by VR Cargo Joensuu, perished instantly after being run over by one of the wheels of a freight car.</t>
  </si>
  <si>
    <t>Joensuu marchalling yard in Eastern Finland</t>
  </si>
  <si>
    <t>The direct cause of the foreman's fall was not revealed by the investigations, but is likely to have been the result of slipping or being nudged by the shunting wagon.</t>
  </si>
  <si>
    <t>ES-206</t>
  </si>
  <si>
    <t>Level crossing accident, 05/02/2007, Veguellina station, at a level crossing type C, at the kilometre point 157,671. Railway from Palencia to La Coruña (Spain)</t>
  </si>
  <si>
    <t>A person, who misused the level crossing, was hit by the long distance train 280. The LC worked properly.</t>
  </si>
  <si>
    <t>Veguellina station, at a level crossing type C, at the kilometre point 157,671. Railway from Palencia to La Coruña</t>
  </si>
  <si>
    <t>UK-119</t>
  </si>
  <si>
    <t>Trains collision with an obstacle, 05/02/2007, Aylesford, Kent (United Kingdom)</t>
  </si>
  <si>
    <t>The 21:57 hrs train from Paddock Wood to Gillingham, whilst travelling at approximately 65 mph, struck an item of plant being used to examine the bridge carrying the M20 over the railway line from Maidstone West to Aylesford. The leading cab of the train was severely damaged by the collision, and the driver of the train, and the one passenger, both received minor injuries.  The plant was an under-bridge inspection gantry in the process of being deployed and there were no personnel on it at the time. Train services were curtailed until the damaged train and the plant were both removed.</t>
  </si>
  <si>
    <t>Aylesford, Kent</t>
  </si>
  <si>
    <t>Southeastern</t>
  </si>
  <si>
    <t>The leading cab of the train was severely damaged by the collision.</t>
  </si>
  <si>
    <t>This incident was caused by a misunderstanding between the bridge inspector and the Moog operator which resulted in unauthorised entry onto Network Rail infrastructure.</t>
  </si>
  <si>
    <t>InterRoute’s staffs’ lack of adherence to their own procedures resulted in the Moog operator being allowed to enter the worksite without a briefing, safety induction or a method statement. E.S. Access’ hire staff did not clarify the safety aspects of the hire and allowed their operator to go to the site without adequate briefing or ensuring that a method statement would need to be provided. Although certified in railway PTS the Moog operator did not seek confirmation from a COSS that it was safe to work on or near the line. The bridge inspector’s awareness and supervision of the situation was inadequate to prevent the incident happening.</t>
  </si>
  <si>
    <t>ES-207</t>
  </si>
  <si>
    <t>Accident to persons caused by RS in motion, 06/02/2007, Railway from Alcázar de San Juan to Valencia at kilometre point 105,560 (Spain)</t>
  </si>
  <si>
    <t>A person was hit when crossing the tracks at an unauthorised place, through a faulty path.</t>
  </si>
  <si>
    <t>Railway from Alcázar de San Juan to Valencia at kilometre point 105,560</t>
  </si>
  <si>
    <t>HU-255</t>
  </si>
  <si>
    <t>Trains collision, 06/02/2007, Line 1: Between stations Almásfüzito and Komárom, right track, section 998+42 (Hungary)</t>
  </si>
  <si>
    <t>Train 45224 ran with 10-15 km/h speed from Almasfuzito, because the signalling system didn't work propertly, signals were dark. The error was caused by the energy supply system (inverter). Train 9438 (EU Regio) departed from Almasfuzito with reduced speed 15 km/h, the signal was shown to the driver on his screen. The safety system of the locomotive (EVM 120) stopped the train once because of overspeed. After it the driver switched the safety system to shunting mode, and back to train mode, this allowed him to accelerate over the reduced speed. The train stopped at Szöny. After departure from there the driver accelerated the train to the speed cca. 100 km/h and ran into the freight train, the allowed speed was 15 km/h. The speed of the trains in the moment of the collision: 45224: cca. 12 km/h, 9438: cca. 98 km/h into the same direction. The driver of the train 9438 (employee of MAV) killed, 8 persons injured slightly. The locomotive and the 4 passanger carriages of the train 9438 are owned by ÖBB.</t>
  </si>
  <si>
    <t>Line 1: Between stations Almásfüzito and Komárom, right track, section 998+42</t>
  </si>
  <si>
    <t>RS: Locomotive 1116-017 (ÖBB) destroyed 6 flat wagon (DB) derailed 5 of them damaged seriously Infrastructure: 120 m track damaged seriously overhead line damaged over both track. The total material cost is over 500 000 000 HUF (2 000 000 EUR)."</t>
  </si>
  <si>
    <t>ES-208</t>
  </si>
  <si>
    <t>Accident to persons caused by RS in motion, 07/02/2007, Railway from Madrid to Valencia at kilometre point 19,670; nearby San Cristóbal flag stop (Madrid) (Spain)</t>
  </si>
  <si>
    <t>A long distance train Altaria 77 hit a person when he was crossing the tracks at an unauthorised place.</t>
  </si>
  <si>
    <t>Railway from Madrid to Valencia at kilometre point 19,670; nearby San Cristóbal flag stop (Madrid)</t>
  </si>
  <si>
    <t>CZ-97</t>
  </si>
  <si>
    <t>Trains collision, 09/02/2007, Station: Karanice (Czech Republic)</t>
  </si>
  <si>
    <t>Long distance passanger train No. 957 passed a signal at danger and collided with freight train No. 63440.</t>
  </si>
  <si>
    <t>Station: Karanice</t>
  </si>
  <si>
    <t>Material damage (locomotive of fast train wagons carriages tracks points sleepers): CZK 4 775 406.-"</t>
  </si>
  <si>
    <t>PT-724</t>
  </si>
  <si>
    <t>Train derailment, 12/02/2007, A train derailment from 6.900 km station of Tua (Portugal)</t>
  </si>
  <si>
    <t>The derailment was caused by poor conditions of the line (broken rails) due to damage caused by the collapse of a major stone</t>
  </si>
  <si>
    <t>A train derailment from 6.900 km station of Tua</t>
  </si>
  <si>
    <t>Serious damage in the rolling stock</t>
  </si>
  <si>
    <t>ES-209</t>
  </si>
  <si>
    <t>Accident to persons caused by RS in motion, 13/02/2007, Near Villena station. Railway from Madrid to Alicante at kilometre point 394,100 (Spain)</t>
  </si>
  <si>
    <t>A sheperd and his folk were crossing the tracks through an unauthorised place when they were hit by a long distance train Altaria 1187.</t>
  </si>
  <si>
    <t>Near Villena station. Railway from Madrid to Alicante at kilometre point 394,100</t>
  </si>
  <si>
    <t>CZ-276</t>
  </si>
  <si>
    <t>Train derailment, 17/02/2007, Praha-Vitkov station, switch No. 2 (Czech Republic)</t>
  </si>
  <si>
    <t>Derailment of locomotive and 5 carriages of EuroCity train No. 107.</t>
  </si>
  <si>
    <t>Praha-Vitkov station, switch No. 2</t>
  </si>
  <si>
    <t>Material damage: (locomotive carriages tracks points sleepers): CZK 189 906.-"</t>
  </si>
  <si>
    <t>CZ-277</t>
  </si>
  <si>
    <t>Train derailment, 20/02/2007, Between stations Mnisek pod Brdy and Cisovice (Czech Republic)</t>
  </si>
  <si>
    <t>Derailment of locomotive and 5 freight wagons of train No. 85956. Slightly injured: 2 persons (staff)</t>
  </si>
  <si>
    <t>Between stations Mnisek pod Brdy and Cisovice</t>
  </si>
  <si>
    <t>Total material damage (wagons tracks sleepers): CZK 1 009 120.- = EUR 40 365.-"</t>
  </si>
  <si>
    <t>Incomplete maintenance</t>
  </si>
  <si>
    <t>NO-257</t>
  </si>
  <si>
    <t>Trains collision with an obstacle, 21/02/2007, Bergen line between Myrdal and Hallingskeid stations (Norway)</t>
  </si>
  <si>
    <t>The derailment occued due when the train run in to a avalanche. The train derailes with two cars</t>
  </si>
  <si>
    <t>Bergen line between Myrdal and Hallingskeid stations</t>
  </si>
  <si>
    <t>Small materaial damages</t>
  </si>
  <si>
    <t>Derailement due to avalanche</t>
  </si>
  <si>
    <t>RO-69</t>
  </si>
  <si>
    <t>Train derailment, 22/02/2007, Cricov intermediate station, line n°3. Cricov intermediate station belongs to Galati Railway County on the south of the Romanian railway network. (Romania)</t>
  </si>
  <si>
    <t>Romanian Railway Investigation Body</t>
  </si>
  <si>
    <t>The freight train of empty stock no. 60373 formed of 27 open wagons was on the route from Ploiesti Triaj to Catusa, on the south of Romanian railway network._x000D_
Twenty kilometres north of Ploiesti Triaj, in Cricov intermediate station, the service oficial observed that the last but one wagon no. 88536657717-3 was derailled. The service oficial announced the engine driver of the train through radio station to stop the train. _x000D_
The engine driver heard the message from the service oficial at the radio station, observed the decrease of the air pressure and stopped the train on  the running line Cricov - Inotesti, at km 77+100 on section 034. _x000D_
As the train passed over the switches the last wagon no 88536656880-0 derrailled also._x000D_
The rim of the wheel from the second axle of the last but one wagon  was found peeled away from the wheel.</t>
  </si>
  <si>
    <t>Romania</t>
  </si>
  <si>
    <t>Cricov intermediate station, line n°3. Cricov intermediate station belongs to Galati Railway County on the south of the Romanian railway network.</t>
  </si>
  <si>
    <t>SC Railway Transport Company SA</t>
  </si>
  <si>
    <t>Switches no 7316126 damaged line no 3 in Cricov station damaged Wagon no 88536657717-3 damaged wagon no 88536656880-0 damaged" wagon no 88536656880-0 damaged"</t>
  </si>
  <si>
    <t>The change of the fitted axle track gauge as result of the transversal displacement of the wheel tyre no. 5 of the  wagon  no. 88536657717-3 (the last but one wagon)</t>
  </si>
  <si>
    <t>The loosening of  the wheel tyre no. 5 of  the wagon no. 88536657717-3 (the last but one wagon) having as result his rotation on the wheel rim and the grinding of the rails. ­When the technical inspections were performed, they didn’t comply with the  regulations in force, so that the railway staff didn’t repaired the marks on the  outside of the wheel with tyre, being  placed in four points at 90 degrees one  from another, respectively they didn’t removed the wagon from running, taking into consideration that Ploiesti working point was not equipped as appropriate.</t>
  </si>
  <si>
    <t>RO-70</t>
  </si>
  <si>
    <t>Train derailment, 22/02/2007, Dej Triaj station, switch no 47 A. Dej Triaj station belongs to Cluj Railway County, on the center of Romanian railway network (Romania)</t>
  </si>
  <si>
    <t>The freight train no 42612 formed of 32 ukranian loaded tank wagons transposed from ukranian gauge (1524 mm) into normal gauge (1435 mm) was on the route from Halmeu to Dej Triaj. Before the arrival on line no 4A, in Dej Triaj station the train passed over the switch no 47 A where 8 wagons derrailled, begining with the 6-th wagon after locomotive (wagon no 57653776, 57586463, 57653461, 57653230, 51226074, 57655482, 57653420 and 57585952).</t>
  </si>
  <si>
    <t>Dej Triaj station, switch no 47 A. Dej Triaj station belongs to Cluj Railway County, on the center of Romanian railway network</t>
  </si>
  <si>
    <t>National Company for Freight Railway Transport</t>
  </si>
  <si>
    <t>Switch no 4A damaged line no 4A damaged ukranean wagons no 576537765758646357653461576532305122607457655482 57653420 and 57585952 damaged"57655482 57653420 and 57585952 damaged"</t>
  </si>
  <si>
    <t>The railway accident occurred becouse of the derailment of the first axle of the wagon no. 57653776. It happened because of the exceeding of the stability limit at the derailment through the load discharge of the attack wheel, corroborated with the taking down of the contact point between the wheel flange and the active lateral side of the rail ( flank ) ( at the attacked wheel in the running on the switch curve ), it led to the rail scaling from the right side and the fall of the right wheel inside the track. The derailment cause is considered to be the underlying causes ensemble.</t>
  </si>
  <si>
    <t>The chocking of the broken stone prism in the derailment area permited uncontroled settlements of the broken stone prism and the appearance of a free space between the bottom base of the sleepers and the broken stone prism. ­ At the approval of the plan for the tracks and switches maintenance were not done realistic foreseeing concerning the possibilities for the material supply as well as the labor supply. ­At the end of 2006 was not done a realistic analysis of the services performance because the resulted situation presented as follows: (the real quantity of new necessary parts was not supplied for the replacement of those out of order, this situation was confirmed by the works that proved the degradation of some parts. Ex. Sleepers – “rectification of the track gauge “ work, where the achievements are more over the necessary for planning according to the Instruction 300 or the census; 	the works that prove the degradation of some parts, as the sleepers, are performed a long time after planning or necessary for planning according to the Instruction 300 – ex “ rectification of the track gauge; comparing the quantities of the planed works with the achieved works quantities is noticed that in some cases there is no connection between those two groups of data in the final result expressed in conventional Km; in the chapter replacement of the special sleepers on switches for 2006, were supplied very small quantities given the necessary. The similar situation was met in the case of the broken stone). After the analysis of the documents belonging to District 4 Dej Triaj concerning the  establishing of the necessary labor for 2007 was found out that for the maintenance of these 61,228 conventional Km the track section has only 50% from the resulted staff. The services for whose performance is necessary skilled workers, were performed with blue workers, their weight in the staff structure of the sub-unit being between 53%  and 65%, exceeding with more the maximum percentage of 5%. After a realistic analysis of the staff situation at the Track Section L7 Dej was found out that the real number of the necessary workers for the tracks maintenance and repairing ( according to the reviewed works ) was 335, more than 290 as resulted from the calculation done according to the provisions of the Instruction 300/1972 ; given this necessary, at the end of April the section had only 90 workers. -	The keeping  of the inadequate sleepers into the points and crossing is not accepted by the Instruction no. 314/1989, chapter II, art. 15, paragraph 11. The instruction provision stipulates that, after the exceeding of the term of 12 months for the keeping in the track of the inadequate sleepers, the unique safety measure should be the traffic closure on these points and crossing. -	The exceeding of the instruction replacement term of the inadequate special sleepers into the points and crossing is one of the causes that led to the situation in witch an important percentage of the railway events and accidents happen on the switches of the Romanian Railway Network. The lack of lubrication in the centre castings contrary to the Ukrainian and Romanian rules had a contribution at the lack of the bogie turning in the curve. The breadth of the tyre from the wheels of the first bogie of the wagon is 3 mm smaller than the minimum value stipulated in the annex 5, paragraph 2.3 from the PPV.</t>
  </si>
  <si>
    <t>ES-210</t>
  </si>
  <si>
    <t>Accident to persons caused by RS in motion, 23/02/2007, Madrid Atocha station. Railway from Fuenlabrada to Móstoles. (Spain)</t>
  </si>
  <si>
    <t>A person crossed the tracks at the station and was hit by a regional train 17551.</t>
  </si>
  <si>
    <t>Madrid Atocha station. Railway from Fuenlabrada to Móstoles.</t>
  </si>
  <si>
    <t>UK-118</t>
  </si>
  <si>
    <t>Train derailment, 23/02/2007, Grayrigg in Cumbria (United Kingdom)</t>
  </si>
  <si>
    <t>At 20:15 hrs on 23 February 2007 a Virgin Pendolino train, the 17:15 hrs from London Euston to Glasgow, derailed in the vicinity of Grayrigg at a speed of approximately 95 mph.  All vehicles in the train derailed; the train came to rest with six of the nine vehicles down an embankment and at varying angles from their normal orientation.  One passenger lost her life in the derailment, and twenty two other people on the train were taken to hospital, of whom five remain in a critical condition.  There was severe damage to the train set as a result of the derailment.</t>
  </si>
  <si>
    <t>Grayrigg in Cumbria</t>
  </si>
  <si>
    <t>Virgin West Coast</t>
  </si>
  <si>
    <t>There was substantial damage to the train. However all carriages retained their structural integrity of the passenger compartment. The derailed train caused considerable damage to the track and infrastructure"</t>
  </si>
  <si>
    <t>The immediate cause of the derailment was the interaction of the train with 2B points, which were in an unsafe state and forced some of the wheelsets from the first vehicle into the reducing gauge between both switch rails.  All the other vehicles of train 1S83 derailed as a consequence.</t>
  </si>
  <si>
    <t>Lambrigg 2B points were in an unsafe condition on 23 February 2007 because all restraint on the left-hand switch rail had been lost.  This was caused by successive failures of all three permanent way stretcher bar assemblies and the lock stretcher bar assembly.  This combination of failures allowed the left-hand switch rail to move, un-commanded by the signalling system, to a position close to the stock rail without losing signalling detection. * The first failure in the degradation of the points was the undetected failure of the third permanent way stretcher bar right-hand bracket to switch rail joint, caused by the clamping force in the joint being less than the normal forces of traffic.  The failure of the joint was a causal factor of the accident. *The setting of the escapement joint to give a residual switch opening of 8 mm (6.5 mm greater than the nominally specified value), allowed the flange-back contact on the left-hand switch rail to occur once the third permanent way stretcher bar right-hand bracket to switch rail joint had failed, increasing the forces seen by the remaining stretcher bars and causing the subsequent collapse of the points system.  The excessive residual switch opening was a causal factor of the accident. *  The deterioration in the condition of the third permanent way stretcher bar and its joint, and possibly some aspects of the deterioration of the second permanent way stretcher bar, should have been visible to a basic visual inspection on 18 February 2007, had it passed 2B points.  The omission of the basic visual inspection of 2B points on 18 February 2007 was a causal factor.* The constraints from access problems were a contributory factor in the the track section manager’s decision to combine his supervisory inspection with a basic visual inspection on 18 February 2007, which ultimately led to 2B points not being inspected on that date. *The omission of the basic visual inspection at 2B points was not identified at the plan-do-review meeting on 19 February 2007.  The depot records were incorrectly updated to record that inspection H was completed and this made it less likely that the omission of part of that inspection would be identified, or that corrective action would be taken.  The weak process and inaccurate input was a contributory factor.*  The following points were underlying factors to the derailment: Network Rail’s incomplete technical knowledge and analysis of the maintenance 	requirements of S&amp;C with non-adjustable stretcher bars resulted in: an absence of clear, properly briefed, standards for setting up, periodically checking and adjusting the supplementary drive and the residual switch opening; 	little or no investigation of loose or missing fasteners; and the maintenance instructions not specifying how stretcher bar fasteners found in need 	of tightening should be tightened.</t>
  </si>
  <si>
    <t>AT-587</t>
  </si>
  <si>
    <t>Other, 27/02/2007, Strecke 22101 von Linz Hbf nach Staatsgrenze n. Summerau-(Horni Dvoriste) im Bahnhof Steyregg Gleis 1 km 5,891 Line 22101 from Linz Hbf to border n. Summerau-(Horni Dvoriste) in the station of Steyregg track 1 km 5,891 (Austria)</t>
  </si>
  <si>
    <t>Am 27. Februar 2007 um 15:43 Uhr wurde im Bf Steyregg der Z 3870 (besetzt mit 80 _x000D_
Reisenden) unerlaubt in den mit dem stehenden Z 44507 besetzten Gleisabschnitt (Gleis 1) _x000D_
eingelassen, wobei es zu einer Annäherung der beiden Fahrten auf ca. 70m kam. - On 27 February 2007 at 15:43 regional train Z 3870 (with 80 passenders) was let in into track 1 of station of Steyregg which was occupied by standing freight-train Z 44507. The train driver of Z 3870 could stop the train 70 m in front of Z 44507.</t>
  </si>
  <si>
    <t>Strecke 22101 von Linz Hbf nach Staatsgrenze n. Summerau-(Horni Dvoriste) im Bahnhof Steyregg Gleis 1 km 5,891 Line 22101 from Linz Hbf to border n. Summerau-(Horni Dvoriste) in the station of Steyregg track 1 km 5,891</t>
  </si>
  <si>
    <t>ES-211</t>
  </si>
  <si>
    <t>Accident to persons caused by RS in motion, 27/02/2007, El Carrión flag stop. Railway from Palencia to Santander at kilometre point 310,550 (Spain)</t>
  </si>
  <si>
    <t>Two persons were hit by a long distance train 61 when trying to cross the tracks.</t>
  </si>
  <si>
    <t>El Carrión flag stop. Railway from Palencia to Santander at kilometre point 310,550</t>
  </si>
  <si>
    <t>ES-212</t>
  </si>
  <si>
    <t>Accident to persons caused by RS in motion, 27/02/2007, Sant Vicenç de Calders station. Railway from Barcelona to Tarragona and Francia. (Spain)</t>
  </si>
  <si>
    <t>A person was hit by a long distance train 15997 when crossing a board crossing.</t>
  </si>
  <si>
    <t>Sant Vicenç de Calders station. Railway from Barcelona to Tarragona and Francia.</t>
  </si>
  <si>
    <t>FR-82</t>
  </si>
  <si>
    <t>Train derailment, 27/02/2007, Carcasonne station (Aude) (France)</t>
  </si>
  <si>
    <t>A packing machine passes a signal at danger on a side track. It derails on a deraile, but instead to derail on the opposite of the main track, it derails inserting it.</t>
  </si>
  <si>
    <t>Carcasonne station (Aude)</t>
  </si>
  <si>
    <t>A derailer destroyed few little damages to the packing machine (derailment at very low speed)"</t>
  </si>
  <si>
    <t>DE-71</t>
  </si>
  <si>
    <t>Train derailment, 2/28/2007, Line: Bremen - Hamburg;Station : Rotenburg/Wümme (Germany)</t>
  </si>
  <si>
    <t>Freight train 51284 on the way from Seelze to Maschen was derailed in Rotenburg. 19 waggons have been derailed and partly overturned.</t>
  </si>
  <si>
    <t>Line: Bremen - Hamburg;Station : Rotenburg/Wümme</t>
  </si>
  <si>
    <t>The damage to infrastructure and rolling stock be estimated at over 5 million EUR.</t>
  </si>
  <si>
    <t>Die Zugentgleisung ist zweifelsfrei auf einen Heißläufer bedingten Radsatzschenkelbruch am 23.Wagen zurück zu führen. 
The derailment can undoubtedly be attributed to a hot axle wheelset related thigh fracture at 23rd wagon.</t>
  </si>
  <si>
    <t>ES-213</t>
  </si>
  <si>
    <t>Accident to persons caused by RS in motion, 28/02/2007, Torredembarra station. Railway from Port Bou-Tarragona. (Spain)</t>
  </si>
  <si>
    <t>A person was hit by a freight train when running alongside the track.</t>
  </si>
  <si>
    <t>Torredembarra station. Railway from Port Bou-Tarragona.</t>
  </si>
  <si>
    <t>ES-215</t>
  </si>
  <si>
    <t>Accident to persons caused by RS in motion, 01/03/2007, Kilometre point 5,350 in the vicinity of Valchillón (Córdoba) (Spain)</t>
  </si>
  <si>
    <t>A person is hit by a medium distance passenger train while walking through the rail.</t>
  </si>
  <si>
    <t>Kilometre point 5,350 in the vicinity of Valchillón (Córdoba)</t>
  </si>
  <si>
    <t>FR-81</t>
  </si>
  <si>
    <t>Accident to persons caused by RS in motion, 01/03/2007, At Villeneuve - marshalling yard near Paris (France)</t>
  </si>
  <si>
    <t>A traveller decides to cross two tracks to go on another platform to take its train without using the underground access. A non stopping train hurts her at about 100km/h</t>
  </si>
  <si>
    <t>At Villeneuve - marshalling yard near Paris</t>
  </si>
  <si>
    <t>ES-216</t>
  </si>
  <si>
    <t>Accident to persons caused by RS in motion, 03/03/2007, Railway line from Lugo de Llanera to Tudela Veguin. In the vicinity of Viella station. (Spain)</t>
  </si>
  <si>
    <t>Two person were walking alongside the tracks when a freight train hit them. As a result one person died and the other was slightly injured.</t>
  </si>
  <si>
    <t>Railway line from Lugo de Llanera to Tudela Veguin. In the vicinity of Viella station.</t>
  </si>
  <si>
    <t>FI-113</t>
  </si>
  <si>
    <t>Level crossing accident, 05-03-07, Nivila Ylivieska - Iisalmi section of line (Finland)</t>
  </si>
  <si>
    <t>On Monday 5 March 2007 at 2.39 p.m., a level crossing accident took place involving a passenger car and a rail bus travelling from Ylivieska to Iisalmi. Both the driver and the passenger of the car perished, while the train personnel and passengers were unharmed. The accident wrecked the car beyond repair, while the train suffered only minor damage. The total material costs due to the accident were approximately EUR 70,000.</t>
  </si>
  <si>
    <t>Nivila Ylivieska - Iisalmi section of line</t>
  </si>
  <si>
    <t>Slight damage to the rail bus. The car was wrecked.</t>
  </si>
  <si>
    <t>The immediate cause of the accident was the passenger car driver driving onto the level crossing_x000D_
without stopping. Presumably, the car driver and passenger did not notice the rail bus approaching_x000D_
from the right.</t>
  </si>
  <si>
    <t>This might have been affected by the following:_x000D_
- The driver was distracted by a phone call the passenger received and was possibly looking_x000D_
for the ringing mobile phone_x000D_
- The driver's attention was focused on attaching the safety belt_x000D_
- The approaching short train was in a blind spot formed by the moving vehicle’s structures and_x000D_
the passenger_x000D_
- The driver was not in the habit of stopping every time at the level crossing.</t>
  </si>
  <si>
    <t>CZ-278</t>
  </si>
  <si>
    <t>Train derailment, 06/03/2007, Station: Hranice na Morave mesto (Czech Republic)</t>
  </si>
  <si>
    <t>Derailment of 1 freight wagon of train No. 67113</t>
  </si>
  <si>
    <t>Station: Hranice na Morave mesto</t>
  </si>
  <si>
    <t>Material damage (wagons tracks sleepers): CZK 463 403.15"</t>
  </si>
  <si>
    <t>Wrong parameters of the track</t>
  </si>
  <si>
    <t>Infrastructure manager hadn't repaired track deficiency discovered by regular check</t>
  </si>
  <si>
    <t>FI-163</t>
  </si>
  <si>
    <t>Level crossing accident, 09-03-07, Särkisalmi, Parikkala - Savonlinna section of line. Sinkonen -level crossing unprotected. (Finland)</t>
  </si>
  <si>
    <t>Rail bus collided with a car. Persons in car were fatally injured.</t>
  </si>
  <si>
    <t>Särkisalmi, Parikkala - Savonlinna section of line. Sinkonen -level crossing unprotected.</t>
  </si>
  <si>
    <t>Obstruction clearing device and central buffer coupling of the rail bus were damaged. The car was wrecked.</t>
  </si>
  <si>
    <t>The accident was directly due to the failure of the car driver to look carefully enough both ways as the car approached the level crossing.</t>
  </si>
  <si>
    <t>Another factor that may have impacted on the accident lies in the possibility that the car driver became satisfied that the level crossing was empty as the car approached the crossing on Melkoniementie, running parallel with the tracks, which may have resulted in the driver failing to observe the tracks upon arriving at the crossing.</t>
  </si>
  <si>
    <t>UK-265</t>
  </si>
  <si>
    <t>Other, 17/03/2007, Tinsley Green Junction, near Gatwick Airport (United Kingdom)</t>
  </si>
  <si>
    <t>The RAIB is carrying out an investigation into a near miss that occurred at Tinsley Green Junction, near Gatwick Airport, on 17 March 2007. _x000D_
At 09:33 hrs the driver of train 1M20, the 08:55 Brighton to Watford Junction, reported that a track worker had jumped clear of his train with only seconds to spare.  The incident had occurred on a set of points at Tinsley Green Junction, 1.5 km south of Gatwick Airport, as the train was being routed over a series of crossovers from the up fast line towards the up loop.  The track worker was undertaking weld repairs to the points. The train struck some equipment that had been left in situ by the track worker as he jumped clear of the approaching train.</t>
  </si>
  <si>
    <t>Tinsley Green Junction, near Gatwick Airport</t>
  </si>
  <si>
    <t>Southern Railway</t>
  </si>
  <si>
    <t>The incident occurred because a member of track maintenance staff was late moving clear from the path of train 1M20.  This happened because the system of work implemented by the Controller of Site Safety (COSS) did not take into account the possibility of trains being routed from the up fast line towards the up platform loop via the crossover on which the team were working.</t>
  </si>
  <si>
    <t>Causal factors: The COSS had only limited experience of Red Zone working. In particular, he had only rarely been required to work Red Zone in proximity to a crossover (paragraph 165 and Recommendation 1). The system of work established did not involve staff moving to the position of safety when trains were approaching on the up fast line (paragraph 165). This arose because of a combination of the following factors: (a) It was normal practice in the welding team for reliance to be placed on the lookout observing the position of the points in order to determine if an approaching train was routed towards the site of work so reducing interruptions to the work being undertaken (paragraph 173 and Recommendation 3); (b)The COSS did not believe that trains would be routed over the 1732 crossover. This belief reflected a lack of local knowledge (paragraph 165 and Recommendations 4 &amp; 8); and (c) The COSS did not correctly identify the hazard nor put in place an acceptable system of work (paragraph 167 and Recommendations 2 &amp; 4). Possible causal factors: It is possible that the welder did not hear or register the verbal notification by the lookout that a train was approaching on the up fast line. In addition, the welder’s assistant was remote from the welder at the time of the incident and was therefore not available to give the customary touch warning (paragraph 171). It is also possible that had the ‘Record of Site Safety Arrangements and Briefing’ form included specific information about the crossover, the speed of train crossing movements and a warning about the associated hazards, the COSS would have been prompted to establish and brief an appropriate safe system of work (paragraph 163 and Recommendation 4). Contributory factors: The decision to undertake the repairs to the crossing nose of 1732A points in the Red Zone was reasonable given the circumstances that applied when the task was planned on Wednesday 14 March 2007. Nevertheless, this decision was a contributory factor. Underlying causes: 	The rule book and associated operating documents, such as the COSS handbook, are not explicit about the correct system of work when working beyond facing points (i.e. at a location such as Tinsley Green Junction). This lack of explicit instruction permits some track workers to implement unofficial systems of work based on checking the position of points, while other staff understand this to be forbidden (paragraphs 179 to 184 and Recommendation 3).</t>
  </si>
  <si>
    <t>ES-214</t>
  </si>
  <si>
    <t>Accident to persons caused by RS in motion, 18/03/2007, Kilometre point 615,644 between Andoaín and Hernani stations. Railway line from Madrid to Hendaya. (Spain)</t>
  </si>
  <si>
    <t>A man was hit by a long distance train as he was walking through the tracks.</t>
  </si>
  <si>
    <t>Kilometre point 615,644 between Andoaín and Hernani stations. Railway line from Madrid to Hendaya.</t>
  </si>
  <si>
    <t>UK-302</t>
  </si>
  <si>
    <t>Other, 18/03/2007, Seaton Station (United Kingdom)</t>
  </si>
  <si>
    <t>On 18 March 2007 at 12:55 hrs tram No 10 was approaching Seaton station on the Seaton Tramway, when it derailed at the points at the entry to the station. There were no casualties.</t>
  </si>
  <si>
    <t>Seaton Station</t>
  </si>
  <si>
    <t>Seaton Tramway</t>
  </si>
  <si>
    <t>The immediate cause of the derailment was the left hand switch of the points lying open, which may have been caused by the placing of an object between the switch and stock rail by persons unknown</t>
  </si>
  <si>
    <t>A contributory factor was the lack of visual indication to the driver of the switch position at the approach to Seaton station.  A contributory factor was the design of the weighted lever at the points, which provides the opportunity for unauthorised persons to open the switches and place a stone between the switch and stock rails.</t>
  </si>
  <si>
    <t>CZ-98</t>
  </si>
  <si>
    <t>Level crossing accident, 19/03/2007, Active level crossing with automatic barriers in km 451.420 between stations Vranany and Dolni Berkovice. (Czech Republic)</t>
  </si>
  <si>
    <t>Fast train No. 784 collided at level crossing with passenger car wich was left at the level crossing. Fast train derailed.</t>
  </si>
  <si>
    <t>Active level crossing with automatic barriers in km 451.420 between stations Vranany and Dolni Berkovice.</t>
  </si>
  <si>
    <t>Material damage (locomotive 4 carriages track sleepers passenger car): CZK 27 598 393.-"</t>
  </si>
  <si>
    <t>(a) the seriousness of the accident or incident; 
(c) its impact on railway safety on a Community level</t>
  </si>
  <si>
    <t>The car driver parked the car at the level crossing in order to obtain money for the destroyed car from an insurance company.</t>
  </si>
  <si>
    <t>FI-165</t>
  </si>
  <si>
    <t>Train derailment, 3/21/2007, Ylivieska, Oulu - Seinäjoki section of line. (Finland)</t>
  </si>
  <si>
    <t>On Wednesday, 21 March 2007, at 10:33 am, one empty wagon (for timber carrying) of the freight train en route from Oulu to Ylivieska was derailed at the northern turnout of the Ylivieska station, as the train was switching from main track to side track._x000D_
The top leaf of the spring pack of the derailed wagon had broken and fallen before the derailment. In addition, a wheel bearing was broken, a wheel flat occurred, and brake triangle support screws had fallen. The wagon wheels were damaged while running on ballast, and the bogie and under frame were damaged as the bogie collided with the under frame. Also damaged were the coupling and buffer equipment of the derailed wagon and the wagons connected to it. The derailed wagon broke the electric-motor switch drive of two turnouts. Rail traffic northbound from Ylivieska was blocked for three and a half hours, and  eastbound traffic for 24 hours. The total cost of the accident was 24,000 euros.</t>
  </si>
  <si>
    <t>Ylivieska, Oulu - Seinäjoki section of line.</t>
  </si>
  <si>
    <t>Boggie of the derailed wagon and the coupling equipment of two wagons were damaged. Two turnouts were badly damaged.</t>
  </si>
  <si>
    <t>The derailing occurred because the front-most wheelset did not steer at the turnout, on_x000D_
account of the missing spring pack, and therefore the bogie did not turn and tried to continue_x000D_
straight ahead.</t>
  </si>
  <si>
    <t>The spring pack had fallen because the uppermost leaf holding it together had broken._x000D_
This was probably caused by the wheel flat and leaf fatigue. Because of its structure, the_x000D_
spring pack can dismantle after the main leaf breaks, and the vibration caused by a_x000D_
wheel flat contributes to this.</t>
  </si>
  <si>
    <t>PT-242</t>
  </si>
  <si>
    <t>Level crossing accident, 21/03/2007, The accident ocurred in a level crossing located in a urban area (Portugal)</t>
  </si>
  <si>
    <t>A loaded heavy-truck was hit by the train when imobilized on a A-Class Level-Crossing  in North Line, causing four injured and conductor as well as restrictiosn to railway circulation</t>
  </si>
  <si>
    <t>The accident ocurred in a level crossing located in a urban area</t>
  </si>
  <si>
    <t>UK-303</t>
  </si>
  <si>
    <t>Level crossing accident, 25/03/2007, Leighton Buzzard, (Shenley Hill Road crossing), Bucks (United Kingdom)</t>
  </si>
  <si>
    <t>At 13:08 hrs on 25 March 2007 a train on the narrow gauge Leighton Buzzard Light Railway had just left Stonehenge Works station at the start of its journey to Pages Park station, Leighton Buzzard, when it collided with a car on Shenley Hill Road open level crossing. The emergency services attended the site, but there was no damage to the infrastructure of the railway, or to the train, and no-one was injured.  The car was damaged in the collision.</t>
  </si>
  <si>
    <t>Leighton Buzzard, (Shenley Hill Road crossing), Bucks</t>
  </si>
  <si>
    <t>Leighton Buzzard Light Railway</t>
  </si>
  <si>
    <t>The immediate cause of the accident was the motor vehicle driver not stopping at the give way sign immediately to the north of the level crossing.</t>
  </si>
  <si>
    <t>The motor vehicle driver did not stop before the level crossing because of: ? inability to see the train due to vegetation; ? the possible distraction of his attention by his passengers; ? his perception of the crossing in reference to the non-use of a flagman; and ? the presence of another road vehicle on his first view of the level crossing as he approached the level crossing on Shenley Hill Road. The viewing zones for the road vehicle driver do not comply with the requirements of RSPG, part 2E, Appendix B, which although not retrospective, represent good practice.</t>
  </si>
  <si>
    <t>PT-243</t>
  </si>
  <si>
    <t>Level crossing accident, 28/03/2007, Bad visibility froom the left side of the level crossing (house near the LC) (Portugal)</t>
  </si>
  <si>
    <t>Collision of train with light vehicle on A-Class level-crossing, on West Line causing death to the only passenger and restrictions to railway circulation. The automatic system of the level crossing was working. The vehicle exceed the clossed level crossing</t>
  </si>
  <si>
    <t>Bad visibility froom the left side of the level crossing (house near the LC)</t>
  </si>
  <si>
    <t>Pair of wheels derailed</t>
  </si>
  <si>
    <t>ES-230</t>
  </si>
  <si>
    <t>Level crossing accident, 30/03/2007, At kilometre point 4,465, level crossing type A. Railway from Valencia to Cuenca. (Spain)</t>
  </si>
  <si>
    <t>A car, with three passengers, is hit by a train when crossing the level crossing type A. One person died and the rest were injured.</t>
  </si>
  <si>
    <t>At kilometre point 4,465, level crossing type A. Railway from Valencia to Cuenca.</t>
  </si>
  <si>
    <t>AT-1100</t>
  </si>
  <si>
    <t>Train derailment, 04/04/2007, ÖBB-Strecke 20501 von Wels Hbf nach Staatsgrenze nächst Wernstein (Passau), zwischen Bf Taufkirchen a. d. Pram und Bf Schärding. // ÖBB-Line 20501 from station Wels Mainstation to boarder next Wernstein (Station Passau - DE), beetween station Taufkirchen (Austria)</t>
  </si>
  <si>
    <t>Am 4. April 2007 entgleiste zwischen Bf Taufkirchen an der Pram und Bf Schärding der Z 45902. Die durchgeführten Untersuchungen ergaben eine eindeutige Ursache (Heißläufer), Sicherheitsempfehlungen waren nicht erforderlich, deshalb wurde die Untersuchung ohne Untersuchungsbericht durch die UUB abgeschlossen. Auf Grund einer Anfrage durch die ERA wurde vom Leiter der UUB gemäß UUG, § 17 eine Wiederaufnahme der Untersuchung angeordnet. // On 04/04/2007 train 45902 derailed between station Taufkirchen an der Pram and station Schärding. The realised investigations showed a clear cause (hot axle box), safety recommendations were not required, so the investigation was finalized without an investigation report by the UUB. Following a question by the ERA, according UUG, § 17, the head of the UUB ordered  a reopening of the investigation.</t>
  </si>
  <si>
    <t>ÖBB-Strecke 20501 von Wels Hbf nach Staatsgrenze nächst Wernstein (Passau), zwischen Bf Taufkirchen a. d. Pram und Bf Schärding. // ÖBB-Line 20501 from station Wels Mainstation to boarder next Wernstein (Station Passau - DE), beetween station Taufkirchen</t>
  </si>
  <si>
    <t>ÖBB-Rail Cargo Austria AG</t>
  </si>
  <si>
    <t>Ca. 16 km Gleisanlagen die Weiche einer Anschlußbahn und sicherungstechnische Anlagen schwer beschädigt. Sechs entgleiste Wagen wurden schwer beschädigt. Schadenssumme ca. € 1 500 000- // Approximately 16 km of tracks the switch of the operator of pr"</t>
  </si>
  <si>
    <t>Hot box by broken steel rivets of brass cage of the axle bearing of the freight wagon. High ballast stiffness (track) caused broken riverts.</t>
  </si>
  <si>
    <t>ES-217</t>
  </si>
  <si>
    <t>Accident to persons caused by RS in motion, 04-04-07, El Caleyo station (Asturias). Railway from Gijón to León (130 Gijón-Venta de Baños railway line) (Spain)</t>
  </si>
  <si>
    <t>A person crossing through a board crossing is hit by the long distance train 10620.</t>
  </si>
  <si>
    <t>El Caleyo station (Asturias). Railway from Gijón to León (130 Gijón-Venta de Baños railway line)</t>
  </si>
  <si>
    <t>The accident arose from the impudence of the victim who did not notice the arrival of the long-distance train 10620.</t>
  </si>
  <si>
    <t>PT-244</t>
  </si>
  <si>
    <t>Level crossing accident, 04/04/2007, Location with good visibility. Level crossing located near a residential area (Portugal)</t>
  </si>
  <si>
    <t>A light vehicle was hit by the train at a 5.th category level-crossing, , South Line, causing serious injuries on 2 people travelling in the car, of which one deceded when arriving to the hospital of the city of Setúbal.The level crossing only has the road signals</t>
  </si>
  <si>
    <t>Location with good visibility. Level crossing located near a residential area</t>
  </si>
  <si>
    <t>ES-218</t>
  </si>
  <si>
    <t>Level crossing accident, 2007-04-05, La Garriga station, at a level crossing type C.Railway from Barcelona to Vic. (222 Barcelona.- Ripoll railway line) (Spain)</t>
  </si>
  <si>
    <t>A person, while passing a level crossing, is hit by the train which was coming into the station.</t>
  </si>
  <si>
    <t>La Garriga station, at a level crossing type C.Railway from Barcelona to Vic. (222 Barcelona.- Ripoll railway line)</t>
  </si>
  <si>
    <t>The victim crossed the level crossing while the barriers were lowered and the flashing lights and warning bell were working</t>
  </si>
  <si>
    <t>FR-312</t>
  </si>
  <si>
    <t>Trains collision with an obstacle, 05/04/2007, Paris, Gare de l'Est (France)</t>
  </si>
  <si>
    <t>Paris, Gare de l'Est is a cul de sac station. A regional passenger was finishing its trip in this station. It hits the buffer and derailed</t>
  </si>
  <si>
    <t>Paris, Gare de l'Est</t>
  </si>
  <si>
    <t>The buffer is destroyed and the first coach is slightly damaged.58 personns have been slightly injured."</t>
  </si>
  <si>
    <t>ES-219</t>
  </si>
  <si>
    <t>Accident to persons caused by RS in motion, 06/04/2007, Villalba station. Railway line from Madrid to Hendaya. (Spain)</t>
  </si>
  <si>
    <t>A person, once the train was starting its march, tried to get on to it, but he fell to the track instead, being knocked down by the train.</t>
  </si>
  <si>
    <t>Villalba station. Railway line from Madrid to Hendaya.</t>
  </si>
  <si>
    <t>ES-220</t>
  </si>
  <si>
    <t>Accident to persons caused by RS in motion, 4/13/2007, El Tejar halt (Madrid). Railway from Madrid to Pinar de las Rozas.100 Madrid-Hendaya railway line (Spain)</t>
  </si>
  <si>
    <t>A person is knocked down by a commuter train 17106.</t>
  </si>
  <si>
    <t>El Tejar halt (Madrid). Railway from Madrid to Pinar de las Rozas.100 Madrid-Hendaya railway line</t>
  </si>
  <si>
    <t>The victim, who was found with a ticket from another train, was on the track when commuter train 17106 passed by.</t>
  </si>
  <si>
    <t>EE-148</t>
  </si>
  <si>
    <t>Level crossing accident, 14/04/2007, Open line between Lelle and Rapla stations on the Hertu level crossing (km 58,163) (Estonia)</t>
  </si>
  <si>
    <t>Ministry of Economic Affairs and Communication</t>
  </si>
  <si>
    <t>Passenger train collided with a car BMW</t>
  </si>
  <si>
    <t>Estonia</t>
  </si>
  <si>
    <t>Open line between Lelle and Rapla stations on the Hertu level crossing (km 58,163)</t>
  </si>
  <si>
    <t>Edelaraudtee AS</t>
  </si>
  <si>
    <t>Edelaraudtee Infrastruktuuri AS</t>
  </si>
  <si>
    <t>The motorcar of diesel train was damaged. Its right front corner was crushed in. The boogie was damaged. The BMW car became unfit for use.</t>
  </si>
  <si>
    <t>UK-266</t>
  </si>
  <si>
    <t>Train derailment, 14/04/2007, Cromore, near Portrush, in Northern Ireland (United Kingdom)</t>
  </si>
  <si>
    <t>At approximately 01:00 hrs on 14 April 2007 an engineering train consisting of a locomotive and an ultrasonic rail examination wagon was returning from Portrush to Coleraine after completing its work programme for the night.  The crew of the train were in the front cab of the locomotive, and the operators of the ultrasonic system were in the rear cab.  As the train reached the area of the former Cromore Halt the ultrasonic operators observed that the wagon was reacting violently, and then derailed.  The train stopped after about 400 metres, and no-one was injured.</t>
  </si>
  <si>
    <t>Cromore, near Portrush, in Northern Ireland</t>
  </si>
  <si>
    <t>The wagon and its equipment were severely damaged and there was considerable track damage as well."</t>
  </si>
  <si>
    <t>The immediate cause of the accident was wheel unloading resulting from violent pitching oscillation caused by cyclic top level variations in the track.</t>
  </si>
  <si>
    <t>The following causal factors were identified: a. the excessive speed of the train, arising from errors in the Weekly Operating Notice  (paragraph 88, Recommendation 1);    b. the Approval to Operate Certificate for the Sperry vehicle was not circulated to appropriate people within NIR; (paragraph 92, Recommendation 2); c. the Special Operating Instruction covering the operation of the Sperry vehicle on NIR was not issued before the ultrasonic test runs of April 2007 began (paragraph 93, Recommendation 2).The following factors were considered to be contributory to the derailment: a. the condition of the track on the Portrush branch (paragraph 100); b. the staffing levels in the Compliance Department of NIR (paragraph 95); c. the suspension of the Sperry vehicle was stiff and undamped and therefore sensitive to small inputs from track irregularities (paragraph 98, Recommendation 3). The following factors contributed to the severity of the consequences of the derailment: a. the guard was not travelling in the rear cab of the locomotive (paragraph 106); b. the staff travelling in the rear cab were unaware of how to stop the train in an emergency, and were unable to communicate with the driver to attract his attention (paragraph 107, Recommendations 4,5).The underlying cause was the lack of systematic processes within NIR for the preparation and issue of the Weekly Operating Notice and Special Operating Instructions (paragraph 103, Recommendations 1,2).</t>
  </si>
  <si>
    <t>ES-246</t>
  </si>
  <si>
    <t>Level crossing accident, 25-04-07, At kilometre point 66,722, level crossing type C, in the vicinity of Valga (Pontevedra). 824 Redondela-Santiago de Compostela railway line (Spain)</t>
  </si>
  <si>
    <t>A car, with three passengers, is hit by a long distance train when it was crossing the level crossing. The three all died.</t>
  </si>
  <si>
    <t>At kilometre point 66,722, level crossing type C, in the vicinity of Valga (Pontevedra). 824 Redondela-Santiago de Compostela railway line</t>
  </si>
  <si>
    <t>RS: 40.899683rd party property: the car was completly destroyed"</t>
  </si>
  <si>
    <t>BE-160</t>
  </si>
  <si>
    <t>Trains collision, 26-04-07, Izegem (Belgium)</t>
  </si>
  <si>
    <t>Service Public Fédéral Mobilité et Transports-NIB</t>
  </si>
  <si>
    <t>An empty  passenger train has collided  in the backside of the pushing engine of an occupied passenger train which was leaving the railway station of Izegem.</t>
  </si>
  <si>
    <t>Belgium</t>
  </si>
  <si>
    <t>Izegem</t>
  </si>
  <si>
    <t>Société nationale des Chemins de fer belges</t>
  </si>
  <si>
    <t>Infrabel</t>
  </si>
  <si>
    <t>The total cost of the damages ( infrastucture and rolling stock ) is previously estimated on 6 million  EUR .One steering  coach is complete lost  the engine of the updrived train has serious damages and ten coaches have more or less damages.  Also the r"</t>
  </si>
  <si>
    <t>Na het aanvaarden van de studie werd op geen enkel moment, noch tijdens de uitvoering van de werken , noch bij het tussentijds functioneel testen van de nieuwe inrichtingen, noch gedurende de proeven tijdens de indienststelling van het project opgemerkt dat de continuïteit van de treindetectie op de spoorlijn niet langer verzekerd was. 
After accepting the study at any time, either during the works or in the interim functional testing of the new establishments, or noted during the tests during the placing into service of project that the continuity of the train detection on the railway was no longer assured.</t>
  </si>
  <si>
    <t>UK-259</t>
  </si>
  <si>
    <t>Accident to persons caused by RS in motion, 29/04/2007, Ruscombe Junction, between Maidenhead and Reading (United Kingdom)</t>
  </si>
  <si>
    <t>At 11:26 hrs on 29 April 2007 a First Great Western train, the 10:45 hrs empty coaching stock from London Old Oak Common to Reading, was signalled to cross from the down main line to the down relief line at Ruscombe.  Welding work was being carried out on the up main section of the crossover under Red Zone1 procedures, and the train struck and killed a welder.  The line was closed for several hours after the accident._x000D_
_x000D_
Initial investigations indicate that the operation of the railway infrastructure, did not contribute to the accident.</t>
  </si>
  <si>
    <t>Ruscombe Junction, between Maidenhead and Reading</t>
  </si>
  <si>
    <t>The accident occurred because the welding team did not move to a position of safety and the welder was struck by train 5Z71</t>
  </si>
  <si>
    <t>Causal factors are :1 The welder continued to arc weld repair the crossing nose even though it is likely that he had been warned both by ‘touch’ and verbally of the approaching train. Contributory factors are: 1 The relationships and interactions within the team affecting safety decision. 2 The train driver was concentrating on signal R6 and his speedometer as his train approached the junction. 3 The train driver was late perceiving the potential hazard of the staff not moving clear and did not repeatedly sound the horn as he approached the track workers. Possible contributory factors are:1 It is possible that the welder had assumed that the approaching train was not routed towards his site of work. 2 The local practice was that welding repairs should be carried out in the Red Zone. 3 Safety tours undertaken at Network Rail’s Reading depot by management and supervisory staff were both infrequent and unrecorded before the accident. Underlying causes:1The Rule Book and associated operating documents, such as the COSS handbook, are not explicit about the correct system of work when working beyond facing points.</t>
  </si>
  <si>
    <t>ES-231</t>
  </si>
  <si>
    <t>Accident to persons caused by RS in motion, 4/30/2007, Tocón Montefrío station (Granada). Board crossing between platforms, kilometre point 88+612; 426 Granada - Fuente Piedra railway line Railway from Granada to Bobadilla. (Spain)</t>
  </si>
  <si>
    <t>A person riding a bycicle is hit by a train when crossing the station´s board crossing.</t>
  </si>
  <si>
    <t>Tocón Montefrío station (Granada). Board crossing between platforms, kilometre point 88+612; 426 Granada - Fuente Piedra railway line Railway from Granada to Bobadilla.</t>
  </si>
  <si>
    <t>The victim used the board crossing improperly,  instead of using the two passages that existed in the station for this purpouse.</t>
  </si>
  <si>
    <t>ES-232</t>
  </si>
  <si>
    <t>Accident to persons caused by RS in motion, 30/04/2007, San Sebastián station. Railway line from Madrid to Hendaya. (Spain)</t>
  </si>
  <si>
    <t>A person was crossing the board crossing when was hit by a train which was approaching from the other side.</t>
  </si>
  <si>
    <t>San Sebastián station. Railway line from Madrid to Hendaya.</t>
  </si>
  <si>
    <t>UK-304</t>
  </si>
  <si>
    <t>Trains collision, 05/05/2007, Pickering Station on the North Yorkshire Moors Railway (United Kingdom)</t>
  </si>
  <si>
    <t>On 5 May 2007 at approximately 15:24 hrs a former British Railways (BR) steam locomotive, number 62005, in the process of running round its train at Pickering station on the North Yorkshire Moors Railway, entered the platform line from which it had come, and collided with the carriages it had left there.</t>
  </si>
  <si>
    <t>Pickering Station on the North Yorkshire Moors Railway</t>
  </si>
  <si>
    <t>The immediate cause of the collision was that the driver did not change the points before re-joining the locomotive. He was of the mindset that he had done this, and he had seen that the ground signal was clear.  He told the fireman, who was driving, that he could proceed.</t>
  </si>
  <si>
    <t>A possible causal factor is that the driver felt under time pressure to run the loco round and prepare his train for departure. A contributory factor was that none of the crew could see the lie of the points from the footplate due to their proximity to the locomotive and the size of its boiler. A further contributory factor was that the ground signal only indicated that the locomotive could enter the station, but did not indicate the lie of the points. There is no evidence that the condition of the locomotive, the carriages, the track, or the competence of any of the crew members contributed to the collision. Either a person standing by the points, observing their lie, and calling the train forward or a suitably designed hand worked lever mechanically linked to an indicator (Figure 8) would have adequately mitigated the risk identified at Pickering from this incident. Releasing the locomotive brakes to allow it to move away from the train after the collision without ensuring that those involved were aware of the imminent movement caused further distress to the passengers and in addition disturbed evidence of the accident without permission from the RAIB.</t>
  </si>
  <si>
    <t>ES-233</t>
  </si>
  <si>
    <t>Accident to persons caused by RS in motion, 06/05/2007, At the kilometre point 632,800, in the vicinity of Vilanova i la Geltrú. Railway line from Madrid to Barcelona. (Spain)</t>
  </si>
  <si>
    <t>A person was hit by a train when walking alongside the track.</t>
  </si>
  <si>
    <t>At the kilometre point 632,800, in the vicinity of Vilanova i la Geltrú. Railway line from Madrid to Barcelona.</t>
  </si>
  <si>
    <t>FI-164</t>
  </si>
  <si>
    <t>Level crossing accident, 06-05-07, Kiuruvesi, Ylivieskas - Iisalmi section of line. (Finland)</t>
  </si>
  <si>
    <t>A fatal level crossing accident took place in Kiuruvesi, at the unprotected level crossing of Pohja. This accident occurred when a car travelling along the Pohja private road drove without stopping under a rail bus running from Ylivieska to Iisalmi. There were two passengers in the car; the driver perished and the front seat passenger was seriously injured. The total cost of the accident amounted to €50,000.</t>
  </si>
  <si>
    <t>Kiuruvesi, Ylivieskas - Iisalmi section of line.</t>
  </si>
  <si>
    <t>Obstruction clearing device and central buffer coupling of the rail bus were damaged. The car was wrecked. The wooden covering on the level crossing sustained minor damage.</t>
  </si>
  <si>
    <t>The accident was caused by the car driver’s failure to notice the train.</t>
  </si>
  <si>
    <t>The level crossing at which the accident occurred does not fulfil the determined level crossing regulations in regard to visibility and the crossing angle. Observation was hampered by the characteristics of the level crossing and, possibly, the driver’s health. Familiarity with the level crossing probably diminished the driver’s attentiveness.</t>
  </si>
  <si>
    <t>CZ-273</t>
  </si>
  <si>
    <t>Level crossing accident, 07/05/2007, Level crossing near Jablunka station (km 33.243) (Czech Republic)</t>
  </si>
  <si>
    <t>A truck got into a fire and stopped at a level crossing. Railway operator was not able to stop railway traffic and switch off the power, so a solo running locomotive collided with the burning truck.</t>
  </si>
  <si>
    <t>Level crossing near Jablunka station (km 33.243)</t>
  </si>
  <si>
    <t>Damaged engine: CZK 181 403.- (Other damage was caused by the truck fire before the level crossing accident occured.)"</t>
  </si>
  <si>
    <t>ES-234</t>
  </si>
  <si>
    <t>Level crossing accident, 5/7/2007, Algemesí station (Valencia), at level crossing type C. Kilometre point 81+454. 300 Madrid-Valencia railway line. Railway from Madrid to Valencia (Spain)</t>
  </si>
  <si>
    <t>A child misused the level crossing being hit by the long distance train.He runned through the LC while the barriers were down.</t>
  </si>
  <si>
    <t>Algemesí station (Valencia), at level crossing type C. Kilometre point 81+454. 300 Madrid-Valencia railway line. Railway from Madrid to Valencia</t>
  </si>
  <si>
    <t>UK-267</t>
  </si>
  <si>
    <t>Train derailment, 10/05/2007, Southern approach to King Edward's bridge, Newcastle upon Tyne (United Kingdom)</t>
  </si>
  <si>
    <t>At 06:38 hrs on 10 May 2007 train 6S22, consisting of a locomotive and type HAA coal wagons, and en route from Tyne Yard to Thornton, was crossing from the down main to the down slow lines to the south of King Edward’s Bridge, which carries the East Coast Main Line over the River Tyne and into Newcastle station.  The signaller noted that track circuits were failing behind the train and stopped it at a signal immediately outside the station.  Subsequent examination of the train revealed that four wagons had derailed, two of which had re-railed after coming off the track.  There was considerable damage to the track and signalling, and all southern approaches to Newcastle from the East Coast Main Line, and from Carlisle, were closed for seven hours, with considerable restrictions of service for some days thereafter.  No-one was injured in the derailment.</t>
  </si>
  <si>
    <t>Southern approach to King Edward's bridge, Newcastle upon Tyne</t>
  </si>
  <si>
    <t>Considerable damage to the track and signalling.</t>
  </si>
  <si>
    <t>The immediate cause of the accident was that the left leading wheel flange of wagon 352421 rode over the left-hand rail immediately following the insulated joint between 2375A and 2375B points (paragraph 121).</t>
  </si>
  <si>
    <t>Causal factors were:a) track twist existed within the crossover which equated to 1 in 164 (34 mm) over the wheelbase of the wagon; b) the wagon frame had a twist in excess of 30 mm prior to the derailment (paragraph 130); and c) compensatory packing was present above the right leading axle box which worsened the effective twist by 10 mm (paragraph 134). The contributory factors to the incident were:a) Network Rail was monitoring the crossover at a frequency which did not ensure that the geometry was maintained in a compliant state (paragraph 123);	b) the crossover design geometry was impracticably near to the maintenance limits (paragraph 126); c) BR/EWS have not monitored vehicles for frame twist since 1992 (paragraph 136); d) in this wagon fleet significant frame twist appears to develop during service running (paragraph 137); and e) Network Rail did not utilise data from Wheelchex to provide information which would have identified laterally out-of-balance vehicles (paragraph 138). The underlying cause was that BR did not transfer the requirement to check frame twist from the General Repair (GR) specification to the revised maintenance regime, because they probably did not consider that frame twist would develop during normal service operation (paragraph 140).</t>
  </si>
  <si>
    <t>ES-235</t>
  </si>
  <si>
    <t>Accident to persons caused by RS in motion, 5/12/2007, At the kilometre point 508+180 in the vicinity of Muriedas (Santander) 160 Santander - Palencia railway line. (Spain)</t>
  </si>
  <si>
    <t>A person crossing the rail at an unauthorised place is hit by a long distance train.</t>
  </si>
  <si>
    <t>At the kilometre point 508+180 in the vicinity of Muriedas (Santander) 160 Santander - Palencia railway line.</t>
  </si>
  <si>
    <t>The victim crossed through a faulty path</t>
  </si>
  <si>
    <t>PT-313</t>
  </si>
  <si>
    <t>Level crossing accident, 12/05/2007, Level crossing located in a isolated area with few vehicles crossing (Portugal)</t>
  </si>
  <si>
    <t>A motorcycle was hit by the train nº 6458 when crossing a D-Type Level Crossing located at Km 143,998 on Oeste  Line, causing death to driver of the motorcycle</t>
  </si>
  <si>
    <t>Level crossing located in a isolated area with few vehicles crossing</t>
  </si>
  <si>
    <t>Small damages in the rolling stock - bogie skirt and aerial</t>
  </si>
  <si>
    <t>UK-305</t>
  </si>
  <si>
    <t>Train derailment, 12/05/2007, Fisherground, Cumbria (United Kingdom)</t>
  </si>
  <si>
    <t>A passenger carriage at Fisherground, Cumbria, on the Ravenglass and Eskdale Railway derailed at 15:40 hrs on 12 May 2007. A bogie in carriage 131, the third carriage on the 15:30 hrs train from Dalegarth to Raveglass, derailed just south of Fisherground Halt.  The train was moving at between five and seven mph, and there were no injuries.  After discussion with the RAIB the train was removed from site and services recommenced later that evening.</t>
  </si>
  <si>
    <t>Fisherground, Cumbria</t>
  </si>
  <si>
    <t>The immediate cause of the derailment was flange climb of the leading right hand wheel of the trailing bogie on Maxi coach 131 as it unloaded whilst negotiating the left hand curve at Hollin How. The unloading resulted directly from the prior collapse of the suspension on the left hand side of the leading bogie as confirmed by tests (paragraph 35).</t>
  </si>
  <si>
    <t>A very low vertical wheel load in the presence of normal lateral curving forces would have induced the wheel flange to climb. Additionally the slight twist at the rail joint just before the POD (paragraph 27), would have contributed to the wheel unloading and explains why the bogie derailed at that particular location. The dry rail head conditions may also have contributed to the derailment. The reason that the suspension collapsed on the leading bogie was that the left hand compensating bar fell off, probably because it had not been fitted correctly when the bogie was reassembled on 26 April 2007. Testing of the coaches (paragraphs 34 and 35) and previous service experience on the R&amp;ER confirm that correctly fitted compensating bars do not work themselves out of their recessed housing on the axleboxes. The incorrect assembly of the compensating bar was therefore a causal factor. Time pressure due to the high workload at the time may have been a contributory factor (paragraph 32). R&amp;ER did not, at the time of the derailment, have a requirement for an internal independent check to be carried out on each bogie following reassembly and the incorrect installation of the compensating bar went unnoticed. Additionally, once the bogie is installed under the vehicle, the top of the bogie is not visible. The lack of a correctly implemented independent check following bogie reassembly was therefore also a causal factor (Recommendation 1). More generally, independent checks by competent persons following safety critical work are not an intrinsic part of R&amp;ER maintenance procedures, which have, until recently, been based on custom and practice over more than 40 years of operation with the current owners. It is considered that this was an underlying factor in the derailment (Recommendation 2).</t>
  </si>
  <si>
    <t>ES-236</t>
  </si>
  <si>
    <t>Accident to persons caused by RS in motion, 5/16/2007, At kilometre point 656+750 in the vicinity of Castelldefels (Barcelona) Railway from Madrid to Barcelona (200 Madrid-Barcelona railway line) (Spain)</t>
  </si>
  <si>
    <t>A person walking alongside the rail is hit by a commuter train.</t>
  </si>
  <si>
    <t>At kilometre point 656+750 in the vicinity of Castelldefels (Barcelona) Railway from Madrid to Barcelona (200 Madrid-Barcelona railway line)</t>
  </si>
  <si>
    <t>Victim´s carelessness</t>
  </si>
  <si>
    <t>ES-237</t>
  </si>
  <si>
    <t>Accident to persons caused by RS in motion, 5/23/2007, At the kilometre point 30,000 between El Vendrell and L´Arboc stations. Railway from Barcelona to San Vicente Calders.(240 Barcelona - San Vicente de Calders railway line) (Spain)</t>
  </si>
  <si>
    <t>A person is knocked down by a locomotive when walking alongside the rail.</t>
  </si>
  <si>
    <t>At the kilometre point 30,000 between El Vendrell and L´Arboc stations. Railway from Barcelona to San Vicente Calders.(240 Barcelona - San Vicente de Calders railway line)</t>
  </si>
  <si>
    <t>ES-238</t>
  </si>
  <si>
    <t>Accident to persons caused by RS in motion, 5/25/2007, At the kilometre point 244,350 in the vicinity of Hospitalet de L´Infant (Tarragona). Railway from Barcelona to San Vicente Calders. (600 Valencia-San Vicente de Calders railway line) (Spain)</t>
  </si>
  <si>
    <t>A person walking alongside the rail is hit by a train.</t>
  </si>
  <si>
    <t>At the kilometre point 244,350 in the vicinity of Hospitalet de L´Infant (Tarragona). Railway from Barcelona to San Vicente Calders. (600 Valencia-San Vicente de Calders railway line)</t>
  </si>
  <si>
    <t>The victim was at unauthorised place</t>
  </si>
  <si>
    <t>FI-505</t>
  </si>
  <si>
    <t>Other, 27/05/2007, Tampere passenger railway yard (Finland)</t>
  </si>
  <si>
    <t>A shunting unit passed, without authorisation, a shunting signal that was in the stop position at the south end of the Tampere passenger railway yard. Simultaneously, a passenger train was arriving in Tampere, for which a route had been provided to the station. The train driver noticed that a shunting signal in front of the train had switched to ‘stop’ and was able to stop the train ahead of shunting unit wagons that were on the track.</t>
  </si>
  <si>
    <t>Tampere passenger railway yard</t>
  </si>
  <si>
    <t>PT-314</t>
  </si>
  <si>
    <t>Level crossing accident, 02/06/2007, Level crossing located in a area with a high number of vehicles crossing (Portugal)</t>
  </si>
  <si>
    <t>A light vehicle was hit by the train nº 4109 when crossing a A-Type Level Crossing, with the half barriers closed, located at Km 59,270 on Douro Line, causing death to driver of the vehicle.</t>
  </si>
  <si>
    <t>Level crossing located in a area with a high number of vehicles crossing</t>
  </si>
  <si>
    <t>Small damages in the locomotive</t>
  </si>
  <si>
    <t>FR-365</t>
  </si>
  <si>
    <t>Trains collision with an obstacle, 04/06/2007, Saint Herblain wich is a suburb of Nantes (44) (France)</t>
  </si>
  <si>
    <t>A car passes at red a signal and the tramways has not stopped in times</t>
  </si>
  <si>
    <t>Saint Herblain wich is a suburb of Nantes (44)</t>
  </si>
  <si>
    <t>SEMITAN</t>
  </si>
  <si>
    <t>A cateneray post.Nose of the tram.The car"</t>
  </si>
  <si>
    <t>ES-285</t>
  </si>
  <si>
    <t>Accident to persons caused by RS in motion, 6/7/2007, Railway line from Valencia to S.V. Calders. (600 Valencia -San Vicente de Calders railway lien) At the kilometre point 61,700 near Villareal station (Castellón) (Spain)</t>
  </si>
  <si>
    <t>A person who was walking alongside the track is hit by a long distance train.</t>
  </si>
  <si>
    <t>Railway line from Valencia to S.V. Calders. (600 Valencia -San Vicente de Calders railway lien) At the kilometre point 61,700 near Villareal station (Castellón)</t>
  </si>
  <si>
    <t>UK-306</t>
  </si>
  <si>
    <t>Other, 10/06/2007, Camden Town, London Underground's Northern line. (United Kingdom)</t>
  </si>
  <si>
    <t>At approx 17:35 hrs a northbound Northern Line train was incorrectly signalled into the High Barnet platform at Camden Town when it was scheduled to go to Edgware.  To minimise passenger delay the following High Barnet train was signalled into the Edgware platform, and arrangements were made to exchange passengers and crews between the two trains.  When the train in the High Barnet platform was ready to depart it set off in a southerly direction for a short distance; the driver saw the lights of the next northbound train, which was standing at a signal, and stopped the train.  Arrangements were made to return the train to Camden Town station.</t>
  </si>
  <si>
    <t>Camden Town, London Underground's Northern line.</t>
  </si>
  <si>
    <t>The immediate cause of the incident was that the operator of train 042 entered the incorrect cab when joining the train and drove the train in the wrong direction from Camden Town station</t>
  </si>
  <si>
    <t>The causal factor was that the train operator did not carry out the correct procedure for starting a train from a station. Contributory factors were   a. the service operator did not know that a defect investigation into the train regulation equipment was in hand and placed the system in an inappropriate mode leading to the inappropriate routing of train 005.   b.the train operator was not familiar with changing trains at Camden Town.  c.	none of the methods of preventing the train being moved in the wrong direction, neither through the presence of an item of equipment or the use of a specific procedure indicated in this report, nor an independent check that the train operator had entered the correct cab, were in place.           d.	the CCTV image of the green repeater signal confirmed the train operator’s belief that it was safe to proceed.   e.the train operator did not observe and respond to the stop board .</t>
  </si>
  <si>
    <t>ES-286</t>
  </si>
  <si>
    <t>Accident to persons caused by RS in motion, 6/13/2007, Railway line from Valencia to S.V. Calders. (600 Valencia - San Vicente de Calders railway line) Kilometre point 93,250 between Reus and Vilaseca stations. (Spain)</t>
  </si>
  <si>
    <t>A person is knocked down by a freight train when walking alongside the rail.</t>
  </si>
  <si>
    <t>Railway line from Valencia to S.V. Calders. (600 Valencia - San Vicente de Calders railway line) Kilometre point 93,250 between Reus and Vilaseca stations.</t>
  </si>
  <si>
    <t>PT-318</t>
  </si>
  <si>
    <t>Accident to persons caused by RS in motion, 13/06/2007, Between
Coimbra-B and Souselas  (Portugal)</t>
  </si>
  <si>
    <t>During the works in the line with the interdiction of one track it was mortally hit a worker of the IM (REFER E.P.)</t>
  </si>
  <si>
    <t xml:space="preserve">between
Coimbra-B and Souselas </t>
  </si>
  <si>
    <t>UK-307</t>
  </si>
  <si>
    <t>Other, 15/06/2007, Wellesley Road on Croydon Tram system (United Kingdom)</t>
  </si>
  <si>
    <t>At 15:50 hrs on 15 June 2007, as a tram was preparing to leave the stop at Wellesley Road Croydon, a young man approached the tram as its doors were closing and placed his hand in the close vicinity of the door.  The tram door closed, and the tram started to move.  The young man walked and then ran alongside the tram for about 15 metres before pulling his arm clear, and it appears that he may have had his hand trapped in the closing door for some seconds.  The young man pulled clear of the tram, and left the stop.  A passenger who saw the incident happening operated the tram alarm so that the tram stopped before it had reached the end of the stop platform.</t>
  </si>
  <si>
    <t>Wellesley Road on Croydon Tram system</t>
  </si>
  <si>
    <t>First Tram Operations</t>
  </si>
  <si>
    <t>Croydon Tramlink</t>
  </si>
  <si>
    <t>The immediate cause of the accident was that neither the tram driver nor the instructor reacted to the presence of a person with his hand on or between the doors of the tram, as it moved off (paragraph 36).</t>
  </si>
  <si>
    <t>The person had placed his hand on or between the doors during the door closing sequence, and did not remove it as the doors came together (paragraph 40). The perception of a split of responsibility between the driver and the instructor may have contributed to the lack of a final check on the platform before the tram moved off (paragraph 39).</t>
  </si>
  <si>
    <t>HU-256</t>
  </si>
  <si>
    <t>Level crossing accident, 18/06/2007, Line 80 between Rákos and Pécel, at LC AS 182 (Hungary)</t>
  </si>
  <si>
    <t>Regional passanger train 3217 collided with a lorry crossing at signal danger. It was transporting water to a road construction. The driver of the lorry died. One passanger of the train injured slightly. The LC users were warned by visible (light) device. It was a LC with road side automatic warning.</t>
  </si>
  <si>
    <t>Line 80 between Rákos and Pécel, at LC AS 182</t>
  </si>
  <si>
    <t>Infrastructure: the warning system of the LC damaged. Rolling stock: the driving carrige damaged seriously"</t>
  </si>
  <si>
    <t>BE-362</t>
  </si>
  <si>
    <t>Trains collision, 19/06/2007, Genk Goederen (Belgium)</t>
  </si>
  <si>
    <t>During a shunting operation four wagons for goods were pushed to/on atrack which was occupied by other wagons._x000D_
The aim was to couple all these wagons which had the same destination._x000D_
The shunter stood on the step of the first wagon of the pushed train and the contact with the train driver was realized by radio._x000D_
On the moment that the driver had to brake, the radio link was lost and the driver continue to push instead of brake._x000D_
A collision happened at a high level of speed._x000D_
Three wagons derailled and the shunter was trapped in the collision. He died in the accident;</t>
  </si>
  <si>
    <t>Genk Goederen</t>
  </si>
  <si>
    <t>The damage to the infrastructure was to neglect;Three wagons were damaged more or les. The estimated costs are 70.000 EUR."</t>
  </si>
  <si>
    <t>A failure in the communication is possible, but couldn't be proved. Anyway if the operating rules had be respected, an accident was avoided.</t>
  </si>
  <si>
    <t>CZ-258</t>
  </si>
  <si>
    <t>Trains collision, 20/06/2007, Station: Cerny Kriz (Czech Republic)</t>
  </si>
  <si>
    <t>Passenger train No. 8170 (occupied) was shunting backwards following departuring passenger train No. 18544. 18544 suddenly stopped and shunting 8170 crashed into 18544's rear carriage.</t>
  </si>
  <si>
    <t>Station: Cerny Kriz</t>
  </si>
  <si>
    <t>Regional passenger train; 
Shunting operation</t>
  </si>
  <si>
    <t>Damaged rear part of two passenger carriages especially windows. Cost: CZK 24585.-"</t>
  </si>
  <si>
    <t>CZ-270</t>
  </si>
  <si>
    <t>Other, 21/06/2007, Chotoviny station (Czech Republic)</t>
  </si>
  <si>
    <t>Fast train No. 641 entered track occupied by another fast train (No. 644) waiting by a platform. Thanks to emergency braking there was no collision.</t>
  </si>
  <si>
    <t>Chotoviny station</t>
  </si>
  <si>
    <t>UK-260</t>
  </si>
  <si>
    <t>Train derailment, 22/06/2007, Near Ely, Cambridgeshire (United Kingdom)</t>
  </si>
  <si>
    <t>The RAIB is carrying out an investigation into a derailment near Ely, Cambridgeshire on 22 June 2007. _x000D_
At 02:05 hrs on 22 June 2007 the 21:19 hrs Mountsorrel – Chelmsford freight train, formed of a locomotive and 37 wagons, derailed in the vicinity of a bridge over the River Ouse between Ely Dock Junction and Soham.  Eleven wagons in the centre of the train were derailed.  Reports from the site indicate considerable damage to the track and bridge, and it is expected that the line between Ely and Bury St Edmunds will be closed for some time._x000D_
_x000D_
There were no casualties.</t>
  </si>
  <si>
    <t>Near Ely, Cambridgeshire</t>
  </si>
  <si>
    <t>Eleven wagons in centre of train derailed. Reports from site indicate considerable damage to track and bridge</t>
  </si>
  <si>
    <t>The immediate cause of the incident was the right hand leading wheel flange on wagon REDA 16002 running over the rail head in the vicinity of Hawks user worked crossing.  This was caused by the leading right hand suspension sticking, or fictionally locking up, with the result that only the tip of the wheel flange was in contact with the rail.  As the wagon rounded the curve only very small guiding forces acted on the flange, which were insufficient to keep the vehicle on the track.  The low vertical load from the wheel resulted in very light marks on the rail head as the wheel flange ran across it.</t>
  </si>
  <si>
    <t>The frictional characteristics of the GFA suspension caused irregular wear 	and a misalignment to take place between the friction liners and lateral guides 	of the axle pedestal and the suspension saddle.  This generated a frictional lock-up of the right leading suspension (paragraphs 313 to 324, Recommendations 2 and 4). *  The frame had a twist of approximately 20 mm (beyond the 6 mm limit) before 	the derailment; and wrongly placed compensatory packing was present above 	the leading left and trailing right axle boxes creating an effective twist of 40 mm, significantly greater than the 6 mm prescribed limit for twist.  The 	resultant twist worsened the effect of the diagonal wheel load imbalance (paragraph 312, Recommendation 2,5 and 7).   *A track twist of 1 in 222 existed immediately before the point of derailment.  This      		is outside the maintenance limits but within intervention limits but not so severe 	as to require attention within 14 days (paragraph 279, Recommendations 9 and 10).  *  Tamping that had been intended for the week before the derailment did not take place (paragraph 298, no Recommendation)   *  English Welsh &amp; Scottish Railway Wabtec, Lafarge and Network Rail did 	not identify frame twist features and a lack of corrective maintenance during an 			investigation into a previous derailment involving the wagons that were subsequently involved in the Ely incident (paragraphs 341 to 346, Recommendations 7 and 14).  *The underlying causes were:Network Rail and the Freight operators did not recognise the ability of the 			Wheelchex system to be capable of preventative or reactive data processing in identifying wagon deficiencies relating to diagonally imbalanced wheel loads (paragraph 307, Recommendation 1); Since 1992 British Rail (BR) , English Welsh &amp; Scottish Railway and later other companies within the Freight Industry had not regularly monitored vehicles for frame twist (paragraph 235), Recommendation 2 &amp; 5); Improvement options from a research report relating to the effects of 			contamination on the pedestal suspension assemblies were not published or implemented within the Private Wagon Registration Agreement (paragraph 351, Recommendation 4); and *The omission of a mandatory requirement to complete a measured frame twist check within PPM and BR 11888 (paragraph 347, Recommendation 8).</t>
  </si>
  <si>
    <t>EE-271</t>
  </si>
  <si>
    <t>Level crossing accident, 24/06/2007, Open line between Kiisa and Liiva stations on the Männiku level-crossing (km 14,599) (Estonia)</t>
  </si>
  <si>
    <t>Passenger train collided with a car Alfa Romeo</t>
  </si>
  <si>
    <t>Open line between Kiisa and Liiva stations on the Männiku level-crossing (km 14,599)</t>
  </si>
  <si>
    <t>The diesel train was damaged. The motorcar snowplough welds were sheared and the air duct of brake line was wrecked. The front part of the motorcar frame was damaged. The car Alfa Romeo was seriously deformed and had become unfit use.</t>
  </si>
  <si>
    <t>The inattentiveness of the driver as the user of the level crossing, at the result of which the driver had driven up to the train.</t>
  </si>
  <si>
    <t>ES-287</t>
  </si>
  <si>
    <t>Accident to persons caused by RS in motion, 6/24/2007, Railway line from Valencia to S.V. Calders.(600 Valencia-San Vicente de Calders railway line) Vinaroz station (Valencia), kilometre point 146+805 (Spain)</t>
  </si>
  <si>
    <t>A person who crossed the tracks at unauthorised place is hit by a long distance train Euromed 1501.</t>
  </si>
  <si>
    <t>Railway line from Valencia to S.V. Calders.(600 Valencia-San Vicente de Calders railway line) Vinaroz station (Valencia), kilometre point 146+805</t>
  </si>
  <si>
    <t>The victim crossed at unauthorised place instead of using the existing underpass</t>
  </si>
  <si>
    <t>IE-268</t>
  </si>
  <si>
    <t>Trains collision with an obstacle, 28/06/2007, Agricultural field level crossing at approximarly 39.5 milepost in Silvermines area on Ballybrophy-Limerick single track regional line. (Ireland)</t>
  </si>
  <si>
    <t>Railway Safety Commission</t>
  </si>
  <si>
    <t>2 car class 2700 DMU operating 18.55 hours service from Ballybrohpy to Limerick struck a tractor and unladen silage trailer driven by an agricultural contractor at a field level crossing. The tractor and trailer divided, one remaining each side of the track. The complete train passed though the level crossing before coming to a stand. The train did not derail but had it struck either the tractor or the trailer head on, or had the trailer been laden, it is more likely that it would have done so. There were 12 passengers on the train at the time.</t>
  </si>
  <si>
    <t>Ireland</t>
  </si>
  <si>
    <t>Agricultural field level crossing at approximarly 39.5 milepost in Silvermines area on Ballybrophy-Limerick single track regional line.</t>
  </si>
  <si>
    <t>Irish Rail (Iarnród Éireann)</t>
  </si>
  <si>
    <t>Bodywork of both carriages damaged not yet clear is substantive bodyshell damage has occurred e.g. distortion. One set of doors badly damaged including internal panelling. Windows broken.   Tractor extensively damaged trailer less so."</t>
  </si>
  <si>
    <t>FI-361</t>
  </si>
  <si>
    <t>Train derailment, 7/3/2007, Äänekoski - Saarijärvi section of line (Finland)</t>
  </si>
  <si>
    <t>Eight wagons of a freight train carrying wood were derailed on 3 July 2007 at 4.01 p.m. Four of the wagons incurred heavy damage, and four minor damage. About 170 metres of track were damaged.</t>
  </si>
  <si>
    <t>Äänekoski - Saarijärvi section of line</t>
  </si>
  <si>
    <t>Nine raw timber carrying wagons derailed.</t>
  </si>
  <si>
    <t>The accident was caused by the poor condition of the track and the train’s excess speed, considering the condition of the track.</t>
  </si>
  <si>
    <t>Track support work had been completed at the derailment location, starting from the curve at 438+920 km, continuing to the transition curve and onwards to 439+860 km. The derailment occurred at 438+925 km. Track support work, and the small re-railing and sideways movement of the track that this work involved, had reduced the stability of the track._x000D_
The first of the freight wagons carrying pinewood, which was the 16th wagon of the train, was derailed. Researches show that pinewood is heavier than spruce. As the wagon approached what was possibly the weakest point of the track, the outer rail of the track, which was on a curve, gave way. The distance between the rails grew to such an extent that the wagon’s wheels fell between the rails._x000D_
A visual inspection of the track indicated that it was in poor condition. There were dense groupings of sleepers in poor condition, nails used for rail fastening were removable even by hand, fastening nails of the rail-joints were bent or not in their right position as a result of rail creep, and the rail anchoring did not meet requirements._x000D_
The heat of the sun also contributed to the buckling of the outer rail. The sun had heated the rails for quite some time because it was a warm sunny day and the accident occurred at 4.01 p.m., with a temperature of +24.5 °C at the time of the accident. _x000D_
The 40 km/h speed limit at the point of derailment is too high, especially at curves, for wagons fully loaded with wood, in which case the axis weight can reach 16 20 tonnes.</t>
  </si>
  <si>
    <t>CZ-269</t>
  </si>
  <si>
    <t>Level crossing accident, 04/07/2007, Level crossing with warning lights; km 56.245 between Veseli nad Luznici and Sobeslav stations (Czech Republic)</t>
  </si>
  <si>
    <t>Fast train crashed into a lorry passing the level crossing; warning lights were on.</t>
  </si>
  <si>
    <t>Level crossing with warning lights; km 56.245 between Veseli nad Luznici and Sobeslav stations</t>
  </si>
  <si>
    <t>Damaged locomotive damaged signalling device and the lorry. Total cost: CZK 2 491 265.40"</t>
  </si>
  <si>
    <t>UK-308</t>
  </si>
  <si>
    <t>Trains collision with an obstacle, 05/07/2007, Mile End on the Central Line of London Underground (United Kingdom)</t>
  </si>
  <si>
    <t>Shortly after 09:00 hrs on the morning of 5 July 2007 a westbound Central Line train in the tunnel between Mile End and Bethnal Green stations struck an obstruction. Five axles of the train derailed._x000D_
_x000D_
Several hundred passengers were evacuated from the train.  The RAIB understands that a small number of minor injuries occurred.  Most of the injuries occurred during the evacuation of the passengers along the tunnel.</t>
  </si>
  <si>
    <t>Mile End on the Central Line of London Underground</t>
  </si>
  <si>
    <t>Metronet</t>
  </si>
  <si>
    <t>The train track and signalling equipment all suffered damage."</t>
  </si>
  <si>
    <t>The immediate cause of the accident was train 117 hitting a roll of fire-resistant blanket that was laying across the right-hand rail after it had been blown out of the cross passage situated between the eastbound and westbound lines west of Mile End station (paragraph 101).</t>
  </si>
  <si>
    <t>Causal factors were a. The incomplete training and supporting documentation provided to SPCs in relation to 	the storage of common materials in cross passages (paragraph 119, Recommendation 1). b. The decision that full bags of Tecroc should be treated as a fire risk (paragraph 121, Recommendations 2 and 3). c. The lack of guidance on the use of fire-resistant blankets and the lack of an effective means to cut it (paragraph 122, Recommendations 4). d. The lack of awareness about the possibility that cross passage wind could cause a roll of fire-resistant blanket to unroll and move its bulk longitudinally down a cross passage (the sail effect) (paragraph 125, Recommendation 5). The following factors were considered to be contributory; a. possibly, the late change in the work being undertaken (paragraph 126); b. the need to store materials in the cross passages (paragraphs 127); c. the presence of wind at high velocities in cross passages and running tunnels (paragraph 128); and d. the staff awareness about managing fire risks in relation to other operational risks (paragraph 129). The underlying cause was the lack of a comprehensive risk analysis being performed to support the use of fire-resistant blankets when first introduced and subsequently (paragraph 130, Recommendation 2 and 3).</t>
  </si>
  <si>
    <t>DK-566</t>
  </si>
  <si>
    <t>Spad, 08/07/2007, Home signal from "left" track. Åmarken (Denmark)</t>
  </si>
  <si>
    <t>Only single track on a double track line was in use. Train no 15334 used as planned the single track (left track) in the "wrong" direction. When it reached at the signal at Åmarken station the signal was passed while showing "stop". At Åmarken station the next train for the opposite direction was waiting. The switches was moving and thus at the latest moment led 15334 away from the waiting train and a potential collision was avoided.</t>
  </si>
  <si>
    <t>Home signal from "left" track. Åmarken</t>
  </si>
  <si>
    <t>ES-288</t>
  </si>
  <si>
    <t>Accident to persons caused by RS in motion, 7/8/2007, 804 Betanzos Infesta-Ferrol railway line. At kilometre point 37,600 between Neda and Ferrol stations (La Coruña) (Spain)</t>
  </si>
  <si>
    <t>A man who was phising at a bridge near the rail is hit by a regional train.</t>
  </si>
  <si>
    <t>804 Betanzos Infesta-Ferrol railway line. At kilometre point 37,600 between Neda and Ferrol stations (La Coruña)</t>
  </si>
  <si>
    <t>ES-289</t>
  </si>
  <si>
    <t>Accident to persons caused by RS in motion, 7/8/2007, Railway line from Barcelona to Massanet.(276 Maçanet-Massanes - Barcelona-Sagrera railway line) Arenys de Mar station(Barcelona), at kilometre point 37,325. (Spain)</t>
  </si>
  <si>
    <t>A person is hit by a regional train when crossing the tracks at unauthorised place.</t>
  </si>
  <si>
    <t>Railway line from Barcelona to Massanet.(276 Maçanet-Massanes - Barcelona-Sagrera railway line) Arenys de Mar station(Barcelona), at kilometre point 37,325.</t>
  </si>
  <si>
    <t>The victim crossed at unauthorised place</t>
  </si>
  <si>
    <t>EE-291</t>
  </si>
  <si>
    <t>Level crossing accident, 10/07/2007, Open line between Jõhvi and Oru stations on the Toila level-crossing (km 271,461) (Estonia)</t>
  </si>
  <si>
    <t>Freight train collided with a lorry Scania</t>
  </si>
  <si>
    <t>Open line between Jõhvi and Oru stations on the Toila level-crossing (km 271,461)</t>
  </si>
  <si>
    <t>WGT</t>
  </si>
  <si>
    <t>AS Eesti Raudtee</t>
  </si>
  <si>
    <t>The damage to the railway infrastructure extended to 325 meters including two rail fractures damaged sleepers and clamps joining sleepers and rails. Railway traffic was discontinued for 20 hours and 49 minutes"</t>
  </si>
  <si>
    <t>Before starting to cross the level crossing the truck driver did not make sure whether there was a train approaching.</t>
  </si>
  <si>
    <t>CZ-272</t>
  </si>
  <si>
    <t>Trains collision, 14/07/2007, Station: Cercany (Czech Republic)</t>
  </si>
  <si>
    <t>Fast train No. 633 entered track occupied by an empty passenger train No. 9122 and both the trains collided.</t>
  </si>
  <si>
    <t>Station: Cercany</t>
  </si>
  <si>
    <t>Material damage: two engines and overhead wiring. Total cost: CZK 4 089 216.-</t>
  </si>
  <si>
    <t>FI-360</t>
  </si>
  <si>
    <t>Train derailment, 7/15/2007, Talviainen railway yard. (Finland)</t>
  </si>
  <si>
    <t>On Sunday 15 July 2007 at 6.11 p.m., one of the two locomotives of a freight train was derailed after passing a curved turnout in Talviainen station. The derailed locomotive incurred some damage.</t>
  </si>
  <si>
    <t>Talviainen railway yard.</t>
  </si>
  <si>
    <t>Track retainers broke off and the wheels of the derailed locomotive left marks on the sleepers. The axle counter sensor and cable were replaced.</t>
  </si>
  <si>
    <t>The derailment occurred because the track was bent out of shape and therefore hindered passage.</t>
  </si>
  <si>
    <t>Contributing to this was the fact that rail construction in the depot had involved deficiencies in planning and implementation. At no point during the construction project had the special features of the rail’s unusual geometry been taken into account. The geometry had been called into ques-tion during planning, but the matter had not been addressed when new plans were formulated. During planning, no observations had been made that there was insufficient space to even out the cant in the turnout.</t>
  </si>
  <si>
    <t>UK-322</t>
  </si>
  <si>
    <t>Other, 19/07/2007, Camden Road, near St Pancras, London (United Kingdom)</t>
  </si>
  <si>
    <t>At 22:40 hrs train 7M59, the 20:10 Angerstein Wharf to St Pancras freight train, came to a halt near Dock Junction, to the north of St Pancras, after the brakes applied.  The train, which consisted of a Class 66 locomotive and 28 stone wagons had become divided after the failure of a coupling.  The rear two wagons came to a halt in Camden Road Tunnel.  The train was hauled into sidings at St Pancras without the two uncoupled wagons.  The signaller realised that the track circuit was occupied, and the driver, that the two wagons were missing, but both wagons’ brakes leaked off and the wagons moved under gravity until coming to a rest in the Channel Tunnel Rail Link Maintenance siding at St Pancras.  The wagons were recovered and removed from site.  No-one was injured during the incident, and no damage was caused.</t>
  </si>
  <si>
    <t>Camden Road, near St Pancras, London</t>
  </si>
  <si>
    <t>The immediate cause of the incident was the division of the train between wagons MAR17704 and MAR17712 as the train started away on a down gradient after standing at signal WH204.  This was followed by the runaway of the two detached wagons because the brakes leaked off wagon MAR17712 and wagon MAR17725 had incorrectly set slack adjusters.</t>
  </si>
  <si>
    <t>1. the driver did not follow the rule book requirements concerning divided trains and assumed that vandals were responsible for the missing tail lamp and open brake pipe and main reservoir cocks   2. the condition of the brakes fitted to the two runaway wagons was such that the braking force was reduced and the brakes were able to leak off before the situation could be discovered and the wagons secured     3.   the screw coupling fitted to MAR17712 failed when train 7M59 started away from signal WH204   4the driver did not take the TOPS list with him when he went to examine the train following the automatic brake application on starting from signal WH204  5. the driver did not see the detached wagons standing in the darkness about 24 metres apart from the front portion of train 7M59 .      6. the signaller did not challenge the driver’s explanation of the cause of the brake application on starting from signal WH204 and did not consider the possibility train 7M59 had divided   7.  the competence management system applied to the signaller did not include the opportunity to be familiar with degraded working (such as by use of a simulator) 	8. EWS Maintenance Control did not prompt the driver to consider the possibility that the train had divided   9. the coupling material in the area where it failed was outside specification and harder than it should have been 10. the driver’s thinking was conditioned by a previous SPAD incident which occurred 	after the integrity of the braking system had been compromised   11. the driver’s thinking was influenced by the amount of graffiti in the area of Camden Road Tunnel indicating frequent trespass of individuals on to the railway   12.   deficient maintenance processes at the last VIBT carried out on the two runaway wagons   13. the JHA/HLA wagons were marshalled at the rear of the train rather than the front</t>
  </si>
  <si>
    <t>SE-337</t>
  </si>
  <si>
    <t>Fire in RS, 2007-07-20, Line: Skälebol-Kornsjö (Sweden)</t>
  </si>
  <si>
    <t>A fire occurred in a tampering machine during transport by its own engine from Trollhättan to Norway. The machine was completely burnt out. The machine was coupled together with two other maintenance machines. This was the second accident where a tampering machine caught fire under a self-propelled transport this summer. Both machines were manufactured by Plasser und Theurer AG. The actual machine in this investigation was of a larger and more expensive model. The total cost of loss for the machine in this case is about SEK 45 million. 
Den 20 juli 2007 kl. 11:10 inträffade en brand i en spårriktare på sträckan mellan Bäckefors och Ed. _x000D_
En fordonskombination bestående av arbetsmaskiner transporterades som en vagnuttagning för transport mellan Trollhättan och Kornsjö för att senare transporteras vidare till Norge._x000D_
Fordonskombinationen bestod av en plog, PLB 4080, en dynamisk spårstabilisator, DSS 4604, och en spårriktare SPR 3208B som var sammankopplade och hade varsin förare._x000D_
I ett uppförslut upptäcktes rök från spårriktaren fyra kilometer från Bäckefors. Vid Tingvalla ca två kilometer norr om Bäckefors station stannades vagnuttagningen och personal sprang till spårriktaren för att undersöka saken samtidigt som lågor slog ut från spårriktaren._x000D_
_x000D_
Spårriktaren hade vid tillfället en kvitteringslampa för larm indikerande. Felet var anmält men inte åtgärdat och fanns inte upptaget i maskinjournalen trots att felet funnits under flera år. Inget larm fanns på maskinen för detektering av brand._x000D_
_x000D_
Några veckor före händelsen hade ett spridarrör bytts på motorn. Bytet skedde i spårmiljö av maskinoperatör enligt Scanias instruktion förutom att muttern inte drogs med föreskrivet moment._x000D_
_x000D_
Det finns inget som förhindrar att den egna personalen på arbetsmaskinerna utför underhåll och reparationer på egen hand. Vidare finns inget uppföljningssystem där reparationer eller underhåll granskas eller gås igenom av maskinansvarig inom Banverket.</t>
  </si>
  <si>
    <t>Line: Skälebol-Kornsjö</t>
  </si>
  <si>
    <t>Banverket Produktion</t>
  </si>
  <si>
    <t>The tampering machine was almost completely destroyed. Minor damages on tracks and catenary.</t>
  </si>
  <si>
    <t>(a) the seriousness of the accident or incident; 
(b) it forms part of a series of accidents or incidents relevant to the system as a whole; 
(d) requests from infrastructure managers the safety authority or the Member State"</t>
  </si>
  <si>
    <t>The reason that the track machine SPR caught fire and was completely destroyed was that a distribution pipe to the engine was not properly installed and was hanging loose.Contributing cause was the nearby turbocharger which ran hot due that a cylinder did not work satisfactorily on the engine. The turbocharger functioned as a source of ignition and the things that were stored in the adjacent air space has functioned as a fuel supplement for fire. 
Orsaken till att spårriktaren SPR fattade eld och totalförstördes var att ett spridarrör till motorn inte var ordentligt monterat och satt löst._x000D_
_x000D_
Bidragande orsak var det närliggande turboaggregatet som gick varmt p.g.a. att en cylinder inte fungerade tillfredsställande på motorn. Turboaggregatet fungerade som antändningskälla och de saker som förvarades i den angränsade ventilationsutrymmet har fungerat som bränsletillskott för branden.</t>
  </si>
  <si>
    <t>Underlying causes are an electrical fault with constantly activated alarm that does not permit warning of elevated engine temperature, which in turn might have prevented the events. This fault has not been addressed by the reviews that machine annually undergo. Lack of sprinkler system on the machine meant that the machine was completely destroyed. 
Bakomliggande orsaker är ett elfel med konstant aktiverad larmsignal som inte möjliggör varning av förhöjd motortemperatur vilket i sin tur skulle ha kunnat förhindra händelseförloppet. Detta el-/signalfel har inte åtgärdats vid de översyner som maskinen årligen genomgår. Avsaknad av sprinkleranläggning på maskinen medförde att maskinen totalförstördes.</t>
  </si>
  <si>
    <t>ES-290</t>
  </si>
  <si>
    <t>Accident to persons caused by RS in motion, 7/23/2007, Railway line from Barcelona to Lérida.(220 Lleida - L´Hospitalet de Llobregat railway line) Kilometre point 196,070 at Bell-Lloc station (Lleida). (Spain)</t>
  </si>
  <si>
    <t>A man is knocked down by an infraestructure works train when he was crossing at an unauthorised place.</t>
  </si>
  <si>
    <t>Railway line from Barcelona to Lérida.(220 Lleida - L´Hospitalet de Llobregat railway line) Kilometre point 196,070 at Bell-Lloc station (Lleida).</t>
  </si>
  <si>
    <t>Adif</t>
  </si>
  <si>
    <t>DE-391</t>
  </si>
  <si>
    <t>Trains collision with an obstacle, 24/07/2007, Strecke: München - Augsburg zwischen München Lochhausen und Gröbenzell (Germany)</t>
  </si>
  <si>
    <t>Intercity 2298 (führender Steuerwagen) prallte mit 197 km/h auf ein Schienenstück, das beim Verladen von einem Kran verloren wurde. Das Schienenstück geriet ins Lichtraumprofil des IC 2298. // Intercity 2298 (leading driving trailer) crashed at 197 km/h with a piece of rail that was lost during loading of a crane. The rail piece came into the clearance of IC 2298.</t>
  </si>
  <si>
    <t>Strecke: München - Augsburg zwischen München Lochhausen und Gröbenzell</t>
  </si>
  <si>
    <t>DB Fernverkehr</t>
  </si>
  <si>
    <t>Steuerwagen mit allen Achsen entgleist starke Beschädigung des Gleiskörpers auf 1100 m. // Driving trailer derailed with all axles heavy damage of the track at 1100 m."</t>
  </si>
  <si>
    <t>Nichtbeachtung von Vertragsbedingungen der DB AG // Non-compliance with contractual conditions of the DB AG</t>
  </si>
  <si>
    <t>DE-392</t>
  </si>
  <si>
    <t>Trains collision with an obstacle, 2007-07-26, Strecke: Wuppertal Hbf - Wuppertal Oberbarmen (Germany)</t>
  </si>
  <si>
    <t>Güterzug 51104 fuhr in einen für Bauarbeiten stromlos geschalteten Gleisabschnitt ein und prallte auf ein im Gleisbereich stehendes Baugerüst. Durch den Knall bei Einfahrt des Zuges in den stromlosen Abschnitt wurden die Bauarbeiter  auf den Zug aufmerksam und sprangen noch rechtzeitig vor dem Aufprall vom Baugerüst. Zwei Bauarbeiter und der Triebfahrzeugführer wurden verletzt. 
Freight train 51104 drove into a section of track connected for de-energized construction and crashed into a standing scaffolding in the track area. By the blast in the train enters the energized section the construction workers were aware of the train and jumped in time before the impact of the scaffolding. Two construction workers and the driver were injured.</t>
  </si>
  <si>
    <t>Strecke: Wuppertal Hbf - Wuppertal Oberbarmen</t>
  </si>
  <si>
    <t>Triebfahrzeug und Baugerüst beschädigt</t>
  </si>
  <si>
    <t>Für den Eintritt des Ereignisses waren Kommunikationsmängel zwischen dem Fdl, Stw „Of“ und dem Technisch Berechtigte (TB) gem. Betra Nr. 26317, Abschnitt 4.2, nach dem Ende der Arbeiten im Bf Wuppertal Oberbarmen, Gleis 6, ursächlich (Verstoß gegen Ril 481, Sprechdisziplin). Der TB hatte bei der Gesprächsabwicklung nicht beachtet, dass er sich zu Gesprächsbeginn mit Funktion und bei Bedarf mit Ortsangabe zu melden hat. Allein anhand des Klangs der Stimme war dem Fdl die sichere Zuordnung des Meldenden (TB) zur Betra Nr. 26317 nicht möglich. Eine Nachfrage des Fdl, wer denn jetzt sein Gesprächspartner sei und welche Arbeitsstelle sich verabschiedet habe, fand aber auch nicht statt. 
For the occurrence of the event miscommunication between the dispatcher, interlocking "Of" and the technical signatories (TB) were acc. Betra No. 26317, Section 4.2, after the end of the work in Wuppertal Oberbarmen station, track 6, the cause (violation Ril 481, intercom discipline). The TB was not considered in the call handling that he has to report at the call begins with function and if necessary with location. Based solely on the sound of the voice was the dispatcher not possible to secure association of the reporter (TB) for Betra No. 26317th A demand of the dispatcher, who is now his business partner because that job and had adopted, but also did not take place.</t>
  </si>
  <si>
    <t>SE-338</t>
  </si>
  <si>
    <t>Train derailment, 2007-07-26, Gnesta station on the Stockholm-Gothenburg main line (Sweden)</t>
  </si>
  <si>
    <t>26 July 2007 derailed train 412 en route from Gothenburg to Stockholm, consisting of a multiple unit of type X2, from the Gnesta station. The maneuver the cart were at the front and the engine at the rear. The derailment was caused by a protective cover in the train's main bogie had become detached and hung down. In Gnesta the cover dropped to the ground and raised the bogie that derailed. The bogie was then derailed but followed the track until the train stopped 1,310 meters after derailing.The derailed bogie affected rail fortifications so that spring bracket spread by the force of the surroundings. 
Den 26 juli 2007 spårade tåg 412 på väg från Göteborg till Stockholm, bestående av ett motorvagnssätt av typ X2, ur vid Gnesta station. Främst i tåget gick manövervagnen och sist gick drivenheten (loket)._x000D_
Urspårningen orsakades av att en skyddskåpa i tågets främsta boggi hade lossnat och hängde ned. I Gnesta tog skyddskåpan i marken och lyfte boggin ur spår. Boggin gick sedan urspårad men följde spåret fram till att tåget stannade 1310 meter efter urspårningsplatsen._x000D_
_x000D_
Den urspårade boggin påverkade rälsbefästningarna så att fjäderbyglarna spreds med kraft över omgivningen.</t>
  </si>
  <si>
    <t>Gnesta station on the Stockholm-Gothenburg main line</t>
  </si>
  <si>
    <t>SJ AB</t>
  </si>
  <si>
    <t>Major track damages (about 900 m) and minor damages on the train.</t>
  </si>
  <si>
    <t>The direct cause of the accident was that the accelerometer box fell down and lifted the wheels of the track. 
Den direkta orsaken till olyckan var att skyddskåpan lossnade och lyfte hjulparet ur spåret.</t>
  </si>
  <si>
    <t>The underlying reason for the cover came off was that the screws that the accelerometer box protective cover was not properly tightened._x000D_
_x000D_
Contributing factors to the bolts were not tightened was that the work was not checked properly. Those who carried out the task had not done this in the past may have contributed to the task was not performed properly._x000D_
_x000D_
Housing construction for attachment to the vehicle that caused the improperly torqued fasteners could have such serious consequences is another contributing factor._x000D_
_x000D_
Another contributing factor to the accident was that the housing construction in material and weight led to that a loosened bolt could cause a derailment. 
Den bakomliggande orsaken till att skyddskåpan lossnade var att skruvarna till accelerometerlådans skyddskåpa inte var korrekt åtdragna._x000D_
_x000D_
Bidragande orsaker till att skruvarna inte var åtdragna var att arbetet inte kontrollerades på avsett sätt. Att de som utförde arbetsuppgiften inte hade utfört detta tidigare kan ha medverkat till att arbetsuppgiften inte utfördes korrekt._x000D_
_x000D_
Kåpans konstruktion för fastsättning i fordonet som medförde att felaktigt åtdragna skruvar kunde få så pass allvarliga konsekvenser är en annan bidragande orsak._x000D_
_x000D_
Ytterligare en bidragande orsak till urspårningen var att kåpans konstruktion avseende material och tyngd medförde att en lossnad kåpa kunde orsaka en urspårning.</t>
  </si>
  <si>
    <t>PT-319</t>
  </si>
  <si>
    <t>Accident to persons caused by RS in motion, 01/08/2007, Open line with visibility (Portugal)</t>
  </si>
  <si>
    <t>During the works in the Beira  Baixa line (single track)it was mortally hit a worker that was working in the track with a rail-lifting jack. The works were not programmed</t>
  </si>
  <si>
    <t>Beira Baixa line</t>
  </si>
  <si>
    <t>CP – Comboios de Portugal, E.P.E</t>
  </si>
  <si>
    <t>UK-330</t>
  </si>
  <si>
    <t>Trains collision, 01/08/2007, Willington, Burton on Trent (United Kingdom)</t>
  </si>
  <si>
    <t>Train 1G46, the 15:34 hrs Nottingham to Birmingham New Street passenger service was struck by a heavy object whilst passing an empty freight train that was travelling in the opposite direction.   No injuries have been reported._x000D_
The freight train was number 6E79, the 14:17 hrs service from Wolverhampton Steel Terminal to Scunthorpe, and was operated by English, Welsh and Scottish Railway.</t>
  </si>
  <si>
    <t>Willington, Burton on Trent</t>
  </si>
  <si>
    <t>Damage was caused to one side of the train a class 170 diesel multiple unit operated by Central Trains.  The damage included broken windows and head light severe damage to a set of doors and holes in the body side. Subsequent examination of the passing"</t>
  </si>
  <si>
    <t>The immediate cause of the collision was a fractured stanchion that moved out towards a horizontal position as the freight train passed the DMU travelling in the opposite direction on the adjacent track (paragraph 35).</t>
  </si>
  <si>
    <t>The causal factors were that: a. the stanchion box section, previously fractured along three of its four sides, yielded on its remaining side and moved out towards a horizontal position (paragraph 43); b. the fractured stanchion was not detected and replaced prior to despatch (paragraph 46 and Recommendation 1). The contributory factors were that: a. EWS did not require stanchion inspection by those responsible for loading and unloading wagons and by train preparers (paragraph 52 and Recommendation 2); b. EWS did not define the type of damage that would require a stanchion to be replaced (paragraph 57 and Recommendation 3); c. the stanchion was significantly higher than its associated load (paragraph 60 and Recommendation 4).</t>
  </si>
  <si>
    <t>AT-677</t>
  </si>
  <si>
    <t>Train derailment, 02/08/2007, ÖBB-Strecke 12501 Wien Matzleinsdorf - Wien Südbahnhof Frachtenbahnhof, Bahnhof Wien Matzleinsdorf // ÖBB-Line 12501 Wien Matzleinsdorf - Wien Südbahnhof Frachtenbahnhof, station Wien Matzleinsdorf (Austria)</t>
  </si>
  <si>
    <t>Freitag, 2. August 2007 hatte Z 54093  im Bahnhof Wien Matzleinsdorf einen betriebsbedingten Aufenthalt. Bei der signalmäßig durchgeführten Weiterfahrt entgleiste um 11:08 Uhr der 23. Wagen mit allen Achsen und stürzte in Fahrtrichtung nach rechts um. Dabei entgleisten der 22. und 24. Wagen  mit je einem Drehgestell. Wagen 22 bis 24 waren leere Kesselwagen. // Friday, 2 August 2007 train 54093 had an operational stay in station  Wien Matzleindorf. During the continuation of the journey with correct signal at 11:08 freigt car number 23 derailed with all axes and overturning in driving to the right. Thereby derailed the 22. and the 24. freight car, each with one bogie. Freight cars number 22 to 24 were empty tank cars.</t>
  </si>
  <si>
    <t>ÖBB-Strecke 12501 Wien Matzleinsdorf - Wien Südbahnhof Frachtenbahnhof, Bahnhof Wien Matzleinsdorf // ÖBB-Line 12501 Wien Matzleinsdorf - Wien Südbahnhof Frachtenbahnhof, station Wien Matzleinsdorf</t>
  </si>
  <si>
    <t>Schäden am Oberbau ca. 100 m. 3 entgleiste leere Kesselwagen beschädigt. Unterbrechung der Strecke für 75 Stunden. // Damage to the track about 100 m. 3 derailed empty tank cars damaged. Interruption of the track for 75 houres."</t>
  </si>
  <si>
    <t>Unzureichend oder nicht durchgeführte Rissprüfung des Drehgestellrahmens des 23. Wagens. // Insufficient or not implemented crack of the bogie frame of freigt car number 23.</t>
  </si>
  <si>
    <t>UK-323</t>
  </si>
  <si>
    <t>Level crossing accident, 02/08/2007, Nutts Crossing, near Londonderry (United Kingdom)</t>
  </si>
  <si>
    <t>At 15:28 hrs the 15:05 hrs train from Londonderry to Belfast, a diesel multiple unit, struck a tractor at Nutts user worked crossing, between Londonderry and Castlerock.  The driver of the tractor lost his life in the collision, but there were no injuries on the train.  _x000D_
_x000D_
Initial investigations by the RAIB indicate that neither the driving or the condition of the train nor the state of the track and signalling contributed to the accident.</t>
  </si>
  <si>
    <t>Nutts Crossing, near Londonderry</t>
  </si>
  <si>
    <t>The train suffered some damage and was removed from service for repairs.  The tractor was destroyed in the collision.</t>
  </si>
  <si>
    <t>The tractor driver drove his vehicle onto crossing XL202 as train B413 approached.</t>
  </si>
  <si>
    <t>1. The tractor driver did not see train B413 approaching   2. The RAIB has made no recommendations to address this causal factor because the circumstances that gave rise to its occurrence do not lend themselves to an enduring solution, or have already been addressed by work undertaken at the crossing  3The tractor driver may have been preoccupied with other matters as he approached the crossing, causing a momentary loss of concentration   4.the position of the sun  5. the skewed nature of the crossing in conjunction with the position of the tractor’s offside roof support pillar which may have combined to impede the tractor driver’s view towards the railway out of the right side of his tractor, preventing him becoming aware of the presence of the train as he approached and negotiated the crossing .</t>
  </si>
  <si>
    <t>FI-367</t>
  </si>
  <si>
    <t>Train derailment, 4.8.2007, Siilinjärvi, Kemira GrowHow industrial railway yard. (Finland)</t>
  </si>
  <si>
    <t>In shunting movement a tank wagon collided with a derailer and overturned. The accident caused minor leakage of nitric acid.</t>
  </si>
  <si>
    <t>Siilinjärvi, Kemira GrowHow industrial railway yard.</t>
  </si>
  <si>
    <t>Kemira GrowHow Ltd</t>
  </si>
  <si>
    <t>Five meter track and a derailer damaged. Isolation of tank and bogies of the overturned wagon damaged. Minor damage to two other  tank wagons.</t>
  </si>
  <si>
    <t>The accident occurred because the derailer was not removed before the train was_x000D_
shunted to the track in question.</t>
  </si>
  <si>
    <t>As a contributory cause, the function of the signal lights can be misleading. Especially_x000D_
when the signal shows “white” movement allowed signal even though the turnout V076_x000D_
is in normal position towards rail 64. The signal does not have interdependence to the_x000D_
function of the derailer and the track in question does not have a security turnout or_x000D_
other measures of sufficient protection according to the requirements._x000D_
As an another contributory cause, the shunting foreman gave order to shunt without securing_x000D_
the route first and the derailer, which was left on, was not noticed in time.</t>
  </si>
  <si>
    <t>PT-315</t>
  </si>
  <si>
    <t>Level crossing accident, 05/08/2007, Level crossing located close to a residential area (Portugal)</t>
  </si>
  <si>
    <t>A light vehicle was hit by the train nº 5714 when crossing a B-Type Level Crossing, with the lights and sonorous signals working, located at Km 370,183 on Algarve Line, causing death to driver of the vehicle.</t>
  </si>
  <si>
    <t>Level crossing located close to a residential area</t>
  </si>
  <si>
    <t>Non identified damages in the locomotive</t>
  </si>
  <si>
    <t>SE-340</t>
  </si>
  <si>
    <t>Unauthorised train movement other than SPAD, 2007-08-05, Stockholm ostra, which is the end station for the narrow gauge commuter train lines in the northern part of Stockholm. (Sweden)</t>
  </si>
  <si>
    <t>Unauthorised train movement other than SPAD</t>
  </si>
  <si>
    <t>A shunting movement derailed and was not clear from the down track when a train route was set for a passenger train. The entrance signal for the passenger train could be set to green aspect even though there was a vehicle in the way._x000D_
_x000D_
Sunday, August 5, 2007 an incident occurred at collision at Stockholm East between trains 219 and a  shunting movement._x000D_
_x000D_
A shunting movement with a veteran motor car would be at one of the side tracks at Museum (old railcar stables) at Stockholm East. Since the tracks were short did change occur past the stop block 621 and outside lateral grooves. Sidetracks was not signalised which meant that there was no shift dwarf signals governing movements into and out of the side grooves. _x000D_
The shunting leader requested permission to switch and the dispatcher who answered stated he would first bring in a train to Stockholm East before shifting could begin. Shortly thereafter the dispatcher brought track lock 621 in the OFF position. The person in charge of the shunting took this as an admission to start and showed hand signal "forward" to the driver on the veteran motor coach that started shunting movement._x000D_
_x000D_
At the same time train 219 was approaching Stockholm east and the controls in the signalbox changed to a certain predetermined setting and the route was added automatically, in this case the signal from 611 to 621 (derailers 621 was located on a siding that was connected between the signals 611 and 621). in order to allow signal 611 to show "run" stop block 621 needed to be in the on position side protection route first. When motor trolley was moving over the derailers and out onto route the first derailer switched to ON for veteran motor carriage with the result that the motor carriage derailed._x000D_
When veteran motor carriage had derailed the shunting leader discovered that signal 621 showed "run". The shunting leader understood that there was a train going to Stockholm east and shouted to the dispatcher over the radio communication to the dispatcher would stop the train that was coming. Traffic controllers made contact with the driver of train 219 and the train stopped before the signal 601, ie. before the critical point for a collission. 
Söndagen den 5 augusti 2007 inträffade ett tillbud till kollision på Stockholms östra mellan tåg 219 och en urspårad växlingsrörelse._x000D_
En växlingsrörelse med en veteranmotorvagn skulle ske på ett av sidospåren vid Museum (gamla motorvagnsstallet) vid Stockholms östra. Eftersom spåren var korta behövde växling ske förbi spårspärr 621 och utanför sidospåren. Sidospå-ren var inte signalreglerade vilket innebar att det inte fanns några växlingsdvärgsignaler som reglerade rörelser till och från sidospåren. Växlingsledaren begärde tillstånd för växling av trafikledaren som svarade att trafikledaren först skulle ta in ett tåg till Stockholms östra innan växlingen kunde börja. Kort därefter fällde trafikledaren spårspärr 621 i avläge. Växlingsle-daren tog detta som ett medgivande att växlingen fick starta och visade handsignal ”framåt” till föraren på veteranmotorvagnen som satte igång växlingsrörelsen. _x000D_
Samtidigt närmade sig tåg 219 Stockholms östra och automatiken i signalanlägg-ningen gjorde att en viss förutbestämd tågväg lades automatiskt, i detta fall från signal 611 till 621 (spårspärr 621 var belägen på ett sidospår som var anslutet mellan signalerna 611 och 621). För att signal 611 skulle kunna visa ”kör” krävdes att spårspärr 621 var i påläge som sidoskydd för tågvägen. När motorvagnen var i rörelse över spårspärren och ut mot tågvägen gick spårspärren om till påläge under veteranmotorvagnen vilket fick till följd att motorvagnen spårade ur._x000D_
När veteranmotorvagnen hade spårat ur upptäckte växlingsledaren att signal 621 visade ”kör”. Växlingsledaren förstod att det var ett tåg på väg in till Stockholms östra och ropade till trafikledaren över kommunikationsradion att trafikledaren skulle stoppa tåget som var på väg. Trafikledaren tog kontakt med föraren på tåg 219 och tåget stannade före signal 601, dvs. före den kritiska punkten för en kollision.</t>
  </si>
  <si>
    <t>Stockholm ostra, which is the end station for the narrow gauge commuter train lines in the northern part of Stockholm.</t>
  </si>
  <si>
    <t>Roslagstag</t>
  </si>
  <si>
    <t>A derailer was run over</t>
  </si>
  <si>
    <t>(b) networks that are functionally separate from the rest of the railway system…</t>
  </si>
  <si>
    <t>The direct cause of the event was that the shunting movement started without a starting permission from the dispatcher. 
Den direkta orsaken till händelsen var att växling mot huvudspår började utan trafikledaren hade lämnat ett muntligt starttillstånd för växling.</t>
  </si>
  <si>
    <t>An underlying cause to the fact that the incident developed into a near collision was that the derailer could go on to ON and setting the route could be added, although the track section of the derailer and the switch was covered by a rail vehicle. This could be because the track line for the current section was not connected to signalling system after a renovation. _x000D_
_x000D_
Another underlying cause of the incident was that the safety instructions did not contain rules for how an oral starting permission should be given._x000D_
_x000D_
SHK has not been able to determine why the track line was not connected because the record of rebuilding was missing in SL's archives. The fact that the system was put into operation without track circuit not connected clearly shows that SL at the time lacked a system to ensure that equipment that were installed had intended function. The error was not discovered before the incident occurred indicates that inspection and monitoring system was not comprehensive. 
En bakomliggande orsak till att händelsen utvecklade sig till ett kollisionstillbud var att spårspärren kunde gå om till påläge och tågväg kunde läggas, trots att spåravsnittet över spårspärren och mot växeln var belagd av ett spårfordon. Detta kunde ske eftersom spårledningen för aktuellt avsnitt inte var anslutet till signalanläggningen efter en ombyggnation. En annan bakomliggande orsak till händelsen var att det i trafiksäkerhetsinstruktionen inte fanns regler för hur ett muntligt starttillstånd skulle lämnas._x000D_
_x000D_
SHK har inte kunnat fastställa orsaken till att spårledningen inte var ansluten eftersom dokumentation över ombyggnaden saknas i SL:s arkiv. Det faktum att anläggningen togs i bruk utan att spårledningen var ansluten visar dock tydligt att SL vid tiden saknade ett tillräckligt täckande system för att garantera att anläggningar som togs i bruk hade avsedd funktion. Att felet inte upptäcktes innan händelsen inträffade indikerar att besiktnings- och uppföljningssystemet inte var heltäckande.</t>
  </si>
  <si>
    <t>SE-339</t>
  </si>
  <si>
    <t>Spad, 2007-08-07, Stockholm central (Sweden)</t>
  </si>
  <si>
    <t>Tuesday, August 7, 2007, there was an incident collision between service trains 90161 and 52517 in central Stockholm when the train passed the signal 90161 Cst 566 in the stop. Train 52517 was coming from Sundbyberg to central Stockholm on track D1 while train 90161 was heading in the opposite direction, from central Stockholm on the Tapiola on track C1._x000D_
_x000D_
Train 52517 had "run" in the signals of central Stockholm. At Railway Square crossed the two train tracks which meant that the train 90161 had stopped at the signal Cst 566 until the train had passed the 90,161 point. In the previous signal, Cst 456, försignalerades to train 90161 to the next signal, Cst 566, showed an end._x000D_
_x000D_
The messy and informative environment in combination with the driver's habit of running on the track C1 contributed to the signals 456 and 566 are not noticed and that signal 566 was passed in the stop. Moreover, traces C1 not equipped with ATC, which meant that the driver did not receive any information in the cab to signal 566 was stopped. Since trace C1 was not ATC-equipped intervened train ATC equipment when signal 566 was to be passed._x000D_
_x000D_
The two pilots noted that they were about to cross each other's paths and stopped trains about 22 feet apart. 
Tisdagen den 7 augusti 2007 inträffade ett tillbud till kollision mellan tjänstetågen 90161 och 52517 på Stockholms central när tåg 90161 passerade signal Cst 566 i stopp. Tåg 52517 var på väg från Sundbyberg mot Stockholms central på spår D1 samtidigt som tåg 90161 var på väg, i motsatt riktning, från Stockholms central mot Hagalund på spår C1._x000D_
_x000D_
Tåg 52517 hade ”kör” i signalerna mot Stockholms central. Vid Norra Bantorget korsades de båda tågens spår vilket innebar att tåg 90161 hade stopp vid signal Cst 566 till dess att tåg 90161 hade passerat platsen. I den förgående signalen, Cst 456, försignalerades till tåg 90161 att nästa signal, Cst 566, visade stopp._x000D_
_x000D_
Den röriga och informationsrika miljön i kombination med förarens ovana att köra på spår C1 bidrog till att signalerna 456 och 566 inte uppmärksammades och att signal 566 passerades i stopp. Dessutom var spår C1 inte utrustat med ATC vilket innebar att föraren inte fick någon information i förarhytten om att signal 566 visade stopp. Eftersom spår C1 inte var ATC-utrustat ingrep inte tågets ATC-utrustning när signal 566 var på att passeras._x000D_
_x000D_
De båda förarna uppmärksammade att de var på väg att korsa varandras vägar och stannade tågen ca 22 meter från varandra.</t>
  </si>
  <si>
    <t>Stockholm central</t>
  </si>
  <si>
    <t xml:space="preserve">
Other</t>
  </si>
  <si>
    <t>SJ AB; 
Stockholmstag</t>
  </si>
  <si>
    <t>The direct cause of the incident was that train 90161 passed the head dwarf signal Cst 566 that showed "stop." 
Den direkta orsaken till tillbudet var att tåg 90161 passerade huvuddvärg-signal Cst 566 som visade ”stopp”.</t>
  </si>
  <si>
    <t>The underlying causes were that the driver did not have enough good knowledge of the special circumstances that existed at central Stockholm, in combination with that the surrounding environment was cluttered and rich on information. Track C1 was not equipped with ATC, which meant that the driver had no signal monitoring in train supporting the train driving._x000D_
_x000D_
Main Dwarf Signal Cst 456 with the aspect "run, 40, caution" was not noticed, which meant that the driver did not have the expected readiness for the next signal that showed "stop." 
De bakomliggande orsakerna var att föraren inte hade tillräckligt god kän-nedom om de speciella förhållanden som fanns på Stockholms central i kombination med att den omgivande miljön var rörig och informationsrik. Spår C1 var inte utrustat med ATC vilket innebar att föraren inte hade någon signalövervakning i fordonets ATC - utrustning till stöd för framför-andet av tåget._x000D_
_x000D_
Huvuddvärgsignal Cst 456 med förhandsbeskedet ”kör, 40, varsamhet” uppmärksammades inte vilket medförde att föraren inte hade någon för-väntad beredskap på att nästa signal visade ”stopp”.</t>
  </si>
  <si>
    <t>ES-309</t>
  </si>
  <si>
    <t>Level crossing accident, 8/9/2007, Ciaño flag stop (Oviedo). At a level crossing type C, kilometre point 19,338, 140 Bifurcación Tudela-Veguín - El Entrego railway line) (Spain)</t>
  </si>
  <si>
    <t>A person was knocked down by a train when trying improperly to pass through the level crossing.</t>
  </si>
  <si>
    <t>Ciaño flag stop (Oviedo). At a level crossing type C, kilometre point 19,338, 140 Bifurcación Tudela-Veguín - El Entrego railway line)</t>
  </si>
  <si>
    <t>UK-324</t>
  </si>
  <si>
    <t>Train derailment, 10/08/2007, Lawley Street in Birmingham (United Kingdom)</t>
  </si>
  <si>
    <t>At 02:20 hrs two wagons in train 4O84, the 02:43 hrs Lawley Street to Grain Freightliner train, running early, derailed shortly after leaving Lawley Street Freightliner Terminal. One wagon was completely derailed, and the second on by only one bogie.  A container from the fully derailed wagon fell onto an adjacent track, and another container on the same wagon shifted along the wagon.  No-one was injured during the derailment.  The wagons were lifted back onto the track by use of a breakdown crane, and the line was re-opened after repairs at 06:00 hours on 11 August.</t>
  </si>
  <si>
    <t>Lawley Street in Birmingham</t>
  </si>
  <si>
    <t>Limited damage to rolling stock significant damage to short length of track."</t>
  </si>
  <si>
    <t>The immediate cause of the accident was the climbing of the front right-hand wheel flange of wagon 640 262 over the right-hand closure rail of 715B points as a result of the interaction between a combination of track twists and the unevenly loaded wagon</t>
  </si>
  <si>
    <t>1. the presence of a significant twist fault that had not been detected and remedied   2.the method of track inspection used was not capable of detecting the level of dynamic twist that had developed at this location 3.wagon 640 262 was running loaded in a way that made it very susceptible to derailment over track twist faults  4.the uneven distribution of load placed upon the wagon was beyond that for which it was designed terms of derailment resistance   5. the uneven distribution of load was not detected and remedied prior to the wagon departing from Lawley Street Terminal  6. the placing of a 30.4 tonne 20 ft container next to an empty 40 ft container in contravention of the MIE 0767 limit of 24 tonnes for the 20 ft container in this configuration  7.  a probable causal factor is that the 20 ft container load was likely to have been offset to the left   8.The crossover could not readily be examined under traffic  9. The crossover did not exhibit the usual tell-tale signs of voiding  10. The traffic levels over the crossover were very low and ran at slow speed . 11. Low levels of lateral payload offset were not readily detectable   12.  There was a practice amongst some Freightliner loading staff of not strictly adhering to the loadings prescribed by MIE 0767   13. Visual pre-departure checks of the train did not detect the level of uneven loading    14. Standard methods that were used for detecting uneven loading of container wagons were not always reliable     15.   The computer systems used for container processing by Freightliner are not capable of detecting uneven loading beyond that allowed by standard MIE 0767 although they contain sufficient data to do so   16. VCG assumed that the wagons would be loaded reasonably evenly (as this is a  'White Pages’ requirement) and thus they only required wheel unloading tests to be carried out for tare and fully laden wagons with no longitudinal or lateral load offset accounted for (longitudinal offsets were only considered as part of high speed VAMPIRE® simulations and not to the degree allowed by MIE 0767).  Thus there was no independent validation of Greenbrier’s assertion that the wagons were designed for all loadings on the technical specification drawing in terms of GM/RT 2141 requirements 16.  Freightliner specified the FEA-B wagons’ loading capacities to Greenbrier using an MIE 0767 type drawing and assumed that Greenbrier and the VAB would interpret them in the manner Freightliner intended. Greenbrier state that they did, the VAB did not.  17Network Rail deployed track maintenance resource in a way that past experience indicated to them was likely to lead to the maximum reduction in risk . 18. a lack of understanding at various levels of Freightliner as to the content, use and interpretation of their single wagon loading standard MIE 0767</t>
  </si>
  <si>
    <t>FI-368</t>
  </si>
  <si>
    <t>Level crossing accident, 13-08-07, Nurmijärvi, Röykkä, Leppälammentie / Unprotected Korpi level crossing, Karjaa - Hyvinkää section of line. (Finland)</t>
  </si>
  <si>
    <t>Freight train collided with a car. Passenger of the car was fatally injured and the car driver was seriously injured.</t>
  </si>
  <si>
    <t>Nurmijärvi, Röykkä, Leppälammentie / Unprotected Korpi level crossing, Karjaa - Hyvinkää section of line.</t>
  </si>
  <si>
    <t>Slight damage to the locomotive. Private car entirely wrecked.</t>
  </si>
  <si>
    <t>The direct cause of the accident was that the passenger car died in the middle of the level crossing without restarting and the train was unable to stop in time despite applying the emergency brake</t>
  </si>
  <si>
    <t>FR-311</t>
  </si>
  <si>
    <t>Train derailment, 13/08/2007, The incident occurs in Versailles Rive Gauche station (Yvelines) (France)</t>
  </si>
  <si>
    <t>Versailles Rive Gauche station is a cul de sac station. A regional passenger train was finishing its trip in this station. It its the buffer and derailed.</t>
  </si>
  <si>
    <t>The incident occurs in Versailles Rive Gauche station (Yvelines)</t>
  </si>
  <si>
    <t>The buffer is destroyed and the nose of the first coach is damaged.</t>
  </si>
  <si>
    <t>UK-325</t>
  </si>
  <si>
    <t>Level crossing accident, 15/08/2007, Lydney,Gloucestershire on the Dean Forest Railway (United Kingdom)</t>
  </si>
  <si>
    <t>At 14:48 hrs a private train from Norchard to Lydney Junction on the Dean Forest Railway, consisting of an ex-Great Western Railway 14xx class steam locomotive propelling an auto-coach (a carriage designed to be propelled with a driving position at the leading end) struck the gates of the level crossing at Lydney Town, where the Dean Forest Railway crosses the main street through Lydney.  The crossing keeper was attempting to open the gates for the passage of the train, and was knocked over into the road and seriously injured.</t>
  </si>
  <si>
    <t>Lydney,Gloucestershire on the Dean Forest Railway</t>
  </si>
  <si>
    <t>Dean Forest Railway</t>
  </si>
  <si>
    <t>Minor damage to rolling stack and significant damage to crossing gate.</t>
  </si>
  <si>
    <t>1. The immediate cause of the accident was that the driver of the train was unable to stop it before reaching the stop board at Lydney Town crossing, and having passed the stop board, was not able to stop the train before striking the crossing gates</t>
  </si>
  <si>
    <t>1 The train was travelling at an excessive speed, both in terms of the permitted speed at the location and the rail head conditions, as it approached the crossing  2. The locomotive crew’s lack of training and experience in controlling the auto-train in conditions of poor adhesion  3.	the wet condition of the rail head   4.the low position of the warning treadle arm  5.the DFR had not repaired the known problem with the buzzer and warning light  6. there was no effective system for informing train crews that the warning system was not working  7. not having working sanding equipment on the train  8.the noise from passing traffic, in particular heavy goods vehicles   9. the DFR’s response to pressure from road users to minimise traffic delays</t>
  </si>
  <si>
    <t>PT-317</t>
  </si>
  <si>
    <t>Train derailment, 17/08/2007, Derailment in Pampilhosa station (Portugal)</t>
  </si>
  <si>
    <t>Derailment of three wagons of train nº 69611 (with 28 wagons), at KM 231,300, North Line, in Pampilhosa station, obstructing three lines of the North line and the entrances to the Beira line</t>
  </si>
  <si>
    <t>Derailment in Pampilhosa station</t>
  </si>
  <si>
    <t>Damages in the wagons and in the lines</t>
  </si>
  <si>
    <t>PT-316</t>
  </si>
  <si>
    <t>Level crossing accident, 18/08/2007, Level crossing with good visibility located close to residential area (Portugal)</t>
  </si>
  <si>
    <t>A light passenger vehicle was hit by the train nº 5718 when crossing a D-Type Level Crossing, , located at Km 347,716 on Algarve Line, causing death to driver of the vehicle.</t>
  </si>
  <si>
    <t>Level crossing with good visibility located close to residential area</t>
  </si>
  <si>
    <t>UK-326</t>
  </si>
  <si>
    <t>Other, 22/08/2007, North of Didcot, Oxfordshire (United Kingdom)</t>
  </si>
  <si>
    <t>At 16:38 hrs on 22 August 2007 train 1W47, the 15:51 hrs First Great Western passenger service from London Paddington to Worcester Shrub Hill, formed by a High Speed Train set, passed SB2209 signal at danger on the Down Avoiding line to the north of Didcot station.  This signal is located on the approach to Didcot North Junction and is fitted with Train Protection Warning System (TPWS) equipment that is designed to mitigate the consequences of signals being passed at danger._x000D_
_x000D_
At the same time train 2P66, the 16:21 hrs First Great Western passenger service from Oxford to London Paddington, was just passing clear of the junction after being routed from the Up Oxford line towards Didcot station.  Despite the operation of the TPWS train 1W47 did not come to a stand until it had run onto the Up Oxford line, foul of the junction.</t>
  </si>
  <si>
    <t>North of Didcot, Oxfordshire</t>
  </si>
  <si>
    <t>Signal SB2209 was passed at danger because the driver did not respond correctly to the aspect of the previous (caution) signal, SB913.</t>
  </si>
  <si>
    <t>Signal SB2209 was passed at danger because of the actions of the driver of train 1W47 on the approach to signal SB913.  The most likely explanation for these actions is a combination of the following:  the driver’s expectation that signal SB913 would clear from yellow to a less restrictive aspect (paragraphs 174 to 177);   the formation in his mind of an inappropriate mental model of the situation he was encountering (paragraph 176);  a loss of focus on the driving task leading to the driver not registering the aspect of signal SB913 on his approach (paragraphs 181 and 182); and the cancelling of two AWS warnings in quick succession without checking the aspect of the signal ahead (paragraph 191).   2. The following factors are considered to have caused train 1W47 to stop foul of Didcot North junction, narrowly avoiding a collision with train 2P66:  	the late identification of signal SB2209 at red due to external distractions associated with the Didcot Railway Centre (Great Western Society steam centre) (paragraph 184).  	the braking performance of the HST set involved in the incident was below that assumed for the design of the TPWS at signal SB2209 although it exceeded that needed to comply with the Railway Group Standards for braking (paragraphs 211 to 221 and Recommendations 2, 3 and 4).  3. The RAIB concludes that the driver of 1W47, at no stage, believed that the single yellow aspect on signal SB913 had changed to a less restrictive aspect.  Nevertheless, the driver applied power to maintain the speed of his train in the expectation that the aspect would change.  This driving behaviour is considered to have been a contributory factor (paragraphs 179 and 200 and Recommendation 1).  4.Network Rail had not yet installed enhanced TPWS equipment at this location following an earlier SPAD despite there being a clear case for doing so following risk assessments that had been performed, and a recommendation by the investigation panel that this be done (paragraphs 218 and 221, and Recommendation 5).  5.  The local Recommendations Review Panel did not recognise the risk implications of the signalling arrangements at Didcot when considering the timescale for implementation of recommendations made following the investigation into the earlier incident (paragraph 221 and Recommendation 5).</t>
  </si>
  <si>
    <t>UK-327</t>
  </si>
  <si>
    <t>Level crossing accident, 25/08/2007, Cavalry Horse crossing, Leighton Buzzard Railway (United Kingdom)</t>
  </si>
  <si>
    <t>At 12:40 hrs the 12:20 hrs train from Pages Park, Leighton Buzzard, to Stonehenge Works, consisting of a small steam locomotive and three carriages, struck a tractor at Cavalry Horse crossing, an access from the highway at Vandyke Road to an adjacent field.  One passenger was injured, but did not require hospital treatment.</t>
  </si>
  <si>
    <t>Cavalry Horse crossing, Leighton Buzzard Railway</t>
  </si>
  <si>
    <t>Leighton Buzzard Railway</t>
  </si>
  <si>
    <t>The tractor was damaged in the incident but there was minimal damage to the train."</t>
  </si>
  <si>
    <t>The immediate cause of the collision was that the tractor was driven onto the crossing while a train was approaching (paragraph 32).</t>
  </si>
  <si>
    <t>The causal factors were: that road vehicle users crossing from the field to the road had inadequate visibility of trains approaching from Pages Park (paragraph 33); and  the lack of recent vegetation cutting at Cavalry Horse crossing (paragraph 38); Contributory factors were: the lack of briefing to the field owner by the LBR (paragraph 50). The LBR’s lack of understanding of the need to assess and maintain visibility for road vehicle users on its farm crossings was the underlying cause of the collision (paragraph 46).</t>
  </si>
  <si>
    <t>ES-359</t>
  </si>
  <si>
    <t>Level crossing accident, 8/27/2007, Railway line from Murcia to Cartagena (320 Chinchilla - Cartagena railway line), at kilometre point 467,110. Torreagüera flag stop (Murcia)at a level crossing type C. (Spain)</t>
  </si>
  <si>
    <t>A medium distance passenger train knocked a person down who misused the level crossing.</t>
  </si>
  <si>
    <t>Railway line from Murcia to Cartagena (320 Chinchilla - Cartagena railway line), at kilometre point 467,110. Torreagüera flag stop (Murcia)at a level crossing type C.</t>
  </si>
  <si>
    <t>UK-333</t>
  </si>
  <si>
    <t>Other, 27/08/2007, Aylesbury North (United Kingdom)</t>
  </si>
  <si>
    <t>The RAIB is carrying out an investigation into an incident involving two trains in a single line section at Aylesbury North, on 27 August 2007. _x000D_
At 10:42 hrs the driver of train 1T80, the 10:10 hrs from Aylesbury to Quainton Road, reported that the train was standing on the single line at Aylesbury North, with another train ahead.  This was the locomotive of train 6P27, a freight train, which was involved in a run-round movement at Aylesbury North loop.  At the time of the incident the locomotive of 6P27 was stationary; the driver of 1T80 had good visibility and was able to stop his train 500 – 600 metres from the locomotive.  There were no casualties, and there was no physical damage.</t>
  </si>
  <si>
    <t>Aylesbury North</t>
  </si>
  <si>
    <t>The immediate cause of the incident was that the shunter returned the single line token to the token machine while the locomotive was still on the single line</t>
  </si>
  <si>
    <t>1 The shunter and the signaller at Marylebone IECC did not reach a clear understanding of the location of the locomotive when the token was returned to the machine at Aylesbury North  2. the EWS rostering procedure used at Acton did not recognise the shunter’s lack of experience with Aylesbury North ground frame  3. the lack of re-examination of token working knowledge in the summary assessment process for drivers and ground staff employed by EWS  4.the signalling system did not allow the signaller to release just one particular token machine  5. poor safety-critical communications, led by the signaller  6.the lack of dissemination of the findings from the investigation into the 2 May 2007 incident to other operators of the line  7. the conflict between the EWS local instructions, the rule book and sectional appendix</t>
  </si>
  <si>
    <t>HU-390</t>
  </si>
  <si>
    <t>Level crossing accident, 29/08/2007, Line 108: Betweeen Tocovolgy and Balmazujvaros stations (Hungary)</t>
  </si>
  <si>
    <t>A lorry collided with the passenger train Nr 6644 in a well-operated level crossing. In consequence of collision the train derailed and two carriages fallen over and damaged seriously. The of the DMU and 3 passenger of the train suffered minor injury.</t>
  </si>
  <si>
    <t>Line 108: Betweeen Tocovolgy and Balmazujvaros stations</t>
  </si>
  <si>
    <t>MÁV-START Zrt.</t>
  </si>
  <si>
    <t>Infrastructure: 2 000 000 HUF ( 5 000 EUR ) Rolling Stock:  15 000 000 HUF ( 37 500 EUR )</t>
  </si>
  <si>
    <t>UK-328</t>
  </si>
  <si>
    <t>Accident to persons caused by RS in motion, 29/08/2007, Leatherhead, Surrey (United Kingdom)</t>
  </si>
  <si>
    <t>At 09:57 hrs the 09:09 hrs train from London Waterloo to Guildford, consisting of two four car electric multiple units struck a member of railway staff immediately to the south of Leatherhead station. All lines were blocked to traffic and an emergency traction current isolation was taken for both lines.  The member of railway staff was seriously injured, and removed to hospital by air ambulance.  The railway remained closed until 13:31 hrs whilst initial examination of the site took place.</t>
  </si>
  <si>
    <t>Leatherhead, Surrey</t>
  </si>
  <si>
    <t>The immediate cause of the accident was that the patrolman remained in the space between the up and down Bookham lines as trains approached on both those lines</t>
  </si>
  <si>
    <t>1.A causal factor in the accident was that red zone working was not prohibited at Leatherhead Junction despite the inadequate sighting times available with the number of lookouts available to a patrolling gang   2. the gang did not always stop work when first warned of the approach of down trains   3.the COSS did not confirm that all the members of the gang had moved to a place of safety   4.the COSS had not been given sufficient correct guidance on the placing of lookouts for track workers   5. management had not identified deficiencies in the method of working used by the patrolling gang    6.The underlying cause was that patrolling inspection of S&amp;C was being carried out while trains were running, and the railway industry has not succeeded in minimising the exposure of track workers to the risks arising from this practice</t>
  </si>
  <si>
    <t>UK-334</t>
  </si>
  <si>
    <t>Other, 29/08/2007, Ty Mawr, between Newtown and Caersws (United Kingdom)</t>
  </si>
  <si>
    <t>The RAIB is carrying out an investigation into an incident of overspeeding at Ty Mawr, between Newtown and Caersws, on 29 August 2007. _x000D_
At 10:50 hrs on 29 August Network Rail imposed a 20 mph (32 km/h) emergency speed restriction on the single line at Ty Mawr due to a rail defect that they had identified by ultrasonic examination.  At 12:57 hrs staff on site reported that the 11:32 hrs train from Aberystwth to Birmingham had passed over the site at 80 mph (128 km/h).  No one was injured as a result of the train’s overspeeding.</t>
  </si>
  <si>
    <t>Ty Mawr, between Newtown and Caersws</t>
  </si>
  <si>
    <t>Arriva Trains Wales/Trenau Arriva Cymru</t>
  </si>
  <si>
    <t>The immediate cause of the overspeeding incident was that the driver forgot to reduce the speed of train 1G71 for the 20 mph (32 km/h) ESR at Ty Mawr</t>
  </si>
  <si>
    <t>1. The lack of an effective means within the cab to remind the driver of train 1G71 of the ESR ahead  2. The lack of warning equipment at the approach to the site of the ESR  3. The informal nature of the method for drivers to record details of the ESR.  Informal recording of information regarding hazards that require reductions in speed (not marked locally) applies to other situations on the railway.  4 The characteristics of the route between Talerddig and Caersws in terms of the numbers of level crossings and frequent changes in permanent speed restrictions together with the working timetable allowance of eight minutes for the section  5. The unavailability of warning equipment on the van used by the maintenance team or local to the incident site 6. The absence of verbal reminders of the ESR ahead for the driver of train 1G71 once he had left Talerddig Loop, although there were locations where such a reminder could have been given</t>
  </si>
  <si>
    <t>AT-617</t>
  </si>
  <si>
    <t>Train derailment, 30/08/2007, Strecke 15301 von St. Pölten Hbf nach Mariazell, zwischen Hst Winterbach und Hst Puchenstuben,km 60,285, (Austria)</t>
  </si>
  <si>
    <t>Am 30. August 2007, um 17:41 Uhr entgleiste bei der Fahrt des Zuges 6836, zwischen den Hst Puchenstuben und Winterbach, im km 60,285, das Zug-Tfz 1099 016-6 mit fünf von sechs Achsen und kam mit der Spitze des Tfz im km 60,217, in Fahrtrichtung ca. 50 cm nach rechts versetzt, zum Stillstand. Die 22 Reisenden, der Tfzf und der Zugführer blieben unverletzt. // On 30 August 2007, at 17:41 the locomotive 1099-016-6 of train 6836 derailed with 5 of 6 axles between the stations of Peterlee and Winterbach in 60,285 km. The train came to standstill in km 60,217, misplaced about 50 cm to the right-hand-side. The 22 passengers, train driver and train manager remained unhurt.</t>
  </si>
  <si>
    <t>Strecke 15301 von St. Pölten Hbf nach Mariazell, zwischen Hst Winterbach und Hst Puchenstuben,km 60,285,</t>
  </si>
  <si>
    <t>Geringe Schäden am Oberbau und am Triebfahrzeug. // Minor damage to the superstructure of the line and the locomotive.</t>
  </si>
  <si>
    <t>Durch einen verminderten Kraftschluss zwischen Schiene und Schwelle im zu befahrenden Linksbogen kam es zu einer Gleiserweiterung. // Due to a decreased adhesion between rail and sleeper in a left bend, there was a track extension.</t>
  </si>
  <si>
    <t>Mangelhafte Instandhaltung der Gleise. // Insufficient maintenance of the superstructure.</t>
  </si>
  <si>
    <t>CZ-320</t>
  </si>
  <si>
    <t>Trains collision, 01/09/2007, Single track of regional line between stations Bavorov and Vodnany (km 9.915) (Czech Republic)</t>
  </si>
  <si>
    <t>Regional passenger train No. 18003 collided with regional passenger train No. 18032.</t>
  </si>
  <si>
    <t>Single track of regional line between stations Bavorov and Vodnany (km 9.915)</t>
  </si>
  <si>
    <t>Damaged front parts of railcars. Material damage: CZK 137 145.-</t>
  </si>
  <si>
    <t>CZ-321</t>
  </si>
  <si>
    <t>Other, 01/09/2007, Single track regional line between stations Tabor and Slapy (Czech Republic)</t>
  </si>
  <si>
    <t>Derailment of last carriage of regional passenger train No. 28406</t>
  </si>
  <si>
    <t>Single track regional line between stations Tabor and Slapy</t>
  </si>
  <si>
    <t>Damaged 1 boogie of derailed carriage and damaged track. Material damage: CZK 61 040.-</t>
  </si>
  <si>
    <t>BE-363</t>
  </si>
  <si>
    <t>Train derailment, 02-09-07, Genval (Belgium)</t>
  </si>
  <si>
    <t>The third and fourth wagon of an empty freight train derailled in the station on a switch. Parts of the wagons, i.a. wheelsets came on the opposite track and on a side track obstructing also both tracks</t>
  </si>
  <si>
    <t>Genval</t>
  </si>
  <si>
    <t>The damage at the infrasructure (switches rails sleepers) are estimated on 900.000 EUR. The damage on the rolling stock is estimated on 150.000 EUR."</t>
  </si>
  <si>
    <t>The derailment is caused by the releasing of a bandage of a wheel.</t>
  </si>
  <si>
    <t>Wheels with a bandage have a higher risk of problems.  The inspection before de departure of the train has not detected a failure.</t>
  </si>
  <si>
    <t>UK-335</t>
  </si>
  <si>
    <t>Train derailment, 03/09/2007, Between Exhibition Centre and Anderston stations, Glasgow (United Kingdom)</t>
  </si>
  <si>
    <t>The RAIB is carrying out an investigation into a derailment between Exhibition Centre and Anderston stations, Glasgow on 3 September 2007. _x000D_
At 08:36 hrs the rear coach of train 5V06, the 08:34 hrs train from Exhibition Centre siding to Anderston, became derailed on 201A points as it crossed from the down to the up Argyle line. The train consisted of a three car electric multiple unit of class 318. All lines were blocked to traffic and an emergency traction current isolation was taken for both lines.  Two members of staff travelling in the derailed vehicle were slightly injured.  The railway remained closed until the morning of the fifth of September whilst recovery of the train took place.</t>
  </si>
  <si>
    <t>Between Exhibition Centre and Anderston stations, Glasgow</t>
  </si>
  <si>
    <t>Some damage to train minimal damage to track"</t>
  </si>
  <si>
    <t>The immediate cause of the accident was 201A points between Exhibition Centre and Anderston not being fit for the passage of trains in the facing direction.</t>
  </si>
  <si>
    <t>a.the right-hand switch and stock rail of 201A points displayed a severe NR/SP/TRK/053 hazard 2 defect.  This presented an incline for the wheel flange to climb (paragraph 132, No recommendation); 	the Track Inspection Special Examination team did not complete the grinding work necessary and introduced a S035 hazard 2 condition as a result of grinding away a hazard 1 fault that they had previously identified.  The remaining hazard 2 defect was not identified due to the incorrect use of the TGP8 gauge (paragraphs 133 and 134, No recommendation); and c.	the Track Inspection Special Examination team did not apply any lubrication to the ground surface area, as required by letter of instruction NR/BS/LI/063.  This caused increased coefficient of friction between the switch rail and the wheel flange to assist the wheel climb (paragraph 135, No recommendation). * The following factors were considered to be contributory: there was no independent check of the quality of the work completed that identified the hazard 2 fault or the lack of lubrication when the Track Inspection Special Examination  team had finished grinding (paragraph 136, No Recommendation in this report because Recommendation 6 of RAIB Report 2007/44 ‘Derailments at London Waterloo 11 September and 24 October 2007’ remains under consideration with the ORR); and a combination of features present on coach 77244 may possibly have assisted with the flange climb once the wheel climb had been initiated by the hazard 2 condition (No recommendation).* 152.	The underlying cause was that the Track Inspection Special Examination team were not given the opportunity of a practical demonstration of the new TGP8 gauge, and no member of management or training staff followed up to ensure they were applying it correctly (paragraphs 90 and 146, Recommendation 1).*153.	The extent to which coach 77244 rotated and toppled over was unusual in such a slow speed and short distance derailment.  This may be due to the fact that the derailment occurred on slab track where the rail fixtures are connected directly into the base concrete and have very little flexibility under extreme forces.  In ballasted track, there is very often a loosening effect caused by damage incurred to the sleepers (paragraphs 143 and 147, Recommendations 2 and 3).</t>
  </si>
  <si>
    <t>NO-336</t>
  </si>
  <si>
    <t>Trains collision with an obstacle, 05/09/2007, The occurence took place between Strømmen and Lørenskog stations on the Hovedbanen ca. 17 km from Oslo Sentralstasjon. The line is doubletracked, carrying freigt traffic and passenger traffic including suburban trains in the Oslo area. (Norway)</t>
  </si>
  <si>
    <t>A infrastructur works train transporting used rails lost a 3,5 m length of a rail. The length of rail got stuck between the rail of the track for the opposite direction and the last but one waggon of the infrastructure works train. The last two waggons of the works train derailed, detached from the works train and moved into the gauge for the opposite track where they subsequently got hit by a freigt train travelling in the opposite direction.</t>
  </si>
  <si>
    <t>The occurence took place between Strømmen and Lørenskog stations on the Hovedbanen ca. 17 km from Oslo Sentralstasjon. The line is doubletracked, carrying freigt traffic and passenger traffic including suburban trains in the Oslo area.</t>
  </si>
  <si>
    <t>Jernbaneverket; 
CargoNet AS</t>
  </si>
  <si>
    <t>Damage to the derailed waggons on the works train damage to the locomotive on the freight train. Damage to ca. 100 concrete sleepers. One broken rail and a 30 cm dislocation of the track. Line closure for ca. 12 hours."</t>
  </si>
  <si>
    <t>The train crew did not undertake a total inspection of the train and load when closing the loading operation and starting the transport operation</t>
  </si>
  <si>
    <t>The procedures for securing loads and inspection of the train are unclear, defragmented, and do not reflekt the situation when loading used rails to the rail transport train._x000D_
Risk analyses or risk assments had not been done for this  operation</t>
  </si>
  <si>
    <t>HU-467</t>
  </si>
  <si>
    <t>Train derailment, 07/09/2007, Budapest-Keleti station (Hungary)</t>
  </si>
  <si>
    <t>Four passenger coaches of the train Nr 3434 derailed at the switch Nr 6/b.</t>
  </si>
  <si>
    <t>Budapest-Keleti station</t>
  </si>
  <si>
    <t>Infrastructure: the track seriously damaged (cca 240 000 EUR)RS: the passenger coaches seriously damaged (cca 100 000 EUR)"</t>
  </si>
  <si>
    <t>EE-329</t>
  </si>
  <si>
    <t>Level crossing accident, 08/09/2007, Open line between Klooga and Paldiski stations on the Paldiski level-crossing (km 18,1) (Estonia)</t>
  </si>
  <si>
    <t>Passenger train collided with a lorry MAN</t>
  </si>
  <si>
    <t>Open line between Klooga and Paldiski stations on the Paldiski level-crossing (km 18,1)</t>
  </si>
  <si>
    <t>Elektriraudtee AS</t>
  </si>
  <si>
    <t>The truck driver did not make use of the ample view, which opens before reaching the level crossing, to differetiate in the setting rays of sun and the light, reflecting from the approaching train the changing light intensity and the light emission of the headlights and ditch lights, but also the horn sounded by the train.</t>
  </si>
  <si>
    <t>AT-678</t>
  </si>
  <si>
    <t>Train derailment, 09/09/2007, Station Wien Donaukaibahnhof, Track/Gleis 103, km 1,467 (Austria)</t>
  </si>
  <si>
    <t>Entgleisung einer Achs eines Niederflurwagens eines Zuges der "Rollenden Landstraße" bei der Einfahrt in den Bahnhof. //_x000D_
Derailment of an axle of a low loader wagon of a train "Rolling Road" during entry into the station.</t>
  </si>
  <si>
    <t>Station Wien Donaukaibahnhof, Track/Gleis 103, km 1,467</t>
  </si>
  <si>
    <t>Fehlender / gebrochener Federtäger - Broken / missing footing beam of a parabolic spring</t>
  </si>
  <si>
    <t>Technische Änderungen an der Fahrzeugkonstruktion (Federträger) wurden nicht umgesetzt. - Technical changes to vehicle design (footing beam of a parabolic spring) have not been implemented.</t>
  </si>
  <si>
    <t>CZ-355</t>
  </si>
  <si>
    <t>Other, 10/09/2007, Praha-Branik station (Czech Republic)</t>
  </si>
  <si>
    <t>Passenger train No. 9009 departuring Praha-Branik station stopped in front of passenger train No. 19010 waiting by a signal for permission to enter the station. Thanks to emergency braking there was no collision.</t>
  </si>
  <si>
    <t>Praha-Branik station</t>
  </si>
  <si>
    <t>Wrong design of the procedure_x000D_
Supervisors hadn't recognised improper practise</t>
  </si>
  <si>
    <t>CZ-353</t>
  </si>
  <si>
    <t>Trains collision with an obstacle, 20/09/2007, track No. 2, km 16.705 (Czech Republic)</t>
  </si>
  <si>
    <t>Collision of freight train No. 51422 with goods fallen from another train (No. 61310) and consequent derailment.</t>
  </si>
  <si>
    <t>track No. 2, km 16.705</t>
  </si>
  <si>
    <t>CZ-354</t>
  </si>
  <si>
    <t>Level crossing accident, 21/09/2007, Level crossing between Jaromerice nad Rokytnou and Moravske Budejovice stations, km 140.285, level crossing without signalling (traffic sign only) (Czech Republic)</t>
  </si>
  <si>
    <t>Freight train No. 52241 collided with a passenger car on a level crossing.</t>
  </si>
  <si>
    <t>Level crossing between Jaromerice nad Rokytnou and Moravske Budejovice stations, km 140.285, level crossing without signalling (traffic sign only)</t>
  </si>
  <si>
    <t>Car driver violence</t>
  </si>
  <si>
    <t>CZ-385</t>
  </si>
  <si>
    <t>Level crossing accident, 02/10/2007, Between stations Varnsdorf and Seifhennersdorf (Czech Republic)</t>
  </si>
  <si>
    <t>Regional passenger train No. 83077 collided with a truck. The level crossing is equipped with warning lights, but the device was switched off due to maintenance works. Train driver wasn't informed about that.</t>
  </si>
  <si>
    <t>Between stations Varnsdorf and Seifhennersdorf</t>
  </si>
  <si>
    <t>Railtrans</t>
  </si>
  <si>
    <t>FI-491</t>
  </si>
  <si>
    <t>Level crossing accident, 06-10-07, Kempele Sohjanantie / Perälä level crossing, unprotected (Finland)</t>
  </si>
  <si>
    <t>On Saturday 6 October 2007 at 11.36 a.m., a car and a Pendolino train en route from Oulu to Helsinki collided on the Perälä level crossing in Kempele, resulting in the death of the car driver. The train staff and passengers were not injured. _x000D_
The car driver’s destination was a dog fair in Kempele. The driver left the highway at the Oulunsalo ramp, headed in the direction of Oulunsalo, and then turned left towards Kempele town centre. At the Shell service station the driver turned left onto Sohjanantie. According to an eyewitness, the driver drove along Sohjanantie at a low speed, but did not stop at the level crossing’s STOP sign. Pendolino S52 had departed from Oulu towards Helsinki at 11.29 a.m. As the train approached the level crossing at Perälä, the engine driver noticed a car driving along Sohjanantie on the right. After it became apparent that the car was continuing towards the crossing without stopping, the engine driver started emergency braking. The track speed limit at the crossing was 140 km/h, which was also the speed of the train immediately before the collision. The train collided with the left side of the car. The car was caught under the front of the train and was pushed ahead by the train until the train stopped 592 metres from the crossing. The train was not derailed._x000D_
The car was entirelly wrecked and the train’s front structure incurred damage. Traffic along the section of the line came to a halt from 11.40 a.m.–5.00 p.m. Train traffic between Oulu and Liminka was handled by busses while the track was closed. The accident caused damage totalling € 132,000.</t>
  </si>
  <si>
    <t>Kempele Sohjanantie / Perälä level crossing, unprotected</t>
  </si>
  <si>
    <t>The direct cause of the accident was that the car driver drove onto the level crossing without stopping. It is likely that the driver completely failed to observe the train approaching from the left.</t>
  </si>
  <si>
    <t>The driver’s failure to observe the train was probably affected by the following:_x000D_
-	the driver had taken a wrong turn and was driving in an unfamiliar environment_x000D_
-	the driver was looking for a way to turn around because the road ends about 100 metres after the crossing_x000D_
-	people were walking their dogs on the road and the driver (who was going to a dog fair) was probably focused on the pedestrian, child and dogs_x000D_
-	even though it was on a main line with heavy traffic, the level crossing was not equipped with the actively warning installation _x000D_
-	Sohjanantie did not have level crossing approach warning signs_x000D_
-	the Pendolino approached the crossing at 140 km/h_x000D_
-	Sohjanantie runs parallel to the track for about 250 metres before the crossing, and turns directly towards the track only 15 metres before the crossing_x000D_
-	the vegetation between the road and the track impairs the visibility of the track and any trains approaching from the same direction.</t>
  </si>
  <si>
    <t>AT-595</t>
  </si>
  <si>
    <t>Accident to persons caused by RS in motion, 12/10/2007, Strecke 11801, Wien Südbahnhof - Staasgrenze n. Nickelsdorf (Hegyeshalom) (Austria)</t>
  </si>
  <si>
    <t>Am Freitag, 12. Oktober 2007, ab ca. 9:07 Uhr waren drei Mitarbeiter der ÖBB-lnfrastruktur Betrieb AG im Gleis 2 des Bf Götzendorf tätig, um den PZB Gleismagnet des Ausfahrsignals H2 zu überprüfen. Bei den Arbeiten handelte es sich um eine Endkontrolle an der PZB Einrichtung zum Ausfahrsignal H 2, nachdem diese in der Nacht vom 11. auf den _x000D_
12. Oktober bei Bauarbeiten demontiert und wieder aufgebaut wurde. Die drei Mitarbeiter arbeiteten ohne Sicherungsposten und ohne Anmeldung beim Fdl Götzendorf im Gefahrenbereich von Gleis 2, als sie um 9:21 Uhr von Z 2699 überrollt und dabei tödlich verletzt wurden. _x000D_
On Friday, 12 October 2007, from about 9:07 clock three employees of the ÖBB lnfrastruktur operation AG were in track 2 of the Bf Götzendorf in order to review the PZB track-magnet of exit-signal H2. It was the final inspection of the PZB-device of exit signal H 2 after this was removed and built in again in the night of 11th to 12th due to construction work. The three employees were working in the danger area of track 2 without safety guards and without registration at the signaller (FDL) Götzendorf, when there were overwhelmed and mortally wounded at 9:21 by Z 2699 .</t>
  </si>
  <si>
    <t>Strecke 11801, Wien Südbahnhof - Staasgrenze n. Nickelsdorf (Hegyeshalom)</t>
  </si>
  <si>
    <t>SE-366</t>
  </si>
  <si>
    <t>Trains collision near miss, 2007-10-19, Open line between Gothenburg and Uddevalla (Sweden)</t>
  </si>
  <si>
    <t>Trains collision near miss</t>
  </si>
  <si>
    <t>Friday, 19 October 2007 there was a work going on to demolish the old station house in Kode, located between the stations Stenungsund (Snu) and Ytterbyn (Yb) on Bohusbanan. During the process a cable was unearthed, with the result that no signal at the station Kode could show "run" and that level crossings at Skäggstorp and Hedsvägen did not go into protective mode. This meant that all trains in both directions on the route Stenungsund and Ytterbyn have to get orders (orderges) of the signalman that the level crossings did not work._x000D_
When freight train 67373 had clearly shifted in Stenungsund signalman gave information to the train on the problems with the level crossings and recorded this. After getting clear from the signalman in Ytterbyn to send train 67373 from Stenungsund, the signalman in Stenungsund gave a "run" for train and recorded in tamboken (tåganmälansboken) that it  left at Stenungsund. 14:32. The train was then 13 minutes late._x000D_
Since 3743 passenger trains arrived in Stenungsund from Uddevalla controlled signalman in Stenungsund that the train had been informed that the level crossings were out of order. This verification was done by looking on the data were entered in tklboken, which they were. Departure time had come for the train and the signalman put "run" in the signal for the train to Ytterbyn. As the train passed the exit signal in Stenungsund the signalman realised that she had not been given “ready” for the train from the signalman in Ytterbyn and 67373 were out on the route. The safety of a line without a line block system is based on that it may only be one train at a time on the line._x000D_
To stop the train 3743 thought signalman in Stenungsund switch output speed signal to "stop" but then the train had already managed to pass the signal. Therefore the signalman emergency stopped the contact line by pressing the "emergency stop" button to stop both trains on the route._x000D_
The driver of train 3743 had observed that he had no power from the contact line and he contacted the signalman in Stenungsund. He was told that something had happened and he had to stay. The train stopped at the station Stora Höga._x000D_
When the train came to 67373 Ytterbyn the signalman there gave a “ready” to the signalman in Stenungsund. Thereafter, the signalman in Stenungsund contact train 3743 and announced that the train could continue to Ytterbyn. 
Fredagen den 19 oktober 2007 pågick ett arbete med att gräva bort det gamla stationshuset i Kode, som ligger mellan stationerna Stenungsund (Snu) och Ytterby (Yb) på Bohusbanan. Under arbetet grävdes en kabel av, vilket fick till följd att ingen signal på stationen Kode kunde visa ”kör” och att vägskyddsanläggningarna Skäggstorp och Hedsvägen inte gick ned i skyddande läge. Detta medförde att samtliga tåg, i båda riktningar, på sträckan Stenungsund och Ytterby måste få order (orderges) av tågklareraren om att vägskyddsanläggningarna inte fungerade._x000D_
När godståg 67373 hade växlats klart i Stenungsund gav tågklareraren order till tåget om de felaktiga vägskyddsanläggningarna och anteck-nade detta i tklboken (tågklarerarboken). Efter att ha fått klart från tågklareraren i Ytterby att skicka tåg 67373 från Stenungsund ställde tågklareraren i Stenungsund ”kör” för tåget och antecknade i tamboken (tåganmälansboken) att det lämnade Stenungsund kl. 14:32. Tåget var då 13 minuter försenat._x000D_
Då resandetåg 3743 kom till Stenungsund från Uddevalla kontrollerade tågklareraren i Stenungsund att tåget hade fått order om att vägskyddsanläggningarna inte fungerade. Denna kontroll gjordes genom att titta om uppgifterna var införda i tklboken, vilket de var. Avgångstiden var inne för tåget och tågklareraren ställde ”kör” i signalen för tåget mot Ytterby. När tåget passerade utfartssignalen i Stenungsund kom tågklareraren på att hon inte hade fått klart för tåget från tågklareraren i Ytterby och att 67373 var ute på sträckan. Säkerheten för en sträcka utan linjeblockering bygger på att det endast får finnas ett tåg på sträckan mellan Stenungsund och Ytterby._x000D_
För att stoppa tåg 3743 tänkte tågklareraren i Stenungsund ställa om ut-fartssignalen till ”stopp” men då hade tåget redan hunnit passera signalen. Därför nödfrånkopplade tågklareraren kontaktledningen genom att trycka på ”nödstoppen” för att få stopp på båda tågen på sträckan._x000D_
Föraren på tåg 3743 uppmärksammade att han inte hade någon spänning på kontaktledningen och han kontaktade tågklareraren i Stenungsund. Han fick beskedet att något hade hänt och att han måste stanna. Tåget stannade på stationen Stora Höga._x000D_
När tåg 67373 kom till Ytterby lämnade tågklareraren där klart till tågklare¬raren i Stenungsund för tåg 3743. Därefter tog tågklareraren i Stenungsund kontakt med tåg 3743 och meddelade att tåget kunde fortsätta till Ytterby.</t>
  </si>
  <si>
    <t>Open line between Gothenburg and Uddevalla</t>
  </si>
  <si>
    <t>SJ AB; 
Green Cargo AB</t>
  </si>
  <si>
    <t>The direct cause of the incident was that the signalman in Stenungsund had not received a "clear notification" for trains before 3743 exit signal prepared to "go". 
Den direkta orsaken till tillbudet var att tågklareraren i Stenungsund inte hade fått en ”klart-anmälan” för tåg 3743 innan utfartssignalen ställdes till ”kör”.</t>
  </si>
  <si>
    <t>An underlying reason is that the Railway Board did not adequately followed up how Banverket has identified and implemented adequate barriers in the system of train reporting. A technical barrier could have prevented the occurrence. 
En bidragande orsak är att Järnvägsstyrelsen inte i tillräcklig omfattning har följt upp hur Banverket har identifierat och infört tillräckliga barriärer i systemet för tåganmälan. En teknisk barriär hade kunnat förhindra att händelsen inträffade.</t>
  </si>
  <si>
    <t>UK-387</t>
  </si>
  <si>
    <t>Other, 25/10/2007, Near St Johns Wood, City of Westminster (London) (United Kingdom)</t>
  </si>
  <si>
    <t>At 02:40 hrs Engineering staff from Tubelines placed a unit consisting of a battery powered cart and two trailers on the track between St John’s Wood and Baker Street during Engineering Hours work.  When the unit was subsequently moved down the gradient towards Baker Street the driver had difficulty in stopping normally, and the unit collided at slow speed with two manually powered trolleys.  The driver of the unit had shouted a warning, and all staff at the trolleys had stood clear, so no injuries resulted.</t>
  </si>
  <si>
    <t>Near St Johns Wood, City of Westminster (London)</t>
  </si>
  <si>
    <t>The immediate cause of the incident was that the operation of the emergency brake failed to slow the engineering unit at the rate expected by the Track Trolley Operator.</t>
  </si>
  <si>
    <t>1the trailer connected to the electric track trolley, and loaded with 800 kg, had non- operational emergency brakes  2.the second trailer, loaded with 200 kg, had only 50 % operational emergency brakes      3.the poor performance of the braking systems on the engineering unit   4. the mechanical design of the braking system of the trailers was of a sensitive nature which resulted in the emergency brakes jamming in the ‘off’ position on one trailer  5the failure to carry out adequate pre-work brake tests   6.the railhead showed some presence of grease and all wheels of both the electric track trolley and trailers showed high levels of compacted grease    7.  the engineering unit was being driven at approximately 10 mph (16 km/h)   8.the gradient on the approach to and at the point of impact was 1 in 39 downwards   9. despite his training, the Track Trolley Operator did not fully understand the relationship 	between the speed, the gradient and the loading of the unit and the impact that this 	would have on its braking performance and stopping distance.  The Track Trolley Operator was not provided with appropriate reference material to assist him in this matter    10. there was no clearly defined preventative maintenance regime and an absence of maintenance manuals and schedules for both the electric track trolley and trailers    11.the absence of procedures on how pre-work testing should be undertaken by Track Trolley Operators   12. the absence of appropriate reference material on gradients for Track Trolley Operators   13. the design, testing, acceptance and approvals process did not detect that the design of the braking system was deficient and the absence of adequate maintenance documentation</t>
  </si>
  <si>
    <t>AT-615</t>
  </si>
  <si>
    <t>Level crossing accident, 29/10/2007, Strecke Wien - Franz-Josefs-Bahnhof - Staatsgrenze nach Gmünd N.Ö. (Ceske V.), zwischen Hötzelsdorf-Geras und Imfritz, km 102,763 (Austria)</t>
  </si>
  <si>
    <t>Am 29. Oktober 2007, um 18:28 Uhr, ereignete sich auf der mit Andreaskreuz und zuggesteuerter Lichtzeichenanlage gesicherten Eisenbahnkreuzung (EK)im Streckenkilometer 102,763 der ÖBB-Strecke 10901 Wien Franz-Josefs-Bahnhof – Staatsgrenze nach Gmünd N.Ö. (Ceske V.), zwischen Hötzelsdorf-Geras und Irnfritz, ein Zusammenprall des Z 2127 mit einem PKW. Der PKW wurde durch den in Richtung Wien FJBf fahrenden Z 2127 erfasst und laut Ermittlung der Polizeiinspektion Geras ca. 470 m mitgeschliffen. Die beiden Fahrzeuginsassen wurden getötet, der Tfzf, der Zugführer und die 48 Reisenden blieben unverletzt. Am Eisenbahnfahrzeug (Steuerwagen 50 81 8033 111-1) entstand erheblicher Sachschaden. // On 29 October 2007, at 18:28, at the level-crossing in 102,763 kilometer of ÖBB route 10901 Vienna Franz-Josef station - state border to Gmünd N.Ö. (Ceske V.), between Hötzelsdorf-Geras and Irnfritz, occurred a collision of the train 2127 with a car. The level-crossing is fitted with St. Andrew cross and  a light-warning system triggered by the approaching train. The car was hit by train 2127 moving in direction of Vienna FJBf and, according to investigation records and the police inspectorate Geras, dragged about 470 meters. The two car passengers were killed, the train driver, the car driver and the 48 passengers remained unhurt. On rail vehicle (car 50 81 8033 111-1) there was a significant property damage.</t>
  </si>
  <si>
    <t>Strecke Wien - Franz-Josefs-Bahnhof - Staatsgrenze nach Gmünd N.Ö. (Ceske V.), zwischen Hötzelsdorf-Geras und Imfritz, km 102,763</t>
  </si>
  <si>
    <t>Failure to comply with the regulations for the use of the level-crossing by the driver of the road vehicle.</t>
  </si>
  <si>
    <t>CZ-386</t>
  </si>
  <si>
    <t>Level crossing accident, 30/10/2007, Between stations Domasov nad Bystrici and Moravsky Beroun (Czech Republic)</t>
  </si>
  <si>
    <t>Fast train No. 827 collided with a truck. The truck stuck on the crossing due to breakdown.</t>
  </si>
  <si>
    <t>Between stations Domasov nad Bystrici and Moravsky Beroun</t>
  </si>
  <si>
    <t>AT-684</t>
  </si>
  <si>
    <t>Train derailment, 31/10/2007, ÖBB-Strecke 22201, Bahnhof Schwarzach-St. Veit - Villach Hauptbahnhof, Tauerntunnel (8371 m lang). ÖBB-Line 22201, Station Schwarzach-St. Veit - Station Villach Hauptbahnhof, Tauerntunnel (8371 m long). (Austria)</t>
  </si>
  <si>
    <t>Am 31. Oktober 2007, um ca. 02:55 Uhr, kurz nach Einfahrt in den Tauerntunnel (zwischen Bf Mallnitz-Obervellach – Bf Böckstein) erfolgte ein Durchriss einer Radscheibe der dritten Achse des 7. Wagens von Z 54352. Nach Bruch und Verlust einzelner Radteile kam es zur Entgleisung des 7. Wagens (Kesselwagen) und des 8. Wagens. Durch Einwirkung des entgleisten 7. Wagens auf den 6. Wagen (Kesselwagen) kam es bei diesem zu einem geringfügigen Austritt von Gefahrgut (NATRIUMHYDROXIDLÖSUNG, Gefahrennummer 80, UN Nr. 1824, II, 8). // On 31 October 2007, at about 02:55, shortly after entry into the Tauerntunnel (between Station Mallnitz-Obervellach and Station Böckstein) was a through-going crack of a wheel of the third axis of the 7th wagon of train 54352. After burst and loss of diverse parts of the wheel, the 7th wagon and 8th wagon derailed. Through the action of the derailed 7th wagon to the 6th wagon (tankwagon) happend a slight leakage of dangerous goods (NATRIUMHYDROXIDSOLUTION, risk number 80, UN No. 1824, II, 8).</t>
  </si>
  <si>
    <t>ÖBB-Strecke 22201, Bahnhof Schwarzach-St. Veit - Villach Hauptbahnhof, Tauerntunnel (8371 m lang). ÖBB-Line 22201, Station Schwarzach-St. Veit - Station Villach Hauptbahnhof, Tauerntunnel (8371 m long).</t>
  </si>
  <si>
    <t>Die Ursache für die Entgleisung war eine gebrochene Radscheibe.// The cause of the derailment was a broken wheel.</t>
  </si>
  <si>
    <t>Auf Grund der vorliegenden Gutachten wurde nachgewiesen, dass die Radlaufflächen der untersuchten Räder zum Zeitpunkt des Unfalls keine intensive thermische Beanspruchung aufwiesen. Somit ist als Ursache für die Rissbildung die thermische Überbelastung vor der letzten planmäßigen Instandhaltung im Februar 2004 anzusehen. // Because of this expertise has been demonstrated, that the running surfaces detected the wheels at the time of the accident, no intense thermal attacks act. Hence, the cause of the crack, the thermal overload before the last scheduled maintenance in February 2004.</t>
  </si>
  <si>
    <t>UK-388</t>
  </si>
  <si>
    <t>Other, 01/11/2007, Tooting Broadway (London) (United Kingdom)</t>
  </si>
  <si>
    <t>At 14:35 hrs a passenger was alighting from a tube train on the Northern Line at Tooting Broadway when her coat was trapped by the closing door.  The passenger was dragged some distance along the platform by the departing train before she managed to free herself.</t>
  </si>
  <si>
    <t>Tooting Broadway (London)</t>
  </si>
  <si>
    <t>The immediate cause of the accident was the train operator starting the train while an item of passenger’s clothing was trapped in a bodyside door</t>
  </si>
  <si>
    <t>1. The causal factors were:a. the train operator did not observe that all passengers were clear of the train doors before starting the train at Tooting Broadway b.the train operator exclusively observed the line ahead while the train departed from Tooting Broadway instead of also monitoring the station platform  c.the passenger leaving the train very shortly before departure d.   the train operator concentrated on avoiding passing a signal at danger to the exclusion of monitoring the conditions on the platform</t>
  </si>
  <si>
    <t>HU-468</t>
  </si>
  <si>
    <t>Trains collision with an obstacle, 02/11/2007, Line 100: Pestszentlorinc station (Hungary)</t>
  </si>
  <si>
    <t>The station is under reconstruction, therefore lorries drove next to the platforms. One of the lorries (laden with gravel) collided the train Nr 63203._x000D_
(Investigated commonly with the accident 02/11/2007 13:46)</t>
  </si>
  <si>
    <t>Line 100: Pestszentlorinc station</t>
  </si>
  <si>
    <t>HU-469</t>
  </si>
  <si>
    <t>The station is under reconstruction. After the morning collision a lorry collided again with a train (Nr 6205)._x000D_
(Investigated commonly with event 02/11/2007 09:24)</t>
  </si>
  <si>
    <t>FI-490</t>
  </si>
  <si>
    <t>Train derailment, 11/3/2007, Vainikkala railway yard (Finland)</t>
  </si>
  <si>
    <t>On Saturday 3 November 2007 at 12.59 p.m., one wheelset of a locomotive was derailed at a railway yard turnout in Vainikkala when a shunting unit was pushing wagons onto the track. The turnout tongue was twisted and the Railex locking device was damaged.</t>
  </si>
  <si>
    <t>Vainikkala railway yard</t>
  </si>
  <si>
    <t>The incident occurred because the shunting worker had pressed the local turnout button_x000D_
twice under the locomotive. The first wheelset derailed during the first change in position._x000D_
The shunting worker gave the second command before the first operation was_x000D_
complete, with the result that the point blades started turning back and the locomotive’s_x000D_
remaining wheelsets were directed correctly along the track.</t>
  </si>
  <si>
    <t>DK-565</t>
  </si>
  <si>
    <t>Train derailment, 11/4/2007, Switch 05 in eastern end of Ringsted station, Zealand (Denmark)</t>
  </si>
  <si>
    <t>The leading car of the train (push-pull train with the locomotive in the back) derailed when passing af switch in wrong position. The driver and his instructor believed, that the green signals was for their train as this was also indicated by the cab-signal of the ATC-system</t>
  </si>
  <si>
    <t>Switch 05 in eastern end of Ringsted station, Zealand</t>
  </si>
  <si>
    <t>The assessment of AIB states that the FC manager and the driver have exchanged the required statement that the signals were put on "stop" and that the driver and a driving instructor took in 1260 on the basis of signs and not least on the basis of cab signal has assumed that there was again signaling the exit of the train and on that basis resumed driving without contacting FC manager._x000D_
The cause of the derailment and the serious danger was therefore:_x000D_
• Commissioning - continuing running - without the agreed contact with FC manager including as a result of the apparent correlation between signaling and cab signal; _x000D_
• the possibility of a train - e.g. as a result of the point-shaped ATC systems building - could stop with the cab immediately after a signal without the subsequent track circuit was occupied and  _x000D_
• The next signal was common for multiple tracks and _x000D_
• that the received ATC information that allowed further travel was not reset in connection with the cessation of the PU F4. _x000D_
It is also AIB believes that the circumstances of this accident has identified a flaw in the interaction between interlocking and ATC.</t>
  </si>
  <si>
    <t>UK-389</t>
  </si>
  <si>
    <t>Other, 04/11/2007, Romford (Gidea Park), Essex (United Kingdom)</t>
  </si>
  <si>
    <t>Between 09.30 hrs and 10.00 hrs engineering staff were placing a road rail machine, a mobile elevating working platform, onto the track at Brentwood to use in an engineering possession.  When the machine was placed on the track, it immediately ran away towards London, travelling a total of some seven miles before being stopped west of Romford.  The operator of the machine jumped from it at Gidea Park, and received minor injuries, but otherwise no-one was injured, and there was no physical damage.  The machine came to rest on the down Electric Line near Romford, and that line was closed until the evening of 4 November whilst investigations took place.</t>
  </si>
  <si>
    <t>Romford (Gidea Park), Essex</t>
  </si>
  <si>
    <t>The immediate cause of both incidents was that the RRVs started to run away because of the actions carried out during their on/off-tracking.  They resulted in each of the RRVs being put in a condition where their rail wheels carried the full weight of the machine, but were unbraked - by either a direct or an indirect means (paragraph 173).</t>
  </si>
  <si>
    <t>The following factors were causal to the incident at Brentwood: During on-tracking, not observing that, because the locking pins were incorrectly located, there was no contact between the rail and road wheels at the holding end (steered-end) before the rail gear was lowered at the opposite end (paragraph 177); and On site, and before starting to on-track, the operator did not reach an understanding with the machine controller regarding the specific actions each were going to take.  No procedure or training specifically required this (paragraph 204). The following factor was causal to the incident at Birmingham Snow Hill: During off-tracking there was no check for contact between the rear rail and road wheels before deciding to raise the front rail gear.  No training was identified that specifically required this (paragraph 182).  The following factors were contributory to the incident at Brentwood: The general lack of awareness of the scope of the Sentinel competencies held by the machine controller, and that although they showed he was competent to control the Basket 14 RRV they did not show that he could assist the operator with on-tracking it.  It is possible there are other organisations operating RRVs that do not realise that machine controllers may need additional training so they can assist with on/off-tracking (paragraph 210).No previous appreciation that incorrectly located locking pins on a Basket 14 RRV can prevent braking being re-established, because the rail gear arms cannot fully lower, and therefore, that no mitigation measures were implemented to address this risk (paragraph 226a). The machine controller’s decision to press the emergency stop button, which  prevented braking from being able to be re-established because hydraulic power was cut (paragraph 226b).  The following factors were contributory to the incident at Birmingham Snow Hill: the decision that an interlock was not needed in the rail gear deployment system of a TD-18 RRV  in response to the Improvement Notice issued by the ORR (paragraph 193); during off-tracking it was not ensured that the gear selector was in ‘neutral’ (paragraph 184); and the operator of the TD-18 RRV having insufficient time to decide the correct course of action for re-establishing braking (paragraph 229).</t>
  </si>
  <si>
    <t>FR-397</t>
  </si>
  <si>
    <t>Train derailment, 09/11/2007, The train derailled between the stations of Mirabeau and Meyrargues on the line between Marseilles and Veynes at Km 365,800. (France)</t>
  </si>
  <si>
    <t>The train was running at 105 km/h when he passed on a broken rail. The first boggies of the locomotive and of the two first coaches (out of four) derailled.</t>
  </si>
  <si>
    <t>The train derailled between the stations of Mirabeau and Meyrargues on the line between Marseilles and Veynes at Km 365,800.</t>
  </si>
  <si>
    <t>DE-393</t>
  </si>
  <si>
    <t>Accident to persons caused by RS in motion, 12/11/2007, Schlüchtern, Strecke: Hanau-Fulda Nr. 3600; Weiche 227 (Germany)</t>
  </si>
  <si>
    <t>Eurocity 75 prallte im Bahnhof Schlüchtern auf Personen, die an der Weiche 227 Schweißarbeiten durchführten. 
Eurocity 75 hit the persons who performed welding at the switch 227, in the station Schlüchtern.</t>
  </si>
  <si>
    <t>Schlüchtern, Strecke: Hanau-Fulda Nr. 3600; Weiche 227</t>
  </si>
  <si>
    <t>Fehlverhalten Mitarbeiter; Fahrwegsicherung mangelhaft 
Employee misconduct, deficient infrastructure protection</t>
  </si>
  <si>
    <t>UK-398</t>
  </si>
  <si>
    <t>Accident to persons caused by RS in motion, 13/11/2007, Near London Victoria Station (United Kingdom)</t>
  </si>
  <si>
    <t>The RAIB is carrying out an investigation into an incident when a member of staff was hit by a train and injured near London Victoria station on 13 November 2007. Shortly after 14:00 hrs train 2A32, the 13.00 Maidstone East – London Victoria was approaching London Victoria station on the up Chatham fast line at Grosvenor Road Bridge.  A team of three permanent way staff were inspecting the line on the adjacent down Chatham fast line, and the Controller of Site Safety, or COSS, was struck by the train as it reached him.</t>
  </si>
  <si>
    <t>Near London Victoria Station</t>
  </si>
  <si>
    <t>The immediate cause of the accident was that the COSS moved away from the line under lookout protection and toward an adjacent line on which a train was approaching.</t>
  </si>
  <si>
    <t>Causal factors were the COSS walking behind the lookout and not informing the lookout that he was going near to the Up Chatham Fast line (paragraph 128, No recommendation) and	the lack of response to the warning horn of the approaching train by the COSS and his apparent lack of awareness of the train’s position (paragraph 127, no recommendation).  The following factor was probably causal the driver of train 2A32 not registering the danger immediately before the accident and not sounding a further warning blast or repeated urgent warning blasts on the horn (paragraphs 137 to 140, no recommendation). The following factors were considered to be contributory - the length of time from the initial short blast on the horn until the train arrived at the site of the accident (paragraph 136, no recommendation); having an additional team member who by his presence changed the usual dynamics and reduced the ability of the COSS and lookout for walking close to each other (paragraph 111, no recommendation); and the need for the COSS to cross over towards the Up Chatham Fast line in order to look at the track hidden between the parapets of the Grosvenor Road Bridge (paragraph 121, no recommendation).  The following factors were considered to be possibly contributory - 	the lack of a complete briefing by the COSS to the trainee and lookout (paragraphs 113 and 114, no recommendation); the lookout not challenging the COSS, probably due to the strong personality of the COSS within the group (paragraph 115, Recommendation 1); and the lack of head protection being worn by the COSS which may have reduced the effects of being struck by the train (paragraph 147, Recommendation 3). The underlying causes were:  the high level of administrative duties undertaken by the Track Section Manager that restricted his checks of the basic visual track inspection activities (paragraph 153, no recommendation); and the close working relationships, culture and banter within the work group distracted them from following the safety rules whilst working on the track (paragraph 163, Recommendation 4). A possible underlying cause was the lack of a comprehensive and documented method of local supervision of track examination teams that included their inspection methods and attitudes (paragraph 156, Recommendation 4).</t>
  </si>
  <si>
    <t>PL-394</t>
  </si>
  <si>
    <t>Level crossing accident, 15/11/2007, the level crossing on which the accident has occured is located on the line no 131 section Terespol Pom. - Parlin. millage km. 405,859; the level crossing is equipped with automatic signalisation (red lights) without barriers nor semi-barriers; according (Poland)</t>
  </si>
  <si>
    <t>State Commission on Rail Accident Investigation</t>
  </si>
  <si>
    <t>The accident took place on 15.Nov.2007 at 12:58 CET on the level crossing of the line no 131. The road truck vehicle SCANIA with loaded trailer with heavy paper units went on the level crossing although the level crossing signalisation was active (red lights) as a result of which the passenger fast train no 57102 going in destination Gdynia - Zielona Góra collided with the road truck on the level crossing. The speed of the train was 109km/h - the max. permited speed on the line is 120 km/h. The visual and wheather condition was good without rain fall, temperature +3 degree Celsious.The railway line consists of 2 tracks.    _x000D_
As a result of collision seriuos demages in rolling stock, infrastructure and staff (2 killed persons) were made. The basic cause is being investigating by the railway commision. According to Polish law - decree of Minstry of Transportation dated 30.April 2007 (Official Journal No 89 posit. 593 - see as the atachement), The President of the PKBWK Mr Tadeusz Rys appointed Mr Andrzej Gniwek - Member of PKBWK for being a chairman of the railway commision investigating the accident. PKBWK will supervise the activity of railway comission by Mr Gniwek - chairman of the railway comission.</t>
  </si>
  <si>
    <t>Poland</t>
  </si>
  <si>
    <t>the level crossing on which the accident has occured is located on the line no 131 section Terespol Pom. - Parlin. millage km. 405,859; the level crossing is equipped with automatic signalisation (red lights) without barriers nor semi-barriers; according</t>
  </si>
  <si>
    <t>PKP Cargo S.A.; 
PKP Przewozy Regionalne Sp. z o. o. (Ltd)</t>
  </si>
  <si>
    <t>PKP Polskie Linie Kolejowe S.A.</t>
  </si>
  <si>
    <t>1. Driving the railway crossing by the road truck whilst railway level crossing automatic signalisation was active (red flashing light) 2. Uncausion and lack of observation of the automatic signalization by road truck driver The driver of the road truck has ignored the traffic regulation that stays that driving the railway crossing while the red signal is flashing is not allowed</t>
  </si>
  <si>
    <t>CZ-395</t>
  </si>
  <si>
    <t>Train derailment, 19/11/2007, Station: Lestina u Svetle, switches 1 and 3 (Czech Republic)</t>
  </si>
  <si>
    <t>Derailment of three last wagons of freight train No. 64203 during passage of Lestina u Svetle station.</t>
  </si>
  <si>
    <t>Station: Lestina u Svetle, switches 1 and 3</t>
  </si>
  <si>
    <t>Axle bearing failure</t>
  </si>
  <si>
    <t>None_x000D_
None</t>
  </si>
  <si>
    <t>FI-492</t>
  </si>
  <si>
    <t>Level crossing accident, 21-11-07, Lahti, Heikinpellontie / Unprotected Heikinpellontie level crossing, Lahti - Heinola section of line. (Finland)</t>
  </si>
  <si>
    <t>On 21 October 2007 at 12.55 p.m., a fatal level crossing accident occurred on an unprotected level crossing along Heikinpellontie road in Lahti. The accident occurred when a car on Heikinpellontie road drove without stopping in front of a locomotive on route from Lahti to Heinola. The driver, who was the sole person in the car, died instantly.</t>
  </si>
  <si>
    <t>Lahti, Heikinpellontie / Unprotected Heikinpellontie level crossing, Lahti - Heinola section of line.</t>
  </si>
  <si>
    <t>Crossing the unprotected level crossing safely depends solely on correct observation by the driver. The accident occurred because the driver did not observe the train.</t>
  </si>
  <si>
    <t>A significant contributing factor was that the driver did not stop before the crossing. The crossing angle and the upslope of the road towards the level crossing may also have impeded visibility. The driver’s familiarity with the crossing and impression that there is very little traffic on it may have influenced the driver’s decision not to stop.</t>
  </si>
  <si>
    <t>FR-402</t>
  </si>
  <si>
    <t>Trains collision, 21/11/2007, Two trains collide at Km 28.300 on a single track betwween Ponte-Nuovo and Casamozza (France)</t>
  </si>
  <si>
    <t>One of the train hasn't stopped in non permanent station for waiting the other train.</t>
  </si>
  <si>
    <t>Two trains collide at Km 28.300 on a single track betwween Ponte-Nuovo and Casamozza</t>
  </si>
  <si>
    <t>Chemin de Fer de la Corse</t>
  </si>
  <si>
    <t>NO-396</t>
  </si>
  <si>
    <t>Trains collision, 21/11/2007, On Saeter bridge on line 19, between Saeter and Ljabru stops. (Norway)</t>
  </si>
  <si>
    <t>The first tram had just left Saeter stop and where travelling in about 20 km/h when the second tram run into the first tram in about 45 km/h.</t>
  </si>
  <si>
    <t>On Saeter bridge on line 19, between Saeter and Ljabru stops.</t>
  </si>
  <si>
    <t>Lack of technical barriers in infrastructure</t>
  </si>
  <si>
    <t>SE-459</t>
  </si>
  <si>
    <t>Fire in RS, 2007-11-24, Outside Grötingen which is located on the main line between Ånge and Långsele. (Sweden)</t>
  </si>
  <si>
    <t>On November 24, 2007. 14:35, a fire occurred in a track driven machine outside the station in Grötingen._x000D_
The working machine, DSS 1866B, went idle in the transport of freight and would be transported from Vännäs to Ånge with departure at. 10:00 am. After 250 km the driver got off the train to see smoke coming from one of the wagons rear of the train outside station Grötingen. The driver stated that the smoke came from DSS 1866B._x000D_
The driver pulled the train Grötingen station and parked there and waited for rescue. _x000D_
_x000D_
The process went very quickly with high flames that shot out from the working machine engine compartment and burned by contact line. At the moment had working machine one shift that was not working. The link arms had been placed in the disengaged position of the gearbox with straps to allow for the transport of the vehicle._x000D_
_x000D_
Earlier, it had on the working machine performed electrical installations of its own staff._x000D_
There is nothing that prevents that his staff on work machines perform maintenance and repairs on their own. Furthermore, there is no follow-up system where repairs or maintenance checked or controlled by machine manager at Banverket. 
Den 24 november 2007 kl. 14:35 inträffade en brand i en spårarbetsmaskin utanför stationen i Grötingen._x000D_
Arbetsmaskinen, DSS 1866B, gick overksam i transport i ett godståg och skulle transporteras från Vännäs till Ånge med avfärd kl. 10:00. Efter 250 km fick föraren av tåget se rök från en av vagnarna bak i tågsättet utanför stationsområdet till Grötingen. Föraren konstaterade att rökutvecklingen kom från DSS 1866B._x000D_
Föraren körde in tåget på Grötingen station och parkerade där och inväntade räddningstjänst. Brandförloppet gick väldigt snabbt med höga lågor som slog ut från arbetsmaskinens motorutrymme och brände av kontaktledningen._x000D_
Vid tillfället hade arbetsmaskinen en växelförare som var ur funktion. Länkarmarna hade ställts i urkopplat läge för växellådan med spännband för att möjliggöra transporten av fordonet._x000D_
Tidigare hade det på arbetsmaskinen utförts elektriska installationer av den egna personalen._x000D_
Det finns inget som förhindrar att den egna personalen på arbetsmaskinerna utför underhåll och reparationer på egen hand. Vidare finns inget uppföljningssystem där reparationer eller underhåll granskas eller kontrolleras av maskinansvarig inom Banverket.</t>
  </si>
  <si>
    <t>Outside Grötingen which is located on the main line between Ånge and Långsele.</t>
  </si>
  <si>
    <t>DSS 1866B caught fire and was completely destroyed during transport in Gt 36577 between Vännäs and Ånge. The evidence suggests that this was caused by an electrical fault and a short in a power cable with the battery voltage between the main switch and live parts of the machine._x000D_
Contributing cause was the nearby hydraulic hoses that blew upon contact with the energized power cable and then also ignited the leaking hydraulic fluid. 
DSS 1866B fattade eld och totalförstördes under en transport i Gt 36577 mellan Vännäs och Ånge. Mycket tyder på att detta orsakades av ett elfel och en kortslutning i en elkabel med batterispänning mellan huvudströmbrytaren och spänningssatta delar av maskinen._x000D_
Bidragande orsak var de närliggande hydraulslangar som bränts av vid kontakt med den spänningssatta elkabeln och som sedan också antänt den utläckande hydrauloljan.</t>
  </si>
  <si>
    <t>Underlying causes were that is to banverket machine performing their own installations without consulting shops or person responsible for the machine. This meant that the electrical system functioned poorly and was under-dimensioned, causing a short circuit. Lack of sprinkler system on the machine meant that the machine was completely destroyed. 
Bakomliggande orsaker var att är att banverkets maskinoperatörer utfört egna installationer utan att rådgöra med verkstäderna eller maskinansva-rig. Detta medförde att elsystemet fungerade bristfälligt och underdimensionerat vilket orsakade kortslutning. Avsaknad av sprinkleranläggning på maskinen medförde att maskinen totalförstördes.</t>
  </si>
  <si>
    <t>FR-403</t>
  </si>
  <si>
    <t>Level crossing accident, 26/11/2007, Accident on level crossing n°11, located at Saint-Médard between Rennes (35) and Dol de Gretagne (35) (France)</t>
  </si>
  <si>
    <t>A lorry carrying stones was stopped on the level crossing when it closed. The rain hurt it at the about speed of 105 km/h. More than 40 passengers have been slightly injured.</t>
  </si>
  <si>
    <t>Accident on level crossing n°11, located at Saint-Médard between Rennes (35) and Dol de Gretagne (35)</t>
  </si>
  <si>
    <t>The level crossing was narrow and in a curve and the truck has been hampered in its progress by the presence of a road construction site just before the crossing and by a farm tractor that came across.</t>
  </si>
  <si>
    <t>CZ-406</t>
  </si>
  <si>
    <t>Train derailment, 27/11/2007, Station Bystrice nad Olsi, points No. 15 (Czech Republic)</t>
  </si>
  <si>
    <t>Derailment of engine of freight train No. 80203 during arrival to the station with consequent leak of 2000 litres of fuel.</t>
  </si>
  <si>
    <t>Station Bystrice nad Olsi, points No. 15</t>
  </si>
  <si>
    <t>BE-417</t>
  </si>
  <si>
    <t>Accident to persons caused by RS in motion, 29-11-07, La Hulpe (Belgium)</t>
  </si>
  <si>
    <t>Railway workers were working in the track.  They polished a weld that was made the day before to connect a switch to the rails.The persons on watch omitted to inform then for an oncoming train.They don't leave the track, were overrun and killed by the train.</t>
  </si>
  <si>
    <t>La Hulpe</t>
  </si>
  <si>
    <t>La cause de l’accident est une application incorrecte et nonchalante de la réglementation au sujet de la sécurité des chantiers dans les voies : _x000D_
- le chef de chantier n’a pas veillé au respect de l’application stricte des mesures de sécurité à respecter par le dispositif dont il avait la charge ;_x000D_
- le factionnaire 1 à distance ne présente pas son signal mobile d’arrêt (drapeau rouge) en temps opportun ;_x000D_
- le factionnaire 2 à hauteur du chantier ne détecte pas (ni à la vue, ni à l’ouïe) l’arrivée d’un train « non annoncé » et ne fait donc pas dégager le chantier d’urgence ;_x000D_
- le factionnaire 2 se trouvait dans la voie A proche de la meuleuse dans un environnement trop bruyant. (le klaxonnement du conducteur, l’ annonce radio,.. ;)._x000D_
_x000D_
Le conducteur du train E4629 a vu l’équipe à une distance de environ 500m, il a klaxonné, mais il a commencé le freinage qu’au dernier moment (50m avant le chantier). 
The cause of the accident was the incorrect and careless application of regulations concerning the safety on working sites in the tracks:_x000D_
- The foreman did not ensure compliance with the strict application of security measures to be respected by the device which he was responsible;_x000D_
- The person on watch 1 at a distance did not show a mobile stop signal (red flag) timely;_x000D_
- the person on watch 2 at the place of the work did not detect (sight nor hearing) the arrival of an "unreported" train and therefore did not clear the site immediately;_x000D_
- The person on watch was in track A close to the grinding machine in a too noisy environment. (the driver honking the horn, the radio announcement, ..)._x000D_
_x000D_
The driver of the train E4629 saw the team of workers at a distance of about 500m, he honked the horn, but he started braking at the last moment (50m before the site).</t>
  </si>
  <si>
    <t>UK-399</t>
  </si>
  <si>
    <t>Accident to persons caused by RS in motion, 29/11/2007, Near Reading Station (United Kingdom)</t>
  </si>
  <si>
    <t>The RAIB is carrying out an investigation into a member of staff being struck and killed by a train near Reading station on 29 November 2007. _x000D_
At 04:52 hrs the Person in Charge of Possession handed back an engineering possession of the down and up relief lines between Reading East and Slough West.  At 04:55 hrs train 5W01, a Class 165 diesel multiple unit running empty from Reading to Slough on the up relief line struck the person responsible for removing the protection at the Reading end of the possession as he was returning to the access point.  He died from his injuries. There were no other casualties.</t>
  </si>
  <si>
    <t>Near Reading Station</t>
  </si>
  <si>
    <t>The immediate cause of the accident was the Reading BRM walking in the four foot of the up relief line, but without looking up sufficiently frequently to make sure that he had enough warning of an approaching train.  He was unable to reach a position of safety in sufficient time when a train approached.</t>
  </si>
  <si>
    <t>1. the Reading BRM’s decision to use an umbrella in preference to the waterproof clothing with which he had been provided, which obscured his vision   2. the Reading BRM’s decision to use the four-foot of the up relief line as a walking route, in preference to the cess without using his knowledge and experience as a COSS and IWA to ensure his own safety    3. 	the Reading BRM’s lack of adherence to the safe system of work which led to his 	informing the PICOP that detonator protection had been removed, thereby allowing the T3 possession to be given up, before he had returned to a permanent position of safety    4.the lack of guidance on how to withdraw the protection while maintaining a 				safe working area, which resulted in the Reading BRM electing to remove the up 				relief protection first and being in a position to confirm that all detonator protection had been removed, while he was still remote from the access point  5. the unusually short timescale between his confirmation that the detonator protection was removed and the arrival of the first train, which may have caught the Reading BRM unawares     6. the effects of darkness and inclement weather which resulted in the Reading BRM being less visible to the train driver    7. the requirement for staff to access the track in order to place and remove detonator protection   8. the lack of safety briefings which would have raised the Reading BRM’s general  awareness of track safety issues     9.the absence of site visits by the Reading BRM’s line manager, the possession co-ordinator, which denied the opportunity for his behaviour to be observed and possible safety improvements to be suggested  10.the possession co-ordinator’s workload which, following reorganisations, resulted in him being unable to adequately manage safety critical issues affecting his team   11. the lack of a robust process for monitoring the completion of safety tours and planned general safety inspections, leading to an ongoing lack of awareness by the infrastructure maintenance manager of these omissions  12The position of the possession limit boards were not marked or otherwise indicated on site.  The weighted feet remained in position between possessions (Figure 3), but these were not fixed down and were observed to move between site visits made by the RAIB.  The lack of markings would make it difficult for a BRM, or a manager, to confirm that protection was being positioned in the correct place .</t>
  </si>
  <si>
    <t>CZ-407</t>
  </si>
  <si>
    <t>Train derailment, 01/12/2007, Open line between odbocka Kyje and Praha-Bechovice (Czech Republic)</t>
  </si>
  <si>
    <t>Derailment of all carriages of high speed electric unit (Pendolino) (train speed 100 km/h)</t>
  </si>
  <si>
    <t>Open line between odbocka Kyje and Praha-Bechovice</t>
  </si>
  <si>
    <t>FR-411</t>
  </si>
  <si>
    <t>Level crossing accident, 03/12/2007, The accident occurs at level crossing n°10, km 9, at Cadaujac beetween Bordeaux (Gironde) et Agen (France)</t>
  </si>
  <si>
    <t>A car has crossed the automatic level crossing as it was closed._x000D_
The three passengers of the car died.</t>
  </si>
  <si>
    <t>The accident occurs at level crossing n°10, km 9, at Cadaujac beetween Bordeaux (Gironde) et Agen</t>
  </si>
  <si>
    <t>UK-405</t>
  </si>
  <si>
    <t>Trains collision, 05/12/2007, Glen Garry, near Blair Atholl and Dalwhinnie (United Kingdom)</t>
  </si>
  <si>
    <t>The collision occurred during a T3 possession of the Highland main line between Blair Atholl and Dalwhinnie. The incident involved a road/rail excavator hauling a loaded trailer. The road/rail vehicle (RRV) was towing the trailer down a 1:70 gradient in heavy rain and was unable to stop when it approached a worksite where another RRV was operating on the adjacent track. Staff at the worksite narrowly avoided injury by jumping clear and a minor collision between the two RRVs ensued. A serious collision was narrowly avoided by prompt warning from a member of site staff and a prompt response by the operator of the static RRV who was able to raise its boom above the approaching RRV.</t>
  </si>
  <si>
    <t>Glen Garry, near Blair Atholl and Dalwhinnie</t>
  </si>
  <si>
    <t>The RAIB concludes that the friction at the site was less than for wet rail and has therefore concluded that contamination of the rails from the tree clearance work was likely.  This, combined with the wet weather, lowered friction to the point where the RRV had insufficient brake force to stop itself and the loaded trailer on the gradient and this is regarded as the immediate cause of this incident (paragraph 104 and Recommendations 2 and 3).</t>
  </si>
  <si>
    <t>Analysis of the results of the tests carried out with the RRV and trailer showed that the RRV could stop its own weight on the gradient in the conditions that were likely to have prevailed on the night but could not stop itself and the loaded trailer. The use of a trailer with no service brakes is allowed by both GM/RT1300 and RIS-1530-PLT.  The use of a near-fully loaded trailer with no service brake is a causal factor in this incident (paragraphs 98 and 103 and Recommendations 6 and 7).* Following the incidents at Stockport in August 2004 (paragraph 87), the Network Rail investigation recommended the publication of gradient information to their contractors.  This was not done at Glen Garry.  No information on gradient was provided to Edmund Nuttall Ltd.  The RAIB investigation into the runaway of a trolley at Larkhall recommended that Network Rail make their contractors aware of the risk of gradient and contamination on brake performance (of trolleys, in this case).  Network Rail not providing gradient information to their contractors is one of the contributory factors in this incident (paragraphs 87 and 95 and Recommendation 1). *  The machine controller not being made aware of the gradient and potential for rail contamination is a contributory factor (paragraph 40).  * The low tyre pressure is not regarded as causal as the friction available between rail wheel and rail was insufficient to hold the RRV and trailer and the increased tyre pressure would not have helped this.  The low tyre pressure may, however, have been contributory as correcting it would have improved the likelihood of the RRV stopping before it encountered the rail contamination or stopping more quickly once the contamination was passed (paragraph 106).  * The speed of the RRV as it approached the site of the work was higher than allowed in the rule book.  If the RRV had been travelling at a lower speed it would have improved the likelihood of it stopping before encountering the rail contamination and so the speed of the RRV is considered a possible contributory factor (paragraph 111 and Recommendation 4). *  The operator of the RRV was relatively inexperienced and was not aware of some of the actions he could have taken to stop the RRV in an emergency.  In particular, applying the handbrake on the RRV would also have applied the parking brakes on the trailer and provided some additional braking force. Operators are not trained in what to do in an emergency such as this and this lack of briefing is regarded as a contributory factor (paragraph 81 and Recommendation 5). * The practice of having one large work site within a possession leads to RRVs having to travel long distances at walking pace according to the rule book, unless the engineering supervisor authorises a higher speed (paragraph 109).  The time taken to transition such work sites may encourage operators to exceed the speed limit.  The speed of the RRV is a possible contributory factor (paragraphs 113, 120 and Recommendation 4), and the practice identified is a possible contributory factor to the speed of the RRV in the incident. *  The underlying cause of the incident was that Network Rail did not understand:  the need to warn Edmund Nuttall Ltd of the gradient at the site; and the potential of rail contamination affecting RRV operations</t>
  </si>
  <si>
    <t>CZ-408</t>
  </si>
  <si>
    <t>Train derailment, 06/12/2007, Station Ostrava-Kuncice, points No. 89 (Czech Republic)</t>
  </si>
  <si>
    <t>Derailment of regional electric unit (train No. 3425) on arrival to the station</t>
  </si>
  <si>
    <t>Station Ostrava-Kuncice, points No. 89</t>
  </si>
  <si>
    <t>RO-414</t>
  </si>
  <si>
    <t>Train derailment, 13/12/2007, Comarnic station belong to Bucharest Railway County, on the south of the romanian railway network, at 106 km north of Bucharest. (Romania)</t>
  </si>
  <si>
    <t>The long distance passenger train no. 1641, formed of 15 passenger wagons, was on the route from Bucharest to Baia Mare. Before the arrival on the line no. 2 in Comarnic station (106 km from Bucharest), the train passed over the switches no. 7/11 and the first bogie of the locomotive derailed.</t>
  </si>
  <si>
    <t>Comarnic station belong to Bucharest Railway County, on the south of the romanian railway network, at 106 km north of Bucharest.</t>
  </si>
  <si>
    <t>National Company for Passenger Railway Transport "CFR-Calatori" S.A.</t>
  </si>
  <si>
    <t>Direct cause of the railway event occurrence is that the right wheel of the axle 6 climbed over the curved points, on the deflecting direction of the switch 7 of the double-slip points 7/11, in the follow-ing situations  and deviations situated at the limit of the operation limits:  1. the curved points being at the wear up limit that can be taken for a breach that can lead to the climbing of the tyre lip  over the rail;   2. the right  stock rail being at the lateral and vertical wear limit that can not protect the tip of the curved  points from the action of the tyre lip of the first axle; 3. the transversal level of the track shows that the running surface of  the curved points is with 16 mm under the level of the curved stock rail of the switch no. 7 on the outside of the curve with the radius R=190 m, added to a track torsion value of 8 mm ( basis of 2,5 m ); 4. alteration of the fastening of the outside track of the curve on the  deflecting direction of the switch no. 7 by the putting of the polyethylene clips on the outside of the curve between the metallic plates and the sleepers; 5. the running of the locomotive on declivity of 17,32 ‰ in the situation of the increase of the active and apparent  power, with a speed 28 km/h, close to the running maximum speed  in a curve with a radius of 190 m without cant; 6. at the measurement of the geometrical elements of the locomotive axles, the distance between the outside faces of the tyre lips ( quota E ) of the first axle  was 1411,5 mm because of the wear of the tyres lips up to 26,5 mm. These values could have permitted, in the conditions of some cross differences of level and track torsions, a passing on the active side of the rail under an angle that can lead to climbing by the lip tyre at the right wheel in the traffic direction over the points (right), without the tyre of the left wheel leave the running surface ( no derailment traces were found on the left side between the tip of point and the check rail ).</t>
  </si>
  <si>
    <t>1.Non-performance of all checking concerning the situation of switches that the district head has to do in accordance with the provisions of the art. 26 from the Instruction 323/1965 for the track main-tenance district permanent way inspector (the non-measurement of the grooves and the wear of the double slip points parts ); 2. Following the measurement of the switches, in the checking book of the switches are not written the values that exceed the accepted limits; 3. The complete technological process was not performed at the checking works of the hidden parts of the switches, this results from the measurements written in the checking book at the end of the works, these measurements show exceeding of the limits at transversal level and gauge; 4. Performance of some works for the removal of some failures found out following the measurements with the track measuring car without respect all the steps of the technological process  and without perform some total checks._x000D_
1. The permanent diminution of the technological and theoretical knowledge of the staff involved in the traffic safety, following the change of the generations without a long and medium planning. So was reached the situation in witch, in the checking book</t>
  </si>
  <si>
    <t>SE-404</t>
  </si>
  <si>
    <t>Level crossing near miss, 2007-12-13, Double-track main line between Stockholm and Västerås (Sweden)</t>
  </si>
  <si>
    <t>Level crossing near miss</t>
  </si>
  <si>
    <t>A truck was caught between the barriers at an automatic crossing and the train had a clear signal towards the level crossing_x000D_
_x000D_
Summary_x000D_
On December 13, 2007. 8:00 was an incident at level crossing accident_x000D_
on the Esplanade in Sundbyberg between a truck and passenger train in 2513, owned by_x000D_
Stockholm Transport._x000D_
6_x000D_
The truck was loaded with pump materials and on their way to an adjacent_x000D_
construction for delivery._x000D_
The truck driver used the taxi map to find and at the junction of Railway Road /_x000D_
Esplanade he turned to the right, over the crossing direction of travel._x000D_
He understood neither the light or the sound signals were_x000D_
placed at the crossing and did not react to the plate for easy direction_x000D_
and stop the vehicle in time. The booms went down and shut the truck_x000D_
at the crossing._x000D_
Meanwhile, the driver of train 2513, which was heading towards Sundbyberg_x000D_
from Spångavägen for passenger exchange, told the signal to drive into Sundbyberg._x000D_
After a curve the driver saw something that stood on the track between the booms_x000D_
and braked and stopped right next to the truck._x000D_
Signal Security facility has functioned as intended. Wall Protective Structure_x000D_
was configured correctly and crafted by hand_x000D_
To meet the different requirements change. The reconstruction of the intersection in 1985_x000D_
has led to a traffic that can be experienced as messy, with relatively_x000D_
very pedestrian and bicycle crossing Rail Road west of the intersection_x000D_
and a large amount of traffic signs and poles that often obscures another._x000D_
Dawn Light and overcast weather may have caused the driver of the truck_x000D_
did not see the signs and signals that announced that it was banning driving over crossing._x000D_
Shop owners in the immediate vicinity of level crossing has stated that the signals that the train will not be taken seriously and that pedestrians do not use the subways available. A citizen's proposal to close the railroad crossing_x000D_
at Esplanade and freshen up the tunnel has not been heard in_x000D_
municipality. Banverket has offered to renovate the existing tunnel_x000D_
pedestrian and bicycle traffic over the railway to the municipality agrees to a_x000D_
closing. Nothing major interest has been shown for this. 
Den 13 december 2007 kl. 08:00 skedde ett tillbud till plankorsningsolycka_x000D_
på Esplanaden i Sundbyberg mellan en lastbil och resandetåget 2513, ägt av_x000D_
AB Storstockholms Lokaltrafik._x000D_
6_x000D_
Lastbilen var lastad med pumpmaterial och på väg till en intilliggande_x000D_
byggarbetsplats för leverans._x000D_
Lastbilsföraren använde taxikartan för att hitta och vid korsningen Järnvägsgatan/_x000D_
Esplanaden svängde han åt höger, över plankorsningen mot körriktningen._x000D_
Han uppfattade varken de ljus- eller de ljudsignaler som var_x000D_
placerade vid plankorsningen och hann inte reagera på skylten för enkelriktning_x000D_
och stanna fordonet i tid. Bommarna gick ned och stängde in lastbilen_x000D_
på plankorsningen._x000D_
Samtidigt fick föraren i pendeltåg 2513, som var på väg mot Sundbyberg_x000D_
från Spånga för resandeutbyte, beskedet i signal att köra in till Sundbyberg._x000D_
Efter en kurva såg lokföraren något som stod på spåret mellan bommarna_x000D_
och bromsade in och stannade alldeles intill lastbilen._x000D_
Signalsäkerhetsanläggningen har fungerat på avsett vis. Väggskyddsanläggningen_x000D_
var projekterad på ett korrekt sätt och utformad efter hand för_x000D_
att möta de olika förändringarnas krav. Ombyggnaden av korsningen 1985_x000D_
har lett till en trafikmiljö som kan upplevas som rörig, med förhållandevis_x000D_
mycket gång- och cykeltrafik som korsar Järnvägsgatan väster om korsningen_x000D_
och en stor mängd vägmärken och stolpar som ofta skymmer varandra._x000D_
Gryningsljus och mulet väder kan ha medfört att föraren av lastbilen_x000D_
inte såg skyltar och signaler som aviserade att det var förbud att köra över_x000D_
plankorsningen._x000D_
Näringsidkare i plankorsningens direkta närhet har uppgivit att signalerna_x000D_
om att tåg kommer inte tas på allvar och att gående inte använder de_x000D_
gångtunnlar som finns. Ett medborgarförslag om att stänga järnvägsövergången_x000D_
vid Esplanaden och fräscha upp gångtunneln har inte fått gehör i_x000D_
kommunen. Banverket har erbjudit sig att rusta upp befintlig tunnel för_x000D_
gång- och cykeltrafik under järnvägen mot att kommunen går med på en_x000D_
stängning. Inget större intresse har visats för detta.</t>
  </si>
  <si>
    <t>Double-track main line between Stockholm and Västerås</t>
  </si>
  <si>
    <t>Stockholmstag</t>
  </si>
  <si>
    <t>The truck was not permittet do drive through the crossing in that direction. 
Lastbilen stängdes in och blev stående på järnvägsövergången mellan bommarna. Detta orsakades framförallt av följande faktorer._x000D_
– Enkelriktningen observerades inte delvis på grund av skymd sikt._x000D_
– Ljud- och ljussignalerna observerades inte delvis på grund av skymd sikt._x000D_
– Bommarna forcerades inte.</t>
  </si>
  <si>
    <t xml:space="preserve">The truck driver knew that it was possible to drive through the barriers but didn't do it anyway._x000D_
None 
</t>
  </si>
  <si>
    <t>BE-420</t>
  </si>
  <si>
    <t>Accident to persons caused by RS in motion, 14-12-07, Mortsel (Belgium)</t>
  </si>
  <si>
    <t>A train passenger commanded the emergency brake of the train, opened the door of the carriage, stepped in the opposite track and was overrun en killed by a train , coming at that moment on this track.</t>
  </si>
  <si>
    <t>Mortsel</t>
  </si>
  <si>
    <t>The passenger openned the of the emergency issue on the track side</t>
  </si>
  <si>
    <t>HU-470</t>
  </si>
  <si>
    <t>Other, 15/12/2007, Line 100: Kaba station (Hungary)</t>
  </si>
  <si>
    <t>Children were playing in station area and two of them climbed up to the top of a storaged tank wagon. One of them suffered serious electrocution.</t>
  </si>
  <si>
    <t>Line 100: Kaba station</t>
  </si>
  <si>
    <t>RO-413</t>
  </si>
  <si>
    <t>Train derailment, 15/12/2007, Open line between Milova station and Conop station. The open line belongs to Timisoara Railway County, on the west of the romanian railway network, on the main line Arad-Simeria (45 km from Arad). (Romania)</t>
  </si>
  <si>
    <t>The freight train no. 50366, formed of 25 freight wagons, 365 m length, was on the route from Episcopia Bihor (west of the romanian railway network, cross border with hungarian railway network) to Plopsoru (center of the romanian railway network). On the main line Arad-Simeria, between Milova and Conop stations, the nineth freight empty wagon derailed of the second axle of the second bogie. The engine driver of the train no. 50369 that was running on the double line from Conop and Milova stations observed that one of the wagons of the train no. 50366 was derailed (one axle) and announced by radio station the engine driver of the train no. 50366 who stopped the train. The nineth wagon was found with the rim od the wheel moved from the wheel.</t>
  </si>
  <si>
    <t>Open line between Milova station and Conop station. The open line belongs to Timisoara Railway County, on the west of the romanian railway network, on the main line Arad-Simeria (45 km from Arad).</t>
  </si>
  <si>
    <t>S.C. UNIFERTRANS S.A.</t>
  </si>
  <si>
    <t>The change of the pair of wheels gauge, following the cross displacement of the tyre of the wheel no. 2 belonging to the wagon no. 8853 6656 718-2,led to the respective axle derailment between the railway stations Milova and Conop, at the km 586+310</t>
  </si>
  <si>
    <t>The loosening of the tire of the wheel no. 2 at the wagon no. 8853 6656 718-2 ( the 9th wagon after the locomotive ) led to its turning round the wheel rim and to the grinding of the fastening ring</t>
  </si>
  <si>
    <t>BE-421</t>
  </si>
  <si>
    <t>Accident to persons caused by RS in motion, 17-12-07, Ede (Belgium)</t>
  </si>
  <si>
    <t>A passenger who took the train ( probably outside on the step to the door )in the station of Ede, has fallen from   ( or out ) the train, bumped against a signal pole and died.</t>
  </si>
  <si>
    <t>Ede</t>
  </si>
  <si>
    <t>The passenger tried  to step into  the train when the doors were already closed. He griped  a outside handle of the carriage and traveled on the outside of the train.standing on a doorstep.  After a short  time he falled and crahed against a pole of the ioverhead line.</t>
  </si>
  <si>
    <t>ES-729</t>
  </si>
  <si>
    <t>Accident to persons caused by RS in motion, 18/12/2007, Kilometre point 165,160; between Louredo Valos and Redondela stations (Pontevedra), at 810 Monforte de Lemos-Vigo railway line. (Spain)</t>
  </si>
  <si>
    <t>An infrastructure work train hit a man who crossed the tracks through an unauthorised place.</t>
  </si>
  <si>
    <t>Kilometre point 165,160; between Louredo Valos and Redondela stations (Pontevedra), at 810 Monforte de Lemos-Vigo railway line.</t>
  </si>
  <si>
    <t>DE-412</t>
  </si>
  <si>
    <t>Train derailment, 19/12/2007, zweigleisige Hauptbahn Strecke: Kufstein Rosenheim; zwischen Brannenberg - Raubling; km 10,6 // double-track main line: Kufstein Rosenheim; between Brannenberg - Raubling; km 10,6 (Germany)</t>
  </si>
  <si>
    <t>Güterzug 45861 bestehend aus 13 Wagen entgleist mit allen Wagen, 4 Wagen stürzten um. Der letzte Wagen war beladen mit RID Gefahrgut Klasse 1: Feuerwerkskörper. Dieser Wagen stürzte nicht um. // Freight train 45861 consisting of  13 wagons derailed with all wagons, 4 wagons were overturned. The last wagon was loaded with dangerous goods RID Class 1: fireworks. This car was not overturned.</t>
  </si>
  <si>
    <t>zweigleisige Hauptbahn Strecke: Kufstein Rosenheim; zwischen Brannenberg - Raubling; km 10,6 // double-track main line: Kufstein Rosenheim; between Brannenberg - Raubling; km 10,6</t>
  </si>
  <si>
    <t>Rail Cargo Austria AG</t>
  </si>
  <si>
    <t>Ursächlich war ein Schienenbruch, der bereits vor dieser Zugfahrt vorhanden war. // The cause was a rail fracture that was already present prior to the train arrival.</t>
  </si>
  <si>
    <t>FR-409</t>
  </si>
  <si>
    <t>Level crossing accident, 19/12/2007, The accident occurs at the level crossing n°34 located at Tossiat (Ain) at Km 46.799 beetween Bourg en Bresse and Ambérieu. (France)</t>
  </si>
  <si>
    <t>An exceptional consignment was stopped on the level crossing as he thought to be to high too pass the second gantry. There is one gantry on each side of the level crossing because catenaries are at less than 6 meters._x000D_
_x000D_
22 personns have been slignthly injured.</t>
  </si>
  <si>
    <t>The accident occurs at the level crossing n°34 located at Tossiat (Ain) at Km 46.799 beetween Bourg en Bresse and Ambérieu.</t>
  </si>
  <si>
    <t>ES-727</t>
  </si>
  <si>
    <t>Accident to persons caused by RS in motion, 21/12/2007, Salou station (Tarragona), kilometre point 263,600, at 600 Valencia-San Vicente de Calders railway line (Spain)</t>
  </si>
  <si>
    <t>A man, while crossing through a staff crossing, is knocked down by a passenger train when entering the station. Despite there were a couple of signs warning about the risks of crossing the tracks, the victim crossed through an unauthorised place, where the fence had been broken allowing people use this way as a faulty path.</t>
  </si>
  <si>
    <t>Salou station (Tarragona), kilometre point 263,600, at 600 Valencia-San Vicente de Calders railway line</t>
  </si>
  <si>
    <t>ES-730</t>
  </si>
  <si>
    <t>Accident to persons caused by RS in motion, 24/12/2007, Kilometre point 5,200; near El Pozo station (Madrid); at 930 Madrid- San Fernando de Henares railway line. (Spain)</t>
  </si>
  <si>
    <t>A passenger train hit one of two people were walking along the track. As a result, the victim died.</t>
  </si>
  <si>
    <t>Kilometre point 5,200; near El Pozo station (Madrid); at 930 Madrid- San Fernando de Henares railway line.</t>
  </si>
  <si>
    <t>ES-728</t>
  </si>
  <si>
    <t>Accident to persons caused by RS in motion, 29/12/2007, Abaroa station (Vizcaya), kilometre point 241,860, at 700 Casetas-Intermodal Abando Indalecio Prieto railway line. (Spain)</t>
  </si>
  <si>
    <t>A young woman, who had just got off from another train, is knocked down by a freight train, which approached from the opposite side.</t>
  </si>
  <si>
    <t>Abaroa station (Vizcaya), kilometre point 241,860, at 700 Casetas-Intermodal Abando Indalecio Prieto railway line.</t>
  </si>
  <si>
    <t>ES-551</t>
  </si>
  <si>
    <t>Accident to persons caused by RS in motion, 06/01/2008, Kilometre point 20,100, at 100 Madrid-Hendaya railway line, between Las Rozas and Pitis stations (Madrid) (Spain)</t>
  </si>
  <si>
    <t>A passenger train knocked down a man who was walking by the tracks inside a tunnel.</t>
  </si>
  <si>
    <t>Kilometre point 20,100, at 100 Madrid-Hendaya railway line, between Las Rozas and Pitis stations (Madrid)</t>
  </si>
  <si>
    <t>HU-471</t>
  </si>
  <si>
    <t>Train derailment, 07/01/2008, Line 80: station Tarcal (Hungary)</t>
  </si>
  <si>
    <t>The locomotive of the train Nr 5122 was derailed after the exit signal between switches Nr 11 and 17 by the lack of vertical fastening on seven consecutive sleepers.</t>
  </si>
  <si>
    <t>Line 80: station Tarcal</t>
  </si>
  <si>
    <t>CZ-439</t>
  </si>
  <si>
    <t>Trains collision, 09/01/2008, Nymburk hl. n. station, track No. 26 (Czech Republic)</t>
  </si>
  <si>
    <t>Collision of shunting locomotive with another locomotive with consequent leak of fuel; 2 train drivers slightly injured</t>
  </si>
  <si>
    <t>Nymburk hl. n. station, track No. 26</t>
  </si>
  <si>
    <t>CD Cargo; 
Ceske drahy a. s.</t>
  </si>
  <si>
    <t>ES-434</t>
  </si>
  <si>
    <t>Level crossing accident, 10/01/2008, Alcolea de Córdoba (Córdoba) station, at kilometre point 429,825 on railway line 400 Alcázar de San Juan-Cádiz. (Spain)</t>
  </si>
  <si>
    <t>Freight train number 57361 hit a cyclist when trespassing a level crossing when the barriers were closed.</t>
  </si>
  <si>
    <t>Alcolea de Córdoba (Córdoba) station, at kilometre point 429,825 on railway line 400 Alcázar de San Juan-Cádiz.</t>
  </si>
  <si>
    <t>HU-472</t>
  </si>
  <si>
    <t>Accident to persons caused by RS in motion, 10/01/2008, Line 89: Between Hejokeresztur and Nyekladhaza stations (Hungary)</t>
  </si>
  <si>
    <t>Two men were hit by the train Nr 35012. They were workers working outside of the structure gauge. They went on the track and the train hit them. The visibility was limited.</t>
  </si>
  <si>
    <t>Line 89: Between Hejokeresztur and Nyekladhaza stations</t>
  </si>
  <si>
    <t>IE-415</t>
  </si>
  <si>
    <t>Train derailment, 10/01/2008, 800m south of Skerries station, Co Dublin (Ireland)</t>
  </si>
  <si>
    <t>6 of the 11 wagons on the freight train travelling from Tara Mines to Dublin derailed 800m south of Skerries station on the Belfast to Dublin line.</t>
  </si>
  <si>
    <t>800m south of Skerries station, Co Dublin</t>
  </si>
  <si>
    <t>The catastrophic failure of bearing 633A leading to a BOJ</t>
  </si>
  <si>
    <t>Lack of a robust bearing maintenence regime. The HABD settings not triggering an alarm.</t>
  </si>
  <si>
    <t>SE-416</t>
  </si>
  <si>
    <t>Runaway, 2008-01-16, Alby station and open line on the main line between Ljusdal and Ånge. (Sweden)</t>
  </si>
  <si>
    <t>Two runaway freight wagons during a shunting operation at Alby station. The wagons were rolling back and forth on the open line for a distance at approx. 10 kilometers._x000D_
_x000D_
Wednesday, 16 January 2008, there were an incident to a collision on the stretch Alby - Ångebyn, Y County, with carriages that rolled uncontrollably._x000D_
_x000D_
Green Cargo applied to Banverket to allow train 9113 to make an extra stop in Alby which also Banverket granted._x000D_
   _x000D_
Train 9113 stayed on track 3 in Alby and de-coupled the last two carriages. When this was done departed the train and shift leader contacted the remote controller in Ånge to get permission to move cars from track 3 to Eka Chemicals track. When the shift leader had received permission to preceed, he emptied his carriages on air pressure and they then started rolling towards Ovansjö._x000D_
   _x000D_
Shift Leader and the driver went for wagons with a shunting engine. The wagons rolled through Ovansjö to Ångebyn and rolled back to Ovansjö where they turned and rolled toward Ångebyn where they again returned to Ovansjö. Two signal repairers from Banverket had been called out to the level crossing in Ovansjö. On site, they saw cars come rolling from Ångebyn and shed booms at the level crossing in Ovansjö to secure it. When the carriages had once again turned in Ovansjö speed was so low that the signal repairers could walk alongside the carriages and brake them firmly with the hand brake. 
Onsdagen den 16 januari 2008 inträffade ett tillbud till kollision på sträckan Alby – Ångebyn, Y län, med vagnar som rullade okontrollerat. _x000D_
_x000D_
I början av 2008 genomförde Green Cargo förändringar i planeringen av godstrafiken i Norrland. Bl. a. ställdes ett tåg in mellan Luleå och Ånge. För att kunna transportera vagnar som skulle ha gått i det inställda godståget till Ånge planerades dessa att transporteras med tåg 9111. Från Ånge skulle sedan vagnarna transporteras i ett lokalt godståg (6805) till vagnarnas slutstation, Alby. _x000D_
_x000D_
Den kund som hade beställt transport av sina vagnar med tåg 9111 kunde inte garantera att det fanns plats för ytterligare vagnar i tåget och istället fann Green Cargo lösningen att transportera vagnarna med tåg 9113 till Ånge för att kopplas av där. Detta innebar dock att vagnarna inte skulle kunna komma med det lokala godståget (6805) till Alby som avgick tidigare på morgonen. Därmed skulle vagnarna komma till Alby 24 timmar senare och detta var Green Cargos kund inte nöjd med._x000D_
_x000D_
Personalen hos Green Cargo i Ånge kom då med förslaget att tåg 9113 skulle kunna göra ett uppehåll i Alby för vagnavkoppling. Green Cargo ansökte hos Banverket att tåg 9113 skulle göra ett extra uppehåll i Alby vilket också Banverket beviljade. _x000D_
   _x000D_
Tåg 9113 stannade på spår 3 i Alby och kopplade av de två sista vagnarna. När detta var gjort avgick tåget och växlingsledaren kontaktade fjärrtågklareraren i Ånge för att få tillstånd att flytta vagnarna från spår 3 till Eka Chemicals spår. När växlingsledaren hade fått tillstånd att växla ”tappade” han vagnarna på luft och de kom i rullning mot Ovansjö._x000D_
   _x000D_
Växlingsledaren och föraren åkte efter vagnarna med ett växlingslok. Vagnarna rullade genom Ovansjö till Ångebyn och rullade tillbaka till Ovansjö där de vände och rullade mot Ångebyn där de återigen vände tillbaka till Ovansjö. Två signalreparatörer från Banverket hade blivit utkallade till plankorsningen i Ovansjö. På plats såg de vagnarna komma rullande från Ångebyn och fällde bommarna vid plankorsningen i Ovansjö för att säkra den. När vagnarna återigen hade vänt i Ovansjö var hastigheten så pass låg att signalreparatörerna kunde gå jämsides med vagnarna och bromsa fast dem med handbromsen.</t>
  </si>
  <si>
    <t>Alby station and open line on the main line between Ljusdal and Ånge.</t>
  </si>
  <si>
    <t>The direct cause of the incident was that the cars are not secured against rolling away when the brake system emptied of air. 
Den direkta orsaken till tillbudet var att vagnarna inte säkrades mot rullning när bromssystemet tömdes på luft.</t>
  </si>
  <si>
    <t>The underlying causes of the carriages are not secured against rolling was to shift leader had not enough space awareness. Furthermore, there was no information on slope conditions in Alby in Banverket's safety plan could be carried over to Green Cargo's own internal regulations. 
De bakomliggande orsakerna till att vagnarna inte säkrades mot rullning var att växlingsledaren inte hade tillräcklig platskännedom. Vidare fanns inte några uppgifter om lutningsförhållanden i Alby i Banverkets säkerhetsplan som kunde föras över till Green Cargos egna interna föreskrifter.</t>
  </si>
  <si>
    <t>UK-425</t>
  </si>
  <si>
    <t>Accident to persons caused by RS in motion, 20/01/2008, Near Bishop's Stortford (United Kingdom)</t>
  </si>
  <si>
    <t>The RAIB is carrying out an investigation into a near miss where a driver was almost struck by a train near Bishop’s Stortford on 20 January 2008. _x000D_
On 20 January the 14:25 hours train from London, Liverpool Street to Stansted Airport struck debris that had been placed on the track by vandals.  The train was disabled by this and came to a halt about a mile and a half north of Bishop’s Stortford station.  Arrangements were being made to recover the failed train, and during this period a southbound train, the 15:32 hrs Cambridge to London, almost struck the driver of the failed train, who was standing alongside his train and escaped by diving underneath it.</t>
  </si>
  <si>
    <t>Near Bishop's Stortford</t>
  </si>
  <si>
    <t>The immediate cause of the incident was that the driver of train 1B78 had not made arrangements for his own protection before going on the line when train 2H43 passed by him at 70 mph (112 km/h).</t>
  </si>
  <si>
    <t>1. the driver of train 1B78 did not inform the signaller or request a blockage of the up line before getting out of his cab (paragraph 97);  2.the signaller was unaware that the driver had left his cab and was in the six-foot. He therefore did not take any action to block the up line (paragraph 107); 3. the driver of train 1B78 assumed that all trains on the up line were being cautioned past his failed train (paragraph 98); and 4.The fitters did not make arrangements for their own protection as required by the Rule Book (paragraph 121, Recommendation 3). 5 the lack of experience of the driver of train 1B78 in degraded working and emergency situations (paragraph 101);. 6. the driver of train 1B78 and the signaller did not reach a clear understanding on 	the arrangements in place for the protection of staff, owing to a poor standard of communication (paragraphs 101, 112 and 114, Recommendations 1 and 2); and 7. competence management arrangements for the fitter acting as designated person took no account of the limited experience which he had actually had of carrying out the role (paragraph 123, Recommendation 3).</t>
  </si>
  <si>
    <t>UK-429</t>
  </si>
  <si>
    <t>Level crossing accident, 22/01/2008, West Lodge level crossing, near Haltwhistle, Northumberland (United Kingdom)</t>
  </si>
  <si>
    <t>The accident occurred at 17:13 hrs, when English, Welsh and Scottish Railways freight train 6E62, from Carlisle to Middlesbrough, struck and killed a young man delivering coal to a house adjacent to the West Lodge user worked level crossing on Network Rail’s Carlisle to Newcastle line.</t>
  </si>
  <si>
    <t>West Lodge level crossing, near Haltwhistle, Northumberland</t>
  </si>
  <si>
    <t>The immediate cause of the accident was the person walking onto the track as the train approached (paragraph 32).</t>
  </si>
  <si>
    <t>The causal factor was that the person was unaware of the approaching train (paragraph 42 and Recommendation 1), and the following are feasible explanations for why this was:  a.	the sighting distance and warning time were less than required at the West Lodge side of the crossing (paragraph 48);   b.he was not required to contact the signaller (paragraphs 49 and 93);    c.	he would be unlikely to recognise a train’s headlights among those of road vehicles until it was within a second or two of the crossing (paragraph 53);  d.traffic noise and wind impaired his ability to hear clearly and masked the sounds of the approaching train (paragraph 56); and   e.	the train driver could not sound the warning horn earlier than he did because he did not see the person until the train was close to the crossing (paragraph 59).  *  It is also feasible that the person was unaware of the approaching train because he was unaware that he was on the track at the time of the accident, and the following may explain why: a.he may have had reduced concentration (paragraph 64); b.he was less likely to be aware of and prepared for the crossing as the warning signs were not at the decision point (paragraph 67); and c.he may not have discerned the warning signs and the track from their surroundings in darkness (paragraph 70). * The underlying factors were that:a.	Network Rail’s management systems did not acknowledge the findings of local inspections and assessments, and so they did not act to reduce the identified risks (paragraph 81 and Recommendations 2 and 3); and b.	Network Rail’s methods of level crossing inspection and assessment did not 	consider foreseeable environmental conditions that resulted in users being 	unable to recognise a train’s headlights among those of road vehicles, and its sounds masked by traffic noise and wind (paragraph 82 and Recommendation 4a).</t>
  </si>
  <si>
    <t>CZ-447</t>
  </si>
  <si>
    <t>Trains collision with an obstacle, 23/01/2008, Switch No. 5 (Czech Republic)</t>
  </si>
  <si>
    <t>Collision of InterCity train No. 540 with an infrastructure maintenance mechanism</t>
  </si>
  <si>
    <t>Switch No. 5</t>
  </si>
  <si>
    <t>FR-422</t>
  </si>
  <si>
    <t>Level crossing accident, 25/01/2008, The accident occurs on level crossing n°82 located near Neufchateau station (Vosges) at Km 72,547 on Toul Dijon section of line. (France)</t>
  </si>
  <si>
    <t>Policemen were chasing an offender. Level crossing n°82 was closed as a train was running on track 1. The offender passes the first barrier and stopped on track 2, waiting to have the way. policemen stopped their car out the railway domain and went to the offender to arrest him. At that moment train 49250 arrives on track 2 and hurts the car and the policemen. All of them dies.</t>
  </si>
  <si>
    <t>The accident occurs on level crossing n°82 located near Neufchateau station (Vosges) at Km 72,547 on Toul Dijon section of line.</t>
  </si>
  <si>
    <t>UK-423</t>
  </si>
  <si>
    <t>Train derailment, 25/01/2008, Derailment of a Freight train near Foreign Ore Branch junction, three miles east of Scunthorpe station (United Kingdom)</t>
  </si>
  <si>
    <t>The derailment occurred at 10:53 hrs, when the leading bogie of the tenth wagon of train 6M49, consisting of a Class 66 locomotive and 18 HHA wagons loaded with coal, derailed near Foreign Ore Branch junction, three miles east of Scunthorpe station.  The train ran derailed for over a kilometre, and caused considerable damage to the track.</t>
  </si>
  <si>
    <t>Derailment of a Freight train near Foreign Ore Branch junction, three miles east of Scunthorpe station</t>
  </si>
  <si>
    <t>immediate cause of the derailment was that the front right-hand wheel flange of the leading bogie of wagon 370 157 climbed the gauge face of the six-foot (high) rail as train 6M49 traversed the left hand curve on the down line at Santon (paragraph 153).</t>
  </si>
  <si>
    <t>Causal factors were: a.	the combination of the track twist and the lateral alignment irregularities (paragraph 161 &amp; Recommendation 1); b.	the local Network Rail inspection and maintenance regime not detecting and repairing the track twist and lateral alignment track geometry faults before the passage of train 6M49 (paragraph 173 &amp; Recommendations 4 and 5); and c.	the local maintenance action not preventing the track twist and lateral alignment faults from quickly appearing again (paragraph 186 &amp; Recommendations 5, 6 and 7). Probable causal factors were: a.	the wagon’s wheel was unloaded because the load in the wagon was offset to one side (paragraph 165 &amp; Recommendation 9);  b.	the wheel was unloaded because of excessive cant in the track (paragraphs 168 and 230 &amp; Recommendation 2);c.	the local Network Rail inspection and maintenance regime not repairing the excessive cant before the passage of train 6M49 (paragraphs 174 and 230 &amp; Recommendation 2); and d.	the rapid deterioration of the track geometry because of water in the trackbed (paragraph 196 &amp; Recommendation 3).	The following factors were considered to be contributory: a.	the track geometry faults, appearing again after the maintenance action to repair them, and going unnoticed because none of the elements of the inspection regime measured the track twist or lateral alignment over the point of derailment (paragraph 180 &amp; Recommendations 4 and 5); b.	the excessive cant going unnoticed, because none of the elements of the inspection regime measured the cant on the approach to, or over, the point of derailment (paragraphs 180 and 230 &amp; Recommendation 2);c.	the local Network Rail maintenance team not carrying out any work which might have corrected or prevented the track twist that recurred (paragraph 187 &amp; Recommendation 5);d.	no planned heavy maintenance or renewal work took place that might have addressed the track twist or lateral alignment faults in this area prior to the passage of train 6M49 (paragraph 190);  e.	Network Rail not identifying the rapid deterioration in the track geometry at Santon (paragraph 201 &amp; Recommendation 4); and  f.	no one appreciating, reporting or responding to the signs of water and poor drainage (paragraph 205 &amp; Recommendation 8).The following factor was considered to be probably contributory:  a.the high annual tonnage over the track at the point of derailment (paragraph 197). The underlying causes were b.	the temporary loss of information within the local maintenance organisation as a result of many changes to local management roles in a short period (paragraph 210 &amp; Recommendation 5); and  c.	the lack of clear guidance in NR/SP/TRK/001, and its supporting documents, on identifying excessive cant and the actions to be taken or the timescales for carrying out remedial work to address it (paragraphs 214 and 230 &amp; Recommendation 2).</t>
  </si>
  <si>
    <t>ES-543</t>
  </si>
  <si>
    <t>Accident to persons caused by RS in motion, 26/01/2008, Kilometre point 310,412 at 800 La Coruña-León railway line; between Montefurado and A Rúa Petín stations (Orense) (Spain)</t>
  </si>
  <si>
    <t>A medium distance passenger train knocked a man down as he was crossing the tracks at non authorised place to do so.</t>
  </si>
  <si>
    <t>Kilometre point 310,412 at 800 La Coruña-León railway line; between Montefurado and A Rúa Petín stations (Orense)</t>
  </si>
  <si>
    <t>UK-424</t>
  </si>
  <si>
    <t>Train derailment, 01/02/2008, Passenger train collided with a damaged footbridge at Barrow on Soar, Leicestershire (United Kingdom)</t>
  </si>
  <si>
    <t>The accident occurred at 06:32 hrs.  Shortly before that time a tipper lorry that had been delivering materials to a work site on the railway was leaving the site, when it struck a footbridge to the north of Barrow on Soar station, causing the footbridge to collapse onto the Leicester to Nottingham / Derby railway line.  Before the line could be closed to traffic the 06:13 hrs Nottingham to Norwich train, running number 1L03, which consisted of a 2 car Class 158 multiple unit, struck the remains of the footbridge._x000D_
_x000D_
The train derailed, and sustained considerable damage to its cab.  The driver of the train sustained injuries in the collision, and was taken to hospital. Two other workers on site received medical treatment. None of the six passengers on the train  was seriously injured, although one received treatment in hospital. All four lines of the railway through Barrow on Soar were blocked to traffic for the rest of the day, with the slow lines re-opening in time for services to recommence on the 2 February.</t>
  </si>
  <si>
    <t>Passenger train collided with a damaged footbridge at Barrow on Soar, Leicestershire</t>
  </si>
  <si>
    <t>East Midlands Trains</t>
  </si>
  <si>
    <t>The immediate cause of the accident was that the train was unable to stop before it hit the footbridge that had been knocked down by the elevated body of the tipper lorry.</t>
  </si>
  <si>
    <t>1 The causal factor was that the lorry driver forgot to fully lower the body of the lorry because he was distracted from his normal routine by having to unlock the passenger door of his cab to allow access for the COSS.  2 The lack of effectiveness of the alarm system in the lorry cab indicating that the body was raised was a contributory factor  3.The underlying cause was the lack of a formal Network Rail process to assess and manage the risks from transit operations to and from the worksites on their property</t>
  </si>
  <si>
    <t>ES-552</t>
  </si>
  <si>
    <t>Accident to persons caused by RS in motion, 05/02/2008, Kilometre point 13,100 at 310 Madrid-Valencia railway line, between San Cristóbal Industrial and Getafe Industrial stations (Madrid) (Spain)</t>
  </si>
  <si>
    <t>A long distance train knocked down a man who was walking by the tracks</t>
  </si>
  <si>
    <t>Kilometre point 13,100 at 310 Madrid-Valencia railway line, between San Cristóbal Industrial and Getafe Industrial stations (Madrid)</t>
  </si>
  <si>
    <t>LV-426</t>
  </si>
  <si>
    <t>Trains collision, 05/02/2008, FREEPORT OF RIGA AUTHORITY access road (Latvia)</t>
  </si>
  <si>
    <t>Transport Accident and Incident Investigation Bureau</t>
  </si>
  <si>
    <t>Two shunting trains collision. Serious damaged two freight cars.</t>
  </si>
  <si>
    <t>Latvia</t>
  </si>
  <si>
    <t>FREEPORT OF RIGA AUTHORITY access road</t>
  </si>
  <si>
    <t>Freight train; 
Shunting operation</t>
  </si>
  <si>
    <t>Limited company “EuroRail”; 
Stock company  “Dzelzceltransports”</t>
  </si>
  <si>
    <t>FREEPORT OF RIGA AUTHORITY</t>
  </si>
  <si>
    <t>Other national rules/ regulations not referred to the Safety Directive 2004/49/EC; 
(a) the seriousness of the accident or incident</t>
  </si>
  <si>
    <t>The immediate cause of the accident was that the driver of the second shunting train started movement without permission from the stationmaster and the switchman on duty and did not observe in the direction of track.</t>
  </si>
  <si>
    <t>The contributory factor was that these  trains used a different  radio frequency therefore it was impossible to hear and  to contact  each other.</t>
  </si>
  <si>
    <t>RO-427</t>
  </si>
  <si>
    <t>Accident to persons caused by RS in motion, 05/02/2008, Odorhei Station belongs to noninteroperable line Odorhei - Vanatori, on the center of the Romanian Railway Network. (Romania)</t>
  </si>
  <si>
    <t>The shunting hydraulic locomotive DHC 624, which made shunt in Odorhei Station was inadequately stopped at line 4. The driver got down from the locomotive (we don't know why)and the locomotive started to move to the open line Odorhei - Vanatori. The driver saw that the locomotive moves to the open line and (because he couldn't catch it) he went out of the Odorhei Station, took a taxi with the intention to reach in front of the locomotive, near the stopping point Feliceni (aprox 6,5 km from Odorhei). Here the driver tried to get on the locomotive, but he fails, fell down and the locomotive hit him and cut both his leagues (on shank zone). In the mean time, the service official from Odorhei Station ordered to the shunter of the station, the train master and the driver of the passenger automotor  standing on the line 2 in Odorhei Station (without passengers) to go after the locomotive. The automotor finds the driver of the locomotive serious hurt.The shunter called the service official from Odorhei Station and told him that the driver is serious hurt and remained with the locomotive driver waiting for the ambulance. The ambulance arrived in aprox. 10-15 minutes and found out that the driver was death. The automotor moved away to catch up the locomotive. The service official from Cristur (aprox 26 km from Odorhei) tried to stop the locomotive with a rail shoe and a sleeper on the rail, but it didn't succeed. After the stopping point Sacuienii Noi (aprox 30,5 km from Odorhei), there is a straight line (aprox. 2 km). There, the driver of the automotor approached the buffers, the train master drove the automotor and the driver jumped from the automotor to the locomotive at aprox 30 km/h and stop it after 32,05 km and one hour and eight minutes. The automotor driver  found the locomotive controlers in position 1 and forward and the direct brake in the midle. The locomotive driver cut on the discharging valve of the automatic brake with a pin. That's why the autostop systemes didn't work (they connect the automatic brake in case of danger). All the distance the shunting locomotive went with aprox 30 km/h.</t>
  </si>
  <si>
    <t>Odorhei Station belongs to noninteroperable line Odorhei - Vanatori, on the center of the Romanian Railway Network.</t>
  </si>
  <si>
    <t>S.C. RC - CF TRANS S.R.L.</t>
  </si>
  <si>
    <t>1. The abandon of the locomotive by the driver  contrary to the provisions  of  article no.199 of  Instructions for the operating staff activity  in the railway transport no. 201/2007 by: - Inadequate stop  of the  locomotive by  the control switchgroup  operation  on  level 1 not  on position „0”  and  non-operation of the  revearsing gear  from position”  forward”  to  position ”0”  after a  complete  stop ( the  control  switchgroup   was  found  set on level 1  by   the driver  who  stopped  the locomotive  DHC 624); - The non-assurance of the driver  against  starting  the locomotive while  parking ( he didn’t  applied  the handbrake); at  previous  tests  performed  on  conditions  imposed by the locomotive operating instructions,  recorded  in the  tehnical assesment  report  no.117  of  February 7, 2008,  the tightening-up of the  handbrake  ensured  the locomotive stop  until  the tractive force will increase  corresponding  to  the third  level   of the  control switchgroup ( including the third level); - The  diesel  engine  was not  stopped; - The foreman  shunter (the service official in our case) was not informed on the locomotive abandon  and the  request of his presence  in the cabin;   2. The non-compliaqnce with the labour protection norms  contrary  to the provisions of article no.9, paragraph (1), item s) of  the Instructions  for the operating staff activity in the railway transport no.201/2007, respectively article no.20, item k, l, r   of the own regulations and instructions of labour protection;    3. When the driver of the locomotive DHC 624 realized the consequences of his actions he desperately  tried to stop the locomotive  but  this lead to  his death.</t>
  </si>
  <si>
    <t>1. The locking in „open” position of the operating  lever of the air release valve  from the brake cylinders  with  the  help of  an improvised split pin, this leading to the annulment  of the  locomotive  braking effect  when using the  automatic  brake  within the emergecy brake  controled by the  safety ,  vigilance and  control  installations;     2. The tehnical change of the air release valve  from the brake cylinders of the locomotive of the A command post, determined by the replacement of the splint  from the  rotation axle  of the lever ( original construction)  with an improvised split pin fact that led to  the  increase of the play  to the rotation point  and between the exterior shoulder of the case  and  the beak of the lever._x000D_
1. Tehnical interventions to the release valve when operating or  repairing  were performed  without having the approval of the constructor  or of the  designer, those leading to  his locking with an improvised split pin. This  non-conformity   was not no</t>
  </si>
  <si>
    <t>HU-473</t>
  </si>
  <si>
    <t>Train derailment, 07/02/2008, Line 40: Budafok-Haros station (Hungary)</t>
  </si>
  <si>
    <t>A tank wagon (laden with gasoline) of the train Nr 83521 derailed. It was caused by a track failure. The wagon crashed over. There was no leaking of dangerous good.</t>
  </si>
  <si>
    <t>Line 40: Budafok-Haros station</t>
  </si>
  <si>
    <t>FI-428</t>
  </si>
  <si>
    <t>Train derailment, 2/8/2008, Turku, Heikkilä railway yard. (Finland)</t>
  </si>
  <si>
    <t>On 8 February 2008 at 9.53 a.m., three tank wagons and two covered wagons_x000D_
were derailed during shunting in the Heikkilä railway yard in Turku. The track was damaged for about 70 metres.</t>
  </si>
  <si>
    <t>Turku, Heikkilä railway yard.</t>
  </si>
  <si>
    <t>The direct cause of the occurrence was that the track, which was in poor condition and fastened by rail spikes, gave way under the heavy tank wagons. In addition, the dry, non-greased bogie pivots of the wagons placed additional pressure on the track curve.</t>
  </si>
  <si>
    <t>UK-430</t>
  </si>
  <si>
    <t>Accident to persons caused by RS in motion, 16/02/2008, Wansford, Cambridgeshire (United Kingdom)</t>
  </si>
  <si>
    <t>The leading vehicle of the late running 11:00 hrs train from Wansford to Peterborough was a corridor carriage acquired by the NVR from Danske Statsbaner (Danish Railways).  It was reported that there were two adults and several young children, including a two-year-old child, travelling in the front vestibule of the carriage.  Shortly after departure from Orton Mere Station, the two-year-old child fell through one of the doors and onto the ballast.  One of the child’s parents used the passenger alarm to stop the train, and both parents, with the train guard, ran back to the child at the lineside.  The guard rendered first aid, and the NVR summoned an ambulance.  The child was moved to hospital, treated for minor injuries, and discharged later in the day.</t>
  </si>
  <si>
    <t>Wansford, Cambridgeshire</t>
  </si>
  <si>
    <t>Nene Valley Railway</t>
  </si>
  <si>
    <t>CZ-440</t>
  </si>
  <si>
    <t>Train derailment, 22/02/2008, Open line between Zabreh na Morave and Lukavice stations (Czech Republic)</t>
  </si>
  <si>
    <t>Derailment of 2 empty wagons of freight train No. 1. nsl Nex 47315 while running on an open line. Moreover, fast train No. EC 108 was hit by ballast thrown by derailed wagons.</t>
  </si>
  <si>
    <t>Open line between Zabreh na Morave and Lukavice stations</t>
  </si>
  <si>
    <t>CD Cargo</t>
  </si>
  <si>
    <t>vibration of freight wagon SNCF Laaers 23 87 436 3643-9</t>
  </si>
  <si>
    <t>track condition not in line with specifications</t>
  </si>
  <si>
    <t>ES-435</t>
  </si>
  <si>
    <t>Trains collision with an obstacle, 22/02/2008, At Salbio flag stop (Álava), at kilometre point 218,800 on the railway line 700 Castejón-Bilbao. (Spain)</t>
  </si>
  <si>
    <t>The locomotive ME663 run down a motor vehicle which had fallen to the track from a bridge. The vehicle driver died.</t>
  </si>
  <si>
    <t>At Salbio flag stop (Álava), at kilometre point 218,800 on the railway line 700 Castejón-Bilbao.</t>
  </si>
  <si>
    <t>The road vehicle had had a previous traffic accident, then falling to the tracks from the highway.</t>
  </si>
  <si>
    <t>FI-493</t>
  </si>
  <si>
    <t>Level crossing accident, 25-02-08, Laukaa, Notkotie / Kauramaa level crossing, unprotected (Finland)</t>
  </si>
  <si>
    <t>A freight train collied with a tractor. The driver of the tractor was fatally injured.</t>
  </si>
  <si>
    <t>Laukaa, Notkotie / Kauramaa level crossing, unprotected</t>
  </si>
  <si>
    <t>If the level crossing will not be removed, then the crossing should be restricted to light traffic only and measures should be taken to prevent heavy traffic from crossing it. Tractors used in road traffic should be equipped not only with safety?cabins but also seat belts.</t>
  </si>
  <si>
    <t>FR-432</t>
  </si>
  <si>
    <t>Accident to persons caused by RS in motion, 26/02/2008, Bayard station (Haute Marne) at the level of level crossing n°37, located in station. (France)</t>
  </si>
  <si>
    <t>A worker was doing its work on the level crossing planking. Despite the presence of a a flagman, the worker stayed inside the danger area when a train arrived. It has been hurted.</t>
  </si>
  <si>
    <t>Bayard station (Haute Marne) at the level of level crossing n°37, located in station.</t>
  </si>
  <si>
    <t>BG-431</t>
  </si>
  <si>
    <t>Fire in RS, 28/02/2008, Between the railway stations Kunino - Cherven Briyag (Bulgaria)</t>
  </si>
  <si>
    <t>Specialized department for investigation of accidents and incidents in the railway transport</t>
  </si>
  <si>
    <t>Around 20 minutes to midnight two passenger wagons burned out between the stations Kunino and Cherven bryag.</t>
  </si>
  <si>
    <t>Bulgaria</t>
  </si>
  <si>
    <t>Between the railway stations Kunino - Cherven Briyag</t>
  </si>
  <si>
    <t>“Balgarski darzhavni zhelesnitsi” EAD</t>
  </si>
  <si>
    <t>National Company Railway Infrastructure</t>
  </si>
  <si>
    <t>IE-433</t>
  </si>
  <si>
    <t>Level crossing accident, 28/02/2008, XX032 (Ireland)</t>
  </si>
  <si>
    <t>Car struck by DMU. Car Driver fatally injured</t>
  </si>
  <si>
    <t>XX032</t>
  </si>
  <si>
    <t>Correct proceedures for using level crossing not followed_x000D_
The immediate cause of the accident was that the vehicle was driven onto crossing XX 032 as the train approached.•	The gates of the level crossing were open when the car approached the crossing•	XX 032 and other local level crossings were habitually misus</t>
  </si>
  <si>
    <t>FI-494</t>
  </si>
  <si>
    <t>Train derailment, 3/1/2008, Kokkola Ykspihlaja industrial track of Kemira Oy. (Finland)</t>
  </si>
  <si>
    <t>On Saturday 1 March 2008 at 6.12 a.m., a shunting work incident occurred on an  Kemira Ltd industrial track in Ykspihlaja, Kokkola. A group of wagons carrying phosphoric acid drove into a derailer. The bogie of the leading wagon was derailed.</t>
  </si>
  <si>
    <t>Kokkola Ykspihlaja industrial track of Kemira Oy.</t>
  </si>
  <si>
    <t>Kemira Ltd</t>
  </si>
  <si>
    <t>The accident occurred because the shunting unit did not stop in time before the derailer. _x000D_
This was due to an error of judgement made by the shunting foreman and a lack of communication between the shunting foreman and shunting unit driver.</t>
  </si>
  <si>
    <t>Furthermore, snow and ice had accumulated on the brakes of the wagons, thereby weakening the power of the breaks.</t>
  </si>
  <si>
    <t>UK-436</t>
  </si>
  <si>
    <t>Other, 01/03/2008, First incident occurred at Cheddington, between Hemel Hempstead and Leighton Buzzard, Bedfordshire. Second incident occurred adjacent to Hardendale Quarry, between Tebay and Penrith, in Cumbria. (United Kingdom)</t>
  </si>
  <si>
    <t>The RAIB is carrying out an investigation into two separate incidents involving freight containers being blown off freight trains, at Cheddington in Bedfordshire and at Hardendale in Cumbria.  Both incidents occurred early on 1 March 2008.The first incident, at Cheddington, on the down fast line of the West Coast Main Line (WCML) between Hemel Hempstead and Leighton Buzzard, occurred at approximately 02:30 hrs.  A freight train consisting of a Class 56 locomotive hauling 20 container flat wagons lost 2 empty containers while travelling at approximately 70 mph.  The detached containers blocked the running lines and caused damage to overhead line equipment (OLE) and to the track.  The line was closed until the evening of 1 March._x000D_
_x000D_
The second incident occurred at approximately 03:15 hrs adjacent to Hardendale Quarry, between Tebay and Penrith, on the down line of the WCML.  A freight train, consisting of two Class 86 locomotives hauling 20 container flat wagons, lost five empty containers from the rearmost four wagons of the train while travelling at approximately 70 mph.  The detached containers in this case also blocked running lines and again caused damage to the OLE and track. The line was closed until the early hours of 3 March._x000D_
_x000D_
Both incidents took place at a time of high cross winds, and in both cases there were no injuries.</t>
  </si>
  <si>
    <t>First incident occurred at Cheddington, between Hemel Hempstead and Leighton Buzzard, Bedfordshire. Second incident occurred adjacent to Hardendale Quarry, between Tebay and Penrith, in Cumbria.</t>
  </si>
  <si>
    <t>Freightliner Ltd; 
Fastline Freight</t>
  </si>
  <si>
    <t>The immediate cause of both incidents was the overturning and detachment from their wagons, of empty, unsecured freight containers, due to the aerodynamic forces resulting from a combination of high cross winds and train speeds.</t>
  </si>
  <si>
    <t>The causal factors were:the high, but not exceptional, cross wind speeds at both sites (paragraph 166); both trains were travelling at close to their permitted maximum speed of 75 mph or 121 km/h (paragraph 170 and Recommendation 1);  the containers which detached were empty (paragraph 171 and Recommendation 1); the lack of overturning retention provided by the FEA-B wagon’s fold-down spigots because they had not been designed in accordance with UIC 571-4 appendix C (paragraphs 175, 176 and Recommendations 3, 5 and 6); the wagon manufacturer had not appreciated the function and operating principles of UIC spigots (paragraph 178 and Recommendations 5 and 6);there is a lack of explicit warning in UIC 571-4 about the use of inboard hinges for fold-down spigots (paragraph 178 and Recommendations 5 and 6); compliance of the FEA-B spigots with UIC 571-4 was not checked by the VAB during the vehicle certification process (paragraph 179); lack of a requirement relating to load retention devices in mandatory design Railway Group Standards (paragraph 180 and Recommendation 6); the VAB did not follow the guidance in GM/GN2589 which drew attention to load retention devices and UIC 571-4 in particular (paragraph 181 and Recommendation 6) and the freight operating companies involved did not identify that the inboard hinges of the FEA-B spigots could not provide overturning retention (paragraph 182 and Recommendation 2). A possible causal factor was: Dimensional checks specified in UIC 571-4 had not been included in the wagon maintenance plans and therefore checks on the spigot spacings were not undertaken during operational service (paragraph 183, Recommendations 2 and 4).   The following factors were contributory: the embankments at both sites increased the local cross wind speeds acting on the containers (paragraph 169 and Recommendation 1); the wagon manufacturer believed that unsecured containers on the FEA-B wagons were not at risk of overturning in UK wind conditions.  This belief was based on an incorrect interpretation of Railway Group Standard GM/RT2142 (paragraph 178);  the wagon manufacturer’s previous experience of satisfactory container security using the nominal spacings in UIC 571-4 appendix A, as used for the FEA-B wagons, reinforced his conviction that there was no deficiency in load security on FEA-B wagons (paragraph 178);  the freight operating companies believed that the wagon spigots were compliant with UIC 571-4, as declared by the vehicle manufacturer’s technical specification (paragraph 184); and a possible contributory factor was the partial exposure of the bottom surfaces of the containers on the windward side to the air flowing up the embankment slope which may have increased the lift forces on the containers (paragraph 173  and Recommendation 1).   There has been a loss of UK rail industry awareness and understanding about the design, operation and maintenance requirements of UIC spigots (paragraph 185 and Recommendation 6). The certification process was confined to mandatory Railway Group Standards, and did not look wider to the scrutiny of safety critical items designed to non-RGS standards (paragraph 186 and Recommendation 7).</t>
  </si>
  <si>
    <t>BE-481</t>
  </si>
  <si>
    <t>Level crossing accident, 03-03-08, Chapelle-Dieu (Belgium)</t>
  </si>
  <si>
    <t>A pedestrian is seriously injured when he is cashed by a train on a level crossing._x000D_
The security signals of the level crossing did not work._x000D_
The signalisation on the level crossing was put out of service for the time of works on the railway infrastructure._x000D_
At the end of these works the  railway is putted on service and hereby is omitted to put on service the level crossing signals</t>
  </si>
  <si>
    <t>Chapelle-Dieu</t>
  </si>
  <si>
    <t>A premature cancellation of the announcement zones of the crossing levels without observing the regulatory procedures is the primary cause of the accident.</t>
  </si>
  <si>
    <t>Safety management system should ensure in a sufficient way: adequate evaluation of the technical competence and profile necessary for the job; efficient internal communication; control of situations under pressure that could harm the correct execution of</t>
  </si>
  <si>
    <t>HU-474</t>
  </si>
  <si>
    <t>Level crossing accident, 07/03/2008, Line 107: Between Tocovolgy and Balmazujvaros stations - LC (AS41) (Hungary)</t>
  </si>
  <si>
    <t>Passenger train Nr. 6614 collided with a car in a well-operated LC. The driver of the car suffered minor injury._x000D_
(Investigated commonly with an earlier accident in the same LC: 29/08/2007)</t>
  </si>
  <si>
    <t>Line 107: Between Tocovolgy and Balmazujvaros stations - LC (AS41)</t>
  </si>
  <si>
    <t>NO-465</t>
  </si>
  <si>
    <t>Other, 08/03/2008, Between Strømmen and Lillestrøm on Hovedbanen (Norway)</t>
  </si>
  <si>
    <t>A freight train consisting of articulated wagons class Sdggmrs (495 5) experienced a condiderably reduced brake effect on the first brake operation en route. The first inpection disclosed a twisted and buckled brake hose over the center boggie on one of the involved wagons(see attachment).</t>
  </si>
  <si>
    <t>Between Strømmen and Lillestrøm on Hovedbanen</t>
  </si>
  <si>
    <t>A wagon with partally blocked brake pipe was not identified during brake testing despite the fact that several persons and service groups were involved. CargoNet AS's internal procedures do not provide adqate instructions for supporting fault localisation and responses to problems which arise during brake testing._x000D_
The possibility of incorrect fitting of the brake hose above the middle bogie on articulated wagons was either not identified in connection with the design and approval process for the wagontype, or not communicated by the wagon owner to the maintenance s</t>
  </si>
  <si>
    <t>UK-522</t>
  </si>
  <si>
    <t>Train derailment, 09/03/2008, On the Belfast to Dublin route at a location known as Terryhoogan bog, near Scarva, Northern Ireland (United Kingdom)</t>
  </si>
  <si>
    <t>A road/rail excavator and two wagons derailed. The excavator then fell down a steep embankment with the driver inside before coming to rest on its side. No-one was injured as a consequence of the accident. The accident occurred on the Belfast to Dublin route at a location known as Terryhoogan bog, near Scarva. Debris blocked one of the two tracks, although services between Dublin and Belfast were able to continue by the adoption of single line working at reduced speed past the accident site while investigation and recovery activities were undertaken. The excavator and wagons were recovered shortly afterwards.</t>
  </si>
  <si>
    <t>On the Belfast to Dublin route at a location known as Terryhoogan bog, near Scarva, Northern Ireland</t>
  </si>
  <si>
    <t>The immediate cause of the derailment was flange climb; the lateral contact force at the excavator’s trailing right-hand rail wheel resulted in a vertical force that exceeded the weight applied through it, forcing the wheel up, onto and then off the rail (paragraph 41).</t>
  </si>
  <si>
    <t>the operator transfering the excavator’s weight from its rail to its road wheels (paragraph 42a and Recommendation 1); and the canted track that brought the excavator’s right-hand rail wheel flanges into contact with the right-hand rail (paragraph 42b). The following factors, when combined, required the operator to transfer the excavator’s weight from the rail to the road wheels to increase traction and continue operation. They are therefore contributory factors.Uncompensated tyre wear reduced the weight the excavator applied through its road wheels to a level that would not give enough traction to drive itself and haul its loaded wagons in dry conditions on level track (paragraph 48, Recommendation 1).*Track gradient increased the amount of traction the excavator needed (paragraph 49).* Rainwater significantly reduced friction and traction available at the rubber road tyre/rail interface (paragraph 50).* The excavator was hauling wagons that were overloaded with stone ballast (paragraph 53).* The following factors allowed the operator to transfer weight from the excavator’s rail wheels to its road wheels to increase traction and continue operation.  They are therefore contributory factors :The excavator’s design did not prevent the operator from retracting the rail wheels to increase the load on the road wheels and thus increase traction, adjusting weight distribution by feel before continuing to operate the excavator (paragraph 54). The excavator operating and maintenance manual neither requires that an operator deploy the rail wheels until the left and right-hand indicator lights illuminate, nor does it prohibit an operator adjusting weight distribution by feel (paragraph 55 and Recommendation 1). *  Neither NI Railways nor McLaughlin and Harvey had a process for planning the work carried out by an excavator that considered the relationship between track gradient, rainwater lubrication of the road tyre/rail interface and wagon loading. For this reason, neither NI Railways nor McLaughlin and Harvey placed a limit on the gross laden weight that the excavator could safely haul (paragraph 56 and Recommendation 2). * On site, the engineering supervisor and the track safety co-ordinator were unaware of the need to limit wagon loading when operating on a gradient.  The excavator operators were therefore allowed to load the wagons as fully as possible before each trip to the worksite (paragraph 57 and Recommendation 3).</t>
  </si>
  <si>
    <t>PT-441</t>
  </si>
  <si>
    <t>Level crossing accident, 11/03/2008, Level crossing located in an urban area (Portugal)</t>
  </si>
  <si>
    <t>An ambulance vehicle carrying 4 passengers was hit by train nº 800 on the level crossing, Oeste Line (km 175,976), causing death to the driver and 3 passagenrs. The ambulance cross the level crossing with the two barriers down and the lights and  bells on</t>
  </si>
  <si>
    <t>Level crossing located in an urban area</t>
  </si>
  <si>
    <t>RO-438</t>
  </si>
  <si>
    <t>Broken wheels or axles, 13/03/2008, Zavideni Station, line 1. Zavideni Station belongs to Craiova Railway County, on the south-west of the Romanian Railway Network. (Romania)</t>
  </si>
  <si>
    <t>The freight train no. 41651, formed of 25 wagons, was on route from Piatra Olt Station to Babeni Station. The service official from Zavideni Station observed sparks at the 6-th wagon and informed the driver to stop the train. The driver stopped the train and found that the axle journal of the 6-th wagon was broken. The wagon was loaded with iron oxide.</t>
  </si>
  <si>
    <t>Zavideni Station, line 1. Zavideni Station belongs to Craiova Railway County, on the south-west of the Romanian Railway Network.</t>
  </si>
  <si>
    <t>National Company for Freight Railway Transport "CFR-Marfa" S.A.</t>
  </si>
  <si>
    <t>The direct cause of the railway event occurrence is the breaking of the wheel set no. 3836632 from the wagon no. 31535494306-2 in the area of the stress relief clearing between the axle journal and shutter as result of the decrease of the material fatigue strength against the development of micro cracks in the areas with high density of the networks with manganese sulphide</t>
  </si>
  <si>
    <t>Exceeding the allowed limit for the sulphur concentration (determined values of 0,05 – 0,06% in comparison of the maximum allowed limit 0,04%) which determined the appearance of a discontinuous networks of manganese sulphide inclusions with negative influence on the breaking properties to fatigue of the material. Exceeding the allowed limit for the copper concentration (values of 0,35 – 0,37 % in comparison with the maximum allowed limit 0,3%) the noticed inclusions lines can form breaking cracks and corrosion cracks of the material, with negative influence on fatigue resistance._x000D_
The non-compliance with the minimum imposed conditions on the chemical characteristics of the axles axis established in the reference documents in force at the date of manufacturing (STAS 1947/1990 - Wagons with standard gauge. Axles. General technical co</t>
  </si>
  <si>
    <t>ES-443</t>
  </si>
  <si>
    <t>Level crossing accident, 14/03/2008, Llinars de Vallés station, at kilometre point 148,000 on the railway line Portbou-Cerbere-Barcelona-Sant Andreu Comtal. (Spain)</t>
  </si>
  <si>
    <t>A motorcycle was knocked down by a regional train when the driver had failed to stop at the level crossing,type C.</t>
  </si>
  <si>
    <t>Llinars de Vallés station, at kilometre point 148,000 on the railway line Portbou-Cerbere-Barcelona-Sant Andreu Comtal.</t>
  </si>
  <si>
    <t>The motorcyclist crossed recklessly as the half-barriers were lowered.</t>
  </si>
  <si>
    <t>ES-544</t>
  </si>
  <si>
    <t>Accident to persons caused by RS in motion, 21/03/2008, Kilometre point 3,286 at 276 Maçanet-Massanes-Barcelona-Sagrera railway line, near Sant Adriá de Besós station (Barcelona) (Spain)</t>
  </si>
  <si>
    <t>A passenger train hit a man who was crossing the metallic railway bridge over river Besós.</t>
  </si>
  <si>
    <t>Kilometre point 3,286 at 276 Maçanet-Massanes-Barcelona-Sagrera railway line, near Sant Adriá de Besós station (Barcelona)</t>
  </si>
  <si>
    <t>The victim went through a faulty path used to arrive to a near beach.</t>
  </si>
  <si>
    <t>HU-475</t>
  </si>
  <si>
    <t>Trains collision, 21/03/2008, Line 80: station Szerencs (Hungary)</t>
  </si>
  <si>
    <t>Freight train Nr. 65540-1 departed without any permission and passed over its -red- exit signal. In the same time the train Nr 65541 was crossing on the next platform. They managed to stop the train, but the engine of the train Nr 65541 collided into the other engine.</t>
  </si>
  <si>
    <t>Line 80: station Szerencs</t>
  </si>
  <si>
    <t>AT-685</t>
  </si>
  <si>
    <t>Train derailment, 24/03/2008, ÖBB-Strecke 41201 Leoben Hauptbahnhof - Vordernberg Markt, Bahnhof Leoben Donawitz ÖBB-Line 41201 Leoben Hauptbahnhof - Vordernberg Markt, Station Leoben Donawitz (Austria)</t>
  </si>
  <si>
    <t>Montag, 24. März 2008, 14:25 Uhr entgleiste im Bahnhof Leoben Donawitz der auf Gleis 16 einfahrende Zug 47490. Dabei entgleisten 8 Wagen. // Monday, 24 March 2008, 14:25, in station Leoben Donawitz on track 16 derailed the retract train 47490. Thereby derailed 8 wagons.</t>
  </si>
  <si>
    <t>ÖBB-Strecke 41201 Leoben Hauptbahnhof - Vordernberg Markt, Bahnhof Leoben Donawitz ÖBB-Line 41201 Leoben Hauptbahnhof - Vordernberg Markt, Station Leoben Donawitz</t>
  </si>
  <si>
    <t>UK-523</t>
  </si>
  <si>
    <t>Train derailment, 25/03/2008, Near Moor Street station, Birmingham (United Kingdom)</t>
  </si>
  <si>
    <t>The RAIB is carrying out an investigation into the derailment of a freight train near Moor Street station Birmingham on 25 March 2008. _x000D_
At 06:38 hrs four empty scrap carrying wagons in train 6M15, the 01:46 hrs Aldwarke to Handsworth, derailed on the approach to Moor Street station. At this location the railway is carried on a viaduct. The four derailed vehicles were overturned or partly overturned, there was some damage to the parapet of the viaduct and a quantity of brickwork fell to the ground below. No-one was injured during the accident. The wagons were lifted by use of a breakdown crane, and the line reopened after repairs at 02:14 hrs on 27 March.</t>
  </si>
  <si>
    <t>Near Moor Street station, Birmingham</t>
  </si>
  <si>
    <t>The immediate cause of the accident was that the left leading wheel flange of wagon 470152 rode over the left-hand rail at the location of the most severe track twist on plain line on the approach to 677 points (paragraph 83).</t>
  </si>
  <si>
    <t>The causal factors were:non-compliant track geometry (paragraph 84); and the track twist was not detected or corrected (paragraph 84)* The probable causal factors were: not observing the signs of voiding and initiating remedial actions (paragraph 87); Network Rail was monitoring the crossover at a frequency which did not ensure that the geometry was maintained in a compliant state (paragraph 86); and the track construction at this location was such that visual identification of a twist fault was masked by the relative locations of the rail joints (paragraph 88). A possible causal factor was:Network Rail were monitoring the geometry using a method which did not detect the worst case (dynamic) geometry (paragraph 89). That the crossover design geometry was near to the maintenance limits (paragraph 85, Recommendation 1) was a contributory factor. The underlying cause was that Network Rail did not identify the contribution to the risk of derailment from the development of voids in an area that was only statically measured and implement specific measures to assess and control it (paragraph 96 and Recommendation 2).</t>
  </si>
  <si>
    <t>HU-476</t>
  </si>
  <si>
    <t>Train derailment, 26/03/2008, Line 80: station Kobanya-felso (Hungary)</t>
  </si>
  <si>
    <t>A car-carrier wagon of the train Nr 44405-2 derailed at switch Nr 22. The first and the last bogie of the car run on different platforms and the rear part of the wagon collided with an storaged freight wagon.</t>
  </si>
  <si>
    <t>Line 80: station Kobanya-felso</t>
  </si>
  <si>
    <t>UK-524</t>
  </si>
  <si>
    <t>Level crossing accident, 31/03/2008, Level Crossing accident at Tackley station, Oxfordshire (United Kingdom)</t>
  </si>
  <si>
    <t>The RAIB is carrying out an investigation into a fatal level crossing accident at Tackley station on 31 March 2008. _x000D_
The accident occurred at 15:16 hrs when Arriva Cross-Country passenger train 9O18 from Dundee to Bournemouth struck and killed an 82 year old woman who was accessing Tackley station via a user worked level crossing on Network Rail’s Oxford to Banbury (Cherwell valley) line.</t>
  </si>
  <si>
    <t>Level Crossing accident at Tackley station, Oxfordshire</t>
  </si>
  <si>
    <t>Arriva Cross Country</t>
  </si>
  <si>
    <t>The immediate cause of the accident was the deceased stepping onto the crossing and into the path of an oncoming train.</t>
  </si>
  <si>
    <t>Causal factors were: Either the deceased mistaking a late-running through train for the stopping service, which was due at about the same time, and which she had intended to catch (incorrect use) (paragraph 109); orthe deceased being unaware of the approaching train until after she had committed herself to using the crossing, possibly by being unable to hear its approach (paragraph 109, Recommendation 1); and  b.	The restricted sighting of trains from outside the railway boundary at the down side of the crossing, due to a poorly sited palisade fence (paragraph 117, Recommendation 2). The following factor was considered to be possibly contributory:  The use of a decision point, which was not required to be marked, within the wicket gate for assessment and inspection purposes.  This did not accurately reflect the behaviour of crossing users, but allowed the crossing to pass its assessment and inspections and meant that the need to improve sighting was not recognised (paragraph 120, Recommendation 3). An underlying factor was: The local authorities’ rejection of proposals to replace the crossing at a time when it was cost effective to take action, which meant that this opportunity was lost.  As a consequence, no reasonably practicable measures could be taken (paragraph 125).</t>
  </si>
  <si>
    <t>UK-526</t>
  </si>
  <si>
    <t>Train derailment, 04/04/2008, Near Deptford Bridge Station (United Kingdom)</t>
  </si>
  <si>
    <t>At 05:27 hrs on 4 April the 05:19 hrs service from Lewisham had just left Deptford Bridge station, and was travelling towards Greenwich, when it struck an object on the track and was derailed by the second axle of the first bogie. The front of the train came to a rest 88 metres after hitting the object. There were no injuries to the 59 persons on board the train and all were evacuated safely back to Deptford Bridge station._x000D_
_x000D_
The train, which was the first train of the day from Lewisham, was under automatic operation. The object on the track was found to be a steel drilling template that had been in use during engineering activities the previous night.</t>
  </si>
  <si>
    <t>Near Deptford Bridge Station</t>
  </si>
  <si>
    <t>Docklands Light Railway</t>
  </si>
  <si>
    <t>The immediate cause of the accident was that train 87/62 struck a drilling jig that had been left across the running rail, and derailed.</t>
  </si>
  <si>
    <t>Causal factors were: the PICOW and the other drillers did not realise that the drilling jig had been left at site across a running rail (paragraph 183); there was no procedure requiring a systematic check that all equipment representing a derailment risk was accounted for (paragraph 183);the PICOW did not undertake a systematic and adequate check of the work site (paragraph 184); and the site working lights were switched off before items on the track were cleared, leaving the area in darkness (paragraph 186).  Contributory factors were: the PICOW involved was not adequately supervised or monitored when undertaking his duties (paragraph 187, Recommendation 2); the senior PICOW did not undertake any formal monitoring and auditing of the PICOWs (paragraph 188, Recommendation 2); andthe drilling jig was not conspicuous in poor lighting (paragraph 189, Recommendation 1).  The following factors resulted in the train travelling faster than the temporary speed restriction that should have been in place: the design of the control centre system required the entry of speed restriction data every time that the vehicle control computers were re-booted (paragraph 191, Recommendation 3); and a breakdown in the operational processes within the control centre relating to speed restrictions owing to high workload, inadequate supervision and the design of the control centre systems (paragraphs 192 and 273).The following factors resulted in the passenger service agent not being in the lead emergency driving position and not carrying out the sweep procedure: ? despite their training, the passenger service agent and the control centre controller did not come to a complete understanding during their radio communications (paragraphs 200 and 272); and  the training and mentoring of the passenger service agent did not provide him with experience of undertaking a sweep of the Lewisham extension (paragraph 202, Recommendation 4)The underlying management factors were: inadequate systems for monitoring and reviewing safety performance and for monitoring compliance with rules and procedures (paragraph 211, Recommendations 5 and 6); Serco Docklands did not provide adequate training resource and only limited management review of the training (paragraph 208, Recommendation 4); and the absence of Serco Docklands management systems to systematically identify safety process indicators (paragraph 213, Recommendation 7)..</t>
  </si>
  <si>
    <t>UK-527</t>
  </si>
  <si>
    <t>Other, 04/04/2008, Eurotunnel tourist shuttle train in transit from the UK to France (United Kingdom)</t>
  </si>
  <si>
    <t>The RAIB is carrying out an investigation into an accident when a road coach moved as a shuttle train departed from the UK terminal of the Channel Tunnel on 4 April 2008. _x000D_
At 17:08 hrs a tourist shuttle train was departing from the UK terminal when a road coach moved backwards relative to the train, trapping the coach’s driver against the internal fire barrier door.  Another passenger activated the emergency alarm to alert the train crew.  As the train stopped the coach moved forward releasing the coach driver.  The coach driver received injuries that required him to be admitted to hospital for treatment.</t>
  </si>
  <si>
    <t>Eurotunnel tourist shuttle train in transit from the UK to France</t>
  </si>
  <si>
    <t>The immediate cause of the accident was that the coach was not sufficiently restrained against backward movement (paragraph 64).</t>
  </si>
  <si>
    <t>The causal factors resulting in the coach not being restrained were: a.the parking brake was not applied; b.first gear was not engaged; and c.the chock at the rear of the wheel under the driver’s position was not present or was incorrectly positioned (paragraph 67). While the immediate cause of the accident has been established and likely specific issues leading to the incorrect restraining of the coach have been identified, it has not been possible to establish with certainty the circumstances which led to them occurring, but the following factors are possibly contributory:  a.the non-availability of the correct chocks (paragraph 85); b.the difficulty of confirming the state of the controls of a road vehicle by the shuttle crew (paragraphs 86-89); c. although it is unlikely, the possibility of interference with the chocks or the controls of the coach (paragraphs 72 and 77); and d.the possibility of the driver being distracted at the moment of parking the coach (paragraph 74).</t>
  </si>
  <si>
    <t>DE-445</t>
  </si>
  <si>
    <t>Trains collision with an obstacle, 07-04-08, Strecke Letmathe - Hohenlimburg (Germany)</t>
  </si>
  <si>
    <t>Am 07.04.2008 prallte gegen 04:10 Uhr die Zugfahrt 98520 des Eisenbahnverkehrsunternehmens (EVU) DB Netz AG, auf der Fahrt von Letmathe nach Dortmund-Kley, zwischen Letmathe und Hohenlimburg, auf eine Gruppe im Gleis arbeitender Mitarbeiter einer Gleisbaufirma. 
On 07.04.2008 at about 04:10 the train 98520 of the railway company (EVU) DB Netz AG, on the way from Letmathe to Dortmund-Kley, between Letmathe and Hohenlimburg, collided with a group of employees of a track construction company working on the track.</t>
  </si>
  <si>
    <t>Strecke Letmathe - Hohenlimburg</t>
  </si>
  <si>
    <t>Die Ursache des Unfalls ist in einem Arbeitsfehler des Fahrdienstleiters (Fdl) Hohenlimburg begründet. Dieser hatte die Zugfahrt in das nach Betriebs- und Bauanweisung (Betra) gesperrte und zum Baugleis erklärte Gleis Letmathe – Hohenlimburg eingelassen. 
The cause of the accident is based on a work error by the Hohenlimburg Dispatching Officer (Fdl). The latter had allowed the train to enter the Letmathe - Hohenlimburg track, which had been blocked according to the operating and construction instructions (Betra) and declared a construction track.</t>
  </si>
  <si>
    <t>CZ-461</t>
  </si>
  <si>
    <t>Trains collision, 10/04/2008, Palackeho - Hudcova crossing (Czech Republic)</t>
  </si>
  <si>
    <t>An empty tram run-away from the depot without driver and collided with another tram (also without passengers)</t>
  </si>
  <si>
    <t>Palackeho - Hudcova crossing</t>
  </si>
  <si>
    <t>Dopravni podnik mesta Brna</t>
  </si>
  <si>
    <t>CZ-453</t>
  </si>
  <si>
    <t>Trains collision, 11/04/2008, Single-track tramway line between Poruba koupaliste and Vresina tram-stops (Czech Republic)</t>
  </si>
  <si>
    <t>Frontal collision of two trams. 3 passengers killed, 11 passengers seriously injured, 21 passengers and 2 tram-drivers half-seriously injured, 22 passengers slightly injured.</t>
  </si>
  <si>
    <t>Single-track tramway line between Poruba koupaliste and Vresina tram-stops</t>
  </si>
  <si>
    <t>SE-460</t>
  </si>
  <si>
    <t>Other, 2008-04-11, Single track on the line between Göteborg and Uddevalla (Sweden)</t>
  </si>
  <si>
    <t>Friday 11th april 2008, a truck loaded with an excavator on the route from Gothenburg to Skäggstorp to unload the excavator at a building construction site along road 574._x000D_
_x000D_
To get to the building construction site was the truck driver had to cross a railroad track. He judged that the best place for this was the level crossing at Skäggstorp between Stora Höga and Kode._x000D_
_x000D_
Arriving at the crossing the truck driver stopped and examined the crossing, raising the trailer to not risk getting caught over the rails. Despite this the trailer got stuck and was standing across the track. Shortly after sound and light signals were activated and the barriers went down._x000D_
_x000D_
Meanwhile, a passenger train 3763 were on the way to Gothenburg from Uddevalla. The driver was given the signal "proceed" the crossing signal showed "movement allowed" and he therefore drove on at a speed of about 110 km / h. After a curve and on the straight before the crossing the driver saw that something was on the track. The driver pulled the emergency brake and ran back in the train that stopped about 50 meters before the truck rig. 
Fredagen den 11 april 2008 var en lastbil lastad med en grävmaskin på väg från Göteborg till Skäggstorp för att lasta av grävmaskinen vid en husbyggnadsplats längs väg 574._x000D_
_x000D_
För att komma till husbyggnadsplatsen var lastbilsföraren tvungen att korsa ett järnvägsspår. Han gjorde bedömningen att den bästa platsen för detta var plankorsningen vid Skäggstorp mellan Stora Höga och Kode._x000D_
_x000D_
Framme vid plankorsningen stannade lastbilsföraren och granskade över-gången och höjde släpet för att inte riskera att fastna på övergången. Trots detta fastnade släpet och lastbilsekipaget blev stående över spåret. Strax efter aktiverades ljud- och ljussignal och bommarna gick ned._x000D_
_x000D_
Samtidigt var resandetåg 3763 på väg mot Göteborg från Uddevalla. Föraren hade i vägkorsningsförsignalen beskedet att nästa vägkorsnings-signal visade ”rörelse tillåten” och körde vidare i en hastighet av ca 110 km/tim. Efter en kurva och ute på raksträckan före plankorsningen uppfattade föraren att det var något som stod på spåret. Föraren drog i nödbromsen och sprang bakåt i tåget som stannade ca 50 m före lastbils-ekipaget.</t>
  </si>
  <si>
    <t>Single track on the line between Göteborg and Uddevalla</t>
  </si>
  <si>
    <t>The steep gradient between track and levelcrossing caused the low trailer to get stuck on the level crossing.</t>
  </si>
  <si>
    <t>No one takes the whole responisbility between railway and road at level crossings</t>
  </si>
  <si>
    <t>PT-454</t>
  </si>
  <si>
    <t>Level crossing accident, 13/04/2008, Linha do Douro - LC Type D - PK 52,560 (Portugal)</t>
  </si>
  <si>
    <t>A car vehicle entered into the LC when the train it approached</t>
  </si>
  <si>
    <t>Linha do Douro - LC Type D - PK 52,560</t>
  </si>
  <si>
    <t>ES-451</t>
  </si>
  <si>
    <t>Level crossing accident, 16/04/2008, Sant Feliu de Llobregat (Barcelona)station, at level crossing type C, kilometre point 88,906 on 240 San Vicente de Calders-L´Hospitalet de Llobregat railway line. (Spain)</t>
  </si>
  <si>
    <t>A young woman is knocked down by a passenger train when passing through a level crossing. It had the barriers down.</t>
  </si>
  <si>
    <t>Sant Feliu de Llobregat (Barcelona)station, at level crossing type C, kilometre point 88,906 on 240 San Vicente de Calders-L´Hospitalet de Llobregat railway line.</t>
  </si>
  <si>
    <t>The victim was distracted and crossed when the barriers were lowered and the flashing lights and warning bell were working</t>
  </si>
  <si>
    <t>UK-528</t>
  </si>
  <si>
    <t>Level crossing accident, 16/04/2008, Level Crossing accident at Moor Lane footpath crossing, Staines (United Kingdom)</t>
  </si>
  <si>
    <t>The accident occurred at 08:13 hrs when the 07:28 hrs South West Trains Service from London Waterloo to Windsor struck and killed a 66 year old woman on the level crossing, which carries a public footpath over Network Rail’s line from Staines to Windsor.</t>
  </si>
  <si>
    <t>Level Crossing accident at Moor Lane footpath crossing, Staines</t>
  </si>
  <si>
    <t>The immediate cause of the accident was that Mrs Mansell fell to the ground on the crossing and was unable to avoid being struck by the approaching train (paragraph 71).</t>
  </si>
  <si>
    <t>Mrs Mansell did not stop, look and listen before stepping onto the crossing (paragraph 77). * The surface of the crossing was slippery (paragraph 97, Recommendation 1).  *Network Rail had not added a non-slip surface to the crossing, although this had been considered by Railtrack in 1996 and requested by HMRI in 2005 (paragraphs 109, 110, Recommendation 2).  * The following factors were considered to be contributory : The angle, relative to the railway, of the south-eastern approach path and the crossing itself (paragraph 80).*The relative quietness of the combination of a modern train and track recently relaid with continuous welded rail (paragraph 85).  *The level of background noise at the crossing (paragraph 81). * The underlying causes of the accident were:  The risk assessment processes operated for footpath crossings by Railtrack and 	more recently by Network Rail did not identify the risk of slipping on a timber surface, and as a result a non-slip surface was not provided at the crossing (paragraph 122, Recommendation 3). *b. the difficulty of closing the level crossing, and its consequent continued availability to members of the public as a footpath (paragraph 125).</t>
  </si>
  <si>
    <t>ES-545</t>
  </si>
  <si>
    <t>Accident to persons caused by RS in motion, 22/04/2008, Kilometre point 5,348, at 720 Intermodal Abando Indalecio Prieto-Santurtzi railway line, at Zorrotza station (Vizcaya) (Spain)</t>
  </si>
  <si>
    <t>A freight train knocked down a woman who was walking beside the platform within the railway track.</t>
  </si>
  <si>
    <t>Kilometre point 5,348, at 720 Intermodal Abando Indalecio Prieto-Santurtzi railway line, at Zorrotza station (Vizcaya)</t>
  </si>
  <si>
    <t>The victim was walking through an unauthorised place.</t>
  </si>
  <si>
    <t>DE-452</t>
  </si>
  <si>
    <t>Trains collision with an obstacle, 26/04/2008, Strecke: Hannover - Würzburg; Landrückentunnel; südlich von Fulda Itinerary: Hanover - Würzburg; ,Landrückentunnel, south of Fulda (Germany)</t>
  </si>
  <si>
    <t>ICE 885 prallte auf eine Schafherde, die sich im Eingang des Landrückentunnels befand; ICE 885 entgleiste dadurch mit dem ersten Drehgestell. Eine anschließende Weiche wurde zerstört. 1. Triebkopf, Wagen 3-12 und 2. Triebkopf entgleisten. //_x000D_
ICE 885 hit on a herd of sheep, which was in the entrance of the Landrücken tunnel; ICE 885 thereby jumped the track with the first bogie. Next points were destroyed. 1-st traction unit, carriages 3-12 and 2-nd traction unit jumped the track.</t>
  </si>
  <si>
    <t>Strecke: Hannover - Würzburg; Landrückentunnel; südlich von Fulda Itinerary: Hanover - Würzburg; ,Landrückentunnel, south of Fulda</t>
  </si>
  <si>
    <t>FR-463</t>
  </si>
  <si>
    <t>Other, 26/04/2008, Near Montauban on the line section Bordeaux - Toulouse. (France)</t>
  </si>
  <si>
    <t>Braking of the train is insufficient.The train stops 3090 meters after the beggining of braking. Two signals are passed on red.</t>
  </si>
  <si>
    <t>Near Montauban on the line section Bordeaux - Toulouse.</t>
  </si>
  <si>
    <t>VEOLIA CARGO FRANCE</t>
  </si>
  <si>
    <t>UK-529</t>
  </si>
  <si>
    <t>Trains collision, 26/04/2008, Leigh on Sea (United Kingdom)</t>
  </si>
  <si>
    <t>The collision occurred at 06:27 hrs.  Train 6T63, an engineering train from Whitemoor to Benfleet was stationary in an engineering possession when the following train, 6T64, also from Whitemoor to Benfleet, struck it at 15 mph (24 km/h)._x000D_
_x000D_
No-one was injured in the collision, but two wagons were severely damaged.  The trains were recovered within the time of the engineering possession.</t>
  </si>
  <si>
    <t>Leigh on Sea</t>
  </si>
  <si>
    <t>GB Railfreight Ltd</t>
  </si>
  <si>
    <t>The immediate cause of the incident was that the driver of the train did not control the speed of the train so as to be able to stop short of the stationary train on the line ahead (paragraph 166, Recommendation 1).</t>
  </si>
  <si>
    <t>Causal factors were:a the driver of 6T64 did not recognise he was within the work site and limit his speed to walking pace in accordance with the Engineering Supervisor’s instructions and First GBRf policy (paragraph 178, Recommendation 1); b.	The driver did not have any knowledge of the location of the train 6T63 and the distances train 6T64 would be travelling within the work site (paragraph 173, no recommendation because First GBRf have re-briefed the driver); c.the driver was in a state of fatigue which had been caused by the reverse shift on the First GBRf base roster pattern (paragraphs 167 to 179, 213 and 246, no recommendation as First GBRf have implemented a new base roster and eliminated the reverse shift); d.	the main driving task within the work site was in the latter half of the shift when the time and risk of fatigue was greatest (paragraphs 115, 182 and 243, no recommendation as this is viewed as a possible causal factor and the driver has been briefed on management of fatigue and lifestyle); e.the driver did not report his fatigue to First GBRf control during his duty (paragraphs 149, 171 and 247, no recommendation as the First GBRf ‘refusal to work on grounds of safety’ policy is in place to deal with such incidents and the driver did not recognise his fatigue); f. the relief driver and trackman were aware they were within the work site but did not challenge the drivers excessive speed while travelling through the work site (paragraph 249, no recommendation as the relief driver and trackman have both been briefed on these issues); and g.the lack of formal documented procedure to provide a written record of instructions between the Engineering Supervisor, train driver or ‘competent person’ with ‘read back’ protocols that documented and confirmed the details, understanding and responsibility of the two parties (e.g. the driver and Engineering Supervisor) (paragraphs 187 to 188, 194 and 244, Recommendations 1 and 7).A possible causal factor was that the driver did not change his environment and obtain sufficient rest prior to his shift commencing (paragraph 186, no recommendation as this is seen as possibly causal and the driver has been briefed on management of fatigue and lifestyle (see paragraph 247)). 	Contributory factors were: a. the trackman and the driver of train 6T64 did not come to a clear understanding regarding their specific roles and responsibilities for the planned movement.  Each person believed the other would be the person managing the movement and would be aware of the locations of the train within the work site and thus direct the movement on the approach to train 6T63 (paragraphs 204 and 249, Recommendation 7); b.	the Engineering Supervisor did not have precise knowledge of the positions of the trains within the site nor the distance to be travelled to enhance his briefing to the driver and trackman (paragraphs 194 and 227, Recommendations 1, 3, 4, 5 and 6). c. the removal of the work site marker boards before the Engineering Supervisor spoke to the driver may have contributed to the driver believing that he was within a possession rather than a work site (paragraph 175, no recommendation as the Engineering Supervisor has been re-briefed on the requirements relating to the removal of marker boards and safety critical communication). The underlying causes were: a the First GBRf base roster at the time of the incident included a reverse shift pattern that was likely to have produced fatigue (paragraphs 211 to 213 and 246, no recommendation as the First GBRf roster has now been amended and reverse shift eliminated); b. the delay in publishing the First GBRf Professional Driving Policy and revised base roster which removed the reverse rotation shift pattern (paragraphs 211 and 246, no recommendation as the First GBRf roster has now been amended and reverse shift eliminated); c.the Network Rail and Balfour Beatty planning processes did not identify specific site safety issues relating to the Rule Book (possession / work site length) as a factor for consideration and therefore engineering trains travelling long distances within a work site were not identified as posing a risk (paragraphs 217 to 220 and 248, Recommendations 2, 3 and 4).</t>
  </si>
  <si>
    <t>HU-477</t>
  </si>
  <si>
    <t>Level crossing accident, 29/04/2008, Line 107: Between Tocovolgy and Balmazujvaros stations - LC (AS41) (Hungary)</t>
  </si>
  <si>
    <t>Passenger train Nr 6632 collided with a car in a well-operated LC. The driver of the car was killed._x000D_
(Investigated commonly with an earlier accident in the same LC: 29/08/2007 )</t>
  </si>
  <si>
    <t>NO-482</t>
  </si>
  <si>
    <t>Train derailment, 29/04/2008, Nordlandsbanen, Skogn station (Norway)</t>
  </si>
  <si>
    <t>The second last wagon of the train derailed while entering Skogn station. The last wagon entered remained on the track, but entered track 1 instead of track 2.</t>
  </si>
  <si>
    <t>Nordlandsbanen, Skogn station</t>
  </si>
  <si>
    <t>FI-495</t>
  </si>
  <si>
    <t>Trains collision with an obstacle, 4/30/2008, Joensuu Syväsatama railway yard. (Finland)</t>
  </si>
  <si>
    <t>On Wednesday 30 April 2008 at 7.04 a.m., a shunting unit collided with a heavy forklift truck on Joensuu’s Syväsatama port track 183. The shunting foreman was seriously injured. One of the freight wagons incurred minor damage and the forklift truck was badly damaged.</t>
  </si>
  <si>
    <t>Joensuu Syväsatama railway yard.</t>
  </si>
  <si>
    <t>The accident occurred because the forklift driver did not observe the approaching shunting_x000D_
unit before turning or when turning to cross the track. The driver noticed the shunting_x000D_
unit only upon the collision.</t>
  </si>
  <si>
    <t>In order to fulfil his lookout duty, the shunting foreman was standing on the buffer step_x000D_
on the right side of the first wagon in the direction of travel, which contributed to the injury._x000D_
He was unable to stand on the right end step because of a high loading platform on_x000D_
the right side of the track.</t>
  </si>
  <si>
    <t>UK-530</t>
  </si>
  <si>
    <t>Train derailment, 03/05/2008, Gysgfa, on Ffestiniog Railway, Gwynedd (United Kingdom)</t>
  </si>
  <si>
    <t>The derailment occurred at 15:30 hrs.  The 15:00 hrs train from Porthmadog to Tan y Bwlch consisted of a steam locomotive, three four wheeled carriages, a bogie carriage and a bogie van.  The train was running at approximately 20 mph (32 km/h) some 5 miles from Porthmadog when the two bogie vehicles derailed._x000D_
_x000D_
The passengers in the bogie carriage activated the emergency brake and the train stopped.  No passengers were injured, although the guard received very minor injuries.</t>
  </si>
  <si>
    <t>Gysgfa, on Ffestiniog Railway, Gwynedd</t>
  </si>
  <si>
    <t>Ffestiniog Railway</t>
  </si>
  <si>
    <t>The immediate cause of the accident was that the track gauge spread allowed the wheels of the coaches with bogies to fall between the rails.  This gauge spread was caused by the failure of eight consecutive baseplates.</t>
  </si>
  <si>
    <t>Causal factors were as follows:multiple failure of baseplates (paragraph 43); the Festiniog Railway Company had not experienced a failure of this type before (paragraph 62); the inspection of the defect found on 17 March 2008 wrongly diagnosed the fault (paragraph 60 and Recommendation 3);the Festiniog Railway Company method of diagnosing track defects did not require that gauge be measured (paragraph 61 and Recommendation 3); the Festiniog Railway Company method of diagnosing track defects did not require that the rail support components be exposed to view (paragraph 63 and Recommendation 3); the design of the baseplate is prone to overload when used on sleepers with a decayed surface (paragraph 53 and Recommendations 1 and 2): andthe inspection system used by the Festiniog Railway Company did not call for defects already in the track to be observed for signs of further deterioration whilst awaiting rectification (paragraph 64 and Recommendation 4).The following factors were considered to be possibly contributory:the practice of conducting foot inspections on only one occasion in six (paragraph 57 and Recommendation 3); and the lack of a formal change control process to regulate changes to standing instructions that reasonably should have initiated a new risk assessment meant that no formal risk assessment was carried out when the foot patrol frequency was changed (paragraph 58 and Recommendation 5).  The underlying cause of the derailment was that the Ffestiniog railway management did not control the track inspection and maintenance procedures nor supervise compliance with them (paragraph 56).</t>
  </si>
  <si>
    <t>PT-455</t>
  </si>
  <si>
    <t>Trains collision with an obstacle, 04/05/2008, Roundabout (Portugal)</t>
  </si>
  <si>
    <t>Collision of a car with a double passenger train followed by derailment which caused 14 slight injuries</t>
  </si>
  <si>
    <t>Roundabout</t>
  </si>
  <si>
    <t>TRANSDEV</t>
  </si>
  <si>
    <t>METRO DO PORTO</t>
  </si>
  <si>
    <t>ES-546</t>
  </si>
  <si>
    <t>Accident to persons caused by RS in motion, 06/05/2008, Fabara station (Zaragoza), kilometre point 470,754 at 210 Miraflores-Tarragona railway line. (Spain)</t>
  </si>
  <si>
    <t>A passenger fell off the train as he tried to get off while the train started moving.</t>
  </si>
  <si>
    <t>Fabara station (Zaragoza), kilometre point 470,754 at 210 Miraflores-Tarragona railway line.</t>
  </si>
  <si>
    <t>HU-478</t>
  </si>
  <si>
    <t>Level crossing accident, 08/05/2008, Between Csorna and Rabatamasi stations - LC (AS347) (Hungary)</t>
  </si>
  <si>
    <t>An Intercity train Nr IC932 collided with a car in a well-operated LC. The driver of the car was killed.</t>
  </si>
  <si>
    <t>Between Csorna and Rabatamasi stations - LC (AS347)</t>
  </si>
  <si>
    <t>Györ-Sopron-Ébenfurti Vasút Zrt - PASSENGER</t>
  </si>
  <si>
    <t>GYSEV Zrt.</t>
  </si>
  <si>
    <t>ES-457</t>
  </si>
  <si>
    <t>Level crossing accident, 09/05/2008, Location: Cetina (Zaragoza). Level crossing, type A, kilometre point 214,240. Railway line Madrid-Barcelona. (Spain)</t>
  </si>
  <si>
    <t>A road vehicle, with two passengers, is hit by a locomotive running solo while crossing a level crossing, type A (no barriers). The occupants of the vehicle died.</t>
  </si>
  <si>
    <t>Location: Cetina (Zaragoza). Level crossing, type A, kilometre point 214,240. Railway line Madrid-Barcelona.</t>
  </si>
  <si>
    <t>RO-456</t>
  </si>
  <si>
    <t>Train derailment, 10/05/2008, Valea Calugareasca station belongs to Bucharest Railway County, on the south of the romanian railway network, 71 km. north from Bucharest (Romania)</t>
  </si>
  <si>
    <t>The long distance passenger train no. 1661, formed of 6 passenger wagons, was on the route from Bucharest to Iasi. Before the pass through Valea Calugareasca station, the train passed over the switch no. 9, where the locomotive and four passenger wagons (after the locomotive) derailed. One passenger was killed and three passenger and the train master were injured and were transported to the hospital at Ploiesti.</t>
  </si>
  <si>
    <t>Valea Calugareasca station belongs to Bucharest Railway County, on the south of the romanian railway network, 71 km. north from Bucharest</t>
  </si>
  <si>
    <t>The direct  cause of the  railway event  was the penetration of the wheel’s tyre lip from the right side of the first axle in the direction of the traffic of the locomotive (axle no.6), between the  straight points and the curved stock rail of the switch no.9. This took place as result of allowing operating the route in the conditions of half opening the point switch</t>
  </si>
  <si>
    <t>The permit of performing the route took place as result of obtaining the control of the switch by a point motor, the control not being obtained properly in the conditions of the absence of the fastening elements of the locking box and of the produced half opening. This was due to the detector slides of the point motor that had the grooves of control widened in comparison with the projected. The point switch  half-opening was possible because of  the locking box detaching  from the fixing system in the conditions of the absence of the fastening elements ( screws and  nuts) that was fixing it by the curved stock rail of the switch no.9, having as consequence the loss of the function of the locking and guidance system of the straight points_x000D_
The absence of the specific regulations ( technical memorandum,  working instructions, technological processes) on assembling, maintaining and repairing the point motors no.9 type EM5. The use of the  fastening elements necessary to the locking box fasten</t>
  </si>
  <si>
    <t>ES-590</t>
  </si>
  <si>
    <t>Accident to persons caused by RS in motion, 11/05/2008, 300 Madrid-Valencia railway line, kilometre point 202,400, close to Villarobledo station (Albacete) (Spain)</t>
  </si>
  <si>
    <t>An old man, walking on the tracks, is knocked down by a long distance train. The train driver sounded the horn but the man didn´t put himself aside.</t>
  </si>
  <si>
    <t>300 Madrid-Valencia railway line, kilometre point 202,400, close to Villarobledo station (Albacete)</t>
  </si>
  <si>
    <t>ES-547</t>
  </si>
  <si>
    <t>Accident to persons caused by RS in motion, 13/05/2008, Kilometre point 594,378, at 100 Madrid-Hendaya railway line, between Tolosa and Legorreta station (Guipúzcoa) (Spain)</t>
  </si>
  <si>
    <t>A maintenance worker, working onto the railway track, didn´t realise a train was approaching and failed to step aside.</t>
  </si>
  <si>
    <t>Kilometre point 594,378, at 100 Madrid-Hendaya railway line, between Tolosa and Legorreta station (Guipúzcoa)</t>
  </si>
  <si>
    <t>ES-548</t>
  </si>
  <si>
    <t>Accident to persons caused by RS in motion, 13/05/2008, Hernani flag stop (Guipúzcoa), kilometre point at 100 Madrid-Hendaya railway line. (Spain)</t>
  </si>
  <si>
    <t>A young woman, who had got off another train, crossed the tracks through a board crossing without realising another train was approaching other side.</t>
  </si>
  <si>
    <t>Hernani flag stop (Guipúzcoa), kilometre point at 100 Madrid-Hendaya railway line.</t>
  </si>
  <si>
    <t>CZ-462</t>
  </si>
  <si>
    <t>Level crossing accident, 14/05/2008, Active level crossing (equipped with warning lights), km 11.006, between Neratovice and Uzice stations (Czech Republic)</t>
  </si>
  <si>
    <t>Collision of freight train No. 60570 with a truck passing the level crossing, with consequent derailment and leak of 500 litres of fuel</t>
  </si>
  <si>
    <t>Active level crossing (equipped with warning lights), km 11.006, between Neratovice and Uzice stations</t>
  </si>
  <si>
    <t>ES-458</t>
  </si>
  <si>
    <t>Level crossing accident, 14/05/2008, Level crossing, type F, at Villadepalos flag stop (León). Kilometre point 263,550; railway line La Coruña-León (Spain)</t>
  </si>
  <si>
    <t>A woman is knocked down by an infrastructure works train (tamping machine), while crossing through a level crossing, type F (just for pedestrians).</t>
  </si>
  <si>
    <t>Level crossing, type F, at Villadepalos flag stop (León). Kilometre point 263,550; railway line La Coruña-León</t>
  </si>
  <si>
    <t>The woman, who was accompanied by two dogs, is hit by the train while trying to remove one of them outside the track.</t>
  </si>
  <si>
    <t>FI-496</t>
  </si>
  <si>
    <t>Train derailment, 15/05/2008, Kokkola, Ykspihlaja industrial railway yard (Finland)</t>
  </si>
  <si>
    <t>one tank wagon carrying a sulphuric acid consignment was derailed in Ykspihlaja in Kokkola.</t>
  </si>
  <si>
    <t>Kokkola, Ykspihlaja industrial railway yard</t>
  </si>
  <si>
    <t>HU-709</t>
  </si>
  <si>
    <t>Level crossing accident, 16/05/2008, Line 108: Between Tocovolgy and Balmazujvaros stations (Hungary)</t>
  </si>
  <si>
    <t>Train No 6622 collided with a car at a well operated LC. (Investigated commonly with an earlier accident in the nearby LC: 29/08/2007 )</t>
  </si>
  <si>
    <t>Line 108: Between Tocovolgy and Balmazujvaros stations</t>
  </si>
  <si>
    <t>CZ-479</t>
  </si>
  <si>
    <t>Trains collision, 19/05/2008, Moravany station, track No. 1 (Czech Republic)</t>
  </si>
  <si>
    <t>Locomotive running solo (train No. 72461) crashed into last carriage of passenger train (No. 5011) and derailed. Train driver of train No. 72461 was killed, 3 passengers and train driver of train No. 5011 were slightly injured. The crash was result of wrong-side signalling failure.</t>
  </si>
  <si>
    <t>Moravany station, track No. 1</t>
  </si>
  <si>
    <t>Regional passenger train; 
Locomotive running solo</t>
  </si>
  <si>
    <t>FI-525</t>
  </si>
  <si>
    <t>Other, 23-05-08, Lahti railway station (Finland)</t>
  </si>
  <si>
    <t>On 21 August 2008, the Accident Investigation Board decided to start a safety study on traffic control safety deviations observed in Kouvola, Finland. The basis for the study was a VR Group Ltd letter sent to the Accident Investigation Board, dated 17 June 2008, in which VR Group expressed its concern about the possible route automation and safety system malfunctions observed in Kouvola Centralised Traffic Control. Initially, the investigation commission was tasked with investigating two safety deviations that had been observed before the initiation of the study. However a third incident occurred during the early stages of the study, and the decision was made to include it within the scope of the study.</t>
  </si>
  <si>
    <t>Lahti railway station</t>
  </si>
  <si>
    <t>(First) During shunting, a route automation memory function generated an unexpected train route setting leading to the turning of the turnouts in front of the shunting unit's intended route. (Second) On the Lahti–Riihimäki section of line, between the Hakosilta junction and Lahti station. A commuter train that had departed from Lahti station toward Riihimäki was issued with the number and train route of another commuter train that was awaiting its departure time at the station. (Third) Two trains were proceeding toward Lahti with only one block section between them. At the boundary between two interlocking areas on the southern side of the junction, the number of the train travelling first was replaced in the traffic control system with the number of the latter train.</t>
  </si>
  <si>
    <t>1.The Järvelä deviation was caused by an undocumented and unexpected feature of the route automation software of the interlocking system. 2.The Lahti deviation was caused by an undocumented program function of the train number automation system. 3.The Hakosilta deviation was caused by a malfunction in the train number software, which became apparent when two trains were travelling close to each other along the Kerava–Lahti direct line. 4.All of the deviations investigated were systematic. They were caused by factors within the system software and under the appropriate conditions will therefore always reoccur in the same way. 5.The deviation management was inadequate. 6.From the user's perspective, the remote traffic control system has shortcomings.</t>
  </si>
  <si>
    <t>UK-531</t>
  </si>
  <si>
    <t>Accident to persons caused by RS in motion, 23/05/2008, Kennington Junction, near Oxford (United Kingdom)</t>
  </si>
  <si>
    <t>The RAIB is carrying out an investigation into an accident in which a signal technician was struck and seriously injured by a train at Kennington junction, near Oxford. _x000D_
At about 21:47 hrs, train 1D73, the 20:51 hrs service from Paddington to Oxford, struck a signal technician who was working close to the track between Radley and Oxford.  The technician had been undertaking routine inspection of points at Kennington junction.</t>
  </si>
  <si>
    <t>Kennington Junction, near Oxford</t>
  </si>
  <si>
    <t>The immediate cause of the accident was the team leader (COSS) not moving to a position of safety when the lookout issued a warning about an approaching up train.</t>
  </si>
  <si>
    <t>Causal factors were: a.the need to adjust the rods of the point machine (paragraph 139, no recommendation); b.the team leader (COSS) not briefing and maintaining a safe system of work by permitting work to continue when the light deteriorated (paragraph 1</t>
  </si>
  <si>
    <t>ES-549</t>
  </si>
  <si>
    <t>Accident to persons caused by RS in motion, 24/05/2008, Kilometre point 396,675, at 330 La Encina-Alicante railway line, in the vicinity of Villena station (Alicante) (Spain)</t>
  </si>
  <si>
    <t>An old woman, walking by the railway track with her back to the train, was knocked down by a long distance train.</t>
  </si>
  <si>
    <t>Kilometre point 396,675, at 330 La Encina-Alicante railway line, in the vicinity of Villena station (Alicante)</t>
  </si>
  <si>
    <t>ES-550</t>
  </si>
  <si>
    <t>Accident to persons caused by RS in motion, 24/05/2008, Kilometre point 24,900 at 440 Majarabique Estación-Huelva Término railway line, between Aznalcázar Pilas and Villanueva del Ariscal stations (Sevilla) (Spain)</t>
  </si>
  <si>
    <t>A man walking by the railway tracks is hit by a train.</t>
  </si>
  <si>
    <t>Kilometre point 24,900 at 440 Majarabique Estación-Huelva Término railway line, between Aznalcázar Pilas and Villanueva del Ariscal stations (Sevilla)</t>
  </si>
  <si>
    <t>RO-480</t>
  </si>
  <si>
    <t>Train derailment, 26/05/2008, Mogoseni station belongs to Cluj Railway County, on the center of the romanian railway network, at 92 km east of Cluj. (Romania)</t>
  </si>
  <si>
    <t>The regional passenger train no. 4483, formed of three passenger wagons, was on the route from Ilva Mica station to Dej station. Before the arrival on the line 1 in Mogoseni station, the train passed over the switch no. 5 and the first bogie of the locomotive derailed.</t>
  </si>
  <si>
    <t>Mogoseni station belongs to Cluj Railway County, on the center of the romanian railway network, at 92 km east of Cluj.</t>
  </si>
  <si>
    <t>The presence in the switch no. 5, in the connection rails area, in the curve with the radius R=190m, of 5 unsuitable sleepers, in succession, that could not ensure the fastening of rail on the sleepers by coach screws, led to a gauge widening over the derailment safety limits and to the left wheel running inside the track.</t>
  </si>
  <si>
    <t>The missing from the team inspection notebook of the bimonthly measurements, according to the provisions of the sheet no. 3, art. 2 from the Instruction no. 305/1997 concerning the establishment of the terms and of the order for the track inspection. The non-performance of all switches inspections that the district head has to do, according to the provisions of the art. 26 from the Instruction no. 323/1965 of the district permanent way inspector, district head for the track maintenance. The presence of some wrong data concerning the geometrical characteristics of the switches in the inspections notebooks, that can lead to the use in operation of some unsuitable tolerance intervals that maintained in track can lead to the sleepers and fastenings wear. The absence of the switches measurements analysis. The non-performance of the complete technological processes during the inspections of the switches hidden parts. The non-removal of the gauge and level failures found out during the inspections of the switches hidden parts. One did not supply the materials stipulated to be replaced in the approved maintenance plan of the tracks and switches. One did not perform a realistic analysis at the end of the year 2007, concerning the replacement of the switches for 2007. One supplied smaller quantities against those needed, that are not in accordance with the size of the requested sleepers. So in 2007, from an approved necessary of 541 special sleepers, one supplied 308 pieces, from which 64 were supplied over the requested sizes. This led to a supply of 244 sleepers requested on sizes. The real percentage of the sleepers supplied on sizes is 45% not 57% as is written in the achievements global situation for 2007. The head team job from district 2 Beclean, Mogoseni team is vacant and the railway safety responsibilities/competences, according to the Instruction 305/1997 concerning the establishment of the deadlines and order for the track inspection, was not designed/re-assigned by the track section management. The exceeding of instruction deadline   for the unsuitable special sleepers replacement of the switches._x000D_
The missing of a connection between the inventoried necessary and the supply with some pegs, whose unsuitable presence on the track is not accepted by the regulations ( sleepers on switches, sleepers on bridges, and so on ). The missing of a periodicity o</t>
  </si>
  <si>
    <t>ES-484</t>
  </si>
  <si>
    <t>Level crossing accident, 27/05/2008, Santa Cruz de la Zarza (Toledo), Kilometre point 39,950, Madrid-Valencia railway line. (Spain)</t>
  </si>
  <si>
    <t>An excavator shovel got through a level crossing, type B, while the train was coming. The machine driver died.</t>
  </si>
  <si>
    <t>Santa Cruz de la Zarza (Toledo), Kilometre point 39,950, Madrid-Valencia railway line.</t>
  </si>
  <si>
    <t>UK-532</t>
  </si>
  <si>
    <t>Other, 28/05/2008, Bridge GE19, near London Liverpool Street station (United Kingdom)</t>
  </si>
  <si>
    <t>The RAIB is carrying out an investigation into an incident affecting a newly installed bridge spanning the Great Eastern main line near London Liverpool Street on 28 May 2008. _x000D_
Bridge GE19 forms part of Transport for London’s East London line extension project, and will carry a new section of railway across Network Rail’s infrastructure. The bridge was installed during the weekend 3-5 May 2008, and remained temporarily supported as part of the planned installation process. Part of this support subsequently failed, displacing objects from the partly-completed deck onto the track below.  Some of these objects were struck by train 1K12, the 19:15 London Liverpool Street to Southend Victoria.  There were no reported injuries.</t>
  </si>
  <si>
    <t>Bridge GE19, near London Liverpool Street station</t>
  </si>
  <si>
    <t>National Express East Anglia</t>
  </si>
  <si>
    <t>The immediate cause of the accident was concrete planks falling from the partly-completed deck of bridge GE19 onto the track below, triggered by a sudden movement of the bridge deck.  Train 1K12 then hit the debris.</t>
  </si>
  <si>
    <t>Causal factors were the inadequate planning, and lack of design input to the deck repositioning activity, which resulted in the need to ensure the continued stability of the temporary supports at the east abutment being overlooked (paragraph 222, Recommendation 1a); the unauthorised modification of the temporary support by introducing an additional sliding surface, which made the east abutment supports vulnerable to instability due to horizontal force or movement (paragraph 226, Recommendation 1b); the installation of lubricated PTFE-faced slipper pads on a gradient, which introduced a sustained horizontal load into the east abutment temporary supports sufficient to destabilise them (paragraph 252, Recommendations 1c and 6); and the decision to substitute the positive tie between individual pre-cast concrete permanent formwork planks with cement mortar, which made it more likely that individual planks, if subjected to a large jolt, would fall onto the track (paragraph 262, Recommendation 1d). Contributory factors were: the lack of accurate or sufficient detail in the steelwork method statement or work plan, which allowed the site team to work outside of the approved documents (paragraph 201, Recommendation 1e); the hazard identification process not identifying some low probability high impact hazards (eg failure of the temporary works), which were consequently omitted from the steelwork risk assessment for the post-launch phase (paragraph 202, Recommendation 1f); BB-CJV’s decision to delegate responsibility for temporary works checks to Fairfield Mabey, which meant that they lost visibility of how the structure was performing, or of measures being taken to correct the horizontal movement (paragraph 204, Recommendation 1g); the downhill movement of the bridge deck resulting from slippage of the parking restraints (paragraph 213); the lack of a plan to manage thermal movement, which resulted in further displacement of the deck, probably during the transfer of horizontal restraint (paragraph 219, Recommendation 1e); the lack of relevant experience within the site team which led to the decision to incorporate an additional slip surface on an inclined plane (paragraph 221); the exposure of the permanent bearings at the east abutment to thermal movement without releasing the transit cleats, thereby weakening the transit cleat bolts (paragraph 231); the absence of post-work checks, which allowed the unstable condition of the east abutment temporary supports and lack of secondary means of support to go undetected (paragraph 235, Recommendation 1a); a lack of ownership of the risks presented by the unsecured deck section to the operational railway during jack down (paragraph 259); and the modification of the deck layout, which allowed sections of the deck greater freedom to move, and off-set the permanent formwork planks against the shear studs thereby reducing their effectiveness in preventing the unsecured planks from falling from the deck (paragraph 266). 	The underlying factors were: the method statement review processes adopted by London Rail, which was not rigorous enough to identify whether their review comments were adequately addressed (paragraph 272); the lack of adequate supervision and focus on the risks imposed on the operational railway by all parties during the post-launch phase, which allowed Fairfield Mabey’s site staff the freedom to attempt a horizontal jacking activity without an adequate understanding of the risks involved (paragraph 277); and the difficulty in obtaining site supervision with the same level of expertise as any specialist contractor (paragraph 278).</t>
  </si>
  <si>
    <t>CZ-517</t>
  </si>
  <si>
    <t>Accident to persons caused by RS in motion, 02/06/2008, Olomouc, tram stop "Wolkerova" and consequent tram track (Czech Republic)</t>
  </si>
  <si>
    <t>Tram No. 6 was towing a child for 100 m when departing tram stop "Wolkerova" (the child's leg was locked into the doors).</t>
  </si>
  <si>
    <t>Olomouc, tram stop "Wolkerova" and consequent tram track</t>
  </si>
  <si>
    <t>Dopravni podnik mesta Olomouce a. s.</t>
  </si>
  <si>
    <t>FR-503</t>
  </si>
  <si>
    <t>Level crossing accident, 02/06/2008, Accident arrived at level crossing n°68 at Allinges between Perrignier and Thonon Les Bains on the single track line Longereay-Leaz to Le Bouveret . Crossing road is CD 233. (France)</t>
  </si>
  <si>
    <t>The train, an EMU, was comming from Evian Les Bains. It hits the bus at about 93km/h.</t>
  </si>
  <si>
    <t>Accident arrived at level crossing n°68 at Allinges between Perrignier and Thonon Les Bains on the single track line Longereay-Leaz to Le Bouveret . Crossing road is CD 233.</t>
  </si>
  <si>
    <t>the profile of the LC is difficult and the bus had to proceed at very low speed</t>
  </si>
  <si>
    <t>EE-483</t>
  </si>
  <si>
    <t>Level crossing accident, 03/06/2008, Open line between Parnu and Tootsi stations on the Suigu level crossing (km 120,006). (Estonia)</t>
  </si>
  <si>
    <t>Passenger train collided with a car Toyota Corolla.</t>
  </si>
  <si>
    <t>Open line between Parnu and Tootsi stations on the Suigu level crossing (km 120,006).</t>
  </si>
  <si>
    <t>The direct cause of the accident was human error. The driver of the car did not follow traffic conditions, laid down by traffic signs and did not stop, as regulated by the traffic sign 222 “Stop and make way” in order to let the train pass.  Instead of that he continued to drive to the rail track, where the car was hit on its left side by the train.</t>
  </si>
  <si>
    <t>ES-485</t>
  </si>
  <si>
    <t>Level crossing accident, 03/06/2008, Figueres station (Gerona), kilometre point 247,215, level crossing type C. Barcelona-Cerbere railway line. (Spain)</t>
  </si>
  <si>
    <t>A man is knocked down by a train while waiting at the closed level crossing. The victim, who was an old person, was unbalanced and dragged by the train.</t>
  </si>
  <si>
    <t>Figueres station (Gerona), kilometre point 247,215, level crossing type C. Barcelona-Cerbere railway line.</t>
  </si>
  <si>
    <t>ES-486</t>
  </si>
  <si>
    <t>Level crossing accident, 03/06/2008, Lora del Río (Sevilla), kilometre point 511,410, Alcázar de San Juan-Cádiz railway line. (Spain)</t>
  </si>
  <si>
    <t>A road vehicle crossed a user worked crossing without noticing a train was approaching. The driver died.</t>
  </si>
  <si>
    <t>Lora del Río (Sevilla), kilometre point 511,410, Alcázar de San Juan-Cádiz railway line.</t>
  </si>
  <si>
    <t>IT-577</t>
  </si>
  <si>
    <t>Trains collision, 03/06/2008, Ancona Station (Italy)</t>
  </si>
  <si>
    <t>SPAD of a loco solo type E 632 040 in manoeuvre determine train collision with regional train n° 12003, coming from RIMINI and stopping in Ancona Station.</t>
  </si>
  <si>
    <t>Ancona Station</t>
  </si>
  <si>
    <t>Trenitalia SpA</t>
  </si>
  <si>
    <t>SE-510</t>
  </si>
  <si>
    <t>Train derailment, 2008-06-04, Open line between the stations Rotebro and Upplands Väsby who are located om the main line between Stockholm and Uppsala. (Sweden)</t>
  </si>
  <si>
    <t>Wednesday, 4 June 2008, at. 8:53 passenger train 814 derailed with the first first axle on the line between Rotebro and Upplands Vasby. First in the trainset was a locomotive, then 10 wagons and eventually went another locomotive._x000D_
The train had earlier in the day travelled a number of times on the route between Stockholm and Uppsala and the previous driver had noticed that the locomotive had wheel flats. The driver looked at the wheels both in Uppsala and Stockholm without finding any inaccuracies. The previous driver also reported the error to the operation command._x000D_
_x000D_
When the driver of train 814 ran from Stockholm to Uppsala the driver experienced vibration or sound from the locomotive. The driver did a retardation test in Solna and then the sounds changed nature so that they sounded like "regular" kind of wheels. When the train passed Rotebro the locomotive began to shake and vibrate a lot and shortly thereafter heard the operator a loud bang under the locomotive, and after a few seconds the driver heard another loud bang. The driver applied the emergency brakes of the train that stopped about 1,109 meters after the driver opened the emergency brake.The speed at the derailment was 160 km/h. 
Onsdagen den 4 juni 2008 kl. 08:53 spårade resandetåg 814 ur med första lokets första axel på sträckan mellan Rotebro och Upplands Väsby. Främst i tågsättet gick ett lok, därefter 10 vagnar och sist gick ytterligare ett lok._x000D_
Tågsättet hade tidigare under dagen framförts ett flertal gånger på sträckan mellan Stockholm och Uppsala och den tidigare föraren hade uppmärksammat att loket hade slag i hjul. Föraren undersökte hjulen både i Uppsala och i Stockholm utan att hitta någon felaktighet. Den tidigare föraren hade även rapportrat om felet till driftledningen._x000D_
_x000D_
När föraren på tåg 814 körde från Stockholm mot Uppsala uppmärksammade föraren vibrationer och slagljud från loket. Föraren gjorde ett retardationsprov i Solna och då förändrades slagljuden så att de likande ”vanliga” slag i hjul.  När tåget sedan passerade Rotebro började loket skaka och vibrera mycket och strax därefter hörde föraren en kraftig smäll under loket och efter några sekunder hörde föraren en ny kraftig smäll.  Föraren nödbromsade tåget som stannade ca 1 109 meter efter att föraren inledde nödbromsningen.</t>
  </si>
  <si>
    <t>Open line between the stations Rotebro and Upplands Väsby who are located om the main line between Stockholm and Uppsala.</t>
  </si>
  <si>
    <t>The direct cause of the accident was that the rim on the first axles left wheel broke due to fatigue and fell off, which meant that the locomotive derailed. SHK has not been able to establish what has initiated fatigue and the break of the rim. 
Den direkta orsaken till olyckan var att hjulringen på den första axelns vänstra hjul brast på grund av utmattning och fläktes loss vilket medförde att loket spårade ur. SHK har inte kunnat fastlägga vad som har initierat utmattningsbrottet.</t>
  </si>
  <si>
    <t>The underlying cause of the rim peeled off was that the device to hold the rim in place if it burst did not have intended function._x000D_
_x000D_
Another underlying cause of the rim assembly was lack of experience feedback from previous events with broken rims. Had experience feedback has been more systematic and led the analysis of the underlying causes, the measures in the form of more detailed checks in kind in the wheel could have been taken. This could have reduced the likelihood that the rims had to go with cracks growing uncontrollably._x000D_
_x000D_
Another underlying cause of the derailment was that the operating aid was not sufficient instruction and practice how they would respond to reports of serious problems in the wheels. 
Bakomliggande orsak till att hjulringen fläktes loss var att anordningen för att hålla hjulringen på plats om den brast inte hade avsedd funktion._x000D_
_x000D_
En annan bakomliggande orsak till att hjulringen brast var brister i erfarenhetsåterföringen från tidigare händelser med brustna hjulringar. Hade erfarenhetsåterföringen varit mer systematisk och föranlett analyser av bakomliggande orsaker, skulle åtgärder i form av utförligare kontroller vid slag i hjul kunnat ha vidtagits. Detta kunde ha minskat sannolikheten för att hjulringar hade fått gå med sprickor som växt okontrollerat._x000D_
_x000D_
Ytterligare bakomliggande orsak till urspårningen var att driftstödet inte hade tillräckliga instruktioner och rutiner hur de skulle agera vid rapporter om allvarliga slag i hjul.</t>
  </si>
  <si>
    <t>CZ-518</t>
  </si>
  <si>
    <t>Train derailment, 06/06/2008, Celakovice station, switch No. 22 (Czech Republic)</t>
  </si>
  <si>
    <t>Derailment of 2nd and 3rd carriage of passenger train No. 9407</t>
  </si>
  <si>
    <t>Celakovice station, switch No. 22</t>
  </si>
  <si>
    <t>PT-613</t>
  </si>
  <si>
    <t>Train derailment, 06/06/2008, Curve line, localized 2171 from station of Tua (Portugal)</t>
  </si>
  <si>
    <t>When the train described the curve, continued in front</t>
  </si>
  <si>
    <t>Curve line, localized 2171 from station of Tua</t>
  </si>
  <si>
    <t>FI-509</t>
  </si>
  <si>
    <t>Trains collision with an obstacle, 6/8/2008, Jyväskylä railway yard (Finland)</t>
  </si>
  <si>
    <t>On 8 June 2008 at 5.48 a.m., a turnout tamping machine was involved in an accident at the Jyväskylä railway yard, leading to the slight injury of a track foreman in the driver’s cab of the tamping machine. The accident involved the collision of a unit consisting of three Dv12 locomotives with a tamping machine involved in work. The engine driver applied the emergency brakes, but the locomotives were unable to stop in time and the front corner of the foremost locomotive collided with the left corner of the tamping machine. The force of the collision caused the right rail to collapse underneath the tamping machine._x000D_
The collision damaged the tamping machine in places including the chassis,  ody, automated controls, bogie and wheelsets. The foremost locomotive incurred damage on the right side of the maintenance deck and hand rails. About 20 metres of track were damaged. The total damage to track and equipment amounted to € 214,000.</t>
  </si>
  <si>
    <t>Jyväskylä railway yard</t>
  </si>
  <si>
    <t>The direct cause of the accident was that the front of the tamping machine, which was_x000D_
engaged in work on turnout V032, extended so close to turnout V024 that the_x000D_
locomotives were unable to pass the tamping machine safely._x000D_
The traffic controller had reserved turnout V032 for tamping work performed by the_x000D_
tamping machine. Turnout V032 was fully reserved due to replacement work, and_x000D_
therefore turnout V024’s reservation was visible to the traffic controller by means of a_x000D_
red line on the traffic control display._x000D_
The traffic controller used the VHP command to prepare a route for the locomotive train_x000D_
without knowing the precise location of the tamping machine. Without the VHP_x000D_
command, it would not have been possible for the traffic controller to prepare a route for_x000D_
the locomotives.</t>
  </si>
  <si>
    <t>The tamping machine’s crew received authorisation from the traffic controller to start tamping work on turnout V032. When permission was given, neither party discussed the limits of the work area. The traffic controller assumed that the tamping machine could work on turnout V032 without disturbing traffic at the Vaajakoski end of the railway yard.</t>
  </si>
  <si>
    <t>SE-512</t>
  </si>
  <si>
    <t>Spad, 2008-06-09, Bryngenäs, om the main line between Gothenburg and Herrljunga (Sweden)</t>
  </si>
  <si>
    <t>Monday, 9 June 2008, a ballast plow (Banverket PLB 2469) was moved from Mölndal lower to Herrljunga through central Gothenburg. The same person was both driver and supervisor for the transport._x000D_
_x000D_
Ballast plow went under their own steam and classified as a VUT-movement for transport on the route from Mölndal bottom of Gothenburg Central. In Gothenburg turned supervisor vehicle by running against Marieholm bridge and from there continue on the Western Main Line to Herrljunga._x000D_
_x000D_
After the turnaround was the ballast plow given clearance at. 10:10 as a wagon competitions for transport for the journey to Herrljunga. VUT-movement was performed on the Western Main Line to Bryngenäs at a rate that varied between 65 and 80 km / h. The vehicle was not equipped with ATC._x000D_
_x000D_
Kl. 10:37 passed the VUt-movement for transport between block signal NDV U6 located approximately at the location where the supervisor could see proceeded to the entrance channel signal to Bryngenäs. From the block signal to the signal took place, it was about 500 meters from the canal took place was about a mile to the entrance signal._x000D_
_x000D_
After a left curve, about 150 meters before the VUT-movement for the transport arrived at the entrance signal to Bryngenäs (BGS 22), was supervisor see approach signal. Shortly thereafter, he paid attention to the signal displayed a stop and he braked at full braking before he passed the signal._x000D_
_x000D_
From the other direction came at the same time on the same track a commuter train, train 3539, which consisted of a railcar of type X11 with about 30 passengers. The train had been standing at the entrance signal a few minutes before it was run in the signal to continue the journey to Gothenburg and move from uppspår to nedspår the station Bryngenäs. The train had a low speed and its driver saw the truck tryouts for the transport to come to the same track and the driver stopped the train immediately because he had realized the risk of collision._x000D_
_x000D_
VUT-movement for transport drove up the gear commuter train would pass for the transition to the second track and stayed in the ensuing exchange, about 300 meters after the vehicle had passed the entrance signal. 
Måndagen den 9 juni 2008 skulle en ballastplog (Banverket PLB 2469) transporteras från Mölndals nedre till Herrljunga via Göteborgs central. Samma person var både förare och tillsyningsman för transporten._x000D_
_x000D_
Ballastplogen gick för egen maskin och framfördes som en vagnuttagning för transport på sträckan från Mölndals nedre till Göteborgs central. I Göteborg vände tillsyningsmannen fordonet genom att köra mot Marieholmsbron och därifrån fortsätta ut på Västra stambanan mot Herrljunga._x000D_
_x000D_
Efter vändningen fick ballastplogen starttillstånd kl. 10:10 som en vagnuttagning för transport för färden till Herrljunga. Vagnuttagningen framfördes på Västra stambanan mot Bryngenäs med en hastighet som varierade mellan 65 och 80 km/tim. Fordonet var inte utrustat med ATC._x000D_
_x000D_
Kl. 10:37 passerade vagnuttagningen för transport mellanblocksignal Ndv U6 belägen ungefär på den plats där tillsyningsmannen kunde se försignalen till infartssignalen till Bryngenäs. Från mellanblocksignalen till försignalen var det ca 500 meter och från försignalen var det ca en kilometer till infartssignalen._x000D_
_x000D_
Efter en vänsterkurva, ca 150 meter innan vagnuttagningen för transport kom fram till infartssignalen till Bryngenäs (Bgs 22), kunde tillsyningsmannen se infartssignalen. Strax därefter, uppmärksammade han att signalen visade stopp och han bromsade med full broms innan han passerade signalen. _x000D_
_x000D_
Från andra hållet kom samtidigt på samma spår ett pendeltåg, tåg 3539, som bestod av en motorvagn av typ X11 med cirka 30 passagerare. Tåget hade stått vid infartssignalen några minuter innan det fick kör i signalen för att fortsatta färden mot Göteborg och gå över från uppspår till nedspår på stationen Bryngenäs. Tåget hade låg hastighet och dess förare såg vagnuttagningen för transport komma emot på samma spår och föraren stannade tåget omedelbart eftersom att han hade insett risken för kollision. _x000D_
_x000D_
Vagnuttagningen för transport körde upp den växel som pendeltåget skulle passera för övergång till det andra spåret och stannade i den efterföljande växeln, ca 300 meter efter att fordonet hade passerat infartssignalen.</t>
  </si>
  <si>
    <t>Bryngenäs, om the main line between Gothenburg and Herrljunga</t>
  </si>
  <si>
    <t>Regional passenger train; 
Infrastructure works train</t>
  </si>
  <si>
    <t>SJ AB; 
Banverket Produktion</t>
  </si>
  <si>
    <t>The cause of the incident was that the infrastructure works train passed the entry signal Bryngenäs 22 in stop without permission. The reason why the signal was passed was that the driver did not notice the pre-signal in time and that the entry signal was not noticed until after a while when it arrived in the supervisor's field of view. 
Orsaken till tillbudet var att vagnuttagningen för transport passerade infarts-signal Bryngenäs 22 i stopp utan medgivande. Anledningen till att signalen passerades var troligtvis att försignalen till infartssignalen inte uppmärksammades i tid och att infartssignalen inte uppmärksammades förrän efter en stund då den kommit i tillsyningsmannens synfält.</t>
  </si>
  <si>
    <t>The driver was experienced and had adequate route knowledge._x000D_
The RU didn't have rules that permitted them to drive without ATC. The NSA did not notice that when the RU safety certifcate was renewed. 
En orsak till att vagnuttagningen kunde passera signalen är att fordonet inte var utrustat med ATC._x000D_
_x000D_
Utredningen har inte säkert kunnat fastställa varför försignalen eller infarts-signalen inte uppmärksammades i tillräckligt god tid. Enligt SHK:s bedömning var förutsättningarna för detta goda i och med att tillsyningsmannen hade god linjekännedom och att sikten var god.</t>
  </si>
  <si>
    <t>SE-513</t>
  </si>
  <si>
    <t>Spad, 2008-06-09, Hillared, Hillared - Limmared, on the line between Borås and Värnamo. (Sweden)</t>
  </si>
  <si>
    <t>Monday, June 9, 2008, there was spad and a trains collission near-miss between a passenger train and freight train 7343 9450 on the lineHillared - Limmared._x000D_
_x000D_
The traffic was controlled by a remote dispatcher on traffic control in Gothenburg. Remote controller felt that there were many disturbances and a lot to do during the session. Remote controller was concentrated on trying to get the trains through the Lekarekulle where there was a problem with a switch._x000D_
_x000D_
Freight train 9450 left Värnamo towards Borås 29 minutes before the scheduled time and came in to the CTC dispatchers surveillance area which is not noticed by the remote controller. Freight train 9450 were "running" the entire route up to Hillared by the "automatic mode" that was in service for the intermediate stations. Since the automatic mode was in service the remote controller did not take any action to plan for a train meeting._x000D_
_x000D_
Passenger trains 7343, in the opposite direction as freight trains 9450, did not get clear signal "run" from Hillared against Limmared and contacted remote controller to determine the cause. Remote controller controlled the route but saw nothing and therefore allowed passenger train 7343 to pass the exit block signal in Hillared against Limmared in "stop". Then remote controller then focused on working with switch failure in Lekarekulle._x000D_
_x000D_
While passenger train 7343 passed the exit block signal approaching freight train 9450 entry signal in Hillared. When the two trains came out of a curve pilots received view of each train and stayed around 238 meters from each other. One of the drivers contacted the remote controller that only then was alerted to the collision incident. 
Måndagen den 9 juni 2008 inträffade ett tillbud till kollision mellan resandetåg 7343 och godståg 9450 på sträckan Hillared – Limmared._x000D_
_x000D_
Sträckan trafikleddes av en fjärrtågklarerare på driftledningscentralen i Göteborg. Fjärrtågklareraren upplevde att det var många störningar och mycket att göra under arbetspasset. Fjärrtågklareraren var koncentrerad på att försöka få fram tågen genom Lekarekulle där det var ett växelfel._x000D_
Godståg 9450 lämnade Värnamo mot Borås 29 minuter före tidtabellstiden och kom in på fjärrtågklarerarens övervakningsområde vilket inte uppmärksammades av fjärrtågklareraren. Godståg 9450 fick ”kör” hela sträckan fram till Hillared då ”automatdriften” var inkopplad på de mellanliggande stationerna. Eftersom automatdriften var inkopplad behövde inte fjärrtågklareraren vidta någon åtgärd för att få fram tåget._x000D_
_x000D_
Resandetåg 7343, i motsatt riktning som godståg 9450, fick inte ”kör” från Hillared mot Limmared och kontaktade fjärrtågklareraren för att ta reda på orsaken. Fjärrtågklareraren kontrollerade sträckan men uppfattade inte något hinder varvid fjärrtågklareraren lämnade medgivande till resandetåg 7343 att passera utfartsblocksignalen i Hillared mot Limmared i ”stopp”. Därefter riktade fjärrtågklareraren återigen uppmärksamheten åt att arbeta med växelfelet i Lekarekulle._x000D_
_x000D_
Samtidigt som resandetåg 7343 passerade utfartsblocksignalen närmade sig godståg 9450 infartssignalen i Hillared. När de båda tågen kom ut genom en kurva fick förarna syn på varandras tåg och stannade ca. 238 meter från varandra. En av förarna kontaktade fjärrtågklareraren som först då blev uppmärksammad på kollisionstillbudet.</t>
  </si>
  <si>
    <t>Hillared, Hillared - Limmared, on the line between Borås and Värnamo.</t>
  </si>
  <si>
    <t>The direct cause of the incident was that adequate checks were not made to ensure that the line between Hillared and Limmared was free before the train 7343 was allowed to go out on the line. 
Den direkta orsaken till tillbudet var att tillräckliga kontroller inte gjordes för att säkerställa att sträckan mellan Hillared och Limmared var fri från tåg innan tåg 7343 tilläts åka ut på sträckan.</t>
  </si>
  <si>
    <t>An underlying cause was that the remote controller experienced the situation of traffic management as stressful and was using the technical systems on the control center for checks and decisions traffic safety-even though they were not designed for it._x000D_
_x000D_
Additional causes was that the monitoring did not catch up gaps and weaknesses. There have been no documented risk analysis of safety or the consequences of the introduction of new technological systems or tools, on a traffic management center. 
En bakomliggande orsak var att fjärrtågklareraren upplevde situationen på trafikledningscentralen som stressig och använde de tekniska system som finns på trafikledningscentralen för kontroller och beslut av betydelse för trafiksäkerheten även fast de inte var avsedda för det._x000D_
_x000D_
Ytterligare bakomliggande orsaker var att systemet för uppföljning inte fångade upp brister och svagheter i tillräcklig omfattning. Det har inte skett några dokumenterade riskanalyser ur trafiksäkerhetssynpunkt över vilka konsekvenser införandet av nya tekniska system eller hjälpmedel får på trafikledningscentralen.</t>
  </si>
  <si>
    <t>PL-575</t>
  </si>
  <si>
    <t>Level crossing accident, 10/06/2008, Line No. 009 km. 127,882 level crossing A category (with barriers) section: Konopki - Mlawa; double-track line (Poland)</t>
  </si>
  <si>
    <t>Express train (destination Kraków Gl - Gdynia Glowna) operated by PKP Intercity has run into road vehicle (pasenger car TOYOTA) on the level crossing with barriers; the barriers was open. The train was riding on the track No 1 in direction to Mlawa station. The most probable basic cause was not closing barriers by level crossing employee as a result of not receiving information about departure of the train from the traffic master of the previous station - Konopki. The speed of the train in the moment of accident was 115 km/h while the max. permited speed on the line was 120km/h._x000D_
The President of the NIB Poland appointed Mr Andrzej Gniwek - peramanent member of NIB Poland for the chairman of investigating team according to Polish law.</t>
  </si>
  <si>
    <t>Line No. 009 km. 127,882 level crossing A category (with barriers) section: Konopki - Mlawa; double-track line</t>
  </si>
  <si>
    <t>PKP Intercity S.A.</t>
  </si>
  <si>
    <t>Lack of special caution by the pasenger car driver whilst he was approaching and passing the LC_x000D_
None</t>
  </si>
  <si>
    <t>PT-618</t>
  </si>
  <si>
    <t>Level crossing accident, 12/06/2008, Linha do Oeste - LC Type D - Pk 69,446 (Portugal)</t>
  </si>
  <si>
    <t>A quadicycle entered into the LC when the train it aprproached</t>
  </si>
  <si>
    <t>Linha do Oeste - LC Type D - Pk 69,446</t>
  </si>
  <si>
    <t>UK-533</t>
  </si>
  <si>
    <t>Train derailment, 12/06/2008, Marks Tey, near Clochester, Essex (United Kingdom)</t>
  </si>
  <si>
    <t>The derailment occurred at 14:05 hrs.  Train 4L41, operated by Freightliner and consisting of twelve loaded and four empty container wagons, was passing through Marks Tey station at 76 mph when one bogie derailed._x000D_
_x000D_
There were no casualties from the derailment.</t>
  </si>
  <si>
    <t>Marks Tey, near Clochester, Essex</t>
  </si>
  <si>
    <t>The immediate cause of the derailment was the left-hand wheel of the trailing wheelset of the rear bogie of wagon 608440 running over the cess rail head and derailing as train 4L41 traversed a section of plain line between trailing points 2390B and facing points 2392A at Marks Tey junction.</t>
  </si>
  <si>
    <t>Causal factors were: the unloading of the wheels of the rear axle of the trailing bogie of wagon 608440 (paragraph 195, Recommendation 1); the dip in vertical alignment of the track caused by the incorrect replacement of the bearers at the heel of 2390B points (paragraphs 218 and 219, recommendations 2 and 5); the cyclic top present shortly after these points (paragraph 203, Recommendation 1); and the permitted speed of the train (paragraph 210, Recommendation 1). Probable causal factors were: the absence of an effective post-installation inspection of 2390B points by Leading Trackman H on the night of 6/7 June (paragraph 232, Recommendations 2 and 7); the absence of an effective post-consolidation inspection of 2390B points by Assistant Track Section Manager C (paragraph 235, Recommendations 2 and 7); the workload of Assistant Track Section Manager C (paragraph 236, no recommendation); the absence of briefing between Assistant Track Section Manager C and Assistant Track Section Manager D prior to the supervisor’s visual inspection on 11 June (paragraph 237, no recommendation); the absence of an effective supervisor’s visual inspection of 2390B points by Assistant Track Section Manager D on 11 June (paragraph 238, Recommendation 2); and the absence of an effective investigation and resolution of the track geometry defects at Marks Tey junction over a prolonged period (paragraph 248, Recommendations 2 and 3). Contributory factors were: the FTA/FSA wagon in the part-laden condition did not meet the vertical dynamic performance requirements of GM/RT 2141 Issue 2, having been introduced into service by British Rail prior to the issuing of this standard (paragraph 209, Recommendation 1). Probable contributory factors were: Assistant Track Section Manager D did not arrange suitable protection to allow him to inspect 2390B points in line with the requirements of NR/SP/TRK/001 Issue 2 (paragraph 239, Recommendation 4); and detailed points inspections were only undertaken at Marks Tey junction at night and within protection of limited duration (paragraph 241, Recommendation 4).  	Possible contributory factors were: the lack of formal planning of the bearer replacement at the heel of 2390B points (paragraphs 220 and 221, Recommendation 5); the lack of knowledge by track engineering staff of the broken rail action plan (paragraph 223, Recommendation 6); the lack of a hand-over between Track Maintenance Engineer A and Track Maintenance Engineer F, resulting in the loss of the broken-rail action plan (paragraph 223, no recommendation); and in the months prior to the derailment, there was confusion as to who was responsible for track engineering at Marks Tey junction (paragraph 254, no recommendation as the issue has now been clarified). Underlying factors were: the absence of action to address the vertical dynamic performance or previous derailments of the FSA/FTA wagon design (paragraph 217, Recommendation 1).  Probable underlying factors were: not replacing 2390B switches as scheduled in February 2009 (paragraph 227, Recommendation 3); and the poor communication and working relationships between some staff at Colchester Maintenance Delivery Unit (paragraph 256, no recommendations). Possible underlying factors were: the absence of a requirement for preventative maintenance tasks to be planned and briefed in advance within NR/L3/TRK/002 Issue 4 (paragraph 221, Recommendation 5); the lack of a requirement within Network Rail’s procedures and processes for reviewing medium or long term actions intended to prevent the reoccurrence of broken rails (paragraph 226, Recommendation 6); the lack of action to allow access to the red zone prohibited area of Marks Tey junction to allow for its effective visual inspection (paragraph 241, Recommendations 3 and 4); Network Rail’s work instruction for changing timber bearers including neither a requirement for a post-consolidation inspection nor a timeframe for such an inspection  (paragraph 132, Recommendation 7); the non-renewal of 2390B points with the remainder of the line in the 1990s (paragraph 249, no recommendation); the absence of effective drainage, drainage records and drainage inspection at Marks Tey junction (paragraphs 251 and 273 - 277, Recommendation 2); the ambiguous requirements of NR/SP/TRK/001 Issue 2 as to when drainage should be inspected, and by whom (paragraphs 252 and 278 - 281, no recommendation); and cable troughing being routed over catch pits with only minimal clearance, making effective inspection of drainage more difficult (paragraph 253, Recommendation 2).</t>
  </si>
  <si>
    <t>FI-506</t>
  </si>
  <si>
    <t>Trains collision, 6/13/2008, Helsinki, Mäkelänkatu, Mäkelänrinne tram stop (Finland)</t>
  </si>
  <si>
    <t>On Friday, 13 June 2008, at 1:50pm, a line-1 tram collided with the rear of a line-7B tram on the Mäkelänrinne stop, on Mäkelänkatu, in Helsinki. Two passengers were severely injured. A tram driver and 22 passengers were slightly injured. Several others received lesser injuries such as bruises and neck and shoulder pain and headaches caused by whip flash. The rails were not damaged and the trams remained on the rails. The rear of the line-7B tram was substantially_x000D_
damaged. For example, the chassis of the rearmost car was bent out of shape. The front of the line-1 tram was somewhat damaged, but after minor repairs it was temporarily operative. The damage to the trams resulted in a total cost of EUR 60,000.</t>
  </si>
  <si>
    <t>Helsinki, Mäkelänkatu, Mäkelänrinne tram stop</t>
  </si>
  <si>
    <t>HKL-Raitioliikenne</t>
  </si>
  <si>
    <t>Helsinki City Transport</t>
  </si>
  <si>
    <t>The cause of the accident was that the driver was not able to stop the tram. The driver apparently tried to stop the tram via incorrect braking methods in the belief that the brakes were not working properly.</t>
  </si>
  <si>
    <t>The factors contributing to the incorrect braking action were:_x000D_
-	the driver’s inexperience_x000D_
-	possible anticipation that the tram in front would start moving ahead_x000D_
-	the driver’s suspicion that the brakes were not working properly and therefore the use of the incorrect braking method.</t>
  </si>
  <si>
    <t>IE-487</t>
  </si>
  <si>
    <t>Level crossing accident, 14/06/2008, Ballymurray AHB XM075 92 miles 1606 yards between Athlone and Claremorris (Ireland)</t>
  </si>
  <si>
    <t>An empty DMU passed through Ballymurray AHB LC with the barrier raised.</t>
  </si>
  <si>
    <t>Ballymurray AHB XM075 92 miles 1606 yards between Athlone and Claremorris</t>
  </si>
  <si>
    <t>Barriers raised to roadside traffic while maintenence work was being carried out as a train approached.</t>
  </si>
  <si>
    <t>Poor communication between the signalman and the Special Class linesman.</t>
  </si>
  <si>
    <t>PL-576</t>
  </si>
  <si>
    <t>Train derailment, 16/06/2008, Line No 1 double-track line in km. 57,578 section Radziwillów - Miedniewice track No. 1 (Poland)</t>
  </si>
  <si>
    <t>The freight train No TP14261 moving in destination Warszawa Praga - Tarnowskie Góry operated by PKP Cargo has accident relaying on derailment of 4 coal cars type Eaos. The owner of the cars was PKP Cargo. The basic cause of the accident was broken axle journal that was wrenched off the car, as a consequence of which the axle box came off and the car number 8251535358523-7 was derailed. Derailment of the 1 a/m car caused also derailment of 3 other coal cars. The speed of the train was 75 km/h while max. permited on the line fot the train was 80 km/h. After derailement of cars, the train stoped after c.a. 400 m, as a consequence of broken main pipe of break. The lenght of the train was 470 m, gross mass - 1629 t, the train consisted of ET22 type locomotive and 32 coal cars. The gauge of the track No 2 was blocked as a result of the accident.</t>
  </si>
  <si>
    <t>Line No 1 double-track line in km. 57,578 section Radziwillów - Miedniewice track No. 1</t>
  </si>
  <si>
    <t>PKP Cargo S.A.</t>
  </si>
  <si>
    <t>SE-511</t>
  </si>
  <si>
    <t>Trains collision near miss, 2008-06-17, Open-line site Klockarbacken on the main line between Vännäs and Umeå. (Sweden)</t>
  </si>
  <si>
    <t>Tuesday, June 17, there was an trains collission near-miss between a passenger train and wagon 7081 Klockaräcken, which is located on the route between Umeå and Brännland._x000D_
_x000D_
EVENTS_x000D_
Tuesday, 17 June 2008 at. 07:50 an incident occurred to a collision between a passenger train and wagon 7081 Competition 76910 on the route between Umeå and Brännland. Distance traffic was headed by a remote dispatcher on traffic control in Boden._x000D_
_x000D_
_x000D_
That day, the dispatcher started his work with taking over from the dispatcher that had monitored the line. After taking over, he discovered that the trains real positions were not entered on the graphical display, so he started his work shift with entering the real postions of the trains. The picture over the track layout over Vännäs was moved, and the dispatcher had to find new reference points in order to get it right. According to the dispatcher, the lines monitored had a lot of traffic and switching. After a while the phonesupport fpr the CTC went out of service and the dispatcher eperienced the situation as quite stressful._x000D_
_x000D_
At 07:16m the CTC dispatcher was contacted by the supervisor for movement 76910, informing that he was ready to drive to Klockarbäcken. the dispatcher gave a start permission. After having a green light, the train was driven to Klockarbäcken. The supervisor opened the switch to the siding and shunted wagons there._x000D_
_x000D_
at 07:47, the dispatcher was contacted by the driver on passenger train 7081 positioned at signal 2/5 in Brännland. The driver informed the dispatcher that he had a red signal. The dispatchers screen showed that the signals showed "stop". When he looked at the graphical display, there were no vehicles on the line and therefore the disopatcher removed the blocking of the signals. They did still not switch to green and the dispatcher then gave a oral permission to passenger train 7081 to pass the the red signal._x000D_
_x000D_
When the passenger train arrived Brännland, the driver saw that the switch was unlocked and positioned towards the side track. He started braking the train and stopped in the switch. _x000D_
_x000D_
At the same time, the supervisor of movement 76910 was ,pvomg tpwards tje switch. However, the supervisor detected the approaching passenger train and managed to stop the movement. 
Tisdagen den 17 juni inträffade ett tillbud till kollision mellan resandetåg 7081 och vagnuttagning 76910 vid Klockarbäckens linjeplats, vilken är belägen på sträckan mellan Umeå och Brännland._x000D_
_x000D_
Sträckan trafikleddes av en fjärrtågklarerare på driftledningscentralen i Boden. En stund efter att fjärrtågklareraren hade påbörjat arbetspasset gick det tekniska telefonstödet, ASTA, ned och fjärrtågklareraren upplevde arbetssituationen som stressig._x000D_
_x000D_
Tillsyningsmannen på vagnuttagning 76910 ringde från Umeå och ville åka till Klockarbäcken och växla. Vid samtalet skedde ingen avstämning av uppgifterna för vagnuttagningen och fjärrtågklareraren och tillsynings-mannen pratade förbi varandra för vilken framförandeform vagnuttagningen skulle ha och på vilken sträcka den skulle ske. Fjärrtågklareraren lämnade ett starttillstånd för vagnuttagning för transport från Umeå till Klockarbäcken och ställde utfartsblocksignalen i Umeå till ”kör”. Därefter åkte vagnuttagningen till Brännland för att växla._x000D_
_x000D_
En stund därefter blev fjärrtågklareraren kontaktad av föraren på resandetåg 7081 som stod inne på Brännlands station, vid signal 2/5 som visade ”stopp”. Fjärrtågklareraren försökte att ställa signal 2/5 samt utfartsblocksignalen till ”kör” men lyckades inte med det. Fjärrtågklareraren trodde att det hade blivit fel på signalsystemet och lämnade ett medgivande till tåg 7081 att passera signalerna 2/5 samt utfartsblocksignalen mot ”stopp”. Föraren repeterade medgivandet och passerade signalerna._x000D_
_x000D_
När resandetåg 7081 kom fram till Klockarbäckens linjeplats såg föraren att växeln låg fel och bromsade tåget som stannade i växeln. Samtidigt hade tillsyningsmannen växlat färdigt på sidospåret vid Klockarbäcken med fordonssättet och var på väg fram mot växeln. Tillsyningsmannen uppmärksammade resandetåget och bromsade fordonssättet till ”stopp” innan det kolliderade med resandetåget._x000D_
_x000D_
När föraren på resandetåg 7081 såg att växeln låg fel insåg föraren att det pågick växling vid Klockarbäcken och ringde fjärrtågklareraren för att larma om händelsen._x000D_
_x000D_
HÄNDELSEFÖRLOPPET_x000D_
Tisdagen den 17 juni 2008 kl. 07:50 inträffade ett tillbud till kollision mellan resandetåg 7081 och vagnuttagning  76910 på sträckan mellan Umeå och Brännland. Sträckan trafikleddes av en fjärrtågklarerare på driftledningscentralen i Boden._x000D_
_x000D_
Den aktuella dagen började fjärrtågklareraren sitt arbete med att lösa av den fjärrtågklarerare som då hade övervakat sträckan. Efter avlösningen upptäckte fjärrtågklareraren att tågens verkliga lägen inte var införda på det grafiska upplägget så fjärrtågklareraren fick inleda arbetspasset med att föra in tågens verkliga lägen. Bilden med spårplanen över Vännäs var flyttad och fjärrtågklareraren fick söka nya referenspunkter för att kunna hitta rätt. Enligt fjärrtågklareraren hade de sträckor som fjärrtågklareraren övervakade mycket trafik och växling. Efter en stund fungerade inte telefonistödet på driftledningscentralen och fjärrtågklareraren upplevde då situationen som stressig._x000D_
_x000D_
Kl. 07:16 kontaktades fjärrtågklareraren av tillsyningsmannen för vagnuttagning 76910 som meddelade att han var klar att gå till Klockarbäcken (en plats som är belägen mellan Umeå och Brännland) från spår 3 i Umeå. Fjärrtågklareraren lämnade ett starttillstånd för vagnuttagning för transport  från Umeå till Klockarbäcken. När signal 136 i Umeå visade ”kör” startade vagnuttagningen till Klockarbäcken. Fjärrtågklareraren noterade vagnuttagningen som en vagnuttagning för transport på det grafiska upplägget samt spärrade utfartsblocksignalen i Brännland._x000D_
_x000D_
Vagnuttagning 76910 kom fram till Klockarbäckens linjeplats. Tillsyningsmannen låste upp växeln till sidospåret och växlade med vagnarna på sidospåret._x000D_
_x000D_
Kl. 07:47 kontaktades fjärrtågklareraren av föraren på resandetåg 7081 som stod vid mellansignal 2/5 i Brännland. Föraren meddelade att signalen visade ”stopp”. Fjärrtågklareraren såg på bildskärmen att mellansignal 2/5 och utfartsblocksignal L1 i Brännland visade ”stopp” samt att utfartsblocksignal L1 var spärrad. Fjärrtågklareraren tittade på det grafiska upplägget men såg inget hinder på sträckan varvid fjärrtågklareraren tog bort spärrningen i utfartsblocksignal L1. Signalerna gick fortfarande inte om till ”kör” varvid fjärrtågklareraren lämnade ett muntligt medgivande till resandetåg 7081 att passera signalerna i ”stopp”._x000D_
_x000D_
När resandetåg 7081 hade passerat signalerna i Brännland och kommit fram till Klockarbäckens linjeplats såg föraren att växeln till linjeplatsen var omlagd och bromsade tåget som stannade i växeln. Samtidigt backade tillsyningsmannen för vagnuttagning 76910 med fordonssättet mot växeln och såg resandetåget. Tillsyningsmannen stannade omedelbart fordonssättet och undvek därmed en kollision med resandetåget._x000D_
_x000D_
Efter att föraren på resandetåg 7081 hade stannat i växeln vid Klockarbäcken kontaktade föraren fjärrtågklareraren som då insåg att vagnuttagning 76910 växlade vid Klockarbäcken och att det hade inträffat ett tillbud till kollision.</t>
  </si>
  <si>
    <t>Open-line site Klockarbacken on the main line between Vännäs and Umeå.</t>
  </si>
  <si>
    <t>The direct cause of the incident was that adequate checks were not made to ensure that the distance between Brännland and Umeå was free before 7081 trains were allowed to go out on the line. 
Den direkta orsaken till tillbudet var att tillräckliga kontroller inte gjordes för att säkerställa att sträckan mellan Brännland och Umeå var fri innan tåg 7081 tilläts åka ut på sträckan.</t>
  </si>
  <si>
    <t>Underlying and organisational causes of the event was that the IT - systems used to create and print the daily graphs did not have the functionality needed to comply with the rules for a listing of pre-planned VUT-movements. the VUT-movements were listed as a VUT-movements for transport which did not require dedication of the line for the movement. This gave remote controller no immediate support to be notified of the different types of VUT-movements._x000D_
_x000D_
Additional causes was that the system for monitoring the operation control center had not noticed the deficiencies that existed for notes on the graphical approach. 
Bakomliggande och organisatoriska orsaker till händelsen var att det IT - system som fanns för att skapa och skriva ut de dagliga graferna inte hade det tekniska stöd som behövdes för att uppfylla de regler som fanns för notering av förplanerade vagnuttagningar. Vagnuttagningarna blev noterade som vagnuttagning för transport vilket inte krävde avspärrning av stationssträckan. Därmed fick fjärrtågklareraren inget omedelbart stöd för att bli uppmärksammad på de olika typerna av vagnuttagning._x000D_
_x000D_
Ytterligare bakomliggande orsaker var att systemet för uppföljning vid driftledningscentralen inte hade uppmärksammat de brister som fanns för noteringar på det grafiska upplägget.</t>
  </si>
  <si>
    <t>ES-553</t>
  </si>
  <si>
    <t>Accident to persons caused by RS in motion, 22/06/2008, Kilometre point 149,950 at 200 Madrid-Barcelona railway line. (Spain)</t>
  </si>
  <si>
    <t>A young woman is hit by a train while she was sitting down on the floor, near the tracks. The young was with a group of friends as, in the vicinity, there is a nearby nightclub.</t>
  </si>
  <si>
    <t>Kilometre point 149,950 at 200 Madrid-Barcelona railway line.</t>
  </si>
  <si>
    <t>ES-554</t>
  </si>
  <si>
    <t>Accident to persons caused by RS in motion, 24/06/2008, Kilometre point 26,10 at 270 Barcelona-Cerbere railway line, at Cabrera del Mar (Barcelona) (Spain)</t>
  </si>
  <si>
    <t>Two people walking through a railway bridge were knocked down by a train. One of them died.</t>
  </si>
  <si>
    <t>Kilometre point 26,10 at 270 Barcelona-Cerbere railway line, at Cabrera del Mar (Barcelona)</t>
  </si>
  <si>
    <t>FR-504</t>
  </si>
  <si>
    <t>Fire in RS, 24/06/2008, At 9 km from Digne, at Gaubert commune on the line from Nice to Digne. (France)</t>
  </si>
  <si>
    <t>The first coach of a two coachs DMU burnt. It was a motorized coach. 78 personns were on board of the train.</t>
  </si>
  <si>
    <t>At 9 km from Digne, at Gaubert commune on the line from Nice to Digne.</t>
  </si>
  <si>
    <t>VEOLIA TRANSPORT</t>
  </si>
  <si>
    <t>Chemin de Fer de Provence</t>
  </si>
  <si>
    <t>UK-534</t>
  </si>
  <si>
    <t>Trains collision with an obstacle, 24/06/2008, Ealing Broadway station, West London (United Kingdom)</t>
  </si>
  <si>
    <t>A collision between a passenger train and an engineers’ trolley occurred near Ealing Broadway station in West London early on 24 June 2008. _x000D_
The 00:15 hrs First Great Western service from Reading to London Paddington, a three car Class 165 diesel multiple unit, had just crossed from the up main to the up relief line at Acton West Junction when it struck an engineers’ trolley.  There were maintenance staff in the vicinity of the trolley and they were able to move to a position of safety before the collision occurred.  The trolley was wedged under the train after the collision, but the train did not derail.</t>
  </si>
  <si>
    <t>Ealing Broadway station, West London</t>
  </si>
  <si>
    <t>The immediate cause of the accident was that the rail-mounted grinding machines were placed on the up relief line at Acton West on a section of railway that was open to train operations (paragraph 111).</t>
  </si>
  <si>
    <t>Causal factors were: a.	the COSS’s lack of knowledge of the Acton West area (paragraph 119, Recommendation 1); and b.	the lack of knowledge of the Acton West area of the person preparing the COSS pack (paragraph 137, Recommendation 1).Contributory factors were: a.	the format of the COSS pack, including the RT9909 form (paragraph 117, Recommendation 2);  b.	the COSS’s belief that the contents of the RT9909 form did not need to be subject to a detailed check on site (paragraph 122, Recommendation 2); c.	the absence of a track layout diagram at the Noel Road access point (paragraph 124, Recommendation 3); d.	Reading Area Services Department’s management arrangements did not ensure that the COSS had adequate knowledge of the areas he was to be working in (paragraph 135, no recommendation is made - see paragraph 177);  e.	Reading Area Services Department did not have arrangements in place for the checking of the grinding team’s COSS packs by somebody who had knowledge of the Acton area (paragraph 138, no recommendation is made - see paragraph 177); f.	the way in which the PICOP’s briefing meeting was run at Paddington (paragraph 144, Recommendations 4 and 5); and g.	the workload of the Engineering Supervisor, arising from the use of a single work site with five areas of work within the possession reduced the time available for him to focus on the actions of each COSS in his work site (paragraph 149, Recommendation 7). The underlying causes were:  a.	the general arrangements within Network Rail for the preparation of COSS packs, which led to a lack of involvement by the COSS in the definition of safety arrangements for his work group (paragraph 151, Recommendation 2);  b.	overall management arrangements within Reading Area Services Department, which resulted in a number of non-compliances with Network Rail procedures (paragraphs 155 and 156; no recommendation is made - see paragraph 177); and c.	the non-compliance of the Thames Valley’s London area PICOP briefing meeting with standard NR/PRC/MTC/PL0056 was not identified by Network Rail’s audit arrangements (paragraph 157, Recommendation 6).</t>
  </si>
  <si>
    <t>FI-507</t>
  </si>
  <si>
    <t>Level crossing accident, 25-06-08, Liperi, Viinijärvi, Huikuri agricultural road / Huikuri level crossing, unprotected (Finland)</t>
  </si>
  <si>
    <t>On Wednesday, 25 June 2008, at 4:22.50 pm, a level crossing accident involving a scooter and a rail bus en route from Joensuu to Pieksämäki occurred at the Huikuri level crossing. The accident was fatal to the driver of the scooter. The personnel and passengers of the rail bus remained un-injured.</t>
  </si>
  <si>
    <t>Liperi, Viinijärvi, Huikuri agricultural road / Huikuri level crossing, unprotected</t>
  </si>
  <si>
    <t>Contributing to this were the following factors: a) the level crossing was very close to a highway with substantial traffic, b) the driver of the scooter was focusing on maintaining balance as the road surface changed from tarmac to gravel, c) the level crossing was not equipped with an active warning installation, d) the rail bus was approaching the crossing at 120 km/h, e) rail buses are silent and quite neutral coloured, which makes them difficult to see.</t>
  </si>
  <si>
    <t>UK-535</t>
  </si>
  <si>
    <t>Train derailment, 29/06/2008, St Peters Square, Manchester (United Kingdom)</t>
  </si>
  <si>
    <t>The 22:44 hrs tram from Altrincham, consisting of trams 1008 and 1016, had just departed from St Peter’s Square stop travelling along Mosley Street towards the city centre when the middle bogie of the rear unit derailed to the left at 23:10 hrs.  The tram travelled a further 100 metres before coming to a stop across the junction with Princess Street, with the derailed bogie having partially mounted the pavement.  No other wheels derailed.</t>
  </si>
  <si>
    <t>St Peters Square, Manchester</t>
  </si>
  <si>
    <t>The immediate cause of the derailment was failure of the right-hand rail’s keep allowing the leading right-hand wheel flange to climb the face of the broken keep.  The keep of the right-hand rail failed because sidewear on the left-hand rail had resulted in the back of right-hand flanges contacting and wearing the keep.  The keep became worn so thin that it could no longer withstand the force on it from the flanges pressed against it.  Rails on the outside of curves are subject to sidewear due to the curving forces exerted at the wheel-rail interface during the normal passage of trams (paragraphs 88 and 89).</t>
  </si>
  <si>
    <t>The following were causal to the derailment: a.the lack of process associated with the keep monitoring and removal arrangements adopted by SML along with no objective criteria defining when the keep should be removed and an omission of any proof that the arrangements would ensure that a degrading keep would be identified and removed before catastrophic failure occurred (paragraph 102 and Recommendation 3); b.	the track being allowed to continue in a poor condition as a consequence of (Recommendation 1):c.	GMPTE Metrolink’s delay in implementing the city centre renewals special projects (paragraph 109); and d. insufficient city centre track maintenance by SML (paragraph 110); e.GMPTE Metrolink allowing traffic to continue with the city centre track in such poor condition (paragraph 121), possibly as a consequence of its attitude towards its safety responsibilities (Recommendation 2); and f. SML allowing traffic to continue with the city centre track in such poor condition (paragraph 120 and Recommendation 4). The following are possible contributory factors to the derailment: the omission of maintenance limits for the city centre track from the contract (paragraph 97, 111); the lack of GMPTE Metrolink agreement to the city centre maintenance limits proposed by SML (paragraphs 111); removal of the technical engineer’s post by Serco (paragraph 113); and SML engineering resource, especially the vehicle engineer vacancy, in so far as it affected the guidance and leadership of the civil engineering department (paragraph 117). The following are the possible underlying factors to the derailment: the contractual arrangements between GMPTE and Serco from 2003 onwards in so far as they allowed the city centre track to deteriorate beyond acceptable maintenance limits (paragraph 92); the structure of the contract between GMPTE and SML and the ‘city centre renewals agreement’, in particular: the effective split between maintenance and renewals of the city centre track (paragraphs 95, 107 and 115); GMPTE Metrolink’s attitude towards its responsibility for ensuring safe operation so far as is reasonably practicable (paragraphs 101), which in turn is likely to have led to: the lack of engineering resource in GMPTE Metrolink and associated lack of continuity of consultants (paragraphs 91 and 97); GMPTE Metrolink’s lack of both a SMS, or similar health and safety arrangements, and a Safety Manager (paragraphs 98); GMPTE Metrolink’s lack of audit to monitor compliance by the Opco with any of its obligations under the contract, as allowed for in the contract (paragraph 121); GMPTE Metrolink not having the arrangements in place to access all of the finance required to fund the full scope of city centre replacement (paragraph 107); SML’s non implementation, briefing and compliance audit of its SMS (paragraph 112); the possible conditioning of SML staff by their familiarity with the track being in a poor condition (paragraph 114); SML’s concerns over its commercial reputation with its new client (paragraph 120); and the ORR’s acceptance of SML’s submissions with no check of implementation and compliance (paragraph 128).</t>
  </si>
  <si>
    <t>ES-555</t>
  </si>
  <si>
    <t>Accident to persons caused by RS in motion, 30/06/2008, Miranda de Ebro station (Burgos), at kilometre point 146,950, 700 Casetas-Intermodal Abando Indalecio Prieto (Spain)</t>
  </si>
  <si>
    <t>A man, who was near the tracks, was hit by a freight train</t>
  </si>
  <si>
    <t>Miranda de Ebro station (Burgos), at kilometre point 146,950, 700 Casetas-Intermodal Abando Indalecio Prieto</t>
  </si>
  <si>
    <t>UK-536</t>
  </si>
  <si>
    <t>Level crossing accident, 01/07/2008, Poplar Farm level crossing, Attleborough, Norfolk (United Kingdom)</t>
  </si>
  <si>
    <t>The incident occurred at 16:12 hrs when the 15:52 hrs East Midlands Trains service from Norwich to Liverpool Lime Street approached the level crossing when the level crossing gates were open to allow road users to cross.  Three vehicles, one of which was a mobility scooter, were able to cross before the train reached the crossing, and a fourth vehicle had to reverse clear from the crossing.</t>
  </si>
  <si>
    <t>Poplar Farm level crossing, Attleborough, Norfolk</t>
  </si>
  <si>
    <t>The immediate cause of the incident was that the crossing keeper mistakenly believed that the up line indicator showed ‘train in section’ for a train that had already passed over the level crossing and did not appreciate that there was an up train between Attleborough station and the level crossing (Recommendation 1).</t>
  </si>
  <si>
    <t>The following factor was considered to be causal: a. the growth of lineside vegetation that hid the view of the approaching train between Attleborough station and the level crossing. The following factors were considered to be contributory:   a.	the operation of the crossing requires the crossing keeper to decide whether a train has passed over the crossing when an indicator shows ‘train in section’ (Recommendation 1); b.	the growth of road traffic over the crossing has increased pressure on crossing keepers to minimise road closure times, increasing the number of opportunities for an incorrect decision to be made (Recommendation 1); c.   the inspection checklists in standard NR/SP/SIG/19608 do not take account of local factors arising from the method of operation such as maintaining clear sightlines on the approach to the crossing to help the crossing keeper be able to decide whether or not a train has already passed over the crossing (Recommendation 2); and  d.	the inspections of Poplar Farm crossing did not check whether the growth of lineside vegetation was obscuring the crossing keeper’s view of trains approaching from Attleborough station.The following factors were considered to be underlying: development has taken place in the vicinity of the crossing that has increased the amount of road traffic using it.  Network Rail is investigating the legal issues arising from this (paragraph 68); and b.	the regular inspections did not consider whether increased road traffic affected the operation of the crossing, including the workload of the crossing keeper.  This is already addressed by Recommendation 2.</t>
  </si>
  <si>
    <t>BE-561</t>
  </si>
  <si>
    <t>Trains collision, 03-07-08, Hermalle-sous-Huy (Belgium)</t>
  </si>
  <si>
    <t>A freight train, comming from liège, was destinated to the marshalling yard of hermalle - sous - Huy. The train had also to leave the main line and cross the opposite track. The itenarary of the train was setted up, the switches put in the right position and the movement was protected by a red signal on the opposite track;_x000D_
A regional passenger train on this track with Liège as destination passed the red signal, took the switch on the wrong direction and crashed in the front of the freigt train.</t>
  </si>
  <si>
    <t>Hermalle-sous-Huy</t>
  </si>
  <si>
    <t>The collision is, in the first place, the result of the fact that the passenger train driver did not immediately make an emergency stop while approaching the K10 sign.</t>
  </si>
  <si>
    <t>The underlying cause of the accident is the absence of a technical installation allowing to control the motion of the trains and that automatically brings about an emergency stop when the train is crossing a sign that imposes a stop or that is disordered.</t>
  </si>
  <si>
    <t>ES-668</t>
  </si>
  <si>
    <t>Other, 04/07/2008, Sant Celoni station, at the track section before the station. Kilometre point 156,900 at 270 Portbou-Cerbere-Barcelona-Sant Andreu Comtal railway line. (Spain)</t>
  </si>
  <si>
    <t>A passenger train, after passing through the station advanced signal, which stated a stop aspect at the next signal(yellow),came into a track section where a freight train was stopped at the station signal (which stated a stop aspect -red).</t>
  </si>
  <si>
    <t>Sant Celoni station, at the track section before the station. Kilometre point 156,900 at 270 Portbou-Cerbere-Barcelona-Sant Andreu Comtal railway line.</t>
  </si>
  <si>
    <t xml:space="preserve">RENFE-Operadora; 
</t>
  </si>
  <si>
    <t>The electrical interlocking system was being changed to an electronic one and the railway signalling was also being replaced.</t>
  </si>
  <si>
    <t>The way the work was developed didn´t comply with the Operational Order ATO nº 91-CTO nº 92, 2.3, paragraph 11.</t>
  </si>
  <si>
    <t>ES-593</t>
  </si>
  <si>
    <t>Train derailment, 05/07/2008, Medina del Campo (Valladolid) station, 100 Madrid-Hendaya railway line, at kilometre point 208,312 (Spain)</t>
  </si>
  <si>
    <t>A sleeping car train, travelling from Paris to Madrid, entering Medina del Campo station, derailed. As a result,7 of its 24 railway carriages jumped off the track. There were no fatalities, just nine slightly injured.</t>
  </si>
  <si>
    <t>Medina del Campo (Valladolid) station, 100 Madrid-Hendaya railway line, at kilometre point 208,312</t>
  </si>
  <si>
    <t>FI-508</t>
  </si>
  <si>
    <t>Level crossing accident, 7/7/2008, Kiuruvesi, Kirkkoharjuntie / Vehkatie level crossing, unprotected (Finland)</t>
  </si>
  <si>
    <t>At 22.41.40 on Monday 7 July 2008, a van and a train consisting of two locomotives en route from Ylivieska to Iisalmi collided on the Vehkatie unprotected level crossing in Kiuruvesi, resulting in the death of the van driver. The van was wrecked beyond repair and the locomotive’s front and bogie structures were slightly damaged. The cost of the accident on the railway side was in excess of € 50,000.</t>
  </si>
  <si>
    <t>Kiuruvesi, Kirkkoharjuntie / Vehkatie level crossing, unprotected</t>
  </si>
  <si>
    <t>The direct cause of the accident was that the driver of the delivery vehicle drove onto the unprotected level crossing without stopping.</t>
  </si>
  <si>
    <t>The van driver probably noticed the approaching train too late and was no longer able to prevent the collision. Observation might have been hindered by the following factors:_x000D_
•	The evening sun was shining low on the horizon from the direction of the ap-proaching train._x000D_
•	The van and train approached each other at a sharp angle, as a result of which the visibility of the train was blocked by the van’s chassis structures._x000D_
•	The van driver’s attention was either focused on a newly arrived text message or on looking for or picking up the mobile phone._x000D_
•	Wagons standing on the railway yard._x000D_
The engine driver did not have time to break or give an emergency signal because the driver failed to notice the van. When the van was within visible range, the locomotive’s structures blocked visibility in the direction of the vehicle.</t>
  </si>
  <si>
    <t>FR-514</t>
  </si>
  <si>
    <t>Level crossing accident, 07/07/2008, Accident arrived on level crossing n°19 between (Autun) La Roche en Brénil et Avallon. (France)</t>
  </si>
  <si>
    <t>A lorry has crossed the level crossing without looking if a train arrived. It has been hit by a train comming from Autun at about 70 km/h. 7 passengers of the train have been slightly injured.</t>
  </si>
  <si>
    <t>Accident arrived on level crossing n°19 between (Autun) La Roche en Brénil et Avallon.</t>
  </si>
  <si>
    <t xml:space="preserve">Société Nationale des Chemins de fer Français; 
</t>
  </si>
  <si>
    <t>LC without barriers designed for low levels of traffic used by trucks serving a construction place near the railway.</t>
  </si>
  <si>
    <t>DE-516</t>
  </si>
  <si>
    <t>Train derailment, 09-07-08, Köln Hbf (Germany)</t>
  </si>
  <si>
    <t>Am 09.07.2008 um 16:12 Uhr kam es zu einer Zugentgleisung des aus zwei Zugteilen bestehenden ICE 518 des Eisenbahnverkehrsunternehmens (EVU) DB Fernverkehr AG auf der Fahrt von München nach Dortmund. Nach planmäßigem Fahrtrichtungswechsel verließ der Zug den Bf Köln Hbf wieder in Richtung Hohenzollernbrücke. Bei der Ausfahrt entgleiste die in Fahrtrichtung erste Achse des nachlaufenden Drehgestells des dritten Wagens (403 710-7) des vorderen Zugteils. 
On 09. 07. 2008 at 16:12 o'clock there was a train derailment of the two train parts ICE 518 of the railway transport company (EVU) DB Fernverkehr AG on the journey from Munich to Dortmund. After a scheduled change of direction, the train left Bf Köln Hbf again in the direction of Hohenzollernbrücke. At the exit, the first axle of the subsequent bogie of the third car (403 710-7) derailed from the front part of the train in the direction of travel.</t>
  </si>
  <si>
    <t>Köln Hbf</t>
  </si>
  <si>
    <t>Die Ursache für die Entgleisung war eine gebrochene Treibradsatzwelle am Wagen 403 710-7. 
The cause of the derailment was a broken drift axle on wagon 403 710-7.</t>
  </si>
  <si>
    <t>HU-710</t>
  </si>
  <si>
    <t>Accident to persons caused by RS in motion, 14/07/2008, Budapest-Ferencvaros station (Hungary)</t>
  </si>
  <si>
    <t>While shunting at Budapest-Ferencvaros locomotive No V43-1298 ran over two platelayers who were performing troubleshooting tasks with permission at points No.126. One of them died at the site of the accident, the other one suffered serious injury.</t>
  </si>
  <si>
    <t>Budapest-Ferencvaros station</t>
  </si>
  <si>
    <t>MÁV-TRAKCIÓ Zrt.</t>
  </si>
  <si>
    <t>ES-580</t>
  </si>
  <si>
    <t>Accident to persons caused by RS in motion, 16/07/2008, 310 Aranjuez-Valencia railway line, near Valencia station, kilometre point 108,898. (Spain)</t>
  </si>
  <si>
    <t>A man, with his back to a coming train, tried to cross the tracks. When he realised the train was approaching towards him, tried to step off, but he couldn´t, being knocked down, then .</t>
  </si>
  <si>
    <t>310 Aranjuez-Valencia railway line, near Valencia station, kilometre point 108,898.</t>
  </si>
  <si>
    <t>HU-711</t>
  </si>
  <si>
    <t>Train derailment, 22/07/2008, Line 80: Rakos station (Hungary)</t>
  </si>
  <si>
    <t>On approaching Rakos station freight train No. 53612 derailed at points No. 6.</t>
  </si>
  <si>
    <t>Line 80: Rakos station</t>
  </si>
  <si>
    <t>NO-540</t>
  </si>
  <si>
    <t>Train derailment, 25/07/2008, On the Roa - Hønefoss line, close to Hønefoss station (Norway)</t>
  </si>
  <si>
    <t>6 waggons in a freight train consisting of 14 waggons, derailed on stright open line. 3 of the waggons overturned. The derailed waggons had position no. 6 to 11 in the train.</t>
  </si>
  <si>
    <t>On the Roa - Hønefoss line, close to Hønefoss station</t>
  </si>
  <si>
    <t>The Accident Investigation Board Norway believes that the cause of the derailment was a local increase in the track width at the derailment site as a result of the poor condition of the sleepers. The general poor condition of the sleepers may have been exacerbated by the tamping that was carried out before the track examination run in June, and the great forces of pressure working on the track as a result of the temperature may have constituted a contributing factor on the day of the accident.</t>
  </si>
  <si>
    <t>The Accident Investigation Board Norway finds that the regulations, which are supposed to support the administrative organisation in maintaining safety, provide little explicit and partly misleading information about the quality requirements for wooden sleepers and measures that need to be implemented when threshold values are exceeded. The practical system for prioritising the use of maintenance funds over time also appears to have led to a situation in which the administrative organisation had its hands full handling items registered as requiring immediate attention and hence was unable to conduct the necessary analyses of the track examination runs.</t>
  </si>
  <si>
    <t>NO-632</t>
  </si>
  <si>
    <t>Fire in RS, 27/07/2008, Stjørdal Nordlansdbanen (Norway)</t>
  </si>
  <si>
    <t>Fire in the rolling stock.</t>
  </si>
  <si>
    <t>Stjørdal Nordlansdbanen</t>
  </si>
  <si>
    <t>UK-538</t>
  </si>
  <si>
    <t>Accident to persons caused by RS in motion, 27/07/2008, New Southgate, North London (United Kingdom)</t>
  </si>
  <si>
    <t>A door on a northbound High Speed Train (HST) power car struck the side of a passing southbound HST near New Southgate, North London. _x000D_
At approximately 11:20 hrs on Sunday 27 July 2008 a sliding-plug door opened, and subsequently came away from its mountings, on the trailing power car on the 11:00 hrs HST from London Kings Cross to Aberdeen in the vicinity of New Southgate, some 6 miles north of Kings Cross.  The door struck and damaged the carriages of the 08:24 hrs HST from Leeds to Kings Cross, causing damage to the bodysides, door handles, and doors on several carriages.</t>
  </si>
  <si>
    <t>New Southgate, North London</t>
  </si>
  <si>
    <t>National Express East Coast</t>
  </si>
  <si>
    <t>The immediate cause of the incident was the centre roller of the door being pulled off the centre runner by aerodynamic forces (paragraph 68).</t>
  </si>
  <si>
    <t>Causal factors were: ? the door was in service with a bent centre trolley (paragraph 69, Recommendation 1);the door was open before the trains passed (paragraph 69 and Recommendation 3);  ? the door was on a trailing power car (paragraph 69); both train 1S13 and train 1A16 were travelling at high speed (paragraph 69);there was no procedure in place to inform staff how to deal with a luggage van door they could not repair (paragraph 73, Recommendation 4); and  ? the peened end of the pin had pulled through the centre trolley (paragraph 71, Recommendations 1 and 2).The following factors, singularly or in combination, are plausible explanations as to how the door become open (paragraph 79): the main lock only had one spring, not two as designed (Recommendation 1); ? there is a possibility that a person may have somehow unlocked the door, whether intentionally or not;given the way the door was re-fitted at Bounds Green, there is a possibility that locked-in forces were present that were pushing the door outwards against the lock; andthere is a possibility that the level of lock tongue engagement with the striker plate was less than designed at the time of the incident (Recommendation 1). A probable causal factor was that the pin head was on the luggage compartment side of the trolley (paragraph 71, Recommendation 2).Contributory factors were :  the cam block was not securely fastened to the door at various times prior to the incident probably as a result of incorrect set-up (paragraph 72, Recommendation 1); and the incorrect Defective On-Train Equipment Contingency Plan (paragraph 75,  Recommendation 4). The underlying factor was that National Express East Coast did not appreciate the risk associated with HST luggage van doors, in part because the lessons of previous incidents were not incorporated in current processes.  This situation arose as part of a general loss of awareness of the criticality of set-up and maintenance of luggage van doors within the industry (paragraph 82).</t>
  </si>
  <si>
    <t>DK-986</t>
  </si>
  <si>
    <t>Level crossing accident, 28-07-08, Higway level crossing 233 near Borris (Denmark)</t>
  </si>
  <si>
    <t>As the train at a speed of 100 km/h passed the level crossing (where red flashing lights were activated to warn and stop the road traffic) it hit a harvesting machine (combine harvester). The harvester was thrown aside and caught fire and the driver of the harvester died on the spot while the train unit driver was seriously injured.</t>
  </si>
  <si>
    <t>Higway level crossing 233 near Borris</t>
  </si>
  <si>
    <t>The driver of the combine harvester didn't react to the flashing warning lights.</t>
  </si>
  <si>
    <t>SE-563</t>
  </si>
  <si>
    <t>Wrong-side signalling failure, 2008-07-29, On Torne Träsk station which is located on the main line beteween Boden and Riksgränsen (Norway) (Sweden)</t>
  </si>
  <si>
    <t>While working on the signalling system on the station an error occured which led to that a signal was set to "clear" to a track which was occupied by a train. The station was equipped with track circuits. 
Den 29 juli 2008 gick det att få en tågväg in till Torneträsk station trots att det fanns ett tåg på stationens enda tillgänglig tågspår._x000D_
_x000D_
På stationen pågick vid tillfället en stor ombyggnad och tio dagar tidigare, den 19 – 20 juli var trafiken avstängd genom stationen under tolv timmar. Under avstängningen lades en ny växel in i stationens södra del och trafiken leddes över till spår 2 från spår 3. Före trafikavstängningen upptäckte den ledande signalteknikern och huvudbesiktningsmannen att spår 2 skulle kopplas in efter avstängningen. Enligt den tillgängliga projekteringen av signalprovisorierna skulle trafiken fortsätta att gå på spår 3, något som de också hade utgått ifrån vid de föreberedande arbeten som de då hade gjort. De lyckades inte få tag i någon signalprojektör, utan signalteknikerna och huvudbesiktningsmannen gjorde i stället om projekteringen direkt på platsen. Det skulle senare visa sig att kopplingarna som de utförde innebar att det inte gick att ställa kör-signal från norr, något som irriterade tågklarerarna. Irritationen ökade också p.g.a. att den bild som fjärrtågklarerarna såg på sin skärm inte stämde med hur stationen då såg ut._x000D_
_x000D_
När huvudbesiktningsmannen fick veta att det inte gick att ställa till ”kör”, insåg han att de vid omkopplingen tidigare hade bortsett från ett beroende av spårledningen på spår 3, något som inte längre var aktuellt och han förbikopplade därför detta beroende. Vad han då inte kontrollerade var att det i ställverket fanns motsvarande beroende av spårledningen på spår 2, vilket medförde att det gick att ställa körsignal från norr in till spår 2, oberoende av om det fanns fordon på spåret eller inte._x000D_
_x000D_
Under denna tid arbetade huvudbesiktningsmannen delvis mycket långa pass och han var också satt under stark press från trafikledning, projekt-ledning och arbetsledning att få anläggningen att fungera så som det var avsett att den skulle göra. Det fanns ingen personal med rätt kompetens tillgänglig som kunde avlösa huvudbesiktningsmannen._x000D_
_x000D_
Orsaken till att personalen utförde omkopplingar som inte var projekterade var att den tillgängliga projekteringen inte var rätt utförd och därmed inte gick att använda. Signalprovisorierna hade projekterats av en projekteringsentreprenör med hjälp av ett projekteringsunderlag av vilket den del som utgjorde beskrivningen av vad som skulle projekteras hade upprättats av huvudbesiktningsmannen. Detta dokument var riktigt utformat i den del som avsåg vilket spår som skulle trafikeras efter avstängningen, men utformningen var inte helt entydig. Dokumentet ingick heller inte i det projekteringsunderlag som formellt godkändes och översändes av beställaren, utan det levererades separat till projekteringsentreprenören. Den projektör som hade fått i uppdrag att projektera signalprovisorierna upprättade ett dokument där projektör 2 förtydligade tolkningen av huvudbesiktningsmannens beställning för att få ett tydligare underlag för arbetet. I detta dokument fanns det fel som innebar att projekteringen blev fel och som i sin tur medförde att signalteknikerna och huvudbesiktningsmannen arbetade efter fel förutsättningar._x000D_
_x000D_
HÄNDELSEFÖRLOPPET_x000D_
Den 29 juli 2008 stod tåg 10093 vid mellansignal 213 på spår 2 i Torneträsk och väntade på att få fortsätta mot Kiruna. På grund av en pågående ombyggnad av stationen var spår 2 vid tillfället det enda tågspåret på stationen. Sam-tidigt kom en vagn¬uttagning för transport från norr och när denna närmade sig Torneträsk magasinerade fjärrtågklareraren en tågväg in till spår 2. Tåg-vägen lades och enligt fjärrtågklarerarens spårplan visades ”kör” till spår 2 trots att tåg 10093 befann sig där. Fjärrtågklareraren uppmärksammade detta och tog kontakt med tillsyningsmannen för vagnuttagningen. Tillsyningsmannen berättade att försignalen till infartssignal 219 visade ”vänta kör” och fjärrtågklareraren uppmanade tillsyningsmannen att stanna vagnuttagningen vid infartssignal 219 oavsett signalbild._x000D_
_x000D_
Tågklareraren lämnade därefter ett medgivande till tåg 10093 att passera mellansignal 213 och när tåget passerade mellansignalen gick infartssignal 219 om till ”stopp”. När tåget sedan hade lämnat stationen gick infartssig-nal 219 åter om till ”kör”.</t>
  </si>
  <si>
    <t>On Torne Träsk station which is located on the main line beteween Boden and Riksgränsen (Norway)</t>
  </si>
  <si>
    <t>Long distance passenger train; 
Infrastructure works train</t>
  </si>
  <si>
    <t>The direct cause of the incident was that the wiring in a signal box was changed involving a bypass of the dependencies of track circuits for track 3. 
Den direkta orsaken till händelsen var att det utfördes en omkoppling i ställverket där ett beroende av spårledningen till spår 3 förbikopplades.</t>
  </si>
  <si>
    <t>An underlying cause of the incident was that the staff performing operations without prior planning due to the available wiring design was not carried out correctly and therefore could not be used. 
En bakomliggande orsak till händelsen var att personalen utförde omkopplingar utan föregående projektering på grund av att den tillgängliga projekteringen inte var rätt utförd och därmed inte gick att använda.</t>
  </si>
  <si>
    <t>CZ-567</t>
  </si>
  <si>
    <t>Fire in RS, 30/07/2008, open line between Pnovany and Vranov u Stribra stations, km 374,100 (Czech Republic)</t>
  </si>
  <si>
    <t>Fire of fast train No. 766 (locomotive + first carriage) within the run</t>
  </si>
  <si>
    <t>open line between Pnovany and Vranov u Stribra stations, km 374,100</t>
  </si>
  <si>
    <t>Správa železnic</t>
  </si>
  <si>
    <t>ES-581</t>
  </si>
  <si>
    <t>Accident to persons caused by RS in motion, 30/07/2008, 100 Madrid-Hendaya railway line; at Andoaín Centro flag stop (Guipúzcoa), kilometre point 608,200 (Spain)</t>
  </si>
  <si>
    <t>A man crossed the tracks through an unauthorised place while a freight train was approaching. The man was using headphones.</t>
  </si>
  <si>
    <t>100 Madrid-Hendaya railway line; at Andoaín Centro flag stop (Guipúzcoa), kilometre point 608,200</t>
  </si>
  <si>
    <t>The victim, who was a regular traveler, was mentally disabled.</t>
  </si>
  <si>
    <t>ES-582</t>
  </si>
  <si>
    <t>Accident to persons caused by RS in motion, 30/07/2008, 436 Málaga-Fuengirola railway line; at kilometre point 8,870 (Spain)</t>
  </si>
  <si>
    <t>Two people were walking by the tracks, with their backs to an approaching train. Both noticed the danger and tried to stepped off the tracks, being late for one of them who was knocked down by the train.</t>
  </si>
  <si>
    <t>436 Málaga-Fuengirola railway line; at kilometre point 8,870</t>
  </si>
  <si>
    <t>IE-519</t>
  </si>
  <si>
    <t>Level crossing accident, 31/07/2008, Ballybrophy to Killonan line 39 miles 440 yards from Ballybrophy XN125 (Ireland)</t>
  </si>
  <si>
    <t>Car struck by DMU.</t>
  </si>
  <si>
    <t>Ballybrophy to Killonan line 39 miles 440 yards from Ballybrophy XN125</t>
  </si>
  <si>
    <t>Road vehicle stopped in a position fouling the railway line</t>
  </si>
  <si>
    <t>The lack of clear marking of a safe stopping position clear of the railway line for road users. The lack of effectiveness of the whistleboards as a mitigation for safe sighting distance.</t>
  </si>
  <si>
    <t>HU-712</t>
  </si>
  <si>
    <t>Train derailment, 02/08/2008, Line 40: Between Kurd and Szakaly-Hogyesz stations (Hungary)</t>
  </si>
  <si>
    <t>Four carriages of the train No. 8203 derailed, one of them toppled down.</t>
  </si>
  <si>
    <t>Line 40: Between Kurd and Szakaly-Hogyesz stations</t>
  </si>
  <si>
    <t>CZ-520</t>
  </si>
  <si>
    <t>Trains collision with an obstacle, 08/08/2008, Studenka station, track No. 101, km 243,576 (Czech Republic)</t>
  </si>
  <si>
    <t>A road bridge above the station fallen just in front of approaching Eurocity train No. 108. The train_x000D_
collided with the ruins of the bridge and consequent derailment of locomotive and 7 carriages. Followed collision with stationary freight train.</t>
  </si>
  <si>
    <t>Studenka station, track No. 101, km 243,576</t>
  </si>
  <si>
    <t>Ceske drahy a. s.; 
Tratová strojní spolecnost</t>
  </si>
  <si>
    <t>disruption to clearance gauge of tracks No. 101 – 105b of Studenka station by bridge structure collapsing when EC train No. 108 was approaching</t>
  </si>
  <si>
    <t>CZ NIB didn't investigate causes of collapse of the bridge. The investigation was focusing on ensuring safety of railway operations during reconstruction of the bridge. Thus the underlying cause is related to this field only.</t>
  </si>
  <si>
    <t>IT-521</t>
  </si>
  <si>
    <t>Trains collision with an obstacle, 08/08/2008, Potenza central station. Rail link toward a private company "Ferriere Nord s.p.a" (Italy)</t>
  </si>
  <si>
    <t>The locomotive in manouvre towing 10 freight wagons loaded with scrap iron has been wrongly routed on a rail link (downhill 27./..) af a private company. It stopped its rise against a parked convoy.</t>
  </si>
  <si>
    <t>Potenza central station. Rail link toward a private company "Ferriere Nord s.p.a"</t>
  </si>
  <si>
    <t>Other; 
Shunting operation</t>
  </si>
  <si>
    <t xml:space="preserve">Trenitalia Cargo; 
</t>
  </si>
  <si>
    <t>HU-713</t>
  </si>
  <si>
    <t>Level crossing accident, 14/08/2008, Line 85 Between Vamosgyork and Gyongyos stations (Hungary)</t>
  </si>
  <si>
    <t>Passenger train No. 35616 collided with a car at a level crossing without any form of warning system. The LC was marked only with a St. Andrew’s cross.</t>
  </si>
  <si>
    <t>Line 85 Between Vamosgyork and Gyongyos stations</t>
  </si>
  <si>
    <t>AT-1101</t>
  </si>
  <si>
    <t>Train derailment, 16/08/2008, ÖBB-Strecke 10101 von Wien Westbahnhof nach St. Pölten Hbf, im Bf Neulengbach, Gleis 5, Weiche 51. // ÖBB-line 10101 from station Wien Westbahnhof to station St. Pölten Hbf, in station Neulengbach, track 5, switch 51 (Austria)</t>
  </si>
  <si>
    <t>Am 16. August 2008, entgleiste der 16. Wg (Gattung: Sggrss = Containertragwagen mit 3 zweiachsigen Drehgestellen; beladen) des Z 94435 bei der Einfahrt in den Bf Neulengbach auf Gleis 5 (Weiche 51) mit dem 1. und dem 2. Drehgestell. // On 16/08/2008 the 16th wagon (type Sggrss = container wagon with 3 bogies, fully loaded) of train 94435 derailed during entry in station Neulengbach on switch 51 with the 1st and the 2nd bogie.</t>
  </si>
  <si>
    <t>ÖBB-Strecke 10101 von Wien Westbahnhof nach St. Pölten Hbf, im Bf Neulengbach, Gleis 5, Weiche 51. // ÖBB-line 10101 from station Wien Westbahnhof to station St. Pölten Hbf, in station Neulengbach, track 5, switch 51</t>
  </si>
  <si>
    <t>LTE Logistik- und Transport-GmbH</t>
  </si>
  <si>
    <t>Track twist to big. A resilient side bearer was not correct.State of lubrication of the running edge was not sufficient.</t>
  </si>
  <si>
    <t>SI-541</t>
  </si>
  <si>
    <t>Level crossing accident, 20/08/2008, Between station StraÅ¾a and Novo mesto in km 4.236. (Slovenia)</t>
  </si>
  <si>
    <t>Ministry of Transport - Railway accident and incident investigation division</t>
  </si>
  <si>
    <t>Freight train is on level crossing to mark with road signals, crashed to shooting-brake. The car turned left from the road, to the level crossing. Shooting-brake driver is overlooked train. One passenger killed, the driver seriously injured.</t>
  </si>
  <si>
    <t>Slovenia</t>
  </si>
  <si>
    <t>Between station StraÅ¾a and Novo mesto in km 4.236.</t>
  </si>
  <si>
    <t>Slowenian railway</t>
  </si>
  <si>
    <t>Slovenian railway</t>
  </si>
  <si>
    <t>The direct cause of the accident was undoubtedly the non-observance of road traffic regulations on the part of the driver of the road freight vehicle; he failed to observe that, at a level crossing, the train always has right of way over road vehicles.</t>
  </si>
  <si>
    <t>The indirect cause of the accident, revealed during the investigation, was the insufficiently marked level crossing, which does not warn road users, i.e. drivers of road vehicles, in good time of the approaching unprotected level crossing. A clear view over the level crossing is blocked by trees when they are in full leaf, as well as by an enc osed private area along the road where caravans were parked at the time of the accident. The view of the St Andrew’s Cross sign is blocked by treetops for road vehicles travelling from he direction of Novo Mesto towards Zalog, and the sign only becomes visible 59 m before the level crossing.</t>
  </si>
  <si>
    <t>PT-614</t>
  </si>
  <si>
    <t>Train derailment, 22/08/2008, A train derailment from 20.400 km station of Tua (Portugal)</t>
  </si>
  <si>
    <t>The train, to describe a curve, followed in front</t>
  </si>
  <si>
    <t>A train derailment from 20.400 km station of Tua</t>
  </si>
  <si>
    <t>FI-542</t>
  </si>
  <si>
    <t>Level crossing accident, 26-08-08, Suonenjoki, Haapakoski, Konttila level crossing, unprotected, Pieksämäki - Kuopio section of line. (Finland)</t>
  </si>
  <si>
    <t>At 10.43 a.m. on Tuesday 26 August 2008, a railway work unit en route from Pieksämäki to Suonenjoki collided with a car at an unprotected level crossing in Suonenjoki. The accident was fatal to the driver of the car. The car was damaged beyond repair and the railway work unit, which was a service railcar, incurred minor damage.</t>
  </si>
  <si>
    <t>Suonenjoki, Haapakoski, Konttila level crossing, unprotected, Pieksämäki - Kuopio section of line.</t>
  </si>
  <si>
    <t>Oy VR-Rata Ab</t>
  </si>
  <si>
    <t>The direct cause of the accident was that the car driver drove onto the level crossing without stopping. In all probability, the car driver failed to observe the railway work unit approaching from the left. The lack of a proper wait platform, a sharply rising road and limited visibility made it difficult to observe the surroundings and drive the car at the same time.</t>
  </si>
  <si>
    <t>The road rises too sharply before the level crossing and there is no proper wait platform. the track speed limit is 140 km/h and limited visibility makes even a diligent crossing dangerous.</t>
  </si>
  <si>
    <t>ES-585</t>
  </si>
  <si>
    <t>Accident to persons caused by RS in motion, 29/08/2008, 200 Madrid-Barcelona railway line, at Segur de Calafell (Tarragona) flag stop, kilometre point 624,800 (Spain)</t>
  </si>
  <si>
    <t>A man crossed the tracks through an unauthorised place, being hit by a train. Despite the train driver used the whistle, the victim had no time to get safe.</t>
  </si>
  <si>
    <t>200 Madrid-Barcelona railway line, at Segur de Calafell (Tarragona) flag stop, kilometre point 624,800</t>
  </si>
  <si>
    <t>NO-560</t>
  </si>
  <si>
    <t>Trains collision with an obstacle, 29/08/2008, Crossroads with a roundabout, Parkveien - Henrik Ibsensgate Oslo (Norway)</t>
  </si>
  <si>
    <t>The tram collided with a minibus in a roundabout as they bouth entered the roundabout.</t>
  </si>
  <si>
    <t>Crossroads with a roundabout, Parkveien - Henrik Ibsensgate Oslo</t>
  </si>
  <si>
    <t>Oslo municipality</t>
  </si>
  <si>
    <t>The left-hand side mirror and a side stanchion on the left-side of the driver’s cab constituted blind zones for the tram driver. Ffurthermore the angle between the vehicles remained constant which resulted in the front of the minibus remaining in the blind zone for a length of time</t>
  </si>
  <si>
    <t>NO-569</t>
  </si>
  <si>
    <t>Broken rails, 31/08/2008, At km 11.5 on Gardermobanen inside the Romeriksporten tunnel (Norway)</t>
  </si>
  <si>
    <t>A train driver reported a failure on the track in Romeriksporten tunnel. When inspected one discovered that apx. 35 cm of the railhead had broken loose en was missing.</t>
  </si>
  <si>
    <t>At km 11.5 on Gardermobanen inside the Romeriksporten tunnel</t>
  </si>
  <si>
    <t>Flytoget AS</t>
  </si>
  <si>
    <t>The investigation concludes that water dripping onto the track over a prolonged period, combined with trains passing through the drip zone, resulted in a corrosion/erosion process that caused a loss of material of approx. 3 mm off the top of the rail head over a short rail section (approx. 80 cm). When trains passed, this gave rise to considerable dynamic impulse loads between the wheels and the track, which resulted in the initiation and further propagation of fractures from the track’s driving surface. The chlorine content in the drip zone environment may have helped to accelerate the corrosion/erosion process as well as the fracture growth</t>
  </si>
  <si>
    <t>At the time of the incident, the Norwegian National Rail Administration’s system for the inspection of the track did not provide sufficient instructions and guidelines for the development of this fault to be discovered and dealt with before the rail actually broke</t>
  </si>
  <si>
    <t>ES-586</t>
  </si>
  <si>
    <t>Trains collision with an obstacle, 01/09/2008, 100 Madrid-Hendaya railway line, at Dueñas(Palencia)station , at kilometre point 279,220. (Spain)</t>
  </si>
  <si>
    <t>A locomotive running solo collided with a backhoe loader when it suddenly invaded the tracks. As a result, the Backhoe loader driver died and three axles of the locomotive´s first bogie derailed.</t>
  </si>
  <si>
    <t>100 Madrid-Hendaya railway line, at Dueñas(Palencia)station , at kilometre point 279,220.</t>
  </si>
  <si>
    <t>The accident was caused by the invasion of the rail gauge by the backhoe loader, after being approved by Adif´s agent (pilot), who failed to act according to the settled in the General Operating Rules</t>
  </si>
  <si>
    <t>IT-559</t>
  </si>
  <si>
    <t>Accident to persons caused by RS in motion, 01/09/2008, Motta S. Anastasia station of Palermo-Catania line (Italy)</t>
  </si>
  <si>
    <t>The regional passenger train upsetted two men in work on station rails</t>
  </si>
  <si>
    <t>Motta S. Anastasia station of Palermo-Catania line</t>
  </si>
  <si>
    <t>Trenitalia</t>
  </si>
  <si>
    <t>AT-1102</t>
  </si>
  <si>
    <t>Train derailment, 06/09/2008, ÖBB-Strecke 22202 von Villach Süd Gvbf nach Staatsgrenze nächst Rosenbach (Jesenice). // ÖBB-Line 22202 from station Villach Süd Gvbf to Boarder near Rosenbach (Jesenice - SI). (Austria)</t>
  </si>
  <si>
    <t>Während der Einfahrt in den Bf Rosenbach entgleiste der 11. Wagen (2 x 2 achs. Containertragwagen, beladen) mit dem 3. Radsatz. Bei der Fahrt über die Weichen 1, 2 und 3 und die Eisenbahnkreuzung km 22,186 entgleiste der Wagen mit allen Radsätzen. // During entry into station Rosenbach the 11th wagon (2 x 2 ax.containerwagon, loaded) derailed with the 3rd wheelset. During the movement at the switches 1, 2 and 3 and the level crossing km 22,186 the wagon derailed with all wheelsets.</t>
  </si>
  <si>
    <t>ÖBB-Strecke 22202 von Villach Süd Gvbf nach Staatsgrenze nächst Rosenbach (Jesenice). // ÖBB-Line 22202 from station Villach Süd Gvbf to Boarder near Rosenbach (Jesenice - SI).</t>
  </si>
  <si>
    <t>Twist of the track</t>
  </si>
  <si>
    <t>HU-714</t>
  </si>
  <si>
    <t>Level crossing accident, 06/09/2008, Line 15 Lövö station (Hungary)</t>
  </si>
  <si>
    <t>Train No. 9947 collided with a car at a LC. The signaling of the LC operated well.</t>
  </si>
  <si>
    <t>Line 15 Lövö station</t>
  </si>
  <si>
    <t>HU-715</t>
  </si>
  <si>
    <t>Train derailment, 09/09/2008, Line 30: Szekesfehervar station (Hungary)</t>
  </si>
  <si>
    <t>The 11th wagon of the train No. 42011-2 derailed as it was leaving the station.</t>
  </si>
  <si>
    <t>Line 30: Szekesfehervar station</t>
  </si>
  <si>
    <t>ES-594</t>
  </si>
  <si>
    <t>Accident to persons caused by RS in motion, 10/09/2008, 600 Valencia-Sant Vicent de Calders railway line, at Villareal (Castellón) station, kilometre point 62,095 (Spain)</t>
  </si>
  <si>
    <t>A woman is knocked down by a train as she was crossing the tracks through an unauthorised place.</t>
  </si>
  <si>
    <t>600 Valencia-Sant Vicent de Calders railway line, at Villareal (Castellón) station, kilometre point 62,095</t>
  </si>
  <si>
    <t>COMSA RAIL TRANSPORT</t>
  </si>
  <si>
    <t>FR-562</t>
  </si>
  <si>
    <t>Fire in RS, 11/09/2008, Channel tunnel, North tube 11,5 km from the French portal (France)</t>
  </si>
  <si>
    <t>Fire on road vehicle conveyed on an HGV shuttle train, which was consequently stopped to enable evacuation at about 16.00. All personnel went from the train to a place of safety in the adjacent service tunnel. Fire then spread to involve all 27 road vehicles that were on board.</t>
  </si>
  <si>
    <t>Channel tunnel, North tube 11,5 km from the French portal</t>
  </si>
  <si>
    <t>Investigation and recommendations were aimed at factors with direct or indirect  adverse effects on evacuation and fire fighting.</t>
  </si>
  <si>
    <t>AT-681</t>
  </si>
  <si>
    <t>Train derailment, 12/09/2008, Linz Verschiebebahnhof (Austria)</t>
  </si>
  <si>
    <t>Am 12. September 2008, um 22:38 Uhr, entgleisten bei Z 66969 auf der Fahrt von Linz Vbf - Stadthafen nach Linz Vbf - Einfahrgruppe im Bf Linz Vbf auf Gl 2a (W 315/316) der 37. und der 38. Wg. mit beiden Achsen. Dabei kam es zu einer Zugtrennung zwischen dem 36. und dem 37. Wg. Die Entgleisung erfolgte aufgrund einer Achsentlastung der vorlaufenden Achse des 37. Wg. // On 12 September 2008 at 22:38 the 37th and 38th wagons of the train 66969 derailed with both axes on the trip from Linz Vbf - Stadthafen Vbf to Linz – incoming in station Linz Vbf on track 2a (W 315/316). This led to a separation of 36th and 37th wagons. The derailment occurred because of the anticipatory axes discharge of the 37th wagon.</t>
  </si>
  <si>
    <t>Linz Verschiebebahnhof</t>
  </si>
  <si>
    <t>Die Entgleisung erfolgte aufgrund einer Achsentlastung der vorlaufenden Achse des 37. Güterwagen. // The derailment occurred because of the anticipatory axes discharge of the 37th wagon.</t>
  </si>
  <si>
    <t>Abbremsung des Zuges von 21 auf 5 km/h nur durch die Tfz.  // Braking of the train from 21 to 5 km/h only by the locomotives .</t>
  </si>
  <si>
    <t>ES-596</t>
  </si>
  <si>
    <t>Accident to persons caused by RS in motion, 12/09/2008, Martorell (Barcelona) station. 240 Barcelona-San Vicente de Calders railway line. (Spain)</t>
  </si>
  <si>
    <t>A man, crossing through a board crossing, is knocked down by the train which he didn´t notice was approaching.</t>
  </si>
  <si>
    <t>Martorell (Barcelona) station. 240 Barcelona-San Vicente de Calders railway line.</t>
  </si>
  <si>
    <t>CZ-568</t>
  </si>
  <si>
    <t>Trains collision, 13/09/2008, Open line between Mohelnice and Moravicany stations, km 54,397 (Czech Republic)</t>
  </si>
  <si>
    <t>Freight train No. 54053 crashed into last wagon of freight train No. 66161 and derailed. Train driver of train No. 54053 was killed.</t>
  </si>
  <si>
    <t>Open line between Mohelnice and Moravicany stations, km 54,397</t>
  </si>
  <si>
    <t>UK-572</t>
  </si>
  <si>
    <t>Level crossing accident, 13/09/2008, Morden Hall footpath crossing, on the Croydon tramlink system. (United Kingdom)</t>
  </si>
  <si>
    <t>The accident occurred at 14:37 hrs, when a tram, travelling from Wimbledon towards Croydon, struck and killed a man as he cycled over the footpath crossing adjacent to Morden Hall Park.</t>
  </si>
  <si>
    <t>Morden Hall footpath crossing, on the Croydon tramlink system.</t>
  </si>
  <si>
    <t>The immediate cause of the accident was that the cyclist rode through the chicane and onto the crossing without looking at the approaching tram (paragraph 48).</t>
  </si>
  <si>
    <t>Causal factors were: The cyclist may have been wearing headphones which prevented him hearing the audible warnings sounded by the tram driver (paragraph 51). The layout of the path and the design of the chicane permitted users to approach the track while facing away from eastbound trams (paragraph 52, Recommendation 1).The following factors were considered to be contributory:The planning of changes to the layout of the path on the south-west side of the crossing did not take into account the hazard that this might have created for cyclists approaching from that direction (paragraph 61).  The risks created by the way in which Morden Hall Park and other foot crossings on the Croydon Tramlink system were being used had not been assessed by the infrastructure manager since the tramway opened (paragraph 72, Recommendation 1).  An underlying factor in the accident was that the conversion of the railway line between Wimbledon and West Croydon into the tramway created a conflict between path users and trams at the locations where footbridges were replaced by level crossings (paragraph 85).</t>
  </si>
  <si>
    <t>ES-597</t>
  </si>
  <si>
    <t>Accident to persons caused by RS in motion, 25/09/2008, 426 Granada-Fuente Piedra railway line, kilometre point 14,250, between Antequera and Bif. Las Maravillas (Málaga). (Spain)</t>
  </si>
  <si>
    <t>An old woman crossed the tracks without noticing a train was coming, then being knocked down by it. It was said the woman had hearing difficulties</t>
  </si>
  <si>
    <t>426 Granada-Fuente Piedra railway line, kilometre point 14,250, between Antequera and Bif. Las Maravillas (Málaga).</t>
  </si>
  <si>
    <t>ES-669</t>
  </si>
  <si>
    <t>Trains collision with an obstacle, 25/09/2008, Balmaseda Mercancías station, P.K. 284,050, at 31 León-Bilbao railway line (Spain)</t>
  </si>
  <si>
    <t>The restored train number BM402, consisting of a Billard railcar, owned by Asociación de Amigos del Ferrocarril de Bilbao collided with the buffer stop at the end of the line at Balmaseda Mercancías station. No one was seriously injured.</t>
  </si>
  <si>
    <t>Balmaseda Mercancías station, P.K. 284,050, at 31 León-Bilbao railway line</t>
  </si>
  <si>
    <t>Heritage train of Asociación de Amigos del Ferrocarril de Bilbao</t>
  </si>
  <si>
    <t>Feve</t>
  </si>
  <si>
    <t>The accident was caused as the braking system didn´t work and the train drifted</t>
  </si>
  <si>
    <t>FI-573</t>
  </si>
  <si>
    <t>Level crossing accident, 25/09/2008, Iisalmi, Suurisuo Level Crossing, protected, equipped with half barriers. Kuopio - Kajaani section of line. (Finland)</t>
  </si>
  <si>
    <t>InterCity-Passenger train collided with a car. Car driver and passenger was fatally injured.</t>
  </si>
  <si>
    <t>Iisalmi, Suurisuo Level Crossing, protected, equipped with half barriers. Kuopio - Kajaani section of line.</t>
  </si>
  <si>
    <t>The driver applied the brakes only after the car had driven beneath the lowering barrier and was hit by it, with the result that the car stopped on the track. It is likely that the driver did not notice the level crossing warning signs. Potential contributory factors possible include the sun shining in the driver’s face, a worn windshield, the driver’s impaired eyesight, hearing and alertness.</t>
  </si>
  <si>
    <t>ES-598</t>
  </si>
  <si>
    <t>Accident to persons caused by RS in motion, 28/09/2008, 400 Alcázar de San Juan-Cádiz railway line, at kilometre point 140,750, between San Fernando de Cádiz and Puerto Real flag stops (Cádiz). (Spain)</t>
  </si>
  <si>
    <t>A man was standing close to the track and distractedly throwing stones. The train driver sounded the whistle, but the man didn´t seem to notice that. Despite the driver used the train´s brake, he couln´t avoid the train knocking him down.</t>
  </si>
  <si>
    <t>400 Alcázar de San Juan-Cádiz railway line, at kilometre point 140,750, between San Fernando de Cádiz and Puerto Real flag stops (Cádiz).</t>
  </si>
  <si>
    <t>ES-644</t>
  </si>
  <si>
    <t>Accident to persons caused by RS in motion, 02/10/2008, Viaduct over Esla river (León), kilometre point 53,725 on 31 León-Bilbao railway line. (Spain)</t>
  </si>
  <si>
    <t>A woman, with her back to a coming train and walking within the rail gauge, was knocked down by a passenger train.</t>
  </si>
  <si>
    <t>Viaduct over Esla river (León), kilometre point 53,725 on 31 León-Bilbao railway line.</t>
  </si>
  <si>
    <t>HU-570</t>
  </si>
  <si>
    <t>Trains collision, 06/10/2008, Line 100: Between Pilis and Monor stations, left track, section 441 (Hungary)</t>
  </si>
  <si>
    <t>Train Nr IC560-1 run with 10-15 km/h speed from Pilis station, because the signalling system didn't work properly, signal were darks. The following train Nr 2537 should have ran with 15 km/h, but the train was accelerated to 106 km/h and collided into the rear first class carriage of IC-train with cca 78 km/h.</t>
  </si>
  <si>
    <t>Line 100: Between Pilis and Monor stations, left track, section 441</t>
  </si>
  <si>
    <t xml:space="preserve">MÁV-START Zrt.; 
</t>
  </si>
  <si>
    <t>ES-650</t>
  </si>
  <si>
    <t>Accident to persons caused by RS in motion, 12/10/2008, Pravia station, kilometre point 0,287, 11 Ferrol-Gijón railway line. (Spain)</t>
  </si>
  <si>
    <t>Train LL-902, when moving to form a freight train at Pravia station rail yard, knocked down a man who suddenly crossed behind the locomotive. As a result, he died.</t>
  </si>
  <si>
    <t>Pravia station, kilometre point 0,287, 11 Ferrol-Gijón railway line.</t>
  </si>
  <si>
    <t>ES-599</t>
  </si>
  <si>
    <t>Accident to persons caused by RS in motion, 13/10/2008, La Encina station (Alicante), kilometre point 375,740, 330 La Encina-Alicante railway line. (Spain)</t>
  </si>
  <si>
    <t>A person, as the train was leaving the station, crossed the tracks through an unauthorised place without noticing the approaching train.</t>
  </si>
  <si>
    <t>La Encina station (Alicante), kilometre point 375,740, 330 La Encina-Alicante railway line.</t>
  </si>
  <si>
    <t>ES-655</t>
  </si>
  <si>
    <t>Accident to persons caused by RS in motion, 14/10/2008, Leganés station (Madrid, 500 Madrid-Valencia de Alcántara railway line. (Spain)</t>
  </si>
  <si>
    <t>The train driver noticed something had knocked the train and warned the control centre about the  incidente. The following train, which has been warned by the control centre, confirmed a corpse was by the tracks.</t>
  </si>
  <si>
    <t>Leganés station (Madrid, 500 Madrid-Valencia de Alcántara railway line.</t>
  </si>
  <si>
    <t>ES-600</t>
  </si>
  <si>
    <t>Accident to persons caused by RS in motion, 15/10/2008, El Caleyo flag stop (Oviedo), kilometre point 134,396, 130 Venta de Baños-Gijón railway line (Spain)</t>
  </si>
  <si>
    <t>An old man, walking within the rail gauge, is hit by a commuter train. The train driver sounded the whistle and the man tried to get on the platform but he failed to do so.</t>
  </si>
  <si>
    <t>El Caleyo flag stop (Oviedo), kilometre point 134,396, 130 Venta de Baños-Gijón railway line</t>
  </si>
  <si>
    <t>AT-686</t>
  </si>
  <si>
    <t>Train derailment, 18/10/2008, ÖBB-Strecke 13001 von St. Pölten Hauptbahnhof nach Bahnhof Linz Kleinmünchen, Bahnhof Pöchlarn // ÖBB-Line 13001 from Station St. Pölten Hauptbahnhof to Station Linz Kleinmünchen, Station Pöchlarn (Austria)</t>
  </si>
  <si>
    <t>Am 18. Oktober 2008, um 01:17 Uhr, erfolgte bei der Einfahrt von Z 54091 in den Bf Pöchlarn eine Überpufferung und Entgleisung des 15. bis 17. Wagens im Zugverband (leere zweiachsige Containertragwagen) im Bereich der Weichen 54 und 55. // On 18 October 2008, at 01:17, during the entrance of  train 54091 into the station Pöchlarn an overriding of buffers and derailment of the 15th to 17th Wagon in the train happend (empty two-axeld container-carrying wagons) at switches 54 and 55.</t>
  </si>
  <si>
    <t>ÖBB-Strecke 13001 von St. Pölten Hauptbahnhof nach Bahnhof Linz Kleinmünchen, Bahnhof Pöchlarn // ÖBB-Line 13001 from Station St. Pölten Hauptbahnhof to Station Linz Kleinmünchen, Station Pöchlarn</t>
  </si>
  <si>
    <t>Die Ursache für die Überpufferung und die anschließende Entgleisung beim Befahren des  S-Bogens (Weiche 54 und Weiche 55) durch die hohen Längskräfte waren das abrupte Bremsen von Z 54091 bei einer Geschwindigkeit v ~ 25 km/h und die ungünstige Reihung (unbeladenen zweiachsigen Containertragwagen in der Zugmitte und nachschiebende beladenen Wagen am Zugschluss) bei einer Länge von 709 m (Ansprechzeit der Bremsen am Zugschluss). // The cause of the buffer override and the subsequent derailment , when riding the s-arc (switch 54 and switch 55) by the high axial forces were the abrupt braking of train 54091 at a velocity v ~ 25 km / h and the unfavorable train composition (unloaded two-axle container wagons in the middle of the train and banking of the  loaded wagons at the rear of the train) with a length of the train 709 m (response time of the brakes at the rear of the train).</t>
  </si>
  <si>
    <t>Abruptes Bremsen von Z 54091 bei einer Geschwindigkeit v ~ 25 km/h. // Abrupt braking of train 54091 at a velocity v ~ 25 km / h</t>
  </si>
  <si>
    <t>ES-601</t>
  </si>
  <si>
    <t>Level crossing accident, 18/10/2008, Figueres station (Gerona), level crossing type C, kilometre point 247,215, 270 Barcelona-Cerbere railway line (Spain)</t>
  </si>
  <si>
    <t>An elder man crossed a level crossing (for pedestrians and vehicles)when the barriers were down. Despite he reached the other side, the slipstream created by the train in motion unbalanced the victim making him to fall.The level crossing was working properly.</t>
  </si>
  <si>
    <t>Figueres station (Gerona), level crossing type C, kilometre point 247,215, 270 Barcelona-Cerbere railway line</t>
  </si>
  <si>
    <t>ES-602</t>
  </si>
  <si>
    <t>Level crossing accident, 20/10/2008, Santa María de Huerta station (Soria); level crossing type C (pedestrians and vehicles);kilometre point 191,876; 200 Madrid-Barcelona railway line (Spain)</t>
  </si>
  <si>
    <t>A woman crossed the level crossing when the barriers were down. The crossing was working properly (the barriers were lowered and the flashing lights and warning bell were working).</t>
  </si>
  <si>
    <t>Santa María de Huerta station (Soria); level crossing type C (pedestrians and vehicles);kilometre point 191,876; 200 Madrid-Barcelona railway line</t>
  </si>
  <si>
    <t>FI-654</t>
  </si>
  <si>
    <t>Spad, 20-10-08, Kerava, Helsinki Riihimäki section of line (Finland)</t>
  </si>
  <si>
    <t>On Monday, 20 October 2008, at 4:46pm, an incident occurred in the Kerava railway yard when an H-marked local train en route from Riihimäki to Helsinki passed an entry signal that was in the stop position and forced open the turnout. The main track’s remote control operator noticed the situation on his monitor and radio-commanded the train to stop. The train stopped on the track section after the turnout. A Pendolino train was simultaneously approaching Kerava from the direction of the Kerava–Lahti direct line. This train was behind schedule. The traffic controller had set a route for it to Kerava's track 2. After this, the traffic controller had set a northward route along Kerava’s track 4 for an R-marked local train approaching Kerava from the south.</t>
  </si>
  <si>
    <t>Kerava, Helsinki Riihimäki section of line</t>
  </si>
  <si>
    <t>The cause of the incident was that the H train’s driver did not observe the stop signal, drove past it, and forced open the turnout after it.</t>
  </si>
  <si>
    <t>The engine driver was used to driving the train according to the instructions provided by the automatic train running control (ATC) and to trusting the route monitoring it provided._x000D_
The Kerava signal box is usually in HELKA remote control and the distant signal for H trains on departure from Kyrölä displays a wait/stop aspect. Warning section Er701a (km 33 + 700) connects entry signal E681 of Kerava to proceed aspect, and this inform</t>
  </si>
  <si>
    <t>PL-574</t>
  </si>
  <si>
    <t>Trains collision, 20/10/2008, Line No 139 station: Katowice Ligota km. 6,089 track No 2 (Poland)</t>
  </si>
  <si>
    <t>The long distance train No IC 1403 (destination Warsaw East - Bielsko Biala) operated by PKP Intercity has run into  the regional passenger train No ROPJr7717 operated by PKP Przewozy Regionalne (destination Katowice - Bielsko Biala) standing on the track No 2 of the station Katowice Ligota. The speed of the train No 1403 was 38 km/h, the train No 7717 was standing on the track No 2 with platform. The train No 1403 has entered the station on the substitute signal (white flashing light) permiting to go with max. speed 40 km/h. The initial cause of the accident is human factor - the traffic master of the Katowice Ligota station agreed to enter the train No 1403 into occupied track by the train No 7717 in spite of the fact that the signalization device has shown occupancy of the track No 2 of the station.</t>
  </si>
  <si>
    <t>Line No 139 station: Katowice Ligota km. 6,089 track No 2</t>
  </si>
  <si>
    <t>PKP Przewozy Regionalne Sp. z o. o. (Ltd); 
PKP Intercity S.A.</t>
  </si>
  <si>
    <t>Admittance of the train No. IKSEi 1403 in destination: Warszawa Wschodnia – Bilesko Biala on the track No 2, on the station Katowice Ligota, occupied by the passenger train No ROPJr7717 in destination: Katowice – Bielsko Biala.</t>
  </si>
  <si>
    <t>1. Lack of observation of the train No. No ROPJr7717 and the KL traffic control area of  the main signal box and the lack of observation of the state of railway traffic control devices on the traffic console (Track No. 2 on the console – section occupied by the train was visible).  2. Lack of co-operation between supportive traffic master and the main traffic master during management of traffic of trains No. 7717 and 1403._x000D_
Not specified</t>
  </si>
  <si>
    <t>UK-579</t>
  </si>
  <si>
    <t>Level crossing accident, 21/10/2008, Llanbadarn Level Crossing near Aberystwth (United Kingdom)</t>
  </si>
  <si>
    <t>At approximately 11:25 hrs on Tuesday 21 October 2008 the 08:33 hrs train from Birmingham to Aberystwth ran across Llanbadarn level crossing, near Aberystwth, whilst the barriers of the crossing were raised.  The train was braking heavily, and stopped with its rear end still on the crossing, but a collision with a tanker lorry was only avoided by the actions of a pedestrian and the lorry driver.</t>
  </si>
  <si>
    <t>Llanbadarn Level Crossing near Aberystwth</t>
  </si>
  <si>
    <t>The immediate cause of the incident was that the driver of the train 1J11 did not brake his train sufficiently early to stop before the crossing despite a flashing red aspect indicating that the crossing had not operated on the approach of his train (paragraph 115, Recommendation 1).</t>
  </si>
  <si>
    <t>Causal factors were that the driver of train 1J11 did not apply the brakes of the train until 9.7 seconds after the train had passed the special speed restriction board (paragraph 117). The driver anticipated that the driver’s crossing indicator would change from a flashing red aspect to a flashing white aspect after he had passed the special speed restriction board (paragraph 119). Possible causal factors were: the driver may have been fatigued, and distracted by the presence of two other drivers in the cab with him (paragraph 121). The existence of other ABCL crossings on the same route at which the flashing red aspect is normally displayed to the driver after his cab has passed the special speed restriction board.  This may have conditioned the driver to expect the flashing red aspect to continue to be displayed after he had passed the special speed restriction board on the approach to Llanbadarn crossing (paragraph 122, Recommendation 2). A possible contributory factor was the lack of explicit guidance to drivers about when to decide to apply brakes in module TW8 of the Rule Book (paragraph 124, Recommendations 3 and 4).</t>
  </si>
  <si>
    <t>AT-679</t>
  </si>
  <si>
    <t>Train derailment, 22/10/2008, Wien Zentralverschiebebahnhof (Austria)</t>
  </si>
  <si>
    <t>Bei der signalmäßig tauglich eingestellten Zugstrasse (Einfahrt in den Bf Wien Zvbf) von Gleis 007 der Strecke 13301 nach Gl 502 der Strecke 11801 entgleiste in einem Rechtsbo-gen (Radius 226m) der 13. Wg. (Gattung: Fals, 4 achsiger Drehgestellwagen, beladen mit Eisen) mit beiden Drehgestellen in Fahrtrichtung nach links. Ursache: Einseitige Beladung im Zusammenhang mit engem Bogenradius (223m) und einem Langsamfahren mit Vmax 30km/h und Abbremsung durch das Tfz alleine. // In signal-moderated train path (entrance to the Vienna Zvbf station) from track 007 of line 13301 to track 502 of line 11801, on the right arch (226m radius) the 13th wagon (genre: Fals, 4 axle bogie wagons, laden with iron) derailed with two bogies to the left direction. Cause:  One-sided loading associated with a narrow curve radius (223m) and a slow driving with speed  of 30km/h and braking by the traction unit alone.</t>
  </si>
  <si>
    <t>Wien Zentralverschiebebahnhof</t>
  </si>
  <si>
    <t>Einseitige Beladung // One-sided loading associated with a narrow curve radius (223m) and a slow driving with speed of 30km/h and a slow driving speed of 30km/h and braking by the traction unti alone.</t>
  </si>
  <si>
    <t>Langsamfahren mit 30 km/h im Zusammenhang mit engem Bogenradius (223 m) und Abbremsung durch das Tfz alleine. // Slow driving with speed of 30 km/h associated with a narrow curve radius (223 m) and braking only by the locomotive.</t>
  </si>
  <si>
    <t>ES-670</t>
  </si>
  <si>
    <t>Spad, 23/10/2008, Villalba de Guadarrama (Madrid) station, at kilometre point 38,748, on 100 Madrid-Hendaya railway line. (Spain)</t>
  </si>
  <si>
    <t>A freight train failed to stop at the station signal, after it had passed at the station advance signal which stated a stop aspect for the upcoming signal. This incident didn´t cause any accident or damage. The train, which was used for drivers training, was stopped by ASFA system (brake system) after the train driver (on training) failed to use the brake properly.</t>
  </si>
  <si>
    <t>Villalba de Guadarrama (Madrid) station, at kilometre point 38,748, on 100 Madrid-Hendaya railway line.</t>
  </si>
  <si>
    <t>ES-788</t>
  </si>
  <si>
    <t>Train derailment, 24/10/2008, Moncófar station (Castellón), kilometre point 48,748, on 600 Valencia Estación del Nord - San Vicente de Calders railway line. (Spain)</t>
  </si>
  <si>
    <t>The freight train derailed at the exit station´s railroad switch. As a result, the locomotive and 6 of the 15 wagons that made the train were derailed. The driver was slightly injured.</t>
  </si>
  <si>
    <t>Moncófar station (Castellón), kilometre point 48,748, on 600 Valencia Estación del Nord - San Vicente de Calders railway line.</t>
  </si>
  <si>
    <t>The derailment was caused by the breakage of the left wheel of the third axel placed at the second bogie of the locomotive.</t>
  </si>
  <si>
    <t>BE-584</t>
  </si>
  <si>
    <t>Accident to persons caused by RS in motion, 25-10-08, Walcourt (Belgium)</t>
  </si>
  <si>
    <t>A maintenance train was stationed on track B.  This track was out of service for maintenance that was to start up. A worker of the maintenance team of Infrabel who stepped from the maintenance train was hit by a passenger train on the opposite track A. The passenger train was not announced. The warning system was not yet in function.</t>
  </si>
  <si>
    <t>Walcourt</t>
  </si>
  <si>
    <t>La cause primaire est la présence de la victime dans l’entrevoie alors que le dispositif de protection n’avait pas encore été établi._x000D_
A ce moment, l’équipe de protection composée de factionnaires n’était pas encore arrivée sur place. Le dispositif de protection ne pouvait donc être appliqué. 
The primary cause is the presence of the victim in the tracks while the guard had not yet been established._x000D_
At this time, the protection team had not yet arrived. The protective device could not be applied.</t>
  </si>
  <si>
    <t>AT-682</t>
  </si>
  <si>
    <t>Train derailment, 31/10/2008, Station Gummern, ÖBB Line 22201 (Austria)</t>
  </si>
  <si>
    <t>On 31 October 2008 at 22:16, on the open line between Gummern 2 and Station Gummern at km 168.434 the 8th freightcar (Nr 25 80 429 3 763-5) of train 45818 derailed with one axle. The freightcar drove derailed for approximately 3.8 kilometers further in direction to Gummern and derailed at the entrance of the railway station with all axes. Thereby are the next car in front and the next three cars behind also derailed. From the accident resulted very high damage to property. The cause of derailing was a break of the suspension spring on freightcar Nr 25 80 429 3 763-5.</t>
  </si>
  <si>
    <t>Station Gummern, ÖBB Line 22201</t>
  </si>
  <si>
    <t>Bruch einer Tragfeder des Radsatzes in der Fahrzeugmitte des 8. Wagens (Gelenkwagen mit 3 Radsaätzen). Die Bruchstellen des Hauptfederblattes und des ersten Zwischenblattes befanden sich innerhalb des Federbundes. Der Federbund wird durch die Abstützung des Überfahrtbleches zusätzlich belastet. /  Breaking of a suspension spring of the wheelset in the center of the vehicle of the 8th wagon (articulated coach with 3 wheelsets). The breaking point of the main leaf and the first intermediate leaf are situated in a spring band. The spring band is burdened further by the support of the traverse plate.</t>
  </si>
  <si>
    <t>ES-603</t>
  </si>
  <si>
    <t>Accident to persons caused by RS in motion, 02/11/2008, Hostalric flag stop (Barcelona), kilometre point 171,000, 270 Barcelona-Cerbere railway line (Spain)</t>
  </si>
  <si>
    <t>A person is knocked down by a sleeping car train when crossing by a board crossing. Despite the train driver sounded the train whistle and used the emergency brake, the accident couldn´t be avoided.</t>
  </si>
  <si>
    <t>Hostalric flag stop (Barcelona), kilometre point 171,000, 270 Barcelona-Cerbere railway line</t>
  </si>
  <si>
    <t>ES-604</t>
  </si>
  <si>
    <t>Accident to persons caused by RS in motion, 03/11/2008, Cardedeu station (Barcelona); kilometre point 143,270; 270 Barcelona-Cerbere railway line (Spain)</t>
  </si>
  <si>
    <t>A person crossed the tracks, at an unauthorised place in front of the passenger premises, while a train was approaching.</t>
  </si>
  <si>
    <t>Cardedeu station (Barcelona); kilometre point 143,270; 270 Barcelona-Cerbere railway line</t>
  </si>
  <si>
    <t>UK-622</t>
  </si>
  <si>
    <t>Level crossing accident, 03/11/2008, Wraysholme, near Flookburgh, Cumbria (United Kingdom)</t>
  </si>
  <si>
    <t>The accident occurred at 12:30 hrs when Northern train 2C34, the 09:27 hrs Carlisle to Lancaster service, collided with a car on an automatic open locally monitored (AOCL) type of level crossing located between Kents Bank and Cark and Cartmel on Network Rail's Cumbria Coast line. The car driver was killed as a result of this collision.</t>
  </si>
  <si>
    <t>Wraysholme, near Flookburgh, Cumbria</t>
  </si>
  <si>
    <t>Northern Rail Limited</t>
  </si>
  <si>
    <t>The immediate cause of the accident was that the car was driven onto the track as the train approached the crossing (paragraph 68).</t>
  </si>
  <si>
    <t>The driver did not see the red lights show (paragraph 84 and Recommendation 1). Feasible explanations for this were the effects of sunlight, signal misalignment and signal performance. *The driver saw the red lights show, but did not understand the instruction to stop.  Feasible explanations for this include the large number of rules within the Highway Code compared with one rule relating to the road traffic signals at level crossings and drivers not understanding these signals (paragraph 94). *	The driver saw the red lights show, but ignored their instruction to stop.  Feasible explanations for this include not discerning the lights until close to the crossing, becoming accustomed to driving over the crossing without stopping, being under the influence of alcohol and being under time pressure (paragraph 99). *An underlying factor was that Network Rail and its predecessors had not upgraded Wraysholme to comply with level crossing requirements and recommendations (paragraph 110 and Recommendation 2).</t>
  </si>
  <si>
    <t>DE-578</t>
  </si>
  <si>
    <t>Trains collision, 05-11-08, Dillenburg (Germany)</t>
  </si>
  <si>
    <t>Am 05.11.2008 gegen 00:21 Uhr kollidierte der nach Gleis 131 in den Bf Dillenburg einfahrende Güterzug CR 64218 auf der Weiche (W) 434 mit den letzten Wagen des im Gleis 132 stehenden Güterzugs CSQ 60046. 
On 05. 11. 2008 around 00:21 the freight train CR 64218 entering the Dillenburg station after track 131 collided on the switch (W) 434 with the last wagons of the freight train CSQ 60046 standing in track 132.</t>
  </si>
  <si>
    <t>Dillenburg</t>
  </si>
  <si>
    <t>RBH Logistics GmbH; 
DB Schenker Rail Deutschland AG</t>
  </si>
  <si>
    <t>Die Zugkollision wurde durch einen Arbeitsfehler im Rahmen der Fahrwegprüfung verursacht. Die Einfahrt des CR 64218 wurde zugelassen, obwohl der Einfahrweg nicht durchgehend frei von Fahrzeugen war. Zuvor löste die Weichenwärterin (Ww) im Wärterstellwerk Ds des Bf Dillenburg die Fahrstraße nach der Einfahrt des CSQ 60046 auf, obwohl dieser Zug die Fahrstraßenzugschlussstelle noch nicht vollständig geräumt hatte. 
The train collision was caused by an operational error during the track test. The entry of the CR 64218 was allowed, although the entry path was not continuously free of vehicles. Previously, the point keeper (Ww) in the Ds signal box of the Dillenburg station closed the track after the CSQ 60046 had entered, although this train had not yet completely cleared the track closure point.</t>
  </si>
  <si>
    <t>ES-605</t>
  </si>
  <si>
    <t>Accident to persons caused by RS in motion, 08/11/2008, Tudela de Navarra station (Navarra), kilometre point 77,050, 700 Casetas-Intermodal Abando Indalecio Prieto (Spain)</t>
  </si>
  <si>
    <t>A person, using headphones, walking by the tracks is hit by a train. When the victim realized train was coming it was too late for him to walk out the tracks.</t>
  </si>
  <si>
    <t>Tudela de Navarra station (Navarra), kilometre point 77,050, 700 Casetas-Intermodal Abando Indalecio Prieto</t>
  </si>
  <si>
    <t>ES-606</t>
  </si>
  <si>
    <t>Level crossing accident, 09/11/2008, Level crossing, type A, at kilometre point 226,669 (Ciudad Real), 400 Alcázar de San Juan-Cádiz railway line (Spain)</t>
  </si>
  <si>
    <t>A car is knocked down by a train when crossing through the level crossing without noticing the train was approaching. As a result, the car driver was dead. The train driver, who had seen the car coming up to the LC, sounded the train whistle for warning the car driver who failed to stop.</t>
  </si>
  <si>
    <t>Level crossing, type A, at kilometre point 226,669 (Ciudad Real), 400 Alcázar de San Juan-Cádiz railway line</t>
  </si>
  <si>
    <t>CZ-612</t>
  </si>
  <si>
    <t>Trains collision, 10/11/2008, Open line between Hlinsko v Cechach and Zdirec nad Doubravou stations (Czech Republic)</t>
  </si>
  <si>
    <t>Collision of passenger train No. 5307 with shunting movement (freight); 4 passengers seriously injured, 6 passengers and 1 member of staff slightly injured</t>
  </si>
  <si>
    <t>Open line between Hlinsko v Cechach and Zdirec nad Doubravou stations</t>
  </si>
  <si>
    <t>Human factor</t>
  </si>
  <si>
    <t>ES-607</t>
  </si>
  <si>
    <t>Level crossing accident, 10/11/2008, Level crossing type C, kilometre point 2,455 (Lugo); 800 La Coruña-León railway line (Spain)</t>
  </si>
  <si>
    <t>A person didn´t pay attention to the warning devices which were indicating that he was not allow to cross the LC.</t>
  </si>
  <si>
    <t>Level crossing type C, kilometre point 2,455 (Lugo); 800 La Coruña-León railway line</t>
  </si>
  <si>
    <t>ES-651</t>
  </si>
  <si>
    <t>Spad, 10/11/2008, El Entrego station, kilometre point 41,094, 61 Gijón-Laviana railway line. (Spain)</t>
  </si>
  <si>
    <t>A passenger train failed to stop before leaving the station while another passenger train was in the same track section. Fortunately, the ASFA system worked and made the train to stop avoiding the likely collision.</t>
  </si>
  <si>
    <t>El Entrego station, kilometre point 41,094, 61 Gijón-Laviana railway line.</t>
  </si>
  <si>
    <t>The incident was caused when the train 4918 driver overtook the station exit signal, which had the stop indication (red), and he didn´t stop the train as it is established in the General Operating Rules of Feve.</t>
  </si>
  <si>
    <t>UK-623</t>
  </si>
  <si>
    <t>Train derailment, 10/11/2008, East Somerset junction (United Kingdom)</t>
  </si>
  <si>
    <t>The accident occurred at 02:33 hrs when the two locomotives hauling the delayed 22:31 hrs (9 November) service from Merehead Quarry in Somerset to Acton Yard in west London derailed at low speed on trap points as the train approached the main line at East Somerset Junction. The train was operated by English Welsh &amp; Scottish (EWS) Railway Ltd. There were no injuries arising from the derailment.</t>
  </si>
  <si>
    <t>East Somerset junction</t>
  </si>
  <si>
    <t>The immediate cause of the accident was that the signaller did not operate 943 points to the correct position for the safe movement of train 7A91 (paragraph 142).</t>
  </si>
  <si>
    <t>Causal factors were: a.the failure of the signalling equipment on the Merehead branch (paragraph 143, no recommendation is made); b. the lack of a method over and above use of the route-setting card for helping the signaller to ensure that he had taken the correct actions in manually setting the route for train 7A91 at the time that pilot working was introduced (paragraph 149, Recommendation 1); and c. the signaller did not refer to his route-setting cards when setting a route for train 7A91 from signal W275 to signal W77 (paragraph 150, no recommendation is made). It is probable that the signaller’s actions were affected by fatigue, as a result of the number of hours and the nature of the shifts that he had worked in the period leading up to the accident.  If this was the case, fatigue was a causal factor (paragraph 157, Recommendation 2). Underlying causes were: a. the amended roster worked by the signaller was not subject to assessment using the Fatigue and Risk Index (paragraph 159, Recommendation 3); b. Network Rail’s focus on a small number of working time limits as the principal mandated means for combating fatigue (paragraph 164, Recommendation 4); c. the absence of a suitable framework of controls to manage fatigue for safety-critical staff working within Network Rail (paragraph 171, Recommendation 5); d. the absence of a human factors representative on Network Rail’s Recommendations Review Panels (paragraph 175, Recommendation 6); and e.Network Rail did not have a formal monitoring system in place to identify recurring themes in accident and incident causation or the effectiveness of responses to previous relevant recommendations (paragraph 176, Recommendation 7).</t>
  </si>
  <si>
    <t>BE-629</t>
  </si>
  <si>
    <t>Trains collision, 14-11-08, Diegem (Belgium)</t>
  </si>
  <si>
    <t>An infrastructure works train came back from repairing a overhead line. The train driver thought that the railway line was still over the whole distance out of service. He passed also a signal at danger in the belief that he had not to respect it._x000D_
The infrastructure works train came in lateral collision with a passenger train. This train rode in the opposite way on the bifurcation between the main line and the connecting line.</t>
  </si>
  <si>
    <t>Diegem</t>
  </si>
  <si>
    <t xml:space="preserve">Société nationale des Chemins de fer belges; 
</t>
  </si>
  <si>
    <t>miszending van een trein 
wrong shipment of a train</t>
  </si>
  <si>
    <t xml:space="preserve">onduidelijke communicatie 
</t>
  </si>
  <si>
    <t>DE-592</t>
  </si>
  <si>
    <t>Train derailment, 22-11-08, Nienberge - Altenberge (Germany)</t>
  </si>
  <si>
    <t>Am 22.11.2008 entgleiste um 03:54 Uhr die Sperrfahrt 92628, bestehend aus einem Zweiwegebagger und einem geschobenen zweiachsigen Materialwagen, auf der freien Strecke zwischen dem Haltepunkt Nienberge (heute Münster-Häger) und Altenberge. 
On 22.11.2008 at 03:54, the barrage 92628 was released, consisting of a two-way dredger and a pushed two-axle equipment wagon, on the open line between the Nienberge stop (now Münster-Häger) and Altenberge.</t>
  </si>
  <si>
    <t>Nienberge - Altenberge</t>
  </si>
  <si>
    <t>Mansfelder Bergwerksbahn e.V.</t>
  </si>
  <si>
    <t>Die Entgleisung wurde durch eine unbeabsichtigte Bewegung des Baggerauslegers während der Fahrt verursacht. 
Derailment was caused by an inadvertent movement of the excavator during the journey.</t>
  </si>
  <si>
    <t>ES-608</t>
  </si>
  <si>
    <t>Accident to persons caused by RS in motion, 22/11/2008, Kilometre point 104,500; 122 Ávila-Salamanca railway line (Spain)</t>
  </si>
  <si>
    <t>A quad bike riding within the rail gauge is hit by a train. Despite the train driver sounded the whistle, the biker failed to take him to one side.</t>
  </si>
  <si>
    <t>Kilometre point 104,500; 122 Ávila-Salamanca railway line</t>
  </si>
  <si>
    <t>ES-609</t>
  </si>
  <si>
    <t>Accident to persons caused by RS in motion, 22/11/2008, Alcalá de Henares station (Madrid); kilometre point 32,800; 200 Madrid-Barcelona railway line (Spain)</t>
  </si>
  <si>
    <t>A group of youngsters were staying close to the tracks, when a train knocked one of them down. As a result, the youngster died. In the vicinity there is a park where the young people gather.</t>
  </si>
  <si>
    <t>Alcalá de Henares station (Madrid); kilometre point 32,800; 200 Madrid-Barcelona railway line</t>
  </si>
  <si>
    <t>The fence separating the park and the tracks had been broken and been used as a faulty path</t>
  </si>
  <si>
    <t>NL-999</t>
  </si>
  <si>
    <t>Train derailment, 22/11/2008, Amsterdam Muiderpoort (The Netherlands)</t>
  </si>
  <si>
    <t>On November 2008 a goods train derailed at Amsterdam-Muiderpoort station. The train, comprised of an electric locomotive and twenty-five wagons loaded with chalk/quicklime, was on its way from Belgium to the steelworks in Beverwijk, the Netherlands. The train derailed at the moment that it was passing the Amsterdam-Muiderpoort emplacement. In the first instance the derailment was restricted to the front wheel set of the eleventh wagon. However, an escalation occurred about five hundred metres further on, when the other three wheel sets of this wagon derailed. This occurred as the wagon passed over a set of points. The eight following wagons then also derailed. Some of the derailed wagons came to rest on the adjacent track and four of the wagons fell on their side.</t>
  </si>
  <si>
    <t>Amsterdam Muiderpoort</t>
  </si>
  <si>
    <t>The derailment at Amsterdam-Muiderpoort was caused by the breakage of an axle journal on one of the wagons due to an overheating axle box. The overheating of the axle box was caused by the seizure of one of the bearings. The Board was unable to determine the definitive cause of the seizure of the bearing due to the damage to the bearing. However, it is clear that the overheating of the axle box began on the failure of the bearing cage. No indications were found for external factors (such as faulty lubrication, incorrect lubrication, or fastening bolts that had become loose).</t>
  </si>
  <si>
    <t>UK-616</t>
  </si>
  <si>
    <t>Level crossing accident, 22/11/2008, Bayles and Wylies footpath crossing, Bestwood Park, Nottingham (United Kingdom)</t>
  </si>
  <si>
    <t>The accident occurred at 18:40 hrs when the 17:45 hrs East Midlands Trains service from Worksop to Nottingham struck and killed a woman and a child on the level crossing.</t>
  </si>
  <si>
    <t>Bayles and Wylies footpath crossing, Bestwood Park, Nottingham</t>
  </si>
  <si>
    <t>The immediate cause of the accident was the pedestrians being unaware of the oncoming train as they crossed in front of it (paragraph 52).</t>
  </si>
  <si>
    <t>A possible causal factor was the grandmother did not look to see if a train was approaching (paragraph 63).  The following are feasible explanations of why this was: she was unlikely to have previously experienced a train and a tram arriving simultaneously (paragraph 71, Recommendation 1); and this was because there was no indication to a pedestrian to warn of the possibility of a train and a tram arriving at the same time (paragraph 72, Recommendation 1). A possible causal factor was the grandmother did look to see if a train was approaching from the north, but did not register the presence of train 2D22 (paragraph 73).  The following are feasible explanations of why this was: the grandmother took her decision to cross at the east gate, which was not the optimal decision point for the Robin Hood line (paragraph 74 and 171, No recommendation); this was because there was no indication to a pedestrian that the Calverton line was out of use (paragraph 76 and 171, No recommendation); the night-time headlight of train 2D22 was relatively dim in comparison with those of tram 205 (paragraphs 81 and 176, No recommendation); the luminous intensity of the train’s night-time headlight was below that required at the time of its construction, and also below that of modern standards (paragraphs 83, 84 and 176, Recommendation 7); there is no requirement to test or measure headlight luminous intensity in service (paragraph 83, Recommendation 7); the interior lights of the tram and the angle that it presented to the pedestrians may have made it more difficult to see train 2D22 (paragraph 82 and 176, No recommendation); the pedestrians may not have heard the various audible prompts, including the very short sounding of train 2D22’s horn twelve seconds before the accident, from the approaching train due to the background noise and the noise of the tram (paragraphs 86 and 93, Recommendation 4); drivers have tended to reduce the duration of sounding their horns. As the RSSB’s train horns steering group regularly reviews such incidents and the RSSB has stated that it will consider this incident as part of its ongoing reviews, no recommendation is made (paragraph 91, No recommendation); and if the grandmother did hear the horn twelve seconds before the accident she may have associated it with the tram rather than train 2D22 (paragraph 94, No recommendation). 168	A causal factor was that the grandmother, having decided to cross the line, did not realise that the train was approaching until it was too late to take action (paragraph 97).  The following are feasible explanations of why this was: she may not have checked for approaching traffic after deciding to cross the line (paragraph 99, No recommendation); or she would not have heard the train between the first sounding of the horn twelve seconds before the accident, and the second sounding of it, two seconds before the accident (paragraph 101, No recommendation); or she may have been focussed on the approaching tram, the crossing surface or the changes of direction of the crossing, preventing her from looking towards the approaching train (paragraphs 105, 106, 109, 110 and 171, No recommendation); the angle in the crossing deck turned her body away from the approaching train, reducing the likelihood that she would see it (paragraphs 112, 118 and 171, No recommendation); the train driver (who was not required to look out for pedestrians) did not see the pedestrians sufficiently early to allow him to sound a warning in time for them to react (paragraph 59, No recommendation); the train driver’s attention was on the west side of the crossing because of the tram ahead of him (paragraph 59, No recommendation); and the pedestrians were wearing dark clothes (paragraph 59, No recommendation). The underlying causes were: ? Network Rail’s subsequent inspections, or processes did not identify that the decision point could be moved closer to the Robin Hood line after the closure of the Calverton branch in 2007, when it could have been (paragraph 113 and 171, Recommendation 5); ? the lack of consideration of the effects of illumination of the crossing from the footpath (paragraph 123, Recommendation 2); ? no-one considering the risk to pedestrians crossing the railway from hazards presented by tram operations, or vice versa (paragraph 130, Recommendation 1 and 8); ? Network Rail not appreciating that crossings in darkness present different risks to users (paragraph 152, Recommendation 4); and ? issues identified from previous accident investigations still being present at Bayles and Wylies crossing (paragraphs 161 and 177).</t>
  </si>
  <si>
    <t>CZ-620</t>
  </si>
  <si>
    <t>Level crossing accident, 23/11/2008, Passive level crossing (traffic sign only) between Horni Lipova and Ramzova stations, km 20,285 (Czech Republic)</t>
  </si>
  <si>
    <t>Regional passenger train No. 3610 collided with a trailer towed by a passenger car at level crossing</t>
  </si>
  <si>
    <t>Passive level crossing (traffic sign only) between Horni Lipova and Ramzova stations, km 20,285</t>
  </si>
  <si>
    <t>DE-591</t>
  </si>
  <si>
    <t>Trains collision, 25/11/2008, Bahnhof Recklinghausen Ost (Germany)</t>
  </si>
  <si>
    <t>Güterzug 66401 prallte im Bahnhof Recklinghausen Ost mit ca. 90 km/h auf ein im Fahrweg stehendes Triebfahrzeug. 
In the railway station Recklinghausen Ost, freight train 66401 collided with a locomotive standing on the track with a speed of approx. 90 km/h.</t>
  </si>
  <si>
    <t>Bahnhof Recklinghausen Ost</t>
  </si>
  <si>
    <t>Locomotive running solo; 
Freight train</t>
  </si>
  <si>
    <t>ES-652</t>
  </si>
  <si>
    <t>Accident to persons caused by RS in motion, 26/11/2008, Open line, kilometre point 70,200, between Ribaforada and Tudela de Navarra stations. 700 Casetas-Intermodal Abando Indalecio Prieto railway line. (Spain)</t>
  </si>
  <si>
    <t>A shepherd who was trying to get his flock out of the tracks, with his back to the train was hit by the train. The driver who used the whistle and the brake couldn´t avoid killing them (the shepherd and about 100 sheep).</t>
  </si>
  <si>
    <t>Open line, kilometre point 70,200, between Ribaforada and Tudela de Navarra stations. 700 Casetas-Intermodal Abando Indalecio Prieto railway line.</t>
  </si>
  <si>
    <t>ES-653</t>
  </si>
  <si>
    <t>Accident to persons caused by RS in motion, 29/11/2008, Tembleque station, kilometre point 101,270, 300 Madrid Chamartín - Valencia Nord railway line (Spain)</t>
  </si>
  <si>
    <t>A workman who was part of a track dismantling group is knocked down by a freight train when suddenly appeared from between the ballast-removing machinery that were working aside.</t>
  </si>
  <si>
    <t>Tembleque station, kilometre point 101,270, 300 Madrid Chamartín - Valencia Nord railway line</t>
  </si>
  <si>
    <t>CONTINENTAL RAIL</t>
  </si>
  <si>
    <t>IE-619</t>
  </si>
  <si>
    <t>Level crossing accident, 02/12/2008, Level Crossing XH 066 Bridgetown, Co Wexford (Ireland)</t>
  </si>
  <si>
    <t>Ballast train struck and damaged level crosing gates</t>
  </si>
  <si>
    <t>Level Crossing XH 066 Bridgetown, Co Wexford</t>
  </si>
  <si>
    <t>EE-627</t>
  </si>
  <si>
    <t>Train derailment, 04/12/2008, Open line between Rakvere and Kunda stations (7 km 5 picket) (Estonia)</t>
  </si>
  <si>
    <t>6 wagons derailed, the rail was broken and sleepers fractured.</t>
  </si>
  <si>
    <t>Open line between Rakvere and Kunda stations (7 km 5 picket)</t>
  </si>
  <si>
    <t>Kunda Trans AS</t>
  </si>
  <si>
    <t>Road bed sinking under the railway superstructure, induced by the excessive moisture in the swamp during autumn rain period, and the fact that the freight train ran on the insuffiently maintained embankment at the speed of 38 km/h instead of the allowed limit of 25 km/h, so that the vibrations generated by the train impelled soil under rail track to move.</t>
  </si>
  <si>
    <t>The train ran at the speed 38 km/h instead of allowed limit 25 km/h.</t>
  </si>
  <si>
    <t>UK-626</t>
  </si>
  <si>
    <t>Accident to persons caused by RS in motion, 07/12/2008, North of Stevenage station, on East Coast Main line. (United Kingdom)</t>
  </si>
  <si>
    <t>A track worker was struck and seriously injured by a train as it passed a work site located to the north of Stevenage station on the East Coast Main Line. _x000D_
The injured worker had been carrying out work within a engineering possession in connection with the renewal of the up fast line.  At about 17:30 hrs he was struck by a train passing on an adjacent line that was still open to traffic for trains travelling at reduced speed.</t>
  </si>
  <si>
    <t>North of Stevenage station, on East Coast Main line.</t>
  </si>
  <si>
    <t>The immediate cause of the accident was trackworker A moving out of the position of safety to a point where he could come in contact with the train (paragraph 93).</t>
  </si>
  <si>
    <t>Causal factors were that: a. no fence or Site Warden was provided at the edge of the Separated Green Zone despite staff being required to work less than 3 metres from the up slow line (paragraphs 103 and 106, Recommendations 1 and 4, action taken paragraph 127). b The planning process was insufficiently detailed to identify all the hazards and adequate Safe Systems of Work. No details of the operation of the Trac Rail Transposers, or the requirement for a Site Warden, were given on the Task Briefing Sheet or COSS Forms (paragraphs 108, 112 and 117, Recommendations 1 and 2). C When the Trac Rail Transposers started working the system of work established by the COSS became unsuitable and was not adapted (paragraph 122, Recommendations 1, 2 and 3).d. 	Staff involved in the accident had not received instruction in working in the proximity of Trac Rail Transposers (paragraph 117, Recommendation 2). e. 	There was insufficient liaison between the Engineering Supervisor and the COSS whose team was working in the area to be occupied by the Trac Rail Transposer (paragraph 119, Recommendation 3). f Trackworker A was unaware that the Trac Rail Transposers had stopped working for the passage of the train (paragraph 114, Recommendation 2). g 	The site lighting was obscured by the passing train so that trackworker A could not see the position of the rail being moved by the Trac Rail Transposers (paragraph 113, Recommendation 5). h	Jarvis did not request the provision of a Site Warden when requesting manpower from Infra Safety Services Labour (paragraph 108, Recommendation 1). A contributory factor was that Jarvis did not indicate to Infra Safety Services Labour that the site would not be fully lit during the passage of a train on the up slow line and therefore Infra Safety Services Labour did not provide their staff with hat lamps (paragraph 116, Recommendation 5).</t>
  </si>
  <si>
    <t>CZ-634</t>
  </si>
  <si>
    <t>Level crossing accident, 12/12/2008, Active level crossing (equipped with warning lights), km 343.109, between Lysa nad Labem-Dvorce and Otradovice stations (Czech Republic)</t>
  </si>
  <si>
    <t>Regional passenger train No. 6409 collided with a passenger car at level crossing. The passenger car was pushed by the train and remained within clearance gauge. 14 minutes later freight train No. 65401 collided with this car.</t>
  </si>
  <si>
    <t>Active level crossing (equipped with warning lights), km 343.109, between Lysa nad Labem-Dvorce and Otradovice stations</t>
  </si>
  <si>
    <t>Ceske drahy a. s.; 
CD Cargo</t>
  </si>
  <si>
    <t>ES-671</t>
  </si>
  <si>
    <t>Level crossing accident, 13/12/2008, Calella station (Barcelona), at level crossing type C, kilometre point 48,542, on 276 Maçanet-Massanes-Barcelona-Sagrera railway line. (Spain)</t>
  </si>
  <si>
    <t>A commuter train knocked down a man who crossed the level crossing when the barriers were down and the light and sound signals were working.</t>
  </si>
  <si>
    <t>Calella station (Barcelona), at level crossing type C, kilometre point 48,542, on 276 Maçanet-Massanes-Barcelona-Sagrera railway line.</t>
  </si>
  <si>
    <t>ES-672</t>
  </si>
  <si>
    <t>Accident to persons caused by RS in motion, 13/12/2008, Open line, at kilometre point 494,315, between Vitoria y Alegría de Álava stations, on 100 Hendaya - Madrid railway line. (Spain)</t>
  </si>
  <si>
    <t>A man, with his back to a coming train and walking within the rail gauge, was knocked down by a freight train.</t>
  </si>
  <si>
    <t>Open line, at kilometre point 494,315, between Vitoria y Alegría de Álava stations, on 100 Hendaya - Madrid railway line.</t>
  </si>
  <si>
    <t>RO-624</t>
  </si>
  <si>
    <t>Wrong-side signalling failure, 16/12/2008, Basarabi station belongs to Constanta Railway County, on the south-est of the romanian railway network, 18 km. west from Constanta (Romania)</t>
  </si>
  <si>
    <t>The regional passenger train no. 8205 stopped over point no. 9 in diverging position with access to line 1 occupied with regional passenger train no. 8018.</t>
  </si>
  <si>
    <t>Basarabi station belongs to Constanta Railway County, on the south-est of the romanian railway network, 18 km. west from Constanta</t>
  </si>
  <si>
    <t>The direct cause of the railway incident is the  wrong answer of the interlocking system type CR2, adjusted for the point machines type L 700H, that consisted in getting the electric control and the signal on the track diagram of the coupled switch no. 9/15 on the position “direct” when the switch no. 9 was on wrong position with access on the deflecting section 1.</t>
  </si>
  <si>
    <t>Underlying causes of the railway incident that led to the wrong answer of the interlocking system type CR2, adjusted for the point machine type L 700H are: •	Existence of a short circuit in the control scheme of the switch no. 9, situated between the control electromagnetic relays of the position of the switch no. 9 and the coupling B of the switch group, manufactured in Germany, following the wrong performance of the fitting works; •	Loss of the control of the switch 9/15 after passing the passenger train no.1821-2 on the direct line (before giving the entry order for the passenger train no. 8205); •One pressing of the operation button of the coupled switch 9/15, without operating the lever that was on “plus” position._x000D_
1.Lack of homologation/certification of the interlocking system type CR2, adjusted for the point machine type L 700H and its acceptance in operation by the representative of the railway infrastructure administrator, without the preliminary authorization</t>
  </si>
  <si>
    <t>CZ-635</t>
  </si>
  <si>
    <t>Level crossing accident, 17/12/2008, Passive level crossing (traffic signs only), km 4.981 between Opava Vychod and Hradec nad Moravici Stations (Czech Republic)</t>
  </si>
  <si>
    <t>Regional passenger train No. 23475 collided with a lorry at level crossing. 3 serious and 10 light injuries.</t>
  </si>
  <si>
    <t>Passive level crossing (traffic signs only), km 4.981 between Opava Vychod and Hradec nad Moravici Stations</t>
  </si>
  <si>
    <t>UK-640</t>
  </si>
  <si>
    <t>Trains collision with an obstacle, 18/12/2008, North Rode on West Coast Main Line between Congleton and Macclesfield. (United Kingdom)</t>
  </si>
  <si>
    <t>At 17:58 hrs on 18 December 2008, a four-wheel-drive car rolled from its intended parking position in a depot, through a wire-link fence, down a railway cutting slope and onto the up line at North Rode, on the West Coast Main Line between Congleton and Macclesfield. Train 2K14, a three-car class 323 electric multiple unit travelling at 90 mph (145 km/h), struck it and pushed it along the track in the direction of Congleton. _x000D_
After 34 metres, the car-train combination encountered a road-rail access point (a form of level crossing used by plant to access the infrastructure for maintenance) which caused the train to become derailed towards the cutting slope and the car to be ejected towards the other line. The Class 323 travelled a further 328 metres in a derailed state, demolishing a signal on the way, before stopping. The Class 323 remained upright and in-line during its deceleration and no part of it obstructed the other running line._x000D_
_x000D_
As the Class 323 train stopped it was passed by train 1M53, a Class 221 Super Voyager diesel-electric multiple unit, travelling at 105 mph (169 km/h) on the down line. The Class 221 did not hit the Class 323, but struck the remains of the car and one rubber block that had been dislodged previously from the road-rail access point by the car and the Class 323. The Class 221 did not derail, and, after an emergency brake application, came to a stand 798 metres after striking parts of the car._x000D_
_x000D_
There were 30 people on board the Class 323, and 81 on board the Class 221. No-one in either of the trains, or outside the trains, was injured in the collisions and the derailment.</t>
  </si>
  <si>
    <t>North Rode on West Coast Main Line between Congleton and Macclesfield.</t>
  </si>
  <si>
    <t>The immediate cause of the accident was that the car rolled onto the track as the train approached.</t>
  </si>
  <si>
    <t>The causal factors were that:a) the car was left inadequately braked; b) 	a gradient in the car park caused it to roll away; c) the railway controller was not alerted to the presence of the car on the track in time to stop trains (Recommendation 1 and 2b); and d) 	the car park had no features that could prevent the car’s incursion onto the railway (Recommendation 2a). The underlying factors were that: a) UPS did not identify the risk of vehicle incursion from its car park; and b) Network Rail did not consider the risk of vehicle incursions from adjoining private land (Recommendation 3).</t>
  </si>
  <si>
    <t>UK-628</t>
  </si>
  <si>
    <t>Trains collision with an obstacle, 19/12/2008, Out of gauge load being conveyed between Wakefield (Yorkshire) and Wallers Ash (near Micheldever, Hampshire)struck edge of platform canopy in Basingstoke (Hampshire) (United Kingdom)</t>
  </si>
  <si>
    <t>An empty 9' 6" container was loaded in error onto a FIA type flat-bed wagon at Wakefield Europort. This wagon formed part of train 4O53, the 0433 service from Wakefield Europort to Eastleigh, operated by English, Welsh and Scottish Railway. The loading error was not identified prior to the train's departure and consequently the roof of the container was outside the loading gauge for trains over the route concerned._x000D_
_x000D_
At about 10:24 hrs, train 4O53 passed through platform 1 at Basingstoke and struck the edge of the platform canopy, causing it minor damage. The train was subsequently driven at reduced speed to Micheldever sidings (via Waller Ash loops) to permit the over-sized container to be unloaded.</t>
  </si>
  <si>
    <t>Out of gauge load being conveyed between Wakefield (Yorkshire) and Wallers Ash (near Micheldever, Hampshire)struck edge of platform canopy in Basingstoke (Hampshire)</t>
  </si>
  <si>
    <t>The immediate cause of the incident was that the combination of FIA wagon and high-cube container was too high for the structure gauge of the route (W8), and the left-hand top corner of the container struck the platform canopy at Basingstoke.</t>
  </si>
  <si>
    <t>Causal factors were the system for identifying container types and container/wagon combinations on trains departing from Wakefield Euroterminal was prone to human error, in that:the high-cube container was loaded onto an FIA wagon, which was a combination not permitted on the route the train was due to take;incorrect information about the container was recorded by the train preparer at Wakefield, who did not notice during his train examination that the container type was incorrect; the decision of the consistor to change the type code of container MSKU8748843 without checking with the Wakefield terminal; and the load gauge at Wakefield was not operational. (paragraph 130, Recommendations 1 and 2). The absence of black/yellow chevrons from the high-cube container involved in the incident (paragraph 134). Contributory factors were :the restricted view of the loader driver when lifting and placing containers (paragraph 135, Recommendation 2);the method of checking the train, from a van, adopted by the train preparer at Wakefield (paragraph 136);the lack of monitoring and supervision of staff at the Wakefield terminal (paragraph 138, Recommendation 1);the poor training and inexperience of the controller, acting as consistor, and the absence of a supervisor at Southampton (paragraph 154, Recommendation 1); and the nature of the warning messages generated by the ERIC system (paragraph 150, Recommendation 3).</t>
  </si>
  <si>
    <t>AT-687</t>
  </si>
  <si>
    <t>Train derailment, 20/12/2008, ÖBB-Strecke 10102 von Knoten Rohr nach Salzburg Hauptbahnhof, zwischen Bahnhof Seekichen am Wallersee und Bahnhof Hallwang-Elixhausen. ÖBB-Line 10102 from station Knoten Rohr to station Salzburg Hauptbahnhof, between station Seekichen am Wallersee und st (Austria)</t>
  </si>
  <si>
    <t>Am 20. Dezember 2008, um 04:37:38 Uhr, erfolgte bei der Heißläuferortungsanlage "Seekirchen Gleis 2" (km 300,535) bei Zug 44852 eine Alarmmeldung. Zug 44852 wurde vor dem Einfahrsignal des Bahnhof Hallwang-Elixhausen angehalten. Bei der Nachschau durch den Triebfahzeugführer wurde die Entgleisung des 8. Wagens durch einen Bruch der Radsatzwelle der nachlaufenden Achse festgestellt. Der fehlende Achsstummel mit dem Achslager wurde 340 m davor aufgefunden. // On 20 December 2008, at 04:37:38, the hot spot detection system "Seekirchen track 2" (km 300.535) made alert to train 44852. Train 44852 was stopped at the entry signal of the station Hallwang-Elixhausen. In the review by the engine driver the derailment at the 8. wagon by an  axel breakage was noted. The axle journal with the axle box was found 340 m before.</t>
  </si>
  <si>
    <t>ÖBB-Strecke 10102 von Knoten Rohr nach Salzburg Hauptbahnhof, zwischen Bahnhof Seekichen am Wallersee und Bahnhof Hallwang-Elixhausen. ÖBB-Line 10102 from station Knoten Rohr to station Salzburg Hauptbahnhof, between station Seekichen am Wallersee und st</t>
  </si>
  <si>
    <t>ES-673</t>
  </si>
  <si>
    <t>Level crossing accident, 20/12/2008, Salou station (Tarragona), level crossing type C, kilometre point 263,208, at 600 Valencia Nord - Sant Vicent de Calders railway line (Spain)</t>
  </si>
  <si>
    <t>The freight train, number 80454, knocked down a man who crossed the level crossing while the barriers were lowered and the flashing lights and warning bell were working</t>
  </si>
  <si>
    <t>Salou station (Tarragona), level crossing type C, kilometre point 263,208, at 600 Valencia Nord - Sant Vicent de Calders railway line</t>
  </si>
  <si>
    <t>LV-625</t>
  </si>
  <si>
    <t>Trains collision, 20/12/2008, Station: Ventspils (Latvia)</t>
  </si>
  <si>
    <t>Freight train  N° 2445 collided with freight train N° 1703 which stood at the station</t>
  </si>
  <si>
    <t>Station: Ventspils</t>
  </si>
  <si>
    <t>SIA "LDZ Cargo"</t>
  </si>
  <si>
    <t>The direct cause of accident was human mistake: crew of the locomotive of the train No.2445 had lost vigilance and did not control the train, as a result of which the train passed by entrance signal light N of Ventspils-II with restrictive signal and collided with freight train No.1703 standing on the railway track No.2.</t>
  </si>
  <si>
    <t>SE-630</t>
  </si>
  <si>
    <t>Train derailment, 2008-12-21, Kimstad station on the main line between Norrköping and Linköping (Sweden)</t>
  </si>
  <si>
    <t>Sunday, December 21, 2008 two locomotives together were connected in Norrköping and then driven to Kimstad as train 43663. Before departing the driver did a function control and brake tests. When the train arrived at Kimstad the driver changed locomotive to change direction and go as train form "Vagnuttagning" with nr 73663 from Kimstad to Skärblacka. In Skärblacka linked driver to 12 wagons which would then be transported to Kimstad as a vagnuttagning 73664_x000D_
_x000D_
Before start from Skärblacka ??the driver did a brake tests using radio control equipment to ensure that the brakes worked. Then the driver drove the train from Skärblacka to Kimstad. When the train approached the entrance signal 55 to Kimstad the driver applied the brakes  because the entrance signal showed "stop". The braking did not reduce the speed and train passed the entrance signal 55th (red) Following the signal a protective switch and a safety track that ended with a buffer stop._x000D_
_x000D_
After the train had passed the entrance signal it continued through safety switch, on protecting the track, through the buffer stop and stayed about 40 m after the end of the track. After stopping, the train were blocking adjacent track 3 and there was a risk of collission with trains on the main line (track 3). 
Söndagen den 21 december 2008 växlades två lok ihop (multipelkopplades) i Norrköping för att sedan köras till Kimstad som tåg 43663. I samband med att loken kopplades ihop gjorde föraren en funktionskontroll  och bromsprov. När tåget kom fram till Kimstad bytte föraren lok för att byta riktning och åka som vagnuttagning  73663 från Kimstad till Skärblacka. I Skärblacka kopplade föraren till 12 vagnar som sedan skulle transporteras till Kimstad som vagnuttagning 73664. _x000D_
_x000D_
Innan vagnuttagningen startade från Skärblacka gjorde föraren ett bromsprov med hjälp av radiostyrningsutrustningen för att säker-ställa att bromsen fungerade. Därefter körde föraren vagnuttagningen från Skärblacka mot Kimstad. När vagnuttagningen närmade sig infartssignal 55 till Kimstad bromsade föraren för att sänka hastigheten eftersom infartssignalen visade ”stopp”. Bromsningen sänkte inte hastigheten och vagnuttagningen passerade infartssignal 55. Efter infartssignalen fanns en skyddsväxel och ett skyddsspår som slutade med en stoppbock. _x000D_
_x000D_
Efter att vagnuttagningen hade passerat infartssignalen fortsatte den genom skyddsväxeln, ut på skyddsspåret, genom stoppbocken och stannade först ungefär 40 m efter spårets slut. Vagnuttagningen hade då förskjutit det närmaste genomgående tågspåret (spår 3) något i sidled och vagnuttagningen stannade intill spår 3. Då vagn-uttagningen stannade intill spår 3 uppstod risk för att ett tåg som framfördes på spår 3 hade kunnat kollidera med den urspårade vagnuttagningen.</t>
  </si>
  <si>
    <t>Kimstad station on the main line between Norrköping and Linköping</t>
  </si>
  <si>
    <t>TGOJ Trafik AB</t>
  </si>
  <si>
    <t>The direct cause of the that thre train passed the entrance signal 55 to Kimstad in "stop" was that the brake hose was not open between the first and second locomotive and thus was braking insufficient in relation to the speed of the train. 
Den direkta orsaken till att vagnuttagningen passerade infartssignal 55 till Kimstad i ”stopp” var att huvudledningen inte var öppen mellan första och andra loket och därmed var bromsförmågan otillräcklig i förhållande till den hastighet som vagnuttagningen framfördes med.</t>
  </si>
  <si>
    <t>Underlying causes was that the brake test was not correctly performed. The driver was not used to connect two locomotives and test the brakes of these, nor had this been a part of his training._x000D_
_x000D_
Additional causes was that the company's safety management system was inadequate, and there were no educational programs for drivers who had carried KY - training and also had deficiencies noted in the follow-up but not resolved. 
Bakomliggande orsaker var att bromsens funktion på fordonssättet inte var säkerställd genom korrekt utförda bromsprov. Föraren var ovan vid att koppla samman två lok och bromsprova dessa, vilket inte heller hade genomförts i någon större utsträckning under företagets utbildning._x000D_
_x000D_
Ytterligare bakomliggande orsaker var att företagets system för säkerhetsstyrning var otillräckligt, dels fanns inga utbildningsplaner för förare som hade genomfört KY – utbildningen och dels hade brister uppmärksammats i uppföljningen men inte åtgärdats.</t>
  </si>
  <si>
    <t>FI-658</t>
  </si>
  <si>
    <t>Other, 30.12.2008, Korvensuoâ€“Haarajoki, Lahti - Kerava section of line. (Finland)</t>
  </si>
  <si>
    <t>Failure in automatic train protection.</t>
  </si>
  <si>
    <t>Korvensuoâ€“Haarajoki, Lahti - Kerava section of line.</t>
  </si>
  <si>
    <t>The reasons for the faulty ATP operation was that an outdated card version had been placed in the IM-module controlling data transfer between Haarajoki and Korvensuo sig-nal boxes.</t>
  </si>
  <si>
    <t>The wrong flash card had been installed because the software version had not been verified before installing the card. The installers said that this was because verification equipment was not operational due to the transfer of the office to another location. The card had also not been marked sufficiently clearly.</t>
  </si>
  <si>
    <t>ES-692</t>
  </si>
  <si>
    <t>Accident to persons caused by RS in motion, 01/01/2009, Sitges station (Barcelona), at 643,243 kilometre point, on 200 Madrid-Barcelona railway. (Spain)</t>
  </si>
  <si>
    <t>A man, standing at the platform, prior to the train was completly stopped, fell between the train and the platform.</t>
  </si>
  <si>
    <t>Sitges station (Barcelona), at 643,243 kilometre point, on 200 Madrid-Barcelona railway.</t>
  </si>
  <si>
    <t>CZ-639</t>
  </si>
  <si>
    <t>Level crossing accident, 08/01/2009, Active level crossing (equipped with warning lights), km 222.975, between Hluboka nad Vltavou and Zliv stations (Czech Republic)</t>
  </si>
  <si>
    <t>Regional passenger train No. 8043 collided with a passenger car at level crossing.</t>
  </si>
  <si>
    <t>Active level crossing (equipped with warning lights), km 222.975, between Hluboka nad Vltavou and Zliv stations</t>
  </si>
  <si>
    <t>ES-693</t>
  </si>
  <si>
    <t>Level crossing accident, 14/01/2009, Avilés station (Asturias, level crossing type C, kilometre point 16,863, at 144 Villabona de Asturias - San Juan de Nieva railway line. (Spain)</t>
  </si>
  <si>
    <t>The commuter train 22321 knocked down a woman who crossed the level crossing while the barriers were lowered and the flashing lights and warning bell were working.</t>
  </si>
  <si>
    <t>Avilés station (Asturias, level crossing type C, kilometre point 16,863, at 144 Villabona de Asturias - San Juan de Nieva railway line.</t>
  </si>
  <si>
    <t>SI-636</t>
  </si>
  <si>
    <t>Wrong-side signalling failure, 16/01/2009, Export signal 22, station Preserje on line Ljubljana - SeÅ¾ana - double track. (Slovenia)</t>
  </si>
  <si>
    <t>Station dispatcher to dispatch regional passenger train No. 2630 on closed left track.</t>
  </si>
  <si>
    <t>Export signal 22, station Preserje on line Ljubljana - SeÅ¾ana - double track.</t>
  </si>
  <si>
    <t>ES-694</t>
  </si>
  <si>
    <t>Spad, 20/01/2009, La Florida station (Asturias), kilometre point 15,320, 61 Gijón-Laviana railway line. (Spain)</t>
  </si>
  <si>
    <t>A passenger train failed to stop at the station exit signal, which stated a stop aspect (red). Besides the automatic train protection worked, the freight train which was at the same track section was ordered to stop by the Control Centre.</t>
  </si>
  <si>
    <t>La Florida station (Asturias), kilometre point 15,320, 61 Gijón-Laviana railway line.</t>
  </si>
  <si>
    <t xml:space="preserve">Feve; 
</t>
  </si>
  <si>
    <t>The incident was caused when the train 5412 driver overtook the station exit signal, which had the stop indication and he didn´t stop the train as it is established in the General Operating Rules of Feve.</t>
  </si>
  <si>
    <t>ES-695</t>
  </si>
  <si>
    <t>Accident to persons caused by RS in motion, 20/01/2009, Between Tordera and Blanes stations (Barcelona), kilometre point 64,810, 276 Maçanet Massanes-Barcelona Sagrera (Spain)</t>
  </si>
  <si>
    <t>A man, crossing the tracks at open line, was knocked down by a commuter train. Despite the train driver used the whistle and the emergency brake, he couldn´t avoid the accident.</t>
  </si>
  <si>
    <t>Between Tordera and Blanes stations (Barcelona), kilometre point 64,810, 276 Maçanet Massanes-Barcelona Sagrera</t>
  </si>
  <si>
    <t>In this place it was a LC which has already been removed</t>
  </si>
  <si>
    <t>ES-696</t>
  </si>
  <si>
    <t>Accident to persons caused by RS in motion, 22/01/2009, Near Gavá station (Barcelona), kilometre point 663,700, 200 Madrid-Barcelona railway line. (Spain)</t>
  </si>
  <si>
    <t>A man crossed the tracks immediately after a train had passed, then was hit by another train coming from the opposite side.</t>
  </si>
  <si>
    <t>Near Gavá station (Barcelona), kilometre point 663,700, 200 Madrid-Barcelona railway line.</t>
  </si>
  <si>
    <t>IT-637</t>
  </si>
  <si>
    <t>Other, 24/01/2009, The accident occursed in the PM of Anangni in the ROMA-NAPOLI high speed line (Italy)</t>
  </si>
  <si>
    <t>The Italian Ministry take the decision to institute a Commission to determine the causes of the accident</t>
  </si>
  <si>
    <t>The accident occursed in the PM of Anangni in the ROMA-NAPOLI high speed line</t>
  </si>
  <si>
    <t>HU-716</t>
  </si>
  <si>
    <t>Level crossing accident, 25/01/2009, Line 16 Between Csorna and Szil-Sopronnémeti (Hungary)</t>
  </si>
  <si>
    <t>Train No. 39825 collided with a car at a level crossing. The signaling of the LC operated well.</t>
  </si>
  <si>
    <t>Line 16 Between Csorna and Szil-Sopronnémeti</t>
  </si>
  <si>
    <t>UK-638</t>
  </si>
  <si>
    <t>Train derailment, 27/01/2009, Stewarton, near Kilmarnock (United Kingdom)</t>
  </si>
  <si>
    <t>At approximately 06:15 hrs on 27 January 2009, train 6B05, the 05:20 hrs train from Mossend Down Yard to Riccarton, derailed to the south of Stewarton station, near Kilmarnock. The train consisted of a Class 66 locomotive and ten tank wagons, eight of which contained diesel fuel, and two kerosene. The locomotive and the leading four wagons remained on the track, but the rear six wagons derailed. There was substantial damage to the track and an underbridge, and localised fires as a result of leakage of fuel from some of the wagons. The fires were extinguished and fuel remaining in the tank wagon is to be recovered to minimise any environmental risk.</t>
  </si>
  <si>
    <t>Stewarton, near Kilmarnock</t>
  </si>
  <si>
    <t>The immediate cause of the derailment of 6B01 was the collapse of Bridge 88 that followed the catastrophic structural failure of its east and centre main girders.  Heavy corrosion had so significantly weakened these main girders that they were no longer able to carry the loading from trains, like 6B01, that Network Rail had permitted to run over the bridge (paragraph</t>
  </si>
  <si>
    <t>Causal factors were: the form of construction of Bridge 88 that meant there was a hidden corrosion trap that affected the inner surfaces of the main girder web plates; the corrosion resulted in a significant loss of web plate thickness, and in places holes formed (paragraph 124 &amp; Recommendations 1, 3 and 4); and the use of incorrectly assumed dimensions for the thickness of the web plates of the east and centre main girders in the last two routine assessments of Bridge 88 (in 1982 and 1994), and no allowance for web plate corrosion loss; this meant that the calculated live load capacity of these two main girders was higher than it should have been, and, as a result, the reports of material loss due to corrosion on the web plates were not acted upon (paragraph 155 &amp; Recommendations 7 and 8). Contributory factors were: that no arrangements were made to inspect the hidden parts of the east and centre main girders where the heavy corrosion on the web plates was occurring (paragraph 131 &amp; Recommendations 2, 3 and 5); that the web plates on the main girders were not fully repaired when heavy corrosion on them would have been revealed as part of the waterproofing work that was done in 1987 (paragraph 146 &amp; Recommendation 5); that the bridge superstructure was not re-painted when the waterproofing work was done in 1987, or afterwards (paragraph 150 &amp; Recommendation 5); the lack of any action in response to the web plate corrosion issues identified during the last routine detailed examination of the bridge, and highlighted immediately in an urgent defect report in October 2003; this could have initiated work that could have led to the structural significance of the web condition being appreciated (paragraph 172 &amp; Recommendations 5, 6 and 9); and the lack of any response to the continued reporting of web corrosion defects in the routine annual visual examinations that followed the last detailed examination (paragraph 190 &amp; Recommendations 5 and 6); The following contributory factors were also identified relating to activities that were in addition to the routine management of Bridge 88: the lack of a formal means of alerting Network Rail to urgent findings arising from the assessment calculation work undertaken by Jacobs as part of the route availability verification exercise (paragraph 201 &amp; Recommendations 5, 7 and 8); the decision to bring forward the replacement of Bridge 88 that resulted in information being overlooked that was potentially relevant to the condition of the bridge while it remained in service (paragraph 207 &amp; Recommendation 5); and the belief that Network Rail continued to have in the incorrect results of the 1994 Assessment (because it was based on incorrect web thickness assumptions) when evaluating the ongoing safety of Bridge 88 in response to the route availability verification exercise, which was possibly exacerbated by deterioration since the 1994 Assessment was done (paragraph 211 &amp; Recommendations 5, 7, 8 and 9).	The underlying cause was the ongoing reliance on unverified critical information by those responsible for the routine management of Bridge 88 (paragraph 226 &amp; Recommendations 7 and 8).</t>
  </si>
  <si>
    <t>ES-697</t>
  </si>
  <si>
    <t>Level crossing accident, 30/01/2009, Sodupe station (Vizcaya), level crossing type C, kilometre point 631,562, 24 Santander-Basurto railway line (Spain)</t>
  </si>
  <si>
    <t>A young man crossed the level crossing when the barriers were lowered being hit by the passenger train number 8604. As a result, the man died.</t>
  </si>
  <si>
    <t>Sodupe station (Vizcaya), level crossing type C, kilometre point 631,562, 24 Santander-Basurto railway line</t>
  </si>
  <si>
    <t>ES-699</t>
  </si>
  <si>
    <t>Trains collision, 02/02/2009, Osina tunnel (Guipúzcoa), kilometre point 551,790, between Zegama Otzaurte and Brinkola stations, 100 Madrid-Hendaya railway line. (Spain)</t>
  </si>
  <si>
    <t>Both trains collided sideways.</t>
  </si>
  <si>
    <t>Osina tunnel (Guipúzcoa), kilometre point 551,790, between Zegama Otzaurte and Brinkola stations, 100 Madrid-Hendaya railway line.</t>
  </si>
  <si>
    <t>The collision was caused as the rail track was deficient due to its superelevation and rail gauge measures did not comply with the standard values.</t>
  </si>
  <si>
    <t>FR-725</t>
  </si>
  <si>
    <t>Level crossing accident, 03/02/2009, Level crossing between double track line and departemental (regional) road near the town of NEVERS. LC fitted with automatic barriers (France)</t>
  </si>
  <si>
    <t>A passenger coach is blocked by the road traffic just after the LC. The coach driver does not realise that the back end of his coach is fouling the gauge of the track by a few centimeters. When the barriers close, he does not move. The train hits the back of the coach.</t>
  </si>
  <si>
    <t>Level crossing between double track line and departemental (regional) road near the town of NEVERS. LC fitted with automatic barriers</t>
  </si>
  <si>
    <t>Bus caught in road traffic congestion</t>
  </si>
  <si>
    <t>HU-717</t>
  </si>
  <si>
    <t>Train derailment, 04/02/2009, Line 1: Rajka station (Hungary)</t>
  </si>
  <si>
    <t>On approaching Rajka station last wagon of the freight train No. 45213 derailed.</t>
  </si>
  <si>
    <t>Line 1: Rajka station</t>
  </si>
  <si>
    <t>FI-656</t>
  </si>
  <si>
    <t>Level crossing accident, 11-02-09, Pori, Kyläsaari, Teurastamo level crossing, unprotected (Finland)</t>
  </si>
  <si>
    <t>A level crossing accident took place at the unprotected level crossing of Teurastamo on the Mäntyluoto–Pori track and Pikakyläntie road on Wednesday, 11 February 2009, at 3.12 p.m. The engine driver emergency braked 29 metres before the collision, when the car had disappeared from his sight. The locomotive hit the middle of the car’s right side, not being able to reduce speed before the collision. The car clung to the front of the locomotive and travelled in front of it_x000D_
for 223 metres, until the locomotive stopped. Two passengers in the car suffered fatal head injuries in the accident, and the driver was seriously injured. The locomotive suffered minor damage, while the car was wrecked beyond repair.</t>
  </si>
  <si>
    <t>Pori, Kyläsaari, Teurastamo level crossing, unprotected</t>
  </si>
  <si>
    <t>The cause of the accident was that the car driver noticed the train too late and did not have time to stop or otherwise prevent the accident.</t>
  </si>
  <si>
    <t>The level crossing did not feature any alarm devices. The level crossing did not have proper wait platform, and the slope to the crossing was so steep that drivers try to avoid stopping, particularly in slippery conditions. Visibility to the left was worse than in the direction of the train to the right, and an imbalance such as this tends to increase detection errors in the region of the better-visibility area. An embankment over a district-heating pipe decreased the visibility of the train.</t>
  </si>
  <si>
    <t>ES-700</t>
  </si>
  <si>
    <t>Spad, 12/02/2009, Cerdanyola del Vallés station (Barcelona), kilometre point 351,200, 224 Cerdanyola Universitat-Cerdanyola del Vallés railway line. (Spain)</t>
  </si>
  <si>
    <t>The infrastructure works train (managed by Adif)failed to stop at the station signal which stated a stop aspect. This caused a near miss train collision with the freight train (Renfe Operadora).</t>
  </si>
  <si>
    <t>Cerdanyola del Vallés station (Barcelona), kilometre point 351,200, 224 Cerdanyola Universitat-Cerdanyola del Vallés railway line.</t>
  </si>
  <si>
    <t>Adif; 
RENFE-Operadora</t>
  </si>
  <si>
    <t>The incident was caused when the train MQ 577 driver overtook the station exit signal (S1/4) which stated a red aspect (stop indication).</t>
  </si>
  <si>
    <t>NO-661</t>
  </si>
  <si>
    <t>Wrong-side signalling failure, 12/02/2009, Gjøvikbanen (Norway)</t>
  </si>
  <si>
    <t>Track circuit was not detected when train occupated the track. It was heavy snow in the track.</t>
  </si>
  <si>
    <t>Gjøvikbanen</t>
  </si>
  <si>
    <t>NSB Gjøvikbanen AS</t>
  </si>
  <si>
    <t>Communication with train controller when there is to much snow on closing the track</t>
  </si>
  <si>
    <t>SI-641</t>
  </si>
  <si>
    <t>Level crossing accident, 12/02/2009, Between station Å martno ob Paki and Å oÅ¡tanj in km 24+267; single-track line Celje - Velenje. (Slovenia)</t>
  </si>
  <si>
    <t>Local passenger train number 3508 crashed to a car on level crossing marked with road signals. Train has pushed a car along the line for 153 metres.</t>
  </si>
  <si>
    <t>Between station Å martno ob Paki and Å oÅ¡tanj in km 24+267; single-track line Celje - Velenje.</t>
  </si>
  <si>
    <t>ES-698</t>
  </si>
  <si>
    <t>Spad, 14/02/2009, Lieres station, kilometre point 340,807, 21 Oviedo-Santander railway line. (Spain)</t>
  </si>
  <si>
    <t>A passenger train failed to stop at the signal at the end of the station which stated a stop aspect (red). As a result, a near miss collision with the preceding train was caused.</t>
  </si>
  <si>
    <t>Lieres station, kilometre point 340,807, 21 Oviedo-Santander railway line.</t>
  </si>
  <si>
    <t>The incident was caused by a misunderstanding between the driver of train 5714, which overruns the signal placed at the end of the station (stating a restrictive aspect - red), and the traffic master of the CTC which, according to the statement from the driver, gave him the order to overrun the signal (fact that is written down in the train driver telephone messages book but not in the CTC`s book).</t>
  </si>
  <si>
    <t>CZ-642</t>
  </si>
  <si>
    <t>Trains collision, 16/02/2009, Open main line between Paskov and Vratimov stations. Single track line. (Czech Republic)</t>
  </si>
  <si>
    <t>Regional passenger train No. 3101 passed a signal at danger (when departing from Paskov station) and collided with regional passenger train No. 3116. 57 people slightly injured. _x000D_
According to our national law this accident is serious accident. The material damage exceeded 5 million CZK.</t>
  </si>
  <si>
    <t>Open main line between Paskov and Vratimov stations. Single track line.</t>
  </si>
  <si>
    <t>train driver didn't respect red signal</t>
  </si>
  <si>
    <t>no measures taken despite a series of similar accidents occurred before</t>
  </si>
  <si>
    <t>EE-643</t>
  </si>
  <si>
    <t>Other, 18/02/2009, Vaivara station (km 288.804) (Estonia)</t>
  </si>
  <si>
    <t>The bottom half of the gearcase cover frame had come loose and after falling into suspended position delivered a damaging blow to the ratchet beam of the shunt.</t>
  </si>
  <si>
    <t>Vaivara station (km 288.804)</t>
  </si>
  <si>
    <t>AS EVR Infra</t>
  </si>
  <si>
    <t>Clearance of the fixing bolt of the bottom half of the gearcase cover frame; loosening of the bolts fastening that resulted in falling off and dropping down of the bottom half of the gearcase cover and realising itself from the gearcase;  which was further advantaged by the arising resonance with the clearance of the bottom half and vibration, caused by the rotation of the counterboring on the rolling part tyre of the sixth wheelpair.</t>
  </si>
  <si>
    <t>ES-701</t>
  </si>
  <si>
    <t>Accident to persons caused by RS in motion, 22/02/2009, Between Chapela and Vigo stations (Pontevedra), kilometre point 175,050, 810 Monforte de Lemos-Vigo railway line (Spain)</t>
  </si>
  <si>
    <t>A man walking within the tracks was knocked down by a passanger train. Despite the train driver used the whistle and the emergency brake, he couldn´t avoig the accident.</t>
  </si>
  <si>
    <t>Between Chapela and Vigo stations (Pontevedra), kilometre point 175,050, 810 Monforte de Lemos-Vigo railway line</t>
  </si>
  <si>
    <t>ES-702</t>
  </si>
  <si>
    <t>Train derailment, 23/02/2009, Between Ozanes and Soto Dueñas stations (Asturias), railway curve at kilometre point 378,130, 21 Oviedo-Santander railway line. (Spain)</t>
  </si>
  <si>
    <t>A passanger train derailed at kilometre point 378,130. 14 minor injures. The train driver didn´t reduce the speed when going through a curve. As a result the rolling stock derailed.</t>
  </si>
  <si>
    <t>Between Ozanes and Soto Dueñas stations (Asturias), railway curve at kilometre point 378,130, 21 Oviedo-Santander railway line.</t>
  </si>
  <si>
    <t>NO-649</t>
  </si>
  <si>
    <t>Trains collision, 25/02/2009, At Katterat Station, Ofotline (Ofotbanen). (Norway)</t>
  </si>
  <si>
    <t>The infrastructure works train (a Robel and a rotary snow cutter) was cleaning snow at the station. After finishing the work they were told to shunt from track no. one to track no. two, behind a fright train standing there, waiting for a passenger train in the opposite direction. After finishing the shunting movement they were told to wait for signal to proside to the next station. The driver thought this was a clearness to move up to the departure signal. The locomotive driver forgot the empty freight train standing in front of him in track no. two. As track no. two are in a tunnel it is dark and hard to see the rear end of a train, and the works train run into the freight train. 7 persons caught minor injuries.</t>
  </si>
  <si>
    <t>At Katterat Station, Ofotline (Ofotbanen).</t>
  </si>
  <si>
    <t>Shunting operation; 
Infrastructure works train</t>
  </si>
  <si>
    <t>Jernbaneverket; 
Malmtrafikk AS</t>
  </si>
  <si>
    <t>The communication between the traffic controller and the locomotive driver gav eroom for misunderstanding</t>
  </si>
  <si>
    <t>AT-680</t>
  </si>
  <si>
    <t>Other, 04/03/2009, Bahnhof Himberg (Austria)</t>
  </si>
  <si>
    <t>Um 12:35 Uhr wurde im Bf Himberg auf der W 54 in km 14,100 für Revisionsarbeiten eine „Gefährdete Rotte“ (gemäß ÖBB – DV V3 §35 (5)) angemeldet. Die „Gefährdete Rotte“ wurde vom Bf Gramatneusiedl zur Kenntnis genommen und die Anmeldung im Fernsprechvormerk verbucht. Um 12:47 Uhr kam es zur Kollision des Lz 85609 mit einem Arbeitsgerät (Schraubeneindrehmaschine) der „Gefährdeten Rotte“. Die beteiligten Mitarbeiter konnten sich rechtzeitig aus dem Gefahrenraum des Gleises entfernen. // At 12:35 in Himberg station on W 54 km 14.100 an " Endangered gang" (according to ÖBB - DV V3 § 35 (5)) was logged in for the audit work. The "Endangered gang" was noted from the station Gramatneusiedl and recorded in the registered telephone inquiry. At 12:47 there was a collision of local train 85609 with a works train (screw machine) of the " Endangered gang". The staff involved were able to evacuate in time from the danger zone of the track.</t>
  </si>
  <si>
    <t>Bahnhof Himberg</t>
  </si>
  <si>
    <t>ÖBB-Traktion GmbH</t>
  </si>
  <si>
    <t>Unachtsamkeit durch den Fahrdienstleiter. //  Inattention by the Dispatcher.</t>
  </si>
  <si>
    <t>ES-703</t>
  </si>
  <si>
    <t>Accident to persons caused by RS in motion, 04/03/2009, Platja de Castelldefels station (Barcelona), kilometre point 657,000, 200 Madrid-Barcelona railway line (Spain)</t>
  </si>
  <si>
    <t>A young woman (passenger of a train) crossed the tracks from platform 1 to the opposite, being hit by a train that was approaching from the other side (track 2). She had crossed behind a train was stopped at track 1, being unable to watch the caming train.</t>
  </si>
  <si>
    <t>Platja de Castelldefels station (Barcelona), kilometre point 657,000, 200 Madrid-Barcelona railway line</t>
  </si>
  <si>
    <t>FR-646</t>
  </si>
  <si>
    <t>Accident to persons caused by RS in motion, 07/03/2009, Open line beetween "La Plaine Stade de France" et "Aubervilliers La Courneuve" (France)</t>
  </si>
  <si>
    <t>A group of supporters walking on a railway bridge to go to the place wher their bus was parked have been hit by a train running at about 80 km/h.</t>
  </si>
  <si>
    <t>Open line beetween "La Plaine Stade de France" et "Aubervilliers La Courneuve"</t>
  </si>
  <si>
    <t>These persons were lost when trying to reach their bus from the stadium; inefficient locking of the portal giving access to the railway premises.</t>
  </si>
  <si>
    <t>FI-950</t>
  </si>
  <si>
    <t>Train derailment, 3/9/2009, Lahti railway yard (Finland)</t>
  </si>
  <si>
    <t>On Monday, 9 March 2009, at 8:42pm, six domestic wagons were derailed at the Lahti railway yard. The derailment occurred at a turnout, when the 33-wagon freight train had set off from Lahti towards Kouvola. After two and a half minutes, the engine driver felt a strange tugging in the train. The engine driver reduced power, saw an intense flash in the rear-view mirror of the locomotive, and then saw a portal topple and the contact wires falling down. The engine driver immediately stopped the train, using only the direct-acting brakes of the locomotive because of the slow speed. The empty, covered four-axle wagon that was 19th in the train had derailed on the trailing turnout crossing, pulling the next five wagons off the rails. Traffic on the main tracks in Lahti was badly disrupted, because the toppling of the signal portal caused the contact wires of several tracks to come down. Because of the falling of the north main track’s contact wire, passenger train traffic from the east had to be stopped, and passengers had to be transported to their destinations in other vehicles. The total costs from the accident were EUR 278 000.</t>
  </si>
  <si>
    <t>Lahti railway yard</t>
  </si>
  <si>
    <t>The accident was caused by the wheel flanges of the first derailed wagon rising over the ice packed in the flangeway between the crossing frog and the check rail, and further off the rails. As the wagon, which had a light axle weight, arrived at the crossing, its front bogie was turned, by the fully frozen crossing and chunks of ice and snow, far enough to cause the wheel flange to rise over the wingrail, causing the derailment of the wheelset. There were many snow and ice chunks in the vicinity of the turnout crossing, at least some of which had likely fallen from the inner surface of the buffer plate of the locomotive of a departing train.</t>
  </si>
  <si>
    <t>The flangeways of the crossing were full of solid ice, so the wagon wheels travelled on their flanges over the ice. During the investigation, it was found that there were many chunks of snow and ice in the vicinity of the turnout crossing. Ice had not been removed from the turnout crossing after the last snow-fall.</t>
  </si>
  <si>
    <t>UK-647</t>
  </si>
  <si>
    <t>Train derailment, 10/03/2009, West India Quay on Docklands Light Railway, London (United Kingdom)</t>
  </si>
  <si>
    <t>At approximately 10:02 hrs on 10 March 2009, train 706, from Bank to Lewisham was approaching the junction at West India Quay on the Docklands Light Railway, where the lines from Bank and Poplar join to form the route to Canary Wharf and Lewisham.  The train was being operated under manual control, following a software problem at Westferry junction a few moments before.  When the train reached the junction the leading bogie derailed.</t>
  </si>
  <si>
    <t>West India Quay on Docklands Light Railway, London</t>
  </si>
  <si>
    <t>The immediate cause of the derailment was that train LEW109 travelled through 1125 points in a trailing direction when the points were not correctly set for this movement, and derailed.</t>
  </si>
  <si>
    <t>Causal and possible causal factors were: the passenger service agent did not identify that the points were set reverse, and stop the train (paragraph 238, no recommendation); the passenger service agent did not see the unlit point position indicator and stop the train at the indicator (paragraph 237, recommendation 1); the control centre controller did not intervene to stop the movement of the train (paragraph 228, no recommendation); the control centre controller did not follow the emergency shunt procedure and reserve 1125 points in the correct (normal) position (paragraph 222, recommendation 5 linked to underlying factors); the control centre controller was not aware of the exact position of train LEW109 because he had the block occupancy switched off on his overview (paragraph 225, recommendation 5 linked to underlying factors); and the ‘red bar’ lamp in 1125B point position indicator was unlit (paragraphs 239 and 246, no recommendation - see paragraph 286 for actions taken). Contributory factors were: the control centre controller was distracted by having to give instructions to another train in the delta and did not notice that 1125 points had moved reverse (paragraph 229, no recommendation); the low maintenance frequency of point position indicators and the inadequate range of tests carried out (paragraph 245, no recommendation - see paragraph 285 for actions taken); the procedure for passenger sevice agents to report unlit point position indicators to the control centre was carried out on an ad-hoc basis (paragraph 246, recommendation 3); there was no process or procedure for the exchange of details of unlit point position indicators between signalling maintenance and the control centre (paragraph 246, no recommendation - see paragraph 285 for actions taken); the poor conspicuity of point position indicators when unlit (paragraph 241, recommendation 1); the corroded pin of the lamp inside 1125B point position indicator 	(paragraph 239, no recommendation - see paragraph 285 for actions taken); the maintenance organisation were unaware of the unlit ‘red bar’ lamp (paragraph 246, no recommendation.  See paragraph 285 for actions taken); the poor sighting of 1125B point position indicator (paragraph 243, recommendation 1); the existing filament type point position indicators are not conspicuous when lit (paragraph 244, recommendation 4); the poor alarm management of the SMC system (paragraph 246, recommendation 2); the technical problems in the delta area were not quickly resolved (paragraph 248, no recommendation - see paragraph 284 for actions taken); and there was no procedure to mandate that block occupancy display should be turned on at times of degraded working (paragraph 226, no recommendation). The underlying management factors were: inadequate systems for monitoring and reviewing safety performance and for monitoring compliance with rules and procedures (paragraph 251, recommendation 5 in this report and recommendation 5 in the RAIB Derailment of a DLR train at Deptford Bridge (report 16/2009)); the absence of Serco Docklands management systems that could systematically identify process safety indicators (paragraphs 246, 251 and recommendation 7 in the RAIB Derailment of a DLR train at Deptford Bridge (report 16/2009)); and Docklands Light Railway Ltd and Serco Docklands did not have adequate systems in place to satisfy themselves that changes to the infrastructure were being adequately controlled (paragraph 257, recommendation 6).</t>
  </si>
  <si>
    <t>SI-648</t>
  </si>
  <si>
    <t>Trains collision, 11/03/2009, Betwen station Grosuplje and kocevje in km 3+483, single track (Slovenia)</t>
  </si>
  <si>
    <t>Working goods train No. 90433is on closed line crashed to another working train with mark TMD-44.</t>
  </si>
  <si>
    <t>Betwen station Grosuplje and kocevje in km 3+483, single track</t>
  </si>
  <si>
    <t>Ancommunication between station personnel and leader of works.</t>
  </si>
  <si>
    <t>RO-657</t>
  </si>
  <si>
    <t>Train derailment, 14/03/2009, Comarnic station belongs to Bucharest Railway County on the South of Romanian Railway Network at 106km North of Bucharest. (Romania)</t>
  </si>
  <si>
    <t>Regional passenger train no. 3028 formed of 6 coaches, was on the route from Brasov to Bucharest. The first axle of the train locos derailed on the track no 1 of Comarnic station.</t>
  </si>
  <si>
    <t>Comarnic station belongs to Bucharest Railway County on the South of Romanian Railway Network at 106km North of Bucharest.</t>
  </si>
  <si>
    <t>The direct cause of the accident was the climbing on the outter rail (left – in the traffic direction) of the curve behind the heal of the switch no.10 by the left wheel of the axle no.6 (the first in the traffic direction) of the locomotive EA 906 followed by the falling of the wheel in the exterior of the track. The wheel’s derailment from the right part of the axle by wheel’s falling inside the track represents a consequence of the left wheel’s derailment.</t>
  </si>
  <si>
    <t>The climbing of the outter rail occured as result of exceeding the safety limit on the conditions of increasing the guiding force (horizontal) on the conducting wheel on the curve of the heal of the switch no.10, fact connected with the lowering the contact point between the tyre’s lip and the active lateral surface of the rail and with the increase of the adhesion coefficient between the wheel and rail._x000D_
1.	Non-introducing an alignment between the switch and the graduated transition curve with the line 1 when placing the switches, fact that modified the running conditions by decreasing the running speeds. The need of introducing this alignment is foreseen</t>
  </si>
  <si>
    <t>UK-665</t>
  </si>
  <si>
    <t>Wrong-side signalling failure, 22/03/2009, Greenhill Upper Junction (United Kingdom)</t>
  </si>
  <si>
    <t>The incident occurred at approximately 09:45 hrs on 22 March 2009, and involved train 2N50, the 09:17 hrs train from Alloa to Glasgow Queen Street, consisting of a 3-car Class 170 diesel multiple unit.  The signaller had set the route for the train to cross the junction and the signal had cleared accordingly.  However, one set of trailing points ends had not moved to the correct position and the train ran through them at 64 mph (103 km/h).  The permissible speed over the junction is 70 mph (113 km/h)._x000D_
There was damage to the points but the train did not derail and there were no casualties as a result of the incident.</t>
  </si>
  <si>
    <t>Greenhill Upper Junction</t>
  </si>
  <si>
    <t>ScotRail</t>
  </si>
  <si>
    <t>The immediate cause of the incident on the 22 March 2009 was that 125 points were detected in the reverse position by the signalling system although 125C point ends were in the normal position.  This allowed the protecting signal to clear to a proceed aspect for train 2N50 which subsequently trailed through 125C point ends.</t>
  </si>
  <si>
    <t>Causal factors were: a. Extra wiring was incorrectly installed in the point machine for 125B point ends at Lionverge’s Falkirk depot.  This point machine was installed on site at Greenhill Upper Junction on 17/18 January 2009 (paragraph 149, recommendation 1). b. The extra wiring was not detected before 125B point machine was installed on site at Greenhill Upper Junction on 17/18 January 2009 because there was no formal procedure in place at the Falkirk depot to carry out any checks or tests (paragraph 152, recommendation 1). c. The site testing carried out at Greenhill Upper Junction on 18 January 2009 was not carried out correctly (paragraph 157, recommendation 2) because: the tester did not carry out a wire count of the point machine fitted to 125B point ends (paragraph 161) and the tester did not correctly observe the state of the detection relay positions during the out of correspondence testing (paragraph 176). The indications on the signaller’s NX panel were not correctly responded to during the out of correspondence testing (paragraph 187, recommendation 3a).  125C point ends were not switched back onto powered operation on 22 March 2009 (paragraph 192). The following factor was considered to be probably causal: the installation of the wiring to the point machines for 125B and 125C point ends was carried out to a single wiring diagram that showed both machines on it (paragraph 156, recommendation 4). A contributory factor was: a  the tester was not appointed until the start of the shift on 17/18 January 2009 (paragraph 158, recommendation 2). The following factors were considered to be possibly contributory: a. it was dark and the weather conditions during the testing were poor: there was a brief snow shower just when the point detection and correspondence testing was being carried out and it was cold (paragraph 159); and b. the testing was carried out at a time of day when the tester would probably have been tired because of the length of time he had been awake since sleep during the night of 16/17 January 2009.  It was also a time of day when levels of alertness are at their lowest (paragraph 160).The underlying causes were: a.the SMTH not requiring the documentation of stages of testing; only the completion of a complete test plan such as NR/SMTH/Part 4/PC01 (paragraph 194, recommendations 4 and 5); b. the lack of separate drawings for each point machine wired at Falkirk depot (paragraph 196, recommendation 4); c. 	the lack of planning of the organisation of the testing (paragraph 197, recommendations 2 and 4); and d. Network Rail not expressing a preference in its process documents that pre-testing is carried out prior to site installation as far as possible (paragraph 198, recommendations 1 and 4).</t>
  </si>
  <si>
    <t>HU-718</t>
  </si>
  <si>
    <t>Train derailment, 23/03/2009, Line 40: Pusztaszabolcs station (Hungary)</t>
  </si>
  <si>
    <t>The first and third wagon of the train No. 58141-2 derailed as it was leaving the station.</t>
  </si>
  <si>
    <t>Line 40: Pusztaszabolcs station</t>
  </si>
  <si>
    <t>ES-704</t>
  </si>
  <si>
    <t>Level crossing accident, 24/03/2009, Algemesí station (Valencia), level crossing type F (without barriers), 300 Madrid-Valencia (Spain)</t>
  </si>
  <si>
    <t>A man crossed the level crossing while the flashing lights and warning bell were working, being hit by the passenger train number 24048.</t>
  </si>
  <si>
    <t>Algemesí station (Valencia), level crossing type F (without barriers), 300 Madrid-Valencia</t>
  </si>
  <si>
    <t>ES-705</t>
  </si>
  <si>
    <t>Level crossing accident, 24/03/2009, Level crossing type A, kilometre point 137,803, near Villargordo station (Jaén); 402 Espeluy Aguja Km 340,1-Jaén railway line (Spain)</t>
  </si>
  <si>
    <t>A car is hit by a train when crossing a level crossing type A. As a result, the driver died.</t>
  </si>
  <si>
    <t>Level crossing type A, kilometre point 137,803, near Villargordo station (Jaén); 402 Espeluy Aguja Km 340,1-Jaén railway line</t>
  </si>
  <si>
    <t>The accident was caused when the road vehicle invaded the level crossing as the train was approaching.</t>
  </si>
  <si>
    <t>FI-675</t>
  </si>
  <si>
    <t>Level crossing accident, 3/25/2009, Nurmijärvi, Rajamäki/Hyvämäki level crossing, unprotected, Hyvinkää - Karjaa section of line (Finland)</t>
  </si>
  <si>
    <t>On Wednesday, 25 March 2009, a level crossing accident involving a van and a freight train occurred on the Hyvämäki level crossing in Nurmijärvi. The accident was fatal to the van driver. The engine driver, the shunting foreman and two shunters who were on the train came through the accident uninjured. The van was wrecked beyond repair. The train sustained minor damage.</t>
  </si>
  <si>
    <t>Nurmijärvi, Rajamäki/Hyvämäki level crossing, unprotected, Hyvinkää - Karjaa section of line</t>
  </si>
  <si>
    <t>The direct cause of the accident lay in the van driver advancing onto the level crossing without stopping. Despite braking, the train was unable to stop in time.</t>
  </si>
  <si>
    <t>UK-666</t>
  </si>
  <si>
    <t>Spad, 27/03/2009, LUL Eastbound District Line (United Kingdom)</t>
  </si>
  <si>
    <t>On 27 March 2009 at approximately 17:22, an eastbound District Line train approaching the junction passed a signal at danger without authority. The train was brought to a stand automatically by the train stop equipment located at the signal._x000D_
The train operator reported the incident to the service operator and was given permission to proceed. Before the train had moved, a westbound Piccadilly Line train passed over the junction._x000D_
No-one was injured in the incident and the two trains were at least 96 metres apart.</t>
  </si>
  <si>
    <t>LUL Eastbound District Line</t>
  </si>
  <si>
    <t>The immediate cause of the incident was the signaller giving train 103 the authority to proceed towards Hanger Lane junction before it was safe to do so.</t>
  </si>
  <si>
    <t>Causal factors were: the operator of train 103 passed signal WM1 at danger (paragraph 102); and the signaller did not bring all trains to a halt to protect the junction before giving train 103 authority to proceed (paragraph 108). The signaller was taking prescribed medication and it is possible that it affected his concentration and judgement.  If this caused him to overlook the presence of train 316, the medication was also a causal factor (paragraph 110). Contributory factors were: the signaller was under time pressure when dealing with the incident as it affected both the District and Piccadilly Line services and had the potential to cause extensive delays (paragraph 105); the signaller’s workload, as he was operating two control desks during the incident (paragraph 109); and the communication arrangements in place between Earls Court and Baker Street control rooms at the time of the incident, which did not give the signaller’s call adequate priority and prolonged the period during which trains 103 and 316 were at risk of collision (paragraph 114.  Refer also to paragraph 141). Underlying factors were: The design of points and track circuits at Hanger Lane junction (paragraph 120); LUL’s rules and procedures for incidents involving trains which pass a semi-automatic signal at danger, which were fragmented and did not provide guidance on how a signaller was to meet the requirement to ensure that it was safe for a train to proceed (paragraph 122 and table 1, recommendation 1); and LUL’s arrangements for maintaining the signaller’s skills in managing degraded working, which were insufficient (paragraph 124, recommendation 2).</t>
  </si>
  <si>
    <t>IE-659</t>
  </si>
  <si>
    <t>Trains collision, 29/03/2009, Waterford station (Ireland)</t>
  </si>
  <si>
    <t>Locomotive collided with coaching stock while carrying out shunting movement. This collision caused a derailment and coaching stock to strike individual.</t>
  </si>
  <si>
    <t>Waterford station</t>
  </si>
  <si>
    <t>The route was not set correctly for the locomotive movement causing the locomotive to collide with the carraiges.</t>
  </si>
  <si>
    <t>The locomotive was not controlled in accordance with the IE Rule Book</t>
  </si>
  <si>
    <t>SI-660</t>
  </si>
  <si>
    <t>Level crossing accident, 29/03/2009, Between stations Nova Gorica and Anhovo in km 87+362; single track line Jesenice â€“ SeÅ¾ana. (Slovenia)</t>
  </si>
  <si>
    <t>Local passenger train No. 600 crashed to car on level crossing marked with road traffic lights. Train has pushed a car 150 m before himself along the line.</t>
  </si>
  <si>
    <t>Between stations Nova Gorica and Anhovo in km 87+362; single track line Jesenice â€“ SeÅ¾ana.</t>
  </si>
  <si>
    <t>UK-664</t>
  </si>
  <si>
    <t>Accident to persons caused by RS in motion, 30/03/2009, Between Camden Road and Dalston Kingsland stations. (United Kingdom)</t>
  </si>
  <si>
    <t>The injured worker had been acting as ‘look-out’ for a group of staff engaged on inspection of areas of the lineside between Camden Road and Dalston Kingsland stations. At about 12:37 he was struck by a passenger train at the point where four tracks converge to two (Dalston Western Junction). The train was travelling at about 15 mph.</t>
  </si>
  <si>
    <t>Between Camden Road and Dalston Kingsland stations.</t>
  </si>
  <si>
    <t>London Overground Rail Operations Ltd</t>
  </si>
  <si>
    <t>The immediate cause of the accident was that the lookout did not react to the warnings sounded by the approaching train by moving clear of the line (paragraphs 91 to 95).</t>
  </si>
  <si>
    <t>Probable causal factors were: the COSS and lookout’s unfamiliarity with the area, and in particular the lookout’s lack of knowledge that the four-track section ended at Dalston Junction (paragraphs 96 to 99, Recommendations 1 and 2); and 	the planning of the work to take place in Red Zone conditions (paragraphs 112 to 123). Contributory factors were : a.	the way in which the COSS and lookout worked with each other during the inspection, which led to the COSS permitting the lookout to get a long way ahead of the group (paragraph 110); b. the lack of local knowledge of the assistant Rimini planner and the planning manager, which led to the COSS receiving a briefing pack which lacked information about the work site, such as photographs, that could have been valuable to him (paragraphs 124 to 126, Recommendations 1 and 2); and c. the condition of the down cess, and the consequent need to walk on the down number one line (paragraphs 130 and 131). Underlying factors were: deficiencies in Carillion’s safety management system, in particular the way in which the project was managed in its early stages (paragraph 133, Recommendation 1); and the absence of clear guidance in the Rule Book about lookout duties around junctions (paragraphs 138 to 141).</t>
  </si>
  <si>
    <t>CZ-733</t>
  </si>
  <si>
    <t>Train derailment, 01/04/2009, Brno hl. n. station, switch No. 29 (Czech Republic)</t>
  </si>
  <si>
    <t>Derailment of shunting train set for train No. EC 71, during shunting operation in Brno hl. n. station. According to our national law it is serious accident due to damage which is more than 5 000 000,- CZK</t>
  </si>
  <si>
    <t>Brno hl. n. station, switch No. 29</t>
  </si>
  <si>
    <t>improper track layout (insufficient length (2.479 m) of straight track in between two reverse curves)</t>
  </si>
  <si>
    <t>track layout parameters not verified after reconstruction of switches No. 28 and 26 nor before bringing carriages of length of 26.4 m into operation_x000D_
systemic and continuous registration, evaluation and verification of track layout parameters not performed nor before allowing operation of carriages of length of 26.4 m</t>
  </si>
  <si>
    <t>PL-663</t>
  </si>
  <si>
    <t>Level crossing accident, 06/04/2009, Level crossing on the line No. 404 Szczecinek - Kolobrzeg at the km. 65,781 on the section Bialogard - Karlino; LC with the provincial road No. 166 Koszalin - Bialogard; the line is electrified with single track. The LC is not guarded - without barriers n (Poland)</t>
  </si>
  <si>
    <t>The serious accident took place as a result of running by road truck IVECO (tractor and trailer) reg. No. WL 36639 into pasenger regional train No. ROPJr No. 87444 passing the LC. The pasenger train  going in destination Kolobrzeg - Poznan Glówny was serviced by electric traction set EN57 type No. 975. The train consisted of 3 units - steering, motor and steering. The road vehicle collided with the side wall of the first "ra" steering unit. As a result of collision the steereng unit has derailed and turned approx. 90 degr. The road truck has burnt and the driver of the truck was killed (he was burnt in the cabin). Several passengers of the train and the train staff were seriously or slightly injured (mostly going in the first unit). The day was sunny, good visibility on the LC, temp. 12 degr. of Celsious. The initial cause is not meeting the road regulation - the sign "STOP" by driver of the truck who did not stop the truck before the LC and hit the passing train. NIB Poland directly suprevises the investigation.</t>
  </si>
  <si>
    <t>Level crossing on the line No. 404 Szczecinek - Kolobrzeg at the km. 65,781 on the section Bialogard - Karlino; LC with the provincial road No. 166 Koszalin - Bialogard; the line is electrified with single track. The LC is not guarded - without barriers n</t>
  </si>
  <si>
    <t>PKP Przewozy Regionalne Sp. z o. o. (Ltd)</t>
  </si>
  <si>
    <t>Not giving the way to train by the IVECO road vehicle driver who did not stop before the road sigh "STOP" and the line P-12 showing the place of stopping by road vehicles before LC</t>
  </si>
  <si>
    <t>Lack of caution by the lorry driver_x000D_
None</t>
  </si>
  <si>
    <t>SI-662</t>
  </si>
  <si>
    <t>Level crossing accident, 06/04/2009, Between station Blanca and Sevnicain km 481+840; double track line Dobova - Zidani Most (Slovenia)</t>
  </si>
  <si>
    <t>Local passenger train No. 2803 is on level crossing to marked with road signals, crashed to car Fiat Doblo. Train has pushed car 300 m before himself along the line.</t>
  </si>
  <si>
    <t>Between station Blanca and Sevnicain km 481+840; double track line Dobova - Zidani Most</t>
  </si>
  <si>
    <t>ES-706</t>
  </si>
  <si>
    <t>Accident to persons caused by RS in motion, 07/04/2009, Las Navas del Marqués station (Ávila), kilometre point 83,757, 100 Madrid-Hendaya railway line (Spain)</t>
  </si>
  <si>
    <t>A young girl is knocked down by a train when she was crossing through a board crossing. The girl crossed from left to right direction of travel as the train made its way through the station. The victim died the following day.</t>
  </si>
  <si>
    <t>Las Navas del Marqués station (Ávila), kilometre point 83,757, 100 Madrid-Hendaya railway line</t>
  </si>
  <si>
    <t>The victim didn´t reallize the train was approaching as there was another train it had just left the station.</t>
  </si>
  <si>
    <t>AT-688</t>
  </si>
  <si>
    <t>Train derailment, 08/04/2009, ÖBB-Strecke 17101 von Bahnhof Ebenfurth nach Mitte Leithabrücke (Grenze ÖBB - Raab-Ödenburg-Ebenfurther Eisenbahn). // ÖBB-Line 17101 from station Ebenfurth to the middle of the bridge over river Leitha (railwayborder between ÖBB - Raab-Ödenburg-Ebenfurt (Austria)</t>
  </si>
  <si>
    <t>Am 8. April 2009, 15:10 Uhr kam Zug 41186  beim haltzeigenden Einfahrsignal des Bahnhof Ebenfurth zum Stillstand. Ein Anrainer beobachtete bei der Eisenbahnkreuzung km 115,874 eine Staubwolke und meldete dies persönlich dem Triebfahrzeugführer von Zug 41186. Der Triebfahrzeugführer hielt Nachschau und stellte die Entgleisung der vorlaufenden Achse des 6. Wagens (2 x 2 achsiger Containertragwagen) fest. // On 8 April 2009, at 15:10, train 41186 stopped at the entry signal of station Ebenfurth. A local residents watched at the level crossing in km 115.874 a dust cloud and notified personally the engine driver of train 41186. The engine driver reviewed and realized the derailment of the leading axle of the 6. wagon (2 x 2 axle container-carrying wagon).</t>
  </si>
  <si>
    <t>ÖBB-Strecke 17101 von Bahnhof Ebenfurth nach Mitte Leithabrücke (Grenze ÖBB - Raab-Ödenburg-Ebenfurther Eisenbahn). // ÖBB-Line 17101 from station Ebenfurth to the middle of the bridge over river Leitha (railwayborder between ÖBB - Raab-Ödenburg-Ebenfurt</t>
  </si>
  <si>
    <t>Track twist</t>
  </si>
  <si>
    <t>loose couplings in the train</t>
  </si>
  <si>
    <t>AT-689</t>
  </si>
  <si>
    <t>Train derailment, 09/04/2009, ÖBB-Strecke 13001 von Knoten Rohr nach Salzburg Hauptbahnhof, Bahnhof St. Peter-Seitenstetten (Verknüpfung mit ÖBB-Strecke 10102). // ÖBB-Line 13001 from station Knoten Rohr to station Salzburg Hauptbahnhof, station St. Peter-Seitenstetten (link with ÖBB- (Austria)</t>
  </si>
  <si>
    <t>Am 9. April 2009, entgleiste Zug 45904 im Bahnhof St.Peter-Seitenstetten beim Wechsel von der Strecke 13001, Gleis 4 auf Strecke 10102, Gleis 2 durch einem Bruch der vorlaufenden Radsatzwelle des 18. Wagens. // On 9 April 2009, train 45904 derailed in station St.Peter-Seitenstetten when switching from line 13001, track 4 to line 10102, track 2 by an axle breakage of the leading axle of the 18th wagon.</t>
  </si>
  <si>
    <t>ÖBB-Strecke 13001 von Knoten Rohr nach Salzburg Hauptbahnhof, Bahnhof St. Peter-Seitenstetten (Verknüpfung mit ÖBB-Strecke 10102). // ÖBB-Line 13001 from station Knoten Rohr to station Salzburg Hauptbahnhof, station St. Peter-Seitenstetten (link with ÖBB-</t>
  </si>
  <si>
    <t>Die Untersuchung ergab, dass die Radsatzwelle durch Ermüdung im Schaft der Radsatzwelle versagte. Ausgangspunkt des Ermüdungsrisses waren mit hoher Wahrscheinlichkeit Korrosionsnarben, deren Geometrie auf die Einwirkung aggressiver Medien hindeutet. Durch die entstehende Kerbwirkung und die daraus resultierende Spannungskonzentration bewirkte den Anriss und schließlich das Wachstum des Ermüdungsrisses im Schaft der Radsatzwelle, bis der Gewaltbruch eintrat.                                                                                                      The investigation revealed that the wheelset axle failed due to fatigue in the shaft of the wheelset axle. The starting point of fatigue crack was most likely corrosion pits whose geometry indicates the influence of aggressive media. Due to the notching and the resulting stress concentration and finally the growth of fatigue crack in the shaft of the wheel axle caused by the violent rupture occurred.</t>
  </si>
  <si>
    <t>HU-719</t>
  </si>
  <si>
    <t>Spad, 14/04/2009, Line 20: Szekesfehervar station (Hungary)</t>
  </si>
  <si>
    <t>Train No. 246 passed over the exit signal, which didn’t work properly. The exit signal didn’t show any sign, because its red light bulb was burnt out.</t>
  </si>
  <si>
    <t>Line 20: Szekesfehervar station</t>
  </si>
  <si>
    <t>SI-667</t>
  </si>
  <si>
    <t>Accident to persons caused by RS in motion, 15/04/2009, Between station Rimske Toplice and LaÅ¡ko in km 514.973; left track in double track line Zidani Most - Maribor. (Slovenia)</t>
  </si>
  <si>
    <t>Freight train number 52102 running between station Rimske Toplice and Laško on left track double-track run over railway worker – Internal Infrastructure Staff._x000D_
Individual hit by a moving train, when walking alongside a track.</t>
  </si>
  <si>
    <t>Between station Rimske Toplice and LaÅ¡ko in km 514.973; left track in double track line Zidani Most - Maribor.</t>
  </si>
  <si>
    <t>DE-674</t>
  </si>
  <si>
    <t>Trains collision, 16/04/2009, Berlin-Karow; hinter Ausfahrsignal // behind the exit signal (Germany)</t>
  </si>
  <si>
    <t>Regionalexpress 38399 fuhr im Bahnhof Berlin-Karow auf den ausfahrenden Güterzug 53185 auf. 11 Reisende leicht verletzt. //_x000D_
In the station of Berlin-Karow the regional train 38399 reared on freight train 53185, which was moving out of the station. 11 passengers slightly injured.</t>
  </si>
  <si>
    <t>Berlin-Karow; hinter Ausfahrsignal // behind the exit signal</t>
  </si>
  <si>
    <t>DB Schenker Rail Deutschland AG; 
DB Regio AG</t>
  </si>
  <si>
    <t>ES-707</t>
  </si>
  <si>
    <t>Spad, 17/04/2009, El Caleyo station (Asturias), kilometre point 134,300, 130 Venta de Baños-Gijón railway line. (Spain)</t>
  </si>
  <si>
    <t>Passenger train nº22126 did not stop at the station signal which stated stop aspect. As a result, the ASFA system worked, causing the train to stop after it had run for 60 metres before its collision with another train that was in the same track section, waiting at the exit station signal(announcement to stop).</t>
  </si>
  <si>
    <t>El Caleyo station (Asturias), kilometre point 134,300, 130 Venta de Baños-Gijón railway line.</t>
  </si>
  <si>
    <t>The collision was caused as the train driver ignored the signal indication.</t>
  </si>
  <si>
    <t>HU-720</t>
  </si>
  <si>
    <t>Train derailment, 21/04/2009, Line 80: Vamosgyork station (Hungary)</t>
  </si>
  <si>
    <t>The first and second wagon of the train No. 53041 derailed as it was leaving the station, because a drag shoe was left under the first bogie of the first wagon.</t>
  </si>
  <si>
    <t>Line 80: Vamosgyork station</t>
  </si>
  <si>
    <t>FLOYD Zrt.</t>
  </si>
  <si>
    <t>CZ-734</t>
  </si>
  <si>
    <t>Train derailment, 24/04/2009, Cercany station, km 144,478 (Czech Republic)</t>
  </si>
  <si>
    <t>Derailment of 4 wagons of freight train No. 1.nsl 69911 while running</t>
  </si>
  <si>
    <t>Cercany station, km 144,478</t>
  </si>
  <si>
    <t>OKD</t>
  </si>
  <si>
    <t>FI-676</t>
  </si>
  <si>
    <t>Level crossing accident, 25-04-09, Raasepori, Mustio /Ingvallsby level crossing, unprotected. Hyvinkää-Karjaa section of line. (Finland)</t>
  </si>
  <si>
    <t>Fatal level crossing accident, freight train - car.</t>
  </si>
  <si>
    <t>Raasepori, Mustio /Ingvallsby level crossing, unprotected. Hyvinkää-Karjaa section of line.</t>
  </si>
  <si>
    <t>The direct cause of the accident was the car driver driving onto the level crossing as a freight train approached simultaneously from the right. It has not been ascertained why the car driver drove onto the level crossing.</t>
  </si>
  <si>
    <t>It is possible that: the driver noticed the train but had insufficient time to stop the car before reach-ing the crossing, either the car driver was unaware of the approaching train or judged that the crossing could be completed before the train’s arrival, the driver accidentally pressed the accelerator instead of the brakes. With leftwards visibility of only 205 metres, it is possible that the car driver was focusing on the side with poorer visibility. The result was that the driver either looked to the right too late or failed to do so altogether.</t>
  </si>
  <si>
    <t>SE-683</t>
  </si>
  <si>
    <t>Runaway, 2009-05-02, Östavall station and open line between Östavall and Alby. Östavall station is situated on the line between Ljusdal and Ånge (Sweden)</t>
  </si>
  <si>
    <t>On 2 May 2009, at. 14:20 train 46819 with empty wagons arrived at Östavall marshalling yard, 50 minutes before the scheduled time. The driver de-coupled the engine and switched it over to the other end of the trainset. Then the driver went back to the place where the locomotive had previously been, stood on the rearmost car and backed into the train to the timber terminal at the operation site's southern part._x000D_
_x000D_
When the carriages had been set up in the timber terminal, the driver drove back to the Ånge at. 14:36??, 84 minutes before the scheduled time, with only the locomotive as train 85090_x000D_
_x000D_
Some time after that the carriages provided on the terminal began to roll out of the main grooves on Östavalls operating site. At 15:30 acclaimed a private individual cars when they rolled through the operation site and went out on the line against the Steamers (Alby)._x000D_
_x000D_
The wagons were found at kilometer 467, about three miles north of Östavall. 
Lördagen 2 maj 2009 inträffade ett tillbud med vagnar som rullande okontrollerat på sträckan Östavall – Alby._x000D_
_x000D_
Vagnarna hade tidigare samma dag transporterats från Östavall till timmerterminalen i Töva för att sedan återigen köras tillbaka till timmerterminalen i Östavall för att lastas med timmer._x000D_
_x000D_
När tåget kom till Östavall var föraren tvungen att flytta loket till andra änden av tågsättet för att kunna backa med vagnarna till timmerterminalen._x000D_
_x000D_
När föraren hade backat in till timmerterminalen i Östavall kopplade han loss vagnarna och ställde upp dem på terminalen. Därefter körde han loket till Ånge kl. 14.35 som tåg 85090._x000D_
_x000D_
En privatperson som befann sig i närheten av järnvägen i Östavall uppmärksammade att det fanns vagnar som rullade och kontaktade kl. 15.27 fjärrtågklareraren i Ånge för att meddela att det fanns vagnar som rullade i Östavall._x000D_
_x000D_
Fjärrtågklareraren hade strax innan samtalet uppmärksammat att det fanns en kortsluten spårledning i Östavall och hade börjat undersöka vad detta kunde vara._x000D_
_x000D_
Vagnarna rullade ca 4 km på uppspåret innan de stannade. Händelsen orsakade inga skador men om ett tåg hade befunnit sig på uppspåret på väg mot Östavall hade en kollision kunnat inträffa._x000D_
_x000D_
HÄNDELSEFÖRLOPPET_x000D_
Den 2 maj 2009 kl. 14.20 ankom tåg 46819 med tomma timmervagnar till Östavall, 50 minuter före planerad tid. Föraren kopplade av loket och växlade över det till tågsättets andra ände. Därefter gick föraren tillbaka till den plats där loket tidigare hade befunnit sig, ställde sig på den bakersta vagnen och backade in tågsättet till timmerterminalen vid driftplatsens södra del._x000D_
_x000D_
När vagnarna hade ställts upp på timmerterminalen körde föraren tillbaka till Ånge kl. 14.36, 84 minuter före planerad tid, med enbart loket som tåg 85090._x000D_
_x000D_
En tid efter det att vagnarna lämnats på terminalen började de rulla ut mot huvudspåren på Östavalls driftplats. Klockan 15.30 uppmärksammade en privatperson vagnarna när de rullade igenom driftplatsen och fortsatte ut på linjen mot Ånge (Alby)._x000D_
_x000D_
Vagnarna påträffades vid kilometer 467, ungefär tre kilometer norr om Östavall.</t>
  </si>
  <si>
    <t>Östavall station and open line between Östavall and Alby. Östavall station is situated on the line between Ljusdal and Ånge</t>
  </si>
  <si>
    <t>Hector Rail AB</t>
  </si>
  <si>
    <t>The wagons was not secured according the rule book. 
Den direkta orsaken till att vagnarna kom i rullning var att vagnarna inte säkrades mot rullning när de ställdes upp på Östavalls timmerterminal.</t>
  </si>
  <si>
    <t>Underlying causes of the carriages are not secured against rolling was that it had developed a practice of not blocking carriages from rolling and that the company's safety management system had not detected this._x000D_
_x000D_
Another underlying reason was that protective switch was not in a position protecting the main track from movements from the side track. 
Bakomliggande orsaker till att vagnarna inte säkrades mot rullning var att det hade utarbetats en praxis att inte säkra vagnarna mot rullning och att företagets säkerhetsstyrningssystem inte hade fångat upp detta._x000D_
_x000D_
Ytterligare bakomliggande orsak var att skyddsväxeln inte låg i ett läge som skyddade huvudspåret mot rörelser från sidospåret.</t>
  </si>
  <si>
    <t>UK-708</t>
  </si>
  <si>
    <t>Level crossing accident, 06/05/2009, Fairfield Level Crossing, Bedwyn, Wiltshire (United Kingdom)</t>
  </si>
  <si>
    <t>The RAIB is carrying out an investigation into a fatal accident at Fairfield level crossing, Bedwyn, Wiltshire on 6 May 2009. The accident occurred at 17:30 hrs when the 17:08 hrs First Great Western service from Newbury to Bedwyn struck and killed a woman and a dog on the level crossing.</t>
  </si>
  <si>
    <t>Fairfield Level Crossing, Bedwyn, Wiltshire</t>
  </si>
  <si>
    <t>The immediate cause of the accident was that Mrs Canning walked onto the crossing as the train approached and was unable to get clear in time to avoid being struck (paragraph 60).</t>
  </si>
  <si>
    <t>Possible causal factors were: that (although there is no direct evidence) as she approached the crossing, Mrs Canning may have been distracted when making her decision to cross the line by the presence of her dogs (paragraph 73); the way that pedestrians approaching the crossing may have used the longer view of approaching trains obtainable from a position a short distance back from the gate on the up side (paragraph 71); and the absence of ‘whistle’ boards on the approach to the crossing (paragraph 69). A possible contributory factor was the absence of an adequate risk assessment for the level crossing (paragraph 85). An underlying factor was the difficulty of closing the level crossing, and its continued availability to members of the public as a footpath (paragraph 100).</t>
  </si>
  <si>
    <t>HU-721</t>
  </si>
  <si>
    <t>Level crossing accident, 08/05/2009, Line 116: Between Vasarosnameny and Nyirmada stations (Hungary)</t>
  </si>
  <si>
    <t>Train No. 36015 collided with a lorry at a level crossing without any form of warning system. The LC was marked only with a St. Andrew’s cross. The conductor of the train died at the site of the accident.</t>
  </si>
  <si>
    <t>Line 116: Between Vasarosnameny and Nyirmada stations</t>
  </si>
  <si>
    <t>CZ-825</t>
  </si>
  <si>
    <t>Trains collision, 16/05/2009, Ceska Trebova station, marshalling yard, track No. 233 (Czech Republic)</t>
  </si>
  <si>
    <t>Uncontrolled movement of 5 wagons with consequent collision with a stationary locomotive, followed by collision with a buffer stop and derailment.</t>
  </si>
  <si>
    <t>Ceska Trebova station, marshalling yard, track No. 233</t>
  </si>
  <si>
    <t>(a) the seriousness of the accident or incident; 
(d) requests from infrastructure managers the safety authority or the Member State"</t>
  </si>
  <si>
    <t>FR-726</t>
  </si>
  <si>
    <t>Trains collision, 20/05/2009, Tunnel of LIVERNAN; Double track line between Angouleme and Bordeaux (France)</t>
  </si>
  <si>
    <t>Mobile arm of a forestry machine loaded on flat wagon moves out of gauge on ECR freight train coming from Germany and hits violently a crossing SNCF train. ECR train derails in the tunnel.</t>
  </si>
  <si>
    <t>Tunnel of LIVERNAN; Double track line between Angouleme and Bordeaux</t>
  </si>
  <si>
    <t>Deutsche Bahn; 
Société Nationale des Chemins de fer Français; 
EuroCargoRail</t>
  </si>
  <si>
    <t>Uncorrect securing of mobile parts of the forestry machines by inexperinced  sender; ineffective checks of the loading by the RU; lack of reaction of crossing train drivers</t>
  </si>
  <si>
    <t>RU's loading advisers and inspectors did not pay sufficient attention to the securing of the mobile parts; driver of crossing train did not react when hearing abnormal noises._x000D_
Effective presence of RU's advisers during loading operations by inexperienced senders was not required by the procedure for sensible sendings; measures to be taken by drivers when hearing abnormal noises were not clear.</t>
  </si>
  <si>
    <t>BE-743</t>
  </si>
  <si>
    <t>Accident to persons caused by RS in motion, 23-05-09, Dinant (Belgium)</t>
  </si>
  <si>
    <t>Because the start of the train was ordered by the chief of train, he refused boarding to a passenger who arrived to late._x000D_
In the scuffle which follows, the two people fall between the platform and the train. They are hit by the starting train  and seriously injured.</t>
  </si>
  <si>
    <t>Dinant</t>
  </si>
  <si>
    <t>Sur base des éléments en notre possession, la cause de l’accident qui a occasionné de graves mutilations aux victimes est le démêlé intervenu entre un voyageur et un accompagnateur suivi d’une_x000D_
perte d’équilibre à la suite d’une tentative d’embarquement/débarquement par la dernière porte_x000D_
laissée ouverte. 
Based on the elements in our possession, the cause of the accident which caused serious mutilation of victims is reached between a traveler and a accompanying person, followed by a loss of balance after a boarding/debarkation attempt by the last door left open.</t>
  </si>
  <si>
    <t>EE-722</t>
  </si>
  <si>
    <t>Level crossing accident, 24/05/2009, Open line between Rakke and Vägeva stations on the Vägeva level crossing (km 359,001). (Estonia)</t>
  </si>
  <si>
    <t>Car Fiat-Doblo collided with a passenger train.</t>
  </si>
  <si>
    <t>Open line between Rakke and Vägeva stations on the Vägeva level crossing (km 359,001).</t>
  </si>
  <si>
    <t>The direct cause of the accident was human error, where the slightly intoxicated driver was inattentive and chose high a driving speed, incompatible with traffic conditions.</t>
  </si>
  <si>
    <t>FI-723</t>
  </si>
  <si>
    <t>Level crossing accident, 5/24/2009, Eurajoki, Köykäntie level crossing, unprotected. Rauma - Tampere section of line. (Finland)</t>
  </si>
  <si>
    <t>On Sunday, 24 May 2009, at 2:28 p.m., a fatal level-crossing accident occurred on the Köykäntie unprotected level crossing in Eurajoki. The accident occurred when a car en route from Lapijoki village to the centre of Eurajoki drove onto the level crossing in front of a freight train en route from Rauma to Tampere. The only person in the car was the driver, who died from his injuries despite first aid. Damage caused by the accident to track equipment amounted to some € 5,000.</t>
  </si>
  <si>
    <t>Eurajoki, Köykäntie level crossing, unprotected. Rauma - Tampere section of line.</t>
  </si>
  <si>
    <t>The accident probably occurred because the driver did not notice that the car, which was equipped with an automatic gearbox, started moving slowly forward as the driver was reaching into the car's right front seat or leg space. This may have been because the driver was searching through a bag or picking one up that had fallen off the seat after braking. The driver had stopped the car ahead of the level crossing, probably due to having noticed the approaching train.</t>
  </si>
  <si>
    <t>NO-782</t>
  </si>
  <si>
    <t>Train derailment, 25/05/2009, Ørtfjell station (Norway)</t>
  </si>
  <si>
    <t>At the exit from Ørtfjell station the points were not set in the correct position, which lead the mine train to a short branch line where the train ran out of track and derailed. The mine locomotive ran off the track and stopped in the middle of a steep downhill, while the mineral wagons were still on the track. The derailment was the result of point 1 and 4 not set to the right position for the mine train 5960, after the night train from Bodø to Trondheim had passed the station earlier.</t>
  </si>
  <si>
    <t>Ørtfjell station</t>
  </si>
  <si>
    <t>Two Points was not operated in right positions</t>
  </si>
  <si>
    <t>UK-731</t>
  </si>
  <si>
    <t>Train derailment, 01/06/2009, Cummersdale, Cumbria (United Kingdom)</t>
  </si>
  <si>
    <t>The accident occurred at 14:08 hrs when the 13:05 hrs Northern Rail service from Whitehaven to Carlisle derailed on a buckle on the track.  The train consisted of a single carriage Class 153 diesel unit, the front bogie of which derailed at a speed of between 20 mph (32 km/h) and 25 mph (40 km/h).  The train was already braking, and stopped some 25 metres after derailing.</t>
  </si>
  <si>
    <t>Cummersdale, Cumbria</t>
  </si>
  <si>
    <t>The immediate cause of the accident was the right leading wheel flange climbing over the six-foot rail as train 2C31 ran over a severe track buckle.</t>
  </si>
  <si>
    <t>Causal factors were: the warm weather on 1 June 2009, which was a normal condition (paragraph 38); the expansion gaps in the jointed track were not sufficient (paragraph 43 and recommendation 1); the control of rail creep in the area of the derailment was not effective, resulting in accelerated closure of installed expansion gaps (paragraph 50 and recommendations 1 and 3); the tight joints were not reported prior to the derailment because track patrollers and maintainers were not aware of the sensitivity of the site to joint closure and buckling; this was probably causal (paragraph 54 and recommendations 1 and 2);the track was disturbed at a naturally weak point on the day before the derailment and returned to service without any form of mitigation (paragraph 59 and recommendations 1 and 2); there was a lack of recognition of the risk being imported by disturbing the track on 31 May 2009; this was probably causal (paragraph 64 and recommendation 1); the speed of train 2C31, whilst examining the line was too high, due to a lack of caution by the driver (paragraphs 70, 114 and recommendation 5); the signaller instructed the driver of train 2C31 to examine the line instead of waiting for a track examiner to check it (paragraph 77 and recommendation 4); the signaller omitted to instruct the driver not to exceed 20 mph (32 km/h) (paragraphs 82, 113, no recommendation); and the signaller did not accurately convey to the driver the nature of the track defect (paragraphs 86, 113, no recommendation).  	Contributory factors were : the sensitivity of the 120 ft rails to joint closure in hot weather (paragraph 45 and recommendation 2); the increased workload pressure on the track maintainers in the lead up to the derailment, which was a possible contributory factor (paragraphs 68, 112, no recommendation); and there was a lack of clarity at Carlisle signal box as to when the Rule Book requirement to stop trains and have the line examined by a rail defect examiner, applied to track problems (paragraph 80 and recommendation 4).The underlying causes were: there was no consolidated mandatory standard for the management and maintenance of jointed track which covered all the key preparation and maintenance tasks necessary for hot weather (paragraph 90 and recommendation 1); there was a general lack of awareness at local level about the potential for track buckling at this site (paragraph 92 and recommendation 2); and there is a lack of clarity in the Rule Book for drivers’ rules about the maximum speed when examining the line for track defects (paragraph 94 and recommendation 5).</t>
  </si>
  <si>
    <t>ES-768</t>
  </si>
  <si>
    <t>Level crossing accident, 05/06/2009, Maçanet-Massanes station (Gerona), at level crossing type C, kilometre point 176,126; 270 Portbou-Cerbere-Barcelona-Sant Andreu Comtal railway line (Spain)</t>
  </si>
  <si>
    <t>Freight train 93559 hit a road vehicle which was crossing the level crossing when the barriers were lowered and the flashing lights and warning bell were working. As a result the car driver died.</t>
  </si>
  <si>
    <t>Maçanet-Massanes station (Gerona), at level crossing type C, kilometre point 176,126; 270 Portbou-Cerbere-Barcelona-Sant Andreu Comtal railway line</t>
  </si>
  <si>
    <t>The victim crossed the level crossing while the barriers were lowered and the flashing lights and warning bell were.</t>
  </si>
  <si>
    <t>NO-739</t>
  </si>
  <si>
    <t>Fire in RS, 07/06/2009, Nationaltheateret stasjon (Norway)</t>
  </si>
  <si>
    <t>A monitor for public information inside the train cought fire. The fire burned throug a aluminium plate and gained access to the ventilation system for the coaches. Heavy smoke spread though the train. The accident took, by pure luck, place when the train stood still on the station, an after the passenger had left the train.</t>
  </si>
  <si>
    <t>Nationaltheateret stasjon</t>
  </si>
  <si>
    <t>FI-737</t>
  </si>
  <si>
    <t>Train derailment, 16-06-09, Toijala railway yard. (Finland)</t>
  </si>
  <si>
    <t>Ten wagons derailed.</t>
  </si>
  <si>
    <t>Toijala railway yard.</t>
  </si>
  <si>
    <t>The derailment of the freight train was caused by a switch turning underneath the train. The Investigation Commission considers it likely that as a combined result of track geometry, switch adjustments, the oscillatory properties of the switch, and the rolling stock passing through the turnout, the switch lock became unlocked as the train passed over it. In the ensuing investigation, it was shown that it was possible to force open the switch lock by exposing the switch blade to mechanic oscillation at the frequency same as caused by the axles of the freight train in question.</t>
  </si>
  <si>
    <t>It also became apparent in the investigation that the Railex locking device had been adjusted eccentrically, and that the switch contactors at the locking device allowed the closed switch blade to move in excess of the reference value.</t>
  </si>
  <si>
    <t>ES-773</t>
  </si>
  <si>
    <t>Spad, 18/06/2009, Madrid Chamartín station (Madrid), kilometre point 0,000. 100 Madrid-Hendaya railway line. (Spain)</t>
  </si>
  <si>
    <t>Train 27209 overtook the signal at the end of the station which stated a stop aspect. This caused a near miss train collision with train 752 which had been authorized to enter the station. The former, which had just resumed the motion to leave the station, improperly overtook the exit signal. As a result, the ASFA system worked, avoiding the likely collision with train 752.</t>
  </si>
  <si>
    <t>Madrid Chamartín station (Madrid), kilometre point 0,000. 100 Madrid-Hendaya railway line.</t>
  </si>
  <si>
    <t>The SPAD was caused as the train driver ignored the signal indication.</t>
  </si>
  <si>
    <t>HU-732</t>
  </si>
  <si>
    <t>Level crossing accident, 19/06/2009, Line 109:Between Hajdunanas and Tiszavasvari stations LC: AS466 (Hungary)</t>
  </si>
  <si>
    <t>Passenger train No 36616 collided with a tractor in a well operated LC. In consequence of collision the trailer of the tractor hit a man standing at the LC.</t>
  </si>
  <si>
    <t>Line 109:Between Hajdunanas and Tiszavasvari stations LC: AS466</t>
  </si>
  <si>
    <t>CZ-736</t>
  </si>
  <si>
    <t>Train derailment, 22/06/2009, Olomouc main station, crossover between switches No. 9 and 13, km 205,238 (Czech Republic)</t>
  </si>
  <si>
    <t>Derailment of 3 empty wagons of freight train No. Pn 59630 during arrival to the station Olomouc main station. 3 empty wagons were to the transport of dangerous goods.</t>
  </si>
  <si>
    <t>Olomouc main station, crossover between switches No. 9 and 13, km 205,238</t>
  </si>
  <si>
    <t>vertical force loss (Its cause can not be found, because derailedbogies were destroyedand their parts were spread around. The parts had no identification, so it was impossible to find out whitch part belonged to which bogie. Thus it was unable to inspect wagons' condition and their interaction with switches No. 9 and 13 of Olomouc hl. n. station.)</t>
  </si>
  <si>
    <t>not found_x000D_
not found</t>
  </si>
  <si>
    <t>ES-769</t>
  </si>
  <si>
    <t>Level crossing accident, 22/06/2009, Infiesto station (Asturias), level crossing, type C, at kilometre point 361,975 at Ferrol-Bilbao railway line (Spain)</t>
  </si>
  <si>
    <t>A man is hit by a regional train when he was crossing the LC despite its barriers were down and its acoustic and light devices were working.</t>
  </si>
  <si>
    <t>Infiesto station (Asturias), level crossing, type C, at kilometre point 361,975 at Ferrol-Bilbao railway line</t>
  </si>
  <si>
    <t>CZ-759</t>
  </si>
  <si>
    <t>Trains collision, 23/06/2009, Brno station, shunting area "B", track No. 512 (Czech Republic)</t>
  </si>
  <si>
    <t>A shunting locomotive 362.171-1 went out of control and collided with an empty carriages.</t>
  </si>
  <si>
    <t>Brno station, shunting area "B", track No. 512</t>
  </si>
  <si>
    <t>spontaneous acceleration due to faulty electric signal</t>
  </si>
  <si>
    <t>card No. A0311 (Supervisory card) installed in improper slot_x000D_
card configuration check not required</t>
  </si>
  <si>
    <t>ES-770</t>
  </si>
  <si>
    <t>Trains collision, 26/06/2009, Aluche station (Madrid), kilometre point 7,700 at 920 Móstoles El Soto-Parla railway line. (Spain)</t>
  </si>
  <si>
    <t>Train 27321, which was stopped at the station, is collided by train 27319 after the latter moved backwards improperly, without any authorisation. Train 27319 had just left Aluche station, but doors didn’t open so, after running few metres, a passenger used emergency brake. This made the train to stop, and then the train driver, on his own initiative, moved the train backwards colliding with the train 27321, whose second bogie was derailed. Train 27321 driver, which had realised the other train was moving backwards, made the passengers evacuate. Fortunately, nobody was seriously injured.</t>
  </si>
  <si>
    <t>Aluche station (Madrid), kilometre point 7,700 at 920 Móstoles El Soto-Parla railway line.</t>
  </si>
  <si>
    <t>The accident was caused when the train improperly moved back</t>
  </si>
  <si>
    <t>ES-774</t>
  </si>
  <si>
    <t>Spad, 26/06/2009, Humanes station (Madrid), kilometre point 22,800 at 500 Madrid-Valencia de Alcántara railway line. (Spain)</t>
  </si>
  <si>
    <t>Train HU171 almost collided with train LU110 which was stopped at the station signal (red aspect). Train HU171 ,which was stopped at Humanes station´s track 1, when trying to restart its march, is allowed, by the train dispatcher, to overrun the exit signal which was red. Therefore, the train dispatcher sets the route for this train and moves the switch nº4 to the appropriate position. Meanwhile, the train dispatcher sets the route for train LU110, which was arriving at Humanes station (also track one), moving the switch nº4 again. Before the train HU171 arrives at switch nº4, the driver realises it´s not in the right position, makes the train to stop and warns the train dispatcher of this situation.</t>
  </si>
  <si>
    <t>Humanes station (Madrid), kilometre point 22,800 at 500 Madrid-Valencia de Alcántara railway line.</t>
  </si>
  <si>
    <t>The incident was caused when the train dispatcher failed to set the right route for the train HU171.</t>
  </si>
  <si>
    <t>CZ-760</t>
  </si>
  <si>
    <t>Spad, 27/06/2009, Rajec-Jestrebi station, track No. 2 (Czech Republic)</t>
  </si>
  <si>
    <t>Uncontrolled movement of Eurocity train No. 174 - train went without train-driver for several hundreds meters and passed "red" signal.</t>
  </si>
  <si>
    <t>Rajec-Jestrebi station, track No. 2</t>
  </si>
  <si>
    <t>Contributory factor: runaway train wasn't stop immediately.</t>
  </si>
  <si>
    <t>DE-738</t>
  </si>
  <si>
    <t>Fire in RS, 2009-06-27, Loevenich - Horrem in km 13,8 (Germany)</t>
  </si>
  <si>
    <t>Regional Express 10132 wegen fester Bremse liegengeblieben._x000D_
Wegen starker Rauchentwicklung im Zug Reisende auf freier Strecke ausgestiegen. 
Regional Express 10132 broke down due to fixed brake. Because of extensive smoke in the train passengers disembarked on the open line.</t>
  </si>
  <si>
    <t>Loevenich - Horrem in km 13,8</t>
  </si>
  <si>
    <t>DB Regio NRW GmbH</t>
  </si>
  <si>
    <t>Zusatzbremse wurde nicht oder nicht vollständig gelöst 
Additional brake was not or not completely dissolved</t>
  </si>
  <si>
    <t>IT-740</t>
  </si>
  <si>
    <t>Train derailment, 29-06-09, line Livorno - La Spezia, Viareggio station (Italy)</t>
  </si>
  <si>
    <t>On 29 June 2009, at 23h48m, the train n.50325 operated by the railway company Trenitalia SpA, going southward and composed of 14 tank wagons carrying butane gas, derailed as it entered the railway station of Viareggio. On the section of the track were the derailment occurred there are no switches.  Following the derailment of the 1st wagon (wagon No. 338078182106, owned by GATX Rail Austria GmbH and registered at the German state network DB), the wagon itself hit the platform and the train continued moving until the end of the station. It stopped about 200 m after the platform, with the first 5 tank wagons overturned on the left, with respect to the direction of the train. In total, the train has continued running for about 500 meters beyond the track section where the derailment occurred. The first 5 tank wagons overturned, the 6th and the 7th wagon derailed without overturning and the last 7 wagons remained on the track. After few minutes there was a powerful explosion that damaged very seriously the rail infrastructure (the track, the catenary, the signalling equipments) and the houses on the surroundings, causing several fatalities and serious injuries.</t>
  </si>
  <si>
    <t>line Livorno - La Spezia, Viareggio station</t>
  </si>
  <si>
    <t>Trenitalia Cargo</t>
  </si>
  <si>
    <t>Axle failure due tu fatigue</t>
  </si>
  <si>
    <t>See the final report in attachment_x000D_
See the final report in attachment</t>
  </si>
  <si>
    <t>CZ-761</t>
  </si>
  <si>
    <t>Level crossing accident, 01/07/2009, Passive level crossing (protected with traffic sign only) in km 2.067 between Hodonin-statni hranice and Holic nad Moravou (Slovak Republic) stations (Czech Republic)</t>
  </si>
  <si>
    <t>Long distance passenger train No. 30276 collided with a lorry.</t>
  </si>
  <si>
    <t>Passive level crossing (protected with traffic sign only) in km 2.067 between Hodonin-statni hranice and Holic nad Moravou (Slovak Republic) stations</t>
  </si>
  <si>
    <t>CZ-892</t>
  </si>
  <si>
    <t>Train derailment, 01/07/2009, Open line between Strancice and Senohraby stations (Czech Republic)</t>
  </si>
  <si>
    <t>Derailment of 1 wagon of freight train No. 66803 while running between Strancice and Senohraby stations</t>
  </si>
  <si>
    <t>Open line between Strancice and Senohraby stations</t>
  </si>
  <si>
    <t>Elektrizace železnic Praha a.s.</t>
  </si>
  <si>
    <t>change of the track's position under the second wagon of the freight train and track distortion by construction activities</t>
  </si>
  <si>
    <t>disturbance of superstructure and substructure of the track because of  incorrect technological procedures_x000D_
IM ignored the obligation to implement the safety management system into the internal units of RU</t>
  </si>
  <si>
    <t>FR-747</t>
  </si>
  <si>
    <t>Trains collision with an obstacle, 03/07/2009, Double track line between Limoges and Brives (France)</t>
  </si>
  <si>
    <t>Agricultural trailer loaded with hay falls on the railway as it tumbles down the slope._x000D_
Hit by  the locomotive of the train, the trailer is projected and the falls back on a passenger car.</t>
  </si>
  <si>
    <t>Double track line between Limoges and Brives</t>
  </si>
  <si>
    <t>Hand brake and chocks used by the farmer to immobilise the trailer were inefficient and the alert was given to late. Misunderstanding between dipatcher and train drivers led to insufficient measures to stop the passender train in time.</t>
  </si>
  <si>
    <t>Insufficient discipline in safety  radio communications; electric cut-out not included in dispatchers' procedures</t>
  </si>
  <si>
    <t>IE-742</t>
  </si>
  <si>
    <t>Train derailment, 03/07/2009, Limerick Junction (Ireland)</t>
  </si>
  <si>
    <t>On Track Machine was partially derailed at a set of points in Limerick Junction.Two on-track machines (703 and 741)  coupled together were making a signalled move from the Down Main to the sidings. The leading machine (no.703) derailed on points facing to the movement (trailing for passenger services operating in normal direction of travel). The leading axle derailed and travelled for approximately nine metres, with the vehicle continuing along the Down Main.</t>
  </si>
  <si>
    <t>Limerick Junction</t>
  </si>
  <si>
    <t>The derailment of the wheels as a result of the wheels taking diverging routes on the track due to the poor interface created by degraded condition of the switch rail and the wheel profile.</t>
  </si>
  <si>
    <t>Lack of measurement of the wheel profiles as part of the maintenence of the On Track Machine and following previous derailments.</t>
  </si>
  <si>
    <t>UK-749</t>
  </si>
  <si>
    <t>Other, 04/07/2009, Eden Valley, south of Carlisle on West Coast mainline (United Kingdom)</t>
  </si>
  <si>
    <t>Collisions between freight container doors and three passenger trains south of Carlisle on the West Coast Main Line on 4 July 2009._x000D_
The collisions occurred between 16:02 hrs and 16:26 hrs on 4 July 2009, and involved open doors on two containers on train 4M16, the 10:39 hrs from Grangemeouth to Daventry.  The doors struck three passenger trains, one heading north at Penrith, Cumbria, and two heading south at Eden Valley loop, three miles south of Penrith.</t>
  </si>
  <si>
    <t>Eden Valley, south of Carlisle on West Coast mainline</t>
  </si>
  <si>
    <t>Direct Rail Services; 
Virgin Trains Ltd</t>
  </si>
  <si>
    <t>The immediate cause of the collisions was that the container doors had come open, without this having been identified.</t>
  </si>
  <si>
    <t>The doors of the containers were probably open as a result of criminal action in the area of Junction ‘A’. The available evidence indicates that the open container doors were closed and sealed when train 4M16 left the rail terminal.  Tesco records indicate that they were sealed closed on 3 July 2009.  There are no reports of doors being open during the loading of containers onto train 4M16, nor during its despatch examination prior to departure from the terminal.  The RAIB concludes that the container doors must have come open en route. Station CCTV records at two stations north of Junction ‘A’ do not show any open container doors on train 4M16.  However, station CCTV records from the three stations south of the Junction show the doors to be open.  Container door handles are designed to remain locked shut without any external locking, and are not prone to opening under vibration (Figure 6).  The distance between the station north of Junction ‘A’, where CCTV showed the containers closed, and the station to the south, where the CCTV showed them open, is approximately eight miles.  Two doors on adjacent wagons coming open within eight miles indicates a common cause rather than two independent random events.  Therefore their opening is likely to have been the result of some external interference while the train was stationary.  Junction ‘A’ is the only location where train 4M16 was stationary between leaving the junction adjacent to the terminal and passing the first station south of Junction ‘A’, where the doors were open.  The RAIB concludes that criminal action at Junction ‘A’, involving trespass onto the railway, breaking the seals and opening the two doors is the most likely cause of the open doors. The seals used on these containers were sacrificial plastic seals which are easily removed by hand; other more robust security seals exist, although these can still be removed by bolt cutters.  Witness evidence indicated that there is a concern over using heavy duty security seals on curtain-sided containers because it may cause criminals to cut the curtains of the containers to access the contents, which in turn introduces a risk onto the railway.  However, it is considered that the use of heavy-duty security seals may deter opportunistic criminals.  The use of the light-weight sacrificial seals is a probable contributory factor to the incident. The collisions with the passenger trains occurred because there was no feature on the container or wagon to prevent container doors, once they had come open, from going out of gauge. Freight operating companies generally attempt to load containers onto wagons such that the doors are against headstocks or other container doors.  This approach limits access to the doors during transit and prevents any open doors going outside the loading gauge.  However, when loading a 45 foot container onto an IKA wagon it is not possible to locate the doors adjacent to a headstock, as it is only possible to load one container per half wagon, and the container has to be loaded centrally to distribute the weight satisfactorily (Figure 7).  There are no other features on an IKA wagon that would prevent a door that has come open from going outside the loading gauge.  The lack of possible loading arrangements and physical features preventing doors that have come open from going out of gauge are contributory factors to the incident. At present, there is nothing in Railway Group Standards concerning security of containers or about ensuring that doors do not swing outside of the loading gauge.  However, the Rail Safety and Standards Board (RSSB) is developing a Guidance Note on freight train operations.  It is proposed that this will contain the following clause to address the security of the load with respect to the risks that it may pose if it is tampered with. Load integrity and security should be carefully considered so that possible problems that may arise during the journey can be identified so that suitable control measures can be put in place, if necessary, before any loads are conveyed by freight vehicles.  Such considerations may include, but should not be limited to: the potential for thieves, vandals or other unauthorised persons to gain access to the load.  In addition to the risk of theft or damage to the load, the possibility that damaged or insecure doors, load coverings or securing equipment on the affected vehicles might present a risk to passing trains or staff on the track should be considered.</t>
  </si>
  <si>
    <t>ES-771</t>
  </si>
  <si>
    <t>Level crossing accident, 06/07/2009, Level crossing,type B, at kilometre point 67,916 at 420 Bobadilla-Algeciras railway line, near Ronda (Málaga) (Spain)</t>
  </si>
  <si>
    <t>A road vehicle crossed the level crossing while the train was coming. The car driver ignored the warning devices that were properly working (acoustic and lights), being hit by the train. As a result, the car driver died.</t>
  </si>
  <si>
    <t>Level crossing,type B, at kilometre point 67,916 at 420 Bobadilla-Algeciras railway line, near Ronda (Málaga)</t>
  </si>
  <si>
    <t>DK-1142</t>
  </si>
  <si>
    <t>Fire in RS, 08-07-09, The fire was observed when the train was on open line, but it continued to nearest station (Denmark)</t>
  </si>
  <si>
    <t>A passenger observed heavy smoke in the passenger compartment of one of the wagons in IC3 MTU MF 5231 and got hold of the train manager who made the driver stop the train. The driver observed open fire and heavy smoke from the middle of the train and at this time received a fire warning. The initial investigations showed that the fire originated from a defective turbocharger. There has been several occurrences of this type before and after this one._x000D_
_x000D_
This incident was the beginning of more than 50 incidents with fire in the same type DMU (IC3 train) over 6 years.</t>
  </si>
  <si>
    <t>The fire was observed when the train was on open line, but it continued to nearest station</t>
  </si>
  <si>
    <t>DK-2014 R 3 af 19.12.2014; _x000D_
Idet der fortsat er hændelser hvor røgdetekteringsanlægge røgdetekteringsanlægget ikke har været aktiveret ved brand eller røgudvikling, og med baggrund i bla at røgdetekteringsanlægget er sidste barriere i 16 af de 39 hasarder som ligger til grund for godkendelsen af remotorisering, bør røgdetekteringsanlæggets funktionalitet revurderes. 
DK-2014 R 3 af 19.12.2014;_x000D_
As there are still incidents where the smoke detection device has not been activated by fire or smoke, and taking into consideration the fact that the smoke detection system is the last barrier for 16 out of 39 hazards for the validation of remotorising, the smoke detection system functionality should be revised</t>
  </si>
  <si>
    <t>ES-772</t>
  </si>
  <si>
    <t>Level crossing accident, 08/07/2009, Villaverde de Pontones flag stop (Cantabria), level crossing type C, at kilometre point 551,254, at Ferrol-Bilbao railway line. (Spain)</t>
  </si>
  <si>
    <t>A car broke the crossing barrier arm of the level crossing (with all its devices working) and remained on the gauge. The driver came out realizing the train (nº 9687) was coming but was unable to avoid being hit. Later, he died.</t>
  </si>
  <si>
    <t>Villaverde de Pontones flag stop (Cantabria), level crossing type C, at kilometre point 551,254, at Ferrol-Bilbao railway line.</t>
  </si>
  <si>
    <t>The car trespassed the level crossing despite its protective devices were working</t>
  </si>
  <si>
    <t>PT-746</t>
  </si>
  <si>
    <t>Accident to persons caused by RS in motion, 08/07/2009, In an urban area, there is a bus stop on the side of the railway line, and people cross the railway line often to go in and out of the bus (Portugal)</t>
  </si>
  <si>
    <t>A couple of old people cross the railway line to pick up a bus on the other side and was caught by the tramway, despite an emergency brake</t>
  </si>
  <si>
    <t>In an urban area, there is a bus stop on the side of the railway line, and people cross the railway line often to go in and out of the bus</t>
  </si>
  <si>
    <t>MTS</t>
  </si>
  <si>
    <t>ES-775</t>
  </si>
  <si>
    <t>Level crossing accident, 13/07/2009, Kilometre point 99,367 at 204 Bif. Huesca-Canfranc railway line, near Sabiñánigo station (Huesca) (Spain)</t>
  </si>
  <si>
    <t>A passenger train (nº15653) hit a truck-trailer which had crossed a private level crossing as the same time the train was approaching. As a result the train collided with the truck which overturned out of the gauge. The truck driver and a passenger were slightly injured.</t>
  </si>
  <si>
    <t>Kilometre point 99,367 at 204 Bif. Huesca-Canfranc railway line, near Sabiñánigo station (Huesca)</t>
  </si>
  <si>
    <t>FI-744</t>
  </si>
  <si>
    <t>Level crossing accident, 14.7.2009, Vihti, Ojakkala, Kotkaniementie level crossing, unprotected. Hyvinkää-Karjaa section of line. (Finland)</t>
  </si>
  <si>
    <t>Freight train collided with a car. The passenger in the car was fatally injured, and the car driver was seriously injured.</t>
  </si>
  <si>
    <t>Vihti, Ojakkala, Kotkaniementie level crossing, unprotected. Hyvinkää-Karjaa section of line.</t>
  </si>
  <si>
    <t>The cause of the accident lay in the car driver’s completely failing to observe the approaching freight train.</t>
  </si>
  <si>
    <t>The car driver was too focused on steady driving when approaching the level crossing.</t>
  </si>
  <si>
    <t>NO-913</t>
  </si>
  <si>
    <t>Level crossing accident, 15/07/2009, At Viken pestrian railway crossing without signals, milestone 122,480 on the Gjøvik Line. (Norway)</t>
  </si>
  <si>
    <t>A person was hit by a train on a pedestrian railway crossing.</t>
  </si>
  <si>
    <t>At Viken pestrian railway crossing without signals, milestone 122,480 on the Gjøvik Line.</t>
  </si>
  <si>
    <t>DE-745</t>
  </si>
  <si>
    <t>Train derailment, 17-07-09, Strecke: Bruchmühlen - Bünde (Germany)</t>
  </si>
  <si>
    <t>Nachdem die Heißläuferortungsanlage bei der Zugfahrt 61084 einen Heißläufer detektierte, wurde der Güterzug in Bünde gestellt. Eine Überprüfung zeigte, dass der 16.Wagen (Gefahrgut UN 1202) mit einem Drehgestell entgleist war. 
After the hot-box detection device detected a hot box at train 61084, the freight train was stopped in Bünde. The check showed that the 16th wagon (Dangerous goods UN 1202) was derailed with a bogie.</t>
  </si>
  <si>
    <t>Strecke: Bruchmühlen - Bünde</t>
  </si>
  <si>
    <t>Heißläufer in Folge eines Schadens am Radsatzlager. 
Hot box due to a damage at wheelset bearings.</t>
  </si>
  <si>
    <t>FI-748</t>
  </si>
  <si>
    <t>Level crossing accident, 17/07/2009, Loviisa, Rauhalantie, Rauhalantie level crossing, unprotected (Finland)</t>
  </si>
  <si>
    <t>Freight train collided with a car. Car driver was fatally injured</t>
  </si>
  <si>
    <t>Loviisa, Rauhalantie, Rauhalantie level crossing, unprotected</t>
  </si>
  <si>
    <t>The most probable cause for the accident was the car driver didn’t notice the approach-ing train.</t>
  </si>
  <si>
    <t>Other underlying causative factors may include the driver’s familiarity with the level crossing and the fact that his physical capabilities were diminished through illnesses and impaired eyesight.</t>
  </si>
  <si>
    <t>ES-804</t>
  </si>
  <si>
    <t>Spad, 27/07/2009, Bifurcación Clot station (Barcelona), kilometre point 102,700, 262 Barcelona Sagrera-Bifurcación Clot railway line. (Spain)</t>
  </si>
  <si>
    <t>A passenger train (nº 15052)overrun the station signal (red aspect) causing a near miss collision with the preceding train (nº 25552) which was at the same track section. The first driver used the emergency brake system avoiding the likely collision.</t>
  </si>
  <si>
    <t>Bifurcación Clot station (Barcelona), kilometre point 102,700, 262 Barcelona Sagrera-Bifurcación Clot railway line.</t>
  </si>
  <si>
    <t>The incident was caused when the train 15052 driver overtook the station signal (E2) which stated a red aspect (stop indication).</t>
  </si>
  <si>
    <t>PL-766</t>
  </si>
  <si>
    <t>Train derailment, 04/08/2009, Line No 001 Warszawa - Katowice, section Bedzin -Sosnowiec, double-track electrified line, kilometer point 306,540 (Poland)</t>
  </si>
  <si>
    <t>The train No 1411 running in destination Warszawa - Bielsko Biala operated by PKP Intercity carrier passed the station Bedzin (km. point 306,540) at 10:40 and was moving in the direction of Sosnowiec. The train consisted of the locomotive type EP09-27 (4 axle electric locomotive) and 6 passenger carriages. Suddenly, moving with the speed of 65 kmph on the straight line, the train drivers felt the locomotive had started to jerk and to swing as a reason of broken first axle. After stopping of the train the train drivers has overview from outside the locomitive, but the overview did not show any failure of the locomotive, becuse the broken axle was from the inside part of the axle and was not visible from outsiede. The traction team decided to speed up the locomotives. After running about 2-3 metres, the locomotive started to jerk and swing again, so the drivers decided to stop the train again. After the again overview, the traction team recognised the derailment of the first axle of the Ep09 locomotive, as a result of the broken axle.</t>
  </si>
  <si>
    <t>Line No 001 Warszawa - Katowice, section Bedzin -Sosnowiec, double-track electrified line, kilometer point 306,540</t>
  </si>
  <si>
    <t>Breaking of  the axle No. „334/134” of the first wheelset of the locomotive EP09 on the pre-hub part  as result of the activity of tensions of fatigue on the axle because of the unproper ferritic- pearlitic structure being a consequence of multilayer filling/welding of the axle  on the all circuit at both sides</t>
  </si>
  <si>
    <t>1. Filling/welding of the axle which caused the change of structure of material and arising of blisters and the crack of the axle; 2. not the execution of ultrasonic axle test  in progress of the processing and after the completion of the process of the main repair in ZNLE Gliwice._x000D_
1. The lack of  procedures for the keeping of the documentation which records all teh processing of the production of wheelsets, 2. the lack of legal regulations making impossible the freedom in the organization of the supervision over activities of the s</t>
  </si>
  <si>
    <t>UK-750</t>
  </si>
  <si>
    <t>Level crossing accident, 05/08/2009, Norbreck at Blackpool Tramway (United Kingdom)</t>
  </si>
  <si>
    <t>A tram, running south from Fleetwood towards Blackpool, struck a pedestrian who was crossing the tramway by a public roadway which lies immediately to the south of Norbreck tram stop.  The tram had not stopped at the stop.  The pedestrian was seriously injured as a result of the accident.</t>
  </si>
  <si>
    <t>Norbreck at Blackpool Tramway</t>
  </si>
  <si>
    <t>The immediate cause of the accident was that the pedestrian stepped into the path of the tram, which was unable to stop in time to avoid the collision (paragraph 28).</t>
  </si>
  <si>
    <t>The causal factors were that: the tram driver did not perceive the risk in time to stop the tram, or provide a warning in sufficient time to avoid the accident (paragraph 32, recommendation 2); the tram’s speed on the approach to the tram-stop and crossing was around 20 mph (32 km/h) and this was contrary to the way the driver had been trained (paragraph 40, recommendation 2); the tram did not stop at the tram-stop (paragraph 53, no recommendation is made); and the pedestrians were unaware of the immediate proximity of the tram, because seeing people waiting in the tram-stop shelter led them to assume that the tram would stop.  As a result, they did not look to their left again as they crossed until just before the collision (paragraph 61, no recommendation is made).  The probable causal factors were that: the tram driver’s attention was to the left-hand side approaching the crossing (paragraph 51, no recommendation is made, however development of a speed limit policy, recommendation 1, should consider a maximum speed through stops for non-stopping trams); the tram driver incorrectly believed that the people in the tram shelter did not want to board the tram (paragraph 56, no recommendation is made); and it is feasible that the combination of factors relating to the way the tram was driven were caused by the driver’s inexperience (paragraph 60, no recommendation is made, however, the result of recommendation 2 should be increased levels of compliance irrespective of driver inexperience). A possible contributory factor was the lack of a speed limit sign (paragraph 50, recommendation 1).  The underlying factors were that: BTS management had not controlled the practice of some drivers of driving over vehicular crossings at speed in excess of 4 mph (6 km/h) (paragraph 69, recommendation 2). The BTS compliance processes had not corrected previously observed behaviour (paragraph 73, recommendation 2).  The assessment and selection of compliant personalities was not part of the BTS driver recruitment process (paragraph 78, recommendation 2). A possible underlying factor was that: There was no common understanding among BTS management of speed limits over different types of roadway crossings, including Norbreck, and whether they should be signed (paragraph 66, recommendation 1).</t>
  </si>
  <si>
    <t>DE-755</t>
  </si>
  <si>
    <t>Train derailment, 07/08/2009, Strecke: Nürnberg-Stein - Nürnberg Rbf; in km 4,1 (Germany)</t>
  </si>
  <si>
    <t>Zug 51629 (24 Wagen) entgleist auf der Strecke Nürnberg-Stein - Nürnberg Rbf mit 14 Wagen. Zugtrennung zwischen 6. und 7. Wagen. Wagen 11 umgestürzt. // Train n° 51629 (24 wagons) derailed on the Nuremberg-Stein - Nürnberg Rbf with 14 wagons. Train separation between the 6th and 7th wagon. Wagon 11 overturned.</t>
  </si>
  <si>
    <t>Strecke: Nürnberg-Stein - Nürnberg Rbf; in km 4,1</t>
  </si>
  <si>
    <t>HU-751</t>
  </si>
  <si>
    <t>Level crossing accident, 07/08/2009, Line: 80 - Satoraljaujhely station LC: SR2 (Hungary)</t>
  </si>
  <si>
    <t>Passenger train Nr 529 collided with a minibus at a well-operating level crossing.</t>
  </si>
  <si>
    <t>Line: 80 - Satoraljaujhely station LC: SR2</t>
  </si>
  <si>
    <t>HU-752</t>
  </si>
  <si>
    <t>Train derailment, 13/08/2009, Line: 42 - Between Dunafoldvar and Paks stations (Hungary)</t>
  </si>
  <si>
    <t>Between Dunaföldvar and Paks stations an infrastructure work train derailed. In consequence of the occurence one member of the train staff suffered serious injuries.</t>
  </si>
  <si>
    <t>Line: 42 - Between Dunafoldvar and Paks stations</t>
  </si>
  <si>
    <t>CZ-762</t>
  </si>
  <si>
    <t>Other, 17/08/2009, Brno, between Porici and Nemocnice Milosrdnych bratri tram stops (Czech Republic)</t>
  </si>
  <si>
    <t>Two passenger were slightly injured by nearby electric arc when operating defective vent which touched the pantograph.</t>
  </si>
  <si>
    <t>Brno, between Porici and Nemocnice Milosrdnych bratri tram stops</t>
  </si>
  <si>
    <t>an electrical short-circuit initiated when the vent touched the pantograph</t>
  </si>
  <si>
    <t>improperly adjusted mechanism of the vent due to insufficient maintenance procedure</t>
  </si>
  <si>
    <t>IE-754</t>
  </si>
  <si>
    <t>Other, 21/08/2009, Nine and a quarter milepost (Ireland)</t>
  </si>
  <si>
    <t>On 21 August 2009 the viaduct at Malahide, Co Dublin collapsed after the passage of train.</t>
  </si>
  <si>
    <t>Nine and a quarter milepost</t>
  </si>
  <si>
    <t>Collapse of bridge due to underming of the weir that surrounds and supports the pier through the action of scouring.</t>
  </si>
  <si>
    <t>1. Inspection conducted 3 days before did not identify scour. 2. Inspection in 2006 did not identify Malahide viaduct as a high risk structure to the effects of scour. 3. IE failure to take action after inspection in 1997. 4.HIstoric maintenence regime along viaduct ceased in 1996</t>
  </si>
  <si>
    <t>HU-753</t>
  </si>
  <si>
    <t>Spad, 23/08/2009, Line: 45 - Between Aba-Sarkeresztur and Sarbogard stations (Hungary)</t>
  </si>
  <si>
    <t>The freight train Nr 98658 did not stop at the station and started to go without permission on the single track line, while the train Nr. 38421 (with permission) started from Sarbogard. When the movement inspectors realized the dangerous situation, he called the engine drivers on their cell phones and ordered them to stop immediately. The trains approached each other cca. 3 400m.</t>
  </si>
  <si>
    <t>Line: 45 - Between Aba-Sarkeresztur and Sarbogard stations</t>
  </si>
  <si>
    <t>Eurocom Zrt.; 
MÁV-START Zrt.</t>
  </si>
  <si>
    <t>ES-806</t>
  </si>
  <si>
    <t>Accident to persons caused by RS in motion, 24/08/2009, San Feliú de Llobregat station (Barcelona), kilometre point 89,150, 240 San Vicente de Calders-L´Hospitalet de Llobregat railway line. (Spain)</t>
  </si>
  <si>
    <t>A disabled woman in wheelchair, accompanied by her daughter, as trying to crosss between platforms through a board crossing, is hit by a passenger train. The daughter stepped aside.</t>
  </si>
  <si>
    <t>San Feliú de Llobregat station (Barcelona), kilometre point 89,150, 240 San Vicente de Calders-L´Hospitalet de Llobregat railway line.</t>
  </si>
  <si>
    <t>The victim had been informed that the trains operating in this station were not adapted to disabled persons</t>
  </si>
  <si>
    <t>The poor state of the pavement may have contributed to the accident. After the accident the former pavement was replaced by a strail one</t>
  </si>
  <si>
    <t>UK-758</t>
  </si>
  <si>
    <t>Train derailment, 25/08/2009, Wigan North Western station (United Kingdom)</t>
  </si>
  <si>
    <t>The 20:15 hrs DB Schenker container train from Mossend (near Glasgow), to Trafford Park (Manchester) and Hams Hall (near Birmingham) derailed.  The train consisted of a class 92 locomotive and 40 bogie container wagons. The first 8 wagons in the train were fully loaded with containers and three of the other wagons were loaded with one container each. One empty wagon, the 12th in the train, was derailed by its leading bogie as it ran into platform 1 at Wigan station. _x000D_
The train was slowing down to stop and was travelling at 12 km/h (7.5 mph) at the time the derailment occurred on a sharp curve into the platform.</t>
  </si>
  <si>
    <t>Wigan North Western station</t>
  </si>
  <si>
    <t>DB Schenker Rail (UK) Ltd</t>
  </si>
  <si>
    <t>The immediate cause of the derailment was the flange of the leading right-hand wheel of the leading bogie of wagon 610117 climbing over the right-hand rail at the point where it changed section from UIC60 to BS113A (paragraph 26).</t>
  </si>
  <si>
    <t>The causal factors were as follows: the track had been installed to a minimum radius of 140 metres without the fitting of a check rail (paragraphs 28 and 75); and the wagon had a twist in its frame that had not been correctly compensated (paragraph 48 and Recommendation 1). Both factors had to be present to cause the derailment. The contributory factor was: a transition rail of the wrong hand was installed in the right-hand rail. Network Rail maintenance staff were unaware of the presence of this (paragraph 36 and Recommendation 2). 	The underlying factors to this derailment were: the Network Rail track inspection process did not identify that the track alignment and the components used were not in accordance with the design (paragraph 68 and Recommendations 2 and 3); and the maintenance plan did not specify how to correct frame twist in wagons of this type (paragraph 69 and Recommendation 1).</t>
  </si>
  <si>
    <t>EE-756</t>
  </si>
  <si>
    <t>Level crossing accident, 26/08/2009, Open line between Kärkna and Tartu stations on the Tiksoja level crossing (km 423,631) (Estonia)</t>
  </si>
  <si>
    <t>Car Volkswagen Golf collided with a passenger train.</t>
  </si>
  <si>
    <t>Open line between Kärkna and Tartu stations on the Tiksoja level crossing (km 423,631)</t>
  </si>
  <si>
    <t>The direct cause of the accident was human error of the driver, who, approaching the level crossing did not choose proper driving speed, neither did he ascertain the message, sent by the level crossing traffic lights, which confirmed that the level crossing was closed for road traffic because of an approaching train.</t>
  </si>
  <si>
    <t>ES-807</t>
  </si>
  <si>
    <t>Train derailment, 28/08/2009, El Rebollar station (Valencia), kilometre point 22,600, 310 Aranjuez-Valencia railway station. (Spain)</t>
  </si>
  <si>
    <t>Two bogies of passenger train 18160 were derailed as the point nº2 of the junction was changed by the train dispatcher before the whole train had passed.</t>
  </si>
  <si>
    <t>El Rebollar station (Valencia), kilometre point 22,600, 310 Aranjuez-Valencia railway station.</t>
  </si>
  <si>
    <t>PL-767</t>
  </si>
  <si>
    <t>Level crossing accident, 30/08/2009, Line No 3 station: Lowicz Glówny, level crossing A category (with barriers), km. point 80,791 (Poland)</t>
  </si>
  <si>
    <t>The locomotive type 311D was running solo and was approaching the entry semaphore of the station Lowicz Glówny. The semaphore was showing red sighal (stop), but the locomotive driver did not stop the locomotive and passed the semaphore. As a result of the passing the red semaphore the locomotive hit the car passing the level crossing with open barrier. The barrier was open because the train (locomotive solo) was to stop before the red signal. The staff of the LC could not close the barrier because they saw the moving locomotive to late before the level crossing. The red signal of the LC for car drivers was flashing when the car started passing the LC.</t>
  </si>
  <si>
    <t>Line No 3 station: Lowicz Glówny, level crossing A category (with barriers), km. point 80,791</t>
  </si>
  <si>
    <t>PCC Rail</t>
  </si>
  <si>
    <t>The driver of the locomotive solo was passing the "stop" signal on the semaphore K 1/2 of the Lowicz Gl. station. Lack of caution by the road car driver while approaching the LC by active red lights and active acustic signal of the LC devices caused entering the track just before the running solo locomotive.</t>
  </si>
  <si>
    <t>Speedeng by the locomotive driver because of being under influence of alcohol (0,3 o/oo) and tiredness by the locomotive driver (infrigement the labor time by the driver)._x000D_
None</t>
  </si>
  <si>
    <t>ES-808</t>
  </si>
  <si>
    <t>Spad, 31/08/2009, San Cristóbal Industrial station (Madrid), kilometre point 10,200, 936 San Cristóbal Industrial-Villaverde Bajo railway line. (Spain)</t>
  </si>
  <si>
    <t>A passenger train (nº 20072 )failed to stop at the station signal (red aspect; nevertheless, the ASFA system worked avoiding the likely collision with a freight train (nº 91038)being in the same track section.</t>
  </si>
  <si>
    <t>San Cristóbal Industrial station (Madrid), kilometre point 10,200, 936 San Cristóbal Industrial-Villaverde Bajo railway line.</t>
  </si>
  <si>
    <t>The incident was caused when the train 20072 driver overtook the station signal (E2) which stated a red aspect (stop indication).</t>
  </si>
  <si>
    <t>AT-1103</t>
  </si>
  <si>
    <t>Train derailment, 01/09/2009, ÖBB-Strecke 10601 von Wien Meidling nach Wr. Neustadt Hauptbahnhof, Bahnhof Ebenfurth (Verknüpfung mit ÖBB-Strecke 17102). // ÖBB-Line 10601 from station Wien Meidling to station Wiener Neustadt Hauptbahnhof, station Ebenfurth (link with ÖBB-Line 17102). (Austria)</t>
  </si>
  <si>
    <t>Am 1. September 2009, um 05:18 Uhr, entgleiste im Bf Ebenfurth auf Gleis 1 im km 39,300 das vorlaufende Drehgestell des 3. Wagens des Z 49581 mit beiden Achsen in Fahrtrichtung nach links. 
On 1 September 2009, at 05:18, in station Ebenfurth, track 1, km 39,300  the leading bogie of the 3rd wagon of the train 49581 derailed with both axles in direction to the left.</t>
  </si>
  <si>
    <t>ÖBB-Strecke 10601 von Wien Meidling nach Wr. Neustadt Hauptbahnhof, Bahnhof Ebenfurth (Verknüpfung mit ÖBB-Strecke 17102). // ÖBB-Line 10601 from station Wien Meidling to station Wiener Neustadt Hauptbahnhof, station Ebenfurth (link with ÖBB-Line 17102).</t>
  </si>
  <si>
    <t>Gravierenden Gleislagefehler durch Kombination von Längshöhe, gegenseitiger Höhenlage, 9-m-Verwindung und 16-m-Verwindung; Mängel im Instandhaltungsplan DB IS 2 – Teil 1 durch fehlende bzw. großzügige Definition von ES und SES von Gleislageabweichungen; Konstruktion und Durchführung der Ladungssicherung des Blechcoils im Fahrzeug 
Serious track position error by a combination of longitudinal height, mutual altitude, 9-m-torsion and 16-m-torsion; Deficiencies in the maintenance plan DB IS 2 - Part 1 by missing or generous definition of IS and AIS of track geometry deviations; Design and implementation of the cargo securing of the metal coils in the vehicle</t>
  </si>
  <si>
    <t>CZ-763</t>
  </si>
  <si>
    <t>Trains collision, 01/09/2009, Open line between Horni Lipova and Lipova Lazne stations (Czech Republic)</t>
  </si>
  <si>
    <t>Collision of a railcar (occupied by passengers) shunting between stations in order to remove defective regional train (occupied by passengers) from the open line. 11 passengers were slightly injured.</t>
  </si>
  <si>
    <t>Open line between Horni Lipova and Lipova Lazne stations</t>
  </si>
  <si>
    <t>unauthorized shunting beyond km 24,886</t>
  </si>
  <si>
    <t>PT-757</t>
  </si>
  <si>
    <t>Level crossing accident, 01/09/2009, Passive Level crossing, equiped with static warnings for road side and opened on the Linha do Douro, Km 68,018, Ermesinde/Pocinho, close to the vilage of Baião (Portugal)</t>
  </si>
  <si>
    <t>When the train UTD610 nº 4100 approached the LC, one 5 places vehicle Mercedes-Benz type 190, with 7 persons on bord, passed the LC and was caught by the train and dragged by one hundred meters, until stoped on the bridge Ponte das Quebradas.</t>
  </si>
  <si>
    <t>Passive Level crossing, equiped with static warnings for road side and opened on the Linha do Douro, Km 68,018, Ermesinde/Pocinho, close to the vilage of Baião</t>
  </si>
  <si>
    <t>IE-764</t>
  </si>
  <si>
    <t>Other, 02/09/2009, Fernslock AHB Enfield/ Maynooth Co Meath (Ireland)</t>
  </si>
  <si>
    <t>A passenger train traversed a level crossing while the barrier was raised and open to road traffic.</t>
  </si>
  <si>
    <t>Fernslock AHB Enfield/ Maynooth Co Meath</t>
  </si>
  <si>
    <t>Controlling signalman did not follow the requirements for the "General Instructions to Signalmen" during degraded operations at an Automatic Half Barrier.</t>
  </si>
  <si>
    <t>Competency management system did not ensure that relief signalmen were adequately trained to deal with degraded operations at an automatic half barrier.</t>
  </si>
  <si>
    <t>CZ-793</t>
  </si>
  <si>
    <t>Train derailment, 03/09/2009, Siding Vlecka Tonaso a. s. (between Ústi nad Labem sever and Povrly stations), km 0,091, track No. 48a (Czech Republic)</t>
  </si>
  <si>
    <t>SIDING ACCIDENT: Derailment of 2 empty wagons of shunting movement during shunting.</t>
  </si>
  <si>
    <t>Siding Vlecka Tonaso a. s. (between Ústi nad Labem sever and Povrly stations), km 0,091, track No. 48a</t>
  </si>
  <si>
    <t>ESON s r.o.</t>
  </si>
  <si>
    <t>wrong positions of the switch</t>
  </si>
  <si>
    <t>siding personnel didn't qualifications and experiences_x000D_
IM ignored the obligation to implement the systemic training of the siding personnel</t>
  </si>
  <si>
    <t>HU-879</t>
  </si>
  <si>
    <t>Spad, 05/09/2009, Line 120: Between Mezotur and Gyoma station (Hungary)</t>
  </si>
  <si>
    <t>Train Nr IC75-2 passed over the red light entrance signal at Nagylapos and run on the track occupied by train nr. 7442. The train stopped ca. 150 meter behind the other train.</t>
  </si>
  <si>
    <t>Line 120: Between Mezotur and Gyoma station</t>
  </si>
  <si>
    <t>SI-765</t>
  </si>
  <si>
    <t>Level crossing accident, 05/09/2009, Between station Brezovica and Preserje,right track double-track line, in km 575+460. (Slovenia)</t>
  </si>
  <si>
    <t>Train No. 42772, between stations Brezovica and Preserje, on the right track of double-track line, on level crossing protected with railway half barrier, crashed with road vehicle. Driver was injured and stayed 2 days in hospital. Driver made a diversion by dropping half barriers.</t>
  </si>
  <si>
    <t>Between station Brezovica and Preserje,right track double-track line, in km 575+460.</t>
  </si>
  <si>
    <t>RO-776</t>
  </si>
  <si>
    <t>Broken wheels or axles, 08/09/2009, Ilva Mica Station, belongs to Cluj Railway County, on the North part of Romanian Railway Network (Romania)</t>
  </si>
  <si>
    <t>The driver of the passenger train no. 18703 at the entry in the Ilva Mica Station heard an unusual noises at the axle no. 4. The axle was verified at the Suceava Depot by a commmision who detect broken axle.</t>
  </si>
  <si>
    <t>Ilva Mica Station, belongs to Cluj Railway County, on the North part of Romanian Railway Network</t>
  </si>
  <si>
    <t>Direct cause of the incident – exceeding the fatigue limit of the material from witch the axle no.41751 was manufactured.The favoured fact was a large number of stretching – compression cycles that were apllied on this axle along its length of operation. Thus, from the date the pair of wheels were mounted at the locomotive EA 040-139-2 - 12.01.2006 the axle covered a distance of 352.501 km.</t>
  </si>
  <si>
    <t>There weren’t identified underlying causes of this railway incident._x000D_
There weren’t identified  root  causes of this railway incident .</t>
  </si>
  <si>
    <t>NO-778</t>
  </si>
  <si>
    <t>Other, 10/09/2009, Oslo tunnels line 6 (Norway)</t>
  </si>
  <si>
    <t>Thursday September 10th at 06:05 subway train 502 starts sliding uncontrolled backwards downhill from the platform edge at Sinsen subway station. The subway train slides about 200 meters before it is able to stop. The line up to the station is lying in a steep hill measuring 54,66 ‰. When the train recognises that it’s rolling backwards the automatic train protection activates the emergency brakes. A little bit later the train driver activates the emerency mushroom button, which also lockes the boggie under the train driver. Because the boggie under the driver is locked it has almost no effect since the train is rolling backwards. Metro train type MX3000</t>
  </si>
  <si>
    <t>Oslo tunnels line 6</t>
  </si>
  <si>
    <t>emergency brake system that locks the first boogie on the train, was not programmed to handle backward sliding.</t>
  </si>
  <si>
    <t>NO-799</t>
  </si>
  <si>
    <t>Other, 10/09/2009, Strømmen St. Hovedbanen (Norway)</t>
  </si>
  <si>
    <t>Train 1507 was directed to wrong track (track 2) at the station without platform. The passengers were evacuated over track 1 to the platform at the station, at the same time freight train 5935 was permitted to pass the station at track 1. The freight train stopped about 30 meters from the evacuating passengers. No injuries or material damage.</t>
  </si>
  <si>
    <t>Strømmen St. Hovedbanen</t>
  </si>
  <si>
    <t>NSB AS; 
CargoLink AS</t>
  </si>
  <si>
    <t>CZ-787</t>
  </si>
  <si>
    <t>Level crossing accident, 15/09/2009, Active level crossing (equipped with warning lights) in km 79.532 in Omlenice stations (Czech Republic)</t>
  </si>
  <si>
    <t>Freight train n° 48162 collided with a passenger car at the level crossing. Consequently the train derailed. The active level crossing was giving warning signal to road users.</t>
  </si>
  <si>
    <t>Active level crossing (equipped with warning lights) in km 79.532 in Omlenice stations</t>
  </si>
  <si>
    <t>UK-779</t>
  </si>
  <si>
    <t>Trains collision, 15/09/2009, Great Orme Tramway, Conway (United Kingdom)</t>
  </si>
  <si>
    <t>The Great Orme tramway is a cable hauled tramway from Llandudno to the summit of the Great Orme.  The accident occurred on the upper section of the tramway at a loop where the two trams on this section of the line pass each other.  One tram (No 6) was travelling uphill from Half Way station to Summit station when its rear bogie took the wrong path, which slewed the tram sideways. At the same time, tram 7 was travelling downhill, and collided into the side of tram 6.  There were 40 people on tram 6, and 24 people on tram 7. One person sustained a minor injury.  The trams were travelling at about 6.5 km/h at the time of the collision.</t>
  </si>
  <si>
    <t>Great Orme Tramway, Conway</t>
  </si>
  <si>
    <t>Great Orme Tramway</t>
  </si>
  <si>
    <t>The immediate cause of the collision was the lower points moving under tram 6 directing its rear into the path of tram 7 (paragraph 34 and Recommendation 1).</t>
  </si>
  <si>
    <t>A causal factor was the wheel forces overcoming the tumbler’s holding force and changing the position of the points (paragraph 37 and Recommendation 1). This was a result of three factors: the effectiveness of the holding force on the points had reduced due to wear and degradation of the points (paragraph 46); the points did not have a facing point lock (paragraph 54), and there were no procedures in place to routinely measure the condition of, or undertake remedial actions upon, the points (paragraph 56). The underlying factors were that there was a lack of a comprehensive risk assessment of the points (paragraph 62 and Recommendation 1), and there was a lack of competent audits by the tramway and the Council (paragraph 66 and Recommendation 2).</t>
  </si>
  <si>
    <t>ES-812</t>
  </si>
  <si>
    <t>Train derailment, 17/09/2009, Close to Zumárraga station (Guipuzcoa);kilometre point 566,856; 100 Madrid-Hendaya railway line (Spain)</t>
  </si>
  <si>
    <t>Three wagons of freight train 93614 were derailed as the train was approaching to the station.</t>
  </si>
  <si>
    <t>Close to Zumárraga station (Guipuzcoa);kilometre point 566,856; 100 Madrid-Hendaya railway line</t>
  </si>
  <si>
    <t>The accident was caused by an excess of cant</t>
  </si>
  <si>
    <t>FI-790</t>
  </si>
  <si>
    <t>Train derailment, 9/17/2009, Kilpua railway yard, Ylivieska-Oulu section of Line (Finland)</t>
  </si>
  <si>
    <t>Derailment, Freight train 5418, 2 Sr1 electric locomotives and wagons. Five Russian pellet-carrying wagons were derailed.</t>
  </si>
  <si>
    <t>Kilpua railway yard, Ylivieska-Oulu section of Line</t>
  </si>
  <si>
    <t>The incident occurred because the heavy pellet train was directed onto a sidetrack which was in poor condition. Due to oncoming traffic, the remote controller was forced to direct the freight train to Kilpua's track three.</t>
  </si>
  <si>
    <t>Also contributing to the derailment was the fact that the engine driver used only the elec-tric brakes after departing from Kilpua. These only affected the locomotives, therefore exerting longitudinal force along the train. Combined with the stiff bogies of the wagons, this longitudinal force caused the outer rail to give way at a curve, with the result that the wheels on the inside of the curve were derailed.</t>
  </si>
  <si>
    <t>AT-1104</t>
  </si>
  <si>
    <t>Trains collision, 2009-09-19, ÖBB-Strecke 10501 zwischen Semmering - Breitenstein. (Austria)</t>
  </si>
  <si>
    <t>Bei der Fahrt von Z 47022 entgleiste der 5. Wagen (Falns - leer) zwischen Bf Semmering und Bf Breitenstein. Z 47022 kam infolge einer Zwangsbremsung im Weinzettelfeldtunnel zum Stillstand. Im Tunnel kollidierte das Tfz von Z 753 mit dem entgleisten Güterwagen. 
During the driving of train 47022, the 5th wagon (Falns - unloaded) derailed between station Semmering and station Breitenstein. Train 47022 was stoped by an emergency brake in the tunnel "Weinzettelfeld". The locomotive od train 753 collided with the derailed wagon in the tunnel.</t>
  </si>
  <si>
    <t>ÖBB-Strecke 10501 zwischen Semmering - Breitenstein.</t>
  </si>
  <si>
    <t>ÖBB-Rail Cargo Austria AG; 
ÖBB-Personenverkehr AG</t>
  </si>
  <si>
    <t>Die Entgleisung von Z 47022 resultiert aus dem Zusammentreffen von Gleislagefehler und_x000D_
dem Auftreten von zu hohen Pufferquerkräften infolge unzureichender Pufferschmierung_x000D_
und daraus entstandenen Verriefungen. 
The derailment of Z 47022 resulted from the track displacement and the occurrence of high buffer transverse force. The high buffer transverse force was a result of a low buffer greasing and buffer grooves._x000D_
_x000D_
The collision between Train 753 and train 47022 was consequence of the derailment train 47022.</t>
  </si>
  <si>
    <t>DK-781</t>
  </si>
  <si>
    <t>Level crossing accident, 19-09-09, Level crossing 105, Soderup near Tølløse (Denmark)</t>
  </si>
  <si>
    <t>The regional train from Kalundborg to Copenhagen had left Toelloese station and nearly reached its max speed of 120 km/h when the drivers saw a truck on the tracks in a level crossing. They started braking, but hit the left side of the cabin of the truck with nearly 110 km/h. The truck was pushed to the left after a few meters and caught fire. The train derailed with all wheels of the front boggie and stopped some 200 meters after the collision. The truck driver died on the spot. The train driver and his instructor was caught in the drivers cabin of the train and seriously injured. The driver died later (next day) due to his injuries.</t>
  </si>
  <si>
    <t>Level crossing 105, Soderup near Tølløse</t>
  </si>
  <si>
    <t>The driver of the heavy truck slowly drove his vehicle into the crossing passing or going through the barrier. Later a high concentration of THC (cannabis) was discovered in the drivers blood.</t>
  </si>
  <si>
    <t>The use of roadsigns was not up to date</t>
  </si>
  <si>
    <t>RO-777</t>
  </si>
  <si>
    <t>Train derailment, 21/09/2009, open line between Banu Maracine station and Malu Mare station, at km.201+139, belongs to Craiova Railway County, in the South of Romanian Railway Network (Romania)</t>
  </si>
  <si>
    <t>The passenger train no. 1692 derailed on the open line km. 201+139, between Banu Maracine Station and Malu Mare Station. The fastening part of the rail was partially taken down by unknown person.</t>
  </si>
  <si>
    <t>open line between Banu Maracine station and Malu Mare station, at km.201+139, belongs to Craiova Railway County, in the South of Romanian Railway Network</t>
  </si>
  <si>
    <t>Direct cause of the accident was the loss of the flange of the wheel guidance on the right side of the first axle in the locomotive running (axle no. 1), at the expansion joint between the right rail of the glued insulated joints panel and the buffer panel from the end of the non-welded track section, it led to the running of the wheel flange on the rail head and the fall of this wheel on the outside of the track. It happened because the voluntary action of an/some unknown person/persons, un-identified up to the end of the investigation, out of the process for the maintenance of the infrastructure parts, respectively the dismantling of the spare parts of the track superstructure, belonging to the right rail (in the train running) of the buffer panel from the non-welded track as follows:• dismantling of the fish-plates from the right joint that made the passing from the glued insulated joints panel to the panel from the non-welded track section;• completed dismantling of the vertical fastenings of the rails on the sleepers of the buffer panel on the first 14 sleepers and of the next 4 sleepers only on the right side;• displacement of the rail ends from the joint because of the vertical dynamic forces generated by the running vehicles.</t>
  </si>
  <si>
    <t>Underlying causes were not identified._x000D_
Root causes were not identified.</t>
  </si>
  <si>
    <t>UK-783</t>
  </si>
  <si>
    <t>Other, 23/09/2009, St Pancras International Station, London (United Kingdom)</t>
  </si>
  <si>
    <t>The incident occurred at 18:35 hrs, shortly after the arrival of the 17:13 hrs service from Paris Nord in St Pancras.  The overhead wire failed near the buffer stops in platform 9, and the contact wire fell onto the platform.  The overhead wire earthed through the body of the train, and there was no live wire on the platform.  The passengers moved clear of the contact wire, there were no casualties.</t>
  </si>
  <si>
    <t>St Pancras International Station, London</t>
  </si>
  <si>
    <t>Eurostar (UK) Ltd</t>
  </si>
  <si>
    <t>The immediate cause of the incident was that the overhead line parted because of local overheating caused by high current flow (paragraph 68).</t>
  </si>
  <si>
    <t>The causal factor was: The reduced distance between the points of the electrodes on the lightning arrester, and the induced transient voltage resulting from the vacuum circuit breaker closing, caused a flashover at the lightning arrester (paragraph 75, Recommendation 1). It is probable that the following factors were causal: a. Cables in the circuit detecting the flow of excessive current to the OHLE were incorrectly connected, allowing the circuit breakers that were intended to open automatically to remain closed and the current to flow for longer than specified (paragraph 90, No recommendation). b. The absence of continuity testing during commissioning of the supply system protection equipment meant that the transposition of the wires was not detected (paragraph 98, Recommendation 2). c. The electrical protection system did not operate as specified and the margin between the specified performance of the protection equipment and of the OHLE and the conditions that caused the OHLE to fail was small. (paragraph 105, Recommendation 4). The contributory factors were: a. The ‘tramway’ OHLE provided no restraint on the contact wire to prevent it falling onto the platform once it had parted (paragraph 115, Recommendation 3).b. The supply system circuit breaker was designed to close automatically following an opening under fault conditions, causing the wire to become live momentarily after it had fallen onto the platform (paragraph 127, Recommendation 3). c. The EMMIS controller did not follow the instruction to contact the signaller before attempting to reclose the supply system circuit breaker, causing the wire to become live on four further occasions (paragraph 132, Recommendation 5). The underlying factors were: a. The training of EMMIS controllers is loosely specified and course notes are not provided (paragraph 143, No recommendation). b. The instructions for the assessment and periodic re-assessment of EMMIS controllers are descriptive and general in nature (paragraph 143, No recommendation). c. The training of the shift manager on duty at the time of the incident emphasised signalling and included only limited coverage of the duties and responsibilities of the EMMIS controllers (paragraph 154, Recommendation 6).</t>
  </si>
  <si>
    <t>ES-809</t>
  </si>
  <si>
    <t>Broken wheels or axles, 24/09/2009, Cazoña flag stop (Cantabria), kilometre point 527,451, Santander-Llanes railway line. (Spain)</t>
  </si>
  <si>
    <t>The train driver realized a bogie was stiff and didn´t work. After checking the train, it was learned a wheel was derailed due to a broken axle.</t>
  </si>
  <si>
    <t>Cazoña flag stop (Cantabria), kilometre point 527,451, Santander-Llanes railway line.</t>
  </si>
  <si>
    <t>The incident had its origin on the breakage of an axle journal (last car of the composition). This breakage could had been produced by a previous crack made by two notches, probably during a necking process</t>
  </si>
  <si>
    <t>NL-869</t>
  </si>
  <si>
    <t>Trains collision, 24-9-2009, several lines parallel in this area: for freight transport; passangers transport; harbourrail-line; and seperated from the ohter lines: a high speed line (The Netherlands)</t>
  </si>
  <si>
    <t>Two freight are riding the same line. They collide. Several wagons derail. Two of the wagons arrive on the adjacent line. The passenger train sees the collision and brakes. The engine touches the two wagons, but is strong enough to push them aside.</t>
  </si>
  <si>
    <t>several lines parallel in this area: for freight transport; passangers transport; harbourrail-line; and seperated from the ohter lines: a high speed line</t>
  </si>
  <si>
    <t>ERS Railways; 
NS Reizigers BV; 
DB Schenker Rail Nederland N.V.</t>
  </si>
  <si>
    <t>The train collision occurred because the mixed goods train passed a signal set at danger without authorisation. It is plausible that this occurred because the driver of the mixed goods train became unwell.</t>
  </si>
  <si>
    <t>• The schedules were designed in a manner such that the mixed goods train and the container train would need to travel over the same section of track at the same time._x000D_
• Various options available for the control of the SPAD issue were not utilised in the case of the Barendrecht collision or were utilised to an inadequate extent._x000D_
• The collision at Barendrecht occurred in circumstances that are also encountered at other locations in the Dutch railway network. Options available to control of the SPAD issue are not utilised or are utilised to an inadequate extent._x000D_
• The approach to the SPAD issue in the past decades has not resulted in the adequate control of safety risks with suitable measures._x000D_
• The railway companies do not fulfil their responsibility to control the SPAD issue to an adequate extent._x000D_
• The Minister of Infrastructure and the Environment does not fulfil the Minister’s responsibility to control the SPAD issue to an adequate extent.</t>
  </si>
  <si>
    <t>FR-800</t>
  </si>
  <si>
    <t>Level crossing accident, 25/09/2009, level crossing PN77 near the station of Laluque on the main line between Bordeaux and Dax (France)</t>
  </si>
  <si>
    <t>Semi-trailer heavy goods vehicle, loaded with concrete sleepers manoeuvring on the level crossing to enter a logistic area. Driver surprised by LC barriers closing, stopped on the LC and is hit by the train.</t>
  </si>
  <si>
    <t>level crossing PN77 near the station of Laluque on the main line between Bordeaux and Dax</t>
  </si>
  <si>
    <t>ES-811</t>
  </si>
  <si>
    <t>Level crossing accident, 28/09/2009, Open line, near Los Nietos Viejos (Murcia; level crossing, type B (light and acoustic signage), kilometre point 16,708; 45 Cartagena-Los Nietos railway line. (Spain)</t>
  </si>
  <si>
    <t>A car came into the level crossing while its protective devices were working and the train was approaching. The car driver was seriously injured and the co-pilot died.</t>
  </si>
  <si>
    <t>Open line, near Los Nietos Viejos (Murcia; level crossing, type B (light and acoustic signage), kilometre point 16,708; 45 Cartagena-Los Nietos railway line.</t>
  </si>
  <si>
    <t>The car crossed the level crossing while the flashing lights and warning bell were working</t>
  </si>
  <si>
    <t>UK-784</t>
  </si>
  <si>
    <t>Train derailment, 28/09/2009, Hampton Loade station, on Severn Valley Railway (United Kingdom)</t>
  </si>
  <si>
    <t>The accident occurred at 16:50 hrs as the 16:00 hrs train from Kidderminster to Bridgnorth was approaching Hampton Loade station, in Shropshire.  The train consisted of a London Midland and Scottish Railway designed 4MT 2-6-0 steam locomotive and 6 ex-British Railways Mark 1 passenger coaches. The locomotive tender was derailed as it approached the passing loop at the station. _x000D_
The derailment occurred on plain line to the south of the station. The train was slowing down to stop, and was travelling at less than 10 mph (16 km/h).</t>
  </si>
  <si>
    <t>Hampton Loade station, on Severn Valley Railway</t>
  </si>
  <si>
    <t>Severn Valley Railway</t>
  </si>
  <si>
    <t>The immediate cause of the accident was the leading right-hand wheel of the tender flange climbing over the rail at the site of a track twist. An incorrect spring had been fitted to this axle of the tender (paragraph 30 and recommendations 1, 2 and 3).</t>
  </si>
  <si>
    <t>The causal factors were as follows: The SVR’s procedure for maintenance of locomotives, CE007, was not followed (paragraph 42 and recommendations 2 and 3). In particular: there was no check that the new tender spring was of the correct type; there was no check by a competent person not involved with the work that the spring had been installed correctly; the wheel loads were not checked before placing the locomotive back into service; and the chief engineer did not approve the change to the spring design (the arrangements were such that he was unaware of the change). A significant track twist was present at the site (paragraph 48 and recommendation 1). 66.	The following factor was probably causal: SVR staff were unaware of the requirements of their engineering department company standard for maintenance of locomotives (paragraph 60 and recommendations 3 and 4). Contributory factors were: the SVR permanent way staff were unaware of the presence of the track twist (paragraph 54 and recommendation 1). The SVR SMS did not include the engineering department company standards (paragraph 60 and recommendation 2).	The underlying factors were that: The SVR track maintenance system was deficient, in that there was no process for routine measurement of track geometry (paragraph 55 and  recommendation 1). The SVR did not follow their SMS and their engineering department company standards (paragraph 56 and recommendation 5). The extent of the noncompliance had not been identified to the management due to the absence of audits.</t>
  </si>
  <si>
    <t>UK-780</t>
  </si>
  <si>
    <t>Level crossing accident, 29/09/2009, Halkirk Level Crossing, near Wick. (United Kingdom)</t>
  </si>
  <si>
    <t>The 10:38 hrs Inverness to Wick train struck a car on Halkirk Automatic Open Crossing - Locally monitored (AOCL).  The three occupants of the car all suffered fatal injuries.  There were no casualties on the train, and the damage to it was minimal._x000D_
_x000D_
The RAIB’s preliminary examination indicates that the warning lights at the crossing operated as designed, and that the train was driven correctly.  There is no evidence that the condition of the track, the railway signalling system, or the highway signage contributed to the accident.</t>
  </si>
  <si>
    <t>Halkirk Level Crossing, near Wick.</t>
  </si>
  <si>
    <t>First Scotrail Ltd</t>
  </si>
  <si>
    <t>The driver of the car did not react to the road traffic light signals and drove onto the level crossing at the same time as the train arrived.</t>
  </si>
  <si>
    <t>The most likely causal factor was that the car driver did not react to the flashing road traffic light signals because he did not see them. Feasible explanations for this are a combination of 135a to 135c below: the car driver had sub-standard eyesight (paragraphs 65 to 70, no recommendation); the conspicuity of the road traffic light signals was reduced by the poor condition of their backboards, giving rise to a greater susceptibility to glare in a road vehicle driver with sub-standard eyesight (paragraph 77, Recommendation 1); and the 30 mph (48 km/h) speed restriction signs for road vehicles on the south approach to the level crossing might have been a distraction to road vehicle drivers (paragraph 88, Recommendation 2). While it is not possible to state the relative significance of each one with certainty, it is likely that the car driver’s sub-standard eyesight was the most significant factor. There are other possible explanations for which there was no evidence (such as something causing a distraction in the car) which cannot be entirely ruled out. An underlying factor was that Network Rail did not fully understand the risk at Halkirk level crossing because the crossing’s previous incident and accident record was not taken into account in determining whether risk reduction measures were reasonably practicable. As a consequence: more costly risk reduction measures might have been justified (such as upgrading the crossing by fitting barriers) if all the relevant factors at Halkirk crossing had been taken into account and there had been guidance on how they should be considered (paragraphs 107 and 108, Recommendations 3 and 4); and risk reduction measures that had been identified as a result of risk assessments were not implemented with any degree of urgency, and not by the time the accident occurred on 29 September 2009, due to a loss of focus within the Network Rail organisation (paragraphs 121 and 122, no recommendation, see paragraph 143).</t>
  </si>
  <si>
    <t>FI-791</t>
  </si>
  <si>
    <t>Other, 10/1/2009, Koria station on the Lahti-Kouvola section of line. (Finland)</t>
  </si>
  <si>
    <t>Incident, risk of collision of a passenger train and a feight train.</t>
  </si>
  <si>
    <t>Koria station on the Lahti-Kouvola section of line.</t>
  </si>
  <si>
    <t xml:space="preserve">VR Group Ltd; 
</t>
  </si>
  <si>
    <t>The immediate cause of this incident was the transverse route set for freight train ahead of the passenger train by the traffic controller. The traffic controller’s situation awareness was not up to date, as a result of which his perception of the location of the passenger train was incorrect.</t>
  </si>
  <si>
    <t>1. The situation arose due to signal E being inoperative. The signal box was not used to secure all routes.  2. Unambiguous instructions were not issued for centralised traffic control during the con-struction work at the Koria operating point. Furthermore, the operating model did not util-ise the safety features of the signal box to the full._x000D_
Another contributing factor lay in a feature of the signal box, which enables the turnouts on the route being set to turn even if one or more of the track sections directly con-nected to the turnouts is occupied. Furthermore, the signal box in use enabled</t>
  </si>
  <si>
    <t>HU-880</t>
  </si>
  <si>
    <t>Level crossing accident, 04/10/2009, Line 252: Between Tokol and Szigetcsep stations (Hungary)</t>
  </si>
  <si>
    <t>Passenger train Nr. 2042 collided with a combine harvester at a level crossing without any form of warning system. The LC is marked only with a St. Andrew’s cross.</t>
  </si>
  <si>
    <t>Line 252: Between Tokol and Szigetcsep stations</t>
  </si>
  <si>
    <t>BKV Zrt.</t>
  </si>
  <si>
    <t>ES-813</t>
  </si>
  <si>
    <t>Level crossing accident, 08/10/2009, Monforte de Lemos station (Lugo), level crossing, type C (barriers and light and acoustic signage), kilometre point 000,851, 810 Vigo-Monforte de Lemos railway line. (Spain)</t>
  </si>
  <si>
    <t>An old man crossed the level crossing while all of its protection devices were working properly and warning of the coming train.</t>
  </si>
  <si>
    <t>Monforte de Lemos station (Lugo), level crossing, type C (barriers and light and acoustic signage), kilometre point 000,851, 810 Vigo-Monforte de Lemos railway line.</t>
  </si>
  <si>
    <t>DK-987</t>
  </si>
  <si>
    <t>Fire in RS, 10-10-09, Between Hjerm and Struer (Denmark)</t>
  </si>
  <si>
    <t>In at least two cases (10/10/2009 and 22/10/2009) the driver of a "flexliner" (IC3) train unit received fire alarm from the engine compartment. In both cases a tube with diesel fuel under pressure had been damaged and the fuel leaking onto hot engineparts had caught fire.</t>
  </si>
  <si>
    <t>Between Hjerm and Struer</t>
  </si>
  <si>
    <t>Det må konkluderes at bespændingen af rørføringsholderen til krumtapshusrøret er årsagen til hændelsen og er dermed direkte årsagen til branden. 
It has to be concluded that the spanning of the tube holder for the crankcase tube is the cause of the incident and is therefore the direct cause of the fire</t>
  </si>
  <si>
    <t xml:space="preserve">The design of the fuel system for the new engines for the IC3 MTU made it possible for fueltubes to rupture and let fuel under pressure and get in touch with the hot surfaces of the engines 
</t>
  </si>
  <si>
    <t>UK-785</t>
  </si>
  <si>
    <t>Train derailment, 11/10/2009, Windsor and Eton Riverside station (United Kingdom)</t>
  </si>
  <si>
    <t>The derailment occurred at 14:23 hrs, when a special train consisting of a Class 73 locomotive, a five car diesel-electric multiple unit, and two more Class 73 locomotives was slowing to a stop in the terminating platform 1.  One wheelset of the train, which was running at 3 mph (5 km/h) derailed and then re-railed itself as it came to a halt.</t>
  </si>
  <si>
    <t>Windsor and Eton Riverside station</t>
  </si>
  <si>
    <t>FIRST GB Railfreight</t>
  </si>
  <si>
    <t>The immediate cause of the derailment was that the track was unable to maintain the correct gauge as train 1Z75 passed over (paragraph 36).</t>
  </si>
  <si>
    <t>The causal factors were: a) 	action was not taken by the Track Section Manager to replace the decaying sleepers at 25 miles 46 chains (paragraph 64, no recommendation is made); b) the Track Maintenance Engineer did not follow-up his proposal for the replacement of the decaying sleepers in May 2008 (paragraph 72, no recommendation is made); c) the non-identification of the widening gauge in platform 1 at Windsor and Eton Riverside station (paragraph 77, see Recommendation 1); and d) tie bars were not applied to the defective section of track (paragraph 79, no recommendation is made). It is possible that the following factors were also causal: a) the Track Section Manager and Ellipse Administrator did not follow the process for discussing faults after they had been re-prioritised six times (paragraph 49, see paragraph 117); b) the patrollers did not report the condition of the sleepers to the Track Section Manager on a weekly basis (paragraph 57, see paragraph 118); and c) the Track Section Manager did not enforce the requirement for patrollers to report all faults on a weekly basis (paragraph 62, see paragraph 118). 	A contributory factor was: a) a discrepancy between the actual location of the fault at Windsor and Eton Riverside station and its recorded location on Ellipse (paragraph 42, see paragraph 116). The underlying factors were: a) the presentation of material in Ellipse that was used by the Track Section Manager when he did his three-monthly inspections was not conducive to the easy identification of longstanding faults (paragraphs 53, see paragraph 117); b) the view held by managers at Feltham depot that the risk from track faults at terminus stations was low (paragraph 81, no recommendation is made); and c) the absence of a mandated means of measuring or assessing the track gauge under dynamic conditions at Windsor and Eton Riverside station (paragraph 85, see Recommendation 2).</t>
  </si>
  <si>
    <t>NO-798</t>
  </si>
  <si>
    <t>Train derailment, 12/10/2009, Halden station area (Norway)</t>
  </si>
  <si>
    <t>Derailment under track change, possible track displacment (excess width of the track gauge)</t>
  </si>
  <si>
    <t>Halden station area</t>
  </si>
  <si>
    <t>CargoLink AS</t>
  </si>
  <si>
    <t>CZ-792</t>
  </si>
  <si>
    <t>Trains collision, 16/10/2009, Prerov station, track No. 402a, km 181,338 (Czech Republic)</t>
  </si>
  <si>
    <t>Freight train No. 50238 passed a signal at danger and collided with standing freight train No. 61121. One wagon of the freight train No. 50238 derailed of one bogie. The engine driver of freight train No. 61121 slightly injured.</t>
  </si>
  <si>
    <t>Prerov station, track No. 402a, km 181,338</t>
  </si>
  <si>
    <t>train driver's operational error (didn't respect red signal)</t>
  </si>
  <si>
    <t>ES-814</t>
  </si>
  <si>
    <t>Level crossing accident, 16/10/2009, Alfafar-Benetusser station (Valencia); level crossing type C; kilometre point 107,996; 300 Madrid-Valencia railway line. (Spain)</t>
  </si>
  <si>
    <t>An old man crossed the level crossing while all of its protection devices were working properly.</t>
  </si>
  <si>
    <t>Alfafar-Benetusser station (Valencia); level crossing type C; kilometre point 107,996; 300 Madrid-Valencia railway line.</t>
  </si>
  <si>
    <t>HU-881</t>
  </si>
  <si>
    <t>Level crossing accident, 17/10/2009, Line 100: Between Ebes and Debrecen stations (LC: AS2179) (Hungary)</t>
  </si>
  <si>
    <t>A locomotive running light collided with a car at a LC with half barriers. In consequence of the collision the driver of the car died at the site of the occurence.</t>
  </si>
  <si>
    <t>Line 100: Between Ebes and Debrecen stations (LC: AS2179)</t>
  </si>
  <si>
    <t>RO-786</t>
  </si>
  <si>
    <t>Trains collision, 17/10/2009, Open line Lehliu - Sarulesti belongs to Constanta Railway County on the South East of romaninan railway network (Romania)</t>
  </si>
  <si>
    <t>The freight train no. 93400 collided with the freith train no. 93402. Locomotive from train no. 93400 and two wagons from the end of the train no. 93402 derailed, one of the wagons turn over.</t>
  </si>
  <si>
    <t>Open line Lehliu - Sarulesti belongs to Constanta Railway County on the South East of romaninan railway network</t>
  </si>
  <si>
    <t>The direct cause of the accident – the collision occurred because of non-regulating exceeding of the signal Bl 212 turned off that in these conditions was indicating the stop, by the freight train no.93400 followed by the increase of the train’s speed to 45 km/hour, fact that led to the reaching from behind and the hitting the freight train no.93402.The irregular exceeding of the signal Bl 212 turned off by the freight train no. 93400 was based on a human error because: •the  freight train no.93400 had to stop in the front of the signal Bl 212 that  was  turned off and that in these conditions  was showing  the stop, without  exceeding it, according to the provisions of article 89, paragraph 1 corroborated  with  article 93, paragraph 1 of the Signaling Regulation no.004/2006, respectively  according to the provisions of article 129, paragraph 3 and 4  of the Instructions  for the  activity of the driving staff  in the railway transport no.201/2007;•in case  of stopping in front of the signal Bl 212, situation that was described above, the engine driver had to wait a time necessary to release the brake and in this time  the indication doesn’t change , he had to convince that the identification mark had  white color and was rectangular, after which he was going to drive the train with a speed of maximum 20 km/hour  until the next signal according to the provisions  of article 89, paragraph 2 of the Signaling Regulation no.004/2006, respectively according to the provisions of  article 132, item b of the Instructions  for the activity of the driving staff in the railway transport no.201/2007; •on the conditions mentioned above , the engine driver had to safely drive  the train, to permanently survey the line  and to adjust  the speed depending on the visibility  distance  so that to immediately stop in case that  the line is busy or  is noticing the  signals of the rear of the train according to the provisions of article 28, paragraph 9 of the Signaling Regulation no.004/2006; •the  button “ordered exceeding” of the speed punctual control installation  wasn’t properly  handled  according to the provisions of chapter V of the Order 17DA/610, col.1987 “Instructions on the functioning, operation and maintenance of the vigilance and safety devices  and of the speed punctual control installations ( INDUSI), respectively according to the provisions of article 9, paragraph 1, item o from the Instructions for the activity of the driving staff in the railway transport no. 201/2007.</t>
  </si>
  <si>
    <t>ES-815</t>
  </si>
  <si>
    <t>Accident to persons caused by RS in motion, 23/10/2009, Sant Ildefons de Cornellá flag stop (Barcelona); kilometre point 94,316; 240 San Vicente de Calders-L´Hospitalet de Llobregat railway line (Spain)</t>
  </si>
  <si>
    <t>The victim was hit by a train when he was crossing the tracks.</t>
  </si>
  <si>
    <t>Sant Ildefons de Cornellá flag stop (Barcelona); kilometre point 94,316; 240 San Vicente de Calders-L´Hospitalet de Llobregat railway line</t>
  </si>
  <si>
    <t>The victim invaded the rail gauge while the train was coming</t>
  </si>
  <si>
    <t>RO-801</t>
  </si>
  <si>
    <t>Trains collision, 02/11/2009, open line, between Dealu Stefanitei and Fiad railway stations, belongs to Cluj Railway County, on the north part of the Romanian Railway Network (Romania)</t>
  </si>
  <si>
    <t>The long distance passenger train no. 1923 was stopped on open line at km. 28+715 because of a technical failure at the train loco. The emergency loco, which circulated as train no. 17444 on open line from Dealu Stefanitei railway station to km. 28+715, collided with train no. 1923. As a consequence of this collision emergency loco was derailed.</t>
  </si>
  <si>
    <t>open line, between Dealu Stefanitei and Fiad railway stations, belongs to Cluj Railway County, on the north part of the Romanian Railway Network</t>
  </si>
  <si>
    <t>The direct  cause of the accident -  the collision happened because the assistance locomotive LDE 60-0720-7 wasn’t stop at the regular distance, running isolated as train no. 17444, fact that lead to violent end-on collision of the passenger train no.1923 hauling locomotive situated in stop position. The locomotive wasn’t stop at a regular distance due to a human error, because: the assistance locomotive had to be stopped at km 28+800 as it was stipulated at point 1 of the running order no. 2303140 issued by the movement inspector from Dealu Stefanitei railway station; according to the provisions of article 115, paragraph (3), chapter II of Instructions for the locomotive staff in railway transport No. 201/2007, the locomotive must have been stopped at least 2 meters before the first railway vehicle hauling from the train composition, after that the coupling should be made.</t>
  </si>
  <si>
    <t>NO-862</t>
  </si>
  <si>
    <t>Trains collision with an obstacle, 05/11/2009, Trondheim (Norway)</t>
  </si>
  <si>
    <t>Tram run in to back part of a bus</t>
  </si>
  <si>
    <t>Trondheim</t>
  </si>
  <si>
    <t>Gråkallbanen</t>
  </si>
  <si>
    <t>Team Trafikk AS</t>
  </si>
  <si>
    <t>CZ-826</t>
  </si>
  <si>
    <t>Level crossing accident, 10/11/2009, Passive level crossing in km 0.070 at Kamenolom Zarubka siding (near Zdarec u Skutce station) (Czech Republic)</t>
  </si>
  <si>
    <t>SIDING ACCIDENT: Collision of shunting wagons with a lorry at level crossing with consequent derailment</t>
  </si>
  <si>
    <t>Passive level crossing in km 0.070 at Kamenolom Zarubka siding (near Zdarec u Skutce station)</t>
  </si>
  <si>
    <t>Ceskomoravsky cement a. s. nastupnicka spolecnost</t>
  </si>
  <si>
    <t>Gravity shunting across passive level crossing not secured by responsible staff.   Contributory factor:  gravity shunting without engine performed on 16‰ descend (procedures not followed - violation)</t>
  </si>
  <si>
    <t>HU-882</t>
  </si>
  <si>
    <t>Other, 14/11/2009, Line 30: Nagykanizsa station (Hungary)</t>
  </si>
  <si>
    <t>While shunting at Nagykanizsa station a locomotive collided into the rear wagon of the train Nr. 45911-2.</t>
  </si>
  <si>
    <t>Line 30: Nagykanizsa station</t>
  </si>
  <si>
    <t>MÁV Cargo Zrt; 
MÁV-TRAKCIÓ Zrt.</t>
  </si>
  <si>
    <t>UK-819</t>
  </si>
  <si>
    <t>Track buckles, 14/11/2009, Between Feltham and Feltham Junction (United Kingdom)</t>
  </si>
  <si>
    <t>Track buckles</t>
  </si>
  <si>
    <t>The RAIB is carrying out an investigation into the failure of a brick arch that occurred on a bridge over the River Crane, located between Whitton and Feltham stations on the line between London Waterloo and Reading. _x000D_
Late on the night of 14 November 2009 track maintenance staff were asked to inspect the track following reports from train drivers of a dip in the track in the area close to the bridge.  On arrival at the eastern end of the bridge, the staff found that a hole had formed under the track used by trains heading towards London.  Further inspection by Network Rail revealed that the north-east section of the arch had partially collapsed and track ballast had fallen into the river below.  This resulted in the bridge being declared unsafe for the passage of trains in either direction.  _x000D_
_x000D_
The route remained blocked to railway traffic for more than a week while the track was diverted over an adjacent parallel bridge.</t>
  </si>
  <si>
    <t>Between Feltham and Feltham Junction</t>
  </si>
  <si>
    <t>The east abutment of bridge 48 was undermined by scour (paragraph 43).</t>
  </si>
  <si>
    <t>The causal factors were: The obstruction of the watercourse, which channelled the flow towards the east abutment, increasing its velocity and making it more likely that scour would occur (paragraph 44); Network Rail being unaware of the obstruction and therefore not taking action to mitigate the risk of scour (paragraph 50); and the vulnerability of the east abutment of the bridge to undermining by scour by virtue of being located on the outside of a bend in the river, constructed with shallow foundations and founded on erodible material (paragraph 72). It is probable that the following factor was causal: the absence of checks for obstructions against the upstream faces of bridges by track patrollers, who did not know that they should make such checks if it was reasonable to do so, and had no information on which bridges to check or how frequently (paragraph 52, Recommendation 1). A contributory factor was: the lack of a mechanism to encourage members of the public who were aware of the obstruction to report it to Network Rail (paragraph 70, Recommendation 2). The underlying factors were: the verification role performed by the examining engineer was wholly dependent on the completeness of the bridge examiner’s report. For visual examination reports where bridge examiners propose no action, the low level of information required in the report may mean that the examining engineer’s review can add no value (paragraph 59, Recommendation 3). Network Rail having inadequate knowledge about the condition of the foundations of bridge 48 as it had not commissioned mandatory underwater examinations (paragraph 79, Recommendation 4). Environment Agency staff not being aware of the safety risk presented by the obstruction found in the watercourse at bridge 48 in the absence of visible structural damage, and not being under an obligation to report non-flood risks to the infrastructure owner (paragraph 88, Recommendation 5).</t>
  </si>
  <si>
    <t>BE-803</t>
  </si>
  <si>
    <t>Accident to persons caused by RS in motion, 15-11-09, Jemelle (Belgium)</t>
  </si>
  <si>
    <t>Décès d'un agent de triage durant une opération de désaccouplement 
OVERLIJDEN VAN EEN RANGEERDER TIJDENS HET LOSKOPPELEN VAN MOTORSTELLEN 
Death of a yardman during a disengagement operation</t>
  </si>
  <si>
    <t>Jemelle</t>
  </si>
  <si>
    <t>Nationale Maatschappij de Belgische Spoorwegen</t>
  </si>
  <si>
    <t>Selon les déclarations et les éléments en notre possession, l’agent aurait entrepris le désaccouplement_x000D_
des automotrices en voie VII, sans la présence du sous chef de gare et du conducteur au droit_x000D_
du désaccouplement. Cette manière de travailler ne prévoit aucune barrière de sécurité 
According to declarations and elements in our possession, the agent had started _x000D_
the disengagement of the self-propelled machinery on rail VII in absence of the _x000D_
deputy stationmaster and the driver responsible for the disengagement. _x000D_
This way of working does not foresee any safety barrier.</t>
  </si>
  <si>
    <t>ES-816</t>
  </si>
  <si>
    <t>Level crossing accident, 16/11/2009, Sama de Langreo station (Asturias); level crossing type C; kilometre point 18,055; 140 Bif. Tudela-Veguín a El Entrego railway line. (Spain)</t>
  </si>
  <si>
    <t>Two people crossed the level crossing when it was forbidden. As a result they were hit by a train.</t>
  </si>
  <si>
    <t>Sama de Langreo station (Asturias); level crossing type C; kilometre point 18,055; 140 Bif. Tudela-Veguín a El Entrego railway line.</t>
  </si>
  <si>
    <t>The victims crossed the level crossing while the barriers were lowered and the flashing lights and warning bell were working</t>
  </si>
  <si>
    <t>IE-802</t>
  </si>
  <si>
    <t>Trains collision with an obstacle, 16/11/2009, South of Wicklow station (Ireland)</t>
  </si>
  <si>
    <t>Railcar struck a substantial slippage in the cutting south of Wicklow station at around 0630hrs. The front vehicle was derailed (all wheels), coming to rest with the front of the vehicle elevated by approximately 1 metre above rail level. The unit was an empty coaching stock service.</t>
  </si>
  <si>
    <t>South of Wicklow station</t>
  </si>
  <si>
    <t>The immediate cause of this landslip was the result of soil deposition by a landowner, at the crest of the cutting. This was as a result of the following combination of factors: The blocking of the drainage ditch for the field which was adjacent to the field; The presence of sand lenses in the cutting which facilitated the flow of water through the cutting; The heavy rainfall for the month of November which resulted in the saturation of the field adjacent to the cutting.</t>
  </si>
  <si>
    <t>Iarnród Éireann’s Structural Inspection Standard, I-STR-6510, only requires for visual inspections to be carried out on cuttings greater than 3m, with no requirement for any geotechnical assessment to be carried out. As a result the sand lenses present in the cutting, which was identified as a contributory factor to the accident occurring, were not identified. Therefore, there is some doubt as to the efficacy of only having visual inspections, when a more intrusive inspection would identify the geotechnical properties of the cutting, allowing Iarnród Éireann to identify structures that may be vulnerable to failure;</t>
  </si>
  <si>
    <t>BE-828</t>
  </si>
  <si>
    <t>Train derailment, 19-11-09, Mons (Belgium)</t>
  </si>
  <si>
    <t>déraillement d'un train suite à une vitesse excessive 
derailment of a train after excessive speed</t>
  </si>
  <si>
    <t>Mons</t>
  </si>
  <si>
    <t>la vitesse excessive de l’automotrice dans une courbe en S suite au manque de réaction du conducteur à hauteur du panneau d’annonce de réduction de vitesse pour réduire de façon progressive sa vitesse. 
excessive speed of the train in an S curve due to lack of driver reaction up to the speed reduction announcement panel to gradually reduce its speed.</t>
  </si>
  <si>
    <t>HU-883</t>
  </si>
  <si>
    <t>Level crossing accident, 19/11/2009, Line 8: between Ikreny and Enese stations (LC:AS137) (Hungary)</t>
  </si>
  <si>
    <t>Train Nr. 999 collided with a car at a level crossing equipped with half-barrier. In consequence of the occurence the driver of the car died at the site of the accident. The engine of the train became unfit for service.</t>
  </si>
  <si>
    <t>Line 8: between Ikreny and Enese stations (LC:AS137)</t>
  </si>
  <si>
    <t>Györ-Sopron-Ebenfurti Vasút Zrt</t>
  </si>
  <si>
    <t>EE-810</t>
  </si>
  <si>
    <t>Level crossing accident, 21/11/2009, Open line outside settlement between Liiva and Kiisa stations on the Männiku level crossing (15 km 6 picket) (Estonia)</t>
  </si>
  <si>
    <t>Truck MAZ collided with a passenger train.</t>
  </si>
  <si>
    <t>Open line outside settlement between Liiva and Kiisa stations on the Männiku level crossing (15 km 6 picket)</t>
  </si>
  <si>
    <t>It was human error of the truck driver, who had lost his sense of danger and approaching the level crossing at low speed, failed to observe the command to make a halt in the place, marked with a traffic sign "Stop and give way", in order to make sure, wether the train was approaching the level crossing.</t>
  </si>
  <si>
    <t>FR-817</t>
  </si>
  <si>
    <t>Train derailment, 24/11/2009, Line from Toulouse to Bayonne; track2 near the station of ORTHEZ (France)</t>
  </si>
  <si>
    <t>Tank wagon full of butane derails at low speed in a curve with high cant and overturns._x000D_
Damages to the wagon causes a gas leak.</t>
  </si>
  <si>
    <t>Line from Toulouse to Bayonne; track2 near the station of ORTHEZ</t>
  </si>
  <si>
    <t>Both wagon and track were within maintenance tolerances</t>
  </si>
  <si>
    <t>CZ-824</t>
  </si>
  <si>
    <t>Train derailment, 28/11/2009, Kolin station, switch No. 177, km 348.097 (Czech Republic)</t>
  </si>
  <si>
    <t>Derailment of carriages of regional passenger train No. 2103 (class 471 electric unit) during arrival to the station Kolin. according to our national law it is serious accident.</t>
  </si>
  <si>
    <t>Kolin station, switch No. 177, km 348.097</t>
  </si>
  <si>
    <t>wrong position of the switch No. 177N in the train route for the passenger train No. 2103</t>
  </si>
  <si>
    <t>1.  wrong step of station master (station master didn't check the position of the switch)  2.  improper connection of the switch into the interlocking system (interlocking system permitted to set a train route)_x000D_
None</t>
  </si>
  <si>
    <t>UK-818</t>
  </si>
  <si>
    <t>Train derailment, 28/11/2009, Gillingham Tunnel (United Kingdom)</t>
  </si>
  <si>
    <t>The RAIB is carrying out an investigation into the derailment of train 1L53, the 17:20 hrs service from London Waterloo to Yeovil Junction, at about 19:20 hrs on 28 November 2009.  The derailment occurred in a cutting on a single line section of the route between Gillingham (Dorset) and Templecombe, at a location about 200 m before the eastern portal of Gillingham Tunnel (also known as Buckhorn Weston Tunnel).  The train was travelling at about 60 mph. _x000D_
The immediate cause of the derailment was the train running through debris from a land slip.  The train remained upright and entered the tunnel. It contacted the tunnel wall and came to a stand with the rear of the three carriage train about 135 m from the portal.  After a period of time, all persons were safely evacuated with the assistance of the emergency services and railway staff. No injuries to passengers or the staff have been reported.  The damage to track was extensive.</t>
  </si>
  <si>
    <t>Gillingham Tunnel</t>
  </si>
  <si>
    <t>The immediate cause of the accident was a landslip triggered by water overflowing from a blocked ditch (paragraph 60).</t>
  </si>
  <si>
    <t>Causal factors were the Victorian cutting design did not take adequate account of the interaction between geology, groundwater and heavy rainfall (paragraphs 20 to 23, no recommendation); roots were not dealt with properly during maintenance work (paragraph 66, Recommendation 1); the person who inspected the ditch did not have appropriate guidance about how to deal with roots (paragraph 72, Recommendation 1); there was no Network Rail process for establishing the drainage ditch condition to be achieved during maintenance work (paragraph 75, Recommendation 1); and lack of action in response to the March 2000 memo (paragraph 92, no recommendation as action already in hand, see paragraph 131). Possible causal factors were: the ditch may have been dug out to an inadequate size during maintenance work (paragraph 66, Recommendation 1); the ditch was inspected without appropriate guidance about the size of ditch required (paragraph 72, Recommendation 1); and the evaluation did not consider information available from historic documents (paragraph 77, Recommendation 2); Network Rail’s off track drainage management process was an underlying factor because it does not include a process for providing inspection and maintenance staff with adequate information about required ditch sizes (paragraph 94, Recommendation 1).</t>
  </si>
  <si>
    <t>BG-820</t>
  </si>
  <si>
    <t>Fire in RS, 30/11/2009, The accident location is in the Stambolijski - Todor kableshkov interstation section. (Bulgaria)</t>
  </si>
  <si>
    <t>The accident is related to fire in an electric locomotive (No. 45167)of train No. 3601 Sofia - Burgas. The accident occured on 30th of November 2009 at 17:55 h local time. There are damages only to the locomotive. The damages will be evaluated in addition.There are no victims or injured persons in result of the accident.</t>
  </si>
  <si>
    <t>The accident location is in the Stambolijski - Todor kableshkov interstation section.</t>
  </si>
  <si>
    <t>BDZ Traction rolling stock (Locomotives)</t>
  </si>
  <si>
    <t>The fire in the locomotive was most probably caused by a breakdown of a capacitor of the RC groups used to protect the auxiliary rectifier 220 from internal commutation over-voltage.During the past 27 years of continuous operation, the nominal performance (capacitance) of the of the capacitors have gradually deteriorated as a result of aging, which is a reason to conclude, with high degree of probability, that at a certain unpredictable moment there was an explosion (blow-up) of a capacitor caused by an over-voltage pulse, and the resulting sparks caused self-ignition of the capacitor electrolyte. The compact size of the rectifier cabinet (small spacing between the elements) created conditions for a process of avalanche expansion of the fire and ignition of the cables within the rectifier unit, thus causing subsequent blow-up of adjacent capacitors.</t>
  </si>
  <si>
    <t>ES-837</t>
  </si>
  <si>
    <t>Level crossing accident, 01/12/2009, O Porriño station (Pontevedra), level crossing type C, kilometre point 151,433, 810 Vigo-Monforte de Lemos railway line. (Spain)</t>
  </si>
  <si>
    <t>A person is killed by a long distance train as he crossed the level crossing while its protective devices were properly working.</t>
  </si>
  <si>
    <t>O Porriño station (Pontevedra), level crossing type C, kilometre point 151,433, 810 Vigo-Monforte de Lemos railway line.</t>
  </si>
  <si>
    <t>UK-822</t>
  </si>
  <si>
    <t>Accident to persons caused by RS in motion, 02/12/2009, Whitehall West Junction, Leeds. (United Kingdom)</t>
  </si>
  <si>
    <t>The RAIB is carrying out an investigation into a fatal accident involving a track worker who was carrying out lookout duties near Whitehall West Junction, Leeds. The accident occurred at about 09:40 hrs on 2 December 2009 when the track worker was struck by an empty class 333 electric multiple unit, operated by Northern Rail, that had just left Leeds destined for Skipton.</t>
  </si>
  <si>
    <t>Whitehall West Junction, Leeds.</t>
  </si>
  <si>
    <t>The immediate cause of the accident was that the west-facing lookout did not move from the path of the train as it approached (paragraph 36, no recommendation).</t>
  </si>
  <si>
    <t>The causal factors were that the west-facing lookout: a. moved from a safe position and was possibly unaware that he was in the path of trains (paragraphs 61a and 64, Recommendation 1); and b. was possibly unaware that a train was approaching him (paragraphs 61b, 65 and 66, no Recommendation).</t>
  </si>
  <si>
    <t>FI-823</t>
  </si>
  <si>
    <t>Level crossing accident, 03/12/2009, Seinäjoki, Tepontie / Teppo level crossing, protected. Seinäjoki-Ylivieska section of line. Protected with half barriers. (Finland)</t>
  </si>
  <si>
    <t>Passenger train collided with a car. The car driver was fatally injured.</t>
  </si>
  <si>
    <t>Seinäjoki, Tepontie / Teppo level crossing, protected. Seinäjoki-Ylivieska section of line. Protected with half barriers.</t>
  </si>
  <si>
    <t>The train drove into the car, which was at a halt on the level crossing. Suicide.</t>
  </si>
  <si>
    <t>RO-821</t>
  </si>
  <si>
    <t>Wrong-side signalling failure, 05/12/2009, Pantelimon Railway Station belongs to Bucharest Railway County on the South part of Romanian Railway Network, 10 km east from Bucharest. (Romania)</t>
  </si>
  <si>
    <t>The regional passenger train no. 8013 stopped in front of swich no. 37 in wrong position with acces to line no. 4 occupied with regional passenger train no. 8018.</t>
  </si>
  <si>
    <t>Pantelimon Railway Station belongs to Bucharest Railway County on the South part of Romanian Railway Network, 10 km east from Bucharest.</t>
  </si>
  <si>
    <t>The incident occurred as a result of incorrect performance of the entrance for the passenger train no. 8013 at line 4 occupied by the passenger train no. 18207 instead of line 3 free, and due to the emergency signal operation of the XOP signal from the railway station CFR Pantelimon without checking the line and the entrance.</t>
  </si>
  <si>
    <t>1. When the railway incident occurred, the handling instruction of relay interlocking system with key button and vertical control panel, operating from 01st of December 2009, wasn’t prepared, diffused and processed with the interested operating staff.2. The operating staff from the railway station Pantelimon wasn’t trained on how to work and wasn’t authorised for the handling of relay interlocking system with key button and vertical control panel, operating from 01st of December 2009._x000D_
The lack of certification/granting of agreement of the relay interlocking system with key button and vertical control panel, operating from 01st of December 2009 and its acceptance into operation by the railway infrastructure manager representative withou</t>
  </si>
  <si>
    <t>ES-840</t>
  </si>
  <si>
    <t>Spad, 06/12/2009, Granollers station (Barcelona); kilometre point 136,551; 270 Portbou-Cerbere-Barcelona-Sant Andreu Comtal railway line. (Spain)</t>
  </si>
  <si>
    <t>The traffic manager´s assistant unduly dispatched of long distance passenger train 10371 before the preceding train (medium distance train 30557) had reached its destination, being established telephone block.</t>
  </si>
  <si>
    <t>Granollers station (Barcelona); kilometre point 136,551; 270 Portbou-Cerbere-Barcelona-Sant Andreu Comtal railway line.</t>
  </si>
  <si>
    <t>The traffic manager didn´t assured that his assistant had understood his instructions as it´s set in the General Operating Regulation. Besides, his assistant didn´t comply with what is established for a telephone block situation.</t>
  </si>
  <si>
    <t>ES-839</t>
  </si>
  <si>
    <t>Spad, 11/12/2009, Renedo de Piélagos station (Cantabria), kilometre point 495,043, 160 Santander-Palencia railway station. (Spain)</t>
  </si>
  <si>
    <t>A locomotive running solo (train nºAE 147), failed to stop at the exit station signal S1/1(red aspect, forcing open the point nº 4 and causing a near miss train collision with a passenger train nº26944.</t>
  </si>
  <si>
    <t>Renedo de Piélagos station (Cantabria), kilometre point 495,043, 160 Santander-Palencia railway station.</t>
  </si>
  <si>
    <t>The incident was caused when the train AE 147 driver overtook the station exit signal (S1/1) which stated a red aspect (stop indication).</t>
  </si>
  <si>
    <t>ES-838</t>
  </si>
  <si>
    <t>Level crossing accident, 13/12/2009, Orbita-Espinosa flag stop (Ávila), near Arévalo station, at level crossing type A, kilometre point 164,429, 100 Madrid-Hendaya railway line. (Spain)</t>
  </si>
  <si>
    <t>A car is knocked down by a passenger train. As a result, the sole occupant died.</t>
  </si>
  <si>
    <t>Orbita-Espinosa flag stop (Ávila), near Arévalo station, at level crossing type A, kilometre point 164,429, 100 Madrid-Hendaya railway line.</t>
  </si>
  <si>
    <t>Despite the train driver had used the whistle and the lights to warn, the driver impinge the track as the train was coming.</t>
  </si>
  <si>
    <t>ES-852</t>
  </si>
  <si>
    <t>Trains collision with an obstacle, 15/12/2009, Navia (Asturias). Open line,kilometre point 191,222, 11 Ferrol-Oviedo railway line. (Spain)</t>
  </si>
  <si>
    <t>A passenger train, after leaving a tunnel, collides with objects which had fallen within the gauge due to a landslide. As a result, one of the vehicles derailed.</t>
  </si>
  <si>
    <t>Navia (Asturias). Open line,kilometre point 191,222, 11 Ferrol-Oviedo railway line.</t>
  </si>
  <si>
    <t>The accident was caused when passenger train 3102 collided with a landslide that had fallen from the cutting</t>
  </si>
  <si>
    <t>FI-829</t>
  </si>
  <si>
    <t>Level crossing accident, 16-12-09, Laukaa, Lemettiläntie / Lemettilä level crossing, unprotected (Finland)</t>
  </si>
  <si>
    <t>Freight train collided with a van. The driver and the passenger of the van were fatally injured.</t>
  </si>
  <si>
    <t>Laukaa, Lemettiläntie / Lemettilä level crossing, unprotected</t>
  </si>
  <si>
    <t>The cause of the accident was that the van driver drove onto the level crossing without apparently observing the train approaching from the right.</t>
  </si>
  <si>
    <t>A contributing factor was the fact that, when approached, the crossing looks safe, rendered observation more difficult. Special care should have been exercised, however, considering that the road slopes downwards before the level crossing, that there is a road crossing close to the level crossing and that the sun was shining directly towards the approaching van.</t>
  </si>
  <si>
    <t>LV-832</t>
  </si>
  <si>
    <t>Trains collision, 16/12/2009, Railway line Indra â€“ state boarder (kilometre 446 picket 2). (Latvia)</t>
  </si>
  <si>
    <t>Freight trains No 2824 collided with railway crane, which was working in the second (newly construction) railway track</t>
  </si>
  <si>
    <t>Railway line Indra â€“ state boarder (kilometre 446 picket 2).</t>
  </si>
  <si>
    <t>Third contry RU; 
SIA "LDZ Cargo"</t>
  </si>
  <si>
    <t>Direct and immediate cause of accident was the lack of delimitation of working area. As a result of this failure there was a collision between the railway crane and the freight train.</t>
  </si>
  <si>
    <t>RKF „Transceltnieks” Ltd staff hadn’t planned the necessity of safety events on the working area before the commencement of work;  The train driver didn’t receive warning information about the railway crane activities on the newly constructed road, and all drivers were used to lasting repair works on that line, all this reduced the driver’s attention; RKF „Transceltnieks” Ltd foreman didn’t inform infrastructure manager authorities about the commencement of working activities on that newly constructed road._x000D_
RKF „Transceltnieks” Ltd did not follow requirements stated by Safety Management System regarding to planning safety measures, and staff’s performance control;  The infrastructure manager regulations do not inform about the necessity for station master to</t>
  </si>
  <si>
    <t>NO-841</t>
  </si>
  <si>
    <t>Trains collision, 17/12/2009, The accident occured at Koppang station on Rørosbanen (Norway)</t>
  </si>
  <si>
    <t>There was a lateral collision between a passenger train and a freight train when the passenger train was leaving the station. The freight train was observing the wrong departure signal, and started from track 2. The departure signals are located on the left side of the track for both track 1 and 2 in this end of the station.</t>
  </si>
  <si>
    <t>The accident occured at Koppang station on Rørosbanen</t>
  </si>
  <si>
    <t>CargoNet AS; 
NSB AS</t>
  </si>
  <si>
    <t>The freight train started to proceed from track 2 in response to the signal that was intended for the passenger train on track 1</t>
  </si>
  <si>
    <t>Signal was automatically approved when NRA was established in 1996.</t>
  </si>
  <si>
    <t>UK-831</t>
  </si>
  <si>
    <t>Level crossing accident, 19/12/2009, Victory Level Crossing, Taunton (United Kingdom)</t>
  </si>
  <si>
    <t>The RAIB is carrying out an investigation into a near-miss involving a person using a wheelchair and a train on Victory Automatic Half-Barrier (AHB) level crossing located on the main line railway near Taunton, Somerset.</t>
  </si>
  <si>
    <t>Victory Level Crossing, Taunton</t>
  </si>
  <si>
    <t>One of the front wheels of the wheelchair became stuck in an area of ballast in the south-west corner of the crossing (paragraph 38).</t>
  </si>
  <si>
    <t>The causal factors were: a.the non-application of asphalt to the full length of the south side of the crossing during the renewal work undertaken in March 2007 (paragraph 40, see Recommendation 1); b the uneven interface created by the non-application of asphalt to the full length of the south side of the crossing was not identified during a number of crossing inspections and risk assessments that took place between March 2007 and December 2009 (paragraph 63, see Recommendation 2); c. it was dark at the time of the incident, which made it difficult for the wheelchair user to see the area of ballast in the south-west corner of the crossing (paragraph 75, no recommendation is made); and d. the skewed angle between the railway and the road, which meant that the wheelchair user was not able to follow a straight path at the side of the level crossing because of the need to avoid the front wheels of the wheelchair dropping into the flangeway gaps (paragraph 78, see Recommendation 3). The underlying factors were: a. there was a lack of guidance within level crossing standards and documentation on the arrangements for providing asphalt at the interface between the level crossing and surrounding areas (paragraph 57, see Recommendation 1); and b. Network Rail’s level crossing inspection standards and checklists did not highlight the risk to small wheels, such as those on wheelchairs and children’s pushchairs, from changes in crossing surface material (paragraph 64, see Recommendation 2).</t>
  </si>
  <si>
    <t>ES-853</t>
  </si>
  <si>
    <t>Level crossing accident, 20/12/2009, Sant Guim de Freixenet (Lérida), level crossing type C, kilometre point 253,775; 220 Lleida Pirineus-L´Hospitalet de Llobregat railway line. (Spain)</t>
  </si>
  <si>
    <t>A young boy is hit by a passenger train when he was crossing the level crossing. As a result he died.</t>
  </si>
  <si>
    <t>Sant Guim de Freixenet (Lérida), level crossing type C, kilometre point 253,775; 220 Lleida Pirineus-L´Hospitalet de Llobregat railway line.</t>
  </si>
  <si>
    <t>FR-830</t>
  </si>
  <si>
    <t>Trains collision with an obstacle, 20/12/2009, Line RER C from Paris-Austerlitz to Juvisy near the station of Choisy-le-Roi (France)</t>
  </si>
  <si>
    <t>The car skids on ice and strikes the parapet of the road bridge. A large stone falls from the parapet onto the track. The train strikes the stone and derails.</t>
  </si>
  <si>
    <t>Line RER C from Paris-Austerlitz to Juvisy near the station of Choisy-le-Roi</t>
  </si>
  <si>
    <t>car driver driving too fast and loosing control</t>
  </si>
  <si>
    <t>NO-843</t>
  </si>
  <si>
    <t>Broken wheels or axles, 22/12/2009, On Hovedbanen between Hauerseter (km 49,62) and Fjellhamar (km 16,42). (Norway)</t>
  </si>
  <si>
    <t>A 2-axled waggon in a freight train, loaded with timber, lost one axlebox possibly due to bearing malfunction or a cracked leaf spring. The train went on for at least 33 km, the last 5-6 on double track, before the hazard was discovered by the driver i a meeting train. The train was stopped before the wagon tipped over or derailed.</t>
  </si>
  <si>
    <t>On Hovedbanen between Hauerseter (km 49,62) and Fjellhamar (km 16,42).</t>
  </si>
  <si>
    <t>The investigation reveals that the incident probably developed as a result metal build-up on the wheels’ rolling surfaces caused by a stuck brake. This produced sufficient impact to compromise the axle bearings. The carriage was fitted with axle bearings of an older type with a brass roller cage. These have previously proved to have a higher frequency of failure, and are no longer re-installed in connection with overhauls of wheel sets for CargoNet AS.</t>
  </si>
  <si>
    <t>It has been noted that the assessment of the potential for damage in such incidents varies greatly between CargoNet AS and the Norwegian National Rail Administration. The Accident Investigation Board Norway believes that this is unfortunate and could resu</t>
  </si>
  <si>
    <t>UK-835</t>
  </si>
  <si>
    <t>Spad, 22/12/2009, Carstairs, South Lanarkshire (United Kingdom)</t>
  </si>
  <si>
    <t>A freight train, the 19:21 hrs service from Coatbridge to Tilbury, passed two red signals in succession as it approached Carstairs on the Up Main line.  The train passed through Carstairs station and came to a stand around two miles after it had started to brake.  _x000D_
_x000D_
As the freight train approached Carstairs, the 13:00 hrs passenger service from Kings Cross to Glasgow Central, was being routed across the Up Main line at the south end of the station.  This passed clear of the junction less than two minutes before the arrival of the freight train.  _x000D_
_x000D_
Actions by the signaller had averted the potential for a derailment or collision between the freight train and a second passenger train that was also approaching Carstairs, from the direction of Edinburgh._x000D_
_x000D_
The weather at the time was poor, with heavy falling snow and freezing temperatures.</t>
  </si>
  <si>
    <t>Carstairs, South Lanarkshire</t>
  </si>
  <si>
    <t>The immediate cause of the near-miss incident was that train 4L81 had a significantly reduced braking performance and therefore passed both signals MC408 and MC414 at danger (paragraph 40).</t>
  </si>
  <si>
    <t>The absence or reduction in braking forces on the FSA and FTA wagons was caused by a combination of the following factors: a. snow and ice ingress restricting movement of brake rigging and reducing the force that the brake pad applies to its brake disc (a probable causal factor) (paragraphs 53 and 62, Recommendations 2 and 3); and b. a reduction in the coefficient of friction between the brake pads and the brake disc due to the ingress of snow/ice and water between them (a possible causal factor) (paragraphs 53 and 68, Recommendations 2 and 3). 	The other causal factors were: a. the way the driver applied the running brake test rules which meant he did not have a correct understanding of the brake forces available (paragraph 86, Recommendation 1); and b. the driver went for a long period without applying the train’s brakes (paragraph 97, Recommendation 1). It is probable that the following factors were causal: a. the passage of train 4L81 between Mossend and Carstairs disturbing lying snow (paragraph 69, Recommendations 2 and 3); and b. the driver’s interpretation of parts of the rule for carrying out running brake tests in snowy conditions meant the likelihood of him carrying out these running brake tests was reduced (paragraph 105, Recommendation 1). The contributory factor was: a. the speed that train 4L81 approached Carstairs, even though it was travelling below its maximum permitted speed (paragraph 83, Recommendations 2 and 3). It is possible that the following factor was contributory: a. there was snow and ice on or around the brake equipment before train 4L81 departed from Coatbridge (paragraph 77, no recommendation).  The underlying factors were: a. the existing requirement for carrying out running brake tests in snowy conditions is not an effective preventive measure (paragraph 112, Recommendation 1); b. there are currently no general speed restrictions in snowy conditions in module TW1 of the Rule Book, for freight trains operating in snowy conditions, that might reduce snow disturbance or mitigate loss of braking capability (paragraph 116, Recommendations 2 and 3); and c. trains can enter into service with snow and ice already on or around their brake equipment (paragraph 123, no recommendation, see paragraphs 151 to 152 for details of actions already taken).</t>
  </si>
  <si>
    <t>ES-854</t>
  </si>
  <si>
    <t>Train derailment, 28/12/2009, Pedrera station (Sevilla); kilometre point 94,176; switch point nº6; 422 Bif.Utrera-Fuente Piedra railway line. (Spain)</t>
  </si>
  <si>
    <t>Passenger train (nº13924) partially derailed (first car and first bogie of second car) as it went through switch point nº 6 which was wrongly set. The train was stopped at home signal E2 (red aspect). The traffic manager authorised the train driver to overtake the signal being that the point nº 6 was wrongly set despite the established route was set. When train resumed its march and reached the point, the train became derailed.</t>
  </si>
  <si>
    <t>Pedrera station (Sevilla); kilometre point 94,176; switch point nº6; 422 Bif.Utrera-Fuente Piedra railway line.</t>
  </si>
  <si>
    <t>The traffic manager didn´t check, before authorising the overtook, the right position of point nº 6 as it´s set in the General Operating Regulation</t>
  </si>
  <si>
    <t>ES-855</t>
  </si>
  <si>
    <t>Trains collision with an obstacle, 30/12/2009, Kilometre point 92,020, closer to Fuenmayor station (La Rioja); 700 Casetas Intermodal Abando-Indalecio Prieto railway line (Spain)</t>
  </si>
  <si>
    <t>A long distance passenger train collided with a large rock, which had fallen within the gauge from a cutting. Despite the driver saw the rock and acted upon the emergency brake, it didn´t avoid that the train became partially derailed (locomotive and first four cars).</t>
  </si>
  <si>
    <t>Kilometre point 92,020, closer to Fuenmayor station (La Rioja); 700 Casetas Intermodal Abando-Indalecio Prieto railway line</t>
  </si>
  <si>
    <t>The accident was caused when passenger train 930 collided with large rock (about 1cubic metre) that had fallen from the cutting. The existing mesh couldn´t resist the impact of the rock that fell from a 25 metres height.</t>
  </si>
  <si>
    <t>FI-833</t>
  </si>
  <si>
    <t>Trains collision with an obstacle, 04-01-10, Helsinki Central Railway Station, track 13. (Finland)</t>
  </si>
  <si>
    <t>Collision with an obstacle (with a rail barrier and a building)_x000D_
Shunting unit: Passenger train IC71 during shunting to the departure track, Sr2 electric locomotive and 8 passenger cars.</t>
  </si>
  <si>
    <t>Helsinki Central Railway Station, track 13.</t>
  </si>
  <si>
    <t>Long distance passenger train; 
Shunting operation</t>
  </si>
  <si>
    <t xml:space="preserve">VR Ltd; 
</t>
  </si>
  <si>
    <t>The accident was caused by the coupling loop coming loose from the hook during the pushing movement. The coupling loop come loose because, as the car buffers compressed, the coupling loop, which had frozen solid, rose off the hook.</t>
  </si>
  <si>
    <t>The conductor released the brakes of the cars to get the train moving. He did not realise that the train had broken into two. The situation was aggravated by the fact that the screw coupling had not been tightened properly. Seeing the coupling loop was difficult because of poor lighting and the ice and snow in the space between the cars. The train in question had last been de-iced nine days previously, and there was a lot of snow on the bogies and between the cars. Additionally, the water coming from the outlet pipe of the sink in the WC of the car behind the restaurant coach had increased the formation of ice in this space.</t>
  </si>
  <si>
    <t>UK-836</t>
  </si>
  <si>
    <t>Train derailment, 04/01/2010, Carrbridge, Inverness-shire (United Kingdom)</t>
  </si>
  <si>
    <t>The 13:14 hrs Inverness to Mossend Yard freight train, (which was formed by a class 66 locomotive and ten FKA type flat bed wagons carrying containers) passed a red signal on the single line while approaching Carrbridge station and continued for another 500 metres before running into a loop and onto a short length of track designed to divert trains away from the station (this is known as a ‘run out’).  When still travelling at around 60 mph the locomotive and the first vehicle overshot the end of the run out and came to rest down the embankment, close to some houses, with the next five vehicles coming to rest at various angles across the loop and the main line.  The last four vehicles did not derail. _x000D_
_x000D_
The driver and a technician who was travelling with the train received minor injuries.  _x000D_
The weather at the time was poor, with a layer of snow over the head of the rail, heavy falling snow and extreme freezing temperatures.</t>
  </si>
  <si>
    <t>Carrbridge, Inverness-shire</t>
  </si>
  <si>
    <t>Train 4N47 passed over 116 trap points, while they were set for the run-out (paragraph 75).</t>
  </si>
  <si>
    <t>The absence or reduction in braking forces in some or all of the vehicles making up train 4N47 was caused by a combination of the following factors:a.A reduction in the coefficient of friction between the brake blocks and the wheel tread surface due to the ingress of snow, ice and water between them (a probable causal factor) (paragraph 89a, Recommendations 1 and 2); and b.Snow and ice ingress restricting movement of brake rigging and reducing the force that the brake block applies to the wheel surface (a possible causal factor) (paragraph 89b, Recommendations 1 and 2). Other casual factors were: a. 118 points at Carrbridge had been set to direct trains into the loop whilst simultaneously 116 points had been set to direct trains entering the loop over the run-out (paragraph 77, no recommendation); b. Train 4N47 passed signal AC336 at danger (paragraph 81, no recommendation); and c. The way the driver applied the running brake test rules meant he did not have a correct understanding of the brake forces available (paragraph 145, Recommendations 1 and 2). It is probable that the following factor was causal; a.The disturbance of snow lying close to the line by train 4N47 due to the speed at which it ascended the Slochd summit (paragraph 123, Recommendation 3). It is possible that the following factor was causal; a. Snow accumulating to a level where it could directly contact components on the bogies of the wagons (paragraph 119, Recommendation 3). It is possible that the following factor was contributory; a.The composition brake block material on train 4N47 may have had its coefficient of friction slightly reduced (paragraph 147, no recommendation). An underlying factor was: a. 	The requirement for running brake tests to be undertaken in snow contained in Module TW1 were neither an effective detection of loss of braking force in snow nor an effective preventative measure against the ingress of snow into braking equipment when trains are climbing steep gradients (paragraph 151, Recommendations 1 and 2). It is possible that the following factor was underlying: a. Network Rail’s Scotland winter working arrangements did not contain a suitable warning that the prolonged use of miniature snow ploughs might leave an accumulation of snow lying near the line (paragraph 174, Recommendation 3).</t>
  </si>
  <si>
    <t>UK-933</t>
  </si>
  <si>
    <t>Trains collision, 04/01/2010, Exeter St Davids station (United Kingdom)</t>
  </si>
  <si>
    <t>A passenger train from Barnstaple arriving in platform 1 at Exeter St Davids station collided with the rear of another passenger train which was stationary in the platform. The collision occurred at a speed of approximately 11 mph (18 km/h).</t>
  </si>
  <si>
    <t>Exeter St Davids station</t>
  </si>
  <si>
    <t>First Great Western Ltd; 
South West Trains Ltd</t>
  </si>
  <si>
    <t>The immediate cause of the accident was that the driver’s application of the brakes did not stop the Barnstaple train before it collided with the Waterloo train (paragraph 32).</t>
  </si>
  <si>
    <t>A causal factor was a length of low adhesion at Red Cow level crossing and at the eastern end of platform 1 at Exeter St Davids station (paragraph 33).A contributory factor was the lack of sanding equipment on the class 142 unit (paragraph 41, see paragraph 82).</t>
  </si>
  <si>
    <t>HU-910</t>
  </si>
  <si>
    <t>Level crossing accident, 09/01/2010, Line 80: Ludas station (Hungary)</t>
  </si>
  <si>
    <t>Train Nr IC536 collided with a car at a LC equipped with half barrier. The signalling of LC operated well. The engine of the train damaged.</t>
  </si>
  <si>
    <t>Line 80: Ludas station</t>
  </si>
  <si>
    <t>ES-873</t>
  </si>
  <si>
    <t>Train derailment, 10/01/2010, Kilometre point 568+250 at 400 Alcázar de San Juan â€“ Cádiz railway line, at 4,4 kilometres from Majarabique gauge changing facility (Sevilla) (Spain)</t>
  </si>
  <si>
    <t>A long distance passenger train, after it had left Majarabique break-of-gauge, came to a halt before it reached Sevilla station. The driver checked the train and noticed that the left wheel of the axle number 17 of the first bogie (direction of travel) and both wheels of axles 15 and 16 (penultimate car) were derailed.</t>
  </si>
  <si>
    <t>Kilometre point 568+250 at 400 Alcázar de San Juan â€“ Cádiz railway line, at 4,4 kilometres from Majarabique gauge changing facility (Sevilla)</t>
  </si>
  <si>
    <t>The derailment was caused by failure of the break of gauge process, when the left wheel of the driving car’s first axle didn’t set in the required gauge. This failure probably was caused by an iced snow build-up in the change mechanism of the affected bogie.</t>
  </si>
  <si>
    <t>ES-856</t>
  </si>
  <si>
    <t>Level crossing accident, 15/01/2010, Villarreal station (Castellón), level crossing type C, kilometre point 62,902, 600 Valencia-San Vicente de Calders railway line. (Spain)</t>
  </si>
  <si>
    <t>A road vehicle crossed the level crossing when the barriers were lowered and all of its devices (acoustic and lights) were working. As a result, the car was hit by the coming train killing the ocupant of the car.</t>
  </si>
  <si>
    <t>Villarreal station (Castellón), level crossing type C, kilometre point 62,902, 600 Valencia-San Vicente de Calders railway line.</t>
  </si>
  <si>
    <t>ES-857</t>
  </si>
  <si>
    <t>Accident to persons caused by RS in motion, 15/01/2010, Getafe Industrial station (Madrid), kilometre point 13,860; 300 Madrid-Valencia railway line. (Spain)</t>
  </si>
  <si>
    <t>A person is hit by a regional passenger train when he crossed the tracks through an unauthorised place. As a result the victim died.</t>
  </si>
  <si>
    <t>Getafe Industrial station (Madrid), kilometre point 13,860; 300 Madrid-Valencia railway line.</t>
  </si>
  <si>
    <t>The victim crossed the tracks while the train was coming</t>
  </si>
  <si>
    <t>UK-844</t>
  </si>
  <si>
    <t>Level crossing accident, 16/01/2010, Level Crossing at Moreton-on-Lugg, between Shrewsbury and Hereford, Heredfordshire. (United Kingdom)</t>
  </si>
  <si>
    <t>The 08:30 hrs Manchester Piccadilly to Milford Haven train collided with two cars on Moreton-on-Lugg level crossing. This crossing has full-width lifting barriers controlled from the adjacent signal box. One of the two people in one of the cars was killed and the other was seriously injured, and the two people in the other car suffered minor injuries. There were no casualties on the train, which suffered some damage. The RAIB’s preliminary examination indicates that the level crossing barriers were raised by the signaller after the train had been signalled to proceed. There is no evidence that the actions of the motorists or the driving of the train contributed to the accident.</t>
  </si>
  <si>
    <t>Level Crossing at Moreton-on-Lugg, between Shrewsbury and Hereford, Heredfordshire.</t>
  </si>
  <si>
    <t>The immediate cause of the accident was that the signaller raised the barriers at Moreton-on-Lugg level crossing when train 1V75 was approaching and too close to be able to stop before reaching either the protecting signal, or the crossing. This permitted the waiting cars to move onto the railway and into the path of the train (paragraph 94).</t>
  </si>
  <si>
    <t>A causal factor was that the signaller failed to re-orientate to the original task of monitoring the passage of train 1V75 after being interrupted by a telephone call. Then, mistakenly thinking that the train had passed over the crossing at Moreton-on-Lugg, he raised the barriers. When he realised his mistake, he was unable to recover the situation (paragraphs 98 and 126, Recommendations 2 and 4). The above human errors were a result of the signaller first suspending his monitoring the passage of train 1V75, probably caused by a combination of the following: a) the call from Ox Pasture Farm No.1 user-worked crossing, in that it captured his attention and focused his concentration on another train (paragraph 108, Recommendation 2); and b) the decision-making process that the signaller became involved in as he tried to determine if there was enough time to cross sheep at Ox Pasture Farm No.1 user-worked crossing (paragraph 117, Recommendations 2 and 4). Having to think about the rules and process for handling the call from Ox Pasture Farm No.1 user-worked crossing possibly contributed to the signaller suspending his monitoring the passage of train 1V75 (paragraph 112, Recommendation 2). The following possibly contributed to the signaller not subsequently re-orientating to the original task of monitoring the passage of train 1V75, and then raising the barriers: a)The loss of normal cues, because the signaller was not in his usual location (paragraph 122, Recommendation 2). b) The pressure that the signaller felt under to open the crossing (paragraph 129, Recommendation 2). A further causal factor was that although an engineered safeguard was provided in the form of interlocked signals, this was not sufficient to prevent a signaller mistakenly replacing the protecting signal and then raising the barriers when a train was closely approaching. There was no government requirement for approach locking, an engineered safeguard that would have provided this protection, when the crossing was converted to manual barrier operation in the mid-1970s. Although there have been a number of other incidents involving errors made by signallers and level crossing keepers in recent years, Network Rail has neither subsequently fitted it nor undertaken a formal risk assessment to quantify the safety benefit (paragraphs 130 and 166, Recommendation 1). There was no industry requirement that mandated a risk assessment to formally consider the safety benefit of fitting approach locking. The following contributed to this: a)  The decision to limit signalling renewal work at Moreton-on-Lugg to like-for-like equipment replacement, as a strategy for improving value for money. As a consequence, there was no need to formally consider the benefits of an upgrade to bring the wider signalling system into compliance with current engineering standards (paragraph 146 Recommendation 3). b) The absence of any mandated requirement to consider signalling design and operation issues as part of Network Rail’s level crossing risk management process (paragraph 153, Recommendation 2). 	A possible underlying factor was the lack of regular liaison between Network Rail’s operational risk team and signalling engineers. This made it less likely that the risk associated with signaller error, and the potential mitigation, would be considered (paragraph 154, Recommendation 2).</t>
  </si>
  <si>
    <t>DE-842</t>
  </si>
  <si>
    <t>Trains collision with an obstacle, 2010-01-20, Strecke: Braunschweig - Bad Harzburg; 50 Meter von einem Bahnübergang - Distance: Leiferde - Braunschweig; 50 meters of a level crossing (Germany)</t>
  </si>
  <si>
    <t>Regionalbahn 14955 kollidierte 50 Meter nach einem Bahnübergang auf einen im Gleis stehenden Lkw. 
Regionaltrain 14955 collided 50 meters after a level crossing with a lorry standing in the tracks.</t>
  </si>
  <si>
    <t>Strecke: Braunschweig - Bad Harzburg; 50 Meter von einem Bahnübergang - Distance: Leiferde - Braunschweig; 50 meters of a level crossing</t>
  </si>
  <si>
    <t>DB Regio AG</t>
  </si>
  <si>
    <t>Der Fahrer des Lkw fuhr mit seinem Fahrzeug vom Bahnübergang in km 4,353 innerhalb des Gleises in Fahrtrichtung Braunschweig. Nach ca. 50 Meter Fahrt blieb der Lkw im Gleis stecken. Der Triebfahrzeugführer der wenige Minuten später herannahenden Regionalbahn konnte den Lkw im Gleis nicht rechtzeitig erkennen und seinen Zug anhalten. Daraufhin kam es zwangsläufig zur Kollision. 
The driver of the truck drove his vehicle from level crossing in km 4,353 within the track in the direction of Brunswick. After about 50 meters drive the truck remained on the track stuck. The driver of the regional train approaching a few minutes later could not see the truck on the track on time to stop his train. Then came inevitably a collision.</t>
  </si>
  <si>
    <t>IE-846</t>
  </si>
  <si>
    <t>Train derailment, 20/01/2010, Portlaoise traincare depot (Ireland)</t>
  </si>
  <si>
    <t>At approximately 15.10 a 6-piece ICR was in the process of departing the traincare depot at Portlaoise.While crossing over a set of switches (363 points) from the siding into the down loop line, the third (both bogies) and forth (1 bogie) carriages derailed.</t>
  </si>
  <si>
    <t>Portlaoise traincare depot</t>
  </si>
  <si>
    <t>The Shunter was called forward to read the aspect of signal PL278 whilst he was waiting to reset the no. 2A points to the headshunt. This led to a momentary lapse in attention resulting in the Shunter omitting to let the train pass clear of the points before resetting them.</t>
  </si>
  <si>
    <t>The operating procedure for the Depot did not control the risk of accidental operation of the no. 2A points.•A Signal Sighting Committee was not convened to investigate concerns raised by train drivers with signal visibility</t>
  </si>
  <si>
    <t>CZ-863</t>
  </si>
  <si>
    <t>Train derailment, 21/01/2010, Open line between Prerov and Prosenice stations, km 186,780 (Czech Republic)</t>
  </si>
  <si>
    <t>Derailment of 1 wagon of freight train No. Nex 46723 while running between Prerov and Prosenice stations</t>
  </si>
  <si>
    <t>Open line between Prerov and Prosenice stations, km 186,780</t>
  </si>
  <si>
    <t>missing components in the bogie</t>
  </si>
  <si>
    <t>EE-845</t>
  </si>
  <si>
    <t>Level crossing accident, 21/01/2010, Open line outside settlement between Kaarepere and Tabivere stations on the Pikkjärve level crossing (km 393.3) (Estonia)</t>
  </si>
  <si>
    <t>Car Volkswagen Passat collided with a fast passenger train</t>
  </si>
  <si>
    <t>Open line outside settlement between Kaarepere and Tabivere stations on the Pikkjärve level crossing (km 393.3)</t>
  </si>
  <si>
    <t>The direct cause was human error, where the driver of Volkswagen Passat car did not halt in front of the level crossing signalling lights nor in front of the bar, which had blocked the road to let the train pass.</t>
  </si>
  <si>
    <t>RO-847</t>
  </si>
  <si>
    <t>Train derailment, 25/01/2010, Open line between Malnas Bai - Bixadul Oltului belongs to Brasov Railway County, on the center of Romanian Railway Network (Romania)</t>
  </si>
  <si>
    <t>The first bogie of the second coach from the electrical train set no. 011 derailled on open line between Malnas Bai - Bixadul Oltului, km. 55+650. The electrical train set no 011 with electrical train set 012 formed regional passenger train no. 4503 from Brasov to Izvorul Oltului</t>
  </si>
  <si>
    <t>Open line between Malnas Bai - Bixadul Oltului belongs to Brasov Railway County, on the center of Romanian Railway Network</t>
  </si>
  <si>
    <t>The direct cause of the accidents was the over-climbing of the inside shoulder of the rail outside the curve by the first wheel of the first axle of the carrying bogies, followed by its fall outside the track.The over-climbing on the inside shoulder of the rail from the outside shoulder of the rail occurred because of the exceeding the derailment safety limit, in the conditions of increasing the guiding force on the first wheel operating in curve.The increase of the guiding force (horizontal one) appeared because of the limitation of the opening of the upper shoes of the body on the bogie, on the operation parts of the lateral support guides from the bogie, because of the existing ice, finally leading to the stop of the relative movement between the contact surfaces of the lateral guides (in the case of the derailment of the bogie no. 6 of the wagon no. 207 of the electric multiple unit no. 007)Other factor that could influence the increase of the guiding force, but that could not be effectively identified by the train, is melting of the snow between the surfaces of the pivot centre jacket and the bogie bearing and the appearance of ice on the surfaces in contact, and being the low temperatures, it could lead to the stop of the relative movement between these and implicitly of the bogie rotary motion.</t>
  </si>
  <si>
    <t>There weren’t identified underlying causes of this railway accident._x000D_
There weren’t identified  root  causes of this railway accident.</t>
  </si>
  <si>
    <t>NO-865</t>
  </si>
  <si>
    <t>Fire in RS, 26/01/2010, Holmen station, Oslo metroline (Norway)</t>
  </si>
  <si>
    <t>Fire in power suply unit (current collector)</t>
  </si>
  <si>
    <t>Holmen station, Oslo metroline</t>
  </si>
  <si>
    <t>RO-848</t>
  </si>
  <si>
    <t>Train derailment, 26/01/2010, Suceava Railway Station belong to Iasi Railway County, on the North of the Romanian Railway Network (Romania)</t>
  </si>
  <si>
    <t>The two bogie of the third coach from the electrical train set no. 007 derailed on the switch no. 67 in Suceava Railway Station. Electrical train set no. 007 formed the regional passenger train no. 5501 from Pascani to Suceava Nord</t>
  </si>
  <si>
    <t>Suceava Railway Station belong to Iasi Railway County, on the North of the Romanian Railway Network</t>
  </si>
  <si>
    <t>The direct cause of the accidents was the over-climbing of the inside shoulder of the rail outside the curve by the first wheel of the first axle of the carrying bogies, followed by its fall outside the track.The over-climbing on the inside shoulder of the rail from the outside shoulder of the rail occurred because of the exceeding the derailment safety limit, in the conditions of increasing the guiding force on the first wheel operating in curve.The increase of the guiding force (horizontal one) appeared because of the limitation of the opening of the upper shoes of the body on the bogie, on the operation parts of the lateral support guides from the bogie, because of the existing ice, finally leading to the stop of the relative movement between the contact surfaces of the lateral guides (in the case of the derailment of the bogie no. 6 of the wagon no. 207 of the electric multiple unit no. 007).Other factor that could influence the increase of the guiding force, but that could not be effectively identified by the train, is melting of the snow between the surfaces of the pivot centre jacket and the bogie bearing and the appearance of ice on the surfaces in contact, and being the low temperatures, it could lead to the stop of the relative movement between these and implicitly of the bogie rotary motion.</t>
  </si>
  <si>
    <t>RO-849</t>
  </si>
  <si>
    <t>Train derailment, 26/01/2010, open line between Sansimion - Tusnad Sat, belongs to Brasov Railway County, on the Center of Romanian Railway Network (Romania)</t>
  </si>
  <si>
    <t>The first bogie of the second coach from the electrical train set no. 010 derailed on open line between Sansimion - Tusnad Sat, km. 79+302._x000D_
The electrical train set no. 010 with electrical train set no. 014 formed regional passenger train no. 4506 from Izvorul Oltului to Brasov.</t>
  </si>
  <si>
    <t>open line between Sansimion - Tusnad Sat, belongs to Brasov Railway County, on the Center of Romanian Railway Network</t>
  </si>
  <si>
    <t>The direct cause of the accidents was the over-climbing of the inside shoulder of the rail outside the curve by the first wheel of the first axle of the carrying bogies, followed by its fall outside the track. The over-climbing on the inside shoulder of the rail from the outside shoulder of the rail occurred because of the exceeding the derailment safety limit, in the conditions of increasing the guiding force on the first wheel operating in curve. The increase of the guiding force (horizontal one) appeared because of the limitation of the opening of the upper shoes of the body on the bogie, on the operation parts of the lateral support guides from the bogie, because of the existing ice, finally leading to the stop of the relative movement between the contact surfaces of the lateral guides (in the case of the derailment of the bogie no. 6 of the wagon no. 207 of the electric multiple unit no. 007). Other factor that could influence the increase of the guiding force, but that could not be effectively identified by the train, is melting of the snow between the surfaces of the pivot centre jacket and the bogie bearing and the appearance of ice on the surfaces in contact, and being the low temperatures, it could lead to the stop of the relative movement between these and implicitly of the bogie rotary motion.</t>
  </si>
  <si>
    <t>SI-850</t>
  </si>
  <si>
    <t>Level crossing accident, 27/01/2010, In station Maribor Studenci, entry signal US-C in km 0+819, single track line Maribor Dravograd. (Slovenia)</t>
  </si>
  <si>
    <t>On 27 January 2010 at 20:45, locomotive train no. 96366 passed at danger the US-C entry signal at Maribor Studenci station, and then at the Ljubljanska ulica level crossing at km 0+819 collided with a road passenger vehicle crossing the railway line. The level crossing was not protected at the time of the accident; the barriers were not closed.</t>
  </si>
  <si>
    <t>In station Maribor Studenci, entry signal US-C in km 0+819, single track line Maribor Dravograd.</t>
  </si>
  <si>
    <t>Slovenske železnice  d.o.o.</t>
  </si>
  <si>
    <t>AT-1105</t>
  </si>
  <si>
    <t>Trains collision with an obstacle, 28/01/2010, ÖBB-Strecke 13001 zwischen Pottenbrunn und Bf Linz Kleinmünchen, zwischen Bf Amstetten und Bf St. Peter-Seitenstetten. // ÖBB-Line 13001 between Pottenbrunn and station Linz Kleinmünchen, between station Amstetten and station St. Peter-Seitenstetten (Austria)</t>
  </si>
  <si>
    <t>Aufgrund hoher Geschwindigkeit fielen Eisbrocken von der Unterseite des Zuges auf den Gleisschotter. Durch Luftturbulenzen wurde ein Schotterwirbel erzeugt der mit dem Zug kollidierte. 
Due to high speed chunks of ice fell from the bottom of the train on the track ballast. Due to air turbulences a vortex of gravel was generated, which collided with the train.</t>
  </si>
  <si>
    <t>ÖBB-Strecke 13001 zwischen Pottenbrunn und Bf Linz Kleinmünchen, zwischen Bf Amstetten und Bf St. Peter-Seitenstetten. // ÖBB-Line 13001 between Pottenbrunn and station Linz Kleinmünchen, between station Amstetten and station St. Peter-Seitenstetten</t>
  </si>
  <si>
    <t>Durch die geringe Auskehrung zwischen den Schwellen (derzeit in Österreich nicht vorgesehen) können Schotterwirbel durch Lösen einzelner Eisklumpen bei hohen Fahrgeschwindigkeiten entstehen. 
Due to the low payout between the sleepers (currently not applied in Austria) can be  formed swirl of ballast by loosening of individual lumps of ice from the bottom of carriages at high speed.</t>
  </si>
  <si>
    <t xml:space="preserve">Keine Auskehrung des Schotters zwischen den Schwellen. // No payout of the ballast between the sleepers. 
</t>
  </si>
  <si>
    <t>NO-1044</t>
  </si>
  <si>
    <t>Trains collision with an obstacle, 28/01/2010, Bratterøra marshlling yard Trondheim (Norway)</t>
  </si>
  <si>
    <t>The incident occurred in connection with marshalling yard, brake incident</t>
  </si>
  <si>
    <t>Bratterøra marshlling yard Trondheim</t>
  </si>
  <si>
    <t>Havnelager</t>
  </si>
  <si>
    <t>AT-1116</t>
  </si>
  <si>
    <t>Train derailment, 2010-01-29, ÖBB-Strecke 11901 von Bf Gramatneusiedl nach Bf Wampersdorf, zwischen Bf Mitterndorf-Moosbrunn und Bf Wampersdorf. // ÖBB-Line 11901 from station Gramatneusiedl to station Wampersdorf, between station Mitterndorf-Moosbrunn and station Wampersdorf. (Austria)</t>
  </si>
  <si>
    <t>Bei Z 55201, am 17. Wagen, Type Hbbills entgleiste der nachlaufende Radsatz. Nach ca. 640 m, nach einer EK gleiste sich der Wagen wieder ein. Durch eine Zugtrennung und Schäden am Oberbau wurde die Entgleisung festgestellt. 
At train 55201, on 17. wagon, type Hbbills, the rear wheelset derailed. Approximately 640 m later, after passing a LC, the wagon re-railed. By division of the train and damage on superstructure the derailment was detected.</t>
  </si>
  <si>
    <t>ÖBB-Strecke 11901 von Bf Gramatneusiedl nach Bf Wampersdorf, zwischen Bf Mitterndorf-Moosbrunn und Bf Wampersdorf. // ÖBB-Line 11901 from station Gramatneusiedl to station Wampersdorf, between station Mitterndorf-Moosbrunn and station Wampersdorf.</t>
  </si>
  <si>
    <t>Gleislagefehler und Kuppelzustand 
Track buckles and state of coupling</t>
  </si>
  <si>
    <t xml:space="preserve">Der Kuppelzustand wurde nicht regelwerkskonform hergestellt. // The state of coupling was not made compliant to the regulations._x000D_
Die Gleisfehler wurden bei Anwendung der geltenden Regelwerke nicht erkannt. //  The track errors were not detected during application of current regulations. 
</t>
  </si>
  <si>
    <t>CZ-864</t>
  </si>
  <si>
    <t>Level crossing accident, 29/01/2010, Active level crossing (equipped with warning lights) in km 1.556, in Kolin station (Czech Republic)</t>
  </si>
  <si>
    <t>Regional passenger train No. 22200 collided with a lorry at level crossing. Consequently the train derailed and the driver of the lorry slightly injured.</t>
  </si>
  <si>
    <t>Active level crossing (equipped with warning lights) in km 1.556, in Kolin station</t>
  </si>
  <si>
    <t>Ceské dráhy</t>
  </si>
  <si>
    <t>driver's violation</t>
  </si>
  <si>
    <t>PL-868</t>
  </si>
  <si>
    <t>Accident to persons caused by RS in motion, 29/01/2010, Line No 61 station Wloszczowa km point 47,775 level crossing for pedestrian between platforms 1 and 2 (Poland)</t>
  </si>
  <si>
    <t>The freight train was passing the station Wloszczowa without stopping when the worker of the company cooperating with the infrastructure manager was clearing the pedestrain LC of snow. The worker was hit by the train when he was working. The working person has not been wearing the orange uniform and he did not react for the siren of the running locomotive.</t>
  </si>
  <si>
    <t>Line No 61 station Wloszczowa km point 47,775 level crossing for pedestrian between platforms 1 and 2</t>
  </si>
  <si>
    <t>Running by the freight train onto the person working by removing snow from the level crossing for pedestrians</t>
  </si>
  <si>
    <t>Zaklady Uslugowe "Wschód" company did not assure additional worker (in the aim to give the signal to the working man) what is violation of present regulations and not being careful by the victim person while working on removing snow from the pedestrian level crossing between platrofm 1. and 2._x000D_
1) Lack of onsite trainings in the winter conditions; 2) Lack of valid medical permission of the worker who was killed by the train; 3) lack of vest by the worker who was killed by the train; 4) not precise records in the contract between 2 companies:  PK</t>
  </si>
  <si>
    <t>NO-909</t>
  </si>
  <si>
    <t>Train derailment, 31/01/2010, Dalane station (Norway)</t>
  </si>
  <si>
    <t>On January 31st 2010 freight train 5828 derailed after a collision with an end stopper on Dalane station. The train had stopped in front of shunting signal R 14 which showed “driving prohibited”, at the end of the entry route in track 3. Exit signal M, which is a common signal for all tracks at Dalane station displayed “stop”. After 12-14 seconds exit signal M changed to “line-clear”. The signal was meant for passing passenger train no 80 in track 1. This train was 5 minutes delayed from departure at Kristiansand station. The driver of the freight train thought the signal was meant for him, and started the departure from track 3. After passing point no 7 the driver realised that he was on the wrong track and applied the emergency brake. At that point it was too late to brake, and the train collided with the end stopper. The locomotive pushed the end stopper away and derailed. The train came to a stop at the fence between the railway and state road no 9.</t>
  </si>
  <si>
    <t>Dalane station</t>
  </si>
  <si>
    <t>Misunderstanding signal position</t>
  </si>
  <si>
    <t>SE-851</t>
  </si>
  <si>
    <t>Accident to persons caused by RS in motion, 2010-02-01, Linghem station, on the main line between Linköping and Norrköping (Sweden)</t>
  </si>
  <si>
    <t>Monday, February 1, 2010 an accident occurred in Linghem where a maintainance worker hit by a train during maintainance work, removing ice from a switch was hit by a train and killed._x000D_
_x000D_
An error on a isolated track splice had arisen between Linghem and Gistad and the error caused delays to rail services because a signal could not show "run"._x000D_
_x000D_
The day before the accident, it became known that there might be more favorable weather on Monday and that it would then be possible to fix the faulty track splice. However, it was necessary that it should be possible to add the switches in Linghem and Gistad because it could run so-called single-track operation on the double track section between Linghem and Gistad._x000D_
_x000D_
A team of two people was ordered on Monday morning to Linghem to clear the switch 131 and 132 from snow and ice. Since there were no pre-planned times to turn off the track for work, the team decided that instead of working without shutting off the track, either with a switch locally operated or a person working while the other kept watch for approaching trains (train warner). There was no pre-designated individual who had the responsibility to establish a Safety and Security Planning, but it was up to the people in the team to do so. It was not decided who would be the train warner. The people in the team had an informal agreement that meant that if one person was working in the track, the other would warn for approaching trains._x000D_
_x000D_
When one of the team would warm any stay in one switch, he assumed that his friend was going to warn for approaching trains and began to work on this. Suddenly he heard something like "chopped" in the exchange, looked up to the right and saw a train coming. He could just throw himself to the side of the track before the train arrived at the workplace. When the train had passed, he saw that the coworker was missing and realized that he had been hit. 
Måndagen den 1 februari 2010 inträffade en olycka i Linghem där en person som utförde snöröjning i en spårväxel blev påkörd av ett tåg och omkom._x000D_
_x000D_
Ett fel på en isolerskarv hade uppstått på uppspåret mellan Linghem och Gistad och felet medförde förseningar i tågtrafiken eftersom en signal inte kunde visa ”kör”._x000D_
_x000D_
Dagen före olyckan blev det känt att det eventuellt skulle bli gynnsammare väder under måndagen och att det då skulle bli möjligt att åtgärda den felaktiga isolerskarven. Dock var det nödvändigt att det skulle kunna gå att lägga om växlarna i Linghem och Gistad för att det skulle kunna köras s.k. enkelspårsdrift på den dubbelspåriga sträckan mellan Linghem och Gistad._x000D_
_x000D_
Ett arbetslag bestående av två personer beordrades på måndag morgon till Linghem för att rensa växel 131 och 132 från snö och is. Då det inte fanns några förplanerade tider för att kunna stänga av spåret för arbete beslutade sig personerna i arbetslaget istället att arbeta utan att stänga av spåret, antingen med en växel lokalfrigiven eller att en person arbetade medan den andre höll uppsikt för ankommande tåg (arbete med tågvarnare). Det fanns inte någon i förväg utsedd person som hade ansvaret för att upprätta en Skydds- och Säkerhetsplanering utan detta var upp till personerna i arbetslaget att utse. Någon sådan person utsågs emellertid aldrig. Personerna i arbetslaget hade en informell överenskommelse som innebar att om den ena personen arbetade i spåret skulle den andre vara tågvarnare._x000D_
_x000D_
När den ene i arbetslaget skulle värma några stag i en växel utgick han från att kamraten skulle bevaka för ankommande tåg och började på att arbeta med detta. Plötsligt hörde han något som ”hackade” i växeln, tittade upp mot höger och såg ett tåg komma. Han hann precis kasta sig åt sidan av spåret innan tåget kom fram till arbetsplatsen. När tåget hade passerat såg han att arbetskamraten saknades och förstod att denne hade blivit påkörd._x000D_
_x000D_
HÄNDELSEFÖRLOPPET_x000D_
På torsdagen veckan före olyckan hade ett fel på en isolerskarv  uppstått på uppspåret mellan Linghem och Gistad. Felet, som kom och gick, innebar att det inte gick att få ”kör” i en signal. Tågen måste därmed passera signalen i ”stopp” och köra med reducerad hastighet på sträckan._x000D_
 _x000D_
Förväntat varmare väder den aktuella dagen innebar att felet skulle kunna åtgärdas. För att reparationen skulle kunna genomföras krävdes också möjlighet att köra enkelspårsdrift på nedspåret mellan driftplatserna, vilket i sin tur krävde att växlarna i Linghem och Gistad befriades från is och snö. Två spårarbetare omdirigerades till Linghem från tidigare anvisade arbetsuppgifter och fick under den aktuella måndagsmorgonen i uppgift att röja växel 131 i Linghem._x000D_
_x000D_
Eftersom arbetet inte var förplanerat genomfördes ingen skydds- och säkerhetsplanering (SoS-planering) i förväg och det utsågs inte heller någon SoS-ledare, vilket normalt var rutin för arbeten som var förplanerade. Den rutin som tillämpades vid akuta arbeten - som inte förplanerats - var att de som arbetade på platsen skulle se till att det gjordes en SoS-planering._x000D_
_x000D_
När de två spårarbetarna kom fram till Linghem ringde en av dem till fjärrtågklareraren och begärde att få växeln lokalt frigiven, dvs. medgivande till att lokalt på plats manövrera en växel som normalt var fjärrmanövrerad. Detta medgavs under ca 5-10 minuter. Efter det att ett tåg hade passerat fick de återigen växeln lokalt frigiven. När de hade återlämnat lokalfrigivningen fortsatte de två spårarbetarna att arbeta i spårmiljön. De hade då en ”tyst” överenskommelse som innebar att om en av dem arbetade skulle den andre bevaka och varna för ankommande tåg. Vid olyckan arbetade kollegan till den spårarbetare som blev påkörd med att värma några stag i växeln och han utgick då från att kamraten under tiden bevakade arbetsplatsen. Under arbetet med att värma stagen hörde han hur det ”hackade” i växeln. Han tittade upp och såg ett X2-tåg komma och han lyckades i sista sekunden kasta sig undan utan att träffas. När tåget hade passerat upptäckte han att kamraten saknades och han förstod att denne blivit påkörd. Eftersom föraren upptäckte spårarbetarna sent hann han inte vare sig ge ljudsignal eller bromsa före påkörningen.</t>
  </si>
  <si>
    <t>Linghem station, on the main line between Linköping and Norrköping</t>
  </si>
  <si>
    <t xml:space="preserve">Trafikverket (former Banverket); 
</t>
  </si>
  <si>
    <t>The direct cause of the accident was that there was no formally appointed Safety and risk leader who could make a risk assessment of the work and establish the proper protection. 
Den direkta orsaken till olyckan var att det inte fanns någon formellt utsedd SoS-ledare som kunde göra en riskbedömning av arbetet för att därefter upprätta ett korrekt skydd.</t>
  </si>
  <si>
    <t>Underlying causes of the accident are shortcomings in governance, management and monitoring of security at track work. This led to the work in hand was conducted with a protection form that was not allowed, and did not provide adequate protection against collisions with trains. Despite the shortcomings were well known at Banverket and Strukton Rail they were not acted upon._x000D_
_x000D_
Transportation Board's monitoring has not been able to catch up to these weaknesses. 
Bakomliggande orsaker till olyckan är brister i styrning, ledning och uppföljning av skydd vid spårarbete. Detta ledde till att det aktuella arbetet dels bedrevs med ett skydd som inte var tillåtet, dels inte gav tillräckligt skydd mot påkörning av tåg. Trots att bristerna var väl kända hos Banverket och Strukton Rail AB åtgärdades inte dessa._x000D_
_x000D_
Transportsstyrelsens tillsynsarbete har inte förmått att fånga upp att dessa brister förekom i verksamheten.</t>
  </si>
  <si>
    <t>UK-861</t>
  </si>
  <si>
    <t>Other, 04/02/2010, Romford Station (United Kingdom)</t>
  </si>
  <si>
    <t>As the train passed through Romford station at about 60 mph at 07:28 hrs, pieces of stone fell from the train and struck people who were on the station platform, a small number of whom received minor injuries. The train was stopped by signals and then proceeded at reduced speed to Ingatestone, where it was examined by railway staff, and allowed to continue its journey. Later, as it passed through Colchester, staff saw more ballast falling from the train, and it was stopped for further examination.</t>
  </si>
  <si>
    <t>Romford Station</t>
  </si>
  <si>
    <t>The immediate cause of the incident was that ballast fell through the open doors of wagon 14513 and ricocheted onto the platform at Romford station as train 6L75 passed through (paragraphs 33 and 34).</t>
  </si>
  <si>
    <t>Causal factors were: a.The leading bottom discharge doors on wagon 14513 were open when the train left Acton and when it passed through Romford (paragraphs 36 to 41). b.	The position of the lock handles on the PGA wagon can lead staff to believe that the doors are locked when the doors are actually partially or fully open. The design of the mechanism permits this condition to exist (paragraphs 43 to 45, Recommendations 1 and 2). It is probable that the following factor was causal: The yard staff were not adequately trained, in particular in relation to PGA wagons (paragraphs 56 to 59, Recommendation 3). It is possible that the following factor was causal: the difficulty in detecting that the doors are properly closed and locked after a wagon has been discharged (paragraphs 47 to 54, Recommendations 1 and 2). A possible contributory factor was that the support for the staff of Acton yard was inadequate, which may have resulted in the absence of proper pre-departure preparation for train 6L57 (paragraphs 61 to 67). An underlying factor was that the organisation of the staff in Acton yard was changed in the months before the incident without an adequate risk assessment or safety validation (paragraphs 70 to 72, Recommendation 4).</t>
  </si>
  <si>
    <t>RO-859</t>
  </si>
  <si>
    <t>Fire in RS, 07/02/2010, Open line Ciocanesti - Baldana belongs to Bucharest Railway County on the South of Romanian Railway Network. (Romania)</t>
  </si>
  <si>
    <t>The last coach of the regional passenger train no. 9101 which was on route from Bucharest to Pietrosita was burnt.</t>
  </si>
  <si>
    <t>Open line Ciocanesti - Baldana belongs to Bucharest Railway County on the South of Romanian Railway Network.</t>
  </si>
  <si>
    <t>Direct cause of the accident – opened fire in the wagon, in the area of compartment no. 9 which was determined by an external source (flame, cigarette, self-ignition of inflammable materials, etc.) independent of electric installations of lightning and heating the wagon.Factors that led to a fast and a general development were determined by the fast move of the air masses inside and outside the wagon determined by: the functioning of the wagon ventilation system; the atmospheric conditions – strong wind (the intensification of the wind was of 43 km/h); the train’s circulation with a speed of maximum  60 km/h (with influence only on the initial phase).</t>
  </si>
  <si>
    <t>BG-858</t>
  </si>
  <si>
    <t>Train derailment, 08/02/2010, Between the stations of Vlado Trichkov and Kurilo. (Bulgaria)</t>
  </si>
  <si>
    <t>Derailment of train No. 383 "Bulgaria Express" travelling from Moscow to Sofia, occured on 08 february 2010 around 09:48 h local time, between the railway stations of Vlado Trichkov and Kurilo.</t>
  </si>
  <si>
    <t>Between the stations of Vlado Trichkov and Kurilo.</t>
  </si>
  <si>
    <t>Based on the visual inspections performed, the materials additionally requested by the technical investigation commission, the collected statement of findings concerning: the technical condition of the rolling stock; the railway serviceability control checks; the railway measurements and other documentation relating to this case, including the explanations taken from the members of the locomotive and train-service teams and the employees involved, and the analysis carried out, the technical investigation commission concluded that the accident was caused by a fresh breaking of a 137 mm piece from the right rail head in the direction of travel, at 18+029 km (Romcha railway station), under the second bogie of the second coach (carriage No. 50522974143-2) of train No. 383, which led to derailment of the second bogie of the second wheel axle. The subsequent movement of the wheel axle under these conditions for 4800 m without stopping the train caused the derailment of the rest of the carriages at switch No. 3 of Kurilo railway station.</t>
  </si>
  <si>
    <t>HU-1072</t>
  </si>
  <si>
    <t>Train derailment, 09/02/2010, Budapest-Nyugati station (Hungary)</t>
  </si>
  <si>
    <t>One of the coaches of passenger train No.2759 derailed at Budapest-Nyugati station.</t>
  </si>
  <si>
    <t>Budapest-Nyugati station</t>
  </si>
  <si>
    <t>ES-874</t>
  </si>
  <si>
    <t>Train derailment, 11/02/2010, Pinar de Las Rozas station (Madrid),kilometre point 20,658, 100 Madrid-Hendaya railway line. (Spain)</t>
  </si>
  <si>
    <t>A passenger train, while it was leaving the station,at point nº6, became derailed: second car´s first bogie.</t>
  </si>
  <si>
    <t>Pinar de Las Rozas station (Madrid),kilometre point 20,658, 100 Madrid-Hendaya railway line.</t>
  </si>
  <si>
    <t>The accident was caused by a technical failure of the installations due to the inadequacy of the rail fastening of point nº6, as well as the track gauge which, in this area, was wider than permitted.</t>
  </si>
  <si>
    <t>HU-911</t>
  </si>
  <si>
    <t>Spad, 11/02/2010, Line 25: Between Andrashida and Zalaegerszerg stations (Hungary)</t>
  </si>
  <si>
    <t>Train Nr1247 passed over a red light signal and stopped after an opened level crossing equipped with half barriers.</t>
  </si>
  <si>
    <t>Line 25: Between Andrashida and Zalaegerszerg stations</t>
  </si>
  <si>
    <t>AT-1106</t>
  </si>
  <si>
    <t>Trains collision with an obstacle, 15/02/2010, ÖBB-Strecke 13001 zwischen Pottenbrunn und Bf Linz Kleinmünchen, im Sittenbergtunnel. // ÖBB-Line 13001 between Pottenbrunn and station Linz Kleinmünchen, in tunnel "Sittenberg" (Austria)</t>
  </si>
  <si>
    <t>Bei der Fahrt durch den Sittenbergtunnel, bei einer Zugbegegnung traf ein Metallteil die Frontscheibe des Tfz und durchschlug die Frontscheibe. // While driving through the tunnel "Sittenberg", during a train passing, a metal part hit the windscreen of the locomotive and penetrated the windscreen.</t>
  </si>
  <si>
    <t>ÖBB-Strecke 13001 zwischen Pottenbrunn und Bf Linz Kleinmünchen, im Sittenbergtunnel. // ÖBB-Line 13001 between Pottenbrunn and station Linz Kleinmünchen, in tunnel "Sittenberg"</t>
  </si>
  <si>
    <t>Bei einem Wagen eines Gegenzuges fehlte die Verschlusskappe  und die Sicherungskette, bzw. das Sicherungsseil. Die Tauglichkeit der sichergestellten Verschlusskappe wurde festgestellt. // In a carriage of a meeting-train are missed a clousing cap and the safety chain, or the safety rope. The suitability of the seized cap was found.</t>
  </si>
  <si>
    <t>Nicht ordnungsgemäße Anbringung einer Verschlusskappe. // No proper installation of a closing cap.</t>
  </si>
  <si>
    <t>BE-860</t>
  </si>
  <si>
    <t>Trains collision, 15-02-10, Buizingen (Belgium)</t>
  </si>
  <si>
    <t>lateral collision</t>
  </si>
  <si>
    <t>Buizingen</t>
  </si>
  <si>
    <t>SPAD</t>
  </si>
  <si>
    <t>HU-912</t>
  </si>
  <si>
    <t>Level crossing accident, 17/02/2010, Line 155: between Kiskunfelegyhaza and Galambos stations (Hungary)</t>
  </si>
  <si>
    <t>Train Nr 7807 collided with a car at a level crossing. The signals of LC operated well.</t>
  </si>
  <si>
    <t>Line 155: between Kiskunfelegyhaza and Galambos stations</t>
  </si>
  <si>
    <t>FI-872</t>
  </si>
  <si>
    <t>Trains collision with an obstacle, 19.2.2010, The tracks (track 204) at the Neste Oil Oyj unloading terminal in Kilpilahti (Sköldvik). (Finland)</t>
  </si>
  <si>
    <t>Five tank wagons pushed by a shunting unit bumped against a railbarrier. The first barrier wagon fell down the embankment, hitting a gas pipeline at the bottom._x000D_
Shunting unit, Dr14 diesel locomotive + 51 tank wagons.</t>
  </si>
  <si>
    <t>The tracks (track 204) at the Neste Oil Oyj unloading terminal in Kilpilahti (Sköldvik).</t>
  </si>
  <si>
    <t>Neste Oil Corporation</t>
  </si>
  <si>
    <t>The immediate cause of the accident was the shunting foreman’s failure to escort the wagons all the way. He was under the impression that there was enough room for the wagons on the track.</t>
  </si>
  <si>
    <t>The shunting foreman’s activities were influenced by the following factors: While trying to disengage the brakes, the conditions were hot for the shunting foreman. They were then cold during the long (3 km) pushing movement. It was the foreman’s third night shift in a row and he was very tired. It was the foreman’s first shift as an independent shunting foreman in Kilpilahti. The shunting foreman had not received sufficient training to act as a shunting foreman at the unloading terminal.</t>
  </si>
  <si>
    <t>NL-1001</t>
  </si>
  <si>
    <t>Trains collision, 2/20/2010, Amsterdam Wibautstraat (The Netherlands)</t>
  </si>
  <si>
    <t>On 20 February 2010, two events took place in the underground metro system of Amsterdam. Around 4:00 pm a fire started in the rear cab of a subway train that had just arrived at the underground station Central Station, the end station of the metro line. The train and the station were evacuated and the fire was extinguished by the fire. Nobody was injured._x000D_
_x000D_
At 3.30 pm a metrotrain left from the station Amstel (above ground level) in the direction of the underground station Wibautstraat. The trail descends during this stretch from tunnel viaduct level to underground level to drive into the Wibautstraat station. At the bottom of the gradient in the tunnel is a signal. The metrotrain had to stop for this signal, because at station Wibautstraat another train was waiting for departure clearance. This train could not leave because of the fire at the Central Station. The track on the slope was however slippery, which resulted in inadequate braking conditions for the arriving metrotrain. as a rsult both metrotrains collided. There were 31 people slightly injured, including one of the two drivers. Both metro trains were severely damaged.</t>
  </si>
  <si>
    <t>Amsterdam Wibautstraat</t>
  </si>
  <si>
    <t>GVB</t>
  </si>
  <si>
    <t>Stadsregio Amsterdam</t>
  </si>
  <si>
    <t>Bij het eerste voorval, de brand, is wel duidelijk geworden dat deze onder het dashboard is ontstaat maar de directe oorzaak kon niet meer worden achterhaald._x000D_
_x000D_
Het tweede voorval, de botsing, is ontstaan doordat de metro als gevolg van gladheid van de rails door een stoptonend sein is gegleden. De gladheid was waarschijnlijk het gevolg van overmatige vetafgifte door een smeerinstallatie. 
For the first incident, the fire, it became clear that it has started under the dashboard but the direct cause has not been found._x000D_
_x000D_
For the second incident, the collision occurred because the metrotrain has slipped at the stop signal due to the slipperiness of the track. The slieppperiness was probably the result of excessive fat delivery by a oiling system.</t>
  </si>
  <si>
    <t>UK-866</t>
  </si>
  <si>
    <t>Train derailment, 20/02/2010, East Langton, near Market Harborough, Leicestershire (United Kingdom)</t>
  </si>
  <si>
    <t>Derailment of one pair of wheels on train 1F45, the 14:55 hrs service from St Pancras to Sheffield.  The train comprised a seven-car Class 222 ‘Meridian’ Diesel Electrical Multiple Unit operated by East Midlands Trains and was carrying approximately 190 passengers and a number of train crew.  On approaching the site of the derailment the train was travelling at close to 100 mph.  No other wheels derailed and the train remained upright.</t>
  </si>
  <si>
    <t>East Langton, near Market Harborough, Leicestershire</t>
  </si>
  <si>
    <t>The immediate cause of the derailment was the overheating and subsequent fracture of the powered trailing axle of the leading bogie of the fourth vehicle in the train.</t>
  </si>
  <si>
    <t>As explained at paragraph 95, these conclusions have been derived from an assessment of the available evidence in order to identify the factors which, in the view of the RAIB, were most likely to have combined to cause the fracture of the axle. These factors are as follows: a) spinning of the axle within the inner ring of the GE bearing, due to rotational stiffening of the bearing, which was causal (paragraph 97, Recommendations 1 and 2); b) insufficiency of the interference fit of the GE bearing inner ring onto the axle at manufacture, due to the effect of the adjacent gear wheel fit on the hollow axle, which was probably causal (paragraph 102, Recommendations 1 and 2);c) the bearing seat on the axle may have been manufactured undersize, which was possibly causal (paragraph 107, Recommendation 2); d) progressive loss of the GE bearing interference fit in service, due to bearing bore growth and fretting wear, which was probably causal (paragraph 112, Recommendation 2); and e) the nature and rapidity of the failure precluded prior detection by the gearbox maintenance regime at the time, which was possibly causal (paragraph 130, Recommendation 3). Factors which exacerbated the consequence of the derailment in terms of delayed stopping of the train and therefore increased risk to passengers and caused greater damage to the track and train, were: the initial delay before the driver began to reduce the train speed, after receiving the red bogie fault lamp alarm (paragraph 158, Recommendation 4); and the driver deciding that he should stop the train beyond the approaching cutting which he considered an unsuitable place to stop (paragraph 175, Recommendation 4). The underlying factors related to the failure of the final drive gearbox were: a) the effect of the interference fit of the gear wheel on that of the GE output bearing was not identified during design (paragraph 144, Recommendation 1); and b) there were no known previous similar failures to alert industry to the potential for axle failure arising from a final drive output bearing failure and the need for mitigation of output bearing failures was not perceived (paragraph 150, no recommendation). An underlying factor related to the consequences of the derailment was: c) the refresher training on alarm handling provided to drivers and on-board train crew, following the incident at Desborough in June 2006, did not adequately cover handling safety critical alarms and out-of-course situations (paragraph 181, Recommendation 4).</t>
  </si>
  <si>
    <t>FI-871</t>
  </si>
  <si>
    <t>Level crossing accident, 25/02/2010, Pori, Tattaritie, Tattari level crossing, unprotected (Finland)</t>
  </si>
  <si>
    <t>Fatal level crossing accident, freight train - private car.</t>
  </si>
  <si>
    <t>Pori, Tattaritie, Tattari level crossing, unprotected</t>
  </si>
  <si>
    <t>The driver of the car failed to notice the approaching train in time and was no longer able to stop or otherwise prevent the collision.</t>
  </si>
  <si>
    <t>-The crossing was familiar to the driver of the car, which usually reduces vigilance. The driver had also driven across the level crossing in the other direction moments before the accident. -The level crossing was not equipped with warning installations. -The level crossing was not equipped with proper waiting platforms and the road rises before the crossing to such an extent that drivers avoid stopping before the crossing especially in wet and slippery conditions (and in this case the car was equipped with summer tyres). -The car had tyres designated for summer use. -For the 30 metre stretch before the level crossing, the road had two intersections with give way signs</t>
  </si>
  <si>
    <t>SI-867</t>
  </si>
  <si>
    <t>Level crossing accident, 25/02/2010, Between station Murska Sobota - Dankovci in km 44+435, single-track line OrmoÅ¾ - HodoÅ¡ (Slovenia)</t>
  </si>
  <si>
    <t>On 25 February 2010 at 11:14, freight train no. 42083 collided with a road passenger vehicle at the NPr-44+4 level crossing in Puconci between Dankovci and Murska Sobota stations at km 44+435, on single-track line; at the time of the collision, the passenger vehicle was driving over the level crossing after it had turned onto the incorrect or opposite lane at the junction and circumvented the lowered half-barrier. Freight train no. 42083 was travelling from Hodoš international border to Koper freight station. The NPr-44+4 level crossing is equipped with mechanical single-leaf half-barriers and flashing or illuminated road signs. The driver of the road vehicle and his passenger were wearing seat belts and died of the injuries sustained in the collision at the site.</t>
  </si>
  <si>
    <t>Between station Murska Sobota - Dankovci in km 44+435, single-track line OrmoÅ¾ - HodoÅ¡</t>
  </si>
  <si>
    <t>DE-870</t>
  </si>
  <si>
    <t>Train derailment, 05/03/2010, Bahnhof Herlasgrün; Gleis 2 (Germany)</t>
  </si>
  <si>
    <t>Bei der Durchfahrt des FIR 51649 im Bahnhof Herlasgrün ist der dritte Wagen, ein beladener Kesselwagen (UN 1230; Methanol) mit allen Achsen entgleist. Der nachfolgende vierte Wagen (Kesselwagen beladen; UN 2014; Wasserstoffperoxid)überpufferte mit dem dritten Wagen. Es ist kein Gefahrgut ausgetreten. 
With the passage of the FIR 51,649 in the station Herlasgrün, the third wagon, a loaded tank wagon (UN 1230, methanol) has been derailed with all axes. The buffers of the following 4th wagon (loaded tank wagon, UN 2014, hydrogen peroxide) slipped over with the buffers of the third car. No dangerous goods release.</t>
  </si>
  <si>
    <t>Bahnhof Herlasgrün; Gleis 2</t>
  </si>
  <si>
    <t>RS - Wagons - Wheel/axle/bogies - Equipment failure</t>
  </si>
  <si>
    <t>ES-897</t>
  </si>
  <si>
    <t>Accident to persons caused by RS in motion, 05/03/2010, Dueñas station (Palencia), kilometre point 278,952, switch nº6, 100 Madrid-Hendaya railway line. (Spain)</t>
  </si>
  <si>
    <t>A track worker, working at switch nº 6, is knocked down by a long distance train. As a result, he died.</t>
  </si>
  <si>
    <t>Dueñas station (Palencia), kilometre point 278,952, switch nº6, 100 Madrid-Hendaya railway line.</t>
  </si>
  <si>
    <t>The victim invaded the rail gauge meanwhile the train was coming without work supervisor´s authoritation</t>
  </si>
  <si>
    <t>UK-887</t>
  </si>
  <si>
    <t>Trains collision with an obstacle, 06/03/2010, Washwood Heath, Birmingham (United Kingdom)</t>
  </si>
  <si>
    <t>A passenger train was struck by a length of rail which was being dragged by a road-rail vehicle working adjacent to the Up Main line.</t>
  </si>
  <si>
    <t>Washwood Heath, Birmingham</t>
  </si>
  <si>
    <t>Crosscountry</t>
  </si>
  <si>
    <t>The RRV undertook a lifting operation in an unsafe situation; adjacent to an open line and with a train approaching on that line.</t>
  </si>
  <si>
    <t>The causal factors were as follows:ATSM1 changed the planned safe system of work for one which was not allowed by the rule book, did not comply with the engineering acceptance certificate and was inherently unsafe (paragraph 42 and Recommendations 1, 2 and 3); and Network Rail’s procedures for setting up a safe system of work were not adhered to (paragraph 55 and Recommendation 1). The RAIB has been unable to determine why a non-compliant ‘safe system of work’ was adopted during the work on the site. Witnesses stated that they were unaware of some of the requirements of the rule book and Network Rail standards. In those cases where those involved were aware of requirements they were unable to say why they had not been followed. While it is not possible to say with certainty, the following factors are likely to have played a role: the original work plan may have been unrealistic; the alternative work plan had been used for the previous part of the relaying work, without incident; there was a drive to get the work done by 31 March; the behaviour of ATSM1 discouraged challenge by his staff; and ATSM1’s manager did not challenge his method of work. The contributory factors were as follows: non-adherence to Network Rail’s procedures for planning the renewal (paragraph 62); the behaviour that ATSM1 exhibited on site and the pressure he brought to bear on the work team (paragraph 71 and Recommendation 3); and Network Rail’s safety management arrangements for work undertaken by their maintenance organisation did not prevent the unsafe system of work that was used for the Lawley Street through siding track renewal (paragraph 82 and Recommendations 1 and 2). The underlying factors were as follows: Network Rail’s procedure for planning safe systems of work allows TSMs and ATSMs to check their own safe systems of work (paragraphs 43 and 48 and Recommendation 1); and the lack of effective supervision of the supervisor responsible for the relaying work (paragraph 77 and Recommendation 2).</t>
  </si>
  <si>
    <t>CZ-893</t>
  </si>
  <si>
    <t>Accident to persons caused by RS in motion, 07/03/2010, Ostrava main station, platform No. 5 + station track No. 804 (Czech Republic)</t>
  </si>
  <si>
    <t>A person was locked into the doors by the ankle (during the getting out) and towed him by the platform approximately 100 m during the shunting operation. Then he fell out.</t>
  </si>
  <si>
    <t>Ostrava main station, platform No. 5 + station track No. 804</t>
  </si>
  <si>
    <t>passenger didn't clear the door of railcar class 842, despite light and acoustic warning was given.   Contributing factor:  passenger's behavior affected by addictive substance (alcohol)</t>
  </si>
  <si>
    <t>class 842 railcar not equipped with reliable detection of fully closed doors_x000D_
None</t>
  </si>
  <si>
    <t>CZ-877</t>
  </si>
  <si>
    <t>Train derailment, 09/03/2010, Open line between Prackovice nad Labem and Lovosice stations, km 497,599 (Czech Republic)</t>
  </si>
  <si>
    <t>Derailment of 1 wagons (29th wagon) of freight train No. Pn 66681 while running between Prackovice nad Labem and Lovosice stations because of broken axels. According to our national law it is serious accident due to damage which is more than 5 000 000 CZK</t>
  </si>
  <si>
    <t>Open line between Prackovice nad Labem and Lovosice stations, km 497,599</t>
  </si>
  <si>
    <t>destruction of the bearing axle rear bogie due to two fatigue failures of rear bearing inner ring</t>
  </si>
  <si>
    <t>wrong steps by station master who didn't observe the teleological procedures_x000D_
none</t>
  </si>
  <si>
    <t>ES-898</t>
  </si>
  <si>
    <t>Spad, 10/03/2010, Logroño station (La Rioja); 700 Casetas-Intermodal Abando Indalecio Prieto railway line, kilometre point 76,396 (Spain)</t>
  </si>
  <si>
    <t>Long distance train number 933 overtook the exit signal (S1/4)which stated a stop aspect. This caused a near miss train collision with freigh train 54654 which was running between E`2 and E2 enter station signals.</t>
  </si>
  <si>
    <t>Logroño station (La Rioja); 700 Casetas-Intermodal Abando Indalecio Prieto railway line, kilometre point 76,396</t>
  </si>
  <si>
    <t>The incident was caused as the train driver ignored the signal indication.</t>
  </si>
  <si>
    <t>HU-914</t>
  </si>
  <si>
    <t>Level crossing accident, 10/03/2010, Line 108: Between Tocovolgy and Balmazujvaros stations (LC: AS41) (Hungary)</t>
  </si>
  <si>
    <t>Train Nr6615 collided with a car at a level crossing. Signalling system of the LC worked properly. In consequence of the accident one person sitting in the car died at the site of the occurrence and other suffered serious injuries.</t>
  </si>
  <si>
    <t>Line 108: Between Tocovolgy and Balmazujvaros stations (LC: AS41)</t>
  </si>
  <si>
    <t>CZ-961</t>
  </si>
  <si>
    <t>Other, 11/03/2010, open line between Brodek u Prerova and Dluhonice stations; km 191.000 (Czech Republic)</t>
  </si>
  <si>
    <t>A brake-shoe detached from brake mechanism and was projected through the window into the carriage occupied by passengers. The brake-shoe flew over two coupes.</t>
  </si>
  <si>
    <t>open line between Brodek u Prerova and Dluhonice stations; km 191.000</t>
  </si>
  <si>
    <t>technical failure – detaching and falling down components in the bogie</t>
  </si>
  <si>
    <t>no adequacy technical vehicle inspection_x000D_
None</t>
  </si>
  <si>
    <t>ES-899</t>
  </si>
  <si>
    <t>Level crossing accident, 11/03/2010, Level crossing, type A, kilometre point 5,037, at Villaquilambre (León), 31 León-Bilbao railway line (Spain)</t>
  </si>
  <si>
    <t>Train 7403 hit a road vehicle that was crossing the LC. The driver didn´t stop before crossing the LC as it was stated by the stop signal that protects this kind of LC.</t>
  </si>
  <si>
    <t>Level crossing, type A, kilometre point 5,037, at Villaquilambre (León), 31 León-Bilbao railway line</t>
  </si>
  <si>
    <t>SE-875</t>
  </si>
  <si>
    <t>Spad, 2010-03-13, Furuvik station on the main line between Uppsala and Gävle (Sweden)</t>
  </si>
  <si>
    <t>Friday, March 13, 2010 was an incident collision between trains 9765 and train 92 at Skutskär South._x000D_
_x000D_
Train 9765 was transporting timber to Furuvik south. The train, which consisted at two locomotives and 22 carriages, had been assembled at Gävle freight yard. The carriages had previously come from Borlänge to Gävle and in Gävle was connected to the two diesel cars instead of the locomotive that had been used from Borlänge._x000D_
_x000D_
Train 9765 had gone from Gävle to Furuvik south and when the train was at Boman Hill the driver tried to brake the train. The driver realized that the train braked very poorly and that the speed instead increased in the downhill instead of decreasing._x000D_
_x000D_
Only after about 10 km the driver managed to stop the train which had passed a signal at danger and running through a switch in wrong position._x000D_
_x000D_
EVENTS_x000D_
March 13, 2010 arriving train 9754 to Gävle freight yard at 20:07 (ordinary departure 20:54). Train would then proceed to Skutskär to train 9765 (ord dep 21:31) to other locomotives, and the driver asked why the train set, linked from the locomotives, emptied the trunk and closed the valves on the vehicles._x000D_
_x000D_
The driver would continue to run the train as train 9765 clarified and linked two diesel locomotives type T44 - No 268 and 346 - in Gävle and then linked them to the train. The train departed from Gävle at. 21:56._x000D_
_x000D_
After the train had passed ascents to the operating site Boman Hill, the driver tried to brake. This is done with the help of ATC equipment to see if the train's braking ability is the prescribed. The driver discovered during the test that the train braked very bad and that the speed increased in the downhill instead of decreasing. The line up to Furuvik Southern (FVKS) is double track but goes from there to the single track. Signal FVKS 21, which regulated sections of track through the switch (switch 22) that combined double track to a single track, was stopped because there was a train route set for a train in the opposite direction. Train 9765 passed the stop signal FVKS 21, passed the switch 22 and went out on single track, but the driver managed to stop the train. The driver had made contact with the traffic controller that had ensured that signals the opposite direction was stopped. Only after about 10 km after the driver had started braking, just after the entrance signal 4/1 to Skutskär north, the train stopped. 
Fredagen 13 mars 2010 inträffade ett tillbud till kollision mellan tåg 9765 och tåg 92 på Skutskär södra._x000D_
_x000D_
Tåg 9765 skulle transportera timmer till Furuvik södra. Tåget, som bestod at två lok och 22 vagnar, hade satts samman på Gävle godsbangård. Vagnarna hade tidigare kommit från Borlänge till Gävle och i Gävle kopplades två diesellok till vagnarna istället för det lok som hade använts från Borlänge._x000D_
_x000D_
Tåg 9765 hade åkt från Gävle mot Furuvik södra och när tåget befann sig vid Bomansberget gjorde föraren en retardationskontroll av tåget. Föraren upptäckte då att tåget bromsade mycket dåligt och att hastigheten ökade i medlutet istället för att minska._x000D_
_x000D_
Först efter ca 10 kilometer lyckas föraren att stanna tåget som då hade passerat en signal i ”stopp” och kört upp en växel._x000D_
_x000D_
HÄNDELSEFÖRLOPPET_x000D_
Den 13 mars 2010 ankom tåg 9754 till Gävle godsbangård klockan 20:07 (ord ank 20:54). Tågsättet skulle sedan vidare till Skutskär som tåg 9765 (ord avg 21:31) med andra lok och föraren ställde därför upp tågsättet, kopplade från loken, tömde huvudledningen och stängde ventilerna på fordonen._x000D_
_x000D_
Föraren som skulle köra vidare med tågsättet som tåg 9765 klargjorde och kopplade ihop två diesellok typ T44 – nr 268 och 346 – i Gävle och kopplade sedan dessa till tåget. Tåget avgick från Gävle kl. 21:56._x000D_
_x000D_
Efter att tåget hade passerat stigningarna till driftplatsen Bomansberget skulle föraren göra en retardationskontroll. Detta görs med hjälp av ATC-utrustningen för att se om tågets bromsförmåga minst stämmer med den uppgift som föraren har. Föraren upptäckte vid provet att tåget bromsade mycket dåligt och att hastigheten ökade i medlutet i stället för att minska. Sträckan fram till Furuvik södra (Fvks) är dubbelspårig men övergår därifrån till enkelspår. Signal Fvks 21, som reglerade spåravsnitt genom växeln (växel 22) som förenade dubbelspåret till ett enkelspår, visade stopp eftersom det fanns en tågväg ställd för ett tåg i motsatt riktning. Tåg 9765 passerade stoppsignalen Fvks 21, körde upp växel 22 och gick ut på enkelspåret utan att föraren lyckades få stopp på tåget. Föraren hade fått kontakt med fjärrtågklareraren som hade sett till att signalerna för motsatt riktning blev stoppställda. Först ungefär 10 km efter att föraren hade inlett bromsningen, strax efter infartssignal 4/1 till Skutskär norra, stannade tåget.</t>
  </si>
  <si>
    <t>Furuvik station on the main line between Uppsala and Gävle</t>
  </si>
  <si>
    <t>The incident was caused by the main line of the brake was blocked between the two locomotives._x000D_
_x000D_
The investigation has not certainly been able to determine the cause of why the main line was blocked. There is no sign of malfunction, and the only probable cause thus remains is that the driver failed to connect or open the trunk after the locomotives was connected. As the driver of the supervisors asked to take action on the train, there is a risk of the driver change of position on the valves and thus destroyed the possibility that later completely able to determine the cause of the incident. A driver who has been involved in a train has been almost no brakes may well have been so shaken that he afterwards in detail can remember what he did or did not do right after the event._x000D_
_x000D_
If the driver failed to open the main line, this is due in part to an inappropriate practice not to do a full clarification of the service of the beginning, and that the instructions to clarify nobody does not contain anything about the control of braking after the pairing of locomotives._x000D_
_x000D_
The reason for the closed main line between the locomotives were not detected at the brake test of a train is due to inadequate procedures for brake testing, that this was not done entirely according to regulations, and the fact that the rules do not have clear procedures for how to ensure that the brake can be operated from the control to be used in train driving. 
Händelsen orsakades av att huvudledningen för bromsen var blockerad mellan de båda loken._x000D_
_x000D_
Undersökningen har inte helt säkert kunna fastställa orsaken till att för-bindelsen i huvudledningen var blockerad. Det finns inga tecken på något tekniskt fel och den enda sannolika orsak därmed kvarstår är att föraren missade att koppla ihop eller öppna huvudledningen efter att loken kopplades ihop i sam¬band med klargöringen. I och med att föraren av arbetsledningen uppmanats att vidta åtgärder på tågsättet, finns det en risk för föraren ändrade inställning på ventiler och därmed förstörde möjligheten att senare helt kunna fastställa orsaken till händelsen. En förare som har varit med om att ett tåg har varit nästan helt utan bromsar, kan mycket väl ha varit så pass omskakad att han inte efteråt i detalj kan minnas vad han gjorde eller inte gjorde strax efter händelsen._x000D_
_x000D_
Om föraren missade att öppna huvudledningen beror detta delvis på en olämplig praxis att inte göra en fullständig klargöring i samband tjänstgöringens början, samt att anvisningarna för klargöringen inte innehåller något om kontroll av broms efter hopkoppling av lok._x000D_
_x000D_
Orsaken till att stängd huvudledning mellan loken inte upptäcktes vid broms-prov av tåget beror dels på bristfälliga rutiner vid bromsprov, att detta inte gjordes helt enligt föreskrifter, och dels att reglerna saknar tydliga rutiner för hur man ska säkerställa att bromsen kan manövreras från den kontroll som ska användas vid tågkörningen.</t>
  </si>
  <si>
    <t>Rules for brake testing_x000D_
It is not clear what the requirements are for the test of the brake at the pairing of locomotives. Nor is it clear what applies after braking tests have been done with radio control. As for after the pairing of locomotives, SHK has not been able to find any instructions and to come up with what applies for brake tests with radio control equipment must seek information from different places in the brake rules._x000D_
_x000D_
An object of the brake test would be to verify that the driver can övrera-brake. This aim is achieved according to the regulations only indirectly. The only sample that actually checks that the driver is able to reduce the speed of the train braking are retardationsprovet but it can often not be performed until too late, as was the case at the actual event._x000D_
_x000D_
There have been a number of events in recent years with poor braking action. At several of them have been off the main line of the train or switching handles have taken the wrong position. An event, Kimstad december 2008, has similar conditions, current event: Two locomotives connected in multiple, one of which can be radio-controlled and this locomotive is trailing locomotive at the brake test. Despite brake tests conducted, was not checked that the train was slowed by the control that was used by the driver during the journey._x000D_
_x000D_
At a brake test of a train is assumed that the locomotive brakes checked at clarifying none. If the train is pulled by multiple coupled locomotives, this becomes especially important as the braking test of the train only performed on carts that are connected to the locomotives. The main conduit between the locomotives will not be verified in the case of the rear locomotive radio remote control is used and the lack of adequate and clear lines of control after changing engines, there will be no control of main line connection between locomotives._x000D_
_x000D_
All the events that have occurred in recent years, affecting train braking indicates that there are deficiencies in both control procedures at ¬ brake tests, both in the design of the braking rules. The lack of regulations to control ¬ era such a primary function that the driver can operate the brake is serious. Monitoring should be done before a train departs and to just use control braking is obviously not enough. It is difficult to make the right assessment for short train or when the locomotive is set in the brake category G and moreover, the use of control braking with ¬ seem that the relevant officials to take the brake test seriously enough by the sample does not contain a clear control of the function ._x000D_
_x000D_
It is also unfortunate that retardationsprovet have priority over an early test braking. After all, it must be useful to the driver as soon as possible to make a braking to get an idea of ??how the train feels. Such tests do not in any way preclude proper deceleration test since when there is opportunity for this._x000D_
_x000D_
Presentation of preliminary schedules_x000D_
It is important that the preparation, control of the traction and braking the train, is done carefully, as the course of this event displays. A prerequisite to get the staff to perform these checks in the prescribed manner, is that there is enough time in the timetable for the task. The opposite, that there is too little time, you can send the signal that management does not consider the task to be performed, or that accuracy is unnecessary. In this case, there was not the time allocations to clarify no one would have been under the norm. 
Utformning av regler för bromsprov_x000D_
Det är inte tydligt vilka krav som gäller för provningen av bromsen vid hopkoppling av lok. Det är inte heller tydligt vad som gäller efter att broms-prov har gjorts med radiostyrning. Vad gäller efter hopkoppling av lok har SHK inte kunnat finna några anvisningar och för att komma fram till vad som gäller efter bromsprov med radiostyrningsutrustning måste man söka information från olika ställen i bromsreglerna._x000D_
_x000D_
Ett syfte med bromsprovet borde vara att kontrollera att föraren kan man-övrera bromsen. Detta syfte uppnås enligt gällande föreskrifter endast indirekt. Det enda prov som verkligen kontrollerar att föraren förmår sänka hastigheten med tågets broms är retardationsprovet men det kan många gånger inte utföras förrän alltför sent, något som var fallet vid den aktuella händelsen._x000D_
_x000D_
Det har förekommit ett flertal händelser under senare år med bristande bromsverkan. Vid flera av dem har huvudledningen varit avstängd i tåget eller omkopplingshandtag har intagit fel läge. En händelse, Kimstad december 2008, har dessutom likartade förutsättningar som aktuell händelse: Två lok kopplas i multipel varav ett kan radiostyras och detta lok är bakre lok vid bromsprovet. Trots genomfört bromsprov, kontrollerades inte att tåget kunde bromsas med den kontroll som kom att användas av föraren vid färden._x000D_
_x000D_
Vid ett bromsprov av ett tågsätt förutsätts att lokens broms har kontrollerats vid klargöringen. Om tåget ska dras av multipelkopplade lok blir detta särskilt viktigt eftersom själva bromsprovet av tågsättet bara utförs på vagnarna som kopplas till loken. Huvudledningen mellan loken blir inte kontrollerade i de fall det bakre lokets radiostyrning används och med avsaknad av lämpliga och tydliga regler för kontroll efter lokbyte, blir det ingen kontroll av huvudledningens koppling mellan loken._x000D_
_x000D_
Alla de händelser som inträffat under senare år och som berör tågs bromsförmåga indikerar att det finns brister dels i styrning av rutinerna vid broms¬prov, dels i utformningen av bromsreglerna. Att det saknas regler för att kontroll¬era en sådan primär funktion som att föraren kan manövrera bromsen är allvarligt. Kontrollen bör ske innan ett tåg avgår och att bara använda sig av kontrollbromsprov är uppenbarligen inte tillräckligt. Det är svårt att göra rätt bedömning vid korta tåg eller när loket är ställt i broms-kategori G och dessutom kan användningen av kontrollbromsprov med¬verka till att berörd personal inte tar bromsprovet på tillräckligt stort allvar genom att provet inte innehåller en tydlig kontroll av funktionen._x000D_
_x000D_
Det är dessutom olyckligt att retardationsprovet har prioriterats framför en tidig provbromsning. Trots allt måste det vara värdefullt att föraren så snart som möjligt gör en bromsning för att få en uppfattning av hur tåget känns. Ett sådant prov behöver inte på något sätt utesluta att ett regelrätt retardations-prov sedan görs när det finns tillfälle för ett sådant._x000D_
_x000D_
Utformning av förarturlistor_x000D_
Det är viktigt att förarbete, kontroll av dragfordon och broms i tåg, görs noggrant, vilket förloppet vid denna händelse visar. En förutsättning för att få personalen att utföra dessa kontroller på föreskrivet vis, är att det finns tillräckligt med tid i turlistan för arbetsuppgiften. Motsatsen, att det finns för lite tid, kan sända signalen att arbetsledningen inte anser att uppgiften ska utföras eller att noggrannhet är onödig. I detta fall fanns inte den tid anslagen till klargöringen som skulle funnits enligt normen.</t>
  </si>
  <si>
    <t>DE-876</t>
  </si>
  <si>
    <t>Train derailment, 15/03/2010, Güterbahnhof Stuttgart-Untertürkheim im Bereich der Weiche 391 // Stuttgart-Untertuerkheim freight station in the area of switch 391 (Germany)</t>
  </si>
  <si>
    <t>Bei der Einfahrt in den Güterbahnhof Stuttgart-Untertürkheim entgleiste bei CFN 63051 mit 2 Triebfahrzeugen (Baureiche 140) und 3 Kesselwagen. Führendes Triebfahrzeug und ein Kesselwagen sind umgestürzt. // At the entrance to the freight station Stuttgart-Untertuerkheim the train 63051 derailed with 2 locomotives (of type 140) and 3 tank wagons. Leading locomotive and one wagon are overturned.</t>
  </si>
  <si>
    <t>Güterbahnhof Stuttgart-Untertürkheim im Bereich der Weiche 391 // Stuttgart-Untertuerkheim freight station in the area of switch 391</t>
  </si>
  <si>
    <t>fehlerhaft durchgeführte Stopf- und Richtarbeiten im Rahmen von oberbautechnischen Umbauarbeiten // tamping and alignment work incorrectly carried out in the context of permanent way engineering construction work</t>
  </si>
  <si>
    <t>HU-878</t>
  </si>
  <si>
    <t>Train derailment, 15/03/2010, Line 92: Miskolc Station (Hungary)</t>
  </si>
  <si>
    <t>At Miskolc-Rendezo station on 15th of March, 2010 at 9:30 a freight train Nr. 53410 derailed with its three wagons after departing (derailed tank wagons were empty)._x000D_
Derailment could be originated in the damage of the bearing Nr. 6 of the wagon Nr. 33 51 795 2507-6 (Zas type). It was a dangerous goods transporter wagon - RID 33/1294 - (toluene) but empty at the moment of the derailment. The bearing fell off the end of the axle and the broken parts were found on the track.</t>
  </si>
  <si>
    <t>Line 92: Miskolc Station</t>
  </si>
  <si>
    <t>Rail Cargo Hungaria Zrt.</t>
  </si>
  <si>
    <t>HU-915</t>
  </si>
  <si>
    <t>Accident to persons caused by RS in motion, 15/03/2010, Gyor station (Hungary)</t>
  </si>
  <si>
    <t>A shunting unit ran over a young woman at Gyor station, who was fallen out of an outgoing train before that.</t>
  </si>
  <si>
    <t>Gyor station</t>
  </si>
  <si>
    <t>RO-903</t>
  </si>
  <si>
    <t>Train derailment, 18/03/2010, Open line Merisor - Crivadia belongs to Timisoara Railway County on the west of Romanian Railway Network. (Romania)</t>
  </si>
  <si>
    <t>Six wagons from the freight train no.50503 (belonging to SC Unifertrans SA) derailed.</t>
  </si>
  <si>
    <t>Open line Merisor - Crivadia belongs to Timisoara Railway County on the west of Romanian Railway Network.</t>
  </si>
  <si>
    <t>The direct cause of the accident is the derailment of the axle no. 7-8 (the first axle ) from the first bogie in the running direction of the wagon 88536657494-0  (the 5th from the locomotive), at the km 58+916, consisting in the leaving of the right rail by the wheel no. 8 (the rail  corresponding to the curve inside track). It was possible bacause the total gauge clearance of this axle exceeded the accepted limits, provided that the thickness of the wheel flange no. 7 was under the maximum limit stipulated in the Instruction no. 250/2005. Contributing factors were:•	existance of some edgeds and wears on the outside active flange of the wheel no. 7; •	the strong wear of the wheels flange from the left side of the wagons, in the train running direction, generated by the running of the trains belonging to the railway undertaking between Plopsoru-Episcopia Bihor, in winter 2009-2010, as push-pull train, without changing the trains forming; •	strong wears at the disks of the buffers from the wagons  no 88536657494-0 and no. 88536657723-2, because of it the running in curve led to a very strong friction between them; •	important  unloading of the first axle (corresponding to the wheels 7-8) of this wagon, because the stiffness behaviour of the wagons no. 88536656494-0 and no. 88536657723-2 and a spontaneous brake application on a curved track section with gradient 15,3‰.</t>
  </si>
  <si>
    <t>The underlying cause of this accident is the non-performance of the compulsory works and inspections, that have to be made by the examiner, during the inspection in the forming of the train no. 50503, on the 18th of March 2010, it leading to non-identification of the failures from the first wheel no. 7 of the wagon no. 88536657494-0, failures that imposed the taking out of the wagon from the train._x000D_
The root cause of this accident is the lack of regulations that stipulate the periodical lubrication of the disks of the wagon buffers, between two periodical repairs.</t>
  </si>
  <si>
    <t>RO-905</t>
  </si>
  <si>
    <t>Other, 18/03/2010, Open line Banita - Merisor belongs to Timisoara Railway County on the west of Romanian Railway Network. (Romania)</t>
  </si>
  <si>
    <t>The freight train no. 50505 exceeds the maximal speed.</t>
  </si>
  <si>
    <t>Open line Banita - Merisor belongs to Timisoara Railway County on the west of Romanian Railway Network.</t>
  </si>
  <si>
    <t>Non-conformity occurred following the human mistake in the brake of the freight train no. 50503, by late operating the KD2 valve handle of the locomotive EA 531 for the service brake in order to decrease the train speed, without taking into account the time necessary for the operation of the automatic brake so the train speed does not exceed the maximum speed accepted by the line and that stipulated in the working timetable, it led to the exceeding of the maximum speed of 40 km/h, accepted by the line, with 1 km. Choice of the moment for the operation of the the KD2 valve handle of the locomotive EA 531 for the automatic brake of the train, led to a delaied brake, while the train was in the start-up period after his departure from the railway station and run on a track section with down-grade 17,9 ‰ from the railway station Banita to the railway station Merisor, in the running direction of the train 50503.</t>
  </si>
  <si>
    <t>None._x000D_
None.</t>
  </si>
  <si>
    <t>FI-956</t>
  </si>
  <si>
    <t>Train derailment, 24/03/2010, Joensuu railway yard. (Finland)</t>
  </si>
  <si>
    <t>Derailment of three last wagons of a freight train.</t>
  </si>
  <si>
    <t>Joensuu railway yard.</t>
  </si>
  <si>
    <t>The cause of the accident was that stop blocks had been left on rail when the train started moving.</t>
  </si>
  <si>
    <t>The underlying cause of the accident was that the brake inspector was distracted by try-ing to locate his radio handset, which had fallen into a brake hose pit, and, conse-quently, forgot to remove the stop blocks from the right-hand rail._x000D_
Communication between the engine driver and the brakeinspector was disturbed because the handset fell into the brake hose pit, and communication was attempted at the moment when the engine driver was changing cabins.</t>
  </si>
  <si>
    <t>NO-885</t>
  </si>
  <si>
    <t>Trains collision with an obstacle, 24/03/2010, From Alnabru Marshaling yards down to Loenga Marshaling yard (Norway)</t>
  </si>
  <si>
    <t>16 wagons started drifting at Anabru Marshaling yard, and run solo down to Loengsa Marshaling Yard where they continued into Sjurøya harbour track where some wagons derailed. The rest of the wagons continued and run through a building and in to the water.</t>
  </si>
  <si>
    <t>From Alnabru Marshaling yards down to Loenga Marshaling yard</t>
  </si>
  <si>
    <t>Infrastrucuture_x000D_
Lack of barriers</t>
  </si>
  <si>
    <t>DE-884</t>
  </si>
  <si>
    <t>Train derailment, 25/03/2010, Streckenabschnitt Voerde - Dinslaken in km 15,6 // Section between Voerde - Dinslaken in km 15,6 (Germany)</t>
  </si>
  <si>
    <t>Güterzug 48471 auf der Fahrt von Rotterdam - Dillingen entgleiste bei der Durchfahrt im Bahnhof Oberhausen West in der Weiche 481 mit einem Drehgestell. Vor dem Bahnhof Dinslaken, ca. 15 km vor der Entgleisungstelle fand man das abgescherte Achslager. 
Freight train 48471 on the trip from Rotterdam - Dillingen derailed with one bogie when passing the station Oberhausen West in the switch 481. Outside the station Dinslaken, about 15 km from the derailment site sheared axles were found.</t>
  </si>
  <si>
    <t>Streckenabschnitt Voerde - Dinslaken in km 15,6 // Section between Voerde - Dinslaken in km 15,6</t>
  </si>
  <si>
    <t>Heißläufer in Verbindung mit dem Bruch des Wellenschenkels am vorderern Radsatz des vorlaufenden Drehgestells des 13. Wagens. 
Hot axle box in connection with the breaking of the shaft journal at the frontal wheelset of the bogie of the forward running 13. wagon.</t>
  </si>
  <si>
    <t>ES-886</t>
  </si>
  <si>
    <t>Trains collision, 26/03/2010, Near Arevalo station (Avila), kilometre point 172,050, 100 Madrid-Henday railway line. (Spain)</t>
  </si>
  <si>
    <t>Freight train number 58244 collided with the rear of freight train number 58242 that was standing at the home signal that was stating a stop aspect. As a result, the locomotive of the first train climbed onto the last carriage of the second train. Both trains were "twins" and were carrying steel coils .</t>
  </si>
  <si>
    <t>Near Arevalo station (Avila), kilometre point 172,050, 100 Madrid-Henday railway line.</t>
  </si>
  <si>
    <t>The accident was caused by technical failure of the safety of the railway plant, in particular, in the fixed signalling produced by changes  in the interlocking of Arévalo station for testing it. These changes consisted in the installation of new cards and software for the future placement in service of bi-directional ABS on the route. The rear collision happens when caution signal 1734 indicated line-clear, being  the next track circuit engaged and the home signal E2 stating a stop indication.</t>
  </si>
  <si>
    <t>There is a set of circumstances that have contributed to the occurrence of this accident:Trains running during the work were not holding up or, failing that, the establishment of measures that would have guaranteed the safety of   these trains, such as: establishing an alternative blocking system 	acting over the affected signals in order to avoid them stating aspects which authorised the train´s movements (green -yellow)/ No verification on site that the signals met the indications that were established in the special order that regulates the work. / Wrong assessment of the risk involving the performance of the works</t>
  </si>
  <si>
    <t>UK-890</t>
  </si>
  <si>
    <t>Accident to persons caused by RS in motion, 30/03/2010, Cheshunt Junction, Hertfordshire (United Kingdom)</t>
  </si>
  <si>
    <t>Track worker, working on track maintenance was struck by train which had just left Cheshunt station and was crossing from the Up Main line to the Up Southbury Line at Cheshunt Junction.</t>
  </si>
  <si>
    <t>Cheshunt Junction, Hertfordshire</t>
  </si>
  <si>
    <t>The chargeman did not move to a position of safety and was in the path of the train as it passed the site of work (paragraph 52).</t>
  </si>
  <si>
    <t>The causal factors were:a.the decision to do the work at Cheshunt in Red Zone with lookout protection (paragraph 60); b. the team only moved clear of the running line on which they thought an approaching train would be routed (paragraph 61); c. neither the chargeman nor the COSS enforced the use of a position of safety that was clear of all running lines during the passage of trains (paragraph 107); d. 	the recent introduction of timetabled, but relatively infrequent, train movements between the Cambridge line platforms and the Southbury loop, meant that the team were not expecting the train to run from the Up Cambridge line platform to the Southbury loop (paragraph 61); and e. a probable causal factor is that the lookout did not repeat the warning when some of the track workers did not move clear of the running lines when a warning was given, (paragraph 90, Recommendation 2). It is possible that the following factors were causal: a. the time available for work to take place on the track was limited. This extended the duration of work, possibly causing staff to continue working if they believed an approaching train was not going to pass over the line on which they were working (paragraph 70, Recommendations 1 and 2); b. the COSS did not formally specify the position of safety to be used at Cheshunt by entering it on the COSS form and obtaining acknowledgement by signature from the staff (paragraph 97); c. the chargeman may have been distracted from responding, or may have allowed himself not to respond appropriately, to the warning of an approaching train (paragraph 83); and d. the issue of a single COSS form in respect of two different sites did not prompt the COSS take account of the need to implement different safe systems of work (paragraph 112). The underlying factors were that: a. the use of Red Zone working with lookout protection had not been planned to take into account the track layout at the site, the level of rail traffic or the sighting distances (paragraph 132, Recommendation 1); and b. the staff perceived that site visits by engineers and managers were infrequent. This perception reduced the potential for these visits to modify their behaviour (paragraph 137).</t>
  </si>
  <si>
    <t>NO-891</t>
  </si>
  <si>
    <t>Train derailment, 01/04/2010, Brynsbakken, close to Oslo S the main train station in Norway. (Norway)</t>
  </si>
  <si>
    <t>Derailment of local passenger train at low speed in points. Due to maintenance the train had to use a different track than normal. The track was in poor condition where the train derailed in the points. There have been several other derailments in Norway due to poor track conditions.</t>
  </si>
  <si>
    <t>Brynsbakken, close to Oslo S the main train station in Norway.</t>
  </si>
  <si>
    <t>Poor condition of track.</t>
  </si>
  <si>
    <t>Planned maintenance was postponed</t>
  </si>
  <si>
    <t>SI-888</t>
  </si>
  <si>
    <t>Wrong-side signalling failure, 01/04/2010, Switch number 13 in TKO station Lesce Bled, single track line Jesenice - Ljubljana in km 617+512. (Slovenia)</t>
  </si>
  <si>
    <t>Locomotive driver of train No. 45442 during deriving train from track number 2, station Lesce Bled, noticed the wrong setting of the switch number 13, which instead of leading from track number 2 straight, was leading to track number 1 to deviation. In this case the train caused only brutal displacement of the switch. In different traffic situation it could lead to trains collision on track number 1 or number 2.</t>
  </si>
  <si>
    <t>Switch number 13 in TKO station Lesce Bled, single track line Jesenice - Ljubljana in km 617+512.</t>
  </si>
  <si>
    <t>RCA - Rail Cargo Austria</t>
  </si>
  <si>
    <t>SK-940</t>
  </si>
  <si>
    <t>Trains collision, 01/04/2010, Slovakia, railway station Spisska Nova Ves (Slovak Republic)</t>
  </si>
  <si>
    <t>shunting locomotive hit the last and empty wagon of the  passanger train ready for departure</t>
  </si>
  <si>
    <t>Slovakia, railway station Spisska Nova Ves</t>
  </si>
  <si>
    <t xml:space="preserve">Železnicná spolocnost  Cargo Slovakia; 
</t>
  </si>
  <si>
    <t>1) Exceeding the speed by driver of the locomotive  2) Switch-over the security train controller from operating mode “shifting” to mode “running” by unknown person</t>
  </si>
  <si>
    <t>CZ-1075</t>
  </si>
  <si>
    <t>Accident to persons caused by RS in motion, 04/04/2010, Sazavka stop; double track, main line between Brno hl. n. and Kutna Hora hl. n. stations; km 247,828 (Czech Republic)</t>
  </si>
  <si>
    <t>A passenger's leg was locked into the doors, the passenger was towed by train No. 5910 and slightly injured. The train departed from the Sazavka stop.</t>
  </si>
  <si>
    <t>Sazavka stop; double track, main line between Brno hl. n. and Kutna Hora hl. n. stations; km 247,828</t>
  </si>
  <si>
    <t>closure of the doors during disembarkment of passengers at the stop</t>
  </si>
  <si>
    <t>inadequate pre-departure and departure safety procedures for carriages equipped with automatic doors without preliminary warning to passengers and without signaling of their status to train driver_x000D_
none</t>
  </si>
  <si>
    <t>DE-894</t>
  </si>
  <si>
    <t>Train derailment, 07/04/2010, Gelsenkirchen-Horst Nord; Weiche 62 // switch 62 (Germany)</t>
  </si>
  <si>
    <t>Während der Einfahrt nach Gleis 2 entgleisten die beiden letzten Kesselwagen des FZT 54035 in der Weiche 62. // During the entrance to platform 2 the last two tank wagons of the train FZT 54035 derailed on switch 62.</t>
  </si>
  <si>
    <t>Gelsenkirchen-Horst Nord; Weiche 62 // switch 62</t>
  </si>
  <si>
    <t>RBH Logistics GmbH</t>
  </si>
  <si>
    <t>unzeitige Bediendung der Weiche 62 unter dem vorletzten Wagen // untimely extension of the operating switch 62 under the last wagon</t>
  </si>
  <si>
    <t>Störung am Einfahrsignal F wurde nicht zeitnah beseitigt // Fault of the entry signal F was not promptly eliminated</t>
  </si>
  <si>
    <t>RO-889</t>
  </si>
  <si>
    <t>Train derailment, 07/04/2010, Mogoseni station belongs to Cluj Railway County, on the center of the romanian railway network, at 92 km east of Cluj (Romania)</t>
  </si>
  <si>
    <t>The regional passenger train no. 4485 formed of three coaches was on route from Ilva Mica station to Dej station. Before the arrival on the line 1 in Mogoseni station, the train passed over the swich no. 5 and the second bogie from the second coach and the first bogie from the third coach derailed.</t>
  </si>
  <si>
    <t>Mogoseni station belongs to Cluj Railway County, on the center of the romanian railway network, at 92 km east of Cluj</t>
  </si>
  <si>
    <t>The left wheel of the first axle, in the running direction, of wagon no. 505320476896 (the 2nd from the locomotive) get into the space between the lateral surface of the curve stock rail head and the lateral surface of the connecting rail from the left side of the direct line of switch no.5 due to the yielding of the metal plate welding seam, its penetration and lateral movement into the sleeper body, together with the deformation of the coach screwas for fixing the metal plate on the sleeper, followed by this wheel falling inside the rail.</t>
  </si>
  <si>
    <t>The execution of a wrong welding at the metal plate construction for fixing on the timber sleeper the curved stock rail and right point switch in the joint area of the curved stock rail. Exceeding the instructional period for replacing the non-adequate special sleepers from points and crossing. The non-adequate impregnation of timber sleepers with the non-observance of reception conditions of the railway critical product of impregnation.</t>
  </si>
  <si>
    <t>ES-922</t>
  </si>
  <si>
    <t>Trains collision, 08/04/2010, Silla Contenedores station (Valencia), 300 Madrid-Valencia railway line (Spain)</t>
  </si>
  <si>
    <t>While doing a coupling operation, a groupage of flat wagons, hauled by a locomotive, collided with another groupage of flat wagons that was stationary. As a result, one of the operators was trapped between both compositions and died. Also, two wagons of the first groupage derailed.</t>
  </si>
  <si>
    <t>Silla Contenedores station (Valencia), 300 Madrid-Valencia railway line</t>
  </si>
  <si>
    <t>The staff that was implied in the accident didn´t comply with the General Operating Rules. Also the victim, didn´t comply with "Prevention Procedure POP/20" (Adif´s standard)</t>
  </si>
  <si>
    <t>DE-895</t>
  </si>
  <si>
    <t>Level crossing accident, 13/04/2010, Strecke: Aachen - Kassel; Bahnübergang in km 261.414 zwischen Marsberg und Messinghausen// Section: Aachen - Kassel; level-crossing in km 261.414 between Marsberg and Messinghausen (Germany)</t>
  </si>
  <si>
    <t>Regionalexpress 29206 prallt auf dem Bahnübergang in km 261,414 zwischen Marsberg und Messinghausen mit einem Lkw-Anhänger zusammen und entgleist in der Folge mit der vorlaufenden Achse. Folge: 19 Personen wurden leicht verletzt. // Regional express train 29206 collided with a truck trailer on the level-crossing in km 261.414 between Marsberg and Bredelar and derailed with the first axle. Consequence: 19 people were slightly injured.</t>
  </si>
  <si>
    <t>Strecke: Aachen - Kassel; Bahnübergang in km 261.414 zwischen Marsberg und Messinghausen// Section: Aachen - Kassel; level-crossing in km 261.414 between Marsberg and Messinghausen</t>
  </si>
  <si>
    <t>RO-904</t>
  </si>
  <si>
    <t>Other, 13/04/2010, Arad railway station belongs to Timisoara Railway County on the west of Romanian Railway Network. (Romania)</t>
  </si>
  <si>
    <t>The long distance passenger train no. 473-2 was dispatched in a wrong direction (Aradul Nou direction instead of Glogovat direction)</t>
  </si>
  <si>
    <t>Arad railway station belongs to Timisoara Railway County on the west of Romanian Railway Network.</t>
  </si>
  <si>
    <t>The railway incident occurred following the human mistake in the dispatching of the train no. 473-2 in another direction (Aradul Nou instead Glovovat), through:1) making of the exit route in another direction and the lack of checking on the display of the ordred route;2) putting of the signal on ”train departure” without checking the position of the route indicator.To the railway incident contributed also the human mistake consisting in the train departure from the line 1A1 of the railway station Arad to Aradul Nou, without checking and ensuring that the route indicator  indicated the established route from the working timetable of the train 473-2, followed by the passing of the switch no. 53 that gave access to Aradul Nou.</t>
  </si>
  <si>
    <t>FI-952</t>
  </si>
  <si>
    <t>Level crossing accident, 14/04/2010, Karjaa, Leppämäentie level crossing, unprotected. Karjaa - Hanko section of line. (Finland)</t>
  </si>
  <si>
    <t>Fatal level crossing accident, rail bus - sport utility vehicle.</t>
  </si>
  <si>
    <t>Karjaa, Leppämäentie level crossing, unprotected. Karjaa - Hanko section of line.</t>
  </si>
  <si>
    <t>The accident occurred because the car driver observed the approaching train too late and was no longer able to stop before the level crossing.</t>
  </si>
  <si>
    <t>Driving and a safe crossing were hindered by the road being on an incline, the lack of wait platforms, high track embankment and trees surrounding the road.</t>
  </si>
  <si>
    <t>BG-901</t>
  </si>
  <si>
    <t>Level crossing accident, 15/04/2010, The Chintulovo - Sliven interstation section, at level crossing located at 290+285 km. (Bulgaria)</t>
  </si>
  <si>
    <t>At scheduled motion of train no. 30601, travelling from Karlovo to Burgas, at the Chintulovo - Sliven interstation section, at regularly activated automatic level crossing signalisation, at level crossing located at 290+285 km, the train collided with an automobile (taxi) Fiat "Palio". The taxi driver and the passenger travelling at the front right hand side seat, as a result of the accident, died on the accident site. The passenger travelling at the back seat is seriously injured. She is hospitalized without her life endangered.</t>
  </si>
  <si>
    <t>The Chintulovo - Sliven interstation section, at level crossing located at 290+285 km.</t>
  </si>
  <si>
    <t>BDZ Cargo</t>
  </si>
  <si>
    <t>CZ-902</t>
  </si>
  <si>
    <t>Trains collision, 16/04/2010, Golcuv Jenikov station, switch No. 5 and 3, km 266,787 (Czech Republic)</t>
  </si>
  <si>
    <t>Collision of defective part of locomotive No. 230.103-4 with switch No. 5, wooden level crossing and switch No. 3, consequent derailment of rear boogie and its re-railment.</t>
  </si>
  <si>
    <t>Golcuv Jenikov station, switch No. 5 and 3, km 266,787</t>
  </si>
  <si>
    <t>1. traction force transmission box screws release and loss (rolling stock/locomotive/boogie)        2. traction force transmission backup hangers failure (rolling stock/locomotive/boogie)</t>
  </si>
  <si>
    <t>improper level “M” and "V" maintenance (maintenance processes)_x000D_
None</t>
  </si>
  <si>
    <t>EE-900</t>
  </si>
  <si>
    <t>Level crossing accident, 16/04/2010, Open line outside settlement between Liiva and Kiisa stations on the Männiku level crossing (km 14,599) (Estonia)</t>
  </si>
  <si>
    <t>Truck Man collided with a fast passenger train</t>
  </si>
  <si>
    <t>Open line outside settlement between Liiva and Kiisa stations on the Männiku level crossing (km 14,599)</t>
  </si>
  <si>
    <t>The direct cause was human error of the truck driver, who could not adequately evaluate the requirements, imposed by the warning sign "One rail gauge" and priority right sign "Stop and give way".</t>
  </si>
  <si>
    <t>The MAN truck formed, after making the right turn at the priority sign "Stop and give way", an acute angle between his longitudinal axis and the movement direction of the train, approaching from the right hand side. The driver, sitting in the cabin of the truck does not have sufficient range of vision to give adequate evaluation to the traffic situation without halting his truck.</t>
  </si>
  <si>
    <t>DE-896</t>
  </si>
  <si>
    <t>Trains collision with an obstacle, 2010-04-17, Montabaur - Limburg Süd (Germany)</t>
  </si>
  <si>
    <t>ICE 105 (Amsterdam - Basel SBB) verliert zwischen Montabaur und Limburg Süd am Mittelwagen 403225 eine Tür. Dadurch werden am entgegenkommenden ICE 612 (München - Dortmund) 3 Fenster beschädigt. Dadurch wurden 6 Personen leicht verletzt. 
Train ICE 105 (Amsterdam - Basel SBB) lost a door of wagon 403225 between Montabaur and Limburg Süd. This caused damage of 3 windows in the oncoming train ICE 612 (Munich - Dortmund). 6 people were slightly injured.</t>
  </si>
  <si>
    <t>Montabaur - Limburg Süd</t>
  </si>
  <si>
    <t>DB Fernverkehr AG</t>
  </si>
  <si>
    <t>Aufgrund einer falsch eingestellten Koppelstange war die entsprechende Tür zwar geschlossen, jedoch nicht ordnungsgemäß verriegelt. Die Tür wurde durch die aufbauenden Kräfte im Tunnel bei der Begegnung der beiden ICE-Züge aus der Halterung gerissen. 
Due to an incorrectly set coupling rod the corresponding door was closed, but not locked properly. Due to the constructive forces in the tunnel at the encounter of the two ICE trains the door were pulled out of the holder.</t>
  </si>
  <si>
    <t>HU-916</t>
  </si>
  <si>
    <t>Train derailment, 2010.04.19., Line 1: Between Tatabanya and Tata stations (Hungary)</t>
  </si>
  <si>
    <t>Third coach of the train Nr9408 derailed due to a monoblock wheel failure.</t>
  </si>
  <si>
    <t>Line 1: Between Tatabanya and Tata stations</t>
  </si>
  <si>
    <t>Rolling stock - wagons - wheel - equipment failure</t>
  </si>
  <si>
    <t>Rules/regulation - processes, standards</t>
  </si>
  <si>
    <t>FI-953</t>
  </si>
  <si>
    <t>Train derailment, 4/26/2010, Helsinki railway yard, Helsinki Central Railway Station. (Finland)</t>
  </si>
  <si>
    <t>On Monday 26 April 2010 at 5:10 pm, a commuter train was derailed in Helsinki at a turnout. The train was approaching track 6 at Helsinki station when a turnout along the route turned underneath the train causing the train to be derailed. The rearmost unit of the three-unit train derailed and collided with a catenary support, with the result that the portal fell on the train’s roof causing extensive power outage at Helsinki railway yard. The derailed unit was damaged and there was also damage to track equipment. There were no personal injuries.</t>
  </si>
  <si>
    <t>Helsinki railway yard, Helsinki Central Railway Station.</t>
  </si>
  <si>
    <t>The cause of the derailment was that the turnout turned underneath the train. This was due to emergency commands given from signal box 1. The traffic controller issued the commands to turnout V013 by mistake; the commands were intended for turnout V003.</t>
  </si>
  <si>
    <t>Contributing to the accident was the fact that signal-box faults, and especially insulated track section faults, had become common and almost a daily matter at Helsinki railway yard. As a result, traffic control was using shunting routes for which emergency com-mands could be issued.  The faults had made this an almost daily practice. The practice had become that methods with stripped safety were being used so as not to disturb the traffic flow. The traffic controller had very little experience with the task.</t>
  </si>
  <si>
    <t>NO-924</t>
  </si>
  <si>
    <t>Train derailment, 26/04/2010, Kristiansand stasjon, Sørlandsbanen (Norway)</t>
  </si>
  <si>
    <t>Derailment of 3 wagons (empty passenger coaches)</t>
  </si>
  <si>
    <t>Kristiansand stasjon, Sørlandsbanen</t>
  </si>
  <si>
    <t>HU-1003</t>
  </si>
  <si>
    <t>Level crossing accident, 29/04/2010, Line 121: Between Mako and Apatfalva stations (Hungary)</t>
  </si>
  <si>
    <t>On the 29th of April 2010, there was an accident which happened between Apátfalva and Makó station on the line Nr 121. It was a collision between a car and a train at a level crossing without any security object in which a car driver and the passenger were seriously injured.</t>
  </si>
  <si>
    <t>Line 121: Between Mako and Apatfalva stations</t>
  </si>
  <si>
    <t>UK-919</t>
  </si>
  <si>
    <t>Other, 04/05/2010, Ashburys, Manchester (United Kingdom)</t>
  </si>
  <si>
    <t>Five wagons, parked in a siding, loaded with stone, ran away and travelled 890 metres before encountering trap-points which derailed the leading two wagons bringing the train to a stop. The trap-points worked as designed and ensured that the runaway wagons did not get onto running lines.</t>
  </si>
  <si>
    <t>Ashburys, Manchester</t>
  </si>
  <si>
    <t>The immediate cause of the derailment was that the handbrakes on the wagons whose brakes were applied were defective and unable to hold the set of wagons on the gradient once the air brakes had leaked off (paragraph 38).</t>
  </si>
  <si>
    <t>The following factors were identified as causal: the handbrake force limiting bolts were wrongly adjusted on the wagons whose handbrakes were applied (paragraphs 40 and 84); and some of the slack adjusters were defective on some of the wagons (paragraph 40 and Recommendation 3). The maintenance plans for the bogie brakes, and in particular the slack adjuster, were possibly contributory to the accident in that neither the manufacturer’s recommendations for the brake slack adjusters (paragraph 49) nor experience of the stop bolt adjustment from previous use of the bogies (paragraph 64) were included in the maintenance plan for the wagons and so were not carried out (Recommendation 2). Furthermore the VAB not checking that maintenance information from the previous use had been carried forward to the new maintenance plan was also possibly contributory to the accident (paragraph 67 and Recommendation 2). The lack of consideration of the force limiting bolts in the maintenance plan (paragraph 45) was contributory. The lack of a system for the rail industry to be made aware of safety information concerning equipment arising from its use in other industries (paragraph 57 and Recommendation 4) probably contributed to the lessons learnt in the automotive industry not being known about by the railway industry. The lack of a requirement for the VIBT to check that the handbrake applied the full force to the brake pads (paragraph 71 and Recommendation 5) was an underlying factor. The DB Schenker procedure for detaching wagons did not require verification that the handbrakes were effective when a shunter assists with the detachment (paragraphs 58, 85 and Recommendation 1). This was an underlying factor.</t>
  </si>
  <si>
    <t>AT-1114</t>
  </si>
  <si>
    <t>Accident to persons caused by RS in motion, 07/05/2010, Wiener Linien, Linie U3 von Bf Ottakring nach Bf Simmering, Station Enkplatz. Wiener Linien, Underground-Line U3 from station Ottakring to station Simmering, in station Enkplatz. (Austria)</t>
  </si>
  <si>
    <t>Ein Kind wurde mit einem Fuß in der Tür eingeklemmt und durch den Zug mitgeschliffen. Erst beim Anprall des Kindes an der Sperre am Bahnsteigende wurde das Kind aus der Tür befreit. // A child was caught with one foot in the door and grinded by the train. Only at the impact of the child to the barrier at the end of the platform, the child was removed from the door.</t>
  </si>
  <si>
    <t>Wiener Linien, Linie U3 von Bf Ottakring nach Bf Simmering, Station Enkplatz. Wiener Linien, Underground-Line U3 from station Ottakring to station Simmering, in station Enkplatz.</t>
  </si>
  <si>
    <t>Wiener Linien GmbH &amp; Co KG</t>
  </si>
  <si>
    <t>Not cognizing the (jammed with one foot) child in the danger zone between train 316 and the yellow safety line by the driver before starting of train 316.</t>
  </si>
  <si>
    <t>IE-906</t>
  </si>
  <si>
    <t>Other, 07/05/2010, Connolly Station platform (Ireland)</t>
  </si>
  <si>
    <t>Secondary suspension system over-inflated on one of the bogies of carriage 29310. The over-inflation had led to the failure of the centre pivot retaining plate bolts and the airbags lifting the centre pivot pin out of the bogie centre</t>
  </si>
  <si>
    <t>Connolly Station platform</t>
  </si>
  <si>
    <t>The immediate cause of the accident was the fact that secondary suspension levelling valves were fitted to the incorrect sides of the bogie</t>
  </si>
  <si>
    <t>The lack of clear instruction for maintenance personnel on the maintenance procedures to be carried out, •	The lack of clear visual markings or written advice in procedures for maintenance personnel to distinguish between the two different levelling valves•	A job card was not generated to ensure sign off of the necessary post installation checks as complete.</t>
  </si>
  <si>
    <t>UK-908</t>
  </si>
  <si>
    <t>Train derailment, 12/05/2010, Between Gloucester Road and Earls Court on the London Underground (United Kingdom)</t>
  </si>
  <si>
    <t>An engineers train, comprising a battery locomotive, two wagons, a ballast removal machine and another battery locomotive derailed as it was travelling from Cockfosters to West Ruislip . At the time it derailed, the train was negotiating a left-hand curve and travelling at around 26 mph (42 km/h).</t>
  </si>
  <si>
    <t>Between Gloucester Road and Earls Court on the London Underground</t>
  </si>
  <si>
    <t>Tubelines</t>
  </si>
  <si>
    <t>The track was not able to maintain the correct gauge as the engineering train passed over it (paragraph 33).</t>
  </si>
  <si>
    <t>The causal factors were: a. the non-identification and misclassification of track faults resulted in the non-rectification of those faults which ultimately caused the derailment (paragraph 40, Recommendations 4 and 9); and b. Tube Lines was unaware that dynamic wide gauge had been identified by the track recording vehicle in February 2010 and April 2010 because the information had not been included in the level 3 Safety Standard Exceedence reports (paragraph 78, Recommendation 1). It is possible that the following factors were causal: a. there was insufficient time available to complete thorough and detailed patrols and inspections (paragraph 55, Recommendation 3); and b. not all of the inspectors had received formal training and the ongoing reassessment of competence for patrollers and inspectors was not effective (paragraph 60, Recommendation 4). A contributory factor was: a. neither the action taken by Tube Lines in addressing concerns raised by London Underground following audit and surveillance activities, nor the actions of London Underground in following-up their concerns, was effective (paragraph 123, Recommendations 6 and 7). The underlying factors were: a.	It was difficult to apply London Underground standard 1-159 ‘Track- dimensions and tolerances’ (paragraph 72, Recommendation 2) b. The Piccadilly Line track team within Tube Lines was mainly focused on managing the level of SS faults and had not identified the risk from groups of ML faults (paragraph 93, Recommendation 8) c. there were insufficient staff to maintain the track in good condition (paragraph 104, Recommendation 5); and d.Tube Lines audit and surveillance regime for the track maintenance activity was ineffective in identifying concerns over the competence of patrollers and inspectors and the risk arising from long-term vacancies (paragraph 116, Recommendation 6).</t>
  </si>
  <si>
    <t>FI-954</t>
  </si>
  <si>
    <t>Level crossing accident, 16/05/2010, Kokemäki, Äimälänkuja / Koskinen level crossing, unprotected. Kokemäki - Rauma section of line. (Finland)</t>
  </si>
  <si>
    <t>Kokemäki, Äimälänkuja / Koskinen level crossing, unprotected. Kokemäki - Rauma section of line.</t>
  </si>
  <si>
    <t>The accident occurred because the car driver did not notice the approaching train until it was too late and despite braking was not able to stop the car before the level crossing. As the car approached the track the driver was driving too fast in relation to how visible the track was from the road.</t>
  </si>
  <si>
    <t>Contributing to this were the inexperience of the driver and the fact that there was little indication that a level crossing was approaching: there were no warning installations, and there was a bending road before the crossing and a level crossing sign pointing in the wrong direction. In addition, awareness that a level crossing was approaching was made difficult because of poor visibility of the track and the lack of a proper sightline towards the approaching train. The evening sun was also shining low on the horizon from the direction of the approaching train.</t>
  </si>
  <si>
    <t>PL-932</t>
  </si>
  <si>
    <t>Trains collision, 16/05/2010, Line 137 section Zabrze - Gliwice km. point. 22,810 (Poland)</t>
  </si>
  <si>
    <t>The long distance passenger train consisted of 2 units of electric traction set EN57 operated by the Przewozy Regionalne has run into the infrastructure works train operated by PKP Polskie Linie Kolejowe standing on the track No 2. The driver of the passenger train has passed semaphore of the automatic line blockade No 230 showing "Stop" signal.</t>
  </si>
  <si>
    <t>Line 137 section Zabrze - Gliwice km. point. 22,810</t>
  </si>
  <si>
    <t xml:space="preserve">Przewozy Regionalne Ltd; 
</t>
  </si>
  <si>
    <t>Not to stop of the train No. 63130 before the semaphore of the automatic blockade 230 showing the signal “Stop” running on the train ZRM22 standing within 48 m behind this semaphore ( the rail minibus with the trailer).</t>
  </si>
  <si>
    <t>1. Insufficient observation of the route by the driver of the train 63130 on the section from the electromagnet SHP before the semaphore SBL240 to the semaphore SBL230, 2. False reaction of the driver on indications of semaphores SBL 230 and SBL 240. 3. At unfavorable weather conditions (the dusk and rainfall - the driver badly interpreted  the indication of the warning shield semaphore ToB as with indications of the semaphore sbl 230._x000D_
None</t>
  </si>
  <si>
    <t>RO-907</t>
  </si>
  <si>
    <t>Train derailment, 16/05/2010, Open line Valea Larga - Sinaia belongs to Bucharest Railway County on the south of Romanian Railway Network. (Romania)</t>
  </si>
  <si>
    <t>The first axle of the locomotive EA 40 0017-0, from the freight train no. 24796-1 derrailled.</t>
  </si>
  <si>
    <t>Open line Valea Larga - Sinaia belongs to Bucharest Railway County on the south of Romanian Railway Network.</t>
  </si>
  <si>
    <t>Direct cause of the occurrence of this accident is the escalation of the rail corresponding to the outer wire of the curve, at km 121+664, by the wheel on the right of the first axle of the first bogie in the running direction, due to the inappropriate rehabilitation works to the rail superstructure of the bridge no. 20 between the flag station Valea Larga and the railway station CFR Sinaia. Contributing factors to the occurrence of this accident were generated by the inappropriate composition of the rail superstructure on the area of the railway bridge and resulted: -	sleepers leaning with the bottom sole on the riveted joints, the bottom sole being inappropriately processed to provide support without strokes vertically; -	excessive cut of the sleepers bottom sole combined with the unfixing of these sleepers by the metallic elements of the bridge (designed for this purpose) in order to prevent longitudinal and transverse displacements; -	sleepers with cracks placed in long to the horizontal axis; -	sleepers with cracks on the upper side of the metal plates leaning point in the tightening direction of the coach screws.</t>
  </si>
  <si>
    <t>Underlying causes of the occurrence of this accident were determined by the incompliance of the provisions from the art. 77 - 80 of the Instructions for the inspection and maintenance of railway bridges no. 309/2005, regarding: -	wooden sleepers binding against the displacement in long of the bridge under the action of the forces resulted from the rolling stock operation; -	wooden sleepers catching by the full heart beams of the bridge; -	ban of the sleepers leaning on the rivets ends; -	wooden sleepers interlocking next to the rivets ends on the full heart beams, to ensure the settlement of each sleeper on its entire contact surface with the metallic beam; -	maintaining in path of the wooden sleepers grips by lugs-angle complete and inactive._x000D_
Underlying causes of the occurrence of this accident were determined by the incompliance of the provisions from the art. 77 - 80 of the Instructions for the inspection and maintenance of railway bridges no. 309/2005, regarding: -	wooden sleepers binding a</t>
  </si>
  <si>
    <t>FR-930</t>
  </si>
  <si>
    <t>Train derailment, 22/05/2010, Near Neufchateau station; double track electrified line (France)</t>
  </si>
  <si>
    <t>The four last wagons of a freight train derail in open line because of a broken wheel on the 27th wagon. Part of the wheel found 7km before the location of the derailment. Three of the derailed wagons are loaded with dangerous goods. One containing Phenol is leaking.</t>
  </si>
  <si>
    <t>Near Neufchateau station; double track electrified line</t>
  </si>
  <si>
    <t>Broken wheel</t>
  </si>
  <si>
    <t>ES-923</t>
  </si>
  <si>
    <t>Train derailment, 23/05/2010, Between Pozuelo and Principe Pio stations (Madrid), kilometre point 5+114, 910 Madrid Atocha Cercanías-Pinar de las Rozas railway line (Spain)</t>
  </si>
  <si>
    <t>Freight train 95053 running between Pozuelo and Príncipe Pio stations became derailed (first bogie of 11th wagon).</t>
  </si>
  <si>
    <t>Between Pozuelo and Principe Pio stations (Madrid), kilometre point 5+114, 910 Madrid Atocha Cercanías-Pinar de las Rozas railway line</t>
  </si>
  <si>
    <t>Renfe Operadora Mercancías</t>
  </si>
  <si>
    <t>The accident had its origin on the removal of the first axel´s right wheel of the 11th wagon, probably due to a wrong pressing on of wheel process</t>
  </si>
  <si>
    <t>HU-1004</t>
  </si>
  <si>
    <t>Level crossing accident, 25/05/2010, Line 140: Szatymaz station (Hungary)</t>
  </si>
  <si>
    <t>On the 25th of May 2010, there was an accident which happened at Szatymaz station. It was a collision between a car and a train at the level crossing Nr SR2 with well operating flashing lights in which the driver of the car and his passenger died.</t>
  </si>
  <si>
    <t>Line 140: Szatymaz station</t>
  </si>
  <si>
    <t>X</t>
  </si>
  <si>
    <t>DE-917</t>
  </si>
  <si>
    <t>Train derailment, 26/05/2010, Bahnhof Rheydt Gbf; ca. 5 Meter hinter Weiche 242 // station Rheydt Gbf; about 5 meters after the switch 242 (Germany)</t>
  </si>
  <si>
    <t>Güterzug CFN 47595 entgleiste mit einem Wagen. An dem Güterwagen, Remms, 31 88 3951 780-8 wurde an einer Achse ein loser Radreifen vorgefunden. // Freight train CFN 47595 derailed with one wagon. On one axle of freight wagon type Remms, number 31 88 3951 780-8, a loose wheel tire was found.</t>
  </si>
  <si>
    <t>Bahnhof Rheydt Gbf; ca. 5 Meter hinter Weiche 242 // station Rheydt Gbf; about 5 meters after the switch 242</t>
  </si>
  <si>
    <t>RO-920</t>
  </si>
  <si>
    <t>Train derailment, 28/05/2010, Halmeu station belongs to Cluj Railway County, on the north of the Romanian Railway Network. (Romania)</t>
  </si>
  <si>
    <t>The first bogie of 5th wagon (no. 67573287) from the freight train no. 70728, derailled on the switches no. 19-23 from Halmeu station. The train no. 70728 was formed of 28 wagons, loaded with coal and transposed from ucrainean gauge (1524 mm) into normal gauge (1435 mm). The wagon no. 67573287 belongs to ucrainean railway (UZ).</t>
  </si>
  <si>
    <t>Halmeu station belongs to Cluj Railway County, on the north of the Romanian Railway Network.</t>
  </si>
  <si>
    <t>S.C. GRUP FEROVIAR ROMAN S.A.</t>
  </si>
  <si>
    <t>The direct cause of the accident is the climbing of the curved points of the switch no. 23 by the first wheel (from the left side in the running direction) of the axle no. 1 from the first bogie of the wagon no. 67573287 (the 5th of the freight train no. 70728), following the exceeding of the derailment stability limit because of the increase of the guiding strength at the contact between this wheel and the curved points. The increase of the guiding strength appeared following the increase of the friction force between those 2 parts of the centre casting from the first bogie in the running direction of the wagon no. 67573287, because of the lack of lubrications between the upper and lower centre casting.</t>
  </si>
  <si>
    <t>None_x000D_
The root cause of this accident is that the common regulations on the freight transports concluded between the State Administration for Ukrainian Railway Transport  (UZ) and SC GRUP FEROVIAR ROMAN SA is not stipulated the lubrication of the centre casting</t>
  </si>
  <si>
    <t>CZ-943</t>
  </si>
  <si>
    <t>Level crossing accident, 29/05/2010, Passive level crossing (traffic sign only), level crossing in km 3,835 between Cervena Voda and Kraliky stations (Czech Republic)</t>
  </si>
  <si>
    <t>A solo running railcar (passenger train No. 20556) collided with a bicycle ridden by two cyclists at a passive level crossing</t>
  </si>
  <si>
    <t>Passive level crossing (traffic sign only), level crossing in km 3,835 between Cervena Voda and Kraliky stations</t>
  </si>
  <si>
    <t>poor level crossing condition (insufficient cyclists' field of view towards approaching train No. 20556) AND  irresponsible conduct of bicycle driver approaching passive level crossing</t>
  </si>
  <si>
    <t>improperly inspected level crossing and its visibility condition due to improper application of technical norm_x000D_
no procedure ensuring that level crossings quality is in line with technical norms and legislation during the whole level crossings' life-cycle</t>
  </si>
  <si>
    <t>SE-925</t>
  </si>
  <si>
    <t>Accident to persons caused by RS in motion, 2010-06-04, On Karlberg station which is located north of Stockholm on the line between Stockholm and Uppsala. (Sweden)</t>
  </si>
  <si>
    <t>A track worker performing soldering in electrical installations was hit and killed by a passing train at Karlberg, just north of Stockholm central, on the 4 June 2010._x000D_
The driver of the train did not see the track worker until too late to give warning signals. 
Den 4 juni 2010 inträffade en olycka på Karlbergs driftplatsdel som medförde att en eltekniker som arbetade i spåret blev påkörd av ett tåg och omkom._x000D_
_x000D_
Elteknikern skulle utföra en pinnlödning  och hade påbörjat förberedelser för detta när han blev påkörd av ett tåg. Föraren på tåget uppmärksammade elteknikern alltför sent för att hinna stanna tåget eller ge en varnande ljudsignal._x000D_
_x000D_
Den direkta orsaken till att olyckan inträffade var att arbete genom-fördes i trafikerat spår på en plats och under omständigheter där ett sådant arbete inte fick förekomma._x000D_
_x000D_
HÄNDELSEFÖRLOPPET_x000D_
Fredagen den 4 juni 2010 inträffade en olycka på Karlbergs driftplatsdel där en person som arbetade i spåret blev påkörd av ett tåg och omkom._x000D_
_x000D_
Ett arbetslag bestående av sex eltekniker skulle utföra några smärre arbeten under dagtid på Karlbergs driftplatsdel. Arbetena hade samband med kontaktledningsarbeten som arbetslaget annars arbetade med, huvudsakligen nattetid. Arbetet bestod bl.a. av montering av skyltar samt pinnlödning av jordflätor på rälerna i trafikerat spår. Utan att ha genomfört någon särskild skydds- och säkerhetsplanering för de aktuella arbetena, gav sig arbetslaget ut till arbetsplatsen. Avsikten var att de skulle bevaka varandra under den tid de arbetade i trafikerat spår._x000D_
_x000D_
En person i arbetslaget som skulle pinnlöda gav sig ut i spåret något före de andra och satte genast igång att arbeta. Ett tåg kom på det spår där personen arbetade. Föraren på tåget uppmärksammade först inte att det var en person i spåret och varningssignalerade därför inte. När föraren till sist såg att det var en person bromsade föraren, men det var för sent för att hinna stanna tåget i tid. Den person som arbetade i spåret blev påkörd och avled omedelbart av sina skador. En annan person i arbetslaget skadades i samband med olyckan.</t>
  </si>
  <si>
    <t>On Karlberg station which is located north of Stockholm on the line between Stockholm and Uppsala.</t>
  </si>
  <si>
    <t>Stockholmståg KB</t>
  </si>
  <si>
    <t>Trafikverket (former Banverket)</t>
  </si>
  <si>
    <t>The direct cause of the accident was that work was done on a track not closed for operation, and on a place and under circumstances where such work was not allowed. 
Den direkta orsaken till att olyckan inträffade var att arbete genom-fördes i trafikerat spår på en plats och under omständigheter där ett sådant arbete inte fick förekomma.</t>
  </si>
  <si>
    <t>No documented planning of the work was done. The track workers did not carry safety (warning) clothes on upper body, causing the driver to detect the track workers too late to be able to give warning signals._x000D_
_x000D_
The underlying causes was the the SMS of the infrastructure manager did not detect the deficienceis in the risk and safety planning that should have been done according to requirements in BVF 923, or that the contractor had not recieved information about local conditions according to the requirements in BVF1920. 
Bakomliggande orsaker är att ingen dokumenterad planering av arbetet genomfördes. Vidare bar inte tekniker 1 varselklädsel på överkroppen vilket innebar att föraren på tåget inte upptäckte honom i tid för att kunna varna om ankommande tåg._x000D_
_x000D_
Grundorsakerna till att olyckan inträffade var att Trafikverkets säkerhetsstyrningssystem inte hade förmått att fånga upp bristerna enligt den Skydds- och Säkerhetsplanering som skulle ske enligt BVF 923, eller att de personer som anlitades av Trafikverket inte hade tagit del av lokal information enligt kraven i BVF 1920.</t>
  </si>
  <si>
    <t>RO-921</t>
  </si>
  <si>
    <t>Fire in RS, 06/06/2010, Open line II Ruginoasa - Targu Frumos, km 25+300 belongs to Iasi Railway County, on the north of the Romanian Railway Network (Romania)</t>
  </si>
  <si>
    <t>Central part of the locomotive DHC 235 was burnt.</t>
  </si>
  <si>
    <t>Open line II Ruginoasa - Targu Frumos, km 25+300 belongs to Iasi Railway County, on the north of the Romanian Railway Network</t>
  </si>
  <si>
    <t>Appearance of a fire inside the niche of the left bateries (boxes 5-8) generated by a short-circuit between the connection between the niches and a series equipment of the elements  from the batery box no. 6, that led to the fire of the cables insulation and the covers of the elements of the bateries no. 5-8, followed by the fire of the cables insulation and the fuel deposits  appeared in time from the locomotive operation, upper to the niche of the bateries no. 5-8. Contributory factors: Non-performance on due time of the works specific to the repair type to which the locomotive was falling due (falling due at the repair type RG from the February 2009), it leading to an unsuitable thermo-technical situation, to the lost of the petroleum products through the constructive tightness points of the diesel engine and their deposit in very hard to reach places.</t>
  </si>
  <si>
    <t>Non-performance of some maintenace works of the locomotive, with the limit for the introduction into repair exceeded, for the additional checking of the insulation capacity of the cables and protection of the cables afferent to the bateries set, as well as for the cleaning of the petroleum product deposits from the constructive areas of the locomotives, where they can accumulate._x000D_
None.</t>
  </si>
  <si>
    <t>UK-929</t>
  </si>
  <si>
    <t>Trains collision with an obstacle, 06/06/2010, Falls of Cruachan, Argyll, Scotland (United Kingdom)</t>
  </si>
  <si>
    <t>As the train, which comprised a two-car class 156 diesel multiple unit operated by First ScotRail (carrying approximately 60 passengers and three crew) was approaching just west of Falls of Cruachan stations, it struck a boulder that had fallen onto the track. It caused the leading car to derail to the left down a steep slope.  The leading bogie of the second car was also derailed by the boulder. _x000D_
Evacuation of the passengers was carried out by the crew. Eight passengers were taken to hospital with minor injuries and later released.</t>
  </si>
  <si>
    <t>Falls of Cruachan, Argyll, Scotland</t>
  </si>
  <si>
    <t>The immediate cause of the accident was that a boulder, within the railway boundary, became dislodged from the cutting slope on the north side of the railway and fell into the four-foot. The train struck the boulder causing it to derail (paragraph 92).</t>
  </si>
  <si>
    <t>The causal factor was: the boulder became dislodged through natural processes that included root jacking and soil erosion (paragraph 96). It is possible that the following factor was causal: the examination and evaluation system did not identify the boulder hazard on the soil slope between the rock face and the railway boundary (paragraph 98, Recommendations 1, 2 and 3). This occurred due to a combination of the following factors: a. neither the examiners nor those who carried out the evaluation could adequately inspect the slope due to vegetation cover and access constraints (paragraphs 100 to 103); b. the examination contractor submitted examination reports for the soil slope which did not record that examinations were incomplete (paragraph 104 to 107); c. Network Rail’s Scotland Route geotechnical staff did not query reports from the examination contractor which did not fully describe the extent to which examinations were incomplete (paragraphs 104 to 107); d. Network Rail’s Scotland Route geotechnical staff saw vegetation on the soil slope when they carried out the evaluation in February 2006 but did not arrange for sufficient of it to be removed to allow a complete evaluation (paragraphs 108 and 109); e.the examiners did not appreciate the warning given by a boulder which could have fallen from a soil slope during, or before, 2007 (paragraph 110); f. the examiners and those who carried out the evaluation probably concentrated on the more obvious rock face risks rather than the soil slope risks (paragraph 111 to 112); g. following the examination of 21 April 2009, no further examination was carried out before the accident occurred (paragraph 113 to 114); and h. the system of automatic stone signals possibly led to a belief that there was adequate protection against the risk of boulders falling from the soil slope (paragraph 115). It is probable that the following factor was causal: the boulder fell onto the railway before planned de-vegetation and scaling works were carried out on the adjacent rock face (paragraph 116, Recommendation 4).</t>
  </si>
  <si>
    <t>BG-926</t>
  </si>
  <si>
    <t>Other, 6/9/2010, The accident occurred at Ezerovo station. (Bulgaria)</t>
  </si>
  <si>
    <t>While entering transit Ezerovo station, the fast passenger train No. 2655 traveling from Pleven to Varna station was admitted on the occupied line no. 5 instead of on the free to the moment line no. 4. _x000D_
The driver saw that another train was occupying line no. 5 and managed to stop the train at a distance of 15 m from the other avoiding collision with the freight train No. 28702._x000D_
There were not either casualties or damages caused._x000D_
After performing maneuver for its shifting from fifth to the fourth reception-departure track, the train No 2655 departed with 34 min delay.</t>
  </si>
  <si>
    <t>The accident occurred at Ezerovo station.</t>
  </si>
  <si>
    <t>The cause of the accident, namely the adoption of FT No. 2655 in Ezerovo station on 5 track, occupied by train No. 28702, is the incorrect manipulation of the duty Manager movement-first person in Ezerovo station, who did not prepared correctly the railroad switch No 18 on the route of the train and did not check and lock it with the Electro-mechanical centralization (EMC) of the station with the reversal of the track-signal handler to 30 degrees for output on the 4th track for line No. 2 - side Beloslav, before giving consent for the train with phone telegram "form-2".</t>
  </si>
  <si>
    <t>Violated were:_x000D_
1. Ordinance No. 58 on the rules of technical operation, movement of trains and signaling in rail transport – art. 267. _x000D_
 2. Rules for technical operation of the railway infrastructure of the State enterprise Rail Infrastructure, article 132 - adoption and sending trains on "wrong way" with EMC with central apparatus._x000D_
3. Rules for the movement of trains and shunting works in rail transport, art. 243, 370, para. 1 and 2, art. 371, art. 375, para. 1, and art. 392, para. 2. _x000D_
 4. Instruction No. 1 on working with EMC – annex to the Ezerovo station technology.</t>
  </si>
  <si>
    <t>SI-927</t>
  </si>
  <si>
    <t>Level crossing accident, 10/06/2010, Between station Ljubljana ViÅ¾marje and ljubljana Å iÅ¡ka; single-track line; in km 568+176 (Slovenia)</t>
  </si>
  <si>
    <t>Passenger train No. 415 crashed with a road vehicle on level crossing protected with half-barriers, between stations Ljubljana Vižmarje and Ljubljana Šiška, single-track line. Car driver made a diversion around the dropped half-barriers. He died in place of the accident.</t>
  </si>
  <si>
    <t>Between station Ljubljana ViÅ¾marje and ljubljana Å iÅ¡ka; single-track line; in km 568+176</t>
  </si>
  <si>
    <t>SI-928</t>
  </si>
  <si>
    <t>Level crossing accident, 10/06/2010, Between station Brezovica and Preserje, double-track line Ljubljana - SeÅ¾ana; in km 575+460 (Slovenia)</t>
  </si>
  <si>
    <t>Passenger train No. 2615 crashed with a light camion on level crossing protected with half-barriers, between stations Preserje and Brezovica, on the right track of double-track line. Camion driver made a diversion around dropped half-barriers. He died in place of the accident.</t>
  </si>
  <si>
    <t>Between station Brezovica and Preserje, double-track line Ljubljana - SeÅ¾ana; in km 575+460</t>
  </si>
  <si>
    <t>IT-945</t>
  </si>
  <si>
    <t>Level crossing accident, 12/06/2010, Located in open line in the italian railway network (Italy)</t>
  </si>
  <si>
    <t>Series of incidents concerning train passing through open level-crossings</t>
  </si>
  <si>
    <t>Located in open line in the italian railway network</t>
  </si>
  <si>
    <t>Human error</t>
  </si>
  <si>
    <t>ES-936</t>
  </si>
  <si>
    <t>Train derailment, 14/06/2010, Kilometre point 43,559, between Ortigueira and Cerdido stations (A Coruña), at 11 Ferrol-Gijón railway line. (Spain)</t>
  </si>
  <si>
    <t>Six wagons of freight train FR901, which were loaded with wood, derailed at kilometre point 43,559.</t>
  </si>
  <si>
    <t>Kilometre point 43,559, between Ortigueira and Cerdido stations (A Coruña), at 11 Ferrol-Gijón railway line.</t>
  </si>
  <si>
    <t>The accident was caused by an excess of speed.</t>
  </si>
  <si>
    <t>It´s highlighted the wrong speed that is set in the line section.</t>
  </si>
  <si>
    <t>AT-1107</t>
  </si>
  <si>
    <t>Train derailment, 16/06/2010, ÖBB-Strecke 10105 von Innsbruck Hbf nach Staatsgrenze nächst Lochau-Hörbranz (Lindau - DE), zwischen Bf Hintergasse und Bf Braz. // ÖBB-Line 10105 between station Innsbruck Hbf and boarder near Lochau-Hörbranz (Lindau - DE), between station Hintergasse an (Austria)</t>
  </si>
  <si>
    <t>Durch eine Trennung der Hauptluftleitung zwischen den 2 Wagenhälften des 1. Wagens (2 x 2 achsige Wageneinheit - Doppelstockautotransportwagen) während der Fahrt von Z 46676 kam es zu einer Fehlfunktion der pneumatischen Bremse. Das Gefälle bewirkte eine zu hohe Fahrgeschwindigkeit von Z 46676, dadurch entgleisten die Lokomotive und 13 Wagen. 
Because of a separating of the brake pipe between the 2 parts of the first wagon (a permanently-coupled unit of 2 x 2 axle double-deck car carrier) during the movement of train 46676, there was a malfunction of the pneumatic brake. The incline effectuated too high driving speed of train 46676, this caused the derailment of locomotive and 13 wagons.</t>
  </si>
  <si>
    <t>ÖBB-Strecke 10105 von Innsbruck Hbf nach Staatsgrenze nächst Lochau-Hörbranz (Lindau - DE), zwischen Bf Hintergasse und Bf Braz. // ÖBB-Line 10105 between station Innsbruck Hbf and boarder near Lochau-Hörbranz (Lindau - DE), between station Hintergasse an</t>
  </si>
  <si>
    <t>Durch einen Mangel im Aufhängesystem der Hauptluftleitung zwischen den 2 Wagenhälften des 1. Wagens (2 x 2 achsige Wageneinheit) kam es zu einer Trennung und einseitigen Sperre der Hauptluftleitung. 
By a deficiency in the suspension of the main air line between the 2 halves of the first car Trolley (2 x 2 axle car unit), there was a separation and unilateral lock of the brake pipe.</t>
  </si>
  <si>
    <t>Mangelhafte Befestigung der Seilklemme des Sicherungsseiles der Bremskupplung zwischen den Hälften der ersten Wageneinheit. 
Poor attachment of the cable clamp of the safety cable, the brake coupling between the first halves of the carriage unit.</t>
  </si>
  <si>
    <t>DE-931</t>
  </si>
  <si>
    <t>Train derailment, 6/16/2010, Bahnhof Peine; Strecke Braunschweig - Hannover (Germany)</t>
  </si>
  <si>
    <t>Güterzug 93274 entgleist nach Ausfahrt in Peine mit mehreren Fahrzeugen. Anschließend prallt der Gegenzug RE 14019 auf die entgleisten Wagen des Güterzuges. 
Freight train 93274 derailed with several vehicles after exit from Peine station. Subsequently, the coming passenger train RE 14019 collided with the derailed wagons of the freight train.</t>
  </si>
  <si>
    <t>Bahnhof Peine; Strecke Braunschweig - Hannover</t>
  </si>
  <si>
    <t xml:space="preserve">Mittelweserbahn GmbH; 
</t>
  </si>
  <si>
    <t>Die Entgleisung des Güterzuges wurde verursacht durch einen losen Radreifen am rechten Rad des vorlaufenden Radsatzes des 10. Wagens (23 84 6437 917-7). Die Kollision des Regionalexpresses mit anschließender Entgleisung wurde durch den 11. Wagen (23 84 6437 216-4) des Güterzuges verursacht, der als Unfallfolge der Güterzugentgleisung nach links in das Gegengleis gekippt war. 
The derailment of the freight train was caused by a loose wheel tire on the right wheel of the leading wheelset of the 10th wagon (23 84 6437 917-7). The collision of the Regional Express train with subsequent derailment was caused by the 11th wagon (23 84 6437 216-4) of the freight train, which was tilted to the left in the opposite track as a result of derailment.</t>
  </si>
  <si>
    <t>BG-934</t>
  </si>
  <si>
    <t>Level crossing accident, 6/18/2010, Level-crossing located at 21 + 294 km. (Bulgaria)</t>
  </si>
  <si>
    <t>At around 16:30 on 18.06.2010 the Regional passenger train no. 70206 travelling from Mezdra to Boychinovtzi hit a road motor vehicle model Volkswagen Golf at the level-crossing located at 21 + 294 km in Vratza - Beli Izvor interstation section with regularly activated automatic Level crossing signalling. _x000D_
In result of the accident, the driver of the road motor car was killed and the car was smashed. There were no damages in the RS or the infrastructure._x000D_
The movement of trains along the railway section was prohibited from 16:41 to 18:40 hrs. on 18.06.2010.</t>
  </si>
  <si>
    <t>Level-crossing located at 21 + 294 km.</t>
  </si>
  <si>
    <t>The main cause for the accident was the unlawful passing of the road motor vehicle – 'Volkswagen Golf' with reg. No BP4741AC  over the rail level crossing at km 21 294 in Vratsa – Beli izvor inter station section with regular automatic LC signalling system activated due to the imminent passage of train No 70206.</t>
  </si>
  <si>
    <t>Violated were: _x000D_
1.  Road Traffic Law – Rules of the road, “Railway level crossing”, articles 51-54; _x000D_
2.  Detailed rules for application of the Highway Traffic Act – “Passing through rail crossing” – articles 106-114. _x000D_
3. Law on Rail Transport – art. 36.</t>
  </si>
  <si>
    <t>IT-944</t>
  </si>
  <si>
    <t>Dangerous goods release, 21/06/2010, Located in marshalling yards or stations in the italian railway network (Italy)</t>
  </si>
  <si>
    <t>Dangerous goods release</t>
  </si>
  <si>
    <t>Series of incidents concerning leaking of dangerous goods</t>
  </si>
  <si>
    <t>Located in marshalling yards or stations in the italian railway network</t>
  </si>
  <si>
    <t>Trenitalia; 
Trenitalia Cargo; 
Crossrail Italia S.r.l.; 
Veolia Cargo Italia</t>
  </si>
  <si>
    <t>ES-937</t>
  </si>
  <si>
    <t>Accident to persons caused by RS in motion, 23/06/2010, Platja de Castelldefels halt (Barcelona), at 200 Madrid-Barcelona railway line (Spain)</t>
  </si>
  <si>
    <t>A long distance train, which didn´t have scheduled stop at this halt, knocked down a group of people that were crossing the tracks to reach the opposite platform instead of doing it through the provided underground passage. As a result 12 people were killed, 10 seriously injured and 7 slightly injured.</t>
  </si>
  <si>
    <t>Platja de Castelldefels halt (Barcelona), at 200 Madrid-Barcelona railway line</t>
  </si>
  <si>
    <t>The accident was caused when a huge group of people crossed the tracks at unauthorised place.</t>
  </si>
  <si>
    <t>FI-955</t>
  </si>
  <si>
    <t>Level crossing accident, 23/06/2010, Kyrö, Kyröntie / Kyrö level crossing, protected, equipped with half barriers. Turku - Toijala section of line, at the end of Kyrö railway yard. (Finland)</t>
  </si>
  <si>
    <t>Level crossing accidenr, freight train - articulated vehicle.</t>
  </si>
  <si>
    <t>Kyrö, Kyröntie / Kyrö level crossing, protected, equipped with half barriers. Turku - Toijala section of line, at the end of Kyrö railway yard.</t>
  </si>
  <si>
    <t>The accident occurred because the timber-carrying articulated vehicle started to ma-noeuvre past the lowered half barriers, and as a result the train collided with the vehi-cle's trailer.</t>
  </si>
  <si>
    <t>The decision by the vehicle driver to start manoeuvring past the barriers was apparently influenced by the pressure resulting from being in a queue. The driver felt pressure building because the long wait in the queue put extra burden on schedules and also be-cause the driver felt that the articulated vehicle was blocking the pedestrian crossing and partly also access to a nearby store. The decision to proceed was probably also made in part because other drivers were manoeuvring past the barriers, which gave confirmation to the notion that the barrier installations were not functioning properly._x000D_
The queues grew to a significant size while the barriers were lowered for too long be-cause the engine driver did not give due regard to the signal and therefore did not notice that the remote controller had given permission to depart. Lack of formal comm</t>
  </si>
  <si>
    <t>ES-938</t>
  </si>
  <si>
    <t>Accident to persons caused by RS in motion, 26/06/2010, Vitoria-Gasteiz station (Álava), at 100 Madrid-Hendaya railway line (Spain)</t>
  </si>
  <si>
    <t>A passenger train is authorised, by the guard, to resume its run before some of the passengers got off the train. Five people were slightly injured.</t>
  </si>
  <si>
    <t>Vitoria-Gasteiz station (Álava), at 100 Madrid-Hendaya railway line</t>
  </si>
  <si>
    <t>The accident was caused when the guard (on board) authorised the movement of the train without having checked all passengers had got on/off.</t>
  </si>
  <si>
    <t>IE-967</t>
  </si>
  <si>
    <t>Level crossing accident, 27/06/2010, XE039 on Limerick to Ennis line (Ireland)</t>
  </si>
  <si>
    <t>Person hit by oncoming train</t>
  </si>
  <si>
    <t>XE039 on Limerick to Ennis line</t>
  </si>
  <si>
    <t>The train arrived at XE039 as the Farmer was attempting to move the cow clear of the railway line</t>
  </si>
  <si>
    <t>The vegetation at XE039 may have affected the Farmer’s ability to see the train.</t>
  </si>
  <si>
    <t>CZ-947</t>
  </si>
  <si>
    <t>Train derailment, 28/06/2010, Station Usti nad Labem - obvod jih. Switch No.103/105, km 514,908 (Czech Republic)</t>
  </si>
  <si>
    <t>Three carriages of the regional passenger train No. 2316 (electrical unit) derailed on the switch when approaching Usti nad Labem station and hit concrete wall. The speed on the switch was exceeded about 67 km/h.</t>
  </si>
  <si>
    <t>Station Usti nad Labem - obvod jih. Switch No.103/105, km 514,908</t>
  </si>
  <si>
    <t>Train didn't reduce the speed according to an entry signal and was running across the switch at speed of 117 km/h instead of 50 km/h</t>
  </si>
  <si>
    <t>Incorrectly issued a certificate of medical qualification by the doctor_x000D_
None</t>
  </si>
  <si>
    <t>ES-988</t>
  </si>
  <si>
    <t>Spad, 29/06/2010, Sant Andreu Arenal station (Barcelona), 220 Lleida Pirineus-L´Hospitalet de Llobregat railway line (Spain)</t>
  </si>
  <si>
    <t>The empty stock (former commuter train 25122) being at the station, resume its march and overtook R3 signal (stated a stop aspect) causing a near miss train collision with train 25016, which was entering the station.</t>
  </si>
  <si>
    <t>Sant Andreu Arenal station (Barcelona), 220 Lleida Pirineus-L´Hospitalet de Llobregat railway line</t>
  </si>
  <si>
    <t>The incident had its origin when the empty stock overtook, without authorization, the backing signal (R3) - which stated a stop aspect - due to the non-compliance of the signal instructions by the  train driver</t>
  </si>
  <si>
    <t>IT-946</t>
  </si>
  <si>
    <t>Spad, 30/06/2010, Stations in the italian railway network (Italy)</t>
  </si>
  <si>
    <t>Series of incidents concerning SPADs</t>
  </si>
  <si>
    <t>Stations in the italian railway network</t>
  </si>
  <si>
    <t>Trenitalia; 
Rail Cargo Austria; 
OBB; 
Ferrovie Emilia Romagna srl</t>
  </si>
  <si>
    <t>IE-941</t>
  </si>
  <si>
    <t>Trains collision with an obstacle, 02/07/2010, Buttevant Level Crossing, Dublin to Cork mainline (Ireland)</t>
  </si>
  <si>
    <t>Track recording vehicle collided with wooden gates at Buttevant level crossing</t>
  </si>
  <si>
    <t>Buttevant Level Crossing, Dublin to Cork mainline</t>
  </si>
  <si>
    <t>The Gate Keeper was in the process of closing the level crossing gates across the railway line as the Track Recording Vehicle arrived at the level crossing.</t>
  </si>
  <si>
    <t>The Gate Keeper did not fully adhere to the operation instructions provided for the opening and closing of the level crossing gates</t>
  </si>
  <si>
    <t>BG-951</t>
  </si>
  <si>
    <t>Fire in RS, 7/3/2010, The inter-station section Ajtos - Bulgarovo, at 260 + 921 km. on road no. 1 (Bulgaria)</t>
  </si>
  <si>
    <t>At approximately 06:41 AM on 03.07.2010, while speeding up from Aitos towards Bulgarovo stations, the electrical multiple unit railcar (EMU) No 32-157/158 servicing the regional passenger train No. 802041 travelling from Karnobat to Burgas got fire in its third wagon. The train was stopped immediately,  the passengers were timely evacuated and the train staff started fighting the fire._x000D_
The fire was extinguished with the help of the town of Ajtos District service “Fire Safety and Rescue" at 07:30 AM. There were no casualties, but material damages caused to the RS only._x000D_
The train movement on Ajtos – Bulgarovo inter-station section was restored at 08:49 AM.</t>
  </si>
  <si>
    <t>The inter-station section Ajtos - Bulgarovo, at 260 + 921 km. on road no. 1</t>
  </si>
  <si>
    <t>The immediate technical cause of the accident - fire in the cupboard of the traction voltage rectifier and in the cupboard of the main control unit of train section No 32 - 157.0 / 32-357.4 of the EMU No 32 - 157/32 - 158 is a short circuit occurred in the power circuit in mode “movement” of EMU section 32-357.4 -157.0/32 immediately after the train departure from Aitos station.</t>
  </si>
  <si>
    <t>The root causes of the short circuit occurrence/accident are: _x000D_
    - Breakthrough of the avalanche valves in link VP1 of the traction rectifier of the EMU section 32-157.0/32-357.4, triggered by the main controller failure, which happened after the EMU release from the GPR (Gross periodic repair) repair carried out in Plovdiv Locomotive Depot ; _x000D_
    - Lapses in the control and work procedures carried out by the maintenance staff while repairing EMU section no 32-157.0/32-357.4 in Plovdiv Locomotive Depot .</t>
  </si>
  <si>
    <t>CZ-949</t>
  </si>
  <si>
    <t>Trains collision, 03/07/2010, Station Olomouc main station, switch No. 9, km 205,248 (Czech Republic)</t>
  </si>
  <si>
    <t>The freight train No. 53033 departed from a station. A shunting movement SPADed and collided with the freight train in Olomouc main station. Both trains derailed. Disruption of the main line was until 4. 7. 2010, 13:45. According to our national law it is serious accident.</t>
  </si>
  <si>
    <t>Station Olomouc main station, switch No. 9, km 205,248</t>
  </si>
  <si>
    <t>CD Cargo; 
Ceské dráhy</t>
  </si>
  <si>
    <t>engine driver of the shunting train didn't respect  stop signal</t>
  </si>
  <si>
    <t>Human factor - immediate situation</t>
  </si>
  <si>
    <t>DE-935</t>
  </si>
  <si>
    <t>Train derailment, 7/4/2010, Augsburg (Germany)</t>
  </si>
  <si>
    <t>Güterzug 49906 entgleist nach der Ausfahrt aus dem Bahnhof Augsburg Hbf mit 5 Kesselwagen. Es befand sich kein Gefahrgut im Zug. Wagen 10 ist umgestürzt und ragt ins Profil des Nachbargleises. Wagen 11 - 14 sind mit allen Achsen entgleist. 
Freight train 49906 derailed with 5 tank wagons after the exit of the station Augsburg Hbf. There were no dangerous goods on the train. Wagon 10 was overturned and protruded into the profile of the adjacent track. Wagons 11-14 derailed with all axles.</t>
  </si>
  <si>
    <t>Augsburg</t>
  </si>
  <si>
    <t>Anhand der vorliegenden Erkenntnisse ist davon auszugehen, dass sich der etwa zu 47 % mit Marmormehl beladene Kesselwagen beim Befahren der hintereinander liegenden Wei-chenverbindungen 254-257-456-457-557-559 aufschaukelte und dies zu kritischen Radent-lastungen führte. Darüber hinaus wirkten die im Drehgestell vorhandenen und festgestellten Schädigungen aufgrund fehlerhaft erstellter Schweißnähte zumindest begünstigend. 
Based on the present findings it can be assumed that the approximately 47% tank wagons loaded with marble powder when driving through the consecutive switches 254-257-456-457-557-559 and this led to critical loads. In addition, the existing and established damage in the bogie due to faulty welds had created at least favourable conditions.</t>
  </si>
  <si>
    <t>ES-989</t>
  </si>
  <si>
    <t>Spad, 05/07/2010, Móstoles-El Soto station (Madrid), 920 Móstoles El Soto-Parla railway line (Spain)</t>
  </si>
  <si>
    <t>The empty stock (former commuter train 27753) overtook the exit signal 1721, which stated stop aspect. This caused a near miss train collision with commuter train 19819 which was stopped at entrance signal 1702, which also stated a stop aspect.</t>
  </si>
  <si>
    <t>Móstoles-El Soto station (Madrid), 920 Móstoles El Soto-Parla railway line</t>
  </si>
  <si>
    <t>The driver didn´t comply with the indicatiion of the exit signal.</t>
  </si>
  <si>
    <t>DE-948</t>
  </si>
  <si>
    <t>Other, 2010-07-10, Bahnhof Bielefeld; Strecke Hannover - Hamm; (Germany)</t>
  </si>
  <si>
    <t>Im stark besetzten ICE 846 (Berlin - Köln) kam es auf Grund des Ausfalls der Klimaanlage bei extremen Außentemperaturen schon während der Fahrt zu einem Hitzestau. Mehrere Reisende kollabierten. 35 Reisen slightly injured. 
In a crowded ICE train number 846 (Berlin - Cologne), a failure of the air conditioning in extreme outer ambient temperatures during the journey resulted in a heat build-up in the train. Several people collapsed. 35 passengers slightly injured.</t>
  </si>
  <si>
    <t>Bahnhof Bielefeld; Strecke Hannover - Hamm;</t>
  </si>
  <si>
    <t>Der Auslöser des Ereignisses liegt in der Überlastung einer Vielzahl der Klimaanlagen in Verbindung mit der manuellen Abschaltung der Frischluftzufuhr und Luftumwälzung zum Reset der Anlage und nicht wieder notwendigen Einschaltung. 
The source of the event is the overloading of a variety of air conditioners, in conjunction with the manual switch off the fresh air supply and air circulation to reset the system and not re-activate it.</t>
  </si>
  <si>
    <t>ES-990</t>
  </si>
  <si>
    <t>Train derailment, 10/07/2010, Between Ugao Miraballes and LLodio stations (Álava), kilometre point 230,862, 700 Casetas- Intermodal Abando Indalecio Prieto railway line (Spain)</t>
  </si>
  <si>
    <t>Axles 11 and 12 (third car) of long distance train 436 derailed while train was running between Ugao Miraballes and Llodio stations. There were no victims.</t>
  </si>
  <si>
    <t>Between Ugao Miraballes and LLodio stations (Álava), kilometre point 230,862, 700 Casetas- Intermodal Abando Indalecio Prieto railway line</t>
  </si>
  <si>
    <t>The accident was caused by a technical failiure of rolling stock as the distance between the inner face of wheels was lost due to a wheel wobble of the left wheel of the first axle of the second bogie of the third car. this was caused by the breakage of the wheel´s bush.</t>
  </si>
  <si>
    <t>UK-968</t>
  </si>
  <si>
    <t>Trains collision with an obstacle, 10/07/2010, Lavington, Wiltshire (United Kingdom)</t>
  </si>
  <si>
    <t>A passenger train collided with a fallen tree at Lavington, on the line between Reading and Westbury. The train involved, 1C84, the 13:06 hrs service from London Paddington to Penzance, was travelling at about 90 mph (145 km/h) when it struck the tree.  The service was operated by First Great Western and was formed by a High Speed Train (HST) set that was conveying around 200 passengers and 4 train crew. _x000D_
_x000D_
The driver had little warning of the obstruction on the line and could take no action to avert the collision._x000D_
_x000D_
Despite major damage to the front cab due to a large branch entering its interior at the level of the windscreen, the driver sustained only minor injuries but was shocked by the event.  None of the other crew members or passengers were injured.</t>
  </si>
  <si>
    <t>Lavington, Wiltshire</t>
  </si>
  <si>
    <t>The line was obstructed by a fallen tree and the driver of train 1C84 had insufficient warning of the obstruction to enable him to stop his train before the collision occurred (paragraph 45).</t>
  </si>
  <si>
    <t>A causal factor was that the tree was in a dangerous condition but, as this had not been identified, no action had been taken to remove it before it fell (paragraph 47, no recommendation is made). A contributory factor was that the landowner was not conscious of the risk that trees on his land could present to the railway and had not arranged for their safety to be assessed (paragraph 50, Recommendation 2). An underlying factor was that Network Rail’s process for inspection of lineside trees was unlikely to have identified the condition of this tree. Network Rail cannot effectively inspect such trees without entering its neighbours’ land and cannot enter its neighbours’ land without their permission (paragraph 54, Recommendation 1).</t>
  </si>
  <si>
    <t>HU-1005</t>
  </si>
  <si>
    <t>Train derailment, 11/07/2010, Line 17: Bucsuszentlaszlo station (Hungary)</t>
  </si>
  <si>
    <t>On the 11th of July 2010 at Bucsuszentlászló station, the last wagon of a freight train derailed on the way out of the 3rd platform of the station. The derailed wagon felt over blockaded the track. The train driver put on the fast brake as he recognised the event. The train splitted after the braking movement.</t>
  </si>
  <si>
    <t>Line 17: Bucsuszentlaszlo station</t>
  </si>
  <si>
    <t>PL-957</t>
  </si>
  <si>
    <t>Trains collision, 13/07/2010, Line No 405 section Kepice - Korzybie; km point: 151,835; single track, non-electrified line (Poland)</t>
  </si>
  <si>
    <t>On 13.July 2010 the train No 89522 going in relation Slupsk - Szczecinek consisted of 1 diesel locomotive type SU42 and 2 passenger double-deck coaches type Bhp moved from the station Korzybie in the direction of Kepice. In the same time on the same track the train No 89523 was going in the oposite direction on the same track to the station Korzybie. On the open line next to the station of Korzybie two a/m trains collided face to face. After the accident the railway traffic was stoped for 16 hours.</t>
  </si>
  <si>
    <t>Line No 405 section Kepice - Korzybie; km point: 151,835; single track, non-electrified line</t>
  </si>
  <si>
    <t>Activating the train No. 89522 and leaving the track No. 2 of the station Korzybie  and  driving  in the line track on the section  Kepice - Korzybie  without the required permission, what is incomplied with the Regulation of the railway traffic on the section Szczecinek – Korzybie and Instruction Ir1 which lead of the to the collision on this route with train No. 89523 going from the station Kepice toward the station Korzybie (on the basis of the order of driving to the station Korzybie for the purpose of the crossing with the train No. 89522)</t>
  </si>
  <si>
    <t>1) Not obtainment of the order from the section traffic master of the station Miastko by the driver on the leaving the station Korzybie 2) Inefficient devices of the radiocommunication Kapsch in the engine of the train No. 89522, 3)Lack of the base station of the system Kapsch of the frequency 450 MHz in the station Korzybie for the assurance of the range of the cordless communication and the inefficient train communication of the frequency 150 MHz (the lack of range) 4) Leaving the station Szczecinek by the train No. 89523 toward the station Slupsk should not have been made because of the lack of radiotelephony communication 450 MHz (Kapsch) devices and the emergency portable cord telephone on the engine what was not in agreement with the paragraph 8 point 1 of the Annex 1 to the Regulation of the railway traffic on the section Szczecinek – Korzybie. 5) Leaving the station Slupsk by the train No. 89522 on the section being under supervision of the station Miastko should not have been made because the engine leading the train No. 89523 on the section of Szczecinek - Slupsk was not equipped with devices of radiocommunication 450 MHz (Kapsch) nor the emergency portable cord telephone what was not in agreement with the paragraph 8 point 1 of the Annex 1 to the Regulation of the railway traffic on the section Szczecinek – Korzybie. 6) The lack of the emergency portable cord telephone in the engine of the train No. 89523. 7) Improper, incompatible with the official time-table the series of engines used to the leading of trains No. 89522 and 89523 (SU42 instead of SU45), what caused the insufficient visibility of the track by both drivers. 8) The usage of cellular phones by drivers of the trains No 89522, 89523 and the section traffic master in Miastko, what was incompatible with the Regulation of the railway traffic on the section Szczecinek – Korzybie. 9) Conducting the trains No 89522 and with 89523 by one person of traction staff with the driver’s seat on left hand not adopted to the backside drive of the locomotive  with visibility limited by the generator of the train heating, causing the late reaction of the driver on the avoidance of the collision or the limitation of results of the collision. 10) Allocation by the railway carrier of the engine series SU42 to the service of the train No  89523 without equipment required with regulations of the i.e. radiotelephone Kapsch and emergency portable cord telephone what made impossible the safe service of the train on the section of Szczecinek - Slupsk (the lack of the conformity with requirements of the Regulation of the railway traffic on the section Szczecinek – Korzybie). 11) The use of the train radiocommunication applying improper forms of radiograms incompatible with the Regulation. 12) Realizing of train service by the persons leading engine railway-vehicles despite irregularities threatening to the safety of the railway traffic, what was not in agreement of the Order of the Minister of the Infrastructure from the 18.July 2005 in the matter of general conditions of the leading of the railway traffic and the signaling. 13) Improper realizing of controlling task by the staff  of the railway carrier and the infrastructure manager responsible for inspection and supervision under meeting the regulations by the workers realizing transports on this section. 14) Conducting of the railway traffic using the cellular communication, what was tolerated by the supervision and the inspection staff of the railway carrier and the infrastructure manager._x000D_
1) Conducting the train by one person of traction staff without calling of train manager on the locomotive board despite the lack of the constant range of the train radiocommunication of the frequency 150 MHz, what was incompatible with par. 21 point 8 of</t>
  </si>
  <si>
    <t>ES-991</t>
  </si>
  <si>
    <t>Train derailment, 14/07/2010, Between Ribadeo and Vegadeo stations (Lugo), kilometre point 148,845, 11 Ferrol - Gijón railway line; line section 10 Ferrol-Pravia (Spain)</t>
  </si>
  <si>
    <t>Freight train 9121 stopped at kilometre point 148,978 because of the derailment of one of the two locomotives and the first 10 container platform wagons, loaded with wood.</t>
  </si>
  <si>
    <t>Between Ribadeo and Vegadeo stations (Lugo), kilometre point 148,845, 11 Ferrol - Gijón railway line; line section 10 Ferrol-Pravia</t>
  </si>
  <si>
    <t>The speed limit of the line section (where the accident took place) is wrongly established.</t>
  </si>
  <si>
    <t>HU-1006</t>
  </si>
  <si>
    <t>Level crossing accident, 14/07/2010, 142 line: Örkeny station (Hungary)</t>
  </si>
  <si>
    <t>On the 14th of July 2010, there was an accident which happened at Örkény station. It was a collision between a car and a train at the level crossing Nr SR2 with well operating flashing lights in which two person of the car were seriously injured and one get light injuries.</t>
  </si>
  <si>
    <t>142 line: Örkeny station</t>
  </si>
  <si>
    <t>SI-958</t>
  </si>
  <si>
    <t>Level crossing accident, 14/07/2010, Between station StraÅ¾a and Novo mesto in km 4+236. (Slovenia)</t>
  </si>
  <si>
    <t>On level crossing marked with road signals a freight train 56367 crashed into a car. The car was hit on his right side. Car driver is overlooked the train. One passanger was killed, the driver seriously injured.</t>
  </si>
  <si>
    <t>Between station StraÅ¾a and Novo mesto in km 4+236.</t>
  </si>
  <si>
    <t>ES-992</t>
  </si>
  <si>
    <t>Spad, 16/07/2010, Rio Duero interchange point station (Valladolid), kilometre point 167,867, 80 Madrid Chamartín -Valladolid Campo Grande railway line (Spain)</t>
  </si>
  <si>
    <t>Long distance train 4141 overtook home signal E1 (stop aspect) causing a near miss train collision with long distance train 8168 that was running at track 2.</t>
  </si>
  <si>
    <t>Rio Duero interchange point station (Valladolid), kilometre point 167,867, 80 Madrid Chamartín -Valladolid Campo Grande railway line</t>
  </si>
  <si>
    <t>The incident had its origin when the train overtook, without authorization, the home signal (E1) - which stated a stop aspect - due to the non-compliance of the signal instructions by the train driver.</t>
  </si>
  <si>
    <t>HU-1007</t>
  </si>
  <si>
    <t>Level crossing accident, 16/07/2010, Line 18: Between Szombathely and Koszeg stations (Hungary)</t>
  </si>
  <si>
    <t>On the 16th of July 2010, there was an accident which happened between Szombathely and Koszeg station. It was a collision between a car and a train at the level crossing Nr SR2 with well operating flashing lights. The driver of the car was seriously injured.</t>
  </si>
  <si>
    <t>Line 18: Between Szombathely and Koszeg stations</t>
  </si>
  <si>
    <t>HU-1008</t>
  </si>
  <si>
    <t>Level crossing accident, 16/07/2010, Line 89: Between Nyekladhaza and Hejokeresztur stations (Hungary)</t>
  </si>
  <si>
    <t>On the 16th of July 2010, there was an accident which happened between Nyékládháza and Hejokeresztúr station on the line No. 88. It was a collision between a car and a train at the level crossing Nr AS13 with well operating flashing lights in which a car driver died and his passenger sitting on the first right position suffered minor injuries.</t>
  </si>
  <si>
    <t>Line 89: Between Nyekladhaza and Hejokeresztur stations</t>
  </si>
  <si>
    <t>PT-962</t>
  </si>
  <si>
    <t>Train derailment, 16/07/2010, Site of Valega, Km 297.200 of the main line Lisbon to Porto, between stations of Ovar and Estarreja (Portugal)</t>
  </si>
  <si>
    <t>Derailment of eleven wagons of a freight train in plain line</t>
  </si>
  <si>
    <t>Válega station</t>
  </si>
  <si>
    <t>CP Carga - Logística e Transportes Ferroviários de Mercadorias</t>
  </si>
  <si>
    <t>€ 439 123,78</t>
  </si>
  <si>
    <t>Significant damage to the rolling stock. Destruction of track and catenary along about 250 metres</t>
  </si>
  <si>
    <t>RO-959</t>
  </si>
  <si>
    <t>Train derailment, 18/07/2010, Aiud railway station belongs to Brasov Railway County on the center of Romanian Railway Network (Romania)</t>
  </si>
  <si>
    <t>The second bogie of the 19th wagon (loaded with tube) from the freight train no. 60133-2 derailed on the switch no. 6 in Aiud railway station.</t>
  </si>
  <si>
    <t>Aiud railway station belongs to Brasov Railway County on the center of Romanian Railway Network</t>
  </si>
  <si>
    <t>GRUP TRANSPORT FEROVIAR</t>
  </si>
  <si>
    <t>The displacement of the tyre of the wheel no. 6 on the  wheel rim, it leading to the derailment of the pair of wheels corresponding to the wheels no. 5-6 of the wagon no. 84535451255-8.</t>
  </si>
  <si>
    <t>The lack of compliance with the specific regulations in force on the technical inspection performance in the railway station Campia Turzii, as one stipulated in the Working  Timetable for the running of the freight trains 2010._x000D_
The railway undertaking did not meet with the legal requirements on the use in the technical inspection (composition and tranzit) of the railway critical services, that comply with the compulsory specific regulations on the technical authorization by AFER</t>
  </si>
  <si>
    <t>HU-1009</t>
  </si>
  <si>
    <t>Other, 19/07/2010, Line 40: Pecs station (Hungary)</t>
  </si>
  <si>
    <t>On the 19th of July 2010, there was a collision between a stationary train occupied by passengers and a locomotive which was running even to the train. The speed of the locomotive was about 10-15 km/h. Two of the passengers suffered minor injuries.</t>
  </si>
  <si>
    <t>Line 40: Pecs station</t>
  </si>
  <si>
    <t>MÁV-START Zrt.; 
MÁV-TRAKCIÓ Zrt.</t>
  </si>
  <si>
    <t>UK-960</t>
  </si>
  <si>
    <t>Trains collision, 20/07/2010, Raigmore, Inverness. (United Kingdom)</t>
  </si>
  <si>
    <t>A road-rail excavator ran away and subsequently collided with a stationary freight train near Raigmore, Inverness. The accident occurred at about 23:30 hrs on 20 July 2010. _x000D_
The excavator was due to work during the night moving track materials while the railway was closed to normal traffic. In preparation for this it was placed on the railway at an access point near Drumrosach Farm. During the process of placing it onto the track, the excavator, with its operator on board, ran away towards Inverness, down a gradient of approximately 1 in 60. It ran past a signal at danger, travelled out of the area of the line that had been closed for engineering work, and then, about three-quarters of a mile from where it had started, collided with the rear of a freight train that was standing at a signal on the approach to Welsh’s Bridge Junction, Inverness._x000D_
_x000D_
In the collision, the machine operator was thrown out of the cab of the excavator and sustained serious injuries.</t>
  </si>
  <si>
    <t>Raigmore, Inverness.</t>
  </si>
  <si>
    <t>Hydrex</t>
  </si>
  <si>
    <t>The immediate cause of the accident was that the road-rail vehicle ran away from the RRAP in an unbraked condition on a downhill gradient (paragraph 102).</t>
  </si>
  <si>
    <t>The causal factors were: a. the RRV was placed into an unbraked condition. This is likely to have been as a result of a combination of operator actions and a single point failure of the control system (paragraph 105, Recommendation 1); b.  the machine operator carried out a number of actions, following which the machine was on the track in an unbraked condition (paragraph 164, no recommendation, paragraph 213); c.the machine operator was unable to raise the rail axles/wheels at either end of the RRV to lower the machine down onto its road wheels, or lower the rail axles to engage with the road wheels (to slow, derail or stop it) (paragraph 152, Recommendation 1); and d. the machine operator was unsuccessful in using the clam shell bucket (attached to the RRV boom and dipper arm) to slow, derail or stop the RRV (paragraph 177, no recommendation). It is possible that the following factors were causal: a. the design of the human-machine interface, particularly the labelling of the axle selection buttons on the rail (ZW) control panel, had the potential to confuse the machine operator (paragraph 146, Recommendation 2); and b.if the machine controller had been at the RRAP when the RRV began to on-track, he may have noticed that one end of the RRV was not in squash (before the operator was able to operate the rail axle at the other end) (paragraph 168, Recommendation 4). An underlying factor was that the design process and approvals process of the RRV did not identify the potential for the single point failure mode or the potential for the RRV rail axles to become ‘locked’ in the free-wheel state (paragraph 184, Recommendation 3).</t>
  </si>
  <si>
    <t>NL-1000</t>
  </si>
  <si>
    <t>Trains collision with an obstacle, 25/07/2010, Stavoren (The Netherlands)</t>
  </si>
  <si>
    <t>The train was on its way to Stavoren station (end of line), from where it was supposed to start to carry out track work on its way back. The train was not brought to a stop before the end of line, overran the buffer stops, ran through a shop and came to a standstill on the street. There were no serious injuries or casualties.</t>
  </si>
  <si>
    <t>Stavoren</t>
  </si>
  <si>
    <t>BAM Rail</t>
  </si>
  <si>
    <t>DE-963</t>
  </si>
  <si>
    <t>Train derailment, 26/07/2010, Bahnhof Falkenberg; Weiche W 214a (Germany)</t>
  </si>
  <si>
    <t>Bei der Durchfahrt des Güterzuges DBV 88665 im Bahnhof Falkenberg entgleisen in der Weiche 214a die letzten beiden leeren Güterwagen. // When the freight train DBV 88665 was passing by the Falkenberg station, the last two empty wagons derailed in the switch 214a. 
With the passage of the freight train DBV 88665 in Falkenberg derail the train station in the switch 214a, the last two empty freight cars. / / When the freight train passing by the DBV 88665 what Falkenberg station, load the two empty wagons derailed at the switch 214a.</t>
  </si>
  <si>
    <t>Bahnhof Falkenberg; Weiche W 214a</t>
  </si>
  <si>
    <t>BBL Logistik GmbH</t>
  </si>
  <si>
    <t>Ursächlich war ein loser Radreifen am Güterwagen 23 84 6437 389-9 
This was due to a loose wheel tire on a wagon 23 84 6437 389-9</t>
  </si>
  <si>
    <t>FR-983</t>
  </si>
  <si>
    <t>Train derailment, 29/07/2010, Bully-Grenay station; track n°2 (France)</t>
  </si>
  <si>
    <t>Brake failure on one wagon; blocked axles; wheels flats 25cm._x000D_
The concerned wagon derails on a switch in the station. 19 following wagons derail also.</t>
  </si>
  <si>
    <t>Bully-Grenay station; track n°2</t>
  </si>
  <si>
    <t>Failure of the brake distributor; blocked axles; failure not detected by trackside detectors</t>
  </si>
  <si>
    <t>Axcess of glue left in the distributor during revision; poor quality management system in maintenance workshop_x000D_
Lack of compulsory european certification of maintenance workshops</t>
  </si>
  <si>
    <t>RO-965</t>
  </si>
  <si>
    <t>Train derailment, 29/07/2010, Palas railway station belongs to Constanta Railway County in the south east of Romanian Railway network (Romania)</t>
  </si>
  <si>
    <t>The 21th and the 22th wagons (loaded with containers) from the freight trein no.93590 derrailled over the switches no. 85/77 in Palas railway station.</t>
  </si>
  <si>
    <t>Palas railway station belongs to Constanta Railway County in the south east of Romanian Railway network</t>
  </si>
  <si>
    <t>The direct cause of the accident is the derailment of the first axle of the second bogie from the wagon no. 31534542088-1 (the 21st of the freight train  no. 93590) on the switch no. 85 from the  double slip points no. 77/85, because of lack of fastening of the goods in the container no. CLHU 28395-5, it leading to a load transfer on the bogie wheels, by the loading of  the left wheels and the downloading  with the same laod of the right wheels in the running direction. The container no. CLHU 28395-5 was loaded with ceramics plates and situated on the end of the wagong, corresponding to the second bogie in the running direction. Contributing factors were:•	lack of fastening of the goods against the cross diplacement in the container  no. CLNU 28395-5, loaded on the end of the wagon, corresponding to the second bogie in the running direction; •exceeding of the wagon loading limit at the letter C of the frame ABC, corresponding to the wagon running on the lines type C and speed class S.</t>
  </si>
  <si>
    <t>The underlying cause of this accident is the lack of goods fastening in the container.</t>
  </si>
  <si>
    <t>RO-966</t>
  </si>
  <si>
    <t>Train derailment, 02/08/2010, Open line Peciul Nou- Cruceni belongs to uninteroperable line Timisoara Vest - Cruceni -infrastructure manager - SC RC - CF TRANS SRL, on the west of the Romanian Railway Network. (Romania)</t>
  </si>
  <si>
    <t>The first axle of the passenger motor driven no. AMX 566-6 belonging to SC REGIOTRANS SRL derailled in open line.</t>
  </si>
  <si>
    <t>Open line Peciul Nou- Cruceni belongs to uninteroperable line Timisoara Vest - Cruceni -infrastructure manager - SC RC - CF TRANS SRL, on the west of the Romanian Railway Network.</t>
  </si>
  <si>
    <t>S.C. REGIOTRANS S.R.L.</t>
  </si>
  <si>
    <t>The direct cause of the accident occurence consists of dicreasing the distance between inside faces and the parallelism modification of the wheel rims of the two wheels of axle no.4, causing the fall of the right wheel, in the running direction, between the stretch of rails. This occur due to the non-observance of the assembly technology on insurance the tightening between the cast wheel boss left side and axle center wheel–seat, which in time led to quotas incrase of the conic bore of the wheel boss with approximately 3-4 mm due to frictions arising from the relative displacement of the two surfaces. Contributing factor to the accident was the fact that there were no visible markings with paint capable to detect the relative displacement of the wheel boss against axle center, fact that could be noticed by the service personnel before the appearance of the abnormal wears and the axial movement of the wheel.</t>
  </si>
  <si>
    <t>Repairs to the passenger motor drivens type X 4500 and trailer vehicles type XR 8300 wheelsets were performed by the SC KRON - TRIEM SRL personnel, the railway technical agreement hadn’t a documentation and specific technological equipment for replacing the axles and wheels._x000D_
Execution of repairs at the axles put on in working points for which the railway technical agreements are not obtained according to OMT 290/2000.</t>
  </si>
  <si>
    <t>DE-964</t>
  </si>
  <si>
    <t>Trains collision, 07/08/2010, Bahnhof Geldern; Gleis 1 (Germany)</t>
  </si>
  <si>
    <t>Bauzug 92744 prallte bei der Einfahrt nach Gleis 1 mit einer Geschwindigkeit von 54 km/h auf 10 dort abgestellte Verbrennungstriebwagen (VT). // Construction train 92744 collided with a speed of 54 km/h during the entry to track 1 with 10 diesel railcars (VT) parked there.</t>
  </si>
  <si>
    <t>Bahnhof Geldern; Gleis 1</t>
  </si>
  <si>
    <t>DB Netz AG; 
DB Fahrwegdienste GmbH; 
NordWestBahn GmbH</t>
  </si>
  <si>
    <t>unzulässige Einfahrt des Bauzuges in das mit Fahrzeugen besetzte Gleis 1 // unauthorized entry of the construction train into track 1 occupied by rail vehicles</t>
  </si>
  <si>
    <t>ES-1037</t>
  </si>
  <si>
    <t>Level crossing accident, 09/08/2010, Level crossing, type A, kilometre point 489,795, at Cabezón de la Sal (Cantabria), 1021 Oviedo-Santander railway line (Spain)</t>
  </si>
  <si>
    <t>A motor mower was hit by a passenger train when failed to stop at the stop signal. As a result the driver died.</t>
  </si>
  <si>
    <t>Level crossing, type A, kilometre point 489,795, at Cabezón de la Sal (Cantabria), 1021 Oviedo-Santander railway line</t>
  </si>
  <si>
    <t>The victim invaded the rail gauge meanwhile the train was coming</t>
  </si>
  <si>
    <t>RO-969</t>
  </si>
  <si>
    <t>Trains collision, 11/08/2010, Curtici railway station belongs to Timisoara Railway County on the west of Romanian Railway Network. (Romania)</t>
  </si>
  <si>
    <t>The freight train no. 39915 (belonging to RU - SC Logistic Services SRL) collided with electric locomotive no. EA 40 167-3 (belonging to RU - Train Hungary Maganvasut KFT) over the switches no. 19/23 in Curtici railway station. After collision the electric locomotive of the freight train no. 39915 (EA 91 53 0 478 001-7) derrailled. The freight train no. 39915 had entry journey route to line no. 11A and the electric locomotive no. EA 40 167-3 passed the shunting signal no. M7A (with blue light).</t>
  </si>
  <si>
    <t>Curtici railway station belongs to Timisoara Railway County on the west of Romanian Railway Network.</t>
  </si>
  <si>
    <t>DB SCHENKER RAIL ROMÂNIA; 
Train Hungary Maganvasut KFT</t>
  </si>
  <si>
    <t>The direct cause of the accident is the passing of the shunting signal M 7A, with the position „STOP without passing the signal in the shunting”, without the meeting with the provisions of the specific regulations by the locomotive EA 40 0167-3, followed by the collision with the freight train no. 39915, that entered the station on the line 11A.The passing of the shunting signal M 7A with the position „STOP without passing the signal in the shunting”, by the locomotive EA 40 167-3 without the meeting with the provisions of the specific regulations, is due to a human mistake.</t>
  </si>
  <si>
    <t>Lack of communication between the movements inspector from the railway station Cusrtici and the driver, because the locomotive EA 40 0167-3 had no radio station set on the shunting frequence of the railway station Curtici and the driver of the railway undertaking Train Hungary did not speak Romanian, according to the art. 5, paragraph (1) from the „Agreement” between Romanian ang Hungarian Governments concerning the railway traffic on the border, concluded on the 12th of March 1997._x000D_
The regulation framework between the railways CFR and MAV is not in accordance with the provisions of the national legislation and community directives in force. Lack of the safety certification part B, granted by Romanian Railway Safety Authority, that c</t>
  </si>
  <si>
    <t>HU-1010</t>
  </si>
  <si>
    <t>Level crossing accident, 12/08/2010, Line 10: Between Papa and Vaszar statinos (Hungary)</t>
  </si>
  <si>
    <t>On the 12th of August 2010, there was a level crossing accident which happened between Vaszar and Pápa station on the line No. 10. It was a collision between a motorcycle and a train at the level crossing Nr AS386 with well operating flashing lights in which a motor-cyclist died at the site of the occurence.</t>
  </si>
  <si>
    <t>Line 10: Between Papa and Vaszar statinos</t>
  </si>
  <si>
    <t>CZ-981</t>
  </si>
  <si>
    <t>Level crossing accident, 13/08/2010, Siding: FOSFA, a. s. (station Bori les), main line Breclav - Znojmo. Passive level crossing in km 0.588 (double track level crossing) (Czech Republic)</t>
  </si>
  <si>
    <t>Collision of shunting movement (locomotive + 1 wagon) with a lorry at level crossing</t>
  </si>
  <si>
    <t>Siding: FOSFA, a. s. (station Bori les), main line Breclav - Znojmo. Passive level crossing in km 0.588 (double track level crossing)</t>
  </si>
  <si>
    <t>Advanced World Transport a.s.</t>
  </si>
  <si>
    <t>PKP CARGO INTERNATIONAL a. s.</t>
  </si>
  <si>
    <t>Way how the lorry and shunting railway vehicles approached the level crossing. / Contributory factor: driver of lorry didn't respect a traffic sign: “Do not enter, one way!”</t>
  </si>
  <si>
    <t>incompability of maximal line speed allowed and visibility condition  of the level crossing in terms of railway and road safety_x000D_
none</t>
  </si>
  <si>
    <t>UK-970</t>
  </si>
  <si>
    <t>Other, 13/08/2010, Between Highgate and Warren Street stations on the Northern Line on London Underground (LUL) (United Kingdom)</t>
  </si>
  <si>
    <t>The train consisted of a self-propelled diesel-powered unit designed for re-profiling worn rails. It had been working between Highgate and Archway stations on the southbound line during the night of 12/13 August. At the end of grinding operations that night, the crew of the unit found that they were unable to restart its engine to travel away from the site of work. An assisting train, consisting of a six-car train of the 1995 stock used for passenger services on the Northern line, was sent to the rescue of the grinding unit. The assisting train was coupled to the grinding unit by means of an emergency coupling device, and the braking system of the grinding unit was de-activated to allow it to be towed. The combined trains then set out to run to East Finchley station. At about 06:44 hrs, after passing through Highgate station, the coupling device failed and the grinding unit began to run back down the gradient towards central London. The crew of the grinding unit, who had no means of re-applying the brake, jumped off the unit as it passed through Highgate station. It then ran unattended for about four miles, passing through a further six stations, and came to rest near Warren Street station about thirteen minutes later. LUL control room staff took action to clear trains away from the path of the runaway unit.</t>
  </si>
  <si>
    <t>Between Highgate and Warren Street stations on the Northern Line on London Underground (LUL)</t>
  </si>
  <si>
    <t>The immediate cause of the incident was the absence of operational brakes on a vehicle which became detached when an emergency coupler broke (paragraph 64).</t>
  </si>
  <si>
    <t>The causal factors were: the RGU braking system was inoperative, and there was no alternative mitigation against a runaway, when being recovered (paragraph 67, Recommendation 5); the design and documentation for the recovery procedure were inadequate (paragraph 79, Recommendations 1, 2 and 5); the emergency coupler was broken by loads caused by an emergency brake application (paragraph 109, Recommendation 4); the emergency coupler broke due to overstressing of a tow bar (paragraph 117, Recommendations 1 and 2); inadequacies in the specification, design, checking and approval process for the emergency coupler meant that it fractured due to an unexpected deflection (paragraph 132, Recommendations 1 and 2); and acceptance testing of the emergency coupler was undertaken using an inappropriate locomotive so did not reveal the defective coupling performance (paragraph 155, Recommendations 1 and 2). A contributory factor was the inadequate investigation of the July 2010 incident which did not detect the unacceptable emergency coupler behaviour (paragraph 164, Recommendation 3). A possible causal factor was that the ERU staff at the breakdown site did not query the recovery procedure when they learnt that the RGU had to be recovered as an unbraked vehicle (paragraph 101, Recommendation 4). A contributory factor was the minimal briefing about the emergency recovery procedure; and, the absence of any training, or practicing, of this procedure. These shortcomings meant that there was little opportunity to discover the defective coupling and lack of mitigation against a runaway (paragraph 176, Recommendations 4). The underlying factors were: inadequate specification of technical requirements (paragraph 182, Recommendations 1, 2 and 5); inadequate input from mechanical (rolling stock) engineers and other appropriately skilled staff (paragraph 185, Recommendations 1 and 2); and unclear responsibility for planning and implementation of emergency recovery procedures (paragraph 188; Recommendation 4).</t>
  </si>
  <si>
    <t>DE-971</t>
  </si>
  <si>
    <t>Trains collision with an obstacle, 2010-08-17, Lambrecht (Pfalz)- Neustadt (Weinstraße); Strecke 3280; in km 71,6 (Germany)</t>
  </si>
  <si>
    <t>ICE 9556 auf der Fahrt von Frankfurt nach Paris prall zwischen Lambrecht und Neustadt (Weinstr.) auf ein im Profil liegendes Müllfahrzeug. Das Müllfahrzeug rutschte eine Böschung herab direkt in den Gleisbereich. 
The Frankfurt to Paris ICE train 9556 hit a garbage truck fallen within the gauge of the train between Lambrecht and Neustadt (Weinstr.). The garbage truck had slid down a slope directly into the track area.</t>
  </si>
  <si>
    <t>Lambrecht (Pfalz)- Neustadt (Weinstraße); Strecke 3280; in km 71,6</t>
  </si>
  <si>
    <t>Ein Müllfahrzeug kam von der Straße ab und stürzte die Böschung hinunter und bleib auf dem Streckengleis liegen. 
A garbage truck went off the road, crashed down the slope and remained lying on the main track.</t>
  </si>
  <si>
    <t>ES-1038</t>
  </si>
  <si>
    <t>Spad, 17/08/2010, Ponferrada station (León), exit signal S2/4, kilometre point 250,553, 800 A Coruña-León railway line (Spain)</t>
  </si>
  <si>
    <t>Freight train 82214 overtook exit signal (stop aspect) but ASFA system worked making the train to stop. As a result, freight train 82214 forced open point nº1 and a near miss train collision with train LK289 was caused.</t>
  </si>
  <si>
    <t>Ponferrada station (León), exit signal S2/4, kilometre point 250,553, 800 A Coruña-León railway line</t>
  </si>
  <si>
    <t>The incident had its origin when the train overtook, without authorization, the exit signal (S2/4) - which stated a stop aspect - due to the non-compliance of the signal instructions by the train driver.</t>
  </si>
  <si>
    <t>HU-1011</t>
  </si>
  <si>
    <t>Level crossing accident, 17/08/2010, Line 130: Between Szentes and Szegvar stations (Hungary)</t>
  </si>
  <si>
    <t>On the 17th of August 2010, there was an accident which happened between Szentes and Szegvár station on the line. It was a collision between a cyclist and a train at a pedestrian  level crossing with barrier. The cyclist wanted to pull the bike accross the line but it stuck into the rails. While he was trying to escape the bike, the train hit them out of the track.  As a result of the collision the cyclist died at the site of the occurence.</t>
  </si>
  <si>
    <t>Line 130: Between Szentes and Szegvar stations</t>
  </si>
  <si>
    <t>UK-1002</t>
  </si>
  <si>
    <t>Other, 17/08/2010, Shap, Cumbria (United Kingdom)</t>
  </si>
  <si>
    <t>Around two miles from Shap summit, freight train 4S25, the 21:32 hrs northbound container service from Hams Hall to Mossend Up Yard, began rolling backwards. The train continued to roll back down a gradient of around 1 in 75 for nearly 4 minutes, covering 2.1 miles (3.4 km) and reaching a speed of around 50 mph (80 km/h)._x000D_
_x000D_
The signaller became aware that the train was rolling backwards from indications provided by the signalling system.  He responded by arranging for the transmission of an emergency radio message to the train’s driver and setting a route into sidings at Tebay to divert the train clear of the running line. There were no other trains closely following the freight train at this time.  _x000D_
_x000D_
The driver realised that his train was moving backwards, applied the brake and brought the train safely to a stand more than a mile north of Tebay and before the rear of the train had reached the sidings. The train comprised a class 92 locomotive and 13 twin-container wagons with a total length of 498 metres and a trailing load of 663 tonnes.</t>
  </si>
  <si>
    <t>Shap, Cumbria</t>
  </si>
  <si>
    <t>The immediate cause of the incident was that the driver did not demand enough power for the train to climb the gradient and then did not apply the brakes to stop it from running back (paragraph 30). The causal factor was that the driver was not sufficiently alert at the time of the incident because he was probably fatigued, his journey was monotonous, he was in a dark and comfortable environment and he had little in his field of view to attract his attention (paragraph 33, Recommendation 1).  The underlying factors were the scores predicted by the Fatigue and Risk Index (paragraph 43a, Recommendations 1, 2 and 3) and the nature of the rail industry guidance on using mathematical models (paragraph 43b, Recommendations 2 and 3).</t>
  </si>
  <si>
    <t>UK-972</t>
  </si>
  <si>
    <t>Level crossing accident, 17/08/2010, Sudbury, Suffolk (United Kingdom)</t>
  </si>
  <si>
    <t>Train 2T27, the 17:31 hrs service from Sudbury to Marks Tey, struck the trailer of a loaded articulated tanker lorry on the Sewage Works Lane level crossing, 1.5 miles south of Sudbury, causing the leading carriage of the two-car class 156 diesel multiple unit to derail. _x000D_
_x000D_
There were about 19 passengers on the train and two crew members (driver and conductor).  It is reported that all persons on the train received injuries as a consequence of the impact with one passenger sustaining critical injuries.</t>
  </si>
  <si>
    <t>The immediate cause of the accident was that the tanker driver drove onto Sewage Works Lane User Worked Crossing when it was not safe to do so (paragraph 40).</t>
  </si>
  <si>
    <t>The causal factors were: a. the tanker driver did not use the telephone before crossing the line, although it was a requirement to do so (paragraph 41); and b. the tanker driver did not see (and may not have looked for) the train as he approached the crossing (paragraph 87). The following factors were possibly causal: a. the tanker driver may have been preoccupied with non-work related matters as he approached and crossed Sewage Works Lane UWC, resulting in a lack of focus on the safe method of crossing the railway (paragraph 65); and b. Anglian Water did not brief its contractors (including JK Environmental) on how their staff could use Sewage Works Lane UWC safely (paragraph 68, see paragraphs 202 and 203 for details of actions taken by Anglian Water and JK Environmental and Recommendation 1). The underlying factors were: a. the long waiting times that road vehicle drivers sometimes experienced before being given permission to use Sewage Works Lane UWC led to a high level of non-compliance with the correct procedures for using the crossing (paragraph 53, Recommendation 2); b. Network Rail’s processes for identifying misuse at user worked crossings were not effective in establishing the actual level of misuse at Sewage Works Lane UWC (paragraph 93, Recommendation 3); c. Network Rail’s procedures for responding to incidents involving near-misses and misuse at user worked crossings were unclear and resulted in a lack of engagement with Anglian Water over the history of such incidents at Sewage Works Lane UWC (paragraph 97, Recommendation 3); d. it is probable that Network Rail did not comply with its own procedures for engaging with authorised users in the periodic risk assessment undertaken in June 2007 at Sewage Works Lane UWC (paragraph 124); e. the gathering of data as an input to the risk assessment process for Sewage Works Lane UWC was characterised by errors and omissions in the information recorded and the predictable risk arising from the long waiting times for road vehicles at the crossing was not taken into account (paragraph 130, Recommendations 4 and 5); f. the amount of time devoted to analysing the results from the risk assessment for Sewage Works Lane UWC and considering possible risk mitigation measures was limited (paragraph 145, Recommendations 4 and 5); and g. no single person or team in Network Rail had a complete understanding of the risk at Sewage Works Lane UWC (paragraph 159, Recommendation 5).</t>
  </si>
  <si>
    <t>ES-1039</t>
  </si>
  <si>
    <t>Level crossing accident, 18/08/2010, Level crossing, type B, kilometre point 8,759, at 422 Bif. Utrera-Fuente Piedra railway line, between Utrera and Sorbito stations (Sevilla). (Spain)</t>
  </si>
  <si>
    <t>A road vehicle crossed the level crossing despite that there was warning of the coming train. As a result, the vehicle was hit by the passenger train 13926, killing the car´s driver.</t>
  </si>
  <si>
    <t>Level crossing, type B, kilometre point 8,759, at 422 Bif. Utrera-Fuente Piedra railway line, between Utrera and Sorbito stations (Sevilla).</t>
  </si>
  <si>
    <t>The victim crossed the level crossing while the barriers were lowered and the flashing lights and warning bell were working.</t>
  </si>
  <si>
    <t>PL-975</t>
  </si>
  <si>
    <t>Train derailment, 18/08/2010, Line No 139 station Makolowiec km. point 14,164 switch No 5 (Poland)</t>
  </si>
  <si>
    <t>The driver of the passenger train No ROPJ90036 going in destination Tychy - Katowice has wrongly interpreted the signal shown on the semaphore G1/2 of the station Makolowiec permiting on the ride with the speed 40 km/h and has speeded up the train to 117 km/h. As a consequence of the overspeeding, the train derialed on the switch No 5.</t>
  </si>
  <si>
    <t>Line No 139 station Makolowiec km. point 14,164 switch No 5</t>
  </si>
  <si>
    <t>Infringement of permitted train speed which on the side  direction of the switch No. 5 and 4 was 40 k/h according to the signal on the semaphore G1/2; at real the train speed was 119 km/h.</t>
  </si>
  <si>
    <t>Improper reading of indications of the semaphore G ½ by  the driver of the train._x000D_
None</t>
  </si>
  <si>
    <t>HU-1012</t>
  </si>
  <si>
    <t>Level crossing accident, 21/08/2010, Line 71: Between Örbottyan and Vacratot stations (Hungary)</t>
  </si>
  <si>
    <t>On the 21st of August 2010, there was an accident which happened between Örbottyan and Vacratot station on the line Nr 71. It was a collision between a car and a train at a level crossing without any protection, in which a car driver was seriously injured.</t>
  </si>
  <si>
    <t>Line 71: Between Örbottyan and Vacratot stations</t>
  </si>
  <si>
    <t>HU-1013</t>
  </si>
  <si>
    <t>Level crossing accident, 21/08/2010, Line 20: Between Petfürdö and Hajmasker stations (Hungary)</t>
  </si>
  <si>
    <t>On the 21st of August 2010, there was an accident which happened between Petfürdö and Hajmasker station on the line Nr 20. It was a collision between a cyclist and a train at the level crossing Nr AS316 with well operating flashing lights, in which a cyclist died at the site of the occurence.</t>
  </si>
  <si>
    <t>Line 20: Between Petfürdö and Hajmasker stations</t>
  </si>
  <si>
    <t>HU-1014</t>
  </si>
  <si>
    <t>Level crossing accident, 23/08/2010, Line 100: Between Hajduhadhaz and Apafa station (Hungary)</t>
  </si>
  <si>
    <t>On the 23rd of August 2010, there was an accident which happened between Hajduhadhaz and Apafa stations on the line Nr 100. It was a collision between a horse-cart and a train at the level crossing Nr AS2382 with well operating flashing lights, in which a rider and one passenger of the horse-cart died at the site of the occurence.</t>
  </si>
  <si>
    <t>Line 100: Between Hajduhadhaz and Apafa station</t>
  </si>
  <si>
    <t>RO-973</t>
  </si>
  <si>
    <t>Fire in RS, 23/08/2010, Open line between Targusor Dobrogea station and Nicolae Balcescu station belongs to Constanta Railway County on the south east of the Romanian Railway Network. (Romania)</t>
  </si>
  <si>
    <t>Diesel locomotive DA 60-0945-0 from the freight train no. 83972 burnt aprox 60%. The locomotive driver died.</t>
  </si>
  <si>
    <t>Open line between Targusor Dobrogea station and Nicolae Balcescu station belongs to Constanta Railway County on the south east of the Romanian Railway Network.</t>
  </si>
  <si>
    <t>The fire was caused by auto-ignition of diesel and oil vapors resulting from a technical failure caused by the emergence and rapid propagation of two cracks in the piston collar, started from the top in the vertical plane which contains axis bolt, followed by the weakening and the displacement of the piston collar no. 3, producing successively: cancellation of piston lubrication and cooling in the positioning of the segment and the phenomenon of dry friction, temperature rise above the normal range of operation, rapid erosion of compression and lubrication rings, melting layer peripheral side of the piston body and rapid accumulation of diesel vapors in the oil pan above the limit of drain technology. Contributing factors: at the extent of fire contributed the expulsion of gas and around 600kg of hot oil from the engine to the entire engines box as consequence of the explosion in the crankcase with the deformation of side covers, leading to widespread the fire by burning it, the oil from the hydrostatic installation (aprox.30kg) and the combustible constructive elements (tubes and rubber gaskets, air filter elements, electrical wiring insulation, insulation and cushioning elements of the work stations).</t>
  </si>
  <si>
    <t>The inefficiency of the primary means of intervention, under violent fire propagation and failure in intervention by locomotive staff because of the gas and smoke, combined with the intervention of specialized staff from the Inspectorate for Emergency Situations at about 60 minutes from the notice.</t>
  </si>
  <si>
    <t>RO-974</t>
  </si>
  <si>
    <t>Train derailment, 30/08/2010, Livezeni station belongs to Timisoara Railway County on the west of the Romanian Railway Network. (Romania)</t>
  </si>
  <si>
    <t>The first wagon (no.31538762206-3) and the second wagon (no. 31538762192-5) of the freight train no. 30471-2 (belonging to RU SC SERVTRANS SA) derailled over the switches no. 18/22 in Livezeni station.</t>
  </si>
  <si>
    <t>Livezeni station belongs to Timisoara Railway County on the west of the Romanian Railway Network.</t>
  </si>
  <si>
    <t>S.C. SERVTRANS INVEST S.A.</t>
  </si>
  <si>
    <t>The direct cause of the occurrence of this railway accident is the movement of the contact point wheel-rail beyond the tread of the wheel no. 6 due to the difference between the point Aq0 from the wheel no. 5 and the outside of the wheel no. 6 on the one hand and the distance between the inner flanks of the rails. Factors that contributed to this accident were: -	wear of the wheel rim no. 5 which have a thickness of 20 mm, compared with 22 mm;    -	wear of the rail superstructure construction elements, which led to a gauge value of 1472 mm.</t>
  </si>
  <si>
    <t>Underlying cause was the admission in traffic of the wagon no. 31538762206-3 (first by locomotive) having the wheel no. 5 rim thickness, measured at 10 mm above the rolling circle, of 20 mm to 22 mm allowable value in the Instructions regarding the technical inspection and maintenance of the wagons in service no. 250/2005, table 1, position no.8. This was possible under the conditions of failing to ensure by the wagons technical inspector of the mandatory works and checks that he should have provided during the technical overhaul in composition, as a result of a human error occurred during the technological process of preparation and technical inspection of the train no. 30471-2.</t>
  </si>
  <si>
    <t>CZ-1015</t>
  </si>
  <si>
    <t>Level crossing accident, 31/08/2010, Passive level crossing = traffic sign only, km 0,535 at siding â€žVleckova sit OKD, Doprava, a. s.â€œ (near Ostrava stred station) (Czech Republic)</t>
  </si>
  <si>
    <t>SIDING ACCIDENT: collision of siding train No. 425040 with a passenger car at level crossing in km 0,535 (P10627 – mark of LC)</t>
  </si>
  <si>
    <t>Passive level crossing = traffic sign only, km 0,535 at siding â€žVleckova sit OKD, Doprava, a. s.â€œ (near Ostrava stred station)</t>
  </si>
  <si>
    <t>third party – driver didn't comply with regulations +  poor level crossing condition (insufficient visibility)</t>
  </si>
  <si>
    <t>none procedure for level crossing inspection and maintenance (appropriate employee didn't make the inspections)_x000D_
None</t>
  </si>
  <si>
    <t>DE-978</t>
  </si>
  <si>
    <t>Train derailment, 2010-09-01, Bahnhof Bacharach (Germany)</t>
  </si>
  <si>
    <t>Güterzug 47925 entgleist bei der Durchfahrt durch den Bahnhof Bacharach. Güterzug war zuvor auf Grund eines Alarms der Heißläuferortungsanlage im Bahnhof Brohl gestellt worden. Nach Überprüfung durch den Triebfahrzeugfüherer wurde die Fahrt fortgesetzt. 
Freight train number 47925 derailed during the passage through the station Bacharach. Prior to the derailment the freight train had been stopped at the station Brohl due to alarm of the hot axle box detector. After check by the driver the journey was continued.</t>
  </si>
  <si>
    <t>Bahnhof Bacharach</t>
  </si>
  <si>
    <t>Ursächlich für die Entgleisung ist das in Fahrtrichtung links abgescherte Radsatzlager (Radsatzbauart: 004; Radsatznummer: 939 469+90) des im Zugverband als 2. Wagen eingestellten Güterwagens 81 80 6640 706-0. _x000D_
Höchstwahrscheinlich führte der Bruch eines Stehbolzens der Radsatzpumpe zum Blockieren des Radsatzes und damit zum Wellenschenkelbruch. Der entgleiste Güterwagen verliert das linke Radsatzlager des 2. Radsatzes des nachlaufenden Drehgestells bei der Durchfahrt im Bf Bacharach in km 138,500. 
The cause of the derailment is the sheared axle boxes (wheel set: 004; number: 939 469+90) of the second wagon of freight car set 81 80 6640 706-0 of the train in the direction to the left._x000D_
Most likely it led to the blocking of a stud to the wheel pump of the wheel and thus the wave leg fracture. The derailed freight wagons loses the left axle boxes of second wheel set of the bogie during the transit in Bacharach station in 138,500 km.</t>
  </si>
  <si>
    <t>IE-979</t>
  </si>
  <si>
    <t>Level crossing accident, 02/09/2010, Level crossing XM096 on the Athlone to Westport line (Ireland)</t>
  </si>
  <si>
    <t>A farmer in a tractor was struck by a freight train as he crossed the level crossing</t>
  </si>
  <si>
    <t>Level crossing XM096 on the Athlone to Westport line</t>
  </si>
  <si>
    <t>The tractor was stationary on the track as the train arrived at the level crossing</t>
  </si>
  <si>
    <t>There was no formal process in place to ensure communication with the known users of the level crossing other than through the signage at the level crossing, including addressing known issues in relation to their use of the level crossing</t>
  </si>
  <si>
    <t>HU-1034</t>
  </si>
  <si>
    <t>Spad, 04/09/2010, Line 8: Ikreny station (Hungary)</t>
  </si>
  <si>
    <t>The train Nr9912 passed  a „Stop” exit signal without any permission, split the point Nr1 over and stopped after all. There were no personal injuries.</t>
  </si>
  <si>
    <t>Line 8: Ikreny station</t>
  </si>
  <si>
    <t>ES-1040</t>
  </si>
  <si>
    <t>Level crossing accident, 06/09/2010, Near Carmonita station (Badajoz), at a provisional (type D) level crossing, kilometre point 24,420, at 510 Aljucén-Cáceres railway line (Spain)</t>
  </si>
  <si>
    <t>A dump truck is hit by a passenger train while crossing a provisional level crossing (due to works at side). The truck´s driver died.</t>
  </si>
  <si>
    <t>Near Carmonita station (Badajoz), at a provisional (type D) level crossing, kilometre point 24,420, at 510 Aljucén-Cáceres railway line</t>
  </si>
  <si>
    <t>The accident had its origin when the dumper truck crossed the level crossing when the train was passing, being the chains out of place</t>
  </si>
  <si>
    <t>ES-1041</t>
  </si>
  <si>
    <t>Level crossing accident, 07/09/2010, Between Aranguren y Zalla station (Vizcaya), level crossing, type C, kilometre point 0,388, 1031 León-Bilbao railway line (Spain)</t>
  </si>
  <si>
    <t>A passenger train knocked down a woman while she was crossing the LC which had all its protective devices working.</t>
  </si>
  <si>
    <t>Between Aranguren y Zalla station (Vizcaya), level crossing, type C, kilometre point 0,388, 1031 León-Bilbao railway line</t>
  </si>
  <si>
    <t>RO-980</t>
  </si>
  <si>
    <t>Fire in RS, 08/09/2010, Open line Gradinari Caras - Oravita belongs to uninteroperable line Berzovia - Oravita - infrastructure manager - SC RC - CF TRANS SRL, on the west of the Romanian Railway Network. (Romania)</t>
  </si>
  <si>
    <t>Central part of the locomotive DHC 80-0172-9 was burnt.</t>
  </si>
  <si>
    <t>Open line Gradinari Caras - Oravita belongs to uninteroperable line Berzovia - Oravita - infrastructure manager - SC RC - CF TRANS SRL, on the west of the Romanian Railway Network.</t>
  </si>
  <si>
    <t>The fire occurred by the ignition of existing oil deposits in the area located above the wheel on the right of the axle no. 2 in the running direction of the locomotive (on the air and oil pipes, on the inner sides of the stringers, main outer and longitudinal inner, and on the bottom side of the chassis), by the incandescent material particles (sparks) detached from the shoe located on the back side of the right wheel from the axle no. 2 as a result of the service braking during the running of the locomotive. Contributing factors: ?	the existence of the oil products in the areas of construction sealing of the installations located at the bottom side of the locomotive and their deposit in hardly accessible areas;       ?	the existence of wears in the transmission parts joints, of the braking effort through the locomotive braking wheelhouse, which led to the shoe application outside of the wheel tread and also the uneven transmission of the braking efforts to the two shoes corresponding to the right wheel from the axle no. 2. These factors were determined by the wear condition of the locomotive installations and units, as a result of missing the deadline of the specific works for the repair type to which the locomotive was due (due to RG type repair since May 2008).</t>
  </si>
  <si>
    <t>NO-1016</t>
  </si>
  <si>
    <t>Fire in RS, 09/09/2010, Open line Valebø/Nisterud. Bratsbergbanen (Norway)</t>
  </si>
  <si>
    <t>Fire in diesel engine</t>
  </si>
  <si>
    <t>Open line Valebø/Nisterud. Bratsbergbanen</t>
  </si>
  <si>
    <t>SE-984</t>
  </si>
  <si>
    <t>Level crossing accident, 2010-09-09, Solgården footpath crossing which is located on the single track line between Stora Höga and Stenungsund stations on the line between Gothenburg and Uddevalla on the west coast. (Sweden)</t>
  </si>
  <si>
    <t>Two girls was hit by a train when they crossed the footpath crossing. The crossing was equipped with active light and audible warning system. 
Den 9 september 2010 var två yngre kvinnor på väg från Nösnäs gymnasieskola mot Stenungsunds centrum. De gick Solgårdsvägen som vid järnvägen avslutas med en plankorsning bara avsedd för gående och cyklister. Medan kvinnorna passerade korsningen kom tåg 3750 i riktning norrut. Tåget körde på kvinnorna och de omkom omedelbart i samband med olyckan.</t>
  </si>
  <si>
    <t>Solgården footpath crossing which is located on the single track line between Stora Höga and Stenungsund stations on the line between Gothenburg and Uddevalla on the west coast.</t>
  </si>
  <si>
    <t>The direct cause of the accident was that the two persons did not notice the approach of the train. 
Den direkta orsaken till olyckan var att de personer som omkom befann sig plankorsningen samtidigt som ett tåg.</t>
  </si>
  <si>
    <t>Underlying causes of the accident was that there had been no risk analysis of how the change of the level crossing affected other factors such as changed conditions at grade crossings. Had a further risk analysis carried out, it had possibly been noted that existing protection at level crossings need to change and adapt to the new conditions._x000D_
_x000D_
Transport Administration's safety management system has not been able to catch that there were systemic weaknesses in the review of the level crossings. 
Bakomliggande orsaker till att olyckan inträffade var att det inte hade gjorts någon riskanalys av hur förändringen av anläggningen påverkade andra faktorer såsom ändrade förhållanden vid plankorsningar. Hade en vidare riskanalys genomförts hade det eventuellt kunnat uppmärksammas att befintligt skydd vid plankorsningar behöver förändras och anpassas till de nya förutsättningarna._x000D_
_x000D_
Trafikverkets säkerhetsstyrningssystem har inte förmått att fånga upp att det fanns systematiska brister i översynen av plankorsningar.</t>
  </si>
  <si>
    <t>SE-982</t>
  </si>
  <si>
    <t>Trains collision with an obstacle, 2010-09-12, Kimstad station. Located south of Norrköping om the main line between Stockholm and Malmö. (Sweden)</t>
  </si>
  <si>
    <t>Sunday the 12th September 2010 passengertrain 50 collided with a tractor near Kimstad on the line between Linköping and Norrköping. in the accident, one passenger was killed and 20 persons injured, out of which 9 sustained serious injuries._x000D_
_x000D_
The immediate cause of the accident was that the tractor was allowed up on the track without sufficient protection on the adjacent. 
Söndagen den 12 september 2010 inträffade en kollision på Kimstads driftplats mellan resandetåg 505 och en spårgående grävlastare. Olyckan medförde att en person omkom och 20 personer skadades, varav 9 allvarligt._x000D_
_x000D_
Olyckan skedde på grund av att en grävlastare fördes upp på spåret utan att A-skydd etablerades på intilliggande spår._x000D_
_x000D_
HÄNDELSEFÖRLOPPET_x000D_
Under perioden 6 till 19 september 2010 skulle ett spår- och ballastbyte ske på nedspåret mellan Fiskeby och Kimstad samt inne på Kimstads driftplats. På grund av arbetet kunde tågtrafiken under denna tid bara använda uppspåret på den dubbelspåriga sträckan mellan Fiskeby och Kimstad, vilket även medförde inskränkningar i tågtrafiken eftersom kapaciteten på sträckan blev begränsad. Arbetena på den sträcka som var avstängd trafikleddes av en huvudtillsyningsman istället för av fjärrtågklareraren._x000D_
_x000D_
Söndagen den 12 september skulle ett arbetslag bestående av fyra personer med tre spårgående grävlastare utföra arbete med bland annat neutralisering av nedspåret ungefär vid plattformen vid Kimstad. Arbetslaget samlades där grävlastarna var uppställda för att åka ut till arbetsplatsen. För att kunna arbeta på spåret och föra på grävlastarna på spåret tog en tillsyningsman  ca kl.17.00 ut ett A-skydd  på spår 2 i Kimstad och även på nedspåret mellan Kimstad och Fiskeby. Efter att arbetslaget hade samlats vid grävlastarna gick de upp med  dem på spår 2 för att åka till arbetsplatsen, som var belägen strax norr om plattformen i Kimstad. De fick då beskedet att en trasig spårriktare måste passera på det spår som de befann sig på och de gick av spåret igen för att vänta tills spårriktaren hade passerat._x000D_
_x000D_
När spårriktaren hade passerat gick två av grävlastarna upp på spåret igen, och tillsyningsmannen bad en bantekniker som befann sig vid platsen att övervaka när den tredje grävlastaren gick på spåret, eftersom föraren på den grävlastaren var relativt oerfaren med arbete i spårmiljö. Därefter åkte tillsyningsmannen iväg på den första grävlastaren mot arbetsplatsen och den andra grävlastaren åkte efter._x000D_
_x000D_
Den tredje grävlastaren skulle gå på  spåret mellan grushögarna (se Figur 1) och gick på spåret med bakänden först eftersom det var enklare att positionera sig på spåret då. När grävlastaren hade kommit upp på spåret med samtliga hjul och föraren hade positionerat de bakre spårföljarhjulen på spåret skulle han också positionera de främre spårföljarhjulen på spåret. När han gjorde detta gled den främre delen av grävlastaren av spåret i riktning mot spår 3 och föraren, som satt med ryggen mot fronten, höjde frontskopan något för att kunna sikta in sig mot rälen igen. Under tiden för den manövern inkräktade frontskopan på intilliggande spår 3:s utrymme. Samtidigt kom tåg 505 på spår 3 och körde in i frontskopan på grävlastaren._x000D_
_x000D_
Vid kollisionen skar grävlastarens frontskopa in i drivenheten på tåget och skar upp hela sidan på drivenheten, varefter frontskopan fastnade i drivenhetens bakgavel och grävlastaren slungades runt horisontellt 180 grader. I samband med kollisionen slog grävlastarens frontskopa, grävarm och stödben emot tåget flera gånger och skador uppstod på tågsättet i form av bl.a. krossade fönsterrutor, skador på boggier och löpverk samt skador på karossen på tåget. En passagerare som befann sig i tågets andra vagn omkom i samband med olyckan och nio personer i tåget skadades allvarligt._x000D_
_x000D_
I samband med att tåget kolliderade med grävlastaren roterade grävlastaren med tåget i ca 37 meter och frontskopan, som lossnade , återfanns ca 45 meter från grävlastaren._x000D_
_x000D_
Axel 4 i tågets tredje resandevagn spårade ur i samband med olyckan och gick urspårad ca 78 meter varefter axeln gick på spåret igen i samband med att höger hjul slog i spårkorset på växel 106.</t>
  </si>
  <si>
    <t>Kimstad station. Located south of Norrköping om the main line between Stockholm and Malmö.</t>
  </si>
  <si>
    <t>Olyckan skedde på grund av att en grävlastare fördes upp på spåret utan att A-skydd etablerades på intilliggande spår. 
The immediate cause of the accident was that the tractor was allowed onto track 2 without A-protection for track 3 (adjacent track).</t>
  </si>
  <si>
    <t>En bakomliggande orsak till att A-skydd inte etablerades är brister i skydds- och säkerhetsplaneringen inför arbetet, vilket i sin tur beror på brister i projektets planering. Bristerna i projektets planering kan i sin tur härledas till otillräckligt projektunderlag._x000D_
_x000D_
Brister av det slag som orsakat olyckan och som finns i flera olika nivåer inom Trafikverkets projektorganisation, ska kunna upptäckas och åtgärdas inom ramen för en normal revisions- och avvikelsehantering. Några sådana upptäckter har inte gjorts varför den grundläggande orsaken till olyckan kan anses vara brister i Trafikverkets uppföljnings-, avvikelse- och riskhantering. 
The underlying cause of the lack of protection for adjacent track is deficiencies in the risk and safety planning of the work, caused by deficiencies in the project planning. The project planning was not based on sufficient background material._x000D_
_x000D_
Such deficiencies are normally detected by the Infrastructure managers system for monitoring, supervision and incident reporting for track maintenance and work. The fact that these deficiences has not been detected indicates that this system does not work.</t>
  </si>
  <si>
    <t>BE-998</t>
  </si>
  <si>
    <t>Trains collision, 15-09-10, Arlon (Belgium)</t>
  </si>
  <si>
    <t>Le mercredi 15 septembre 2010, une prise en écharpe a eu lieu entre le train entrant en gare et le train sortant de la gare d’Arlon. L’incident a été rendu possible par le départ non autorisé d’un train de voyageurs suite à une mauvaise représentation mentale du conducteur._x000D_
Aucun blessé grave ou décès n’est à déplorer. La circulation normale a été rétablie en gare en date du 16 septembre à 16h39 : plusieurs trains ont été supprimés, d’autres ont été partiellement supprimés. 
On Wednesday, September 15, 2010, the train entering the station and a train leaving the station of Arlon sideswiped. The incident was made possible by the unauthorized departure of a passenger train due to poor mental representation of the driver._x000D_
_x000D_
No serious injuries or deaths were reported. Normal traffic was restored at the station on 16 September at 4:39 p.m.: several trains have been deleted, others have been partially removed.</t>
  </si>
  <si>
    <t>Arlon</t>
  </si>
  <si>
    <t>Long distance passenger train; 
Regional passenger train</t>
  </si>
  <si>
    <t>L’incident a été rendu possible par le départ non-autorisé d’un train de voyageurs suite à une mauvaise représentation mentale du conducteur. 
Het incident kon zich voordoen door het ongeoorloofde vertrek van een reizigerstrein ten gevolge van een foute mentale voorstelling van de treinbestuurder 
The incident was made possible by the unauthorized departure of a passenger train due to poor mental representation of the driver</t>
  </si>
  <si>
    <t xml:space="preserve"> 
</t>
  </si>
  <si>
    <t>NO-1065</t>
  </si>
  <si>
    <t>Runaway, 19/09/2010, Slemdal level crossing - Oslo (Norway)</t>
  </si>
  <si>
    <t>Work train started rolling 3 days after it was parked for the weekend. A car driver managed to stop the train after a few meters by putting large rocks under the wheels, before the train continued down a steep hill on the line.</t>
  </si>
  <si>
    <t>Slemdal level crossing - Oslo</t>
  </si>
  <si>
    <t>The work train was not parked according to procedures. The parking brakes was not activated, and there were no "stoppers" underneath the wheels. After a while the air in the brake system got to low and the work train started to move.</t>
  </si>
  <si>
    <t>There was a heated phone conversation between the operators of the work train, and their supervisor before the incident. After the phone conversation the operators was not in the regular positions, and this may have contributed to the irregular parking. _x000D_
_x000D_
Unclear responsibilities within the Metro organisation, where ownership, budget and license do not have the same place in the hierarchy. In this case the Metro defined that the work was outside the scope of the license, and did not follow their own procedures for work on the track. The reason for this was that the track was supposed to be separated/blocked from the operational track.</t>
  </si>
  <si>
    <t>FR-995</t>
  </si>
  <si>
    <t>Level crossing accident, 27/09/2010, Level crossing without barriers near Gimont on the single track line from Toulouse to Auch (France)</t>
  </si>
  <si>
    <t>Loaded heavy goods vehicle was hit by DMU running at 90km/h. The lorry driver stopped at the signal, did not see the train and restarted.</t>
  </si>
  <si>
    <t>Level crossing without barriers near Gimont on the single track line from Toulouse to Auch</t>
  </si>
  <si>
    <t>Driver took too much time to cross the LC and was struck by the train</t>
  </si>
  <si>
    <t>Regulations concerning level crossings without signals do not require a distance of visibility giving sufficient time for big vehicles to cross safely the LC</t>
  </si>
  <si>
    <t>HU-1023</t>
  </si>
  <si>
    <t>Train derailment, 27/09/2010, Line 40: Adony station (Hungary)</t>
  </si>
  <si>
    <t>On the 27th of September 2010, 03:42 am, there was a derailment at Adony station. One loaded 4-axle wagon of the train derailed with it’s 2 axles. There was no personal injuries but the track was damaged a matter of 500 meter alongside.</t>
  </si>
  <si>
    <t>Line 40: Adony station</t>
  </si>
  <si>
    <t>RO-993</t>
  </si>
  <si>
    <t>Trains collision, 27/09/2010, Open line between Miercurea Ciuc and Sancraieni railway station belongs to Brasov Railway County on the center part of the Romanian Railway Network. (Romania)</t>
  </si>
  <si>
    <t>The regional passenger train no. 4504 was stopped on open line between Miercurea Ciuc and Sancraieni at km 90+300 because of a technical failure at the train locomotive. The emergency locomotive, which circulated as train no. 17576 on open line from Miercurea Ciuc railway station to km 90+300 collided with train no. 4504. As a consequence of this collision the emergency electric locomotive no. 40-0919-7 and the last coach (no. 505331957073-3) from the passenger train no. 4504 were slightly damaged. Also the train master was injured.</t>
  </si>
  <si>
    <t>Open line between Miercurea Ciuc and Sancraieni railway station belongs to Brasov Railway County on the center part of the Romanian Railway Network.</t>
  </si>
  <si>
    <t>The collision occurred as consequence of the unstopping of the locomotive aid EA 40-0919-7 (that was running isolated as train aid no.2) at the regulated distance to the signal coach of the passenger train no. 4505 (stopped in current line).  The unstopping of the locomotive at the regulated distance occurred as consequence of the fact that the locomotive driver did not identify the real position of the train stopped in current line due to the inaccurate values of the kilometric positions indicating the running speeds on the closed current line registered by the movement inspector in the traffic order, in conjunction with conditions of poor visibility caused by fog.</t>
  </si>
  <si>
    <t>The driver of the locomotive aid EA 40-0919-7, after receipt and assimilation of the traffic order (according to the provisions of the art. 90 paragraph (2) of the Instructions for the activity of locomotive staff in railway transport no. 201/2007) although he did not know the real kilometric position of the place where was the train stopped, he did not notice that the data on the kilometric position was incorrectly registered to the kilometric positions existing on the interval between the railway station CFR Miercurea Ciuc and the flag station Sancraieni. So the locomotive aid EA 40-0919-7 should have run from the railway station Miercurea Ciuc (km 95+077) to the flag station Sancraieni to the km. 89+300 (kilometric position below the actual kilometric position where was stopped the passenger train) with the maximum speed of 40 km/h and from there to run to the km. 90+025 (km. position where was stopped the passenger train 4504) back to the railway station CFR Miercurea Ciuc, with the speed of 20 km/h.</t>
  </si>
  <si>
    <t>ES-1042</t>
  </si>
  <si>
    <t>Spad, 30/09/2010, Redondela station (Pontevedra), at exit signal 1S/I, kilometre point 166,601, 810 Vigo-Monforte de Lemos (Spain)</t>
  </si>
  <si>
    <t>Long distance passenger train 620 overtook exit signal 1S/I. As a result a near miss train collision was caused.</t>
  </si>
  <si>
    <t>Redondela station (Pontevedra), at exit signal 1S/I, kilometre point 166,601, 810 Vigo-Monforte de Lemos</t>
  </si>
  <si>
    <t>The incident had its origin when the train overtook, without authorization, the exit signal (1S/I) - which stated a stop aspect - due to the non-compliance of the signal instructions by the train driver.</t>
  </si>
  <si>
    <t>RO-994</t>
  </si>
  <si>
    <t>Fire in RS, 30/09/2010, Open line between Ovidiu and Ramificatie Borcea belongs to Constanta Railway County on the south - east of the Romanian Railway Network. (Romania)</t>
  </si>
  <si>
    <t>The banking locomotive (DA 60-1361-9) of the freight train no 53598 was burnt.</t>
  </si>
  <si>
    <t>Open line between Ovidiu and Ramificatie Borcea belongs to Constanta Railway County on the south - east of the Romanian Railway Network.</t>
  </si>
  <si>
    <t>Occurrence of a fire due to lightning from the crossing area of supply conductors for electric traction engines no. 4 and 5, due to insufficient insulation, neoprene tube degradation, followed by ignition of combustible deposits accumulated for the operation of the locomotive and propagated to the power wiring of the electric traction motors no. 4, 5 and 6, which led to the development of a fire in the engine box and cabins. Contributing factors: -	the emergence of self-inductance surge in electric traction motors switching that missing the deadline established under a specific type of repair work on the locomotive was due (due to repairs RG in August 2007), led to power cable insulation aging and to a thermo technical poor condition (loss of oil, diesel, gas) that favored the initiation and especially the propagation of the fire; -	the inefficiency of the primary means of intervention, under violent fire propagation and failure by locomotive staff because of gas and smoke, combined with the intervention of specialized personnel in the Inspectorate for Emergency Situations, at about 93 minutes from approval.</t>
  </si>
  <si>
    <t>It wasn’t followed the Provision D4.8/445/2004 of SNTFM CFR Marfa SA - Locomotive Repair Service on the works of prevention of the fire starts at diesel locomotives – electric 2100 CP, regarding the protection of the power wiring of the electric traction engines and for cleaning oil deposits (fuel, lubricants) from the intersection area and the cables connection board from the engines 4, 5 and 6, where these can accumulate.      It wasn’t complied the repair cycle and mandatory overhaul of the locomotive, according to the railway Norm “Railway vehicles. Overhauls and planned repairs” no. 67-005 of 2008 approved by OMT no. 364/2008, in that the planned overhauls of the locomotive were made based on actual days provided and not rendered by a cycle set by order.</t>
  </si>
  <si>
    <t>HU-1035</t>
  </si>
  <si>
    <t>Spad, 01/10/2010, Line 1: Almasfuzito station (Hungary)</t>
  </si>
  <si>
    <t>The train Nr40767 passed a „Stop” exit signal without any permission, split the point Nr12a over and stopped after all. There were no personal injuries.</t>
  </si>
  <si>
    <t>Line 1: Almasfuzito station</t>
  </si>
  <si>
    <t>NO-996</t>
  </si>
  <si>
    <t>Train derailment, 01/10/2010, On Skotterud station, Kongsvingerbanen (Norway)</t>
  </si>
  <si>
    <t>Due to a broken wheel the trains first and second passenger wagon derailed.</t>
  </si>
  <si>
    <t>On Skotterud station, Kongsvingerbanen</t>
  </si>
  <si>
    <t>The right wheel on the first axel of the rear bogie on the first wagon had a breakage</t>
  </si>
  <si>
    <t>BG-997</t>
  </si>
  <si>
    <t>Trains collision, 04/10/2010, In the interstation section Dragoil - Dragoman, at km 47 + 760. (Bulgaria)</t>
  </si>
  <si>
    <t>On 04/10/2010 due to not reglamented access of locomotive no. 0660 and service train no. 10352, it occurred a collision between international express train no. 293 travelling from Belgrade to Sofia and service train no. 10352, in the interstation section Dragoil - Dragoman, at km 47 + 760.</t>
  </si>
  <si>
    <t>In the interstation section Dragoil - Dragoman, at km 47 + 760.</t>
  </si>
  <si>
    <t>Basic regulatory provisions governing the safe reception and dispatching of trains at railway stations have been violated by the executive personnel of SC NRIC at the stations of Dragoman and Dragoil, and the executive personnel of BDZ EAD at the Engine Yard – Sofia.</t>
  </si>
  <si>
    <t>HU-1024</t>
  </si>
  <si>
    <t>Level crossing accident, 05/10/2010, Line 110: Between Nyirgelse and Nyiradony station (Hungary)</t>
  </si>
  <si>
    <t>On the 05th of October 2010, 11 am, there was an accident which happened between Nyírgelse and Nyíradony stations by Nyírmihálydi stop.  It was a collision between a car and train Nr6381 (a locomotive running solo) at a level crossing without any security object in which a car driver was seriously injured.</t>
  </si>
  <si>
    <t>Line 110: Between Nyirgelse and Nyiradony station</t>
  </si>
  <si>
    <t>HU-1050</t>
  </si>
  <si>
    <t>Spad, 07/10/2010, Line 1: Budapest Ferencvaros station (Hungary)</t>
  </si>
  <si>
    <t>Freight train (No.71350) passed a “Stop” signal without any permission, split the point No.32 over and passed on to Kobanya-Kispest station instead of Rakos station.</t>
  </si>
  <si>
    <t>Line 1: Budapest Ferencvaros station</t>
  </si>
  <si>
    <t>HU-1045</t>
  </si>
  <si>
    <t>Trains collision, 10/10/2010, Line 317: Hartokut station (Hungary)</t>
  </si>
  <si>
    <t>On 10th of October 2010, 08:59 a.m. there was an accident which took place on the narrow gauge line of Királyrét Forest Rail at Hartokut station. It was a head-on collision between the trains Nr6307 and Nr6310. Two of the passengers of the trains suffered serious, one other of them minor injuries.</t>
  </si>
  <si>
    <t>Line 317: Hartokut station</t>
  </si>
  <si>
    <t>Borzsony 2020 Kft</t>
  </si>
  <si>
    <t>HU-1028</t>
  </si>
  <si>
    <t>Level crossing accident, 13/10/2010, Line 140: Between Petofiszallas and Kiskunfelegyhaza stations (Hungary)</t>
  </si>
  <si>
    <t>On the 13th of October 2010, 12:25 pm, there was an accident which happened between Petofiszállás and Kiskunfélegyháza stations. It was a collision between a car and the intercity train Nr IC705 at the level crossing Nr AS628 equipped with well operating flashing lights. The driver of the car died at the site of the accident.</t>
  </si>
  <si>
    <t>Line 140: Between Petofiszallas and Kiskunfelegyhaza stations</t>
  </si>
  <si>
    <t>HU-1029</t>
  </si>
  <si>
    <t>Accident to persons caused by RS in motion, 15/10/2010, Line 100: Nyiregyhaza station (Hungary)</t>
  </si>
  <si>
    <t>On the 15th of October 2010, 08:30 pm, there was an accident which happened at Nyíregyháza station during shunting movements. The signalman (area controller) working in the signal box No.1 was hit by a shunting locomotive. The worker died at the site of the occurence.</t>
  </si>
  <si>
    <t>Line 100: Nyiregyhaza station</t>
  </si>
  <si>
    <t>ES-1043</t>
  </si>
  <si>
    <t>Other, 19/10/2010, La Braña halt (Gijón), signal S2/P, kilometre point 1,057, 1061 Gijón-Laviana railway line. (Spain)</t>
  </si>
  <si>
    <t>Due to a failure of the automatic blocking system, the traffic manager at Gijón Centralized Traffic Control authorised the station master to allow train 4519 to overtook S2/P signal. This order was wrong, as another train had been already authorised to enter the same track section. As a result, this caused a near miss train collision, although train 4519 never overtook the signal.</t>
  </si>
  <si>
    <t>La Braña halt (Gijón), signal S2/P, kilometre point 1,057, 1061 Gijón-Laviana railway line.</t>
  </si>
  <si>
    <t>CZ-1215</t>
  </si>
  <si>
    <t>Accident to persons caused by RS in motion, 20/10/2010, Open line between Prackovice nad Labem and Lovosice stations, track No. 1 (it is a double track; Praha Bubenec â€“ Decín hl. n. main line). (Czech Republic)</t>
  </si>
  <si>
    <t>2 track maintenance at the track No. 2. Fast train No. 612 went on this track No. 1 and so they entered on the track No. 1. At the same time workers was struck by Eurocity train No. 175 which went on the track No. 1.</t>
  </si>
  <si>
    <t>Open line between Prackovice nad Labem and Lovosice stations, track No. 1</t>
  </si>
  <si>
    <t>operational – trackside personnel (unauthorized entrance of 2 workers_x000D_
on to track No. 1)</t>
  </si>
  <si>
    <t>Underlying cause: human factor – they didn't observe the technological procedures during_x000D_
the maintenance at the track._x000D_
Root cause: monitoring – no difference between the situation when the track is_x000D_
under the maintenance and when is operate normally. This led to the_x000D_
nonacceptance of necessary measures for work at the track._x000D_
information – lack of information between the person who is_x000D_
responsible for contracts (IM) and maintenance workers (stakeholders)_x000D_
who are working at the track.</t>
  </si>
  <si>
    <t>HU-1027</t>
  </si>
  <si>
    <t>Level crossing accident, 20/10/2010, Line 150: Between Kiskunlachaza and Delegyhaza stations (Hungary)</t>
  </si>
  <si>
    <t>On the 20th of October 2010, 11:05 am, there was an occurence which happened between Kiskunlacháza and Délegyháza station at the level crossing Nr AS322 with a well operating flashing lights. The freight train Nr 40760-1 collided with a truck loaded with sand. The locodriver died at the site of the accident, the driver of the truck was seriously injured. The locomotive and the first 2 wagon derailed and the loco fell down from the dam.  The track was damaged in a big compass the matter of 300 meter alongside.</t>
  </si>
  <si>
    <t>Line 150: Between Kiskunlachaza and Delegyhaza stations</t>
  </si>
  <si>
    <t>HU-1033</t>
  </si>
  <si>
    <t>Train derailment, 22/10/2010, Line 100: Fenyeslitke station (Hungary)</t>
  </si>
  <si>
    <t>On  22nd of October 2010, 05:25 pm, there was a train derailment at Fényeslitke shunting yard. The first wagon of the freight train Nr60323-2 derailed with its first boogie while the train was running out from the station.</t>
  </si>
  <si>
    <t>Line 100: Fenyeslitke station</t>
  </si>
  <si>
    <t>IE-1020</t>
  </si>
  <si>
    <t>Level crossing accident, 24/10/2010, XM250 at the 151.5 mile post in the Manulla Junction to Westport section (Ireland)</t>
  </si>
  <si>
    <t>Train struck a car at XM250</t>
  </si>
  <si>
    <t>XM250 at the 151.5 mile post in the Manulla Junction to Westport section</t>
  </si>
  <si>
    <t>A car stopped at the level crossing, in a position that encroached into the path of the approaching train, and then was struck by the train when attempting to reverse away from the level crossing</t>
  </si>
  <si>
    <t>There are no road markings or marker posts at the Level Crossing identify the decision point for users to allow them to stop clear of the railway line and make a decision to cross safely or wait;The level crossing gates, which provide a barrier to the railway, were open when the car driver arrived at the level crossing</t>
  </si>
  <si>
    <t>RO-1017</t>
  </si>
  <si>
    <t>Track buckles, 25/10/2010, Between Copaceni and Popesti Valcea railway stations at km 21+900, on the Regional Railway Bounty Craiova (Romania)</t>
  </si>
  <si>
    <t>Infrastructure subsystem failure (track buckles) due to a sudden compaction of the embankment under load because of the ground full of water</t>
  </si>
  <si>
    <t>Between Copaceni and Popesti Valcea railway stations at km 21+900, on the Regional Railway Bounty Craiova</t>
  </si>
  <si>
    <t>The direct cause of the technical failure of the structural subsystem infrastructure was the uneven compaction of the embankment under load, which caused a twisting of the rail and led to loss of guidance of the rail on the right in the running direction followed by the escalation of the rail on the right in the running direction by the appeal wheel of the railway vehicles, its fall outside the rail (on the right in the running direction), followed by the fall inside the rail of the wheel on the left. Contributing factors to the compaction of the rail embankment were: -	saturation of the ground in the embankment body after heavy rainfall, which resulted in a decrease of the bearing capacity of the ground in the embankment body by the emergence and amplification of residual deformations in its body. This was possible because there was not insured the draining capacity of the prism of broken stone by works of cutting the banquets for storm water discharge from the embankment platform, contrary to the provisions of chapter II point B.4, letter b of the Instruction for the execution of radical repair of the railway line nr.302/1986 (reprinted in 1997); -	existence of an effective super-elevation of the line in curve, bigger than the one corresponding to a maximum running speed of 15 km/h, led to the overloading of the inner wire of the curve, which had as consequence the increase of the vertical forces transmitted by each fastener of the sleepers on the inner wire of the curve. This resulted in increasing the vertical stress on the layer of broken stone, ballast and on the ground in the embankment body, leading to the increase of the residual deformation of this layered system, manifested on the running surface of the rail by rail defects in transverse and longitudinal profile;  -	failure to ensure the proper elasticity of the prism of broken stone, which resulted in the transmission of higher pressures on the surface of the embankment platform, causing strains in the body of the embankment. This was possible because it could not be achieved the appropriate thickness of the layer of broken stone under the sleepers sole, because at periodic repair works with full screening of broken stone prism was not provided all of the necessary broken stone for this work, in contravention with the provisions of the Chapter II point B.2a of the Instruction for the execution of radical repair of the railway line nr.302/1986 (reprinted in 1997).</t>
  </si>
  <si>
    <t>-	noncompliance with the provisions of the art. 66 letter b) and letter d) of the Instructions on the capital repair works of railway lines no. 303/2003 on the restoration of the embankments and of the works of its protection-consolidation and with the provisions of Chapter 2, point 2.10. of Railway Technical Norm 72-003/2004 on the types of intervention on the embankments depending on the classification of the defects in levels of priority; -	noncompliance with the provisions of the Annex no.8 to the Instruction on the maintenance of the railway lines no. 300/1982 by partial execution of the works of the technological process of periodic repair with full screening of the broken stone.</t>
  </si>
  <si>
    <t>PT-1018</t>
  </si>
  <si>
    <t>Train derailment, 26-10-10, South line, Alcacer do Sal village, at 78,247 Km, over tbe bridge of Alcacer do Sal (Portugal)</t>
  </si>
  <si>
    <t>GPIAAF - Gabinete de Prevenção e Investigação de Acidentes com Aeronaves e de Acidentes Ferroviários</t>
  </si>
  <si>
    <t>A coal train with 1.736 Ton in 20 wagons, pulled by two electric Siemens locomotives, nºs 5628 and 5625, had a derailment and 7 wagons (13º-19º) completely derailed.</t>
  </si>
  <si>
    <t>South line, Alcacer do Sal village, at 78,247 Km, over tbe bridge of Alcacer do Sal</t>
  </si>
  <si>
    <t>RO-1019</t>
  </si>
  <si>
    <t>Fire in RS, 02/11/2010, Open line between Veresti and Bucecea railway stations belongs to Iasi Railway County on the north - east of the Romanian Railway Network. (Romania)</t>
  </si>
  <si>
    <t>The locomotive DA 60-0965-8 of the long distance passenger train no. 1555-2 was burnt.</t>
  </si>
  <si>
    <t>Open line between Veresti and Bucecea railway stations belongs to Iasi Railway County on the north - east of the Romanian Railway Network.</t>
  </si>
  <si>
    <t>The fire was generated by a short circuit in the rotor winding of the electric ventilation motor of the bogie no. 2, followed by the expelling of overheated material through the ventilation holes of  the electric ventilation motor and the ignition of the nearby oil products.</t>
  </si>
  <si>
    <t>Lack of some works in the maintenance of the locomotive with repair deadline exceeded, for the removal of the oil deposits (fuel, lubrication) in the constructive areas of the locomotives where they can appear._x000D_
None.</t>
  </si>
  <si>
    <t>HU-1036</t>
  </si>
  <si>
    <t>Spad, 04/11/2010, Line 120: Ujszasz station (Hungary)</t>
  </si>
  <si>
    <t>The train Nr35790 passed a „Stop” exit signal without any permission, split a point over and run into the route set for a train from the opposite direction. There were no personal injuries.</t>
  </si>
  <si>
    <t>Line 120: Ujszasz station</t>
  </si>
  <si>
    <t>MÁV FKG Kft.</t>
  </si>
  <si>
    <t>IT-1077</t>
  </si>
  <si>
    <t>Other, 04-11-10, Near Vipiteno Station (BZ) (Italy)</t>
  </si>
  <si>
    <t>Train splitting and partial loss of load</t>
  </si>
  <si>
    <t>Near Vipiteno Station (BZ)</t>
  </si>
  <si>
    <t>Rail Traction Company</t>
  </si>
  <si>
    <t>Somebody forgot to close a cotter-pin</t>
  </si>
  <si>
    <t>UK-1021</t>
  </si>
  <si>
    <t>Trains collision with an obstacle, 05/11/2010, Oxshott, Surrey (United Kingdom)</t>
  </si>
  <si>
    <t>A three-axle concrete mixer lorry was travelling in the southbound direction over a bridge when it collided and demolished a section of the east side parapet of the bridge before falling 10.5 metres onto the track below.  The lorry was loaded with concrete and weighed approximately 24 tonnes.  As the vehicle fell onto the track it struck a train that was passing underneath, the 15:05 hrs service from Guildford to London Waterloo (train 2G46).  _x000D_
The train was formed of two four-car class 455 electric multiple units.</t>
  </si>
  <si>
    <t>Oxshott, Surrey</t>
  </si>
  <si>
    <t>The lorry collided with the bridge parapet which collapsed, allowing the lorry and parts of the parapet to fall onto the railway.</t>
  </si>
  <si>
    <t>The causal factors were:a. The lorry was travelling too close to the edge of the carriageway (paragraph 48); b. The lorry driver was unable to maintain control of the vehicle after it struck the parapet end (paragraph 57); and c. The force of the lorry’s impact exceeded the parapet’s containment capacity (paragraph 63). In addition, the following factors were possibly causal: a. The parapet end was not sufficiently visible to the lorry driver as he approached the bridge as the processes for identifying this as a maintenance requirement were not effective (paragraph 49, Recommendations 1 and 2) b. Network Rail’s structures examination regime did not require the visibility of parapet ends to be checked, and the opportunity to mitigate the hazard presented by the parapet end was lost as evidence of repeated vehicle strikes was not reported to the relevant highway authority (paragraph 70, Recommendation 3).</t>
  </si>
  <si>
    <t>PL-1025</t>
  </si>
  <si>
    <t>Trains collision, 08/11/2010, Line No 006 km. point 175,170 station - Bialystok, switch No 7 (Poland)</t>
  </si>
  <si>
    <t>The freight train No 112860/1 operated by Orlen Koltrans Ltd (RU) going in the relation Kutno - Sokólka did not stop before the semaphore B 1/2 located before the Bialystok station as a result of which collided on the switch No 7 with the freight train No 55272 operated by PKP Cargo (RU) leaving the Bialystok station and going in the relation Bialystok - Warszawa Praga. As a consequence of the train collision fire of the tankcars containing petroleum product broke out. 2 tank cars with petroleum products exploded._x000D_
The train No 112860/1 was pulled by 2 diesel locomotives in double traction series M62 and TEM2 and consisted of 32 tank cars. The train No 55272 consisted of 1 electric locomotive series ET22, one powered off locomotive series ET22 and 7 freight cars: 2 LPG tank cars, 4 coal cars, and 1 platform. _x000D_
The locomotive M62 of the train No 112860/1 hit in 5th freight cars of the train No 55272.</t>
  </si>
  <si>
    <t>Line No 006 km. point 175,170 station - Bialystok, switch No 7</t>
  </si>
  <si>
    <t>Orlen Koltrans Ltd; 
PKP Cargo S.A.</t>
  </si>
  <si>
    <t>Not stopping of the train No. 112861 before the signpost semaphore B1 /2 showing the signal Sr "Stop”, what is incomplied with § 63 point 1 letter 3a and point 7 of the Instruction Ir-1 and §17 point 9 Instructions for the driver (OKTt-2 ORLEN KolTrans).</t>
  </si>
  <si>
    <t>1.	The disconnection of safety devices of the vigilance on second engine TEM2-198 of the train No. 112861 which  is incomplied with § 17 point 13 of Instructions for the driver (OKTt-2 ORLEN KolTrans._x000D_
1.	Initiating and the realization of decisions of the Protocol from 18.03.2009 in the matter of the service of the signal box Bl2, Bl3 and Bl14 of the station Bialystok by the signalman from the executive signal box Bl1 without suitable changes in the Tec</t>
  </si>
  <si>
    <t>UK-1026</t>
  </si>
  <si>
    <t>Other, 08/11/2010, Stonegate, East Sussex (United Kingdom)</t>
  </si>
  <si>
    <t>The 06:45 hrs train from London Charing Cross to Hastings encountered poor adhesion conditions as its driver applied the brakes to make the scheduled stop at Stonegate station, while travelling at about 65 mph. The train was unable to stop at Stonegate, and came to a stand some 2.45 miles (4 km) beyond the station._x000D_
_x000D_
No signals were passed at danger during the incident and a level crossing encountered by the train during the incident operated normally.</t>
  </si>
  <si>
    <t>Stonegate, East Sussex</t>
  </si>
  <si>
    <t>The train did not decelerate at the desired rate on application of the brakes approaching Stonegate station (paragraph 98).</t>
  </si>
  <si>
    <t>The causal factors were: a. very low adhesion conditions were present at Stonegate on 8 November 2010 (paragraph 105). Network Rail reports that a traction gel applicator has subsequently been installed on the down line, approaching Stonegate station (paragraph 232). No recommendation is made, but the RAIB is writing to Network Rail to reinforce previous recommendations (paragraph 233). b. The effect of the rail head treatment applied to the line at Stonegate on 7 November 2010 had largely dissipated by the morning of 8 November (paragraph 111). Although this was a normal event, it was a causal factor in the incident. No recommendation is made. c.The train did not deposit sand when demanded because the leading sand hoppers were almost certainly empty (paragraph 122). Southeastern has reported that its procedures have been amended to remove trains that require sand replenishment from service (paragraphs 225 and 229). d. The maintenance processes involved in the replenishment of sand did not ensure that the sand hoppers were refilled, despite there being information that the sand was low (paragraph 146, Recommendation 1). e. The driver had no information about the availability of sand, and so was unable to take action to mitigate the lack of it (paragraph 157). Southeastern has reported that its class 375 trains have been modified to provide the driver with an alarm when sand levels become low (paragraph 229). The possible contributory factor was: a. the driving policy required the driver to initially apply brake step 2, rather than step 1, in order to deposit sand, and thus to improve adhesion (paragraph 168). Southeastern has reported that the driving policy has since been amended (paragraph 228). The underlying factors were: a. the sand replenishment process was not responsive enough to deal with potential rates of sand usage (paragraph 180, Recommendation 3); and b.the process in place to restrict the movement of trains prior to the completion of safety-related work activities did not operate adequately in respect of sand replenishment during the leaf fall season (paragraph 195, Recommendation 2).</t>
  </si>
  <si>
    <t>ES-1057</t>
  </si>
  <si>
    <t>Train derailment, 10/11/2010, At Betanzos-Infesta station (La Coruña), kilometre point 524,468, 800 La Coruña-León railway line (Spain)</t>
  </si>
  <si>
    <t>Freight train 81729, entering the station became partially derailed.</t>
  </si>
  <si>
    <t>At Betanzos-Infesta station (La Coruña), kilometre point 524,468, 800 La Coruña-León railway line</t>
  </si>
  <si>
    <t>The accident was caused by a technical failure of the installations due to the inadequacy of the rail fastening of point nº9</t>
  </si>
  <si>
    <t>ES-1058</t>
  </si>
  <si>
    <t>Train derailment, 11/11/2010, Between Algemesí and Benifaió stations (Valencia), kilometre point 89,850, 300 Madrid-Valencia railway line. (Spain)</t>
  </si>
  <si>
    <t>Freight train COX26, running between Algemesí and Benifaió stations, became partially derailed (axle nº 28, eleventh wagon).</t>
  </si>
  <si>
    <t>Between Algemesí and Benifaió stations (Valencia), kilometre point 89,850, 300 Madrid-Valencia railway line.</t>
  </si>
  <si>
    <t>The accident was caused by a technical failure of the rolling stock due to the loss of the grease box.</t>
  </si>
  <si>
    <t>HU-1046</t>
  </si>
  <si>
    <t>Level crossing accident, 15/11/2010, Line 100: Between Sostohegy and Kemecse stations (Hungary)</t>
  </si>
  <si>
    <t>Passenger train (No. 6200) collided with a car at a LC equipped with half barrier near to Sostohegy station. In consequence of the collision the driver of the car died at the site of the occurrence.</t>
  </si>
  <si>
    <t>Line 100: Between Sostohegy and Kemecse stations</t>
  </si>
  <si>
    <t>RO-1022</t>
  </si>
  <si>
    <t>Train derailment, 15/11/2010, Galateni station belongs to Craiova Railway County, on the south of the Romanian Railway Network. (Romania)</t>
  </si>
  <si>
    <t>The second boogie of the third wagon (no. 31835300065-2) of the freight train no.60182-1, derailled over the switch no.7 in Galateni station.</t>
  </si>
  <si>
    <t>Galateni station belongs to Craiova Railway County, on the south of the Romanian Railway Network.</t>
  </si>
  <si>
    <t>The direct cause of the accident is the axial movement of the wheel no. 6 bandage on the wheel rim, which led to the derailment of the mounted axle corresponding to wheels no. 5-6 of the wagon no. 318353000065-2. Contributing factors to the occurrence of this accident were as follows: ?	weakening of the wheel no. 6 bandage from the wagon no. 318353000065-2, resulting its rotation on the wheel rim and the grinding of the fixing ring (pinning), which was determined by: ?	weakening over time of the tightening forces exerted between the bandage and the wheel rim as a result of the thermal and mechanical stresses occurred in the operation of the axle (the mounted axle is 40 years old);  ?	the bandage thickness in the rolling circle plane close to the limit admitted in operation.</t>
  </si>
  <si>
    <t>The underlying causes of this accident were: 1.	late notification of the technical inspector of wagons on duty on the 14th/15th of November 2010, by the operator on duty about the fact that he should be at the railway station CFR Ploiesti Triaj to carry out the technical inspection in transit of the freight train no. 60182/60182-1. 2.	failure of the technical inspector of wagons on duty on the 14th/15th of November 2010 on carrying out the technical inspection in transit of the freight train no. 60182/60182-1, as envisaged in the notice of appointment in traffic of the train._x000D_
The root cause of this accident is the existence at SC Grup Transport Feroviar SA of a safety management system implemented and accepted by Romanian Railway Safety Authority, which was not updated to the new characteristics of the railway transport activi</t>
  </si>
  <si>
    <t>RO-1030</t>
  </si>
  <si>
    <t>Train derailment, 17/11/2010, Open line between Metro stations Piata Unirii and Timpuri Noi belongs to SC TMB METROREX SA from Bucharest. (Romania)</t>
  </si>
  <si>
    <t>The first bogie from the metro unit no.175 B of the train no. 42/25 REM 173/174/175 derailled on open line between Metro stations Piata Unirii and Timpuri Noi, at km 5+835.</t>
  </si>
  <si>
    <t>Open line between Metro stations Piata Unirii and Timpuri Noi belongs to SC TMB METROREX SA from Bucharest.</t>
  </si>
  <si>
    <t>SC TMB METROREX SA</t>
  </si>
  <si>
    <t>The direct cause of the occurrence of this accident is the loss of guiding capacity of the wheel on the left (X head) of the axle no.8 (appeal wheel) from REM 175, which led to the escalation of the rail on the left of the running path at the entry on the curve “V8” and the derailment of the wheel next to the kilometric position 5+858. Contributing factors to the occurrence of this accident were the following: •displacement of material from the running surface of the wheel on the left of the axle no.8, in the area of the point A2 on the active flank of the wheel rim, followed by pulling out of the material on this surface and forming of some accumulations of material; •running, given the defects mentioned above, on a curve with radius of 190 m and over-elevation of 130 mm.</t>
  </si>
  <si>
    <t>SE-1080</t>
  </si>
  <si>
    <t>Other event, 2010-11-17, Skavstaby station, located on the mail line between Stockholm and Uppsala. (Sweden)</t>
  </si>
  <si>
    <t>Other event</t>
  </si>
  <si>
    <t>On 17 november 2010, two track workers working were almost hit by a train passing on the trackl at Skavstaby. Skavstaby is located between Upplands Väsby and Rosersberg in Stockholm County._x000D_
_x000D_
The two track workers, who worked under A-protection, were mounting snow protection on a switch when a passenger train were approaching on the same track they worked in. The driver of the passenger train warned with the sound signal and the two workers jumped out of the track just before the train passed the switch. 
Den 17 november 2010 inträffade ett tillbud till påkörning av två personer som arbetade i spåret på Skavstaby driftplats. Skavstaby är belägen mellan Upplands Väsby och Rosersberg i Stockholms län._x000D_
_x000D_
Två spårarbetare, som arbetade under ett A-skydd, höll på att montera snöskydd på en växel när ett resandetåg kom på det spår som de arbetade i. Föraren på resandetåget avgav ljudsignal och de två personerna hoppade ur spåret precis innan tåget passerade växeln de arbetade i._x000D_
_x000D_
HÄNDELSEFÖRLOPPET_x000D_
Onsdagen den 17 november 2010 inträffade ett tillbud till personpåkörning vid Skavstaby driftplats i Stockholms län. Två personer som arbetade vid en växel var nära att bli påkörda av resandetåg 87._x000D_
_x000D_
Tre personer, varav en utsedd till tillsyningsman, skulle montera snöskydd på växlar i Skavstaby. Vid planeringen inför arbetet bestämde arbetsledaren att ett A-skydd skulle användas som skydd för arbetet. Tillsyningsmannen hade uppfattningen om att det var ett D-skydd anordnat vid platsen och fick kontaktuppgifter till den huvudtillsyningsmannen som ansvarade för D-skyddet. Ute på plats vid växeln genomförde tillsyningsmannen ett planeringssamtal med huvudtillsyningsmannen. Huvudtillsyningsmannen meddelade att tillsyningsmannen skulle samråda med tillsyningsmännen för en spårriktare och ett makadamtåg som redan utförde arbeten i området. Därefter skulle det gå bra att få ut A-skyddet. Huvudtillsyningsmannen meddelade att sista tåget skulle passera platsen klockan 23.45. Arbetslaget bestämde att de skulle börja arbeta vid växel 111 på spår 4 eftersom det var enklast med tanke på spårriktarens och makadamtågets positioner. Efter att tillsyningsmannen hade genomfört planeringssamtal och samråd med de andra tillsyningsmännen fick tillsyningsmannen klockan 1.58 starttillstånd för ett A-skydd._x000D_
_x000D_
Arbetslaget placerade hindertavlor runt arbetsplatsen och påbörjade arbetet. Under arbetets gång uppmärksammades att det saknades material (kilar) för att slutföra arbetet. En av arbetarna åkte för att hämta ytterligare material så att arbetet skulle kunna slutföras. Klockan 3.23 hörde tillsyningsmannen en ljudsignal, tittade upp och såg lyktorna på ett tåg närma sig på det spår där de befann sig. Tillsyningsmannen sade till den kvarvarande personen att det kom ett tåg på spåret varefter de släppte verktygen och utrymde spåret mot spår 3. Tåget passerade precis växeln när de kommit in på spår 3. Tillsyningsmannen och spårarbetaren lämnade spårområdet genom att korsa uppspåren och tillsyningsmannen ringde sin arbetsledare och rapporterade händelsen. Vid händelsen var även spår 3 upplåtet för tågtrafik.</t>
  </si>
  <si>
    <t>Skavstaby station, located on the mail line between Stockholm and Uppsala.</t>
  </si>
  <si>
    <t>Den direkta orsaken till att tåget kunde passera platsen där arbetet pågick var att körsignal kunde visas eftersom spårledningen inte var kortsluten. 
The direct cause allowing the train to pass the switch were work was done was that a green signal could be given since the workers did not use track circuit clips to cut the track circuit.</t>
  </si>
  <si>
    <t>Bakomliggande orsakerna till att tillbudet inträffade var att Infranord inte planerade arbetet enligt rutinerna i BVF 923 gällande SoS-planering._x000D_
_x000D_
Arbetet planerades också som direktplanerat A-skydd trots att arbetet var känt inom Infranord och direktplanering av ett arbete endast får användas vid akut felavhjälpning. Samtalen för avstämning och starttillstånd mellan tillsyningsmannen och huvudtillsyningsmannen uppmärksammade inte att de planerade arbetet för olika områden. Varken Trafikverket eller Infranords ledning kände till den praxis som fanns att inte använda kontaktdon vid A-skydd inom ett D-skyddsområde, vilket enligt uppgift var ett vedertaget arbetssätt inom Infranord._x000D_
_x000D_
Trafikverkets system för att upptäcka avvikelser med arbete i spårmiljö har inte upptäckt bristerna hos entreprenören._x000D_
_x000D_
Trafikverkets säkerhetsstyrningssystem har inte förmått upptäcka de brister i efterlevnad av rutiner och regler för arbete i spårmiljö eller upptäckt att Trafikverkets system för att upptäcka avvikelser inte fångat upp dessa avvikelser._x000D_
_x000D_
Transportstyrelsens tillsynsverksamhet har inte fårmått upptäcka brister i efterlevnad av regler och rutiner angående arbete i spårmiljö. 
The underlying causes of the incident was that the work was not planned according to the routines in BVF923 concerning risk analysis of maintenance work._x000D_
_x000D_
The work was also planned as so called direct-planned A-protection even though the work was known within Infranord and direct planned maintenance can only be used for urgent repairs. _x000D_
_x000D_
The communication between the local supervisor and and the main supervisor did not reveal that they were planning work for different areas. _x000D_
_x000D_
Neither the infrastructure manager nor the managers of the contractor Infranord knew about the practice of not using track circuit clips for A-protection within a D-protection area, something that was accepted as common practice within Infranord._x000D_
_x000D_
The IMs safety management system has not detected the lack of compliance with routines and rules for track work. Nor has its incident reporting system detected these deviations._x000D_
_x000D_
The supervision of the Swedish NSA has not detected the non-compliance to rules and routines for track work and maintenance._x000D_
_x000D_
The IMs system for detecting deviations from rules in track work has not detected the deficiencies at Infranord.</t>
  </si>
  <si>
    <t>HU-1048</t>
  </si>
  <si>
    <t>Fire in RS, 19/11/2010, Line 250: Between Aquincum and Bekasmegyer stations (Hungary)</t>
  </si>
  <si>
    <t>A short circuit caused fire in a running train at Romaifurdo. The driver became aware of fire signal and smoke from the rear driving cabin of the train. There were no personal injuries.</t>
  </si>
  <si>
    <t>Line 250: Between Aquincum and Bekasmegyer stations</t>
  </si>
  <si>
    <t>HU-1049</t>
  </si>
  <si>
    <t>Level crossing accident, 23/11/2010, Line 26: Between Tapolca and Lesencetomaj stations (Hungary)</t>
  </si>
  <si>
    <t>Passenger train (No. 9626) collided with a car at a LC equipped with well operating flashing lights near to Tapolca station. In consequence of the collision the driver of the car and his passenger suffered serious injuries.</t>
  </si>
  <si>
    <t>Line 26: Between Tapolca and Lesencetomaj stations</t>
  </si>
  <si>
    <t>RO-1031</t>
  </si>
  <si>
    <t>Train derailment, 25/11/2010, Open line Chileni Voslobeni belongs to Brasov Railway County on the center of the Romanian Railway network. (Romania)</t>
  </si>
  <si>
    <t>The third axle of the freight wagon no.84535934752-1 from the freight train no. 39642 derailed. The derailed wagon was situated the second after the locomotive.</t>
  </si>
  <si>
    <t>Open line Chileni Voslobeni belongs to Brasov Railway County on the center of the Romanian Railway network.</t>
  </si>
  <si>
    <t>The direct cause of the accident was an accumulation of circumstances that led to the fall of the wheel on the right of the first axle of the second bogie, in the running direction, between the rail wires, which after running 4.68 m with the bandage rim on the vertical screws of fixing the rail on the right of the path (inner wire of the curve) resulted in the escalation of the rail on the left of the path (outer wire of the curve) by the wheel on the left of the first axle of the second bogie in the running direction and its fall outside the path. Contributing factors: •	Increase of the vertical force on the running surface inside the curve (right in the running direction) favored by the existence of an excessive over-elevation corresponding to the running speed limited to 30 km/h, which resulted of the wooden sleepers wear under the metallic clamping plates. •	Increase of the horizontal force value that operates in the running plane of the rail inside the curve (right in the running direction) favored by the existence of an excessive over-elevation corresponding to the running speed limited to 30 km/h, which resulted of the accelerated wear of the system of clamping the metallic plates under the rail on the wooden sleepers.  •	Existence of a defective sleeper whose capacity to provide rail clamping on the sleeper was diminished and which under the effect of additional stress due to excess of over-elevation produced increasing of the path width (gauge) under load. •	Existence of some deviations from the gauge that do not spread evenly with a maximum variation of 2mm/m.  •	Stroke at the friction stones amounted, improper to the bogie with the axles 5-6 and 7-8 (not derailed) of 3 mm to the minimum of 6 mm provided in the Instructions on technical inspection and maintenance of wagons in operation no. 250 table 6 no. 20, led to the hardening of the whole chassis - bogie that influenced how the wagon entered the curve. •	Values of the bandage rates qr of the axle no. 3 in the running direction (the derailed axle), at the minimum limit of 6.5 mm at the wheel no. 4 and of 6.6 mm at the wheel no. 3, which favored the escalation of the rail on the outer wire of the curve and influenced the entry of the bogie into curve. •	Values of the bandage rates qr of the axle no. 1 in the running direction, at the minimum limit of 6.5 mm at wheel no. 8 and of 6.6 mm at wheel no. 7, which influenced the entry on the wagon into curve. •	An additional load of the wheel no. 3, on the right in the running direction (that fell between the rail wires), to the wheel no. 4, on the left in the running direction, with a report of the axles loads of about 1.13 to 1 (calculated as the average of the three checks of the axle loads performed on the rate line “0”, on the electronic device of SC “CFR SIRV” SA Brasov – device specialized to check the axle loads at the passenger coaches – a check, respectively on the electronic device of SC “CFR SCRL” SA Brasov – device specialized to check the axle loads of the locomotives – two checks), without displacing the center of gravity of the load. •	Value of the distances between the inner sides of the derailed axle measured in two points, of 1357 mm, at the instructional minimum limit, and in a point, of 1356.5 mm under the instructional minimum limit, values obtained after the measurements performed in 3 points located at 120° from each other, closer to the rail head, measurements performed after the derailment. •	Value of the distance between the outer sides of the derailed axle of 1410.5 mm, close to the instructional minimum limit, wheels diameters being of 890 mm.           The derailment of the axle occurred by the accumulation of all the factors above, none of them could cause by itself the derailment of the wagon axle.</t>
  </si>
  <si>
    <t>• Exceeding the instructional term on the periodicity of execution of regular repair works at lines. • Operational use of the rolling stock with bandages values at the minimum instructionally admitted limit and with defects at the wagon chassis (inappropr</t>
  </si>
  <si>
    <t>DE-1032</t>
  </si>
  <si>
    <t>Other, 28/11/2010, Strecke: Berlin - Rostock zwischen Neustrelitz und Krateburg (Germany)</t>
  </si>
  <si>
    <t>In einem Baugleis prallte eine Rangierabteilung auf eine stehende Rangierabteilung. Durch den Aufprall stürtze ein Triebfahrzeug um und ein anderes stellte sich quer zur Fahrbahn. Mehrere Güterwagen entgleisten und verkeilten sich. // In a track dedicated for construction work, a shunting unit crashed into a standing shunting unit. By this impact one locomotive turned over, the other one derailed and ended up across the track. Several freight cars derailed and got wedged.</t>
  </si>
  <si>
    <t>Strecke: Berlin - Rostock zwischen Neustrelitz und Krateburg</t>
  </si>
  <si>
    <t>unzureichende Fahrwegbeobachtung  und unangepasste Geschwindigkeit // inadequate infrastructure observation and inappropriate speed</t>
  </si>
  <si>
    <t>NO-1064</t>
  </si>
  <si>
    <t>Train derailment, 01/12/2010, Tøyen metro station - Oslo (Norway)</t>
  </si>
  <si>
    <t>Derailment in switch, which was broken.</t>
  </si>
  <si>
    <t>Tøyen metro station - Oslo</t>
  </si>
  <si>
    <t>DK-5309</t>
  </si>
  <si>
    <t>Level crossing accident, 03-12-10, Højby overkørsel 23 (Denmark)</t>
  </si>
  <si>
    <t>Boy - 10 yo - hit by train in level crossing - the boy was killed instantly. 
Dreng ca 10 år blev ramt af tog i overkørsel</t>
  </si>
  <si>
    <t>Højby overkørsel 23</t>
  </si>
  <si>
    <t>Inattention from level crossing user</t>
  </si>
  <si>
    <t>ES-1079</t>
  </si>
  <si>
    <t>Level crossing accident, 03/12/2010, Level crossing, type A, kilometre point 122,116, between Espeja and Fuentes de Oñoro stations (Salamanca), 120 Vilar Formoso - Medina del Campo railway line (Spain)</t>
  </si>
  <si>
    <t>Freight train 58727 hit a van that crossed the level crossing as the train was coming. As a result, the van´s driver died.</t>
  </si>
  <si>
    <t>Level crossing, type A, kilometre point 122,116, between Espeja and Fuentes de Oñoro stations (Salamanca), 120 Vilar Formoso - Medina del Campo railway line</t>
  </si>
  <si>
    <t>HU-1067</t>
  </si>
  <si>
    <t>Train derailment, 06/12/2010, Line 40: Dombovar station (Hungary)</t>
  </si>
  <si>
    <t>On 6 December 2010 at  06:50 hrs, a 116-centimetre piece broke off of the left blade of points no. 17 when train no. 87941 was passing through it on approaching Dombovár station.</t>
  </si>
  <si>
    <t>Line 40: Dombovar station</t>
  </si>
  <si>
    <t>failure of the point blades</t>
  </si>
  <si>
    <t>CZ-1053</t>
  </si>
  <si>
    <t>Train derailment, 07/12/2010, Open line between Jesenik and Lipova Lazne stations, km 33,046 (Czech Republic)</t>
  </si>
  <si>
    <t>Broken wheel of a carriage, collision of defective part of this carriage with a rail in level crossing and consequent derailment of rear boogie of this one carriage of the fast train No. 900</t>
  </si>
  <si>
    <t>Open line between Jesenik and Lipova Lazne stations, km 33,046</t>
  </si>
  <si>
    <t>failure of the brake switch-board due to excessive heat load and long-term braking</t>
  </si>
  <si>
    <t>improperly inspection of carriage by the appropriate employees which made a wrong inspections_x000D_
ambiguous procedure of identification of overheating wheels during the inspections</t>
  </si>
  <si>
    <t>CZ-1051</t>
  </si>
  <si>
    <t>Train derailment, 08/12/2010, Open line between Prerov and Prosenice stations, km 186.771; (Prerov â€“ Bohumín main line) (Czech Republic)</t>
  </si>
  <si>
    <t>Derailment of 1 wagon (13th wagon) (type: Laaers 23 83 436 3610-2) of freight train No. Nex 46659 while running between Prerov and Prosenice stations in km 186.771. Similar accident happened on 21. 1. 2010.  According to our national law it is serious accident.</t>
  </si>
  <si>
    <t>Open line between Prerov and Prosenice stations, km 186.771; (Prerov â€“ Bohumín main line)</t>
  </si>
  <si>
    <t>PKP Cargo</t>
  </si>
  <si>
    <t>wheel vertical force loss of the wagon – technical failure</t>
  </si>
  <si>
    <t>incorrect spring leaf was placed into the wagon than is provided by technological procedures_x000D_
none</t>
  </si>
  <si>
    <t>HU-1068</t>
  </si>
  <si>
    <t>Other, 08/12/2010, Line 120: Lököshaza station (Hungary)</t>
  </si>
  <si>
    <t>On 8 December 2010 at 23:38 hrs, shunted train collided with the 5 passenger carriages standing on track no. I at Lökösháza station. One person (cleaning staff) on the shunted train suffered minor injuries.</t>
  </si>
  <si>
    <t>Line 120: Lököshaza station</t>
  </si>
  <si>
    <t>AT-1115</t>
  </si>
  <si>
    <t>Broken wheels or axles, 09/12/2010, ÖBB-Strecke 11601 von Wien Südbf (Ost) nach Bf Laa an der Thaya, zwischen Bf Süssenbrunn und Bf Stadlau. // ÖBB-Line 11601 from station Wien Südbf (Ost) to station Laa an der Thaya, between station Süssenbrunn and station Stadlau. (Austria)</t>
  </si>
  <si>
    <t>Am 9. Dezember 2010 kam es zu einem Bruch einer Radsatzwelle, beim Kesselwagen 33 51 786 7 237-4 von Zug 45043. Dies war der 5. Wagen im Zugverband. In Fahrtrichtung des Zuges trat der Bruch beim 2. Radsatz im Bereich des rechten Achsschenkels auf. Nach Ankunft von Zug 45043 in Wien Zvbf kam es beim Verschub zu einer Entgleisung dieses Wagens. 
On 9th of December 2010 occurred a fraction of an wheelset axle of tank wagon 33 51 786 7237-4 at train 45043. It was the 5th wagon in the train. In direction of the train, the crack entered at the 2nd wheelset in the area of the right journal. After arriving of train 45043 in station Wien Zvbf, a derailment of this wagon happened during shunting.</t>
  </si>
  <si>
    <t>ÖBB-Strecke 11601 von Wien Südbf (Ost) nach Bf Laa an der Thaya, zwischen Bf Süssenbrunn und Bf Stadlau. // ÖBB-Line 11601 from station Wien Südbf (Ost) to station Laa an der Thaya, between station Süssenbrunn and station Stadlau.</t>
  </si>
  <si>
    <t>(a) the seriousness of the accident or incident; 
(b) it forms part of a series of accidents or incidents relevant to the system as a whole; 
(c) its impact on railway safety on a Community level</t>
  </si>
  <si>
    <t>Die Ursache für den Bruch der Radsatzwelle war ein Anriss infolge Schwingungsreibverschleiß durch eine Relativbewegung zwischen Welle und Lagerinnenring, der bei der letzten planmäßig durchgeführten Instandhaltung mittels manueller UT nicht erkannt wurde; Bei der Eingangsuntersuchung von Z 45043 in Wien Zvbf wurde das fehlende Achslager nicht erkannt. 
The cause of the fracture of the wheelset axle was a crack as a result of fretting by a relative movement between the sxle and bearing inner ring, which was not detected during at the last scheduled maintenance performed by manual UT; During the initial examination of train 45043 in station Wien Zvbf was the missing axle bearing not detected.</t>
  </si>
  <si>
    <t>HU-1069</t>
  </si>
  <si>
    <t>Train derailment, 2010-12-09, Line 150: Budapest-Soroksari ut station (Hungary)</t>
  </si>
  <si>
    <t>On 9 December 2010 at 04:16 hrs, the first wagon of train no. 91115 derailed with one axle on points no.4 at Budapest - Soroksari ut when departing from the station.</t>
  </si>
  <si>
    <t>Line 150: Budapest-Soroksari ut station</t>
  </si>
  <si>
    <t>Optioneration - station personell - violation</t>
  </si>
  <si>
    <t>RO-1052</t>
  </si>
  <si>
    <t>Trains collision, 12/9/2010, Open line I Valea Seaca - Bacau belongs to Iasi Railway County on the East of the Romanian Railway Network. (Romania)</t>
  </si>
  <si>
    <t>The service train no. 58911 (formed from the track motor car no. 1350-73), belonging of the Iasi Railway County (Railway Infrastructure Section no. 4 Bacau) collided with the last wagon of the freight train no.55101 belonging of the National Company for Freight Railway Transport "CFR Marfa" SA.</t>
  </si>
  <si>
    <t>Open line I Valea Seaca - Bacau belongs to Iasi Railway County on the East of the Romanian Railway Network.</t>
  </si>
  <si>
    <t>Infrastructure works train; 
Freight train</t>
  </si>
  <si>
    <t>National Railway Company "CFR" S.A.; 
SOCIETATEA NATIONALA DE TRANSPORT FEROVIAR DE MARFA "CFR-MARFA" S.A.</t>
  </si>
  <si>
    <t>Accidentul s-a produs ca urmare a depasirii de catre drezina de mica capacitate DC nr. 1350 -73 a semnalului luminos de trecere al blocului de linie automat BL 13 cu indicatia „rosu” (OPRESTE fara a depasi semnalul! - primul sector de bloc din fata este ocupat) si continuarea mersului fara respectarea prevederilor instructionale, fapt care a condus la ajungerea din urma a trenului de marfa nr. 55101, stationat în linie curenta, si tamponarea de catre aceasta a ultimului vagon din compunerea trenului de marfa. 
The railway accident one occurred due to the overruning by the track maintenance car DC no. 1350 -73 of the automatic track block passing signal BL 13 that had a stop position, fact that led to the overtaking of the freight train no. 55101, stationed in the running line and the end-on collision by the small gang from the freight train no. 55101 composing.</t>
  </si>
  <si>
    <t>HU-1070</t>
  </si>
  <si>
    <t>Other, 12/13/2010, Line 135: Hodmezövasarhely station (Hungary)</t>
  </si>
  <si>
    <t>On 13 December 2010 at 15:30 hrs, two wagons derailed when shunting at points no. 9 at Hódmezovásárhely station. The shunter - who was standing on the corner stairs of the derailed wagon - suffered minor injuries.</t>
  </si>
  <si>
    <t>Line 135: Hodmezövasarhely station</t>
  </si>
  <si>
    <t>Operations - station personell - violation</t>
  </si>
  <si>
    <t>FR-1056</t>
  </si>
  <si>
    <t>Level crossing accident, 14/12/2010, Level crossing n°19 near Jonches on the single track line between Laroche-Migennes and Auxerres (France)</t>
  </si>
  <si>
    <t>A scoolbus with 23 passengers stopped after the LC with its rear end fouling the railway gauge. It was hit by a train. Many passengers were lightly injured.</t>
  </si>
  <si>
    <t>Level crossing n°19 near Jonches on the single track line between Laroche-Migennes and Auxerres</t>
  </si>
  <si>
    <t>bus driver excited by unruly young passengers stopped in hurry without noticing that the rear of the bus was fouling the railway gauge.</t>
  </si>
  <si>
    <t>HU-1071</t>
  </si>
  <si>
    <t>Level crossing accident, 19/12/2010, Line 130: Between Martely and Hodmezövasarhely stations (Hungary)</t>
  </si>
  <si>
    <t>On 19 December 2010 at 12:05 hrs, train no. 7245 collided with a car at LC no. AS319 protected by warning lights between Mártély and Hódmezovásárhely stations. The driver of the car suffered serious injuries.</t>
  </si>
  <si>
    <t>Line 130: Between Martely and Hodmezövasarhely stations</t>
  </si>
  <si>
    <t>CZ-1054</t>
  </si>
  <si>
    <t>Trains collision, 20/12/2010, Station Kamenne Zehrovice, track No. 1, km 33.855 (Czech Republic)</t>
  </si>
  <si>
    <t>Collision of passenger train (which approached to the Kamenne Zehrovice station) No. 19702 with a stationary shunting movement. 13 light injuries (11 passengers + 2 staff – all from regional passenger train). According to our national law it is serious accident due to injuries which is more than 5. Our national law doesn't differentiate between serious and light injury.</t>
  </si>
  <si>
    <t>Station Kamenne Zehrovice, track No. 1, km 33.855</t>
  </si>
  <si>
    <t>permission the entrance of the passenger regional train onto an occupied station track</t>
  </si>
  <si>
    <t>wrong steps by station personnels, engine driver of passenger train and engine driver of shunting movements who didn't observe the technological procedures_x000D_
none</t>
  </si>
  <si>
    <t>HU-1232</t>
  </si>
  <si>
    <t>Level crossing accident, 22/12/2010, Line 155: between Kiskunhalas and Harkakötöny stations - LC: AS423 (Hungary)</t>
  </si>
  <si>
    <t>Passenger train (No. 782) collided with a car at a LC protected by warning lights Kiskunhalas and Harkakötöny stations. In consequence of the collision the driver of the car died at the site of the occurrence.</t>
  </si>
  <si>
    <t>Line 155: between Kiskunhalas and Harkakötöny stations - LC: AS423</t>
  </si>
  <si>
    <t>EE-1060</t>
  </si>
  <si>
    <t>Trains collision, 23.12.2010, Open line without settlement between Kehra and Aegviidu stations (km 157.880). (Estonia)</t>
  </si>
  <si>
    <t>Without permission a four-wagon electric rolling stock ignored prohibiting signals, left the boundaries of station to open line. Freight train collided with electric rolling stock. The freight train and the electric rolling stock derailed partly.</t>
  </si>
  <si>
    <t>Open line without settlement between Kehra and Aegviidu stations (km 157.880).</t>
  </si>
  <si>
    <t>Freight train; 
Other</t>
  </si>
  <si>
    <t>AS EVR Cargo; 
Elektriraudtee AS</t>
  </si>
  <si>
    <t>The direct cause of the accident was the human factor - the engine driver in alcoholic intoxication, ignoring the traffic lights and without the permission of the train dispatcher, driving his train set into collision with the freight train.</t>
  </si>
  <si>
    <t>RO-1061</t>
  </si>
  <si>
    <t>Fire in RS, 24/12/2010, Open line II between Chitila and Bucuresti Nord railway stations belongs to Bucharest Railway County on the south of the Romanian Railway Network. (Romania)</t>
  </si>
  <si>
    <t>The central part of the locomotive DHC 152 was burnt.</t>
  </si>
  <si>
    <t>Open line II between Chitila and Bucuresti Nord railway stations belongs to Bucharest Railway County on the south of the Romanian Railway Network.</t>
  </si>
  <si>
    <t>The fire was initiated by the auto-ignition of the wiring insulation of the electric circuit between the dynastarter and the accumulator batteries under the conditions of operating in overload, its propagation being realized by the burning of the residual fuel deposits.  Contributing factors: the advanced sulfation and the short-circuited elements at the accumulators battery pack (type Magma), mounted in inhomogeneous composition as follows (box no. 1 – 515/2005, box no. 2 – 515/2005, box no. 3 – 515/2005, box no. 4 – 515/ 2005, box no. 5 – 415/2005, box no. 6 – 077/2005, box no. 7 – 445/2003, box no. 8 – 167/2003).</t>
  </si>
  <si>
    <t>It was not complied the cycle of mandatory repairs and inspections at the locomotive, according to the provisions of the Railway Norm "Railway vehicles. Inspections and planned repairs" no. 67-005 from 2008 approved by OMT no. 364/2008, (the locomotive was due to repair type RG since May 2004, occasion on which the inappropriate wiring should have been change, the cleaning and repainting of the hidden parts should have been performed, inclusively the mounting of a new accumulators battery pack).</t>
  </si>
  <si>
    <t>UK-1063</t>
  </si>
  <si>
    <t>Trains collision with an obstacle, 28/12/2010, Summit Tunnel, Calderdale (United Kingdom)</t>
  </si>
  <si>
    <t>The accident occurred at about 01:19 hrs when the train, formed by a three car Class 185 Diesel Multiple Unit, was passing underneath a ventilation shaft about 740 m from the north portal of Summit tunnel.  The train was travelling at 70 mph (113 km/h) when it struck a large body of ice which, after impact, measured about 2m in height and 8m in length.  All wheels of the front bogie were derailed causing the front driving cab of the train to strike the tunnel wall.</t>
  </si>
  <si>
    <t>Summit Tunnel, Calderdale</t>
  </si>
  <si>
    <t>First TransPennine Express</t>
  </si>
  <si>
    <t>The immediate cause of the accident was that train 1P02 approached and struck a pile of ice on the track in Summit tunnel</t>
  </si>
  <si>
    <t>The causal factors were: a. the water running down the lining in ventilation shaft 10 froze and formed a large quantity of ice, which then began to thaw and fall onto the railway tracks below (paragraph 63, Recommendation 1); b. the volume of water seeping through the linings of ventilation shaft 10 (paragraph 67, Recommendation 1); c. the routine inspection regime did not identify the excessive amounts of ice that formed in the tunnel’s ventilation shafts (paragraph 74, Recommendation 4); d. the infrastructure maintenance staff did not carry out any additional inspections to look for ice or icicles in Summit tunnel (paragraph 81, Recommendation 4); and e. train 1P02 was allowed to pass through Summit tunnel at the normal permitted speed for the line (paragraph 96, Recommendation 2). It is possible that the following factor was causal: a.the risk presented to trains by ice and icicles when resuming the train service was not identified by the Emergency Weather Action Team conference (paragraph 105, Recommendation 3). The underlying factors were: a. the LNW route structures management engineers in Network Rail’s buildings and civils – asset management function had no formal means of passing safety related information to other parts of Network Rail’s organisation and then getting confirmation that it has been acted upon (paragraph 118, Recommendation 5); b. the LNW route structures management engineers in Network Rail’s buildings and civils – asset management function had no formal means of getting other parts of Network Rail’s organisation to implement necessary safety actions that fall outside of their direct control (paragraph 123, Recommendation 5); c. in this instance, Network Rail had not considered what the effects of extreme cold weather would be during periods when no trains were running (paragraph 127, Recommendation 2); and d. Network Rail had not considered, as part of its weather management processes, what risks there might be to the operation of trains when thaw conditions set in after a period of extreme cold weather (paragraph 134, Recommendation 3).</t>
  </si>
  <si>
    <t>RO-1062</t>
  </si>
  <si>
    <t>Train derailment, 31.12.2010, Sinaia station belongs to Bucharest Railway County on the south of Romanian Railway Network (Romania)</t>
  </si>
  <si>
    <t>The first axle of the locomotive EA 622 from the freight train no. 60760 derailled on the switch no. 7.</t>
  </si>
  <si>
    <t>Sinaia station belongs to Bucharest Railway County on the south of Romanian Railway Network</t>
  </si>
  <si>
    <t>S.C. TRANSFEROVIAR GRUP S.A.</t>
  </si>
  <si>
    <t>The direct cause of this accident occurrence was the loss of guiding capacity of the first axle in the running direction of the locomotive (the driving axle) due to the rotation occurred under the circumstances of passing of the locomotive from duty braking regime to towing regime, at the running on a line in curve – counter-curve and in slope of 24.53‰._x000D_
_x000D_
Contributing factors_x000D_
•	amplification of rotation phenomenon of the locomotive by its superposing over the rotation effect given by the system of the horizontal guiding forces of the rails on the two bogies, at the entrance in curve of the first axle from the first bogie in the running direction;_x000D_
•	the sinuous path in the area of the accident composed of two curves of opposite direction, without alignment and with different radii, the first bogie of the locomotive being on a curve and the second bogie on the other curve;_x000D_
•	the value of the rail twisting of 13 mm (to 12.5 mm admitted at the railway maintenance) measured at the base of 2.5 m;_x000D_
•	the switch no. 7 on which occurred the locomotive derailment had the slope of 24.53‰ towards the X end of the railway station CFR Sinaia;</t>
  </si>
  <si>
    <t>FI-0113</t>
  </si>
  <si>
    <t>Level crossing accident, 1.1.2011, Level crossings in Finland (Finland)</t>
  </si>
  <si>
    <t>Safety study on level crossing accidents during 2011</t>
  </si>
  <si>
    <t>ES-1111</t>
  </si>
  <si>
    <t>Train derailment, 2011-01-04, Zaragoza-Delicias station (Zaragoza), at its gauge changing facility, 060 Bif.Cambiador Zaragoza-Delicias - Cambiador Zaragoza-Delicias railway line (Spain)</t>
  </si>
  <si>
    <t>Long distance passenger train derailed of second axle of first bogie as it was in the operation of swapping the gauge.</t>
  </si>
  <si>
    <t>Zaragoza-Delicias station (Zaragoza), at its gauge changing facility, 060 Bif.Cambiador Zaragoza-Delicias - Cambiador Zaragoza-Delicias railway line</t>
  </si>
  <si>
    <t>The derailment was caused by a failure of the gauge changing facility devices.</t>
  </si>
  <si>
    <t>CZ-1076</t>
  </si>
  <si>
    <t>Trains collision with an obstacle, 06/01/2011, Holetin and Vojtechov stops (Havlickuv Brod â€“ Pardubice/Rosice nad Labem main line) (Czech Republic)</t>
  </si>
  <si>
    <t>Regional passenger train No. 5301 went on the the track which was in poor weather conditions (during 176 minutes didn't go any trains on this line), first of all the train deadlocked on the track, after several minutes the train continued in its journey and collided with a snowdrift and consequent derailment</t>
  </si>
  <si>
    <t>Holetin and Vojtechov stops (Havlickuv Brod â€“ Pardubice/Rosice nad Labem main line)</t>
  </si>
  <si>
    <t>permission the departure of the regional passenger train without adopting measures for the safe journey</t>
  </si>
  <si>
    <t>1) not available procedures to restore a traffic after the accident or incident for the operation by provable documented affirmative expression of professionally qualified staff  and 2) not available procedures allow by dispatcher to drive a train which stands on track, but the dispatcher is not sure whether the track is clear_x000D_
unavailable winter measures to ensure safety in bad weather conditions</t>
  </si>
  <si>
    <t>RO-1066</t>
  </si>
  <si>
    <t>Train derailment, 2011-01-07, Pajura station belongs to Bucharest Railway County on the south of Romanian Railway Network (Romania)</t>
  </si>
  <si>
    <t>The last axle of the locomotive DHC 392 from the service train no. 87222-1 derailed on the switch no. 12.</t>
  </si>
  <si>
    <t>Pajura station belongs to Bucharest Railway County on the south of Romanian Railway Network</t>
  </si>
  <si>
    <t>The derailment of the last axle of the locomotive DHC 81-0392-1 (running isolated as train no. 87222-1) occurred as consequence of the handling of the switch no. 12 from the position “+” corresponding to the output path performed for the train no. 87222-1, on the position “-” corresponding to the input path of the passenger train no. 7032, with the switch section busy on spot._x000D_
_x000D_
The operation activity of the installation of electronic centralizing type ESTW L90RO from the flag station Pajura under the circumstances of some failures occurred as consequence of removing several components (transform type L) from the installation, leads to the display on the monitor associated to the installation of the information regarding the condition of “busy” of the isolated sections 024, 4-12, IIC, irrespective of the real condition of “free” existing on spot, situation in which the handling of the switch was allowed only after receiving the written confirmation on the check of the release of the output path performed for the train no. 87222-1 (the isolated locomotive DHC 81-0392-1).</t>
  </si>
  <si>
    <t>UK-1086</t>
  </si>
  <si>
    <t>Accident to persons caused by RS in motion, 08/01/2011, Torworth, Nottinghamshire (United Kingdom)</t>
  </si>
  <si>
    <t>The operator of a tamping machine was struck by a passenger train while walking on the Down Main line.  The train, 1D53, the 22:00 hour service from London Kings Cross to Leeds, was travelling at around 100 mph (160km/h)._x000D_
_x000D_
At the time of the accident the tamper operator was walking towards his tamping machine. It was standing on the Up Main line which was closed to normal traffic (i.e. was within an engineering possession). The Down Main line was still open to traffic to allow the passage of the last service train, 1D53. _x000D_
_x000D_
The tamper operator became aware of the approach of the train behind him and tried to move clear, but received a glancing blow to his left leg. His bag was pulled from his left shoulder and carried away by the train. The tamper operator suffered severe bruising to his left leg and an injury to his shoulder.  _x000D_
_x000D_
On arrival at Torworth level crossing, a point of access for the work activities, the tamper operator had incorrectly assumed that the Down Main line had been closed to traffic and walked towards his machine with his back to the normal direction of the trains. The driver of train 1D53 saw the tamper operator ahead, and judged that he had moved clear. As a result the train did not stop and continued its journey.</t>
  </si>
  <si>
    <t>Torworth, Nottinghamshire</t>
  </si>
  <si>
    <t>East Coast Main Line Company Limited</t>
  </si>
  <si>
    <t>The immediate cause of the accident was that tamper driver 1 was walking in the path of train 1D53 as it approached on the down main line (paragraph 75).</t>
  </si>
  <si>
    <t>The causal factors were: a. Tamper driver 1 went on an operational railway and then walked in the four-foot in contravention of the Rule Book and his PTS training (paragraph 78, Recommendation 1).b.Tamper driver 1 assumed that the down main line was under possession (paragraph 84, Recommendation 1).c.Tamper driver 1 may have been unsettled by events leading up to his arrival at Torworth level crossing which could have affected his decision making. This is a possible causal factor (paragraph 88). d.Tamper driver 1 did not have the information he needed to safely access his tamper (paragraph 93, Recommendation 1).The following underlying factors were identified:a.Engineering train drivers and on-track machines crews often access work sites on foot without having received a safety briefing and this is not prevented by the Rule Book (paragraph 111, Recommendation 1). b. AmeyCOLAS did not have sufficient trained on-track machines staff available in System 3 to avoid a local shortage of staff and did not have a system in place for identifying and providing the information a driver or operator of an on-track machine from another system required for working out of area (paragraph 114, Recommendation 1). c.There was a level of informality and lack of co-ordination in the ameyCOLAS organisational arrangements for the work of tamper staff (paragraph 119, Recommendation 1).</t>
  </si>
  <si>
    <t>HU-1073</t>
  </si>
  <si>
    <t>Level crossing accident, 09/01/2011, Line 142: Between Pestszentimre and Kispest stations (Hungary)</t>
  </si>
  <si>
    <t>On 7 January 2011 at 16:54 hrs, train no. 2935 collided with a car at an unprotected LC in section no. 135 between Pestszentimre and Kispest stations. The driver of the car died at the site os occurence, two passengers of the car suffered serious injuries.</t>
  </si>
  <si>
    <t>Line 142: Between Pestszentimre and Kispest stations</t>
  </si>
  <si>
    <t>Human failure: Level crossing user - lack of attendance</t>
  </si>
  <si>
    <t>FI-1132</t>
  </si>
  <si>
    <t>Level crossing accident, 12-01-11, In Finland (Finland)</t>
  </si>
  <si>
    <t>Safety study on level crossing accidents in 1991-2010</t>
  </si>
  <si>
    <t>In Finland</t>
  </si>
  <si>
    <t>RO-1081</t>
  </si>
  <si>
    <t>Train derailment, 13/01/2011, Dej Triaj station belongs to Cluj Railway County on the center of Romanian Railway Network. (Romania)</t>
  </si>
  <si>
    <t>The locomotive EA 91530474024-3 and the first wagon from the freight train no. 31185-2 derailed on the switches no. 15-21.</t>
  </si>
  <si>
    <t>Dej Triaj station belongs to Cluj Railway County on the center of Romanian Railway Network.</t>
  </si>
  <si>
    <t>The direct cause of the occurrence of this accident was the loss of guidance capacity of the first axle in the running direction of the locomotive ED no. 91530474024-3, that was towing the freight train no. 31185-2, because of the occurrence of a local deformation in the embankment body  as consequence of the phenomenon of freeze / thaw and of abundant precipitation as rain.Contributing factors to the occurrence of this accident were:stagnation of rain water due to failure of proper drainage system.</t>
  </si>
  <si>
    <t>-non performance of the works of drain from the railway embankment which favored the degradation of the railway infrastructure and superstructure as consequence of the phenomenon of freeze / thaw, according to the provisions of the norm “Norms of time to  the maintenance and regular repair of the normal railway lines” – code 173 Sifting of the earthen ballast at the muddy joints. -non replacement of the normal wooden sleepers reviewed as inappropriate according to the provisions of the “Instruction of standards and tolerances for the construction and maintenance of the rail - standard gauge lines no. 314/1989”.</t>
  </si>
  <si>
    <t>IT-1078</t>
  </si>
  <si>
    <t>Train derailment, 15/01/2011, Villa San Giovanni (RC) (Italy)</t>
  </si>
  <si>
    <t>Derailment and demolition of a pole of the electric traction</t>
  </si>
  <si>
    <t>Villa San Giovanni (RC)</t>
  </si>
  <si>
    <t>ES-1087</t>
  </si>
  <si>
    <t>Level crossing accident, 16/01/2011, Level crossing, type A, kilometre point 87,782, between Osuna and Pedrera stations (Sevilla) at 422 Bif. Utrera-Fuente Piedra railway station. (Spain)</t>
  </si>
  <si>
    <t>A regional train hit a lorry that crossed the level crossing. The lorry driver and a passenger of the train were slightly injured.</t>
  </si>
  <si>
    <t>Level crossing, type A, kilometre point 87,782, between Osuna and Pedrera stations (Sevilla) at 422 Bif. Utrera-Fuente Piedra railway station.</t>
  </si>
  <si>
    <t>The accident had its origin when the road vehicle crossed the level crossing when the train was passing.</t>
  </si>
  <si>
    <t>RO-1082</t>
  </si>
  <si>
    <t>Train derailment, 2011-01-19, Bucuresti Triaj belongs to Bucharest Railway County on the south of Romanian Railway Network. (Romania)</t>
  </si>
  <si>
    <t>The first bogie of the locomotive EA 027 from the freight train no. 24794–1 derailed on the switch no. 45.</t>
  </si>
  <si>
    <t>Bucuresti Triaj belongs to Bucharest Railway County on the south of Romanian Railway Network.</t>
  </si>
  <si>
    <t>The derailment of the locomotive EA no. 474-027-4 occurred as consequence of the non-handling by the movement inspector provider from the group A2 of the railway station CFR Bucharest Triaj of the switches no. 45/53 on appropriate position for the passing of the train 24794-1 towards the railway station CFR Bucurestii Noi – group C, corroborated with the lack of the metallic straps from the heel joint of the crossing core of the switch no. 45 handles with access towards the lines from the group A2 of the railway station.</t>
  </si>
  <si>
    <t>CZ-1083</t>
  </si>
  <si>
    <t>Train derailment, 22/01/2011, Brno-Malomerice station, switch No. 43, km 160.662. (Czech Republic)</t>
  </si>
  <si>
    <t>Derailment of locomotive and 3 wagons of freight train No.52336 while running at the station Brno-Malomerice on broken point of switch No. 43. Consequent collision of regional passenger train No. 4938 with infrastructure component (catenary support) which was broken by derailment wagons.</t>
  </si>
  <si>
    <t>Brno-Malomerice station, switch No. 43, km 160.662.</t>
  </si>
  <si>
    <t>Contributing factor: too long and heavy duty of the point (the point had been in use since 1988)</t>
  </si>
  <si>
    <t>EL-1295</t>
  </si>
  <si>
    <t>Level crossing accident, 24/01/2011, From Thessaloniki towards the selection station, level crossing at CH 2+380 (Greece)</t>
  </si>
  <si>
    <t>Ministry of Transport and Communication</t>
  </si>
  <si>
    <t>The train engine from Thessaloniki towards the selection station hit a pedestrian before level crossing at CH 2+380</t>
  </si>
  <si>
    <t>Greece</t>
  </si>
  <si>
    <t>From Thessaloniki towards the selection station, level crossing at CH 2+380</t>
  </si>
  <si>
    <t>TRAINOSE</t>
  </si>
  <si>
    <t>OSE (Hellenic Railway Organisation)</t>
  </si>
  <si>
    <t>FR-1109</t>
  </si>
  <si>
    <t>Level crossing accident, 2011-01-25, Balbigny; on the double track line between Roanne and ST Etienne (France)</t>
  </si>
  <si>
    <t>The freight train hits a HGV (exceptionnal loading) blocked on the level crossing (The underslung trailer was fouling the ground on the LC)._x000D_
The first locomotive derails and ends on a field. The second locomotive derails but remains on the track.</t>
  </si>
  <si>
    <t>Balbigny; on the double track line between Roanne and ST Etienne</t>
  </si>
  <si>
    <t>Le conducteur routier du transport exceptionnel a engagé son convoi sur le passage à niveau à profil difficile sans rehausser préalablement sa remorque 
The driver of the exceptional road transport engaged his convoy on the crossing of difficult profile without prior raise of his trailer</t>
  </si>
  <si>
    <t>Complexité de la réglementation concvernant le franchissement des passages à niveau par les convois exceptionnels._x000D_
Sous-estimation des risques par le conducteur routier 
Regulatory complexity concvernant crossing crossings by abnormal loads._x000D_
Underestimation of risks by the truck driver.</t>
  </si>
  <si>
    <t>IT-1084</t>
  </si>
  <si>
    <t>Other, 27/01/2011, Route Policoro-Rocca Imperiale (line Metaponto-Sibari) (Italy)</t>
  </si>
  <si>
    <t>Death of a worker, swallowed by the chain of the ballast machine.</t>
  </si>
  <si>
    <t>Route Policoro-Rocca Imperiale (line Metaponto-Sibari)</t>
  </si>
  <si>
    <t>RO-1088</t>
  </si>
  <si>
    <t>Train derailment, 2011-01-28, Vulcan station belongs to Timisoara Railway County, on the west of the Romanian Railway Network. (Romania)</t>
  </si>
  <si>
    <t>All axles of the locomotive ED no. 91530474030-0 from the freight train no. 23815 derailed on the passing track. The train no. 23815 was formed of 35 wagons loaded with coal.</t>
  </si>
  <si>
    <t>Vulcan station belongs to Timisoara Railway County, on the west of the Romanian Railway Network.</t>
  </si>
  <si>
    <t>Executarea eronata a parcursului de iesire si expedierea  trenului 23815 pe linia de evitare cap X închisa(cu cupoane de sina lipsa). Aceste abateri au la baza un cumul de erori umane în activitatea de exploatare si întretinere a instalatiei SCB, astfel: • manipularea necorespunzatoare a macazului nr.7 ce facea parte din parcursul de iesire; • neverificarea pozitiei macazelor din parcursul de iesire prin actionarea butonului „pozitie control macazuri”pe pupitrul de comanda din biroul de miscare; • nefunctionarea celulelor luminoase ale macazului nr.7 pe pupitrul de comanda. 
Direct cause: _x000D_
	Erroneous execution of the output path and sending of the train 23815 on the avoidance line X end closed (with missing rail coupons)._x000D_
_x000D_
	These irregularities are based on an accumulation of human errors in the operation and maintenance of the installation SCB, as follows:_x000D_
	_x000D_
•	The inappropriate handling of the switch no. 7 part of the output path;_x000D_
•	The failing to verify the position of the switches in the output path by acting the button “switches control position” on the control panel in the movement office;_x000D_
•	Failure of the bright cells of the switch no. 7 on the control panel;</t>
  </si>
  <si>
    <t>• neevidentierea închiderii liniei de evitare cap X prin folosirea de capacele vopsite în rosu pe butoanele macazelor de acces si a tablitei cu inscriptionarea liniei închise pe aparatul de comanda din biroul de miscare conform art.325 lit.b din „Regulamentul pentru circulatia trenurilor si manevra vehiculelor feroviare nr.005/2005”; •	neavizarea organului SCB privind functionarea defectuoasa a instalatiei SCB din biroul de miscare conform art.107 din „Instructia de manipulare a instalatiilor de centralizare electrodinamica de tipul CR-2”. 
Underlying causes: _x000D_
_x000D_
•	Failure to accurately record of the closing of the avoidance line X end by using caps painted in red on the buttons of the access switches and of the plate with the inscription of the closed line on the control device in the movement office according to the art. 325 letter b of the “Regulation no. 005/2005 to trains running and shunting of the railway vehicles”;_x000D_
•	Failure to announce the SCB organ about the inappropriate operation of the installation SCB in the movement office according to the art. 107 of the “Instruction for handling the installations of electrodynamic centralization type CR-2”;</t>
  </si>
  <si>
    <t>SE-1113</t>
  </si>
  <si>
    <t>Trains collision with an obstacle, 2011-01-27, Frövi station which is located on the line between Hallsberg and Avesta Krylbo (Sweden)</t>
  </si>
  <si>
    <t>A steel slab on a Rmmns wagon shifted outside the wagon and collided with a brigde foundation for a track that is located above the track the freigt train was running. 
Torsdagen den 27 januari 2011 kl. 20.42 inträffade en olycka där ett stålämne som fått lastförskjutning slog i ett brofundament till en spårport på Frövi driftplats. Frövi är belägen mellan Arboga och Lindesberg i Örebro län._x000D_
_x000D_
Godståg 9132 lämnade Oxelösund den 27 januari kl. 16.49 för transport till Borlänge. När tåget anlände till Borlänge uppmärksammades att det var tjuvbroms på en av vagnarna. Vid kontroll av tåget visade det sig att en av vagnarna hade tappat ett stålämne som transporterades på vagnen. Stålämnet är ca 9 meter långt, 1,4 meter brett och väger ca 23 ton._x000D_
_x000D_
Stålämnet återfanns senare i Frövi där det slagit i ett brofundament till en spårport och ramlat av vagnen. Lasten hade innan bron passerats fått en så stor förskjutning att det befann sig utanför vagnen och banans tillåtna lastprofil.</t>
  </si>
  <si>
    <t>Frövi station which is located on the line between Hallsberg and Avesta Krylbo</t>
  </si>
  <si>
    <t xml:space="preserve">Trafikverket (former Banverket)
</t>
  </si>
  <si>
    <t>The accident occurred because the slabs were inappropriately loaded on a wagon, the floor was not cleaned. Snow and ice between the slabs and between the floor and the bottom slab led to insufficient friction and that the securing of the load did not work.</t>
  </si>
  <si>
    <t>The loading was not acceptably performed due to inadequate and outdated loading instructions for the staff who performed the loading. The staff who performed the loading lacked adequate training in cargo and its methods. The staff who controlled load lacked sufficient knowledge and skill in the load method and the ability to control the load. The train still went away despite loading the deficiencies were due to adequate control of the cargo is not carried out before the departure._x000D_
_x000D_
The shortcomings of loading and control were due to deficiencies in the monitoring of loading and control activities and deviation management. Non of the actors involved did consider it as their responsibility to check that the load was secured before the train departure. The loading instructions were not complete and was also out of date due to the follow-up instructions and the organization responsible for these have not been sufficient._x000D_
_x000D_
The lack of proactive work with risk management is also one of the causes of the accident.</t>
  </si>
  <si>
    <t>BE-5133</t>
  </si>
  <si>
    <t>Train derailment, 28-01-11, Pepinster (Belgium)</t>
  </si>
  <si>
    <t>Le vendredi 28 janvier, le train de voyageur Oostende - Eupen (E507) quitte la gare de Liège-Guillemins en direction d’Eupen. Le train E507, composé de 12 voitures et poussé par une locomotive de type 13, emprunte la voie A de la ligne 37 et est attendu à Verviers-Central à 10h25._x000D_
En sortie de la gare de Pépinster, vers 10h28, la vitesse du train est d'environ 33km/h et le conducteur accélère pour conserver une certaine vitesse. Selon notre analyse, lors de l’accélération du train, le mouvement poussé a créé d’importantes forces latérales, suffisantes pour provoquer un soulèvement des roues de la voiture. Le soulèvement de la roue provoque une perte de guidage des rails et le véhicule non guidé dévie de sa trajectoire, entraînant un premier déraillement et provoquant un début de mariage de butoirs entre les voitures en position 10 et en position 11. L’insuffisance de dévers, le mouvement de balancement et la différence de porte-à-faux (voiture de type différent) s’ajoutent et ont probablement contribué à la disparition partielle voire totale de la surface de contact entre les plateaux de butoir._x000D_
L’aiguille fermée de l’aiguillage, les éclisses aidant, oblige les roues déraillées à remonter sur la voie. Survient un second déraillement de la voiture 11, suivi d’un autre mariage de butoirs qui empêche probablement la mise en ciseau de la voiture. La voiture sort du gabarit de la voie A et prend en écharpe la voiture de tête du train E5280 qui est à l’arrêt sur la voie B._x000D_
Le choc est violent. La collision arrête brutalement les 2 dernières voitures ainsi que la locomotive du train E507. L’attelage entre les voitures 10 et 11 se décroche, le câble d’alimentation est arraché et la conduite générale est déconnectée : un freinage d’urgence est enclenché. Les 10 premières voitures se détachent de l’arrière du train laissant un vide de 50 mètres entre les 2 parties du train. La collision endommage sérieusement la cabine du conducteur de l’automotrice à l’arrêt : le conducteur est blessé légèrement. Neuf passagers sont transportés pour examen à l’hôpital de Verviers et quittent l’hôpital le jour même. _x000D_
L’accident a causé des dommages au matériel roulant et à l’infrastructure ainsi que des retards sur le réseau ferroviaire 
On Friday,January 28th, the passenger train Oostende - Eupen (E507) left the Liège-Guillemins station in the direction of Eupen. The train E507, consisting of 12 wagons and pushed by a locomotive type 13, followed the track A line 37 and was expected at Verviers-Central at 10:25._x000D_
_x000D_
While leaving Pépinster station, at approx. 10:28, the train speed was about 33km/h and the driver accelerated to maintain a certain speed. According to our analysis, during the acceleration of the train, the movement has created significant lateral forces sufficient to cause an uprising of the wagon’s wheels. The lifting of the wheel caused a loss of guide rails and the unguided wagon deviated from its path, causing a first derailment and a clash starting between wagons at position 10 and position 11. The cant deficiency, the rocking motion and the difference in overhang (different type of car) are added and probably contributed to the partial or total disappearance of the contact surface between the buffer plates._x000D_
_x000D_
The closed switch point of the switch, together with the splice bars, were forcing the derailed wheels back on track.  A second derailment of the wagon 11 occured, followed by another combination of buffers that probably prevented the folding of the wagon. The wagon left the track gauge A and sideswiped the wagon of the E5280 train that was stopped on  track B._x000D_
_x000D_
The shock was violent. The collision quenched the last 2 wagons and the locomotive of the E507 train. The coupling between the wagon 10 and 11 had been detached, the power cable was pulled off and the brake pipe was disconnected: an emergency braking system has been initiated. The first 10 wagons detached from the back of the train leaving a gap of 50 meters between the two parts of the train. The collision seriously damaged the driver's cab of the stopped locomotive: the driver as been slightly injured. Nine passengers have been transported for medical exam to the Verviers hospital and left the hospital the same day._x000D_
_x000D_
The accident caused damages to the rolling stock and the infrastructure and delays on the railway network.</t>
  </si>
  <si>
    <t>Pepinster</t>
  </si>
  <si>
    <t>see report</t>
  </si>
  <si>
    <t>HU-1153</t>
  </si>
  <si>
    <t>Level crossing accident, 28/01/2011, Line 40: Szabadegyhaza station LC: SR2 (Hungary)</t>
  </si>
  <si>
    <t>Passenger train (IC802) collided with a car at a LC equipped with half barrier and flashing lights at Szabadegyhaza station. In consequence of the collision the driver of the car and his passenger suffered serious injuries.</t>
  </si>
  <si>
    <t>Line 40: Szabadegyhaza station LC: SR2</t>
  </si>
  <si>
    <t>UK-1098</t>
  </si>
  <si>
    <t>Accident to persons caused by RS in motion, 28/01/2011, Brentwood station, Essex (United Kingdom)</t>
  </si>
  <si>
    <t>A passenger was injured when she fell between the (23:05 hrs London Liverpool Street to Shenfield) train and the platform at Brentwood station while alighting from the rear set of doors of the rear coach of the eight-coach train. The person who fell was held by another passenger until the back of the train had passed clear and then assisted back onto the platform after it had departed.</t>
  </si>
  <si>
    <t>Brentwood station, Essex</t>
  </si>
  <si>
    <t>Train 2W10 departed from Brentwood station with a passenger in an unsafe position between the platform edge and the train (paragraph 38).</t>
  </si>
  <si>
    <t>The causal factors were: a. The passenger alighted from the train at a time when the audible alarm was sounding and the doors had started to close (paragraph 42, no recommendation); b. The passenger lost her balance and fell into the gap between the platform edge and train bodyside (paragraph 44, no recommendation); and c.	The orientation of the eight-car DOO monitor and the position of the eight-car stop board 3.43 metres beyond it led to the driver of train 2W10 stopping his train in a position from which it was more difficult for him to observe the eight-car DOO monitor (paragraphs 86 and 142, Recommendation 1). The following factors were possibly causal: a. The train driver did not observe the train’s doors as they were closing and was not required to do so by current rules and regulations (paragraph 64, Recommendation 2); b.The train driver did not complete the train safety check before he started the train (paragraph 71, Recommendation 3);c. The train driver’s view of the person holding the passenger’s leg may have been obscured by a person on the platform standing close to the train (paragraph 78, no recommendation); and d. The train driver had stopped with the front of the train around 3.1 metres beyond the DOO monitor (paragraphs 80 and 142, Recommendations 1 and 3). The underlying factors were: a. The stopping practice of NXEA drivers indicates that most recognised that the eight-car monitor was not fully visible from the eight-car stop board. NXEA’s management arrangements did not identify this problem (paragraph 94, Recommendation 3); b. Network Rail had not undertaken cab rides, as required by Network Rail company standard NR/L2/TEL/30072, to review the DOO equipment set-up at Brentwood (paragraph 99, Recommendation 1); c. National Express East Anglia’s driver management processes did not  identify the driver of train 2W10’s non-compliance with the train safety check procedure (paragraph 105, Recommendation 3); and d. NXEA had not focused sufficient attention on the risk associated with DOO train dispatch from unstaffed platforms, despite the prevalence of DOO operations on its train services (paragraph 115, Recommendation 3).</t>
  </si>
  <si>
    <t>DE-1085</t>
  </si>
  <si>
    <t>Trains collision, 29-01-11, Überleitstelle Hordorf; Strecke: Magdeburg - Halberstadt; Str. Nr. 6404 (Germany)</t>
  </si>
  <si>
    <t>Der Güterzug 69192 ist unzulässig am Halt zeigenden Blocksignal B vorbeigefahren und frontal mit dem entgegenkommenden Personenzug 80876 zusammengestoßen. Der Personenzug aus Richtung Magdeburg kommend sollte an der Überleitstelle Hordorf von der eingleisigen Strecke in die zweigleisige Strecke geleitet werden. // The freight train 69192 has passed the stop block signal B and collided with the oncoming passenger train 80876. The passenger train coming from the direction of Magdeburg should have been directed on the Hordorf crossover from the one-track line into the two-track line. 
Freight train 69192 is not permitted to pass block signal B at the stop and hit frontally with oncoming passenger train 80876. The passenger train coming from Magdeburg was to be moved from the single-track line to the double-track line at the Hordorf transfer point. //The freight train 69192 has passed the stop block signal B and collided with the oncoming passenger train 80876. The passenger train coming from the direction of Magdeburg should have been directed on the Hordorf crossover from the one-track line into the two-track line.</t>
  </si>
  <si>
    <t>Überleitstelle Hordorf; Strecke: Magdeburg - Halberstadt; Str. Nr. 6404</t>
  </si>
  <si>
    <t>Veolia Verkehr Sachsen-Anhalt GmbH; 
Verkehrsbetriebe Peine - Salzgitter GmbH</t>
  </si>
  <si>
    <t>Die Untersuchung unmittelbar nach Eintreffen an der Unfallstelle, ca. 04:00 Uhr, ergab, dass die vom Güterzug DGS 69192 passierten Signale, das Vorsignal Vb, „Halt erwarten“ und das Blocksignal, „Halt“(Hp0), zeigten und die Weiche 1 in der Überleitstelle Hordorf aufgefahren wurde. Der Güterzug fuhr in einen besetzten Gleisabschnitt und kollidierte in Folge mit dem im eingleisigen Streckenabschnitt entgegenkommenden Personenzug. 
The investigation immediately after arrival at the accident site, approx. 04:00 o'clock, showed that the signals passed by the freight train DGS 69192, showed the pre-signal Vb, ‘Halt expect’, and the block signal, ‘Halt’ (Hp0), and the switch 1and the switch 1 in the transfer station Hordorf was opened. The freight train drove into an occupied track section and collided with the oncoming passenger train on the single-track section of the line.</t>
  </si>
  <si>
    <t>CZ-1091</t>
  </si>
  <si>
    <t>Trains collision, 02/02/2011, open line between Bavorov and Vodnany stations, km 4, 048 (regional line - centralized traffic control) (Czech Republic)</t>
  </si>
  <si>
    <t>Regional passenger train No. 18003 departed from the station Vodnany without permission to departure and collided with the freight train No. 88850 at open line near the station Vodnany. Regional passenger train derailed. (8 light injuries - 4 passengers + 4 staff).</t>
  </si>
  <si>
    <t>open line between Bavorov and Vodnany stations, km 4, 048 (regional line - centralized traffic control)</t>
  </si>
  <si>
    <t>wrong steps by engine driver and dispatcher who didn't observe the teleological procedures_x000D_
wrong safety system which allowed to human error</t>
  </si>
  <si>
    <t>FI-1129</t>
  </si>
  <si>
    <t>Trains collision, 02-02-11, Nurmes, Joensuu - Kontiomäki section of line (Finland)</t>
  </si>
  <si>
    <t>Trains collision, head on collision._x000D_
Freight train 4720, Dv12 diesel locomotive – Freight train 4713, Dv12 diesel locomotive and 8 wagons</t>
  </si>
  <si>
    <t>Nurmes, Joensuu - Kontiomäki section of line</t>
  </si>
  <si>
    <t>The immediate cause of the accident was the cancellation of interlockings related to signal box safety, thereby allowing the trains to use the same track.</t>
  </si>
  <si>
    <t>The insulation fault, frequency of critical commands, inadequate train location information and inadequate communication all contributed to the accident. Apparently, the traffic controller believed train 4713 to be already standing at the Nurmes yard. Consequently, despite having spoken to the engine driver, the traffic controller was unaware that train 4713 was still standing at the entry signal.</t>
  </si>
  <si>
    <t>UK-1089</t>
  </si>
  <si>
    <t>Trains collision with an obstacle, 05/02/2011, Dryclough Junction, Halifax (United Kingdom)</t>
  </si>
  <si>
    <t>A derailment occurred when train 2T02, the 05:55 hrs service from Hebden Bridge to Leeds, struck rubble as it approached Dryclough Junction in Halifax.  The train, which was staffed by two crew members and carrying eight passengers, is believed to have been travelling at about 30 mph when it approached the point of impact.  The train was a Class 158 two-car diesel multiple unit and all wheels of the leading bogies of both carriages derailed._x000D_
_x000D_
The preliminary examination of the site identified that the rubble had fallen from a section of dry stone retaining wall that had collapsed.  The retaining wall had been constructed along the top of the steep sided rock cutting at this location, behind which runs a public pavement and a local road.</t>
  </si>
  <si>
    <t>Dryclough Junction, Halifax</t>
  </si>
  <si>
    <t>The derailment occurred because the adjacent wall was unable to retain the fill material behind it after heavy rain and it collapsed onto the track where it remained undetected until the train arrived (paragraphs 46 and 98).</t>
  </si>
  <si>
    <t>The overall management of the retaining wall did not maintain the structure in a safe condition (paragraph 47 and Recommendation 3).  This was due to a combination of the following linked factors: the detailed examination of the wall due in 2009 was not carried out (paragraph 48); the visual examinations did not report the cracks in the pavement behind the wall (paragraph 56 and Recommendation 3); the process of examination sign-off was vulnerable to the risk of error by omission (paragraph 63 and Recommendation 3); missing examinations or examination reports were not reported to the structures maintenance engineers (paragraph 67 and Recommendation 2); and the cutting slope on which the wall stood was not in the Network Rail earthworks database and had not been examined (paragraphs 69 and 123 and Recommendation 5). The way in which Network Rail dealt with reports of pavement cracking from Calderdale MBC was a causal factor (paragraphs 73 - 86 and Recommendation 4).  The reduced level of staffing in the route geotechnical engineer’s organisation at the time was also a possible linked factor (paragraph 87 and Recommendation 4). The repair made to the wall in 2006 was of limited extent and did not fully address the underlying stability problem.  This was a causal factor (paragraph 89 and Recommendation 1). The presence of water in the material behind the wall was a probable factor.  This would have been made worse by the recent heavy rain and the damage to the road drainage pipe nearby (paragraph 98). The system of regular examinations made no recommendations for action that would have maintained the wall in a safe condition.  The examination reports produced by the examiner did not mention the cracking in the pavement and the examining engineer did not notice their omission.  The process is dependent on the examiner identifying new defects.  There is generally no independent checking of the examiner’s work and therefore it is vulnerable to the risk of error by omission.  This was an underlying factor in this accident and was also an underlying factor in the Feltham incident (paragraph 47 and Recommendation 3).</t>
  </si>
  <si>
    <t>AT-1093</t>
  </si>
  <si>
    <t>Level crossing accident, 08/02/2011, level crossing km 12,688 between Linz Urfahr and Aigen-Schlägl (Austria)</t>
  </si>
  <si>
    <t>collision between train 3120 and car on a non technical monitored level crossing.</t>
  </si>
  <si>
    <t>level crossing km 12,688 between Linz Urfahr and Aigen-Schlägl</t>
  </si>
  <si>
    <t>RO-1090</t>
  </si>
  <si>
    <t>Train derailment, 08/02/2011, Capu Midia station belongs to noninteroperable line P1 Capu Midia - Capu Midia, on the east of Romanian Railway Network. (Romania)</t>
  </si>
  <si>
    <t>Three wagons from the freight train no. 82691 were derailed at the entrance of the station. The train no. 82691 was formed of 22 empty wagons.</t>
  </si>
  <si>
    <t>Capu Midia station belongs to noninteroperable line P1 Capu Midia - Capu Midia, on the east of Romanian Railway Network.</t>
  </si>
  <si>
    <t>SC ROMPETROL LOGISTICS SRL</t>
  </si>
  <si>
    <t>The direct cause of the occurrence of this accident is the exceeding of the guiding capacity of the driving axle from the first bogie of the wagon no. 37807923043-9 (placed the 20th in the composition of the train) by the guiding force with which this axel attacked the rail corresponding to the outer wire of the curve (the left side in the running direction of the train), followed by the climbing of the appeal wheel rim on the rail and then by its fall outside the path. Increasing of the guiding force of the driving axle occurred under the conditions: - growth of the dynamic shocks transmitted by the path to the wagon wheels, under the circumstances in which the values of the curve arrows measured in the area of the derailment were exceeding the admitted tolerances set in the Instruction of standards and tolerances for the construction and maintenance of the rail no. 314/1989; - non-equalization of the binding device between the wagons no. 37807923043-9 and no. 33807920395-0.</t>
  </si>
  <si>
    <t>HU-1259</t>
  </si>
  <si>
    <t>Broken rails, 09/02/2011, Line 120: Lokoshaza station (Hungary)</t>
  </si>
  <si>
    <t>On 9 February 2011 at 05:45 hrs, a 735-centimetre piece broke off of the blade of points no. 14 when a shunting unit was passing through it. (Investigated commonly with an earlier occurrence - 06/12/2010 Dombovar station - ReportID:HU-1067)</t>
  </si>
  <si>
    <t>Line 120: Lokoshaza station</t>
  </si>
  <si>
    <t>AT-1195</t>
  </si>
  <si>
    <t>Level crossing accident, 10/02/2011, Die Pinzgaubahn ist eineeingleisige, nicht elektrisch betriebene Schmalspurbahn mit 760 mm Spurweite zwischen Bf Zell am See und Bf Krimml - Die Ereignisorte waren Piesendorf Bad, Fürth-Kaprun und die Strecke zwischen Fürth-Kaprun und Bruckberg Golfplat (Austria)</t>
  </si>
  <si>
    <t>Z 3352 gab in Piesendorf Bad keine Ankunftsmeldung und wechselte auf Z 3353 in die Gegenrichtung. Für Z 3353 erfolgte keine Fahranfrage und fuhr ohne Fahrerlaubnis, Abfertigung und Abfahrauftrag ab. In Bf Fürth-Kaprun (Kreuzungs-Bf) wurde Z 3306 nicht abgewartet. Auf der freien Strecke zwischen Bf Fürth-Kaprun und Bf Bruckberg Golfplatz erfolgte nach Schnellbremsung der beiden Züge eine Annäherung auf ca. 100 m. Bei der nicht genehmigten Rückfahrt von Z 3353 in den Bf Fürth-Kaprun erfolgte ein Zusammenprall mit einem PKW auf einer Eisenbahnkreuzung. 
Train 3352 gave no arrival advice and transferred to train 3353 in the opposit direction. Train 3353 drove without a request, license and approval of the departure. In station Fürth-Kaprun (station with passing loop) the crossing with train 3306 was not performed. On the open line between station Fürth-Kaprun and station Bruckberg Golfplatz after the emergency breake of the both trains occured an approach of approximately 100 m. At the not permitted return journey of train 3353 to the station Fürth-Kaprun, the collision with a car on a level crossing occured.</t>
  </si>
  <si>
    <t>Die Pinzgaubahn ist eineeingleisige, nicht elektrisch betriebene Schmalspurbahn mit 760 mm Spurweite zwischen Bf Zell am See und Bf Krimml - Die Ereignisorte waren Piesendorf Bad, Fürth-Kaprun und die Strecke zwischen Fürth-Kaprun und Bruckberg Golfplat</t>
  </si>
  <si>
    <t>Salzburg AG/Salzburg Lokalbahn</t>
  </si>
  <si>
    <t>Vor der Abfahrt des Z 3353 im Bf Piesendorf Bad wurde vom Tfzf der Fahrtbericht einer bereits gefahrener Fahrt, nämlich der des Z 3351 aufgelegt. In diesem „alten“ Fahrtbericht war die für Z 3351 erhaltene Fahrerlaubnis bis Bf Bruckberg-Golfplatz eingetragen. Durch diese Verwechslung war der Tfzf in der Annahme, eine Fahrerlaubnis bis Bf Bruckberg-Golfplatz zu haben und fuhr im Bf Fürth-Kaprun durch, da kein Haltewunsch bestand.;Durch den Streckenverlauf und die Sichtverhältnisse konnten beide Züge sich rechtzeitig wahrnehmen und es kam nur zu einen Annäherung der Fahrten auf ca. 100 m.; Nach der Beinahekollision kam es zu einer unerlaubten, nicht planmäßigen Fahrt, wobei die Einschaltung der technisch gesicherten EK nicht erfolgte. 
Before the departure of train 3353 in the stopping point Piesendorf Bad, the train driver used a journay report of a journey, which was already done by train 3351. In this "old" journay report, the train 3351 received  a license to drive to station Bruckberg-Golfplatz. Through this confusion the train driver had the assumption that the license was valid until station Bruckberg-Golfplatz. In station  Fürth-Kaprun was no stop request.;Due to the route and  the visibility, both trains were able to recognise each other and only an approach of about 100 m occured. After the near collision, there was an unauthorized, non-scheduled trip, without an activation of the technically secured level crossing.</t>
  </si>
  <si>
    <t>DE-1094</t>
  </si>
  <si>
    <t>Train derailment, 11/02/2011, Gröbers; Strecke Magdeburg - Leipzig; Strecken-Nr. 6403, in km 99,990 (Germany)</t>
  </si>
  <si>
    <t>Der vorletzte leere Wagen des FIR 51830 entgleiste ca. in km 99,990 mit beiden Achsen. Der Triebfahrzeugführer merkte die Entgleisung zunächst nicht.  Der Zug fuhr ca. 5 km weiter bis sich der Zug trennte. 
The penultimate empty wagon FIR 51830 derailed about km 99.990 with both axles. Initially, the driver did not notice the derailment. The train went on about 5 km until it became separated.</t>
  </si>
  <si>
    <t>Gröbers; Strecke Magdeburg - Leipzig; Strecken-Nr. 6403, in km 99,990</t>
  </si>
  <si>
    <t>Ursache war eine insgesamt schlechte Gleislage. Die Gleislagefehler bewirkten das Aufschaukeln der leeren Wagen am Zugschluss, was letztendlich zur Entgleisung führte. 
The cause was poor overall track geometry. The track position error caused the swaying of the empty car at the rear of the train, which ultimately led to the derailment.</t>
  </si>
  <si>
    <t>AT-1092</t>
  </si>
  <si>
    <t>Trains collision, 14/02/2011, ÖBB-Strecke 11801 von Wien Südbf nach Staatsgrenze nächst Nickelsdorf (Hegyeshalom) â€“ Bf Wien Zvbf, Hauptsignal S235, Weiche 950 // ÖBB-Line 11801 from station Wien Südbf to boarder next Nickelsdorf (Hegyeshalom HU) â€“ Station Wien Zvbf, main signal S235, (Austria)</t>
  </si>
  <si>
    <t>Signal passing at danger by shunting-locomotive, collision with freight train.</t>
  </si>
  <si>
    <t>ÖBB-Strecke 11801 von Wien Südbf nach Staatsgrenze nächst Nickelsdorf (Hegyeshalom) â€“ Bf Wien Zvbf, Hauptsignal S235, Weiche 950 // ÖBB-Line 11801 from station Wien Südbf to boarder next Nickelsdorf (Hegyeshalom HU) â€“ Station Wien Zvbf, main signal S235,</t>
  </si>
  <si>
    <t xml:space="preserve">ÖBB-Rail Cargo Austria AG; 
</t>
  </si>
  <si>
    <t>Unerlaubte Vorbeifahrt des Verschub-Tfz am Hauptsignal S235.// SPAD of the shunting-locomotive at mainsignal S235.</t>
  </si>
  <si>
    <t>IE-1095</t>
  </si>
  <si>
    <t>Level crossing accident, 14/02/2011, XG173 located at circa 124.5 milepost (Ireland)</t>
  </si>
  <si>
    <t>Train struck a car at the level crossing</t>
  </si>
  <si>
    <t>XG173 located at circa 124.5 milepost</t>
  </si>
  <si>
    <t>The car stopped at the level crossing in a position that encroached into the path of the approaching train, and was then struck by the train while attempting to reverse off the level crossing.</t>
  </si>
  <si>
    <t>Iarnród Éireann did not comply with their own internal standard for the certification of changes to infrastructure on the network;</t>
  </si>
  <si>
    <t>RO-1096</t>
  </si>
  <si>
    <t>Train derailment, 2011-02-15, Valea Alba station belongs to Craiova Railway County, on the west of the Romanian Railway Network (Romania)</t>
  </si>
  <si>
    <t>First bogie of the wagon no. 31535481610-2 from the freight train no. 91797 derailed on the line no. 2. The train no. 91797 was formed of 40 wagons. The wagon no. 31535481610-2 was loaded with scraps.</t>
  </si>
  <si>
    <t>Valea Alba station belongs to Craiova Railway County, on the west of the Romanian Railway Network</t>
  </si>
  <si>
    <t>Cauza directa a producerii acestui accident o constituie escaladarea firului din partea stânga, a sensului de mers, de catre roata atacanta a osiei nr. 4 de la boghiul nr. 2 (primul în sens de mers) al vagonului nr. 31535481610-2  (aflat al 17-lea în compunerea trenului de marfa nr. 91797), ca urmare a depasirii limitei de siguranta la deraiere în urma cresterii fortei de ghidare în timpul rularii pe curba circulara (cu deviatie dreapta) a liniei II directe din H.m. Valea Alba la contactul dintre aceasta roata si firul stâng al liniei nr. II directe aflat pe o zona în curba. Cresterea fortei de ghidare a aparut ca urmare a cresterii fortelor de frecare dintre cele doua parti ale ansamblului crapodina de la primul boghiu în sensul de mers al vagonului nr. 31535481610-2 (fapt provocat de lipsa unor bucati de la placa de uzura aflata între crapodina superioara si cea inferioara) precum si de lipsa jocului la pietrele de frecare masurat pe diagonala vagonului. 
The direct cause of the occurrence of this accident is the escalation of the wire on the left, in the running direction, by the appeal wheel of the axle no. 4 from the bogie no. 2 (the first in the running direction) of the wagon no. 31535481610-2 (the 17th in the composition of the freight train no. 91797), as consequence of the exceeding of the safety limit at derailment caused by the increase of the guiding force while rolling on the circular curve (with right deviation) of the direct line II from the H.m. Valea Alba at the contact between this wheel and the left wire of the direct line no. II located on an area in curve. The increase of the guiding force occurred as consequence of the increase of the friction forces between the two parts of the pallet assembly from the first bogie in the running direction of the wagon no. 31535481610-2 (caused by the missing of some pieces from the wear plate placed between the top pallet and the bottom one) and also by the missing of the stroke at the friction stones measured on the wagon diagonal.</t>
  </si>
  <si>
    <t xml:space="preserve"> 
None</t>
  </si>
  <si>
    <t>SI-1099</t>
  </si>
  <si>
    <t>Accident to persons caused by RS in motion, 20/02/2011, Ending of track No. 10a in station Ljubljana Zalog at a bridge river Ljubljanica. Double track line Dobova â€“ SeÅ¾ana. (Slovenia)</t>
  </si>
  <si>
    <t>At the station Ljubljana Zalog a shunting rolling stock crashed into the ending of track no. 10a, made of earth embankment which was supposed to stop the wagons, but they run onto it and were forced over it. Two wagons fell down from the slope into the river Ljubljanica. Shunting rolling stock consisted of 20 Eas wagons of stacked with waste iron and diesel locomotive. Weight of shunting rolling stock was 1370 tons. Only two wagons were breaking.</t>
  </si>
  <si>
    <t>Ending of track No. 10a in station Ljubljana Zalog at a bridge river Ljubljanica. Double track line Dobova â€“ SeÅ¾ana.</t>
  </si>
  <si>
    <t>FI-1130</t>
  </si>
  <si>
    <t>Trains collision, 21-02-11, Nokia, between Siuro and Suoniemi stations (Finland)</t>
  </si>
  <si>
    <t>Collision of trains, rear end collision. _x000D_
A freight train, which had arrived to assist another freight train, collided with the end of the other train. _x000D_
Freight train 3811, Sr1 electric locomotive and 21 wagons – Freight train 3801, 2 Dv12 diesel locomotive and 24 wagons</t>
  </si>
  <si>
    <t>Nokia, between Siuro and Suoniemi stations</t>
  </si>
  <si>
    <t>The accident was caused by erroneous location information of the train to be assisted. This led the driver of the assisting train to approach the location at too high a speed. He believed that the other train was further away. Darkness and the track geometry led to the driver of the assisting train’s failure to notice the other train in time. At the speed he had attained, he was unable to prevent the collision.</t>
  </si>
  <si>
    <t>The investigation found that a failure of the charge voltage regulator of the Dv12 locomotive serving as the leading locomotive led to the need for assistance which precipi-tated the accident. This caused the locomotive battery voltage to drop, which in turn stopped the locomotive. The driver of the train to be assisted had little experience of Dv12 locomotives and their problem solving procedures. This was a factor in the driver failing to note the low battery voltage.</t>
  </si>
  <si>
    <t>RO-1097</t>
  </si>
  <si>
    <t>Train derailment, 2/21/2011, Corabia station belongs to noninteroperable line Caracal - Corabia, on the south of Romanian Railway Network. (Romania)</t>
  </si>
  <si>
    <t>First bogie and first axle of the second bogie of the railcar no. AMX 4580 derailed on the switch no.19.</t>
  </si>
  <si>
    <t>Corabia station belongs to noninteroperable line Caracal - Corabia, on the south of Romanian Railway Network.</t>
  </si>
  <si>
    <t>Cauza directa a accidentului o constituie nelipirea acului de contraac pe pozitia directa, fapt ce a permis rotii din partea dreapta a osiei nr.1 de la boghiul nr. 1 (raporta la sensul de mers), sa se angajeze pe alt parcurs decât cel comandat. Acest lucru a fost posibil prin manipularea incompleta a macazului nr.19, neverificarea manipularii complete a macazului nr.19 si neasigurarea acestuia cu încuietoarea de macaz. 
The direct cause of the accident is non bonding the point blade  to the stock rail on direct position, which allowed the right  wheel of the axle no.1 from the bogie no. 1 (in the running direction) to engage in another route than ordered. This was possible by incomplete handling of switch no.19, and non  providing it with  switch lock.</t>
  </si>
  <si>
    <t>Cauza subiacenta a accidentului o constituie neîncuierea macazului nr. 19 care facea parte din parcursul de expediere a trenului nr.15812 contravenind astfel prevederilor art.125 punctul 2  din  Regulamentul pentru circulatia trenurilor si manevra vehiculelor feroviare nr. 005, aprobat prin MTCT nr.1816/2005, referitoare la primirea /expedierea/trecerea unui tren în/din/prin statie. 
The underlying cause of the accident consists in non locking the switch no. 19 which was part of the dispatching route of train no.15812 in contravention with the provisions of  art.125 point 2 from Regulation for running trains and hauling railway vehicles no. 005, approved by MTCT no.1816/2005, regarding the  receiving / dispatching / passing a train to / from / through the station.</t>
  </si>
  <si>
    <t>FI-1131</t>
  </si>
  <si>
    <t>Train derailment, 24-02-11, Pedersöre, Kolppi station, Seinäjokiâ€“Ylivieska section of line (Finland)</t>
  </si>
  <si>
    <t>Derailment, wheelset of the locomotive._x000D_
Freight train 5478, 2 Dv 12 diesel locomotives and 29 wagons.</t>
  </si>
  <si>
    <t>Pedersöre, Kolppi station, Seinäjokiâ€“Ylivieska section of line</t>
  </si>
  <si>
    <t>Derailment of the wheelset on the freight train’s locomotive bogie was caused by an SA3 automatic coupler on the track.</t>
  </si>
  <si>
    <t>This coupler had been dragged onto the track by another freight train, as a result of incorrect procedures in reaction to the train’s decoupling into two parts. The engine driver had believed that the uncoupling lever chain would break when the train set off and that the automatic coupler would remain in place. Trusting the engine driver’s assessment, the traffic controller gave the train the permission to drive._x000D_
The automatic coupler separated from the wagon after the detachment of the bolted key holding the coupler in place, due to a missing screw and the remaining hex screw being too short and without a hex nut. With the poorly secured key installation going un</t>
  </si>
  <si>
    <t>EL-1296</t>
  </si>
  <si>
    <t>Level crossing accident, 28/02/2011, CH 459,000 (N. AGATHOUPOLI PIERIAS) (Greece)</t>
  </si>
  <si>
    <t>The moving train killed a pedestrian</t>
  </si>
  <si>
    <t>CH 459,000 (N. AGATHOUPOLI PIERIAS)</t>
  </si>
  <si>
    <t>HU-1154</t>
  </si>
  <si>
    <t>Other, 01/03/2011, Line 30: Kapolnasnyek station (Hungary)</t>
  </si>
  <si>
    <t>On 1 March 2011 at 9:20 hrs, at Kápolnásnyék station, train no. 909 split switch no. 6 open which had been incorrectly set. (Investigated commonly with the occurence which happened on 21/09/2011 ERAIL: HU-1245)</t>
  </si>
  <si>
    <t>Line 30: Kapolnasnyek station</t>
  </si>
  <si>
    <t>The point no. 6 was incorrectly set for the train. The driver did not realise the situation and run over on the point.</t>
  </si>
  <si>
    <t>Track reconstruction works, temporary interlocking equipment, failure of the interlocking</t>
  </si>
  <si>
    <t>RO-1108</t>
  </si>
  <si>
    <t>Broken rails, 03/03/2011, Open line Orbeni - Faraoani belongs to Iasi Railway County on the east of Romanian Railway Network. (Romania)</t>
  </si>
  <si>
    <t>Before passing train no. 652, at a temperature of -13 degrees Celsius broke a rail.</t>
  </si>
  <si>
    <t>Open line Orbeni - Faraoani belongs to Iasi Railway County on the east of Romanian Railway Network.</t>
  </si>
  <si>
    <t>The direct cause of the occurrence of the two technical failures of the interoperability constituent “rail” was the decrease of the resistance to breaking of the rails under the conditions of application over time of several variable loads from the traffic that led to the rails breaking, at the tensions lower than the resistance to breaking of the steel in the rails. The breaking occurring under the conditions of application over time of several variable loads is a fatigue breaking. The steel fatigue from the rail consists of the occurrence and the development of the cracks in the contact area wheel-rail and of the plastic deformations associated with the hardening phenomena. The nature and especially the evolution of the failures indicated that they have as cause the material fatigue (steel) by repeated dynamic stresses.</t>
  </si>
  <si>
    <t>1.	Non compliance with the provisions of the art. 21, point 1 of the Instruction of standards and tolerances for the construction and maintenance of the rail - standard gauge lines no. 314/1989, providing that it is not allowed the maintenance in the path of the rails with I category defects, these having to be replaced as soon as possible, respectively in maximum 5 days from the observation. 2.	Non compliance with the provisions of the Instruction to determine the rails failures and to check the rails in the path no. 306/1972, regarding the measures to be taken when there is identified the defect type 20, respectively: “From the broken rail will be sent a sample to the Institute of transports Studies and Research for analysis and DGLI will ask to be taken measures based on the results”.</t>
  </si>
  <si>
    <t>AT-1196</t>
  </si>
  <si>
    <t>Trains collision, 05/03/2011, ÖBB-Strecke 22201 von Bf Schwarzach-Sankt Veit nach Villach Hbf - im Bf Spittal-Millstättersee. // ÖBB-Line 22201 from station Schwarzach-Sankt Veit to station Villach Hbf - in station Spittal-Millstättersee (Austria)</t>
  </si>
  <si>
    <t>Bei der Verschubfahrt des Nachschiebe-Tfz zu Z 41818  übersah der Triebfahrzeugführer das  Zugende von Z 41818 und kollidierte mit diesem. Der Tfzf des Nachschiebe- Tfz war  der Meinung, dass es zu keinen Beschädigungen gekommen war und meldete nach der Bremsprobe die Abfahrbereitschaft an das Tfz an der Zugspitze. Die letzten 4 Wagen des Zuges waren beschädigt und teilweise entgleist. Bei der Ausfahrt von Z 418185 wurde die Entgleisung festgestellt. // During the shunting movement of the pushing locomotive to train 41818,  the driver overlooked  the end of train 41818 and collided with it. The driver was of the opinion that there was no damage happend and reported after the brake test the departure readiness to the locomotive on the top of the train. The last 4 wagons of the train were damaged and partially derailed. At the exit of train 41818 the derailment was noted.</t>
  </si>
  <si>
    <t>ÖBB-Strecke 22201 von Bf Schwarzach-Sankt Veit nach Villach Hbf - im Bf Spittal-Millstättersee. // ÖBB-Line 22201 from station Schwarzach-Sankt Veit to station Villach Hbf - in station Spittal-Millstättersee</t>
  </si>
  <si>
    <t>Nichtbeachtung der Bestimmungen über das Fahren auf Sicht beim Verschub. // Non-compliance of determination during driving at shunting.</t>
  </si>
  <si>
    <t>HU-1155</t>
  </si>
  <si>
    <t>Spad, 06/03/2011, Line: 25, Ötvös crossover (Hungary)</t>
  </si>
  <si>
    <t>On 6 March 2011 at 13:13, train no. 48081-2 passed exit signal V1 at danger at Ötvös crossover and having split switch no. 1, it ran on the route set for train 9534. The two trains stopped 400 metres from each other. No one was injured.</t>
  </si>
  <si>
    <t>Line: 25, Ötvös crossover</t>
  </si>
  <si>
    <t>Rail Cargo Hungaria Zrt.; 
MÁV-START Zrt.</t>
  </si>
  <si>
    <t>ES-1121</t>
  </si>
  <si>
    <t>Unauthorised train movement other than SPAD, 07/03/2011, Flaça station (Gerona) (Spain)</t>
  </si>
  <si>
    <t>Long distance passenger train 212 overtook caution signal E´2 of Flaçá station.</t>
  </si>
  <si>
    <t>Flaça station (Gerona)</t>
  </si>
  <si>
    <t>Long distance passenger train; 
Freight train</t>
  </si>
  <si>
    <t>RENFE-Operadora; 
Renfe Operadora Mercancías</t>
  </si>
  <si>
    <t>The incident had its origin when train 212 overtook caution signal E´2- which stated a stop aspect - due to the non-compliance of the signal instructions by the train driver.</t>
  </si>
  <si>
    <t>Anomalous performing of ASFA system</t>
  </si>
  <si>
    <t>UK-1112</t>
  </si>
  <si>
    <t>Other, 08/03/2011, Between Clapham Junction and Earlsfield stations, London (United Kingdom)</t>
  </si>
  <si>
    <t>Two incidents occurred between Clapham Junction and Earlsfield stations which involved gangs from Network Rail’s track maintenance depot at Wimbledon, following the restoration of train services on the main lines between Waterloo and Wimbledon after the lifting of an engineer’s possession. _x000D_
The gangs were both involved in setting up a speed restriction following the earlier discovery of a rail defect during a routine ultrasonic examination of the rails._x000D_
_x000D_
The first gang left Clapham Junction station and went onto the track at about 05:25 hrs, believing they were still protected by the possession.  At 05:45 hrs a train formed of empty coaching stock which had left Clapham Yard, bound for Hampton Court, approached the members of the gang while they were still working on the track.  The site safety controller for the gang contacted the signaller and arranged for trains to be stopped to enable his gang to return safely to Clapham Junction.  He then advised the supervisor of the second gang that he had obtained a blockage for a period of 15 minutes._x000D_
_x000D_
The second gang went onto the track from a point between Clapham Junction and Earlsfield at about 06:00 hrs.  They walked to the site of the rail defect, where they intended to clamp the rail and erect marker boards.  At 06:08 hrs, the driver of a train formed of empty coaching stock on its way from Clapham Junction to Epsom sidings saw the members of the second gang and made an emergency brake application.  The train collided with an insulated shroud which was being used by the gang to protect them from the live conductor rail and came to a stand a few metres beyond the location where they had been working.</t>
  </si>
  <si>
    <t>Between Clapham Junction and Earlsfield stations, London</t>
  </si>
  <si>
    <t>Both gangs were working on the track (in a ‘red-zone prohibited’ area) while trains were running, without protection (paragraph 52).</t>
  </si>
  <si>
    <t>The causal factors were: a. COSS A took his gang out onto the track without setting up a safe system of work (paragraph 55, Recommendation 1). b. COSS B took his gang out onto the track with a system of work that did not secure the safety of his staff (paragraph 75, Recommendation 1). c. COSS A did not have a line blockage form and gave up his line blockage without remembering that COSS B was relying on it (paragraph 75). 	It is possible that the following factors were causal: a. The ES / COSS B’s decision-making may have been impaired by the demands placed on him during the night shift (paragraph 78, Recommendation 2). b. COSS A may have been fatigued; it was the end of the first night shift of the week (paragraph 60). c. COSS A felt under pressure to complete the work (paragraph 66). The following were underlying factors: a. The rules for working in a possession, but outside a work site, are complex and were not well understood by the staff involved (paragraph 84, Recommendation 1a). b. The protection arrangements developed by both COSSs on site were not subject to any checks by a competent third party, as they were not pre-planned (paragraph 88, Recommendation 1). c. Assessment in the Line was not effective in managing the competence of COSS A and COSS B (paragraphs 91-104, Recommendations 3 and 4). d. The demands on the ES / COSS B were exacerbated by the workload associated with implementing a work site in third rail areas (paragraphs 105 and 133).e.The demands on the ES / COSS B were further increased by a shortage of staff at Wimbledon depot (paragraphs 110, 127 and 129).</t>
  </si>
  <si>
    <t>FR-1110</t>
  </si>
  <si>
    <t>Train derailment, 2011-03-09, Artenay on the 4track electrified line betwwen Paris and Orleans (France)</t>
  </si>
  <si>
    <t>Axle broken (in the middle) on 2 axle freight wagon. Wagon derailed. Broken axle falls between rails and derails following wagon and damages several wagons and track.</t>
  </si>
  <si>
    <t>Artenay on the 4track electrified line betwwen Paris and Orleans</t>
  </si>
  <si>
    <t>EuroCargoRail</t>
  </si>
  <si>
    <t>fissuration de fatigue de l'axe d'essieu, non détectée au cours des différentes opérations de maintenance de l'essieu et du wagon 
fatigue cracking of the axle shaft, undetected during different maintenance of the axle and wagon</t>
  </si>
  <si>
    <t>manque de rigueur dans l'inspection visuelle des axes lors de la maintence des wagons; _x000D_
mauvaise application des règles de vérification des axes lors de la maintenance des essieux 
lack of rigor in the visual inspection of the axes in the maintence cars; _x000D_
incorrect application of the verification rules axes during maintenance axles</t>
  </si>
  <si>
    <t>HU-1156</t>
  </si>
  <si>
    <t>Level crossing accident, 2011.03.09., Line:108, between Hortobágy and Balmazújváros stations (Hungary)</t>
  </si>
  <si>
    <t>On 9 March 2011 at 8:25 hrs, train no. 6517 collided with a car at unprotected LC between Hortobágy and Balmazújváros stations at railway section 352+47. The driver of the car and two of his passengers died at the site of the occurrence.</t>
  </si>
  <si>
    <t>Line:108, between Hortobágy and Balmazújváros stations</t>
  </si>
  <si>
    <t>Third parties - Level crossing user</t>
  </si>
  <si>
    <t>CZ-1146</t>
  </si>
  <si>
    <t>Broken wheels or axles, 14/03/2011, Uhersko station (main line between Ceska Trebova and Praha - Liben stations) (Czech Republic)</t>
  </si>
  <si>
    <t>Broken tyre of wheel of locomotive of the passenger train No. 867 when approached to the station Uhersko (without derailment)</t>
  </si>
  <si>
    <t>Uhersko station (main line between Ceska Trebova and Praha - Liben stations)</t>
  </si>
  <si>
    <t>The findings regarding the condition of the tyre shows that source of broken wheel was caused by reduced quality of material originating in the manufacturing process.  	Although the thickness of the tyre was in order and according the regulation, the developing crack which led to a complete broken tyre.</t>
  </si>
  <si>
    <t>ES-1120</t>
  </si>
  <si>
    <t>Trains collision with an obstacle, 16/03/2011, P.K. 323+320, 220 Lleida Pirineus-L´Hospitalet de Llobregat railway line, between Olesa de Montserrat and Vacarisses Torreblanca halts. (Spain)</t>
  </si>
  <si>
    <t>A passenger train collided with soil and rock that were on the track due to a landslide. As a result, the train partially derailed.</t>
  </si>
  <si>
    <t>P.K. 323+320, 220 Lleida Pirineus-L´Hospitalet de Llobregat railway line, between Olesa de Montserrat and Vacarisses Torreblanca halts.</t>
  </si>
  <si>
    <t>EL-1292</t>
  </si>
  <si>
    <t>Level crossing accident, 17/03/2011, From N.Orestiada towards RS Pythiou at C.H. 123+350 (Greece)</t>
  </si>
  <si>
    <t>At the level crossing a train hit a car</t>
  </si>
  <si>
    <t>From N.Orestiada towards RS Pythiou at C.H. 123+350</t>
  </si>
  <si>
    <t>HU-1157</t>
  </si>
  <si>
    <t>Level crossing accident, 2011-03-20, Line:40, between Budafok-Háros and Nagytétény-Diósd stations (Hungary)</t>
  </si>
  <si>
    <t>On 20 March 2011 at 15:06 hrs, train no. 4544 crashed a motorcyclist at LC AS87 on the right track between Budafok-Háros and Nagytétény-Diósd stations. The motorcyclist died at the site</t>
  </si>
  <si>
    <t>Line:40, between Budafok-Háros and Nagytétény-Diósd stations</t>
  </si>
  <si>
    <t>Violation -  LC-user</t>
  </si>
  <si>
    <t>HU-1158</t>
  </si>
  <si>
    <t>Accident to persons caused by RS in motion, 21/03/2011, Line: 80, Visonta station (Hungary)</t>
  </si>
  <si>
    <t>On 21 March 2011 at 23:40 hrs, the shunting foreman suffered serious injuries at Visonta station.</t>
  </si>
  <si>
    <t>Line: 80, Visonta station</t>
  </si>
  <si>
    <t>Mátrai Eromu Zrt.</t>
  </si>
  <si>
    <t>A tolatásvezeto a mozgó kocsi féktuskóját lábbal kísérelte meg a keréktol eltávolítani. A muvelet során lába a féktuskót rögzíto saruról lecsúszott és egyensúlyát veszítve jobb lába a kocsi kereke alá került. 
The shunter féktuskóját foot moving truck attempted to remove the wheel. During this process, the blocks are fixing saruról feet slipped off balance and losing his right leg came under the wheels of the car.</t>
  </si>
  <si>
    <t>UK-1127</t>
  </si>
  <si>
    <t>Other, 23/03/2011, Lydney station, Gloucestershire (United Kingdom)</t>
  </si>
  <si>
    <t>The RAIB is carrying out an investigation into an incident which occurred at the level crossing at Lydney station, Gloucestershire, on the railway between Severn Tunnel Junction and Gloucester, on Wednesday 23 March 2011. _x000D_
Lydney level crossing has full-width power-operated lifting barriers which are normally controlled by a crossing keeper from the adjacent former signal box. At about 13:25 hrs the crossing keeper found that he was unable to raise one of the barriers after the passage of a train. Over the next hour, four trains passed over the crossing. The last of these, the 13:45 hrs Cardiff to Nottingham service, passed over the crossing at about 60 mph while the barriers were in the raised position._x000D_
_x000D_
There were some road vehicles waiting at the level crossing, where the red flashing lights were showing. The rail signal protecting the level crossing was showing green, and the train driver was unaware of the incident. Subsequent testing by Network Rail found that the level crossing equipment had functioned as it was designed to, but that it was possible to raise the barriers by hand without affecting the aspects of the protecting signals. At this particular level crossing, the keeper was not provided with any indication of the state of the signals or any means of controlling them (other than an emergency replacement switch)._x000D_
_x000D_
The investigation will examine the sequence of events leading up to the incident, the implications of the design which enabled the signals to show a ‘proceed’ aspect when the barriers were in the raised position, the adequacy of the instructions and training given to the staff who operated and maintained the crossing, and other factors which may have affected the incident._x000D_
_x000D_
Network Rail has been notified of the investigation and the RAIB’s preliminary findings.</t>
  </si>
  <si>
    <t>Lydney station, Gloucestershire</t>
  </si>
  <si>
    <t>The level crossing barriers were raised while a train was approaching and the protecting signals were showing a proceed aspect (paragraph 47).</t>
  </si>
  <si>
    <t>The causal factors were: a The annunciator did not sound when the crossing keeper pressed the barrier raise control (paragraph 48, no recommendation). b When viewing the diagram, the crossing keeper did not see the illuminated indicator lamps which should have shown that a train was approaching (paragraph 54, no recommendation as action already taken, paragraphs 151 and 152). c  The crossing was designed so that, once the barriers had been lowered for a train, signals would clear for a subsequent train without the crossing keeper operating any controls (paragraph 62, no recommendation as action taken locally (paragraph 152) and no other similar crossings remain on Network Rail infrastructure). d The crossing keeper did not appreciate that communication with the signaller was essential to allow safe manual operation of Lydney barriers (paragraph 78, Recommendations 1 and 2). e The crossing keeper believed that manually raising the barriers would ensure that the protecting signals showed a stop aspect (paragraph 104, Recommendations 1 and 3). A probable causal factor is that the box instructions at Lydney and Newport did not make clear that the crossing keeper must contact the Newport signaller, and the signaller must protect the crossing, before the barriers were raised manually (paragraph 85, Recommendation 1). It is possible that the following factors were causal: a The crossing keeper did not contact the Newport signaller (paragraph 68, Recommendations 1, 2 &amp; 3). b The crossing keeper may have been distracted by a desire to avoid delaying road traffic (paragraph 75, no recommendation). c Routine competency checks did not reveal that crossing keepers were unaware that railway safety depended on them contacting the signaller before raising barriers manually (paragraph 93, Recommendation 2). The recent barrier failures are a contributory factor because it is possible that they encouraged the crossing keeper to incorrectly assume that a similar failure had occurred when the barriers did not respond to the raise button (paragraph 114, no recommendation as replacement in progress, paragraph 153). Underlying factors were: a Omission of information from Lydney box instructions is a possible explanation for the crossing keeper’s actions. As other errors and inconsistencies have been found in box instructions, the process for providing, and checking, these instructions is a possible underlying factor (paragraph 123, Recommendation 1). b 	Network Rail’s level crossing risk assessment process did not recognise, and then mitigate, risks associated with the equipment provided at Lydney level crossing, possible staff errors or deficient procedures (paragraph 133, covered by previous recommendation, paragraph 156).</t>
  </si>
  <si>
    <t>HU-1231</t>
  </si>
  <si>
    <t>Level crossing accident, 29/03/2011, Line 111: Between Mateszalka and Vasarosnameny stations (Hungary)</t>
  </si>
  <si>
    <t>Passenger train (No. 6346) collided with a car at a LC protected by warning lights between Mateszalka and Vasarosnameny stations. In consequence of the collision the driver of the car died at the site of the occurrence. The motorcar of the train derailed.</t>
  </si>
  <si>
    <t>Line 111: Between Mateszalka and Vasarosnameny stations</t>
  </si>
  <si>
    <t>CZ-1143</t>
  </si>
  <si>
    <t>Accident to persons caused by RS in motion, 31/03/2011, Station Cimelice, km 38,2, station track No. 1 (Czech Republic)</t>
  </si>
  <si>
    <t>A passenger's arm was locked into the doors when she left the passenger train No. 7905. The passenger was towed approximately 15 m and was serious injured. The train departed from the station Cimelice.</t>
  </si>
  <si>
    <t>Station Cimelice, km 38,2, station track No. 1</t>
  </si>
  <si>
    <t>Closure of the doors during disembarkment of passengers at the station</t>
  </si>
  <si>
    <t>RO-1117</t>
  </si>
  <si>
    <t>Train derailment, 01/04/2011, Chisineu Cris station belongs to Timisoara Railway County in the west of Romanian Railway network. (Romania)</t>
  </si>
  <si>
    <t>The 5th, 6th, 7th, 8th, 9th, 10th, 11th, 12th and 13th wagon (loaded with coal) from the freight train no. 50505 derailed over the switch no. 3.</t>
  </si>
  <si>
    <t>Chisineu Cris station belongs to Timisoara Railway County in the west of Romanian Railway network.</t>
  </si>
  <si>
    <t>the rolling of the axles from the 2nd bogie of the wagon no. 88536656453-6 (the fifth in the composition of the train) together with the axles of the first bogie from the wagon no. 88536656616-8 (the sixth in the composition of the train), with the wheels on the left in the running direction on the right counter-needle of the switch no. 3 and with those on the right on the curved counter-needle of the same switch, followed by the fall of the wheels on the right between the right counter-needle and the curved needle, at about 11 m from the top of the needles.</t>
  </si>
  <si>
    <t>HU-1233</t>
  </si>
  <si>
    <t>Level crossing accident, 03/04/2011, Line 147: Between Szentes and Gadoros stations (Hungary)</t>
  </si>
  <si>
    <t>Passenger train (No. 37454) collided with a car at a LC protected by warning lights between Szentes and Gadoros stations. In consequence of the collision the driver of the car and his passenger suffered serious injuries</t>
  </si>
  <si>
    <t>Line 147: Between Szentes and Gadoros stations</t>
  </si>
  <si>
    <t>NO-1123</t>
  </si>
  <si>
    <t>Fire in RS, 04/04/2011, Asper station (Norway)</t>
  </si>
  <si>
    <t>Fire in diesel engine of locomotive Di8, which was at the back pushing the fuel train. There were 2 locomotives Di8 in front of the fuel train, but on of these locomotives was out of function.</t>
  </si>
  <si>
    <t>Asper station</t>
  </si>
  <si>
    <t>ES-1150</t>
  </si>
  <si>
    <t>Train derailment, 05/04/2011, Rubí station (Barcelona); 246 Castellbisbal-Mollet San Fost railway line; kilometre point 6,707 (Spain)</t>
  </si>
  <si>
    <t>Freight train partially derailed at Rubi station when, after having overrun exit signal S1/1 (red aspect), found the dual-gauge switch (CH6) wrongly faced.</t>
  </si>
  <si>
    <t>Rubí station (Barcelona); 246 Castellbisbal-Mollet San Fost railway line; kilometre point 6,707</t>
  </si>
  <si>
    <t>The accident had its origin when the driver overtook exit signal due to the non-compliance of the signal instructions by him. As a result, the dual-gauge switch CH6, which was arranged for a different established route, caused the train became partially derailed.</t>
  </si>
  <si>
    <t>UK-1125</t>
  </si>
  <si>
    <t>Other, 06/04/2011, Between Bromsgrove and Stoke Works Junction. (United Kingdom)</t>
  </si>
  <si>
    <t>The RAIB is carrying out an investigation into the partial failure of a brick arch culvert carrying a stream under a four track railway and three adjacent sidings, south of Bromsgrove station, on 6 April 2011. _x000D_
During the evening of 6 April an inspection of the line revealed an unusual dip in the track and a speed restriction of 20 mph (32 km/h) was imposed on three of the four lines at this location.  _x000D_
_x000D_
Just before 06:00 hrs on the following morning (7 April) all lines were blocked to permit divers to inspect the culvert that passes under the line.  The divers discovered that the central (oldest) section of the culvert was in a poor condition.  At this location the culvert is about 1.8 metres wide, 1 metre high and comprised a 3-ring brick arch supported on brick abutments.  The profile of crown of the brick arch had become flattened and a 600 mm x 600 mm section of the arch had partially failed, allowing ballast to drop from the track bed above into the watercourse._x000D_
_x000D_
Following a review of the damage, one of the four running lines was reopened to traffic at 08:28 hrs, and another at 17:00 hrs.  _x000D_
_x000D_
Traffic was not restored on all four running lines until 8 April (with a speed restriction) once engineers had completed a temporary structure over the top of the failed arch to support the track bed. _x000D_
_x000D_
During this period many trains were diverted via Worcester, Droitwich and Kidderminster.  This caused significant disruption to both passenger and freight services.  Although no trains became derailed because of the partial failure of the structure, the consequences could have been worse had the arch suddenly collapsed.  The RAIB investigation will therefore include a review of the inspection, maintenance and risk management of this structure and others of its type._x000D_
_x000D_
Network Rail has been notified of the RAIB’s investigation.</t>
  </si>
  <si>
    <t>Between Bromsgrove and Stoke Works Junction.</t>
  </si>
  <si>
    <t>The line became unsafe because of the partial failure of an under-track structure (paragraph 43).</t>
  </si>
  <si>
    <t>The causal factor was:The roof of the structure was damaged by impact loading originating from train wheels passing over an adjustment switch which had been installed above, creating a minor, but recurring dip in the track (paragraph 46, Recommendation 1). Possible causal factors were: a. Examiners carrying out visual examinations were not required to enter the structure, and therefore this gave no opportunity to identify the condition of the track-supporting structure (paragraph 60, Recommendation 2).b. The detailed examination undertaken in October 2005 did not include an examination of the area which subsequently failed (paragraph 71, Learning point 1). c. The examining engineer who reviewed the 2005 examination report did not identify that additional resources were required to complete the task, and the opportunity to identify whether remedial work was necessary was therefore missed (paragraph 76, refer to paragraph 121a). An underlying factor was that reference information available to Network Rail staff about Bridge 94 was poorly collated and inaccessible (paragraph 90, Recommendation 3).</t>
  </si>
  <si>
    <t>DE-1118</t>
  </si>
  <si>
    <t>Train derailment, 08/04/2011, Bad Endorf - Landl; Strecke: Salzburg - Rosenheim; Nr. 5703; in km 11,633 (Germany)</t>
  </si>
  <si>
    <t>TEC 41810 auf dem Weg von Salzburg nach Hamburg-Maschen entgleist zwischen Bad Endorf und Landl in km 11,633 mit dem 21. Containertragwagen mit beiden Achsen. Erste Feststellung an der Unfallstelle: Achsschenkelbruch. // TEC 41810 on route from Salzburg to Hamburg-Maschen, between Bad Endorf to Landl in km 11,633, derailed with two axles of the 21st container wagon. First observation at the accident site: journal fracture.</t>
  </si>
  <si>
    <t>Bad Endorf - Landl; Strecke: Salzburg - Rosenheim; Nr. 5703; in km 11,633</t>
  </si>
  <si>
    <t>DB Schenker Rail Deutschland AG; 
DB AutoZug GmbH; 
DB Fernverkehr AG; 
Rail Cargo Austria AG</t>
  </si>
  <si>
    <t>DE-1119</t>
  </si>
  <si>
    <t>Train derailment, 08/04/2011, Bahnhof Hannover-Linden; Gleis 034, in km 21,250 (Germany)</t>
  </si>
  <si>
    <t>FZT 53820 entgleiste bei der Durchfahrt durch Gleis 034 des Bahnhofs Hannover-Linden auf der Fahrt von Braunschweig nach Seelze mit der Triebfahrzeug 140 772-5 mit dem vorderen Drehgestell. // FZT 53820 when passing through the track 034 of Hanover-Linden station on the trip from Braunschweig to Seelze derailed with the front bogie of the locomotive 140772-5.</t>
  </si>
  <si>
    <t>Bahnhof Hannover-Linden; Gleis 034, in km 21,250</t>
  </si>
  <si>
    <t>Gleislagefehler kurz vor der Entgleisungsstelle. Es handelt sich um Mängel bei der Längshöhe, der gegenseitigen Höhenlage und der daraus resultierenden Gleisverwindung. 
Track position error just before the derailment site. There are shortcomings in the longitudinal level, mutual altitude and the resulting track twist.</t>
  </si>
  <si>
    <t>CZ-1163</t>
  </si>
  <si>
    <t>Train derailment, 10.4.2011, Praha-Zizkov station, marshalling yards (Czech Republic)</t>
  </si>
  <si>
    <t>Collision of shunting operation with standing rolling stock. An engine and 3 wagons of the standing rolling stock subsequently derailed.</t>
  </si>
  <si>
    <t>Praha-Zizkov station, marshalling yards</t>
  </si>
  <si>
    <t>1. unauthorized driving of shunting operation at km 3,3;_x000D_
2. incorrect position and ensure of switches for the ride of shunting operation to the second line in  the marshalling yards Praha-Zizkov station, before leaving of previous shunting operation to Praha-Malesice station._x000D_
Contributory factor: exceeding of the maximum speed at the entrance to the marshalling yards Praha-Zizkov station.</t>
  </si>
  <si>
    <t>Underlying cause: incorrect application of technological procedures of infrastructure manager for operation in the marshalling yards Praha-Zizkov station._x000D_
Root cause: insufficient technological procedures for operation in the marshalling yards Praha-Zizkov station</t>
  </si>
  <si>
    <t>UK-1126</t>
  </si>
  <si>
    <t>Other, 10/04/2011, Durham station (United Kingdom)</t>
  </si>
  <si>
    <t>The RAIB is carrying out an investigation into an incident which occurred at Durham station on the East Coast Main Line on Sunday 10 April 2011. _x000D_
At about 12:30 hrs, a final drive cardan shaft dropped onto the track from an empty passenger train travelling from Neville Hill depot (Leeds) to Heaton depot (Newcastle). During the incident, which occurred while the train was travelling at approximately 75mph (120 km/h), a member of the public sustained a minor injury from a piece of ballast thrown up onto the platform._x000D_
_x000D_
The train involved was formed of two 2-car Class 142 units.  The shaft detached at the front end of the third vehicle and was not held up by its retention devices.  It damaged the underside of the third and fourth vehicles, piercing the fuel tank on the fourth vehicle and releasing the contents onto the railway.  _x000D_
_x000D_
Since October 2010 there have been a number of incidents of cardan shafts failing on similar types of train.  In one other case, the broken shaft was not retained and fell from the train._x000D_
_x000D_
The RAIB investigation will examine the sequence of events leading up to the incidents, the design, maintenance and overhaul of the cardan shaft and final drive, the design of the cardan shaft restraining straps and other factors which may have affected the incidents._x000D_
_x000D_
Affected parties within the rail industry have been informed of the investigation and are assisting the RAIB in establishing the cause of the incidents.</t>
  </si>
  <si>
    <t>Durham station</t>
  </si>
  <si>
    <t>The cardan shaft became detached and was not retained by the safety loops _x000D_
(paragraph 75).</t>
  </si>
  <si>
    <t>Causal factors_x000D_
_x000D_
* The seizure of the outer bearing on the input shaft of the final drive was the causal factor in the cardan shaft becoming detached (paragraph 81)._x000D_
* The seizure of the outer bearing was due to the combination of the following factors:_x000D_
a. the specified end float was small considering the high temperature difference across the bearing rings (paragraph 92, Recommendation 1);_x000D_
b. the actual installed end float was less than that measured at installation (paragraph 94, Recommendation 1); and_x000D_
c. the uncontrolled level of misalignment led to additional loads on the bearings increasing their running temperature and further reducing the operating end float (paragraph 97, Recommendation 1)._x000D_
* It is possible that the following were factors in the seizure of the outer bearing:_x000D_
a. the introduction of GS090 in January 2009 may have further reduced the operating end float on the bearings (paragraph 100, Recommendation 1); _x000D_
b. the specified end float measuring technique may have over-estimated the installed end float (paragraph 102);_x000D_
c. the testing as specified in WI-27 may have been inadequate to detect the problem with the end float setting (paragraph 105, Recommendation 5); and_x000D_
d. the input bearings may have been starved of oil cooling thereby increasing their running temperature and reducing the operating end float (paragraph 111, Recommendation 1)._x000D_
*The seizure of the outer bearing was not detected by the lift checks and this was a causal factor (paragraph 123, Recommendation 3)._x000D_
*The detached cardan shaft was not retained by the safety loops and this was a causal factor.  The safety loops did not retain the cardan shaft because of the following factors:_x000D_
a. the design of the safety loops was unable to retain a rotating cardan shaft (paragraph 119); and_x000D_
b. the geometry of the design was such that the detached cardan shaft could exit the cradle formed by the safety loops without requiring any deformation (paragraph 121)._x000D_
_x000D_
Underlying factors_x000D_
_x000D_
The underlying factors were:_x000D_
a. the original SCG product manual for the overhaul of RF420i final drives was not available to the TESCO when developing WI-27 (paragraph 129, Recommendation 4);_x000D_
b. LH had no access to the original design drawings for the final drive (paragraph 130, Recommendation 4); and_x000D_
c. LH introduced design changes to the setup of the final drive without assessing  the effects of the changes (paragraph 132, Recommendation 2).</t>
  </si>
  <si>
    <t>RO-1122</t>
  </si>
  <si>
    <t>Train derailment, 18.04.2011, Jianca station belongs to Craiova Railway County on the south of the romanian railway network. (Romania)</t>
  </si>
  <si>
    <t>The long distange passenger train no. 360-1 formed of 7 passenger wagons was on the route from Bucharest to Beograd. When passing through the train station Jianca, first bogie of the locomotive EA 374 derailed on the switch no. 7</t>
  </si>
  <si>
    <t>Jianca station belongs to Craiova Railway County on the south of the romanian railway network.</t>
  </si>
  <si>
    <t>The direct cause of the occurrence of this accident was the loss of guiding capacity of the appeal axle on the curve of the switch no. 7 due to the load discharge on the left wheel caused by the difference between the diameters of the wheels of the same axle, followed by the escalation of the rail on the left of the running path._x000D_
_x000D_
Contributing factors_x000D_
•	the difference of 2.29 mm between the diameters of the wheels (left-right) from the axle no.1;_x000D_
•	the exceeding of the maximum admitted limit of the rate qR provided in the sheet UIC-510-2 at the wheel on the right of the axle no. 1 (appeal)_x000D_
•	the existence of the treads on the rim flank and on the rolling surface as consequence of the turning process</t>
  </si>
  <si>
    <t>Lack of procedures on how to check the positioning of rollers measuring the diameters of the rolling circles after turning with the lathe type Hegenscheidt 102.</t>
  </si>
  <si>
    <t>EL-1299</t>
  </si>
  <si>
    <t>Accident to persons caused by RS in motion, 19/04/2011, Thessaloniki freight marshalling yards at CH 9+200 (Greece)</t>
  </si>
  <si>
    <t>The moving train killed the unauthorised pedestrian</t>
  </si>
  <si>
    <t>Thessaloniki freight marshalling yards at CH 9+200</t>
  </si>
  <si>
    <t>HU-1386</t>
  </si>
  <si>
    <t>Accident to persons caused by RS in motion, 20/04/2011, Line: 120, Gyömrö station (Hungary)</t>
  </si>
  <si>
    <t>A man was hit by a passenger train in motion at Gyömrö station, when he was trying to get on the train. In consequence of the occurrrence the man suffered serious injuries.</t>
  </si>
  <si>
    <t>Line: 120, Gyömrö station</t>
  </si>
  <si>
    <t>The injured person tried to get on the train not on the appropriate side of the railway station. He open the door, but the train departed and he did not manage to get.</t>
  </si>
  <si>
    <t>UK-1128</t>
  </si>
  <si>
    <t>Trains collision with an obstacle, 2011-04-20, Jewellery Quarter, Birmingham. (United Kingdom)</t>
  </si>
  <si>
    <t>The RAIB is carrying out an investigation into an incident which occurred at about 13:22 hrs on 20 April 2011, when a tram, travelling towards Birmingham at about 70 km/h, struck a section of steel tubing (known as a cantilever tube) that had become partially detached from a post supporting overhead line equipment.  The events that ensued caused severe damage to the tram’s pantograph, the detachment or partial detachment of a number of other cantilever tubes and the consequent loss of support for the contact wires over a distance of about 200 metres.  The tram struck several of the detached cantilever tubes causing damage to the front and rear windscreens, side windows and doors. The tram came to a stand at Jewellery Quarter tram stop and all passengers and crew were able to exit onto the platform.  It was then discovered that two adults and three children had suffered cuts due to broken glass.  All required hospital treatment but were subsequently released following treatment. Repairs were carried out and the tramway between Soho Benson Road and Birmingham was reopened to give a partial service on 24 April. Adjacent heavy rail lines owned by Network Rail were not significantly disrupted by the incident on the tramway.RAIB’s preliminary examination suggests that a component of the overhead line equipment failed prior to the approach of the tram. This failure caused a cantilever tube to become foul of the tram and/or its pantograph.  The investigation will seek to identify the reasons for the component failure and any underlying factors present.Travel Midland Metro has been notified of the RAIB investigation.</t>
  </si>
  <si>
    <t>Jewellery Quarter, Birmingham.</t>
  </si>
  <si>
    <t>The immediate cause of the accident was the collapse of the overhead line caused by Tram 13 striking the partially detached cantilever at 18512 OLE pole (paragraph 53).</t>
  </si>
  <si>
    <t>The cantilever became partially detached because the reducing sleeve was overloaded and fractured. This overloading was a consequence of: a. the cantilever becoming momentarily restrained at some point along its length, thus creating a pivot (paragraph 120, no recommendation); and either b. the introduction of an abnormal load resulting from the severing of the outer of the two Wolverhampton in-running Parafil ropes (the most likely causal factor) (paragraph 103, Recommendation 1); or c. the action of operating loads within the OLE (the less likely causal factor) (paragraphs 69 and 102, Recommendation 3). Possible factors were: a. the bracket foot assembly becoming restrained to some degree from rotating around the pole bracket pin and thereby contributing to the restraint of the cantilever (paragraphs 89 and 95, Recommendations 4 and 5);b. the expansion of the contact wire due to ambient temperature (paragraphs 81 and 87, no recommendation); c. the deflection of the cantilever during installation or modification so that it was not perpendicular to the centre line of the track (paragraphs 82 and 86, Recommendation 3); and d. a reduced mechanical clearance between the tie ropes at 18432 pole and the Wolverhampton in-running Parafil ropes (paragraph 112 , Recommendation 1). Possible underlying factors were: a. the lack of information available to VolkerRail Power staff regarding the correct installation of cantilevers (paragraph 85, Recommendation 2); b. during safety validation of the proposed OLE modification programme, the potential for the remounting of the parallel feeder wires to result in a loss of restraint of the cantilever was not considered (paragraph 88, no recommendation); c. due to work being completed under time pressure and owing to an incomplete inspection, a reduced mechanical clearance was introduced at pole 18432 and then not discovered before the network was returned to service (paragraph 117, Recommendation 1); and d. the regular OLE inspections undertaken by NXMM following the modification in October 2010 were not able to detect a potential loss of mechanical clearance at 18432 pole (paragraph 117, Recommendation 1).</t>
  </si>
  <si>
    <t>CZ-1124</t>
  </si>
  <si>
    <t>Accident to persons caused by RS in motion, 21/04/2011, The City of Ostrava, tram stop Tylova (Czech Republic)</t>
  </si>
  <si>
    <t>A person was locked into the tram doors by the arm (during the disembarkment) and towed him for cca 23 m.</t>
  </si>
  <si>
    <t>The City of Ostrava, tram stop Tylova</t>
  </si>
  <si>
    <t>EL-1298</t>
  </si>
  <si>
    <t>Level crossing accident, 21/04/2011, From Volos towards Larisa at CH 01+209 (Greece)</t>
  </si>
  <si>
    <t>The moving train hit the pedestrian</t>
  </si>
  <si>
    <t>From Volos towards Larisa at CH 01+209</t>
  </si>
  <si>
    <t>ES-1133</t>
  </si>
  <si>
    <t>Train derailment, 23/04/2011, Kilometre point 675+220, 200 Madrid-Barcelona railway line, between Bellvitge and Barcelona Sants station (Barcelona). (Spain)</t>
  </si>
  <si>
    <t>A passenger train partially derailed near Bellvitge station.</t>
  </si>
  <si>
    <t>Kilometre point 675+220, 200 Madrid-Barcelona railway line, between Bellvitge and Barcelona Sants station (Barcelona).</t>
  </si>
  <si>
    <t>The accident was caused by the breakage of the last axle of the train (direction of travel) which had its origin in a crack in the traction zone of the driving axle. This probably was due to the malfunction of the electrical outlet.</t>
  </si>
  <si>
    <t>ES-1147</t>
  </si>
  <si>
    <t>Trains collision, 28/04/2011, El Clot-Aragó station (Barcelona), 262 Barcelona - Sagrera-Bif.Clot railway line. (Spain)</t>
  </si>
  <si>
    <t>A commuter train overran a permissive signal and collided (rear-end) with empty stock at the same block section. Also, as a result, the first train partially derailed of the 2nd bogie of the first coach. 18 passengers were slightly injured.</t>
  </si>
  <si>
    <t>El Clot-Aragó station (Barcelona), 262 Barcelona - Sagrera-Bif.Clot railway line.</t>
  </si>
  <si>
    <t>The accident was caused when the train driver failed to comply the signal instructions.</t>
  </si>
  <si>
    <t>PL-1137</t>
  </si>
  <si>
    <t>Level crossing accident, 28/04/2011, the level crossing on which the accident has occured is located on the line no 202 section Lebork - Godetowo km. point 77,061; the level crossing is equipped with automatic signalisation (red lights) without barriers nor semi-barriers; according to Polish (Poland)</t>
  </si>
  <si>
    <t>The accident took place on the level crossing of the line no 202. The road truck vehicle SCANIA with loaded trailer with bricks units went on the level crossing although the level crossing signalisation was active (red lights) as a result of which the passenger fast train no 45102 going in destination Katowice - Gdynia collided with the road truck on the level crossing. The speed of the train was 110km/h - the max. permited speed on the line is 120 km/h. The visual and wheather condition was good without rain fall, temperature +15 degree Celsious.The railway line consists of 1 tracks. As a result of collision seriuos demages in rolling stock, infrastructure and people (2 fatalities) were made. The basic cause is being investigating by the railway commision under direct supervision of NIB Poland.</t>
  </si>
  <si>
    <t>the level crossing on which the accident has occured is located on the line no 202 section Lebork - Godetowo km. point 77,061; the level crossing is equipped with automatic signalisation (red lights) without barriers nor semi-barriers; according to Polish</t>
  </si>
  <si>
    <t>Driving on level crossing by road vehicle before upcoming passanger train</t>
  </si>
  <si>
    <t>Lack of actions by PKP PLK IZ Gdynia after decision of LC commission on changing LC category from C into B (semi-barriers)_x000D_
None</t>
  </si>
  <si>
    <t>EL-1293</t>
  </si>
  <si>
    <t>Level crossing accident, 29/04/2011, From Kalampaka towards Palaiofarsala at CH 78+624 (Greece)</t>
  </si>
  <si>
    <t>The train hit a car at the level crossing</t>
  </si>
  <si>
    <t>From Kalampaka towards Palaiofarsala at CH 78+624</t>
  </si>
  <si>
    <t>IT-1136</t>
  </si>
  <si>
    <t>Broken rails, 2011-05-08, CALTAGIRONE-NISCEMI (Italy)</t>
  </si>
  <si>
    <t>COLLAPSE OF RAILWAY BRIDGE</t>
  </si>
  <si>
    <t>CALTAGIRONE-NISCEMI</t>
  </si>
  <si>
    <t>structural inadequacy of the bridge since its construction and insuffuient capacity of removal of rainwater from the inside of the structure</t>
  </si>
  <si>
    <t>inadequacy of the monitoring visits of the viaduct</t>
  </si>
  <si>
    <t>AT-1197</t>
  </si>
  <si>
    <t>Train derailment, 10.05.2011, Passing point Wasserstelle am Hengst (Austria)</t>
  </si>
  <si>
    <t>Bei der Talfahrt kam es zu einem Befahren einer Weiche in der nicht richtigen Stellung. Auf der Weichenzunge  der Zahnstange erfolgte die Entgleisung des führenden Triebkopfes. 
During a downhill driving a switch was in the incorrect position. On the switch blade of the rack the derailment of the leading engine head occured.</t>
  </si>
  <si>
    <t>Passing point Wasserstelle am Hengst</t>
  </si>
  <si>
    <t>Niederösterreichische Schneebergbahn GmbH</t>
  </si>
  <si>
    <t>Unachtsamkeit bei der Führung der F4 infolge menschlicher Faktoren. 
Carelessness in the conduct of journey F4 due to human factors.</t>
  </si>
  <si>
    <t>HU-1176</t>
  </si>
  <si>
    <t>Spad, 11/05/2011, Line 71: Örbottyan station (Hungary)</t>
  </si>
  <si>
    <t>Train No.2391 left the station without any permission and split switch no. 6 open which had been incorrectly set.</t>
  </si>
  <si>
    <t>Line 71: Örbottyan station</t>
  </si>
  <si>
    <t>Infrastructure works train; 
Regional passenger train</t>
  </si>
  <si>
    <t>BSS 2000 Kft.; 
MÁV-START Zrt.</t>
  </si>
  <si>
    <t>Human failure/ train crew</t>
  </si>
  <si>
    <t>RO-1138</t>
  </si>
  <si>
    <t>Fire in RS, 11/05/2011, Open line II Merisor - Banita belongs to Timisoara Railway County,on the west of the romanian railway network. (Romania)</t>
  </si>
  <si>
    <t>The locomotive of the freight train no. 20936 (EA 791) was on fire.</t>
  </si>
  <si>
    <t>Open line II Merisor - Banita belongs to Timisoara Railway County,on the west of the romanian railway network.</t>
  </si>
  <si>
    <t>S.C. CARGO TRANS VAGON S.A.</t>
  </si>
  <si>
    <t>Short-circuit between the supply cables of the electric engine operating the screw compressor, caused by bringing into contact of the conductor core of the cables due to the overheating and melting of the insulator sheet. Contributing factors: -	lack of correlation of the copper cable of the electric engine operating the compressor (DA General Cable 750VF/1x16 mm2 ) with the conditions of current, mounting, temperature and ventilation of the cable; -	non-entry into action of the static converter protections because the value of the current of entry into action of the internal protection at over-current and short-circuit is higher than the value of the maximum current supported by the cable General Cable 750VF/1x16 mm2; -	lack of protection devices at over-current and short-circuit of the supply electric circuit of the electric engine operating the compressor.</t>
  </si>
  <si>
    <t>Noncompliance with the standard SR EN 50343:2006 Railway applications. Rolling stock. Rules for the installation of cables.</t>
  </si>
  <si>
    <t>ES-1148</t>
  </si>
  <si>
    <t>Spad, 16/05/2011, Los Gavilanes station (Madrid); 10 Madrid Atocha- Sevilla Santa Justa railway line. (Spain)</t>
  </si>
  <si>
    <t>High speed train overtook, wrongly, home signal E022.</t>
  </si>
  <si>
    <t>Los Gavilanes station (Madrid); 10 Madrid Atocha- Sevilla Santa Justa railway line.</t>
  </si>
  <si>
    <t>The incident had its origin when the train overtook the home signal (E022) - which stated a stop aspect - due to the non-compliance of the signal instructions by the train driver.</t>
  </si>
  <si>
    <t>HU-1177</t>
  </si>
  <si>
    <t>Other, 2011-05-16, Line 80: Between Tura and Aszod stations (Hungary)</t>
  </si>
  <si>
    <t>Passenger train Nr.5503 ran on the left track of the double track line (instead of the right track), while the train Nr. IC568 (with permission) started from Aszod station on the same track. When the movement inspector realized the dangerous situation reported it to the traffic controller. He ordered to stop the trains immediately. The trains approached each other cca. 1 600 m.</t>
  </si>
  <si>
    <t>Line 80: Between Tura and Aszod stations</t>
  </si>
  <si>
    <t>Operation - station personell - operational failure</t>
  </si>
  <si>
    <t>Competence and training - training (train crew)</t>
  </si>
  <si>
    <t>RO-1139</t>
  </si>
  <si>
    <t>Fire in RS, 17/05/2011, Open line II Nucet - Titu belongs to Bucharest Railway County, on the west of the romanian railway network. (Romania)</t>
  </si>
  <si>
    <t>The locomotive of the passanger train no. 9432 (DA 793) was on fire.</t>
  </si>
  <si>
    <t>Open line II Nucet - Titu belongs to Bucharest Railway County, on the west of the romanian railway network.</t>
  </si>
  <si>
    <t>The fire occurrence was due to insulation piercing of the power cables H and F of the traction engine no. 4, placed outside the connection dose of the power cables, which led to the melt of the insulation of these cables, the occurrence of electric discharges between them and their insulation ignition. Contributing factors: the piercing was due to the occurrence of over-voltages of switching caused by the train heating installation type INDA and the electric traction engines, given a minimum admitted value of the insulation resistance of the power cables associated to the traction engine no. 4.</t>
  </si>
  <si>
    <t>HU-1178</t>
  </si>
  <si>
    <t>Level crossing accident, 18/05/2011, Line 115: Between Nagyecsed and Agerdomajor stations (Hungary)</t>
  </si>
  <si>
    <t>Passenger train No. 36322 collided with a moped at a level crossing without any form of warning system. The LC was marked only with a St. Andrew’s cross. In consequence of the collision the driver of the moped died at the site of the accident.</t>
  </si>
  <si>
    <t>Line 115: Between Nagyecsed and Agerdomajor stations</t>
  </si>
  <si>
    <t>Human Failure/ LC user / lack of attendance_x000D_
poor visibility</t>
  </si>
  <si>
    <t>HU-1179</t>
  </si>
  <si>
    <t>Spad, 2011.05.18., Line 100: Ujfeherto station (Hungary)</t>
  </si>
  <si>
    <t>Freight train Nr. 65540-1 departed without any permission and passed over its -red- exit signal. The train stopped on the switch No. 12., which was set for the train No. 6018. The incoming train was stoppped by using its emergency brake. The trains approached each other 238 m.</t>
  </si>
  <si>
    <t>Line 100: Ujfeherto station</t>
  </si>
  <si>
    <t>Floyd Ltd.; 
MÁV-START Zrt.</t>
  </si>
  <si>
    <t>Operation - Driver - Violation</t>
  </si>
  <si>
    <t>DE-1140</t>
  </si>
  <si>
    <t>Train derailment, 5/20/2011, Bf Müllheim (Germany)</t>
  </si>
  <si>
    <t>Güterzug entgleist bei der Durchfahrt durch den Bf Müllheim in der Einfahrweiche 10. 
Freight train derailed when passing by the Müllheim station at switch 10.</t>
  </si>
  <si>
    <t>Bf Müllheim</t>
  </si>
  <si>
    <t>Die Entgleisung erfolgte aufgrund eines Radscheibenbruches am Radsatz 650030 des Wagens 3385 4556 820-0. Die Rissentstehung ist auf eine thermische Überbeanspruchung zurückzuführen, die offenbar durch eine überschleifende Bremssohle verursacht wurde. 
The derailment took place due to a wheel discs break at the wheel 650030 of the wagon 3385 4556 820-0. The development of cracks due to thermal overload, which was apparently caused by an abrasive brake blocks.</t>
  </si>
  <si>
    <t>HU-1180</t>
  </si>
  <si>
    <t>Level crossing accident, 20/05/2011, Line 16: Between Ölbö-Alsoszeleste and Porpac stations (Hungary)</t>
  </si>
  <si>
    <t>Passenger train (No. 39822) collided with a lorry at a LC protected by warning lights between Ölbö-Alsoszeleste and Porpac stations. In consequence of the collision the motorcar of the train derailed.</t>
  </si>
  <si>
    <t>Line 16: Between Ölbö-Alsoszeleste and Porpac stations</t>
  </si>
  <si>
    <t>RO-1141</t>
  </si>
  <si>
    <t>Train derailment, 5/20/2011, Gheorgheni railway station belongs to Brasov Railway County on the center of romanian railway network. (Romania)</t>
  </si>
  <si>
    <t>First axle of the locomotive EA 179 from the freight train  no. 50562-1 derailed.</t>
  </si>
  <si>
    <t>Gheorgheni railway station belongs to Brasov Railway County on the center of romanian railway network.</t>
  </si>
  <si>
    <t>Cauza directa a producerii acestui accident a constituit-o pragul lateral creat la joanta izolanta (de polaritate) în dreptul rostului de dilatatie dintre capatul sinei din partea dreapta a panoului de tranzitie 49/60 si capatul sinei de pe directa de la calcâiul inimii de încrucisare a schimbatorului de cale nr.6, care a permis escaladarea suprafetei de rulare a sinei altoi a inimii de catre buza bandajului rotii din partea dreapta a primei osii a primului boghiu al locomotivei, rularea buzei bandajului acestei rotii pe ciuperca sinei pâna la vârful inimii de încrucisare, urmata de caderea rotii în partea dreapta a sinei cot. Factorii care au contribuit la formarea pragului lateral au fost: • uzura mecanica a fetei superioare a traversei din dreptul rostului joantei izolante si a urmatoarei traverse de pe cuponul de tranzitie  60/49 dinspre schimbatorul de cale nr.10; • tirfoanele nestrânse la placa metalica de pe partea dreapta de la traversa aflata înaintea joantei de polaritate; • suruburile orizontale de la joanta de polaritate, care aveau capetele îngropate în corpul eclisei din partea dreapta a joantei; • starii tehnice degradate a ecliselor de lignofoliu de la joanta izolanta de pe partea dreapta de la calcâiul inimii de încrucisare a schimbatorului de cale nr.6. 
The direct cause of the occurrence of this accident was the side threshold created at the insulating joint (of polarity) near the expansion joint between the rail end on the right of the transition panel 49/60 and the rail end on the direct from the heel of the crossing core of the switch no. 6, which allowed the escalation of the rolling surface of the graft rail of the core by the wheel bandage rim on the right of the first axle of the first bogie of the locomotive, the rolling of the bandage rim of this wheel on the rail head to the top of the crossing core, followed by the fall of the wheel on the right of the side rail._x000D_
_x000D_
Contributing factors at the forming of the side threshold were:_x000D_
•	the mechanic wear of the top side of the sleeper next to the joint of the insulating joint and of the next sleeper on the transition coupon 60/49 from the switch no. 10;_x000D_
•	the untightened coach screws at the metallic plate on the right of the sleeper placed before the polarity joint;_x000D_
•	the horizontal screws from the polarity joint, which had the ends buried in the straps body on the right of the joint;_x000D_
•	The degradation of the technical condition of the lignopholium straps from the insulating joint on the right of the crossing core heel of the switch no. 6.</t>
  </si>
  <si>
    <t>AT-1198</t>
  </si>
  <si>
    <t>Train derailment, 23/05/2011, ÖBB-Strecke 11801 von Wien Südbf (Ost) nach Staatsgrenze nächst Nickelsdorf (Hegyeshalom - HU) - Bf Gramatneusiedl // ÖBB-line 11801 from station Wien Südbf (Ost) to boarder next Nickelsdorf (Hegyeshalom - HU) - station Gramatneusiedl (Austria)</t>
  </si>
  <si>
    <t>Bei der Durchfahrt von Z 58295 im Bf Gramatneusiedl, im Bereich einer Gleisbaustelle (mit Gleisverformungen), wurde von Z 58295  die vorgeschriebene Geschwindigkeit nicht eingehalten. 
During passing of train 58295 by the station Gramatneusiedl, on a track construction site (with track buckles), train 58295 does not adhered to the prescribed speed.</t>
  </si>
  <si>
    <t>ÖBB-Strecke 11801 von Wien Südbf (Ost) nach Staatsgrenze nächst Nickelsdorf (Hegyeshalom - HU) - Bf Gramatneusiedl // ÖBB-line 11801 from station Wien Südbf (Ost) to boarder next Nickelsdorf (Hegyeshalom - HU) - station Gramatneusiedl</t>
  </si>
  <si>
    <t>Ursache war eine bodenmechanische Setzung des Unterbaues im Bereich der geschlagenen Spundwände und Nichteinhaltung der mittels Befehl vorgeschriebenen verminderten Geschwindigkeit. Langsamfahrsignale waren nicht aufgestellt. 
Cause was a distortion in soil mechanics of the substructure near struck sheet pilies and non-compliance of the prescribed command of reduced speed. Speed limitation signs were not installed.</t>
  </si>
  <si>
    <t>CZ-1144</t>
  </si>
  <si>
    <t>Trains collision, 23/05/2011, the City of Brno, in the area of the four-approach intersection Drobného â€“ Lesnická â€“ Provazníkova â€“ Trída Generála Píky (Czech Republic)</t>
  </si>
  <si>
    <t>Tramway No. 9 collided with a trolleybus No. 37 in the area of the four-approach intersection. After the collision the tram derailed._x000D_
There were 10 lightly injuries (passengers and 2 staff).</t>
  </si>
  <si>
    <t>the City of Brno, in the area of the four-approach intersection Drobného â€“ Lesnická â€“ Provazníkova â€“ Trída Generála Píky</t>
  </si>
  <si>
    <t>Contributing factor:exceeding the maximum speed of the trolleybus about 15 km/h</t>
  </si>
  <si>
    <t>AT-1199</t>
  </si>
  <si>
    <t>Train derailment, 2011-05-24, Derailment, km 60,319 in the station Schärding (Austria)</t>
  </si>
  <si>
    <t>Derailment of freight train 44937 during passing by the station Schärding on a on a track construction site (with track buckles). On freight train 44937 the 18th wagon derailed. There were no persons killed or injured.</t>
  </si>
  <si>
    <t>Derailment, km 60,319 in the station Schärding</t>
  </si>
  <si>
    <t>A soil mechanical reduction of the substructure near beaten sheet piling produced a track lowering and led to a distortion in the track. Messages of other trains was ignored. No action by the IM has been taken.</t>
  </si>
  <si>
    <t>ES-1175</t>
  </si>
  <si>
    <t>Train derailment, 24/05/2011, Between Santa Lucía and Villamanin stations (León), kilometre point 45,104, 130 Venta de Baños-Gijón railway line (Spain)</t>
  </si>
  <si>
    <t>Freight train partially derailed.</t>
  </si>
  <si>
    <t>Between Santa Lucía and Villamanin stations (León), kilometre point 45,104, 130 Venta de Baños-Gijón railway line</t>
  </si>
  <si>
    <t>The lack of ballast was due to an incomplete execution of the planned maintenance works. As a result the running of the rolling stock allowed a longitudinal pull causing the derailment of the train</t>
  </si>
  <si>
    <t>Besides the failure of the infrastructure, the works foreman delivered the track to the traffic manager under normal conditions, not warning him about the anomaly.</t>
  </si>
  <si>
    <t>RO-1145</t>
  </si>
  <si>
    <t>Fire in RS, 25/05/2011, Open line Constanta Marfuri - Navodari belongs to noninteroperable line Palas - Navodari on the east of romanian railway network. (Romania)</t>
  </si>
  <si>
    <t>The locomotive of the train no. 79156 (DA 1528) was on fire.</t>
  </si>
  <si>
    <t>Open line Constanta Marfuri - Navodari belongs to noninteroperable line Palas - Navodari on the east of romanian railway network.</t>
  </si>
  <si>
    <t>GRUP FEROVIAR ROMÂN</t>
  </si>
  <si>
    <t>Occurrence of a short-circuit between the supply cables A and E of the traction engine no. 3 as a consequence of piercing the insulation in the contact area between the two cables, which led to the appearance of a top of intensity of the supply current of the engine, followed by the welding of the metallic part of the two cables and the ignition of the insulation of the other cables associated to the electric traction engine no. 3 and by influence of the supply cables of the electric traction engine no. 2. Contributing factors: piercing of the insulation occurred as consequence of the mechanic wear in the contact area of the supply cables insulation of the electric traction engine A (rotor connection) and E (stator connection).</t>
  </si>
  <si>
    <t>HU-1181</t>
  </si>
  <si>
    <t>Level crossing accident, 26/05/2011, Line 142: Between Hetenyegyhaza and Kecskemet-Also stations (Hungary)</t>
  </si>
  <si>
    <t>Passenger train (No. 39822) collided with a car at a LC protected by warning lights near to Kecskemet-Also station. In consequence of the collision the driver of the car suffered serious injuries.</t>
  </si>
  <si>
    <t>Line 142: Between Hetenyegyhaza and Kecskemet-Also stations</t>
  </si>
  <si>
    <t>UK-1151</t>
  </si>
  <si>
    <t>Other, 26/05/2011, The RAIB is investigating an incident which took place between London St Pancras International (Low Level) and Kentish Town stations, on 26 May 2011. (United Kingdom)</t>
  </si>
  <si>
    <t>At approximately 18:00 hrs the 16:30 hrs Brighton to Bedford service, formed of two Class 377 units (a total of eight carriages), stopped close to the northern portal of Kings Cross Tunnel with the rear two carriages within the tunnel.  The train had stopped because of an electrical problem on the train itself that had caused the overhead line’s electrical protection equipment to trip, cutting off power to several trains in the area. At this time the train, which had a seating capacity of 476, was fully loaded, with many standing passengers. _x000D_
_x000D_
Another train of the same type was sent to assist the failed train, and was eventually coupled to it at 20:20 hrs. By this time some passengers had used the emergency release handles to open the train doors in an attempt to improve ventilation (the air conditioning and lighting systems were no longer functioning). The train began to move at 21:03 hrs but this movement was immediately stopped because passengers were getting out onto the railway from the carriages within the tunnel. The passengers were escorted back onto the train, which was then authorised to move forward again at 21:12 hrs. Three sets of doors towards the rear of the train were still fully open while it travelled approximately one mile to reach Kentish Town station, where all the passengers left the train.  _x000D_
_x000D_
The RAIB investigation will identify the sequence of events that led to the movement of the failed train with open doors.  Factors for consideration will include the design and operation of the trains, the management of the incident and the information available to the passengers and staff who were involved.</t>
  </si>
  <si>
    <t>The RAIB is investigating an incident which took place between London St Pancras International (Low Level) and Kentish Town stations, on 26 May 2011.</t>
  </si>
  <si>
    <t>First Capital Connect</t>
  </si>
  <si>
    <t>The driver moved train 1W95 when it was not safe to do so, with passengers standing in the vicinity of one or more sets of open doors (paragraph 48).</t>
  </si>
  <si>
    <t>The causal factors were: a. Despite the problems experienced on train 1W95 at St. Pancras, FCC allowed it to continue to Kentish Town with passengers on board, despite the risk that the train might fail (paragraph 55, see paragraphs 196a and 201i, no recommendation). b. Foliage had become lodged around the rear pantograph of train 1W95 while the pantograph was not in use, which caused electrical tripping after the train left Farringdon with the pantograph raised and the subsequent immobilisation of the train at Dock Junction (paragraph 50, no recommendation). c. FCC gave only limited consideration to a range of possible strategies for rescuing train 1W95 and its passengers and at an early stage focused solely on the use of an assisting train for moving train 1W95 and its passengers to Kentish Town (paragraph 59, see paragraphs 196c, 196d, 198a and Recommendation 1). d. The arrival of the train provided to assist train 1W95 into Kentish Town was affected by a series of delays (paragraph 69, Recommendation 1). e.The conditions for passengers within train 1W95 became increasingly uncomfortable as time wore on. In an attempt to make conditions more tolerable, some passengers opened doors and, later, some alighted from the train (paragraph 75, see paragraphs 196d, 201b, 198i and Recommendation 2). f. Only limited information was provided to the passengers on train 1W95 during the first 45 minutes of the incident and no information was provided after that time (paragraph 92, see paragraphs 196d, 201b 201h, 202 and Recommendation 1). g.The driver of train 1W95 moved the train with some doors open because he had been informed that train doors were closed and his in-cab display could not be relied upon to establish the exact status of doors because it had been affected by the loss of power (paragraph 100, see paragraph 201a, no recommendation). h. FCC’s policy for handling incidents involving stranded trains was not applied (paragraph 114, see paragraphs 196, 201 202 and Recommendations 1 and 2). The following factor was possibly causal: a. The class 377/5 units were not equipped with screens to allow doors to be opened without compromising passenger safety (paragraph 85, see paragraph 201b, no recommendation). The underlying factors were: a. The driver of train 1W95 was not given adequate support during the incident, which affected his ability to manage the conditions on board the train (paragraph 126, see paragraphs 196b, 198b, 201a, 201e, 201g and 202, no recommendation). b. FCC had not briefed its policy on stranded trains to all key staff prior to the incident (paragraph 131, and see paragraphs 196d, 201d and Recommendation 2). c. FCC’s competence management regime did not equip staff involved in the incident with the skills to perform some of the necessary key tasks (paragraph 134, see paragraphs 196d, 197, 201a and Recommendation 2). d. Between 2009 and 2011, FCC had investigated a number of incidents involving trains becoming stranded for extended periods of time, but had not implemented measures to improve its handling of such incidents (paragraphs 146, 179, see paragraphs 196e and 201f, no recommendation). e. Relevant safety lessons had been identified in performance-focused reviews on a number of occasions before the incident at Kentish Town on 26 May 2011, but no action had been taken (paragraph 163, Recommendation 3). f. FCC’s management had not identified or addressed deficiencies in the processes for emergency preparedness prior to the incident (paragraph 179, see paragraphs 196f and 202 and Recommendation 2).</t>
  </si>
  <si>
    <t>ES-1149</t>
  </si>
  <si>
    <t>Train derailment, 30/05/2011, Calatayud (Zaragoza) station; 200 Madrid-Barcelona railway line; kilometre point 224,556 (Spain)</t>
  </si>
  <si>
    <t>Medium distance train partially derailed (first coach) when passing point S1 CAL 2.</t>
  </si>
  <si>
    <t>Calatayud (Zaragoza) station; 200 Madrid-Barcelona railway line; kilometre point 224,556</t>
  </si>
  <si>
    <t>The accident was caused by a technical failure of the installations due to the malfunction of point S1 CAL 2</t>
  </si>
  <si>
    <t>FR-1152</t>
  </si>
  <si>
    <t>Level crossing accident, 31-05-11, Mesvres; level crossing n°66 on the double track line between Nevers and Chagny (France)</t>
  </si>
  <si>
    <t>DMU hits at 108km/h a HGV with exceptionnal loading (45m long loading) stopped on the LC for unknown reasons. First bogie of DMU derails.</t>
  </si>
  <si>
    <t>Mesvres; level crossing n°66 on the double track line between Nevers and Chagny</t>
  </si>
  <si>
    <t>The truck was carrying a very long loading. It was the third of a road convoy of three exceptional loading transports.  It stopped just after the LC with the end of the trailer on the track. The driver did not react when the barriers of the LC began to close.</t>
  </si>
  <si>
    <t>Bad organisation of  the road convoy</t>
  </si>
  <si>
    <t>ES-1173</t>
  </si>
  <si>
    <t>Other, 01/06/2011, Trasona station (Asturias), 11 Ferrol - Gijón railway line. (Spain)</t>
  </si>
  <si>
    <t>The two locomotives that hauled the freight train wagons were uncoupled and the 8 wagons of the train ran away during 1.380 metres before stopping at kilometre point 26,130.</t>
  </si>
  <si>
    <t>Trasona station (Asturias), 11 Ferrol - Gijón railway line.</t>
  </si>
  <si>
    <t>The incident had its origin due to the non-compliance of the staff.</t>
  </si>
  <si>
    <t>DK-0444</t>
  </si>
  <si>
    <t>Train derailment, 03/06/2011, Hørdum (Denmark)</t>
  </si>
  <si>
    <t>Train derailment on open line. Loss of transmission, falling down in the middle of the rails, hiding concrete blocks in a level crossing and derailed.</t>
  </si>
  <si>
    <t>Hørdum</t>
  </si>
  <si>
    <t>Derailment caused loss of a gear</t>
  </si>
  <si>
    <t>NO-1166</t>
  </si>
  <si>
    <t>Level crossing accident, 03/06/2011, On Randsfjordbanen, between Hokksund and Hønefoss stations (Norway)</t>
  </si>
  <si>
    <t>A pedestrian was killed on a railroad crossing.</t>
  </si>
  <si>
    <t>On Randsfjordbanen, between Hokksund and Hønefoss stations</t>
  </si>
  <si>
    <t>Railcare Tåg AB</t>
  </si>
  <si>
    <t>CZ-1159</t>
  </si>
  <si>
    <t>Train derailment, 05/06/2011, double track, open line between VyÅ¡kov na Morave and Ivanovice na Hané stations, (Nezamyslice â€“ Brno hl. n. main line) (Czech Republic)</t>
  </si>
  <si>
    <t>derailment of 13 wagons (seventh to nineteenth wagons in the train) of the freight train No. Vn 52061 on track buckles while running</t>
  </si>
  <si>
    <t>double track, open line between VyÅ¡kov na Morave and Ivanovice na Hané stations, (Nezamyslice â€“ Brno hl. n. main line)</t>
  </si>
  <si>
    <t>formation of fixed (anchor) location in the long welded rails with wrong grasp of the rail fastening   	                   too long and heavy duty of the long welded rails (the long welded rails  had been in use since 1986)</t>
  </si>
  <si>
    <t>UK-1225</t>
  </si>
  <si>
    <t>Accident to persons caused by RS in motion, 05/06/2011, Piccadilly Gardens, in central Manchester (United Kingdom)</t>
  </si>
  <si>
    <t>A pedestrian ran into the path of the tram.  The pedestrian appeared to try to stop before reaching the track but fell directly in front of the tram.  The front part of the tram passed over the fallen pedestrian.  Although the tram had started to brake before reaching the pedestrian, it did not come to a complete stand before the pedestrian had come into contact with the under-run protector.</t>
  </si>
  <si>
    <t>Piccadilly Gardens, in central Manchester</t>
  </si>
  <si>
    <t>The pedestrian stumbled and fell immediately in front of the approaching tram (paragraph 59).</t>
  </si>
  <si>
    <t>The causal factor was: the pedestrian was running from the covered passage and did not observe and react to the approaching tram until it was too late to stop clear of it</t>
  </si>
  <si>
    <t>HU-1182</t>
  </si>
  <si>
    <t>Level crossing accident, 06/06/2011, Line 15: Between Acsad and Bük stations (Hungary)</t>
  </si>
  <si>
    <t>Passenger train (No. 9945) collided with a car at a LC protected by warning lights between Acsad and Bük stations. In consequence of the collision the driver of the car died at the site of the occurrence.</t>
  </si>
  <si>
    <t>Line 15: Between Acsad and Bük stations</t>
  </si>
  <si>
    <t>RO-1161</t>
  </si>
  <si>
    <t>Fire in RS, 06/06/2011, Open line Ineu - Bocsig belongs to Timisoara Railway County on the west of romanian railway network. (Romania)</t>
  </si>
  <si>
    <t>The locomotive of the train no. 3134 (DA 930) was on fire.</t>
  </si>
  <si>
    <t>Open line Ineu - Bocsig belongs to Timisoara Railway County on the west of romanian railway network.</t>
  </si>
  <si>
    <t>Release of sparks from the electrical discharges between the conductor 778 (of serial registration of the electric traction engines no. 2 and no. 5) and the conductor 781 (of connection with the drive inverter), followed by the ignition of the combustible deposits accumulated over time from the locomotive operation and the flame propagation to the supply wiring of the electric traction engines no. 4, no. 5 and no. 6, which led to the fore expansion in the engines box and in the driving station no. II. Contributing factors: -missing of a portion of the fireproof insulation mantle of about 80 mm on the conductor 778 of serial registration of the electric traction engine no. 2 with the electric traction engine no. 5, in the area placed at the entry in the yoke of the wiring channel, under the existence of the direct contact with the conductor 781 that had the insulation aging, favored the initiation of the fire occurrence; - aging of the power wiring insulation and the existence of losses of oil, diesel, gas as consequence of the leakage of the connections from the concerned installations, in terms of missing the deadline of the specific works to the repair type to which the locomotive was due, which favored the fire propagation.</t>
  </si>
  <si>
    <t>There were not complied the measures provided by the document 45/g/2038/2004 of the Locomotives Modernization Service of  S.N.T.F.C. “CFR. Calatori” S.A. regarding the measures of prevention of fires beginning occurrences on the occasion of performing the repair type RR at the locomotive DA-60-0930-2 on the 29th of September 2005 at SC RELOC SA Craiova;   There was not complied the cycle of mandatory repairs at the locomotive, according to the provisions of the Railway Norm "Railway vehicles. Inspections and planned repairs" no. 67-005 from 2008 approved by OMT no. 364/2008, in that the locomotive was due to repair type RG since September 2010 (at 4 ±1 years) and with the norm of kilometers between 2 repairs overdue (435 820 km since the 7th of June 2011 to 400 000 km between 2 repairs for LDE 2100 CP).</t>
  </si>
  <si>
    <t>IT-1160</t>
  </si>
  <si>
    <t>Trains collision with an obstacle, 07/06/2011, ROMA-FI: Montallese-Rigutino Km163+200 (Italy)</t>
  </si>
  <si>
    <t>The train AV9452 has done a collision with an excavator that was working close to the railway</t>
  </si>
  <si>
    <t>ROMA-FI: Montallese-Rigutino Km163+200</t>
  </si>
  <si>
    <t>fall of the bulldozer from the embankment</t>
  </si>
  <si>
    <t>lack of the regulatory framework</t>
  </si>
  <si>
    <t>CZ-1172</t>
  </si>
  <si>
    <t>Level crossing accident, 08/06/2011, The level crossing with automatic protection and barriers in km 147.076 between Napajedla and Spytihnev stations. (Czech Republic)</t>
  </si>
  <si>
    <t>Collision of the long distance passenger train No. 806 with a lorry at the active level crossing with consequent derailment by locomotive and first carriage (both by one bogie).</t>
  </si>
  <si>
    <t>The level crossing with automatic protection and barriers in km 147.076 between Napajedla and Spytihnev stations.</t>
  </si>
  <si>
    <t>IT-1162</t>
  </si>
  <si>
    <t>Fire in RS, 09/06/2011, Tunnel del Sempione, between Iselle (Italy) and Brig (Switzerland) (Italy)</t>
  </si>
  <si>
    <t>Fire in rolling stock</t>
  </si>
  <si>
    <t>Tunnel del Sempione, between Iselle (Italy) and Brig (Switzerland)</t>
  </si>
  <si>
    <t>BLS</t>
  </si>
  <si>
    <t>SBB</t>
  </si>
  <si>
    <t>doors of the tailgate of the semi-trailer opened which would have raised, for effect of the wind, the beam of the folding cover of the tarpaulin</t>
  </si>
  <si>
    <t>absence of a system for localization of fire and spillage of chemical products and verification of the gauge before entering the tunnel_x000D_
missing of train verification after a long stop</t>
  </si>
  <si>
    <t>SE-1164</t>
  </si>
  <si>
    <t>Wrong-side signalling failure, 2011-06-09, Open line between Grötingen and Nyhem who are located om the line between Bräcke (Ånge) and Långsele. (Sweden)</t>
  </si>
  <si>
    <t>Thursday, June 9, 2011, there was an incident, a train collision near miss between two freight trains on the route Nyhem - Grötingen._x000D_
_x000D_
Train 42059 got "run" in the signals Nyhem 2/5 and exit block signal Nyhem L1 despite the the fact that the line to Grötingen was not free from trains. This was due to that line blockage track circuit dependencies partly been eliminated by a switch in the telecommunications cable between Nyhem and Grötingen. Right after that the train 4004 closed the track circuit immediately outside the operation limit in Nyhem, the exit block signal New L1 went to "stop". The driver of the train 42059 noted that a stop lamp went to "stop" and the train stopped inside Nyhems operating location. 
Torsdagen den 9 juni 2011 inträffade ett tillbud till kollision mellan två godståg på sträckan Nyhem – Grötingen._x000D_
_x000D_
Tåg 42059 fick ”kör” i mellansignal Ny 2/5 och utfartsblocksignal Ny L1 trots att sträckan mot Grötingen inte var fri från tåg. Detta berodde på att linjeblockeringens spårledningsberoenden delvis satts ur spel genom en omkoppling i telekabeln mellan Nyhem och Grötingen. Först när möteståget, 4004, belade spårledningen omedelbart utanför driftplats-gränsen i Nyhem gick utfartsblocksignalen Ny L1 gick till ”stopp”. Föraren på tåg 42059 uppmärksammade att en stopplykta gick till ”stopp” och stannade tåget inne på Nyhems driftplats._x000D_
_x000D_
HÄNDELSEFÖRLOPPET_x000D_
Ett tillbud till kollision inträffade på sträckan Nyhem – Grötingen den 9 juni 2010. Ett tåg som väntade på ett tågmöte i Nyhem fick ”kör” i signalen trots att mötande tåg inte hade kommit in till driftplatsen. En teknisk undersökning av signalanläggningen visade att den hade ett allvarligt fel. Ett utbyte av ett trådpar i en telekabel hade medfört att beroenden av spårledningar som detekterar fordon på spåret hade förbikopplats._x000D_
_x000D_
Omkopplingen av trådparen i telekabeln skedde i samband med felavhjälpning efter ett omfattande åskväder som den 7 juni 2011 orsakade stora signaltekniska störningar på järnvägen norr om Bräcke. Bandriftledningen kallade då ut signaltekniker för felavhjälpning som avhjälpte fel efterhand som de identifierade dem. Efter en tids arbete och efter att de första signalteknikerna hade blivit avlösta, lokaliserade de nya felsökarna ett fel på en telekabel mellan ett signalskåp och driftplatsen Karlsberg. Vidare undersökningar visade att det fanns fel även från Nyhem mot Grötingen. Felen anmäldes till bandriftledningen._x000D_
_x000D_
De först utkallade signal¬teknikerna hann komma tillbaka till platsen för att arbeta vidare med att finna ytterligare fel och åtgärda dessa, innan två teletekniker kom för att åtgärda felet i telekabeln. Teleteknikerna hade inte tidigare arbetat med järnvägens telefonsystem, men hade en lång erfarenhet av att arbeta med telekablar. De undersökte kabeln mellan driftplatserna Grötingen och Nyhem och fann ett brott i ett kabelpar. Det fanns ett outnyttjat kabelpar som gav en fungerande förbindelse mellan driftplatserna och som de flyttade över förbindelsen till. Motsvarande åtgärd gjordes även i kabeln för sträckan Nyhem – Karlsberg. Teleteknikerna hade inte tillgång till ritningar p.g.a. att behörigheten till aktuellt datasystem hade förlorats eftersom lösenordet inte hade förnyats när systemet krävde det. Teleteknikerna fick inte heller någon hjälp med att ta fram behövliga uppgifter._x000D_
_x000D_
Signalteknikerna hade när felet i telekabeln avhjälptes, arbetat ett långt arbetspass och var uttröttade. Den funktionskontroll som de gjorde av signalutrustningen efter ingreppet var att kontrollera att det åter gick att ställa signalerna till ”kör” för sträckan. Någon signalsäkerhetsbesiktning av utrustningen gjordes inte._x000D_
_x000D_
Det felaktiga kabelparet gick mellan driftplatserna via mellanliggande signalskåp på linjen. Kabelparets funktion var att samla in information från spårledningarna som kontrollerar huruvida det finns fordon på spåret eller inte. Det kabelpar som istället blev inkopplat gick direkt från den intilliggande driftplatsen utan att passera signalskåpen som hade anslutning till spårledningsreläerna. Detta medförde att fordon på banan mellan de aktuella driftplatserna inte kom att detekteras av signalanläggningen på avsett vis och att det därför gick att ställa utfartsblocksignalen till ”kör”, trots att det fanns tåg på sträckan.</t>
  </si>
  <si>
    <t>Open line between Grötingen and Nyhem who are located om the line between Bräcke (Ånge) and Långsele.</t>
  </si>
  <si>
    <t>Freight train; 
Freight train</t>
  </si>
  <si>
    <t>CargoNet AS; 
Green Cargo AB</t>
  </si>
  <si>
    <t>The direct cause of the incident was that a function was moved from one pair to another in a copper wire and the new wire pair lacked connections with features needed to signalling system would get a fully secure and intended function. 
Den direkta orsaken till tillbudet var att en funktion flyttades från ett trådpar till ett annat i en kopparkabel och att det nya trådparet saknade anslutningar med funktioner som krävdes för att signalanläggningen skulle få en fullt säker och avsedd funktion.</t>
  </si>
  <si>
    <t>An underlying cause of the faulty switch is that telecommunications technician lacked knowledge and experience of the Transport Administration's telecommunications system and its applications. This despite the fact that telecommunications technician undergone eligibility test with good results._x000D_
_x000D_
One reason why the traffic was dropped by the malfunction was that no signal screening was performed. The reason for this is partly to be found in the signal technician had worked so long hours with little rest in between fatigue may have affected the ability to take correct decisions. Another reason is that the division of contracts between contractors was new for signal technician and that the consequences of this division and what it meant to his duties were not known by him. No regular local information where data on this relationship was entered into, was not at any of the two construction take-overs._x000D_
_x000D_
Another reason that the traffic was released on the malfunction, may be ambiguity in what a complete report from ICT's net surveillance scentral (NOC) means and lack of understanding of the need for clear report from the person responsible for the systems operation. 
En bakomliggande orsak till den felaktiga omkopplingen är att teletekni-kern saknade kunskap om och erfarenheter av Trafikverkets teleanläggning och dess applikationer. Detta trots att teleteknikern genomgått behörighetstestet med ett gott resultat._x000D_
_x000D_
En orsak till att trafiken släpptes på med bristande funktion var att ingen signalsäkerhetskontroll utfördes. Orsaken till detta står dels att finna i att signalteknikern hade arbetat så långa arbetspass med lite vila emellan tröttheten kan ha inverkat på förmågan att ta korrekta beslut. En annan orsak är att uppdelningen av entreprenaderna mellan olika entreprenörer var ny för signalteknikern och att konsekvenserna av denna uppdelning och vad det innebar för hans arbetsuppgifter inte var kända av honom. Någon regelrätt lokal information där uppgifter om detta förhållande kunde ingått, förekom inte vid något av de två entreprenadövertagandena._x000D_
_x000D_
En annan orsak till att trafiken släpptes på med bristande funktion, kan vara otydligheten i vad en klarrapport från ICT:s nätövervakningscentral (NOC) innebär och bristande insikt i behovet av klarrapport från den som ansvarar för anläggningens funktion.</t>
  </si>
  <si>
    <t>SE-1165</t>
  </si>
  <si>
    <t>Other, 6/9/2011, Slussen Metro station in Stockholm (Sweden)</t>
  </si>
  <si>
    <t>The Metro train could start without all doors closed. This is the second occurence when a Metro train could start with open door._x000D_
_x000D_
At two different occasions the subway (type C20) in Stockholm left the platform with passenger doors open.  The events were reported as incidents since no damage or personal injuries occurred. The system of the C20 is designed to prevent the train from leaving the platform with passenger doors opened. At both occasions the drivers reported that the train computer reported that all passenger doors were closed and propulsion was possible (propulsion is prevented by the train computer if not all parameters (including doors indicated closed and locked) are met. The cause to the two incidents was an electrical short-circuit in one of the couples between the cars. The short-circuit disabled the safety system for the doors and the train computer was always given the logical signal that all passenger doors was closed and locked. This was valid for all passenger doors behind the couple with the short circuit. The underlying cause was that incorrect maintenance instructions had been used during maintenance of the couples. An isolation test had been removed from the instruction. Also the design of the isolation was not correct. The shrink tube used to isolate the electrical contact had a to small diameter to be shrinked over the connector which left an too thin isolation.  The safety management system of the RU had not identified that the maintainer used incorrect instructions during maintenance.</t>
  </si>
  <si>
    <t>Slussen Metro station in Stockholm</t>
  </si>
  <si>
    <t>MTR</t>
  </si>
  <si>
    <t>An ectrical short-circuit in the vechicle couples disabled the doors safety system. Due to the short-circuit the doors were always reported as closed independent of their status (open or closed).</t>
  </si>
  <si>
    <t>During maintenance of the couples an in-correct instruction was used by the maintainer. Final tisolation tests had been removed from teh instructions._x000D_
The short-circuit occured also due to that the cable insulation used at the fastener was not applied correctly by the manufacturer. The shrink-tube used had a too small dimension.</t>
  </si>
  <si>
    <t>ES-1174</t>
  </si>
  <si>
    <t>Trains collision with an obstacle, 10/06/2011, Near Madrid-Atocha station (Madrid), before Perales tunnel, 10 Madrid Atocha - Sevilla Santa Justa railway line. (Spain)</t>
  </si>
  <si>
    <t>Passenger train collided with a metallic pipe that was lying on both track at kilometre point 11+100 (at the begining of Perales tunnel)</t>
  </si>
  <si>
    <t>Near Madrid-Atocha station (Madrid), before Perales tunnel, 10 Madrid Atocha - Sevilla Santa Justa railway line.</t>
  </si>
  <si>
    <t>the accident had its origin when the running of trains and the works to bury a contact line were simultaneous</t>
  </si>
  <si>
    <t>UK-1170</t>
  </si>
  <si>
    <t>Accident to persons caused by RS in motion, 12/06/2011, Stoats Nest Junction, near Purley in South London. (United Kingdom)</t>
  </si>
  <si>
    <t>The accident occurred at about 05:30 hrs on 12 June 2011 when a track maintenance manager, who was with a gang of workers, was struck by train 1U11, the 05:00 hrs service from Gatwick Airport to London Victoria. The manager was seriously injured. _x000D_
At the time of the accident, part of the gang were replacing a section of rail in the crossover that connects the Up Slow and Down Fast lines.  _x000D_
The Down and Up Fast lines were closed to traffic to permit engineering activities.  The line on which train 1U11 approached the junction, the Up Slow, had been re-opened to traffic just before the accident. At the point of impact with the member of staff the train was travelling at about 60 mph.  Following the collision, the train was taken out of service at Purley and was then driven to Victoria station for examination.</t>
  </si>
  <si>
    <t>Stoats Nest Junction, near Purley in South London.</t>
  </si>
  <si>
    <t>The immediate cause of the accident was that the track workers were working too close to a line that was open to traffic</t>
  </si>
  <si>
    <t>The causal factors were: a. No safe system of work was put in place to protect staff from train movements on the up slow line, after that line had been returned to traffic (paragraph 90). b. The COSS was not present at the site when the up slow line was returned to traffic, and no replacement had been appointed (paragraph 109). c. The engineering supervisor was aware that the COSS was not carrying out all his safety responsibilities and had left the site, but did not establish who was then responsible for the safe system of work (paragraph 125). The RAIB is not making any new recommendations in relation to these factors, as the actions already taken and the recommendations made in previous investigations (paragraphs 195 to 197) cover these topics. d. The track workers did not hear any warning from the train as it approached (paragraph 132, action taken paragraph 200). The underlying factors were: a. The authority of the COSS was confused and undermined by the presence of more senior management on site. This adversely affected the implementation and maintenance of a safe system of work (paragraph 166). The RAIB is not making any new recommendations in relation to this factor as the actions already taken and the recommendations made in previous investigations (paragraphs 195 to 199) cover this topic. b. Network Rail’s national initiatives intended to address safety related behaviour of track maintenance staff had not yet reached the staff based at East Croydon depot. This is considered to be an underlying factor (paragraph 176, Recommendation 1).</t>
  </si>
  <si>
    <t>AT-1200</t>
  </si>
  <si>
    <t>Train derailment, 2011-06-15, Station Gramatneusiedl (Austria)</t>
  </si>
  <si>
    <t>During removing of damaged vehicles from the derailment on 23/05/2011, train 95584 derailed at the exit of the station Gramatneusiedl. 
Beim Abtransport von beschädigten Wagen von der Entgleisung am 23/05/2011, entgleiste Z 95584 bei der Ausfahrt im Bf Gramatneusiedl.</t>
  </si>
  <si>
    <t>Station Gramatneusiedl</t>
  </si>
  <si>
    <t>ÖBB-Technische Services GmbH</t>
  </si>
  <si>
    <t>Radentlastung durch die mittels händischer Messung nicht erkannten Gleislagefehler (gegenseitige Höhenlage)._x000D_
Der entgleiste Güterwagen verstärkte die Radentlastung durch_x000D_
- ungünstige Ladungsverteilung (noch regelwerkskonform 1 : 2,86) und_x000D_
- nicht regelwerkskonformen Kuppelzustand infolge eines fehlenden Puffers 
Wheel unloading because of faults in track alignment which were not detected by manual means (differing rail heights). _x000D_
The wagon which was derailed exacerbated the unloading by having _x000D_
- unfavourable distribution of the load (which still conformed to the regulations 1 : 2.86) and _x000D_
- coupling arrangements which did not conform to the regulations (a buffer was missing)</t>
  </si>
  <si>
    <t>NO-1168</t>
  </si>
  <si>
    <t>Fire in RS, 16/06/2011, Hallingskeid station, the line between the two largest cities in Norway Oslo and Bergen. There are no road connection to the station. (Norway)</t>
  </si>
  <si>
    <t>Train 62 from Bergen to Oslo drowe into a snow tunnel which had caught fire. The train lost the power (El) just before entering Hallingskeid station and noticed the fire in the east end of the snow tunnel. The train stoped before the fire, but due to loss of power the train was unable to back out. All passengers was evacuated, and there were no personal injuries. There were large material damages, as the train totaly damaged and the infrastructure as well.</t>
  </si>
  <si>
    <t>Hallingskeid station, the line between the two largest cities in Norway Oslo and Bergen. There are no road connection to the station.</t>
  </si>
  <si>
    <t>AT-1201</t>
  </si>
  <si>
    <t>Trains collision with an obstacle, 2011-06-18, ÖBB-Strecke 35101 von Innsbruck Westbf nach Staatsgrenze nächst Scharnitz (Mittenwald (D)) - Bf Martinswand // ÖBB-Line 35101 from station Innsbruck Westbf to Boarder near station Schrnitz (station Mittenwald (D)) - Station Martinswand. (Austria)</t>
  </si>
  <si>
    <t>Infolge von Starkregen kam es zu einer Veränderung des Bachbettes eines sonst trocken liegenden Baches. Dieser drang vor und während der Durchfahrt von Z 1207 (ICE) mit Gestein in die „Große Lawinen-Schutzgalerie“ ein und bewirkte eine Entgleisung des führenden Trafowagen 1. 
As a result of heavy rain, there was a change in an otherwise dry riverbed underlying stream. This entered with crushed stons before and during the passage of train 1207 (ICE) in the "big avalanche protection gallery" and caused a derailment of the leading transformer carriage 1.</t>
  </si>
  <si>
    <t>ÖBB-Strecke 35101 von Innsbruck Westbf nach Staatsgrenze nächst Scharnitz (Mittenwald (D)) - Bf Martinswand // ÖBB-Line 35101 from station Innsbruck Westbf to Boarder near station Schrnitz (station Mittenwald (D)) - Station Martinswand.</t>
  </si>
  <si>
    <t>Natuerereignis // Natural phenomenon</t>
  </si>
  <si>
    <t>RO-1167</t>
  </si>
  <si>
    <t>Train derailment, 19.06.2011, Open line Predeal - Timisul de Sus belongs Brasov Railway County in the center of romanian railway network. (Romania)</t>
  </si>
  <si>
    <t>9th wagon (no. 81536656119-0) from the freight train no. 83568 derailed at km 150+830 between railway stations Predeal and Timisul de Sus.</t>
  </si>
  <si>
    <t>Open line Predeal - Timisul de Sus belongs Brasov Railway County in the center of romanian railway network.</t>
  </si>
  <si>
    <t>Cauza directa a producerii acestui accident o constituie escaladarea  sinei din partea  dreapta a sensului de mers de catre roata atacanta nr. 8 în dreptul pozitiei kilometrice 150+825, deraierea primei osii a primului boghiu în sensul de mers al vagonului nr. 81536656119-0 (rotile nr.7 si nr.8) urmata de deraierea rotilor celei de a 2-a osii a aceluiasi boghiu, ca urmare a descarcarii de sarcina a rotii atacante pe fondul înclinarii cutiei vagonului.    Factorii care au contribuit la producerea acestui accident au fost: -	lipsa pietrei de frecare superioare de la boghiul cu rotile 1-4 (al 2-lea în sensul de mers), pe  partea stânga a  sensului  de mers, fapt care a determinat înclinarea cutiei vagonului  spre interiorul curbei pâna  la  contactul acesteia cu cadrul boghiului si  cresterea   jocului  însumat la pietrele de frecare al acestui boghiu la valoarea de 66 mm, precum si descarcarea de sarcina si reducerea fortei de ghidare a rotii atacante nr.8; - strângerea si asigurarea necorespunzatoare contra autodesfacerii a suruburilor de prindere a pietrelor superioare de frecare pe traversa crapodinei; - prinderea necorespunzatoare a pietrei de frecare datorita placii de adaos partial lipsa (decupata la colturi în diagonala) în zona suruburilor de prindere pe traversa crapodinei; - pachetul de adaose la pietrele de frecare format din mai multe bucati, ce nu acoperea întreaga suprafata de asezare. 
The direct cause of the occurrence of this accident is the escalation of the rail on the right in the running direction by the leading wheel  no. 8 near the kilometric position 150+825, the derailment of the first axle of the first bogie in the running direction of the wagon no. 81536656119-0 (wheels no. 7 and no. 8) followed by the derailment of the wheels of the 2nd axle of the same bogie, as consequence of the discharge of  load of the leading wheel due to the inclination of the wagon box._x000D_
_x000D_
Contributing factors at the occurrence of this accident were:_x000D_
-	the absence of the side bearer block from the bogie with the wheels 1-4 (the 2nd in the running direction), on the left in the running direction, which determined the inclination of the wagon box to the inside of the curve up to its contact with the bogie frame and the increase of the amounted stroke at the side bearers blocks of this bogie at the value of 66 mm and also the discharge of load and reduction of the guiding force of the leading wheel no. 8;_x000D_
-	the inappropriate tightening and insuring against self-detachment of the fixing screws of the side bearer block on the frame of bogie;_x000D_
-	the inappropriate fixing of the side bearer due to the steel filler plate  (partially missing (cut at the corners in diagonal) in the area of the fixing screws on the frame of bogie;_x000D_
-	the pack of steel filler plates  at the side bearer blocks  formed of several pieces that did not cover the entire setting area;</t>
  </si>
  <si>
    <t>Cauza subiacenta a producerii acestui accident: -	nerespectarea prevederilor referitoare la adaosurile de reglaj si la pachetele de adaosuri admise a fi utilizate pentru reparatia glisierelor superioare cu ocazia efectuarii RP si prevazute în „Instructia pentru verificarea si repararea sasiurilor si cutiilor vagoanelor de calatori si marfa” nr. 936/1991 cap. 2, „Conditii tehnice la verificarea sasiurilor vagoanelor de calatori si marfa” pct. 2.3 litera „f” respectiv, utilizarea de adaosuri de reglaj din mai mult de o bucata, precum si utilizarea de pachete de adaosuri formate din mai mult de doua placi. 
The underlying cause of the occurrence of this accident:_x000D_
-	non-compliance with the provisions on the steel plates of adjustment and on the packs of steel filler plates  admitted to be used for the repair of the top sliding on the occasion of the performance of  RP and provided in the “Instruction for checking and repairing the chassis and the passenger and freight wagons boxes” no. 936/1991 chap. 2, “Technical conditions at the check of the chassis of the passenger and freight wagons” point 2.3 letter “f” respectively, the use of supplements of adjustment of more than a piece as the use of packs of supplements formed of more than two plates._x000D_
 Root cause_x000D_
None.</t>
  </si>
  <si>
    <t>UK-1205</t>
  </si>
  <si>
    <t>Other, 19/06/2011, Llanbadarn, near Aberystwyth, Dyfed, on the railway between Aberystwyth and Machynlleth (United Kingdom)</t>
  </si>
  <si>
    <t>At 21:52 hrs on 19 June, the late-running 21:30 hrs Aberystwyth to Machynlleth train passed over the crossing while the barriers were raised, and came to a stop with the front of the train about 40 metres beyond the crossing. There were no road vehicles or pedestrians on the crossing at the time.</t>
  </si>
  <si>
    <t>Llanbadarn, near Aberystwyth, Dyfed, on the railway between Aberystwyth and Machynlleth</t>
  </si>
  <si>
    <t>The driver did not notice that the DCI was flashing red until it was too late to stop at the crossing</t>
  </si>
  <si>
    <t>The causal factors were: a. The driver’s workload (on departing Aberystwyth) was such that he was distracted by concentrating on the ERTMS DMI screen (paragraph 100, Recommendations 3 and 4); b. Llanbadarn ABCL crossing closure sequence did not start (barriers or lights) when train 2J50 reached the strike-in point (paragraph 123, Recommendation 2); c. The driver was pre-occupied with accelerating after the running brake test (paragraphs 104 and 117, no recommendation made (paragraph 182)); and d. The ERTMS system (on-board the train) was reset by the driver on instructions of the signaller (paragraph 110, no recommendation made (paragraph 181)). The underlying factors were: a. The ETCS cab signalling system does not interface with automatic crossings on the Cambrian ERTMS lines. It is probable that some, or all, of the following influenced this decision: Although there had been a number of near misses at Llanbadarn ABCL (paragraph 166), Network Rail’s review concluded that the cost of implementing additional measures under ERTMS outweighed the safety benefits (paragraph 162). b. The Network Rail and Arriva Trains joint project team had closed out all recognised risks without requiring an ERTMS interface at the crossing and without carrying out a human factors analysis (paragraphs 146 and 118). The derogation against Railway Group Standards was granted by the Control Command and Signalling Standards Committee contrary to advice from RSSB staff (paragraphs 152 to 154). Neither a human factors report nor other risk assessment was undertaken by Network Rail as part of the derogation application process (paragraph 150). (paragraph 167, Recommendation 1.) b. The documentation supplied by Network Rail to the Control Command and Signalling Standards Committee in support of its derogation application did not contain any risk assessments or human factors reports. It did not consider the particular issues related to the crossing at Llanbadarn (paragraph 150, Recommendation 5). c. The Control Command and Signalling Standards Committee did not request any additional task analysis or risk assessments from Network Rail as part of the derogation process (paragraph 155, Recommendation 6).</t>
  </si>
  <si>
    <t>AT-1202</t>
  </si>
  <si>
    <t>Train derailment, 2011-06-20, Station Sankt Veit an der Glan (Austria)</t>
  </si>
  <si>
    <t>Bei der Durchfahrt von Z 66505 im Bf Sankt Veit an der Glan entgleiste auf der Weiche 12 der 2. Wagen - Ursache Radscheibenbruch. 
During passing of train 66505 by the station Sankt Veit an der Glan on switch 12, the 2nd wagon derailed - cause: a broken wheel.</t>
  </si>
  <si>
    <t>Station Sankt Veit an der Glan</t>
  </si>
  <si>
    <t>Ursache war der Bruch einer Radscheibe des in Fahrtrichtung dritten Radsatzes des Silowagens. Dieser Radsatz war als thermisch stark beanspruchbar gekennzeichnet und war mit Graugussbremssohlen gebremst. Dieser Radsatz wurde thermisch überbeansprucht. Wann und wo (bei welcher Gefällefahrt)_x000D_
diese thermische Überbeanspruchung erfolgt ist konnte nicht ermittelt werden. Am gegenüberliegenden Rad wurde ein neuer Farbabbrand von ca. 20 mm und ein überstrichener Farbabbrand von &gt; 50 mm festgestellt.Das dem gebrochenen Rad gegenüberliegende Rad aus derselben Charge (38249) erzielte bei der Eigenspannungsmessung 137 MPa und hielt den zulässigen Grenzwert (400 MPa) ein. Trotzdem wurden Rissanzeigen mittels MT detektiert. Auf Grund der vom ECM durchgeführten Prüfungen wurde festgestellt, dass nur die Charge 38249 aus dem Jahr 2001 betroffen war. 
The cause of the accident was a broken wheel disc on the third wheelset of the hopper wagon in the direction of travel. This wheelset was marked as being able to withstand high thermal stresses and was braked with cast iron blocks. _x000D_
This wheelset was thermally overloaded. When and where (during which downhill gradient) this thermal overload took place cannot be established. _x000D_
On the opposite wheel, a new paint burn of some 20 mm and an over-painted paint burn of more than 50 mm were noted. _x000D_
When measured for residual stress the wheel opposite the broken wheel and from the same batch (38249) gave the value 137 MPa and was within the permitted limits (400 MPa). _x000D_
Nevertheless signs of cracking were detected by means of magnetic particle testing (MT). _x000D_
As a result of investigations by the entity in charge of maintenance it was discovered that only batch 38249 from 2001 was affected.</t>
  </si>
  <si>
    <t>AT-1351</t>
  </si>
  <si>
    <t>Accident to persons caused by RS in motion, 2011-06-20, Station Wien Westbahhof (Austria)</t>
  </si>
  <si>
    <t>Am 20. Juni 2011, 15:06 Uhr kam es zu einer Kollision zwischen zwei Verschubfahrten am Bf Wien Westbahnhof. Dabei wurden ein Mitarbeiter schwer und zwei Mitarbeiter leicht verletzt. An Eisenbahnfahrzeugen und Eisenbahninfrastruktur entstand erheblicher Sachschaden, der Zugverkehr zwischen dem Bf Wien Westbahnhof und Bf Wien Hütteldorf war für ca. 2 Stunden unterbrochen. 
At 20. June 2011, 15:06 hrs, a collision between two shunting devices happened at the_x000D_
 train station Wien Westbahnhof._x000D_
 One employee was seriously and two other employees lightly injured. Extensive damage on_x000D_
 property and operating independences occurred.</t>
  </si>
  <si>
    <t>Station Wien Westbahhof</t>
  </si>
  <si>
    <t>Bei der Verschubdurchführung der 2. Reserve wurde vom Tfzf ein Informationsgespräch am Verschubfunk als eine fernmündliche Zustimmung zur Fahrt verstanden. _x000D_
Dann wurde die Verschubfahrt vom Tfzf ohne einen fernmündlichen oder mündlichen Auftrag zur Fahrt vom Verschubleiter begonnen. _x000D_
Vom Verschubleiter wurden keine Haltaufträge an den Tfzf bei dieser unerlaubten Verschubfahrt abgegeben. 
With the implementation of the second shunting reserve, a radio briefing on shunting was understood by the train driver as consent to drive. _x000D_
Then the shunting movement was started by the train driver without a telephonic or oral contract to drive from shunting ladder. _x000D_
No maintenance orders were given by shunting manager to the train driver in this illicit shunting.</t>
  </si>
  <si>
    <t>HU-1183</t>
  </si>
  <si>
    <t>Level crossing accident, 20/06/2011, Line 80: Between Bodrogkeresztur and Olaszliszka-Tolcsva stations (Hungary)</t>
  </si>
  <si>
    <t>Passenger train (No. 5226) collided with a car at a LC protected by warning lights between Bodrogkeresztur and Olaszliszka-Tolcsva stations. In consequence of the collision the driver of the car and his passenger died at the site of the occurrence.</t>
  </si>
  <si>
    <t>Line 80: Between Bodrogkeresztur and Olaszliszka-Tolcsva stations</t>
  </si>
  <si>
    <t>NO-1169</t>
  </si>
  <si>
    <t>Trains collision, 20/06/2011, On Rombak station on the Ofotbanen (Norway)</t>
  </si>
  <si>
    <t>Two infrastructure works trains should enter Rombak station after finishing work. The first unit got the emergency brakes activated when it was passing the main entering signal. The second unit was not able to stop in time, and run into the first unit.</t>
  </si>
  <si>
    <t>On Rombak station on the Ofotbanen</t>
  </si>
  <si>
    <t>Jernbaneverket</t>
  </si>
  <si>
    <t>CZ-1187</t>
  </si>
  <si>
    <t>Trains collision with an obstacle, 22/06/2011, Kraslice predmesti stop, km 21.093; Sokolov â€“ Kraslice regional line (Czech Republic)</t>
  </si>
  <si>
    <t>Regional passenger train No. 20826 approached to the Kraslice predmestí stop. When the train was going at the platform a tree fell at the rear part of the train. According to our national law it is serious accident due to the damage which is more than 5 000 000 CZK.</t>
  </si>
  <si>
    <t>Kraslice predmesti stop, km 21.093; Sokolov â€“ Kraslice regional line</t>
  </si>
  <si>
    <t>VIAMONT Regio a.s.</t>
  </si>
  <si>
    <t>Viamont a. s.</t>
  </si>
  <si>
    <t>none_x000D_
none</t>
  </si>
  <si>
    <t>SI-1171</t>
  </si>
  <si>
    <t>Level crossing accident, 24/06/2011, Single-track line; between station Ptuj and MoÅ¡kanjci; in km 23+417 (Slovenia)</t>
  </si>
  <si>
    <t>On level crossing marked with road signals a freight train no. 42020 crashed into a car. The car was hit on his left side. Car driver has overlooked the train. Car driver died on the place of accident.</t>
  </si>
  <si>
    <t>Single-track line; between station Ptuj and MoÅ¡kanjci; in km 23+417</t>
  </si>
  <si>
    <t>BE-1206</t>
  </si>
  <si>
    <t>Spad, 30-06-11, Charleroi-Sud (Belgium)</t>
  </si>
  <si>
    <t>En quittant l'Atelier Charleroi-Sud, la ME3916 franchit le signal GY-H.20 fermé de 385 m, le 1ier point dangereux est dépassé de 337m. Le train franchit 5 aiguillages et s'immobilise à l'entrée du quai VII, face au train voyageurs E3836 qui entrait à quai à ce moment. 
When leaving the workshop Charleroi-Sud, the ME3916 passes the signal GY-H.20 closed for 385 m, first dangerous point is passed by 337 m. The train crosses 5 switches and stops at the entrance to the track VII, in front of the passenger train E3836 which entered the track at this time.</t>
  </si>
  <si>
    <t>Charleroi-Sud</t>
  </si>
  <si>
    <t>ES-1219</t>
  </si>
  <si>
    <t>Train derailment, 30/06/2011, Kilometre point 7/165, between Siete Picos and Puerto de Navacerrada stations (Madrid); 116 Los Cotos-Cercedilla railway line. (Spain)</t>
  </si>
  <si>
    <t>Train 21907 derailed at kilometre point 7/165 (the four bogies of the composition). Also aid train S1 partially derailed at kilometre point 7/150.</t>
  </si>
  <si>
    <t>Kilometre point 7/165, between Siete Picos and Puerto de Navacerrada stations (Madrid); 116 Los Cotos-Cercedilla railway line.</t>
  </si>
  <si>
    <t>The accident was caused by a technical failure due to the bad condition of sleepers, sleepers fastenings and ballast</t>
  </si>
  <si>
    <t>UK-1212</t>
  </si>
  <si>
    <t>Other, 03/07/2011, Nr Shelley Station (United Kingdom)</t>
  </si>
  <si>
    <t>At 12:09 hrs the second passenger train of the day on the 15 inch gauge Kirklees Light Railway stopped a short distance from the terminus at Shelley with low boiler water level.  The injectors were unable to maintain the level of water in the boiler which dropped below the bottom of the gauge glasses and the fusible plug melted. The train crew and the railway’s responsible officer were unable to diagnose the problem and, after some delay, the fire was dropped. By the time that the decision was made to drop the fire, parts of the firebox and boiler had been exposed to the fire without water behind them for several minutes. During this time there was an increasing risk of a dangerous failure of the boiler.</t>
  </si>
  <si>
    <t>Nr Shelley Station</t>
  </si>
  <si>
    <t>Kirklees Light Railway</t>
  </si>
  <si>
    <t>The supply of water to the boiler was less than the rate of usage (paragraph 45).</t>
  </si>
  <si>
    <t>The following were causal factors: a. The driver did not ensure that sufficient water was put into the boiler during the journey (paragraphs 50 to 64 and 99). b. The driver did not drop the fire following melting of the fusible plug or as soon as the water level had fallen below the minimum (paragraphs 66 and 99). c. The KLR training scheme for drivers did not emphasise the importance of immediately dropping the fire if the water level became too low (paragraph 69 and Recommendation 1). d. The driver was inexperienced and may have been distracted from attending to the water level by dealing with problems with the fire (paragraph 65 and Recommendation 1). The underlying factor was that the KLR’s SMS did not identify the risks arising from the operation of the railway with steam locomotives, and therefore did not include any measures to mitigate such risks (paragraph 74 and Recommendation 1).</t>
  </si>
  <si>
    <t>AT-1203</t>
  </si>
  <si>
    <t>Other, 2011-07-06, Between Station Braz und Station Bludenz (Arlbergstrecke) (Austria)</t>
  </si>
  <si>
    <t>Mittwoch, 6. Juli 2011, um 15:55 Uhr, kam es bei der Gefällefahrt von Z 99480 (eine Schienenschleifmaschine, Zuglauf Bf Dalaas nach Bf Bludenz), zu Beginn einer Langsamfahrstelle zu einem Bremsversagen._x000D_
Die Zugmannschaft verständigte den Bf Bludenz vom Bremsversagen. Bf Bludenz stellte eine Durchfahrt für Z 99480. Kurz vor der Hst Nüziders, im km 65,500, kam Z 99480 zum Stillstand._x000D_
Ursache war die fehlerhafte Montage eines Bauteiles der Bremsmechanik im Zuge der letzten Revision._x000D_
Es wurden keine Personen getötet oder verletzt. 
Wednesday, 6th July 2011, at 15:55 o'clock, during the downhill journey of train 99480 (a rail-grinding machine, train route station Dalaas to station Bludenz), at a speed limit execution board, a brake failure occured. _x000D_
The staff informed the station Bludenz about the brake failure. Station Bludenz set a passage for train 99480. Shortly before the stopping point Nüziders, in km 65,500, train 99480 stopped._x000D_
Cause was the faulty assembly of a component of the brake mechanism during the last revision._x000D_
There were no persons killed or injured.</t>
  </si>
  <si>
    <t>Between Station Braz und Station Bludenz (Arlbergstrecke)</t>
  </si>
  <si>
    <t>ÖBB-Infrastruktur AG</t>
  </si>
  <si>
    <t>Ursache war der fehlerhafte (umgekehrte) Einbau des Zwischenstückes für den Handbremshebel. 
This was caused by incorrect (reverse) installation of the adapter for the hand brake lever.</t>
  </si>
  <si>
    <t>HU-1184</t>
  </si>
  <si>
    <t>Level crossing accident, 06/07/2011, Line 50: between Hidas-Bonyhad and Bataszek stations (Hungary)</t>
  </si>
  <si>
    <t>Passenger train (No. 38796) collided with a car at a LC protected by warning lights between Hidas-Bonyhad and Bataszek stations. In consequence of the collision the driver of the car died at the site of the occurrence, two of his passengers suffered serious injuries.</t>
  </si>
  <si>
    <t>Line 50: between Hidas-Bonyhad and Bataszek stations</t>
  </si>
  <si>
    <t>AWT Rail Hu Zrt.</t>
  </si>
  <si>
    <t>violation of the road traffic regulation - road user</t>
  </si>
  <si>
    <t>RO-1189</t>
  </si>
  <si>
    <t>Train derailment, 09/07/2011, open line Podu Iloaiei - Sarca belongs Iasi Railway County in the east of romanian railway network (Romania)</t>
  </si>
  <si>
    <t>39th wagon (no. 33535301979-7) from the freight train no. 70923 derailed at km 42+620 between railway stations Podu Iloaiei an Sarca</t>
  </si>
  <si>
    <t>open line Podu Iloaiei - Sarca belongs Iasi Railway County in the east of romanian railway network</t>
  </si>
  <si>
    <t>The direct cause of the accident occurrence is the escalation of the outer rail of the curve, next to the kilometric position 42+620, by the wheel on the right, (the first in the running direction) of the last bogie of the wagon no. 3353 5301 979-7 (the 39th in the composition of the freight train no. 70923), followed by the fall of the wheel outside the path, which involved the fall of the wheel on the left of the same axle inside the path. The escalation occurred due to some defects of the wagon, occurred after a previous incident, with the running conditions of the wagon on the curve that led to the increasing of the resistance at rotation of the pivot in the pallet and the discharge of the appeal wheel of the last bogie of the wagon. The derailment of the second axle is the direct consequence of the first axle derailment.Contributing factors to the occurrence of this accident were the following: -80% destruction of the wear plate type "Railko" from the hemispherical pallet of the bogie derailed from soliciting and tilting of the wagon in an incident occurred on the 21st of June 2011, which made difficult the entry of the bogie in the curve;-exceedance of the admitted values of the wagon chassis torsion with double values at the stringers level and up to 9 times at the extremities level of the front sleepers due to  soliciting and tilting of the wagon in the incident occurred on the 21st of June 2011;-deformation of the bogie frame whose nominal tolerance rates had been exceeded with values exceeding 10 mm due to  soliciting and tilting of the wagon in the incident occurred on the 21st of June 2011;-the construction modifications of the wagon box, near the bogie that derailed, by cutting the right side wall (in the running direction) of the wagon box on a length of 2.7 m and its deposit on the wagon floor near the same bogie, but to the left (in the running direction);-running with reduced speed on a curve whose effective over-elevation of 110 m led to the occurrence of an excess of over-elevation higher than 100 mm and has as consequence the load discharge of the wheels on the right of the bogie in the running direction. These factors created the conditions of the incomplete rotation of the pivot in the pallet, which impeded the entry of the bogie in the curve and the discharge of the appeal wheel on the right of the first axle from the last bogie in the running direction.</t>
  </si>
  <si>
    <t>CZ-1188</t>
  </si>
  <si>
    <t>Trains collision with an obstacle, 11/07/2011, Olomouc hl. n. station; switch No. 89, km 86.515 (Czech Republic)</t>
  </si>
  <si>
    <t>Collision of freight train No. 67261 with an obstacle (infrastructure maintenance equipment) in the switch No. 89. This switch was out of service due to its repair.</t>
  </si>
  <si>
    <t>Olomouc hl. n. station; switch No. 89, km 86.515</t>
  </si>
  <si>
    <t>ES-1254</t>
  </si>
  <si>
    <t>Train derailment, 11/07/2011, Near Canfranc station (Huesca), kilometre point 11,800, 204 Bif. Huesca-Canfranc railway line (Spain)</t>
  </si>
  <si>
    <t>A 14 wagons freight train, with a load consisted of corn, partially derailed at kilometre point 11,800.</t>
  </si>
  <si>
    <t>Near Canfranc station (Huesca), kilometre point 11,800, 204 Bif. Huesca-Canfranc railway line</t>
  </si>
  <si>
    <t>Failure of the infrastructure due to a general bad condition of all of its components: sleepers, rails excessively worn out and ballast polluted. All made that the values for the cant and the warping of track were out of tolerance.</t>
  </si>
  <si>
    <t>HU-1185</t>
  </si>
  <si>
    <t>Other, 11/07/2011, Line 100: Szolnok station (Hungary)</t>
  </si>
  <si>
    <t>Incoming train (No.7221) stopped at the point No.41, which had been incorrectly set.</t>
  </si>
  <si>
    <t>Line 100: Szolnok station</t>
  </si>
  <si>
    <t>Operational failure - station personnel</t>
  </si>
  <si>
    <t>UK-1209</t>
  </si>
  <si>
    <t>Accident to persons caused by RS in motion, 11/07/2011, Warren Street station (United Kingdom)</t>
  </si>
  <si>
    <t>At 17:29 hrs on 11 July, a northbound Victoria Line train departed from Warren Street station with the train doors open on the platform side.  The driver was alerted by shouts from passengers and stopped the train with the leading car part way into the tunnel, by which time the doors had closed.  There were no injuries.</t>
  </si>
  <si>
    <t>Warren Street station</t>
  </si>
  <si>
    <t>The immediate cause of the incident was that the train operator omitted to close the doors of train 237 before starting the train, having previously disabled the train door interlock</t>
  </si>
  <si>
    <t>The causal factors were: a. The train operator did not take the train out of service in accordance with LUL’s instructions (paragraph 67). b. Before starting the train from Warren Street station, the train operator disabled the train door interlock (paragraph 76). c. The train operator’s response to the routine event of the sensitive edge system being activated when train 237 was at Oxford Circus station due to the strap of a bag belonging to a passenger being trapped between the closing doors and not released (paragraph 79, Recommendation 1). The train operator’s determination to keep the train in service and minimise delays is a factor leading to causal factors 131a, b and c (paragraphs 72 and 73). d. As a result of the activated sensitive edge system which he was unable to reset, the train operator was in a growing state of confusion (paragraph 87). The train operator’s growing state of confusion occurred due to the following probable and possible factors which acted in combination: Probable factors: i.the sensitive edge reset light extinguished even though the system was still activated (paragraph 89 and paragraph 134); ii. the absence of any systematic definition of the functional and detailed requirements in respect of the override modification (paragraph 98, Recommendation 2); iii. the train operator lacked the necessary competence to respond correctly when under pressure while dealing with an out-of-course event (paragraph 99, Recommendation 3); and iv.	the selection process undergone by the train operator did not assess the ability to retain and apply knowledge (paragraphs 108 and 133). Possible factors: v. the train operator was distracted by matters external to his work and was taking medication which might have affected his concentration (paragraph 109); vi. the train operator did not request assistance to resolve the activated sensitive edge system (paragraph 114, Recommendation 4); vii. the train operator did not fully understand the operation of the sensitive edge override (paragraphs 121 and 135); and viii. the briefing leaflet was inconsistent with the actual operation of the sensitive edge reset button light following the override modification (paragraph 123). e.The train operator omitted to close the train doors before starting the train from Warren Street station (paragraph 126).</t>
  </si>
  <si>
    <t>EL-1300</t>
  </si>
  <si>
    <t>Accident to persons caused by RS in motion, 12/07/2011, Between TX2 and TX3 (Greece)</t>
  </si>
  <si>
    <t>The moving train hit a pedestrian</t>
  </si>
  <si>
    <t>Between TX2 and TX3</t>
  </si>
  <si>
    <t>FR-1192</t>
  </si>
  <si>
    <t>Other, 2011-07-12, CALVI end station of the line from PONTE-LECCIA to CALVI (France)</t>
  </si>
  <si>
    <t>DMU hits the buffer stop at the end of track 3/C in the station of CALVI (Corsica)._x000D_
Speed of collision is 8 km/h</t>
  </si>
  <si>
    <t>CALVI end station of the line from PONTE-LECCIA to CALVI</t>
  </si>
  <si>
    <t>Manque de maitrise de la conduite de son train par le conducteur 
Lack of expertise of the driving of the train by the traindriver</t>
  </si>
  <si>
    <t>formation et utilisation des nouveaux conducteurs; _x000D_
inadaptation des installations destinées aux voyageurs à la gare de Calvi 
training and use of new drivers; _x000D_
inadequate facilities for travelers station Calvi</t>
  </si>
  <si>
    <t>IT-1186</t>
  </si>
  <si>
    <t>Level crossing accident, 2011-07-12, Line Parma - La Spezia, route Parma - Vicofertile, km 4+813 (Italy)</t>
  </si>
  <si>
    <t>Train 21500 collides with a motor vehicle in a closed level crossing.</t>
  </si>
  <si>
    <t>Line Parma - La Spezia, route Parma - Vicofertile, km 4+813</t>
  </si>
  <si>
    <t>error committed by the driver of the truck carrying the maneuver of approach and crossing of LC</t>
  </si>
  <si>
    <t>Underlying:_x000D_
-failure to ban the operation of the crossing of the LC to trucks from Manara Road_x000D_
-failure to position the road side light signal of the LC , as provided by the standard_x000D_
-failure to comply with the provisions of the road rules on the visibility of vertical signals in general_x000D_
-non-adoption of a CCTV control system_x000D_
Root:_x000D_
-the lack of a procedure in the event of an emergency situation such as that of vehicle trapped between the barriers that are regularly closed_x000D_
-the lack of information related to some occurrences both on the part of the IM both by the railway police that denote a lack of sharing of information between the parties</t>
  </si>
  <si>
    <t>ES-1255</t>
  </si>
  <si>
    <t>Train derailment, 13/07/2011, Between Teruel and Caparrates stations (Teruel), kilometre point 137+810, 610 Sagunto-Bif.Teruel railway line (Spain)</t>
  </si>
  <si>
    <t>Freight train partially derailed and a container turned over.</t>
  </si>
  <si>
    <t>Between Teruel and Caparrates stations (Teruel), kilometre point 137+810, 610 Sagunto-Bif.Teruel railway line</t>
  </si>
  <si>
    <t>LOGITREN FERROVIARIA</t>
  </si>
  <si>
    <t>There was a confluence of circumstances that made the right wheel of the ninth wagon´s first axle to lift first and later become derailed.On one hand, there was a strong buclking of rail and some low points. On the other hand there is evidence of an inadequate loading.</t>
  </si>
  <si>
    <t>EL-1301</t>
  </si>
  <si>
    <t>Accident to persons caused by RS in motion, 17/07/2011, From Eidomeni to the Freight Station at CH 8+300 (Greece)</t>
  </si>
  <si>
    <t>From Eidomeni to the Freight Station at CH 8+300</t>
  </si>
  <si>
    <t>UK-1210</t>
  </si>
  <si>
    <t>Trains collision with an obstacle, 18/07/2011, Near Althorpe Park, Northamptonshire (United Kingdom)</t>
  </si>
  <si>
    <t>At 17:55 hrs, the driver of a tamper travelling on the Down Northampton line, reported that his cab had been struck by an object from freight train 4L68, the 12:15 hrs container service from Birch Coppice (near Tamworth) to Felixstowe, as it passed on the adjacent line.  The tamper driver had observed a metal panel flapping from the side of the approaching container train.  He released the safety device in his cab as he moved to protect himself and the tamper came to a stand.  The side window of the cab had been smashed but he escaped injury.</t>
  </si>
  <si>
    <t>Near Althorpe Park, Northamptonshire</t>
  </si>
  <si>
    <t>The immediate cause of the accident was that screws, which were securing the transit plate on the right-hand side of container CPIU 9006609, came loose enabling the upper part of the transit plate to detach and infringe the path of the approaching tamper (paragraph 60).</t>
  </si>
  <si>
    <t>*The causal factors were:_x000D_
a. The loosening of the screws securing the transit plate that was initiated by a loss of preload in the bolted joints as a result of the continued compression of the polyethylene foam after tightening (paragraphs 63 and 105, Recommendation 1)._x000D_
b. That Broadcrown did not require that the bolted joints were designed or assessed against an external load criterion, or consider their possible failure mechanisms.  Broadcrown’s response to previous related incidents is a possible factor to this (paragraphs 70 and 75, Recommendation 1)._x000D_
c. The lack of a specific external requirement for the bolted joints to be independently assessed (paragraph 76, Recommendations 2 and 3). _x000D_
*It is possible that the following factor was causal:_x000D_
a. The reliance only on visual examinations when determining whether a freight container is fit to travel by rail (paragraphs 87 and 106, Recommendation 4)._x000D_
*A probable underlying factor was the reliance on a regulatory structural assurance scheme (the CSC) that excluded any requirement to assess freight container attachments (such as the transit plates fitted to container CPIU 900609) against any foreseeable external load criterion (paragraphs 73 and 83, Recommendations 2 and 3).</t>
  </si>
  <si>
    <t>BG-1194</t>
  </si>
  <si>
    <t>Fire in RS, 20/07/2011, The accident location is in the Lesicheri - Resen interstation section, way 1 (Bulgaria)</t>
  </si>
  <si>
    <t>The accident is related to fire in an electric locomotive (No. 44-089) of train No. 2615 Sofia - Varna. The accident occured on 20th July 2011 at 17:23 h local time. There are damages to the locomotive and two wagons after the locomotive. The damages will be evaluated in addition. There are no victims or injured persons in the result of accident.</t>
  </si>
  <si>
    <t>The accident location is in the Lesicheri - Resen interstation section, way 1</t>
  </si>
  <si>
    <t>BDZ Passengers</t>
  </si>
  <si>
    <t>ES-1220</t>
  </si>
  <si>
    <t>Accident to persons caused by RS in motion, 20/07/2011, Between Villaluenga-Yuncler and Villamiel de Toledo stations (Toledo) (Spain)</t>
  </si>
  <si>
    <t>An operator is knocked down by medium distance train (17016) while he was performing works on the track. 
El día 20 de julio de 2011, a las 16:25 horas, en el PK 66+480 de la línea 500 Bif. Planetario (Madrid) a Valencia Alcántara, el tren de media distancia 17016, perteneciente a la empresa ferroviaria Renfe Operadora, arrolla a un operario de una empresa contratista de Adif que se encontraba realizando trabajos en el tablero de un puente sobre el río Guadarrama, en el trayecto entre Villaluenga-Yuncler y Villamiel de Toledo. Como consecuencia del arrollamiento la persona fallece.</t>
  </si>
  <si>
    <t>Between Villaluenga-Yuncler and Villamiel de Toledo stations (Toledo)</t>
  </si>
  <si>
    <t>The accident had its origin when the operator was standing in the clareance gauge while the train was passing by due to the non-compliance of the regulatory standards for this kind of works. 
El accidente tuvo su origen al estar el operario dentro del gálibo de la vía en el momento en que pasaba el tren 17016, por incumplirse lo establecido en la normativa reglamentaria para este tipo de trabajos.</t>
  </si>
  <si>
    <t>CZ-1191</t>
  </si>
  <si>
    <t>Trains collision with an obstacle, 21.7.2011, Open line between Hodkovice nad Mohlekou and Rychnov u Jablonce nad Nisou stations (Czech Republic)</t>
  </si>
  <si>
    <t>Regional passenger train No 5408 colllided with an obstacle – (fallen tree) and consequently derailed.</t>
  </si>
  <si>
    <t>Open line between Hodkovice nad Mohlekou and Rychnov u Jablonce nad Nisou stations</t>
  </si>
  <si>
    <t>Fall of the tree which was growing in the protection zone of railway on the railway track.</t>
  </si>
  <si>
    <t>Underlying cause: failure to remove the source of danger to the railway track (the tree) in the protection zone of railway._x000D_
Root cause: unsystematic and desultory access to evaluation and removing of sources of danger to the railway track in the protection zone of railway and not taking of adequate measures to prevent similar accidents and incidents.</t>
  </si>
  <si>
    <t>RO-1190</t>
  </si>
  <si>
    <t>Fire in RS, 2011-07-21, Open line Peris Buftea, belongs to Bucharest Railway County on the south of romanian railway network (Romania)</t>
  </si>
  <si>
    <t>The locomotive of the train no. 70852 (EB 91530425210-8) was on fire.</t>
  </si>
  <si>
    <t>Open line Peris Buftea, belongs to Bucharest Railway County on the south of romanian railway network</t>
  </si>
  <si>
    <t>The fire was started by the occurrence of a short-circuit between the turns of the flattening self of the traction engine no. 1 as a result of the breakthrough of the flattening self insulation, followed by the ignition of the electric cables insulation. By thermal influence occurred also the damage of the flattening self corresponding to the traction engine no. 2, the phenomenon being followed by the propagation to the combustible parts (insulation, wiring) in the area of the traction engines MT1 and MT2.</t>
  </si>
  <si>
    <t>HU-1229</t>
  </si>
  <si>
    <t>Other, 22/07/2011, Line 100: Between Szolnok and Abony stations (Hungary)</t>
  </si>
  <si>
    <t>A passenger train stopped between Szolnok and Abony station, because the driver realized that the track of his train was occupied by other train. There was a signaling system failure when the incident occurred. The train crew was informed of the failure.</t>
  </si>
  <si>
    <t>Line 100: Between Szolnok and Abony stations</t>
  </si>
  <si>
    <t>Communication failure</t>
  </si>
  <si>
    <t>IT-1193</t>
  </si>
  <si>
    <t>Level crossing accident, 2011-07-23, Line Milano - Lecco, route Monza - Arcore, km 1+265 (Italy)</t>
  </si>
  <si>
    <t>06.05.2011 collision with person; 08.05.2011 collision with person; 23.07.2011 collision with person</t>
  </si>
  <si>
    <t>Line Milano - Lecco, route Monza - Arcore, km 1+265</t>
  </si>
  <si>
    <t>Trenitalia SpA; 
Trenitalia-LeNORD Srl</t>
  </si>
  <si>
    <t>The improper crossing of the Lc from the same victims</t>
  </si>
  <si>
    <t>DE-1207</t>
  </si>
  <si>
    <t>Fire in RS, 7/26/2011, Bahnhof Berlin-Ostbahnhof, Gleis 207 (Germany)</t>
  </si>
  <si>
    <t>Der Triebfahrzeugführer wurde vom Fahrdienstleiter Bahnhof Köpenick über starke Rauchentwicklung am Triebfahrzeug informiert. Im Bahnhof Berlin Ostbahnhof Gleis 207 wurde ein Brand im Führerstand 1 des Triebfahrzeugs 114009-4 bei RE 18150 festgestellt. 
The train driver was informed by the dispatcher of station Köpenick about heavy smoke on the train. In Berlin Ostbahnhof railway station, track 207, a fire in the cab of a locomotive 114009-4 at RE 18 150 was detected.</t>
  </si>
  <si>
    <t>Bahnhof Berlin-Ostbahnhof, Gleis 207</t>
  </si>
  <si>
    <t>Der Brand wurde ausgelöst durch fehlerhafte Kontakte an der Fahrmotorklemmstelle 1 in Höhe des Führerstands 1 des Triebfahrzeugs. 
The fire was caused by faulty contacts on the traction motor terminal point 1 at the height of the cab one of the leading vehicle.</t>
  </si>
  <si>
    <t>PL-1213</t>
  </si>
  <si>
    <t>Trains collision with an obstacle, 26/07/2011, Linie No 426 section Strzelce Krajenskie Wchód - Strzelce Krajenskie km. point. 2,728 (Poland)</t>
  </si>
  <si>
    <t>During the unloading operations of freight wagons of the train No 8805 on the unloading platform located in km. 2,728 of the linie No 426, 7 freight wagons (for coal transportation) have left the ramp in uncontrolled way (without locomotive) and have run away downhill in direction the station Strzelce Krajenskie. As a result of running away the wagons have speed up and hit with huge speed in the building of the station Strzelce Krajenskie. As a result of the collision with the bulding: 2 persons living in the flat loctated in the station building were killed and additionally 1 person being in the area of the station was killed as well.</t>
  </si>
  <si>
    <t>Linie No 426 section Strzelce Krajenskie Wchód - Strzelce Krajenskie km. point. 2,728</t>
  </si>
  <si>
    <t>DB Schenker Rail Polska S.A.</t>
  </si>
  <si>
    <t>Running away of a freight wagons group and running into station building</t>
  </si>
  <si>
    <t>1) Separation of cars from the locomotive by unauthorized persons and shunting in an unauthorized manner; 2) Making looseness of the brakes of the train carriages by unauthorized persons; 3) Incorrect formulation of the train;  4) Starting unloading by unauthorized persons without participation of the traction team; 5) Location of the unloading point on the downhill of the railway line; 6) Leaving the train by the train crew unattended_x000D_
Lack of administrative decision on building the unloading ramp on the area of the asphalt plant</t>
  </si>
  <si>
    <t>RO-1208</t>
  </si>
  <si>
    <t>Train derailment, 27.07.2011, Câmpia Turzii station belongs to Cluj Railway County in the north-west of Romanian Railway Network. (Romania)</t>
  </si>
  <si>
    <t>The 20th and 21th wagons from the freight train no. 64702-1 derailed in Câmpia Turzii station.</t>
  </si>
  <si>
    <t>Câmpia Turzii station belongs to Cluj Railway County in the north-west of Romanian Railway Network.</t>
  </si>
  <si>
    <t>Deraierea s-a produs datorita lovirii si urcarii  rotii din dreapta a celei de-a 3-a osii (în sensul de mers) a vagonului nr. 31535474833-9   peste o componenta cazuta de la vagon pe linie, urmata de  escaladarea liniei si caderea rotii în exterior. Factori care au contribuit:  ?	ruperea punctelor de sudura ale clapei de descarcare si caderea acesteia pe linie. 
Direct cause_x000D_
The derailment happened because of hit and climbing of the right wheel from the 3rd axle (in the running direction) of the wagon no. 31535474833-9 on a part fallen from the wagon on the track, followed by the overclimbing of the line and the outside fall of the wheel_x000D_
Contributing factors_x000D_
Breakage of the welding points of the loading and unloading clack and its fall on the track</t>
  </si>
  <si>
    <t>Montarea unei clape de descarcare de alt tip decât cea necesara vagonului 31535474833-9 cu ocazia efectuarii reparatiei curente în Sectia IRV Sibiu, la data de 28.06.2011. 
Underlying causes _x000D_
Assembly of an unloading clack of another type than that necessary for the wagon 31535474833-9 during the running repair  in the Section IRV Sibiu, on the 28th of June 2011;</t>
  </si>
  <si>
    <t>UK-1211</t>
  </si>
  <si>
    <t>Train derailment, 27/07/2011, Princes Street Gardens, Edinburgh (United Kingdom)</t>
  </si>
  <si>
    <t>At 17:51 hrs on 27 July the 17:10 hrs train from Cowdenbeath to Edinburgh Waverley, formed of a 3-car class 170 diesel multiple unit, was passing over the junctions in Princes Street Gardens, Edinburgh, at about 19 mph (30.5 km/h), when all wheels of the leading bogie of the last vehicle became derailed to the left at facing points 167B.  These points were set for the train to take the right-hand route, from the up north line (line Z) towards platform 15 at Waverley station.  The train, which was crewed by a driver and a conductor, ran for about 90 metres before coming to a stop, and the derailed bogie caused damage to the track.  There was also some damage to the underside of the train.  No-one was hurt.</t>
  </si>
  <si>
    <t>Princes Street Gardens, Edinburgh</t>
  </si>
  <si>
    <t>The left-hand switch rail of points 167B did not correctly steer the leading wheel of vehicle 79393 to the turnout route; instead the wheel climbed over the switch rail, pulling the corresponding right-hand wheel and trailing axle into derailment</t>
  </si>
  <si>
    <t>The leading left-hand wheel of the third vehicle climbed the switch rail in the first two metres from the switch toe. This was due to the unsafe profile of the switch rail and the presence of one or more derailment hazards (paragraphs 96 and 97, Recommendation 2). The decision not to impose a ban on facing moves on a switch that was beyond repair by grinding in accordance with the 053 standard was causal (paragraph 106, Recommendations 2 and 5). It is probable that the following factors were causal: a. the grinding repair to the left-hand switch rail of points 167B did not restore an angle steeper than 60º (paragraph 114, Recommendation 5); b. the former GSM did not inspect points 167B in accordance with the procedure in the 053 standard for post-grinding inspection to establish whether the switch was safe to be used for traffic (paragraph 118, Recommendation 5); c. the former GSM did not properly inspect the switch in accordance with the 053 standard at the follow-up inspection and the switch was allowed to remain in traffic (paragraph 130, Recommendation 5); and d. the former GSM’s competence to inspect and repair switches in accordance with the 053 standard had not been assured (paragraph 134, no recommendation – see paragraph 187). 175 It is possible that the following factors were causal: a. the grinding repair to points 167B was not scoped and therefore properly planned before the grinding team and the former GSM arrived on site (paragraph 101, Recommendation 5); and b. there was an increase in friction on the switch rail due to thinning lubrication and scoring from the recent grinding (paragraph 123, Recommendation 4). Underlying factors The maintenance of switches was driven by compliance within the safety limits of the 053 standard rather than proactive re-building of worn switches by welding before the limits were reached (paragraph 140, Recommendation 1). 	There is no guidance in Network Rail company standards about conditions that make it difficult, or impossible, to restore a switch to compliance with the 053 standard by grinding (paragraph 146, Recommendation 5).</t>
  </si>
  <si>
    <t>CZ-1216</t>
  </si>
  <si>
    <t>Train derailment, 29/07/2011, Jihlava station. It is a single track. (Czech Republic)</t>
  </si>
  <si>
    <t>Repeated derailments (4x) and spontaneous rerailing (3) idle steam locomotive No. 990 017-6 (original designation 310.922), sorted on the train No. 1 nsl 62870, between the railway stations Okríšky and Jihlava, subsequent derailment of this steam locomotive and 3 historic cars and disruption in railway station Jihlava.</t>
  </si>
  <si>
    <t>Jihlava station. It is a single track.</t>
  </si>
  <si>
    <t>CZ-1394</t>
  </si>
  <si>
    <t>Accident to persons caused by RS in motion, 29.7.2011, Vladislav station (Czech Republic)</t>
  </si>
  <si>
    <t>Injury of a passenger - child who got out the passenger train No. 4813 in front of arriving passenger train No. 4814 in a place which was not determined for boarding and getting out of passengers.</t>
  </si>
  <si>
    <t>Vladislav station</t>
  </si>
  <si>
    <t>Ceské dráhy; 
Ceske drahy a. s.</t>
  </si>
  <si>
    <t>Getting of a passenger out the train in a place which was not determined for it._x000D_
_x000D_
Contributing factors: insufficient caution of passenger  in a place which was not accessible to the public.</t>
  </si>
  <si>
    <t>Underlying cause:	_x000D_
	1) confusion of passengers by information system that announced „Vladislav stop” in a place which was not determined for boarding and getting out of passengers. _x000D_
	2) confusion of passengers which was given by unlocking of central controlled doors of the train._x000D_
_x000D_
Root cause: internal – rules of infrastructure manager does not contain procedures for trains staff to ensure safety of passengers in case when the train extraordinarily stopped in a place which was not determined for boarding and getting out of passengers.</t>
  </si>
  <si>
    <t>EL-1294</t>
  </si>
  <si>
    <t>Level crossing accident, 31/07/2011, From Palaiofarsala towards Kalampaka at CH 55+845 (Greece)</t>
  </si>
  <si>
    <t>The train hit a motorcycle</t>
  </si>
  <si>
    <t>From Palaiofarsala towards Kalampaka at CH 55+845</t>
  </si>
  <si>
    <t>IT-1204</t>
  </si>
  <si>
    <t>Train derailment, 31/07/2011, Napoli Centrale station, switch n. 78 (Italy)</t>
  </si>
  <si>
    <t>Two cars of the train ETR 485.036 derailed on switch n. 78. The train was not operating passenger service.</t>
  </si>
  <si>
    <t>Napoli Centrale station, switch n. 78</t>
  </si>
  <si>
    <t>HU-1227</t>
  </si>
  <si>
    <t>Level crossing accident, 2011-08-03, Line 30: Between Balatonlelle-felso and Balatonboglar stations - LC: AS1449 (Hungary)</t>
  </si>
  <si>
    <t>Two bicyclists were hit by a passenger train between Balatonlelle-felsö and Balatonboglar stations at a LC equipped with half barrier. In consequence of the accident the bicyclists died at the site of the occurrence.</t>
  </si>
  <si>
    <t>Line 30: Between Balatonlelle-felso and Balatonboglar stations - LC: AS1449</t>
  </si>
  <si>
    <t>Third parties - Lever crossing user</t>
  </si>
  <si>
    <t>HU-1228</t>
  </si>
  <si>
    <t>Accident to persons caused by RS in motion, 2011.08.08., Line 1: Between Tatabanya and Tata Stations (Hungary)</t>
  </si>
  <si>
    <t>A woman fallen out from a passenger train between Tatabanya and Tata stations.</t>
  </si>
  <si>
    <t>Line 1: Between Tatabanya and Tata Stations</t>
  </si>
  <si>
    <t>Wagons - On train equipment (doors) - Equipment failure</t>
  </si>
  <si>
    <t>Maintenance - Adequacy of maintenance</t>
  </si>
  <si>
    <t>PL-1214</t>
  </si>
  <si>
    <t>Train derailment, 2011-08-12, The accident took place in the station Baby switch No 101 (between track No 2 and 1). The station Baby is locatted on the line No 1 (km. point 128) (Poland)</t>
  </si>
  <si>
    <t>The long distance pasenger train No 14101 operarted by PKP Intercity going in direction Warszawa Wschodnia - Katowice passed the switch No 101 to the right side track with the speed 115 km/h instead of 40 km/h which resulted in derailment of the train. The train consisted of 1 locomotive type EP07 and 4 passenger wagons. The first wagon has turned right side. The rest 3 wagons have derailed but have not overturned.</t>
  </si>
  <si>
    <t>The accident took place in the station Baby switch No 101 (between track No 2 and 1). The station Baby is locatted on the line No 1 (km. point 128)</t>
  </si>
  <si>
    <t>Speeding by the train when entering from the track No. 2 of the line to  track No. 1 of the station Baby on allowing signal S10 of the entrance semaphore (vertically two lights: upper green and lower orange) and driving at a speed of 113.1 km _x000D_
on reversible track of the switches 101 and 102 instead of the permitted speed of max. 40 km/h which was inconsistent with the provisions of § 3. 8 and paragraph. 13 points. 4 and 10 of the internal IM regulation - Ie-1 (E-1).</t>
  </si>
  <si>
    <t>1) lack of sufficient observation of the signal of the semaphore by the driver and railway course - the lack of attention, which is inconsistent with the provisions of § 63 paragraph. 1 item 3a  IM internal regulation  Ir-1 (R-1)._x000D_
_x000D_
2) lack of annotation in a medical certificate issued by a licensed doctor of occupational railway medicine about the need to wear corrective glasses by the driver TG which is inconsistent with the item. E  comments to Table 4  in Appendix 9 to the Order of the Minister of Infrastructure of 16 August 2004 on the list of positions directly related to the operation and safety of rail traffic and the conditions to be met by persons employed on the positions and operating railway vehicles,_x000D_
_x000D_
3) operating the train by the driver without glasses, despite the recommendations of an eye doctor, which is inconsistent with the provisions of § 6. 2 Appendix No 9 to the Order of the Minister of Infrastructure of 16 August 2004 on the list of positions directly related to the operation and safety of rail traffic and the conditions to be met by persons employed on the positions and operating railway vehicles,_x000D_
_x000D_
4) no equipping of the driver by the rail carrier PKP Intercity SA with provisional timetable of the train No. 14101  in relation to the closing of the track No. 1 on the section Rokiciny - Baby, which take into account the changed travel times on this section, which makes impossible to realize the provisions of § 4. 6 point 6 of the Instructions for the driver of the vehicle traction Bt-1 (MT-1) of RU PKP Intercity SA.</t>
  </si>
  <si>
    <t>RO-1217</t>
  </si>
  <si>
    <t>Train derailment, 8/16/2011, Open line Meri - Lainici belongs to Craiova Railway County on the west of romanian railway network. (Romania)</t>
  </si>
  <si>
    <t>Last axle of the tower wagon no. 005 (belonging to SC ELECTRIFICARE SA) circulating that infrastructure works train no. 28902 derailed at km 95+900.</t>
  </si>
  <si>
    <t>Open line Meri - Lainici belongs to Craiova Railway County on the west of romanian railway network.</t>
  </si>
  <si>
    <t>National Railway Company "CFR" S.A.</t>
  </si>
  <si>
    <t>Cauza directa a producerii accidentului o constituie ruperea axei osiei nr. 2 de la drezina pantograf DP 005  datorita aparitiei unei fisuri în zona de racordare dintre corpul  osiei si zona de calare a rotii pe axa, reprezentând circa 70 % din suprafata sectiunii de rupere. Fisura a fost generata de oboseala materialului ca urmare a numarului mare de cicluri de torsiune la care a fost solicitata axa osiei montate în exploatare de la anul fabricatiei acesteia, respectiv 1970. 
Direct cause of the accident occurrence  is represented by  the breaking of the axle no.2 from the tower wagon DP 005 due to appearance of a crack in the  area of connection between the axle’s body and the area of pressing on of wheels,  representing  approximately 70% from the surface of the breaking section. The crack  was caused by the material fatigue as result of the  great number of  twisting cycles  to which the axle wheelset for operation   was submitted to, since its  manufacturing year, respectively 1970.</t>
  </si>
  <si>
    <t>RO-1218</t>
  </si>
  <si>
    <t>Train derailment, 8/17/2011, Dej station belongs to Cluj Railway County on the center of romanian railway network. (Romania)</t>
  </si>
  <si>
    <t>The locomotive DA 1237 from the freight no. 50562-1 derailed on the passing track.</t>
  </si>
  <si>
    <t>Dej station belongs to Cluj Railway County on the center of romanian railway network.</t>
  </si>
  <si>
    <t>Deraierea locomotivei DA 1237 s-a produs ca urmare a depasirii semnalului YP în pozitie pe „oprire” („OPRESTE fara a depasi semnalul!”), prin nerespectarea de catre personalul de locomotiva a indicatiei acestuia care avea focul „rosu” aprins.  Factori care au contribuit la producerea accidentului:  - personalul de locomotiva nu a respectat durata minima a timpului de odihna la cap de sectie. 
Direct cause: _x000D_
_x000D_
The derailment of the locomotive DA 1237 has occurred as a result of passing the signal YP in the ,,stop” position (,,STOP without passing the signal!) through the non-compliance of its position that had the red position on. _x000D_
_x000D_
Facts which have contributed to the occurred of the accident: _x000D_
	_x000D_
	- the driving staff has not complied the minimum rest time at the end of the section.</t>
  </si>
  <si>
    <t>RO-1222</t>
  </si>
  <si>
    <t>Fire in RS, 2011-08-22, Barabant railway station belongs to Brasov Railway County on the center of the romanian railway network. (Romania)</t>
  </si>
  <si>
    <t>The locomotive DHC 321 located at the end of the freight train no. 80900 was on fire.</t>
  </si>
  <si>
    <t>Barabant railway station belongs to Brasov Railway County on the center of the romanian railway network.</t>
  </si>
  <si>
    <t>Direct cause of the accident is the excessive heating procedure of the hydraulic transmission, due to exceeding speed limits by operating mode (hydraulic transmission being damaged) on the route Vintu de Jos – Barabant ( about 15 km), followed by ignition deposits of the oil products from distributor area of the hydraulic transmission and supercharged air filters Diesel engine._x000D_
_x000D_
Factors that contributed to the accident occurrence:_x000D_
-non observance of the provisions of  “Exploitation guide for locomotive type LDH 1250 CP” edition 2004, regarding the procedure mode in the damaging cases of the EP valve S9 of the hydraulic transmission ( maximum speed is ½ from Vmax suitable  to the selected  operation mode and exploitation of the locomotive in the the „ rail damage” on the  start convector), respectively the running on a distance about 12 km with higher speeds of 50 km/h, given that the light mode of operation has the maximum authorized speed of 50 km/h, and  the heavy mode of operation  has the maximum authorized speed of 30 km/h;_x000D_
-the oil overflow of the hydraulic transmission on the oil gauge due to the excessive overheating and fluidization. 
Cauza directa a producerii acestui accident o constituie încalzirea excesiva a transmisiei hidraulice, din cauza depasirii vitezei maxime admise de regimul de lucru ales (transmisia hidraulica fiind defecta) pe distanta Vintu de Jos – Barabant (aproximativ 15 km), urmata de aprinderea depunerilor de produse petroliere din zona distribuitorului transmisiei hidraulice si a filtrelor de aer supraalimentare motor Diesel.   Factorii care au contribuit  la producerea acestui accident sunt: - nerespectarea prevederilor din „Îndrumatorul de exploatare pentru locomotiva tip LDH 1250 CP” editia 2004, referitoare la modul de procedare în cazurile de defectare a supapei electropneumatice S9 a transmisiei hidraulice (circulatia cu viteza maxima de ½ din Vmax corespunzatoare regimului de lucru ales si exploatarea locomotivei în regim de „AVARIE” pe convertizorul de pornire), si anume circulatia pe o distanta de aproximativ 12 km cu viteze mai mari de 50 km/h, în conditiile în care pentru regimul de lucru usor viteza maxima admisa în aceste conditii este de 50 km/h, iar pentru regimul de lucru greu viteza maxima admisa în aceste conditii este de 30 km/h; - debordarea uleiului din transmisia hidraulica pe la joja de ulei datorita supraîncalzirii excesive si a fluidizarii acestuia.</t>
  </si>
  <si>
    <t>The underlying cause of this accident is the non observance of the provisions of „Instructions for the staff locomotive activity in railway transport” no.201/2007, article 41- (2), respectively the engine driver did not write in the free pass, orders and movement registry of Vintu de Jos railway station about the running conditions of the locomotive from the station mentioned above until the traction unit for performing the necessary remedies, given  that the locomotive damage imposed the running with low speed, according to provision of “Exploitation guide for locomotive type LDH 1250 CP”._x000D_
Root cause_x000D_
There weren’t identified root causes of this railway accident. 
Cauza subiacenta a producerii acestui accident o constituie nerespectarea prevederilor din „Instructiuni pentru activitatea personalului de locomotiva în transportul feroviar” nr. 201/2007, Art. 41 –(2), respectiv faptul ca mecanicul de locomotiva nu a înscris în registrul de cai libere, comenzi si miscare al statiei Vintu de Jos mentiunile asupra conditiilor de circulatie a locomotivei de la statia mentionata pâna la unitatea de tractiune pentru a se efectua remedierile necesare, având în vedere faptul ca defectul locomotivei impunea circulatia acesteia cu viteza redusa, în conformitate cu prevederile „Îndrumatorului de exploatare pentru locomotiva tip LDH 1250 CP”.</t>
  </si>
  <si>
    <t>CZ-1221</t>
  </si>
  <si>
    <t>Trains collision, 23.8.2011, Praha-Liben station; switch No. 34A; km 404.714 (Czech Republic)</t>
  </si>
  <si>
    <t>Regional passenger train No. 9326 passed a signal at danger and collided with shunting movement. Both trains derailed and shunting operation began to burn. Result of this serious accident was the ecological disaster.</t>
  </si>
  <si>
    <t>Praha-Liben station; switch No. 34A; km 404.714</t>
  </si>
  <si>
    <t>Passenger train No. 9326 driver's operational error - disrespect of main signal Lc06 with signal “Stop”._x000D_
Contributory factor: absence of technical equipment preventing train from passing signal at danger.</t>
  </si>
  <si>
    <t>Disrespect of infrastructure managers’ technological procedures which are set for the departure of trains from the railway station, especially: putting of the passenger train No. 9326 at 6th station track into motion from the stop for entry and exit of passengers at the 1st platform even though the signal "Stop" of the signal Lc06 was visible and dispatcher didn’t give any instruction.</t>
  </si>
  <si>
    <t>DE-1239</t>
  </si>
  <si>
    <t>Train derailment, 23/8/2011, Bf Belzig – Bf Wiesenburg (Mark)</t>
  </si>
  <si>
    <t>NIB DE</t>
  </si>
  <si>
    <t>Am 23.08.2011 um ca. 10:29 Uhr entgleiste der letzte Wagen des Güterzuges FIR 51474 auf der Fahrt vom Bahnhof (Bf) Seddin zum Bf Seelze bei der Ausfahrt aus dem Bf Belzig im Kilometer (km) 65,6. Der Wagen gleiste sich selbsttätig am Bahnübergang (BÜ) in km 70,4 wieder ein. Schließlich wurde der Zug in Magdeburg Hauptbahnhof gestellt.</t>
  </si>
  <si>
    <t>Bf Belzig – Bf Wiesenburg (Mark)</t>
  </si>
  <si>
    <t>Die bautechnische Infrastruktur wurde im Bereich von ca. km 65,6 bis km 70,4 stark be-schädigt. An mehreren Stellen im Streckengleis Belzig – Wiesenburg (Mark) kam es zum Abrücken des Gleises aus der trassierten Solllage. Die Radsätze der entgleisten Drehgestel-le und die Kurzkupplung des entgleisten Tiefladewagens der Sonderbauart Uaai 839 sowie einige Arretierungselemente der Tragschnäbel waren stark beschädigt und nicht mehr bestimmungsgemäß einsetzbar.</t>
  </si>
  <si>
    <t>Article 20.1 of Directive (EU) 2016/798</t>
  </si>
  <si>
    <t>Als Entgleisungsursache ist ein Montagefehler bei der Transportvorbereitung des Tiefladewagens der Bauart Uaai 839 im Kraftwerk Jänschwalde anzusehen. Dadurch wurde bei der Fahrt durch den Bf Belzig die Arretierung des Tragschnabels B 2 am Führungspunktträger aufgehoben, was in der Folge zum Versagen der Kurzkupplung zwischen den beiden Halbwagen und zur Entgleisung führte.</t>
  </si>
  <si>
    <t>UK-1224</t>
  </si>
  <si>
    <t>Level crossing accident, 24/08/2011, Gipsy Lane footpath level crossing, Needham Market, Suffolk (United Kingdom)</t>
  </si>
  <si>
    <t>On 24 August 2011 at about 13:52 hrs an express passenger train, the 12:30 hrs service from London Liverpool Street to Norwich, was travelling at close to the permitted line speed of 100 mph when the driver observed a person on the crossing.  He applied the brakes but unfortunately the train struck the person before they had moved clear of the track.  The person who was struck suffered fatal injuries.</t>
  </si>
  <si>
    <t>Gipsy Lane footpath level crossing, Needham Market, Suffolk</t>
  </si>
  <si>
    <t>The pedestrian continued to cross when she became aware of the approaching train</t>
  </si>
  <si>
    <t>The causal factors were: a. The pedestrian moved from the adjacent line into the path of the train because she either did not see the approaching train, she misjudged the speed of the train, or she believed that the train was approaching her on the line she was standing on (paragraph 61, Recommendation 1). b. For vulnerable users, the warning of an approaching down line train was not sufficient to enable them to use the crossing safely (paragraph 68, Recommendation 1). c. In the period up to December 2010 no action was taken to address the risk to vulnerable users (paragraph 74, Recommendation 2). d. No short-term mitigation measures were implemented when it was identified, in May 2011 during the whistle board audit, that the down line whistle board was not providing adequate warning to the users of Gipsy Lane footpath crossing (paragraph 83, Recommendations 2 and 3). e. No action was implemented to reduce the risk to pedestrians at Gipsy Lane footpath crossing when the ORCC identified that the warning time for the approach of down trains was insufficient in June 2011 (paragraph 86, Recommendation 2). f. No action was implemented to reduce the risk to pedestrians at Gipsy Lanefootpath crossing after the ORCC confirmed in August 2011 that the warning time for the approach of down trains was insufficient and that there were vulnerable users at the crossing (paragraph 93, Recommendations 2 and 3). Guidance, in the form of a decision flowchart provided by Network Rail’s national level crossings team, sometimes discouraged those involved in level crossing risk management from making short-term changes to reduce risk at crossings such as Gipsy Lane (paragraph 97, Recommendation 3).</t>
  </si>
  <si>
    <t>NO-1258</t>
  </si>
  <si>
    <t>Other, 25/08/2011, Gjøvikbanen, Hakadal station, track 1 (Norway)</t>
  </si>
  <si>
    <t>The locomotive driver and the conductor both perceived that the repeat signal for the main exit signal indicated driving permission. The train started from the platform, bur when the locomotive driver could see the main exit signal, this indicated stop. The train stopped aprox 30 metres before the signal. After 2-3 minutes a train in the opposite direction arrived at the station.</t>
  </si>
  <si>
    <t>Gjøvikbanen, Hakadal station, track 1</t>
  </si>
  <si>
    <t>The signal can have shown token unintended</t>
  </si>
  <si>
    <t>SI-1223</t>
  </si>
  <si>
    <t>Trains collision, 26/08/2011, Switch No. 3 in station Jesenice, border and starting-point station for single track line Jesenice Ljubljana and starting-point station for single track line Jesenice SeÅ¾ana, in km 629+955. (Slovenia)</t>
  </si>
  <si>
    <t>On switch No. 3 at Jesenice station incoming freight train No. 48444, that was arriving at station track No. 5 from single-track main line Ljubljana Jesenice crashed with outgoing regional passenger train No. 4213, that was departing from station track No. 4 on single-track regional line Jesenice Sežana.</t>
  </si>
  <si>
    <t>Switch No. 3 in station Jesenice, border and starting-point station for single track line Jesenice Ljubljana and starting-point station for single track line Jesenice SeÅ¾ana, in km 629+955.</t>
  </si>
  <si>
    <t xml:space="preserve">Slovenske železnice  d.o.o.; 
</t>
  </si>
  <si>
    <t>UK-1279</t>
  </si>
  <si>
    <t>Train derailment, 2011-08-26, Bordesley Junction (United Kingdom)</t>
  </si>
  <si>
    <t>A freight train comprising a diesel-electric locomotive, 30 empty aggregate wagons, and an unloading wagon derailed on the approach to Bordesley Junction, Birmingham.  The rear four wagons of the train, which was travelling between Banbury and Barrow-on-Soar, derailed and re-railed during the accident.  There was extensive track damage at Bordesley Junction and some damage to the vehicles involved.  No-one was hurt.</t>
  </si>
  <si>
    <t>Bordesley Junction</t>
  </si>
  <si>
    <t>The immediate cause of the accident was that the leading right-hand wheel flange on wagon REDA 16066 climbed onto the rail head and then derailed to the right. This was due to a combination of factors related to the suspension on wagon REDA 16066 and the track geometry at Bordesley Junction</t>
  </si>
  <si>
    <t>The causal factors were: a. The suspension of the trailing left-hand wheel on wagon REDA 16066 probably became locked-up (figure 9) when it passed over track geometry that increased the dynamic load on it, which then reduced the load on the leading right-hand wheel at the point of derailment (paragraph 59, Recommendations 1, 2 and 3). b. The maintenance process for the suspension of REDA 16066 did not detect and rectify the worn suspension components on the trailing left-hand corner (paragraph 68, Recommendation 2). c. No changes had been made to the suspension on REDA 16066 or the way in which it was operated or maintained, following testing in 2009 which showed that the suspension on PHA wagons was prone to locking-up (paragraph 75, Recommendations 1, 2 and 3). i. 	Modifications that had been shown to reduce the frequency of lock-ups had not been made to the suspension on REDA 16066 (paragraph 81, Recommendation 3). ii. Neither Lafarge nor Network Rail’s PWRAMG assessed the risk of continuing to operate the PHA wagon fleet while the work to develop, test and implement the modifications was outstanding (paragraph 88, Recommendation 1). iii. Network Rail’s PWRAMG had identified new maintenance checks for suspension component wear but these had not been mandated before REDA 16066’s last maintenance examination (paragraph 92, Recommendation 2). d. A 3 metre track twist more severe than 1 in 200 reduced the load on the leading right-hand wheel, causing the flange to climb onto the rail head. Although trains were permitted to operate over track with this degree of track twist, the derailment is unlikely to have occurred in its absence (paragraphs 104 and 143 to 144). e. The track twists in the vicinity of the point of derailment had been present for a long time. Network Rail staff had attended to them six times during 2011, but carried out work in the wrong place (paragraphs 110 and 153 (Santon Recommendation 6 www.raib.gov.uk)).f. The track twists at Bordesley Junction were identified as repeat track geometry faults but no action was taken to investigate why these faults were recurring (paragraphs 117 and 153 (Santon Recommendation 7 www.raib.gov.uk)).g. The track on the Down Main (Bordesley) close to the junction was not tamped as planned during overnight work on 21 and 22 August 2011 (paragraph 122, Recommendation 4). h. The track twists on the Down Main (Bordesley) line had formed due to the deteriorating condition of the formation (paragraphs 128 and 143 to 144). Particular features of the track at Bordesley Junction also increased the likelihood of the leading right-hand wheel flange climbing (paragraph 132). These features were the track curving to the left, the dynamic cant being more than the designed cant, side wear on the right-hand running rail that changed the contact angle between the wheel flange and rail, and dry rails giving a higher level of friction between the wheel flange and rail (paragraphs 133 to 135). The underlying factor was: a.Once the PHA wagons were known to have a suspension that was much more prone to locking-up than expected, no organisation took overall ownership of the resolution of the problem (paragraph 100, Recommendation 1).</t>
  </si>
  <si>
    <t>ES-1253</t>
  </si>
  <si>
    <t>Train derailment, 27/08/2011, Granollers Centre (Barcelona), kilometre point 134,932, 270 Portbou-Cerbere-Barcelona-Sant Andreu Comtal (Spain)</t>
  </si>
  <si>
    <t>Commuter train unduly overtook exit signal, running over scotch block nº23 and becoming partially derailed (the first two bogies)</t>
  </si>
  <si>
    <t>Granollers Centre (Barcelona), kilometre point 134,932, 270 Portbou-Cerbere-Barcelona-Sant Andreu Comtal</t>
  </si>
  <si>
    <t>The accident had its origin when commuter train 28480 overrun, without authorization, exit signal S2/7-9 - which stated a stop aspect - due to the non-compliance of the signal instructions by the train driver.</t>
  </si>
  <si>
    <t>HU-1230</t>
  </si>
  <si>
    <t>Train derailment, 2011-08-29, Line 105: Debrecen station (Hungary)</t>
  </si>
  <si>
    <t>The first and second wagon of the train No. 45481-2 derailed as it was leaving the station, because a drag shoe was left under the first bogie of the first wagon.</t>
  </si>
  <si>
    <t>Line 105: Debrecen station</t>
  </si>
  <si>
    <t>Operation - station personel - violation</t>
  </si>
  <si>
    <t>CZ-1235</t>
  </si>
  <si>
    <t>Trains collision, 31/08/2011, Open line between Karizek and Zbiroh stations (Czech Republic)</t>
  </si>
  <si>
    <t>Passenger train No. 7800 crashed into rear part of freight train No. 64710. Last wagon of the freight train derailed.</t>
  </si>
  <si>
    <t>Open line between Karizek and Zbiroh stations</t>
  </si>
  <si>
    <t>BE-2138</t>
  </si>
  <si>
    <t>Train derailment, 2011-09-02, Feluy Zoning (Belgium)</t>
  </si>
  <si>
    <t>Le jeudi 08 septembre 2011, à 10h40, le chef de plateforme SNCB-Logistics constate, à la voie 11 du faisceau B de Feluy, le déraillement d’un bogie du dernier wagon d’une rame de 16 wagons._x000D_
_x000D_
La citerne de ce wagon est vide mais a contenu de l’hexène, matière considérée comme dangereuse, relevant du règlement RID et ayant 2370 comme code ONU et 33 comme code danger._x000D_
Le heurtoir de la voie 11 est enfoncé et a reculé d’une distance d’environ 5 mètres. 
On Thursday 08 September 2011, at 10:40, the chief of platform SNCB Logistics finds out, on track 11 of stack B Feluy, that a bogie of the last wagon of a train of 16 wagons derailed. This tank wagon is empty but contained hexene, material considered dangerous under RID regulations and with the 2370 as UN code and 33 as danger code. The stopper of track 11 is broken and pushed back for a distance of about 5 meters.</t>
  </si>
  <si>
    <t>Feluy Zoning</t>
  </si>
  <si>
    <t>SNCB Logistics</t>
  </si>
  <si>
    <t>L’enquête a montré que le déraillement est dû à nombre de wagons trop élevé par rapport au nombre de wagons que peut accueillir la voie 11. 
The investigation revealed that the derailment was due to number of cars too high compared to the number of cars that can accommodate the track 11.</t>
  </si>
  <si>
    <t xml:space="preserve">Le wagon déraillé, surnuméraire suite à une erreur de comptage, a été poussé en dehors de la voie : le mauvais positionnement de l’opérateur durant la manoeuvre ne lui a pas permis de percevoir correctement la situation. // _x000D_
The derailed supernumerary following a counting error, was pushed out of the way: the poor positioning of the operator during the maneuver did not allow him to correctly perceive the situation. 
</t>
  </si>
  <si>
    <t>UK-1263</t>
  </si>
  <si>
    <t>Other, 2011-09-04, Ufton level crossing, Berkshire (automatic half barrier level crossing) (United Kingdom)</t>
  </si>
  <si>
    <t>At about 12:29 hrs, the 11:13 hrs train from London Paddington to Bedwyn (train 1K54), which was the first train over the line following re-opening, passed over the automatic half barrier level crossing at Ufton at about 60 mph (100 km/h) while the barriers were in the raised position and the road traffic warning lights were not showing. A car, which was approaching from the south on Ufton Lane, the unclassified road which runs over the level crossing, had to stop suddenly to avoid colliding with the train. Ufton level crossing The RAIB’s preliminary examination found that the level crossing was being controlled locally at the time of the incident. The person controlling the crossing had not received any instruction to lower the barriers before the train arrived.</t>
  </si>
  <si>
    <t>Ufton level crossing, Berkshire (automatic half barrier level crossing)</t>
  </si>
  <si>
    <t>The signal protecting Ufton crossing was displaying a green (proceed) aspect to the driver of 1K54 as the train approached despite the barriers being in the raised position (paragraph 76).</t>
  </si>
  <si>
    <t>The causal factors were: a. the signaller did not caution the driver of train 1K54 at signal TR808 (the crossing protecting signal) to inform him that Ufton crossing was under local control (paragraph 77, Recommendations 1, 2 and 3); b. the signaller did not instruct the level crossing attendant to lower the barriers (paragraph 89, Recommendations 1, 2 and 3); and c. the signaller could not contact the level crossing attendant to confirm that the barriers were in the lowered position (paragraph 116, no recommendation). A probable causal factor was: a. the signallers workload was high (paragraph 93, Recommendation 4). The possible causal factors were: a. The status of the level crossing was not displayed adjacent to the signaller’s control that might have been used to remove the reminder (paragraph 105, Recommendation 1). b. The level crossing barrier status message was positioned at a location where it could be overlooked by a signaller setting a route over the crossing (paragraph 110, Recommendation 3). probable underlying factor was: a. The plan for amending possession limits, testing signalling equipment and introducing the passenger service created the potential for overloading the signaller. There was no effective means for taking account of the signallers’ workload associated with the plan (paragraph 126, Recommendation 4).</t>
  </si>
  <si>
    <t>NO-1234</t>
  </si>
  <si>
    <t>Train derailment, 05-09-11, Rørosbanen, between Opphus and Rasta station. Aprox. 3 km north of Opphus. (Norway)</t>
  </si>
  <si>
    <t>15 meters of the substructure was washed away by the water due to heavy rainfall and a blocked sub drain.</t>
  </si>
  <si>
    <t>Rørosbanen, between Opphus and Rasta station. Aprox. 3 km north of Opphus.</t>
  </si>
  <si>
    <t>Blocked sub drain lled to ower flow and wash out of the sub struckture.</t>
  </si>
  <si>
    <t>CZ-1236</t>
  </si>
  <si>
    <t>Train derailment, 2011-09-07, Prerov station (Czech Republic)</t>
  </si>
  <si>
    <t>Derailment of two rolling stocks during arrival of the freight train to the station.</t>
  </si>
  <si>
    <t>Prerov station</t>
  </si>
  <si>
    <t>Loss of a vertical wheel force of the right wheel of the first axle of the first bogie of rolling stock due to a defect in the station line No. 46 and switch No. 208ab in Prerov station.</t>
  </si>
  <si>
    <t>Insufficient ensuring of adequate periodic inspection and maintenance of the track on the accident-site._x000D_
Root cause: none.</t>
  </si>
  <si>
    <t>UK-1280</t>
  </si>
  <si>
    <t>Other, 10/09/2011, Haslemere (United Kingdom)</t>
  </si>
  <si>
    <t>A trolley which was being used by a gang from Network Rail’s track maintenance depot at Havant, to transport tools and equipment within an engineer’s possession. The loaded trolley was left standing on a gradient of 1 in 80 (1.25%) shortly before 03:00 hrs.  When it was moved, the brakes did not re-apply automatically, and the trolley ran unattended for a distance of nearly three miles in the wrong direction towards Witley station, before it reached an uphill gradient and stopped._x000D_
Another gang had been carrying out grinding operations close to Witley station, and had moved off the track shortly before the trolley ran past their site of work.</t>
  </si>
  <si>
    <t>Haslemere</t>
  </si>
  <si>
    <t>The trolley did not stop when the COSS let go of the brake handle (paragraph 40).</t>
  </si>
  <si>
    <t>Causal factors_x000D_
_x000D_
*The COSS did not intervene when the brake handle did not spring back to the ‘on’  position after he let go of it.  This arose for one of the following reasons:_x000D_
a. the COSS was expecting the brakes to apply automatically but they did  not, because the brake linkage mechanism had jammed in the ‘off’ position  (paragraph 44, Recommendation 1); or_x000D_
b. the COSS was aware the brakes would not apply automatically (either because he knew that the brake handle could stick in the ‘off’ position or because he had interfered with the mechanism), but was not aware that he was on a long falling gradient when he let go of the trolley (paragraph 48, _x000D_
Recommendation 1)._x000D_
_x000D_
*Had there been a second person with the trolley while it was being moved they might have prevented the trolley from accelerating away from the COSS.  This was a probable causal factor (paragraph 53, Learning point 1)._x000D_
_x000D_
*Network Rail does not explicitly require a hand trolley controller to test the automatic brake mechanism as part of the pre-use brake check.  This was a possible causal factor (paragraph 56, Recommendation 1)._x000D_
_x000D_
*The brake linkage was susceptible to damage if the handle was forced in the wrong direction (paragraph 62, Recommendation 2)._x000D_
_x000D_
*The maintainer did not take action to withdraw the trolleys or repair the bent pushrods (paragraph 66, Recommendation 3).  This was due to one of the following reasons:_x000D_
a. the maintainer did not recognise that the brake pushrods were bent (paragraph 70); or_x000D_
b. the maintainer noticed that the brake pushrods were bent, but did not think that it mattered (paragraph 72)._x000D_
_x000D_
The underlying factors were:_x000D_
a. The manufacturer did not identify the risk from bent brake pushrods (paragraph 75, Recommendation 2)._x000D_
b. The product acceptance process did not identify either the causes or consequences of possible wrong-direction operation of the brake handle (paragraph 79, Recommendation 2)._x000D_
c. Network Rail had a process for reviewing RAIB recommendations made to other operators, but had not implemented changes which might have prevented the incident on 10 September 2011 from occurring (paragraph 84, Recommendation 4).</t>
  </si>
  <si>
    <t>DE-1325</t>
  </si>
  <si>
    <t>Trains collision with an obstacle, 2011-09-11, Strecke: Köln - Bingen; Strecken-Nr. 2630 in km 123,664 (Germany)</t>
  </si>
  <si>
    <t>IC 2313 auf der Fahrt von Hamburg nach Stuttgart kollidiert zwischen den Bahnhöfen Werlau und St.Goar mit durch einen Murgang in das Gleis abgegangenen Geröllmassen. 14 Personen leicht verletzt. 
IC 2313 on the route from Hamburg to Stuttgart, between the stations Werlau and St.Goar, collided with a debris flow into the track dialed boulders. 14 people slightly injured.</t>
  </si>
  <si>
    <t>Strecke: Köln - Bingen; Strecken-Nr. 2630 in km 123,664</t>
  </si>
  <si>
    <t>Durch unwetterartige Regenfälle sind ca. 100 qm Schlamm und Geröllmassen zu Tal gegangen. Dadurch wurde das Streckengleis überspült. 
By storm rains approximately 100 square mud and boulders have gone to the valley. Thus, the main track was flooded.</t>
  </si>
  <si>
    <t>CZ-1237</t>
  </si>
  <si>
    <t>Train derailment, 12.9.2011, Slatinany station (Czech Republic)</t>
  </si>
  <si>
    <t>Derailment of two rolling stocks of shunting movement during shunting operation over not folded derailer. A shunter stood and consequently skidded and fell down under the second derailed rolling stock.</t>
  </si>
  <si>
    <t>Slatinany station</t>
  </si>
  <si>
    <t>Direct cause: giving of agreement to shuning movement without previous right ensuring of shunting way._x000D_
Contributory factor: too tall grass in the area of derailer No. Vk3 which caused impossibility to find out that derailer is not folded and creates an obstacle in shunting way.</t>
  </si>
  <si>
    <t>Human factor – bad assessment of the situation and incorrect decision of train dispatcher of Ždárec u Skutce station related with making of shunting way and oversight that shunting way is incorrectly made._x000D_
Root cause: none.</t>
  </si>
  <si>
    <t>HU-1250</t>
  </si>
  <si>
    <t>Other, 16/09/2011, Line 20: Szombathely station (Hungary)</t>
  </si>
  <si>
    <t>On 16 september 2011 at 14:50 hrs, a locomotive collided with its train (no.9203) - consisting of 3 carriages - while shunting on track at Szombathely station. As a consequence of the collision, two passengers suffered minor injuries.</t>
  </si>
  <si>
    <t>Line 20: Szombathely station</t>
  </si>
  <si>
    <t>Brake rigging failure (locomotive)</t>
  </si>
  <si>
    <t>HU-1244</t>
  </si>
  <si>
    <t>Spad, 2011-09-18, Line 8: Sopron station (Hungary)</t>
  </si>
  <si>
    <t>The train Nr47116 passed a „Stop” exit signal without any permission, split the point Nr3a over and run into the route set for a train from the opposite direction. The engine drivers had noticed the dangerous situation and stopped the trains approximately 200 m from each other. There were no personal injuries.</t>
  </si>
  <si>
    <t>Line 8: Sopron station</t>
  </si>
  <si>
    <t>difference of the applied train controll systems</t>
  </si>
  <si>
    <t>CZ-1243</t>
  </si>
  <si>
    <t>Trains collision, 19.9.2011, Praha - Kotlarka (Czech Republic)</t>
  </si>
  <si>
    <t>Tram No. 20/8 collided with a tram No. 14/10 on tram stop Kotlarka. After the collision the tram No. 20/8 derailed.</t>
  </si>
  <si>
    <t>Praha - Kotlarka</t>
  </si>
  <si>
    <t>Tramway / Light rail</t>
  </si>
  <si>
    <t>Dopravni podnik hl. m. Prahy akciova spolecnost</t>
  </si>
  <si>
    <t>Dopravni podnik hl. m.  Prahy akciova spolecnost</t>
  </si>
  <si>
    <t>Direct cause: uncontroled movement of tram No. 20/8 because of sudden health troubles of the driver of tram._x000D_
Contributing factor: missing technical means – safety equipment, which would prevent a rolling stock from next movement (in case of failure, sudden health 			troubles or driver’s death).</t>
  </si>
  <si>
    <t>HU-1238</t>
  </si>
  <si>
    <t>Other, 2011.09.19., Line 40: Dunai Finomito station (Hungary)</t>
  </si>
  <si>
    <t>On 19 September 2011 at 20:50 hrs, a worker (employee of MOL) climbed up onto a tank-wagon on platform III (with overhead contact line) of Dunai Finomito station and suffered an electric shock and was taken to hospital with serious injuries.</t>
  </si>
  <si>
    <t>Line 40: Dunai Finomito station</t>
  </si>
  <si>
    <t>MMV Magyar Magánvasutak Zrt.</t>
  </si>
  <si>
    <t>Operation - Other (Unauthorized person) - Violation</t>
  </si>
  <si>
    <t>DE-1247</t>
  </si>
  <si>
    <t>Level crossing accident, 2011-09-20, Bahnübergang Bad Lausick - Belgershain; Strecke Chemnitz - Leipzig (Germany)</t>
  </si>
  <si>
    <t>Am Bahnübergang Lauterbach/Steinach prallte eine Doppeleinheit VT 612 mit einem Pkw zusammen. 
At the level crossing Lauterbach/Steinach a double unit VT 612 collided with a car.</t>
  </si>
  <si>
    <t>Bahnübergang Bad Lausick - Belgershain; Strecke Chemnitz - Leipzig</t>
  </si>
  <si>
    <t>Unfallursächlich für den Zusammenprall auf dem Bahnübergang war ein Auffahrunfall auf der Straße. Ausgelöst durch dieses Auffahren auf der Straße, wurde als Folge das erste Fahrzeug ein Pkw auf den technisch gesicherten Bahnübergang geschoben, auf dem es dann zum Zusammenprall mit dem RE 3736 kam. 
Cause of the collision at the level crossing was a collision on the road. Triggered by this road collision, as a result the first vehicle pushed a car onto the technically secured level crossing, where then the collision with the train RE 3736 occurred.</t>
  </si>
  <si>
    <t>DE-1240</t>
  </si>
  <si>
    <t>Trains collision, 2011-09-21, Bahnhof Bleicherode Ost; Strecke Halle - Hann Münden Nr. 6343 (Germany)</t>
  </si>
  <si>
    <t>Am 21.09.2011 kam es im Bf Bleicherode Ost zu einer Kollision zweier Gefahrgutzüge. Bei der Durchfahrt kam DGS 95443 zum Halten. Der nachfolgende DGS 91117 fuhr auf den Schluss des stehenden DGS 95443 auf. 
On 21.09.2011 at the station Bleicherode Ost there was a collision between two trains transporting dangerous goods. With its passage the train DGS 95443 came to hold. The following train DGS 91117 went on to the end of the standing train DGS 95443.</t>
  </si>
  <si>
    <t>Bahnhof Bleicherode Ost; Strecke Halle - Hann Münden Nr. 6343</t>
  </si>
  <si>
    <t>Rail4Chem</t>
  </si>
  <si>
    <t>Einfahrt des Zuges 91117 in das durch Zug 95443 noch besetzte Gleis. Betriebliche Fehlhandlungen der örtlichen Mitarbeiter. 
Arrival of the train 91117 in the still occupied by train track 95443. Operating improper action by the local people.</t>
  </si>
  <si>
    <t>HU-1245</t>
  </si>
  <si>
    <t>Spad, 21/09/2011, Line 30: Kapolnasnyek station (Hungary)</t>
  </si>
  <si>
    <t>An infrastructure work train left the station on the right track (instead of the left track) and run against the established flow of traffic to the next station. (Investigated commonly with the occurrence No. HU-1154)</t>
  </si>
  <si>
    <t>BSS 2000 Kft.</t>
  </si>
  <si>
    <t>poor communication between the driver and the station personnel, violation of the traffic regulations</t>
  </si>
  <si>
    <t>HU-1246</t>
  </si>
  <si>
    <t>Train derailment, 2011-09-22, Line 100: Szolnok station (Hungary)</t>
  </si>
  <si>
    <t>The 17th wagon of the train No. 45214-1 derailed with its four axles at the switch No.22 as the train was leaving the station.</t>
  </si>
  <si>
    <t>Train Hungary Kft.</t>
  </si>
  <si>
    <t>wagons - bogies - equipment failure; Infrastructure - track - equipment failure</t>
  </si>
  <si>
    <t>RO-1241</t>
  </si>
  <si>
    <t>Fire in RS, 2011-09-22, Open line Turdas - Orastie belongs to Timisoara Railway County on the west of romanian railway network. (Romania)</t>
  </si>
  <si>
    <t>The locomotive of the train no. 347-2 (LDH 600) was on fire.</t>
  </si>
  <si>
    <t>Open line Turdas - Orastie belongs to Timisoara Railway County on the west of romanian railway network.</t>
  </si>
  <si>
    <t>Incendiul a fost initiat in cutia de borne a dynastarterului în urma supraincalzirii zonei de contact dintre papucul bornei 1B1 si placa de legatura ( punte) in borna E2 datorita contactului imperfect urmata de aprinderea izolatiei conductorului de conexiune a bornei 1B1 cu bobina polului auxiliar din stator. Factori care au contribuit:  Suprasarcina aparuta in functionarea dynastarterului ca urmare a utilizarii setului de  baterii de acumulatoare  cu durata normala de exploatare depasita  si de capacitate neuniforma. 
Direct cause:_x000D_
The fire started in the terminal box of the dynastarter as a result of overheating the contact area between terminal connection blade  1B1 and connection plate in the terminal E2 due to the imperfect contact followed by  ignition of the conductor connection insulation  of the terminal 1B1 with  the pole auxiliary coil from field magnet._x000D_
_x000D_
Factors that contributed: _x000D_
The overcharge occurred in the functioning of the dynastarter as a result of using the set of storage batteries with the normal operating capacity exceeded and irregular.</t>
  </si>
  <si>
    <t>SI-1249</t>
  </si>
  <si>
    <t>Accident to persons caused by RS in motion, 23/09/2011, Station OrmoÅ¾, track No. 1 (Slovenia)</t>
  </si>
  <si>
    <t>Freight train No. 42030, coming to station Ormož, run over passenger on track No. 1. The passenger was traversing the tracks to exit from the platform, instead of using the underpass.</t>
  </si>
  <si>
    <t>Station OrmoÅ¾, track No. 1</t>
  </si>
  <si>
    <t>UK-1262</t>
  </si>
  <si>
    <t>Other, 23/09/2011, Balcombe tunnel (United Kingdom)</t>
  </si>
  <si>
    <t>At 05:24 hrs on the morning of 23 September the crew of an engineering train, which was passing through Balcombe tunnel on its way to sidings at Tonbridge after overnight work near Hove, reported to the signaller at Three Bridges that there appeared to be a problem with a structure inside the tunnel. There are five steel structures attached to the brick lining of the double track Balcombe tunnel, which span both tracks. The structures are intended to catch water running from ventilation shafts and other sources, and divert it into the tunnel drainage system.  Each structure consists of a deck, supported by longitudinal beams which in turn rest on transverse girders which are about six metres long and located at approximately five metre intervals.  Plates welded to each end of these girders are attached to studs embedded in the tunnel lining. The line was closed following the train crew’s report and an inspection found that, on one of the structures, three adjacent transverse girders were detached from the tunnel wall at one end, and had dropped about 0.5 metres. A structural engineer from Network Rail confirmed that, although the failed structure was not fouling the path of a train, the tunnel was not safe for train movements. It remained closed to trains until 03:30 hrs on Saturday 24 September while Network Rail engineering teams carried out remedial work, which involved the installation of brackets to support the detached girders. The structure which failed was installed about 12 years ago. It had dropped because twelve of the studs, which had been inserted into holes drilled in the tunnel wall, had become loose and fallen out. Other studs, securing nearby girders, also showed signs of looseness. Network Rail is carrying out a programme of work to make permanent repairs to the water catchment trays in Balcombe tunnel.</t>
  </si>
  <si>
    <t>Balcombe tunnel</t>
  </si>
  <si>
    <t>The incident occurred when a structure in the roof of the tunnel became partly detached from the tunnel lining and deflected downwards, reducing the clearance to trains passing through the tunnel.</t>
  </si>
  <si>
    <t>The following causal factors have been identified: a) 	The design of the connection between the studs and tunnel lining was inadequate (paragraph 40, Recommendations 1 and 2). This was because: i) the resin was incompatible with the brickwork (paragraph 46); ii) the resin may have been softened by water percolating through the brickwork (paragraph 50); and iii) resin shrinkage may have reduced the bond between studs, resin and brickwork (paragraph 56). b) The Structures Management Engineer did not recognise the significance of missing studs reported in October 2008 (paragraph 67, Recommendation 4). c) Network Rail did not provide the Structures Management Engineer with the support needed to compensate for his limited experience (paragraph 78, Recommendation 5). d) Information about missing studs was not passed on by Network Rail when responsibility for examinations transferred between contractors in April 2009 (paragraph 87). e)Studs falling to track level were found but not reported to the Structures Management Engineer (paragraph 100, Recommendation 6). It is probable that the following factors were causal: a) Insufficient resin was placed around the studs during installation (paragraph 57). b) The resin was selected using inadequate technical data (paragraph 63, Recommendation 3, Learning Point 1). Inadequate access meant that tunnel examinations were not undertaken in accordance with Network Rail standards (paragraph 112, Recommendation 7).</t>
  </si>
  <si>
    <t>IT-1248</t>
  </si>
  <si>
    <t>Rolling stock events, 24/09/2011, Open line (Italy)</t>
  </si>
  <si>
    <t>Rolling stock events</t>
  </si>
  <si>
    <t>During braking caused by the intervention of the ATP, the train has broken in two parts due to the break of the coupling hook of the penultimate car</t>
  </si>
  <si>
    <t>Open line</t>
  </si>
  <si>
    <t>Breaking of the draft rod due to the propagation of a pre-existing crack, which has reduced the useful section resistant rod itself until reaching the breaking point.</t>
  </si>
  <si>
    <t>Degradation of characteristics (increased hardness and therefore fragility) of the material constituting the rod which has favored the start of the crack, caused most probably by a trauma that has undergone the rod, in the vicinity of the variation of the base section of the head of the coupling hook.</t>
  </si>
  <si>
    <t>UK-1389</t>
  </si>
  <si>
    <t>Trains collision with an obstacle, 25/09/2011, White House Farm (Hatsons) (United Kingdom)</t>
  </si>
  <si>
    <t>At approximately 10:13 hrs on Sunday 25 September 2011, the 10:10 hrs service from Kings Lynn to Ely operated by First Capital Connect struck a tractor on White House Farm1 User Worked Crossing2 (UWC).</t>
  </si>
  <si>
    <t>White House Farm (Hatsons)</t>
  </si>
  <si>
    <t>The collision between train 1T60 and the tractor occurred because: a. the signaller gave permission for the tractor driver to cross the railway before establishing that train 1T60 had passed (paragraph 22, Learning point 1);b. the tractor driver moved onto the crossing immediately that the signaller gave permission for him to cross (paragraph 27, Learning points 1 and 2); and c. the method adopted for working White House Farm UWC during the period of intensive use had not identified and controlled the potential risk arising from mis-communication between the signaller and the tractor driver (paragraph 30, Learning point 2).</t>
  </si>
  <si>
    <t>AT-0077</t>
  </si>
  <si>
    <t>Train derailment, 2011-09-29, Derailment freight train 64203 in km 74,100 between the station Staatz and the station Enzersdorf bei Staatz (Austria)</t>
  </si>
  <si>
    <t>Derailment of freight train 64203 in km 74,100 between the station Staatz and the station Enzersdorf bei Staatz. _x000D_
The last 3 wagons derailed. There was an embankment fire and a load loss._x000D_
The cause of the derailment was a track position error. This error was not detected during maintenance work.</t>
  </si>
  <si>
    <t>Derailment freight train 64203 in km 74,100 between the station Staatz and the station Enzersdorf bei Staatz</t>
  </si>
  <si>
    <t>Track position error. Theis error was not detected during the maintenance work.</t>
  </si>
  <si>
    <t>CZ-1257</t>
  </si>
  <si>
    <t>Trains collision with an obstacle, 29/09/2011, Siding: VÍTKOVICE Doprava, a. s., track No. D11, area of the depot. (Czech Republic)</t>
  </si>
  <si>
    <t>Shunting locomotive (which was remote controlled by engine driver) passed signal at danger, collided with an obstacle (closed gate to the depot) and at the same time there was a collision the locomotive with an engine driver.</t>
  </si>
  <si>
    <t>Siding: VÍTKOVICE Doprava, a. s., track No. D11, area of the depot.</t>
  </si>
  <si>
    <t>VÍTKOVICE  Doprava</t>
  </si>
  <si>
    <t>IE-1271</t>
  </si>
  <si>
    <t>Other, 29/09/2011, Portlaoise Loop (adjacent to Portlaoise Station) (Ireland)</t>
  </si>
  <si>
    <t>At approximately 11am, the locomotive entered  Portlaoise loop (with the Driver in Cab 2) from the Ballybrophy side and stopped at signal CY108 (which is the entrance signal to CC Depot). The driver applied the brakes and transferred to Cab 1 to use the Signal Post Telephone at CY108. The locomotive ranaway, travelling towards Dublin for a distance of 410m until it was stopped by the buffer stop in the bay in Portlaoise Station</t>
  </si>
  <si>
    <t>Portlaoise Loop (adjacent to Portlaoise Station)</t>
  </si>
  <si>
    <t>The immediate cause of the locomotive running away, whilst left unattended on a gradient, was the gradual release of the brakes. This was as a result of the following causal factors, which were necessary for the accident to occur: _x000D_
_x000D_
•	An air leak in part of the braking system; _x000D_
•	The train driver did not fully comply with the instructions for vacating and occupying locomotive cabs, set out in Iarnród Éireann’s Drivers’ Manual.</t>
  </si>
  <si>
    <t>•	There was no quality control system in place for the updating of testing procedures which resulted in the omission of the brake leakage test from the newer procedures;_x000D_
•	IÉ’s Drivers’ Manual for 071 class locomotives had not been formally briefed to train drivers on its introduction in 2005, resulting in the train driver not fully appreciating the necessity of the brake leakage test included in the pre-service checks, or the necessity to carry out the braking instructions, in full, in relation to vacating and occupying locomotive cabs;_x000D_
•	There was no system in place to ensure that train drivers are routinely assessed in relation to changing cab ends on locomotives.</t>
  </si>
  <si>
    <t>RO-1251</t>
  </si>
  <si>
    <t>Fire in RS, 9/29/2011, Open line Pui - Baru Mare belongs to Timisoara Railway County on the west of romanian railway network. (Romania)</t>
  </si>
  <si>
    <t>The locomotive of the train no. 27557 (EA 118) was on fire.</t>
  </si>
  <si>
    <t>Open line Pui - Baru Mare belongs to Timisoara Railway County on the west of romanian railway network.</t>
  </si>
  <si>
    <t>Incendiul s-a produs ca urmare a unui scurtcircuit aparut in circuitul bateriei de acumulatori urmat de topirea si aprinderea izolatiei conductorilor MO si 405 cauzat de degradarea acestei izolatii urmata de atingerea miezului metalic. Degradarea izolatiei conductorilor MO si 405 a fost cauzata de frecarea mecanica dintre tubul de protectie  si conductori datorita manipularii repetate a bateriei de acumulatori in vederea verificarii. 
The fire occurred  following a short-circuit  in the circuit of the  storage battery followed by the melt and ignition of the  conductors insulation “MO” and 405,   caused  by the  degradation  of this insulation then tapping metal  core.  The degradation  of the conductors insulation “MO” and 405   was  caused by the mechanical friction  between  the protection tube and conductors, due  to the repeated  handling of the storage battery in  view of  checking.</t>
  </si>
  <si>
    <t>AT-1352</t>
  </si>
  <si>
    <t>Level crossing accident, 01.10.2011, ÖBB Strecke 11801 von Wien Südbf (Ost) nach Staatsgrenze nächst Nickelsdorf (Hegyeshalom - HU), Bf Parndorf, EK km 48,907.// ÖBB-line 11801 from Wien Südbf (Ost) to boarder next Nickelsdorf (Hegyeshalom - HU), station Parndorf. (Austria)</t>
  </si>
  <si>
    <t>Bei der Annäherung des in Richtung Wien  fahrenden Z 68 ging der Fußgänger von links kommend über die EK, ohne auf den herannahenden Zug oder die geschlossene Schrankenanlage zu achten. 
At the approach of train 68 moving towards Vienna, a pedestrian walked on the level crossing, without watching the approaching train, or the closed barrier system.</t>
  </si>
  <si>
    <t>ÖBB Strecke 11801 von Wien Südbf (Ost) nach Staatsgrenze nächst Nickelsdorf (Hegyeshalom - HU), Bf Parndorf, EK km 48,907.// ÖBB-line 11801 from Wien Südbf (Ost) to boarder next Nickelsdorf (Hegyeshalom - HU), station Parndorf.</t>
  </si>
  <si>
    <t>Human error. Non-compliance with statutory regulations for the use of a level crossing secured with barriers.</t>
  </si>
  <si>
    <t>RO-1252</t>
  </si>
  <si>
    <t>Train derailment, 2011-10-02, Valea Alba station belongs to Craiova Railway County in the south of romanian railway network. (Romania)</t>
  </si>
  <si>
    <t>The 20th wagon from the freight train no. 70838-1 derailed in Valea Alba station.</t>
  </si>
  <si>
    <t>Valea Alba station belongs to Craiova Railway County in the south of romanian railway network.</t>
  </si>
  <si>
    <t>Cauza directa a producerii acestui accident o constituie depasirea limitei de stabilitate la deraiere prin descarcarea de sarcina a rotii de atac nr. 1 (osia cu rotile nr. 1-2 era prima osie a primului boghiu în sensul de mers) a vagonului nr. 33877915348-9, fapt ce a condus la escaladarea sinei din partea stânga a caii si caderea rotii nr. 1 în exteriorul caii de rulare. Descarcarea de sarcina a rotii de atac nr. 1 s-a produs ca urmare a aparitiei unei forte suplimentare de reactiune între aceasta si cadrul boghiului nr. 1, forta aparuta ca efect al ruperii bulonului de articulatie dintre levierul atârnator si portsabotul aferent interiorului rotii nr. 1, urmata de rotirea portsabotului în jurul bulonului axei triunghiulare si apoi, de patrunderea si blocarea levierului atârnator între portsabot si roata. 
The direct cause of this accident consists of exceeding the stability limit at the derailment by load transfer of first wheel (axle with wheels no. 1-2 was the first axle of the first bogie in the running direction) of wagon no. 33877915348-9, which led to the line overclimbing from the track left side and fall of the first wheel on the running track exterior. Load transfer of first wheel occur as a result of an reaction additional force appearance between the first wheel and the first bogie frame, the force arising as a result of braking the joining bolt between the hang brake hanger and brake head of first wheel interior, followed by spining of the brake head around triangle axle bolt followed by the entry and blocking the hang brake hanger between the brake head and wheel.</t>
  </si>
  <si>
    <t>AT-1353</t>
  </si>
  <si>
    <t>Level crossing accident, 2011-10-03, Level crossing km 16,604 between station Munderfing and station Mattighofen (Austria)</t>
  </si>
  <si>
    <t>Collision between passanger train 5817 and a car happened at the level crossing at km 16,604 (secured with St. Andrew's cross, stop sign and visible space) between the station Munderfing and the station Mattighofen. The driver of the car was fatally injured.</t>
  </si>
  <si>
    <t>Level crossing km 16,604 between station Munderfing and station Mattighofen</t>
  </si>
  <si>
    <t>Nichtbeachtung der Bestimmungen der EKVO betreffend das Verhalten von Straßenverkehrsteilnehmern beim Befahren einer mit Andreaskreuz und Gewährleisten des erforderlichen Sichtraumes gesicherten EK. 
Disregard of the provisions of the level crossing regulation (EKVO) regarding the behaviour of road users when crossing a level crossing equipped with a St Andrews Cross and providing the visibility necessary.</t>
  </si>
  <si>
    <t>UK-1314</t>
  </si>
  <si>
    <t>Level crossing accident, 03/10/2011, Mexico Footpath Crossing, near Penzance, Cornwall (United Kingdom)</t>
  </si>
  <si>
    <t>At approximately 15:50 hrs on Monday 3 October 2011, a pedestrian was struck and killed on Mexico footpath crossing, near Penzance, by train 2C47, the 13:53 hrs service from Plymouth to Penzance; formed by a two-car Class 150 diesel multiple unit.</t>
  </si>
  <si>
    <t>Mexico Footpath Crossing, near Penzance, Cornwall</t>
  </si>
  <si>
    <t>Mrs Nicholls moved into the path of train 2C47 as it approached Mexico footpath crossing</t>
  </si>
  <si>
    <t>The following factor was causal: Mrs Nicholls either misjudged the speed of the approaching train or misjudged her position in relation to the approaching train, having probably seen the train too late to have time to make a reasoned judgement about whether she should cross (paragraphs 63, 65 and 72, Recommendation 1). The following factors were possibly causal: a. when the train horn was sounded at the whistle board, it was inaudible to Mrs Nicholls (paragraph 77, Recommendation 1); or b. Mrs Nicholls heard a horn being sounded at the whistle board, but did not distinguish it as coming from a train (paragraph 84, Recommendations 1 and 2); or c. Mrs Nicholls did not register that the train horn was sounded at the whistle board because she was not focused on crossing the railway at the time (paragraph 97, Recommendation 1).</t>
  </si>
  <si>
    <t>DE-1256</t>
  </si>
  <si>
    <t>Train derailment, 04-10-11, Bahnhof Frellstedt; Gleis 202 (Germany)</t>
  </si>
  <si>
    <t>Güterzug 91048 entgleist bei der Durchfahrt in Gleis 202 im Bf Frellstedt mit insgesamt 11 Wagen. An einer Achse des Güterwagens Nr. 3780 5377 110-1 wurde ein durch Heißläufer verursachter Achsschenkelbruch festgestellt. 
Freight train 91048 derailed with a total of 11 wagons while passing by the track 202 at the Frellstedt station. On one axle of the freight wagon No. 3780 5377 110-1 an axle journal fracture caused by a hot-box was detected.</t>
  </si>
  <si>
    <t>Bahnhof Frellstedt; Gleis 202</t>
  </si>
  <si>
    <t>Lappwaldbahn GmbH</t>
  </si>
  <si>
    <t>Ursache für die Zugentgleisung ist ein gebrochener Achsschenkel am hinteren Drehgestell des Wagens Eanos. 
The reason for the train derailment was a fractured stub axle at the rear bogie of the Eanos wagon.</t>
  </si>
  <si>
    <t>CZ-1260</t>
  </si>
  <si>
    <t>Trains collision, 6.10.2011, Open line between Kostomlaty nad Labem and Nymburk hl. n. stations. (Czech Republic)</t>
  </si>
  <si>
    <t>Unauthorized train No. Vn 56071 movement around  autoblock signal  No. 1-3248 with the signal "Stop" and the subsequent collision with the train No. Pn 66421.</t>
  </si>
  <si>
    <t>Open line between Kostomlaty nad Labem and Nymburk hl. n. stations.</t>
  </si>
  <si>
    <t>Unauthorized train movement No. Vn 56071 around  autoblock signal with the signal "Stop".</t>
  </si>
  <si>
    <t>Violation of technological procedures by railway undertaking (RU) and by infrastructure manager (IM):_x000D_
- for driving at autoblock signal with the signal "Stop" _x000D_
- driving on sight.</t>
  </si>
  <si>
    <t>RO-1266</t>
  </si>
  <si>
    <t>Fire in RS, 10/10/2011, Open line Baru Mare - Crivadia belongs to Timisoara Railway County on the west of romanian railway network. (Romania)</t>
  </si>
  <si>
    <t>The locomotive of the train no. 23814 (EA 045) was on fire.</t>
  </si>
  <si>
    <t>Open line Baru Mare - Crivadia belongs to Timisoara Railway County on the west of romanian railway network.</t>
  </si>
  <si>
    <t>Producerea unui arc electric între contactele de lucru ale contactorului de linie S4.1 ca urmare a neasigurarii presiunii necesare de contact între acestea urmata de supraîncalzirea contactorului, topirea si aprinderea izolatiei conductorilor 51.  Factori favorizanti:  Degradarea accidentala a garniturii de etansare din mecanismul de actionare pneumatic(cilindru-piston) al contactorului de linie S4.1 fapt ce a dus la neasigurarea presiunii necesare de contact pentru actionarea contactelor de lucru ale contactorului. 
Direct cause: _x000D_
An electric arc was generated between the closed-circuit contacts of line instrument S4.1 as a result of failure to provide necessary contact pressure between those and followed by contactor overheating, melting and ignition of conductors 51 insulation._x000D_
_x000D_
Favoured factors:  _x000D_
Accidental degradation of packing material from the pneumatic device (cylinder-piston) of line instrument S4.1 which led to failure to provide necessary contact pressure to activate the closed-circuit contact of the contractor.</t>
  </si>
  <si>
    <t>SI-1267</t>
  </si>
  <si>
    <t>Train derailment, 10/10/2011, Switch 19 in station Ljubljana Zalog, in km 560+200, in three-track line. (Slovenia)</t>
  </si>
  <si>
    <t>In station Ljubljana Zalog on switch No. 19, in km 560+200, the first wagon after locomotive, of a freight train No. 47502, derailed at speed of 80 km/h. A train drove from direction Dobova in direction Sežana and was passing through the station Ljubljana Zalog. Train with derailed wagon has stopped on track 1 after driving for 1500 m. It's a 3-track line.</t>
  </si>
  <si>
    <t>Switch 19 in station Ljubljana Zalog, in km 560+200, in three-track line.</t>
  </si>
  <si>
    <t>SI-1268</t>
  </si>
  <si>
    <t>Level crossing accident, 10/10/2011, Single-track line; between station Ljubljana Rakovnik and Å kofljica in km 143+918 (Slovenia)</t>
  </si>
  <si>
    <t>On level crossing marked with road signals a regional passanger train no. 3219 crashed into a camion trailer loaded with fire-backed brick. The trailer was hit on his right side. Light injuries to 10 passengers, locomotive driver and conductor.</t>
  </si>
  <si>
    <t>Single-track line; between station Ljubljana Rakovnik and Å kofljica in km 143+918</t>
  </si>
  <si>
    <t>UK-1417</t>
  </si>
  <si>
    <t>Accident to persons caused by RS in motion, 10/10/2011, Kings Cross Station, London (United Kingdom)</t>
  </si>
  <si>
    <t>Train had been cleared for departure by platform staff. A passenger had their arm trapped in the doors while attempting to board. Another passenger managed to open the doors sufficiently far enough to free the trapped passenger who was reported to be bruised and badly shaken.</t>
  </si>
  <si>
    <t>Kings Cross Station, London</t>
  </si>
  <si>
    <t>The train departed with the passenger’s fingers trapped in the train doors</t>
  </si>
  <si>
    <t>The passenger attempted to board the train while the doors were closing and then expected the doors to reopen, and release her fingers, before the train moved off.   The dispatcher did not carry out a full safety check before permitting the train to depart.  The passenger was unable to remove her fingers from the doors before being pulled by the train.</t>
  </si>
  <si>
    <t>ES-1282</t>
  </si>
  <si>
    <t>Train derailment, 12/10/2011, Vilamalla station (Gerona) (Spain)</t>
  </si>
  <si>
    <t>Passenger train partially derailed at point nº5. 
El día 12 de octubre de 2011, a las 17:40 horas, en la estación de Vilamalla, de la línea 270 Bifurcación Sagrera a Cerbere, se produce el descarrilamiento del tren 15837 de viajeros de media distancia, de ancho convencional, perteneciente a la empresa ferroviaria Renfe Operadora. Descarrilan los dos primeros ejes del primer bogie y una rueda del segundo bogie. El descarrilamiento se produce en el cambio nº5 que se encontraba en posición inadecuada para ancho convencional.</t>
  </si>
  <si>
    <t>Vilamalla station (Gerona)</t>
  </si>
  <si>
    <t>The accident had its origin when a technical failure of the fixed plant was not duly managed by the involved staff; first of all by the traffic manager and later by the train driver. 
El accidente tuvo su origen cuando un fallo técnico de las instalaciones no fue debidamente gestionado por el personal afectado; en primer lugar por el jefe de circulación, al autorizar un rebase sobre un itinerario inexistente, y en segundo lugar por el personal de conducción, al transitar por un tramo de vía por el que existía interrupción total para el material rodante que él conducía.</t>
  </si>
  <si>
    <t>FR-1269</t>
  </si>
  <si>
    <t>Level crossing accident, 2011-10-12, Level crossing n°11 at Saint-Médard-sur-Ille on the double track line from Rennes to Saint-Malo (France)</t>
  </si>
  <si>
    <t>EMU hits a lorry which was crossing the LC when the barriers were closing</t>
  </si>
  <si>
    <t>Level crossing n°11 at Saint-Médard-sur-Ille on the double track line from Rennes to Saint-Malo</t>
  </si>
  <si>
    <t>lack of attention from the lorry driver</t>
  </si>
  <si>
    <t>difficult layout of the level crossing,_x000D_
no significant improvements made in spite of previous accidents on the same LC</t>
  </si>
  <si>
    <t>CZ-1274</t>
  </si>
  <si>
    <t>Trains collision with an obstacle, 17/10/2011, Open line between Ostrava-Trebovice and Dehylov stations (Czech Republic)</t>
  </si>
  <si>
    <t>Collision of broken part of cardan shafts of driving rail vehicle beyond the contour of the vehicle with section of construction of the track, during passenger train ride with subsequent leakage of environmentally harmful substances and fire.</t>
  </si>
  <si>
    <t>Open line between Ostrava-Trebovice and Dehylov stations</t>
  </si>
  <si>
    <t>IE-1272</t>
  </si>
  <si>
    <t>Other, 18/10/2011, Issue discovered when train was in Connolly station Dublin (Ireland)</t>
  </si>
  <si>
    <t>Locomotive journal bearing failure</t>
  </si>
  <si>
    <t>Issue discovered when train was in Connolly station Dublin</t>
  </si>
  <si>
    <t>The immediate cause of the bearing failure could not be determined due to the extensive damage to the bearing, which can occur following substantial overheating and deformation of the material as in this case. _x000D_
The contributory factors identified were: The Train Driver could not identify the presence of the fault with the bearing when inspecting the axlebox; The information provided by the Signalman to the Train Driver did not include the type of hot axlebox detector alarm and which axlebox on the train triggered the alarm, rendering the task of identifying the overheating the axlebox unnecessarily more difficult; The lack of technical support provided by Fleet Technical Services following the hot axlebox detector alarm allowed the bearing to remain in service with no further monitoring until the train reached its destination.</t>
  </si>
  <si>
    <t>The underlying factors identified were: There were no controls in place to address the subjective observation of overheating bearings by train drivers; The competency management system for signalmen in Centralised Traffic Control did not address the competency assessment of signalmen in relation to hot axlebox detector alarms; There were no procedures in place governing Fleet Technical Services support following hot axlebox detector alarms.</t>
  </si>
  <si>
    <t>AT-1354</t>
  </si>
  <si>
    <t>Level crossing accident, 2011-10-19, Level crossing km 56,756 between station Grafendorf and station Hartberg (Austria)</t>
  </si>
  <si>
    <t>Collision between passenger train 2711 and agricultural vehicle at the level crossing in km 56,756 (secured with St. Andrew's cross, stop sign and acoustic signals from the rail vehicle) between the station Grafendorf and the station Hartberg.The driver of the agricultural vehicle was fatality injured.</t>
  </si>
  <si>
    <t>Level crossing km 56,756 between station Grafendorf and station Hartberg</t>
  </si>
  <si>
    <t>Human error. Failure to observe the rules for road users for the use of a level crossing secured with St. Andrews cross, stop sign and acoustic signals from the rail vehicle.</t>
  </si>
  <si>
    <t>FR-1275</t>
  </si>
  <si>
    <t>Train derailment, 2011-10-20, Near Valence D'Agen on the 2 track line between Bordeaux and Toulouse (France)</t>
  </si>
  <si>
    <t>3 wagons derail in open line; train continues running for 1400m; then 2 wagons overturn on the adjacent track when the rear power car of TGV is crossing.</t>
  </si>
  <si>
    <t>Near Valence D'Agen on the 2 track line between Bordeaux and Toulouse</t>
  </si>
  <si>
    <t>subsidence of the track generating several geometrical defects of the track and in particular, a subsidence of the left rail 51mm deep and 30m long.</t>
  </si>
  <si>
    <t>The criticity of thiis peculiar kind of track defect was underestimated and insufficiently taken into account by the track maintenance criteria</t>
  </si>
  <si>
    <t>RO-1273</t>
  </si>
  <si>
    <t>Train derailment, 10/20/2011, Dragos Voda station belongs to Constanta Railway County, on the south-east of the romanian railway network. (Romania)</t>
  </si>
  <si>
    <t>The second boogie of the second wagon (no. 84539305320-0) of the freight train no. 93596, derailed over the switch no.4 in Dragos Voda station.</t>
  </si>
  <si>
    <t>Dragos Voda station belongs to Constanta Railway County, on the south-east of the romanian railway network.</t>
  </si>
  <si>
    <t>Cauza directa a producerii deraierii a constituit-o faptul ca, la darea înapoi a trenului buza bandajului rotii din partea dreapta a primei osii  a primului boghiu al vagonului nr. 84539305320-0 a întâlnit vârful mobil al inimii schimbatorului de cale nr.4 în pozitia „pe directa”, pozitie care era incompatibila pentru circulatia „în abatere”. Factori care au contribuit: Accidentul feroviar care a avut loc în data de 20 noiembrie 2011 în statia CF Dragos-Voda s-a datorat unei înlantuiri de erori umane astfel: - impiegatul de miscare a efectuat incomplet parcursul de primire a trenului nr.93596, omitând sa manevreze macazul nr. 4 în pozitia necesara parcursului, respectiv „pe abatere”, si ulterior sa verifice corectitudinea parcursului;  - eroarea personalului desemnat cu atributii de supraveghere a activitatii impiegatului de miscare, care nu a observat faptul ca acesta nu a efectuat parcursul correct; - decizia eronata pe care a luat-o mecanicul de locomotiva de a da trenul înapoi, fara respectarea prevederilor instructionale. 
The derailment direct cause  was the train runnig reversaly, when the flange of wheel from the right side of the first axle of the first bogie  to the wagon no.  84539305320-0, has met the flexible frog of the switch no. 4 in the straight position (incompatible position for the running ,,in deflexion’’. _x000D_
_x000D_
Contributing factors: _x000D_
The railway accident that occurred on the 20th of Novembre 2011 in Dragos-Voda railway station was due to a chain of human errors as follows: _x000D_
-	the station movement inspector was incompletely performed the route receiving of the train  no. 93596, omitting to operate the switch no. 4 in the route necessary position, respectively ,,on diverging’’ and then to verify the correctness of the route; _x000D_
-	the error of the designated staff with surveillance responsabilities of the station movement activity, who did not noticed that it did not performed the correctly route;_x000D_
-	the wrong decision that the engine driver took it (the train running reversely), without respecting the instructional provisions.</t>
  </si>
  <si>
    <t>CZ-1270</t>
  </si>
  <si>
    <t>Train derailment, 22/10/2011, Branch Odra, open line between Ostrava-Kuncice and Ostrava-Svinov stations. (Czech Republic)</t>
  </si>
  <si>
    <t>Regional passenger train passed a signal at danger (entrance signal showing red aspect) followed by collision with buffer and derailment of all rolling stock.</t>
  </si>
  <si>
    <t>Branch Odra, open line between Ostrava-Kuncice and Ostrava-Svinov stations.</t>
  </si>
  <si>
    <t>NO-1281</t>
  </si>
  <si>
    <t>Fire in RS, 22/10/2011, Immediately before the Bjørgeseter stop on the Gjøvik line. (Norway)</t>
  </si>
  <si>
    <t>Smoke development in the drivers cabin and in an electrical cabinet in the passenger cabin.</t>
  </si>
  <si>
    <t>Immediately before the Bjørgeseter stop on the Gjøvik line.</t>
  </si>
  <si>
    <t>Electrical error</t>
  </si>
  <si>
    <t>UK-1308</t>
  </si>
  <si>
    <t>Accident to persons caused by RS in motion, 2011-10-22, Liverpool James Street, Station (United Kingdom)</t>
  </si>
  <si>
    <t>A passenger, who had alighted from a train stopped in platform 1, fell between the train and the platform as the train was leaving the station. _x000D_
The train’s guard signalled the driver to stop immediately he saw the young person fall from the platform, which was soon after he had instructed the train driver to set off for the next station. The driver applied the emergency brake which brought the train to a stop from around 10 mph (16km/h).</t>
  </si>
  <si>
    <t>Liverpool James Street, Station</t>
  </si>
  <si>
    <t>The young person fell through the platform edge gap and onto the track as the train began to move out of the station (paragraph 28).</t>
  </si>
  <si>
    <t>The causal factors were that: a. The guard sent the driver the ‘ready to start’ code, and no subsequent ‘stop’ code, while the young person was leaning against the train. He did this possibly because he expected her to move away or possibly because he had not seen her (paragraph 30, Recommendation 1a). b. The young person fell as the train was moving out of the station (paragraph 35). c. When the young person fell, the platform edge gap was wide enough for her to fall through and onto the track (paragraph 37, Recommendation 2). d. By the time the guard warned the young person to stand back she had been leaning against the train for approximately eleven seconds. It is not known when the guard saw her during this time or, if he saw her, whether he delayed taking action in the expectation that she would move away. Platform video camera footage shows him warning her to stand back in the moments before the train departs and it is likely he did this because he thought that it would be immediately effective and because he had no direct and immediate way to stop the train (paragraph 39, Recommendation 1b).</t>
  </si>
  <si>
    <t>ES-1305</t>
  </si>
  <si>
    <t>Train derailment, 26/10/2011, Sant Pol de Mar (Barcelona) station (Spain)</t>
  </si>
  <si>
    <t>Commuter train overtook exit signal S2/1 which stated red aspect. As a result, it partially derailed.</t>
  </si>
  <si>
    <t>Sant Pol de Mar (Barcelona) station</t>
  </si>
  <si>
    <t>The derailment had its origin when commuter train 25736 moved back, without authorization, and this movement forced to open point nº1 making train to partially derailed.</t>
  </si>
  <si>
    <t>HU-1276</t>
  </si>
  <si>
    <t>Train derailment, 2011-10-26, Line 80: Between Mezozombor and Bodrogkeresztur stations (Hungary)</t>
  </si>
  <si>
    <t>Engine of the train No526 derailed with its one axle between Mezozombor and Bodrogkeresztur stations. There were no personal injuries.</t>
  </si>
  <si>
    <t>Line 80: Between Mezozombor and Bodrogkeresztur stations</t>
  </si>
  <si>
    <t>Locomotive - axle - equipment failure (fatigue fracture)</t>
  </si>
  <si>
    <t>production defect</t>
  </si>
  <si>
    <t>ES-1306</t>
  </si>
  <si>
    <t>Train derailment, 27/10/2011, Astillero (Cantabria) station, kilometre point 540+782, 24 Santander-Bilbao railway line (Spain)</t>
  </si>
  <si>
    <t>Train driver, as train was arriving to exit signal S1/1L, realized it had a red aspect and made use of the emergency brake. This made train opened to force point A2 and it became partially derailed.</t>
  </si>
  <si>
    <t>Astillero (Cantabria) station, kilometre point 540+782, 24 Santander-Bilbao railway line</t>
  </si>
  <si>
    <t>The accident had its origin whe passenger train overrun exit signal S1/L1 - which stated a stop aspect - due to the non-compliance of the signal instructions by the train driver.</t>
  </si>
  <si>
    <t>HU-1277</t>
  </si>
  <si>
    <t>Spad, 2011.10.27., Line 100: Északi Kitero station (Hungary)</t>
  </si>
  <si>
    <t>The train Nr56500 passed a „Stop” exit signal without any permission, split the point Nr11 over and run into the route set for a train from the opposite direction. The engine drivers have noticed the dangerous situation and stopped the trains approximately 300m from each other. There were no personal injuries.</t>
  </si>
  <si>
    <t>Line 100: Északi Kitero station</t>
  </si>
  <si>
    <t>Operations - Driver - Violation</t>
  </si>
  <si>
    <t>NO-1290</t>
  </si>
  <si>
    <t>Train derailment, 28.10.2011, Bjørnffjell station, Ofotbanen (Norway)</t>
  </si>
  <si>
    <t>One locomotive and the two first wagons in the train derailed when the train were entering the station. The derailment occured at low speed.</t>
  </si>
  <si>
    <t>Bjørnffjell station, Ofotbanen</t>
  </si>
  <si>
    <t>Slack-action that lead to a derailment</t>
  </si>
  <si>
    <t>AT-1355</t>
  </si>
  <si>
    <t>Level crossing accident, 31.10.2011, Eisenbahnlinie von Neusiedl am See nach Staatsgrenze nächst Pamhagen (Fertöszentmiklos - HU), Bf Mönchhof-Halbturn, EK im km 87,650. // Railway-line from Neusiedl am See to Boarder next Pamhagen (Fertöszentmiklos - HU), station Mönchhof-Halbturn, level cr (Austria)</t>
  </si>
  <si>
    <t>Montag, 31. Oktober 2011, um ca. 8:31 Uhr, ereignete sich auf der mit einer Lichtzeichenanlage gesicherten Eisenbahnkreuzung im km 87,650 im Bf Mönchhof-Halbturn ein Zusammenprall zwischen Z 7907 und einem Radfahrer.Der Radfahrer wurde tödlich verletzt. 
Monday 31th October 2011, at  08:31 o´clock, occurred  a clash between train 7907 and a cyclist on the level crossing (secured with automatic light signals device) at km 87,650 in station Mönchhof-Halbturn.The cyclist was fatally injured.</t>
  </si>
  <si>
    <t>Eisenbahnlinie von Neusiedl am See nach Staatsgrenze nächst Pamhagen (Fertöszentmiklos - HU), Bf Mönchhof-Halbturn, EK im km 87,650. // Railway-line from Neusiedl am See to Boarder next Pamhagen (Fertöszentmiklos - HU), station Mönchhof-Halbturn, level cr</t>
  </si>
  <si>
    <t>Human error. Failure to follow the existing rules for the use of a level crossing secured with light warning devices by the cyclist.</t>
  </si>
  <si>
    <t>SE-1286</t>
  </si>
  <si>
    <t>Trains collision near miss, 2011-11-01, On the open line between the stations Hoting and Dorotea (Sweden)</t>
  </si>
  <si>
    <t>Tuesday, November 1, 2011, there was a trains collisions near miss between two work vehicles on the line between Hoting, Jämtland County - Storuman, Västerbotten County._x000D_
_x000D_
A team working to replace the sleepers on the Inland Railway was finished ahead of schedule with their work. The supervisior of the job contacted the signalman in Hoting to extend the time and change the final location of the trip to Hoting. Signalman granted the new end time and end location. Later that morning requested another supervisor of the signalman in Hoting access for a trip with a motor trolley to border points Hoting - Dorotea. Signalman in Hoting granted the journey without consultation with the signalman in Dorotea._x000D_
_x000D_
At 13:15 the drivers on the two vehicles detected each other on a straight part of the line between Hoting and Storuman. Vehicle 1 had low speed and the driver braked and managed to stop before a collision occurred. Vehicle 2 was stationary. 
Tisdagen den 1 november 2011 inträffade ett tillbud till kollision mellan två spärrfärder på sträckan Hoting, Jämtlands län – Storuman, Västerbottens län._x000D_
_x000D_
Ett arbetslag som arbetade med att byta ut slipers på Inlandsbanan blev klara tidigare än beräknat med sitt arbete. Tillsyningsmannen för arbetet kontaktade tågklareraren i Hoting för att förlänga tiden och ändra slutplats för spärrfärden till Hoting. Tågklareraren beviljade den nya sluttiden och slutplatsen. Senare samma morgon begärde en annan tillsyningsman av tågklareraren i Hoting en spärrfärd för att dra skarvbult med en motordressin med gränspunkterna Hoting – Dorotea. Tågklareraren i Hoting beviljade spärrfärden utan krav på samråd. _x000D_
_x000D_
Klockan 13.15 uppmärksammade tillsyningsmännen på spärrfärderna varandra på en raksträcka mellan Hoting och Storuman. Spärrfärd 1 höll låg hastighet och föraren bromsade och hann stanna spärrfärden innan en kollision inträffade. Spärrfärd 2 var stillastående.</t>
  </si>
  <si>
    <t>On the open line between the stations Hoting and Dorotea</t>
  </si>
  <si>
    <t>Infranord AB</t>
  </si>
  <si>
    <t>The incident occurred because the end point of movement 1 was changed so that it ended up outside the borders of the allowed movement area without this being recognised by neither the supervisor nor any of the signal men. 
Tillbudet skedde på grund av att slutplatsen för spärrfärd 1 ändrades så att den hamnade utanför spärrfärdens gränspunkter utan att tillsyningsmannen eller någon av tågklarerarna uppmärksammade detta.</t>
  </si>
  <si>
    <t>Movement 1 was not completed before the end point was changed. Another underlying reason is that the dispatcher that granted the change confused the different lines of border points and guarding stretch in manual line block system, and therefore did not notice that the new end point ended up outside the boundary points. When granting start permission for movement 2,  the signalman saw no need to call for consultation between movements._x000D_
_x000D_
Inlandsbanan safety management system has not been able to capture that the system e-tam in some cases can be seen as a control and that the accuracy / attention of the signalmen when handling the system sometimes fails. Inlandsbanan safety management system has not been able to catch up the transition to e-tam was such a significant change that should have been communicated to the Transport Agency to assess the possible reconsideration of Inlandsbanans certificate as infrastructure manager._x000D_
_x000D_
Infra Nord's safety management system has not been able to detect deficiencies in local knowledge, management of work vehicle movements and emergency procedures. 
En bakomliggande orsak är att spärrfärd 1 inte avslutades innan slutplatsen ändrades. En annan bakomliggande orsak är att den tågklarerare som beviljade ändringen blandade ihop de olika raderna för gränspunkter och bevakningssträcka i e-tam och därför inte uppmärksammade att den ändrade slutplatsen hamnade utanför gränspunkterna. Vid beviljandet av starttill-stånd för spärrfärd 2 såg därför inte tågklareraren något behov av att uppmana till samråd mellan spärrfärderna._x000D_
_x000D_
Inlandsbanans säkerhetsstyrningssystem har inte förmått att fånga upp att systemet e-tam i vissa fall kan upplevas som ett kontrollsystem samt att tågklarerarnas noggrannhet/uppmärksamhet vid hantering av systemet ibland brister. Inlandsbanans säkerhetsstyrningssystem har inte heller förmått fånga upp att övergången till e-tam var en sådan väsentlig ändring som skulle ha anmälts till Transportstyrelsen för bedömning om eventuell omprövning av Inlandsbanans tillstånd som infrastrukturförvaltare. _x000D_
_x000D_
Infranords säkerhetsstyrningssystem har inte förmått fånga upp brister i lokalkännedom, hantering av spärrfärder samt larmrutiner.</t>
  </si>
  <si>
    <t>SE-1285</t>
  </si>
  <si>
    <t>Operational event, 11/2/2011, On the line between Malmö and Pepparholmen and then to Helgoland in Denmark, also over the Öresundsbridge. (Sweden)</t>
  </si>
  <si>
    <t>Operational event</t>
  </si>
  <si>
    <t>Onsdag den 2 november 2011 inträffade ett tillbud till urspårning på sträckan Malmö, Skåne län – Helgoland (Danmark). _x000D_
_x000D_
En motorvagnsenhet som hade en axel upptrallad på grund av hjulskada skickades utan att någon uppmärksammade trallan i ett tåg över Öresunds-förbindelsen. Tåget hade som högst en hastighet av ca 180 km/h. Enheten med trallan hade en hastighetsbegränsning som innebar att den i Sverige fick framföras med en högsta tillåten hastighet av 20 km/tim på rakspår och 5 km/tim genom växlar. I Danmark var hastigheten begränsad till 40 km/tim på rakspår och 10 km/tim genom växlar. 
A train brought a wagon that had a shoulder propped up on a so-called trolley. The train was run at a speed of 180 km/h. The trolley was performed with a maximum speed of 20 km/h on the stretch without gears and with 5 km/h through a switchboard. The driver had no information that there were limitations to the train running.</t>
  </si>
  <si>
    <t>On the line between Malmö and Pepparholmen and then to Helgoland in Denmark, also over the Öresundsbridge.</t>
  </si>
  <si>
    <t>DSBFirst Sverige AB</t>
  </si>
  <si>
    <t>Den direkta orsaken till tillbudet var att den upptrallade enheten kopplades ihop med två andra enheter till ett tåg, trots att den inte skulle ha gått med där, och att tågfärden sedan startade utan att tåget var iordningställt och kontrollerat enligt järnvägsföretagets säkerhetsbestämmelser. 
The immediate cause of the incident was that the up sang unit coupled with two other units into a train, even though it would not have gone with that, and that the train journey then started without the train was deployed collected and controlled under the railway company's safety regulations.</t>
  </si>
  <si>
    <t>En bidragande orsak har sannolikt varit de olikheter i regelverket mellan Danmark och Sverige angående vilka åtgärder som ingår i klargöring av tåg._x000D_
_x000D_
En annan bidragande orsak kan ha varit tidsbrist i samband med _x000D_
överlämning från en växlare till en annan i samband med skiftbyte._x000D_
_x000D_
Bakomliggande orsaker har varit brister hos både DSB och ISS Trafficare när det gäller dokumenterade rutiner och instruktioner för informationsöver-föring, funktionskontroll och klargöring, liksom för uppföljning av persona-lens kunskaper i praktiken. 
A contributing factor is likely to have been the differences in the rules between Denmark and Sweden concerning the measures included in the clarification of the train. _x000D_
_x000D_
Another contributing factor may have been the time constraints associated with _x000D_
handover from one exchanger to another during shift changes. _x000D_
_x000D_
Underlying causes were deficiencies in both DSB and ISS Trafficare when it comes to documented procedures and instructions for the transfer of information, performance testing and clarification, as well as for monitoring the staff's knowledge into practice.</t>
  </si>
  <si>
    <t>ES-1307</t>
  </si>
  <si>
    <t>Spad, 05/11/2011, Bif.Sagrera (Barcelona) station (Spain)</t>
  </si>
  <si>
    <t>Empty stock (train 874) overtook home signal 1107. As a result, this triggered a near miss train collision. 
El día 5 de noviembre de 2011, a las 10:43 horas, en la Bifurcación Sagrera, de la línea 268 Bif. Aragó–Barcelona Sant Andreu Comtal, el tren de viajeros 37537, material vacío de tren 874, rebasa indebidamente la señal de entrada 1107 de Bif. Sagrera, que se encontraba en indicación de parada. Se produce una situación de conato de colisión con tren 274 que tenía establecido itinerario hacia Barcelona Marina.</t>
  </si>
  <si>
    <t>Bif.Sagrera (Barcelona) station</t>
  </si>
  <si>
    <t>The incident had its origin when train 37537 overtook home signal (1107) - which stated a stop aspect - due to the non-compliance of the signal instructions by the train driver. 
El incidente tuvo su origen en el rebase indebido por el tren 37537 (material vacío de tren 874) de la señal 1107, que ordenaba parada, por incumplimiento de las órdenes dadas por la señal al personal de conducción.</t>
  </si>
  <si>
    <t>DK-1310</t>
  </si>
  <si>
    <t>Spad, 07-11-11, Open line near Marslev, Funen (Denmark)</t>
  </si>
  <si>
    <t>When the driver of a trainset (MTU) running at 180 km/h applied the brakes at normal braking distance from a "stop"-signal, the brakes and the wheel-slide-protection was activated but the train started almost immediately sliding. The train came to a stand some 600 meters after the "stop"-signal and a few hundred meters from the rear end of a freight train. Although both the driver and the ATC-system applied emergency braking the train used at least double the expected braking distance.</t>
  </si>
  <si>
    <t>Open line near Marslev, Funen</t>
  </si>
  <si>
    <t>The brake system on MG 5627 was unable to bring L 47 to a stop from a speed of 180 km/h at a stop-signal and within the safety requirements of the signal system.</t>
  </si>
  <si>
    <t>- The brake system of the IC4 rolling stock was unable to provide the braking power necessary to stop under the prevailing adhesion conditions, under the operating conditions approved for the train type._x000D_
- The IC4 train sets have not been tested in connection with braking under very low-adhesion conditions, any need for supplemental systems for provision of braking power independent of the friction between wheel and rail or enhancing the friction between wheel and rail has not been assessed_x000D_
- The IC4 WSP system has a malfunction on the equipment (it cannot recreate the reference speed) when operating under conditions of very low adhesion (at or below 0.02), which may be expected to occur in daily operation. Under these conditions the WSP system cannot prevent sustained wheel lock, and thus cannot provide reliable information on the distance travelled and the current speed._x000D_
- Faulty piping on bogies 2 and 4 led to unintended activation of the parking brake during operation and consequently led to total or partial wheel slide on the four axles of the bogies._x000D_
- Fault in data set on bogie 3 (brake computer T3) led to even deeper wheel slide on the bogie._x000D_
- The keying error in the IDU database was not in itself of importance to the functionality of the magnetic track brake, but only meant that the magnetic track brake had been suspended at the Marslev incident without the magnetic track brake being faulty._x000D_
Furthermore, it was concluded that:_x000D_
- There are no international or national standards or requirements for testing of rolling stock in operation under low-adhesion conditions which can be expected in daily operation in Denmark (very low adhesion) and the IC4 has consequently not been tested under these conditions._x000D_
- The brake system on IC4 train sets has not been type tested at speeds exceeding 120 km/h and has not undergone serial tests at speeds exceeding 160 km/h. _x000D_
- Brake system and WSP system on IC4 train sets have not been tested at adhesion conditions below 0.05._x000D_
- IC4 has thus only been tested in a part of the application of the rolling stock.</t>
  </si>
  <si>
    <t>HU-1278</t>
  </si>
  <si>
    <t>Level crossing accident, 2011.11.07., Line 100: Between Nyiregyhaza and Sostohegy stations. (LC: AS35) (Hungary)</t>
  </si>
  <si>
    <t>Passenger train (No. IC622) collided with a car at a LC equipped with half barrier between Nyiregyhaza and Sostohegy stations. In consequence of the collision the driver of the car died at the site of the occurrence.</t>
  </si>
  <si>
    <t>Line 100: Between Nyiregyhaza and Sostohegy stations. (LC: AS35)</t>
  </si>
  <si>
    <t>Third parties - level crossing user - violation</t>
  </si>
  <si>
    <t>RO-1283</t>
  </si>
  <si>
    <t>Train derailment, 11/15/2011, Open line Valea Alba - Drobeta Turnu Severin Marfuri belongs to Craiova Railway County on the west of the romanian railway network. (Romania)</t>
  </si>
  <si>
    <t>First bogie of the 15th wagon (no. 31535480307-6) from the freight train no. 91795 derailed. The train no. 91795 was formed of 41 wagons. The wagon was loaded with scraps.</t>
  </si>
  <si>
    <t>Open line Valea Alba - Drobeta Turnu Severin Marfuri belongs to Craiova Railway County on the west of the romanian railway network.</t>
  </si>
  <si>
    <t>Cauza directa a producerii acestui accident o constituie depasirea limitei de stabilitate la deraiere prin descarcarea de sarcina a rotii de atac nr. 7 (osia cu rotile nr. 7-8 era prima osie a primului boghiu în sensul de mers) a vagonului seria Eacs nr. 31535480307-6, fapt ce a condus la escaladarea sinei din partea dreapta a caii si caderea rotii nr. 8 din stânga, în interiorul caii de rulare.  Factorii care au contribuit la producerea accidentului au fost urmatorii: -	diferenta dintre valorile diametrelor cercurilor efective de rulare ale rotilor nr. 5 si 6 de la aceeasi osie montata care a depasit limita minima admisa de prevederile Instructiei pentru repararea osiilor montate de la vehiculele feroviare, nr. 931/1986, fapt ce a condus la marirea jocului transversal al osiei montate 7-8 în cale si implicit la cresterea unghiului de atac al rotii nr. 7 în raport cu sina;  -	lipsa unei bucati de la placa de uzura aflata între crapodina superioara si cea inferioara la primul boghiu în sensul de mers, precum si uzurile mari de pe cele doua crapodine (suma uzurilor pe ambele crapodine era aproximativ 5-6 mm, mai mare decât valoarea maxima de 4 mm admisa prin Norma Tehnica Feroviara nr. 81-005/2006 si Instructia nr. 936/1991), fapt ce a condus la aparitia unei frecari uscate între cele doua crapodine si implicit la cresterea foarte puternica a momentului de frecare între cele doua parti ale acestui ansamblu. 
Direct cause of this accident  is the exceeding of the derailment stability limit by the load transfer of the trailing wheel no. 7 (axle with the wheels no. 7-8 was the first axle of the first bogie in the running direction) of the wagon series Eacs no. 31535480307-6, it leading to the overclimbing of the right rail of the line and fall of the left wheel no.8, inside the track._x000D_
_x000D_
Contributing factors were as follows:_x000D_
-	difference between the values of nominal rolling circle diameters of the wheels no. 5 and  6 from the same pair of wheels that exceeded the minimum limit accepted by the provisions of the Instruction  for the repair of wheelsset of the railway vehicles, no. 931/1986, it leading to the increase of the cross clearance of the wheelsset 7-8 on track and implicitly to the increase of the striking angle of the wheel no. 7 in relation to the rail; _x000D_
-	lack of a piece from the wearing plate between the upper and lower centre casting from the first bogie in the running direction, as well as the important wears from the two centre castings (amount of the wears on both centre castings was about 5-6 mm, over the maximum value of 4 mm accepted by the Railway Technical Norm no. 81-005/2006 and Instruction no. 936/1991), it leading to the appearance of a dry friction between the two centre castings and implicitly to the higher increase of the friction moment between those two parts of this ensemble.</t>
  </si>
  <si>
    <t>CZ-1287</t>
  </si>
  <si>
    <t>Train derailment, 17.11.2011, Open line between Pardubice-Rosice nad Labem and Steblová stations (Czech Republic)</t>
  </si>
  <si>
    <t>Derailment of locomotive of regional passenger train due to breaking of a rail.</t>
  </si>
  <si>
    <t>Open line between Pardubice-Rosice nad Labem and Steblová stations</t>
  </si>
  <si>
    <t>Defectoscopic defects of the running part of rail which consequently resulted in developing of cracks which led to breakings of a part of rail.</t>
  </si>
  <si>
    <t>1) not taking appropriate measures and bad checks by infrastructue manager in connection with condition of visible defects of the rail which consequently resulted in developing of cracks;_x000D_
2) poor technical condition of the rail with visible defects which consequently resulted in developing of cracks which led to breakings of the rail._x000D_
Root cause: none</t>
  </si>
  <si>
    <t>HU-1284</t>
  </si>
  <si>
    <t>Level crossing accident, 2011-11-17, Line 142: Between Pestszentimre and Ocsa stations - LC:AS171 (Hungary)</t>
  </si>
  <si>
    <t>A 9-year-old bicyclist was hit by a passenger train between Pestszentimre and Ocsa stations at a LC equipped with well operating flashing lights. In consequence of the accident the bicyclist suffered serious injuries.</t>
  </si>
  <si>
    <t>Line 142: Between Pestszentimre and Ocsa stations - LC:AS171</t>
  </si>
  <si>
    <t>Third parties - LC user - violation</t>
  </si>
  <si>
    <t>HU-1291</t>
  </si>
  <si>
    <t>Level crossing accident, 2011-11-20, Line 253: Between Gödöllo-Palotakert and Mogyoród stations, Gödöllo-Erzsebet park stop LC: AS306 (Hungary)</t>
  </si>
  <si>
    <t>Passenger train (No. 1067) collided with a car at a LC (AS306) protected by warning lights at Gödöllö, Erzsebet-park stop. In consequence of the collision the driver of the car suffered serious injuries. Two other persons sitting in the car suffered minor injuries.</t>
  </si>
  <si>
    <t>Line 253: Between Gödöllo-Palotakert and Mogyoród stations, Gödöllo-Erzsebet park stop LC: AS306</t>
  </si>
  <si>
    <t>Third parties - Level Crossing uesr - violation</t>
  </si>
  <si>
    <t>CZ-1333</t>
  </si>
  <si>
    <t>Trains collision with an obstacle, 22.11.2011, Hradcany stop (Czech Republic)</t>
  </si>
  <si>
    <t>Collision of special shipment with loading rate exceeded which have been transported on the special rolling stock by the freight train Pn 47824 with edge of platform on Hradcany stop.</t>
  </si>
  <si>
    <t>Hradcany stop</t>
  </si>
  <si>
    <t>Ride of the train with excessive cargo via place which was not mentioned in the transport measures.</t>
  </si>
  <si>
    <t>Not indicated data about obstacles (platform on Hradcany stop) in the database of obstacles. Repeated not detecting of registration in database of obstacles (platforms on Hradcany stop) and not detecting of this failure during checks. Root cause: none.</t>
  </si>
  <si>
    <t>IT-1288</t>
  </si>
  <si>
    <t>Train derailment, 2011-11-22, Open line between PM Feroleto and Marcellinara, line Lamezia Terme C.le - Catanzaro Lido (Italy)</t>
  </si>
  <si>
    <t>Bridge collapses immediately after the passage of the train and consequent derailment.</t>
  </si>
  <si>
    <t>Open line between PM Feroleto and Marcellinara, line Lamezia Terme C.le - Catanzaro Lido</t>
  </si>
  <si>
    <t>Loss of the correct geometry of the track due to structural failure of the artwork and consequent destruction of the railway infrastructure._x000D_
The bridge collapsed due to excessive erosion of the riverbed and destabilizing effect of the currents that have resulted in an undermining of the foundations of the pillars.</t>
  </si>
  <si>
    <t>1. An intervention performed on urgent basis in February 2011 was not resolutive of the problems found during the inspection to the viaduct carried out on 28.01.2011 by the geologist under the Engineering DTP of Reggio Calabria;_x000D_
2. the visit of the bridge carried out on 07.02.2011 by the company in charge of the monitoring of bridges of the DTP of Reggio Calabria with the DOMUS system did not detect defects on Foundations and the reins. This visit also was returned to the system only on 15.12.2011, after the collapse of the structure;_x000D_
3. despite the intervention of February 2011 was effectuated urgently and therefore it was not decisive in a definitive way, the bridge was no longer part of the singular points of the line indicated by the Disposition no. 60 of 2 September 2005 of RFI, to be subjected to extraordinary visit atthe occurrence of extraordinary events;_x000D_
4. the periodic inspection of 07.06.2011, while clearly indicating that the bridge should require intervention to restraint reins, has resulted in the "absence of defects" (code 0010), being instead a logic consequence of the visit the need to classify it as "accessory parts degraded" (code 0020);_x000D_
5. it is possible that the evolution of the state of degradation upstream of the confluence of the torrent Cancello the river Amato has been facilitated an intervention of extraction of inert material in the riverbed, not authorized. In this regard, there is no advice of the checks carried out to provide the periodic visits by the Instruction 44 C of RFI, relative to morphological examination and changes that occur over time by the river, the planimetric surveys and fund checks under the piers and their evolution over the time;_x000D_
6. the missed  removing of the debris from the riverbed and the failure to restore the defense works have facilitated hydraulic erosion and damage to the defense works of the railway bridge.</t>
  </si>
  <si>
    <t>UK-1322</t>
  </si>
  <si>
    <t>Trains collision with an obstacle, 2011-11-30, Near Lancaster footpath crossing (Stowmarket) (United Kingdom)</t>
  </si>
  <si>
    <t>At 19:41 hrs on Wednesday 30 November 2011, train 2W29, the 18:43 hrs service from Cambridge to Ipswich, struck a car that was lying foul of the up main line near Old Newton, Suffolk, about 1 mile north of Stowmarket station. _x000D_
The collision occurred when the train was travelling at about 55 mph (89 km/h).  The train did not derail and incurred only minor damage.  None of the people onboard suffered injuries.</t>
  </si>
  <si>
    <t>Near Lancaster footpath crossing (Stowmarket)</t>
  </si>
  <si>
    <t>After leaving the highway, the car came to rest in a position where it was obstructing the railway line (paragraph 47).</t>
  </si>
  <si>
    <t>The causal factors were: a. The driver of the car was unable to control his vehicle and prevent it from leaving the road and obstructing the railway (paragraph 49, no recommendation);b. There was insufficient time to stop the train before the collision occurred (paragraph 52, no recommendation); c.Suffolk County Council had not implemented steps to control the risk of incursion at the location where the accident occurred (paragraphs 56, 65, 66 and 124, see paragraphs 153b, 153e, 153g, 153i and 154a to 154c and Recommendations 1 and 4);d. Network Rail had no process in place to monitor the actions of local highway authorities after RVI risk assessments and assumed that Suffolk County Council was taking action to address the risk of vehicle incursion identified in2005 (paragraph 76, Recommendation 2). The underlying factors were: a. Network Rail’s knowledge of road vehicle incursion incidents at sites other than bridges was limited (paragraphs 82 and 125, Recommendations 2 and 3); b. The RVI process initially adopted by Network Rail and highways authorities (including SCC) in 2003 had not been completed with the result that there were many sites where action to reduce RVI risk had not been taken (paragraph 98, Recommendations 5, 6, 7 and 8);c. The DfT’s monitoring of the progress of the RVI project was not effective and it did not emphasise to highway authorities and Network Rail the requirement to complete it (paragraph 103, Recommendations 6, 7, and 8); and d. Regulatory oversight of the RVI process has been limited. This has in part been affected by a lack of clarity as to which body has enforcement powers to require local highway authorities to take action (paragraph 108, Recommendation 5).</t>
  </si>
  <si>
    <t>RO-1303</t>
  </si>
  <si>
    <t>Train derailment, 12/2/2011, Open line Cosbuc - Salva belongs to Cluj Railway County on the north of romanian railway network. (Romania)</t>
  </si>
  <si>
    <t>The 32th wagon (no. 31535475910-4) from the freight train no. 43632 derailed at km 0+920 between railway stations Cosbuc and Salva.</t>
  </si>
  <si>
    <t>Open line Cosbuc - Salva belongs to Cluj Railway County on the north of romanian railway network.</t>
  </si>
  <si>
    <t>Cauza directa a producerii acestui accident o constituie reducerea capacitatii de ghidare a sinei corespunzatoare firului exterior al curbei (curba cu deviatie stânga în sensul de mers al trenului), escaladarea ciupercii sinei de pe firul exterior al curbei la km 0+937 de catre buza bandajului rotii din partea dreapta a primei osii a primului boghiu al vagonului nr.31535475910-4, rularea acesteia pe ciuperca sinei pe o distanta de 4,7 m, urmata de caderea acestei roti în exteriorul caii si a rotii corespondente a aceleiasi osii între firele caii.         	 Factori care au contribuit:  -	depasirea tolerantei de 25 mm la pozitia caii în plan între sageti vecine, respectiv între punctul de escaladare (punctul ”0”) si punctul anterior acestuia (masurarea sagetilor în curba s-a facut la mijlocul corzii de 20 m) -    depasirea variatiei abaterilor la ecartament cu 0,8 mm/m; -	aparitia în timp a unei uzuri de 2 mm, în exploatare, a pietrei de frecare superioare, fapt care a dus la cresterea rezistentei la rotire a boghiului si înclinarea cutiei vagonului.  -	reactiile în corpul trenului la circulatia pe o zona panta cu declivitatea de 4,8 0/00 în conditiile în care locomotivei de remorcare îi dispare curentul de pe grupele de motoare, viteza trenului scazând, mecanicul de locomotiva solicitând ajutor locomotivei împingatoare.  Deraierea vagonului s-a produs prin cumularea tuturor factorilor prezentati, niciunul dintre acestia neputând provoca singur deraierea vagonului. 
Direct cause of the railway accident is the reduction of the rail guidance capacity, rail that corresponding to the external track of the curve (curve with left deviation in the train running direction), the over-climbing of the top of rail from the external track of the curve, at the km 0+937 by the flange of wheel from the right side of the first bogie of the wagon no. 31535475910-4, the roster of this on the top of rail on a distance by 4,7 m, followed by the fall of this wheel outside the track and of the wheel that corresponding to the same axle between the tracks. _x000D_
Contributing factors_x000D_
-	exceeding of the tolerance of 25 mm at the plan track position between neighbor tracks deflection, respectively between over-climbing point (point”0”) and the preceding point of this (the measurement of the curve deflection was made in the middle of the chord 20 m) _x000D_
-	exceeding the variations at the track gauge deviations with 0,8 mm/m;_x000D_
-	the occurrence in time of a wear by 2 mm, in operation, for side bearing, fact wich led to an increase of the rotation resistance of the bogies and wagon body tilt._x000D_
-	 reactions in the train, at the running on a slope area with a gradient of 4,8 0/00   in the conditions in which the hauling locomotive has lost the current from the engines groups, the train speed decreasing, the engine driver asking help from the banking locomotive. _x000D_
The wagon derailment occurred through the cumulating of all presented factors, none of this could not cause the wagon derailment alone.</t>
  </si>
  <si>
    <t>FR-1315</t>
  </si>
  <si>
    <t>Level crossing accident, 04/12/2011, Le Breuil, between Lyon and Paray-le-Monial (France)</t>
  </si>
  <si>
    <t>Car driver does not stop to observe the track before crossing. The car is hit by the DMU running at 100km/h</t>
  </si>
  <si>
    <t>Le Breuil, between Lyon and Paray-le-Monial</t>
  </si>
  <si>
    <t>Car driver enters LC without stopping and without looking for oncoming train</t>
  </si>
  <si>
    <t>Night, poor signalling of the LC, train driver did not use horn as required</t>
  </si>
  <si>
    <t>CZ-1323</t>
  </si>
  <si>
    <t>Spad, 5.12.2011, Baska station (Czech Republic)</t>
  </si>
  <si>
    <t>- Regional passenger train No. 3127 passed a signal at danger (departed signal S1 showing red aspect) and stopped in Baska station in sufficient distance to avoid possibility of a collision with another approaching train._x000D_
- Unauthorized ride of regional passenger train No. 3127 behind the main signal S1 into train route of regional passenger train No. 3150 after previous unlawful departure of regional passenger train No. 3127 from the area for entrance and exit of passengers (station Baška)</t>
  </si>
  <si>
    <t>Baska station</t>
  </si>
  <si>
    <t>Direct cause: train driver's operational error (didn't respect red signal)._x000D_
_x000D_
Contributory factor: absence of technical equipment preventing train from passing signal at danger.</t>
  </si>
  <si>
    <t>Underlying cause:	_x000D_
- unauthorized putting of regional passenger train No. 3127 in to motion when the main (departures) signal S1 of railway station Baška prohibited movement of the train;_x000D_
- prioritizing of monitoring of the situation along the departing train sets before watching the track lines and signals from leader rolling stock and acting according to the findings._x000D_
_x000D_
Root cause: _x000D_
- not taking of adequate own measures to prevent similar incidents  based on safety recommendations issued, No. 6-538/2009/DI-1 dated 18th March, 2010, after previous incidents of similar character on 16th February 2009, in the railway station Paskov.</t>
  </si>
  <si>
    <t>HU-1317</t>
  </si>
  <si>
    <t>Train derailment, 05/12/2011, Budapest, Konyves Kalman Korut (Hungary)</t>
  </si>
  <si>
    <t>Last coach of a tram 1, running from Lagymanyosi hid to Becsi ut, derailed on the points at the entry to the Ferencvaros Tram Depot. There were no personal injuries.</t>
  </si>
  <si>
    <t>Budapest, Konyves Kalman Korut</t>
  </si>
  <si>
    <t>adequacy of design (interlocking)</t>
  </si>
  <si>
    <t>RO-1304</t>
  </si>
  <si>
    <t>Train derailment, 12/5/2011, Open line Dofteana - Târgu Ocna belongs to Galati Railway County on the east of romanian railway network. (Romania)</t>
  </si>
  <si>
    <t>First axle of the locomotive EA 761 from the passenger train no. 5211 derailed.</t>
  </si>
  <si>
    <t>Open line Dofteana - Târgu Ocna belongs to Galati Railway County on the east of romanian railway network.</t>
  </si>
  <si>
    <t>Cauza directa o constituie reducerea capacitatii de ghidare a sinei corespunzatoare firului exterior al curbei (curba cu deviatie stânga în sensul de mers al trenului) pe zona de trecere de la o zona fara prisma de piatra sparta si cu traverse necorespunzatoare, la o zona cu prisma de piatra sparta asigurata în procent de 70% si cu traverse noi. Starea tehnica necorespunzatoare a caii din cuprinsul acestor doua zone, coroborata cu comportarea în regim dinamic a osiei la rularea pe cale, a permis escaladarea buzei bandajului rotii atacante a locomotivei pe sina urmata de caderea primei osii a primului boghiu. 
Direct causes was the decrease of the guiding capacity of the rail corresponding to the curve  outer line (curve with left deviation in the train running direction) in the area of running from a broken stone track bed with inadequate sleepers to a broken stone track bed with 70% new sleepers. The inadequate track condition between those two areas, connected with the dynamics of the axle running on the line, it leading to the over climbing of the flange of wheel by the locomotive first wheel followed by the fall of the first axle of the first bogie.</t>
  </si>
  <si>
    <t xml:space="preserve"> 
-</t>
  </si>
  <si>
    <t>HU-1318</t>
  </si>
  <si>
    <t>Trains collision, 2011-12-07, Line 70: Göd station (Hungary)</t>
  </si>
  <si>
    <t>The train Nr2378 passed a „Stop” exit signal without any permission and run into a freight train (Nr45502) departing from the station. There were no personal injuries.</t>
  </si>
  <si>
    <t>Line 70: Göd station</t>
  </si>
  <si>
    <t>MÁV Cargo Zrt; 
MÁV-START Zrt.</t>
  </si>
  <si>
    <t>Operation - Driver/Station personel - violation</t>
  </si>
  <si>
    <t>CZ-1324</t>
  </si>
  <si>
    <t>Railway vehicle movement events, 8.12.2011, the siding, Vlecka CEZ, a.s. - power plant Chvaleticeâ€œ (Czech Republic)</t>
  </si>
  <si>
    <t>Railway vehicle movement events</t>
  </si>
  <si>
    <t>During shunting of empty rolling stock from the rotary tippler from the line No. 104b to the line No. 102 (after the end of the rope  shunting operation) two independently moving rolling stock with an interval of 3 minutes run away and consequently first rolling stock derailed on the line No. 100b, over not folded derailer No. Vk7 and collided with the second rolling stock which drove into it.</t>
  </si>
  <si>
    <t>the siding, â€žVlecka CEZ, a.s. - power plant Chvaleticeâ€œ</t>
  </si>
  <si>
    <t>Siding</t>
  </si>
  <si>
    <t>Higher speed of rolling stock than chosen technical equipment was able to eliminated._x000D_
Contributory factor: no observation of the ride of the first rolling stock to a free line No. 102 and insufficient attention to the climatic conditions which have  influence to the movement of rolling stock and adhesion conditions; strong gusty wind blowing in the direction of the ride of the rolling stock.</t>
  </si>
  <si>
    <t>Underlying cause: insufficient ensuring of rolling stock againts driving in the case when the climatic conditions are bad._x000D_
Root cause: technological procedures of infrastructure manager of the siding insufficiently ensures the rolling stock against driving  in the case when the climatic conditions are bad.</t>
  </si>
  <si>
    <t>HU-1319</t>
  </si>
  <si>
    <t>Spad, 09/12/2011, Line 44: Börgönd station (Hungary)</t>
  </si>
  <si>
    <t>The train Nr 19716 passed a „Stop” entrance signal without any permission, split the point Nr 6 open and run into the route set for a train (Nr 38416) from the opposite direction. The engine drivers had noticed the dangerous situation and stopped the trains approximately 400 m from each other. There were no personal injuries.</t>
  </si>
  <si>
    <t>Line 44: Börgönd station</t>
  </si>
  <si>
    <t>lack of attention</t>
  </si>
  <si>
    <t>AT-1356</t>
  </si>
  <si>
    <t>Trains collision, 2011-12-11, Bruck an der Leitha (Austria)</t>
  </si>
  <si>
    <t>At 11. December 2011, 17:03 o'clock, a collision between passenger train 7825 and passenger train 7830 happened at the station Bruck an der Leitha. The train 7825 passed the signal “G2” at danger and collided with a speed of about 46 km/h with train 7630. Due the collision both trains derailed. Passenger train 7825 derailed with first and second bogies and the passenger train 7630 with the second and third bogies. In both trains there were approximately 120 people. Three passengers and the engine driver of train 7630 were slightly injured.  Extensive damage on rolling stock and infrastructure occurred.</t>
  </si>
  <si>
    <t>Bruck an der Leitha</t>
  </si>
  <si>
    <t>Durch die Befreiung aus der restriktiven Geschwindigkeitsüberwachung bei „Halt“ zeigen-dem Zwischensignal „G2“ konnte der Z 7825 auf 76 km/h beschleunigt werden. In weiterer Folge wurde das „Halt“ zeigende Zwischensignal „G2“ unerlaubt überfahren. Durch die Ge-schwindigkeit von 76 km/h war die Zwangsbremsung am Zwischensignal „G2“ nicht mehr ausreichend um den Zug noch vor Erreichen der W 204 zum Stillstand zu bringen. _x000D_
Eine Ausrüstung der Infrastruktur mit 500 Hz Gleismagneten war nicht gegeben. Dadurch erfolgte nach der ungerechtfertigten oder irrtümlichen Befreiung aus der restriktiven Ge-schwindigkeitsüberwachung auch keine Zwangsbremsung des Z 7825. 
Train 7825 could be accelerated to 76 km/h because the restrictive speed monitoring linked to intermediate signal G2 showing ‘stop’ had been disengaged. Subsequently, intermediate signal G2 showing ‘stop’ was passed without authority. Because the train was then moving at 76 km/h, an emergency brake application at intermediate signal G2 was no longer sufficient to stop the train before it reached No 204 switch. _x000D_
The infrastructure was not equipped with 500 Hz track magnets. Hence, after the unjustified disengagement of the restrictive speed monitoring or its disengagement in error there was no [automatic] emergency braking of train 7825.</t>
  </si>
  <si>
    <t>HU-1320</t>
  </si>
  <si>
    <t>Spad, 13/12/2011, Line 30: Albertfalva station (Hungary)</t>
  </si>
  <si>
    <t>The train Nr 14789-2 passed a „Stop” exit signal without any permission, split the point Nr 5 open and run into the route set for a train (Nr 4647) from the opposite direction. The engine drivers had noticed the dangerous situation and stopped the trains approximately 1100 m from each other. There were no personal injuries.</t>
  </si>
  <si>
    <t>Line 30: Albertfalva station</t>
  </si>
  <si>
    <t>ack of attendance</t>
  </si>
  <si>
    <t>Lack of competence</t>
  </si>
  <si>
    <t>EL-1311</t>
  </si>
  <si>
    <t>Accident to persons caused by RS in motion, 15/12/2011, CH 21+250 (Greece)</t>
  </si>
  <si>
    <t>The person was hit at a place far away from any level crossings. Perhaps, the person entered from a level crossing or from a broken fence and was walking along the line.</t>
  </si>
  <si>
    <t>CH 21+250</t>
  </si>
  <si>
    <t>ES-1313</t>
  </si>
  <si>
    <t>Train derailment, 15/12/2011, Sant Isidre station (Valencia) (Spain)</t>
  </si>
  <si>
    <t>Passenger train (24406) overwhelmed a bar lost from an ASFA receiver (from train 24403) that was on the track. As a result, the train partially derailed. 
El día 15 de diciembre de 2011, a las 07:52 horas, a la entrada de la estación de Valencia Sant Isidre, de la línea 310 Aranjuez a Valencia Estació del Nord, se produce el descarrilamiento del tren de cercanías 24406 de la empresa ferroviaria Renfe Operadora, como consecuencia de haber arrollado el barrón soporte del captador del ASFA que se había desprendido previamente de la composición anterior (tren 24403)._x000D_
No hubo heridos en el accidente.</t>
  </si>
  <si>
    <t>Sant Isidre station (Valencia)</t>
  </si>
  <si>
    <t>Commuter train</t>
  </si>
  <si>
    <t>The accident had its origin in a rolling stock failure when a bar from the ASFA system was lost by a train and was overhelmed by train 24406 causing its partial derailment. 
El accidente tuvo su origen en un fallo técnico del material, al desprenderse en plena vía el barrón soporte del captador ASFA del automotor 592069 del tren 24403, produciendo el descarrilamiento del tren 24406 que circulaba a continuación.</t>
  </si>
  <si>
    <t>SK-1403</t>
  </si>
  <si>
    <t>Accident to persons caused by RS in motion, 17/12/2011, Slovakia, switches No. 15 in the railway station Nové mesto nad Váhom (Slovak Republic)</t>
  </si>
  <si>
    <t>passenger fell down from the train which was leaving the station</t>
  </si>
  <si>
    <t>Slovakia, switches No. 15 in the railway station Nové mesto nad Váhom</t>
  </si>
  <si>
    <t>The accident was involved by foreign person, who doesn't observe caution adequate to the character of the railroad operation and the transport on the railroad.</t>
  </si>
  <si>
    <t>RO-1316</t>
  </si>
  <si>
    <t>Train derailment, 12/18/2011, Movila station belongs to Constanta Railway County, on the south-east of the romanian railway network. (Romania)</t>
  </si>
  <si>
    <t>Both bogies of the 22nd wagon (no. 81530666697-6) of the freight train no. 43430 derailed over the switch no. 1 in Movila station.</t>
  </si>
  <si>
    <t>Movila station belongs to Constanta Railway County, on the south-east of the romanian railway network.</t>
  </si>
  <si>
    <t>Cauza directa a producerii acestui accident o constituie cresterea  unghiului de atac al rotii nr.5 a vagonului nr. 81530666697-6,  al 5-lea de la semnal (de la urma trenului) si a fortei orizontale de ghidare a osiei cu rotile nr.5-6 (osia nr.2 în sensul de mers), peste capacitatea de ghidare a acesteia, cauzata de ruperea din legatura a foii principale a arcului de suspensie (arc în foi) corespunzator fusului de osie nr.6 a aceluia?i vagon. Efectul cumulat al acestora au condus la catararea buzei rotii atacante nr.5, (roata din partea dreapta în sensul de mers), pe contraacul drept al schimbatorului de cale nr.1, din halta de mi?care Movila, urmata de caderea ro?ii din partea stânga a aceleia?i osii (roata nr.6) pe capul surubului C2 al fixatorului de mijloc din talpa aculului drept. În urma impactului acul drept s-a rupt în trei parti. _x000D_
_x000D_
Ruperea din legatura a  foii principale a arcului de suspensie în foi  corespunzator fusului de osie nr.6 a avut ca efect:_x000D_
-	anularea sistemului pendular de preluare si  amortizare a oscilatiilor pe fusul de osie nr.6;_x000D_
-	consumarea jocului total longitudinal al osiei aferent înscrierii în curbe la acest fus la circulatia boghiului în aliniament;_x000D_
-	asezarea osiei cu rotile 5-6 într-o pozitie radiala (unghi de atac a &gt; 0 la rotile nr.5 si 6) ._x000D_
_x000D_
Factorii care au contribuit la producerea acestui accident au fost :_x000D_
-	existenta unei fisuri vechi în proportie de 50% la foaia principala a arcului de suspensie în foi (arc 8x1200mm cu sageata negativa) corespunzator fusului nr. 6, în legatura arcului, dispusa sub un unghi de  aproximativ 40º în raport cu muchia legaturii de arc, defect situat pe partea arcului dinspre interiorul caii (catre lonjeronul lateral al boghiului) si imposibil de depistat datorita acestei pozitionari, cu ocazia efectuarii reviziilor tehnice la sosire, compunere si tranzit pe care le-au avut trenurile în compunerea carora vagonul a circulat de la ultima repara?ie periodica efectuata la data de 24.02.2006. 
The direct cause of this accident occurrence is the increase of  the angle of attack of the wheel no.5  of the wagon no. 81530666697-6, the fifth from the  rear of the train  and of the horizontal force of guiding the axle with wheels no.5-6 ( axle no.2 in the running direction), over  its ability to guide, caused by the breaking  from its connection of the suspension spring  main leaf ( laminated suspension spring)  corresponding to the axle journal  no.6 of the same wagon.  The cumulative effect of these  led to the climbing of the trailing wheel flange  no.5, ( the wheel from the right in the running direction), on the right  stock rail of the switch no.1, from Movila railway station , followed  by the wheel’s falling from the left of the same axle ( wheel no.6) on the head of the screw C2 of  c switch middle rod from the base of the right  switch blade. Following the impact, the right switch lade broken in three parts. _x000D_
_x000D_
The breaking from its connection of the suspension spring main leaf corresponding to the axle journal no.6 had as effect: _x000D_
-	cancellation of the pendulum system of  overtaking and  damping of the oscillations on the axle journal no.6;_x000D_
-	consumption of the total longitudinal clearance of the axle  afferent to the curve negotiation  to this axle journal to the  running of the bogie in straight line;_x000D_
-	placing the axle with wheels 5-6 in a  radial position (  angle of attack a &gt; 0 to wheels no.5 and 6)._x000D_
_x000D_
Factors that contributed to the accident occurrence were:                                                      _x000D_
-	existence  of an old  crack  in a percent of 50% to the main leaf  of the laminated suspension spring ( spring of 8x1200mm with negative sweep-back) corresponding  to the axle journal no.6,  in the spring connection, disposed under an angle of approximately 40º compared to the edge of the spring connection, defect  placed on the spring inside the  track ( to the lateral bogie solebar)  and impossible to  be found due to this positioning , with the occasion  of performing the technical  inspections at arrival, composition and transit that the trains had in the composition of which the wagon circulated since the last periodic repair performed on February 24, 2006.</t>
  </si>
  <si>
    <t>- 
-</t>
  </si>
  <si>
    <t>ES-1312</t>
  </si>
  <si>
    <t>Other, 19/12/2011, Madrid Chamartín station (Madrid) (Spain)</t>
  </si>
  <si>
    <t>Points that were wrong settled. Nor personal neither material damage.</t>
  </si>
  <si>
    <t>Madrid Chamartín station (Madrid)</t>
  </si>
  <si>
    <t>The incident had its origin in a human failure when the connectors that get the information from point motors nº9 and nº 27 and pass it on to the interlock command and warning module were wrongly connected so that the point detection and controls of point 9 at the interlocking system were, at track, corresponding to point 27 and vice versa. This allowed that the established routes, that were right at the centralized traffic control, were discordant at track.</t>
  </si>
  <si>
    <t>Underlying cause: no finishing test was made once the works were finished._x000D_
_x000D_
Contributory cause: no tags in the connectors, lack of tailored connections and different cable lengths for each connector.</t>
  </si>
  <si>
    <t>UK-1327</t>
  </si>
  <si>
    <t>Level crossing accident, 2011-12-19, Llanboidy between Clunderwen and Whitland (United Kingdom)</t>
  </si>
  <si>
    <t>A passenger train from Milford Haven to Manchester Piccadilly, struck a lorry on Llanboidy automatic half barrier (AHB) level crossing, which is located about 14 miles (22 km) west of Carmarthen, near the village of Whitland.  The train did not derail but serious damage was caused to the driving cab.  Several people on the train suffered minor injuries or shock during the accident, and a passenger became ill while the train was being evacuated.  The lorry driver was not injured.</t>
  </si>
  <si>
    <t>Llanboidy between Clunderwen and Whitland</t>
  </si>
  <si>
    <t>The lorry driver stopped his vehicle on the crossing when the barriers descended for the passage of the train (paragraph 17).</t>
  </si>
  <si>
    <t>The collision between train 1W21 and the lorry occurred because: a. the lorry driver did not phone the signaller to get permission for the lorry and trailer to cross the railway (paragraph 18); and b. the lorry driver was encouraged to take a line towards the right of the road because; i. the road over the crossing did not align with the rest of the road (paragraph 26, Recommendations 1, 2 and 3);ii. the near side wig wag traffic light signal was wrongly positioned resulting in it being placed too far out into the road (paragraph 26, Recommendation 1); and iii. the contractors working on the line nearby had parked two of their vehicles close to the crossing partly obstructing the exit (paragraph 40, Recommendation 4). The following were also factors: a. the Network Rail risk assessment procedure (ALCRM) does not include consideration of misalignment of the road and crossing (paragraph 39, Recommendation 3); b. the ORR guidance on level crossings does not give advice on how to deal with cases where there is misalignment between the road and the crossing (paragraph 46, Recommendation 2); and c. Network Rail did not brief their staff and contractors on where to park when visiting level crossings and the level crossing risk management toolkit did not include this as mitigation to the risk of crossing visitors parking nearby (paragraph 44, Recommendation 4).</t>
  </si>
  <si>
    <t>ES-1376</t>
  </si>
  <si>
    <t>Train derailment, 27/12/2011, Zaragoza-Delicias station (Zaragoza), at its gauge changing facility, AV 060 Bif. Cambiador Zaragoza Delicias-Cambiador Zaragoza Delicias railway line. (Spain)</t>
  </si>
  <si>
    <t>Long distance passenger train partially derailed (right wheel of second axle of first bogie at second carriage) during the operation of changing from Iberian to UIC gauge.</t>
  </si>
  <si>
    <t>Zaragoza-Delicias station (Zaragoza), at its gauge changing facility, AV 060 Bif. Cambiador Zaragoza Delicias-Cambiador Zaragoza Delicias railway line.</t>
  </si>
  <si>
    <t>The derailment was caused by a failure in the system for changing the gauge in the right wheel of second axle of first bogie at second carriage since the mechanism for locking/unlocking was loose.</t>
  </si>
  <si>
    <t>AT-0081</t>
  </si>
  <si>
    <t>Level crossing accident, 2011-12-28, Level crossing in km 15,547 between the station Wieselburg an der Erlauf and the station Pöchlarn (Austria)</t>
  </si>
  <si>
    <t>Collision between freight train 72183 and a car on the non-technically secured level crossing (St. Andrews Cross and acoustical signals by the train) at km 15,547 between the station Wieselburg an der Erlauf and the station Pöchlarn. The driver of the car was seriously injured. The driver of the car wanted to cross the level crossing from the left side without realizing the train.</t>
  </si>
  <si>
    <t>Level crossing in km 15,547 between the station Wieselburg an der Erlauf and the station Pöchlarn</t>
  </si>
  <si>
    <t>Human error. Failure to follow the rules for road users for driving on a level crossing secured with St. Andrews cross, stop sign and acoustic signal from the rail vehicle.</t>
  </si>
  <si>
    <t>FI-1337</t>
  </si>
  <si>
    <t>Level crossing accident, 01-01-12, Level crossings in Finland. (Finland)</t>
  </si>
  <si>
    <t>Safety study on level crossing accidents 2012</t>
  </si>
  <si>
    <t>Level crossings in Finland.</t>
  </si>
  <si>
    <t>Passenger train</t>
  </si>
  <si>
    <t>1. Most of the accidents involving motor vehicles that resulted in deaths (4) were caused by insufficient observation of the road vehicle driver. In three of the cases, the driver probably did not notice the railway vehicle at all, or noticed it too late to react. In one of the cases, the driver braked too late, and crashed through the barrier. In two of the cases, the conditions at the level crossing were deficient._x000D_
2. For accidents that occurred at level crossings equipped with barriers (7), two of these accidents were caused by entry onto the tracks despite the barrier; one was caused by observation of the barrier too late; one was caused by the glare of the sun preventing the driver from seeing the barrier at all; and one was caused by too high a speed in slippery winter conditions. Both of the accidents caused by an object fallen on the tracks occurred at level crossings equipped with barriers._x000D_
3. For level crossings equipped with light and acoustic warning installation (2), one of the-se accidents was caused by the driver's complete failure to observe the warning lights. In the other case, the driver had observed the warning lights, but had assumed that would make it over the track before the railway vehicle arrived._x000D_
4. For accidents that occurred at level crossings equipped with a STOP sign (14), seven of these accidents were caused by failure to comply with the STOP sign; four were caused by too high a speed; and three were caused by failure to observe or assess the situation, despite stopping._x000D_
5. For accidents that occurred at level crossings without warning devices and a STOP sign, 75 per cent of these accidents were caused by the vehicle driver's insufficient observation or assessment, while 20 per cent were caused by too high a speed and the resulting slide on the tracks despite attempts to brake.</t>
  </si>
  <si>
    <t>AT-0143</t>
  </si>
  <si>
    <t>Level crossing accident, 02.01.2012, Level crossing km 90,595 between the station Liezen and the station Stainach-Irdning (Austria)</t>
  </si>
  <si>
    <t>Collision between passenger train 4472 and a pedestrian at the level crossing at km 90,595 between the station Liezen and the station Stainach-Irdning. The pedestrian wanted to cross the level crossing secured by St. Andrews cross, stop sign and visiblie space. The pedestrian was fatally injured.</t>
  </si>
  <si>
    <t>Level crossing km 90,595 between the station Liezen and the station Stainach-Irdning</t>
  </si>
  <si>
    <t>Human error. Failure to observe the rules for road users (pedestrian) for the use of a level crossing secured by St. Andrews cross, stop sign and visible space.</t>
  </si>
  <si>
    <t>UK-1345</t>
  </si>
  <si>
    <t>Other, 2012-01-05, Between Littleport &amp; Ely North Junction (United Kingdom)</t>
  </si>
  <si>
    <t>At about 07:19 hrs on Thursday 5 January 2012, two windows in the passenger compartment of train 1T53, the 06:51 hrs service from Kings Lynn to London Kings Cross, were broken when part of the train’s equipment fell from the roof about 2 miles (3.2 km) south of Littleport, Cambridgeshire.  The equipment, a pantograph assembly mounted on top of the carriage which is used to collect electricity from overhead lines, became detached after hitting one of the structures which support the overhead lines.  Two passengers were injured, and there was some damage to both the train and the overhead line equipment.</t>
  </si>
  <si>
    <t>Between Littleport &amp; Ely North Junction</t>
  </si>
  <si>
    <t>The immediate cause of the accident was that the pantograph became detached from the train roof, impacting the train windows as it fell to the ground (paragraph 62).</t>
  </si>
  <si>
    <t>The causal factors were: a. movement of the OLE mast foundations rotated the overhead line away from the centre line of the track (paragraph 120, Recommendation 2); b. routine inspection and maintenance was deferred beyond specified limits without implementing mitigation against risks associated with support structure movement (paragraph 131, Recommendation 1); c. the slipping structure monitoring process did not include an assessment of wire position relative to its design position (paragraph 127, Recommendation 2); d. the pantograph became dewired allowing the pantograph head to move above the contact wire, and the pantograph arm to hit a cantilever structure (paragraph 91, Recommendation 1); e. the pantograph insulators broke so that the pantograph became detached from the train (paragraph 64 and paragraphs 156 to 158, Learning point 1); f. external forces from the wind, train movement and contact with the overhead line pushed the pantograph assembly off the roof of the train (paragraph 76); and g. the window was forced into the train by impacts from the pantograph assembly (paragraph 82). The underlying factors were: a. the overhead line alignment specifications and maintenance limits in Network Rail standards were inconsistent and not clearly understood by maintenance staff at Tottenham MDU (paragraph 140, Recommendation 2).</t>
  </si>
  <si>
    <t>LV-1321</t>
  </si>
  <si>
    <t>Train derailment, 2012.01.08., The accident occurred in the railway line â€œState border â€“ Daugavpils stationâ€ at the railway switch point No 1 (kilometre 401). (Latvia)</t>
  </si>
  <si>
    <t>An accident occurred on 8 January 2012 at 22:10 in the railway line Daugavpils railway station Indra - State border at the Road Post 401 km of switch No1. A freight train with 58 loaded tanks and one gondola loaded with coal was travelling to the direction of the state border of the Daugavpils station._x000D_
As result of accident 17 tanks carrying dangerous goods derailed. From the 16 tanks that overturned five tanks leaked partial goods. Overall, about 180 tons of dangerous goods came to environment. The leaking of dangerous goods was limited by emergency services together with the railway infrastructure manager._x000D_
Trains traffic in the railway line station Krauja - Road Post 401 km and Road Post 401 km – station Naujene was closed up to 35 h 50 min, but in the railway line Road Post 401 km - Road Post 524 km 90 h 10 min._x000D_
Arrived on the accident site, the Transport Accident and Incident Investigation Bureau investigators found that left blade of a switch was broken in two places, which was also the reason of derailment of tanks._x000D_
Further investigation found that the flaws of a switch left blade were registered in the defectogram of the ultrasonic defectoscope, but the railway infrastructure manager was not recognizing those before accident. _x000D_
The investigation has explored the railway infrastructure manager units of the flaw detectors organization system, flaw detectors learning process, and questioned a number of flaw detectors, as a result issued three safety recommendations addressed to the railway infrastructure.</t>
  </si>
  <si>
    <t>The accident occurred in the railway line â€œState border â€“ Daugavpils stationâ€ at the railway switch point No 1 (kilometre 401).</t>
  </si>
  <si>
    <t>Switches No. 1 left blade fragment breaking due to metal fatigue, a freight train running on the switch</t>
  </si>
  <si>
    <t>Underlying causes were the following: 	-	Flaw detector operators doing ultrasonic testing of switch point Nr 1 did not find any flaws in mined switch point left blade;  -	Flaw detector operators doing flaw detectors data decoding in office did not find any flaws in mined switch point left blade, however flaw detector itself detected flaws;-	Flaw detector operators team leader doing supervision of flaws detector operators data decoding in office did not find any flaws in mined switch point left blade; -	Infrastructure manager did not appoint particular workers for independent decoding of flaw detectors data.The root causes were the following:-	Infrastructure manager internal documents do not content standard providing independent worker to decode flaw detector data;   -	Flaw detector operators time-table do not content additional time for flaw detector data decoding; -	Flaw detector operators and supervisors official instructions do not content responsibilities for decoding of flaw detectors data;  -	Flaw detector operators training courses was not provided with course and teachers evaluating form.</t>
  </si>
  <si>
    <t>SI-1328</t>
  </si>
  <si>
    <t>Level crossing accident, 10/01/2012, Main single track line No 40; between station MoÅ¡kanjci and Ptuj in km 020+773 (Slovenia)</t>
  </si>
  <si>
    <t>On level crossing marked with a road traffic signs in the left side the regional passenger train No 3859 collided with a bicyclist. Bicyclist at the scene of the accident succumbed to fatal injuries.</t>
  </si>
  <si>
    <t>Main single track line No 40; between station MoÅ¡kanjci and Ptuj in km 020+773</t>
  </si>
  <si>
    <t>AT-0134</t>
  </si>
  <si>
    <t>Level crossing accident, 2012-01-12, Level crossing km 21,747 at the station Viechtwang (Austria)</t>
  </si>
  <si>
    <t>Collision between passenger train 3216 and a car on the level crossing at km 21,747 in the station Viechtwang. The level crossing was secured by St. Andrews cross, stop sign and acoustic signals from the rail vehicle. The driver of the car was seriously injured.</t>
  </si>
  <si>
    <t>Level crossing km 21,747 at the station Viechtwang</t>
  </si>
  <si>
    <t>Human error. Failure to follow the rules for road users for driving over a level crossing secured by St. Andrews cross, stop sign and acoustic signals by the rail vehicle.</t>
  </si>
  <si>
    <t>ES-1339</t>
  </si>
  <si>
    <t>Trains collision, 12/01/2012, San Claudio (Asturias) station, kilometre point 5,265, 12 Oviedo-San Esteban de Pravia railway line. (Spain)</t>
  </si>
  <si>
    <t>Passenger train, after passengers had got off/in the train, resumed its march overtaking exit signal which stated a red aspect. As a result, this caused a head-on collision with another train which also partially derailed. Just 9 people slightly injured.</t>
  </si>
  <si>
    <t>San Claudio (Asturias) station, kilometre point 5,265, 12 Oviedo-San Esteban de Pravia railway line.</t>
  </si>
  <si>
    <t>Regional passenger train; 
Commuter train</t>
  </si>
  <si>
    <t>The incident had its origin when train 1301 overtook exit signal (S1/2) - which stated a stop aspect - due to the non-compliance of the signal instructions by the train driver.</t>
  </si>
  <si>
    <t>DE-1329</t>
  </si>
  <si>
    <t>Trains collision with an obstacle, 13/01/2012, Stedesand - Langenhorn (Germany)</t>
  </si>
  <si>
    <t>DP 81817 kollidierte in der Nähe von Langenhorn Schl. mit ca. 15 Rindern. // DP 81817 collided near Langenhorn Schl. with about 15 cattle. 
DP 81817 collided near Long Horn Schl. with approximately 15 cattle. / / DP 81817 collided near Long Horn Schl. with about 15 cattle.</t>
  </si>
  <si>
    <t>Stedesand - Langenhorn</t>
  </si>
  <si>
    <t>Nord-Ostsee-Bahn GmbH (NOB)</t>
  </si>
  <si>
    <t>Die Rinderherde war aus dem Stall entlaufen und unmittelbar in der Nähe des Bahnübergangs Sande auf die Gleise geraten. 
The cattle herd had escaped from the stables and advised in the immediate vicinity of the level crossing sand on the tracks.</t>
  </si>
  <si>
    <t>NO-1332</t>
  </si>
  <si>
    <t>Train derailment, 13/01/2012, Dombås station, Dovre line. (Norway)</t>
  </si>
  <si>
    <t>On Friday the 13th of January 2012 there was a derailment at Dombås station in Norway. A freight train was pulled by a Bombardier Traxx locomotive that got problems and stopped at Dovre station about 20 km from Dombås. After a period of fault searching it was decided to order a new Bombardier Traxx locomotive to pull the freight train, and the locomotive with fault to the final destination. 20 km after the new locomotive had pulled freight and locomotive it derailed at Dombås station.</t>
  </si>
  <si>
    <t>Dombås station, Dovre line.</t>
  </si>
  <si>
    <t>Torque link and the emergency support for engine 2 on bogie 1 were broken.</t>
  </si>
  <si>
    <t>FI-1326</t>
  </si>
  <si>
    <t>Train derailment, 14-01-12, Kouvola marshalling yard. (Finland)</t>
  </si>
  <si>
    <t>When starting, wagons of freight train derailed.</t>
  </si>
  <si>
    <t>Kouvola marshalling yard.</t>
  </si>
  <si>
    <t>The accident was caused by a stop block left under a freight train.</t>
  </si>
  <si>
    <t>Conditions in the railway yard were difficult. The train had to be shunted beyond the shunting signal, which led to abnormal procedures at the end of the brake testing work.</t>
  </si>
  <si>
    <t>ES-1341</t>
  </si>
  <si>
    <t>Train derailment, 2012-01-15, Trubia station (Asturias), kilometre point 298,108, 12 Oviedo-San Esteban de Pravia railway line (Spain)</t>
  </si>
  <si>
    <t>Freight train, once it was leaving the station, became partially derailed.</t>
  </si>
  <si>
    <t>Trubia station (Asturias), kilometre point 298,108, 12 Oviedo-San Esteban de Pravia railway line</t>
  </si>
  <si>
    <t>The accident had its origin in the technical failure of the infrastructure since in the area of the derailment there were poor track alignment and levelling as well as significant low points on the track and polluted ballast.</t>
  </si>
  <si>
    <t>RO-1330</t>
  </si>
  <si>
    <t>Train derailment, 1/16/2012, Ciochiuta station belongs to Craiova Railway County, on the south of the romanian railway network. (Romania)</t>
  </si>
  <si>
    <t>First axle of the locomotive EA 010 from the train no. 59519 derailed over the switch no.2 in Ciochiuta station.</t>
  </si>
  <si>
    <t>Ciochiuta station belongs to Craiova Railway County, on the south of the romanian railway network.</t>
  </si>
  <si>
    <t>Cauza directa a producerii acestui accident a constituit-o escaladarea sinei  de legatura a schimbatorului de cale nr. 2, de catre roata din partea stînga sens de mers a osiei nr. 1, în conditiile existentei pe flancul activ în zona de racordare a buzei bandajului a unei adâncituri de circa 1,5 mm adâncime pe o lungime de 1720 mm. 
Direct cause of this accident was the climbing of the stock  rail from the switch no. 2 by the left wheel  of the axle no. 1, in the running direction, given that on the active flange in the connection area of the flange of wheel was  a cavity of about 1,5 mm on 1720 mm.</t>
  </si>
  <si>
    <t xml:space="preserve">- 
</t>
  </si>
  <si>
    <t>ES-1342</t>
  </si>
  <si>
    <t>Train derailment, 19/01/2012, Between Soto de Dueñas and Arriondas stations (Asturias), kilometre point 378,049, 21 Oviedo-Santander railway line (Spain)</t>
  </si>
  <si>
    <t>Freight train became partially derailed.</t>
  </si>
  <si>
    <t>Between Soto de Dueñas and Arriondas stations (Asturias), kilometre point 378,049, 21 Oviedo-Santander railway line</t>
  </si>
  <si>
    <t>The accident had its origin in the train overspeeding while passing by a curve where a permanent speed limit was set, due to the non-compliance of the signal instructions by the train driver</t>
  </si>
  <si>
    <t>ES-1343</t>
  </si>
  <si>
    <t>Trains collision, 19/01/2012, El Clot-Aragó station (Barcelona), kilometre point 109,810, 262 Barcelona-Sagrera - Bifurcación Clot railway line. (Spain)</t>
  </si>
  <si>
    <t>A commuter train collided (rear-end) with empty stock while the last one was stopped at the station. As a result of the collision the empty stock became partially derailed. A few people were slightly injured.</t>
  </si>
  <si>
    <t>El Clot-Aragó station (Barcelona), kilometre point 109,810, 262 Barcelona-Sagrera - Bifurcación Clot railway line.</t>
  </si>
  <si>
    <t>Commuter train; 
Other</t>
  </si>
  <si>
    <t>The accident had its origin in a human failure by the commuter train driver, since the running at sight (that was mandatory) wasn´t complied.</t>
  </si>
  <si>
    <t>CZ-1362</t>
  </si>
  <si>
    <t>Level crossing accident, 20.1.2012, Active level crossing in Breznice station (Czech Republic)</t>
  </si>
  <si>
    <t>Collision of passenger train No. 7907 at the level crossing with a lorry with consequent derailment.</t>
  </si>
  <si>
    <t>Active level crossing in Breznice station</t>
  </si>
  <si>
    <t>Third party (truck driver's violation).</t>
  </si>
  <si>
    <t>None.</t>
  </si>
  <si>
    <t>DE-1331</t>
  </si>
  <si>
    <t>Train derailment, 21/01/2012, Langenselbold - Hailer-Meerholz in km 36,0 (Germany)</t>
  </si>
  <si>
    <t>KT 41969 entgleiste mit dem 6. Wagen mit zwei Achsen und dem 7. Wagen mit einem Drehgestell. 
KT 41969 derailed with the 6th car with two axles and with the 7th car with a bogie.</t>
  </si>
  <si>
    <t>Langenselbold - Hailer-Meerholz in km 36,0</t>
  </si>
  <si>
    <t>Radsatzlagerschaden an der vierten Radsatzwelle in Fahrtrichung des Fahrzeuges 21 81 463 1 075-4 (Laagss) 
Damage at the axle box at the fourth wheelset axle towards the driving direction of the vehicle 21 81 463 1 075-4 (Laagss)</t>
  </si>
  <si>
    <t>EL-1335</t>
  </si>
  <si>
    <t>Train derailment, 21/01/2012, Aharnes Railway Center (S.K.A.) (Greece)</t>
  </si>
  <si>
    <t>Switch change before the passage of the whole train from the specific switch, consequent train derailment.</t>
  </si>
  <si>
    <t>Aharnes Railway Center (S.K.A.)</t>
  </si>
  <si>
    <t>CZ-1338</t>
  </si>
  <si>
    <t>Accident to persons caused by RS in motion, 24.1.2012, Siding: Mendelova Univerzita v Brne, Drevosklad Adamov (Czech Republic)</t>
  </si>
  <si>
    <t>Collision of the first rolling stock of shunting movement with a road vehicle (working machine) with consequence of serious injury of employee – shunter who stood on the wagon and working machine crashed into him.</t>
  </si>
  <si>
    <t>Siding: Mendelova Univerzita v Brne, Drevosklad Adamov</t>
  </si>
  <si>
    <t>Riide of the road vehicle (working machine - VOLVO) into the circuit of siding with subsequent development of threat of siding and operation on the siding,threat of health of employees and property of the infrastructure manager of siding and railway undertaking  threat of health and property of people who are illegally moving in the circuit of siding.</t>
  </si>
  <si>
    <t>Operation of railway undertaking on the siding except of specified time without compliance of the rules for extraordinary operation of siding._x000D_
Contributing factors: owner of the siding does not solve operation by railway undertaking except of specified time on the siding which is in conflict with the rules set out in the local regulation of siding owner._x000D_
Root cause: none</t>
  </si>
  <si>
    <t>BE-1406</t>
  </si>
  <si>
    <t>Train derailment, 25-01-12, Remersdaal (Belgium)</t>
  </si>
  <si>
    <t>At 20:46 freight train (Aachen West - Muizen) is heading for Muizen between railway stations Montzen and Visé, when the 3rd wagon of the freight train derails. The derailed wagon does not foul of the clearing gauge, but one door of the freight wagon is open on the side of the common rafter, with loss of freight on the adjacent track A, so there is no circulation possible on track A also.</t>
  </si>
  <si>
    <t>Remersdaal</t>
  </si>
  <si>
    <t>La cause directe du déraillement est la perte de contact entre les rails et les roues en raison du "soulèvement" des roues arrières du wagon 3._x000D_
_x000D_
Cette perte de contact a été rendue possible par : _x000D_
• de nombreuses déformations longitudinales constatées au niveau de la voie dans la zone en amont des lieux du déraillement ;_x000D_
• le fait que ces déformations se présentent sous la forme de "vagues" d'égale longueur d'onde. Elles correspondent à la distance entre les essieux du wagon déraillé ;_x000D_
• le nivellement transversal négatif dans la courbe (la conception de la voie ne prévoit pas de dévers à cet endroit) ;_x000D_
• le poids limité du wagon qui a déraillé ;_x000D_
• la hauteur limite du boudin de la roue (la hauteur du boudin est de 26 mm = hauteur minimale autorisée du boudin) ;_x000D_
• le type de suspension du wagon à simples essieux ;_x000D_
• la vitesse de 80km/h._x000D_
_x000D_
L'ensemble de ces facteurs réunissent les conditions pouvant mener à un déraillement sans pour autant qu'une situation irrégulière n'ait été constatée au niveau de chacun de ces éléments pris séparément. 
The direct cause of the derailment is the loss of contact between the rails and the wheels due to the "lifting" of the rear wheels of the wagon 3._x000D_
_x000D_
This loss of contact was made possible by:_x000D_
• numerous longitudinal deformations observed at the track in the area upstream of the derailment site;_x000D_
• the fact that these deformations are in the form of "waves" of equal wavelength. They correspond to the distance between the axles of the derailed wagon;_x000D_
• negative cross-leveling in the curve (track design does not provide a cant at this point);_x000D_
• the limited weight of the derailed wagon;_x000D_
• the limit height of the wheel flange (the height of the flange is 26 mm = the minimum permissible height of the flange);_x000D_
• the type of suspension of the single axle wagon;_x000D_
• the speed of 80 km / h._x000D_
_x000D_
All these factors combine the conditions which may lead to a derailment without, however, an irregular situation being observed in relation to each of these elements taken separately.</t>
  </si>
  <si>
    <t>La dégradation rapide de la géométrie de la voie a certes été constatée et rapportée lors de plusieurs inspections de routine consécutives, mais les déformations n'ont pas été mesurées._x000D_
Lors des inspections l'effet de danse, qui a été constaté après l'accident, n'a jamais été observé ni mesuré à l'aide d'un dansomètre pour en vérifier l'évolution._x000D_
Les risques liés au phénomène de cyclic top ne sont pas identifiés au sein du gestionnaire d'infrastructure 
The rapid degradation of the track geometry was detected and reported during several consecutive routine inspections, but the deformations were not measured._x000D_
During inspections, the dance effect, which was observed after the accident, was never observed or measured to check its progress._x000D_
The risks associated with the cyclic top phenomenon are not identified within the infrastructure manager_x000D_
_x000D_
_x000D_
_x000D_
_x000D_
_x000D_
_x000D_
_x000D_
_x000D_
_x000D_
_x000D_
_x000D_
The rapid degradation of the track geometry was detected and reported during several consecutive routine inspections, but the deformations were not measured._x000D_
During inspections, the dance effect, which was observed after the accident, was never observed or measured with a dancer to check its progress._x000D_
The risks associated with the cyclic top phenomenon are not identified within the infrastructure manager</t>
  </si>
  <si>
    <t>HU-1368</t>
  </si>
  <si>
    <t>Spad, 25/01/2012, Line 30: Balatonfenyves station (Hungary)</t>
  </si>
  <si>
    <t>Passenger train No. 857 passed a „Stop” exit signal without any permission and split the point Nr 4 open. The train stopped approximately 500 m from the train No. 850 stopping at the entrance signal of the station. There were no personal injuries.</t>
  </si>
  <si>
    <t>Line 30: Balatonfenyves station</t>
  </si>
  <si>
    <t>Inattention (train staff)</t>
  </si>
  <si>
    <t>Sygnalling system failure</t>
  </si>
  <si>
    <t>HU-1369</t>
  </si>
  <si>
    <t>Level crossing accident, 25/01/2012, Line 16: Between Szil-Sopronnemeti and Csorna stations LC:AS498 (Hungary)</t>
  </si>
  <si>
    <t>Passenger train (No. 39825) collided with a car at a LC protected by warning lights between Szil-Sopronnemeti and Csorna stations. In consequence of the occurrence the driver of the car and one of his passengers died at the site of the collision. One person sitting in the car suffered serious injuries.</t>
  </si>
  <si>
    <t>Line 16: Between Szil-Sopronnemeti and Csorna stations LC:AS498</t>
  </si>
  <si>
    <t>Violation (road user)</t>
  </si>
  <si>
    <t>AT-0165</t>
  </si>
  <si>
    <t>Accident to persons caused by RS in motion, 2012-01-27, Wien Westbahnhof (Austria)</t>
  </si>
  <si>
    <t>On 27th January 2012, 14:55 o’clock, station Wien Westbahnhof, collided a shunting movement with a standing raft of coaches (coaching stock). The shunting movement, a raft of five coaches stock plus motive power unit, collided with a speed of nearly 28 km/h with the standing coaches. Due the collision six employees got lightly injured, extensive damage on rolling stock occurred. Railway infrastructure and power motive unit got lightly damaged. 
Am 27. Jänner 2012, 14:55 Uhr, Bahnhof Wien Westbahnhof, kollidierte eine geschobene Verschubfahrt der 1. Reserve mit einer auf Gleis 209 stehenden Wagengruppe, bestehend aus 23 Reisezugwagen. Die Verschubfahrt der 1. Reserve, Tfz 2070 063-9 mit fünf Reisezugwagen geschoben, kollidierte mit einer Geschwindigkeit von ca. 28 km/h mit der stehenden Wagengruppe. Durch die Kollision wurden sechs Mitarbeiter leicht verletzt. An den Reisezugwagen entstand erheblicher, am Tfz und an den Gleisanlagen geringer Sachschaden.</t>
  </si>
  <si>
    <t>Wien Westbahnhof</t>
  </si>
  <si>
    <t>Falsche Stellung der Weiche 232. _x000D_
Bei der Bildung der Verschubstraße für die 1. Reserve wurde die Weiche 232 anstelle in Richtung Gleis 207 irrtümlich in Richtung Gleis 209 gestellt, wobei das Gleis 209 unmittelbar ab der Grenzmarke mit einer Fahrzeuggruppe besetzt war. 
Wrong position of the switch 232. In the formation of the shunting for the first reserve the switch 232 instead of being turned in the direction of track 207, was erroneously set in the direction of the track 209, the track 209 was directly occupied from the limit mark with a vehicle group.</t>
  </si>
  <si>
    <t>UK-1349</t>
  </si>
  <si>
    <t>Train derailment, 28/01/2012, Reading West Junction (United Kingdom)</t>
  </si>
  <si>
    <t>Freight train 4O02, the 11:11 hrs Lawley Street (Birmingham) to Southampton Maritime container service, had derailed and then re-railed when crossing from the up relief to the up west curve line.  At 14:26 hrs, the train was brought to a stand at Worting Junction, near Basingstoke, where the driver inspected his train and reported wheel damage on wagon 24 of the 25-wagon train.</t>
  </si>
  <si>
    <t>Reading West Junction</t>
  </si>
  <si>
    <t>The immediate cause of the accident was that there was insufficient load on the front right-hand wheel of the leading bogie on wagon 24 to prevent its flange climbing over the railhead as the wagon passed over crossover 3717 (paragraph 59).</t>
  </si>
  <si>
    <t>The causal factors were: a.The offset loading on wagon 24, specifically the lateral offset of the payload in container WFHU 4147370 because it was not a normal condition, significantly reduced the load on the front right-hand wheel of wagon 24 (paragraph 64, Recommendations 1, 2 and 3). The following factors relate to this: i. Schaeffler did not have a process for packing containers that ensured the pallets would not move during transit (paragraph 70, Recommendation 1). Probable factor: ii.The method that Freightliner used to handle container WFHU 4147370 at its Lawley Street terminal did not detect that it was very unevenly loaded before it loaded was onto train 4O02 (paragraph 76, Recommendations 2 and 3). Possible factor: iii. The pre-departure checks at the Lawley Street terminal rely solely on visual examination to identify unevenly loaded wagons (paragraph 79, Recommendations 2 and 3). b. The twist fault on crossover 3717, which was of a level at which Network Rail permitted trains to continue to run, went undetected and caused a significant load reduction on the front right-hand wheel of wagon 24 as it passed over (paragraph 83). The following factors relate to this: i. Network Rail’s routine track inspection process did not identify that a twist fault had developed on crossover 3717 (paragraph 88). Possible factor: ii.A twist fault may have been left on crossover 3717 on completion of mechanised track maintenance in December 2011, which was not identified (paragraph 94, Recommendation 4).</t>
  </si>
  <si>
    <t>UK-1381</t>
  </si>
  <si>
    <t>Level crossing accident, 2012-01-28, Johnsons Footpath crossing, near Bishops Stortford. (United Kingdom)</t>
  </si>
  <si>
    <t>The 10:58 hrs service from London Liverpool Street to Cambridge, was travelling at about 64 mph (103 km/h) as it approached Johnson’s crossing. When the train was less than 100 metres from the crossing, the driver observed a pedestrian enter the crossing and walk across the adjacent track towards the path of his train. Although he sounded the train’s horn as a warning and applied the brakes, the pedestrian, a young woman aged 15, was struck and killed.</t>
  </si>
  <si>
    <t>Johnsons Footpath crossing, near Bishops Stortford.</t>
  </si>
  <si>
    <t>The pedestrian crossed into the path of the train as it approached Johnson’s footpath crossing (paragraph 41).</t>
  </si>
  <si>
    <t>The causal factors were: a. The pedestrian started to walk over the crossing as a train was approaching, despite the warnings provided by the red miniature stop light and audible alarm (paragraph 43, Recommendation 1). This was due to one of the following possible reasons: i. the pedestrian may have been unaware of the warnings provided by the red miniature stop light and audible alarm (paragraphs 45 and 81, Recommendation 1); or ii. the pedestrian may have been aware of the warnings but was unaware that a train was closely approaching (paragraph 48, Recommendation 2). b. Proposals from various bodies to close Johnson’s footpath crossing before 2007 were not translated into action (paragraph 53, no recommendation). c.Network Rail did not follow-up a proposal in 2007 to install a footbridge to replace Johnson’s footpath crossing, after analysis had shown that the benefits of so doing would exceed the costs (paragraphs 56 and 80).</t>
  </si>
  <si>
    <t>SE-1336</t>
  </si>
  <si>
    <t>Spad, 1/30/2012, Helsingborg godsbangård (freight yard). (Sweden)</t>
  </si>
  <si>
    <t>A shunting operation passed a signal at danger and got in to a set train route for a freight train.</t>
  </si>
  <si>
    <t>Helsingborg godsbangård (freight yard).</t>
  </si>
  <si>
    <t>A shunting signal was passed (SPAD) showing "stop". The driver did not notice the signal or the  associated stop light (stopplykta in Swedish).</t>
  </si>
  <si>
    <t>The shunting signal was placed on the right side. The overseer did not expect this. The signals sign (arrow) was small and unclear. The overseer had an limited knowledge of the local area. The visibility was limited due to strong sun, dirty windows on the and an object partly covering the signal from distance.  Since the overseer was allowed to pass the former signal and did not notice this one he probably did not seek for the associated stop light.</t>
  </si>
  <si>
    <t>DK-5301</t>
  </si>
  <si>
    <t>Level crossing accident, 31-01-12, Sejstrup (Denmark)</t>
  </si>
  <si>
    <t>Moped rider killed in a crossing (11) in Sejstrup</t>
  </si>
  <si>
    <t>Sejstrup</t>
  </si>
  <si>
    <t>Uopmærksomhed fra knallertfører 
Inattention from the moped rider</t>
  </si>
  <si>
    <t>RO-1344</t>
  </si>
  <si>
    <t>Train derailment, 31.01.2012, Open line Balanoia - Stanesti belongs to Bucuresti Railway County on the south of romanian railway network. (Romania)</t>
  </si>
  <si>
    <t>First bogie of the locomotive DA 1279 from the freight train no. 92212 derailed.</t>
  </si>
  <si>
    <t>Open line Balanoia - Stanesti belongs to Bucuresti Railway County on the south of romanian railway network.</t>
  </si>
  <si>
    <t>The direct cause of this accident was hitting by the left wheel (in the running direction) of axle no. 2 from the locomotive DA 1279 of long shackle from the traction engine no.1, which led to the derailment of this axle and then the derailment of axles no. 3 and 1. The hit part was fallen and blocked in the trough on the left of the level crossing at km 11+105._x000D_
_x000D_
Tearing out the long shackle of the traction engine no. 1 was produced by breaking a piece of the first axle crown gear followed by the brake and detachment of some traction gear elements, due to the occurence of an overlead of the trailer locomotive DA 1279, that after failure of the banking locomotive, it had to ensure the hauling of the train no. 92212 (on a grade with slope of 15 ‰).</t>
  </si>
  <si>
    <t>FR-1385</t>
  </si>
  <si>
    <t>Trains collision with an obstacle, 01/02/2012, Sevran; catenary span overlap on the RER line from Paris-Nord to Ormoy (France)</t>
  </si>
  <si>
    <t>Train hits at full speed a section insulator hanging from the overhead contact line._x000D_
Insulator breaks the front window and hurts severely the driver</t>
  </si>
  <si>
    <t>Sevran; catenary span overlap on the RER line from Paris-Nord to Ormoy</t>
  </si>
  <si>
    <t>Breakage of anchorage insulator of the catenary due to internal defect in the ceramic body;_x000D_
low resilience of frontal glass in winter temperature</t>
  </si>
  <si>
    <t>HU-1372</t>
  </si>
  <si>
    <t>Train derailment, 2012-02-01, Budapest, Nagykörösi ut (Hungary)</t>
  </si>
  <si>
    <t>Tram No.3 derailed at a switch in Budapest, Nagykörösi street.</t>
  </si>
  <si>
    <t>Budapest, Nagykörösi ut</t>
  </si>
  <si>
    <t>Infrastructure - Interlocking - equipment failure; _x000D_
Operation - Driver - operational failure</t>
  </si>
  <si>
    <t>AT-1358</t>
  </si>
  <si>
    <t>Trains collision with an obstacle, 2012-02-02, Between station Seekirchen am Wallersee and station Hallwang-Elixhausen (Austria)</t>
  </si>
  <si>
    <t>Train seperation of the 13th wagon of freigt train 64203 (internal coupling of the permanetly-coupled unit - double-deck car-carrier with brand new cars). One car fell from the upper deck to the rail tracks, stopping on the adjacent track. Immediately occurred the collision of train 661 (RailJet) traveling in the direction of Vienna with the car, lying on the track of train 661. There was considerable damage to vehicles. No persons were injured or killed.</t>
  </si>
  <si>
    <t>Between station Seekirchen am Wallersee and station Hallwang-Elixhausen</t>
  </si>
  <si>
    <t>ÖBB-Personenverkehr AG; 
ÖBB-Rail Cargo Austria AG</t>
  </si>
  <si>
    <t>Train seperation. No proper securing of the coupling bolt between the two wagon halfs of the auto-carrier unit.</t>
  </si>
  <si>
    <t>FR-1346</t>
  </si>
  <si>
    <t>Trains collision, 2012-02-02, Near Maillé on the double track line between Tours and Poitiers (France)</t>
  </si>
  <si>
    <t>A freight train operated by ECR, running on sight, hits the rear end of a freight train stopped by the block signals</t>
  </si>
  <si>
    <t>Near Maillé on the double track line between Tours and Poitiers</t>
  </si>
  <si>
    <t>EuroCargoRail; 
COLAS RAIL</t>
  </si>
  <si>
    <t>Late braking by the driver of colliding train when driving on sight.</t>
  </si>
  <si>
    <t>Lack of vigilance by the driver after several sequences of on-sight driving.</t>
  </si>
  <si>
    <t>AT-0043</t>
  </si>
  <si>
    <t>Level crossing accident, 2012-02-03, Level crossing km 41,469 near the station Ober Radlberg (Austria)</t>
  </si>
  <si>
    <t>Collision between freighttrain 96596 and small motorbike with trailer at the level crossing at km 41,469 near the station Ober Radlberg secured with half-barrier and traffic signs for optical and acoustical annuncation whne closing the barrier. The driver of the small motorbike was fatality injuried.</t>
  </si>
  <si>
    <t>Level crossing km 41,469 near the station Ober Radlberg</t>
  </si>
  <si>
    <t>Umfahren der Halbschrankenanlage 
Motorbike circumvent the half-barrier</t>
  </si>
  <si>
    <t>UK-1350</t>
  </si>
  <si>
    <t>Train derailment, 2012-02-03, Bletchley Junction (United Kingdom)</t>
  </si>
  <si>
    <t>An electric locomotive on hire to Virgin Trains, and travelling from Crewe to Wembley, derailed at Bletchley Junction as it was crossing from the up slow line to up fast line, immediately south of Bletchley station.</t>
  </si>
  <si>
    <t>Bletchley Junction</t>
  </si>
  <si>
    <t>Virgin Trains Ltd</t>
  </si>
  <si>
    <t>The immediate cause of the derailment was that the driver drove the locomotive at significantly higher than the permitted speed when taking the diverging route from the up slow line to the up fast line at Bletchley Junction (paragraph 73).</t>
  </si>
  <si>
    <t>The causal factor was: a. when signal BY19 changed to green, the driver did not observe, and/or register the meaning of, the route indication that was displayed until it was too late (paragraph 75). The following related factors have been identified: (i) the driver had developed an expectation of how he should drive over Bletchley Junction (paragraph 77, Recommendation 1); and (ii) the route risk assessment process had not identified an overspeeding risk at Bletchley Junction and therefore there was no specific route learning mitigation associated with it (paragraph 82, Recommendation 1). Additionally, it is possible that the following factors were relevant: (iii) the form of junction indicator fitted to signal BY19 (paragraph 87, Recommendation 2); and (iv) the driver was distracted by personal matters external to his work (paragraph 92).</t>
  </si>
  <si>
    <t>ES-1377</t>
  </si>
  <si>
    <t>Trains collision with an obstacle, 09/02/2012, Mataró station (Barcelona), 276 Maçanet-Massanes-Barcelona-Sagrera railway line. (Spain)</t>
  </si>
  <si>
    <t>Commuter train, which had a scheduled stop at the station, collided with the buffer stop at track 4. As a result the first coach became totally derailed. 10 passengers were slightly injured.</t>
  </si>
  <si>
    <t>Mataró station (Barcelona), 276 Maçanet-Massanes-Barcelona-Sagrera railway line.</t>
  </si>
  <si>
    <t>The accident had its origin in a human failure due to the non-compliance of the signal instructions by the train driver</t>
  </si>
  <si>
    <t>HU-1347</t>
  </si>
  <si>
    <t>Spad, 2/9/2012, Line 120: Bekescsaba station (Hungary)</t>
  </si>
  <si>
    <t>A shunting unit (locomotive running solo) passed a „Stop” exit signal without any permission, split three points open and run into the route set for a train from the opposite direction. The shunting unit and the incoming train stopped 3,6 m away from each other. The bad weather conditions led to the occurrence, mechanical part of the braking system of the shunting unit was iced up, therefore the driver was not able to stop the vehicle before the signalpost. There were no personal injuries.</t>
  </si>
  <si>
    <t>Line 120: Bekescsaba station</t>
  </si>
  <si>
    <t>MÁV-TRAKCIÓ Zrt.; 
MÁV-START Zrt.</t>
  </si>
  <si>
    <t>Driver - violation (brake functioning test)</t>
  </si>
  <si>
    <t>Weather conditions (icing), lack of appropriate prucedure in case of poor weather conditon</t>
  </si>
  <si>
    <t>SE-1348</t>
  </si>
  <si>
    <t>Level crossing accident, 09-02-12, Ullna kvarnväg level-crossing whick is located betrween the stations Hägernäs and Rydbo on Roslagsbanan on the line between Stockholms Östra and Österskär. (Sweden)</t>
  </si>
  <si>
    <t>Level-crossing accident between a passenger train and a truck.</t>
  </si>
  <si>
    <t>Ullna kvarnväg level-crossing whick is located betrween the stations Hägernäs and Rydbo on Roslagsbanan on the line between Stockholms Östra and Österskär.</t>
  </si>
  <si>
    <t>The accident occurred because the truck got stuck on the level crossing and could not be driven away.</t>
  </si>
  <si>
    <t>SHK has not been able to determine why the truck got stuck on the level crossing or which part of it that got stuck. However, the combination of the limited ground clearance of the truck and the design of the road at the level crossing is considered to be the cause of the accident.</t>
  </si>
  <si>
    <t>DK-2192</t>
  </si>
  <si>
    <t>Level crossing accident, 13-02-12, Tølløse (Denmark)</t>
  </si>
  <si>
    <t>As train No 1528 was arriving at Tølløse track 2, a person - 11 years old boy - was hit by the train. The boy - who used at public platform level crossing - died instantly. 
Tog 1528 der var under indkørsel til Tølløse spor 2 fra Vipperød, ramte en person i den offentlige perronovergang i stationens nordlige ende. Ved påkørslen omkom den pågældende person, en dreng på 11 år.</t>
  </si>
  <si>
    <t>Tølløse</t>
  </si>
  <si>
    <t>Inattention from cyclist</t>
  </si>
  <si>
    <t>It can not be denied that the defective bulb in one of the warning system signals has contributed to the accident.</t>
  </si>
  <si>
    <t>NO-1361</t>
  </si>
  <si>
    <t>Trains collision, 14/02/2012, Voss station at Bergensbanen (Norway)</t>
  </si>
  <si>
    <t>An infrastruture freight car rolled from the engine shed / parking area into a passenger train that was holding on Voss station. The freight car had a low speed and there were only a few passengers onboard the train.</t>
  </si>
  <si>
    <t>Voss station at Bergensbanen</t>
  </si>
  <si>
    <t>NSB AS; 
Jernbaneverket</t>
  </si>
  <si>
    <t>Did not follow parking regulation.</t>
  </si>
  <si>
    <t>NO-1359</t>
  </si>
  <si>
    <t>Train derailment, 15.02.2012, On Vestfoldbanen, between Nykirke and Holmestrand station (Km 92,000) (Norway)</t>
  </si>
  <si>
    <t>The train came from a part of the line were the speed limit is 135 km/h, and run into a part of the lain with curvs were the speed limit is 70 km/h. The train did not reduce the speed to maximum speed limit of 70 km/h, but retained the speed of 135 km/h and derailed. The train hit rocks along the line and caught large damages.</t>
  </si>
  <si>
    <t>On Vestfoldbanen, between Nykirke and Holmestrand station (Km 92,000)</t>
  </si>
  <si>
    <t>Overspeed</t>
  </si>
  <si>
    <t>CZ-1401</t>
  </si>
  <si>
    <t>Spad, 2012-02-16, Open line between Korenov station and Dolni Polubny station. (Czech Republic)</t>
  </si>
  <si>
    <t>Uncotrolled movement of regional passenger trains No. 16218 (illegal passing of three stops) and No. 16240 (illegal passing of four stops).</t>
  </si>
  <si>
    <t>Open line between Korenov station and Dolni Polubny station.</t>
  </si>
  <si>
    <t>Train brake failure because of cover of brake discs with ice.</t>
  </si>
  <si>
    <t>Underlying cause: failure to comply with technological procedures at driving of railway vehicles in winter on the railway track with the specific gradient._x000D_
_x000D_
Root cause: compulsory periodic training of drivers did not include the specifics of the operation of railway vehicles equipped with disc brakes on this particular railway track including drivers’ solution of critical situations.</t>
  </si>
  <si>
    <t>UK-1375</t>
  </si>
  <si>
    <t>Train derailment, 2012-02-17, Croydon tramlink â€“ East Croydon station. (United Kingdom)</t>
  </si>
  <si>
    <t>As the tram passed over motorised facing points, they changed between the first and second bogies, so that the leading bogie took the left-hand route and the centre and trailing bogies took the right-hand route (towards platform two).  The centre bogie was dragged into derailment, the pantograph came off the contact wire, and the tram came to a stop. There were about 100 passengers on board the tram, and none of them were hurt.</t>
  </si>
  <si>
    <t>Croydon tramlink â€“ East Croydon station.</t>
  </si>
  <si>
    <t>Tram 2538 derailed because points ECR06M moved beneath the vehicle, setting the centre and rear of the vehicle on a diverging route (paragraph 32). This occurred because the stopping position of the preceding tram created the circumstances for points ECR06M to be requested to move when tram 2538 was passing over (paragraph 27, Recommendation 1).</t>
  </si>
  <si>
    <t>The track circuit which locks points ECR06M did not respond to tram 2538. Consequently the points remained free to move while the tram was passing over them (paragraph 35). This was owing to a combination of the following factors: a.the track circuit voltage was not adjusted in accordance with the manufacturer’s operating instructions (paragraph 44, see paragraph 76); b. the likely effect of contamination at the interface between wheels and rails (paragraph 53, Recommendation 2); and c. tram 2538 had a relatively high (but within specified limits) wheel tyre to wheel tyre resistance (paragraph 56, Recommendation 3). A non-standard point controller installation meant that protection against points moving under trams relied entirely on correct operation of the track circuit (paragraph 59, Recommendation 1). Underlying cause - System integration within Tramlink was inadequate (paragraph 63, Recommendation 3).</t>
  </si>
  <si>
    <t>IE-3382</t>
  </si>
  <si>
    <t>Unauthorised train movement other than SPAD, 2/18/2012, Clonsilla Station, Dromod, Boyle, Limerick Junction (Ireland)</t>
  </si>
  <si>
    <t>Between 18th and 23rd of February 2012 there were four reported possession incidents on Iarnrod Eireann network. The incidents occured at Clonsilla Station 18th February 2012, Dromod 18th February 2012, Boyle 23rd February 2012, Limerick Junction 23rd February.</t>
  </si>
  <si>
    <t>Clonsilla Station, Dromod, Boyle, Limerick Junction</t>
  </si>
  <si>
    <t>The nature of this RAIU trend investigation has resulted in no immediate cause or causal factors common to all of the incidents being identified, however, a number of contributory and underlying factors have been identified.  _x000D_
Contributory factors in relation to possession incidents identified were:_x000D_
- CoF-01 – The Control Room Process is not fully adhered to in all meetings in that the protection arrangements associated with the occupational safety risks are not discussed;_x000D_
- CoF-02 –The continued planning and implementation of Back-to-Back possessions has introduced practices that are non-compliant with prescribed instructions in the IÉ Rule Book for fog signal protection;_x000D_
- CoF-03 – The consistent booking of pre-established possessions with regards to work, limits and duration has led to possession protection being arranged to coincide with these limits instead of an assessment taking place on a site by site basis;_x000D_
- CoF-04 – The Weekly Circular is currently ineffective for communicating actual works that are to be undertaken on a given day/night due to the current practices of booking and cancelling of possessions;_x000D_
- CoF-05 – Late alterations to possession arrangements are not always communicated to relevant staff and have also in some cases led to inadequate possession protection.</t>
  </si>
  <si>
    <t>The underlying factors identified were:_x000D_
- UF-01 – There is no standardised procedure on the requirements and frequency of possession planning meetings and prescribing staff to be involved;_x000D_
- UF-02 – The procedure for closing out IÉ recommendations has not been effective with regards to planning and Back-to-Back possessions.</t>
  </si>
  <si>
    <t>HU-1370</t>
  </si>
  <si>
    <t>Other, 19/02/2012, Line 8: Csorna station (Hungary)</t>
  </si>
  <si>
    <t>At Csorna had to join together the sets of trains IC917 and IC937 and the united train goes on to Budapest as IC917. During shunting the set of train IC937 collided into the other set. The coaches were occupied by passengers. In consequence of the collision eleven passengers suffered minor injuries.</t>
  </si>
  <si>
    <t>Line 8: Csorna station</t>
  </si>
  <si>
    <t>Rolling stock/ locomotive/ equipment failure_x000D_
Operations: Station personnel / Violation (rule of shunting movents/communication)</t>
  </si>
  <si>
    <t>SK-1404</t>
  </si>
  <si>
    <t>Accident to persons caused by RS in motion, 20/02/2012, Slovakia, railway station Liptovský MikuláÅ¡ (Slovak Republic)</t>
  </si>
  <si>
    <t>Slovakia, railway station Liptovský MikuláÅ¡</t>
  </si>
  <si>
    <t>Železnicná spolocnost Slovensko</t>
  </si>
  <si>
    <t>AT-2739</t>
  </si>
  <si>
    <t>Train derailment, 21/02/2012, Station in Austria (Austria)</t>
  </si>
  <si>
    <t>On 21th February, 2012, at 18:37 hrs, during the running of train 363 (train route station Zürich Hbf to station Wien Westbf) between station Braz and station Hintergasse it came to a derailment._x000D_
_x000D_
At train 363 derailed the guiding control trailer and the next three wagons. _x000D_
_x000D_
Cause was a rail breakage of the curved outside rail at a fish plated rail joint._x000D_
_x000D_
There was considerable material damage to the infrastructure and the derailed wagons and a longer disruption of the line by the derailment. _x000D_
_x000D_
There were no persons killed or injured. 
Am 21. Februar 2012, um 18:37 Uhr, kam es bei der Fahrt von Z 363 (Zuglauf Zürich Hbf nach Wien Westbf) zwischen Bf Braz und Bf Hintergasse zur Entgleisung._x000D_
_x000D_
Bei Z 363 entgleisten der führende Steuerwagen und die ersten drei Zwischenwagen. _x000D_
_x000D_
Ursache war ein Schienenbruch der bogenaußenseitigen Schiene im Bereich eines gelaschten Schienenstoßes._x000D_
_x000D_
Es kam zu erheblichen Sachschäden an der Infrastruktur und an den entgleisten Wagen sowie zu einer längeren Streckenunterbrechung durch die Entgleisung._x000D_
_x000D_
Es wurden keine Personen getötet oder verletzt.</t>
  </si>
  <si>
    <t>Station in Austria</t>
  </si>
  <si>
    <t>Ursache war ein Schienenbruch am Außenstrang eines Gleisbogens im Bereich einer gelaschten Stoßlücke. 
The cause was a broken rail at the outer strand of a curve in the region of gelaschten shock gap.</t>
  </si>
  <si>
    <t>RO-1360</t>
  </si>
  <si>
    <t>Train derailment, 2/21/2012, Open line Ciumeghiu - Salonta belongs to Cluj Railway County,on the west of the romanian railway network. (Romania)</t>
  </si>
  <si>
    <t>Second axle of the second bogie of the railcar no. AMX 553 derailed at km 74+700.</t>
  </si>
  <si>
    <t>Open line Ciumeghiu - Salonta belongs to Cluj Railway County,on the west of the romanian railway network.</t>
  </si>
  <si>
    <t>S.C. REGIONAL S.R.L.</t>
  </si>
  <si>
    <t>Cauza directa a producerii deraierii o constituie pierderea capacitatii de ghidare a sinei din parte dreapta a sensului de mers al trenului,  datorita ruperii unui  fragment de 12 cm din ciuperca sinei. În aceste conditii roata din partea dreapta a cazut între firele caii, antrenând în cadere ?i roata din partea stânga a aceleia?i osii. _x000D_
_x000D_
_x000D_
Factori care au contribuit: _x000D_
_x000D_
- ruperea capatului unei ?ine din alcatuirea joantei izolante lipite, ca urmare a existen?ei unei fisuri care s-a propagat dinspre acest capat al ?inei spre prima gaura de eclisare. Aceasta fisura s-a propagat prin inima ?i ciuperca ?inei. 
The direct cause of the derailment consists of the loss of the right rail guidance capability in the train running direction, due to a broken piece of 12 mm from the head of the rail. Under these condtions the right wheel fell inside the track, catch in its fall the left wheel of the same axle. _x000D_
Contributing factors: _x000D_
- end rail breakage within the welded insulated joint, as a result of a crack starting from this end of the rail towards the first fish-bolt hole. This crack spread through the web of the rail and head of rail.</t>
  </si>
  <si>
    <t>Cauza subiacenta o constituie neînlocuirea sinei defecte de categoria I, existenta în eviden?a ?inelor defecte a Sec?iei L5 Oradea, de la km 74+710 (?ina din partea dreapta în sensul kilometrarii liniei)._x000D_
_x000D_
 Cauze primare: _x000D_
_x000D_
 Nu au fost identificate cauze primare. 
The underlying cause consists of non-replacement of the category I defect rail, existing in the rail defect records of Section L5 Oradea, from km 74+710 (right rail in the running direction).</t>
  </si>
  <si>
    <t>HU-1371</t>
  </si>
  <si>
    <t>Other, 2/24/2012, Line 120: Between Rakoshegy and Maglod stations (Hungary)</t>
  </si>
  <si>
    <t>Passenger train No.3616 ran opposite to the set direction of traffic due to an operational failure.</t>
  </si>
  <si>
    <t>Line 120: Between Rakoshegy and Maglod stations</t>
  </si>
  <si>
    <t>Operational failure - station personell</t>
  </si>
  <si>
    <t>HU-1367</t>
  </si>
  <si>
    <t>Train derailment, 2/25/2012, Line 42: Racalmas station (Hungary)</t>
  </si>
  <si>
    <t>Twelve wagons of the train No.66823-2, loaded with iron ore, derailed at Racalmas station due to an axle box failure of the thirteenth wagon of the train. The derailed wagon caused damage to the track along approximately 400m. After that the derailed wagon fallen over at the first switch and caused the derailment of the other 11 wagons.</t>
  </si>
  <si>
    <t>Line 42: Racalmas station</t>
  </si>
  <si>
    <t>•	The second axle of the first bogie (in the direction of running) of the wagon No. 33 55 599 3686-1 became unguided because the bearing no. 3 had fallen off the end of the axle._x000D_
•	The bearing fell off due to the breaking of the locking washer of the axle nut._x000D_
•	The locking washer broke due to improper mounting, because the locking washer of inappropriate size was forced into the axle nut by blowing it with a hammer. As a result, the internal tensions in the worn washers increased, and they became sensitive to the vibrations due to uneven seating, and in addition, cracks had developed due to the mechanical impacts.</t>
  </si>
  <si>
    <t>CZ-1363</t>
  </si>
  <si>
    <t>Level crossing accident, 27.2.2012, Active level crossing (equipped with warning lights) between Protivín stop and Protivín station (Czech Republic)</t>
  </si>
  <si>
    <t>Collision of the train set No. Sv 8094 with a lorry at the level crossing with consequent collision with infrastructure component and fire of locomotive and lorry.</t>
  </si>
  <si>
    <t>Active level crossing (equipped with warning lights) between Protivín stop and Protivín station</t>
  </si>
  <si>
    <t>Third party – level crossing user (lorry driver's violation).</t>
  </si>
  <si>
    <t>Underlying and root causes: none</t>
  </si>
  <si>
    <t>EL-1430</t>
  </si>
  <si>
    <t>Broken rails, 27/02/2012, CH 203+000 (Lianokladi) (Greece)</t>
  </si>
  <si>
    <t>A big rock had slided at the tracks</t>
  </si>
  <si>
    <t>CH 203+000 (Lianokladi)</t>
  </si>
  <si>
    <t>(b) it forms part of a series of accidents or incidents relevant to the system as a whole; 
(d) requests from infrastructure managers the safety authority or the Member State"</t>
  </si>
  <si>
    <t>IT-1366</t>
  </si>
  <si>
    <t>Other, 2012-02-27, Line Roma - Firenze DD, section 1° Bivio Chiusi Sud - 1° Bivio Chiusi Nord (Italy)</t>
  </si>
  <si>
    <t>loss of the door of a car of the train ES 9482 (train in motion)</t>
  </si>
  <si>
    <t>Line Roma - Firenze DD, section 1° Bivio Chiusi Sud - 1° Bivio Chiusi Nord</t>
  </si>
  <si>
    <t>The direct cause is the breakage of the pivot lever roller (ROLLER SWING ARMS) in the guide portion of the leaf of the door.</t>
  </si>
  <si>
    <t>the underlying cause is an incorrect setting of the catch hook seal.</t>
  </si>
  <si>
    <t>CZ-1373</t>
  </si>
  <si>
    <t>Level crossing accident, 2012-02-29, Active level crossing in Kastice station (Czech Republic)</t>
  </si>
  <si>
    <t>Collision of passenger train No. 1195 at the level crossing with a lorry with consequent derailment.</t>
  </si>
  <si>
    <t>Active level crossing in Kastice station</t>
  </si>
  <si>
    <t>Third party – level crossing user (lorry driver's violation)</t>
  </si>
  <si>
    <t>IT-1365</t>
  </si>
  <si>
    <t>Level crossing accident, 29/02/2012, Line Ferrara - Rimini, section Ravenna - Classe, level crossing km 73+423 (Italy)</t>
  </si>
  <si>
    <t>Regional train Trenitalia 11611, relation Ravenna - Rimini, with 30 travelers on board, hit a car with three people on board at the level crossing at km 73 +423 (half-barriers regularly closed).</t>
  </si>
  <si>
    <t>Line Ferrara - Rimini, section Ravenna - Classe, level crossing km 73+423</t>
  </si>
  <si>
    <t>Improper occupation of the railway at the LC by the car</t>
  </si>
  <si>
    <t>RO-1364</t>
  </si>
  <si>
    <t>Train derailment, 3/1/2012, Tandarei station belongs belongs to Constanta Railway County, on the south-east of Romanian Railway Network. (Romania)</t>
  </si>
  <si>
    <t>The 24th, 25th and 26th wagon (loaded with prefabricated wood) from the freight train no. 41794-1 derailed over the switch no. 29.</t>
  </si>
  <si>
    <t>Tandarei station belongs belongs to Constanta Railway County, on the south-east of Romanian Railway Network.</t>
  </si>
  <si>
    <t>Cauza directa:  _x000D_
Pierderea contactului roata-sina corespunzator  rotii din partea dreapta a primei osii a celui de-al doilea boghiu sens mers, (osia cu rotile nr. 3L-4R ) a  vagonului  nr. 31533540310-3 (al 5-lea vagon de la urma trenului), în urma suspendarii acestei roti produsa prin urcarea corpului de reazem al rotii pe  cutia tamponului din capatul X al vagonului, partea dreapta sens mers, cazuta în gabaritul de libera trecere O-SM, pe schimbatorul de cale nr. 23 din TJD nr. 23/27 din statia CFR Tandarei._x000D_
 Suspendarea rotii nr.3L a condus la o deplasare laterala spre stânga directiei de mers, fapt  ce a determinat  deraierea acestei osii(osia cu rotile nr. 3L-4R ), antrenarea în deraiere a celeilalte osii a aceluiasi boghiu, urmata de antrenarea  în deraiere a vagonului urmator de ambele boghiuri(al 4-lea vagon din semnalul trenului) si a  vagonului al 3-lea de la semnal de primul boghiu în sensul de mers._x000D_
_x000D_
_x000D_
_x000D_
Factori care au contribuit la producerea acestui accident:_x000D_
- caderea cutiei tamponului datorita ruperii cordonului de sudura dintre teava interioara  si talpa tamponului executat necorespunzator. 
The direct cause of the occurrence of this accident is the loss of the rail-wheel contact corresponding to the wheel from the right side of the first axle from the second bogie in the running direction, (the axle with wheels no. 3L-4R) of the wagon no. 31533540310-3 (the 5th wagon from the rear of the train), after the suspension of this wheel occurred through the climbing of the buffer box from the X end of the wagon, right side in the running direction, felled in the structure clearance, on the switch no. 23 from TJD no. 23/27 in the railway station Tandarei._x000D_
The suspension of the wheel no. 3L led to a lateral movement to the left in the running direction, fact which determinate the derailment of this axle (axle with wheels no. 3L-4R), the engaging in derailment of the same bogie, followed by the engaging in derailment of the next wagon by both bogies (4th wagon from the rear of the train) and the 3rd wagon from the rear of the train by the first bogie in the running direction._x000D_
_x000D_
Contributing factors:_x000D_
- the falling of the buffer box due the rupture of the non-corresponding welding between the interior pipe and the of the buffer boom.</t>
  </si>
  <si>
    <t>Cauze subiacente: _x000D_
_x000D_
subdimensionarea  sanfrenului jumatate V din talpa tamponului  la  5mm fata  de 10 mm, cât este prevazut în documentatia de executie a carcasei  tamponului, fapt care a condus la executarea   necorespunzatoare a cordonului de sudura care asigura  subansamblul  teava interioara – talpa . 
- under-dimensioning of the chamfer half V from the buffer boom at 5 mm toward 10 mm, which is provided in the performing documentation of the buffer box, fact which led to the non-corresponding welding  which assures the subassembly interior pipe boom.</t>
  </si>
  <si>
    <t>AT-0039</t>
  </si>
  <si>
    <t>Level crossing accident, 02.03.2012, Level crossing km 21,577 between the station Rosenbach and the station Ledenitzen (Austria)</t>
  </si>
  <si>
    <t>Collision between passengertrain 4338 and a car at the level crossing at km 21,577 between the station Rosenbach and the station Ledenitzen secured with level crossing road signals. _x000D_
The driver of the car was fatally injured.</t>
  </si>
  <si>
    <t>Level crossing km 21,577 between the station Rosenbach and the station Ledenitzen</t>
  </si>
  <si>
    <t>Disregard of the rules on the behavior at level crossings with level crossing road signals by the road user</t>
  </si>
  <si>
    <t>PL-1378</t>
  </si>
  <si>
    <t>Trains collision, 03/03/2012, Line 64 section Sprowa-Starzyny km point. 21,150 electrified double-track line; track No 1 (Poland)</t>
  </si>
  <si>
    <t>The passenger train No 13126 going in relation Warszawa Wschodnia - Kraków Glówny operated by PR was dispatched by traffic post Starzyny on the track No 1 at. 20:48. On the same track was dispatched another train No 31101 going in relation Przemysl - Warszawa Wschodnia at. 20:51, as a result of which the head-on collision took place.</t>
  </si>
  <si>
    <t>Line 64 section Sprowa-Starzyny km point. 21,150 electrified double-track line; track No 1</t>
  </si>
  <si>
    <t>PKP Intercity S.A.; 
PKP Przewozy Regionalne Sp. z o. o. (Ltd)</t>
  </si>
  <si>
    <t>Wyprawienie przez dyzurnego ruchu podg. Starzyny pociagu nr 13127/6 na sygnal zastepczy, na tor szlakowy nr 1SS w kierunku przeciwnym do zasadniczego zamiast na tor 2SS po niewlasciwie ulozonej i niezabezpieczonej drodze przebiegu i wyprawienie przez dyzurnego ruchu podg. Sprowa pociagu nr 31101 na sygnal zastepczy na zajety tor szlakowy nr 1SS.</t>
  </si>
  <si>
    <t>Przyczyna pierwotna:_x000D_
_x000D_
Niezastosowanie przez dyzurnego ruchu podg. Starzyny postanowien przepisów _x000D_
wewnetrznych dotyczacych postepowania w przypadku braku mozliwosci prawidlowego przestawienia na drodze elektrycznej z pulpitu nastawczego do polozenia minus (kierunek zwrotny) sprzezonych rozjazdów nr 3 i nr 4, skutkujacego utrata kontroli ich polozenia podczas próby przygotowania drogi przebiegu dla pociagu nr 13127/6 na podg. Starzyny._x000D_
_x000D_
 _x000D_
Przyczyny posrednie:_x000D_
_x000D_
1)Wyjazd z podg. Starzyny i kontynuowanie jazdy przez pociag nr 13126 po torze nr 1SS szlaku Sprowa – Starzyny w kierunku przeciwnym do zasadniczego na sygnal Sz bez_x000D_
wskaznika W24, nie uprawniajacy do takiej jazdy,_x000D_
2)wyjazd z podg. Sprowa i kontynuowanie jazdy przez pociag nr 31101 po torze nr 1SS szlaku Sprowa – Starzyny w kierunku zasadniczym na sygnal Sz ze wskaznikiem W24, nie uprawniajacy do takiej jazdy,_x000D_
3)niewlasciwe wykonywanie czynnosci przez ISDR Starzyny, polegajace na:_x000D_
•	nienalezytym sprawdzeniu i braku zabezpieczenia miejscowego rozjazdów nr 3 i 4 na gruncie w sytuacji braku kontroli polozenia zwrotnic,_x000D_
•	daniu zezwolenia na jazde dla pociagu nr 13127/6 (przez wyswietlenie sygnalu zastepczego) przy braku kontroli i bez miejscowego zabezpieczenia zwrotnic,_x000D_
•	braku reakcji na sygnalizacje powstania rozprucia rozjazdów nr 3 i 4 w chwili przejazdu pociagu nr 13126 – sledzenia stanu zajetosci pozostalych odcinków,_x000D_
•	braku nalezytej obserwacji przejazdu pociagu w okregu nastawczym bez wykorzystania oraz z wykorzystaniem urzadzen srk, _x000D_
•		blednym potwierdzeniu wyjazdu pociagu nr 13126 na tor szlakowy nr 2SS posterunkowi odgaleznemu Sprowa przy uzyciu urzadzen pbl, niezgodnie ze stanem faktycznym,_x000D_
4) niewlasciwe wykonywanie czynnosci przez ISDR Sprowa, polegajace na:_x000D_
•	niewlasciwej interpretacji informacji o nieoczekiwanym wystapieniu stanu zajetosci toru szlakowego nr 1SS, która spowodowala wygasniecie sygnalu zezwalajacego na semaforze, przy równoczesnym braku zajetosci toru szlakowego nr 2SS, _x000D_
•	braku reakcji na niepojawienie sie zajetosci toru szlakowego nr 2SS po wyswietleniu informacji „pociag na szlaku”, zobrazowanej przez czerwony kolor strzalki kierunku blokady od podg. Starzyny po tym torze,_x000D_
•	niezastosowaniu postanowien przepisów wewnetrznych polegajace na zignorowaniu ostrzezen podczas wykonywania polecenia specjalnego – podania sygnalu zastepczego dla pociagu nr 31101 – bez weryfikacji ich znaczenia,_x000D_
•	niewykorzystaniu funkcji „Alarm” w systemie radiowym i niepodjeciu innych natychmiastowych dzialan przy zaistnieniu watpliwosci odnosnie prawidlowosci wyprawienia pociagu nr 13126 z podg. Starzyny,_x000D_
5) niedostateczny nadzór nad praca eksploatacyjna posterunków ruchu, druzyn pociagowych oraz procesem modernizacji i stanem utrzymania infrastruktury, w tym _x000D_
w szczególnosci:_x000D_
•	dopuszczenie do pracy dyzurnego ruchu A.N. przez kierownictwo Sekcji Eksploatacji (ISE) Wloszczowa oraz podjecie pracy przez tego dyzurnego ruchu bez potwierdzonego przez niego przyjecia do wiadomosci zmian w Regulaminie Technicznym podg. Starzyny po przebudowie urzadzen srk,_x000D_
•	nieprawidlowosci w zakresie szkolen oraz autoryzacji dyzurnych ruchu podg. Sprowa_x000D_
i podg. Starzyny po modernizacji urzadzen srk,_x000D_
•	nieaktualne jak równiez bledne zapisy w regulaminach technicznych posterunków, _x000D_
•	pozostawienie nieodpowiedniego przyrzadu wskazujacego przeplyw pradu nastawczego rozjazdów w pulpicie nastawczym podg. Starzyny przy zmianie typu napedów dokonanej w ramach modernizacji,_x000D_
6)zatajenie faktu wyprawienia pociagu nr 35103 w dniu 02.03.2012 r. w niewlasciwym kierunku przez dyzurnego ruchu A.N. podg. Starzyny przy wiedzy o tym zdarzeniu przez:_x000D_
•	dyspozytora liniowego T.B. PKP PLK S.A. – Centrum Zarzadzania Ruchem Kolejowym Ekspozytura w Lublinie,_x000D_
•	dyzurnego ruchu A.G. stacji Koniecpol, _x000D_
•	dyzurnego ruchu J.S. podg. Sprowa,_x000D_
•	druzyny pociagowej pociagu nr 35103._x000D_
_x000D_
Przyczyny systemowe._x000D_
_x000D_
1) ograniczona skutecznosc kontroli wewnetrznej w obszarze eksploatacji i utrzymania przez niezgodne z ogólnymi zasadami i wynikajaca z nich obowiazujaca struktura organizacyjna danej jednostki (Zakladu Linii Kolejowych) stosowanie w praktyce podporzadkowywania tej kontroli tej samej osobie z kierownictwa, co podmioty kontrolowane, dodatkowo zwykle odpowiedzialnej za wyniki eksploatacyjne,_x000D_
2) niedostatecznie dokladne i restrykcyjne uregulowania przepisów w zakresie stosowania sygnalów zastepczych, w tym:_x000D_
•	warunków wyswietlania sygnalu zastepczego, umozliwiajace zbyt latwe korzystanie z tego sygnalu przy prowadzeniu ruchu – przepisy Rozporzadzenia w sprawie ogólnych warunków prowadzenia ruchu kolejowego i sygnalizacji oraz wynikajace _x000D_
z niego przepisy instrukcji Ir-1 umozliwiaja latwe stosowanie Sz, skutkujace duza liczba przypadków stosowania tego sygnalu,_x000D_
•	szczególowych zasad zezwalania na stosowanie sygnalów zastepczych na posterunkach odgaleznych bez semaforów wyjazdowych i czasu obowiazywania takich zezwolen – brak odpowiednich regulacji w tym zakresie w Wytycznych technicznych budowy urzadzen srk (WTB-E10),_x000D_
3) niedostateczna czestotliwosc i liczba godzin szkolen pracowników wykonujacych czynnosci na stanowiskach zwiazanych bezposrednio z ruchem pociagów i ich prowadzeniem u zarzadców infrastruktury i przewozników kolejowych (np. 3 razy _x000D_
w roku, lacznie 16 h w PKP Intercity S.A., 2 razy w roku po 8 h w spólce Przewozy Regionalne Sp. z o.o., 1 raz w roku 8 h w PKP PLK S.A. przy braku wniosków _x000D_
o dodatkowe szkolenia ze strony pracowników nadzoru i kontroli), spowodowana brakiem uregulowan prawnych nakladajacych minimalne wymagania ogólne w tym zakresie.</t>
  </si>
  <si>
    <t>CZ-1374</t>
  </si>
  <si>
    <t>Level crossing accident, 5.3.2012, Open line between Kobyli na Morave and Velké Pavlovice station. (Czech Republic)</t>
  </si>
  <si>
    <t>Collision of passenger train No. 14506 at the level crossing with a lorry with consequent derailment.</t>
  </si>
  <si>
    <t>Open line between Kobyli na Morave and Velké Pavlovice station.</t>
  </si>
  <si>
    <t>AT-3153</t>
  </si>
  <si>
    <t>Level crossing accident, 06/03/2012, Station in austria (Austria)</t>
  </si>
  <si>
    <t>Wednesday, 6th March 2012, at 08:21 hrs, a collision between the train 72365 and a truck happened in station Steindorf bei Straßwalchen at the level crossing in   km 1,522, (secured with St. Andrew's cross and ensure the necessary visible space)._x000D_
The driver of the truck was seriously injured._x000D_
The train crew were unharmed._x000D_
The cause of the crash was that the truck tried to use the level crossing at the time as train 72365 approached. 
Dienstag, 6. März 2012, um 08:21 Uhr, ereignete sich auf der EK im km 1,522, im Bf Stein-dorf bei Straßwalchen (gesichert mit Andreaskreuz und Gewährleisten des erforderlichen Sichtraumes) ein Zusammenprall zwischen Z 72365 und einem LKW. _x000D_
Der Lenker des LKW wurde schwer verletzt._x000D_
Das Zugpersonal blieb unverletzt._x000D_
Die Ursache für den Zusammenprall war das Übersetzen der EK durch den LKW trotz Annäherung des Zuges.</t>
  </si>
  <si>
    <t>Station in austria</t>
  </si>
  <si>
    <t>Nichtbeachtung der Bestimmungen der EKVO betreffend das Verhalten von Straßenverkehrsteilnehmern beim Befahren einer mit Andreaskreuz und Gewährleisten des erforderlichen Sichtraumes gesicherten EK. 
Failure to comply with the provisions of EKVO concerning the behavior of road users when driving a secured with St. Andrew's cross and ensuring the required visual space EK.</t>
  </si>
  <si>
    <t>HU-1400</t>
  </si>
  <si>
    <t>Other, 06/03/2012, Line 90: Hidasnemeti station (Hungary)</t>
  </si>
  <si>
    <t>After leaving Hidasnemeti station -during a running break test- the driver of the train No. IC533 (running from Kassa (Kosice) to Budapest Keleti) realized that the breaking distance was longer than usual. The standing brake test, which was held at Miskolc station, was effective, but the effectiveness of the braking system remained on the same level as it was before. _x000D_
_x000D_
The officials held an another standing braking test at Hatvan station and found that some brake pads were overheated, therefore they stopped the train. The passengers of the train was carried on with another passenger train to Budapest Keleti station.</t>
  </si>
  <si>
    <t>Line 90: Hidasnemeti station</t>
  </si>
  <si>
    <t>Braking system failure (braking pad)</t>
  </si>
  <si>
    <t>IE-1379</t>
  </si>
  <si>
    <t>Other, 06-03-12, Irish rail network (Ireland)</t>
  </si>
  <si>
    <t>Investigation into possession irregularities</t>
  </si>
  <si>
    <t>Irish rail network</t>
  </si>
  <si>
    <t>In 2012 Iarnród Éireann (IÉ) had four possession related incidents within the space of one week. These incidents led to the RAIU to initiate a trend investigation on the 27th February 2012.The scope of the trend investigation included the four aforementioned incidents and all other relevant reported possession incidents that occurred between January 2009 and January 2013</t>
  </si>
  <si>
    <t>IE-1380</t>
  </si>
  <si>
    <t>Other, 06/03/2012, Train station at Bray, Co Wicklow (Ireland)</t>
  </si>
  <si>
    <t>Investigation into the explosion of Fog Signals (detonators) in the cab of a DART train at Bray on the 6th March 2012.</t>
  </si>
  <si>
    <t>Train station at Bray, Co Wicklow</t>
  </si>
  <si>
    <t>The immediate cause of the explosion could not be established but with the evidence available it is probable that the movement of the fog signals within the carrying tube when the bag was dropped on the floor of the cab caused the an initial activation within the tube resulting in all of the Alsetex designed fog signals exploding.  _x000D_
Causal to the explosion were the following causal factors:_x000D_
- CF-01 – The Alsetex fog signals supplied to IÉ, by Lacroix, were not as robust as the Lacroix fog signals requested by IÉ; _x000D_
- CF-02 – IÉ did not notice that the Alsetex fog signals provided to them were not the Lacroix fog signals that were ordered.  _x000D_
The contributory factors identified were:_x000D_
- CoF-01 – The fog signals storage tube, designed by IÉ, allowed the fog signals to impact on one another which may have caused them to degrade over time;</t>
  </si>
  <si>
    <t>The underlying factors identified were:_x000D_
- UF-01 – IÉ had no process for carrying out any risk assessment or guidance on the storage and transportation of fog signals outside of Central Stores;_x000D_
- UF-02 – IÉ had not introduced any training to staff in the handling of fog signals;_x000D_
- UF-03 – IÉ Stores did not have a process in place for the checking of parts when they arrive at Central Stores.</t>
  </si>
  <si>
    <t>ES-1396</t>
  </si>
  <si>
    <t>Trains collision with an obstacle, 12/03/2012, Socuellamos station (Ciudad Real) (Spain)</t>
  </si>
  <si>
    <t>Wrong established route for long distance train. As a result, the train run over a motor hammer and some tools were laid at the track as some works were being done at the station.</t>
  </si>
  <si>
    <t>Socuellamos station (Ciudad Real)</t>
  </si>
  <si>
    <t>The accident was caused when the train was wrongly routed through track 2, while works were being done at this track, and the relevant safety measures weren´t met.</t>
  </si>
  <si>
    <t>SE-2065</t>
  </si>
  <si>
    <t>Accident to persons caused by RS in motion, 12-03-12, Sweden (Sweden)</t>
  </si>
  <si>
    <t>After a number of reported incidents during work on the track the Swedish NIB has started a tematic investigation of incidents when staff working on the track has been near to be hit by a train.</t>
  </si>
  <si>
    <t>To summarize SHK concludes that:_x000D_
•	The available statistics has such deficiencies that it is not possible to draw any conclusion regarding the question if the number of occurrences has increased, decreased or if it is stable. The format of reporting has also changed over the years. It should be noted that the statistics used by SHK is not the official statistics as this is not detailed enough and does not include near misses. The statistics referred to is the more detailed statistics from the infrastructure manager and its contractors. An improved management of the statistics is desirable to increase the possibilities to learn from experiences in order to avoid future unwanted events._x000D_
_x000D_
•	There is a lack of data at the infrastructure manager and its contractors that limit the possibilities to get an overall picture of track works that are performed and the conclusions regarding risks are therefore uncertain. The reviewed information shows that pre-planned works were risk evaluations has been made tend to lead to less serious occurrences than directly planned works were risk evaluation might be missing or were the work might be performed without protection.   _x000D_
_x000D_
•	The work place controls that the Swedish Transport Administration performs are mostly controls of pre-planned works and can therefore not catch all problem areas. The Swedish Transport Administration had when this report was written not yet performed any revisions of the contractors’ safety management systems which means that the Swedish Transport Administrations internal control cannot yet be said to be fully functional. _x000D_
_x000D_
•	The resources of the Swedish Transport Agency for audits and inspections are limited and the authority relies on the internal controls made by the infrastructure managers themselves to identify deficiencies. SHK does not consider this to be satisfactory._x000D_
_x000D_
•	The Swedish Work Environment Authority’s inspections of the contractors are mostly triggered by accidents or near misses and limited to aspects concerning the Environment Act. The supervisory measures taken by the Swedish Work Environment Authority during 2012 are limited compared to the range of activities conducted by the contractors.</t>
  </si>
  <si>
    <t>See direct cause for conclusions from the thematic study.</t>
  </si>
  <si>
    <t>EL-1431</t>
  </si>
  <si>
    <t>Accident to persons caused by RS in motion, 14/03/2012, CH 126+800 (Greece)</t>
  </si>
  <si>
    <t>The train entering the Serres Railway Station killed a sheep breeder (shepherd) along with a few sheeps and goats, which were trying to pass from one side to the other side of the railway line</t>
  </si>
  <si>
    <t>CH 126+800</t>
  </si>
  <si>
    <t>HU-1382</t>
  </si>
  <si>
    <t>Trains collision, 2012-03-14, Line 30: Tarnok station (Hungary)</t>
  </si>
  <si>
    <t>Freight train (Nr42030-1) had broken down on the open line and backed to the previous station without permission. In consequence of this, the set of the freight train split the switch Nr4 open and collided at low speed with the passenger train Nr4511 waiting at the station.</t>
  </si>
  <si>
    <t>Line 30: Tarnok station</t>
  </si>
  <si>
    <t>Operations: Driver / violation</t>
  </si>
  <si>
    <t>Procedures: incomplete rules for backing movement</t>
  </si>
  <si>
    <t>HU-1383</t>
  </si>
  <si>
    <t>Spad, 15/03/2012, Line 100: Üllö station (Hungary)</t>
  </si>
  <si>
    <t>Passenger train Nr2859 passed a „Stop” exit signal without permission, left the station and run to the next station with low speed (cca. 15km/h).</t>
  </si>
  <si>
    <t>Line 100: Üllö station</t>
  </si>
  <si>
    <t>Inattendance, Poor communication (Train crew)</t>
  </si>
  <si>
    <t>RO-1384</t>
  </si>
  <si>
    <t>Train derailment, 3/15/2012, Teregova station belongs to Timisoara Railway County, on the south-west of the romanian railway network. (Romania)</t>
  </si>
  <si>
    <t>First axle of the locomotive EA 273 from the freight train no. 51754 derailed over the switch no. 3 in Teregova station.</t>
  </si>
  <si>
    <t>Teregova station belongs to Timisoara Railway County, on the south-west of the romanian railway network.</t>
  </si>
  <si>
    <t>Cauza directa o constituie escaladarea sinei de legatura exterioare curbei schimbatorului de cale nr.3 de catre roata 1 stânga a osiei atacante ca urmare a depasirii limitei de siguranta la deraiere în conditiile cresterii fortei de ghidare (orizontale) si scaderii sarcinii pe roata 1 stânga (verticala). _x000D_
_x000D_
Factorii care au contribuit :_x000D_
•	cresterea fortei de frecare dintre buza bandajului rotii 1 stânga( conducatoare) si fata interioara a ciupercii sinei datorita nefunctionarii instalatiei de ungere a buzei bandajului locomotivei;_x000D_
•	diferenta diametrelor cercurilor de rulare la rotile 1 stânga-dreapta de la osia conducatoare nr. 1 în valoare de 1,5 mm fata de 1mm admis;_x000D_
•	valoarea ecartamentului de +10 mm înregistrata în punctul 0 în care s-a produs escaladarea sinei de legatura exterioare curbei schimbatorului de cale fata de tolerantele admise de +5/-1 mm în orice punct de masurare cu exceptia vârfurilor acelor pentru ecartament de 1433 mm; 
Direct cause is the climbing of the exterior stock rail of the switch curve no. 3 by the left first wheel as a result of exceeding the derailment safety limit in conditions of the guidance force increasing (horizontal) and the left first wheel load decreasing (vertical). _x000D_
_x000D_
Contributing factors:_x000D_
•	the increasing of the friction beetwen the flange of wheel of the left first wheel and the inner face of the top of the rail due to the downtime of the lubrication device of the locomotive flange of wheel;_x000D_
•	the difference of running circles diameter at the first left-right wheels from the guiding axle that had a value of 1,5 mm towards 1, the allowed limit;     _x000D_
•	the gauge value of +10 mm registered in point 0 in which one occurred the climbing of the exterior stock rail of the switch curve towards the allowed tolerances  +5/-1 mm at every point of measurement excepting the toe of switch blades for gauge of  1433 mm;</t>
  </si>
  <si>
    <t>UK-1391</t>
  </si>
  <si>
    <t>Other, 19/03/2012, Blatchford Junction (United Kingdom)</t>
  </si>
  <si>
    <t>At approximately 19:27 hrs on 19 March 2012 train 6Y33, comprised of specialised vehicles designed to relay track and hauled by a diesel locomotive, was approaching Blatchbridge Junction near Frome in Somerset. Following a report by the driver of a train travelling in the opposite direction, train 6Y33 was stopped and the driver carried out an examination. He later reported to the signaller that the under-slung control cab of a track relaying vehicle within his train was detached and outside of the train’s normal gauge.</t>
  </si>
  <si>
    <t>Blatchford Junction</t>
  </si>
  <si>
    <t>Freightliner Heavy Haul Ltd</t>
  </si>
  <si>
    <t>The eight bolts within the flexible mountings supporting the cab structure failed, and the unsupported cab fell onto the track below (paragraph 45).</t>
  </si>
  <si>
    <t>The following factors are considered to have been causal, or probably causal: a. The P3 cab supporting bolts were subject to short periods of high stress when the P95/1 UK was operating in working mode. These stress cycles contributed to the fatigue failure of the affected bolts. This was a probable causal factor (paragraphs 48 and 117, Recommendations 6 and 7). b. The design of the cab mounting arrangement allowed moisture to penetrate internally and corrosion to form on the bolts. This eventually led to the formation of corrosion pits in the threads, some of which may have caused the initiation of fatigue cracks. This was a probable causal factor (paragraph 60, Recommendations 1, 5 and 7). c. The failing bolts were not discovered during routine maintenance because the maintenance instructions were not clear and lacked technical detail. This was a casual factor (paragraph 74, Recommendations 1, 2, 3 5 and 7). a.  Some of the bolts may have been exposed to a sudden impact force. This may have led to joint slip and/or bolt damage which adversely affected the fatigue performance of those bolts leading to their failure. Other bolts may then have progressively failed as the load of the P3 cab became unevenly distributed (paragraph 65, Recommendations 1, 3, 4 and 7). b. Neither the maintainer nor the owner inspected the flexible mounting arrangements, or replaced the bolts within the flexible mount, following the impact between the clamp and P3 cab in January 2011 (paragraph 73, Recommendations 1, 3, 4 and 7). Underlying factor - 114 	The design and maintenance review processes did not identify that the bolts were subject to high stress cycles during the machine’s working mode, that a corrosion trap existed which made the bolts at risk of fatigue failure, and that the maintenance instructions for the P3 cab bolts were unclear (paragraphs 90 and 117, Recommendations 1, 2, 3, 4, 6 and 7).</t>
  </si>
  <si>
    <t>AT-2740</t>
  </si>
  <si>
    <t>Level crossing accident, 20/03/2012, Between station Thalheim-Pöls and station Unzmarkt (Austria)</t>
  </si>
  <si>
    <t>Tuesday, 20th March, 2012, at 14:50 o´clock, between station Thalheim-Pöls and station Unzmarkt, near stopping point Sankt Georgen ob Judenburg, a collision between the train 630 and a car happened at the level crossing in km 253,832, (secured with barriers)._x000D_
In further consequence derailed the first carriage of train630 with the leading bogie._x000D_
The driver of the car was seriously injured._x000D_
The engine driver of was easily injured._x000D_
The passengers and the conductor stay unharmed._x000D_
The cause of the collision was not following the announcement of the closing of barriers by the car driver and a further consequence enclosing the car lowered between the barriers trees._x000D_
The cause oft he derailment was the car, captured by train 630. 
Dienstag, 20. März 2012, um 14:50 Uhr, ereignete sich zwischen Bf Thalheim-Pöls und Bf Unzmarkt, im Bereich der Hst Sankt Georgen ob Judenburg, auf der EK km 253,832 (gesichert mit einer Schrankenanlage) ein Zusammenprall von Z 630 mit einem PKW. _x000D_
In weiterer Folge entgleiste der erste Wagen von Z 630 mit dem vorlaufenden Drehgestell._x000D_
Der Lenker des PKW wurde schwer verletzt._x000D_
Der Tfzf wurde leicht verletzt._x000D_
Die Reisenden und der Zugführer blieben unverletzt._x000D_
Die Ursache für den Zusammenprall war, die Nichtbeachtung der Ankündigung des Schrankenschließens durch den PKW-Lenker und in weiterer Folge das Einschließen des PKW zwischen den gesenkten Schrankenbäumen._x000D_
Die Ursache für die Entgleisung war der von Z 630 erfasste PKW.</t>
  </si>
  <si>
    <t>Between station Thalheim-Pöls and station Unzmarkt</t>
  </si>
  <si>
    <t>Disregard the regulations of the Railway crossing Regulation concerning the behavior of road users when driving on a railroad crossing._x000D_
The derailment of train 630 is a result of the collision with the car.</t>
  </si>
  <si>
    <t>The cause of the collision was ignoring the announcement of the closing of barriers by the car driver. A further consequence was enclosing the car between the lowered barriers.</t>
  </si>
  <si>
    <t>AT-3326</t>
  </si>
  <si>
    <t>Level crossing accident, 3/20/2012, Tribuswinkel-Josefsthal (Austria)</t>
  </si>
  <si>
    <t>On Tuesday, March 20th, 2012, at 20:51 o´clock, a collision between the train 199 and a car happened before the stopping point Tribuswinkel-Josefsthal at the level crossing in km 23,350 (secured with level-crossing road signal)._x000D_
_x000D_
The passengers on the train stayed unharmed._x000D_
_x000D_
The driver of the car was seriously injured. The engine driver was easily injured._x000D_
_x000D_
The cause of the crash was that the car tried to use the level crossing, despite stop  command by the level-crossing road signal. 
Dienstag, 20. März 2012, um 20:51 Uhr, ereignete sich auf der mit Lichtzeichenanlage gesicherten Eisenbahnkreuzung im km 23,350 im Bereich vor der Hst Tribuswinkel-Josefsthal ein Zusammenprall zwischen Z 199 und einem PKW._x000D_
_x000D_
Die Reisenden im Zug blieben unverletzt._x000D_
_x000D_
Der Lenker des PKW wurde schwer, der Tfzf wurde leicht verletzt._x000D_
_x000D_
Die Ursache für den Zusammenprall war das Übersetzen der EK trotz haltgebietender Lichtzeichenanlage.</t>
  </si>
  <si>
    <t>Tribuswinkel-Josefsthal</t>
  </si>
  <si>
    <t>Ursache war die Nichtbeachtung der Bestimmungen der EKVO betreffend dem Verhalten von Straßenbenützern beim Befahren einer EK. 
Cause was the failure to observe the provisions of the level crossing regulation concerning the behavior of road users when traveling through a level crossing.</t>
  </si>
  <si>
    <t>AT-0038</t>
  </si>
  <si>
    <t>Level crossing accident, 2012-03-21, Level crossing km 51,567 between the station Wolfsberg and the station Sankt Stefan im Lavanttal (Austria)</t>
  </si>
  <si>
    <t>Collision between freight train 62580 with a car at the level crossing at km 51,567 between the station Wolfsberg and the station St. Stefan im Lavanttal secured with level crossing road signals. The driver of the car was fatality injured.</t>
  </si>
  <si>
    <t>Level crossing km 51,567 between the station Wolfsberg and the station Sankt Stefan im Lavanttal</t>
  </si>
  <si>
    <t>UK-2375</t>
  </si>
  <si>
    <t>Level crossing near miss, 22/03/2012, Lindridge Farm UWB, near Bagworth in Leicestershire (United Kingdom)</t>
  </si>
  <si>
    <t>At about 07:38 hrs on 22 March 2012, a motorist used the telephone at Lindridge Farm user worked level crossing, near Bagworth in Leicestershire, to ask the signaller at Network Rail’s East Midlands Control Centre for authorisation to cross the railway. At this crossing, users in vehicles must always call the signaller to get permission to cross. The signaller checked the indications on the workstation in the control centre, observed that a train had already passed over the crossing, and gave permission to cross. The motorist opened the near gate, crossed the railway line on foot and as they opened the far gate they saw a train approaching. The motorist called the signaller back to report what had happened._x000D_
_x000D_
Initial investigations found that the signaller’s workstation diagram showed the level crossing was displayed on the wrong side of a boundary between two track circuits. This display error led the signaller to conclude that the train had already passed over the crossing so authority to cross could be given to the user. Two other nearby user worked level crossings were also incorrectly positioned on the workstation diagram.</t>
  </si>
  <si>
    <t>Lindridge Farm UWB, near Bagworth in Leicestershire</t>
  </si>
  <si>
    <t>The immediate cause of the incident was that the signaller believed that train 6Z75 had already passed Lindridge Farm user worked crossing when he gave the motorist permission to cross, because his workstation view showed the level crossing on track section T511 and the train on track section T510 (paragraph 55</t>
  </si>
  <si>
    <t>The causal factors were: a.The signalling plan for the Leicester interlocking renewal had to be redrawn and correlated by the EMSR project as the existing version was out of date (paragraph 64, Recommendation 1). b. The signalling plan for the Leicester interlocking renewal, which was redrawn by Network Rail SDG, contained an error that incorrectly named track circuit T510C as T511C (paragraph 67, Recommendation 2). i. The designer entered the wrong track circuit name when producing the signalling plan (paragraph 72, Recommendation 2). ii. The error was missed during the checking process (paragraph 77, Recommendation 2). c. The scope of work for the production of scheme plans for the re-control project was unclear so correlated scheme plans were not produced until a very late stage in the project, and were not available when the workstation views were designed (paragraph 84, Recommendation 1). d. Versions D onwards of the re-control project scheme plan for Leicester, which were produced by Network Rail SDG, contained an error that incorrectly named track circuit T510C as T511C (paragraph 95, Recommendation 2). e. The error was copied by Network Rail SDG into the re-control scheme plan for Leicester from the approved Leicester interlocking renewal signalling plan (paragraph 97, Recommendation 2). f. The error was not found during the production or checking of the re-control scheme plan for Leicester (paragraph 100, Recommendation 2). g. A meeting, held by the EMSR project team to check the new signaller workstation views designed by Invensys Rail against the re-control scheme plans produced by Network Rail SDG, decided to move Lindridge Farm user worked crossing from track section T510 to T511 on a view (paragraph 106, Recommendation 3). h. Errors made during the production of the workstation views were not found during testing, so the Leicester workstation was commissioned with a view that incorrectly showed Lindridge Farm user worked crossing (and the Merry Lees user worked crossings) on track section T511 (paragraph 115, Recommendation 3). i. The error on the re-control scheme plan for Leicester was found during testing but no one assessed the impact of this error on the Leicester workstation view design (paragraph 119, Recommendation 4). The underlying factor was that signalling source records held by National Records Group for the Leicester interlocking area, such as the signalling plan, had not been kept up to date when the infrastructure was changed (paragraph 59, Recommendation 1).</t>
  </si>
  <si>
    <t>EL-1432</t>
  </si>
  <si>
    <t>Level crossing accident, 24-03-12, CH 10+700 Athenbs - Kalampaka (Greece)</t>
  </si>
  <si>
    <t>The train hit a pedestrian person</t>
  </si>
  <si>
    <t>CH 10+700 Athenbs - Kalampaka</t>
  </si>
  <si>
    <t>RO-1387</t>
  </si>
  <si>
    <t>Train derailment, 2012-03-24, Rapa de Jos station belongs to Cluj Railway County, on the center of railway network. (Romania)</t>
  </si>
  <si>
    <t>First axle of the locomotive EA 499 from the freight train no. 83599 derailed over the switch no. 3 in Rapa de Jos station.</t>
  </si>
  <si>
    <t>Rapa de Jos station belongs to Cluj Railway County, on the center of railway network.</t>
  </si>
  <si>
    <t>Cauza directa:  _x000D_
Starea necorespunzatoare a traverselor ,  care sub actiunea fortelor dinamice transversale transmise de locomotiva ,  au permis supralargirea caii la valori peste tolerantele maxime admise în exploatare si caderea între firele caii a rotii din partea dreapta a primei osii a locomotivei._x000D_
Factori care au contribuit: _x000D_
Utilizarea unui sistem de fixare improvizat , prin care 4 traverse normale  au fost înlocuite cu  traverse înnadite , fiecare traversa fiind formata din doua bucati. 
Direct causes: _x000D_
_x000D_
The direct cause of the accident consistes of the inappropriate condition of the sleepers, that under the action of the locomotive transversal dynamic forces, allowed the track over-widening at values above maximum tolerances permissible in operating and fall between the rails of the right wheel of the locomotive first axle._x000D_
_x000D_
Contributing factors: _x000D_
_x000D_
	Using an improvised mounting system by which 4 normal sleepers were replaced with spliced sleepers, each sleeper was made up of two pieces.</t>
  </si>
  <si>
    <t>RO-1388</t>
  </si>
  <si>
    <t>Train derailment, 3/24/2012, Gura Vaii station belongs to Craiova Railway County, on the south-est of the romanian railway network. (Romania)</t>
  </si>
  <si>
    <t>First axle of the locomotive EA 767 from the passenger train R 9508 derailed to 50 meter before switch no. 2 from entering in Gura Vaii station.</t>
  </si>
  <si>
    <t>Gura Vaii station belongs to Craiova Railway County, on the south-est of the romanian railway network.</t>
  </si>
  <si>
    <t>Cauza directa a producerii accidentului a fost  pierderea capacitatii de ghidare a sinei, care a condus la escaladarea acesteia de catre roata din partea stânga a osiei atacante a locomotivei EA 767, caderea acestei roti în exteriorul caii, urmata de caderea în interiorul caii a rotii din partea dreapta  a aceleiasi osii._x000D_
_x000D_
Factorul favorizant care a contribuit la producerea accidentului  a fost torsionarea caii cu valori peste tolerantele admise de Instructia pentru executarea lucrarilor de reparatie radicala a liniei de cale ferata nr.302/1986, ca urmare a cantitatii insuficiente de piatra sparta pentru executarea burajului intermediar. 
The direct cause of the accident occurrence was the loss of the guide rail, that led to its escalation by the wheel from the left of the first wheel of the locomotive EA 767, the wheel’s falling outside the track, followed by the falling inside the track of the wheel from the right of the same axle. _x000D_
_x000D_
The predisposing factor that contributed to the accident occurrence was the track twisting with values over the tolerances allowed by the Instruction for performing the major overhauls to the track no.302/1986, following the insufficient quantity of broken stone for performing the intermediary tamping.</t>
  </si>
  <si>
    <t>Cauza subiacenta _x000D_
Neasigurarea cantitatii de piatra sparta necesara efectuarii burajului intermediar datorita distributiei neuniforme a pietrei sparte curate rezultata în urma procesului de ciuruire integrala a liniei, contravenind astfel cap. II, B pct.3.e din Instructia pentru executarea lucrarilor de reparatie radicala a liniei de cale ferata Nr.302/1986. _x000D_
Cauza primara._x000D_
Nu au fost identificate cauze primare. 
The underlying cause of the accident occurrence was the non-ensuring the broken stone quantity necessary to perform the intermediary tamping due to the non-uniform distribution of the clean broken stone resulted following  the  process of full screening of the line, thus contravening to chapter II, B, item 3 of the Instruction for performing the  the major overhauls  to the track no.302/1986.</t>
  </si>
  <si>
    <t>UK-1390</t>
  </si>
  <si>
    <t>Trains collision with an obstacle, 2012-03-25, Bradford Interchange (United Kingdom)</t>
  </si>
  <si>
    <t>At about 06:50 hrs on Sunday 25 March 2012, a road-rail vehicle ran uncontrolled for just over 380 metres from a road-rail access point, down a gradient into Bradford Interchange station. It collided with the buffer stop at the end of platform 1 causing minor damage.</t>
  </si>
  <si>
    <t>Bradford Interchange</t>
  </si>
  <si>
    <t>The dumper ran away and hit the buffer stop because it was on a gradient in an insufficiently braked state and with no other means of restraint (paragraph 72).</t>
  </si>
  <si>
    <t>The causal factors were: a. The dumper was in operation with a wiring irregularity present within its rail axle interlocking circuit that had not been detected by previous inspections and testing (paragraph 76, Recommendation 2). b. The operator was unaware of the correct operating sequence of the dumper’s rail axles (paragraph 85, Recommendation 2). c. The operator neither requested assistance from a fitter, nor took action to reduce the risk of the dumper running away before he requested the operation of the interlocking override button (paragraph 91, Recommendation 2). d. The design of the rail axle interlocking fitted to the dumper did not allow recovery from a runaway once the runaway had started (paragraph 98, Recommendation 3). 	It is possible that the poor positioning and labelling of the rail axle switches contributed to the accident (paragraph 123, Learning point 1). The underlying factors were: a. Quattro did not adequately control the design, installation, inspection and related documentation of the interlocking modification to ensure its safe use (paragraph 104, Recommendation 1). b. Quattro did not adequately control the competence of its staff to ensure safe use of the dumper (paragraph 127, Recommendation 2). c.Network Rail’s audit systems for assessing engineering safety management systems, and the competence management systems for technical staff, were ineffective in respect of the machine and operator supplied from the Quattro depot at Doncaster (paragraph 143, Recommendation 4).</t>
  </si>
  <si>
    <t>CZ-0127</t>
  </si>
  <si>
    <t>Railway vehicle movement events, 29.3.2012, Praha hl. n. station (Czech Republic)</t>
  </si>
  <si>
    <t>Unauthorized movement of long distance passenger train No. 791 around the main signal No. Lc26b and subsequent ride of this train into train route of long distance passenger train No. 783 without collision.</t>
  </si>
  <si>
    <t>Praha hl. n. station</t>
  </si>
  <si>
    <t>Underlying cause: failure to respect of technological procedures of infrastructure manager - unauthorized putting of long distance passenger train No. 791 into motion when the main (departure) signal No. Lc26b of railway station Praha hl. n. prohibited movement of the train;_x000D_
_x000D_
Root cause: not taking of adequate own measures to prevent similar incidents  based on safety recommendations issued, No. 6-538/2009/DI-1 dated 18th March, 2010, after previous incidents of similar character on 16th February 2009, in the railway station Paskov.</t>
  </si>
  <si>
    <t>CZ-0228</t>
  </si>
  <si>
    <t>Trains collision, 2012-03-31, open line between Peruc and Klobouky v Cechach stations (Czech Republic)</t>
  </si>
  <si>
    <t>Collision of an auxiliary shunting rolling stock with a stuck broken down regional passenger train No. Os 9756, which the shunting rolling stock was going for.</t>
  </si>
  <si>
    <t>open line between Peruc and Klobouky v Cechach stations</t>
  </si>
  <si>
    <t>Shunting operation; 
Regional passenger train</t>
  </si>
  <si>
    <t>- Permission of movement  to auxiliary shunting rolling stock up to 75,500 km which was the place behind the stuck regional passenger train (from the point of the coming shunting rolling stock)._x000D_
- Failure to comply with technological procedures.</t>
  </si>
  <si>
    <t>Underlying cause:	_x000D_
- exceeding the speed limit of the auxiliary shunting rolling stock;_x000D_
- not giving an order for movement acording to the view of the engine driver in compliance with the technological procedures of IM;_x000D_
- not finding out the exact position of the front of the stuck regional passenger train;_x000D_
- permission of movement of auxiliary shunting rolling stock to roughly estimated km without other measures._x000D_
_x000D_
Root cause:		_x000D_
- IM did not implement correctly the provision of § 1 písm. n) decree No. 173/1995 Sb. to its internal procedures which as a consequence brought a collision with further provisions of this decree;_x000D_
- the technological procedures of IM don’t give clear instructions for the engine driver of the stuck train for finding out the exact km position of the front (back) of this train and instruction for this engine driver and other people who manage railway operation in the case when the exact km position can not be determined;_x000D_
- technological procedures of IM don’t provide exact conditions for movement of auxiliary shunting rolling stock going for a stuck train.</t>
  </si>
  <si>
    <t>IT-1392</t>
  </si>
  <si>
    <t>Train derailment, 2012-03-31, Line Sapri - Battipaglia, Policastro station (Italy)</t>
  </si>
  <si>
    <t>Derailment of the second wagon of the freight train 57369.</t>
  </si>
  <si>
    <t>Line Sapri - Battipaglia, Policastro station</t>
  </si>
  <si>
    <t>Thermoplastic breaking of the journal No. 1 on the left of the first wheelset in the running sense of the train in the second wagon in the convoy, due to the high temperatures developed inside the axle bearing, and following the seizure of the bearing itself. The separation of the journal, including bearing fall on the railway, did detract from the point of support of the frame of the wagon on the axis No. 15 of the train determining the overlap of the corresponding wheel, and thus the derailment of the train._x000D_
The mechanical failure of a component of the bearing No. 1 sx is a contributory cause.</t>
  </si>
  <si>
    <t>Underlying cause is the stop point of the train in the station Celle di Bulgheria, almost impracticable, (inaccessible area, with no footpath, full of weeds and with low visibility) which did not allow immediate feedback of the hot-box alarm.</t>
  </si>
  <si>
    <t>RO-1393</t>
  </si>
  <si>
    <t>Train derailment, 4/3/2012, Open line Baru Mare - Crivadia belongs to Timisoara Railway County,on the west of the romanian railway network. (Romania)</t>
  </si>
  <si>
    <t>The second wagon (no. 31535494331-0) from the freight train no. 30475 derailed at km 54+195 between railway stations Baru Mare and Crivadia.</t>
  </si>
  <si>
    <t>Open line Baru Mare - Crivadia belongs to Timisoara Railway County,on the west of the romanian railway network.</t>
  </si>
  <si>
    <t>Cauza directa a producerii acestui accident o constituie limitarea rotirii boghiului nr.2 al vagonului 31535494331-0 în curba cu deviatie dreapta urmata de caderea rotii din stânga(2R) de pe firul exterior între firele caii si caderea rotii din dreapta(2L) a primei osii în exteriorul caii. _x000D_
_x000D_
Factori care au contribuit _x000D_
_x000D_
-   placa de poliamida a crapodinei inferioare a boghiului nr.2 cu urme de rugina pe 55% din suprafata de contact ;_x000D_
-    aparitia în timp a 2 suprafete de strivire cu refulare de material de la placa de poliamida aflata între crapodinele boghiului nr.2, corespunzatoare a 2 unghiuri de aproximativ 600 opuse la vârf, a caror bisectoare comuna coincide cu axa longitudinala a boghiului;_x000D_
-	lipsa unei suprafete lucioase permanente pe toata zona de contact a pietrelor de frecare; 
The direct cause of the accident occurrence was the loss of the guide rail, that led to its escalation by the wheel from the left of the first wheel of the locomotive EA 767, the wheel’s falling outside the track, followed by the falling inside the track of the wheel from the right of the same axle. _x000D_
_x000D_
The predisposing factor that contributed to the accident occurrence was the track twisting with values over the tolerances allowed by the Instruction for performing the major overhauls to the track no.302/1986, following the insufficient quantity of broken stone for performing the intermediary tamping.</t>
  </si>
  <si>
    <t>Nu au fost identificate 
Factors that contributed_x000D_
_x000D_
-    polyamide plate of the inferior centre casting of the bogie no.2 with rust traces of  55% on the contact surface ;_x000D_
-    appearance in time of two pressing surfaces with material elimination from the polyamide plate located between center casting of the bogie no.2, corresponding to two opposite angles of aproximately 600, whos  common bisector of which coincides with the longitudinal axis of the bogie;_x000D_
-    absence of permanent bright surfaces throughout the contact of  blocks friction.</t>
  </si>
  <si>
    <t>EL-1433</t>
  </si>
  <si>
    <t>Level crossing accident, 04/04/2012, CH 11+050 to Alexandroupolis (Greece)</t>
  </si>
  <si>
    <t>The train hit a passenger car at the level crossing</t>
  </si>
  <si>
    <t>CH 11+050 to Alexandroupolis</t>
  </si>
  <si>
    <t>HU-0653</t>
  </si>
  <si>
    <t>Trains collision, 4/4/2012, Tatabanya station (Hungary)</t>
  </si>
  <si>
    <t>Incoming passenger train (No. 34429) collided with the set of train No. 4859 standing on the track. In the moment of the collision the velocity of the train was not higher than 10 km/h.</t>
  </si>
  <si>
    <t>Tatabanya station</t>
  </si>
  <si>
    <t>Train crew - driver - violation</t>
  </si>
  <si>
    <t>EL-1434</t>
  </si>
  <si>
    <t>Trains collision with an obstacle, 06/04/2012, CH 29+500 Thessaloniki-Athens at Kryoneri (Greece)</t>
  </si>
  <si>
    <t>A private car travelling at a neighboring road, derived from its course, passed the earth mound and stopped at the rail track. Two passing by civilians tryed to help the car passengers get out of the car. The travelling train hit the obstacle (car) and killed the car passengers and the people who tried to assist them.</t>
  </si>
  <si>
    <t>CH 29+500 Thessaloniki-Athens at Kryoneri</t>
  </si>
  <si>
    <t>BE-1405</t>
  </si>
  <si>
    <t>Train derailment, 12-04-12, Melsele (Belgium)</t>
  </si>
  <si>
    <t>At 18:12 freight train E31283 Zeebrugge - Antwerpen DS Angola derails in Melsele heading for Antwerp between railway stations Beveren and Melsele. The derailment occures on the switch 4 from track 7 (secondary) to track B (principal) just before the level crossing which is just after switch 4. The derailed freight wagons are from the 10th to the 16th included. The freight wagons were charged with containers. Due the derailment, poles of electricity were fold. Every traffic in both directions of the 2 principal tracks where stopped immediately.</t>
  </si>
  <si>
    <t>Melsele</t>
  </si>
  <si>
    <t>Based on the assumption made by the Investigation Body, the derailment of wagon 10 stemmed from the track gauge of the siding and the partial tilt of one of the rails on the curve. One of the wheels dropped onto the inside of the track, the other climbed over the outer rail on the curve._x000D_
The increase in track gauge and the partial tilt of one of the rails on the outside of the curve are the consequence of the deterioration of several sleepers and sleeper screws on the siding.</t>
  </si>
  <si>
    <t>UK-1407</t>
  </si>
  <si>
    <t>Accident to persons caused by RS in motion, 12/04/2012, Jarrow station (United Kingdom)</t>
  </si>
  <si>
    <t>A person tried to board a train while its doors were closing. With the person still on the platform, their right arm became trapped between the doors. A few seconds later the train moved off. The person moved with the train for a short distance, before freeing their arm and falling onto the platform.</t>
  </si>
  <si>
    <t>Jarrow station</t>
  </si>
  <si>
    <t>DB Regio Tyne &amp; Wear Ltd</t>
  </si>
  <si>
    <t>The train departed with the passenger’s arm trapped in one of the doors (paragraph 25).</t>
  </si>
  <si>
    <t>Causal factors The passenger attempted to board the train as the doors were closing by obstructing one of the doors (paragraph 26, Recommendation 1). A fault condition on the incident door, probably caused by a defective microswitch, disabled the obstruction detection and prevented the door reopening, and enabled the driver to release the train brake and apply traction power even though this door was partially open (paragraph 31, Recommendation 2). The passenger was unable to pull her trapped arm out of the door (paragraph 43, no recommendation). The driver did not notice the trapped passenger in the time between closing the doors and departing the station (paragraph 48, Recommendation 3). Underlying factors Misuse of the doors by passengers is commonplace on the TWM and appears to be encouraged by the following factors (paragraph 30, Recommendation 1): the design of the doors, which usually reopen fully when obstructed, encourages people to stop the doors closing if they are late for the train; there were no additional warnings to passengers or reminders in the form of station announcements or other information to reinforce the message on the door stickers about not trying to board or alight when the doors are closing; and there was no enforcement of the Metro’s bye-laws which make it an offence to obstruct or interfere with the train doors, except in an emergency.</t>
  </si>
  <si>
    <t>DE-1395</t>
  </si>
  <si>
    <t>Trains collision, 4/13/2012, Mühlheim (Main) - Hanau (Germany)</t>
  </si>
  <si>
    <t>Regionalbahn 15640 kollidierte zwischen Mühlheim (Main) und Hanau mit einem Zweiwegebagger. Infolge der Kollision entgleiste der Steuerwagen der Regionalbahn. 
Regional train 15640 collided between Mühlheim (Main) and Hanau with a rail/road excavator. As a result of the collision the leading driving trailer derailed.</t>
  </si>
  <si>
    <t>Mühlheim (Main) - Hanau</t>
  </si>
  <si>
    <t xml:space="preserve">DB Regio Hessen GmbH; 
</t>
  </si>
  <si>
    <t>Aufgrund einer Gleisverwechselung wurde das Zweiwegefahrzeug in das nicht gesperrte Streckengleis eingegleist. 
Due to a confusion of rail tracks, the road-rail vehicle was rerailed to an open main track.</t>
  </si>
  <si>
    <t>HU-1399</t>
  </si>
  <si>
    <t>Level crossing accident, 13/04/2012, Between Szombathely and Koszeg stations; Koszegfalva stop (Hungary)</t>
  </si>
  <si>
    <t>Passenger train (No. 39924) collided with a car between Szombathely and Köszeg stations at an unprotected (passive) LC. In consequence of the occurrence three person died at the site of the accident, three suffered serious, one other minor injuries. The victims all were sitting in the car.</t>
  </si>
  <si>
    <t>Between Szombathely and Koszeg stations; Koszegfalva stop</t>
  </si>
  <si>
    <t>Violation (Road user)</t>
  </si>
  <si>
    <t>NL-1412</t>
  </si>
  <si>
    <t>Trains collision, 2012-04-13, Maasvlakte West - The accident occured at the end of the 'Betuweroute' on a public track routing to the container terminal of ECT. (The Netherlands)</t>
  </si>
  <si>
    <t>Two freight trains loaded with containers (including several with dangerous goods) had a frontal collision on a partly non-controlled track which is part of the 'Betuweroute'. One of the trains had just left the ECT-terminal. The other one was on route to the terminal. Both trains had permission from the train controller to use the same track. One permission was radio relayes, the other with a signal.</t>
  </si>
  <si>
    <t>Maasvlakte West - The accident occured at the end of the 'Betuweroute' on a public track routing to the container terminal of ECT.</t>
  </si>
  <si>
    <t xml:space="preserve">Rotterdam Rail Feeding; 
</t>
  </si>
  <si>
    <t>Keyrail</t>
  </si>
  <si>
    <t>The two trains were heading towards each other on the same railway track because the train traffic controller had given both train drivers permission to drive to the relevant route section (from opposite directions).</t>
  </si>
  <si>
    <t>The train traffic controller, who could not see the relevant route section on his monitors, issued permission by phone; by the time he issued the second route section permission, he had forgotten issuing the first some fifteen minutes earlier.  The train traffic controller was not equipped with any tools to help him keep track of all previously issued route section permissions. It is also important to point out that the relevant route section is not monitored by means of any technical systems, and clearance is issued for one train journey at a time. Furthermore, the train drivers did not have a clear view of the other oncoming train until the very last minute (the railway track on this route section is curved and runs under a viaduct).</t>
  </si>
  <si>
    <t>AT-2696</t>
  </si>
  <si>
    <t>Trains collision, 14/04/2012, IM Bahnhof (Austria)</t>
  </si>
  <si>
    <t>Collision between freight train and shunting movement occurred on 14th April 2012 at 03:30 o´clock on a switch in an Austrian station (short version “IM-Bf”). Due to the collision the locomotive of the freight train derailed with the first set of wheels of the leading boogie. No persons were injured._x000D_
The cause of the collision resulted from a signal passed at danger by the shunting movement. Insufficient local knowledge of the staff of the foreign company (short version “FU”) can be considered as accident causal. 
Kollision zwischen Güterzug und Verschubfahrt am 14. April 2012, um 03:30 Uhr auf einer Weiche in einem österreichischen Bahnhof (kurz „IM-Bf“)._x000D_
_x000D_
Durch die Kollision entgleiste das Tfz des Güterzuges mit dem ersten Radsatz des vorlaufenden Drehgestells. Es wurden keine Personen verletzt. _x000D_
_x000D_
Die Ursache für die Kollision war das Überfahren des haltzeigenden Ausfahrsignals durch die Verschubfahrt. Eine unzureichende Ortskenntnis des Personals des FU kann als unfallkausal angenommen werden.</t>
  </si>
  <si>
    <t>IM Bahnhof</t>
  </si>
  <si>
    <t>Die Ermittlung der Ursache wurde in einem Ausschlussverfahren durchgeführt. Auf Grund der vorliegenden Erkenntnisse kann eine technische Ursache ausgeschlossen werden. Die Ursache für die Kollision war das Überfahren des haltzeigenden Ausfahrsignals durch die geschobene Verschubfahrt. Eine unzureichende Ortskenntnis des Personals des FU kann als unfallkausal angenommen werden. 
The determination of the cause was carried out in a process of elimination. Based on the available evidence, it can be ruled out a technical reason. The cause of the collision was driving over the content displayed by the Ausfahrsignals pushed Verschubfahrt. Insufficient local knowledge of the staff of the drive can be assumed to be causally accident.</t>
  </si>
  <si>
    <t>DE-1397</t>
  </si>
  <si>
    <t>Train derailment, 16/04/2012, Bebra (Germany)</t>
  </si>
  <si>
    <t>Bei der signalmäßigen Einfahrt in Bebra entgleiste der Güterzug DGS 75731 mit den letzten fünf Wagen. // During the signal-controlled entering in Bebra station, the freight train DGS 75731 derailed with the last five wagons.</t>
  </si>
  <si>
    <t>Bebra</t>
  </si>
  <si>
    <t>TX Logistik AG</t>
  </si>
  <si>
    <t>ES-1398</t>
  </si>
  <si>
    <t>Spad, 18/04/2012, Heras station (Medio Cudeyo - Cantabria), kilometre point 545+009, 024 Santander-Bilbao railway line (Spain)</t>
  </si>
  <si>
    <t>Freight train failed to brake before overtaking exit signal S2/2. The incident also caused a near miss train collision.</t>
  </si>
  <si>
    <t>Heras station (Medio Cudeyo - Cantabria), kilometre point 545+009, 024 Santander-Bilbao railway line</t>
  </si>
  <si>
    <t>The incident was caused when train 9860, without authorization, overrun station´s exit signal (S2/2), which had a red aspect, due to the non-compliance of the signal instructions by the train driver.</t>
  </si>
  <si>
    <t>RO-1409</t>
  </si>
  <si>
    <t>Train derailment, 2012-04-19, Open line Augustin - Racos belongs to Brasov Railway County,on the center of the romanian railway network. (Romania)</t>
  </si>
  <si>
    <t>The 28th wagon (no. 33535304301-1) from the freight train no. 80360-1 derailed at km 228+400 between railway stations Augustin and Racos.</t>
  </si>
  <si>
    <t>Open line Augustin - Racos belongs to Brasov Railway County,on the center of the romanian railway network.</t>
  </si>
  <si>
    <t>Accidentul feroviar s-a produs ca urmare a deplasarii laterale a placilor metalice pe traversele de lemn, sub actiunea fortelor orizontale transmise sinelor de catre rotile materialului rulant în timpul rularii, fapt care a permis caderea între firele caii a rotii din partea dreapta a primei osii a penultimului vagon, rularea în aceasta stare pe o distanta de 16,5 m, dupa care s-a produs escaladarea sinei corespunzatoare firului exterior al curbei de catre roata din partea stânga a aceleiasi osii si caderea acesteia în exteriorul caii de rulare. _x000D_
Factori care au contribuit_x000D_
-	traversele de lemn necorespunzatoare care nu mai permiteau strângerea tirfoanelor pentru fixarea placilor metalice de traverse; _x000D_
-	existenta unei supraînaltari excedentare corespunzatoare vitezei de circulatie limitata la 30 km/h ce a condus la cresterea valorii fortei orizontale care actioneaza în planul de rulare a sinei din interiorul curbei (dreapta în sensul de mers). 
Direct cause:  _x000D_
The railway accident happened as a result of the lateral oscillations of the metal plates on the timber sleepers, under the action of the horizontal forces on the rolling stock wheels while running, which led to the fall of the right wheel of the first axle from the last but one wagon between the rails, it runned in this state on a distance of 16,5 m, after which the right wheel from the same axle climbed the exterior rail of the curve and fall outside the rails. _x000D_
_x000D_
Contributing factors: _x000D_
-	the unsuitable timber sleepers no longer allowed the coach screws tightening for fixinf the metal plates on the sleepers; _x000D_
-	existence of a cand of the track excess according to the running speed limited at 30 km/h that led to the increase of horizontal force value acting on the route inside the curve (right in the running direction).</t>
  </si>
  <si>
    <t>NL-1413</t>
  </si>
  <si>
    <t>Trains collision, 2012-04-21, Amsterdam Singelgracht Aansluiting - Heavily used 6-way track between Amsterdam Central Station and Amsterdam Sloterdijk Station, equipped with switches and crossings. (The Netherlands)</t>
  </si>
  <si>
    <t>At 18:22 pm on the evening of Saturday 21 April 2012, two passenger trains collided head on in the city centre of Amsterdam near Westerpark, between the stations Amsterdam Centraal and Amsterdam Sloterdijk. The two trains involved were:_x000D_
• A sprinter, type SLT, comprising six coaches travelling from Rotterdam Central Station via Breukelen and Amsterdam Central Station to Uitgeest._x000D_
• An intercity train, type VIRM, comprising six double-decker coaches travelling from Den Helder to Nijmegen._x000D_
The site of the collision is also known as Singelgracht Aansluiting (‘Singelgracht junction’)._x000D_
The collision was extremely serious, resulting in one fatality, 24 people seriously injured and 165 slightly injured. It fulfilled the criteria stated in the law for a compulsory investigation into the accident. The accident also gave rise to considerable public unrest.</t>
  </si>
  <si>
    <t>Amsterdam Singelgracht Aansluiting - Heavily used 6-way track between Amsterdam Central Station and Amsterdam Sloterdijk Station, equipped with switches and crossings.</t>
  </si>
  <si>
    <t>NS Reizigers BV</t>
  </si>
  <si>
    <t>The collision occurred because the driver of the sprinter drove past a red signal. The train driver had been distracted and thought that the signal displayed yellow instead of red. The train driver’s act, however, is not the only explanation for the collision. Precisely because an error is human, other measures also need to be in place, i.e. measures to prevent red signals from occurring, measures to ensure that a train driver’s error is detected before an ensuing collision and measures to ensure that injuries are kept to a minimum if a collision occurs nonetheless. Such measures were either not in place, or were ineffective: _x000D_
• The timetable for that day had been tightly scheduled, as a result of which numerous red signals were required throughout the day. A goods train deviated from the timetable, without ProRail checking whether this would cause problems further on. As a consequence of these two circumstances the sprinter was obliged to wait at a red signal._x000D_
• The train driver had made an error in observing the red signal and therefore thought that he no longer needed to stop. The train driver himself failed to notice that he had done so, possibly because the red signal was located in a curve and because the train driver had been distracted. After he had made the error, the train driver was also not given any warning that a red signal would follow, or that he had passed a red signal._x000D_
• The train did not come to a halt automatically. The red signal was not equipped with the Automatic Train Protection System – Improved Version (ATB-VV)._x000D_
• No measures were in place to warn the other trains automatically or via traffic control that a train had driven past a red signal.</t>
  </si>
  <si>
    <t>1. NS does not guarantee that after a train driver has passed a yellow signal he will fully focus his attention on the impending red signal. Moreover there is no technical device to alert the train driver that he is approaching a red signal, or to warn him if the train has passed a red signal._x000D_
2. NS had adjusted the schedule on account of engineering work. The schedule conflicted with both ProRail’s planning standards and those of NS. This made the schedule unnecessarily vulnerable to disruption on the day of the accident and in practice gave rise to red signals._x000D_
3. ProRail, as the party with ultimate responsibility for the planned schedule, does approve the timetable for the entire year but does not review the deviations from the timetable that are necessary from day to day implemented by the transport operators. The scheduling system does not clearly show during which period of time a specific section of the railway track is reserved for a train._x000D_
4. ProRail, as the party responsible for traffic control, attaches low priority to ensuring that train running schedules are kept free of conflict whilst the time trains are operating._x000D_
5. ProRail does not guarantee that the options available are deployed to help prevent a train from driving past a red signal or to help limit the ensuing consequences. _x000D_
6. The law requires that railway undertakings themselves determine what measures are appropriate to control their safety risks. They do not always do so in a manner enabling third-party review. This is not the focus of government supervision in practice._x000D_
7. In respect of train crashworthiness, NS restricted itself to the concrete minimum technical requirements laid down by law. NS thus failed to further implement its statutory duty of care. _x000D_
8. The Minister of Infrastructure and the Environment has not incorporated the enhanced insights into interior crashworthiness in the passenger train admission requirements._x000D_
9. The Environmental and Transport Inspectorate has not called NS to account in respect of its statutory duty of care for train crashworthiness.</t>
  </si>
  <si>
    <t>EL-1435</t>
  </si>
  <si>
    <t>Trains collision, 24/04/2012, Acharnes station (Greece)</t>
  </si>
  <si>
    <t>The two trains were at the same line</t>
  </si>
  <si>
    <t>Acharnes station</t>
  </si>
  <si>
    <t>AT-2268</t>
  </si>
  <si>
    <t>Train derailment, 26/04/2012, Station Wien Zvbf (Austria)</t>
  </si>
  <si>
    <t>On April 26th, 2012, at 16:43 hrs, during the signal standard compatible drive of train 54049 (train route station Hall in Tirol to station Wien Zvbf), in station Wien Zvbf in the area of the switch 283, a derailment occurred._x000D_
At train 54049 derailed the wagons number 19, 20 and 23. A train separation between the wagon number 18 and 19 caused an emergency brake. The locomotive of train 54049 came to stop in km 5,010._x000D_
Cause was an improper track expansion and lack of adhesion between the track and sleepers._x000D_
There was considerable material damage to the infrastructure and the derailed wagons and a longer disruption of the track by the derailment._x000D_
There were no persons killed or injured. 
Am 26. April 2012, um 16:43 Uhr, kam es bei der signalmäßig tauglichen Fahrt von Z 54049 (Zuglauf Bf Hall in Tirol nach Bf Wien Zvbf), im Bf Wien Zvbf, im Bereich der Weiche 283, zur Entgleisung._x000D_
Bei Z 54049 entgleisten der 19., 20. und 23. Wagen. Eine Zugtrennung zwischen dem 18. und 19. Wagen bewirkte eine Zwangsbremsung. Das Tfz von Z 54049 kam im km 5,010 zum Stillstand._x000D_
Ursache war eine unzulässige Spurerweiterung und mangelnder Kraftschluss zwischen Schiene und Schwellen._x000D_
Es kam zu erheblichen Sachschäden an der Infrastruktur und den entgleisten Wagen sowie zu einer längeren Streckenunterbrechung durch die Entgleisung._x000D_
Es wurden keine Personen getötet oder verletzt.</t>
  </si>
  <si>
    <t>Station Wien Zvbf</t>
  </si>
  <si>
    <t>Als primäre Ursache der Entgleisung wurde die Spurerweiterung im Bereich der Weiche zwischen Weichenherz und Weichenspitze festgestellt._x000D_
_x000D_
Ein Zusammenhang zwischen der Überschreitung der Streckenklasse „D“ um 1320 kg bzw. der maximal zulässigen Beladung mit dem mangelnden Kraftschluss zwischen Schienen und Schwellen konnte nicht ausgeschlossen werden. 
The primary cause of the derailment, the track extension was found in the area of ??the switch between the switch frog and switch tip. _x000D_
_x000D_
A correlation between the excess of the distance "D" class around 1320 kg and the maximum permissible loading of the lack of fit between rails and sleepers could not be excluded.</t>
  </si>
  <si>
    <t>ES-1421</t>
  </si>
  <si>
    <t>Spad, 26/04/2012, Rio Huerva siding (Zaragoza) (Spain)</t>
  </si>
  <si>
    <t>Freight train (99561) overran exit signal S1/3, which stated a red aspect, at Río Huerva siding. This caused a near miss train collision with another freight train (91182).</t>
  </si>
  <si>
    <t>Rio Huerva siding (Zaragoza)</t>
  </si>
  <si>
    <t>LOGITREN FERROVIARIA; 
RENFE-Operadora</t>
  </si>
  <si>
    <t>The incident had its origin when freight train 99561 unduly overran the exit signal S1/3 - which stated a stop aspect - due to the non-compliance of the signal instructions by the train driver.</t>
  </si>
  <si>
    <t>IT-1408</t>
  </si>
  <si>
    <t>Train derailment, 26/04/2012, Roma Termini station (Italy)</t>
  </si>
  <si>
    <t>Derailment of the train 9643, collision with the train 9558 and derailment of the train 9558</t>
  </si>
  <si>
    <t>Roma Termini station</t>
  </si>
  <si>
    <t>The wear measured on the left blade of the frame No. 1 of the switch 184/185 are compatible with the wheel climb</t>
  </si>
  <si>
    <t>The control of some characteristic parameters of the components of the switch, following the onset of signs of wear, it does not appear to have been recorded. The controls provided for the wear of blades and stock rails of the switch were not intensified, disregarding the procedure._x000D_
The procedures for verifying the switches do not provide the measurement and monitoring of the cusp that is generated for the wear phenomenon that has affected the most slender of the left blade of the frame No. 1 of the switch 184/185.</t>
  </si>
  <si>
    <t>UK-0509</t>
  </si>
  <si>
    <t>Spad, 26/04/2012, Stafford (United Kingdom)</t>
  </si>
  <si>
    <t>On 26 April 2012 a diesel electric locomotive that was en-route from Washwood Heath to Crewe, reporting number 0Z47, passed signal SD4-81 at danger without authority. This signal is located on the Down Slow line to the south of Stafford on the West Coast Main Line. The signal controls entry into the station and protects any train movements traversing Stafford South Junction. The locomotive passed the signal at a speed of about 30 mph (48 km/h) and came to a stand approximately 80 metres beyond._x000D_
_x000D_
The Class 47 locomotive involved in the incident was owned by Riviera Trains and operated by Devon and Cornwall Railways (D&amp;CR) (owned by British American Railway Services) and driven by a driver who had been hired for the purpose._x000D_
_x000D_
Although this SPAD incident was included in general information provided by the railway industry, it was not until September 2012 that the RAIB was notified of the full circumstances leading up to the SPAD. By this time the incident had already been the subject of an investigation by an experienced railway professional on behalf of British American Railway Services. This found that the driver had not responded correctly to the restrictive aspects on the signals before SD4-81. As a consequence, the locomotive approached Stafford at too high a speed and there was insufficient distance for it to stop before passing signal SD4-81.</t>
  </si>
  <si>
    <t>Stafford</t>
  </si>
  <si>
    <t>The locomotive was travelling at excessive speed on the approach to signal SD4-81 (paragraph 36</t>
  </si>
  <si>
    <t>The driver did not make a full brake application as soon as he saw the signal displaying a double yellow aspect (paragraphs 38 and 100, Recommendation 1). It is probable that the following factors were causal: a. The driver may have deliberately exceeded the speed permitted for light locomotives (paragraphs 43 and 99, Recommendation 4). b. The driver had limited experience of high-speed operation, in particular of its effect on the braking performance of a light locomotive (paragraphs 46 and 100, Recommendations 1 and 4). c. The driver probably had insufficient route knowledge (paragraphs 52 and 100, Recommendations 1, 4 and 5). A possible causal factor was that the driver may have been partially misled by the defective speedometer (paragraphs 57 and 97, Learning point 1, Recommendations 1, 2 and 4). An underlying factor was that Devon &amp; Cornwall Railways did not follow its own process for managing the competence of drivers, and it had insufficient management controls to ensure compliance with its safety management system (paragraphs 62 and 100, Recommendations 1 and 4).</t>
  </si>
  <si>
    <t>AT-0047</t>
  </si>
  <si>
    <t>Level crossing accident, 29.04.2012, Level crossing km 90,109 between the station Spital am Pyhrn and Ardning (Austria)</t>
  </si>
  <si>
    <t>Collision between freighttrain 54597 an a car on the level crossing at km 90,109 (secured with St. Andrew´s cross and ensure the necessary visible space) between the station Spital am Pyhrn and Ardning.The driver of the car was ligthly injured, one of the passengers in the car was fatally injured on one of the passenger in the car was seriously injured.</t>
  </si>
  <si>
    <t>Level crossing km 90,109 between the station Spital am Pyhrn and Ardning</t>
  </si>
  <si>
    <t>Non-compliance with the provisions relating to the conduct of road vehicles traveling around a level crossing secured with St. Andrew's cross and ensure the required visual space</t>
  </si>
  <si>
    <t>AT-3178</t>
  </si>
  <si>
    <t>Broken axles, 02/05/2012, Station in Austria (Austria)</t>
  </si>
  <si>
    <t>Broken axles</t>
  </si>
  <si>
    <t>On May 2nd, 2012, at 22:05 o´clock, during a shunting movement in station Graz Hbf station part Graz Vbf, from track 114 to track 118 a derailment of locomo-tive 92 81 2600 001-9 (GKB DH 600.1) occured._x000D_
Causation was a broken wheelset axle of the front wheelset within the axle gear box._x000D_
During the movement of the derailed locomotive by the breakdown train another de-railment occured._x000D_
There was sligth material damage on the infrastructure and a heavy material demage on the locomotive. _x000D_
There were no persons killed or injured. 
Am 2. Mai 2012, um 22:05 Uhr, kam es bei einer Verschubfahrt im Bf Graz Hbf Bft Graz Vbf von Gleis 114 nach Gleis 118 zur Entgleisung des Tfz 92 81 2600 001-9 (GKB DH 600.1)._x000D_
Ursache war der Bruch der Radsatzwelle des vorlaufenden Trieb-Radsatzes innerhalb des Achsgetriebes._x000D_
Bei der Abbeförderung des entgleisten Tfz durch den Hilfszug kam es zu einer weiteren Entgleisung._x000D_
Es kam zu geringen Sachschäden an der Infrastruktur und schweren Sachschäden am Tfz. _x000D_
Es wurden keine Personen getötet oder verletzt.</t>
  </si>
  <si>
    <t>Die Ursache für die Entgleisung des Tfz 92 81 2600 001-9 war der Bruch einer längsgebohrten Radsatzwelle. Diese stammt aus dem Altbestand der JŽ und wurde 1995 in das Tfz eingebaut._x000D_
_x000D_
Bei der zuletzt am 18. Oktober 2011 durchgeführten Ultraschallprüfungen der Radsatzwelle durch die Längsbohrung im eingebauten Zustand wurde die Rissausbreitung auf Grund des Formechos im Bereich der größten Änderung der Durchmesser der Radsatzwelle nicht erkannt. 
The cause of the derailment of the traction unit 92 81 2600 001-9 was the break of a longitudinally drilled axle. This comes from the older parts of JŽ and was incorporated into the Tfz 1995. _x000D_
_x000D_
In the last 18 October 2011 carried out ultrasonic testing of the axle through the longitudinal bore in the installed state has not been detected, the propagation of cracks due to the shape of the echo in the area of the largest change in the diameter of the axle.</t>
  </si>
  <si>
    <t>UK-1414</t>
  </si>
  <si>
    <t>Level crossing accident, 2012-05-02, Kings Mill No1 Bridleway Crossing (United Kingdom)</t>
  </si>
  <si>
    <t>On Wednesday 2 May 2012, at about 16:30 hrs a passenger train, the 15:55 hrs service from Nottingham to Mansfield Woodhouse, which was travelling at 56 mph, struck and killed a 34 year old man who was cycling over the crossing.</t>
  </si>
  <si>
    <t>Kings Mill No1 Bridleway Crossing</t>
  </si>
  <si>
    <t>The immediate cause of the accident was that the cyclist rode over the level crossing into the path of the approaching train (paragraph 38).</t>
  </si>
  <si>
    <t>The cyclist was not aware of the approaching train (paragraph 40). It is likely that this was because of a combination of the following factors: a. 	the cyclist did not hear the train; he was probably using earphones which may have prevented him from doing so (paragraph 47, see paragraph 127); and b.the cyclist did not see the train: i. he had his hood up and did not look towards the approaching train as he crossed (paragraph 50, see paragraph 125 and Learning Point 1); ii 	the sighting of down trains from the up side at Kings Mill is limited by the curvature of the line (paragraph 52); iii. the angle of the crossing meant that he was facing away from the train as he cycled across (paragraph 56); and iv. he may not have been expecting trains to be running that day or for a train to be running at that time (paragraph 59).</t>
  </si>
  <si>
    <t>BE-2139</t>
  </si>
  <si>
    <t>Trains collision, 04-05-12, Tintigny (Belgium)</t>
  </si>
  <si>
    <t>Le vendredi 4 mai 2012, deux trains de marchandises se sont percutés dans le tunnel de Lahage, situé sur le territoire de la commune de Tintigny à hauteur de la BK 106300._x000D_
Le train de marchandises 36282 est parti d’Athus, gare d’origine, avec un retard de 4 minutes et circule sur la voie B de la ligne 165 en direction d’Antwerpen Berendrecht._x000D_
Le train de marchandises E44883 en provenance d’Aubange en direction de Antwerpen Noord circule sur la voie B de la ligne 165 avec un retard de 13 minutes ._x000D_
Aux environs de 9h54, le train 44883 percute le train 36282 qui le précède, le conducteur du train lance une alarme GSM R. _x000D_
Au moment de la collision, le train 44883 roulait à vitesse réduite tandis que le second train 36282 était à l'arrêt.  Les conducteurs ne sont pas blessés. Plusieurs wagons sont déraillés. _x000D_
Le train 44883 tansporte des engins Caterpillar et des citernes qui ont contenu des produits toxiques et  qui n’ont pas été dégazées._x000D_
Deux wagons citernes du train 36282 tranportent également des  matières dangereuses._x000D_
La circulation des trains est interrompue entre Virton et St-Vincent-Bellefontaine._x000D_
Des bus ont été mis à la disposition des voyageurs entre Florenville et Virton._x000D_
Le conducteur du 44883 signale au Traffic Control une odeur de gaz dans le tunnel._x000D_
La protection civile se rend sur place et informe qu’il n’y a pas de fuite de matière dangereuse mais la toxicité de l’air dans le tunnel est 10X supérieur à la normale. Le traffic Control contacte les pompiers de Solvic qui se rendent sur les lieux vers 20h15._x000D_
Lors du choc, des tubulures de vidange de produit et vannes ont été arrachées. Des résidus de produit se trouvant dans les conduites ont povoqué un dégagement de gaz._x000D_
Les pompiers de Solvic ont procédé à la ventilation du tunnel. 
On Friday, 4 May 2012, two freight trains collided in the Lahage tunnel, located on the territory of Tintigny at the BK 106300. Freight train 36282 left Athus, the station of origin, with a delay of 4 minutes and run on track B of line 165 in the direction of Antwerp Berendrecht. Freight train E44883 from Aubange towards Antwerpen Noord travels on the track B of line 165 with a delay of 13 minutes. At around 9:54, the train 44883 hit train 36282 which preceded it, the train driver launches GSM-R alarm. At the time of the collision the train 44883 was traveling at low speed while the second train 36282was stopped. Drivers were not injured. Several wagons were derailed. The train 44883 transported Caterpillar gear and tanks which have contained toxic chemicals and were not degassed. Two tank wagons of the train 36282 transported also dangerous goods. Train traffic is interrupted between Virton and St Vincent Bellefontaine. Buses were available to passengers between Florenville and Virton. The driver of the 44883 train reported to the Traffic Control the smell of gas in the tunnel. Civil protection goes to the site and informs that there is no leakage of hazardous material, but the toxicity of the air in the tunnel is 10 times higher than normal. The Traffic Control contacted Solvic fire-fighters who went the site at 20:15. Due to shock, the discharge piping and valves product were torn. Product residues in pipes have provoked outgassing. Fire-fighters Solvic proceeded to tunnel ventilation.</t>
  </si>
  <si>
    <t>Tintigny</t>
  </si>
  <si>
    <t>Other national rules/ regulations (covering possible areas excluded in Article 2 §2 of the Safety Directive 2004/49/EC)"</t>
  </si>
  <si>
    <t>Passing of the permissive signal at danger by the second train</t>
  </si>
  <si>
    <t>Passed this critical point, there should be recovery measures which can still prevent an accident._x000D_
Once the last signal separating the two trains had been crossed, there was no longer a technological_x000D_
element allowing the train to be automatically stopped before the obstacle, or to aide_x000D_
the driver in achieving this. There is no technological means on a train that can help the driver_x000D_
in a similar way to that found, for example, on road vehicles.</t>
  </si>
  <si>
    <t>CZ-1418</t>
  </si>
  <si>
    <t>Level crossing accident, 7.5.2012, Uhersko stations (Czech Republic)</t>
  </si>
  <si>
    <t>Collision of long distance passenger train No. 170 with a car at the level crossing.</t>
  </si>
  <si>
    <t>Uhersko stations</t>
  </si>
  <si>
    <t>Third party - level crossing user (car driver's violation).</t>
  </si>
  <si>
    <t>AT-0048</t>
  </si>
  <si>
    <t>Level crossing accident, 2012-05-09, Level crossing km 65,909 between station Wilhelmsburg an der Traisen und station Spratzern (Austria)</t>
  </si>
  <si>
    <t>Collision between passenger train 6621 and a small motorbike at the level crossing at km 65,909 between the station Wilhelmsburg an der Traisen and the station Spratzern secured with level crossing road signals.The driver of the small motorbike was fatally injured.</t>
  </si>
  <si>
    <t>Level crossing km 65,909 between station Wilhelmsburg an der Traisen und station Spratzern</t>
  </si>
  <si>
    <t>Auf Grund der vorliegenden Erkenntnisse ist davon auszugehen, dass die Ursache in einer menschlichen Fehlhandlung des Straßenverkehrsteilnehmers begründet ist. 
Based on the current findings it can be assumed that the cause is due to a human error of road user.</t>
  </si>
  <si>
    <t>ES-1420</t>
  </si>
  <si>
    <t>Spad, 2012-05-09, Astillero station (Cantabria), PK 540+075 (exit signal S1/L1), railway line 24 Santander - Bilbao (Spain)</t>
  </si>
  <si>
    <t>Passenger train overran exit signal S1/1L at Astillero Station.</t>
  </si>
  <si>
    <t>Astillero station (Cantabria), PK 540+075 (exit signal S1/L1), railway line 24 Santander - Bilbao</t>
  </si>
  <si>
    <t>The incident had its origin when train 6803 overran the exit signal (S1/1L) - which stated a stop aspect - due to the non-compliance of the signal instructions by the train driver.</t>
  </si>
  <si>
    <t>RO-1410</t>
  </si>
  <si>
    <t>Train derailment, 5/10/2012, Rupea station belongs to Brasov Railway County, on the center of the romanian railway network. (Romania)</t>
  </si>
  <si>
    <t>The 6th and 7th wagon (loaded with diesel fuel) from the freight train no. 80294-1 derailed over the switch no. 23.</t>
  </si>
  <si>
    <t>Rupea station belongs to Brasov Railway County, on the center of the romanian railway network.</t>
  </si>
  <si>
    <t>Cauza directa a producerii acestui accident a constituit-o largirea ecartamentului caii peste valoarea maxima admisa de prevederile art.1, pct.13 din Instructia de norme si tolerante pentru constructia si întretinerea caii - Linii cu ecartament normal” nr. 314/1989, în timpul trecerii materialului rulant peste schimbatorul de cale nr.23 din statia CF Rupea. _x000D_
Factori care au contribuit: _x000D_
Starea tehnica a traverselor care au condus la o prindere necorespunzatoare a sinei de traverse (tirfoane rupte, înclinate si care nu asigurau fixarea placilor metalice). 
The direct cause of the accident constituted the widening of the track gauge over the maximum value admitted by the provisions of art. 1, point 13 of the Instruction of norms and tolerances for the track construction and maintenance – tracks with standard gauge no. 314/1989, when the rolling stock crossed over the switch no. 23 from the railway station Rupea. _x000D_
_x000D_
Contributing factors: _x000D_
The technical condition of the sleepers led to a not corresponding fastening of the rail to the sleepers (broken coach screws, bend and were not assuring the fastening of the metal plates).</t>
  </si>
  <si>
    <t>BE-1411</t>
  </si>
  <si>
    <t>Trains collision, 11-05-12, Godinne (Belgium)</t>
  </si>
  <si>
    <t>At 11:32 the freight train E44883 (Woippy -Antwerpen Noord) stopped by sharp breaking just in the railway station of Godinne, the end of the train remains before the railway station. A second freight train E48785 (Aubange-Frontière - Chatelet formation) enters in rear-end collision.</t>
  </si>
  <si>
    <t>Godinne</t>
  </si>
  <si>
    <t>Wrong side signalling failure_x000D_
+_x000D_
The signal failure has been caused by an overvoltage applied onto the signal logical command circuit by a failed power cable of a rolling stock</t>
  </si>
  <si>
    <t>ES-1422</t>
  </si>
  <si>
    <t>Trains collision with an obstacle, 11/05/2012, Between Xubia and Ferrerías stations (La Coruña) (Spain)</t>
  </si>
  <si>
    <t>Commuter train collided with a tree which was lying on the track. As a result of the impact, the train´s first bogie derailed.</t>
  </si>
  <si>
    <t>Between Xubia and Ferrerías stations (La Coruña)</t>
  </si>
  <si>
    <t>The accident had its origin when train 1903 collided with a big tree that was lying on the track</t>
  </si>
  <si>
    <t>HU-1425</t>
  </si>
  <si>
    <t>Train derailment, 12-05-12, Line 80: Between Gödöllö and Aszod stations (Hungary)</t>
  </si>
  <si>
    <t>Last six wagons of the train Nr. 90552 derailed between Gödöllö and Aszod stations. The derailed wagons caused serious damage to the track along approximately 200 m.</t>
  </si>
  <si>
    <t>Line 80: Between Gödöllö and Aszod stations</t>
  </si>
  <si>
    <t>•	A május 2-áról 3-ára virradó éjszakán hibamegszünteto eljárás keretében végzett vágányszabályozás után meg nem engedett mértéku irányhiba maradt a pályában, ennek ellenére a vágányszabályozás muszaki irányítója 90 km/h sebességgel a pályát visszaadta a forgalomnak._x000D_
•	A megrendelo részérol a vágányszabályozást követoen a munka elvégzését nem ellenorizték, átadás-átvétel nem történt, ezáltal a megrendelonek sem volt azonnali információja a pályahiba megmaradásáról._x000D_
•	A 2012. május 4-én tartott vonalbeutazás, illetve a május 7-én végzett FMK mérés is rögzítette a pályahibát, így az már kétségtelenül a pályahálózat muködtetojének tudomására jutott, azonban annak megszuntetésére és sebességkorlátozás bevezetésére május 11-ig intézkedés nem történt, ezért a pálya folyamatosan és rohamosan rongálódott. 
•After the night of May 2 to May 3, after track derailment control, an unauthorized directional error remained on the track, but the track manager returned the track at 90 km / h._x000D_
• The work was not checked by the customer after the track regulation, no handover took place, so the customer did not have any immediate information about the failure of the track._x000D_
• The line travel on May 4, 2012 and the FMK measurement on May 7 recorded the track error, so no doubt the infrastructure manager became aware of it, but no action was taken to eliminate it and introduce a speed limit by May 11, so the track was constantly and rapidly damaged.</t>
  </si>
  <si>
    <t>•	A lassújel nem került kitáblázásra, ami miatt ennek betartása nehezebb, a nem értesített vonatok mozdonyvezetoi számára lehetetlen volt._x000D_
•	Az üzemirányító szolgálat nem értesítette idoben Ferencváros és Rákos állomások forgalmi szolgálattevoit a lassújel bevezetésérol, így az onnan induló vonatok az eredetileg megengedett 90 km/h sebességgel haladtak át a pályahibán._x000D_
•	Tizenkilenc vonat az engedélyezettnél lényegesen gyorsabban haladt át a hibás szakaszon, tovább rongálva a pályát._x000D_
•	Az ASA 141 gép regisztrátumán a mérethatárok nincsenek feltuntetve, ami a feltárt hibák minosítését nehezíti._x000D_
•	A 90552 sz. vonat mozdonyvezetoje a helyzet tisztázását követoen nem intézkedett haladéktalanul a forgalom leállítására, mert mobiltelefonja a mozdonyán maradt. 
•The slow sign was not signposted, which made it harder to observe, making it impossible for unreported train drivers._x000D_
• The traffic management service did not inform the traffic service of Ferencváros and Rákos stations about the introduction of the slow signal in time, so the trains departing from it crossed the originally allowed speed of 90 km / h._x000D_
• Nineteen trains crossed the failed section much faster than allowed, further damaging the track._x000D_
• The size limits are not indicated on the ASA 141 registry, which makes it difficult to classify detected errors._x000D_
• No. 90552. the driver of the train did not take immediate action to clear the situation after clearing the situation because his mobile phone remained on the locomotive.</t>
  </si>
  <si>
    <t>UK-1442</t>
  </si>
  <si>
    <t>Accident to persons caused by RS in motion, 2012-05-16, Sandilands tram stop (United Kingdom)</t>
  </si>
  <si>
    <t>At about 09:44 hrs an eastbound tram, which was approaching the tram stop, struck a person who was using the foot crossing at the west end of the platforms. Following the collision the person was drawn forward with the tram into the platform and became trapped underneath the tram and against the platform edge. She suffered serious injuries.</t>
  </si>
  <si>
    <t>Sandilands tram stop</t>
  </si>
  <si>
    <t>The pedestrian walked onto the crossing as the tram was approaching (paragraph 27).</t>
  </si>
  <si>
    <t>The causal factors were: a. The pedestrian did not look for approaching eastbound trams as she hurried from the entrance to the tram stop to the foot crossing. Had she done so, she would have seen that the approaching tram was close to the crossing (paragraph 33, see paragraph 121). b. The methodology adopted by London Tramlink in 2008/2009 to assess the risk at all foot crossings on the Croydon tram network did not provide an accurate basis for doing so, and did not enable easy identification of crossings where risk mitigation should be provided. It resulted in the risk at Sandilands being under-estimated and its foot crossing not being prioritised for risk mitigation measures (paragraph 43, Recommendation 1). c. The foot crossing at Sandilands was not prioritised for risk mitigation works after May 2011, despite a further risk assessment identifying that it was the highest risk crossing at a tram stop outside the town centre (paragraph 67, Recommendation 1). It is probable that the following factors were causal: a. The approach to the foot crossing at the west end of Sandilands tram stop had not been configured to encourage pedestrians to look both ways before crossing or to make it easy for them to do so (paragraph 37, see paragraph 121)._x000D_
b.London Tramlink did not prioritise work to reduce risk at foot crossings in accordance with the results from the 2008/2009 assessment of risk, which meant that Sandilands was not considered as a priority for the application of risk mitigation measures (paragraph 53, Recommendation 1). It is possible that the following factor was causal: a. The pedestrian may not have been able to see the approaching tram as she walked from the bus stop to the entrance to the tram stop, because her view could have been obstructed by lineside equipment cabinets (paragraph 31, Recommendations 2 and 3). The possible role played by the configuration of the infrastructure had not been considered in previous accidents that had occurred in similar circumstances at Sandilands (paragraph 77, Recommendation 4). London Tramlink’s processes for managing the risk associated with foot crossings on its network were not effective (paragraph 83, Recommendations 1 and 5).</t>
  </si>
  <si>
    <t>CZ-1415</t>
  </si>
  <si>
    <t>Train derailment, 20.5.2012, Open line between Steti and Libechov stations (Czech Republic)</t>
  </si>
  <si>
    <t>Derailment of one and consequently other four freight wagons during movement of freight train No. 66375.</t>
  </si>
  <si>
    <t>Open line between Steti and Libechov stations</t>
  </si>
  <si>
    <t>Direct cause: broken of tenon of first axle in the direction of movement at wheelset of type No. 409 due to the fatigue break of the interior ring of the front rolling bearing._x000D_
_x000D_
Contributory factor: long term exceeding of maximal loading weight of freight wagon of series Eas/Uae what is specified in the technical conditions of rolling stock of series Eas/Uae, type 9-107.4 (TP 4-127/78) failure to comply with own measures of railway undertaking to remove this lack.</t>
  </si>
  <si>
    <t>Underlying cause: none._x000D_
_x000D_
Root cause: none.</t>
  </si>
  <si>
    <t>AT-2741</t>
  </si>
  <si>
    <t>Accident to persons caused by RS in motion, 21/05/2012, A station in austria (Austria)</t>
  </si>
  <si>
    <t>Derailment of a shunting movement occurred at the level crossing km 0,370 track 305 in a station in Austria on 21th May 2012 at 06:31 hrs. The first Wagon derailed with both axles and the second wagon with one axle. The shunting movement comprised 8 freight cars and a motive power unit. _x000D_
_x000D_
Three employees were seriously injured, infrastructure and derailed freight cars were heavy damaged. _x000D_
_x000D_
A drag shoe, keyed between rail and road surface, derailed the freight cars. 
Montag, 21. Mai 2012, um 6:31 Uhr, entgleisten bei einer geschobenen Verschubfahrt in das Stammgleis 305 in einem Bahnhof in Österreich (kurz „IM-Bf“) die ersten beiden Wagen im Bereich des Eisenbahnübergangs im km 0,370. Der erste Wagen entgleiste mit beiden Radsätzen, der zweite Wagen entgleiste mit dem vorlaufenden Radsatz. Die Verschubfahrt bestand aus acht Güterwagen und dem Triebfahrzeug. _x000D_
_x000D_
Durch die Entgleisung wurden drei Mitarbeiter des IM schwer verletzt. An Eisenbahninfrastruktur und Fahrzeugen entstand erheblicher Sachschaden. _x000D_
_x000D_
Durch einen zwischen Schiene und Betonbedielung (Fahrbahnabdeckung) verkeilten Hemmschuh wurden die Fahrzeuge zur Entgleisung gebracht.</t>
  </si>
  <si>
    <t>A station in austria</t>
  </si>
  <si>
    <t>Im Bereich des Eisenbahnüberganges im km 0,370 auf dem Stammgleis 305 war zwischen rechter Schiene und Betonbedielung (Fahrbahnabdeckung) ein Hemmschuh verkeilt. Die Radsätze vom ersten Wagen und der vorlaufende Radsatz vom zweiten Wagen haben mit dem Spurkranz des jeweils rechten Rades den verkeilten Hemmschuh überfahren, wurden dadurch von der Schienenoberkante abgehoben und entgleisten in Fahrtrichtung nach rechts. 
In the area of the railway junction at 0,370 km on the main track 305 between the right rail and Betonbedielung (pavement cover) was wedged a drag. The wheel sets from the first car and the leading wheel set from the second car crossing over with the flange of each right wheel wedged the obstacle, were thus lifted from the top of rail and derailed in direction to the right.</t>
  </si>
  <si>
    <t>UK-1441</t>
  </si>
  <si>
    <t>Accident to persons caused by RS in motion, 2012-05-21, Grosmont station (United Kingdom)</t>
  </si>
  <si>
    <t>The accident occurred at about 12:20 hrs on 21 May 2012, following the uncoupling of a coach from the end of a rake of coaches stabled in one of the platforms at Grosmont. As the uncoupled coach was being drawn off by a steam locomotive working tender first, the direction of the movement changed, causing the locomotive and coach to move back towards the rake of vehicles from which they had been uncoupled. This resulted in the guard, who was carrying out the actions necessary following the uncoupling, being crushed between the coaches.</t>
  </si>
  <si>
    <t>Grosmont station</t>
  </si>
  <si>
    <t>The immediate cause of the accident was that the guard was between vehicles during a shunt move when the locomotive and a coupled coach that were moving away unexpectedly changed direction (paragraph 43).</t>
  </si>
  <si>
    <t>The causal factors were: a. As the locomotive was drawing away the reverser moved from reverse to forward gear causing the locomotive to change its direction (paragraph 45). The following is a factor leading to causal factor 68a: i. the driver omitted to engage the mechanical latch with the screw reverser to prevent its movement (paragraph 47, Learning point 1). b. The guard went into the four foot at the end of the rake of coaches in platform 4 while the locomotive and a coupled coach were close by but moving away (paragraph 54, Learning point 2). The following is a probable factor leading to causal factor 68b: i. the guard would not have had any reason to believe that the S15 locomotive and its attached coach would change direction and move back towards him (paragraph 55).</t>
  </si>
  <si>
    <t>AT-0078</t>
  </si>
  <si>
    <t>Level crossing accident, 2012-05-22, Collsion passenger train 2796 with a car at level crossing km 80,036 between station Edlitz-Grimmenstein and station Aspang (Austria)</t>
  </si>
  <si>
    <t>Collision of a passenger train 2796 with a car at level crossing in km 80,036 between the station Edlitz-Grimmenstein and the station Apsang. The level crossing was secured with a level crossing road signal._x000D_
The driver of the car was fatally injured. _x000D_
The cause of the collision was that the car tried to use the level crossing despite the red light on the level crossing road signals.</t>
  </si>
  <si>
    <t>Collsion passenger train 2796 with a car at level crossing km 80,036 between station Edlitz-Grimmenstein and station Aspang</t>
  </si>
  <si>
    <t>Non-compliance with the provisions relating to the conduct of road users when driving on a level crossing secured with traffic light sign.</t>
  </si>
  <si>
    <t>FI-1429</t>
  </si>
  <si>
    <t>Train derailment, 22-05-12, Riihimäki marshalling yard on 22 May 2012 and Kouvola marshalling yard on 28 June 2012 (Finland)</t>
  </si>
  <si>
    <t>Derailment of turnout transport wagons in the Riihimäki railway yard on 22 May 2012, and Kouvola railway yard on 28 June 2012</t>
  </si>
  <si>
    <t>Riihimäki marshalling yard on 22 May 2012 and Kouvola marshalling yard on 28 June 2012</t>
  </si>
  <si>
    <t>Imbalanced loading caused the sideways load balance distribution of the turnout transport wagon to be very uneven. The wheel-weight ratio was 1:1.96, meaning that wheels on one side were carrying almost double the load compared to wheels on the other side. This caused the frame of the wagon to lean heavily on the side bearer blocks placed on top of the bogies. Due to the remarkable imbalance, significant friction was generated between the frame and side bearer block. This friction made it difficult for the bogies to turn when travelling on curves and through turnouts. The wagon's bogie pivot centres were also rather dry and somewhat rusty. This required the use of more force for turning the bogie.</t>
  </si>
  <si>
    <t>In both accidents, the wagons were derailed on the side with the lighter load. The flange of the wheel with the lighter load on the axle travelling first was unable to convey the necessary force to turn the bogie when on the switch curve. The flange rose on top of the rail and travelled over it, derailing the wagon. In the Riihimäki accident, the head of the rail was cracked at the spot where the derailment occurred. In Kouvola, the turnout at the derailment spot was in poor condition, featuring wear exceeding the allowed measurement values. Moreover, the track featured dents of varying depth around the turnout. These flaws and wear contributed to the wheel flange rising on top of the rails. Similar turnout transports with imbalanced loads have been previously carried out without any problems. This fact supports the notion that wear and flaws in the track played a key role in the accidents.</t>
  </si>
  <si>
    <t>FR-1419</t>
  </si>
  <si>
    <t>Trains collision with an obstacle, 22/05/2012, Mercues, on the double track line between Cahors and Brive-la-gaillarde (France)</t>
  </si>
  <si>
    <t>The train hits at 85 km/h a pile of rocks and stones fallen from a 10 m high stonework wall supporting the cutting besides the track. The locomotive derails with both boogies.</t>
  </si>
  <si>
    <t>Mercues, on the double track line between Cahors and Brive-la-gaillarde</t>
  </si>
  <si>
    <t>Rocks from the cutting and from the supporting wall and fallen on the track</t>
  </si>
  <si>
    <t>Poor supervision and maintenance of the cutting and wall</t>
  </si>
  <si>
    <t>ES-1423</t>
  </si>
  <si>
    <t>Other, 23/05/2012, Tocón-Montefrío station (Granada) (Spain)</t>
  </si>
  <si>
    <t>Passenger train forced open point nº1 at Tocón-Montefrío station</t>
  </si>
  <si>
    <t>Tocón-Montefrío station (Granada)</t>
  </si>
  <si>
    <t>The incident had its origin when train driver failed to comply with the indication of caution signal (stating a slow warning).</t>
  </si>
  <si>
    <t>CZ-1416</t>
  </si>
  <si>
    <t>Level crossing accident, 25.5.2012, Active level crossing - open line between Trest mesto stop and Trest station (Czech Republic)</t>
  </si>
  <si>
    <t>The infrastructure works train running as shunting operation between stations collided with a bus at the level crossing. As consequence the train derailed.</t>
  </si>
  <si>
    <t>Active level crossing - open line between Trest mesto stop and Trest station</t>
  </si>
  <si>
    <t>Správa železnicní dopravní cesty</t>
  </si>
  <si>
    <t>Movement of shunting operation over unsecured level crossing which was not put into the warning action._x000D_
Third party – level crossing user._x000D_
Contributory factor:	_x000D_
The human factor – incorrect application of technological procedures of infrastructure manager._x000D_
Third party – level crossing user.</t>
  </si>
  <si>
    <t>HU-1426</t>
  </si>
  <si>
    <t>Level crossing accident, 26/05/2012, Line 146: Between Lakitelek and Kiskunfelegyhaza stations (Hungary)</t>
  </si>
  <si>
    <t>Passenger train (No. 37214) collided with a car between Lakitelek és Kiskunfelegyhaza stations at an unprotected (passive) LC. In consequence of the occurrence the driver of the car and his passenger died at the site of the accident.</t>
  </si>
  <si>
    <t>Line 146: Between Lakitelek and Kiskunfelegyhaza stations</t>
  </si>
  <si>
    <t>Violation - road user</t>
  </si>
  <si>
    <t>visibility</t>
  </si>
  <si>
    <t>AT-2743</t>
  </si>
  <si>
    <t>Train derailment, 29/05/2012, Station in Austria (Austria)</t>
  </si>
  <si>
    <t>Tuesday, May 29th, 2012, at 17:22, during the signal standard compartible departure of train 68272 (train route station Klein Schwechat to station Wien Zvbf) in station Klein Schwechat, approximately in km 18,398, it came to an automatic application of the brakes due a separation of the main brake pipe due a derailment._x000D_
_x000D_
At train 68272 derailed the wagon number 9 with the rear bogie._x000D_
_x000D_
The cause was determined that a wheelset of the ninth wagon was derailed before the departure._x000D_
_x000D_
There was material damage to the infrastructure and a freight-wagon. _x000D_
_x000D_
There were no persons killed or injured. 
Dienstag, 29. Mai 2012, um 17:22 Uhr, kam es bei der signalmäßig tauglichen Ausfahrt von Z 68272 (Zuglauf Bf Klein Schwechat nach Wien Zvbf) im Bf Klein Schwechat, ca. im km 18,130, zu einer Zwangsbremsung durch Auftrennung der HLL infolge eines entgleisten Wagens._x000D_
_x000D_
Bei Z 68272 war der neunte Wagen mit dem nachlaufenden Drehgestell entgleist. _x000D_
_x000D_
Als Ursache wurde ermittelt, dass beim neunten Wagen bereits vor der Abfahrt ein Radsatz entgleist war._x000D_
_x000D_
Es kam zu Sachschäden an der Infrastruktur und an einem Güterwagen._x000D_
_x000D_
Es wurden keine Personen getötet oder verletzt.</t>
  </si>
  <si>
    <t>Entgegen den Regelwerksbestimmungen wurde eine Wagengruppe mit einer zu hohen Tonnage (Masse) mittels Hemmschuh aufgefangen._x000D_
Ursache der Entgleisung von Z 68272 war ein bereits bei der Zugbildung durch Abstoßen und Auffangen mittels Hemmschuh beim Verschub erfolgte Entgleisung eines Radsatzes._x000D_
Diese Entgleisung beim Verschub wurde durch die Mitarbeiter des Verschubes der Zugvorbereitung und des Technischen Wagendienstes nicht erkannt. Bei der Ausfahrt von Z 68272 entgleiste in weiter Folge der zweite Radsatz des Drehgestells beim Befahren einer Weiche._x000D_
_x000D_
Durch die Art der Verwendung von Hemmschuhen in Österreich kam es beim Abbremsen der Wagengruppe zu Vibrationen des Hemmschuhs, der Schienenstränge und des Radsatzes und in weiterer Folge zur Entgleisung des Radsatzes. Wie weit sich die durch Spritzstöße beeinflusste Gleislage auf das Entstehen von Vibrationen auswirkt wurde von der SUB nicht untersucht. 
Contrary to the provisions of rules a group of wagons with a high tonnage (mass) was collected by means of drag. _x000D_
Cause of the derailment was a Z 68272 was already in train formation by pushing and collecting means stumbling block when shunting derailment of a wheelset. _x000D_
This derailment when shunting was not recognized by the staff of Verschubes train preparation and the technical car service. At the exit of Z 68272 derailed in further consequence of the second wheel of the truck when driving on a switch. _x000D_
_x000D_
By way of using chocks in Austria came when braking the car group to vibrations of the sprag, the rail tracks and the wheel set and subsequently to the derailment of the wheelset. How far the affected joints by injection track position was affecting the occurrence of vibrations not being investigated by the SUB.</t>
  </si>
  <si>
    <t>Entgegen den Regelwerksbestimmungen wurde eine Wagengruppe mit einer zu hohen Tonnage (Masse) mittels Hemmschuh aufgefangen. Ursache der Entgleisung von Z 68272 war ein bereits bei der Zugbildung durch Abstoßen und Auffangen mittels Hemmschuh beim Verschub erfolgte Entgleisung eines Radsatzes._x000D_
Diese Entgleisung beim Verschub wurde durch die Mitarbeiter des Verschubes der Zugvorbereitung und des Technischen Wagendienstes nicht erkannt. Bei der Ausfahrt von Z 68272 entgleiste in weiter Folge der zweite Radsatz des Drehgestells beim Befahren einer Weiche. 
Contrary to the provisions of rules a group of wagons with a high tonnage (mass) was collected by means of drag. Cause of the derailment was a Z 68272 was already in train formation by pushing and collecting means stumbling block when shunting derailment of a wheelset. _x000D_
This derailment when shunting was not recognized by the staff of Verschubes train preparation and the technical car service. At the exit of Z 68272 derailed in further consequence of the second wheel of the truck when driving on a switch.</t>
  </si>
  <si>
    <t>HU-1427</t>
  </si>
  <si>
    <t>Level crossing accident, 5/31/2012, Line 30: Between Balatonszentgyörgy and Savoly stations (Hungary)</t>
  </si>
  <si>
    <t>Passenger train (No. 8510) collided with a moped between Balatonszentgyörgy és Savoly stations at an unprotected (passive) LC. In consequence of the occurrence the moped-driver died at the site of the accident.</t>
  </si>
  <si>
    <t>Line 30: Between Balatonszentgyörgy and Savoly stations</t>
  </si>
  <si>
    <t>Third party - driver activity_x000D_
Reduced visibility due to vegetation</t>
  </si>
  <si>
    <t>HU-1428</t>
  </si>
  <si>
    <t>Level crossing accident, 31/05/2012, Line 10: Györszemere and Gyömöre stations (Hungary)</t>
  </si>
  <si>
    <t>Freight train (No. 42001-2) collided with a car at a LC protected by warning lights between Györszemere and Gyömöre stations. In consequence of the occurrence the driver of the car died at the site of the occurrence.</t>
  </si>
  <si>
    <t>Line 10: Györszemere and Gyömöre stations</t>
  </si>
  <si>
    <t>Wiener Lokalbahnen Cargo GmbH</t>
  </si>
  <si>
    <t>Human failure / Level Crossing user / Lack of attendance</t>
  </si>
  <si>
    <t>NO-1443</t>
  </si>
  <si>
    <t>Other, 31/05/2012, Godlia subwaystation Oslo (Norway)</t>
  </si>
  <si>
    <t>At 02:37 on Thursday 31 May 2012, a work train ran through a set of point blades at Godlia crossover track on the Oslo Metro (T-banen). The incident occurred on passing at low speed, and the outcome was therefore limited to minor material damage to the points. The points were not in the correct position due to a fault in a point machine. Oslo T-banedrift AS has defined point machines as safety-critical components, and state that 'faults in point machines can lead to a major disaster'. The work train was the first to use the diverging path after the points had been cleared for operation on 4 May 2012, approximately four weeks previously. At that time, the Godlia crossover track had been closed since May 2005.</t>
  </si>
  <si>
    <t>Godlia subwaystation Oslo</t>
  </si>
  <si>
    <t>The points were not in the correct position due to a fault in a point machine.</t>
  </si>
  <si>
    <t>Necessary control and testing of the points had not been carried out before clearance was granted for their use. The infrastructure entity has an extensive management and control system, which includes several different documents describing how point machines are to be tested and inspected, and routine maintenance procedures include detailed checklists for inspection and audits of point machines. The basis for testing following repairs and replacements  must be prepared in each individual case and contains little information about what should be tested and the purpose of the testing.</t>
  </si>
  <si>
    <t>ES-1437</t>
  </si>
  <si>
    <t>Train derailment, 2012-06-01, Falset (Tarragona) (Spain)</t>
  </si>
  <si>
    <t>Freight train partially derailed and became stopped at Marçá-Falset station.</t>
  </si>
  <si>
    <t>Falset (Tarragona)</t>
  </si>
  <si>
    <t>The accident had its origin in an infrastructure failure, basically for an incorrectly layout of a rail section in the area.</t>
  </si>
  <si>
    <t>AT-2744</t>
  </si>
  <si>
    <t>Level crossing near miss, 04/06/2012, Between statin Premstätten-Tobelbad and station Graz Straßgang (Austria)</t>
  </si>
  <si>
    <t>Monday, June 4th, 2012, at 11:45 o´clock, a near-collision between the train 8424 and a group of school pupils happened at the level crossing in km 7,415, (secured with level-crossing road signal) in the village Seiersberg, between station Premstätten-Tobelbad and station Graz Straßgang ._x000D_
The participants in the group of school pupils stayed unharmed._x000D_
The passengers and the train crew stayed unharmed._x000D_
The cause of the hazard of railway operation was that the group of school pupils crossed and do not evacuated the level crossing, despite the "STOP" imperious by the level-crossing road signal. 
Montag, 4. Juni 2012, um 11:45 Uhr, ereignete sich auf der EK im km 7,415, im Gemeindegebiet von Seiersdorf zwischen Bf Premstätten-Tobelbad und Bf Graz Straßgang (gesichert mit Lichtzeichenanlage) ein Beinahe-Zusammenprall zwischen Z 8424 und einer geführten Schülergruppe._x000D_
Die Teilnehmer der Schülergruppe wurden nicht verletzt._x000D_
Die Reisenden und das Zugpersonal blieben unverletzt._x000D_
Die Ursache für die Gefährdung des Eisenbahnbetriebes war das Übersetzen bzw. Nicht-räumen der EK trotz „HALT“ gebietender Lichtzeichenanlage.</t>
  </si>
  <si>
    <t>Between statin Premstätten-Tobelbad and station Graz Straßgang</t>
  </si>
  <si>
    <t>Auf Grund der vorliegenden Erkenntnisse ist davon auszugehen, dass die Ursache in einer menschlichen Fehlhandlung des Straßenverkehrsteilnehmers begründet ist._x000D_
Nichtbeachtung der Bestimmungen der EKVO betreffend das Verhalten von Straßenverkehrsteilnehmern beim Benützen einer EK. 
On the basis of the present findings it can be assumed that the cause is due to a human error plot of the traffic participant._x000D_
Non-observance of the provisions of EKVO concerning the behavior of road users when using a EK.</t>
  </si>
  <si>
    <t>HU-0654</t>
  </si>
  <si>
    <t>Train derailment, 2012.06.05., Kobanya-Teher station (Hungary)</t>
  </si>
  <si>
    <t>A locomotive running solo (Train No. 21661) derailed with its for axles at Kobanya-Teher station (Budapest, HU)</t>
  </si>
  <si>
    <t>Kobanya-Teher station</t>
  </si>
  <si>
    <t>lack of maintenance (switch)</t>
  </si>
  <si>
    <t>IT-1424</t>
  </si>
  <si>
    <t>Train derailment, 06/06/2012, Line Verona - Brennero, Bressanone station, track n°2 (Italy)</t>
  </si>
  <si>
    <t>Derailment of the loco and of the first 9 wagons of the train 44213 (Brennero - Brescia), running on the second track of the Bressanone station and carrying iron scraps</t>
  </si>
  <si>
    <t>Line Verona - Brennero, Bressanone station, track n°2</t>
  </si>
  <si>
    <t>RTC SpA</t>
  </si>
  <si>
    <t>shifting out of wheel of a wagon</t>
  </si>
  <si>
    <t>Lack of correct maintenance of some axles._x000D_
Limits of the regulatory framework for the coupling wheels/axles.</t>
  </si>
  <si>
    <t>SE-0109</t>
  </si>
  <si>
    <t>Accident to persons caused by RS in motion, 12-06-12, Open line between Smedjebacken and Fagersta C (Sweden)</t>
  </si>
  <si>
    <t>Incident - A team of trackworkers which had a track possession almost got hit by a train.</t>
  </si>
  <si>
    <t>Open line between Smedjebacken and Fagersta C</t>
  </si>
  <si>
    <t>Svenska Tågkompaniet AB</t>
  </si>
  <si>
    <t>The direct cause of the incident is that the condition ‘after train’ was not included in planning the green zone working, with the result that green zone working was arranged, got permission to proceed, and began while a train, which had not yet passed the work site, was on the monitored section.</t>
  </si>
  <si>
    <t>An underlying reason is that there was not a full discussion about the train path when planning the repair work. A contributing factor to this is that when tsm A inquired about the train path, the reply was for a different green zone working and the assumption may have been made by tsm A that this meant the section to be free of trains._x000D_
_x000D_
A contributing factor for the condition of ‘after train’ not being included in the planning for the green zone working is deemed to be that tkl Fgc was formally qualified for her position, but lacked real experience in the sense of familiarity with the duty in question. A possible contributing factor is deemed to be that the on-the-job phases of training are not centrally governed and the particular needs of practical training, which are associated with relearning and transitioning to work in a new system (M, in this case) after several years of working in another system (H), were not met completely._x000D_
_x000D_
Another possible contributing factor to the incomplete train path discussion may be that the work was not executed as pre-planned green zone working. One reason for this is that there are differing opinions on when pre-planning is required under the JTF regulatory framework. Another possible contributing factor to the incomplete train path discussion may be that the support documents available to tsm do not provide optimal support to ensure that a reply to a train path query is forthcoming in a safety call. _x000D_
_x000D_
Another contributing factor is deemed to be the failure of the dispatcher to notice the planning deficiencies for the green zone working when confirming (which can be considered a control/’barrier’) in Etam. A contributing factor to this may be that the Etam system does not actively remind tkl to check if ‘after train’ is a criterion that should be should be ticked under certain conditions. Another contributing factor to the lack of attentiveness may be that the confirmation step is an action that is performed frequently. An underlying reason is deemed to be that the risks associated with confirmations through Etam were not caught and taken care of when the system was introduced.</t>
  </si>
  <si>
    <t>BE-1436</t>
  </si>
  <si>
    <t>Trains collision with an obstacle, 14-06-12, Duffel (Belgium)</t>
  </si>
  <si>
    <t>The international train coming from Brussels Midi and heading to Amsterdam (NL) in passage in Duffel railway station, enters in collision on the end of the platform, construction, with the swing arm of an excavator, which infriges the gauge while performing infrastructure works on the further construction of the platform. The swing arm of the excavator due its collision with a locomotive, goes to the left and hits in his mouvement a labourer. The international train performs an emergency breaking and stops 1000m downwards the accident.</t>
  </si>
  <si>
    <t>Duffel</t>
  </si>
  <si>
    <t>De directe oorzaak van het ongeval is een actief falen van de operatoren belast met de uitvoering_x000D_
van het ontdubbelen van de paletten op perron I, zij waren volledig gefocust op het stabiel_x000D_
verplaatsen van de paletten en hadden geen aandacht voor de gevaren van werken in de nabijheid_x000D_
van in dienst zijnde sporen. De directe opdrachtgever had niet alle risico’s op indringing bij_x000D_
het hijsen uitgesloten. Bij het gebruik van het vorkensysteem, vanwege de slechte staat van de_x000D_
paletten, ontstonden nieuwe risico’s. De werfleiding werd hierover niet ingelicht. Aan de uitvoerders_x000D_
van de opdracht was niet uitdrukkelijk gemeld wat ze moesten doen indien er problemen_x000D_
waren met de uitvoerbaarheid van de opdracht. 
The direct cause of the accident is an active failure of the operators responsible for the implementation_x000D_
the doubling of the palettes on platform I, they were fully focused on the stable_x000D_
moving the pallets and had no attention to the dangers of working in the vicinity_x000D_
of being in sidings. The direct client had not all risks intrusion upon_x000D_
hoisting excluded. When the use of the fork system, because of the poor condition of the_x000D_
palettes, created new risks. The site management was not informed about this. The performers_x000D_
the task was not explicitly reported what to do if problems were the enforceability of the contract.</t>
  </si>
  <si>
    <t>De operatoren voor uitvoering:_x000D_
De aanvankelijke taak en de uiteindelijke uitvoering ervan was in beide gevallen niet haalbaar_x000D_
zonder bijkomende afdekking van de risico’s. Men kan ook stellen dat de assistent (A-OA) onvoldoende op de hoogte moet geweest zijn op welke sporen er wel of niet een automatisch aankondigingssysteem voor treinen actief was._x000D_
_x000D_
Niveau operationeel kader:_x000D_
Door het falen van de communicatie op dit niveau, werd de instructie gegeven voor het ontdubbelen van de paletten, zonder de haalbaarheid ervan te controleren. Een gedegen opvolging of eventuele bijsturing was door een onvolledige communicatie tussen hoofdaannemer en infrastructuurbeheerder enerzijds en tussen hoofdaannemer en uitvoerders van de onderaannemer_x000D_
anderzijds, in dit geval niet mogelijk. De instructies, in de breedste zin van het woord, waren niet_x000D_
bij alle uitvoerders op dezelfde manier gekend en bewustgemaakt. Een voldoende waarborg om_x000D_
veilig te werken in de nabijheid van in dienst zijnde sporen werd in dit geval niet gehaald._x000D_
_x000D_
Organisatorisch kader:_x000D_
• De structuren van het organisatorisch kader zijn aanwezig op alle niveaus._x000D_
• Er zijn striktere veiligheidsregels op deze werf t.o.v. andere werven._x000D_
• Er is verbetering mogelijk naar de evaluatie van de kennis en vaardigheden bij werken in de_x000D_
nabijheid van sporen bij het personeel._x000D_
De introductie van een technisch veiliger automatisch aankondigingssysteem die het menselijk_x000D_
falen van schildwachten uitsluit, vergt een doorgedreven sensibilisering van alle mensen_x000D_
op de werf. Het is uiterste belangrijk dat iedereen op elk moment op elke plaats, weet_x000D_
welke veiligheidsbeschermingsmaatregelen al dan niet van kracht zijn; en welk regels voor_x000D_
werken in de nabijheid van sporen moeten gerespecteerd worden. Het Onderzoeksorgaan_x000D_
maakt hiervoor referentie naar werken op plaatsen met een automatisch aankondigingssysteem_x000D_
in dienst of niet; werken op plaatsen met of zonder visuele afscheiding langsheen_x000D_
de sporen (oranje werfnet, safety-fence)… ._x000D_
• De striktere veiligheidsregels opgenomen in het bestek zijn niet van toepassing voor onderhoudswerkzaamheden_x000D_
van de infrastructuurbeheerder tijdens de infrastructuurwerken,_x000D_
bijgevolg hebben hetzelfde type werken, bij onderhoudswerkzaamheden in Duffel een ander_x000D_
beveiligingsniveau dan werken die in het kader van de infrastructuurwerken worden_x000D_
uitgevoerd. Dit kan leiden tot verwarring bij de mensen die in Duffel werken in de nabijheid_x000D_
van in dienst zijnde sporen in een andere context werken moeten uitvoeren, en kan aanleiding_x000D_
geven tot een verzwakking van de veiligheid in het algemeen_x000D_
• Verschillende regels op verschillende werven van infrastructuurwerken voor werken in de_x000D_
nabijheid van sporen kunnen leiden tot verwarring bij werknemers van aannemers die op_x000D_
verschillende werven van de infrastructuurbeheerder worden tewerkgesteld._x000D_
• Er bestaat een veelheid aan regels bij de infrastructuurbeheerder (zie 3.3.2) die onvoldoende_x000D_
gestroomlijnd zijn en waarbij er behoorlijk wat ruimte wordt gelaten voor interpretatie_x000D_
en soms zelfs verwarring. Deze interpretatie kan optreden op alle niveaus en bij alle organisaties_x000D_
betrokken bij het infrastructuurproject. Hierdoor zijn door verloop van de tijd op_x000D_
de werf bepaalde regels zoals aanvankelijk bedoeld niet of niet volledig gerespecteerd en_x000D_
kan er een afzwakking van het veiligheidsbesef opgetreden zijn bij mensen die er werken. 
The operators for implementation :_x000D_
The initial task and the final implementation in both cases not feasible_x000D_
without additional hedging of risks . One could also say that the assistant (A - OA ) must have been insufficient on which tracks an automatic announcement system for trains was active or not informed._x000D_
_x000D_
Level operational framework :_x000D_
By the failure of communication at this level , the instruction was given for the doubling of the palettes , without checking the feasibility. A thorough follow-up or any adjustment was due to an incomplete communication between contractor and infrastructure and between main contractor and the subcontractor performers_x000D_
on the other hand , in this case, is not possible. The instructions, in the broadest sense of the word , were not_x000D_
all known performers in the same way and made ??aware . A sufficient guarantee to_x000D_
work safely in close proximity in service spores was not met in this case ._x000D_
_x000D_
Organizational framework :_x000D_
• The structures of the organizational framework are present at all levels ._x000D_
• There are stricter safety rules on this site compared to other sites ._x000D_
• It is possible to improve the evaluation of the knowledge and skills to work in the_x000D_
proximity of tracks on the staff._x000D_
The introduction of a technical system more secure automatic announcing that the human_x000D_
failure of sentries rule , requires a thorough awareness of all people_x000D_
the yard . It is extremely important that anyone at any time at any place, know_x000D_
what safety protection or may not be effective , and what rules_x000D_
work must be respected. near tracks The Investigating_x000D_
makes reference to this work in places with an automatic announcement system_x000D_
employed or not, working in areas with or without visual separation along_x000D_
the tracks (orange werfnet , safety -fence ) ...._x000D_
• The stricter safety rules included in the specifications do not apply for maintenance_x000D_
of the infrastructure in the infrastructure ,_x000D_
therefore have the same type of work for maintenance in Duffel another_x000D_
security than working within the framework of the infrastructure are_x000D_
executed. This can lead to confusion among the people in Duffel working in the vicinity_x000D_
in service of tracks in a different context to perform work and can cause_x000D_
lead to a weakening of the safety in general_x000D_
• Different rules in different yards of infrastructure works in the_x000D_
proximity spores can cause confusion among employees of contractors who_x000D_
several yards of the infrastructure are employed ._x000D_
• There is a multitude of rules from the infrastructure (see 3.3.2 ) with insufficient_x000D_
streamlined and where there is considerable room is left for interpretation_x000D_
and sometimes confusion . This interpretation can occur at all levels and in all organizations_x000D_
involved in the infrastructure . As a result, by the passage of the time on_x000D_
the yard certain rules as originally intended or not fully respected and_x000D_
there may be a weakening of the safety awareness occurred in people who work there .</t>
  </si>
  <si>
    <t>ES-1438</t>
  </si>
  <si>
    <t>Spad, 2012-06-15, Arévalo station (Ávila) (Spain)</t>
  </si>
  <si>
    <t>Freight train overtook exit signal causing a near miss train collision with another freight train.</t>
  </si>
  <si>
    <t>Arévalo station (Ávila)</t>
  </si>
  <si>
    <t>The incident had its origin in a human failure of train 90602 driver when restarting train´s march without having been authorised to do so, failing to observe article 432 of General Operating Rules</t>
  </si>
  <si>
    <t>AT-0140</t>
  </si>
  <si>
    <t>Level crossing accident, 2012-06-17, Level crossing km 10,439 in the station Winzendorf (Austria)</t>
  </si>
  <si>
    <t>Collision between passenger train 6422 with a car at the level crossing at km 10,439 in the station Winzendorf. The level crossing was secured with level crossing road signals.The driver of the car was fatally injured.</t>
  </si>
  <si>
    <t>Level crossing km 10,439 in the station Winzendorf</t>
  </si>
  <si>
    <t>Human error. Failure to follow the rules for the use of a level crossing secured with level crossing road signals by the road user.</t>
  </si>
  <si>
    <t>AT-0147</t>
  </si>
  <si>
    <t>Trains collision with an obstacle, 2012-06-17, Km 152,530 between the station Rottenmann and the station Trieben (Austria)</t>
  </si>
  <si>
    <t>Collision between passenger train 611 and a landslide with a subsequent derailment of five passenger cars at km 152,530 between the station Rottenmann and the station Trieben 
Sonntag, 17. Juni 2012, um 18:56 Uhr, ereignete sich, zwischen Bf Rottenmann und Bf Trieben im km 152,530 ein Kollision zwischen Z 611 und einer abgehenden Mure. Dabei entgleisten von Z 611 der führende Steuerwagen und die vier nachfolgenden Reisezugwagen._x000D_
Ein Reisender wurde schwer verletzt, 13 Reisende wurden leicht verletzt._x000D_
Das Zugpersonal blieb unverletzt.</t>
  </si>
  <si>
    <t>Km 152,530 between the station Rottenmann and the station Trieben</t>
  </si>
  <si>
    <t>Als Ursachen sind das Zusammenwirken einer_x000D_
- Veränderung des hydrogeologischen Zustandes oberhalb der Bahntrasse und_x000D_
- Starkregen_x000D_
anzusehen. 
The causes are the interaction of a_x000D_
- Change in the hydrogeological state above the rail tracks, and_x000D_
- Heavy rain</t>
  </si>
  <si>
    <t>IE-0282</t>
  </si>
  <si>
    <t>Level crossing accident, 6/20/2012, XE020 (Ireland)</t>
  </si>
  <si>
    <t>Collission between a train and a tractor at XE 020 on the Limerick to Galway line</t>
  </si>
  <si>
    <t>XE020</t>
  </si>
  <si>
    <t>(§6) other reasons than those referred to in Article 19; 
(b) networks that are functionally separate from the rest of the railway system…</t>
  </si>
  <si>
    <t>Level Crossing Accident</t>
  </si>
  <si>
    <t>A systems failure caused due to high risk associated with viewing distances at the level crossing which resulted in a lack of urgency for upgrade work at the level crossing.</t>
  </si>
  <si>
    <t>ES-0138</t>
  </si>
  <si>
    <t>Train derailment, 21/06/2012, Plasencia de Jalón (Zaragoza) (Spain)</t>
  </si>
  <si>
    <t>Long distance passenger train derailed ( left wheel of eight axle) as it was in the operation of changing the gauge from UIC to Iberian gauge.</t>
  </si>
  <si>
    <t>Plasencia de Jalón (Zaragoza)</t>
  </si>
  <si>
    <t>The derailment was caused by a failure in the system for changing the gauge in the left wheel of eight axle since the mechanism for locking/unlocking didn´t work properly due to a lack of lubrication .</t>
  </si>
  <si>
    <t>HU-0657</t>
  </si>
  <si>
    <t>Level crossing accident, 6/21/2012, Between Matehazapuszta and Baja stations (Hungary)</t>
  </si>
  <si>
    <t>Passenger train collided with a car at a level crossing between Matehazapuszta and Baja stations.</t>
  </si>
  <si>
    <t>Between Matehazapuszta and Baja stations</t>
  </si>
  <si>
    <t>Third party - (car driver) - Violation (road traffic rules)_x000D_
Railway - lack of proper visibility of the incoming train</t>
  </si>
  <si>
    <t>HU-0658</t>
  </si>
  <si>
    <t>Level crossing accident, 24/06/2012, Between Mezofalva and Retszilas stations (Hungary)</t>
  </si>
  <si>
    <t>Passenger train collided with a car at a level crossing</t>
  </si>
  <si>
    <t>Between Mezofalva and Retszilas stations</t>
  </si>
  <si>
    <t>Human failure / Level crossing user / Lack of attendance</t>
  </si>
  <si>
    <t>CZ-0535</t>
  </si>
  <si>
    <t>Spad, 25.6.2012, Horovice station (Czech Republic)</t>
  </si>
  <si>
    <t>Unauthorized movement of long distance passenger train No. 824 behind the main signal No. L2b.</t>
  </si>
  <si>
    <t>Horovice station</t>
  </si>
  <si>
    <t>Direct cause: unauthorized movement of long distance passenger train No. 824 behind invalidated main signal L2b, which the engine driver was not informed about and going-on in the ride without request obout permission from the train dispatcher._x000D_
_x000D_
Contributory factor:	_x000D_
- infrastructure manager unlawfully labeled the main signal L2b as invalided without konwledge of train dispatcher;_x000D_
- unauthorized movement of previous regional passenger train No. 7822 behind invalidated main signal L2b, which engine driver was not informed about and going-on in the ride without request about permission from the train dispatcher;_x000D_
- failure to notify to engine driver of long distance passenger train No. 824 about delay from transport reasons in the Horovice station according to technological procedure of infrastructure manager (IM);_x000D_
- insufficient readiness of the engine drivers to evaluate properly the emergency situation and to respond to them immediately.</t>
  </si>
  <si>
    <t>Underlying cause: failure to comply with the technological procedures of infrastructure manager about ride around invalidated signals with signals stop by engine driver of long distance passenger train No. 824._x000D_
_x000D_
Root cause: none.</t>
  </si>
  <si>
    <t>DE-1439</t>
  </si>
  <si>
    <t>Fire in RS, 25-06-12, Strecke Stolberg - Aachen (Germany)</t>
  </si>
  <si>
    <t>Regionalbahn 11958 geriet auf der Fahrt von Stolberg nach Aachen in der Nähe des Haltepunktes Eilendorf in Brand. 65 Reisende wurden evakuiert. 2 Reisende wurden leicht verletzt. 
Regional train 11958 caught fire on the trip from Stolberg to Aachen, near the breakpoint Eilendorf. 65 passengers were evacuated. 2 passengers were slightly injured.</t>
  </si>
  <si>
    <t>Strecke Stolberg - Aachen</t>
  </si>
  <si>
    <t>Isolationsfehler an beiden Triebzügen (VT 643) 
Insulation defect on both multiple unit trains (VT 643)</t>
  </si>
  <si>
    <t>AT-0185</t>
  </si>
  <si>
    <t>Level crossing accident, 2012-06-26, Level crossing km 35,204, next Lutzmannsdorf (Austria)</t>
  </si>
  <si>
    <t>On June 26th 2012, at 17:55 o’clock, next to the unmanned stopping point station Lutzmannsdorf, a collision on a non-technically secured level crossing km 35,204 between train 8718 and a car occurred. In consequence of the collision the first railway vehicle train 8718 derailed, bounced against the acclivity and canted over. Thirteen passengers, thereof twelve children, and the car driver got lightly injured. Extensive damage occurred at rolling stock and infrastructure. The car driver drove in the level crossing, secured by St. Andrews Cross and acoustic signal from the railway vehicle, before the oncoming train 8718. 
Am 26. Juni 2012, um 17:55 Uhr, ereignete sich auf der nicht technisch gesicherten Eisenbahnkreuzung km 35,204 nächst der Haltestelle Lutzmannsdorf ein Zusammenprall zwischen Z 8718 und einem PKW._x000D_
_x000D_
Durch den Zusammenprall entgleiste das erste Fahrzeug des Z 8718 mit allen Achsen in Fahrtrichtung nach rechts, stieß gegen die erhöht verlaufende Böschung und kippte seitlich um. _x000D_
_x000D_
Bei dem Unfall wurden 13 Reisende, davon 12 Kinder, sowie der PKW Lenker leicht verletzt. Am entgleisten Eisenbahnfahrzeug sowie am PKW entstand erheblicher Sachschaden. _x000D_
_x000D_
Ursache für den Zusammenprall war das Einfahren des PKW in die Eisenbahnkreuzung trotz Annäherung des Z 8718.</t>
  </si>
  <si>
    <t>Level crossing km 35,204, next Lutzmannsdorf</t>
  </si>
  <si>
    <t>Steiermärkische Landesbahn</t>
  </si>
  <si>
    <t>Aufgrund der vorliegenden Erkenntnisse ist davon auszugehen, dass die Ursache in einer menschlichen Fehlhandlung des Straßenverkehrsteilnehmers begründet ist. 
On the basis of the findings to hand it is to be assumed that the cause of the accident was a human error by a road user.</t>
  </si>
  <si>
    <t>HU-0052</t>
  </si>
  <si>
    <t>Accident to persons caused by RS in motion, 6/27/2012, Between Mád and Tállya stations (Rátka stop) (Hungary)</t>
  </si>
  <si>
    <t>One of the entrance doors of the motorcar was closed onto a passenger's hand._x000D_
The event was not realised only at the next station. 
Egy leszállni szándékozó utas kezét a távvezérléssel bezáródó ajtó odazárta.</t>
  </si>
  <si>
    <t>Between Mád and Tállya stations (Rátka stop)</t>
  </si>
  <si>
    <t>Door-closing system failure; _x000D_
Lack of correct maintenance process; _x000D_
lenght of platform</t>
  </si>
  <si>
    <t>HU-0677</t>
  </si>
  <si>
    <t>Other, 27/06/2012, Pincehely station (Hungary)</t>
  </si>
  <si>
    <t>The driver of the train No. IC806 realised that the braking distance of the train  was longer (more than 1400 meter) than usually._x000D_
(Investigated commonly with the occurrence No. HU-1400 (Hidasnemeti 06/03/2012)</t>
  </si>
  <si>
    <t>Pincehely station</t>
  </si>
  <si>
    <t>Braking system failure</t>
  </si>
  <si>
    <t>risk management</t>
  </si>
  <si>
    <t>UK-0379</t>
  </si>
  <si>
    <t>Track buckles, 28-06-12, Knockmore, Northern Ireland (United Kingdom)</t>
  </si>
  <si>
    <t>At around 07:05 hrs on 28 June 2012, at Knockmore. A passenger train that was scheduled to operate between Belfast and Portrush ran onto a section of track where the formation below had been washed-out. The driver observed the failure and applied the brake, but he was unable to stop before the first of the six coaches had run onto an unsupported section of track. The train came to a stand immediately after the leading bogie had passed over the unsupported section. The train did not derail and was reversed away.</t>
  </si>
  <si>
    <t>Knockmore, Northern Ireland</t>
  </si>
  <si>
    <t>A ten metre long section of embankment had been washed away prior to the arrival of train B454, which was unable to stop before its leading bogie ran onto the unsupported track, which was at risk of collapsing under the train (paragraph 43).</t>
  </si>
  <si>
    <t>The causal factors were: a. there was heavy rainfall in the catchment area of the nearby Brokerstown stream on 27 June 2012, (paragraph 45, no recommendation); b. the culvert system on the Brokerstown stream was unable to cope with the water flows generated by the heavy rainfall, causing water to back up behind the railway embankment (paragraph 50, Recommendation 1); c. the railway embankment could not withstand the differential water levels either side of it and the resulting water flow across the track completely eroded the embankment (paragraph 62, Recommendation 1); d. train B454 was sent onto the Antrim branch line without additional precautions despite the heavy rainfall during the previous evening (paragraph 69, Recommendation 2); and e. the driver was unable to see the washout in time to be able to stop the train before it ran onto the unsupported section of track (paragraph 80, no recommendation). The underlying factors were: a. there was no engagement between NIR and the Rivers Agency regarding the potential for flooding due to heavy rainfall around the incident site, (paragraph 84, Recommendation 1); and b. NIR’s weather preparedness procedure did not include a plan for flooding or heavy rainfall events, and therefore NIR was not in a position to react appropriately to the rainfall event of 27 June 2012 (paragraph 93, Recommendation 2).</t>
  </si>
  <si>
    <t>UK-0641</t>
  </si>
  <si>
    <t>Trains collision with an obstacle, 6/28/2012, Loch Trieg (United Kingdom)</t>
  </si>
  <si>
    <t>The first accident occurred at about 19:05 hrs on 28 June 2012 when a freight train derailed near Loch Treig, between Corrour and Tulloch stations, on the West Highland line in Scotland. The train, number 6S45, comprised a diesel-electric locomotive, 3 empty wagons and 21 wagons carrying aluminium powder from the North Blyth Alcan site to Fort William. It derailed after striking a boulder which is likely to have become dislodged during a landslide originating on a natural slope outside the railway boundary. The locomotive and the first five wagons of the train derailed towards Loch Treig. The locomotive ploughed down the slope and came to rest away from the railway on a natural ledge in the slope. There was some track damage and some damage to the vehicles involved. The driver of the locomotive was uninjured._x000D_
_x000D_
The first of two accidents on 18 July 2012 occurred at approximately 13:30 hrs when the 12:56 hrs Oban to Glasgow Queen Street service, train number 1Y24, struck soil and boulders which had fallen from the face of a railway cutting near Falls of Cruachan on the Oban branch line. The train comprised two 2-car class 156 diesel multiple units, a total of four carriages carrying about 70 passengers. There were no injuries among the passengers or crew. The train did not derail but suffered minor damage._x000D_
_x000D_
The second accident on 18 July occurred at about 16:10 hrs between Rosyth and Dunfermline, near Edinburgh, and involved a 2-car class 158 diesel multiple unit operating the 14:17 service from Newcraighall to Edinburgh, train number 2K05. The leading bogie of the train was derailed by debris from a landslide which had occurred in the side of a railway cutting. None of the 32 people on board were injured but the train suffered minor damage._x000D_
_x000D_
The fourth accident occurred between St Bees and Nethertown, on the Cumbrian coast line, at about 06:43 hrs on 30 August 2012. It involved the 06:00 hrs Maryport to Lancaster service, train number 2C32, a two coach train formed by a pair of class 153 diesel multiple units. The leading bogie derailed after striking landslide debris which had fallen from a natural slope above the railway. The train was damaged but no injuries were reported by the 102 passengers and three members of train crew.</t>
  </si>
  <si>
    <t>Loch Trieg</t>
  </si>
  <si>
    <t>No causal factors (class investigation)</t>
  </si>
  <si>
    <t>DK-5310</t>
  </si>
  <si>
    <t>Level crossing accident, 29-06-12, Århus (Denmark)</t>
  </si>
  <si>
    <t>Cyclist hit by train at crossing at Aarhus Harbor 
Cyklist ramt af tog i overkørsel på Århus Havn</t>
  </si>
  <si>
    <t>Århus</t>
  </si>
  <si>
    <t>The safety distance was not marked in the field, and its design at the time of the accident, lead left-wing cyclists far too close to passing trains without sufficient warnings or barriers to prevent this.</t>
  </si>
  <si>
    <t>ES-0137</t>
  </si>
  <si>
    <t>Train derailment, 01/07/2012, Zaragoza-Delicias station (Zaragoza) (Spain)</t>
  </si>
  <si>
    <t>Long distance passenger train derailed of left 9th axle as it was in the operation of changing the gauge from UIC to Iberian gauge.</t>
  </si>
  <si>
    <t>Zaragoza-Delicias station (Zaragoza)</t>
  </si>
  <si>
    <t>The derailment was caused by a failure in the system for changing the gauge in the left wheel of nineth_x000D_
axle of first bogie at third carriage due the breackage of the fastening screws of the lever at the safety device. This breackage makes the mechanism for locking/unlocking to be loose and not work properly.</t>
  </si>
  <si>
    <t>RO-1440</t>
  </si>
  <si>
    <t>Train derailment, 7/1/2012, Bucurestii Noi station, belongs to Bucuresti Railway County, on the south of railway network (Romania)</t>
  </si>
  <si>
    <t>first axle of the locomotive EA 636 from the freight train no. 81720-1 derailed over the switch no. 10C in Bucurestii Noi Station.</t>
  </si>
  <si>
    <t>Bucurestii Noi station, belongs to Bucuresti Railway County, on the south of railway network</t>
  </si>
  <si>
    <t>Cauza directa o constituie descarcarea de sarcina a rotii din partea dreapta a primei osii a locomotivei  în sensul de mers al trenului datorita cabrajului produs în momentul demararii locomotivei pe o portiune de linie aflata în rampa de 6,2‰ si în curba. _x000D_
Acest fapt a determinat catararea buzei rotii din dreapta a osiei de atac a locomotivei (prima osie în sensul de mers) pe ciuperca sinei de legatura exterioare a curbei schimbatorului de cale nr. 10C urmata de deraierea rotii si implicit a osiei nr.6.a locomotivei.  _x000D_
_x000D_
Factorii care au contribuit :_x000D_
Existenta unei traverse rupte pe firul interior al curbei schimbatorului la 3030 mm de joanta de vârf si la 4100 mm de punctul de escaladare. 
The direct cause is the load transfer of the wheel from the right of the first axle of the locomotive in the running direction of the train, following the climbing occurred   when starting up on a track segment on gradient of 6,2‰ and in curve._x000D_
This fact determined the  climbing of the wheel’s flange from the right of the  locomotive first axle ( the first axle in the running direction) on the head of stock  rail, outside to the switch curve no.10C followed by the wheel derailment and respectively of the axle no.6 of the locomotive._x000D_
 _x000D_
Factors  that contributed: _x000D_
The existence of a broken sleeper on the inner line of the switch curve to 3030 mm from the toe switch joint and to 4100 mm from the  climbing point.</t>
  </si>
  <si>
    <t>AT-0064</t>
  </si>
  <si>
    <t>Train derailment, 2012-07-03, Derailment km 11,700 between the station Weißkirchen and the station Obdach (Austria)</t>
  </si>
  <si>
    <t>Derailment of freight train 64525 at km 11,700 between the station Weißkirchen and the station Obdach due to a damage track after a washout of the track bed and the substructure.</t>
  </si>
  <si>
    <t>Derailment km 11,700 between the station Weißkirchen and the station Obdach</t>
  </si>
  <si>
    <t>Due to heavy rainfall a small creek was stepped out of its shore. The clogging of a creek passage prevented the outflow and caused a washout of the track bed and the substructure.</t>
  </si>
  <si>
    <t>AT-0136</t>
  </si>
  <si>
    <t>Level crossing accident, 2012-07-04, Level crossing km 26.618 between the station Grünbach am Schneeberg and the station Puchberg am Schneeberg (Austria)</t>
  </si>
  <si>
    <t>Collision between passenger train 623 and a car on the level crossing at km 26,618 between the station Grünbach am Schneeberg and the station Puchberg am Schneeberg. The level crossing was secured with a level crossing road signal. The driver of the car was fatally injured. A person ride in the car was seriously injured.</t>
  </si>
  <si>
    <t>Level crossing km 26.618 between the station Grünbach am Schneeberg and the station Puchberg am Schneeberg</t>
  </si>
  <si>
    <t>FR-0227</t>
  </si>
  <si>
    <t>Trains collision with an obstacle, 04/07/2012, Lachapelle-Auzac (France)</t>
  </si>
  <si>
    <t>Passenger train hits a ladder truck near Lachapelle-Auzac.A catenary maintenance team was putting a ledder truck on the rails. They have been surprised when the passenger train n°3620 arrived and they had no time to clear the track.</t>
  </si>
  <si>
    <t>Lachapelle-Auzac</t>
  </si>
  <si>
    <t>La décision du chef de chantier pour les travaux caténaires sur la voie 1 de faire traverser la voie 2 par l'engin de chantier sans s’être assuré de l’absence de train circulant sur cette voie qui ne serait pas en mesure de s’arrêter avant cet obstacle. 
The decision of the foreman to work catenary on channel 1 to channel 2 through the construction machine without confirming the absence of train on this route would not be able to stop before the obstacle.</t>
  </si>
  <si>
    <t>- l’absence de mise en œuvre des mesures opérationnelles prévues par la SNCF pour effectuer une telle opération ;_x000D_
- l’engagement de l'engin sans attendre, après la mise en place du dispositif de shuntage, le délai requis par les mesures opérationnelles précitées pour garantir que tout train sera en mesure de s’arrêter avant le signal d'arrêt à main ;_x000D_
- la mauvaise qualité de la communication téléphonique entre le chef de chantier et l’agent-circulation de la gare de Souillac concernant les circulations ferroviaires sur la voie 2, qui a conduit le chef de chantier à considérer à tort qu’il n’y avait plus de train en direction de sa zone de chantier ;_x000D_
- le manque de maîtrise et l’impréparation de la traversée des voies par l'engin qui était notamment effectuée sans mise en place des cales prévues pour franchir les rails. 
- The lack of implementation of operational measures provided by SNCF to perform such an operation;_x000D_
- The commitment of the machine immediately, after the establishment of the shunting device, the time required by the above operational measures to ensure that any train will be able to stop before the stop hand signal;_x000D_
- Poor quality of the telephone communication between the foreman and the signalman Station Souillac on rail traffic on channel 2, which led to the foreman wrongly consider that there had more train to the site area;_x000D_
- The lack of control and the unpreparedness of the crossing of the ways in which the craft was made ??without including implementation of shims provided to cross the tracks.</t>
  </si>
  <si>
    <t>HU-0104</t>
  </si>
  <si>
    <t>Trains collision, 7/5/2012, Budapest, Deli Railway Station (Hungary)</t>
  </si>
  <si>
    <t>Passenger train (No. 4320) and a shunting unit collided at Budapest-Deli station. 
A 4320 sz. vonat összeütközött egy tolató egységel.</t>
  </si>
  <si>
    <t>Budapest, Deli Railway Station</t>
  </si>
  <si>
    <t>Human failure (station staff) - lack of communication</t>
  </si>
  <si>
    <t>Not sufficient visibility due to the built environment (switches and crossings)</t>
  </si>
  <si>
    <t>RO-0119</t>
  </si>
  <si>
    <t>Level crossing accident, 05/07/2012, IL Caragiale (Romania)</t>
  </si>
  <si>
    <t>The locomotive DHC 002 from the sunting train 9999 hit a car at the level crossing from km 0+600 on the special line IL Caragiale - Gura Palangii</t>
  </si>
  <si>
    <t>IL Caragiale</t>
  </si>
  <si>
    <t>Direct cause of the accident was the non-ensurance of the braked mass percentage necessary to keep stopped the rake of wagons CM2  being on the branch line carrying feeder traffic  I.L. Caragiale – fan of industrial branches Gura Palangii._x000D_
                                                                                                                     _x000D_
Contributing factors_x000D_
- the shunting gang left the rake of wagons, SNTFM “CFR Marfa” SA did nor ensure another shunting gang, taking into account that the shunting of the rake of wagons CM2 was not finished and it was not stabled on one of the lines from the railway station I.L. Caragiale, as it is stipulated in the chapter 3, art. 7 from the Regulations for the operation of the track section I.L.Caragiale-Moreni-Filipestii de Padure-Gura Palangii, approved by AFER and the Ministry of Transports, Constructions and Touris. The shunting gang leaving endangered the traffic safety on the branch line carrying feeder traffic I.L. Caragiale-Gura Palangii and in the railway station I.L. Caragiale;_x000D_
- the driver left the locomotive of the rake of wagons CM2, without meeting with the provisions of the art. 12, paragraph 1, letter e from the Instructions for the activity of the locmotive staff no. 201/2007, approved by Order of the Ministry of Transports, Constructions and Tourism no. 2229/23.11.2006;_x000D_
- delivery of the locomotive by the driver’s assistant for surveillance was made without being sheded on a line especially dedicated in a traction unit or station, as it is stipulated at the art. 9, paragraph 1, letter e and at the art. 30 –(1) from “Instructions for the activity of the of the locmotive staff no. 201/2007, approved by Order of the Ministry of Transports, Constructions and Tourism no. 2229/23.11.2006”; _x000D_
- service transfer from the locomotive driver of the rake of wagons CM2 to the driver’s assistant , in charge with the surveillance;_x000D_
- position of the fixed derailer S1 that, at the passing of the rake of wagons CM2, run away from the branch line carrying feeder trafficI.L. Caragiale-Gura Palangii, was “Overturn from the rail”, against the provisions:_x000D_
- art. 170, paragraph 2 of the Regulations for railway technical operation no. 002/2000, approved by Order of Ministry of Public Works, Transports and Lodgings 1186/2001;_x000D_
- art. 35, paragraph 6, 10th section from the Regulations for the running of the trains and of the shunting vehicles no. 005/2005;_x000D_
- chapter 3 from the Regulations for the operation of the track section I.L. Caragiale-Moreni-Filipestii de Padure-Gura Palangii, approved by AFER and Ministry of Transports, Constructions and Tourism.</t>
  </si>
  <si>
    <t>AT-0235</t>
  </si>
  <si>
    <t>Level crossing accident, 2012-07-06, Level crossing km 18,475 between the station Hofstetten-Grünau and the station Klangen (Austria)</t>
  </si>
  <si>
    <t>Collision between passenger train 6802 and an agricultural tractor at the level crossing at km 18,475 between the station Hofstetten-Grünau and the station Klangen. The level crossing was secured by St. Andrews cross, stop sign for road users and acoustically signals by the train._x000D_
The driver of the car was seriously injured.</t>
  </si>
  <si>
    <t>Level crossing km 18,475 between the station Hofstetten-Grünau and the station Klangen</t>
  </si>
  <si>
    <t>AT-2745</t>
  </si>
  <si>
    <t>Level crossing accident, 06/07/2012, Between station Scheibbs and station Purgstall (Austria)</t>
  </si>
  <si>
    <t>Wednesday, 6th Juli, 2012, at 11:20 o´clock, a collision between the train 7013 and a PKW occured between station Scheibbs and station Purgstall at the level crossing in km 25,694 (secured with level-crossing road signal)._x000D_
The driver of the car was heavy injured._x000D_
The passengers and the train crew stayed unharmed._x000D_
The cause of the crash was that the car tried to use the level crossing despite the "STOP" imperious by the level-crossing road signal. 
Mittwoch, 6. Juli 2012, um 11:20 Uhr, ereignete sich zwischen Bf Scheibbs und Bf Purgstall, auf der EK im km 25,694 (gesichert mit einer Lichtzeichenanlage) ein Zusammenprall zwischen Z 7013 und einem PKW._x000D_
Der Lenker des PKW wurde schwer verletzt._x000D_
Die Reisenden und das Zugpersonal blieben unverletzt._x000D_
Die Ursache für den Zusammenprall war das Übersetzen der EK trotz „HALT“ gebietender Lichtzeichenanlage.</t>
  </si>
  <si>
    <t>Between station Scheibbs and station Purgstall</t>
  </si>
  <si>
    <t>Auf Grund der vorliegenden Erkenntnisse ist davon auszugehen, dass die Ursache in einer menschlichen Fehlhandlung des Straßenverkehrsteilnehmers begründet ist. 
On the basis of the present findings it can be assumed that the cause is due to a human error plot of the traffic participant.</t>
  </si>
  <si>
    <t>UK-0094</t>
  </si>
  <si>
    <t>Train derailment, 2012-07-07, Shrewsbury (United Kingdom)</t>
  </si>
  <si>
    <t>Derailment of a freight train at Shrewsbury.  At 14:13 hrs on 7 July 2012 all wheels of the leading bogie on the 16th wagon of freight train 6M61 derailed as it travelled from the Down Main line to the Down Main Crewe line over a set of facing points. The train was travelling at 14 mph and comprised a locomotive and 19 wagons carrying coal from Portbury Dock to Fiddlers Ferry. The train travelled approximately 80 metres in the derailed condition before coming to a stand. The driver of the locomotive was uninjured and the wagon remained upright. However, there was significant damage to the track, points and crossings.</t>
  </si>
  <si>
    <t>Shrewsbury</t>
  </si>
  <si>
    <t>Wagon 370510 derailed over No. 75 points on 7 July 2012 at Crewe Junction (Shrewsbury) because the points were unsafe to negotiate (paragraph 23). The simulation undertaken suggested that the derailment initiated close to the toe of the points and that the wear and damage were important factors in the derailment.</t>
  </si>
  <si>
    <t>The wear and damage was present because: a.the maintenance regime in place on No. 75 points did not control the risk associated with the degradation of the points (paragraph 36); b. the inspection regime in place on No. 75 points did not detect the degradation of the points (paragraph 40); and c. the increase in freight traffic over No. 75 points leading to an increased wear rate is a possible factor (paragraph 39). The inspection regime on No. 75 points did not detect the degradation of the points because: a. the inspection regime at Shrewsbury did not satisfy the intent of TRK/053 for high-risk points (paragraph 42, recommendation 1). This happened because: i. the wording of the section in TRK/053 dealing with periodicity of detailed inspection was open to misinterpretation (paragraph 50, recommendation 1); and ii. the misinterpretation was not picked up by any follow-up checks (none planned) or subsequent internal compliance monitoring activities carried out by Network Rail (paragraph 52, recommendation 1). b. the inspection regime in place at Shrewsbury did not detect that the points had degraded to an unsafe condition and did not trigger a detailed inspection to TRK/053 (paragraph 53). This happened because: i. it is difficult to identify wear visually (paragraph 59, recommendation 3); ii. the supervisor’s visual inspection on 19 June 2012 might have been carried out with the points in the normal position (facing Chester) and not reverse (towards Crewe) (paragraph 61, recommendation 2); iii. the supervisor who carried out the supervisor’s visual inspection on 19 June 2012 was not competent to TRK/053 and did not use the TGP8 gauge to determine whether a detailed inspection to TRK/053 was required (paragraph 68, learning point and recommendation 2); and iv. the switch rail damage might have been obscured by grease (paragraph 74, recommendation 3).</t>
  </si>
  <si>
    <t>IT-0049</t>
  </si>
  <si>
    <t>Train derailment, 2012-07-14, PM Lavino (Italy)</t>
  </si>
  <si>
    <t>Derailment of the regional train 2885 (Voghera - Rimini), on the line Bologna - Piacenza, PM Lavinio. _x000D_
Derailment of the whole train (loco + 5 cars)</t>
  </si>
  <si>
    <t>PM Lavino</t>
  </si>
  <si>
    <t>The direct cause of the derailment is the position of the switch N.09 not in accordance compared to signaling, which led to the engagement of the switch, placed in position deviated, at improper speed</t>
  </si>
  <si>
    <t>the underlying cause is the method adopted for the conduct of maintenance that does not comply with the procedures established for the execution of the maintenance and repair of the safety apparatus</t>
  </si>
  <si>
    <t>UK-0640</t>
  </si>
  <si>
    <t>Accident to persons caused by RS in motion, 2012-07-16, Roydon (United Kingdom)</t>
  </si>
  <si>
    <t>The incident occurred at 13:41 hrs when train 2H33, the 13:04 hrs service from Cambridge to London Liverpool Street was approaching Roydon at a speed of about 65 mph (104 km/h). As the train approached a small bridge that carries the railway over the river Stort, the driver of the train observed two track workers on the bridge who were moving away from the path of his train. The last of these workers reached the end of the bridge structure and moved clear of the track only two to three seconds before the passage of the train.</t>
  </si>
  <si>
    <t>Roydon</t>
  </si>
  <si>
    <t>The track workers were unable to reach a position of safety in sufficient time (paragraph 45).</t>
  </si>
  <si>
    <t>The following causal factors were identified: a. The lookout was unable to give sufficiently early warning of an approaching train because the COSS had implemented a SSOW which was inappropriate for the nature of the work and the location (paragraph 47, Recommendation 1); b. The COSS did not detect that the planned SSOW was inappropriate for the nature of the work and the location (paragraph 59, Learning point 2); and c. the SSOW selected by the planner was inappropriate for the nature of the work and the location (paragraph 62, Recommendation 2). It is possible that the following factor was also causal: a. The SSOW pack was not sent for approval by a more senior person as required by Network Rail standards (paragraph 67, Learning point 2). The following underlying factors were identified: a. The COSS and the other group members did not have sufficient experience of implementing Red Zone SSOW to recognise that the planned system of work could not be undertaken safely (paragraph 71, Recommendation 4 of RAIB report 03/2012 (paragraph 111)). It is possible that the following factors were also underlying: a. The decision to undertake the additional tasks was made at short notice and so placed the COSS and planner under time pressure; it may also have influenced the type of SSOW selected (paragraph 76, Learning point 1). b. The planner held only probationary status in the role and lacked experience in the planning of SSOW. This may have affected the way in which the SSOW pack for the additional tasks was planned and issued (paragraph 83, no recommendation).</t>
  </si>
  <si>
    <t>HU-0053</t>
  </si>
  <si>
    <t>Train derailment, 17/07/2012, Budapest (Hungary)</t>
  </si>
  <si>
    <t>A tram has derailed with its 2 axles_x000D_
(Common investigation with HU-0057 - (18/07/12) 
A 1452 psz. villamos két tengellyel kisiklott</t>
  </si>
  <si>
    <t>Budapest</t>
  </si>
  <si>
    <t>The surface of the outer stretch of rails of the track was deformed (bulged) due to inadequate welding reparation, which contributed to the hog of the wheel while lead not being ensured by the inner stretch of rails either._x000D_
This deficiency had not been revealed during the welding operation or in the acceptance procedure and it had not been repaired.</t>
  </si>
  <si>
    <t>HU-0057</t>
  </si>
  <si>
    <t>Train derailment, 18/07/2012, Budapest (Hungary)</t>
  </si>
  <si>
    <t>The tram has derailed with its 1 axle. 
A villamos elso tengelyével kisiklott.</t>
  </si>
  <si>
    <t>The surface of the outer stretch of rails of the track was deformed (bulged) due to inadequate welding reparation, which contributed to the hog of the wheel while lead not being ensured by the inner stretch of rails either._x000D_
This deficiency had not been revealed during the welding operation or in the acceptance procedure and it had not been repaired._x000D_
_x000D_
(Recommendations issued related to the finding of the investigation are under HU-0053, because these event were investigated commonly.)</t>
  </si>
  <si>
    <t>ES-0139</t>
  </si>
  <si>
    <t>Train derailment, 19/07/2012, Montoro (Córdoba) (Spain)</t>
  </si>
  <si>
    <t>Flat wagon of freight train derailed at kilometre point 393+525, between Villa del Río and Montoro stations (Córdoba).</t>
  </si>
  <si>
    <t>Montoro (Córdoba)</t>
  </si>
  <si>
    <t>The derailment is caused by a technical failure of the rolling stock, when an axle journal broke down due to an overheating of the axle box</t>
  </si>
  <si>
    <t>The situation was not properly handled by the staff.</t>
  </si>
  <si>
    <t>SK-0326</t>
  </si>
  <si>
    <t>Accident to persons caused by RS in motion, 19. 7. 2012, Å½ilina station (Slovak Republic)</t>
  </si>
  <si>
    <t>Accident to persons caused by RS in motion in Žililina station</t>
  </si>
  <si>
    <t>Å½ilina station</t>
  </si>
  <si>
    <t>Direct cause of accident could not be identified.</t>
  </si>
  <si>
    <t>HU-0083</t>
  </si>
  <si>
    <t>Spad, 20-07-12, Tárnok (Hungary)</t>
  </si>
  <si>
    <t>The subject of "Stop!" position "F" marked front indicator exceeded without permission. 
A vonat a "Megállj!" állású "F" jelu bejárati jelzot engedély nélkül meghaladta.</t>
  </si>
  <si>
    <t>Tárnok</t>
  </si>
  <si>
    <t>1.	A vonat mozdonyvezetoje figyelmen kívül hagyta Tárnok állomás „F” jelu bejárati jelzojének jelzését._x000D_
2.	A vonat vezeto jegyvizsgálója tévesen értelmezte azt a forgalmi szituációt, amely az esemény idopontjában kialakult. Az „F” jelu bejárati jelzo szerepét tévesen értelmezte, tévedésére késon jött rá. 
1. The train driver disregards the signal of the entrance signal "F" of the Tárnok station._x000D_
2. The train station observes the marketing situation that occurs at the time of the event. He misinterpreted the role of the "F" entrance marker and realized it was a mistake late.</t>
  </si>
  <si>
    <t>CZ-0234</t>
  </si>
  <si>
    <t>Trains collision with an obstacle, 23.7.2012, open line between Miroslav and Hrusovany nad Jevisovkou stations (Czech Republic)</t>
  </si>
  <si>
    <t>Collision of freight train Mn 82623 with an obstacle - portable scaffolding under the bridge which has been repaired.</t>
  </si>
  <si>
    <t>open line between Miroslav and Hrusovany nad Jevisovkou stations</t>
  </si>
  <si>
    <t>Disruption of cross section of track during unauthorised performance of building works by subcontractor’s workers in the protection zone of track without a permission of the infrastructure manager and without keeping regulation of infrastructure manager SŽDC, s. o. and National safety agency.</t>
  </si>
  <si>
    <t>Underlying cause:	_x000D_
human factor – manager of operational centre TO Hrušovany nad Jevišovkou _x000D_
-acted outside his competence set by document „Vyjádrení k ohlášení stavby“  which was issued by infrastructure manager SŽDC, s. o.;_x000D_
-did not ensure safety on the construction site in compliance with the document „Vyjádrení k ohlášení stavby“ from SŽDC, s. o., and regulation „SŽDC (CD) Op16, Predpis o bezpecnosti a ochrane zdraví pri práci“;_x000D_
-broke duties set in document „Výnos c. 1. k predpisu SŽDC (CD) Op 16“._x000D_
_x000D_
Contributing factors:_x000D_
-manager of operational centre TO Hrušovany nad Jevišovkou did not check conditions in conection with the start of construction works in compliance with regulation of “SŽDC (CD) Op 16“;_x000D_
-human factor – train dispatchers of Miroslav station provided information about the traffic situation to contractor’s (subcontractor’s) workers, who did not have  professional competence which coresponded with the document „Výnos c. 1. k predpisu SŽDC (CD) Op 16“._x000D_
_x000D_
Root cause:	_x000D_
-an ambiguous procedure of the infrastructure manager for the provision of safety information;_x000D_
-no provision of document Vyjádrení k ohlášení stavby“ from the SŽDC, s. o. management (IM) to manager of operational center who was present  on the the construction site on the day of the beginning of construction works.</t>
  </si>
  <si>
    <t>DE-0129</t>
  </si>
  <si>
    <t>Train derailment, 7/24/2012, Stuttgart Hbf (Germany)</t>
  </si>
  <si>
    <t>Während der Ausfahrt aus Gleis 10 entgleisten bei IC 2312 in der Weiche 227 die beiden letzten Reisezugwagen sowie das Triebfahrzeug am Schluß des Zuges. Keine verletzten Personen._x000D_
_x000D_
Der Untersuchungsbericht bezieht sich auf die Zugentgleisungen der IC 2312 am 24.07.2012 sowie am 29.09.2012. Beide Entgleisungen ereigneten sich nahezu zur gleichen Uhrzeit bei der Ausfahrt aus Gleis 10 des Stuttgarter Hauptbahnhofs. Des Weiteren beinhaltet der Bericht auch Erkenntnisse aus der Entgleisung einer Versuchsfahrt aus Gleis 10 in Stuttgart Hbf am 09.10.2012. 
During the exit from platform 10 by the train IC 2312 in the switch 227, the last two coaches and the driving coach at the end of the train derailed. No injured persons._x000D_
_x000D_
The investigation report refers to the derailment of the IC 2312 on 24.07.2012 and on 29.09.2012. Both derailments occurred almost at the same time at the exit from the track 10 of the Stuttgart main station. In addition, the report also includes insights from the derailment of a test run from track 10 in Stuttgart main station on 09/10/2012.</t>
  </si>
  <si>
    <t>Stuttgart Hbf</t>
  </si>
  <si>
    <t>Anhand der im Zuge der Ermittlung gewonnenen Erkenntnisse ist davon auszugehen, dass die Entgleisungen primärursächlich auf ein Versagen von Puffern an den im Zugverband lau-fenden WRmz - Wagen und / oder von unmittelbar benachbarten Wagen zurückzuführen sind, wobei die Federkennlinien der Puffer außerhalb der festgelegten Bereiche lagen und die zugelassenen Anfahrdruckkräfte zu hoch waren, sowie infrastrukturseitige Einflüsse, der aus-gereizten örtlichen Trassierung, begünstigend wirkten. 
Based on the knowledge gained in the course of the investigation it is assumed that the derailment’s primary cause is due to a failure of buffers in the ongoing train WRmz-wagons and / or return of immediately adjacent wagon, the spring characteristics of the buffer outside the specified areas documents and the approved starting pressure forces were too high, and infrastructure side effects, which also had a favourable effect on local track alignment.</t>
  </si>
  <si>
    <t>DE-0130</t>
  </si>
  <si>
    <t>Train derailment, 25-07-12, Winterhausen (Germany)</t>
  </si>
  <si>
    <t>Am 25.07.2012 gegen 09:15 Uhr entgleiste DGS 43101 auf der Fahrt von Wanne-Eickel nach Verona Quadrante Europa im Bahnhof (Bf) Winterhausen im Gleis 404 etwa in km 126,62 mit dem führenden Drehgestell des zehnten Wagens. 
On 25. 07. 2012 at 09:15 am DGS 43 101 derailed on the journey from Wanne-Eickel to Verona Quadrante Europa in the station (Bf) Winterhausen in track 404 about 126. 62 km with the leading bogie of the tenth car.</t>
  </si>
  <si>
    <t>Winterhausen</t>
  </si>
  <si>
    <t>Die Entgleisung war auf einen Radscheibenbruch infolge thermischer Überbeanspruchungen beim bisherigen Betriebseinsatz des Wagens zurückzuführen. 
The derailment was due to a break in the wheel disc due to thermal overloads during the previous operation of the car.</t>
  </si>
  <si>
    <t>DE-0131</t>
  </si>
  <si>
    <t>Trains collision, 26/07/2012, Hosena (Germany)</t>
  </si>
  <si>
    <t>Der Güterzug DGS 49325 kollidierte in Höhe des Stellwerks W3 im Bahnhof Hosena mit dem nach Gleis 1W signalmäßig einfahrenden Güterzug DGS 92505. 
The freight train DGS 49325, in the area of the signal box W3 at the railway station Hosena, collided with the freight train DGS 92505, which was driving into the track 1W with signal permission.</t>
  </si>
  <si>
    <t>Hosena</t>
  </si>
  <si>
    <t>ITL-Eisenbahngesellschaft mbH; 
Germany</t>
  </si>
  <si>
    <t>Die Kollision ist auf ein Bremsversagen des Güterzuges 49325 zurückzuführen. 
The collision is due to a brake failure of freight train 49325.</t>
  </si>
  <si>
    <t>ES-0305</t>
  </si>
  <si>
    <t>Spad, 26/07/2012, Madrid-Atocha station (Madrid) (Spain)</t>
  </si>
  <si>
    <t>Long distance passenger train is wrongly authorised to overtake exit signal S1/4C at Madrid-Atocha station (Madrid). 
Tren de pasajeros de larga distancia es autorizado erróneamente a rebasar señal de salida S1/4C (en indicación de parada) en la estación de Madrid-Atocha (Madrid).</t>
  </si>
  <si>
    <t>Madrid-Atocha station (Madrid)</t>
  </si>
  <si>
    <t>The incident was caused by a failure of the traffic agent who wrongly authorized to overtake exit signal S1/4C when the route was not rightly established and without the traffic manager´s authorization</t>
  </si>
  <si>
    <t>CZ-0128</t>
  </si>
  <si>
    <t>Level crossing accident, 28.7.2012, Opatovice nad Labem (Czech Republic)</t>
  </si>
  <si>
    <t>Collision of the freight train No. 66395 at the level crossing with a motorcyclist.</t>
  </si>
  <si>
    <t>Opatovice nad Labem</t>
  </si>
  <si>
    <t>No indication</t>
  </si>
  <si>
    <t>Direct cause: third party – level crossing user (motorcycle driver’s violation). _x000D_
_x000D_
Contribution factors: _x000D_
- poor level crossing condition (insufficient field of view of motorcyclist towards approaching train)_x000D_
- insufficient visibility of warning crosses for level crossing users</t>
  </si>
  <si>
    <t>Underlying cause: _x000D_
- failure to respect of rules for operation on the road by the driver of motorcycle;_x000D_
- incorrect procedures of IM during level crossing inspections and maintenance of visibility condition._x000D_
_x000D_
Root cause: none.</t>
  </si>
  <si>
    <t>AT-0141</t>
  </si>
  <si>
    <t>Level crossing accident, 2012-07-31, Level crossing km 2,753 between the station Langenlois and the station Hadersdorf am Kamp (Austria)</t>
  </si>
  <si>
    <t>Collision between passenger train 6229 and a cyclist at the level crossing at km 2,753 between the station Langenlois and the station Hadersdorf am Kamp.</t>
  </si>
  <si>
    <t>Level crossing km 2,753 between the station Langenlois and the station Hadersdorf am Kamp</t>
  </si>
  <si>
    <t>Ursache war die Nichteinhaltung der Bestimmungen der EKVO betreffend dem Verhalten von Straßenbenützern beim Überqueren einer mit Andreaskreuz und Gewährleistung des erforderlichen Sichtraumes gesicherten EK. 
Cause of the accident was the non-observance of the provisions of the level crossing regulation [EKVO] regarding the behaviour of road users when crossing a level crossing equipped with a St Andrews Cross and providing the visibility required.</t>
  </si>
  <si>
    <t>RO-0120</t>
  </si>
  <si>
    <t>Fire in RS, 02.08.2012, open line Costesti - Parvu (Romania)</t>
  </si>
  <si>
    <t>the ballast cleaning machine ( train no. 98930) was in fire</t>
  </si>
  <si>
    <t>open line Costesti - Parvu</t>
  </si>
  <si>
    <t>Direct cause                                                                                                                     _x000D_
_x000D_
Short-circuit  between the conductor, situated between a main pole and a reversing pole, of the traction engine no. 3 and the brush collar support_x000D_
_x000D_
_x000D_
Contributing factors_x000D_
Non-compliance with the deadline established for the works specific to the repair type at the balast cleaner  (due for repair type RG in 1995 and 2005 years, and for the repair type RK in 2000), led to an advanced wear at the equipments and generator sets, generating:_x000D_
- decrease of the electrical strength of the insulating material at the conductors between the poles of the traction engine no. 3;_x000D_
- oil leakages through the sealing areas of the hydraulic parts of the diesel engine and their deposit in hard-to-reach points.</t>
  </si>
  <si>
    <t>Underlying causes_x000D_
Non-performance of the works for the removal of the oil deposits (fuel, greases) from the hard-to-reach constructive areas of the balast cleaner, where they can appeare.</t>
  </si>
  <si>
    <t>UK-0125</t>
  </si>
  <si>
    <t>Accident to persons caused by RS in motion, 06/08/2012, Near Bulwell station, Nottingham (United Kingdom)</t>
  </si>
  <si>
    <t>At 09:31 hrs on Monday 6 August 2012, the 09:25 hrs East Midlands Trains service from Nottingham to Worksop struck a track worker, the track worker was struck around 50m beyond the junction, 140m on the approach to Bulwell station Nottingham._x000D_
Track worker suffered serious chest injuries a badly broken wrist and abrasions to the head._x000D_
Injuries were not life threatening but required surgery and five day stay in hospital.</t>
  </si>
  <si>
    <t>Near Bulwell station, Nottingham</t>
  </si>
  <si>
    <t>The immediate cause of the accident was that the off-track inspector was in a position where he could be struck by train 2W06 (paragraph 62).</t>
  </si>
  <si>
    <t>The off-track inspector had a reduced awareness of his position with respect to the line. This was probably because he was unfamiliar with the site of the inspection and therefore focussed on determining his location (paragraph 72, no recommendation). 162 The off-track inspector’s awareness of his position with respect to the line may also have been reduced because he needed to concentrate on some elements of the lineside vegetation inspection (paragraph 79, no recommendation). 163 The off-track inspector was working under a planned safe system of work which was unsuitable for the inspection. Had the most appropriate safe system of work for the inspection been used, the accident would have been avoided. The off-track inspector was working under an unsuitable system because; a. He did not realise when implementing the safe system of work that there was insufficient available sighting distance at the site of the inspection (paragraph 93, Recommendation 1 of RAIB report 07/2013 (paragraph 185)); and b. The information provided to support his verification and approval of the safe system of work did not effectively highlight the lack of available sighting distance at the site of the inspection (paragraph 99, Recommendation 1 of RAIB report 07/2013 (paragraph 185)). 164 The planner had issued the off-track inspector with a Red Zone COSS/IWA safe system of work pack, even though it would be unsuitable to implement at the site of the inspection. The planner issued this pack because; a. She was unfamiliar with the site of the inspection due to the size of her area of responsibility (paragraph 103, Recommendation 1); and b. The information provided to support her when planning safe systems of work either did not effectively highlight the lack of available sighting distance at the site of the inspection or was found by her to be impracticable to use given her workload (paragraph 111, Recommendations 1 and 3, Recommendation 2 of RAIB report 07/2013 (paragraph 186)). c. The planner issued Red Zone COSS/IWA safe system of work packs for the majority of routine lineside vegetation and fencing inspections. This was probably because; i. The off-track section had only a limited range of safe systems of work available to use when planning lineside inspections (paragraph 118, no recommendation); ii. There was probably an informal agreement reached within the off-track section that Red Zone safe systems of work packs would be issued for the majority of lineside inspections (paragraph 125, Learning point 1); and iii. Safety monitoring data provided to senior managers appeared to show that the off-track section’s usage of Red Zone SSOW was within targets (paragraph 128, Recommendation 2). Underlying factors 165 The planning workload within the off-track section planner had increased to the point where it undermined the planner’s ability to effectively plan safe systems of work (paragraph 137, Recommendation 3). 166 Data from the ELLIPSE system used by senior managers to monitor the percentage of Red Zone working being undertaken by the off-track section was inaccurate (paragraph 142, Recommendation 2).</t>
  </si>
  <si>
    <t>HU-0126</t>
  </si>
  <si>
    <t>Level crossing accident, 07/08/2012, Koszeg és Szombathely között (Hungary)</t>
  </si>
  <si>
    <t>passenger train collided with a lorry in a passive LC 
Sorompó nélküli vasúti átjáróban motorvonat közúti munkagéppel ütközött, a vonat kisiklott.</t>
  </si>
  <si>
    <t>Koszeg és Szombathely között</t>
  </si>
  <si>
    <t>Level Crossing user: lack of attendance</t>
  </si>
  <si>
    <t>adequacy of maintenance (Level crossing)</t>
  </si>
  <si>
    <t>UK-0121</t>
  </si>
  <si>
    <t>Trains collision, 10/08/2012, Arley (United Kingdom)</t>
  </si>
  <si>
    <t>04:45 hrs on Friday 10 August 2012, the COSS on a ballast regulator informed the PICOP that they had just finished working in a possession on the mainline between Whiteace Junction and Nuneaton station and that a stone blower had collided with them while stationary to the west of Arley tunnel.</t>
  </si>
  <si>
    <t>Arley</t>
  </si>
  <si>
    <t>Babcock Rail Limited</t>
  </si>
  <si>
    <t>The immediate cause of the accident was that the driver was unable to stop the stoneblower to avoid a collision with the stationary regulator on the same line (paragraph 83).</t>
  </si>
  <si>
    <t>he causal factors were a combination of the following: a. the driver did not control the stoneblower to a speed such that, on sighting the regulator, he was able to stop short of it (paragraph 87, Recommendation 1); b.the stoneblower driver’s speed of travel was probably influenced by his belief that the line was clear to his authorised stopping point (paragraph 90, Recommendation 2); c. immediately before the collision, it is possible that the driver was distracted from the driving task, causing him to misjudge the speed of the stoneblower (paragraph 100, Recommendation 2); and d. the PICOP ES changed the published possession arrangements for giving up the possession around the stoneblower and instructed both the stoneblower and regulator to travel towards the exit of the worksite (paragraph 110, Recommendations 1 and 3).  The underlying factor was that, in the absence of controls to keep trains and plant apart, long worksites tend to increase the risk of collision (paragraph 118, Recommendation 1).</t>
  </si>
  <si>
    <t>HU-0122</t>
  </si>
  <si>
    <t>Train derailment, 8/14/2012, Szolnok (Hungary)</t>
  </si>
  <si>
    <t>20th wagon of the freight train No 45518-1 derailed with its two axles at the point No.28/b. 
A kihaladó 45518.1 sz. vonat 20. kocsija kisikllott</t>
  </si>
  <si>
    <t>Szolnok</t>
  </si>
  <si>
    <t>GySEV Cargo Zrt.</t>
  </si>
  <si>
    <t>A Vb a rendelkezésére álló adatok alapján az eset bekövetkezését több tényezo együttes közrehatására vezeti vissza:_x000D_
- Az esetben részes kocsi alvázkerete szemmel is láthatóan el volt csavarodva._x000D_
- A siklott, 33 56 537 7393-7 pályaszámú, üres négytengelyes kocsi haladási irányát tekintve a menet irányába eso elso forgóvázán a jobb oldali kerekek, a hátsó forgóvázán pedig a bal oldali kerekek kerékterhelése számottevoen nagyobb volt._x000D_
- A vonat kijárati vágányútjában fekvo, a 40. és a 28 sz. kitérok között található keresztezésben egy azonnali beavatkozást nem igénylo mértéku, fekszinthibás vágányszakasz található. 
-   The frame of the wagon was evidently curved._x000D_
-   Significant difference between the measured axle load values at the first right and the rear left wheels of the derailed wagon (33 56 537 7393-7)_x000D_
-   Local track-alignment failure (water-pocket) at the vicinity of the occurrence (between the points No. 40 and 28)</t>
  </si>
  <si>
    <t>RO-0222</t>
  </si>
  <si>
    <t>Train derailment, 19/08/2012, Zalau Nord - Mirsid (Romania)</t>
  </si>
  <si>
    <t>the 5-th wagon (no.31530667181-1) from the freight train no. 69731 derailed at km 102+030, between railway stations Zalau Nord and Mirsid</t>
  </si>
  <si>
    <t>Zalau Nord - Mirsid</t>
  </si>
  <si>
    <t>Romania, National Railway Company "CFR" S.A.</t>
  </si>
  <si>
    <t>Direct cause of the accident was the exceeding of the allowed report of the wheel load at the second bogie’s axles of the wagon in the running direction (the axles with the wheels no. 1-2, and 3-4), because of the wagon’s incomplete unloading (the charge from the diagonal compartment opposed to the trailing wheel no. 8 was not unloaded)._x000D_
This fact lead at the discharging of the load of the trailing wheel when the bogie entered in the curve, favouring the climbing of the wheel’s lip on the head of the rail from the outside curve rail at the km 99+077 and the derailment of the axle with the wheels no. 7-8, followed by the training in derailment of the axle no. 5-6. _x000D_
       	       	_x000D_
Contributing factors_x000D_
_x000D_
The running with the decreased speed on a curve whose effective cant of track was of 50 mm, had as effect the load unloading of the wheels from bogie’s left in the running direction.</t>
  </si>
  <si>
    <t>DE-0132</t>
  </si>
  <si>
    <t>Train derailment, 21/08/2012, Berlin Tegel (Germany)</t>
  </si>
  <si>
    <t>S-Bahn 25068 ist bei der Ausfahrt aus dem Bahnhof Berlin Tegel mit dem 3. und 4. Wagen in der Weiche 74 entgleist. 
S-Bahn train 25068 derailed with 3rd and 4th wagon at the switch 74, during the exit from the station Berlin Tegel.</t>
  </si>
  <si>
    <t>Berlin Tegel</t>
  </si>
  <si>
    <t>Ursächlich für die Entgleisung war das Umstellen der Weiche 74 unter dem Zug S 25068. 
The cause of the derailment was the changing of the switch 74 under the train S 25068th</t>
  </si>
  <si>
    <t>NO-0167</t>
  </si>
  <si>
    <t>Level crossing near miss, 21/08/2012, Evja level crossing (Norway)</t>
  </si>
  <si>
    <t>Train 521 from Mjøndalen station almost hit a 13 year old girl with a bike on Evja level crossing, just outside the station. The girl was not injured, but her bike was damaged.</t>
  </si>
  <si>
    <t>Evja level crossing</t>
  </si>
  <si>
    <t>Inattention to oncoming train due to the use of earplugs with music.</t>
  </si>
  <si>
    <t>AT-2717</t>
  </si>
  <si>
    <t>Other event, 22/08/2012, Marshalling yard in Austria (Austria)</t>
  </si>
  <si>
    <t>During the optimization process of the shunting operations in a marshalling yard in Austria (short IM-Bf), at the ends of the sorting sidings, safety-stopping-brakes (ASiB) were installed. Each consisting of a three-part rail brake beam, these act on one rail and thereby a braking action gives only to one wheel disk of a wheel set (on-sided track brake)._x000D_
_x000D_
On August 22nd, 2012, at 20:07 hrs, during the entry of a loaded wagon in the ASiB on a track, a derailment of the two wheel sets of the leading bogie occurred._x000D_
_x000D_
There was a material damage to the infrastructure and the derailed wagons. People were not injured or killed._x000D_
_x000D_
Due to excessive braking effect of the rail brake, the wheelsets climb on 
Im Zuge der Optimierung der Prozessabläufe beim Verschub in einem Verschiebebahnhof in Österrreich (kurz IM-Bf) wurden an den Enden der Richtungsgleise jeweils eine Abrollsicherungsbremse (ASiB) eingebaut. Diese bestehen jeweils aus einer dreiteiligen Gleisbremse, die nur auf eine Fahrschiene wirkt und dadurch eine Bremswirkung nur an einer Radscheibe eines Radsatzes gegeben ist (einseitig wirkende Gleisbremse)._x000D_
_x000D_
Am 22. August 2012, um 20:07 Uhr, kam es beim Einlaufen eines beladenen Güterwagens in die ASiB eines Gleises zur Entgleisung der beiden Radsätze des vorlaufenden Drehgestells._x000D_
_x000D_
Es kam zu Sachschäden an der Infrastruktur und den entgleisten Wagen. Es wurden keine Personen getötet oder verletzt._x000D_
_x000D_
Durch eine zu hohe Bremswirkung der Gleisbremse kam es zu einem „Aufklettern“ der Radsätze.</t>
  </si>
  <si>
    <t>Marshalling yard in Austria</t>
  </si>
  <si>
    <t>Ursache der Entgleisung war ein aufkletternder Radsatz in der Gleisbremse, ausgelöst durch eine zu hohe Bremsstufe. 
Cause of the derailment was a aufkletternder wheel in the track brake, triggered by excessive braking step.</t>
  </si>
  <si>
    <t>CZ-0163</t>
  </si>
  <si>
    <t>Trains collision with an obstacle, 26.8.2012, open line between Zruc nad Sazavou and Ledec nad Sazavou stations (Czech Republic)</t>
  </si>
  <si>
    <t>Collision of regional passenger train No. 9205 with an obstacle - a fallen tree.</t>
  </si>
  <si>
    <t>open line between Zruc nad Sazavou and Ledec nad Sazavou stations</t>
  </si>
  <si>
    <t>The fall of a the tree which was growing in the protection zone of railway on the railway track.</t>
  </si>
  <si>
    <t>Underlying cause: failure to remove the source of danger to the railway track (the tree) in the protection zone of railway._x000D_
_x000D_
Root cause: unsystematic and desultory access to evaluation and removing of sources of danger to the railway track in the protection zone of railway and not taking of adequate measures to prevent similar accidents and incidents.</t>
  </si>
  <si>
    <t>HU-0667</t>
  </si>
  <si>
    <t>Runaway, 8/27/2012, Between Tapiogyörgye and Tapioszele stations (Hungary)</t>
  </si>
  <si>
    <t>Three wagons of the train No. 23399 (infrastructure works train) remained on the plain track due to breaking of coupling. The stopped unit started to move slowly backwards. The driver of the following train (No.3341) realised the danger and stopped its train. The runaway wagons collided into the train with cca. 5km/h.</t>
  </si>
  <si>
    <t>Between Tapiogyörgye and Tapioszele stations</t>
  </si>
  <si>
    <t>MÁV FKG Kft.; 
MÁV-START Zrt.</t>
  </si>
  <si>
    <t>Inappropriate coupling of the vehicles ( missing bolt, which could secure the coupling)</t>
  </si>
  <si>
    <t>non-reported failure</t>
  </si>
  <si>
    <t>HU-0224</t>
  </si>
  <si>
    <t>Fire in RS, 8/28/2012, Gyor (Hungary)</t>
  </si>
  <si>
    <t>In 28th of August 2012, on the holding siding of Gyor station one "Talent" motorcar (nr. 5342010) went on fire.</t>
  </si>
  <si>
    <t>Gyor</t>
  </si>
  <si>
    <t>inappropriate assembling of ventillation system of the EMU (missing paddle-wheel of the ventillator unit)</t>
  </si>
  <si>
    <t>The lack of the paddle-wheel was not during the maintenance</t>
  </si>
  <si>
    <t>RO-0223</t>
  </si>
  <si>
    <t>Train derailment, 30/08/2012, Bucuresti Triaj (Romania)</t>
  </si>
  <si>
    <t>the 30-th wagon (no. 81536653788-5) from the freight train no. 84796 derailed over the switch 23 in Bucuresti Triaj station</t>
  </si>
  <si>
    <t>Bucuresti Triaj</t>
  </si>
  <si>
    <t>SOCIETATEA NATIONALA DE TRANSPORT FEROVIAR DE MARFA "CFR-MARFA" S.A.</t>
  </si>
  <si>
    <t>The direct cause of this accident consists of the malfunction of the centre casting which led to the reduction of the bogie mobility affecting the entry into curve.</t>
  </si>
  <si>
    <t>RO-0225</t>
  </si>
  <si>
    <t>Train derailment, 02.09.2012, Barbosi Triaj (Romania)</t>
  </si>
  <si>
    <t>the locomotive, first and second wagons from the freight train no.39547 derailed on the passing track</t>
  </si>
  <si>
    <t>Barbosi Triaj</t>
  </si>
  <si>
    <t>SERVTRANS INVEST</t>
  </si>
  <si>
    <t>The direct cause of the accident is leaving the running track as a result of entering the train no.39457 on a not allowed route and passing over a buffer stop following the engine driver’s decision of the locomotive DA1566 not to comply with regulations on passing a signal (YG2) whose indication was „STOP without passing the signal!”.</t>
  </si>
  <si>
    <t>We identify the following underlying causes:_x000D_
a)	the absence of communication by radiotelephone of conditions of the entry, passing and exit the station and mutual confirmation between the station movement inspector and the train’s driver, according to article 189 of Regulation for running trains and shunting the railway vehicles no. 005, approved by OMTCT no.1816 from 26.10.2005 as amended, the CFR Department’s Order no.36/155/1979 and article 136 paragraph (1) of  Instructions for locomotive’s staff activity in railway transport – no. 201, approved by OMTCT no. 2229 from 23.11.2006;_x000D_
b)	running train no. 39547 with an unsuitable speed, as a result of non compliance by the driver with the provisions on maximum speed admitted in line of 5km/h specified in The Sheet for Approval the Speed Restrictions (BAR) for the period of 1-10 september 2012, thus violating provisions of article 125 paragraph (1) of Instructions for locomotive’s staff activity  in railway transport – no. 201, approved by OMTCT no.2229 from 23.11.2006;_x000D_
c)	non performance by the disposing station movement inspector of the orders from the interlocking system point switches and signals to ensure early the train route no. 39547, according to article 185 and article 204, letter e, of Regulation for running trains and shunting the railway vehicles no.005, approved by OMTCT no.1816 from 26.10.2005 as amended;_x000D_
d)	the use by the railway undertaking of radio frequency improper to distribution panel in their work area, task specified at paragraph 2.3 of Instruction regarding the efficient use of radiotelephone equipment, maintenance, operative breakdown repairs and their repair approved by the Departmental Council with no. 322 from 26.02.1975._x000D_
_x000D_
The root cause is the lack of unitary and actualized reglementation regarding the instruction and authorization of operation, repair and maintenance staff, regarding the conditions of use of fixed radiotelephones, mobile and portable, which are applicable to all participants in the railway transport.</t>
  </si>
  <si>
    <t>RO-0226</t>
  </si>
  <si>
    <t>Train derailment, 9/2/2012, Bucurestii Noi (Romania)</t>
  </si>
  <si>
    <t>The first two axles of the locomotive EA 526 from the freight trian 84796 derailed.</t>
  </si>
  <si>
    <t>Bucurestii Noi</t>
  </si>
  <si>
    <t>The direct cause of this accident is the climbing of the right wheel flange, from the axle no. 6 (first in the running direction) because of  loss of the guiding capacity, generated by the technical condition of the sleepers, that did not allow a suitable fastening._x000D_
The contributing factors were :_x000D_
-	the use of the special sleepers that through their length could not ensure the fastening of all rails corresponding to those two directions of the switch no. 9C (their length ensured the fastening only for 3 rails)</t>
  </si>
  <si>
    <t>Underlying cause _x000D_
Keeping in operation of the unsuitable sleepers in the switch no. 9C, because of the lack of supply with the all requested quantity of special sleepers for the switches. For this reseason, one used recovered special sleepers, but with shorter lengths against the assembly plan, that did not ensure the fastening of those 4 rails corresponding to those two directions of the switch no. 9C.</t>
  </si>
  <si>
    <t>SK-0487</t>
  </si>
  <si>
    <t>Spad, 02/09/2012, Podunajské Biskupice station (Slovak Republic)</t>
  </si>
  <si>
    <t>Signal passed at danger</t>
  </si>
  <si>
    <t>Podunajské Biskupice station</t>
  </si>
  <si>
    <t>RegioJet</t>
  </si>
  <si>
    <t>Inattention of driver during the drive.</t>
  </si>
  <si>
    <t>ES-0308</t>
  </si>
  <si>
    <t>Train derailment, 06/09/2012, Almudévar station (Huesca) (Spain)</t>
  </si>
  <si>
    <t>Freight train partially derailed between Almudévar and Tardienta stations (Huesca). 
Tren de mercancías descarrila parcialmente en la estación de Almudévar (Huesca).</t>
  </si>
  <si>
    <t>Almudévar station (Huesca)</t>
  </si>
  <si>
    <t>The accident had its origin in a failure of the rolling stock by the breakage of the right axle journal of the second axle of 14th wagon (direction of travel) due to an overheating of the grease box because of the seizing of the aforementioned axle´s bearing. Additionally, there was a failure of the hot axle detector since wrongly assigned the axle overheating alarm to another train.</t>
  </si>
  <si>
    <t>AT-3179</t>
  </si>
  <si>
    <t>Level crossing accident, 07/09/2012, A station in Austria (Austria)</t>
  </si>
  <si>
    <t>On September 7th, 2012, at 07:40 o’clock, on the boarder terminating line between station Bleiburg and boarder next Bleiburg (Prevalje – SI), at the level crossing in km 85,020, a collision between train 4000 and a truck occurred._x000D_
The track wanted to cross the level crossing, secured by St. Andrews Cross and en-sure the necessary visible space. Even by an emergency brake, a collision could not be avoided. _x000D_
The driver of the truck, the passengers on the train and the train crew stayed un-harmed. _x000D_
There was a heavy material damage on the train and the truck. 
Am 7. September 2012, um 07:40 Uhr, ereignete sich auf der EK im km 85,020 auf der An-schlussgrenzstrecke zwischen Bf Bleiburg und Staatsgrenze nächst Bleiburg (Prevalje – SI) ein Zusammenprall zwischen Z 4000 und einem LKW._x000D_
Der LKW wollte die durch Andreaskreuze und Gewährleisten des erforderlichen Sichtrau-mes gesicherte EK überqueren. Trotz eingeleiteter Schnellbremsung von Z 4000 konnte ein Zusammenprall nicht verhindert werden. _x000D_
Es wurden keine Personen getötet oder verletzt._x000D_
Es kam zu schweren Sachschäden am Tfz und am LKW.</t>
  </si>
  <si>
    <t>A station in Austria</t>
  </si>
  <si>
    <t>Auf Grund der vorliegenden Erkenntnisse ist davon auszugehen, dass die Ursache in einer menschlichen Fehlhandlung des Straßenverkehrsteilnehmers begründet ist. 
On the basis of the present findings it can be assumed that the cause is due to a human error plot of the road user.</t>
  </si>
  <si>
    <t>CZ-0240</t>
  </si>
  <si>
    <t>Train derailment, 10.9.2012, stations and open line among Blansko - Adamov - Brno Malomerice stations (Czech Republic)</t>
  </si>
  <si>
    <t>Repeated derailment and spontaneous rerailing of one freight wagon during movement of freight train No. 47763 among Blansko, Adamov and Brno-Malomerice stations.</t>
  </si>
  <si>
    <t>stations and open line among Blansko - Adamov - Brno Malomerice stations</t>
  </si>
  <si>
    <t>Direct cause: stuck bearing and consequent pivot twisting of freight wagon (cistern) of series Zas, No. 33 54 7854 152-7 on the left side of the second axle in the train movement direction._x000D_
_x000D_
Contributory factor:	 _x000D_
- infrastructure manager did not ensure that train dispatcher of Adamov station could automatically stop  freight train No. 47763 or establish a connection in a quick and simple way with the freight train;_x000D_
- failure to give the instruction by train dispatchers of Adamov and Brno-Malomerice stations for an immediate stop of freight train Nex 47763 and for the inspection of the train;_x000D_
- not stopping and inspecting a train by engine driver in spite of information that its following movement could endanger the safety of railway infrastructure operation and railway transport operation.</t>
  </si>
  <si>
    <t>Underlying cause: coarse grained microstructure of the material which the rivets on the site of flange of the bearing cage were made from caused decrease of mechanical values of used material._x000D_
_x000D_
Root cause:	none.</t>
  </si>
  <si>
    <t>NO-0289</t>
  </si>
  <si>
    <t>Trains collision, 9/14/2012, Alnabru marshalling yard (Norway)</t>
  </si>
  <si>
    <t>Fredag 14. september kolliderte en skiftemaskin tilhørende CargoLink AS med en vognstamme bestående av tomme containervogner i spor 47 på Alnabru skifteterminal. 
Friday, 14 September one shunting engine associated Cargolink AS collided with a carriage tribe consisting of empty container wagons in track 47 of Alnabru change terminal.</t>
  </si>
  <si>
    <t>Alnabru marshalling yard</t>
  </si>
  <si>
    <t>En skiftemaskinkjørte inn i ett besatt spor og kolliderte med en vognstamme bestående av tomme containervogner. 
A change machine ran into one obsessed track and collided with a trolley tribe consisting of empty container wagons.</t>
  </si>
  <si>
    <t>UK-0551</t>
  </si>
  <si>
    <t>Broken rails, 14-09-12, Corby Glen (United Kingdom)</t>
  </si>
  <si>
    <t>The RAIB is investigating a number of rail breaks that have occurred on the East Coast Main Line. These include: a vertical rail break that was discovered on a section of continuously welded rail, after a member of public had reported unusual levels of noise as trains passed over a stretch of line near Corby Glen, Lincolnshire (14 September 2012); and an approximate 100mm gap due to a broken rail at an insulated block joint on the Up Main line at Copmanthorpe, near York, that was reported by the driver of a train on the adjacent line (28 November 2012).Both of the above incidents involved sections of line traversed by trains travelling at speeds in excess of 100 mph (160 km/h)._x000D_
_x000D_
This class investigation considers the occurrence and management of rail breaks on Network Rail’s East Coast Main Line (ECML). It includes consideration of rail breaks which occurred at three locations during 2012 and 2013 and which, together with reports that the occurrence of rail breaks on the ECML was relatively high, triggered the investigation. None of these three rail breaks resulted in injuries or damage to trains._x000D_
A rail break at Corby Glen, near Grantham was triggered by wear of the pad intended to separate the rail from the underlying concrete sleeper. Breaks at Copmanthorpe, near York, and at Hambleton, about 15 miles (24 km) south of York, were due to movement at rail joints caused by inadequate support from the underlying ground._x000D_
_x000D_
The RAIB has made four recommendations relating to rail breaks and addressed_x000D_
to Network Rail.</t>
  </si>
  <si>
    <t>Corby Glen</t>
  </si>
  <si>
    <t>Class investigation</t>
  </si>
  <si>
    <t>AT-3180</t>
  </si>
  <si>
    <t>Train derailment, 16/09/2012, A station in Austria (Austria)</t>
  </si>
  <si>
    <t>Sunday, September 16th, 2012, at 14:22 hrs, during the run of train 7392 beetween station Wetzleinsdorf and station Ernstbrunn, in km 22,910, a derailment of the leading wheelset of locomotive 93 81 0093 142-8 occured._x000D_
Cause were track position errors and a lack of lubrication of the rail running edge._x000D_
There was less material damage to the infrastructure and the locomotive by the derailment. _x000D_
The passengers and the staff stayed unharmed. 
Sonntag, 16. September 2012, um 14:22 Uhr, kam es bei der Fahrt von Z 7392 zwischen Bf Wetzleinsdorf und Bf Ernstbrunn, im km 22,910, zur Entgleisung des vorlaufenden Radsatzes des Tfz 93 81 0093 142-8._x000D_
Ursache waren Gleislagefehler und eine mangelnde Schmierung der Schienenfahrkante._x000D_
Es kam zu geringen Sachschäden an der Infrastruktur und dem Tfz durch die Entgleisung._x000D_
Die Reisenden und die Zugmannschaft blieben unverletzt.</t>
  </si>
  <si>
    <t>Heritage</t>
  </si>
  <si>
    <t>Die Entgleisung wurde auf Grund von folgenden zusammenwirkenden Faktoren bewirkt:_x000D_
- geringe Radlast des bogenaußen führenden Rades, _x000D_
- durch die geringe Fahrgeschwindigkeit und die ungünstigen Trassierungsparameter (kleiner Bogenradius und große Überhöhung) geriet das Fahrzeug in einen Spießgang _x000D_
- mangelhaft bearbeiteten Schweißstoß und _x000D_
- nicht vorhandene Schmierung der Fahrkante bzw. des Spurkranzes 
The derailment was caused due to following interacting factors: _x000D_
- Low wheel load of the outside of the curve leading wheel _x000D_
- Due to the low driving speed and the unfavorable route planning (smaller radius of curvature and large elevation) became the vehicle into a spit transition _x000D_
- Poorly machined and welded joint _x000D_
- Nonexistent lubrication of the running edge of the flange or</t>
  </si>
  <si>
    <t>HU-0659</t>
  </si>
  <si>
    <t>Level crossing accident, 19/09/2012, Between Szentes and Szegvar stations (Hungary)</t>
  </si>
  <si>
    <t>passenger train collided with a lorry at a passive level crossing</t>
  </si>
  <si>
    <t>Between Szentes and Szegvar stations</t>
  </si>
  <si>
    <t>Violation (Road traffic rules)</t>
  </si>
  <si>
    <t>HU-0758</t>
  </si>
  <si>
    <t>Accident to persons caused by RS in motion, 9/19/2012, Budapest, Kelenföld (Hungary)</t>
  </si>
  <si>
    <t>On 19th August 2012, an elderly passenger boarding the train from Budapest to Sopronand Szombathely at Kelenföld station was escorted in the train by a relative. The train started to move while they were searching for a seat and settling down. The man accompanying the passenger rushed out of the passenger compartment and jumped from the train in motion. His fall had been so unfortunate that he got under the wheels of the train in motion, suffered fatal injuries and died at the site. 
2012. augusztus 19-én a Budapest-Keleti pályaudvarról Sopronba és Szombathelyre tartó vonatra Kelenföldön felszálló egyik idos utast hozzátartozója felsegítette a vonatra. Ülohely-keresés, elhelyezkedés közben a vonat elindult. Az utast kikíséro férfi ekkor kiszaladt az utastérbol és kiugrott a mozgó vonatból. Olyan szerencsétlenül esett, hogy a peron és a kocsi között a mozgó vonat kerekei alá került, ahol a keletkezett súlyos sérüléseibe belehalt.</t>
  </si>
  <si>
    <t>Budapest, Kelenföld</t>
  </si>
  <si>
    <t>deliberate action - passenger (leaving the train in motion)</t>
  </si>
  <si>
    <t>door-closing system failure (bolting);_x000D_
training of the train crew (related to the coaches running in the train)</t>
  </si>
  <si>
    <t>SE-2084</t>
  </si>
  <si>
    <t>Accident to persons caused by RS in motion, 9/20/2012, Sundsvalls marshalling yard (Sweden)</t>
  </si>
  <si>
    <t>Two multiple coupled locomotives litt Z70 derailed when running from the shunting yard at Sundsvall to the engine sheds. The vehicles was maneuvered by remote control by an operator (overseer), standing on a step at the front left of the leading locomotive. After the movement started, the leading locomotive derailed with its first axis in the first switch. The engine then shaked violently causing the operator to fall off and under the rear of the locomotive, and died of the injuries sustained. Locomotive number 2 in the direction of movement did not derail. 
Två multipelkopplade lok litt Z70 skulle gå från rangertornet på Sundsvalls rangerbangård mot personbangården/lokstallet. Fordonen manövrerades med radiostyrning av en operatör (tillsyningsman), som stod på ett fotsteg längst fram till vänster på ledande loket. Efter att rörelsen påbörjats, spårade ledande lokets första axel ur i första växeln. Loket rörde sig därvid såpass våldsamt att operatören kastades av och hamnade under lokets bakre del och omkom av skadorna hon ådrog sig. Lok nummer 2 i rörelsens riktning spårade inte ur.</t>
  </si>
  <si>
    <t>Sundsvalls marshalling yard</t>
  </si>
  <si>
    <t>Leading axle in first unit (axle no. 1) broke and the unit derailed in the switch crossing.</t>
  </si>
  <si>
    <t>The RU had no program in the SMS for detecting cracks in the wheel axles of this class of locomotives.</t>
  </si>
  <si>
    <t>AT-2750</t>
  </si>
  <si>
    <t>Level crossing accident, 21/09/2012, Between station Eisenstadt an station Schützen am Gebirge (Austria)</t>
  </si>
  <si>
    <t>Friday, 21th September, 2012, at 16:20 o´clock, a collision between the train 7862 and a car occured between station Eisenstadt and station Schützen am Gebirge at the level crossing in km 12,399, (secured with level-crossing road signal)._x000D_
The driver of the car was seriously injured._x000D_
The passengers and the train crew stayed unharmed._x000D_
The cause of the crash was that the car tried to use the level crossing despite the "STOP" imperious by the level-crossing road signal. 
Freitag, 21. September 2012, um 16:20 Uhr, ereignete sich zwischen Bf Eisenstadt und Bf Schützen am Gebirge, auf der EK im km 12,399 (gesichert mit Lichtzeichenanlage) ein Zusammenprall zwischen Z 7862 und einem PKW._x000D_
Der Lenker des PKW wurde schwer verletzt. _x000D_
Die Reisenden und das Zugpersonal blieben unverletzt._x000D_
Es kam zu erheblichen Sachschäden an der Infrastruktur und dem Twg und zu einer Streckenunterbrechung._x000D_
Die Ursache für den Zusammenprall war das Übersetzen der EK durch den Straßenverkehrsteilnehmer trotz „HALT“ gebietender Lichtzeichenanlage.</t>
  </si>
  <si>
    <t>Between station Eisenstadt an station Schützen am Gebirge</t>
  </si>
  <si>
    <t>IT-0302</t>
  </si>
  <si>
    <t>Level crossing accident, 21/09/2012, route Bari Parco Nord - Bari S. Spirito (Italy)</t>
  </si>
  <si>
    <t>Train 38973  collides with a bus stopped in the level crossing area. Level crossing regularly closed</t>
  </si>
  <si>
    <t>route Bari Parco Nord - Bari S. Spirito</t>
  </si>
  <si>
    <t>Incorrect orientation of the light signal by the IM, that is not visible in the operation of approach and crossing of the Lc from one of the approaching roads</t>
  </si>
  <si>
    <t>Non-adoption of a CCTV for the LC, despite the fact that the LC was under the conditions stated by the regulations for the adoption of a CCTV</t>
  </si>
  <si>
    <t>AT-2325</t>
  </si>
  <si>
    <t>Train derailment, 22/09/2012, Station Neulengbach (Austria)</t>
  </si>
  <si>
    <t>At 06:05 hrs on 22 September 2012, at the signally movement of a freight train with reduced speed, in an Austrian station (short “IM-Bf”), there was a derailment of both wheelsets of the leading bogie of the 17th wagon type "Sggrs" (an articulated wagon). By the derailment, there was a train separation between the 16th and 17th wagons and an emergency braking occurred._x000D_
Affected by the derailment, two wagon was slightly damaged. There was a considerable damage to the infrastructure. There have been considerable delays in passenger and freight traffic. There were no people injured or killed._x000D_
The derailment occurred due to high wheel unloading the interplay of infrastructure and vehicle. 
Samstag, 22. September 2012, um 06:05 Uhr, ereignete sich in einem österreichischen Bahnhof (kurz „IM-Bf“), bei der signalmäßig tauglichen Fahrt eines Güterzuges mit Herabsetzung der Geschwindigkeit, eine Entgleisung der beiden Radsätze des vorlaufenden Drehgestells des 17. Wagens der Gattung „Sggrs“ (Gelenkwagen). Durch die Entgleisung kam es zu einer Zugtrennung zwischen dem 16. und 17. Wagen und zu einer Zwangsbremsung. _x000D_
Durch die Entgleisung wurden der betroffene und der vorgereihte Wagen leicht beschädigt. An der Infrastruktur entstand ein erheblicher Sachschaden. _x000D_
Es kam zu erheblichen Verspätungen im Personen- und Güterverkehr._x000D_
Es wurden keine Personen verletzt oder getötet._x000D_
Die Entgleisung erfolgte aufgrund einer zu großen Radentlastung im Zusammenspiel von Infrastruktur und Fahrzeug.</t>
  </si>
  <si>
    <t>Station Neulengbach</t>
  </si>
  <si>
    <t>Eine eindeutige Ursache für die Entgleisung konnte nicht ermittelt werden. Das Zusammenwirken mehrerer Faktoren wie Gleisgeometrie, ertragbare Verwindung und Beladezustand des Wagens und daraus resultierender Radentlastung sowie des Schmierzustandes der Fahrkante war für die Entgleisung ausschlaggebend. 
A definite cause of the derailment could not be determined. The interaction of several factors such as track geometry, tolerable distortion and loading condition of the car and the resulting wheel unloading and the lubrication condition of the running edge was decisive for the derailment.</t>
  </si>
  <si>
    <t>IT-0303</t>
  </si>
  <si>
    <t>Level crossing accident, 24/09/2012, route Bari - Brindisi (Italy)</t>
  </si>
  <si>
    <t>Collsion with a truck.</t>
  </si>
  <si>
    <t>route Bari - Brindisi</t>
  </si>
  <si>
    <t>Human error committed by the driver of the truck carrying the maneuver of approach and crossing of the LC, not completed on the scheduled times of the LC</t>
  </si>
  <si>
    <t>NO-0304</t>
  </si>
  <si>
    <t>Trains collision near miss, 26/09/2012, Dal (Norway)</t>
  </si>
  <si>
    <t>At 19:03 on Wednesday 26 September 2012, a sideswipe collision between a passenger train and a freight train was barely avoided at Dal station. The freight train was about to pass Dal station on track 2 headed for Oslo at a speed of approximately 80 km/h. The passenger train had completed boarding and alighting on track 1 and left the platform in the direction of Oslo at a permitted speed of 40 km/h. The driver of the freight train saw that the passenger train was moving and understood that something was wrong. The driver activated the emergency brake, and the freight train stopped approximately 50 metres before the points for switching between tracks 1 and 2. The driver of the passenger train noticed that the exit signal for track 1 was set to stop and activated the emergency brake. At the same time, the train was probably stopped by the ATC system for passing a stop signal. The passenger train stopped on the points between tracks 1 and 2 and was thereby on a 'hostile' train route in relation to the freight train.</t>
  </si>
  <si>
    <t>Dal</t>
  </si>
  <si>
    <t>Regional passenger train; 
Freight train</t>
  </si>
  <si>
    <t>NSB AS; 
CargoNet AS</t>
  </si>
  <si>
    <t>The train driver and conductor perceived it as the train track signal showed two white lights (drive max 40 km/h).</t>
  </si>
  <si>
    <t>The AIBN believes that the complex signal aspect at Dal Station, in combination with the train departure time had led to staff perceived that they had the correct signal to_x000D_
start driving. It took nearly six years from the first reports about Dal station were recorded until physical changes were made to the signalling system. Previous investigation reports show several examples of accidents where the NNRA has been aware of the risk before an accident occurred. This risk concerns both reported undesirable incidents and maintenance thresholds that have been exceeded or not identified.</t>
  </si>
  <si>
    <t>AT-0299</t>
  </si>
  <si>
    <t>Train derailment, 28/09/2012, Station in Austria (Austria)</t>
  </si>
  <si>
    <t>At 5:46 hrs on 28 September 2012, there has been a derailment of a passenger train on a switch in an Austrian train station._x000D_
The passenger train consisted of a locomotive and eight coaches filled with about 150 passengers and the train crew._x000D_
_x000D_
There was considerable damage to infrastructure, the first derailed coach and a longer route interruption by the derailment._x000D_
The passengers and the crew stayed unharmed._x000D_
_x000D_
The causes of the derailment were the authorizing passenger train movement by activation of the substitute signal at the AS “O 102” without adequate testing and securing the route and throwing a switch immediately before the passenger train passed the switch. At the time of the accident, the local safety installation was only conditionally available, restricted by a technical fault. 
Entgleisung eines Personenzuges (kurz „P Zug“) am 28. September 2012, um 05:46 Uhr auf einer Weiche in einem österreichischen Bahnhof (kurz „IM Bf“). Der P Zug bestehend aus einem Tfz und acht Reisezugwagen war mit ca. 150 Personen und der Zugmannschaft besetzt._x000D_
_x000D_
Es kam zu erheblichen Sachschäden an der Infrastruktur, dem entgleisten ersten Wagen sowie zu einer längeren Streckenunterbrechung durch die Entgleisung._x000D_
Die Reisenden und das Zugpersonal blieben unverletzt._x000D_
_x000D_
Die Ursachen der Entgleisung waren sowohl die Zulassung der Fahrt des P-Zuges durch Einschaltung des Ersatzsignals am AS „O 102“ ohne ausreichende Fahrstraßenprüfung und -sicherung als auch das Umstellen einer Weiche unmittelbar vor dem Befahren durch den P Zug bei Erkennen der unrichtigen Stellung. Zum Zeitpunkt des Unfalls war die örtliche Sicherungsanlage bedingt durch eine technische Störung nur eingeschränkt verfügbar.</t>
  </si>
  <si>
    <t>Die Ursache der Entgleisung ergibt sich aus einem Zusammentreffen sowohl der Zulassung der Fahrt des P-Zuges durch Einschaltung des Ersatzsignals am AS „O 102“ ohne ausreichende Fahrstraßenprüfung und -sicherung als auch der Umstellung einer Weiche unmittelbar vor dem Befahren durch den P Zug bei Erkennen der unrichtigen Stellung. Zum Zeitpunkt des Unfalls war die örtliche Sicherungsanlage bedingt durch eine technische Störung nur eingeschränkt verfügbar. Für die Abwicklung von Zugfahrten musste ein besonderes betriebliches und sicherungstechnisches Verfahren angewendet werden. 
The cause of the derailment resulting from a coincidence of both the approval of the journey of the P-train by switching on the replacement signal at AS "O 102" without adequate driveway testing and assurance as well as the conversion of a switch immediately before driving through the P train at recognizing the incorrect position. At the time of the accident, the local security system was available only conditionally restricted by a technical fault. For the settlement of a special train operating and security technical procedure had to be applied.</t>
  </si>
  <si>
    <t>RO-0321</t>
  </si>
  <si>
    <t>Train derailment, 9/28/2012, Targu Jiu station (Romania)</t>
  </si>
  <si>
    <t>First axle of the locomotive ED 030 (the second locomotive from the train consist) from the train no. 84790 derailed.</t>
  </si>
  <si>
    <t>Targu Jiu station</t>
  </si>
  <si>
    <t>The direct cause of this accident was the significant load transfer from the axle no. 1, which affected the guidance capacity and the safety coefficient against derailment, it leading to the climbing of the right wheel flange, in the running direction, on the head of rail corresponding to the exterior curve rail, its running on the rail about 900 mm, followed by the derailment of the axle, with the left wheel inside the track._x000D_
_x000D_
B.3. Contributing factors_x000D_
The existence of failures at the locomotive, presented below:_x000D_
-	a difference of 2,19 mm between the wheel diameters of the wheels from the axle no. 1 (compared with 0,3 mm admitted by the specific regulations in force for the turned axles);_x000D_
-	a difference between the wheel diameters:_x000D_
?	axle no. 1 and axle no. 2 of 21,38 mm;_x000D_
?	axle no. 1 and axle no. 3 of 19,9 mm,_x000D_
compared with 4 mm admitted in the operation by the specific regulations in force, without the adjustment of the tolerances;_x000D_
-	differences between the loads on the wheels without balancing:_x000D_
?	3,4% between the load on the left and the right wheel of the axle no 3;_x000D_
?	2,9% between the load on the left and the right wheel of the axle no 4;_x000D_
?	4,5% between the load on the left and the right wheel of the axle no 5;_x000D_
?	3,4% between the load on the left and the right wheel of the axle no 6;_x000D_
compared with ±2% admitted in the operation by the specific regulations in force, without adjusting additions;_x000D_
-	the existence of witness marks, on the active flank of the wheel flange on the right side in the running direction of the axle no.1, resulted from the turning of the wheel;_x000D_
-	overcoming the horizontal clearance admitted between side rubber buffers and bogie frames:_x000D_
?	20 mm compared with the minimum 22 mm at the bogie no. 1;_x000D_
?	37 mm compared with the maximum 28 mm at the bogie no. 2.</t>
  </si>
  <si>
    <t>Non-compliance the technological processes of repair of locomotives, in the sense that  the locomotive was routing without performing all instructional checks._x000D_
_x000D_
B.5. Root causes_x000D_
None.</t>
  </si>
  <si>
    <t>DE-5861</t>
  </si>
  <si>
    <t>Train derailment, 29-09-12, Stuttgart Hbf (Germany)</t>
  </si>
  <si>
    <t>Bei der Ausfahrt aus Stuttgart Hbf entgleiste der geschobene IC 2312 (Stuttgart Hbf - Hamburg Langenfelde) im Gleis 10. Ein Wagen steht schief mit gesplitterten Scheiben, die Oberleitung liegt auf dem Dach. 
During the departure from Stuttgart main railway station, the hauled train IC 2312 derailed (Stuttgart main railway station - Hamburg Langenfelde) on rail track 10. A wagon was slanted with broken windows, with the overhead wire on the roof.</t>
  </si>
  <si>
    <t>Anhand der im Zuge der Ermittlung gewonnenen Erkenntnisse ist davon auszugehen, dass die Entgleisungen primärursächlich auf ein Versagen von Puffern an den im Zugverband laufenden WRmz - Wagen und / oder von unmittelbar benachbarten Wagen zurückzuführen sind, wobei die Federkennlinien der Puffer außerhalb der festgelegten Bereiche lagen und die zugelassenen Anfahrdruckkräfte zu hoch waren, sowie infrastrukturseitige Einflüsse, der ausgereizten örtlichen Trassierung, begünstigend wirkten. 
Based on the findings of the investigation, it can be assumed that the derailments are primarily due to a failure of buffers in the WRmz-wagons and/or directly adjacent wagons of the train, whereas the suspension characteristics of the buffer outside the specified areas and the authorized starting pressure forces were too high, the influence from infrastructure also had a favorable effect on the local track alignment.</t>
  </si>
  <si>
    <t>RO-0322</t>
  </si>
  <si>
    <t>Train derailment, 10/2/2012, open line Popesti Valcea - Copaceni (Romania)</t>
  </si>
  <si>
    <t>First axle of the locomotive DA 1636 (the second in consist of the train) from the train no. 39237 derailed</t>
  </si>
  <si>
    <t>open line Popesti Valcea - Copaceni</t>
  </si>
  <si>
    <t>The direct cause consists of exceeding the tolerance admitted at the track twisting imposed by the provisions of Instruction no. 314/1986 (over 12,5mm), that had as effect the load transfer of axle no.1 of locomotive, climbing the flange of wheel from the right side of this wheel on the head of rail running surface corresponding to the outer curve rail, followed by the axle derailment._x000D_
	_x000D_
	Factors that contributed:_x000D_
•	the difference of 2,12 mm between the wheels diameter ( left - right) at the axle no. 1 of locomotive DA 60-1636-4;_x000D_
•	difference between the wheel diameter of the pair of wheels from the first bogie, is of 14.52 mm,;_x000D_
•	exceeding the maximum speed limit of 15 km/h._x000D_
	The axle derailment occurred due to the above factors, none of them alone could have cause the locomotive axle derailment.</t>
  </si>
  <si>
    <t>Underlying causes_x000D_
	_x000D_
	- non-observance of the provisions of art.7, point.4 of the Instruction for norms and tolerances for track construction and maintenance no. 314/1989 on track twisting._x000D_
		- placing into operation of the locomotive without safety conditions compliance. _x000D_
	_x000D_
Root causes_x000D_
_x000D_
	None.</t>
  </si>
  <si>
    <t>SK-2032</t>
  </si>
  <si>
    <t>Other event, 2012-10-02, Nové Zámky station (Slovak Republic)</t>
  </si>
  <si>
    <t>Damage of switch</t>
  </si>
  <si>
    <t>Nové Zámky station</t>
  </si>
  <si>
    <t>did not determine</t>
  </si>
  <si>
    <t>NO-0392</t>
  </si>
  <si>
    <t>Fire in RS, 10/7/2012, Oslo lufthavn Gardermoen (Norway)</t>
  </si>
  <si>
    <t>While airport express train no 3560 was being prepared for departure, the train driver contacted Flytoget AS's duty traffic controller and stated that problems had been encountered with a high-voltage circuit and a network current converter on board the train. Flytoget AS's traffic controller contacted the shift supervisor at Oslo traffic control centre and informed him about the situation. Prior to this, the high-voltage switch had tripped several times, and the train's information system showed the error message 'fault in power supply'. When a new attempt was made to connect the high voltage switch, a loud noise could be heard inside the train. 
Ekplosjon i underredet på flytog på Gardermoen lufthavn. Ingen personer ble skadet. Det var omfattende skader på togsettet. Det var misforståelser og problemer rundt evakueringen.</t>
  </si>
  <si>
    <t>Oslo lufthavn Gardermoen</t>
  </si>
  <si>
    <t>Problems had been encountered with a high-voltage circuit and a network current converter on board the train. When attempt was made to connect the high voltage switch, the transformer exploded.</t>
  </si>
  <si>
    <t>ES-0358</t>
  </si>
  <si>
    <t>Broken axles, 08/10/2012, Kilometre point 25+100 at 200 Madrid â€“ Barcelona railway line, between Villanueva de Gallego and Zuera (Huesca) (Spain)</t>
  </si>
  <si>
    <t>A medium distance passenger train has to stop due to a breakage of axle nº2.</t>
  </si>
  <si>
    <t>Kilometre point 25+100 at 200 Madrid â€“ Barcelona railway line, between Villanueva de Gallego and Zuera (Huesca)</t>
  </si>
  <si>
    <t>The breakage has its cause in an old crack probably made when the axle came into contact with a welding equipment.</t>
  </si>
  <si>
    <t>SK-0495</t>
  </si>
  <si>
    <t>Train derailment, 8. 10. 2012, Východná station (Slovak Republic)</t>
  </si>
  <si>
    <t>Derailment of freigt train</t>
  </si>
  <si>
    <t>Východná station</t>
  </si>
  <si>
    <t>twist off the left pin of the first wheel wagon RIV 3156 597 5908 - 0 in the direction of the train,</t>
  </si>
  <si>
    <t>HU-0341</t>
  </si>
  <si>
    <t>Unauthorised train movement other than SPAD, 2012.10.11., Szeged, Dugonics tér (Hungary)</t>
  </si>
  <si>
    <t>A tram departed from its stop at Dugonics ter (Szeged, HU) and run onto the same track, which was occupied by a tram arriving from the opposite direction. After stopping the distance was cca 200 meter between them. 
Egyvágányú pályaszakaszra engedély nélkül behaladt, és 200 méter távolságra megállt a szembe kközlekedo másik jármutol.</t>
  </si>
  <si>
    <t>Szeged, Dugonics tér</t>
  </si>
  <si>
    <t>The investigation commitee set out that the direct cause was related to human factor in all cases. But the lack of any kind of automatic train controll system the risk of SPAD and other risk related to SPAD (e.g. derailment after shounting back on shift) increase.</t>
  </si>
  <si>
    <t>RO-0342</t>
  </si>
  <si>
    <t>Train derailment, 10/12/2012, km 106+700, open line Praid - Sovata (Romania)</t>
  </si>
  <si>
    <t>The 9-th and the 10-th wagons (loaded with salt) from the freight train no. 99962 derailed at km 106+700, in open line between Praid and Sovata stations.</t>
  </si>
  <si>
    <t>km 106+700, open line Praid - Sovata</t>
  </si>
  <si>
    <t>S.C. RAIL FORCE S.R.L.</t>
  </si>
  <si>
    <t>The accident’s direct cause was the value of the gauge that exceeded the maximum value allowed by the prescriptions of the Instruction of norms and tolerances for construction and maintenance of the lines with normal gauge no. 314/1989 (chapter 1, article 1 – item 13). _x000D_
Contributing factors: _x000D_
-	the inappropriate condition of the sleepers that permitted the increasing of the gauge over the allowed value in operation;  _x000D_
-	the inappropriate condition of the wagon no. 33876735928-8 that had a characteristic  failure at the axle no.1 (the distance between the outer faces of the flange of wheels was under the minimum limit that is allowed by the provisions of the article 221(2), item (a) from the Regulation of Railway Technical Operation no. 002/2001.</t>
  </si>
  <si>
    <t>Underlying causes. _x000D_
- the track maintenance works and inspections were not properly performed; _x000D_
- were not checked the main conditions that must to comply the pairs of wheels at the hauled railway vehicles for being allowed to ran on railway infrastructures lines;  _x000D_
_x000D_
Root causes. _x000D_
Were not.</t>
  </si>
  <si>
    <t>SK-2103</t>
  </si>
  <si>
    <t>Train derailment, 18. 10. 2012, Zlatovce station (Slovak Republic)</t>
  </si>
  <si>
    <t>Derailment of freight train</t>
  </si>
  <si>
    <t>Zlatovce station</t>
  </si>
  <si>
    <t>The direct cause of the accident is derailment of a wagon under the influence of adverse circumstances.</t>
  </si>
  <si>
    <t>FI-0365</t>
  </si>
  <si>
    <t>Trains collision near miss, 19-10-12, Sastamala, Vammala station (Finland)</t>
  </si>
  <si>
    <t>There were maintenance machines on the route of the freight train.</t>
  </si>
  <si>
    <t>Sastamala, Vammala station</t>
  </si>
  <si>
    <t>The direct cause of this incident was the release of the track sections occupied by the maintenance machines with emergency release commands.</t>
  </si>
  <si>
    <t>This enabled later to set a route towards the machines on track 043 of Vammala station. A factor in the incident was the trackwork supervisor's forgetting to notify the traffic controller of the machinery on the track – the traffic controller was therefore unaware of its presence. Protection command enabled by the railway safety device system were not used in order to protect the work site – such a system could have been used to maintain information on the track's occupied status or to prevent to set train routes. When clearing the occupied track sections, the traffic controller and trackwork supervisor did not go through the status of each track section individually. Both parties acted in a routine-based and very rapidly manner. These factors increased the chances of an error being made. The trackwork supervisor had a large number of tasks to remember and releasing the track for use by traffic was the final task of the working week. These factors too increased the chances that something would be forgotten.</t>
  </si>
  <si>
    <t>HU-0359</t>
  </si>
  <si>
    <t>Train derailment, 10/19/2012, Aszód (Hungary)</t>
  </si>
  <si>
    <t>The train has derailed at points nr. 17. 
A VII. vágányra bejáró tehervonat két kocsija a 17. váltón kisiklott</t>
  </si>
  <si>
    <t>Aszód</t>
  </si>
  <si>
    <t>Track failure (bad condition of the track); Lack of maintenance</t>
  </si>
  <si>
    <t>Slow decision process (Maintenance); The velocity of the train was higher than the permitted velocity at the site of occurrence.(28 km/h instead of 20 km/h)</t>
  </si>
  <si>
    <t>AT-0423</t>
  </si>
  <si>
    <t>Train derailment, 24/10/2012, Mixnitz-Bärenschützklamm (Austria)</t>
  </si>
  <si>
    <t>Wednesday 24th October 2012 at 1:22 hrs, derailed a dragged diesel traction unit with both wheelsets of the second bogie. The dragged diesel traction unit was ranked behind the motive power unit.The diesel traction unit ran in state of derailment more than 2 km and damaged the railway track. People were not injured, but there was an estimated damage of € 2 200 000.-- Cause of the derailment was a fraction of the tyre on the second wheelset from the second boogie (axle 4 right.). 
Am Mittwoch, den 24. Oktober 2012 um 1:22 Uhr, entgleiste beim Güterzug 54070 ein geschlepptes, unbesetztes Diesel-Tfz der Baureihe 2068 mit beiden Radsätzen des nachlaufenden Drehgestells. Das entgleiste Tfz war unmittelbar hinter dem Zug-Tfz gereiht._x000D_
Die Entgleisung blieb vorerst unbemerkt und das Diesel-Tfz lief im entgleisten Zustand über 2 km, wodurch die Gleisanlagen und das Diesel-Tfz erheblich beschädigt wurden. Personen wurden nicht verletzt, es entstand ein geschätzter Sachschaden von € 2.200.000,--. Ursache der Entgleisung war ein gebrochener Radreifen am nachlaufenden Radsatz (Achse 4R) im nachlaufenden Drehgestell des Diesel-Tfz der Baureihe 2068.</t>
  </si>
  <si>
    <t>Mixnitz-Bärenschützklamm</t>
  </si>
  <si>
    <t>Als primäre Ursache der Entgleisung wurde der Bruch des Radreifens an der Achse 4 R am geschleppten Tfz 2068 054-2 festgestellt._x000D_
Für diesen Radreifenbruch konnten keine eindeutigen Indizien auf die Risseinleitung und den daraus resultierenden Ermüdungsbruch festgestellt werden. Die Untersuchungen über Härte, Bruchzähigkeit, Gefüge und Legierungszusammensetzung lieferten keine unmittelbaren Indizien für die Ursache des Radreifenbruchs._x000D_
Ob die aufgefundene Gefügeanomalie für den Radreifenbruch verantwortlich ist, konnte nicht eindeutig geklärt werden, da die bruchmechanischen Zusammenhänge zwischen Reifenvorspannung und Hertzscher Druckspannungsverteilung im Radaufstandpunkt schwierig zu quantifizieren sind._x000D_
Sehr wahrscheinlich ist, dass dieser als Gefügeanomalie bezeichnete Bereich latent vorhanden war, und erst nach dem Reprofilieren des Radreifens so nahe an die Lauffläche gelangt ist (&lt; 5 mm), dass das lokale Spannungskollektiv zu einer Rissausbreitung führen konnte._x000D_
Bruch des Radreifen 
It appeared that the primary reason of derailment was the fraction of tyre at axle 4 R4 of the dragged diesel traction unit 2068 054-2._x000D_
For this tyre fraction, there was no clear evidence about a crack initiation and any resulting fatigue fracture. Checks for toughness, fracture resistance, framework and alloy composition did not give any direct evidence for the reason of the tyre fraction._x000D_
It was not possible to define clearly if the framework anomaly was responsible for the tyre fraction, because the fracture-mechanical connection between the tyre preload and the hertzian distribution of compressive stress at the tyre contact point is difficult to quantify._x000D_
The section defined as framework anomaly probably already existed, and had reached the running surface (&lt; 5 mm) after the reprofiling of the tyre, so that the local load collective could have led to a crack propagation._x000D_
Tyre fraction</t>
  </si>
  <si>
    <t>CZ-2050</t>
  </si>
  <si>
    <t>Train derailment, 24/10/2012, Kolin - ZZN Polabí a. s., siding (Czech Republic)</t>
  </si>
  <si>
    <t>Derailment of freight wagon after collision with buffer at ZZN Polabí a. s., siding Kolín.</t>
  </si>
  <si>
    <t>Kolin - ZZN Polabí a. s., siding</t>
  </si>
  <si>
    <t>CD Cargo; 
no indication</t>
  </si>
  <si>
    <t>Direct cause: movement of shunting operation to rolling stocks that were insufficiently protected against ride._x000D_
_x000D_
Contributory factor:	none.</t>
  </si>
  <si>
    <t>Underlying cause: failure to comply with technological procedures of infrastructure manager for the operation of shunting movements and ensuring of rolling stocks against a movement._x000D_
_x000D_
Root cause: none.</t>
  </si>
  <si>
    <t>SK-2034</t>
  </si>
  <si>
    <t>Trains collision, 26. 10. 2012, line No. 2 between Odbocka Mociar and Bratislava main station (Slovak Republic)</t>
  </si>
  <si>
    <t>Train No. 2018 run into the end of passenger train No. 4618</t>
  </si>
  <si>
    <t>line No. 2 between Odbocka Mociar and Bratislava main station</t>
  </si>
  <si>
    <t>The direct cause of the accident was serious violation of the rules by the driver during the train running.</t>
  </si>
  <si>
    <t>FR-0425</t>
  </si>
  <si>
    <t>Level crossing accident, 10/27/2012, Amilly (France)</t>
  </si>
  <si>
    <t>The LC barriers close normally when the train activates the track switch controling the LC. The barriers reopen before the train has reached the crossing. A minibus and a car move forward and are hit by the train at the speed of 74 km/h._x000D_
The minibus driver is killed</t>
  </si>
  <si>
    <t>Amilly</t>
  </si>
  <si>
    <t>Deshunting simultaneous with track circuit malfunction</t>
  </si>
  <si>
    <t>Poor shunting aptitude of modern diesel locomotives and DMUs</t>
  </si>
  <si>
    <t>RO-0391</t>
  </si>
  <si>
    <t>Train derailment, 10/28/2012, Gataia station (Romania)</t>
  </si>
  <si>
    <t>the first unit (AMX 577) of the diesel multiple unit  wich runing on the train no. 14446 derialed on the switch no. 6 in Gataia station</t>
  </si>
  <si>
    <t>Gataia station</t>
  </si>
  <si>
    <t>The direct cause of the derailment is the unsuitable operation of the switch no. 6, it leading to the running of the axles from both bogies on the stock rails up to the point where the distance between the lateral runnig sides of the stock rail heads exceeded the maximum value of the gauge (1470 mm), followed by the fall of the right wheels between the right stock rail and the curved  switch toe and of the left wheels between the curved switch toe and the right switch toe._x000D_
	This operation was possible by the  forced re-opening of the ellectricaly insulated track „from and to Resita” because of the manual hit by the pointsman of the press rod of the ellectrically insulated track  of the signal box, permiting in this way the signal sending to the movements inspector and the opening of the entry route before the train stabling</t>
  </si>
  <si>
    <t>Non-performance of the monthly inspection of the signal box no. 2 in September 2012.</t>
  </si>
  <si>
    <t>UK-0789</t>
  </si>
  <si>
    <t>Other event, 2012-10-28, Dunblane, Stirling (United Kingdom)</t>
  </si>
  <si>
    <t>On Sunday 28 October 2012 a possession was taken over a 15 mile length of railway line to enable maintenance between Stirling station and Blackford signal box, in Scotland. A possession is an arrangement whereby the line is closed to normal rail traffic to allow engineering staff to carry out works. The possession was pre-planned to enable a variety of maintenance tasks to be carried out at various locations between Stirling and Greenloaning. It started after the last train on Saturday night and finished before the first on Sunday morning._x000D_
_x000D_
The maintenance work activities were grouped into work sites, each of which was controlled by an engineering supervisor. One such work site was to the north of Dunblane and covered a one mile (1.6 km) stretch of the route. Within this work site a road-rail excavator, trailer and seven staff were engaged in drainage work on the up line (the line that carries trains from Perth towards Stirling)._x000D_
_x000D_
When the drainage work was complete the engineering supervisor for the work site tried to contact the person in charge of the possession to inform him that the road-rail vehicle and the staff were clear of the line. The engineering supervisor was unable to contact the person in charge of the possession and so called the signaller at Blackford. The signaller reported that the person in charge of the possession had given it up an hour earlier and the line had been open to traffic since then. The work site had been active during this time with a road-rail vehicle and seven staff working on or near to the line with no protection from trains. No accident occurred because no trains were scheduled at the time. However, there were no measures in place to prevent an engineering train or on-track machine from being routed towards the work site.</t>
  </si>
  <si>
    <t>Dunblane, Stirling</t>
  </si>
  <si>
    <t>The PICOP gave up the possession while the QTS Ashfield work site was still active</t>
  </si>
  <si>
    <t>The following causal factor was identified: a. The PICOP did not fill in details of the QTS Ashfield work site on his RT3198 possession arrangements forms (paragraph 28, Learning Point 1). It is probable that the following factors influenced the PICOP to overlook the QTS work site: a. The PICOP was under stress from events in his private life that he had not reported to his manager prior to the shift. When he revealed these events to his manager during the shift, neither his manager nor the PICOP judged that the PICOP might, as a result, be unfit to continue with the shift (paragraph 34, Learning Point 2). b. The possession was planned with three work sites but the number was increased to four at the start of the shift (paragraph 41). c. The PICOP briefing pack listed the work items in the ‘A’ work site in the wrong order (paragraph 49, Learning Point 3).</t>
  </si>
  <si>
    <t>ES-0652</t>
  </si>
  <si>
    <t>Level crossing accident, 29/10/2012, Miguelturra (Ciudad Real) (Spain)</t>
  </si>
  <si>
    <t>Passenger train knocked down a vehicle that crossed level crossing, type A, while the former was passing through it. The car´s driver was slightly injured.</t>
  </si>
  <si>
    <t>Miguelturra (Ciudad Real)</t>
  </si>
  <si>
    <t>The accident had its origin when the road vehicle invaded the level crossing as the train was approaching.</t>
  </si>
  <si>
    <t>CZ-0447</t>
  </si>
  <si>
    <t>Broken axles, 1.11.2012, Tram yard Moravska Ostrava (Czech Republic)</t>
  </si>
  <si>
    <t>Broken axle and subsequent derailment of controlled rolling stock of tram train No. 4.</t>
  </si>
  <si>
    <t>Tram yard Moravska Ostrava</t>
  </si>
  <si>
    <t>Unacceptable wear and tear and damage of ball bearing of the first axle of rear bogie of tram with subsequent destruction of axle, its breakage and consequent derailment of rolling stock.</t>
  </si>
  <si>
    <t>Underlying cause: _x000D_
- not detection of worn out and damaged ball bearing of the first axle of rear bogie of tram at its maintenance._x000D_
_x000D_
Root cause:		_x000D_
- increase of number of operation km in between individual set maintenance inspections of tram bogies type “KOMFORT”;_x000D_
- not determination of procedures for use of bogies type “KOMFORT” in technical condition, which would correspond with increase of number of operation km in between individual set maintenance inspections.</t>
  </si>
  <si>
    <t>RO-0417</t>
  </si>
  <si>
    <t>Train derailment, 12/11/2012, open line between Lupeni Tehnic and Vulcan station (Romania)</t>
  </si>
  <si>
    <t>the last 4 wagons (loaded with coal) from the freight train no. 23815 derailed on  the open line between Lupeni Tehnic and Vulcan</t>
  </si>
  <si>
    <t>open line between Lupeni Tehnic and Vulcan station</t>
  </si>
  <si>
    <t>Cauza directa a producerii acestui accident feroviar a constituit-o caderea de pe sina firului interior al curbei, a rotii nr.2 de la  boghiul nr.1 al vagonului nr.5 de la semnal, ca urmare a supralargirii caii în conditiile existentei unei mobilitati reduse a boghiului nr.1. _x000D_
_x000D_
Factori favorizanti:_x000D_
•	numarul traverselor necorespunzatoare de pe panoul de 30 m,  în procent de 25 %, fata de 7 % admis precum si din pozitionarea acestora pe panou a rezultat un numar de 6 traverse necorespunzatoare de înlocuit în urgenta I, permitând deplasari sub actiunea materialului rulant ale placilor metalice între 8 mm (fir interior) si 24 mm (fir exterior); în urma carora  pe traversa 19  a rezultat masuratoare si calcule o valoare  reala a ecartamentului de 1502 mm,_x000D_
•	lipsa jocurilor la pietrele de frecare, aferente boghiului deraiat si sprijinirea simultana a sasiului vagonului pe cele doua pietre de frecare;_x000D_
•	distrugerea partiala a garniturii de uzura tip poliamida,  prin fragmentarea  si colectarea acestor fragmente în partea inferioara a crapodinei, fapt ce a determinat contact direct (partial) a crapodinei superioare cu crapodina inferioara cu cresterea  coeficientului de frecare dintre cele doua suprafete metalice. 
The direct cause of this accident was the fall from the interior curve rail of the wheel no. 2 from the bogie no. 1 of the wagon no. 5 from the rear of the train, as a result of the track over-widening under the conditions reduced mobility of the bogie no. 1. _x000D_
_x000D_
Contributing factors_x000D_
?	the number of unsuitable sleepers on a panel track of 30 m, in a 25% percent vs. 7% admitted, as well as from their position on the panel resulted a number of 6 unsuitable sleepers which had to be urgently replaced, leading to movement under the action of the rolling stock of the metal plates between 8 mm (interior rail) and 24 mm (exterior rail); after measurements and calculations resulted, on the sleeper 19, a real value of the gauge of 1502 mm;_x000D_
?	lack of clearance on the side bearers, afferent the derailed bogie and the simultaneous support of the wagon frame on the two side bearers;_x000D_
?	partial damage of the polyamide liner of the centre pivot casting, through the fragmenting and the collection of this fragments in the inferior part of the centre pivot casting, fact which determined a direct contact (partial) of the upper centre pivot with the lower centre pivot with increasing of the friction coefficient between these two metallic surfaces.</t>
  </si>
  <si>
    <t>Au fost identificate urmatoarele cauze subiacente privind competentele:_x000D_
•	Pentru functia de revizor cale, la revizia caii se foloseste personal având functia de meserias I cale (nescolarizat,  neautorizat, fara certificarea aptitudinilor medicale-psihologice pentru functia de revizor cale )._x000D_
•	Pentru functia sef echipa întretinere cale se foloseste personal având functia de meserias I cale  (nescolarizat,   neautorizat , fara certificarea aptitudinilor medicale pentru functia de sef echipa )._x000D_
_x000D_
Nu au fost identificate cauze subiacente. privind procedurile_x000D_
_x000D_
_x000D_
Au fost identificate urmatoarele cauze subiacente privind întretinerea:_x000D_
•	Nu se intervine pentru remedierea defectelor caii depistate de vagonul de masurat calea, astfel ca defectele de ecartament depistate pe curba de la km 94 + 955 – 95 + 310 în zona de la km 95 + 100 – 95 + 200, la verificarea din data de 25.05.2011, se mentin în cale pâna la data de 12.11.2012 când are loc deraierea.  _x000D_
•	Nu s-a procedeaza la înlocuirea traverselor necorespunzatoare recenzate pentru perioada 2011/2012  (evidentiate în documentele de predare a Liniei 117  (Livezeni – Lupeni) de catre Sectia L 9 Simeria catre S.C. RC – CF  TRANS S.R.L. Brasov, în numar de 2150 buc. 
Underlying cause_x000D_
_x000D_
There were identified the following underlying causes on the skills_x000D_
?	for the track examiner position, at the track inspection are used track worker (not trained, unauthorized, without a certification of medical- psychological skills for the ganger position);_x000D_
?	for the track examiner foreman position are used track worker (not trained, unauthorized, without a certification of medical- psychological skills for the gang foreman position)._x000D_
_x000D_
No underlying causes were identified on the procedures. _x000D_
_x000D_
There were identified the following underlying causes on the maintenance:_x000D_
?	didn’t made the removal of the track failures detected by the testing and measuring car, so the gauge failures detected on the curve from the km 94+955-95+310 in the area of the km 95+100-95+200, at the check from 25th of May 2011, resting until the 12th of November 2011, when the derailment occurred.</t>
  </si>
  <si>
    <t>CZ-0448</t>
  </si>
  <si>
    <t>Trains collision with an obstacle, 17.11.2012, Blazovice station (Czech Republic)</t>
  </si>
  <si>
    <t>Collision of the regional passenger train No. 4112 with working machine – excavator which was working in the side track.</t>
  </si>
  <si>
    <t>Blazovice station</t>
  </si>
  <si>
    <t>Direct cause: disruption of through cross section of the railway track by working machine – excavator._x000D_
_x000D_
Contributory factor: human factor – security guard left the working place at the time when the work of excavator was not interrupted or ended.</t>
  </si>
  <si>
    <t>Underlying cause: failure to respect of technological procedures of IM.</t>
  </si>
  <si>
    <t>CZ-0469</t>
  </si>
  <si>
    <t>Train derailment, 11/18/2012, Praha Vrsovice station (Czech Republic)</t>
  </si>
  <si>
    <t>Derailment of train set No. 29709 on switch No. 23 at Praha-Vrsovice station.</t>
  </si>
  <si>
    <t>Praha Vrsovice station</t>
  </si>
  <si>
    <t>Direct cause: break of switch rail of switch No. 23._x000D_
_x000D_
Contributory factor:	_x000D_
- weld of left switch rail of switch No. 23 executed other than the recommended electrode._x000D_
- long-term burdening of left switch rail, produced and put into operation in 1986 as part of the switch 23._x000D_
- development of crack in the side surfaces of the left switch rail of switch No. 23.</t>
  </si>
  <si>
    <t>Underlying cause: failure to comply with technological procedures of infrastructure manager for welding of left switch rail of switch No. 23._x000D_
_x000D_
Root cause: not issuing of the technological procedure for non-destructive testing of welds which is required to technological procedures for repair defects of switch rails of switches using the welding electrodes, TP-NAJ-01/00.</t>
  </si>
  <si>
    <t>HU-0681</t>
  </si>
  <si>
    <t>Fire in RS, 11/18/2012, Ebes station (Hungary)</t>
  </si>
  <si>
    <t>One of the coaches of the train No. 6008 caught fire at Ebes station.</t>
  </si>
  <si>
    <t>Ebes station</t>
  </si>
  <si>
    <t>Heating system failure - overheating</t>
  </si>
  <si>
    <t>AT-2751</t>
  </si>
  <si>
    <t>Level crossing accident, 19/11/2012, Between station Purgstall and station Wieselburg (Austria)</t>
  </si>
  <si>
    <t>Monday, 19th November, 2012, at 16:56 o´clock, a collision between the train 7023 and a car occured between station Purgstall and station Wieselburg an der Erlauf, immediately before the stopping point Mühling, at the level crossing in km 13,985 (secured by St. Andrews Cross and acoustically signals by the train)._x000D_
The driver of the car was fataly injured._x000D_
The passengers and the train crew stayed unharmed._x000D_
The causation of the crash was that the car tried to use the level crossing at the time_x000D_
as train 7023 approached. 
Montag, 19. November 2012, um 16:56 Uhr, ereignete sich zwischen Bf Purgstall und Bf Wieselburg an der Erlauf, unmittelbar vor der Hst Mühling, auf der EK im km 13,985  (gesichert durch Andreaskreuze und Abgabe akustischer Signale vom Schienenfahrzeug aus) ein Zusammenprall zwischen Z 7023 und einem PKW._x000D_
Der Lenker des PKW wurde tödlich verletzt._x000D_
Die Reisenden und das Zugpersonal blieben unverletzt._x000D_
Die Ursache für den Zusammenprall war das Übersetzen der EK trotz Annäherung des  Zuges.</t>
  </si>
  <si>
    <t>Between station Purgstall and station Wieselburg</t>
  </si>
  <si>
    <t>IT-0462</t>
  </si>
  <si>
    <t>Level crossing accident, 24/11/2012, Rossano (Italy)</t>
  </si>
  <si>
    <t>Trenitalia train 3753, relation Sibari - Reggio Calabria, between the stations of Rossano and Mirto Crosia, LC km 155 +849 (LC for private users), invests vehicle causing the death of the six occupants of the vehicle</t>
  </si>
  <si>
    <t>Rossano</t>
  </si>
  <si>
    <t>The direct cause of the accident is the presence of the car on the railway at the time of transit of the train.</t>
  </si>
  <si>
    <t>1. Absence for the private LC , as for all the LCs of the same type, of an appropriate protection system of the LC on the railway side._x000D_
2. Absence at the LC, as well as for the systems of the same type, of optical/acoustic signaling revealing the onset of the train on the road side  or procedures that provide for an informed consent crossing._x000D_
3. Presence of uncut vegetation along the line, with reduction of the visibility close to the LC, emphasized by the particular characterization of crossing altitude with the presence of a hillock _x000D_
on the railway.</t>
  </si>
  <si>
    <t>UK-0555</t>
  </si>
  <si>
    <t>Accident to persons caused by RS in motion, 24/11/2012, Charing Cross (United Kingdom)</t>
  </si>
  <si>
    <t>A member of the public fell between a train and the edge of platform 3 at Charing Cross (main line) station in London and suffered life changing injuries._x000D_
_x000D_
The train involved was the 22:26 hrs service from Charing Cross to Dartford operated by South Eastern. CCTV evidence shows a person approaching the side of the train after the doors had been closed by the driver in readiness for departure. When close to the train, the person fell, and rolled into the gap between the train and the platform. Almost immediately the train started to move, and travelled about 39 metres before being brought to a stand after activation of a passenger alarm inside the train.</t>
  </si>
  <si>
    <t>Charing Cross</t>
  </si>
  <si>
    <t>The person fell under the stationary train and came into contact with the wheels as it departed (paragraph 33).</t>
  </si>
  <si>
    <t>The person fell against the side of the train and into the gap just before the train started to move (paragraph 35, Learning point 1). The gap between the platform edge and the train was large enough for the person to fall through (paragraph 41, Learning point 1). The person’s serious injuries resulted from there being no means for the customer service agent to stop the train after the person fell and before it struck her (paragraph 49, Learning point 1).</t>
  </si>
  <si>
    <t>UK-0552</t>
  </si>
  <si>
    <t>Accident to persons caused by RS in motion, 28/11/2012, Bayles and Wylies (NET) Level Crossing (United Kingdom)</t>
  </si>
  <si>
    <t>At about 19:00 hrs, a tram running from Nottingham (Station Street) to Hucknall struck and killed a 13 year old girl who was walking across the tramway from its west side._x000D_
_x000D_
The crossing traverses both the single-track tramway and a single-track railway running parallel to, and adjacent to, the tramway. Trams and trains run in both directions on their respective lines. The two parts of the crossing are effectively separate crossings and each part is managed separately; one part by the tramway and the other by the railway’s infrastructure manager.</t>
  </si>
  <si>
    <t>Bayles and Wylies (NET) Level Crossing</t>
  </si>
  <si>
    <t>The young person moved into the path of the tram as it approached Bayles and Wylies crossing (paragraph 44).</t>
  </si>
  <si>
    <t>The young person not responding to the sound of the horn of the approaching tram was causal to the accident (paragraph 50, Recommendation 1). Possible factors leading to this are: i. the horn was sounded continuously starting from a distance at which it would have been unlikely to have been audible (paragraphs 59 to 61); and/or ii. the young person believed the horn was being sounded by another vehicle in the area (paragraph 62). It is possible that the young person did not look towards the approaching tram when she was at the crossing chicane (paragraph 63). Possible factors leading to this, which may have acted singularly or in combination are: i. the young person may have been distracted (paragraph 65); and ii. the design of the crossing resulting in a weak chicane and no clear demarcation of the crossing boundary (paragraphs 66 to 70, Recommendations 2 and 3). It is also possible that the young person looked in the direction of Moor Bridge tram stop but did not see the tram (paragraph 71, Recommendation 4). The possible factor leading to this is: i. the glare from the light provided to illuminate the crossing if the young person looked at it momentarily (paragraphs 73 to 75, Recommendation 4). Although there is no direct evidence, it can not be ruled out that the young person saw and/or heard the tram approaching and thought incorrectly that she had time to cross safely, or that it would stop or slow down.</t>
  </si>
  <si>
    <t>DK-2193</t>
  </si>
  <si>
    <t>Train derailment, 29-11-12, Farris (Denmark)</t>
  </si>
  <si>
    <t>While leaving track 2 at Farris station 3 axles (one on each of wagons 14, 16 and 17) derailed when passing switch number 101. The actual derailment took place at the frog (common crossing). As the driver was unaware of the derailment the train proceeded and accelerated to some 90 km/h while the wheels on the derailed axles damaged 6 kilometers of track. The train was eventually stopped just before entering the next station (Sommersted).</t>
  </si>
  <si>
    <t>Farris</t>
  </si>
  <si>
    <t>Insuffient inspection and maintenance of the frog</t>
  </si>
  <si>
    <t>DE-0468</t>
  </si>
  <si>
    <t>Train derailment, 01-12-12, Hannover Hbf (Germany)</t>
  </si>
  <si>
    <t>Bei der Durchfahrt durch Hannover Hbf entgleiste der Güterzug EZ 51648 in der Kreuzungsweiche 39 mit drei Wagen. 
When passing by station Hannover Hbf, the 3 wagons of freight train EZ 51648 derailed at the switch number 39.</t>
  </si>
  <si>
    <t>Hannover Hbf</t>
  </si>
  <si>
    <t>Bruch des Wellenschenkels an der ersten Achse des vorderen Drehgestells in Folge eines Heißläufers 
Fracture of the shaft journal on the first axle of the front bogie following a hot box.</t>
  </si>
  <si>
    <t>UK-0553</t>
  </si>
  <si>
    <t>Level crossing accident, 04/12/2012, Beech Hill AHBC (United Kingdom)</t>
  </si>
  <si>
    <t>At 12:31 hrs on Tuesday 4 December 2012 a collision occurred between a passenger train and a car at Beech Hill automatic half barrier (AHB) level crossing near Finningley, between Gainsborough and Doncaster. One of the occupants of the car, a four year old child, was seriously injured in the collision and later died in hospital._x000D_
_x000D_
The train involved was the 11:54 hrs service from Lincoln to Doncaster, operated by East Midlands Trains. It consisted of a single carriage unit and was travelling at 60 mph at the time of the collision. None of the 20 passengers and two crew members on the train was injured in the accident. Equipment beneath the train was damaged in the collision leading to the spillage of diesel fuel from the train’s fuel tank, but there was no fire.</t>
  </si>
  <si>
    <t>Beech Hill AHBC</t>
  </si>
  <si>
    <t>The car drove onto the crossing while the wig-wags were flashing, the barriers were down and a train was approaching (paragraph 36).</t>
  </si>
  <si>
    <t>The following causal factors were identified: a. The visibility of the wig-wags and barriers was poor (paragraph 41, Recommendations 1 and 4);  This was because of the following factors: i) The environmental conditions (paragraph 38); ii) The light output from the red wig-wag light units was lower than specified and was hard to see against the bright sunlight (paragraph 45, Recommendation 1); iii) The light output of the lamps was lower than specified and the red lenses fitted to the wig-wag light units were of an obsolete design that did not meet their specification (paragraph 54, Recommendation 1); iv) The level crossing barrier was not conspicuous against the background when viewed from the north side of the crossing (paragraph 59, Recommendation 2); v) Network Rail did not have a process for checking that existing wig-wag lamps and lenses met their specification (paragraph 62, Recommendation 4); b.Network Rail’s level crossing management process did not adequately recognise and deal with the effect of sunlight on the visibility of crossing equipment (paragraph 70, Recommendation 2); and c. Network Rail had no ongoing plan to replace 36 W wig-wag units (paragraph 83, Recommendation 1).</t>
  </si>
  <si>
    <t>UK-0554</t>
  </si>
  <si>
    <t>Accident to persons caused by RS in motion, 04/12/2012, Saxilby (United Kingdom)</t>
  </si>
  <si>
    <t>At around 13:50 hrs, the 11:19 hrs Northern Rail service from Scunthorpe to Lincoln was passing through Saxilby when it struck and killed a track worker who was employed through a recruitment agency. The track worker was part of a group undertaking track maintenance on the adjacent line, which was closed to rail traffic at the time. His role at the time of the accident was that of Site Warden. The Site Warden’s sole responsibility is to monitor the actions of the other people in the work group and immediately warn them if they move into a position where they could be struck by a train operating on an adjacent open line. The Site Warden is not therefore required to look out for approaching trains as his focus is on ensuring that all members of the work gang remain in a place of safety at all times.</t>
  </si>
  <si>
    <t>Saxilby</t>
  </si>
  <si>
    <t>The COSS stepped back into the path of train 2P67 as it passed the site of work (paragraph 25).</t>
  </si>
  <si>
    <t>The causal factors were: a. the COSS had not implemented a SSOW for the task that was being  undertaken at the time that the accident occurred and was standing in an unsafe position as the train approached (paragraph 28, Recommendation 1); b. none of the staff contracted by SkyBlue challenged the absence of a SSOW or the actions of the COSS and others working within an unsafe area (paragraph 43, Recommendation 2); c. the Carillion supervisor did not challenge the COSS on the lack of briefing prior to the work commencing and the absence of a SSOW (paragraph 50, see paragraph 143); and d. the COSS became distracted during the second line blockage and did not see or hear the approaching train (paragraph 59, Recommendation 2). The underlying factors were: a. No effective action had been taken by SkyBlue in response to the involvement of the COSS in two other incidents in the two months preceding the accident (paragraph 66, Recommendations 2 and 3). The reasons for this were: SkyBlue did not have a process to ensure all incidents or accidents affecting people it had hired had been reported and recorded and that the necessary follow up actions had been completed (paragraph 72); the SkyBlue Rail Manager did not take action in response to the October 2012 incident and the following incident in November 2012 (paragraph 75); and there was a lack of clarity within SkyBlue as to who was responsible for managing the follow-up for the two near-miss incidents involving the COSS (paragraph 84). b. There was no follow up by Amey Colas in respect of the ‘Saxilby COSS’ after publication of its report on 19 November 2012 into the near-miss at Clay Cross (paragraph 93, see paragraph 144); c. There was no action taken by Network Rail in respect of the ‘Saxilby COSS’ after its investigations into the near-misses at Clay Cross in October 2012 and Clay Mills in November 2012 (paragraph 96, see paragraph 145); d. SkyBlue had no effective performance review regime for managing the competence of people it hired for work on Network Rail infrastructure (paragraph 100, see paragraph 145, Recommendations 2 and 3); and e. Carillion had not identified the deficiencies and omissions within its own or SkyBlue’s management systems (paragraph 104, Recommendation 3).</t>
  </si>
  <si>
    <t>ES-0655</t>
  </si>
  <si>
    <t>Runaway, 06/12/2012, Laviana (Asturias) (Spain)</t>
  </si>
  <si>
    <t>Electric train units that were stabled (out of service) at Laviana station (Asturias) started their runaway at kilometre point 49,700 and came to a halt at kp 36,915. There were neither material damage nor personal.</t>
  </si>
  <si>
    <t>Laviana (Asturias)</t>
  </si>
  <si>
    <t>The incident had its origin in a failure of the rolling stock due to an ineffieciency of the braking systems, both air and parking brake.</t>
  </si>
  <si>
    <t>AT-3181</t>
  </si>
  <si>
    <t>Level crossing accident, 08/12/2012, Station in Austria (Austria)</t>
  </si>
  <si>
    <t>Saturday, December 8th, 2012, at 17:54 o´clock, a collision between the train 6427 and a car happened in station Winzendorf at the level crossing in km 10,439, (secured with level-crossing road signal)._x000D_
The driver of the car was easily injured._x000D_
The passengers and the train crew stayed unharmed._x000D_
The cause of the crash was that the car tried to use the level crossing despite the "STOP" imperious by the level-crossing road signal. 
Samstag, 8. Dezember 2012, um 17:54 Uhr, ereignete sich im Bf Winzendorf, auf der EK im km 10,439 (gesichert mit Lichtzeichenanlage) ein Zusammenprall zwischen Z 6427 und einem PKW._x000D_
Der Lenker des PKW wurde leicht verletzt._x000D_
Die Reisenden und das Zugpersonal blieben unverletzt._x000D_
Die Ursache für den Zusammenprall war das Übersetzen der EK trotz „HALT“ gebietender Lichtzeichenanlage.</t>
  </si>
  <si>
    <t>AT-2748</t>
  </si>
  <si>
    <t>Other event, 09/12/2012, A station in Austria (Austria)</t>
  </si>
  <si>
    <t>On 9th December 2012 occurred faults on two side entrance doors of a passenger train (short term “train 1”) running at a speed of 200 km/h passing during the encounter of a passenger train (short term “train 2”) running at a speed of 230 km/h in a tunnel on a High-Speed-Line._x000D_
_x000D_
Due to the pressure surge at train meeting in the tunnel two side entrance doors of train 1 were so pressed out of the additional locking devices that appeared a gap approximately 2 cm at the lower door edge. There were no people injured or killed._x000D_
_x000D_
Substitute of the secondary locking with hook, on those with wedge locking, to reduce the pressure fluctuations in the passenger compartment. 
Am 9. Dezember 2012 ereigneten sich Störungen an zwei Seitentüren eines mit einer Geschwindigkeit von 200 km/h verkehrenden Personenzuges (kurz „Zug 1“ ) bei der Begegnung mit einem mit einer Geschwindigkeit von 230 km/h verkehrenden Personenzuges (kurz „Zug 2-HST“) in einem Tunnel._x000D_
_x000D_
Durch den Druckstoß bei der Zugbegegnung im Tunnel wurden Seiteneinstiegstüren bei Zug 1 so aus den Zusatzverriegelungen gedrückt, dass an der Türunterkante ein Spalt von ca. 2 cm auftrat. Es wurden keine Personen verletzt oder getötet._x000D_
_x000D_
Umbau der Zusatz-Verriegelungen mit Fanghaken auf solche mit Verschlusskeilen zur Verringerung der Druckschwankungen im Fahrgastraum.</t>
  </si>
  <si>
    <t>Die Zusatz-Verriegelungen der Seiteneinstiegstüren bei Zug 1-Fahrzeugen wurden zur Verringerung der Druckschwankungen im Fahrgastraum (Anmerkung: fehlende Druckertüchtigung gemäß RIC-Kennzeichnung )p(.)_x000D_
im Laufe des Jahres 2012 von Fanghaken auf solche mit Verschlusskeilen umgebaut._x000D_
_x000D_
Durch Druckstöße bei einer Zugbegegnung (Zug 1 mit 200 km/h und Zug 2-HST mit 230 km/h) im Tunnel wurden die Türen mit den Verschlusskeilen der Zug 1-Fahrzeuge aus ihrer Ruhelage ausgelenkt. 
The additional locks the side entrance doors at train 1 vehicles were used to reduce the pressure fluctuations in the passenger compartment (Note: missing Pressure Sealed according to RIC marking) p (.) _x000D_
in the course of 2012, rebuilt by fishing hooks on those with taper locks. _x000D_
_x000D_
Due to pressure surges at a train meeting (1 train at 200 km / h and train 2-HST 230 km / h) in the tunnel, the doors were deflected with the taper locks the train 1 vehicles from its rest position.</t>
  </si>
  <si>
    <t>AT-2716</t>
  </si>
  <si>
    <t>Other event, 10/12/2012, Station in Austria (Austria)</t>
  </si>
  <si>
    <t>On 10th December 2012 at 06:49 o´clock, in a station in Austria (short term “IM-Bf”), as travelled a high speed passenger train through with a speed of approximately of 200 km/h, ice and snow clump of the vehicle bottom broke down and raise ballast. _x000D_
_x000D_
Two people at the platform and the driver of a waiting passenger train were hit by the raising ballast and were minor injured. There was a insignificant material damage on the local infrastructure and on passenger cars._x000D_
_x000D_
Due to weather conditions large amounts of flying snow could accumulate at the vehicle bottom and froze to ice and snow clumps. On the way of the train the ice and snow clumps defrosted due the temperature +1°C and more and fell down in cause of high speed. 
Am 10. Dezember 2012, um 06:49 Uhr, lösten sich während der  Durchfahrt eines Personenzuges in einem Bahnhof in Österreich (kurz „IM-Bf“) bei einer Geschwindigkeit von ca. 200 km/h Eis- und Schneeklumpen von der Fahrzeugunterseite und führten zur Aufwirbelung von Gleisschotter._x000D_
_x000D_
Durch den aufgewirbelten Gleisschotter wurden zwei am Bahnsteig befindliche Personen und der Tfzf eines im Bahnsteigbereich haltenden Personenzuges am Körper getroffen und leicht verletzt. Darüber hinaus entstand Sachschaden an Einrichtungen der örtlichen Infrastruktur und an Fahrzeugen._x000D_
_x000D_
Witterungsbedingt hatten sich große Mengen an Flugschnee an der Fahrzeugunterseite des Personenzuges angesammelt und verhärteten während der Fahrt zu Eisklumpen. Vermutlich lösten sich diese Eisgebilde während der Fahrt bedingt durch die Außentemperaturen von +1°C und mehr und hoher Fahrgeschwindigkeit.</t>
  </si>
  <si>
    <t>Durch herabfallende Eisbrocken von der Fahrzeugunterseite wurde bei einer Geschwindigkeit von 200 km/h der Gleisschotter derart aufgewirbelt, dass Personen verletzt, Radsätze der Fahrzeuge, Luftschläuche, Kabel und Scheiben der Seitenfenster beschädigt wurden. _x000D_
_x000D_
Durch die schneereiche Witterung konnten sich beachtliche Mengen Flugschnees in den Freiräumen an den Fahrzeugunterseiten ansammeln und sich bei Temperaturen während der Nacht von unter -3 °C zu Eisgebilden verhärten. _x000D_
_x000D_
Im weiteren Fahrtverlauf wurden bei Außentemperaturen von +1°C und mehr sowie Temperaturen im vorgelegenen Tunnel von mehr als +1°C in Verbindung mit der hohen Fahrgeschwindigkeit einzelne Eisklumpen gelöst, die durch Herabfallen zum Schotterwirbel führten. _x000D_
_x000D_
Durch die geringe Auskehrung des Gleisschotters zwischen den Schwellen können Schotterwirbel durch Herabfallen einzelner Eisklumpen bei hohen Fahrgeschwindigkeiten entstehen. 
By falling chunks of ice from the vehicle underbody / h of the track ballast was so stirred up that persons injured, wheel sets of vehicles, air hoses, cables and pulleys of the side windows were damaged at a speed of 200 km._x000D_
_x000D_
Due to the snowy weather to considerable amounts could accumulate flight snow in the spaces to the vehicle bottoms and harden at temperatures during the night of below -3 ° C to ice formations._x000D_
_x000D_
In the further course of journey were dissolved at ambient temperatures of +1 ° C or more and temperatures in the pre-superior tunnel of more than +1 ° C in conjunction with the high driving speed single lump of ice that led to the gravel vertebrae by falling._x000D_
_x000D_
Due to the low payouts of the track ballast between the sleepers gravel vortex can be caused by falling ice chunks individual at high speeds.</t>
  </si>
  <si>
    <t>DE-0549</t>
  </si>
  <si>
    <t>Train derailment, 13-12-12, Löhne (Westf.) (Germany)</t>
  </si>
  <si>
    <t>Freight train EZ 51229 derailed with an empty Laaers wagon with all axles and fell at an angle. 
Güterzug EZ 51229 entgleiste mit einem leeren Laaers-Wagen mit allen Achsen und geriet in Schräglage.</t>
  </si>
  <si>
    <t>Löhne (Westf.)</t>
  </si>
  <si>
    <t>Mängel an der Infrastruktur, Gleislagefehler, Längshöhenfehler 
Deficiencies at infrastructure, track alignment errors, longitudinal level errors</t>
  </si>
  <si>
    <t>CZ-0812</t>
  </si>
  <si>
    <t>Level crossing accident, 14.12.2012, open line between Prelouc station and Lhota pod Prelouci stop (Czech Republic)</t>
  </si>
  <si>
    <t>Collision of regional passenger train No. 8662 at the level crossing with a car with consequent derailment.</t>
  </si>
  <si>
    <t>open line between Prelouc station and Lhota pod Prelouci stop</t>
  </si>
  <si>
    <t>Direct cause: deadlock of the car in the space of the level crossing after the car rolled off to railway track._x000D_
Contributory factor: darkness and snow distorted the view from the car.</t>
  </si>
  <si>
    <t>Underlying cause: the operation of the level crossing with a level crosing roadway, which was not comply with national legislation and threaneted the safety of the level crossing user's._x000D_
Root cause: none.</t>
  </si>
  <si>
    <t>HU-5540</t>
  </si>
  <si>
    <t>Train derailment, 14-12-12, Kelebia (Hungary)</t>
  </si>
  <si>
    <t>4 waggons of the freight trai has derailed on a switch.</t>
  </si>
  <si>
    <t>Kelebia</t>
  </si>
  <si>
    <t>Failure of track and waggon, and driving style</t>
  </si>
  <si>
    <t>BG-2062</t>
  </si>
  <si>
    <t>Fire in RS, 12/19/2012, Shumen Railway Station (Bulgaria)</t>
  </si>
  <si>
    <t>Train No 90101 hauled by a locomotive 42-081 arrived at destination railway station of Shumen at 11:33 LT. At 11:35 local time, the locomotive crew sensed a smell of burning. The crew looked back to the second cabin and saw smoke, which sorted from the lower backside of the locomotive. When the crew boarded the rear cabin of the locomotive, they discovered that dense and stifling smell from the intermediate corridor from the driver's side._x000D_
The locomotive brigade immediately started to fight the fire using all the four powder fire extinguishers available, but without success. They called 112 and requested assistance from the Fire Fighting Department. The fire truck arrived at 11:56 LT and the fire was extinguished at 12:50 LT. No fatalities or wounded. The locomotive suffered serious damage in the rear cabin. The locomotive brigade followed all the instructions.</t>
  </si>
  <si>
    <t>Shumen Railway Station</t>
  </si>
  <si>
    <t>The direct cause of the accident occurred – ignition of fire in the electric locomotive No. 42081.0 on the second track of railway station Shumen, is the primary electric short circuit occurred between the operative wires connected to the Control Switch 370 mounted on the middle column of the control panel in the first cabin of the locomotive.</t>
  </si>
  <si>
    <t>Insulation of cables is affected by the aging, moisture and loss of insulating characteristics, repeated bending, vibration, loose connections or excessive heat of the insulation due to malfunction of some contacts of the control switch 370, which is the most loaded part of the control circuits of the locomotive. As a result of aging the pressure between its contacts is reduced, which is a precondition for emerging of electric arc.</t>
  </si>
  <si>
    <t>DE-0550</t>
  </si>
  <si>
    <t>Level crossing accident, 12/19/2012, Düsseldorf-Eller - Düsseldorf-Rath (Germany)</t>
  </si>
  <si>
    <t>On the level crossing 27,764 (in Hackenbruch) between Dusseldorf-Eller and Dusseldorf-Rath, freight train 41953 collided with an empty bus. 
Auf dem Bahnübergang 27,764 (Am Hackenbruch) prallte Güterzug 41953 zwischen Düsseldorf-Eller und Düsseldorf-Rath mit einem leeren Bus zusammen.</t>
  </si>
  <si>
    <t>Düsseldorf-Eller - Düsseldorf-Rath</t>
  </si>
  <si>
    <t>Der Fahrer des Busses hatte den BÜ bei ausgeschalteter Bahnübergangssicherungsanlage (BÜSA) befahren. Wegen eines technischen Defekts an seinem Fahrzeug konnte er den Kreuzungsbereich nicht rechtzeitig räumen. Bei der Annäherung der Güterzüge wurde die BÜSA eingeschaltet. Systembedingt konnten die Tf  ihre Züge nicht mehr  anhalten und somit die Zusammenpralle mit dem Bus nicht verhindern. 
The driver of the bus had to drive on the level crossing when the level crossing protection system was switched on. Due to a technical defect in his vehicle he could not evacuate in time the level crossing area. With the approach of the freight train the level crossing protection system turned on. Due to the system, the traindriver could not stop the train and thus the collision with the bus could not be prevented.</t>
  </si>
  <si>
    <t>ES-0656</t>
  </si>
  <si>
    <t>Spad, 21/12/2012, Valencia Fuente de San Luis (Valencia) (Spain)</t>
  </si>
  <si>
    <t>Passenger train overtook signal E2B at Valencia Fuente de San Luis station (Valencia).</t>
  </si>
  <si>
    <t>Valencia Fuente de San Luis (Valencia)</t>
  </si>
  <si>
    <t>The incident had its origin when the train overtook home signal (E2B) - which stated a stop aspect - due to the non-compliance of the signal instructions by the train driver</t>
  </si>
  <si>
    <t>RO-0569</t>
  </si>
  <si>
    <t>Train derailment, 12/22/2012, Pui station (Romania)</t>
  </si>
  <si>
    <t>the 9-th wagons from the freight train no. 50408 derailed on the switch no. 15</t>
  </si>
  <si>
    <t>Pui station</t>
  </si>
  <si>
    <t>The direct cause of this accident was that the wheels of the axle left the line, because the fall of the break block holder situated in front of the wheel no. 5, in the running direction, from the wagon no. 88536656800-8 and the its blocking in the trench between the track from the left side and the slabs of the passage between platforms situated in the railway station Pui, at km 43 +810, which made it become an obstacle in the track gauge._x000D_
Contributing factors_x000D_
The improper repair performed at the safety strap afferent to the front part, in the running direction, of the wheel no. 5 of the wagon. 
Cauza directa a producerii acestui accident o constituie parasirea caii de rulare a rotilor osiei fapt generat de caderea portsabotului situat în fata rotii nr.5, sens mers, de la vagonul nr. 88536656800-8, si blocarea acestuia  în jgheabul dintre sina din partea stânga si dalele pasajului pietonal situat în statia Pui la km 43 + 810, cu constituirea ca obstacol in gabaritul caii._x000D_
_x000D_
Factori care au contribuit._x000D_
Reparatia defectuoasa efectuata la etrierul de siguranta aferent partii din fata, sens mers, a rotii nr. 5 a vagonului.</t>
  </si>
  <si>
    <t>The underlying cause of this railway accident was the failure to comply with the instructional provisions performed at the technical inspections at the train composition and in transit made at the freight train no. 50408, on 22nd of December 2012, which have in its composition wagon no. 88536656800-8. 
Cauza subiacenta a producerii acestui accident feroviar o constituie nerespectarea prevederilor instructionale cu ocazia efectuarii reviziilor tehnice la compunere si respectiv tranzit efectuate la trenul de marfa nr. 50408 din data de 22.12.2012, tren în compunerea caruia s-a aflat vagonul nr.88536656800-8.</t>
  </si>
  <si>
    <t>ES-0799</t>
  </si>
  <si>
    <t>Train derailment, 24/12/2012, Lezama station (Vizcaya) (Spain)</t>
  </si>
  <si>
    <t>Derailment of second wagon of a freight train at Lezama station (Vizcaya)</t>
  </si>
  <si>
    <t>Lezama station (Vizcaya)</t>
  </si>
  <si>
    <t>ACTIVA RAIL</t>
  </si>
  <si>
    <t>The derailment was caused due to an infrastructure failure. In the area was detected that values for the cant and the warping of track were out of tolerance (bad quality of rail plus heavy rains).</t>
  </si>
  <si>
    <t>UK-0710</t>
  </si>
  <si>
    <t>Train derailment, 27/12/2012, Barrow-upon-Soar (United Kingdom)</t>
  </si>
  <si>
    <t>At about 04:55 hrs, train 6L73, comprising a class 66 locomotive and twenty loaded stone hopper wagons, encountered a bank slip while traveling southwards on the ‘up slow’ line. The locomotive and first ten wagons remained on the track, the eleventh and twelfth wagons derailed leading bogie only, the thirteenth remained on the track and the remaining seven, which separated from the rest of the train, derailed and rolled over. No one was hurt in the accident but the slow lines remained closed for recovery and repairs for a week and a half afterwards.</t>
  </si>
  <si>
    <t>Barrow-upon-Soar</t>
  </si>
  <si>
    <t>The immediate cause of the accident was that the support under the cess side rail of the up slow line failed as train 6L73 was passing over it (paragraph 30).</t>
  </si>
  <si>
    <t>a. The weight of the train initiated an embankment slip as the train passed over the top of the embankment. Ordinarily the embankment would have been capable of supporting this weight (paragraph 37, no recommendation). b. Water draining from the track into the embankment affected its stability at its upper levels (paragraph 42, Recommendation 1). c. Water pooling at the foot of the embankment affected its stability at its lower levels (paragraph 47, Recommendation 1). d. None of Network Rail’s processes identified that the embankment’s stability was reduced and that it was at risk of failing under a passing train. It is possible the embankment’s reduced stability could have been identified by: i. a report to the Network Rail geotechnical team responsible for the East Midlands Route to trigger it to carry out an earthwork evaluation, but none was received (paragraph 57, Recommendation 1); ii. a routine earthwork examination, but none was due (paragraph 72, Recommendation 1); iii. an additional inspection of the embankment during flooding, but the extreme weather plan for the East Midlands Route did not require Network Rail’s maintenance organisation to do this (paragraph 77, Recommendation 1); and iv. a basic visual track inspection on 24 December, but the up slow line over the embankment was not inspected as planned (paragraph 86, no recommendation). The underlying factors were: a. The risk of the earthwork failures associated with water was assessed against factors such as signs of scour and a history of problems, while other factors related to water flowing through the earthwork were not considered (paragraph 94, Recommendation 2). b. Network Rail company standard, NR/L2/CIV/086 ‘The Management of Earthworks’, does not clearly define the circumstances when the Route geotechnical team must consider the need to carry out an evaluation, and does not define who is responsible for submitting reports to the Route geotechnical team when these circumstances arise and how they should be reported (paragraph 100, Recommendation 1).</t>
  </si>
  <si>
    <t>RO-0636</t>
  </si>
  <si>
    <t>Train derailment, 12/30/2012, Petrosani station (Romania)</t>
  </si>
  <si>
    <t>the 9-th vagon from the freight train no. 20976-1 derailled</t>
  </si>
  <si>
    <t>Petrosani station</t>
  </si>
  <si>
    <t>Cauza directa, factori care au contribuit :_x000D_
- slabirea bandajului rotii nr. 5, datorita scaderii în timp a fortei de strângere exercitata de bandajul rotii nr. 5  pe obada acestei roti, urmata de rotirea si deplasarea transversala a acestuia pe obada rotii._x000D_
Acest  fapt  a condus la deraierea osiei montate corespunzatoare rotilor nr. 5-6 de la vagonul nr. 33535300809-7 din trenul nr. 20976-1 din data de 30.12.2012, cu roata  nr. 5  în exteriorul sinei din stânga al caii de rulare si cu roata nr. 6 în interiorul caii de rulare, în  dreptul km.79+050._x000D_
_x000D_
Factori care au contribuit:_x000D_
- solicitari termice si mecanice aparute în exploatarea osiei;_x000D_
- durata mare de utilizare a bandajului ( bandajul este fabricat în   anul   1977); _x000D_
 - uzura bandajului în planul cercului de rulare apropiata de limita admisa în exploatare._x000D_
- rugozitate mare a suprafetelor obadei si bandajului aflate în contact. 
Direct cause, factors that contributed :_x000D_
- loosening the wheel tyre no.5, due to the decrease in time of the tightening force performed by the wheel tyre no.5 on this monobloc  wheel body, followed by its rotation and  lateral displacement on the  monobloc  wheel body._x000D_
 This fact led to the derailment of the wheelset corresponding to wheels no.5-6 from the wagon no. 33535300809-7 of the train no. 20976-1 of 30 of December, 2012 with wheel no.5 outside the left rail of the running track and  with  wheel no.6 inside the running track in the right of the km 79+050._x000D_
_x000D_
Factors  that  contributed:_x000D_
- thermal and mechanic stresses appeared during axle operation;  _x000D_
- long service life of the tyre ( the  tyre  is manufactured in 1977);_x000D_
- tyre wear in the running tread plan was close to the limit allowed  in operation._x000D_
- high roughness of the surfaces of  the monobloc  wheel body and tyre that were in contact.</t>
  </si>
  <si>
    <t>DE-0706</t>
  </si>
  <si>
    <t>Train derailment, 05-01-13, Recklinghausen Ost (Germany)</t>
  </si>
  <si>
    <t>Am 05.01.2013 gegen 16:32 Uhr entgleisten der sechste und siebte Wagen des DGS 95748 während der Einfahrt nach Gleis 2001 des Bahnhofs Recklinghausen Ost. Erste Entgleisungsspuren wurden im Bereich kurz hinter einer Brücke etwa in km 4,75 gefunden. Der Zug war aus 25 leeren Kesselwagen gebildet und auf dem Weg von Neuss Gbf nach Bad Schandau Ost. 
On 05.01.2013 at 16:32, the sixth and seventh wagons of DGS 95748 derailed while entering track 2001 of the railway station Recklinghausen Ost. Initial derailment lanes were found in the area just behind a bridge at approximately km 4.75. The train was made up of 25 empty tank wagons and was en route from Neuss Gbf to Bad Schandau Ost.</t>
  </si>
  <si>
    <t>Recklinghausen Ost</t>
  </si>
  <si>
    <t>HSL Logistik GmbH</t>
  </si>
  <si>
    <t>Ein fehlerhafter Einbau von Brückenquerbalken führte zu unzulässigen Abweichungen der Gleislage. Im Zusammenwirken mit einer weiteren Gleislagestörung, resultierend aus instabilem Unterbau an einem Brückenwiderlager, führten diese Oberbaumängel zur Entgleisung der beiden Wagen. 
Incorrect installation of bridge cross-bars resulted in unacceptable deviations in the track position. In combination with a further track failure resulting from unstable substructure on a bridge retractor bearing, these track failures led to the derailment of the two wagons.</t>
  </si>
  <si>
    <t>AT-3315</t>
  </si>
  <si>
    <t>Fire in RS, 2013-01-06, Station in Austria (Austria)</t>
  </si>
  <si>
    <t>On 6th January, 2013 at 21:48 the engine driver of a running train (Z 1) saw a spark in the front section of another running train (Z 2) on the route. This spark was reported to the signaler. After stopping in the next station (shortform IM-Bf), the engine driver of the freight train (Z 2) detected a fire of an axle box of the second wagon and deleted it by using a portable fire extinguisher._x000D_
_x000D_
The freight train (Z 2) consisted of locomotive BR 1116 and 20 loaded tank wagons of the type “Zas”, each loaded with about 57 t RID Good, 30, UN 1202 DIESELKRAFTSTOFF, 3, III._x000D_
_x000D_
The relevant wheel set was identified in the diagnosis as a total loss. There was no damage to the infrastructure. No people were injured or killed._x000D_
_x000D_
The fire was caused by a hot axle box. 
Am 6. Jänner 2013, um 21:48 Uhr wurde durch den Tfzf eines auf der freien Strecke in Fahrt befindlichen Güterzuges (Z 1) bei einem entgegenkommenden Güterzug (Z 2) Funkenflug im vorderen Zugteil gemeldet. Nach dem Anhalten im nächsten Bf (kurz IM-Bf) wurde durch den Tfzf von Z 2 ein Brand eines Radsatzlagers des zweiten Wagens festgestellt und mittels Handfeuerlöschers gelöscht. _x000D_
_x000D_
Z 2 bestand aus einem Tfz BR 1116 und 20 Kesselwagen der Type „Zas“ beladen mit jeweils ca. 57 t RID-Gut, 30, UN 1202 DIESELKRAFTSTOFF, 3, III._x000D_
_x000D_
Der betroffene Radsatz wurde bei der Befundung als Totalschaden identifiziert. An der Infrastruktur entstand kein Sachschaden. Es wurden keine Personen verletzt oder getötet._x000D_
_x000D_
Der Brand wurde durch ein Heißlaufen eines Radsatzlagers ausgelöst.</t>
  </si>
  <si>
    <t>Der Brand des Kesselwagens wurde durch das Heißlaufen des inneren Pendelrollenlagers eines Radsatzes ausgelöst. 
The fire of the tank wagon was triggered by overheating of the inner spherical roller bearing of a wheelset.</t>
  </si>
  <si>
    <t>IT-0698</t>
  </si>
  <si>
    <t>Accident to persons caused by RS in motion, 07-01-13, Line Firenze Rifredi â€“ Attigliano (LL), track section between Arezzo and PM Olmi (Italy)</t>
  </si>
  <si>
    <t>The driver of the regional train 3099 indicated that he had hit something with the side of the car outside the Arezzo station._x000D_
At km 228 ??+200 a luggage and the body of a deceased person were identified on the slope of the track.</t>
  </si>
  <si>
    <t>Line Firenze Rifredi â€“ Attigliano (LL), track section between Arezzo and PM Olmi</t>
  </si>
  <si>
    <t>The direct cause is an incorrect functioning of the mechanical lock of the upper pneumatic operator of a door that, closing but not locking the door, allowed the opening of the door itself.</t>
  </si>
  <si>
    <t>Incorrect functioning of the mechanical lock is due to a maintenance problem._x000D_
Missing of the communications to travelers of the prohibition to get off from the convoy because the train was standing in line.</t>
  </si>
  <si>
    <t>UK-2031</t>
  </si>
  <si>
    <t>Fire in RS, 08/01/2013, South Gosforth (United Kingdom)</t>
  </si>
  <si>
    <t>At 14:08 hrs a two-car Metro train left South Gosforth station on its way from South Shields to St James. A few seconds after it left the station, an electrical fault caused severe arcing in underfloor equipment and a fire developed underneath the rear car. The train stopped, and a short time later the overhead contact wire parted and fell on the roof of the rear car. The arcing which had caused the fire ceased after about 45 seconds, but not before a large amount of smoke had entered the rear car. There were about 45 passengers in this vehicle, and they used emergency release handles to open the doors and were then able to get out onto the side of the track, from where Metro staff escorted them to a place of safety nearby. The emergency services attended and damped-down the smouldering train. No-one was hurt in the incident, and there was no significant damage to the interior of the train.</t>
  </si>
  <si>
    <t>South Gosforth</t>
  </si>
  <si>
    <t>The immediate cause of the accident was electrical arcing following a fault in the line breaker case on car 4052 (paragraph 43).</t>
  </si>
  <si>
    <t>The causal factors were: a. a fault developed in the area of line breaker LB1 of car 4052 (paragraph 48, Recommendation 1); b. there was no protection against a fault current which develops between the pantograph and the overload monitoring module (paragraph 57, Recommendation 1); c. the fault current was not high enough to operate the primary overload protection system at Benton Square sub-station or the mid-point line relay (paragraph 63, Recommendation 1); and d. the inter-tripping equipment between the sub-stations at South Gosforth and Benton Square did not operate (paragraph 67, see paragraph 107). Underlying factors were: a. Nexus and DBTW did not fully understand the risk associated with line breaker failures and had not assessed the risk from such failures arising from the design of the electrical protection arrangements for the power supplies and the trains (paragraph 72, Recommendation 1); and b. Nexus had inadequate arrangements for the inspection and maintenance of the inter-tripping system (paragraph 75, see paragraph 107).</t>
  </si>
  <si>
    <t>DE-0737</t>
  </si>
  <si>
    <t>Level crossing accident, 2013-01-09, Lübbecke (Westf.) - Espelkamp (Germany)</t>
  </si>
  <si>
    <t>Eurotrain 90217 collided with a car at the level crossing. The level crossing was out of service. The safety was assured by guards. 
Eurobahn 90217 kollidierte auf dem Bahnübergang mit einem Pkw. Die Bahnübergangssicherung war außer Betrieb. Die Sicherung erfolgte durch Posten.</t>
  </si>
  <si>
    <t>Lübbecke (Westf.) - Espelkamp</t>
  </si>
  <si>
    <t>Eurobahn Verkehrsgesellschaft mbH</t>
  </si>
  <si>
    <t>Die Fahrerin des Pkw hatte den BÜ befahren, obwohl dieser durch Posten mittels Absperr-band und einer rot leuchtenden Lampe für die Zugfahrt gesichert war. 
The driver of the car had driven on the level crossing, although it was secured by means of post shut-band and a bright red light for the train ride.</t>
  </si>
  <si>
    <t>ES-0800</t>
  </si>
  <si>
    <t>Train derailment, 1/9/2013, Villafranca de Córdoba station (Córdoba) (Spain)</t>
  </si>
  <si>
    <t>Derailment of second bogie of passenger train at Villafranca de Córdoba station (Córdoba) when train went through switch nº2 (PK 415+648).</t>
  </si>
  <si>
    <t>Villafranca de Córdoba station (Córdoba)</t>
  </si>
  <si>
    <t>The derailment was caused by a technical failure of the points, due to the disconnection of the point switch bar by the breakage of the point stretcher´s pin. This caused the switch tongue (right side in the direction of travel) was coupled but not locked and, when the first bogie passed through,it opened making the second bogie to derail.</t>
  </si>
  <si>
    <t>NO-0756</t>
  </si>
  <si>
    <t>Trains collision, 1/9/2013, Alnabru marshalling yard (Norway)</t>
  </si>
  <si>
    <t>On Wednesday 9 January 2013, a shunting unit collided with the locomotive of train 5509 on track C31 at Alnabru station. No one was injured, but the locomotive of train 5509 and two of the freight cars in the shunting unit suffered material damage.</t>
  </si>
  <si>
    <t>The signaller on the shunting unit had concluded that all was clear and told the driver and shunter that 'we have a signal all the way'. The shunting unit was travelling too fast towards track C31 in relation to the braking distance, and when it became clear that the track was occupied, the unit was unable to stop before hitting the rolling stock that occupied the track.</t>
  </si>
  <si>
    <t>CZ-0757</t>
  </si>
  <si>
    <t>Train derailment, 13.1.2013, Vysoke Myto station (Czech Republic)</t>
  </si>
  <si>
    <t>Derailment of regional passenger train on self-returning switch during arrival to the station.</t>
  </si>
  <si>
    <t>Vysoke Myto station</t>
  </si>
  <si>
    <t>Engine driver of regional passenger train No. 15066 passed signal of self-returning switch No. 1 at danger.</t>
  </si>
  <si>
    <t>Underlying cause: regional passenger train didn't stop in front of self-returning switch No. 1 and engine driver didn't check position of self-returning switch No. 1._x000D_
_x000D_
Root cause: none.</t>
  </si>
  <si>
    <t>CZ-0752</t>
  </si>
  <si>
    <t>Accident to persons caused by RS in motion, 14.1.2013, Bystricka stop, between Valasske Mezirici and Jablunka stations (Czech Republic)</t>
  </si>
  <si>
    <t>A passenger was locked into the doors, consequently towed and injured by regional passenger train No. 3229.</t>
  </si>
  <si>
    <t>Bystricka stop, between Valasske Mezirici and Jablunka stations</t>
  </si>
  <si>
    <t>Direct cause: putting of the regional passenger train to movement with the passenger who was closed into the door._x000D_
_x000D_
Contributory factor: absence of safety equipment, which would prevent putting of the train    to movement in the cases when the doors are not closed and door-closed indicator indicates that the doors are open.</t>
  </si>
  <si>
    <t>Underlying cause: unaware mistake of engine driver who was affected by ignorance and indifference._x000D_
_x000D_
Root cause: none.</t>
  </si>
  <si>
    <t>SE-3864</t>
  </si>
  <si>
    <t>Train derailment, 15/01/2013, Saltsjöbanan (Sweden)</t>
  </si>
  <si>
    <t>On the night between 14 and 15 January 2013, two electric multiple units (EMUs) entered into an uncontrolled movement on the Saltsjöbanan commuter railway. The vehicles left the depot at Neglinge and proceeded towards the end station of the line, Saltsjöbaden, under full tractive power. At Saltsjöbaden, which is a cul-de-sac station, the vehicles travelled over track 1 at some 80 km/h and went through the end barrier and collided with an apartment building 30 metres beyond the end of the track. Rescue workers extracted one seriously injured woman from the wreckage but no other casualties occurred. The leading car was damaged beyond repair and the building sustained severe, but repairable damage. _x000D_
Earlier, the last scheduled train had arrived at the depot at Neglinge and its EMU was coupled to the one from the second-last train, which was already standing at track 3 at Neglinge. At this point, the traffic controller for Saltsjöbanan went off duty and, according to plan, left the traffic control center unmanned for the duration of the time when there were no train services. All switches were released for local operation and the entire system was given over to a track possession, in the charge of an overseer. This was normal procedure, introduced to allow various types of system maintenance during the night._x000D_
During the time until the first train of the next day was due, cleaning and light maintenance were planned to be carried out on the EMUs. A shunter and a cleaner (the woman later found in the wreckage in Saltsjöbaden) were working in the depot. It had been snowing during the day, and the temperature was a few degrees below freezing point. The shunter decided that the vehicles couldn't be left with the brakes applied, as there was a risk of the blocks freezing to the wheels during the standstill. In order to avoid such trouble, a special piece of equipment is installed on all parking tracks at Neglinge. Using a 24 V AC feed through a cable from outside and a special procedure in the driver's cab, the brakes can be released without having to activate the driver's controls. However, this equipment was not in working order at track 3 and had actually been nonfunctional for several weeks. That being the fact, the shunter decided to use an unauthorized procedure to keep the brakes released. For that purpose he proceeded to activate the driver's controls in the cab facing Saltsjöbaden, engaged the driver's safety device ("dead man's switch") using a loose brake block and closed the doors, to enable brake release. The doors were then released for individual control, to prevent engagement of tractive power. At some point during the procedure, the train control lever was placed in the "Full power" position. The shunter then assisted the cleaner with some of the tasks that needed to be carried out._x000D_
When the cleaner was almost finished, the shunter left the vehicles and went to the workshop office to print out and complete some maintenance forms. The driver's cab was left as arranged, with the controller key in the lock. When he returned some 30 minutes later, the vehicle combination of two EMUs had disappeared._x000D_
The cleaner cannot remember any details of that night, but has been able to give a statement as to how the normal cleaning procedure is conducted. The crucial part is the fact that cleaning of the car floors involve sweeping sand and grit out through the passenger doors. Since dirt in the door guides can prevent proper door function, a final move is normally to close the doors using a central command from a cab where the door system is activated, to check the proper function of the doors. _x000D_
It has been shown, through practical tests, that with the driver's controls arranged as they were, engagement of tractive power depends only on a central impuls to close the passenger doors. SHK is convinced that this is what actually happened in this case. The driver's controls were arranged to release the brakes. Later, the cleaner closed the doors using a central command button, to ensure the proper function of the doors. When the impulse was given, the tractive power was engaged. The control lever, being left in the "full power" position, enabled the power control system gradually to apply full power to the traction motors. Since the cleaner had no knowledge of the function or use of the driving controls and, indeed, probably had no idea at all of what was happening, she couldn't find a way to stop the vehicles and eventually took cover in a passenger seat close to the driver's cab. The duration of the movement from Neglinge to Saltsjöbaden was less than 2 minutes, during which the EMUs gradually gained speed._x000D_
The points at Neglinge had been left in the position they had had after the route was set for the arrival of the last train to track 3. The runaway vehicles were thus led back out onto the line towards Saltsjöbaden._x000D_
The EMUs on the Saltsjöbanan line consist of one motor car and one cab car. The weight of one EMU is about 45 metric tonnes, the runaway vehicle combination had a weight of about 90 metric tonnes, accordingly.</t>
  </si>
  <si>
    <t>Saltsjöbanan</t>
  </si>
  <si>
    <t>Controls in the driver's cab had been arranged to release the brakes and keep them released without further human intervention. The manner in which the arrangement was carried out, made the engagement of tractive power depend only on a central impulse to close the passenger doors.</t>
  </si>
  <si>
    <t>a) the shunter was under the impression that his method of effecting release of the brakes was not insecure and that it was an efficient measure to take when the proper equipment was out of service. Supervising functions in the safety management system of the railway undertaking had not been able to identify neither where unauthorized procedures were employed in the practical work, nor the risks accompanying such procedures. _x000D_
_x000D_
b) one switch in the route that the runaway used leaving Neglinge, was intended to be used as trap points to protect the line towards Saltsjöbaden from irregular movements in the shunting yard at Neglinge. This switch was not changed to the protective position, however, as the operator had concluded that there was no rule that clearly stated which position the switch should be in when not used. The switch was left in the position for the route of the last incoming train, to facilitate the departure of the first train the next morning, i.e. to minimize risk of snow/ice blocking the switch in the "wrong" position. It was found during the investigation, that the railway undertaking and the infrastructure manager had different views on the handling of switches serving as trap points, but the infrastructure manager had not noted this discrepancy.</t>
  </si>
  <si>
    <t>AT-2043</t>
  </si>
  <si>
    <t>Trains collision, 2013-01-16, Bahnhof Peggau-Deutschfeistritz (Austria)</t>
  </si>
  <si>
    <t>On 16th January 2012, at 05:51 o´clock in an Austrian station (short term “IM-Bf”), occurred a collision between a travelling northbound passenger train (short term “train 2”) and a shunting movement (short term “train 1”) running from the adjacent track to the south. Train 1 arrived from a branch line. After the shunting movement, train 1 was supposed to depart with the same train number towards the south._x000D_
_x000D_
By the collision the locomotive, the first and the last passenger car of train 2 was slightly damaged, the EMU of train 1 was severely damaged. No damage to the infrastructure. There were significant delays and cancellations in passenger transport. There were no people injured or killed. 
Am 16. Jänner 2013, um 05:51 Uhr, kollidierte in einem österreichischen Bahnhof (kurz „IM-Bf“) ein in Richtung Norden durchfahrender Personenzug (kurz „Zug 2“) mit einer in Richtung Süden aus dem benachbarten Gleis verkehrenden Verschubfahrt (kurz „Zug 1“). Bei Zug 1 handelte es sich um eine Wendezugfahrt eines von einer einmündenden Strecke (kurz „Nebenbahn“) ankommenden und mit gleicher Zugnummer in Richtung Süden fahrenden Personenzuges._x000D_
_x000D_
Durch die Kollision wurde des Tfz, der erste und der letzte Wagen von Zug 2 leicht beschädigt, der Twg von Zug 1 schwer beschädigt. An der Infrastruktur entstand kein Sachschaden. Es kam zu erheblichen Verspätungen und Zugausfällen im Personenverkehr. Es wurden keine Personen verletzt oder getötet.</t>
  </si>
  <si>
    <t>Bahnhof Peggau-Deutschfeistritz</t>
  </si>
  <si>
    <t>Die Ursache für die Kollision ist das Überfahren des haltzeigenden Schutzsignals „Sch6“ durch die Verschubfahrt von Zug 1. 
The cause of the collision is driving over the content displayed signal protection "SCH6" by the shunting movement of train 1.</t>
  </si>
  <si>
    <t>AT-0795</t>
  </si>
  <si>
    <t>Trains collision, 21/01/2013, Between the stations Wien Penzing and Wien Hütteldorf (Austria)</t>
  </si>
  <si>
    <t>“Head-to-Head-Collision” between the trains 20592 and 20595 on 21 January 2013, at 08:43 o´clock, on the single route 1 Vo in the km 3,900 between the station Wien Hütteldorf and the station Wien Penzing. By the collision two EMUs were severely damaged, the infrastructure originated minor damage. There was hereditary delay for passenger and freight traffic. Nine persons were seriously injured and 41 persons slightly injured. Unauthorized departure train 20592 in the station Wien Penzing in the direction with train 20595 occupied single route track 1 Vo. 
„Head-to-Head-Kollision“ zwischen Z 20592 und Z 20595 am 21. Jänner 2013 um 08:43 Uhr zwischen Bf Wien Hütteldorf und Bf Wien Penzing auf dem Streckengleis 1 Vo im km 3,900._x000D_
Durch die Kollision wurden beide Triebzüge schwer beschädigt, an der Infrastruktur entstand geringfügiger Sachschaden. Es kam zu erblichen Verspätungen im Personen- und Güterverkehr. Es wurden 9 Personen schwer verletzt und 41 Personen leicht verletzt._x000D_
Unerlaubte Zulassung der Fahrt Z 20592 auf das mit der in Gegenrichtung verkehrenden Fahrt Z 20595 besetzte Streckengleis 1 Vo zwischen Bf Wien Hütteldorf und Bf Wien Penzing.</t>
  </si>
  <si>
    <t>Between the stations Wien Penzing and Wien Hütteldorf</t>
  </si>
  <si>
    <t>Im Bereich der Weichen 41 und 42 im Bf Wien Hütteldorf kam es zu einer Störung der Gleisfreimeldeanlage (Rotausleuchtung). Bezugnehmend auf diese Störung wurde zwischen Bf Wien Hütteldorf und Bf Wien Penzing das fernmündliche Rückmelden gemäß den Bestimmungen der ÖBB DV V 3 eingeführt. Mit dem Einführen des fernmündlichen Rückmeldens war auch das Anbieten bzw. Annehmen der Züge erforderlich. Z 20595 wurde vom Fahrdienstleiter Bf Wien Hütteldorf dem Fahrdienstleiter Bf Wien Penzing angeboten und von diesem auch angenommen. Die Ausfahrt des Zuges im Bf Wien Hütteldorf erfolgte mit einer Zughilfsstraße und der Einschaltung des Ersatzsignals auf dem AS „H 106“. _x000D_
Durch den im Bf Wien Hütteldorf tätigen Fahrdienstleiter in Einschulung wurde auf dem Streckenblock ein Richtungswechsel in der Annahme durchgeführt, diesen für die Fahrt des Z 20592 aus Richtung Bf Wien Penzing zu speichern. Da die Fahrt des Z 20595 mit einer Zughilfsstraße und Ersatzsignal erfolgte, ging vom Bf Wien Hütteldorf kein „Vorblock“ ab, so dass der Richtungspfeil weiterhin gelbes/weißes Dauerlicht zeigte. Der Richtungswechsel erfolgte vor einer Besetzung des betreffenden Gleisabschnittes durch den in Richtung Bf Wien Penzing ausfahrenden Z 20595, so dass auf Grund des nicht deaktivierten Selbststellbetriebes im Bf Wien Penzing das AS „R 6“ für Z 20592 in Richtung des durch Z 20595 besetzten Streckengleises 1 Vo selbsttätig in Freistellung gelangte. 
A disruption of the track clear detection device (red signal) occured in the area of railway switches 41 and 42 at railway station Wien Hütteldorf. Due to this disruption, telephone reporting between railway station Wien Hütteldorf and railway station Wien Penzing was introduced, according to the provisions of regulation ÖBB DV V 3. With the introduction of telephone reporting, train order or acceptance were also required. Train Z 20595 was ordered by the train dispatcher of railway station Wien Hütteldorf to the train dispatcher of railway station Wien Penzing and accepted by the latter. The exit of the train at railway station Wien Hütteldorf was done with an auxiliary route and the activation of a substitute signal on the AS „H 106“. _x000D_
For the  train dispatcher working at railway station Wien Hütteldorf, a change of direction on the section block was undertaken with the acceptance, to save it for the journey of train Z 20592 coming from railway station Wien Penzing. Given the fact that that the journey of Z 20595 was done with an auxiliary route and a substitute signal, there was no ‘’pre-block‘‘ from railway station Wien Hütteldorf, so that the directional indicator continuously showed a yellow/white permanent light. The change of direction followed before train Z 20595 occupied the related track section by driving towards railway station Wien Penzing Z 20595. Therefore, on the basis of a non-activated automatic route calling at railway station Wien Penzing, the AS „R 6“ for train Z 20592 in direction of train Z 20595 which occupied the main track 1 Vo in a released position.</t>
  </si>
  <si>
    <t>UK-0822</t>
  </si>
  <si>
    <t>Train derailment, 2013-01-21, Castle Donington (United Kingdom)</t>
  </si>
  <si>
    <t>Just before 19:55 hrs, the 18th, 19th and 20th wagons of train 6Z68, travelling from Crewe Basford Hall to Toton derailed while passing through Castle Donington. The train comprised 26 empty wagons, hauled by a class 66 locomotive, which was running at 47 mph (76 km/h) when the derailment occurred. After running derailed for about a mile, the train divided between the 19th and 20th wagons causing an emergency brake application. No one was hurt in the accident, but the line was closed for repairs to damaged track and signalling equipment for nearly five days before being reopened to normal traffic.</t>
  </si>
  <si>
    <t>Castle Donington</t>
  </si>
  <si>
    <t>Cyclic top before the point of derailment excited the suspension of wagon OBA110223 causing the left-hand leading wheel to become unloaded and to derail to the left</t>
  </si>
  <si>
    <t>The routine inspection and maintenance of the up Chellaston line at Castle Donington did not maintain the track top to avoid a recurrence of cyclic top faults (paragraph 68). Factors contributing to this causal factor are: i. Following work done in response to cyclic top reports from a track geometry recording train on 5 November 2012 and stoneblowing on 20 November 2012, further cyclic top was not visually identified for remedial action before the derailment occurred. The following are possible further factors: its severity can only be measured by a track geometry recording train; and the circumstances associated with the routine inspections of the track resulted in the cyclic top not being identified as a defect requiring remedial action (paragraphs 69 to 78). ii. The lifting and packing in response to the track geometry recording train run on 5 November 2012 was insufficient to eliminate the cyclic top present on any long term basis. The following are possible further factors: not checking for settlement following the passage of a train, after the work was completed; and the team leader who removed the emergency speed restriction was not qualified to do so due to a misunderstanding of the requirements of Network Rail’s standard NR/L2/TRK/001/mod 13 in the Trent section manager’s organisation (paragraphs 79 to 89, Learning Points 1 and 2).iii.  The stoneblowing in the Hemington Road bridge and Back Lane areas on 20 November 2012 did not cover the location of the cyclic top which caused the derailment. The following are further factors: there was insufficient time to complete the stoneblowing; the work was not replanned after it became apparent that the possession length would be shorter than expected; and the track was not stoneblown as planned and no plan was put in place to complete the stoneblowing (or to rectify the cyclic top by other means) (paragraphs 90 to 97, Recommendation 1). iv. The location of the rough ride as reported by the driver on 10 January 2013 was not correctly advised to maintenance staff so their focus in carrying out remedial work may not have been on the correct location. A further factor is that the maintenance team did not investigate whether there was cyclic top in the area (paragraphs 98 to 101, Learning Point 3). The ballast supporting the track was fouled causing inadequate track support and repeated cyclic top (paragraph 102).</t>
  </si>
  <si>
    <t>CZ-0814</t>
  </si>
  <si>
    <t>Spad, 22.1.2013, Kolin station (Czech Republic)</t>
  </si>
  <si>
    <t>Regional passenger train No. 8663 passed a signal at danger (departure signal S1a showing red aspect) and stopped in Kolin station in sufficient distance to avoid possibility of a collision with another approaching long distance passenger train No. 1015.</t>
  </si>
  <si>
    <t>Kolin station</t>
  </si>
  <si>
    <t>Ceske drahy a. s.; 
RegioJet a.s.</t>
  </si>
  <si>
    <t>Direct cause: Regional passenger train No. 8663 did not stop in front of the signal "Stop" of main signal S1a in railway station Kolín._x000D_
Train driver's operational error (didn not respect red signal of cab signal on automatic train protection of locomotive of regional passenger train No. 8663). _x000D_
Contributory factor: Absence of technical equipment preventing train from passing signal at danger._x000D_
Failure to notify engine driver of regional passenger train No. 8663 about delay of long distance passenger train No. 1015 because of transportation reasons in the Kolin station under the provisions of the technological procedure of infrastructure manager (IM).</t>
  </si>
  <si>
    <t>Underlying cause: Failure to comply with technological procedures of IM for train departure from the station (speed not adapted so that the locomotive could stop safely in front of the signal "Stop" on main signal)._x000D_
Failure to comply with technological procedures of railway undertaking (RU) - failing to observe railway tracks during train movement and to respect given instructions._x000D_
_x000D_
Root cause: Not taking of adequate own measures to prevent similar incidents based on issued safety recommendations after previous incidents of similar character on 16th February 2009 in the Paskov station, 16th November 2009 in the Prerov station, 5th December 2011 in the Baška station,  and 23th August 2011 in the Praha-Liben station.</t>
  </si>
  <si>
    <t>SK-2256</t>
  </si>
  <si>
    <t>Level crossing accident, 23. 1. 2013, between stations Liptovský MikuláÅ¡ and Liptovský Hrádok (Slovak Republic)</t>
  </si>
  <si>
    <t>between stations Liptovský MikuláÅ¡ and Liptovský Hrádok</t>
  </si>
  <si>
    <t>Direct cause of a serious accident was - leave car on crossing.</t>
  </si>
  <si>
    <t>UK-0823</t>
  </si>
  <si>
    <t>Train derailment, 1/23/2013, Ordsall Lane Junction, Salford (United Kingdom)</t>
  </si>
  <si>
    <t>At 14:34 hrs, a locomotive that was being hauled at the rear of train 5Z47 derailed on the curve approaching Ordsall Lane Junction. The train was made up of a class 47 locomotive pulling five empty coaches and the derailed vehicle, another class 47 which was being dead hauled. The train was en-route from Ardwick train maintenance depot in Manchester, to Carnforth, Lancashire. It was travelling at 18 mph (29 km/h) at the time of the derailment._x000D_
_x000D_
The class 47 locomotive, 47500, ran derailed for around 70 metres and caught on fire. No one was injured, but the line was closed for repairs and recovery for two days.</t>
  </si>
  <si>
    <t>Ordsall Lane Junction, Salford</t>
  </si>
  <si>
    <t>West Coast Railway Company Ltd</t>
  </si>
  <si>
    <t>The immediate cause of the accident was that the lateral forces acting at the wheel-rail interface, as locomotive 47500 negotiated the curve approaching Ordsall Lane Junction, were sufficient to cause the flange of the leading right-hand wheel to climb the outer rail. Nothing was provided to limit the lateral displacement of the wheel and prevent it crossing over the railhead into derailment (paragraph 69).</t>
  </si>
  <si>
    <t>The causal factor was: a. A check rail had not been installed on the curve approaching Ordsall Lane Junction, although its location radius met the criteria for fitment. Without a check rail there was nothing to prevent the lateral wheel-rail forces tending to cause the right-hand wheel flanges to climb the outer rail and into derailment (paragraph 74, Recommendations 1, 2 and 3). The following factors were necessary to make the Y/Q derailment quotient high enough to cause the leading right-hand wheel flange to climb the outer rail: a.The high friction conditions that had been established on the gauge face of the outer rail of the curve approaching Ordsall Lane Junction. Rail lubrication arrangements did not prevent this occurring, and inspection processes did not identify it (paragraph 80, Recommendations 1 and 2). b. The recent wheel reprofiling removed any residual lubricant and contaminant from the wheels of locomotive 47500, which would otherwise have helped reduce the high wheel-rail contact friction; it is also possible that the resulting changes to the surface finish had a similar detrimental effect (paragraphs 90 and 94, Recommendations 1 and 2). c.The relatively low flange contact angle associated with the new P1 wheel profiles reduced the ability of locomotive 47500 to resist derailment by flange climbing (paragraph 95). d. The wide track gauge increased the risk of derailment on the curve approaching Orsdall Lane Junction (paragraph 101).</t>
  </si>
  <si>
    <t>UK-0825</t>
  </si>
  <si>
    <t>Train derailment, 23/01/2013, Liverpool Street (United Kingdom)</t>
  </si>
  <si>
    <t>Several wheels of the 10:00 hrs London to Norwich service derailed as the train left Liverpool Street station at its scheduled time on 23 January 2013. The train comprised nine coaches with a driving cab in the leading coach and a class 90 locomotive at the rear of the train. The train was travelling at about 15 mph (24 km/hr) when several wheels on the third and fourth coaches derailed about 180 metres beyond the end of the platforms. The track layout and the continued forward movement of the train meant that all the wheels had climbed back onto the rails within about 35 metres._x000D_
_x000D_
Noises caused by the derailment were reported and the train was stopped and inspected. A second inspection at Norwich revealed wheel damage consistent with a derailment and the train was withdrawn from service. The line concerned had been closed to passenger traffic at 10:05 hrs and track damage caused by a derailment was found at around 12:45 hrs.</t>
  </si>
  <si>
    <t>Liverpool Street</t>
  </si>
  <si>
    <t>The derailment occurred as train 1P18 negotiated the small radius curve at 2035B points because the outer rail fixings of the left-hand rail on the curve were unable to resist the lateral forces acting at the wheel/rail interface. The forces were sufficient to widen the track gauge such that the right-hand wheels on the trailing bogie of the third vehicle dropped between the rails.</t>
  </si>
  <si>
    <t>Causal factors_x000D_
The causal factors were:_x000D_
a. the wide static track gauge, which had developed on the curve between 2035B and 2035C points, reduced the margin that was available for the rails to safely deflect when train 1P18 passed over;_x000D_
b. the degraded condition of the rail fixings, on the curve between 2035B and 2035C points, made it easier for the rails to move apart when train 1P18 passed over;_x000D_
c. the increase in the gauge spreading force, arising from the static wide gauge and rail deflection due to the reduced rail fixing strength, resulted in additional deflection of the rails when train 1P18 passed over;_x000D_
d. manual inspections did not report, and possibly did not identify, wider than normal static track gauge or indications of a loss of strength in the fixing between the rail and sleepers;_x000D_
e. automated track monitoring and associated data analysis did not identify the combined effect of widened static track gauge and loss of strength in the fixing between the rail and sleepers; and_x000D_
f. no consideration had been given to providing an enhanced inspection regime for the non-standard track layout, and consequently, special mitigation measures had not been implemented._x000D_
_x000D_
Underlying factors_x000D_
The RAIB has identified two underlying factors which led to this situation. These are:_x000D_
Neither the TME, nor the SM[T], had identified the need for a non-standard inspection and maintenance regime at Liverpool Street._x000D_
The IME did not appreciate, and so did not manage, shortcomings in the technical knowledge of the TME and the SM[T]._x000D_
_x000D_
Additional observations_x000D_
The RAIB found that records of maintenance inspections were not available due to shortcomings in the filing system. The Network Rail standards required records to be kept for a minimum of three years. These records confirm completeness of inspections, assist competency assessment and can assist development of maintenance strategies._x000D_
_x000D_
Shortcomings in communications between staff in the AICC could have had serious consequences in other circumstances.</t>
  </si>
  <si>
    <t>FR-0784</t>
  </si>
  <si>
    <t>Trains collision, 24-01-13, Modane (France)</t>
  </si>
  <si>
    <t>The coupling between the last wagon and the previous one breaks in a rising gradient after the station of Modane. The uncoupled last wagon stops and then begins to run away downwards.After 1.8 km ranaway the wagon hits violently the locomotive of a train standing in the sidings of Fourneaux.</t>
  </si>
  <si>
    <t>Modane</t>
  </si>
  <si>
    <t>breaking of coupling; 
air leak in the brake distributor of the last wagon</t>
  </si>
  <si>
    <t>the steel of the coupling screw does not comply with standards. 
rubber diaphragm hardens at low temperatures causing air leak</t>
  </si>
  <si>
    <t>UK-2253</t>
  </si>
  <si>
    <t>Level crossing accident, 24/01/2013, Motts Lane Footpath Crossing (United Kingdom)</t>
  </si>
  <si>
    <t>On Thursday 24 January 2013. At about 17:37 hrs, a man who was crossing the railway on foot, pushing a bicycle, was struck by a train travelling from London (Liverpool Street) to Norwich, and killed instantly._x000D_
The crossing, which is over two tracks, links a residential area with an industrial estate. Lights, which show steady red or green, are provided to inform crossing users whether it is safe to cross. The RAIB’s preliminary examination has found that these lights worked correctly in respect of the train that was involved in the accident. However, the crossing has a history of misuse by members of the public.</t>
  </si>
  <si>
    <t>Motts Lane Footpath Crossing</t>
  </si>
  <si>
    <t>The cyclist moved onto the level crossing into the path of the approaching train</t>
  </si>
  <si>
    <t>The causal factors were: a. The cyclist disregarded the warnings given by the red light and audible alarm (paragraph 51, no recommendation). b. The crossing had not been replaced by a bridge, despite previous plans to do so (paragraph 91, see paragraphs 120 and 121). It is possible that the following factor was causal: a. The cyclist may not have seen the train, or seen it and misjudged its speed and position, or assumed that it was stationary (paragraph 84, no recommendation). It is possible that the cyclist disregarded the lights because he had become accustomed to seeing the red lights illuminated for long periods before the arrival of trains. The factors that contributed to these long periods were: a. The crossing is designed to provide a minimum warning time of 40 seconds, which is much longer than almost all users require to cross the line (paragraph 56, Recommendation 1). b. The closure time was extended by the use of the ’non-stopping’ setting for trains which were due to stop at Witham, which occurred because the signallers had not received any instructions about the operation of the crossing (paragraph 62, see paragraph 119 and Recommendation 2). c. The interaction of the signalling system and the automatic route setting system extended the crossing closure time for stopping trains (paragraph 67, Recommendations 1, 3, and 4).</t>
  </si>
  <si>
    <t>DK-5304</t>
  </si>
  <si>
    <t>Level crossing accident, 26-01-13, Flynderupgårdstien (Denmark)</t>
  </si>
  <si>
    <t>Person hit in a level crossing and killed 
Personpåkørsel i overkørsel 128, Flynderupgårdstien</t>
  </si>
  <si>
    <t>Flynderupgårdstien</t>
  </si>
  <si>
    <t>Uopmærksomhed 
Lack of attention</t>
  </si>
  <si>
    <t>CZ-0813</t>
  </si>
  <si>
    <t>Spad, 1/30/2013, Strancice station (Czech Republic)</t>
  </si>
  <si>
    <t>Regional passenger train No. 9104 passed a signal at danger (departure signal L1 showing red aspect) at Strancice station and stopped in sufficient distance to avoid possibility of a collision with another approaching regional passenger train No. 2509.</t>
  </si>
  <si>
    <t>Strancice station</t>
  </si>
  <si>
    <t>Direct cause:	_x000D_
regional passenger train No. 9104 did not stop in front of the signal "Stop" of main signal L1 at Strancice station._x000D_
_x000D_
Contributory factor:	_x000D_
- absence of technical equipment preventing train from passing signal at danger._x000D_
- failure to notify of engine driver of regional passenger train No. 9104 about delay of regional passenger train No. 2509 because of transportation reasons at Strancice station in accordance with provisions of the technological procedure of infrastructure manager (IM).</t>
  </si>
  <si>
    <t>Underlying cause:	_x000D_
- failure to comply with technological procedures of IM for train departure from the station by train driver of regional passenger train No. 9104 (speed not adapted so that the locomotive could stop safely in front of the signal "Stop" on main signal)._x000D_
- failure to comply with technological procedures of railway undertaking (RU) - failure to monitor railway tracks during train movement and to respect given instructions._x000D_
_x000D_
Root cause:	_x000D_
- not taking of adequate and effective own measures of infrastructure manager and railway undertaking to prevent similar incidents based on issued safety recommendations after previous incidents of similar character on 16th February 2009 at Paskov station, 16th October 2009 at Prerov station, 5th December 2011 at Baška station,  and 23rd  August 2011 at Praha-Liben station.</t>
  </si>
  <si>
    <t>ES-2077</t>
  </si>
  <si>
    <t>Train derailment, 31/01/2013, Val de San Vicente, Cantabria (Spain)</t>
  </si>
  <si>
    <t>Freight train partially derailed at open line, between Unquera and Pesués stations (Cantabria)</t>
  </si>
  <si>
    <t>Val de San Vicente, Cantabria</t>
  </si>
  <si>
    <t>The derailment is produced by the train driver´s human failure for exceeding the speed limit, running at 61 km/h when the speed limit was 40 km/h.</t>
  </si>
  <si>
    <t>RO-0815</t>
  </si>
  <si>
    <t>Train derailment, 2/2/2013, Pui station (Romania)</t>
  </si>
  <si>
    <t>the 2  last wagons from the freight train 23817 derailed as result of broken of wheel no. 2 from the wagon no. 81536655875-8</t>
  </si>
  <si>
    <t>The direct cause: _x000D_
-	the circular breaking of the monobloc wheel’s no. 2 web from the first axle of the first bogie from wagon no. 81536655875-8, left part in the running direction, due a circumferential crack occurred in the connection area between the web and the wheel boss, at a distance of ca. 300 mm from the edge of the wheel boss._x000D_
_x000D_
Contributing factors:_x000D_
-	inadequate heat treatment;_x000D_
-	faulty steel structure;_x000D_
-	mechanical properties inferior to those imposed by regulations in force.</t>
  </si>
  <si>
    <t>Underlying cause_x000D_
-	failure to comply in the manufacturing technology at the developing of cast batch no. 55743 IOB 1991 from which came the steel used at the fabrication of the monobloc wheel no. 2 from the leading axle of the first bogie from wagon no. 8536655875-8._x000D_
_x000D_
Root cause_x000D_
None.</t>
  </si>
  <si>
    <t>CZ-2051</t>
  </si>
  <si>
    <t>Unauthorised train movement other than SPAD, 4.2.2013, Adamov station (Czech Republic)</t>
  </si>
  <si>
    <t>Unintended movement of long distance passenger train No. 278 to calling on signal aspect onto the line which was occupied by regional passenger train No. 4012 without  any collision.</t>
  </si>
  <si>
    <t>Adamov station</t>
  </si>
  <si>
    <t>Direct cause: not cancellation of calling on signal aspect on entry signal No. 2L after occupation of track circuit No. KO 2Lk by regional passenger train No. 4012 which was indicated on monitor of interlocking equipment._x000D_
_x000D_
Contributory factor: not full operation of interlocking equipment.</t>
  </si>
  <si>
    <t>Underlying cause:	_x000D_
- incorrect assessment of deviation of station interlocking equipment from normal state._x000D_
- unreasoned enabling of train movement past entry signal to calling on signal aspect even though the interlocking equipment was not in failure state. _x000D_
- unintended enabling of extraordinary entry onto the occupied track and movement of long distatnce passenger train No. 278 past entry signal to calling on signal aspect although the trafic situation did not request it and the engine driver could be informed by radio._x000D_
_x000D_
Root cause: none.</t>
  </si>
  <si>
    <t>CZ-0830</t>
  </si>
  <si>
    <t>Trains collision, 05/02/2013, Mirosov station (Czech Republic)</t>
  </si>
  <si>
    <t>Side collision of departing freight train No. 87892 with the rear part of regional passenger train No. 27823 in Mirosov station.</t>
  </si>
  <si>
    <t>Mirosov station</t>
  </si>
  <si>
    <t>Direct cause: 
1)  train dispatcher has not found out the occupancy of the train route for the train No. 87892 and subsequently dispatched this train
2) changing of position of switch No. 10 by switch supervisor for movement of freight train No. 87892, although the switch was occupied with regional passenger train No. 27823
Contributory factor:	
design of locomotive range 742 (engine of train No. 87892), when driving with longer front part, a engine driver has a limited view of the track</t>
  </si>
  <si>
    <t>Underlying cause:	_x000D_
breach of technological procedures set in the internal regulations of the infrastructure manager for preparation of train route by train dispatcher and switch supervisor_x000D_
_x000D_
Root cause:		_x000D_
unambiguous wording of Article 516 of the internal regulations of the infrastructure manager SŽDC (CD) D2</t>
  </si>
  <si>
    <t>RO-0826</t>
  </si>
  <si>
    <t>Train derailment, 2/5/2013, Copaceni (Romania)</t>
  </si>
  <si>
    <t>the seven- th wagons from the end of  freight train 23683 derailled</t>
  </si>
  <si>
    <t>Copaceni</t>
  </si>
  <si>
    <t>Cauza directa :_x000D_
 - rularea primului boghiu în sensul de mers al vagonului numarul 81536651686-3 (al 15-lea de la siguranta) din trenul nr.23683 din data de 05.02.2013 pe o zona a caii de rulare care prezenta depasiri ale tolerantelor admise la nivelul transversal precum si la torsionarea caii.                                                     _x000D_
       _x000D_
	Factori care au contribuit :_x000D_
             _x000D_
- diferenta dintre diametrele cercurilor de rulare ale rotilor nr. 5-6 ale osiei conducatoare a  _x000D_
 primului boghiu al vagonului nr. 81536651686-3 mai mare decât cea admisa instructional     - placa  de poliamida de la crapodina boghiului deraiat  deteriorata, cu fragmente lipsa. 
The direct cause_x000D_
-	the running of the first bogie in the running direction of the wagon no. 81536651686-3 (15th from the locomotive) from the train no. 23683 on the 05th of February 2013 on a track area with exceeding of the tolerance admitted at the crossing prescribed level and also the twisting of the track. _x000D_
_x000D_
Contributing factors _x000D_
-	difference between the diameters of the running treads of the wheels no. 5-6 of the first axle of the first bogie from the wagon no. 81536651686-3 bigger than instructionally admitted;_x000D_
-	the polyamide center plate from the derailed bogie’ centre casting was damaged, with missing fragments.</t>
  </si>
  <si>
    <t>Cauze subiacente_x000D_
- nerespectarea prevederilor din reglementarile specifice în vigoare referitoare la torsionarea caii_x000D_
(art.7, pct.4 din Instructia de norme si tolerante pentru constructia si întretinerea caii nr.314/1989). 
Underlying cause_x000D_
-	failure to comply with the provision from the specific regulations for track twisting (art. 7, point 4 from the Instruction of norms and tolerances for the track construction no. 314/1989).</t>
  </si>
  <si>
    <t>DE-3149</t>
  </si>
  <si>
    <t>Trains collision with an obstacle, 06/02/2013, Hamburg-Bergedorf - Aumühle (Germany)</t>
  </si>
  <si>
    <t>Intercity train travelling on a two tracks line hit a light rail maintenance vehicle. The debris of the vehicle hit a track worker standing next to the noise protection wall. The worker died from the incurred injuries</t>
  </si>
  <si>
    <t>Hamburg-Bergedorf - Aumühle</t>
  </si>
  <si>
    <t>Die Ursache für das Ereignis lag bei einem Arbeitsfehler des als Arbeitsaufsicht fungierende Mitarbeiters, der eine Rollwagen in ein nicht gesperrtes Gleis (Richtungsgleis Hamburg-Bergedorf – Aumühle) einsetzen ließ. 
The cause of the incident was a work error on the part of the employee acting as a labour inspector, who had a trolley inserted into an unblocked track (directional track Hamburg-Bergedorf - Aumühle).</t>
  </si>
  <si>
    <t>CZ-2497</t>
  </si>
  <si>
    <t>Trains collision, 2/10/2013, Praha Bechovice station (Czech Republic)</t>
  </si>
  <si>
    <t>The giving of bad instructions to shunting operation by an shunter (movement to an non-occupied track). But there were some empty freight wagons and the shunting operation suddenly collided with them on an actuall79 840y occupied track.</t>
  </si>
  <si>
    <t>Praha Bechovice station</t>
  </si>
  <si>
    <t>Failure to comply with condition for movement according to the view of the engine driver.</t>
  </si>
  <si>
    <t>Underlying cause: failure to comply with technological procedures for shunting operation which are set with internal regulations of infrastructure manager and railway undertaking._x000D_
_x000D_
Root cause: none.</t>
  </si>
  <si>
    <t>ES-2079</t>
  </si>
  <si>
    <t>Train derailment, 2/10/2013, Maliaño station (Cantabria) (Spain)</t>
  </si>
  <si>
    <t>Freight train partially derailed at Maliaño station (Cantabria)</t>
  </si>
  <si>
    <t>Maliaño station (Cantabria)</t>
  </si>
  <si>
    <t>The derailment is caused as a result of an inadequate stowage of the eight wagon´s load, causing lateral displacement of the load and consequently the destabilization of the wagon and the beginning of the derailment. As a contributory cause a minor warping of track is noticed, few metres before the point of derailment.</t>
  </si>
  <si>
    <t>HU-2894</t>
  </si>
  <si>
    <t>Trains collision near miss, 2/11/2013, Szombathely (Hungary)</t>
  </si>
  <si>
    <t>Locomotive started a shunting movement without any permission and split open a point which was set for an approaching train. Station personnel managed to stop the train before the splitted point.</t>
  </si>
  <si>
    <t>Szombathely</t>
  </si>
  <si>
    <t>Shunting operation; 
Long distance passenger train</t>
  </si>
  <si>
    <t>The driver started to move with the locomotive without permission.</t>
  </si>
  <si>
    <t>No radio connection between locomotive drivers and the station staff.</t>
  </si>
  <si>
    <t>AT-2044</t>
  </si>
  <si>
    <t>Train derailment, 14/02/2013, Bahnhof Ebenfurt (Austria)</t>
  </si>
  <si>
    <t>Am 14. Februar 2013 um 22:15 Uhr kam es bei der signalmäßig tauglichen Durchfahrt in einem Bahnhof in Österreich (kurz IM-Bf) zu einer Entgleisung eines Güterzuges. _x000D_
Durch die Entgleisung wurden 13 Wagen schwer beschädigt (zum Teil Totalschaden). An der Infra-struktur entstand beträchtlicher Sachschaden. Infolge der Streckensperre kam es zu erheblichen Verspätungen, Zugausfällen und Umleitungsverkehr im Personennah- und Güterverkehr._x000D_
Es wurden keine Personen verletzt oder getötet._x000D_
Als Ursache sind Gleislagefehler durch Bildung von Eislinsen unterhalb der Gleiskonstruktion infolge der kalten Witterung anzusehen. 
On 14th February 2013, at 22:15 hrs, during the signal-grade passage in an Austrian station (short IM-Bf) a derailment of a freight train occurred._x000D_
By the derailment 13 wagons were badly damaged (part of total loss). Considerable damage to the infrastructure was built. Due to the track barrier there were substantial delays, cancellations and rerouting in the short-distance passenger traffic and freight traffic._x000D_
There were no people injured or killed._x000D_
The cause of the track faults are considered by the formation of ice lenses in the track structure due to the icy weather conditions.</t>
  </si>
  <si>
    <t>Bahnhof Ebenfurt</t>
  </si>
  <si>
    <t>Als Ursache der Entgleisung sind Längshöhenfehler durch Eislinsen anzusehen. Diese entstanden durch eine unzureichende Entwässerung des Bahnkörpers und waren nach Ende der Frostperiode messtechnisch nicht mehr nachweisbar. 
Errors at longitudinal level due to ice lenses should be considered as the cause of derailment. These ice lenses were created by insufficient dewatering of the railbed and could not be traceable based on measuring procedures after the end of the frost period.</t>
  </si>
  <si>
    <t>DE-2014</t>
  </si>
  <si>
    <t>Train derailment, 14/02/2013, Bremen-Vahr - Bremen Hbf (Germany)</t>
  </si>
  <si>
    <t>Der Güterzug DGS 90156 entgleist bei der Fahrt von Bremen-Vahr nach Bremen Hbf mit mehreren Autotransportwagen. 
The freight train DGS 90156 derailed when driving from Bremen Vahr to Bremen central railway station with several car carriers.</t>
  </si>
  <si>
    <t>Bremen-Vahr - Bremen Hbf</t>
  </si>
  <si>
    <t>BLP Wiebe Logistik GmbH</t>
  </si>
  <si>
    <t>Ursächlich war eine angelegte Feststellbremse an der hinterern Wageneinheit. 
The cause was the applied parking brake in the back part of the wagon.</t>
  </si>
  <si>
    <t>RO-2009</t>
  </si>
  <si>
    <t>Fire in RS, 2/14/2013, open line Catusa - Mittal Steel junction (Romania)</t>
  </si>
  <si>
    <t>the locomotive DA L 1069 of the freight train no. 76052 caught on fire</t>
  </si>
  <si>
    <t>open line Catusa - Mittal Steel junction</t>
  </si>
  <si>
    <t>Direct cause_x000D_
The fire occurred due the short-circuit at the force wiring from the traction engine no. 5, due the decreasing of the isolation resistance of the cables insulation and its breakthrough, which led finally at the welding of the cables at a distance of 300 mm from traction engine terminals and the ignition of the cable insulation._x000D_
Contributing factors:_x000D_
- the aging phenomenon of power cables coatings traction engine no. 5;_x000D_
- the poor state of cleanliness of the traction engines due the losses of fuel and oil from the installations. 
Cauza directa, factori care au contribuit_x000D_
_x000D_
Incendiul s-a produs ca urmare a scurtcircuitului aparut la cablajul de forta al motorului de tractiune nr.5, urmare a scaderii rezistentei de izolatie a invelisurilor cablurilor si strapungerea acestora, fapt ce a condus in final la sudarea cablurilor la o distanta de aproximativ 300 mm de bornele motorului de tractiune si aprinderea invelisurilor cablurilor.  _x000D_
_x000D_
Factori care au contribuit:_x000D_
_x000D_
-fenomenul de îmbatrânire al invelisurilor cablurilor de alimentare ale motorului de tractiune nr.5;_x000D_
-starea precara de curatenie a motoarelor de tractiune urmare pierderilor de combustibil si ulei din instalatiile respective;</t>
  </si>
  <si>
    <t>Failure to comply with the locomotive’s cycle of repair and the mandatory inspections stipulated by the railway norm "Railway Vehicles. Types of inspections and planned repairs. Time norms or mileage standards for maintenance and planned repairs", approved by Ministry of Transport and Infrastructure’s Order no. 315/2011, amended by the Minister of Transport and Infrastructure’s Order no. 1359/2012. 
Cauze subiacente _x000D_
Nu s-a respectat ciclul de reparatii si revizii obligatorii la locomotiva, conform prevederilor Normativului feroviar "Vehicule de cale ferata. Tipuri de revizii si reparatii planificate. Normele de timp sau normele de kilometri parcursi pentru efectuarea reviziilor si reparatiilor planificate", aprobat prin Ordinul ministrului transporturilor si infrastructurii nr. 315/2011, modificat si completat prin Ordinul nr.1359/2012 al Ministrului Transporturilor si Infrastructurii.</t>
  </si>
  <si>
    <t>IT-2066</t>
  </si>
  <si>
    <t>Trains collision with an obstacle, 18/02/2013, Chiuro (Italy)</t>
  </si>
  <si>
    <t>Regional Train No. 5194 (Sondrio - Tirano) collided with a truck that had invaded the railway to the progressive Km 9 +709 following a car accident in which the truck was involved with some cars on the adjacent road ss38</t>
  </si>
  <si>
    <t>Chiuro</t>
  </si>
  <si>
    <t>Trenitalia-LeNORD Srl</t>
  </si>
  <si>
    <t>Maneuver of the road track, that after ripped the guard-rail invaded the railway, until the arrival of the regional train that could not avoid the collision even when using the emergency braking.</t>
  </si>
  <si>
    <t>RO-2039</t>
  </si>
  <si>
    <t>Train derailment, 18/02/2013, Navodari station (Romania)</t>
  </si>
  <si>
    <t>the first wagon from the freight train no. 89614 derailled on the station Navodari</t>
  </si>
  <si>
    <t>Navodari station</t>
  </si>
  <si>
    <t>Cauza directa_x000D_
Traversele de lemn necorespunzatoare care au cedat sub sarcina, neasigurând ecartamentul liniei în tolerante, conducând la caderea de pe sina interioara curbei, între firele caii, a primei roti a primului boghiu în sensul de mers de la vagonul nr. 33877852335-1 (primul vagon dupa locomotiva)._x000D_
Factori care au contribuit_x000D_
 Jocul însumat la pietrele de frecare ale primului boghiu în sens de mers neinstructional (de 3 mm). 
The direct cause _x000D_
Not corresponding wooden sleepers which yielded under the load, not providing the track gauge in the tolerance limits, leading to the fall on the interior curve rail, between the right-hand and left hand running rail of the first wheel from the first bogie in the running direction of the wagon no. 33877852335-1 (first wagon after the locomotive)._x000D_
Contributing factors_x000D_
The totally clearance at the side bearers of the first bogie in the running direction was non-instructionally (of 3 mm).</t>
  </si>
  <si>
    <t>BE-2063</t>
  </si>
  <si>
    <t>Train derailment, 19/02/2013, Hever (Belgium)</t>
  </si>
  <si>
    <t>A freight train E47582 coming from Aachen West (Germany) with destination Gent Zeehaven (Belgium) derails in Hever between Leuven and Mechelen. The derailment take place from the 14th wagon till the 19th wagon included. The 14 the wagon has a broken axle. There are no fatalities or injured persons. There is damage to the infrastructure and the rolling stock</t>
  </si>
  <si>
    <t>Hever</t>
  </si>
  <si>
    <t>NMBS Logistics</t>
  </si>
  <si>
    <t>(a) the seriousness of the accident or incident; 
(§5) cross-border investigation or request to assistance</t>
  </si>
  <si>
    <t>La cause directe du déraillement est la déviation du bogie avant qui s’écarte de la direction de_x000D_
roulage. Cette déviation aurait été provoquée par la combinaison des facteurs suivants :_x000D_
• le bris de l’essieu antérieur du bogie avant du wagon 14 ;_x000D_
• le ralentissement du train ;_x000D_
• les chocs allant normalement de pair avec le franchissement d’un croisement à aiguilles._x000D_
Le ralentissement du train résulte du freinage d’abord normal qui, au moment du déraillement_x000D_
du wagon 14, s’est transformé en freinage d’urgence automatique lors de la rupture du circuit de_x000D_
freinage._x000D_
L’enquête a démontré que la traversée à aiguilles et l’aiguillage fonctionnaient normalement. 
The direct cause of derailment is the deviation of the lead truck that deviates from the rolling direction. This deviation was caused by a combination of the following factors: _x000D_
• the breaking of the front axle of the bogie of car 14; _x000D_
• the slowing down of the train; _x000D_
• the shocks normally associated with crossing a point. _x000D_
The slowing down of the train results from the first normal braking, which, at the time of derailment of car 14, was transformed into an automatic emergency braking during the break of the circuit of braking._x000D_
_x000D_
The investigation showed that the crossing of points and the point itself worked properly.</t>
  </si>
  <si>
    <t>Selon l’organisme d’enquête, les causes indirectes principales ayant entraîné le déraillement sont_x000D_
les suivantes :_x000D_
• La non-détection de la corrosion et des fissures du corps de l’essieu du train de roues, qui_x000D_
ont entraîné l’abaissement de la résistance à la fatigue de l’essieu. Selon le laboratoire, le_x000D_
bris est survenu à la suite d’un impact et de la corrosion. La propagation du front de rupture_x000D_
est un processus lent. On ne peut affirmer avec certitude si les premiers signes de rupture_x000D_
étaient déjà visibles au moment où le voyage a débuté ; c’est possible mais ce n’est pas_x000D_
nécessairement certain ;_x000D_
• L’historique du chargement. 
According to the investigating body, the main indirect causes that led to the derailment are the following: • Failure to detect corrosion and cracks in the body of the axle of the wheel, which resulted in lowering the fatigue strength of the axle. According to the laboratory, breakage occurred as a result of an impact and corrosion. Front propagation of failure is a slow process. We cannot say for sure if the first signs of rupture were already visible when the journey began; it is possible but not certain; • The loading history.</t>
  </si>
  <si>
    <t>HU-2033</t>
  </si>
  <si>
    <t>Train derailment, 2/19/2013, Budapest, Kamaraerdo (Hungary)</t>
  </si>
  <si>
    <t>The wheel of the tram has broken and the tram derailed. 
A villamos jobb elso kerekének abroncsa levált, a jármu kisiklott.</t>
  </si>
  <si>
    <t>Budapest, Kamaraerdo</t>
  </si>
  <si>
    <t>Failure of vehicle</t>
  </si>
  <si>
    <t>AT-3340</t>
  </si>
  <si>
    <t>Trains collision with an obstacle, 21/02/2013, Station in Austria (Austria)</t>
  </si>
  <si>
    <t>On 21th February, 2013 at 20:21 hrs, collided in station Wien Hütteldorf, an open side entrance door of an unoccupied carriage of train 167 with a signaling device. The door had probably been opened without authorization. The outstanding door panel was knocked down and came to lie on the track situated next to it. The incident went unnoticed. _x000D_
At 20:42 hrs, train 20261 collided with the side entrance door, lying in the track, thereby derailed the leading wheelset._x000D_
The vehicles in substantial property damage emerged. At the infrastructure a minor property damage emerged. There were no people injured or killed._x000D_
Probably unauthorized opening of the side entry door of an unoccupied and presumably locked train carriage from the outside. In the station Wien Hütteldorf the already considerably outstanding door while the train monitoring has been detected. A corresponding message was not classified as dangerous for operation and inadequate measures initiated. 
Am 21. Februar 2013, um 20:21 Uhr kollidierte im Bf Wien Hütteldorf eine sich im offenen Zustand befindliche Seiteneinstiegstür eines unbesetzten Reisezugwagens des durchfahrenden Z 167 mit einem Signalbeikasten. Die Tür war vermutlich unbefugt geöffnet worden. Das wegstehende Türblatt wurde abgerissen und kam auf dem benachbarten Gleis zu liegen. Der Vorfall blieb unbemerkt. _x000D_
Um 20:42 Uhr kollidierte Z 20261 mit der im Gleis liegenden Seiteneinstiegstür, dabei entgleiste der vorlaufende Radsatz._x000D_
An den Fahrzeugen entstand ein erheblicher Sachschaden, die Infrastruktur wurde geringfügig beschädigt. Es wurden keine Personen verletzt oder getötet._x000D_
Vermutlich unbefugtes Öffnen der Seiteneinstiegstüre des unbesetzten und vermutlich abgesperrten Reisezugwagens von außen. Im Bf Wien Hütteldorf wurde die bereits erheblich wegstehende Tür während der Zugbeobachtung erkannt. Eine entsprechende Meldung wurde als nicht betriebsgefährlich eingestuft und unzureichende Maßnahmen eingeleitet.</t>
  </si>
  <si>
    <t>Der Wagen wurde auf Grund einer Störung der Wagensteuerung, die bereits am 19. Februar 2013 festgestellt wurde, abgeschaltet befördert. Inwieweit die Seiteneinstiegstüren gegen unbefugtes Öffnen gesichert waren, konnte nicht festgestellt werden. Vermutlich durch unerlaubtes Öffnen der Seiteneinstiegstür war diese während der Fahrt nicht verriegelt und in weiterer Folge gegen unbeabsichtigtes Öffnen nicht blockiert. _x000D_
Im Bf Wien Hütteldorf wurde die bereits wegstehende Tür erkannt. Eine entsprechende Meldung wurde als nicht betriebsgefährlich eingestuft und daraus resultierend keine entsprechenden Maßnahmen eingeleitet. 
Probably unauthorized opening of the side entry door of an unoccupied and presumably locked train carriage from the outside. In the station Wien Hütteldorf the already considerably outstanding door while the train monitoring has been detected. A corresponding message was not classified as dangerous for operation and inadequate measures initiated.</t>
  </si>
  <si>
    <t>HU-2152</t>
  </si>
  <si>
    <t>Trains collision with an obstacle, 2/21/2013, Herceghalom station (Hungary)</t>
  </si>
  <si>
    <t>The passenger train nr. 4829 collied with a broken and hanging apart of overhead cable ceramic. There was nobody injured in the collision but it was huge delay through the traffic restriction on the main line nr 1. and the motorcar has material damages.</t>
  </si>
  <si>
    <t>Herceghalom station</t>
  </si>
  <si>
    <t>The site of the OLE-failure remained unidentified and the incoming train run into the hanging broken insulator</t>
  </si>
  <si>
    <t>CZ-2187</t>
  </si>
  <si>
    <t>Broken wheels, 2/24/2013, open line between Jesenik and Lipova Lazne stations (Czech Republic)</t>
  </si>
  <si>
    <t>Broken wheels</t>
  </si>
  <si>
    <t>Circular break wheel of infrastructure works rolling stock during movement of infrastructure works train No. 76280.</t>
  </si>
  <si>
    <t>open line between Jesenik and Lipova Lazne stations</t>
  </si>
  <si>
    <t>Excessive load on both wheels of first axle during operation of infrastructure works rolling stock with rail snow cutter that caused the gradual emergence and spreading of cracks in the plate of right wheel of first axle.</t>
  </si>
  <si>
    <t>Underlying cause: approval of change to rolling stock after reconstruction, which intervened in vehicle structure and meant deviation from the approved type and permission to railway undertaking to operate infrastructure works rolling stock with rail snow cutter on rail tracks, whose construction did not match the safety requirements of the railway transport._x000D_
_x000D_
Root cause: none.</t>
  </si>
  <si>
    <t>CZ-2052</t>
  </si>
  <si>
    <t>Train derailment, 26.2.2013, open line between branch Karlovy Vary Dvory and Karlovy Vary station (Czech Republic)</t>
  </si>
  <si>
    <t>Derailment of six freight wagons during movement of freight train No. 67613.</t>
  </si>
  <si>
    <t>open line between branch Karlovy Vary Dvory and Karlovy Vary station</t>
  </si>
  <si>
    <t>Exceeding of the limits of the track buckling.</t>
  </si>
  <si>
    <t>Underlying cause: poor condition of the subsoil - unstable subsoil of the embankment track._x000D_
Root cause: none.</t>
  </si>
  <si>
    <t>DK-5311</t>
  </si>
  <si>
    <t>Level crossing accident, 26-02-13, Dronningmølle - overkørsel 59 (Denmark)</t>
  </si>
  <si>
    <t>Driver of automobile ignored warnings and drove into the level crossing at Rødkildevej, and were hit by the comming train 
Personbil kørt ud foran tog i overkørsel 59, Rødkildevej, ved Dronningmølle</t>
  </si>
  <si>
    <t>Dronningmølle - overkørsel 59</t>
  </si>
  <si>
    <t>Inattention from car driver</t>
  </si>
  <si>
    <t>Car drivers dazzled by sunlight</t>
  </si>
  <si>
    <t>ES-2149</t>
  </si>
  <si>
    <t>Other event, 26/02/2013, Coslada (Madrid) (Spain)</t>
  </si>
  <si>
    <t>A road vehicle falls from road and being hung from the catenary. The car driver wasn´t injuried.</t>
  </si>
  <si>
    <t>Coslada (Madrid)</t>
  </si>
  <si>
    <t>The accident is caused because a road vehicle, which had fallen from a close overpass,impinged on the track gauge</t>
  </si>
  <si>
    <t>HU-2056</t>
  </si>
  <si>
    <t>Train derailment, 2/26/2013, Miskolc, Tiszai pu. (Hungary)</t>
  </si>
  <si>
    <t>A tram derailed with its first axle. 
A végállomásra behaladó villamos az elso tengelyével kisiklott.</t>
  </si>
  <si>
    <t>Miskolc, Tiszai pu.</t>
  </si>
  <si>
    <t>Track geometry and sensitivity of wheels</t>
  </si>
  <si>
    <t>ES-2424</t>
  </si>
  <si>
    <t>Runaway, 27/02/2013, Pitis and Pinar de las Rozas stations (Madrid) (Spain)</t>
  </si>
  <si>
    <t>Self-propelled electrification headframe ran away, stopping after colliding with a work train.</t>
  </si>
  <si>
    <t>Pitis and Pinar de las Rozas stations (Madrid)</t>
  </si>
  <si>
    <t>The accident is produced by the train driver´s human failure for wrongly coupling the tower to the platform that was being hauled by the draisine and for not connecting properly the emergency brake´s hoses.</t>
  </si>
  <si>
    <t>DE-2327</t>
  </si>
  <si>
    <t>Train derailment, 2013-03-02, Hannover Linden (Germany)</t>
  </si>
  <si>
    <t>Güterzug 50528 entgleiste bei der Einfahrt nach Gleis 6 im Bahnhof Hannover Linden mit 3 Wagen. Ein unbeladener Container fiel vom Wagen und lag im Profil des Nachbargleises. 
Freight train 50528 derailed with 3 wagons at the entrance to platform 6 in Hannover Linden Station. A container was unloaded from the truck and was in the profile of the adjacent track.</t>
  </si>
  <si>
    <t>Hannover Linden</t>
  </si>
  <si>
    <t>ES-2150</t>
  </si>
  <si>
    <t>Spad, 07/03/2013, Viana station (Valladolid) (Spain)</t>
  </si>
  <si>
    <t>Train VB688 (empty stock) overtook both home and backing signals when entering at Viana station. This situation caused a near miss train collision. No personal or material damages.</t>
  </si>
  <si>
    <t>Viana station (Valladolid)</t>
  </si>
  <si>
    <t>The incident had its origin when train VB688 (empty stock) unduly overtook both home and backing signals (E2 and R2) - which stated a stop aspect - due to the non-compliance of the signal instructions by the train driver</t>
  </si>
  <si>
    <t>UK-2155</t>
  </si>
  <si>
    <t>Other event, 08/03/2013, Near Old Street station, London (United Kingdom)</t>
  </si>
  <si>
    <t>An incident occurred on the morning of 8 March 2013 in one of the two single bore tunnels between Old Street and Essex Road stations._x000D_
_x000D_
At 10:09 hrs the driver of train 2V16, the 10:02 hrs service from Moorgate to Welwyn Garden City, reported that water was gushing from the roof of the tunnel. As a consequence the driver of the following train, which was running without passengers onboard, was cautioned and asked to examine the line. When the train was about 420 metres north of Old Street station, the driver (and a Network Rail Mobile Operations Manager who accompanied him) saw two large metallic objects that had apparently fallen from a hole in the roof of the tunnel, one of which was in contact with the live conductor rail. These were later identified as sections of an auger (drill) that had penetrated the tunnel lining before falling onto the track. Each section measured approximately two metres in length and was 0.35 metres in diameter.</t>
  </si>
  <si>
    <t>Near Old Street station, London</t>
  </si>
  <si>
    <t>Piling operations penetrated the railway tunnel lining and obstructed the track (paragraph 29).</t>
  </si>
  <si>
    <t>The following causal factors have been identified: a.  the Client did not appreciate the significance of an entry on the Land Registry Property Register (paragraph 32, Learning point 1);b. searches undertaken on behalf of the Client prior to it purchasing the site did not include Network Rail (paragraph 39, Recommendation 1); c. a 1967 undertaking by the London Borough of Hackney, intended to give the tunnel owner the right to approve any proposed development, did not result in Network Rail being consulted before piling commenced (paragraph 43); d. the structural engineer and contractors did not identify that an obstruction found in an exploratory borehole was part of a railway tunnel (paragraph 54); e. pre-construction documentary searches did not detect the presence of the tunnels, or the need for additional searches (paragraph 68, Recommendation 2); and f. the planning approval process did not recognise the tunnel risk (paragraph 75, Recommendations 2 and 5). Network Rail, unlike London Underground, did not have any pro-active arrangements to identify developments which could affect the railway (paragraph 84, Recommendation 3).</t>
  </si>
  <si>
    <t>CZ-2130</t>
  </si>
  <si>
    <t>Train derailment, 12/03/2013, Prelouc station (Czech Republic)</t>
  </si>
  <si>
    <t>Derailment of one freight wagon of freight train on switch No. 109, during departure from Prelouc station.</t>
  </si>
  <si>
    <t>Prelouc station</t>
  </si>
  <si>
    <t>Direct cause:	_x000D_
- Inadequate technical condition of derailed freight wagon - series of Zacs, No. 33 51 PL-KSG 78-67 170-7._x000D_
- Inadequate technical condition of switch No. 109 at Prelouc station._x000D_
_x000D_
Contributory factor:  _x000D_
- None.</t>
  </si>
  <si>
    <t>Underlying cause:	_x000D_
- Failure to comply with general agreement about use of freight wagons and legislative provisions for the maintenance and operation of freight towed rolling stocks by their holder._x000D_
- Failure to comply with mandatory standards and technological procedures of infrastructure manager for maintenance of switches._x000D_
_x000D_
Root cause:	_x000D_
- None.</t>
  </si>
  <si>
    <t>RO-2094</t>
  </si>
  <si>
    <t>Train derailment, 12/03/2013, Maghersu Sieu station (Romania)</t>
  </si>
  <si>
    <t>The first axle of the carriage no. 74-1702-0, from the class X 4500 diesel multiple units, which composed passanger train no. 14016 derailed on the switch no. 2 from Magherus Sieu station</t>
  </si>
  <si>
    <t>Maghersu Sieu station</t>
  </si>
  <si>
    <t>Pierderea capacitatii de ghidare a caii de rulare si parasirea acesteia de catre rotile osiei conducatoare a primului boghiu al vagonului remorca al automotorului AMX 97-1702-6 pe schimbatorul de cale nr.2 datorita manipularii  acestuia în momentul trecerii trenului nr.14016. 
Losing the guidance capacity of the rail and leaving of this by the wheels of the first axle from the first bogie of the trailer car from the diesel multiple unit AMX 97-1702-6 at the switch no. 2, due the handling of this at the passing of the train no. 14016.</t>
  </si>
  <si>
    <t>Cauze subiacente _x000D_
- Neverificarea pe teren a macazului nr.2, încalcându-se prevederile art.42 “Deranjament la unul sau mai multe macazuri” din Instructia de manipulare a instalatiei de centralizare electrodinamica tip CR2 Domino din Hm Magherus Sieu, nr.350/2002, întocmita de Sectia CT2 Dej si aprobata de catre conducerea Regionalei CFR Cluj._x000D_
_x000D_
-  Manipularea instalatiei de siguranta de catre personal care nu se afla în timpul executarii serviciului (la solicitarea IDM de serviciu), încalcându-se prevederile art.12 din Regulamentul de Exploatare Tehnica Feroviara nr.002 aprobat prin ordinul ministrului transporturilor, constructiilor si turismului nr.1186 din 29.08.2001. 
Underlying causes_x000D_
_x000D_
-	Failure to check on the site of the switch no. 2, violating the provisions of art. 42 „Failure at one or more switches”, from Operation Instruction of the Electrodynamics Centralizing Installation type CR2 Domino from the railway station Magherus Sieu, no. 350/2002, prepared by the CT 2 Section Dej and approved by the management of Branch CFR Cluj._x000D_
-	The handling of the safety installation by the employees which are not on duty (at the request of the movement inspector on duty), violating the provisions of art. 12 from the Railway Technical Operation Regulation no. 002, approved through the Order of the Minister of Transports, no.1186 from 29th of August 2001.</t>
  </si>
  <si>
    <t>RO-2110</t>
  </si>
  <si>
    <t>Train derailment, 14/03/2013, Cavaran Station (Romania)</t>
  </si>
  <si>
    <t>the 9-th wagon from the rear, from the freight train no. 91718 derailled in the station Cavaran</t>
  </si>
  <si>
    <t>Cavaran Station</t>
  </si>
  <si>
    <t>Cauza directa_x000D_
-  slabirea bandajului rotii nr.5 apartinând celei de-a doua osii  de la primul boghiu în sens de mers al vagonului nr. 81536655080-5 datorita diminuarii în timp a fortei de strângere dintre bandaj si obada rotii, urmata de rotirea  acestuia, distrugerea   inelului de fixare a bandajului si deplasarea  transversala a acestuia pe  obada._x000D_
Acest fapt a determinat modificarea accidentala a ecartamentului osiei cu rotile nr. 5-6 si a condus  la:_x000D_
   - deraierea rotii nr.5 pe panoul intermediar dintre macazul nr.5 si macazul 5A în exteriorul caii pe  partea stânga sens mers si a  rotii  nr.6 în interiorul caii; _x000D_
   - antrenarea în deraiere a osiei cu rotile nr. 7-8 de la acelasi boghiu între macazul schimbatorului de cale 5A si inima acestuia cu roata nr. 7 din partea  stânga sens mers în exteriorul caii si roata nr.8 în interior._x000D_
_x000D_
 Factori care au contribuit:_x000D_
-     solicitari mecanice si termice la care este supus bandajul în circulatia vagonului;_x000D_
-	durata mare de utilizare a bandajului ( bandajul este fabricat în   anul   1977);_x000D_
-	grosimea  bandajului în planul cercului de rulare apropiata de limita minima admisa. 
The direct cause, _x000D_
-	weakening of the wheel no. 5 rim, belonging to the second axle from the first bogie in the running direction of the wagon no. 81536655080-5, due the diminishing in time of the clamping force between the tire and he rim of the wheel, followed by the spin of this, the destruction of the tire mounting ring and its transverse movement of the rim._x000D_
This fact determined the accidental modification of the gauge of the axle with wheels no. 5	6 and led to:_x000D_
-	derailment of wheel no. 5 on the intermediate panel between the switch no. 5 and switch no. 5A in the exterior of the track on the left side in the running direction and the wheel no. 6 in the interior of the track;_x000D_
-	drive in derailment of the axle with the wheel no. 7-8 from the same bogie between the switch 5A and the frog of this with the wheel no. 7 from the left side in the running direction in the exterior of the track and with wheel no. 8 in the interior._x000D_
_x000D_
Contributing factors_x000D_
-	heating and mechanical stress being put on the tire in the wagon’s running;_x000D_
-	long duration of use of the tire (the tire was made in 1977);_x000D_
-	the thickness of the tire in the running thread plane closed to the minimum limit admitted.</t>
  </si>
  <si>
    <t>Cauze subiacente._x000D_
-  tratarea neinstructionala a lipsei marcajelor la exteriorul rotii cu ocazia efectuarii     reviziilor tehnice ale vagonului. 
Underlying cause_x000D_
-	non instructional treating of the lack of markings on the exterior of the wheel with the performing of the technical inspection of the wagon.</t>
  </si>
  <si>
    <t>UK-2249</t>
  </si>
  <si>
    <t>Level crossing accident, 21/03/2013, Athelney Level Crossing (United Kingdom)</t>
  </si>
  <si>
    <t>At about 06:23 hrs on Thursday 21 March 2013, train 1A73, the 05:46 hrs First Great Western service from Exeter St. Davids to London Paddington struck a car which was crossing the railway at Athelney level crossing near Taunton, Somerset. The driver of the car, who was its sole occupant, was killed in the collision._x000D_
_x000D_
The crossing is of the automatic half barrier type. At such crossings one barrier on each side of the railway is automatically lowered to block half of the road and thus prohibit approaching vehicles from passing through. The lowering of the barriers is preceded by the operation of flashing road traffic signals, which then continue to operate until the barriers are raised._x000D_
_x000D_
Evidence gathered to date suggests that the car had been detained at the crossing with the barriers down and the road traffic signals working correctly. The car was then driven round the crossing barriers and onto the crossing where the collision occurred.</t>
  </si>
  <si>
    <t>Athelney Level Crossing</t>
  </si>
  <si>
    <t>The motorist drove around the level crossing barriers while a train was approaching (paragraph 42).</t>
  </si>
  <si>
    <t>The causal factors were: a. The motorist decided to drive around the barriers, without waiting for a train to pass and the barriers to re-open (paragraph 45, Recommendation 1). b. When the motorist decided to drive around the barriers he may have believed either: that the crossing had failed with the barriers in the closed position and that a train was probably not approaching (paragraph 53, no recommendation); or that the approaching train had been delayed and, incorrectly, that he would be able to see it and stop in time or else that he had sufficient time to cross before it arrived (paragraph 56, no recommendation). c.The motorist did not contact the signaller for advice, even though a telephone is provided (paragraph 60, Recommendations 2, 3 and 4). d. The level crossing control circuits were ‘out of synchronisation’ following an earlier wrong direction train movement (paragraphs 64, see paragraph 87 and Recommendation 1). e. The signaller cleared E93 signal when train 1A73 was approximately 3.0 miles (4.8 km) from Athelney level crossing which resulted in the barriers being lowered for an extended period before the arrival of the train (paragraph 70 see paragraph 89).</t>
  </si>
  <si>
    <t>IE-2151</t>
  </si>
  <si>
    <t>Unauthorised train movement other than SPAD, 23-03-13, Dundalk/Newry (Ireland)</t>
  </si>
  <si>
    <t>SLW was in place due to a landslide and flooding on the up line between 60.5 and 6.75 MP between Dundalk and Newry. (Northern Ireland side of the border). An empty CAF set with the Pilotman accompanying the train left Dundalk for Newry. Sometime after the empty CAF had cleared the signal section the 07.35hrs passenger service from Connolly to Belfast was signalled into thes section and proceeded to Newry without the Pliotman being present.</t>
  </si>
  <si>
    <t>Dundalk/Newry</t>
  </si>
  <si>
    <t>The immediate cause of Train A122 entering a SLW section between Dundalk and Newry without a Pilotman was as a result of the train being signalled for the route</t>
  </si>
  <si>
    <t>CZ-2145</t>
  </si>
  <si>
    <t>Train derailment, 24.3.2013, open line between Tabor and Chotoviny stations (Czech Republic)</t>
  </si>
  <si>
    <t>Derailment of one axle of passenger carriage of long distance passenger train No. 1540 during movement between Tábor nad Chotoviny stations.</t>
  </si>
  <si>
    <t>open line between Tabor and Chotoviny stations</t>
  </si>
  <si>
    <t>Bottom suspension of springs of secondary springing of the bogie of passenger carriage No. TDV CZ-CD 51 54 21 70 029-2 series Bmee.</t>
  </si>
  <si>
    <t>Underlying cause:	_x000D_
- complete fracture of bottom suspension of spring carrier of secondary springing of the bogie No. GP 200S of passenger carriage No. TDV CZ-CD 51 54 21 70 029-2 series Bmee;_x000D_
- exceeding the recommended limits of kilometers of passenger carriage for periodic higher repairs and therefore non-execution of defectoscopic check of bogie and connected bottom suspension of spring carrier of secondary springing._x000D_
_x000D_
Root cause:	_x000D_
- in internal regulation CD V 25 at periodic higher repairs whose part is defectoscopic check of bogie, determination only recommended values limit of kilometers instead of binding top limit of kilometers.</t>
  </si>
  <si>
    <t>ES-2352</t>
  </si>
  <si>
    <t>Train derailment, 3/26/2013, Between Urda and Malagon stations (Toledo) (Spain)</t>
  </si>
  <si>
    <t>Performing works on track (train consisting of a profiling machine, a stabilizer and a tamping machine) the profiling machine's axle is broken down causing the derailment. No personal damages.</t>
  </si>
  <si>
    <t>Between Urda and Malagon stations (Toledo)</t>
  </si>
  <si>
    <t>The derailment is caused by a failure of the rolling stock. The breakage of the profiling machine´s axle is caused by a process of cyclic fatigue.</t>
  </si>
  <si>
    <t>AT-2173</t>
  </si>
  <si>
    <t>Trains collision, 27/03/2013, Station Obereggendorf (Austria)</t>
  </si>
  <si>
    <t>Am 27. März 2013, um 23:48 Uhr erfolgte eine „head to head“-Kollision eines Güterzuges mit einem, in einem Bahnhof (kurz IM-Bf) stehenden, Gleis-Messwagen._x000D_
Im Gleis-Messwagen wurden zwei Mitarbeiter des IM tödlich und zwei Mitarbeiter des IM schwer verletzt. Im Tfzf des Güterzuges wurden ein Tfzf in Ausbildung schwer sowie ein Tfzf leicht verletzt._x000D_
Durch die Kollision wurden das Tfz und das Gleis-Messwagen schwer beschädigt; an der Infrastruktur entstand geringfügiger Sachschaden. Es kam zu erheblichen Verspätungen im Personen- und Güterverkehr._x000D_
Infolge mangelhafter Fahrstraßenprüfung und Nichtanbringen von Hilfssperren und Hinweisschilder an der Sicherungsanlage war eine signalmäßig taugliche Einfahrt des Güterzuges auf das, durch das Gleis-Messwagen, besetzte Gleis möglich. 
On 27th July 2013, at 23:48 hrs, a "head to head" - collision between a freight train and a stopped track measurement vehicle in a station (short IM-Bf) occurred._x000D_
In the track measurement vehicle were two staff of the IM fatally and two staff serious injured. In the locomotive of the freight train, one train driver in training was serious injured and one train driver was minor injured._x000D_
By the collision the locomotive and track measurement vehicle were badly damaged, the infrastructure was minor property damage. There have been considerable delays in passenger and freight traffic._x000D_
Due to faulty driving-route-check, and non-attachment of auxiliary locks and signs a suitable signal-entry of the freight train into the occupied track by the measuring vehicle track was possible.</t>
  </si>
  <si>
    <t>Station Obereggendorf</t>
  </si>
  <si>
    <t>RTS Rail Transport Service GmbH; 
ÖBB-Infrastruktur AG</t>
  </si>
  <si>
    <t>Die Ursache der Kollision ergibt sich aus einem Zusammentreffen der Nichtanbringung der Hilfssperren und Hinweisschilder und der Zulassung der Fahrt des Güterzuges ohne ausreichende Fahrstraßenprüfung. 
The cause of the collision resulting from a meeting of the non-attachment of the auxiliary locks and signs and the admission of the trip of the freight train without sufficient driving road test.</t>
  </si>
  <si>
    <t>CZ-2293</t>
  </si>
  <si>
    <t>Spad, 3/27/2013, Roztoky u Prahy station (Czech Republic)</t>
  </si>
  <si>
    <t>Regional passenger train No. 12149 passed a signal at danger (departure signal S3a showing red aspect) and stopped at Roztoky u Prahy station in sufficient distance to avoid possibility of a collision with another approaching long distance passenger train No. 379.</t>
  </si>
  <si>
    <t>Roztoky u Prahy station</t>
  </si>
  <si>
    <t>Direct cause:		_x000D_
- regional passenger train No. 12149 did not stop in front of the signal "Stop" of main signal S3a at Roztoky u Prahy station;_x000D_
- train driver's operational error (he did not respect red signal of cab signal on automatic train protection of locomotive of regional passenger train No. 12149). _x000D_
_x000D_
Contributory factor:	 _x000D_
- absence of technical equipment preventing train from passing signal at danger;_x000D_
- failure to notify of engine driver of regional passenger train No. 12149 about delay because of transportation reasons at Roztoky u Prahy station.</t>
  </si>
  <si>
    <t>Underlying cause:	_x000D_
- failure to comply with technological procedures of infrastructure manager (IM) for train departure from the station by train driver of regional passenger train No. 12149 (speed not adapted so that the locomotive could stop safely in front of the signal "Stop" on main signal);_x000D_
- failure to comply with technological procedures of railway undertaking (RU) - failure to monitor railway track during train movement and to respect given instructions._x000D_
_x000D_
Root cause:_x000D_
- unauthorized ride - unlawful departure of Regional passenger train No. 12149 (signal passed at danger - departed signal S3a showing red aspect) to the train route of long distance passenger train No. 379._x000D_
- not taking of adequate and effective own measures of infrastructure manager and railway undertaking  to prevent similar incidents based on issued safety recommendations after previous incidents of similar character on 16th February 2009 at Paskov station, 16th October 2009 at Prerov station, 5th December 2011 at Baška station,  and 23rd August 2011 at Praha-Liben station.</t>
  </si>
  <si>
    <t>IT-2188</t>
  </si>
  <si>
    <t>Fire in RS, 27/03/2013, Firenze Cascine (Italy)</t>
  </si>
  <si>
    <t>Train 3024, relation Siena - Firenze Santa Maria Novella, still on track 2 of Firenze Cascine, was affected by fire in the cab of the locomotive 445-1039.</t>
  </si>
  <si>
    <t>Firenze Cascine</t>
  </si>
  <si>
    <t>Failure of the weld bead on the upper part of the joint compensator of the exhaust pipe of the hot gases of the turbine in the diesel engine room</t>
  </si>
  <si>
    <t>1. lack of integrity and wear checks of the joint compensator of the exhaust pipe of the hot gases of the turbine_x000D_
2. type of fire extinguisher on board the locomotive D445</t>
  </si>
  <si>
    <t>CZ-2147</t>
  </si>
  <si>
    <t>Train derailment, 31.3.2013, Odry station (Czech Republic)</t>
  </si>
  <si>
    <t>Derailment of regional passenger train No. 13310 on self-returning switch during departure from Odry station.</t>
  </si>
  <si>
    <t>Odry station</t>
  </si>
  <si>
    <t>Direct cause: not readjusted of self-returning switch No. 7sv to the end position by ride of the regional passenger train No. 13310._x000D_
_x000D_
Contributory factor: weather conditions - snow with strong wind.</t>
  </si>
  <si>
    <t>Underlying cause: failure to remove of barier – snow from the space of self-returning switch No. 7sv before ride of regional passenger train No. 13310._x000D_
_x000D_
Root cause: absence of procedures to ensure the removal of barriers (snow, ice, frost) from the space of self-returning switches for proper function of self-returning switch during of movement of railway vehicle along the tip of the point.</t>
  </si>
  <si>
    <t>CZ-2228</t>
  </si>
  <si>
    <t>Level crossing accident, 1.4.2013, Open line between Lenora station and Lenora stop. (Czech Republic)</t>
  </si>
  <si>
    <t>Collision of regional passenger train No. 18109 with an obstacle – a car at the passive level crossing.</t>
  </si>
  <si>
    <t>Open line between Lenora station and Lenora stop.</t>
  </si>
  <si>
    <t>- Third party – level crossing user (car driver's violation)._x000D_
- Poor level crossing visibility conditions (insufficient field of view of car driver towards approaching train).</t>
  </si>
  <si>
    <t>Underlying cause:	_x000D_
- failure to respect rules for operation on the road by the driver of the car;_x000D_
- incorrect procedures of IM during level crossing inspections and during maintenance of visibility conditions._x000D_
Root cause: none.</t>
  </si>
  <si>
    <t>FI-2207</t>
  </si>
  <si>
    <t>Train derailment, 06-04-13, Sastamala, Vammala Railway Yard (Finland)</t>
  </si>
  <si>
    <t>13 wagons of a freight train derailed on the second turnout of Vammala railway yard. Three of the wagons fell over.</t>
  </si>
  <si>
    <t>Sastamala, Vammala Railway Yard</t>
  </si>
  <si>
    <t>The derailment of the freight train was caused by the switch turning underneath the train. The train caused the open switch blade to move, resulting in the opening of the switch lock, which allowed the switch to turn. When an open switch blade is subjected to vibration or sufficiently powerful impacts, a switch lock that allows trailing may become unlocked. As a result, the closed switch blade opened and the wagon wheels fell between the switch blade and the stock rail._x000D_
Vibration affecting the open switch blade was caused by several factors. The Railex locking device had been adjusted eccentrically, in deviation from the specifications in such a manner that the gap between the open switch blade and the stock rail was 10 mm too small. This allows the inner surface of the flange of a train wheel to impact against the open switch blade. This is more likely in the case of Russian rolling stock, in which the distance between the inner surfaces of the wheel flanges is 5 mm less than in Finnish rolling stock._x000D_
Vibration may also be caused by lateral movement in the Russian stock which is, due to the wheel profile, greater than in Finnish stock. This causes the inner surface of the wheel flange to run close to open switch blades more often in Russian stock than in Finnish stock; when the equipment is within the nominal values, it can move a maximum of 5 mm closer._x000D_
The vibration frequency caused by the speed and axle spacings suited the vibration characteristics of the turnout. This was determined during the investigation of the 2009 accident in Toijala. In this accident, the rolling stock and the speed of the train matched those of the Toijala accident. Additionally, impacts caused by wheel flats may have reduced the friction opposing the lateral movement of the switch blade.</t>
  </si>
  <si>
    <t>On the whole, it seems to be typical of safety management that while systems and instructions are described well in general, they are not realised in practice._x000D_
Detected safety deviations had been systematically left unreported. Repeated trailing notifications had been made for at least twelve months, but had been disregarded. It had become habitual to leave trailing notifications caused by passing trains unreported, due to their being so common and, on the other hand, because maintenance personnel had been unable to determine the cause of the trailing notifications. In addition, the log data available in the railway safety system had not been examined and analysed._x000D_
There were deficiencies in the management of competencies related to turnout maintenance. Lately, no training has been provided in turnout maintenance. It also became apparent during the investigation that up-to-date instructions were not sufficiently available to those performing practical work. Quality control of work in the field is insufficient. Additionally, documentation for turnout maintenance was found to be lacking.</t>
  </si>
  <si>
    <t>ES-2250</t>
  </si>
  <si>
    <t>Other event, 07-04-13, Almodóvar del Campo (Ciudad Real) - Venta La Inés Tunnel (Spain)</t>
  </si>
  <si>
    <t>Passenger train´s door loosening</t>
  </si>
  <si>
    <t>Almodóvar del Campo (Ciudad Real) - Venta La Inés Tunnel</t>
  </si>
  <si>
    <t>The event was caused by human failure of the ticket inspector of train 2164 when wrongly manipulated the system of manual opening of the door making the door to break away when running inside a tunnel. The door was knocked down by train 2361, running the other way.</t>
  </si>
  <si>
    <t>RO-2179</t>
  </si>
  <si>
    <t>Train derailment, 07/04/2013, open line between Baru Mare - Pui stations (Romania)</t>
  </si>
  <si>
    <t>the 5-th wagons from the rear of the freight train no. 60832 derailed.</t>
  </si>
  <si>
    <t>open line between Baru Mare - Pui stations</t>
  </si>
  <si>
    <t>Direct cause :_x000D_
_x000D_
-	Removal of the wheels no.4 and 5 from the guiding axle of the wagon no. 31555972602-3 following the decreasing in time of the tightening force carried out by the wheel hub on the wheel seat from the axle.  _x000D_
_x000D_
_x000D_
Factors that contributed _x000D_
_x000D_
-	appearance in depth of rust on the entire circumference of the axle pressing sections on a variable width   between 22 – 38 mm respectively rust points in depth on a portion with an irregular shape with a surface of almost 500 mm2, by damaging the tightening force of the wheel hub on the wheel seat on the axle caused by a non-conformity in the process of assembling the wheel-set.</t>
  </si>
  <si>
    <t>No underlying causes were identified. _x000D_
_x000D_
No root causes were identified.</t>
  </si>
  <si>
    <t>HU-2260</t>
  </si>
  <si>
    <t>Train derailment, 09-04-13, Szeged, Vám tér (Hungary)</t>
  </si>
  <si>
    <t>A tram derailed with its one bogie at Szeged. On a single track line the driver departed with its vehicle, but the line was occupied by a coming tram from the opposite direction. The driver had realised this and tried to go back to the stop, but the vehicle derailed with its one bogie on a switch.</t>
  </si>
  <si>
    <t>Szeged, Vám tér</t>
  </si>
  <si>
    <t>Human inattention.</t>
  </si>
  <si>
    <t>HU-2224</t>
  </si>
  <si>
    <t>Trains collision, 11-04-13, Budapest-Keleti (Hungary)</t>
  </si>
  <si>
    <t>Two shunting train had collided. 
Két tolató egység összeütközött.</t>
  </si>
  <si>
    <t>Budapest-Keleti</t>
  </si>
  <si>
    <t>UK-2264</t>
  </si>
  <si>
    <t>Accident to persons caused by RS in motion, 4/13/2013, Lebanon Road, Sandilands. Croydon (United Kingdom)</t>
  </si>
  <si>
    <t>An incident in which a tram departed from two consecutive tram stops in Croydon with all four doors on one side open. Nobody was injured in the incident, but passengers were standing in the vicinity of the open doors and there was the potential for a serious accident to occur._x000D_
_x000D_
The tram involved was operating a service between West Croydon and Beckenham Junction. During the first part of its journey the tram was delayed on a number of occasions due to a succession of fault indications in the cab alerting the driver to a possible problem with a parking brake on one of the tram’s bogies. On each occasion the driver spoke to the controller and, after receiving instructions on how to deal with the fault, was able to continue the journey.</t>
  </si>
  <si>
    <t>Lebanon Road, Sandilands. Croydon</t>
  </si>
  <si>
    <t>The driver drove the tram between tram stops with doors open</t>
  </si>
  <si>
    <t>The causal factors were: a. While the tram was at Lebanon Road and Sandilands tram stops, the driver was in dialogue with the controller regarding the fault with the spring applied brake. In both cases, this dialogue was ongoing as the tram left the stop, which acted as a distraction to the driver (paragraph 44, Recommendation 1). b. The ongoing nature of the fault, coupled with the perceived pressure to avoid delaying following trams, placed stress on the driver (paragraph 48, Recommendation 2). c. The driver relied on the safety interlock as proof that the doors were closed (paragraph 55, Recommendation 2). d. The safety interlock which prevents the tram from moving with the doors open had been overridden by the driver’s inadvertent operation of the fault override switch (paragraph 60, Recommendations 3, 4 and 5). e. Passengers did not succeed in alerting the driver to the fact that the doors were open (paragraph 70, Recommendation 6). f. The controller did not understand a communication from the driver reporting the fault override status message (paragraph 78, Recommendations 1 and 2). g. The tram was not taken out of service despite the indication of a brake fault because there was no standard process for dealing with faults (paragraph 91, Recommendation 2). It is probable that the following factors were causal: a. there was poor indication in the driving cab as to whether the doors were closed (paragraph 52, Recommendation 3); b. the quality of radio signal reception possibly affected the controller’s understanding of the driver’s verbal communication (paragraph 84, Recommendations 7 and 8); and c. training on fault handling for drivers and controllers is largely based on procedures, and focuses on recovering the tram rather than diagnosing the fault (paragraph 95, Recommendation 2). Underlying factor The fault override switch bypasses the door-traction interlock, allowing the tram to move with its doors open (paragraph 67, no recommendation).</t>
  </si>
  <si>
    <t>FR-2266</t>
  </si>
  <si>
    <t>Level crossing accident, 4/16/2013, L'Estaque (France)</t>
  </si>
  <si>
    <t>Local train EMU hits a crane truck stationnary on level crossing._x000D_
The truck driver was inexperienced and did not know the route fur HGVs between the depot and the building site where he had to go._x000D_
He takes a route unsuitable to the size of his vehicle._x000D_
Approaching the level crossig, he realises that the streets after the crossing are too narrow._x000D_
He decides to make a U turn and calls  his depot to have informations on the route to take._x000D_
During the telephone call and while the truck is on the track, the warning lights of the LC begin to blinck._x000D_
The driver tries to get his vehicle off the track but does not succeed while the half-barriers get closed._x000D_
The train arrives at 65 km/h. The train driver sees the truck on the LC and applies the emergency brakes. The callision takes place at 22km/h and the crane tears the first vehicle of the EMU.</t>
  </si>
  <si>
    <t>L'Estaque</t>
  </si>
  <si>
    <t>The driver of the road crane did not prepare a route compatible with the size of his vehicle._x000D_
He makes a U turn on the LC while making a telephone call._x000D_
Improper reaction when surprised by the closure of the LC.</t>
  </si>
  <si>
    <t>Carelessness of the road driver._x000D_
 Narrow road should be forbidden to HGVs.</t>
  </si>
  <si>
    <t>RO-2208</t>
  </si>
  <si>
    <t>Train derailment, 4/17/2013, open line between Copaceni and Popesti station (Romania)</t>
  </si>
  <si>
    <t>the 6-th and the 7-th wagon from the freight train no. 23682 derailed</t>
  </si>
  <si>
    <t>open line between Copaceni and Popesti station</t>
  </si>
  <si>
    <t>Cauza directa a producerii accidentului o constituie depa?irea toleran?elor admise la nivelul transversal prescris precum ?i la torsionarea caii. 
The direct cause of this accident was the exceeding of the tolerance admitted at the  prescribed crosslevel and also the twisting of the track.</t>
  </si>
  <si>
    <t>Nerespectarea prevederilor art.7, pct.4 din Instructia de norme si tolerante pentru constructia si întretinerea caii nr.314/1989 privind torsionarea caii. 
Failure to comply with the provision of art. 7, point 4 from the Instruction of norms and tolerances for the track construction no. 314/1989 for track twisting.</t>
  </si>
  <si>
    <t>HU-2225</t>
  </si>
  <si>
    <t>Train derailment, 18-04-13, Station Kaposvár (Hungary)</t>
  </si>
  <si>
    <t>Train no. 8225 has derailed.</t>
  </si>
  <si>
    <t>Station Kaposvár</t>
  </si>
  <si>
    <t>A 19 sz. váltó blokklánca a váltó állításának utolsó fázisában elszakadt, ezért a csúcssín rögzíto szerkezet nem került végállásba. Az érkezo vonat által gerjesztett rezgések és a rögzíto ero hiánya következtében a simuló csúcssín a tosíntol eltávolodott, és az így keletkezo résbe a vonat mozdonyának kereke befutott és a vonat kisiklott. 
19 the switchgear circuit was broken in the final phase of the switchgear adjustment, so the peak track fixing mechanism was not in the final phase. As a result of the vibrations generated by the incoming train and the lack of the clamping force, the smoothing peak track has moved away from the capital rail, and the resulting gap has reached the train locomotive wheel and the train has crashed.</t>
  </si>
  <si>
    <t>A blokkláncok megelozo karbantartás keretében történo, ciklikus cseréjét nem írja elo szabályzat, azokat csak meghibásodás esetén végzik. _x000D_
Az érvényben lévo karbantartási szabályok nem tartalmazzák részletesen a vonóvezeték hálózat és a blokkláncok karbantartásának és ellenorzésének részletes technológiáját. Ennek eredményeként a kötelezo karbantartás elvégzése során a 19 sz. váltó blokkláncának már hosszabb ideje fennálló, eros kopottsága nem került felfedezésre._x000D_
_x000D_
A 19 sz. váltó helyreállítása csak augusztus 30-án, 4 és fél hónappal a balesetet követoen történt meg. Ez alatt az ido alatt a Gyékényes – Kaposvár irányú személyszállító vonatok csak az állomás IV. és V. vágányát vehették igénybe. Az V. vágány mellett csak szükségperon található, ezért a váltó helyreállításáig magas volt az utasok fel- és leszállása során, botlásra visszavezetheto balesetek bekövetkezésének kockázata. 
The cyclical exchange of blockchain in the context of preventive maintenance is not required by regulations and is only performed in the event of failure._x000D_
The maintenance rules in force do not include detailed technology for the maintenance and control of the trawl network and the blockchain. As a result, when performing the mandatory maintenance, the the long-standing, severe abrasion of a switching blockchain has not been detected._x000D_
_x000D_
19 the replacement was only restored on 30 August, 4 and a half months after the accident. During this period, passenger trains with Gyékényes - Kaposvár route are only station IV. and track V. Track V is only on emergency platform and therefore, until the changeover has been restored, the risk of accidents due to tripping during passengers’ take-off and landing was high.</t>
  </si>
  <si>
    <t>ES-2251</t>
  </si>
  <si>
    <t>Accident to persons caused by RS in motion, 4/20/2013, Anoeta halt (Guipúzcoa) (Spain)</t>
  </si>
  <si>
    <t>A passenger, once she got off the train, crossed a board crossing without paying attention another train was coming.</t>
  </si>
  <si>
    <t>Anoeta halt (Guipúzcoa)</t>
  </si>
  <si>
    <t>The accident had ist origin when the victim went though the board crossing without noticing an approaching train.</t>
  </si>
  <si>
    <t>UK-2294</t>
  </si>
  <si>
    <t>Runaway, 4/21/2013, Glasgow Queen Street (United Kingdom)</t>
  </si>
  <si>
    <t>A road-rail maintenance vehicle ran away and struck scaffolding in a tunnel near Glasgow Queen Street High Level station on Sunday 21 April 2013._x000D_
_x000D_
The maintenance vehicle was a mobile elevating working platform (MEWP) that was equipped with both rubber wheels for road running and steel rail wheels for operation on the railway. It was intended to be used for engineering work on a section of track which was under possession (temporarily closed to normal train services)._x000D_
_x000D_
The runaway started at the Keppochhill road-rail access point, a location within the possession where boarding laid between, and to either side of, the rails provides a flat surface allowing road-rail vehicles to be manoeuvred onto the track. This access point is on a section of railway which slopes downwards at a gradient of about 1 in 45 towards, and through, Queen Street High Level Tunnel before running onto level track as it enters Queen Street High Level station. Shortly before 03:00 hrs the MEWP was being transferred from its rubber tyred road wheels onto its rail wheels. During this manoeuvre the machine operator was controlling the machine by means of a remote control unit which was connected to the machine by a length of cable. As the rail wheels were lowered onto the track the MEWP started to run down the gradient, through the tunnel and into the station where it stopped about one mile (1.6 km) from the access point (and before reaching the buffers at the end of the platform)._x000D_
No-one was onboard the MEWP as it ran away. However, while passing through the tunnel, the MEWP struck some scaffolding which was being erected as part of the planned engineering work and a person working on this scaffolding was seriously injured. Other members of staff working on the track were able to move clear of the runaway vehicle because they either heard its approach or were warned by mobile telephone.</t>
  </si>
  <si>
    <t>Glasgow Queen Street</t>
  </si>
  <si>
    <t>The RRV ran away on the gradient because only the rail wheel holding brakes were acting to prevent movement and these were inadequate to do so (paragraph 53).</t>
  </si>
  <si>
    <t>The causal factors were: a.the machine operator put the machine into the position where only the rail wheel holding brake was acting to prevent movement, contrary to the on-tracking procedure in which he was trained (paragraph 56, action taken paragraph 161); b. the machine operator was unable to operate the correct controls to either fully raise or lower the rail wheels once the RRV was moving  paragraph 68); c. the RRV was not fitted with any physical means of preventing the machine operator from putting it into the position where only the rail wheel holding brake was acting to prevent movement (paragraph 76, actions in progress paragraph 159f); d. deficiencies in the design and setup of the rail wheel holding brake meant that it was inadequate to hold the RRV on the gradient (paragraph 81); e. the design calculations for the rail wheel holding brake assumed a higher coefficient of friction between the brake pads and the wheel than was  available in practice (paragraph 83, Recommendation 1); f. the RRV rail wheel holding brakes were not set up to provide sufficient braking force to prevent a runaway on a 1 in 41 gradient, and there was no maintenance instruction requiring appropriate setup (paragraph 97, Recommendation 1); and g. the testing regime for the RRV rail wheel holding brakes did not identify shortcomings in the design of these brakes (paragraph 119, action taken paragraph 163, Recommendation 4). A possible causal factor was that one of the RRV brake cylinder springs had been assembled incorrectly (paragraph 112, some action in progress, paragraph 162, Recommendations 1 and 2). The underlying factors were: a. the manufacturer’s quality assurance processes were inadequate to identify the deficiencies in the brake design (paragraph 129, Recommendations 1 and 2); and b. the approval process did not examine the specification or effectiveness of the rail wheel holding brake (paragraph 134, Learning point 1).</t>
  </si>
  <si>
    <t>HU-3028</t>
  </si>
  <si>
    <t>Level crossing accident, 4/22/2013, Sárosd station (Hungary)</t>
  </si>
  <si>
    <t>A tractor was hit by a passenger train at a level crossing. _x000D_
Fuel leaking out of the damaged tractor caught fire and caused fire also to the locomotive of the train. The driver of the tractor died at the site of the occurrence.</t>
  </si>
  <si>
    <t>Sárosd station</t>
  </si>
  <si>
    <t>Road user - lack of attention</t>
  </si>
  <si>
    <t>CZ-2229</t>
  </si>
  <si>
    <t>Train derailment, 25.4.2013, Open line between Klenci pod Cerchovem - Pobezovice. (Czech Republic)</t>
  </si>
  <si>
    <t>Broken axle and consequent derailment of rolling stock during of movement of regional passenger train No. 27550.</t>
  </si>
  <si>
    <t>Open line between Klenci pod Cerchovem - Pobezovice.</t>
  </si>
  <si>
    <t>Broken axle of the first wheelset in the place of the left wheel.</t>
  </si>
  <si>
    <t>Underlying cause: incorrect technological procedure during of stamping of the wheel on the axle._x000D_
Root cause: none.</t>
  </si>
  <si>
    <t>ES-2252</t>
  </si>
  <si>
    <t>Trains collision, 4/28/2013, Between Otero and La Mata de la Riba halts (León) (Spain)</t>
  </si>
  <si>
    <t>A coach of a commuter train, after it had released itself from the composition, collided with the rear of the leading coach. Non personal damages.</t>
  </si>
  <si>
    <t>Between Otero and La Mata de la Riba halts (León)</t>
  </si>
  <si>
    <t>The accident is caused by the train driver´s failure as he failed to properly tow the railcar according to the Operation Manual for train drivers._x000D_
As contributory causes:_x000D_
he failed to observe articles 4.04.05 and 9.03.00 of Annex IX of Traffic Regulations Manual (not test brake / not watch out for train to run complete)</t>
  </si>
  <si>
    <t>RO-2265</t>
  </si>
  <si>
    <t>Train derailment, 01/05/2013, Agigea Nord station (Romania)</t>
  </si>
  <si>
    <t>the first and second wagon from the freight train no.20900 derailed in Agigea Nord station</t>
  </si>
  <si>
    <t>Agigea Nord station</t>
  </si>
  <si>
    <t>Cauza directa a producerii acestui accident o constituie blocarea caii de rulare prin întepenirea sabotului de mâna nr.3 al statiei CF Agigea Nord la inima de încrucisare a macazului nr. 21 cap X statia CF Agigea Nord, la expedierea trenului de marfa nr.20900 de la linia 6, fara a se fi ridicat sabotul nr.3 de la roata, fapt care a condus la deraierea de o osie (3-4), a doua în sensul de mers, de la vagonul nr.33879335976-5, primul de la siguranta si de un boghiu (osiile 1-2, 3-4), primul în sensul de mers, de la vagonul nr. 33879345941-7, al doilea de la siguranta._x000D_
_x000D_
Factori care au contribuit _x000D_
- neverificarea ridicarii sabotului de mâna nr.3 de la roata vagonului nr.33879335976-5 înainte de expedierea trenului de marfa nr.20900. 
The direct cause of this accident occurrence is the blocking of the running track through the stiffness of the drag shoe no.3 of the railway station Agigea Nord at the common crossing of the switch no 21, X end, at the dispatch of the freight train no. 6, without the lifting of the drag shoe no. 3 from the wheel, fact which led to the derailment due an axle (3-4), second in the running direction, from wagon no. 33879335976-5, first from the locomotive and through a bogie (axles 1-2, 3-4), first in the running direction, from wagon no. 33879345941-7, second from the locomotive_x000D_
_x000D_
Contributing factors_x000D_
The unchecked lifting of the drag shoe no. 3 from wagon no. 33879335976-5 before the dispatch of the freight train no. 20900.</t>
  </si>
  <si>
    <t>CZ-2291</t>
  </si>
  <si>
    <t>Spad, 2.5.2013, Kunovice - Loucka station (Czech Republic)</t>
  </si>
  <si>
    <t>Regional passenger train No. 3915 passed a signal at danger (departure signal S1 showing signal “stop”) after unauthorized movement from a place for entry and exit of passengers.</t>
  </si>
  <si>
    <t>Kunovice - Loucka station</t>
  </si>
  <si>
    <t>Direct cause: train driver's operational error (he did not respect signal “stop” of main_x000D_
(departure) signal S1 at Kunovice-Loucka station)._x000D_
_x000D_
Contributory factor: absence of technical equipment preventing train from passing signal_x000D_
at danger.</t>
  </si>
  <si>
    <t>Underlying cause: unintentional error, mistake of the train driver, which resulted in_x000D_
unathorized movement of regional passenger train No. 3915 without_x000D_
check whether the main (departure) signal S1 allows the movement of_x000D_
regional passenger train No. 3915 and whether it is time of departure_x000D_
of this train according to schedule._x000D_
_x000D_
Root cause:_x000D_
• not taking of adequate own measures to prevent accidents and incidents_x000D_
based on the evaluation of the causes and circumstances of previously_x000D_
similar accidents and incidents and safety recommendations of Rail Safety_x000D_
Inspection Office No.: 6-538/2009/DI-1, on 18th March 2010, c. j.:_x000D_
571/2012/DI, on 31th July 2012 a c. j.: 741/2012/DI, on 25th September_x000D_
2012;_x000D_
• reduction of safety level of the railway transport at Kunovice-Loucka_x000D_
station with introduction of dispatch of train with transport of_x000D_
passengers, which regularly or extraordinary stops in a place for entry_x000D_
and exit of passengers only by using of the main (departure) signal_x000D_
allowing the movement of the train, without security policy - the person_x000D_
who is controlling the railway transport. This person is not_x000D_
appropriately substituted in spite of warning of Rail Safety Inspection_x000D_
Office about risks which are connected with results of investigation of_x000D_
previous accidents and incidents.</t>
  </si>
  <si>
    <t>RO-2271</t>
  </si>
  <si>
    <t>Fire in RS, 5/3/2013, open line between Fusea and Matasaru station (Romania)</t>
  </si>
  <si>
    <t>the diesel locomotive DA 1362 from the freight train 71734 was in fire</t>
  </si>
  <si>
    <t>open line between Fusea and Matasaru station</t>
  </si>
  <si>
    <t>Cauza directa:  _x000D_
Incendiul s-a produs ca urmare a scurtcircuitului aparut în zona bornelor de legatura ale motorului de tractiune nr.4, pe conductorii cu poten?ial diferit, datorita scaderii rezistentei de izolatie a înveli?urilor cablurilor si strapungerii acestora, fapt ce a condus în final la aprinderea învelisurilor._x000D_
_x000D_
Factorii care au contribuit: _x000D_
_x000D_
-fenomenul de îmbatrânire al înveli?urilor cablurilor de alimentare ale motorului de tractiune nr.4;_x000D_
-starea precara de curatenie a locomotivei urmare pierderilor de ulei si combustibil din instalatiile respective; 
Direct cause: _x000D_
_x000D_
The fire occurred due a short-circuit at the terminal connection of the traction engine no. 4, on the conductors with different potential due the decreasing of the isolation resistance of the cables coating and the breakthrough of those, fact which led to the ignitions of the coatings._x000D_
_x000D_
Contributing factors: _x000D_
-	degradation in time due aging of the electro-isolating material of the supply cables from engine no. 4;_x000D_
-	the lack of cleanness of the locomotive due the oil and fuel losses from the respective installations.</t>
  </si>
  <si>
    <t>Cauze subiacente:  _x000D_
Nu s-a respectat ciclul de reparatii obligatorii la locomotiva, conform prevederilor Normativului feroviar "Vehicule de cale ferata. Tipuri de revizii si repara?ii planificate. Normele de timp sau normele de kilometri parcursi pentru efectuarea reviziilor si repara?iilor planificate", aprobat prin Ordinul ministrului transporturilor si infrastructurii nr.315/2011, modificat si completat prin Ordinul nr.1359/2012 al Ministrului Transporturilor si Infrastructurii._x000D_
_x000D_
Cauze primare: _x000D_
Nu au fost identificate cauze primare ale producerii acestui accident. 
Underlying cause: _x000D_
_x000D_
The required mandatory repairs cycle at the locomotive, according to the provisions of the Railway Norm "Railway Vehicles. Types of inspections and planned repairs. Time norms or mileage standards for maintenance and planned repairs", approved by the Ministry of Transport and Infrastructure’s Order no. 315/2011, amended and supplemented through the Ministry of Transport and Infrastructure’s Order no. 1359/2012._x000D_
_x000D_
Root causes: _x000D_
None</t>
  </si>
  <si>
    <t>BE-2269</t>
  </si>
  <si>
    <t>Train derailment, 04/05/2013, Wetteren (Belgium)</t>
  </si>
  <si>
    <t>On Saterday 04th of May 2013 at 01:58 am, freight train 44601 derails on line 50 on switch 23W 22BW</t>
  </si>
  <si>
    <t>Wetteren</t>
  </si>
  <si>
    <t xml:space="preserve">Volgens de door het Onderzoekorgaan weerhouden hypothese is de directe oorzaak van de ontsporing_x000D_
het berijden van de wissels aan een niet aangepaste snelheid, dit in combinatie met volgende_x000D_
factoren:_x000D_
• de opeenvolging van 2 korte (R +/- 215 m) en op elkaar aansluitende bochten met een Svormig_x000D_
verloop_x000D_
• het hoge zwaartepunt van de (correct) volledig beladen wagons_x000D_
• een rembeweging in de S-bocht ten gevolge de ingezette noodremming_x000D_
Er werden geen feiten vastgesteld die erop zouden kunnen wijzen dat het spoor, de seininrichting_x000D_
of het rollend materieel bijgedragen hebben tot het ongeval. 
</t>
  </si>
  <si>
    <t xml:space="preserve">De indirecte oorzaak van het ongeval ligt aan een falende waarneming en interpretatie van het_x000D_
beperkend seinbeeld._x000D_
Het falen is mogelijk het gevolg van verstrooidheid of verwarring, veroorzaakt door het samenkomen_x000D_
van verschillende informaties voor de treinbestuurder vermeerderd met aanwezigheid van_x000D_
werkzaamheden langs het spoor in combinatie met een toestand van verlaagde waakzaamheid._x000D_
Dit veronderstelt verschillende acties die door de treinbestuurder moeten genomen worden_x000D_
Het Belgische spoorwegsysteem verwacht van de bestuurders die op haar netwerk rijden dat ze_x000D_
de seinen waarnemen, correct interpreteren en de gepaste houding aannemen. A fortiori als de_x000D_
bestuurder een sein heeft bevestigd, meent het systeem dat hij:_x000D_
• het heeft waargenomen,_x000D_
• het correct heeft begrepen en_x000D_
• de gepaste houding gaat aannemen op basis van dit inzicht._x000D_
Deze verwachtingen laten geen ruimte voor fouten en hierdoor rust een groot deel van de spoorwegveiligheid_x000D_
op de schouders van de bestuurder._x000D_
Daarnaast moeten, om dit veiligheidsprincipe te ondersteunen, de beschikbare uitrustingen en_x000D_
installaties de bestuurder helpen om zo goed mogelijk aan deze verwachtingen te beantwoorden._x000D_
Ten eerste, bij de doorgang aan het sein RX-W.6 dat een beperkend seinbeeld vertoont, treedt_x000D_
het MEMOR-systeem op als hulp bij het besturen door de bestuurder met een oplichtende lamp_x000D_
te herinneren aan het beperkend seinbeeld.dat hem een snelheidsbeperking oplegt en hem_x000D_
verplicht te vertragen_x000D_
• Als de bestuurder het seinbeeld niet bevestigt, speelt MEMOR een corrigerende rol door_x000D_
   met een noodremming de trein tot stilstand te brengen._x000D_
• Als de bestuurder het seinbeeld bevestigt, herinnert de MEMOR-lamp met een lamp die_x000D_
  blijft branden de bestuurder eraan dat er een beperking is. MEMOR heeft dan geen corrigerende_x000D_
  rol meer._x000D_
Ten tweede geeft het volgende sein (FX-W.6) de bestuurder informatie over:_x000D_
• de snelheidsbeperking die bevestigd wordt (door de 4); dit is de maximale snelheid (40km/h)_x000D_
  die moet aangehouden worden van bij het begin van het eerst volgende spoortoestel na_x000D_
  het sein (FX-W.6)._x000D_
• het waarom van de opgelegde snelheidvermindering: de verlichte keeper duidt op het nemen_x000D_
  van de wissel om van tegenspoor terug naar normaalspoor te gaan_x000D_
De onderzoeken in het kader van dit ongeval brengen 3 tekortkomingen aan het licht op het_x000D_
gebied van deze veiligheidsprincipes:_x000D_
• de trein wordt niet geremd bij het voorbijrijden van het beperkend sein RX-W6 met beeld_x000D_
  groen-geel horizontaal_x000D_
• ontbrekende verbetering_x000D_
    • met het MEMOR-systeem_x000D_
    • met de waarneming van het tweede sein FX-W6._x000D_
De gebeurtenis maar ook de verzamelde getuigenissen tonen aan dat de verbeterende maatregelen,_x000D_
zoals ontworpen, tekortkomingen herbergen. Enerzijds is de bevestiging van een sein geen_x000D_
synoniem met de onmiddellijke waarneming van het sein, noch het aannemen van de gepaste_x000D_
houding. Anderzijds zijn MEMOR en het tweede sein niet voldoende om de eerste tekortkomingen_x000D_
te corrigeren. En dit des te meer omdat hun werking als corrigerende barrière bepaald wordt door_x000D_
het falen van het oorspronkelijke veiligheidsprincipe (de waarneming van het eerste sein)._x000D_
We kunnen met de verschillende gevoerde onderzoeken het meest waarschijnlijke scenario identificeren._x000D_
Aangezien de trein niet is afgeremd door een noodremming, kunnen we er zeker van zijn dat de_x000D_
bestuurder wel degelijk het sein RX-W6 met beeld groen-geel horizontaal heeft bevestigd. We_x000D_
kunnen echter nog twijfelen over de modaliteiten van deze bevestiging: wanneer hij het sein_x000D_
heeft gezien of wanneer hij de MEMOR-lamp heeft gezien. In elk geval weten we dat de bestuurder_x000D_
niet geremd heeft bij het voorbijrijden van het beperkend sein RX-W6 met beeld groen-geel_x000D_
horizontaal en dat hij na de werken licht heeft versneld._x000D_
Daarnaast toont het onderzoek van de dienstplanning van de bestuurder aan dat hij bij aanvang_x000D_
van zijn dienst en op het moment van het ongeval zeer vermoeid was. Deze verschillende elementen_x000D_
laten ons toe het volgende scenario naar voren te schuiven: de bestuurder is tijdens zijn_x000D_
rijactiviteit in de war gebracht door de bijna gelijktijdige waarneming van werkzaamheden bij_x000D_
het voorbijrijden van het sein RX-W6 en een belangrijk vermoeidheidsniveau._x000D_
Bijgevolg is het scenario van het ongeval er een van een falen van een van de veiligheidsprincipes_x000D_
van het Belgische spoorwegsysteem, namelijk dat bestuurders de seinen moeten waarnemen, ze_x000D_
correct interpreteren en de gepaste houding aannemen._x000D_
Dit ongeval leert ons dat vergetelheid, verwarring, stress of vermoeidheid voldoende factoren_x000D_
zijn om een ramp te veroorzaken. Daarnaast toont het ongeval aan dat een bestuurder een sein_x000D_
‘automatisch’ kan bevestigen zonder een speciale actie te ondernemen, wat een lacune creëert in_x000D_
de veiligheidsrol van het MEMOR-systeem want dit belemmert het automatische remmen._x000D_
Er zijn marges voor het verbeteren van de menselijke betrouwbaarheid maar rekening houdend_x000D_
met het reeds hoge betrouwbaarheidsniveau van de bestuurders, kunnen zij alleen niet het risico_x000D_
aanvaardbaar maken._x000D_
De spoorwegsector wendt verschillende beschermingsmechanismen aan om ongevallen te_x000D_
voorkomen en de sector gaat ervan uit dat de veiligheid op het spoor voldoende verzekerd is_x000D_
wanneer een treinbestuurder de seingeving en andere regels naleeft._x000D_
_x000D_
De beschermende maatregelen langs het spoor (waarschuwingssein en stopsein) en in de stuurpost_x000D_
(MEMOR) hebben er niet toe geleid dat de snelheid van de trein tijdig aangepast werd. Geen_x000D_
enkel bijkomend technische uitrusting heeft de besturing van de trein overgenomen. De klassieke_x000D_
beschermingsmechanismen bieden bijgevolg onvoldoende bescherming ingeval seinen_x000D_
niet of verkeerd interpreteert of wanneer uitbatingsregels onjuist toegepast worden._x000D_
Ook recentere hulpmiddelen als TBL1+ bieden onder deze omstandigheden geen oplossing: enkel_x000D_
een controlesysteem van het type ETCS zou de trein tijdig tot stilstand gebracht hebben._x000D_
De ondernemingen hebben verschillende beschermingsmechanismen aangenomen om ongevallen_x000D_
te helpen voorkomen. Deze mechanismen waren echter ontoereikend in de situatie waarin_x000D_
een treinbestuurder het seinbeeld van het waarschuwingssein verkeerd interpreteert of slecht_x000D_
waarneemt, hetzelfde geldt wanneer hij een exploitatievoorschrift foutief toepast._x000D_
Bij gebrek aan tastbare en intrinsiek veilige verdedigingsmechanismen (van het ETCS-type) voor_x000D_
het toezicht op treinen, is gebleken dat de huidige verdedigingsmechanismen ontoereikend waren_x000D_
om de ontsporing te voorkomen._x000D_
Een verbetering van andere aspecten die eerder betrekking hebben op organisatie moeten dus_x000D_
worden overwogen._x000D_
Een veiligheidssysteem moet een hoog performantieniveau halen en moet dus - in de mate dat_x000D_
dit realistisch is - een speling in de storingsmodi integreren zodat een eenvoudige storing niet_x000D_
meteen resulteert in een catastrofale gebeurtenis. Meer algemeen toont het scenario van dit ongeval_x000D_
aan dat het veiligheidssysteem van de Belgische spoorwegen geen rekening houdt met de_x000D_
veranderlijkheden van omstandigheden._x000D_
_x000D_
4.4.2. Verergerende factoren_x000D_
Verergerende factoren hebben betrekking tot de gevolgen van de ontsporing._x000D_
De eerste verergerende factor is het lekslagen van de tankwagons die geladen zijn met het gevaarlijk_x000D_
stoffen._x000D_
De crashbuffers die tijdens de ontsporing gesolliciteerd worden, worden zwaarder belast dan_x000D_
waarvoor zij ontworpen werden en hebben maximaal schokken geabsorbeerd zoals ontworpen_x000D_
(splitting en curling). De crashbuffers konden onmogelijk de schokken voldoende compenseren_x000D_
omdat de krachten die onstaan zijn tijdens de ontsporing veel belangrijker waren dan wat door_x000D_
de ontwerpers voorzien is._x000D_
Bovendien zijn de meeste crashbuffers (en de anti-opkliminrichtingen) tijdens het ontsporen niet_x000D_
met elkaar in contact getreden omdat de wagons zijdelings op elkaar gevallen zijn. Hierdoor konden_x000D_
zij onmogelijk hun taak vervullen._x000D_
Zonder het nut van crashbuffers of anti-opkliminrichtingen te ontkennen, wordt vastgesteld dat_x000D_
geen enkele wagon uitgerust is met - voor dit type ongevallen - aangepaste bescherming. Mogelijk_x000D_
zouden beschermingsschilden aan de uiteinden van de wagons 2 en 3 het lekslagen van deze_x000D_
wagons hebben kunnen voorkomen, niet zozeer door het opvangen van de kinetische energie_x000D_
dan wel door het weg-geleiden van de vallende buffers en onderstellen._x000D_
Geen van de voornoemde maatregelen zou hebben kunnen voorkomen dat de onderzijde van_x000D_
wagon 4 door een afgebroken spoorstaaf opengereten wordt. Mogelijk zouden versterkte wanden_x000D_
hier voldoende bescherming hebben kunnen bieden, zoals blijkt uit het contact tussen een_x000D_
wiel van wagons 5 met de romp van wagon 6._x000D_
De uitgebreide analyse van de schade aan het rollende materieel biedt aan de verantwoordelijke_x000D_
overheden de mogelijkheid een discussie te initiëren over voor- en na-delen van maatregelen ter_x000D_
verbetering van de crash bestendigheid van wagons met RID-goederen, of ter vebetering van de_x000D_
weerstand tegen een doorboring door vreemde voorwerpen._x000D_
De tweede weerhouden verergerende factor is het verspreiden van de giftige lading in de gracht_x000D_
en zo naar het riolenstelsel van de gemeente._x000D_
Het overvloedig gebruik van blus- en koelwater doet de gracht vollopen met een mengsel van_x000D_
water en toxische producten. Zeer snel dreigt de gracht te overstromen en wordt de beslissing_x000D_
genomen de inhoud van de gracht over te pompen naar het pompgemaal. Volgens de elementen_x000D_
in ons bezit, schakelt de dompelpomp van het pompgemaal automatisch in zodra het vloeistofniveau_x000D_
een bepaalde hoogte bereikt en pompt aldus de verontreinigde vloeistof via het gescheiden_x000D_
regenwater afvoersysteem richting Schelde. De rioleringen worden gevuld met toxische gassen_x000D_
die via de rioolputten naar boven komen. 
</t>
  </si>
  <si>
    <t>DK-2316</t>
  </si>
  <si>
    <t>Level crossing accident, 05-05-13, Hvidemose ovk 115 (Denmark)</t>
  </si>
  <si>
    <t>A car with three persons - a father and his two teenage children - were hit by an oncoming train in a level crossing with warning lights. All three where killed instantly at the impact. The train stopped some 470 meters after the crossing with the front of the car hanging on the coupler and with rear end of the car left at the rail-side 90 meters from the crossing._x000D_
The level crossing was being fitted with barriers (half-barriers) not yet in operation, but the old warning lights was in place.</t>
  </si>
  <si>
    <t>Hvidemose ovk 115</t>
  </si>
  <si>
    <t>På det foreliggende grundlag anser Havarikommissionen det for overvejende sandsynligt at overkørsel 115 ved tog 1628’s passage var sikret og at signalerne mod vej blinkede rødt._x000D_
Det kan ikke afvises at_x000D_
- den ændrede vinkel på højre vejsignal V1, der kunne vanskeliggøre iagttagelse_x000D_
- det forhold at venstre vejsignal V2 – som hidtil - stod lidt i skygge af vejsignal V5_x000D_
- bilens tilsyneladende høje hastighed_x000D_
hver for sig eller kombineret kan have ført til at den sikrede overkørsel blev overset af bilens fører._x000D_
_x000D_
Der er med de foreliggende informationer ikke grundlag for at fastslå hvorvidt bilisten har været distraheret eller af anden årsag har overset overkørslen, erkendt den for sent eller har forsøgt at passere overkørslen foran toget. 
According to the Accident Investigation Board of Denmark (Havarikommissionen), it seems that on the existing basis, the train 1628 passed by the warning lights at level crossing 115._x000D_
It cannot be refused that_x000D_
- the changing angle on the right path signal V1 could impede observation_x000D_
- the fact that the left path signal -as before- was slightly overshadowed by the path signal V5_x000D_
- the vehicle apparently increased speed_x000D_
_x000D_
The above may have led, individually or in combination, to the fact that the secured crossing had been overlooked by the driver._x000D_
There is information available that there is no basis to determine whether the driver had been distracted or some other reason made him overlook the crossing, recognized it late or had attempted to pass the crossing in front of the train.</t>
  </si>
  <si>
    <t>HU-3029</t>
  </si>
  <si>
    <t>Train derailment, 5/7/2013, Miskolc, Tiszai Palyaudvar stop (Hungary)</t>
  </si>
  <si>
    <t>A tram derailed with its one bogie at Miskolc, Tiszai palyaudvar stop_x000D_
(The occurrence is investigated commonly with the event registered in ERAIL-REP under No. HU-2056)</t>
  </si>
  <si>
    <t>Miskolc, Tiszai Palyaudvar stop</t>
  </si>
  <si>
    <t>Track geometry and sensitivity of wheel</t>
  </si>
  <si>
    <t>RO-2290</t>
  </si>
  <si>
    <t>Train derailment, 08.05.2013, open line between Fiad and Telciu stations (Romania)</t>
  </si>
  <si>
    <t>9 wagons from the freight train no. 43622 have derailed in the open line between Fiad and Telciu station. Three of this wagons were overturned. The wagons were loaded with logs.</t>
  </si>
  <si>
    <t>open line between Fiad and Telciu stations</t>
  </si>
  <si>
    <t>The direct cause of the occurrence of this accident is the climbing of the flange of the wheel from the right side of the first axle from the second bogie in the running direction of the wagon no. 315354935878 on the head of the track corresponding to the exterior curve rail and the leaving of the track, due to the following combination of factors:_x000D_
_x000D_
-	the existence of the excess of super elevation at the line due the reducing in time of the traffic speed, from 60 km/h at 30 km/h;_x000D_
-	the existence at wagon no. 315354935878 of some values of the load ratio of the wheel from the left beside the one from the right from the same wheel, respective wheel no. 3 beside wheel no. 4 with a value of 1,20 and wheel no. 1 beside wheel no. 2, with a value of 1,13;_x000D_
-	the existence of a tilt of the wagon’s body to the interior of the curve, found out at the measuring of the distances between the bogie’s frame and the superior guide;_x000D_
-	the existence at wagon no. 315354935878 of an ineffective damper corresponding to wheel no. 4;_x000D_
-	the reactions on the train, caused by the positioning of the train simultaneous on lines with different declivities and in opposite curves and different radiuses, also the existence of a ratio of 2,1:1 between the locomotive’s weight from the rear of the train beside the wagon’s weight from the train. 
Cauza directa, factori care au contribuit_x000D_
_x000D_
Cauza directa a producerii acestui accident o constituie, catararea buzei rotii din partea dreapta a primei osii de la boghiul al doilea în sens de mers al  vagonului nr. 315354935878   pe ciuperca sinei corespunzatoare firului exterior al curbei si parasirea caii de rulare, ca urmare a urmatorului cumul de factori :_x000D_
_x000D_
-	Existenta unui exces de supraînaltare la linie ca urmare a reducerii în timp a vitezei de circulatie, de la 60 km/h la 30 km/h;_x000D_
-	Existenta la vagonul nr. 315354935878 a unor valori a raportului de sarcini a rotii din stânga fata de cea din dreapta a aceleiasi  osii, respectiv roata  nr. 3 fata de roata nr.4 cu o valoare de 1,20 si roata  nr.1 fata de roata nr.2  cu o valoare de 1,13  ; _x000D_
-	Existenta unei înclinari a cutiei vagonului catre interiorul curbei, constatata la masurarea distantelor  dintre cadrul boghiului si glisierele superioare;_x000D_
-	Existenta la vagonul nr. 315354935878 a unui amortizor ineficace corespunzator rotii nr.4;_x000D_
-	Reactiunile în tren provocate de pozitionarea trenului simultan pe linii cu declivitati diferite si în curbe cu sensuri opuse si raze diferite, precum si de existenta unui raport de 2,1:1 dintre masa locomotivei de la urma trenului  fata de masele vagoanelor din tren .</t>
  </si>
  <si>
    <t>Underlying cause_x000D_
_x000D_
The false understanding and applying of art. 6, paragraph (16) from the Braking and Hauling Regulation no. 006, referring to the remaining at the initial position in the train composition, without being active of the locomotive which were used as banking locomotives. 
Cauze subiacente:_x000D_
	Întelegerea si aplicarea eronata a art.6 alin.(16)  din Regulamentul de Remorcare si frânare Nr.006 referitor  la ramânerea în pozitia initiala în compunerea trenului fara sa fie active a locomotivelor care au fost utilizate ca locomotive împingatoare.</t>
  </si>
  <si>
    <t>DE-2358</t>
  </si>
  <si>
    <t>Train derailment, 2013-05-10, Frankfurt Süd (Germany)</t>
  </si>
  <si>
    <t>Leerreisezug 73543 von Aschaffenburg nach Frankfurt Hbf entgleiste bei der Durchfahrt in Frankfurt Süd, Gleis 510 in der Weiche 252 mit dem dritten und vierten Wagen. 
Empty train nr 73543 from Aschaffenburg to Frankfurt Hbf derailed with third and fourth wagon while passing through Frankfurt Süd, track 510 in the switch 252.</t>
  </si>
  <si>
    <t>Frankfurt Süd</t>
  </si>
  <si>
    <t>IT-2427</t>
  </si>
  <si>
    <t>Accident to persons caused by RS in motion, 12/05/2013, Napoli Centrale (Italy)</t>
  </si>
  <si>
    <t>Investiment of shunter during shunting of the train 24302</t>
  </si>
  <si>
    <t>Napoli Centrale</t>
  </si>
  <si>
    <t>A sudden, unexpected movement of the train car that, once isolated from the rest of the convoy, hit the shunter</t>
  </si>
  <si>
    <t>the absence of more specific rules governing the procedures for uncoupling the train</t>
  </si>
  <si>
    <t>IT-2430</t>
  </si>
  <si>
    <t>Level crossing accident, 12/05/2013, LC km 37+474 Castello di Godego, line Venezia - Bassano del Grappa (Italy)</t>
  </si>
  <si>
    <t>Collision with a car that tailed the barriers</t>
  </si>
  <si>
    <t>LC km 37+474 Castello di Godego, line Venezia - Bassano del Grappa</t>
  </si>
  <si>
    <t>the error committed by the driver of the car that has not stopped at the LC regularly closed</t>
  </si>
  <si>
    <t>DE-2359</t>
  </si>
  <si>
    <t>Train derailment, 13/05/2013, Berlin Hbf (Germany)</t>
  </si>
  <si>
    <t>Leerreisezug LPF 178 entgleiste in Berlin Hbf bei der Ausfahrt aus Gleis 5 in der Weiche 102 mit dem Triebfahrzeug und den ersten 3 Wagen. 
Empty train LPF 178 derailed with the locomotive and the first 3 wagons in Berlin main station at the exit from platform 5 at the switch 102 .</t>
  </si>
  <si>
    <t>Berlin Hbf</t>
  </si>
  <si>
    <t>Die Weiche 102 lief während der Zugfahrt aus der Rechtslage in ihre Grundstellung. Grund hierfür war eine vorzeitige Fahrstraßenauflösung. 
During the train journey, railway switch 102 changed from the right position to the basic setting. The reason for that was an early cancellation of route.</t>
  </si>
  <si>
    <t>HU-2317</t>
  </si>
  <si>
    <t>Level crossing accident, 13-05-13, Between Badacsonytomaj and Revfulop stations (Hungary)</t>
  </si>
  <si>
    <t>A cyclist was hit by an oncoming passenger train</t>
  </si>
  <si>
    <t>Between Badacsonytomaj and Revfulop stations</t>
  </si>
  <si>
    <t>The cyclist accessed the level crossing, neglecting the stop signal displayed by the warning lights. The cause of the accident may be attributed to human factors.</t>
  </si>
  <si>
    <t>CZ-2318</t>
  </si>
  <si>
    <t>Train derailment, 20.5.2013, Nepomuk station (Czech Republic)</t>
  </si>
  <si>
    <t>Derailment of locomotive (rear bogie) during movement (arrival to Nepomuk station) of long distance passenger train No. 923.</t>
  </si>
  <si>
    <t>Nepomuk station</t>
  </si>
  <si>
    <t>Direct cause: release and fall off of screws of leading of traction force transmission of rear bogie of locomotive.</t>
  </si>
  <si>
    <t>Underlying cause: screws of leading of traction force transmission not secured in the way set by locomotive manufacture._x000D_
_x000D_
Root cause:		_x000D_
- in internal regulation CD V 25 determination of only a visual inspection of screws tightening without keeping of set way of their security._x000D_
- at periodic higher repairs determination of only recommended values limit of kilometers instead of binding top limit of kilometers.</t>
  </si>
  <si>
    <t>ES-2409</t>
  </si>
  <si>
    <t>Train derailment, 20/05/2013, Between Almendralejo and Torremejía stations (Badajoz) (Spain)</t>
  </si>
  <si>
    <t>Front boogie of freight train´s third empty tank wagon´s derailed at kilometre point 25+564.</t>
  </si>
  <si>
    <t>Between Almendralejo and Torremejía stations (Badajoz)</t>
  </si>
  <si>
    <t>The most likely hypothesis for the cause of the accident is the existence of faults (rail levelling, cant and warp) near the point of derailment (about 15-20 m).</t>
  </si>
  <si>
    <t>CZ-2331</t>
  </si>
  <si>
    <t>Train derailment, 5/23/2013, Kladno station (Czech Republic)</t>
  </si>
  <si>
    <t>Derailment of four freight wagons during departure of freight train No. 69060.</t>
  </si>
  <si>
    <t>Kladno station</t>
  </si>
  <si>
    <t>SD - Kolejová doprava</t>
  </si>
  <si>
    <t>Direct cause: exceeding of the limits of operating deviation of  track gauge._x000D_
_x000D_
Contributory factor: rotten wooden sleepers caused the insufficient fixing of fasteners.</t>
  </si>
  <si>
    <t>Underlying cause:	_x000D_
- inadequate performance of periodic checks and inspections on operational and executive level of infrastructure manager;_x000D_
- infrastructure manager incorrectly evaluated technical condition of railway superstructure;_x000D_
- incorrect keeping of records of results of the checks, inspections and measures for ensuring of infrastructure serviceability._x000D_
_x000D_
Root cause: none.</t>
  </si>
  <si>
    <t>LU-2324</t>
  </si>
  <si>
    <t>Level crossing accident, 23/05/2013, Heisdorf (Luxembourg)</t>
  </si>
  <si>
    <t>Investigation Body Luxembourg</t>
  </si>
  <si>
    <t>A pedestrian wearing earphones died after being hit by a passenger train while he was crossing the LC. The LC safety systems worked properly and both barriers were lowered when the accident occurred.</t>
  </si>
  <si>
    <t>Luxembourg</t>
  </si>
  <si>
    <t>Heisdorf</t>
  </si>
  <si>
    <t>Société Nationale des Chemins de Fer Luxembourgeois (CFL)</t>
  </si>
  <si>
    <t>Direct cause: failure of the pedestrian to respect the rules at level crossings and to observe warning signs and signals.</t>
  </si>
  <si>
    <t>ES-2353</t>
  </si>
  <si>
    <t>Train derailment, 26/05/2013, Sevilla Santa Justa station terminus (Sevilla) (Spain)</t>
  </si>
  <si>
    <t>Passenger train 39324 (empty stock consisted of 2 railcars) derailed when, to start its scheduled running, moved from the station terminus it was to track 10 of Sevilla Santa Justa station. Four bogies of the two first coaches of the rear railcar derailed. These cars impinged on the adjacent track colliding then with the rear tractive unit of a passenger train that was starting its established route</t>
  </si>
  <si>
    <t>Sevilla Santa Justa station terminus (Sevilla)</t>
  </si>
  <si>
    <t>Other; 
Long distance passenger train</t>
  </si>
  <si>
    <t>The accident is due to an infrastructure failure, since fastenings and sleepers of turnout nº 18 were in poor condition making the track to widen as train passed through.</t>
  </si>
  <si>
    <t>HU-2341</t>
  </si>
  <si>
    <t>Spad, 5/26/2013, Városföld (Hungary)</t>
  </si>
  <si>
    <t>A passengaer train passd the signal in the danger, bursted a point.</t>
  </si>
  <si>
    <t>Városföld</t>
  </si>
  <si>
    <t>The train driver did not recognize th esignal in danger in proper time. He applied emergency brake too late and moved over the signal.</t>
  </si>
  <si>
    <t>His attention was disrupted by a phone-call.</t>
  </si>
  <si>
    <t>AT-3527</t>
  </si>
  <si>
    <t>Trains collision, 30/05/2013, Station Stockerau (Austria)</t>
  </si>
  <si>
    <t>On 30th May 2013 in station Stockerau were carried out in the course of construction work scheduled pivoting movements by rail crane. At 16:39 hrs a commuter train collided with the swung-counterweight of the rail crane._x000D_
One passenger was minor injured. On the commuter train and the rail crane minor property damage occurred. There was no damage to the infrastructure. _x000D_
The protective measures and the communication of construction site execution were not compliant to the regulations. 
Am 30. Mai 2013 erfolgten im Zuge von planmäßigen Bauarbeiten im Bf Stockerau Schwenkbewegungen durch einen Schienenkran. Um 16:39 Uhr kollidierte ein Schnellbahnzug mit dem ausgeschwenkten Gegengewicht des Schienenkrans._x000D_
Ein Fahrgast im Twg wurde leicht verletzt. Am Twg und am Schienenkran entstand ein geringer Sachschaden. An der Infrastruktur entstand kein Sachschaden._x000D_
Die Schutzmaßnahmen und die Kommunikation der Baustellenabwicklung erfolgten nicht regelwerkskonform.</t>
  </si>
  <si>
    <t>Station Stockerau</t>
  </si>
  <si>
    <t>Die geltenden Regelwerke des IM (DV V3, ÖBB 40 und DB 601.02) widersprechen sich teilweise._x000D_
Ungenaue Angaben in den Durchführungsbestimmungen zu den Bauarbeiten (Betra)._x000D_
Nicht regelwerkskonforme Kommunikation innerhalb der Baustelle sowie mit den für die Betriebsführung verantwortlichen Stellen in Verbindung mit für die betreffende Tätigkeit nicht eingeleiteten erforderlichen Schutzmaßnahmen zur Baustellenabwicklung. 
The valid sets of rules of the infrastructure manager (DV V3, ÖBB 40 and DB 601.02) are partly contradictory. Unprecise data in the application rules of construction works (Betra). Communication not in conformity with rules on the construction site and also for the responsible management posts in  relation to the necessary protection measures for activities not yet applied on the construction site.</t>
  </si>
  <si>
    <t>IT-2431</t>
  </si>
  <si>
    <t>Accident to persons caused by RS in motion, 31/05/2013, Sesto San Giovanni (Italy)</t>
  </si>
  <si>
    <t>During shunting, investment of a technical of the IM</t>
  </si>
  <si>
    <t>Sesto San Giovanni</t>
  </si>
  <si>
    <t>shunting for routing the regional train 10623 from platform VIII  to platform V of the station Sesto San Giovanni was performed by the staff of regional train 10623 from the front cab of the locomotive E464-240 (Greek Pirelli Milan side), without doing the change bench before starting the retrocession movement from the exchange zone towards platform V,  and without the intervention of the shunter._x000D_
he movement does not comply with the procedure "DEIF No. 9" by Trenord Railway Undertaking, dated May 3, 2012.</t>
  </si>
  <si>
    <t>UK-2445</t>
  </si>
  <si>
    <t>Level crossing near miss, 5/31/2013, Balnamore, Northern Ireland (United Kingdom)</t>
  </si>
  <si>
    <t>At about 03:05 hrs the car was approaching the level crossing from the south when its driver became aware that a rail vehicle was passing over the crossing immediately in front of him. The car driver had received no prior warning of the rail vehicle’s presence; the crossing’s road traffic signals were not operating and its half-barriers were in the raised position._x000D_
_x000D_
At the time of the accident, Balnamore level crossing was within a section of track that had been closed to normal rail traffic to enable engineering activities to take place (known as a ‘possession’). The rail vehicle involved in the accident consisted of a rail-mounted trailer containing weed-spraying equipment and a road-rail vehicle (RRV) which was towing it. Both the trailer and RRV were owned and operated by a contractor working for Northern Ireland Railways.</t>
  </si>
  <si>
    <t>Balnamore, Northern Ireland</t>
  </si>
  <si>
    <t>The car driver did not have sufficient warning to stop his car before entering the crossing, after it had become occupied by the engineering train (paragraph 54).</t>
  </si>
  <si>
    <t>The crossing equipment at Balnamore AHBC was not operated under local control prior to the engineering train entering the crossing, even though this was required by the rules relating to the operation of AHBCs within possessions (paragraph 58, Recommendation 3). The weed-spraying team were routinely adopting non-compliant methods of work at AHBCs. This was probably due to a combination of the following causal factors; a. the team probably had a low perception of the risks which using non-compliant methods of work presented (paragraph 64, Recommendation 3); b. adopting non-compliant methods of work at AHBCs probably saved time and allowed the weed-spraying to be completed more quickly (paragraph 67, Recommendation 3); c. the way in which the team complied with the rules relating to AHBCs may have been influenced by the status of rules relating to other crossing types and the method of work adopted at level crossings during another project (paragraph 70, Recommendation 1); d. the use of non-compliant methods of work at AHBCs was not detected or corrected by NIR (paragraphs 81 and 119, Recommendation 3); and e. the team appointed a single emergency operator to attend multiple level crossings within the possession (paragraph 88, Recommendation 1).</t>
  </si>
  <si>
    <t>DK-5121</t>
  </si>
  <si>
    <t>Level crossing accident, 04-06-13, Holbæk (Denmark)</t>
  </si>
  <si>
    <t>Tractor cutting grass passed lowered barriers and came into the profile of the train and was hit at high speed 
Traktor under klipning af græsrabat indenfor sænkede bomme, kom ud i profilet for tog og blev ramt med høj hastighed</t>
  </si>
  <si>
    <t>Holbæk</t>
  </si>
  <si>
    <t>Lokalbanen A/S</t>
  </si>
  <si>
    <t>Banedanmark; 
Regionstog</t>
  </si>
  <si>
    <t>Uopmærksomhed i forbindelse med arbejde tæt på overkørsel 
Inattention in connection with work near crossing</t>
  </si>
  <si>
    <t>ES-2410</t>
  </si>
  <si>
    <t>Other event, 04/06/2013, Between Sant Sadurní d'Anoia and Martorell stations (Barcelona) (Spain)</t>
  </si>
  <si>
    <t>Wrongly dispatch of train by traffic manager.</t>
  </si>
  <si>
    <t>Between Sant Sadurní d'Anoia and Martorell stations (Barcelona)</t>
  </si>
  <si>
    <t>The incident was caused by traffic master´s human failure when wrongly established a route blocking for the section between Sant Sadurní d'Anoia y Martorell, blocking track I instead of track II.</t>
  </si>
  <si>
    <t>UK-2496</t>
  </si>
  <si>
    <t>Accident to persons caused by RS in motion, 6/5/2013, Newcastle Central station (United Kingdom)</t>
  </si>
  <si>
    <t>At about 17:00 hrs, a 3-car multiple unit train was standing at platform 10 waiting to form train 1P59, the 17:02 hrs Transpennine Express service from Newcastle to Manchester Airport. Shortly before the scheduled departure time, a passenger approached the train from the ticket office end (near field in the photograph), intending to board. The doors on the first (rear) coach were closed, but the rear set of doors on the middle coach was still open. _x000D_
These doors were closing as the passenger reached them, so she put her right hand between the door leaves expecting this to cause them to re-open. They did not; closing around her right wrist and trapping it. The train then started to move, forcing the passenger to walk and jog alongside._x000D_
As the train started to move, the conductor, who was leaning out of the rear cab window, could not see the trapped passenger due to the curvature of the platform. Passengers on board the train observed what had occurred and pulled the emergency door release which had the effect of applying the brakes. Another person standing on the platform shouted to the conductor to stop the train and the conductor applied the emergency brake._x000D_
The incident was not reported to the RAIB until 3 July 2013.</t>
  </si>
  <si>
    <t>Newcastle Central station</t>
  </si>
  <si>
    <t>The train moved with the passenger’s wrist trapped in the closed door.</t>
  </si>
  <si>
    <t>The causal factors were:_x000D_
a. The passenger attempted to board the train as the door was closing (paragraph 77, no recommendation). _x000D_
b. A characteristic of the Class 185 doors was that a wrist could be trapped and not detected, thereby allowing the train to move (paragraph 81, _x000D_
Recommendations 1 and 2). _x000D_
c. The conductor did not see the passenger trapped in the door because he did not do a final safety check before dispatching the train. This was because he _x000D_
either made an error due to confusion, or he consciously ignored what he had been trained to do (paragraph 84, no recommendation)._x000D_
_x000D_
Underlying factor_x000D_
The underlying factor was that although Siemens, FTPE and HMRI were aware of the possibility of a trapping and dragging accident as a result of the undesirable _x000D_
characteristic of the original door design, the risk of this specific hazard was not properly assessed, nor was there any consideration of additional safety measures to _x000D_
minimise any risk (paragraphs 100 and 110, Recommendations 3 and 4).</t>
  </si>
  <si>
    <t>ES-2408</t>
  </si>
  <si>
    <t>Train derailment, 06/06/2013, Zaragoza-Delicias station (Zaragoza) (Spain)</t>
  </si>
  <si>
    <t>Long distance passenger train derailed of 7th axle as it was in the operation of changing the gauge from UIC to Iberian gauge.</t>
  </si>
  <si>
    <t>The derailment is caused by a failure of the rolling stock, in particular of the gauge change device of the seventh axle's left wheel, in the direction of travel, when the lock that frees the gauge changing mechanism didn´t open because its fastener bolts were cut off.</t>
  </si>
  <si>
    <t>UK-2446</t>
  </si>
  <si>
    <t>Level crossing near miss, 6/6/2013, Llandovery Staion Level Crossing (United Kingdom)</t>
  </si>
  <si>
    <t>At 05:56 hrs on Thursday 6 June 2013, Arriva Trains Wales service from Swansea to Shrewsbury, comprising a two-car class 150 unit, passed over Llandovery level crossing when the barriers were still raised and the road open to traffic. As the train ran onto the crossing, a van also crossed, resulting in a near-miss between the two._x000D_
_x000D_
Llandovery is situated on the ‘Heart of Wales’ line, approximately 30 miles from Llanelli and 60 miles from Craven Arms. The A40 passes over the railway at the north east end of Llandovery station by means of a ‘trainman operated’ level crossing. The operation of this crossing for trains travelling towards Craven Arms is the responsibility of the train’s conductor, who is required to press a ‘lower barriers’ button in a control box on the platform while the train is standing in Llandovery station. This has the effect of activating the road traffic signals at the crossing and then lowering the barriers across the whole width of the road. Once the barriers are correctly lowered, a white light on a sign above the crossing control box illuminates and flashes as an indication to the driver and conductor that the crossing is closed._x000D_
_x000D_
On this occasion, the conductor omitted to operate the crossing. After station duties were complete, he closed the train’s doors and indicated to the driver that the train could depart. The driver started the train without observing that the white light was not flashing, and without noticing that the barriers were still in the raised position.</t>
  </si>
  <si>
    <t>Llandovery Staion Level Crossing</t>
  </si>
  <si>
    <t>The train passed over the level crossing while the barriers were raised and the crossing was open to road traffic (paragraph 29).</t>
  </si>
  <si>
    <t>The causal factors were: a. The conductor of train 2M43 did not operate the level crossing controls while at Llandovery station (paragraph 31). There are two possible reasons why this happened: the conductor may have had a lapse in concentration which resulted in him overlooking the need to operate the crossing at Llandovery (paragraph 33); and the conductor may have become distracted at Llandovery by the actions of a member of the public and an item of railway equipment that he thought was defective (paragraph 39, Recommendations 1, 2, 4 and 5). b. The driver of train 2M43 did not check that the white flashing light was illuminated on the level crossing stop board, or notice that the level crossing barriers were still raised, before departing from Llandovery station (paragraph 41). There are two possible reasons why this happened: the train driver may have been distracted by events before the train arrived at Llandovery and while it was in the station (paragraph 43): the presence of the conductor in the cab (paragraph 45); activity on the platform (paragraph 48); and the flashing blue TPWS light beyond the level crossing (paragraph 50). the white light on the level crossing stop board was not in the driver’s normal line of sight, and the driver was therefore less likely to see whether the light was illuminated and flashing from where the train had stopped (paragraph 53, Recommendations 1, 2, 4 and 5). c. 	An opportunity to integrate the operation of Llandovery level crossing into the signalling arrangements for the single line section ahead, which would have prevented this incident, was missed when improvement works were undertaken at Llandovery between 2007 and 2010 (paragraph 61, Recommendation 3). It is possible that the following factor was causal: a. The indication to the train crew that the crossing had not been operated was the absence of the white flashing light; this was more likely to be overlooked than a positive indication of the crossing’s status (paragraph 58, Recommendation 5). The underlying factors were: a. There was no clear, formalised process for traincrew working trains at Llandovery (paragraphs 76 to 87, Recommendations 1 and 4). b. Some of Arriva Trains Wales’ safety management processes were not effectively managing operational risks (paragraphs 88 to 101, Recommendation 4).</t>
  </si>
  <si>
    <t>DE-2366</t>
  </si>
  <si>
    <t>Train derailment, 09-06-13, Kaub - Rüdesheim (Germany)</t>
  </si>
  <si>
    <t>Freight train DGS 90636 derailed with the last two empty car carrier wagons between Kaub and Rüdesheim and then collided with the exit signal in Rüdesheim. 
Güterzug DGS 90636 entgleist zwischen Kaub und Rüdesheim mit den letzten beiden leeren Autotransportwagen und kollidiert anschließend mit dem Ausfahrsignal in Rüdesheim.</t>
  </si>
  <si>
    <t>Kaub - Rüdesheim</t>
  </si>
  <si>
    <t>Internationale Gesellschaft für Eisenbahnverkehr IGE GmbH &amp; Co. KG</t>
  </si>
  <si>
    <t>Die Ursache ist auf mehrere kurz hintereinander liegende Gleislagefehler in der Längshöhe zurückzuführen. 
The cause is related to several track geometry defects occurring at longitudinal level.</t>
  </si>
  <si>
    <t>AT-3529</t>
  </si>
  <si>
    <t>Trains collision, 11/06/2013, Station Wels (Austria)</t>
  </si>
  <si>
    <t>On 11th June 2013, at 17:26 hrs, at a shunting movement by a single locomotion passed a shunting signal at danger and collided with the train 41945 (flank side)._x000D_
The locomotion of the shunting movement was heavily damaged. Seven freight cars and their cargo of train 41945 were minor damaged._x000D_
There were no people injured or killed._x000D_
Insufficient compliance of the signal by the shunting movement in connection with obstructed view because of tree and shrub plantings. 
Am 11. Juni 2013, um 17:26 Uhr, überfuhr ein als Verschubfahrt alleinverkehrendes Tfz ein „VERSCHUBVERBOT“ zeigendes Signal unerlaubt und kollidierte mit Z 41945 (Flankenfahrt)._x000D_
Das Tfz der Verschubfahrt wurde schwer beschädigt. Sieben Güterwagen von Z 41945 und deren Ladung wurden leicht beschädigt._x000D_
Es wurden keine Personen verletzt oder getötet._x000D_
Mangelhafte Signalbeachtung durch die Verschubfahrt im Zusammenhang mit einer Sichteinschränkung durch Baum- und Strauchbewuchs.</t>
  </si>
  <si>
    <t>Station Wels</t>
  </si>
  <si>
    <t>Unerlaubtes Überfahren des Verschubsignals „V 570“ in der Stellung „VERSCHUBVERBOT“ durch das als Verschubfahrt alleinverkehrende Tfz. Die Sicht auf das Verschubsignal war durch Baum- und Strauchbewuchs eingeschränkt. 
Insufficient compliance of the signal by the shunting movement in connection with obstructed view because of tree and shrub plantings.</t>
  </si>
  <si>
    <t>DE-2374</t>
  </si>
  <si>
    <t>Train derailment, 2013-06-11, Schkeuditz (Germany)</t>
  </si>
  <si>
    <t>Am 11.06.2013 gegen 07:22 Uhr entgleiste der Reisezug RB-D 26225 auf der Fahrt von Lutherstadt Wittenberg nach Halle (Saale) Hauptbahnhof im Bahnhof Schkeuditz im Gleis 3101 hinter der Weiche 31W10.</t>
  </si>
  <si>
    <t>Schkeuditz</t>
  </si>
  <si>
    <t>Der führende Steuerwagen und ein nachfolgender Reisezugwagen entgleisten mit je einem Drehgestell. Es entstanden Sachschäden an der Infrastruktur und den Fahrzeugen.</t>
  </si>
  <si>
    <t>Article 20.2 of Directive (EU) 2016/798 - (a)</t>
  </si>
  <si>
    <t>NO-2426</t>
  </si>
  <si>
    <t>Trains collision, 6/17/2013, Oslo, Ekeberg line, Sørli stopp (Norway)</t>
  </si>
  <si>
    <t>At 13:25 on Friday 17 May 2013, tram no 104 ran into tram no 114 at Sørli tram stop in Oslo. Both trams were en route from Oslo to Ljabru. Tram 114 was standing still while passengers were alighting and boarding when it was hit by tram 104. Three people were taken to the accident and emergency service, and a total of 18 people suffered injuries and/or experienced pain after the incident. Both trams sustained material damage from the collision. 
Fredag 17. mai 2013 kolliderte en trikk inn i bakenden på en annen trikk på Sørli holdeplass i Oslo. Begge trikkene var på veg fra Oslo sentrum mot Ljarbru. Tre personer ble kjørt til le-gevakten, og totalt 18 personer ble registrert med skader og/eller smerter etter hendelsen. Begge trikkene ble påført materielle skader i sammenstøtet.</t>
  </si>
  <si>
    <t>Oslo, Ekeberg line, Sørli stopp</t>
  </si>
  <si>
    <t>Tram 114 was standing still while passengers were alighting and boarding when it was hit by tram 104</t>
  </si>
  <si>
    <t>AT-2406</t>
  </si>
  <si>
    <t>Accident to persons caused by RS in motion, 19/06/2013, Kollission eines Personenzuges mit einer Personengruppe auf der freien Strecke zwischen zwei BH in Österrreich (Austria)</t>
  </si>
  <si>
    <t>On the free line between two stations in Austria works were performed following a working instruction. For the protection of persons working in the area of the line, a proposed construction site in accordance with the operating rules of the IM a "hazard crew" was registered. For the communication of the 'hazard crew "of upcoming trains the method of operation "advance notice" was applied._x000D_
_x000D_
The operating method "advance notice" was performed properly for the passenger train. When approaching the passenger train, four people were in the danger zone of the track. Despite the introduction of emergency brake two people were captured and fatally injured. Two other people were able to jump out of the danger zone of the track One person was seriously, the second person slightly injured. 
Auf der freien Strecke zwischen zwei Bahnhöfen in Österreich wurden Bauarbeiten unter Zugrundelegung einer Bauanweisung durchgeführt. Zum Schutz der im Bereich der Baustelle tätigen Personen wurde eine gemäß den Bestimmungen der Betriebsvorschrift des IM vorgesehene „Gefährdete Rotte“ angemeldet. Für die Verständigung der „Gefährdeten Rotte“ über bevorstehende Fahrten wurde das Betriebsverfahren „Vorausmelden“ angewendet._x000D_
Das Betriebsverfahren „Vorausmelden“ wurde für den Personenzug ordnungsgemäß durchgeführt. Bei Annäherung des Personenzuges befanden sich vier Personen im Gefahrenbereich des Gleises. Trotz eingeleiteter Schnellbremsung wurden zwei Personen erfasst und tödlich verletzt. Zwei weitere Personen konnten sich durch einen Sprung aus dem Gefahrenraum des Gleises in Sicherheit bringen. Dabei wurde eine Person schwer, die zweite Person leicht verletzt.</t>
  </si>
  <si>
    <t>Kollission eines Personenzuges mit einer Personengruppe auf der freien Strecke zwischen zwei BH in Österrreich</t>
  </si>
  <si>
    <t>Unzureichende Kommunikation innerhalb der Gleisbaustelle in Verbindung mit einem Aufenthalt einer Personengruppe im Gefahrenraum eines Gleises ohne entsprechende Schutzmaßnahmen. 
Insufficient communication inside the construction site in a combination with the stay of a group of persons in the danger area of a track without adequate protective measures.</t>
  </si>
  <si>
    <t>HU-2585</t>
  </si>
  <si>
    <t>Train derailment, 6/19/2013, Devecser (Hungary)</t>
  </si>
  <si>
    <t>Three wagons of the freight train No. 94010 deraliled at the point No.16 at Devecser station. 
Az V. vágányra behaladó 94010 vonat 8-10. kocsijai 10 tengellyel kisiklottak a 16. váltón.</t>
  </si>
  <si>
    <t>Devecser</t>
  </si>
  <si>
    <t>Failure of track.</t>
  </si>
  <si>
    <t>CZ-2425</t>
  </si>
  <si>
    <t>Train derailment, 20.6.2013, Brno - Stara Osada (Czech Republic)</t>
  </si>
  <si>
    <t>Derailment of tram train No. 2/33 (first bogie) due to a defect of the infrastructure.</t>
  </si>
  <si>
    <t>Brno - Stara Osada</t>
  </si>
  <si>
    <t>Movement of the tram train No. 2 on the track with horizontal and vertical defect._x000D_
_x000D_
Contributory factor: nonfunctional fixing of rails to wooden sleepers, corroded fasteners with a lack of fixing.</t>
  </si>
  <si>
    <t>Underlying cause: insufficient inspections of rails which are located on separate tram track body in places with covering of tram track in connection to detect conditon of fasteners and track fastenings._x000D_
_x000D_
Root cause: none.</t>
  </si>
  <si>
    <t>DE-2419</t>
  </si>
  <si>
    <t>Level crossing accident, 6/22/2013, Bad Laasphe - Erndtebrück (Germany)</t>
  </si>
  <si>
    <t>Zug 23156 kollidiert auf dem technisch gesicherten Bahnübergang mit einem Lkw. 
Train 23156 collided with a truck on the technically secured level crossing.</t>
  </si>
  <si>
    <t>Bad Laasphe - Erndtebrück</t>
  </si>
  <si>
    <t>DB RegioNetz Verkehrs GmbH</t>
  </si>
  <si>
    <t>Der Unfall wurde durch den Fahrer des Lkw verursacht. Dieser hatte den BÜ trotz einge-schalteter Blinklichter mit seinem Fahrzeug befahren. 
The accident was caused by the driver of the truck. He drove with his vehicle onto the level crossing despite the flashing lights turned-on.</t>
  </si>
  <si>
    <t>IT-2417</t>
  </si>
  <si>
    <t>Train derailment, 6/25/2013, Formia-Gaeta (Italy)</t>
  </si>
  <si>
    <t>Deraiment of 4 car transporter wagons of the train 60629</t>
  </si>
  <si>
    <t>Formia-Gaeta</t>
  </si>
  <si>
    <t>Breakage of the journal and of the axle bearingof the first axle on the right side of the 15th wagon (n. 23834363032-9) of the train, due to excessive_x000D_
overheating of the rolling parts of the axle bearing and thermoplastic failure.</t>
  </si>
  <si>
    <t>The type of axle bearing used in wagons Laaers 152 has some design problems that determine a watertight seal not adequate._x000D_
The timing of the checks provided for the axle bearing in the Maintenance Plan was not adequate to prevent the event. _x000D_
The incorrect management of the warning provided by the system for the thermic control of the axle bearings, in the station_x000D_
of Priverno - Fossanova, dated 05.28.2013, has not led to the activation of the flows of_x000D_
communication in order to report the failure to the maintainer of the system and therefore the restarting of the system, which would have allowed the train stop at the Control Post, and then the discard of the 15th wagon for abnormal temperature of the axle bearing._x000D_
The layout of the control center in Priverno-Fossanova appears inadequate to present effectively to the traffic controller notices of abnormalities .</t>
  </si>
  <si>
    <t>UK-2494</t>
  </si>
  <si>
    <t>Level crossing near miss, 25/06/2013, Butterswood level crossing (United Kingdom)</t>
  </si>
  <si>
    <t>At 07:35 hrs on Tuesday 25 June 2013, train 2F83, the 07:00 hrs service from Cleethorpes to Barton-on-Humber, comprising a single-car class 153 unit, was driven onto Butterswood level crossing when the barriers were still raised and the road open to traffic. A car was approaching the crossing at the time and the car driver later reported the incident to Network Rail._x000D_
Northern Rail was the operator of train 2F83, but First Transpennine Express provided the train crew for the service._x000D_
Butterswood level crossing is situated on the line between Ulceby and Barton-on-Humber in north Lincolnshire and is around 2.5 miles south-east of Barrow-upon-Humber. It is of a type known as an automatic barrier crossing locally monitored (ABCL). When the crossing barriers are raised (ie the highway is open to traffic) an indicator, known as the driver’s crossing indicator, displays a flashing red aspect to approaching trains until such time that the signalling equipment detects that the barriers are closing._x000D_
Under normal circumstances the operation of the crossing is automatically initiated by the approach of a train. Once the road traffic signals have activated and the barriers have started to lower, the flashing red light on the train driver’s crossing indicator will be replaced by a flashing white light. This flashing white light is intended to inform train drivers that the crossing is functioning correctly and that they can continue at the speed indicated on a speed restriction board located before the crossing._x000D_
On this occasion, a power supply failure the previous night led to the crossing failing to activate as train 2F83 approached. The train driver did not notice that the crossing indicator was still displaying a red flashing light, indicating the crossing had not activated, until the train was around 160 metes from the crossing and travelling at about 40 mph. The driver applied the train’s emergency brake but was not able to stop the train before it reached the crossing.</t>
  </si>
  <si>
    <t>Butterswood level crossing</t>
  </si>
  <si>
    <t>The train passed over the level crossing while the barriers were raised and the crossing was open to road traffic (paragraph 37).</t>
  </si>
  <si>
    <t>The causal factors were: a. the train driver did not notice that the DCI had not changed to display a flashing white light, until it was too late to stop before reaching the level crossing (paragraph 39, Recommendation 1) because of a combination of the following factors: he expected that the level crossing would operate normally as the train approached (paragraph 41); and the driver did not focus his attention on the DCI at the time that his train passed the speed restriction board, which was the point at which he needed to confirm that the crossing had operated correctly for the passage of his train (paragraph 47); b. the level crossing did not automatically operate for the approaching train because the power supply to the crossing equipment had been interrupted (paragraph 54, Recommendation 2); and c. although the level crossing had probably failed around nine hours before the incident, this failure was not known to the driver, signaller or signalling technicians (paragraph 60, Recommendation 3). The underlying factors were: a. there was no AWS equipment provided on the approach to the AWBs for Butterswood level crossing (paragraph 65, see paragraph 106 and Learning point 1); b. the maintenance arrangements in place at the crossing did not identify that the RCD was not required, that the UPS could not perform reliably, and that the data logger system’s batteries were defective (paragraph 74, Learning points 2 and 3, Recommendation 2); and c.First TransPennine Express’s briefing material did not clearly explain to drivers their role in respect of failures at ABCLs (paragraph 84, Recommendation 4).</t>
  </si>
  <si>
    <t>BG-2495</t>
  </si>
  <si>
    <t>Fire in RS, 6/26/2013, Ohrid train stop (Bulgaria)</t>
  </si>
  <si>
    <t>After the passenger train no. 70200 came to stand at Ohrid train stop between Rakevo and Boychinovtsi stations at 07:50 hrs. on 26.06.2013 its electric locomotive no. 44-074.3 caught fire. All passengers were evacuated and the wagons of the train were distanced from the burning locomotive. _x000D_
The fire was extinguished by fire trucks at the site.  Neither casualties nor injuries of the rail staff and passengers resulted from the accident. The train movement was restored at 16:45 on the same date.</t>
  </si>
  <si>
    <t>Ohrid train stop</t>
  </si>
  <si>
    <t>The direct technical cause of the accident – fire ignition in electric locomotive ? 44074.3 on Ohrid stop is a disruption of the isolation and occurrence of primary electrical short circuit between operational conductors 850of the accumulator battery mounted in the metal cabinet and passing under the frame of the electric locomotive in an armoured metal flexible tube and cabinet’s body (conductor 999)._x000D_
The electrical short circuit occurred after creation of conditions for electrical contact by touch between the conductors connected to the accumulator battery of the locomotive with different polarity through a very small resistance, which is not envisaged in the operating conditions of the operating electric circuits.</t>
  </si>
  <si>
    <t>Electrical short circuit</t>
  </si>
  <si>
    <t>FR-4412</t>
  </si>
  <si>
    <t>Train derailment, 26/06/2013, Lyon Guillotière (France)</t>
  </si>
  <si>
    <t>Regional EMU derails after breakage of a wheelset axle._x000D_
 Train speed was 50 km/h; no significant damage.</t>
  </si>
  <si>
    <t>Lyon Guillotière</t>
  </si>
  <si>
    <t>Fatigue crack on the axle started on a corrosion pit. Not detectable in routine maintenance</t>
  </si>
  <si>
    <t>Corrosion pit was not completely grinded out during the last overhaul of the wheelset in 2012._x000D_
Poor quality of painting during the previous overhaul of the wheelset in 2006.</t>
  </si>
  <si>
    <t>DE-2521</t>
  </si>
  <si>
    <t>Train derailment, 29-06-13, Kayhauserfeld - Oldenburg (Germany)</t>
  </si>
  <si>
    <t>Am 29.06.2013 gegen 0:47 Uhr entgleiste ein Wagen des DGS 83799 des Eisenbahnver-kehrsunternehmens (EVU) „Eisenbahngesellschaft Ostfriesland – Oldenburg mbH (e.g.o.o.)“ während der Fahrt von Abelitz nach Magdeburg-Rothensee, auf der Strecke 1520 in km 6,452, zwischen Kayhauserfeld und Oldenburg, kurz hinter dem Bahnübergang (BÜ) „Förs-terweg“. 
The freight train 83799 derailed with an axis of an unladen low loader wagon Uiks 635 in km 6.4 between Kayhauserfeld and Oldenburg. The train went back on rails at the next level crossing and then drove with the damaged wagon to Magdeburg.</t>
  </si>
  <si>
    <t>Kayhauserfeld - Oldenburg</t>
  </si>
  <si>
    <t>Eisenbahngesellschaft Ostfriesland - Oldenburg mbH (e.g.o.o.)</t>
  </si>
  <si>
    <t>Ursächlich für die Entgleisung waren phasengleiche, sich periodisch wiederholende Gleisla-gefehler im Bereich des BÜ. Eisenbahnfahrzeuge, die diesen Gleisbereich überfahren, wer-den dadurch individuell zu höheren Schwingungen angeregt. Bei Übereinstimmung der An-regungsfrequenz mit der Hubeigenfrequenz eines Fahrzeuges können die vertikalen Kräfte infolge der auftretenden Resonanz so groß werden, dass mindestens ein Rad entlastet wird, es abhebt, und der Radsatz dadurch entgleist. 
The causes of the derailment were phase-identical, periodic track geometry defects in the field of the level crossing. The railway vehicles which overpass this area of track, are thereby producing higher vibrations individually. In accordance with the point of departure frequency of a vehicle, the vertical forces may be removed as a result of the occurrence of resonance in such a way that at least one wheel is discharged, removed and the wheelset therefore derailing.</t>
  </si>
  <si>
    <t>AT-3528</t>
  </si>
  <si>
    <t>Train derailment, 02/07/2013, Station Bruck an der Leitha (Austria)</t>
  </si>
  <si>
    <t>On 2nd July 2013 at 15:37 hrs during the signal-grade passage in station “Bruck an der Leitha-Ost” a derailment of twelve wagons of the freight train 46695 occurred. _x000D_
By the derailment 12 wagons were damaged. A considerable damage to the infrastructure was built. _x000D_
There were no people injured or killed._x000D_
By a non-regular compliant design of track construction works and through climatic effects there was a local track buckle._x000D_
Contrary to regulations, the train movement was allowed, although a message about detected damage to infrastructure already be done by an earlier train. 
Am 2. Juli 2013 um 15:37 Uhr kam es bei der signalmäßig tauglichen Durchfahrt im Bf Bruck an der Leitha zu einer Entgleisung von zwölf Wagen des Z 46695. _x000D_
Durch die Entgleisung wurden 12 Wagen beschädigt. An der Infrastruktur entstand beträchtlicher Sachschaden. _x000D_
Es wurden keine Personen verletzt oder getötet._x000D_
Durch eine nicht regelwerkskonforme Ausführung von Gleisbauarbeiten kam es durch witterungsbedingte Einflüsse zu einer lokalen Gleisverdrückung._x000D_
Entgegen den Regelwerken wurde die Zugfahrt zugelassen, obwohl bereits durch einen zuvor verkehrenden Zug, eine Meldung bezüglich festgestellter Schäden an der Infrastruktur erfolgt war.</t>
  </si>
  <si>
    <t>Station Bruck an der Leitha</t>
  </si>
  <si>
    <t>Eine nicht regelwerkskonforme Ausführung von Gleisbauarbeiten bewirkte im Zusammenhang mit einer durch die Lärmschutzwand bedingten mikroklimatischen Temperaturerhöhung eine Gleisverdrückung. Diese wurde von Z 2642 erkannt und gemeldet wobei durch eine mangelhafte Übertragungsqualität am GSM-R Funk die Meldung vom Fdl nicht verstanden / erkannt wurde. Entgegen den Bestimmungen des IM wurde die Fahrt von Z 46695 ohne weitere Einschränkungen zugelassen. 
A displacement of rail tracks was caused by a non-compliant version of track construction works together with a temperature increase from microclimatic effects due to a noise barrier. This fact was recognized and notified by Z 2642, whereas due to insufficient quality of transmission of the Global System for Mobile communications-Railways, the message has not been understood/recognized by the train dispatcher. Contrary to the rules of the infrastructure manager, the movement of Z 46695 has been allowed without any limitation.</t>
  </si>
  <si>
    <t>DE-2522</t>
  </si>
  <si>
    <t>Train derailment, 7/2/2013, Düsseldorf Derendorf (Germany)</t>
  </si>
  <si>
    <t>Bei der Ausfahrt aus Gleis 12 in Richtung Düsseldorf Hbf entgleiste Güterzug 95740 mit dem 8., 10. und 12. Wagen. 
At the exit from platform 12 in the direction of Dusseldorf main station, the freight train 95740 derailed with 8th, 10th and 12th wagon.</t>
  </si>
  <si>
    <t>Düsseldorf Derendorf</t>
  </si>
  <si>
    <t>Bahnen der Stadt Monheim GmbH</t>
  </si>
  <si>
    <t>Ursache für die Entgleisung war eine unzulässige Spurerweiterung, ausgelöst durch fortge-schrittenen biologischen Zerfall der Holzschwellen. Die Spurhaltefähigkeit des Gleises war dadurch nicht mehr gegeben. 
Cause of the derailment was an impermissible track extension, triggered by advanced biological decay of the wooden sleepers. The trackabiliy of the track was thus no longer given.</t>
  </si>
  <si>
    <t>NO-2616</t>
  </si>
  <si>
    <t>Accident to persons caused by RS in motion, 05/07/2013, Høyenhall Subway station (Norway)</t>
  </si>
  <si>
    <t>Friday 5 July 2013, one person died on Høyenhall subway station. The person fell between the platform and the gap between two wagons in the train. The accident happened when the train was on its way out of the station. 
Fredag 5. juli 2013 omkom en person på Høyenhall T-banestasjon. Personen falt mellom plattformen og to av vognene i toget. Ulykken skjedde da toget var på vei ut fra stasjonen.</t>
  </si>
  <si>
    <t>Høyenhall Subway station</t>
  </si>
  <si>
    <t>The person fell onto the track in the gap between the wagons, where the wagons were connected. The gap is wider at the rectangular opening between the wagons than between the side of the wagons and the platform</t>
  </si>
  <si>
    <t>RO-2447</t>
  </si>
  <si>
    <t>Fire in RS, 06/07/2013, Ilia station (Romania)</t>
  </si>
  <si>
    <t>the electric locomotive EA 551 caught fire</t>
  </si>
  <si>
    <t>Ilia station</t>
  </si>
  <si>
    <t>Cauza directa si factori care au contribuit_x000D_
Incendiul s-a produs din cauza aparitiei unui scurtcircuit în circuitul bateriei de acumulatori, între cablurile electrice M0, respectiv 405 si tuburile metalice flexibile de protectie pozitionate sub locomotiva, în zona bridei de fixare. _x000D_
În urma scurtcircuitului izolatia cablurilor electrice M0 si 405 s-a aprins, iar tuburile metalice flexibile de protectie s-au topit, iar în timpul mersului datorita curentilor de aer de sub locomotiva flacara produsa s-a propagat la burduful motorului de tractiune nr.3 (MT3) provocând aprinderea acestuia._x000D_
_x000D_
Factori care au contribuit:_x000D_
-	degradarea în timp a materialului electroizolant al cablurilor electrice datorita îmbatrânirii acestuia;_x000D_
-	degradarea în timp a materialului electroizolant al cablurilor electrice datorita frecarii dintre acestea si tuburile metalice flexibile de protectie în zona bridei de fixare. 
Direct cause, contributing factors_x000D_
The fire occurred due the short-circuit in the circuit of the accumulators’ battery, between the electric cables M0, respective 405 and the flexible metal hoses for protection, positioned under the locomotive, at the fixing collar area_x000D_
Following the short-circuit, the insulating material from the cables M0 and 405 ignited, the flexible metal hoses melted and in the running, due the air flows under the locomotive, the flame spread to the bellows of the traction engine no. 3 (MT3), causing its ignition._x000D_
contributing factors_x000D_
-	degradation in time of the electro-isolating material of the electric cables due aging;_x000D_
-	degradation in time of the electro-isolating material of the electric cables because of the frictioning between those and the flexible metal hoses from the connection collar area.</t>
  </si>
  <si>
    <t>Cauze subiacente _x000D_
Nu s-a respectat ciclul de reparatii la locomotiva, conform prevederilor Normativului feroviar "Vehicule de cale ferata. Tipuri de revizii si reparatii planificate. Normele de timp sau normele de kilometri parcursi pentru efectuarea reviziilor si reparatiilor planificate", aprobat prin Ordinul Ministrului Transporturilor si Infrastructurii nr.315/2011, modificat si completat prin Ordinul Ministrului Transporturilor si Infrastructurii nr.1359/2012. 
Underlying causes_x000D_
The repair cycle at the engines and the mandatory inspection at the locomotive were not respected, according to the provisions of the railway Norm "Railway Vehicles. Types of inspections and planned repairs. Time norms or mileage standards for maintenance and planned repairs", approved by Ministry of Transport and Infrastructure’s Order no. 315/2011, amended and supplemented by the Minister of Transport and Infrastructure’s Order no. 1359/2012.</t>
  </si>
  <si>
    <t>AT-3316</t>
  </si>
  <si>
    <t>Level crossing near miss, 09/07/2013, Station in Austria (Austria)</t>
  </si>
  <si>
    <t>On 9 July 2013, at 12:45 hrs, on the level crossing in km 2,555 (secured with level-crossing road signal) a near-collision between a train (shortform P-Zug) and a car occurred._x000D_
_x000D_
There was no collision between the P-train and car._x000D_
There were no people injured or killed._x000D_
_x000D_
The securing of the level crossing by the passenger train was not performed. 
Am 9. Juli 2013, um 12:45 Uhr kam es bei der Fahrt eines Personenzuges (kurz P-Zug) auf der EK km 2,555 (gesichert durch Lichtzeichen) infolge unterbliebener Sicherung zu einer Gefährdung eines kreuzenden PKW._x000D_
_x000D_
Es kam zu keiner Kollision zwischen dem P-Zug und dem PKW. _x000D_
Es wurden keine Personen verletzt oder getötet._x000D_
_x000D_
Unterbliebene Sicherung der EK durch den P-Zug.</t>
  </si>
  <si>
    <t>Unterbliebene Sicherung der EK durch den P-Zug. 
Failure to secure the EK by the P-train.</t>
  </si>
  <si>
    <t>RO-2448</t>
  </si>
  <si>
    <t>Fire in RS, 7/9/2013, Drobeta Turnu-Severin station (Romania)</t>
  </si>
  <si>
    <t>the locomotive EA 222 hauled the train no. 97583 caught in fire</t>
  </si>
  <si>
    <t>Drobeta Turnu-Severin station</t>
  </si>
  <si>
    <t>Cauzele directe si factorii care au contribuit_x000D_
Incendiul s-a produs ca urmare a scurtcircuitului aparut în zona bridei de legatura a cablurilor de forta ale motorului de tractiune nr. 3, pe conductorii cu potential diferit, datorita scaderii în timp a rezistentei de izolatie a materialului electroizolant al cablurilor si strapungerii acestuia._x000D_
În urma scurtcircuitului materialul electroizolant al cablurilor s-a aprins, iar focul s-a extins la burduful MT3, respectiv la materialul electroizolant al celorlalte cabluri electrice si a aparatelor din blocul S3. 
Direct cause, contributing factors_x000D_
The fire occurred due the short-circuit at the connection collar of the force cabling from the traction motor no. 3, on the conductors with different potential, due the decreasing, in time, of the isolation resistance of the cables coating and its breakthrough._x000D_
Following the short-circuit, the cables insulating material ignited and the fire spread to the bellows sleeve of  traction motor no.3, respectively at the insulating material of other cables and equipments from the S3 block.</t>
  </si>
  <si>
    <t>Cauze subiacente _x000D_
-	degradarea în timp a materialului electroizolant al cablurilor electrice datorita îmbatrânirii acestuia;_x000D_
-	degradarea în timp a materialului electroizolant al cablurilor electrice datorita frecarii dintre acestea si brida de fixare. 
Underlying causes_x000D_
-	degradation in time of the electro-isolating material of the electric cables due aging;_x000D_
-	degradation in time of the electro-isolating material of the electric cables because of the frictioning between those and the mounting bracket.</t>
  </si>
  <si>
    <t>ES-2567</t>
  </si>
  <si>
    <t>Spad, 11/07/2013, Lleida Pirineus station (Lérida) (Spain)</t>
  </si>
  <si>
    <t>Freight train overtook exit signal S2/4A at Lleida Pirineus station. A situation of near miss train collision ocurred.</t>
  </si>
  <si>
    <t>Lleida Pirineus station (Lérida)</t>
  </si>
  <si>
    <t>The incident had its origin when freight train 80382 improperly overrun exit signal S2/4A, stating a stopping order, as driving staff didn't comply with the state of the signal.</t>
  </si>
  <si>
    <t>FR-2506</t>
  </si>
  <si>
    <t>Train derailment, 12-07-13, Bretigny (France)</t>
  </si>
  <si>
    <t>The 4 last car of a passenger train derail at full speed on a switch located just before the station of Bretigny. 3 cars overturned. One of them sweep the  adjacent platform of the station.</t>
  </si>
  <si>
    <t>Bretigny</t>
  </si>
  <si>
    <t>Broken fishbolts; fishplate jammed in the frog of the crossing</t>
  </si>
  <si>
    <t>Poor maintenance and inspection</t>
  </si>
  <si>
    <t>CZ-2492</t>
  </si>
  <si>
    <t>Level crossing accident, 13.7.2013, open line between Opava zapad - Skrochovice stations (Czech Republic)</t>
  </si>
  <si>
    <t>Collision of regional passenger train No. 3561 with an obstacle - a lorry at the active level crossing with consequent derailment.</t>
  </si>
  <si>
    <t>open line between Opava zapad - Skrochovice stations</t>
  </si>
  <si>
    <t>Underlying cause: failure to respect rules for operation on the road by the driver of the lorry._x000D_
_x000D_
Root cause: none.</t>
  </si>
  <si>
    <t>UK-2568</t>
  </si>
  <si>
    <t>Level crossing accident, 14/07/2013, User-worked level crossing near Woodbridge (United Kingdom)</t>
  </si>
  <si>
    <t>At approximately 18:20 hrs on Sunday 14 July 2013, train 2D88, the 18:04 hrs service from Ipswich to Lowestoft, operated by Greater Anglia and comprising a 2-car class 170 diesel multiple unit collided with a car at Jetty Avenue no.18 user-worked level crossing near Woodbridge. The train was travelling at low speed and was not derailed by the impact. There were no reported injuries amongst the train crew or the passengers. The car driver was also uninjured._x000D_
_x000D_
The car, which was towing a trailer, was using the level crossing to access a boatyard on the south side of the railway. It was significantly damaged by the collision._x000D_
_x000D_
Jetty Avenue no.18 user-worked level crossing is situated on the line between Ipswich and Lowestoft and is located approximately 0.2 miles south-west of Woodbridge station. It is fitted with gates on both sides of the railway which were recently replaced. It was not provided with telephones. The installation of miniature warning lights had commenced but they had yet to be commissioned.</t>
  </si>
  <si>
    <t>User-worked level crossing near Woodbridge</t>
  </si>
  <si>
    <t>The car driver drove into the path of the approaching train.</t>
  </si>
  <si>
    <t>Causal factors_x000D_
The following causal factors have been identified:_x000D_
The car driver, after re-joining his vehicle, did not stop to look for trains at the position expected by Network Rail._x000D_
The car driver did not see the train in time to stop clear of its path._x000D_
The signage at the crossing did not inform vehicle drivers where to stop and look for trains._x000D_
The car driver had not been briefed on how to use the crossing safely._x000D_
The following factor is possibly causal:_x000D_
The train driver did not sound the train horn at the whistle board. If he had done so, it is possible that this would have prevented the accident._x000D_
_x000D_
Underlying factors_x000D_
Network Rail standards did not adequately specify the locations at which sighting distance should be measured._x000D_
Network Rail’s staff may have sometimes incorrectly interpreted ORR’s guidance to mean that a 3 metre decision point is normally adequate at UWCs._x000D_
_x000D_
Observations_x000D_
The inspection and maintenance of the level crossing was inconsistent and did not fully comply with Network Rail standards. Shortcomings have been identified in the:_x000D_
level crossing assessment and risk mitigation processes;_x000D_
provision of crossing signage; and_x000D_
Network Rail’s method of calculating the required sighting distance differed from ORR guidance.</t>
  </si>
  <si>
    <t>UK-3496</t>
  </si>
  <si>
    <t>Level crossing accident, 7/16/2013, Buttington Hall (United Kingdom)</t>
  </si>
  <si>
    <t>At 11:44 hrs on Tuesday 16 July 2013 a collision occurred between a passenger train and a farm trailer at Buttington Hall farm crossing near Welshpool on the line between Shrewsbury and Machynlleth. The tractor driver and two other people nearby sustained minor injuries and two passengers on the train were injured and taken to hospital, but were discharged later that day.</t>
  </si>
  <si>
    <t>Buttington Hall</t>
  </si>
  <si>
    <t>The immediate cause of the accident was that the tractor and trailer crossed the line when the train was approaching (paragraph 45).</t>
  </si>
  <si>
    <t>The accident occurred due to a combination of the following causal factors: a. The system of work in use at the crossing was inherently unsafe (paragraph 51). This resulted in: ineffective control of road vehicle movements over the crossing (paragraph 52); and use of the crossing without the signaller being contacted (paragraph 58). b. The system of work broke down (paragraph 66). 97 	The following underlying management factors were also identified: DM Roberts did not establish an effective safe system of work at the crossing (paragraph 73). The output of a risk assessment using the ALCRM is based on an estimate of the road traffic, averaged over the whole year. This does not separately identify the risk at times of intensive use, such as at harvest time (paragraph 76, Recommendation 1). Network Rail’s instructions to authorised users on the safe use of UWCs did not cover periods of intensive use (paragraph 81, Recommendation 2).</t>
  </si>
  <si>
    <t>RO-2507</t>
  </si>
  <si>
    <t>Train derailment, 20/07/2013, Rosiori Nord station (Romania)</t>
  </si>
  <si>
    <t>the wagon no. 31535493938-3 from the freight train no.83216 derailed on the switch no. 15 from the railway station Rosiori Nord</t>
  </si>
  <si>
    <t>Rosiori Nord station</t>
  </si>
  <si>
    <t>Pierderea capacitatii de ghidare a sinei în dreptul joantei de vârf a acelor macazului nr.15 din cuprinsul TJD nr.17/15, fapt care a condus la catararea rotii nr.1 (roata din partea dreapta în sensul de mers al trenului) a primei osii a primului boghiu pe sina urmata de roata nr.2 pe contrasina din dreptul inimii macazului nr.15, rularea acestei roti pe fata superioara a contrasinei, urmata de caderea acesteia între firele caii._x000D_
_x000D_
Factori care au contribuit_x000D_
_x000D_
- alcatuirea si starea tehnica a joantelor si a traverselor la vârful acelor macazului nr.15;_x000D_
- posibila împiedicare, în momentul înscrierii vagonului pe parcursul comandat, a miscarii de rotatie continua a boghiului, constatata  prin identificarea existentei unor urme specifice pe glisiera superioara a boghiului. 
Direct cause_x000D_
The loss of guiding capacity of the rail in front of the stock rail joint of the points switch no. 15 from the whole TJD no. 17/15, fact which led to the climbing of wheel no. 1 (wheel from the right side in the running direction of the train) of the first axle from the first bogie on the rail, followed by the wheel no. 2 on the guard rail from the front of the frog of the switch no. 5, the running of this wheel on the superior part of the guard rail, followed by the falling of this between the rails._x000D_
_x000D_
Contributing factors_x000D_
-	composition and technical condition of the joints and sleepers at the points of the switch no. 15;_x000D_
-the possible foreclosure, at the moment of the running of the wagon on the commanded route, of the continuous rotating movement of the bogie, found through the identification of existence of specific traces on the superior block of the bogie.</t>
  </si>
  <si>
    <t>CZ-2523</t>
  </si>
  <si>
    <t>Train derailment, 21.7.2013, Pardubice hlavni nadrazi station (Czech Republic)</t>
  </si>
  <si>
    <t>Derailment two engines and one freight wagon during movement of freight train No. 166283 through damaged switch No. 75 and consequent collision with infrastructure component.</t>
  </si>
  <si>
    <t>Pardubice hlavni nadrazi station</t>
  </si>
  <si>
    <t>Viamont DSP a.s.</t>
  </si>
  <si>
    <t>Direct cause: gradual development of defects of switch point blade, leading up to its breaking._x000D_
Contributory factor:	 _x000D_
- development of cracks in the field of heel of switch point blade;_x000D_
- frittering and flaking of material from the surface of switch point blade;_x000D_
- long-term strain of switch point blade - year of production 1986.</t>
  </si>
  <si>
    <t>Underlying cause: _x000D_
- not detecting  of cracks with inspections carried out according to the procedures of infrastructure manager;_x000D_
- not detecting of surface defects in the field of switch point blade (in places where is contact of wheel and switch point blade)._x000D_
_x000D_
Root cause:		none.</t>
  </si>
  <si>
    <t>UK-2530</t>
  </si>
  <si>
    <t>Trains collision, 7/21/2013, Norwich station (United Kingdom)</t>
  </si>
  <si>
    <t>At 00:10 hrs on Sunday 21 July 2013, train 2C45, the 23:34 hrs service from Great Yarmouth to Norwich, collided with a stationary train at about 8 mph (13 km/h) as it entered into platform 6 at Norwich station. The stationary train was stabled in the platform (ie it was empty and had been placed out of service until needed next). The collision pushed the stabled train about 1.5 metres, against a second stabled train, causing damage to the trains’ couplers. There were 34 passengers on train 2C45; eight of those who suffered injuries were taken to hospital. The train crew were uninjured.</t>
  </si>
  <si>
    <t>Norwich station</t>
  </si>
  <si>
    <t>The driver did not stop his train in the available distance (paragraph 51).</t>
  </si>
  <si>
    <t>This happened because either: a. the driver, due to a lapse in concentration, did not notice that he had not applied the brakes (paragraph 56a); or b. the driver had a microsleep (paragraph 56b).123 It is possible that the driver had a lapse in concentration. The following factors may have promoted this: a. the driver was possibly distracted by: i. the noise made by the passengers immediately behind his cab (paragraph 62); ii thinking of calling the conductor to tell him about platform allocation (paragraph 64); and iii. his mind moving onto the next tasks (paragraph 66). b.the driver was prone to lapses in concentration, and this was not addressed or identified by Greater Anglia’s CMS, possibly because: i. the CMS did not include non-technical skills (paragraph 76, Recommendation 1); and ii. the CMS did not flag up repeated comments on technical skills or provide guidance to the driver manager on what actions to take (paragraph 77, Recommendation 1). c. the driver was prone to lapses in concentration, and Greater Anglia did not address or identify this during the investigations of the driver’s previous incidents, possibly because: i. the investigator had not been trained to consider that incidents, seemingly different in nature, could be linked by underlying behavioural issues (paragraph 87, Recommendation 2); ii. there was no formal review of the driver’s operational history by a safety panel (paragraph 91, Recommendation 1); and iii. the missed opportunities were not identified by internal audits (paragraph 93, Recommendation 3). d. the driver was tired and this might have affected his performance (paragraph 95); and e. the prescribed medication that the driver was taking might have affected his performance (paragraph 104, Learning point 2). 124 It is possible that the driver had a microsleep. The following factors may have promoted this: a. the driver was tired (paragraph 95); and b. the prescribed medication that the driver was taking might have affected his alertness (paragraph 104, Learning point 2).</t>
  </si>
  <si>
    <t>ES-2566</t>
  </si>
  <si>
    <t>Train derailment, 24/07/2013, Near Santiago de Compostela station (La Coruña) (Spain)</t>
  </si>
  <si>
    <t>The accident took place on 24 July 2013, at 20:41 pm, in the PK 84 +413 of 082 Bifurcación Coto da Torre – Bifurcación A Grandeira aguja km 85.0 railway line, nearby Santiago de Compostela station. _x000D_
The long distance passenger train Alvia 150/151 of Renfe Operadora, class S-730, consisting of 13 vehicles, running from Madrid-Chamartín station to Ferrol station (A Coruña), after making a passenger stop in Ourense, changed its train driver and resumed its route with four minutes of delay and kept running through 082 railway line (known as “Ourense-Santiago” railway line)._x000D_
The train ran the first 78 km of the line at a speed of about 200 km/h, with the ASFA Digital system in service, finding all signals it passed through stating clear line. _x000D_
Approximately 6.000 m (PK 78 +280) before the start of the curve at Bifurcación A Grandeira (located at PK 84 +228, speed limited to 80 km/h), the train driver answered a service phone call, made by the ticket inspector that was on board, using the company mobile phone. _x000D_
The train kept on running at track 1 and passed through the Bifurcación A Grandeira´s caution signal E'7 (PK 80 +619), stating clear line, at a speed close to 200 km/h, train driver still talking through the mobile phone, which probably made him to divert his attention and not start braking at the precise time to adapt the train´s speed to the one that was prescribed for the curve of radius 402 m (starting at PK 84 +228). _x000D_
When the train was very close to the home signal E7 (PK 84 +176), which also stated clear line, the last sound of the telephone conversation was recorded (one hundred seconds had passed since its beginning) and the emergency brake application was made then, passing through the signal at 195 km / h. Train 150/151 is already very close to the beginning of the curve (PK 84 +228), derailing within it after 185 meters from its starting point ( PK 84 +413), traveling at 179 km/h. _x000D_
All the thirteen cars derailed and were out of track 1. The first three were about 10 m separated from the following two and these were 30 m apart from the rest. Rear technical end coach (CET) caught fire and one of the cars of the last group (the eighth) flew off over a concrete wall.</t>
  </si>
  <si>
    <t>Near Santiago de Compostela station (La Coruña)</t>
  </si>
  <si>
    <t>The cause of the accident was the train´s speeding (traveling at 179 km / h) at the curve for entering to Bifurcación A Grandeira (“Angrois curve”, speed limited to 80 km / h), when the train driver didn´t comply with what is laid down on the train 150/151´s Route Book and on the Table of Maximum Speeds book for line 082. _x000D_
It´s pointed, as a contributing cause, the lack of attention of the train driver as he answered a service phone call from the train´s ticket inspector which led to the application of the brake in an inadequate manner to reduce the speed before reaching that curve.</t>
  </si>
  <si>
    <t>NO-2511</t>
  </si>
  <si>
    <t>Train derailment, 7/24/2013, Between Kvam and Sjoa on Dovrebanen (Norway)</t>
  </si>
  <si>
    <t>Empty freight train for timber derailed between Kvam and Sjoa on the Dovrebanen.</t>
  </si>
  <si>
    <t>Between Kvam and Sjoa on Dovrebanen</t>
  </si>
  <si>
    <t>Poor conditiion on the line</t>
  </si>
  <si>
    <t>AT-3313</t>
  </si>
  <si>
    <t>Level crossing accident, 29/07/2013, Station in Wieselburg (Austria)</t>
  </si>
  <si>
    <t>Of a railway construction site a wagon run away and collided about 2 km uncontrolled ride on a level crossing with a car, dragged with them about 100 m and derailed on the construction-related end of the track. Due to construction works, the level crossing road signals were toggled to manual opera-tion._x000D_
The driver of the car was fatally injured. The employee in charge of the service provider was slightly injured when jumping from the runaway wagon. The car and its trailer were heavily damaged. The runaway wagon and the infrastructure of the level crossing were slightly damaged._x000D_
The cause is an insufficient safeguarding of the parked wagon in conjunction with a non-secured level crossing due to a construction site, and the non-observance of the legal provisions of the behavior of road users by driving on level crossings 
Von einer Gleisbaustelle entrollte ein Wagen und kollidierte nach etwa 2 km unkontrollierter Fahrt auf einer EK mit einem PKW, schleifte diesen etwa 100 m mit und entgleiste am baubedingten Ende des Gleises. Aufgrund von Bauarbeiten war die Bedienung der EKSA durch Ortsschalterbetrieb vorgesehen._x000D_
Der Lenker des PKWs wurde tödlich verletzt. Ein Mitarbeiter des DU wurde beim Absprung vom entrollten Wagen leicht verletzt._x000D_
Der PKW und dessen Anhänger wurden schwer beschädigt. Der entrollte Wagen und die Infrastruktur der EK wurden leicht beschädigt._x000D_
Die Ursache resultiert aus einer mangelhaften Sicherung des abgestellten Wagens in Verbindung mit einer nicht erfolgten Sicherung der EK, sowie der Nichtbeachtung der gesetzlichen Bestimmungen für das Verhalten von Straßenverkehrsbenützern beim Befahren von Eisenbahnkreuzungen.</t>
  </si>
  <si>
    <t>Station in Wieselburg</t>
  </si>
  <si>
    <t>Es wurde das Zusammentreffen dreier Faktoren als unfallkausal eingestuft:_x000D_
•	Mangelhafte Sicherung des abgestellten Wagens;_x000D_
•	Nichtaktivierung der EKSA;_x000D_
•	Nichtbeachtung der gesetzlichen Bestimmungen für das Verhalten von Straßenverkehrsbenüt-                zern beim Befahren von Eisenbahnkreuzungen. 
It was ranked the coincidence of three factors as causal accident: _x000D_
• Inadequate securing of the parked car; _x000D_
• Do not activate the EKSA; _x000D_
• Failure to comply with the statutory provisions for the conduct of financial Straßenverkehrsbenüt when driving on level crossings.</t>
  </si>
  <si>
    <t>RO-2550</t>
  </si>
  <si>
    <t>Train derailment, 7/29/2013, open line between Banita and Petrosani station (Romania)</t>
  </si>
  <si>
    <t>the 7-th wagon from the freight train no.29922 derailed</t>
  </si>
  <si>
    <t>open line between Banita and Petrosani station</t>
  </si>
  <si>
    <t>Cauza directa:_x000D_
_x000D_
Pierderea stabilitatii caii prin formarea a doua unde de deformatie în plan orizontal cu sageata de 27,49 mm la lungimea undei deformatiei de 6,56 m si de 71,39 mm la lungimea undei deformatiei de 7,74 m, a determinat roata nr.3 din stânga  boghiului doi al vagonului nr.33529341015-5 sa ruleze pe suprafata ciupercii sinei (fir interior curba) si apoi caderea în exteriorul caii, urmata de caderea rotii nr.4 din dreapta în interiorul caii._x000D_
_x000D_
Factori care au contribuit:_x000D_
-	lipsa pietrei sparte, pentru completarea prismei de balastare la dimensiunile reglementate;_x000D_
-	eforturile de compresiune existente în sine amplificate de rosturile de dilatatie, care au determinat comportarea caii cu joante ca si o cale fara joante. 
Direct cause:  _x000D_
The losing of track stability through forming of two waves of horizontally where the arrow of 27,49 mm at a deformation wave length of 6,56 m and of 71,39 mm at a deformation wave length of 7,74 m, which determinate the wheel no. 3 from left side of second bogie from the wagon no. 33529341015-5 to run on the head of rail surface (interior curve rail) and then the fall of it in the exterior of the track, followed by the falling of wheel no. 4 from right inside the running rails._x000D_
_x000D_
Contributing factors: _x000D_
-	missing of the broken stone, to ballast prism completion at the instructionally dimensions;_x000D_
-	the existing compressions efforts at rails, amplified by the expansion joints have determinate a behavior of the track with joints as a track without joints;</t>
  </si>
  <si>
    <t>Cauze subiacente:_x000D_
-	neexecutarea lucrarilor, pâna la data de 15 aprilie 2013, de readucerea rosturilor la dimensiuni normale;_x000D_
-	executarea de lucrari care pot slabi stabilitatea caii, fara a lua masurile de siguranta impuse de reglementari. 
Underlying cause: _x000D_
-	non-performance, until 15th of April 2013, for return of the joints to normal size;_x000D_
-	execution of works which can weaken the track stability without taking safety measures required by regulations.</t>
  </si>
  <si>
    <t>CZ-2549</t>
  </si>
  <si>
    <t>Trains collision with an obstacle, 30/07/2013, Uvaly station (Czech Republic)</t>
  </si>
  <si>
    <t>Collision of long distance passenger train No. 1358  with broken off part of locomotive of long distance passenger train No. 685.</t>
  </si>
  <si>
    <t>Uvaly station</t>
  </si>
  <si>
    <t>Long distance passenger train; 
Long distance passenger train</t>
  </si>
  <si>
    <t>no indication; 
Ceske drahy a. s.</t>
  </si>
  <si>
    <t>Direct cause: release of damper of secondary cushioning of first bogie of  locomotive of long distance passenger train No. 685 and consequent impact to the side of the road and its ejection into oncoming long distance passenger train No. 1358._x000D_
_x000D_
Contributory factor: none.</t>
  </si>
  <si>
    <t>Underlying cause: material defect of damper of secondary cushioning of first bogie of locomotive of long distance passenger train No. 685._x000D_
_x000D_
Root cause: none.</t>
  </si>
  <si>
    <t>NO-2629</t>
  </si>
  <si>
    <t>Level crossing event, 8/1/2013, Enebekk level crossing, Østfoldbanen western line (Norway)</t>
  </si>
  <si>
    <t>Level crossing event</t>
  </si>
  <si>
    <t>On Thursday 1. August a passenger car was hit by the train on Enebekk  level crossing between Moss and Sarpsborg stations on Østfoldbanen, the western line. The car stood in line at county road 359 Enebekkveien to get out on the county road 110 Fredrikstadveien, and stood in the middle of the level crossing when the barriers went down. The driver stepped out of the car as the train approached, but was hit by the car when it was thrown to the side of the train. 
Torsdag 1. august ble en personbil påkjørt av toget på Enebekk planovergang mellom Moss og Sarpsborg stasjoner på Østfoldbanens vestre linje. Bilen stod i kø på fylkesvei 359 Enebekkveien for å komme ut på fylkesvei 110 Fredrikstadveien, og stod midt på planovergangen da  bommene gikk ned. Bilføreren gikk ut av bilen da toget nærmet seg, men ble truffet av bilen da denne ble kastet til side av toget.</t>
  </si>
  <si>
    <t>Enebekk level crossing, Østfoldbanen western line</t>
  </si>
  <si>
    <t>There is a weakness of full barriers as a safety measure. If a vehicle is caught between the barriers, the train will still receive a clear signal in the level crossing signal.</t>
  </si>
  <si>
    <t>PL-2605</t>
  </si>
  <si>
    <t>Trains collision, 01/08/2013, section Górki - Malinowo (Poland)</t>
  </si>
  <si>
    <t>The freight train No 653005 operated by RU "WAM" has run into the train No 453003 standing before the "stop" semaphore on the line.</t>
  </si>
  <si>
    <t>section Górki - Malinowo</t>
  </si>
  <si>
    <t>; 
PKP Cargo S.A.</t>
  </si>
  <si>
    <t>Lack of caution by the driver of the TME No. 653005 after passing the automatic blocade semaphore 27P displaying signal S1 “Stop” after earlier stopping in front of the S1 signal.</t>
  </si>
  <si>
    <t>1. Inadequate observation of the track and the signal displayed by automatic blocade semaphore 27P displaying signal S1 “Stop” by the train driver due to fatigue - continuous work for about 30 hours._x000D_
_x000D_
2. Driving at a speed exceeding 20 km / h after passing the signal S1 “Stop” on the semaphore No 27P. _x000D_
_x000D_
3. Leakage of the main breake pipe of the train that had influence on effectiveness of the breake and extending of the breaking distance at the accident site.</t>
  </si>
  <si>
    <t>UK-3251</t>
  </si>
  <si>
    <t>Other, 01/08/2013, Denmark Hill station (United Kingdom)</t>
  </si>
  <si>
    <t>At Denmark Hill station concrete fell onto a platform on the afternoon of 1 August 2013. There were no injuries as a result of this incident._x000D_
_x000D_
At 16:19 hrs on 1 August 2013 the driver of train 9M44, the 16:00 hrs service from Clapham Junction to Highbury &amp; Islington, reported that there was an object hanging from the bridge which carries the station buildings and a road over the platforms at Denmark Hill station. A subsequent inspection found that a section of concrete about 4.5 metres long had fallen from the bridge and that another section of concrete was hanging from the bridge. Train services through the station were disrupted for the remainder of the day because one of the four tracks through the station was closed immediately and a second track was closed later to allow access for remedial work.</t>
  </si>
  <si>
    <t>Denmark Hill station</t>
  </si>
  <si>
    <t>The concrete and steel components of the cladding failed, which caused a section of reinforced concrete to drop onto the platform below.</t>
  </si>
  <si>
    <t>Causal Factors:_x000D_
1) The concrete and steel components of the cladding deteriorated to the point where a part became detached from the metal beam._x000D_
2) Although examiners identified the deterioration of the concrete cladding, neither Network Rail nor its minor works contractor took effective action to prevent it failing._x000D_
_x000D_
Underlying Factors:_x000D_
1) No immediate actions were taken to address the condition of the concrete cladding despite examiners repeatedly identifying the need for urgent action._x000D_
2) Key information was missing from the asset management database (CARRS), or was only entered after a long delay._x000D_
3) Ineffective communication between asset management and works delivery teams (and their computer systems)._x000D_
4)The scope of work activities, and the methods of work to be adopted, were imprecisely specified and staff undertaking the work were not always competent to identify an appropriate method to adopt._x000D_
5) There was no adequate process in place to confirm that works had been carried out as intended._x000D_
6) The significance of repeat defects, of the same type and at the same location, was not recognised._x000D_
7) Workload is a possible factor in some of the shortcomings identified above.</t>
  </si>
  <si>
    <t>CZ-2578</t>
  </si>
  <si>
    <t>Train derailment, 8/2/2013, Vodnany station (Czech Republic)</t>
  </si>
  <si>
    <t>Derailment of regional passenger train No. 18008 on self-returning switch No. 2Sv.</t>
  </si>
  <si>
    <t>Vodnany station</t>
  </si>
  <si>
    <t>The train driver did not respect the instruction of signal Sv2 before entering on self-returning switch No. 2Sv.</t>
  </si>
  <si>
    <t>Underlying cause: failing to stop of regional passenger train No. 18008 in front of self-returning switch No. 2Sv and failure to control of its correct position at Vodnany station._x000D_
_x000D_
Root cause: none.</t>
  </si>
  <si>
    <t>CZ-2587</t>
  </si>
  <si>
    <t>Train derailment, 03/08/2013, Hluboka nad Vltavou station (Czech Republic)</t>
  </si>
  <si>
    <t>Derailment of one bogie of freight wagon of freight train No. 58790 during movement at Hluboká nad Vltavou station.</t>
  </si>
  <si>
    <t>Hluboka nad Vltavou station</t>
  </si>
  <si>
    <t>Change of wheeled pressures on the wheels of front axle of bogie "a" on freight wagon Falls No. 81 54 6679 867- 6.</t>
  </si>
  <si>
    <t>Underlying cause: technical defect on the rolling stock  - complete break of the main spring at position 1L on bogie "a" of freight wagon Falls No. 81 54 6679 867-6._x000D_
_x000D_
Root cause: none.</t>
  </si>
  <si>
    <t>HU-3030</t>
  </si>
  <si>
    <t>Train derailment, 8/4/2013, Budapest, Ken utca stop (Hungary)</t>
  </si>
  <si>
    <t>A suburban train derailed with its one bogie at Ken utca stop in Budapest.</t>
  </si>
  <si>
    <t>Budapest, Ken utca stop</t>
  </si>
  <si>
    <t>Broken screw</t>
  </si>
  <si>
    <t>CZ-2600</t>
  </si>
  <si>
    <t>Level crossing accident, 07/08/2013, Open line between Varnsdorf and Rybniste stations (Czech Republic)</t>
  </si>
  <si>
    <t>Collision of regional passenger train No. 20912 with an obstacle – a car at the passive level crossing No. 3467.</t>
  </si>
  <si>
    <t>Open line between Varnsdorf and Rybniste stations</t>
  </si>
  <si>
    <t>Direct cause:		_x000D_
- third party – level crossing user (car driver's violation);_x000D_
- poor level crossing visibility conditions (insufficient field of view of car driver towards approaching train)._x000D_
_x000D_
Contributory factor:	_x000D_
- insufficient control activity of infrastructure manager on the quality of the inspections at level crossing No. 3467.</t>
  </si>
  <si>
    <t>Underlying cause:	_x000D_
- failure to respect rules for operation on the road by the driver of the car;_x000D_
- failure to comply with technological procedures of infrastructure manager in ensuring of level crossing visibility conditions at level crossing No. 3467._x000D_
_x000D_
Root cause: none.</t>
  </si>
  <si>
    <t>IE-2611</t>
  </si>
  <si>
    <t>Wrong-side signalling failure, 10-08-13, Salthill Dart Station (Ireland)</t>
  </si>
  <si>
    <t>Wrong side failure on DART Doors.</t>
  </si>
  <si>
    <t>Salthill Dart Station</t>
  </si>
  <si>
    <t>The immediate cause of the blue Door Interlock Light illuminating while the passenger doors were open, causing a wrongside failure, was as a result of the autocouplers on carriages 8102 and 8314 being incorrectly coupled, which resulted in the Door Closed Circuit not passing through the incorrectly coupled carriages, resulting in the driver’s display indicating that all doors were closed</t>
  </si>
  <si>
    <t>RO-2602</t>
  </si>
  <si>
    <t>Train derailment, 10/08/2013, Dej Triaj (Romania)</t>
  </si>
  <si>
    <t>the 16-th wagon from freight train no.50451 derailed</t>
  </si>
  <si>
    <t>Dej Triaj</t>
  </si>
  <si>
    <t>UNICOM TRANZIT</t>
  </si>
  <si>
    <t>The direct cause, _x000D_
-	load discharge of the wheels from the leading axle, generated by the loading unevenly distributed on the loading surface of the wagon no. 335353046020-2, being the 15th from the locomotive._x000D_
This led to the overcoming of the loadings on the wheels from the first axle of the first bogie in the running direction._x000D_
_x000D_
Contributing factors_x000D_
-	the unevenly distribution of the small and thin diameter waste loading from the bottom of the wagon and of those with bigger and thicker diameter on the superior part of the loading, against the loading method provided at the point 1.11.2 from the provisions of Annex II RIV. 
Cauza directa:_x000D_
- descarcarea de sarcina a rotilor osiei conducatoare generata de încarcatura repartizata neuniform pe suprafata de încarcare a vagonului nr.33535304602-0, aflat al 15-lea  în compunerea trenului de la locomotiva._x000D_
_x000D_
Aceasta a condus la depasirea raportului  sarcinilor pe rotile primei osii a primului boghiu al vagonului în sensul de mers._x000D_
Factori care au contribuit:_x000D_
- repartizarea neuniforma a deseurilor de diametru mic si subtire în partea de jos a vagonului iar a celor de diametru mai mare si groase, cu o greutate mai mare, în partea superioara a încarcaturii contrar metodei de încarcare prevazute la punct 1.11.2. din prevederile Anexei II RIV.</t>
  </si>
  <si>
    <t>ES-2762</t>
  </si>
  <si>
    <t>Train derailment, 8/12/2013, Between Salomó and Vilabella, (Tarragona) (Spain)</t>
  </si>
  <si>
    <t>Electrification car derailed at kilometre point 18+920</t>
  </si>
  <si>
    <t>Between Salomó and Vilabella, (Tarragona)</t>
  </si>
  <si>
    <t>The derailment was caused by a failure of the rolling stock, in particular by the breakage of second axle´s right journal in the direction of travel</t>
  </si>
  <si>
    <t>HU-2599</t>
  </si>
  <si>
    <t>Level crossing accident, 12-08-13, Kápolnásnyék - Gárdony (Hungary)</t>
  </si>
  <si>
    <t>car was hit by passenger train at a level crossing. 
Az AS 491 jelu fél- és fénysorompóval ellátott útátjáróban a vonat összeütközött egy személygépkocsival.</t>
  </si>
  <si>
    <t>Kápolnásnyék - Gárdony</t>
  </si>
  <si>
    <t>–	A fény - és félsorompó zavar állapotban volt, így nem töltötte be a funkcióját._x000D_
–	A sorompóberendezés muködése a balesetet megelozo egy hónapban is bizonytalan volt, melynek oka ez ido alatt nem került feltárásra._x000D_
–	A személygépkocsi vezetoje megszokásból közlekedett, nem figyelte meg a fénysorompót, csak a csapórúd függoleges helyzetét. 
- Light and semi - barrier were in a state of disturbance and were not performing its function._x000D_
- The operation of the queuing equipment was still uncertain in the month before the accident, the reason for which was not disclosed at the time._x000D_
- The driver of the car was in the habit of traveling, not observing the fluorescent lights, but only the vertical position of the trailing bar.</t>
  </si>
  <si>
    <t>A forgalmi személyzet nem ítélte a zavar állapotban lévo sorompót a vonatközlekedést veszélyezteto körülménynek, így nem állította a térközjelzoket „Megállj!” állásba. 
The traffic crew did not consider the barrier in the state of disturbance to be a risk to train running and did not set the spacebar to the ‘Stop!’ position.</t>
  </si>
  <si>
    <t>PL-2666</t>
  </si>
  <si>
    <t>Level crossing accident, 2013-08-12, section Lublin Pólnocny - Bystrzyca (Poland)</t>
  </si>
  <si>
    <t>The freight train No 223033 run into the road truck passing the level crossing with barriers. The barriers were  opened and the LC was operated by private company on the basis of civil agreement with infrastructure manager. The LC was of private use for a developer company. The road truck driver was killed as a consequence of the accident.</t>
  </si>
  <si>
    <t>section Lublin Pólnocny - Bystrzyca</t>
  </si>
  <si>
    <t>P.H.U. „LOKOMOTIV” Bronislaw Plata</t>
  </si>
  <si>
    <t>Running by the freight train No 223033 onto lorry passing the F category level crossing by opened barriers.</t>
  </si>
  <si>
    <t>1. Not meeting by IM and the Dragados company (main user of the level crossing who ordered the operation of barriers to Darex company)  Regulation on using the level crossing F category._x000D_
2. Not handing over by the Dragados comapny  the Regulation on using the level crossing F category to Darex company, which operated the barriers, as an appedix to the cooperation contract._x000D_
3. Starting the maintenance of the level crossing with the faults which had influence on safety on level crossing - e.g. the railway-road traffic product has not been checked, profile of the road located on approach to the level crossing does meet the paragraph 24 of the Order of the Minister of Transportation and Maritime Economy of 26 February 1996 on technical conditions which must be meet by level crossings. (Oficial Journal No 33 from 1996 positon No 144 with later changes)._x000D_
4. Too late reaction of train drivers of the locomotive SM42 for danger for railway safety resulting from not closing barriers (to late initiation of the sudden brake)_x000D_
5. Not using sound signal by traction team of the train No 223033 while approaching the W6 indicator,_x000D_
6. Not equipping the level crossing gateman in timetable extract necessary to operate the level crossing barriers safely._x000D_
7. Not efficient supervision and controlling under the work of traffic managers, insfarstructure maintenance employees relaying on tolerating actions which endanger railway traffic safety.  _x000D_
_x000D_
Systematic causes (root causes):_x000D_
_x000D_
1. Not operating procedures of Safety Management System of IM branch in Lublin as follows:_x000D_
    - Controlling actions (SMS-PD-06),_x000D_
    - Data analysis (SMS-PW-15),_x000D_
    - Identification and technical risk assessment (SMS-PR-02),_x000D_
    - Cooperation with investors (SMS-PW-11)_x000D_
2. Lack in the Technical Regulation of the stations Lublin and Lubartów requirements concerning cooperation traffic managers with gateman of the level crossing.</t>
  </si>
  <si>
    <t>AT-2889</t>
  </si>
  <si>
    <t>Train derailment, 13/08/2013, Austrian Marshalling yard (Austria)</t>
  </si>
  <si>
    <t>On August 13th, 2013 at 21:33 hrs, the train 57709, running as block train, derailed in station Wien Zvbf._x000D_
Derailment of six tank wagons. No persons were injured._x000D_
The cause of the derailment was an excess width of the track gauge by a lack of adhesion between rail and sleepers. Possibly favoured by an expansion of the distance between the wheel discs out of tolerance of the leading wheelset of the wagon 3. 
Am 13. August 2013 um 21:33 Uhr entgleiste der als Ganzzug geführte Güterzug Z 57709 im Bf Wien Zvbf._x000D_
Entgleisung von sechs Güterwagen. Es wurden keine Personen verletzt._x000D_
Die Ursache für die Entgleisung war eine unzulässige Spurerweiterung durch einen mangelnden Kraftschluss zwischen Schiene und Schwellen, möglicherweise begünstigt durch einen außerhalb der Toleranz liegenden Innenabstand der Radscheiben des in Fahrtrichtung ersten Radsatzes des Wagens 3.</t>
  </si>
  <si>
    <t>Austrian Marshalling yard</t>
  </si>
  <si>
    <t>Durch fehlenden Kraftschluss der Zwischenschiene zu den Schwellen der Weiche 181 kam es zu einer un-zulässigen Spurerweiterung. Der erste Radsatz von Wagen 3 entgleiste, möglicherweise begünstigt durch einen außerhalb der Toleranz liegenden Innenabstand der Radscheiben. 
Due to the missing traction of the closure rail to the sleepers of railway switch 181, an unauthorized gauge widening appeared. The first wheelset of wagon 3 derailed, probably due to the inner distance beyond tolerance of the wheel discs.</t>
  </si>
  <si>
    <t>ES-2761</t>
  </si>
  <si>
    <t>Spad, 14/08/2013, Torralba station (Soria) (Spain)</t>
  </si>
  <si>
    <t>Freight train overtook exit signal S1/1, at kilometre point 157+520, at Torralba station (Soria)._x000D_
A near miss train collision ocurred.</t>
  </si>
  <si>
    <t>Torralba station (Soria)</t>
  </si>
  <si>
    <t>The incident had its origin when train 81811 improperly overrun exit signal S1/1, stating a stopping order, as driving staff didn't comply with the state of the signal.</t>
  </si>
  <si>
    <t>HU-2632</t>
  </si>
  <si>
    <t>Level crossing accident, 8/15/2013, Bakonygyirót (Hungary)</t>
  </si>
  <si>
    <t>A car was hit by train. 
A vonat személygépkocsival ütközött.</t>
  </si>
  <si>
    <t>Bakonygyirót</t>
  </si>
  <si>
    <t>Human factor of car driver</t>
  </si>
  <si>
    <t>HU-3027</t>
  </si>
  <si>
    <t>Accident to persons caused by RS in motion, 15/08/2013, Rátka stop (Between Mad and Tallya stations) (Hungary)</t>
  </si>
  <si>
    <t>Passenger train leaving the stop took a passenger off his legs.</t>
  </si>
  <si>
    <t>Rátka stop (Between Mad and Tallya stations)</t>
  </si>
  <si>
    <t>The staff did not see the passanger when she moved back to the wagon, because of the geometry of the platform._x000D_
The door-closing control system did not worked properly.</t>
  </si>
  <si>
    <t>HU-3026</t>
  </si>
  <si>
    <t>Other event, 21-08-13, Eperjeske station (Hungary)</t>
  </si>
  <si>
    <t>Seven loaded wagon derailed at Eperjeske station during a shunting movement.</t>
  </si>
  <si>
    <t>Eperjeske station</t>
  </si>
  <si>
    <t>Wooden sleepers - poor condition</t>
  </si>
  <si>
    <t>EE-2658</t>
  </si>
  <si>
    <t>Level crossing accident, 23/08/2013, Raasiku (Estonia)</t>
  </si>
  <si>
    <t>Collision between the fast passenger train no 0012 and motorcar Nissan took place on automatically regulated (active) Raasiku station level crossing._x000D_
After the accident the car was flung out of the road onto neighbouring rail track, the driver perished and the car had become unfit for use.</t>
  </si>
  <si>
    <t>Raasiku</t>
  </si>
  <si>
    <t>Edelaraudtee AS (passenger)</t>
  </si>
  <si>
    <t>Human error of third party - of the car driver, where the driver of Nissan Micra did not stop at the crossing traffic lights to let the train through, as she did not notice the prohibiting red blinking lights of crossing light, the sound signal, accompanying it and while crossing the agitators did not concentrate on the vibration they made._x000D_
The instrumental factor. The inattentiveness of the driver was facilitated by sunlight, compensating light radiation of the traffic lights and falling on the double-headed crossing traffic lights with limited luminous intensity.</t>
  </si>
  <si>
    <t>No underlying and root causes were identified.</t>
  </si>
  <si>
    <t>UK-2718</t>
  </si>
  <si>
    <t>Fire in RS, 8/25/2013, Holland Park station (United Kingdom)</t>
  </si>
  <si>
    <t>At 18:35 hrs, westbound train 003 began to depart normally from Holland Park station. Soon after the train started moving, a passenger operated the emergency alarm within the train, causing its brakes to be applied. It stopped with the first half of the first car in the tunnel. Other emergency alarms were operated within the train soon afterwards._x000D_
The Train Operator was not aware that a fault with the brakes on one car in the train was generating smoke and fumes. London Underground has also indicated that the train may have simultaneously suffered an electrical fault on one of its motors, which could have created a loud noise._x000D_
As soon as the train stopped passengers tried to get out. Since the doors had not been opened, people in the train and on the platform attempted to pull the twin-leaf doors apart. However, the doors could not be opened to sufficient width to allow most people to leave the train. Some people outside the train operated the fire alarms on the platform, and this initiated an automatic station evacuation sequence. Evacuation announcements could be heard by the passengers trying to leave the train._x000D_
Approximately two minutes after the train stopped, a small number of passengers started to exit the train using the inter-car doors at the end of each carriage, and then climbing over the inter-car barriers to reach the platform. During this time, the Train Operator was attempting to establish what had happened, and the train doors adjacent to the platform remained closed._x000D_
About two and a half minutes after the train stopped, station staff reached the platform and opened one pair of doors from the outside. Approximately one minute later, the Train Operator opened all the doors adjacent to the platform._x000D_
Nobody was injured in the incident, but the RAIB considers that there was potential for injuries to occur because the train was heavily loaded and a large number of people were prevented from leaving the train for almost four minutes after it stopped.</t>
  </si>
  <si>
    <t>Holland Park station</t>
  </si>
  <si>
    <t>The immediate cause of the incident was that passengers, believing that they were in danger by remaining on the train, self-evacuated by climbing through the gaps between cars or by forcing open a door</t>
  </si>
  <si>
    <t>Causal factors: Once the departing train was stopped by a passenger emergency alarm the situation was not sufficiently quickly controlled by LUL staff and passengers formed the perception that they were in danger for the following reasons:_x000D_
a. 	smoke and a burning smell from a faulty motor and possibly a seized-on (dragging) brake entered the train;_x000D_
b. 	passengers became increasingly alarmed when there was little or no perceived response from the train operator to the activation of passenger emergency alarms and no passenger information announcements were made;_x000D_
c. 	the doors to the platform did not open and passengers, both on the train and on the platform, were unable to open them; and_x000D_
d. 	passengers could not see any staff on the platform responding to the situation.  Passengers were able to climb over the inner inter-car barriers to self-evacuate the train. The train was not held in the platform at Holland Park station to allow the requested investigation of the burning smell to be carried out.  _x000D_
_x000D_
Underlying factors: Train operators are not equipped to deal with multiple passenger emergency alarm activations._x000D_
_x000D_
Additional observations:  Although not part of the cause of the incident the RAIB observes that the seriousness of the incident was not immediately appreciated by some senior staff involved which resulted in a loss of some evidence and a delay in initiating an internal formal investigation.</t>
  </si>
  <si>
    <t>UK-2719</t>
  </si>
  <si>
    <t>Train derailment, 8/27/2013, Stoke Lane level crossing (United Kingdom)</t>
  </si>
  <si>
    <t>Derailment of a freight train that took place at 04:30 hrs on 27 August 2013, at Stoke Lane level crossing, which is located approximately 3.5 miles east north-east of Nottingham, on the Nottingham to Newark line._x000D_
The train comprised a class 66 locomotive and 30 bogied, tank wagons, loaded with diesel fuel. It was travelling on the up line towards Nottingham at a speed of around 53 mph (85 km/h) when the driver noted an irregularity in the track as he went over the crossing. Shortly afterwards, the trailing wheelsets of the 26th and 28th wagons derailed and ran for approximately 850 metres before the train’s brakes brought it to a stop, as air leaked from a punctured air reservoir tank. None of the other wheelsets were derailed. Both derailed wagons remained upright and there was no leakage of the diesel fuel but the track and some wagons suffered damage. The driver was not injured.</t>
  </si>
  <si>
    <t>Stoke Lane level crossing</t>
  </si>
  <si>
    <t>The immediate cause of the derailment was a severe dip in the track which had developed rapidly under the leading portion of train 6M35 and caused the 26th  and 28th wagons to derail (paragraph 48).</t>
  </si>
  <si>
    <t>The causal factors were: a) Large voids had developed under the track as a result of excessive ground loss during the construction of a microtunnel under the road and level crossing. These voids left the track unsupported at the level crossing (paragraph 51, Recommendation 1); and b) Normal train services had been allowed to resume following the tunnelling work, despite evidence of abnormal ground behaviour (paragraph 67, Recommendation 4). The underlying factors were: a) Network Rail’s asset protection standards and guidance were not fully complied with, which introduced risks to the Stoke Lane UTX project, (paragraph 76, Recommendation 2). b) There was insufficient assessment of the risks posed by the UTX at Stoke Lane level crossing (paragraph 81, Recommendation 3). c) Network Rail’s procedures for UTXs and the way they were used did not provide adequate guidance for those involved in the design, scrutiny and construction of the UTX (paragraph 87, Recommendation 2). d) The criteria used for monitoring settlement were not appropriate for a UTX under a level crossing and did not adequately alert the asset protection team to the severity of the developing problem (paragraph 90, Recommendation 4).</t>
  </si>
  <si>
    <t>UK-2869</t>
  </si>
  <si>
    <t>Other event, 8/28/2013, Southend Central and Whyteleafe (United Kingdom)</t>
  </si>
  <si>
    <t>Two similar incidents which both involved wheeled transport rolling off a station platform and onto the track. The first incident occurred at Southend Central and involved a wheelchair with an elderly occupant. The lady suffered a broken hip as a result of the fall. The second incident occurred at Whyteleafe and involved a pushchair with a young child. The child suffered only minor injuries in the accident. In neither case did a train arrive before the individuals concerned had been returned to the platform._x000D_
At 18:13 hrs on 28 August 2013 an elderly lady and her carer were escorted by a member of station staff onto the platform at Southend Central station. The wheelchair was positioned mid-way along the platform, facing the railway, awaiting the arrival of the train. The wheelchair’s parking brake was not applied and neither the carer nor the member of staff noticed it starting to move towards the railway. It then fell off the platform with the occupant still strapped inside. While passengers and a member of station staff went to assist the lady, the driver of the approaching train was called to warn him of the potential obstruction, but he had already observed passengers climbing back onto the platform and clear of the railway. The examination of the platform revealed a gradient towards the track was present in the area where the wheelchair was originally positioned._x000D_
At about 10:40 hrs on 17 September 2013, a lady with a small child and a baby in a pushchair arrived at Whyteleafe station. She stopped at the platform ticket machine, leaving the pushchair parallel with the railway while she purchased a ticket. She did not apply the hand brake on the pushchair and did not notice that it had started to roll forward. The pushchair then turned through 90 degrees and fell onto the track, narrowly missing the live conductor rail. The lady and other passengers jumped onto the track to recover the baby and pushchair. Examination of the platform identified that a gradient was present around the area where the ticket machine had been installed, both parallel with the track and falling towards it.</t>
  </si>
  <si>
    <t>Southend Central and Whyteleafe</t>
  </si>
  <si>
    <t>C2C Rail Ltd</t>
  </si>
  <si>
    <t>The wheelchair and pushchair involved in the accidents at Southend Central and Whyteleafe respectively were able to roll because the brakes were not applied and there were slopes present on both platforms.</t>
  </si>
  <si>
    <t>The accidents occurred due to a combination of the following causal factors:_x000D_
a. The platforms at Southend Central and Whyteleafe sloped towards the railway due to the following factors: Many platforms had been designed with a slope towards the railway in order to provide natural drainage of surface water onto the track, and at the time of their construction there was no specific requirement for them to slope away from the railway.  There was no subsequent requirement for the platforms to be modified to provide a slope away from the railway.  No action was taken at Southend Central or Whyteleafe stations to eliminate the slope as part of the improvement works undertaken at each station. In the case of Whyteleafe it is possible that the slope on the platform was worsened by work carried out during 2010 and 2011._x000D_
b. In both accidents, the person in charge did not apply the brakes when they arrived on the platform, and they did not initially realise that the wheelchair/pushchair had started to roll away._x000D_
c. The individuals responsible for the wheelchair at Southend Central and pushchair at Whyteleafe were not aware of the slope. This may have been due to one or more of the following factors: The fact that the platform slope was not apparent did nothing to challenge their expectation that the platform would be level.  They were, for different reasons, distracted.  There was nothing to indicate to passengers at either station that the platforms sloped towards the track._x000D_
Underlying factor_x000D_
74 Incidents and accidents in which wheelchairs or pushchairs had rolled off platforms had been reported in accordance with Railway Group Standards, but the events were not usually subject to detailed investigation and often solely attributed to user error, or wrongly classified, resulting in a lack of awareness in the industry about the extent of the risk._x000D_
Additional observations_x000D_
75 Although not directly linked to the causes of the accidents on 28 August 2013 and 18 September 2013, the RAIB observes that:_x000D_
a. If the member of staff involved in the accident at Southend Central had had his mobile phone with him with the number for the signaller programmed in, he would have been able to contact the signaller immediately to stop all trains before going onto the track._x000D_
b. Neither the wheelchair nor the pushchair involved in the two accidents had brakes that applied automatically when the carer released their hold on the handle. Although such a feature is probably impracticable for most wheelchairs, there are very few pushchairs available with brakes that operate in this way._x000D_
c. There are causes other than platform slopes which might result in a wheelchair or a pushchair rolling away if its brakes have not been applied.</t>
  </si>
  <si>
    <t>CZ-2710</t>
  </si>
  <si>
    <t>Spad, 8/31/2013, Postrelmov station (Czech Republic)</t>
  </si>
  <si>
    <t>Long distance passenger train No. 1234 passed a signal at danger (departure signal S1 showing signal “stop”) at Postrelmov station with subsequent ride to the opposite direction train route for train No. 3714 and driving over the level crossing P 6655, which did not warn of road users that the train is approaching to the level crossing.</t>
  </si>
  <si>
    <t>Postrelmov station</t>
  </si>
  <si>
    <t>Direct cause: train driver's operational error (he did not respect signal “stop” of main (departure) signal S1 at Postrelmov station)._x000D_
_x000D_
Contributory factor:	absence of technical equipment preventing train from passing signal at danger.</t>
  </si>
  <si>
    <t>Underlying cause:_x000D_
unintentional error, mistake of the train driver, which resulted in: _x000D_
- unauthorized movement of long distance passenger train No. 1234 without check whether the main (departure) signal S1 allows the movement of long distance passenger train No. 1234;_x000D_
- prioritizing of manipulation with radiostation and monitoring of data in the railway guide, before observing of railway track and signals in front of the train and proceeding consistent to the findings._x000D_
_x000D_
Root cause:	_x000D_
- not taking of adequate own measures by infrastructure manager and railway undertaking to prevent accidents and incidents based on the evaluation of the causes and circumstances of previously similar accidents and incidents and safety recommendations of Rail Safety Inspection Office No.: 6-538/2009/DI-1, on 18th March 2010, c. j.: 571/2012/DI, on 31th July 2012, c. j.: 741/2012/DI, on 25th September 2012, and  c. j.: 446/2013/DI, on 13th May 2013; _x000D_
- reduction of safety level of the railway transport at Postrelmov station from 15th March 2012 by infrastructure manager, with introduction of dispatch of train with transport of passengers, which regularly or extraordinary stops in a place for entry and exit of passengers only by using of the main (departure) signal allowing the movement of the train, without of security policy - the person who is controlling the railway transport (train dispatcher). This person is not appropriately substituted in spite of warning of Rail Safety Inspection Office about risks which are associated with results of investigation of previous accidents and incidents.</t>
  </si>
  <si>
    <t>RO-2692</t>
  </si>
  <si>
    <t>Train derailment, 02/09/2013, open line Suplacu de Barcau - Simleu Silvaniei (Romania)</t>
  </si>
  <si>
    <t>the 12'th wagon from the freight train no. 89435 derailed</t>
  </si>
  <si>
    <t>open line Suplacu de Barcau - Simleu Silvaniei</t>
  </si>
  <si>
    <t>Direct cause _x000D_
_x000D_
-	The direct cause of the accident occurrence is the twist of the track over the admitted tolerances, fact which led to the climbing of the wheel no. 8 (the wheel from the right side in the running direction of the train of the leading axle from the first bogie of the wagon no. 33537991554-9) on the corresponding rail of the exterior curve rail, followed by the derailment of that in the exterior._x000D_
_x000D_
Contributing factors_x000D_
-	over cant excess;_x000D_
-	the superposition of the “RC” characteristically points determinate of the end of the parabolic curve and the beginning of the circular curve with “V” point, determinate by the end of the gradient of 4,5‰ and the beginning of the gradient of 8,0‰ (RC km 53+702, and V km 53+700);_x000D_
-	the effect of the compression force developed by the active banking locomotive 
Cauza directa :_x000D_
Cauza directa a producerii accidentului o constituie torsionarea caii peste tolerantele admise, fapt care a condus la catararea rotii nr.8 (roata din partea dreapta în sensul de mers al trenului a osiei conducatoare de la primul boghiu al vagonului nr. 33537991554-9) pe sina corespunzatoare firului exterior al curbei, urmata de deraierea acesteia în exterior._x000D_
Factori care au contribuit_x000D_
	-  excesul de supraînaltare. _x000D_
	- suprapunerea punctelor caracteristice “RC” determinat de sfârsitul curbei parabolice si începutul curbei circulare cu punctul “V” determinat de sfârsitul rampei de 4,5‰ si începutul rampei de 8,0‰ ( RC km 53+702, iar V km 53+700)._x000D_
	-  efectul fortei de comprimare dezvoltata de locomotiva împingatoare activa.</t>
  </si>
  <si>
    <t>BG-2801</t>
  </si>
  <si>
    <t>Train derailment, 3.9.2013, Raduntsi (Bulgaria)</t>
  </si>
  <si>
    <t>At 21:28 hrs on 03/09/2013 the last car of the International fast train No: 465 Bucharest-Istanbul derailed with one bogie during its transit pass on Track No 3 before railway shunt No:3 in Raduntsi railstation. The derailed couchette car No. 51 75 5040 012-4 is of the Turkish railway administration (TCDD) property. After transfering the passengers, IFT ? 465 departed with one car from Raduntsi station with 86 minutes delay at 22:30 hrs._x000D_
At 16:20 hrs on 04.09.2013 after performed accident repair works on the railroad of the 3rd track and 3rd switch, the train traffic was restored.</t>
  </si>
  <si>
    <t>Raduntsi</t>
  </si>
  <si>
    <t>The direct technical cause of the accident – derailment of coach No. 51 75 5040 012-4 with the first bogie, during transit passing with a speed V = 25 km/h on the 3rd track, is the non-radial joint made with sharply pronounced kink in the right rail string that allows the uneven compaction of the joint in laden condition, the connection with the two rails is made at the end of the double threaded tie-plate which is mounted at the end of the paired traverse and allows for unacceptable vertical deviations in the headings of the rails to each other.</t>
  </si>
  <si>
    <t>Underlying causes:_x000D_
- The cant of H = 45 mm measured does not meet the parameters of the rail curve at the point of rise and exceeds the tolerances established for the cant in railway curves under p. p. 3.2.4.9., 3.2.4.10. of the "Technical Standards for Planning and Maintenance of the Upper Structure of Normal Railway Lines (1435 mm)";_x000D_
- Uneven intervals of the curve radius change in plan and profile 20 m before and after the point of rise and non-compliance with the requirements of i. 4.9. of the "Technical Standards for Planning and Maintenance of the Upper Structure of Normal Railway Lines (1435 mm)";_x000D_
_x000D_
Root cause:_x000D_
The requirements of Art. 31, 32, "Rules of Technical Operation of the Railway Infrastructure" on chaining and benchmarking of the railroad and of the Art. 43, Ordinance ? 58, on the rules of technical operation, movement of trains and signalling in railway transport were not implemented. There is lack of up-to-date information database on the geometrical position of the railroad along the 3rd track in situation and longitudinal profile to the date of the accident as well as data for the start and the end of the transition of the cant.</t>
  </si>
  <si>
    <t>DE-2773</t>
  </si>
  <si>
    <t>Train derailment, 9/5/2013, Bremen Hbf (Germany)</t>
  </si>
  <si>
    <t>Der Reisezug 81952 entgleist bei der Einfahr in Bremen Hbf nach Gleis 10 in der Weiche 11W230. 
The train 81592 derailed at the entry in Bremen Main station to track 10 in the switch 11W230.</t>
  </si>
  <si>
    <t>Bremen Hbf</t>
  </si>
  <si>
    <t>metronom Eisenbahngesellschaft mbH</t>
  </si>
  <si>
    <t>Die Weiche 11230 stellte sich während der Zugfahrt aufgrund vorzeitiger Fahrstraßenauflösung unter dem Zug um. 
The switch 11230 turned while the train passed due to premature driveway resolution after the train.</t>
  </si>
  <si>
    <t>Die Wahl des Betriebskonzeptes ist mangelhaft, als dass das Wenden von Zügen an den ersten drei gewöhnlichen Halteplätzen im Regelbetrieb nicht abzuwickeln  ist. 
The choice of the operating concept is flawed, as that the turning of trains should not be executed on the first three regular stopping places in control mode.</t>
  </si>
  <si>
    <t>DE-2776</t>
  </si>
  <si>
    <t>Trains collision, 05-09-13, Bf Saalfeld (Germany)</t>
  </si>
  <si>
    <t>Im Bahnhof Saalfeld/Saale kollidierte der IC in der Weiche 2554 mit einer Rangierfahrt. 
In Saalfeld / Saale railway station, the IC collided in the switch 2554 with a shunting.</t>
  </si>
  <si>
    <t>Bf Saalfeld</t>
  </si>
  <si>
    <t>Rangierfahrt fuhr unzulässig am Haltzeigenden Signal vorbei 
Unauthorized shunting movement not respecting the stop signal.</t>
  </si>
  <si>
    <t>ES-2898</t>
  </si>
  <si>
    <t>Wrong-side signalling failure, 9/5/2013, Polanco, between Mogro and Bezana stations (Cantabria) (Spain)</t>
  </si>
  <si>
    <t>Passenger train overtook block signal that stated clear line but should had stated a stop aspect.</t>
  </si>
  <si>
    <t>Polanco, between Mogro and Bezana stations (Cantabria)</t>
  </si>
  <si>
    <t>The incident had its origin in a combined failure of the functioning both track facilities and rolling stock. On one hand, an excess of sandblasting, due to many emergency brakings of train 6725, caused the track circuit to lost its shunt. On the other hand, the unusual performance of the relay caused the improper opening of signal B5192 that stated clear line when the ATO section was engaged for train 6725.</t>
  </si>
  <si>
    <t>CZ-2711</t>
  </si>
  <si>
    <t>Level crossing accident, 9/12/2013, open line between Jaromerice nad Rokytnou and Kojetice na Morave stations (Czech Republic)</t>
  </si>
  <si>
    <t>Collision of regional passenger train No. 24808 at the level crossing with a tractor with consequent derailment.</t>
  </si>
  <si>
    <t>open line between Jaromerice nad Rokytnou and Kojetice na Morave stations</t>
  </si>
  <si>
    <t>Third party – level crossing user (tractor driver's violation).</t>
  </si>
  <si>
    <t>Underlying cause:	_x000D_
- behavior of the driver of the tractor in front of the level crossing, from distance of visibility of warning cross for safe stop in which he was not careful and did not make sure whether he can safely pass the level crossing;_x000D_
- tractor driver's failure to respect of the light and sound warning and ride at the level crossing at the time when it was forbidden;_x000D_
- not giving of priority to railway transport at a crossing of the road with railway track._x000D_
_x000D_
Root cause: none.</t>
  </si>
  <si>
    <t>HU-3025</t>
  </si>
  <si>
    <t>Spad, 14-09-13, Kelenföld station (Hungary)</t>
  </si>
  <si>
    <t>On 14 September 2013 at 10:43, train no. 4542 passed exit signal V6A at danger at Kelenföld station and having split switch no. 17, it ran on the route set for train IC819. The two trains stopped 150metres from each other.</t>
  </si>
  <si>
    <t>Kelenföld station</t>
  </si>
  <si>
    <t>The occurrence may be attributed to human factors; the locomotive driver of the train No. 4542:_x000D_
•	exceeded the speed limit (by ca. 100%) after starting, so he had significantly less time left to scan and evaluate signals;_x000D_
•	passed the second exit signal although it was at danger i.e. showed ‘Stop!’;_x000D_
•	burst open the points wrongly set for him, he did not realise it, and continued his travel;_x000D_
•	rolled on toward the wrong track, but did not realise it, and continued his travel.</t>
  </si>
  <si>
    <t>•	Call Signal was issued to three trains simultaneously at Kelenföld station._x000D_
•	The safety distance of 50m was not provided between the end of the path of the train No. 4542 and the path of the train No. 819, but the Train Loading and Running Regulations No. F.2 does not classify this dangerous situation as forbidden simul-taneous movement, so it contains no relevant limits._x000D_
•	The train No. 4542 was authorised to depart, i.e. the train was not transferred to Track VI.a in the form of a shunting movement._x000D_
•	The locomotive driver of the train No. 4542 failed to observe the display on the exit signal prior to his authorisation to start, and he did not enquire either._x000D_
•	Due to the station-to station mode, the locomotive driver had to turn the train con-trol system while staying next to the platform already, and so, the system was not able to warn the locomotive driver of his mistake and to stop the train._x000D_
•	The traffic managers and the train crews do not have a checklist which would ef-fectively support their work in extraordinary situations._x000D_
•	There is no working co-operation between the infrastructure manager and the rail-way undertakings with access right in the case of capacity narrowing in order to harmonise reduced capacity and the number of trains allowed to run._x000D_
•	Despite the jam situation, Kelenföld station authorised a light engine to move, which caused delay to trains of higher priority._x000D_
•	The log-book of Háros station was not available to the IC during the collection of documents._x000D_
•	The movement of the train No. 24358 was not indicated in the log-book of Kelenföld station._x000D_
•	The log-book of Kelenföld station used on the day of the occurrence is unfit for analysis due to illegibility of the hand-written entries in it._x000D_
•	At Kelenföld station, a support was placed under the relay of the insulated track section for the home signal “G”._x000D_
•	The conversations (receiving and issuing orders) between the chief traffic man-ager and the control panel operator at Kelenföld station cannot be replayed be-cause there is no voice recording._x000D_
•	The Centralised Traffic Control and Overhead Contact Line Remote Control sys-tem (KÖFE-FET) does not provide reliable recording of signal handling opera-tions.</t>
  </si>
  <si>
    <t>HU-4758</t>
  </si>
  <si>
    <t>Train derailment, 14-09-13, Rákosrendezo (Hungary)</t>
  </si>
  <si>
    <t>Train No. 20216 has derail at point No. 507. 
A 20216 sz. vonat az 507 sz. váltón kisiklott.</t>
  </si>
  <si>
    <t>Rákosrendezo</t>
  </si>
  <si>
    <t>Railway switch mistake.</t>
  </si>
  <si>
    <t>AT-4623</t>
  </si>
  <si>
    <t>Trains collision with an obstacle, 20/09/2013, Station Telfs-Pfaffenhofen (Austria)</t>
  </si>
  <si>
    <t>On 20th September 2013, at 12:51 hrs, a collision occurred at the signally compatible entrance of train Z 867 in the station Telfs-Pfaffenhofen with cargo. The cargo (rails) was offloaded at this time of a truck driver with a loading crane from a track on the adjacent track wagons._x000D_
The upscaled rails from the freight car were lifted with a sling (chain hanger). When swinging the load is twisted and fell into the danger zone of the adjacent track operation, so that the retracting train Z 867 collided with the floating twisted rails._x000D_
Due the collision the engine driver was seriously injured, a co-located engine-driver in the cab and the 250 passengers stay unharmed. A further truck driver on the loading place was slightly injured._x000D_
The locomotive, the second, the third and fifth carriages were damaged. A further truck of the transport company was damaged._x000D_
The use of unsuitable sling resulted in an unstable position of the raised cargo. Through insufficient securing the load came into the danger zone of the incoming train on the adjacent track. 
Am 20. September 2013, um 12:51 Uhr, ereignete sich bei der signalmäßig tauglichen Einfahrt von Z 867 in den Bf Telfs-Pfaffenhofen eine Kollision mit Ladegut. Das Ladegut (Schienen) wurde zu diesem Zeitpunkt von einem LKW-Fahrer mit einem Ladekran von einem auf dem benachbarten Gleis abgestellten Güterwagen abgeladen. _x000D_
Die vom Güterwagen gehobenen Schienen wurden mit einem Anschlagmittel (Kettengehänge) angehoben. Beim Schwenken verdrehte sich das Ladegut und geriet in den Gefahrenraum des benachbarten Betriebsgleises, sodass der einfahrende Z 867 mit den schwebenden verdrehten Schienen kollidierte. _x000D_
Durch die Kollision wurde der Tfzf schwer verletzt, ein ebenfalls im Führerstand befindlicher Tfzf-Instruktor und die ca. 250 Fahrgäste blieben unverletzt. Ein sich am Ladeplatz befindlicher LKW-Lenker wurde leicht verletzt._x000D_
Das Tfz der zweite, der dritte und der fünfte Wagen wurden beschädigt. Ein weiterer am Ladeplatz befindlicher LKW des Transportunternehmers wurde ebenfalls beschädigt._x000D_
Die Verwendung eines für den Zweck nicht geeigneten Anschlagmittels führte zu einer instabilen Lage des angehobenen Ladegutes. Durch unzureichende Sicherung geriet das Ladegut in den Gefahrenraum des am benachbarten Gleis einfahrenden Z 867.</t>
  </si>
  <si>
    <t>Station Telfs-Pfaffenhofen</t>
  </si>
  <si>
    <t>Die Verwendung ungeeigneter Anschlagmittel in Verbindung mit einer mangelhaften Sicherung und Stabilisierung der schwebenden Last führten zu einer Pendelbewegung der angehobenen Schienen und in weiterer Folge zu einer unkontrollierten nicht formschlüssigen Bewegung. 
The use of irrelevant lifting means combined with an insufficient security and stability of the floating charge caused a pendular movement of the lifted tracks and then to an uncontrolled incoherent movement.</t>
  </si>
  <si>
    <t>ES-2899</t>
  </si>
  <si>
    <t>Trains collision, 20/09/2013, Barcelona Sants station (Barcelona) (Spain)</t>
  </si>
  <si>
    <t>Commuter train collided with the rear end of another commuter train that was standing at track 7 of Barcelona Sants station. No significant injured.</t>
  </si>
  <si>
    <t>Barcelona Sants station (Barcelona)</t>
  </si>
  <si>
    <t>The accident is caused by human failure of train driver of train 25706, in particular due to a lack of attention while driving. As a consequence, the mandatory terms for an authorised overrun of home signal E9 were not carried out correctly, breaching articles 218.1 and 141.2 of the General Operating Rules. As a contributory factor it's pointed a failure to comply with Aviso SC nº 37 (Renfe Operadora) that ordered a manual train driving instead of driving with theoretical speed.</t>
  </si>
  <si>
    <t>RO-2777</t>
  </si>
  <si>
    <t>Train derailment, 24.09.2013, Catusa railway station (Romania)</t>
  </si>
  <si>
    <t>the rear wagon from the freight train no. 76059 derailled on passing over switch no. 6 from Catusa railway station.</t>
  </si>
  <si>
    <t>Catusa railway station</t>
  </si>
  <si>
    <t>Direct cause_x000D_
The direct cause which led to the occurrence of this accident was the blocking, at the built-up common crossing of the switch no. R6 of a not lifted drag shoe from the track before the dispatch of the train, fact which generated the loss of guidance of the track and the escalation of the drag shoe and falling off the track by the wheel no. 3 (wheel from the left part of the first axle from the second bogie in the running direction) from the wagon no. 64508542 of the freight train no. 76059._x000D_
_x000D_
Contributing factors_x000D_
-	Failure to comply with the provisions for recording in the Register for free tracks commands and running by the responsible employees with the shunting of the wagons in the stations of the status of the placement from the drag shoe no. 52. 
Cauza directa_x000D_
Cauza directa care a condus la producerea acestui accident a fost blocarea, la inima de încrucisare a macazului nr.6R, a unui sabot de mâna neridicat  de pe calea de rulare înainte de expedierea trenului, ce a generat pierderea capacitatii de ghidare a caii si escaladarea sabotului cu parasirea caii de rulare de catre roata nr.3 (roata din partea stânga a primei osii a celui de-al doilea boghiu, sens mers) a vagonului nr.64508542 a trenului de marfa nr.76059._x000D_
_x000D_
Factori care au contribuit _x000D_
nerespectarea prevederilor privind consemnarea în registrul de cai libere comenzi si miscare de catre salariatii responsabili cu manevra vagoanelor în incinta statiei, a starii amplasarii sabotului nr.52;</t>
  </si>
  <si>
    <t>Underlying cause_x000D_
The existence in the content of ”Regulations on conducting the activity of railway shunting/ transport on LFI” of the name of functions with responsibilities in traffic safety for the guidance of trains in traffic, not correlated with those existent in the instructions in force. 
Cauze subiacente_x000D_
Existenta în cuprinsul ,,Reglementarilor privind modul de desfasurare a activitatii de manevra/transport feroviar pe LFI” a denumirii unor functii cu responsabilitati în siguranta circulatiei referitoare la îndrumarea trenurilor în circulatie, necorelate cu cele existente în instructiile în vigoare.</t>
  </si>
  <si>
    <t>ES-2900</t>
  </si>
  <si>
    <t>Spad, 9/26/2013, Rio Duero interchange point station (Valladolid) (Spain)</t>
  </si>
  <si>
    <t>Long distance train overtook home signal E1 (stop aspect).</t>
  </si>
  <si>
    <t>Rio Duero interchange point station (Valladolid)</t>
  </si>
  <si>
    <t>The incident is casued by human failure of train driver of passenger train 4083, in particular due to a lack of attention while driving. As a result, there was a failure to comply with the signal indication and an improper overrun of home signal E1 which showed a stop aspect.</t>
  </si>
  <si>
    <t>RO-2781</t>
  </si>
  <si>
    <t>Train derailment, 9/27/2013, Reteag (Romania)</t>
  </si>
  <si>
    <t>the second wagon from the freight train 89441 derailed</t>
  </si>
  <si>
    <t>Reteag</t>
  </si>
  <si>
    <t>Cauza directa: _x000D_
Ruperea sinei de pe firul interior al curbei la joanta de la km 17+100 (curba cu deviatie stânga în sensul de mers), urmata de dislocarea unei portiuni de sina în lungime de 170 mm, sub actiunea rotii nr.1 a primei osii de la primul boghiu al celui de-al doilea vagon din compunerea trenului._x000D_
Acest fapt a determinat:_x000D_
-	caderea rotii nr.1 între firele caii;_x000D_
-	catararea rotii corespondente (roata nr.2) a osiei pe ciuperca sinei din dreapta sensului de mers (firul exterior al curbei), urmata de caderea rotii nr.2 în exteriorul caii;_x000D_
-	deraierea osiei cu rotile 1 -2;_x000D_
-	antrenarea în deraiere a celei de-a doua osii a boghiului (osia cu rotile 3 – 4)._x000D_
_x000D_
Factori care au contribuit:_x000D_
- existenta unei fisuri care s-a propagat de la gaura de eclisare spre capatul sinei. Aceasta fisura  s-a propagat prin inima si ciuperca sinei. _x000D_
- existenta unor incluziuni de zgura (care au permis aparitia fisurilor si au condus la ruperea sinei) în sectiunea de rupere din zona centrala a ciupercii sinei, unde s-a observat o pata de culoare închisa. 
Direct cause: _x000D_
The rupture of the interior curve rail at the joint from km 17+100 (curve with left deviation in the running direction), followed by the dislocation on a rail portion in a length of 170 mm, under the action of wheel no. 1 of the first axle from the first bogie of the second wagon from the train._x000D_
This fact determined:_x000D_
-	the falling of wheel no. 1 between the track rails;_x000D_
-	the climbing of the corresponding wheel (wheel no. 2) of the axle on the rail head from the right in the running direction (exterior rail curve), followed by the fall of wheel no. 2 in the track exterior;_x000D_
-	the derailment of the axle with the wheels 1-2;_x000D_
-	engaging in derailment of the second axle of the bogie (the axle with the wheels 3-4)._x000D_
	_x000D_
Contributing factors: _x000D_
-	the existence of a crack which propagated from the fish-bolt hole to the end of the rail. This crack propagated through the frog and head of the rail;_x000D_
-	existence of slag inclusions (which permit the appearance of the crack and led to the rail rupture) in the rupture section from the central area of the rail head, where it was noticed a dark color stain.</t>
  </si>
  <si>
    <t>Cauza subiacenta o constituie neurmarirea si neverificarea defectului de categoria II, existent în evidenta sinelor defecte a Districtului L Beclean - Sectia L8 Bistrita, de la km 17+100 (sina din partea stânga în sensul de mers), încalcându-se astfel prevederile urmatoarelor instructii:_x000D_
- Instructia pentru picherul sef de district de întretinerea caii nr.323/1972, Art.9;_x000D_
- Instructia pentru activitatea sefului de echipa nr.322/1972, Art.6, 7 si 14;_x000D_
- Instructia pentru cantonieri si revizori de cale sau puncte periculoase nr.321/1972, Art.22 
Underlying cause_x000D_
_x000D_
The underlying cause is the non-following and not checking the category II failure, existent in the defect rails evidence from District L Beclean – Section L 8 Bistrita, from km 17+100 (the rail from the left part in the running direction), against the provisions of the following instructions:_x000D_
-	instruction for the lineman district master for track maintenance no. 323/1972, art. 9;_x000D_
-	instruction for the activity of the foreman no. 322/1972, art. 6, 7 and 14;_x000D_
-	instruction for length men and gangers or dangerous points no. 321/1972, art. 22.</t>
  </si>
  <si>
    <t>AT-2786</t>
  </si>
  <si>
    <t>Trains collision with an obstacle, 28/09/2013, Station Leopoldau (Austria)</t>
  </si>
  <si>
    <t>On Saturday September 28 2013, 16:36 hours, station Leopoldau, a freight train 48026 collides with a rail construction crane, working in the adjacent track. The freight train collides with the track sweeper of the motive power unit (1116 series) and the cross bar of the crane boom. _x000D_
Due the collision the motive power unit derailed with both wheel sets of the first bogie, the cross bar flung to the side and hits a track construction worker. The construction worker was seriously injured by the incident. There was considerable material damage caused to the involved motive power unit and infrastructure facilities. 
Am Samstag den 28. September 2013, 16:36 Uhr, im Bf Leopoldau, kollidierte der Güterzug 48026 mit dem Bahnräumer des Tfz der Baureihe 1116 mit der Anschlagtraverse eines im Nachbargleis arbeitenden Gleisbaukranes. _x000D_
Durch die Kollision entgleiste das Tfz mit beiden Radsätzen des vorlaufenden Drehgestells, die Anschlagtraverse wurde zur Seite geschleudert und traf dabei einen Gleisbauarbeiter. _x000D_
Der Gleisbauarbeiter wurde durch den Vorfall schwer verletzt. Es entstand erheblicher Sachschaden am beteiligten Tfz und an den Infrastruktureinrichtungen.</t>
  </si>
  <si>
    <t>Station Leopoldau</t>
  </si>
  <si>
    <t>Unzureichende Festlegung von Schutzmaßnahmen für die Arbeiten mit dem Gleisbaukran in der Betriebs- und Bauanweisung zur Baustelle. Nicht regelwerkskonforme und mangelhafte Kommunikation zwischen den Mitarbeitern an der Baustelle mit der betriebsführenden Stelle während des gesamten Arbeitseinsatzes des Gleisbaukrans. In weiterer Folge wurde die Fahrt des Z 48026 zugelassen, ohne das die Arbeiten mit dem Gleisbaukran eingestellt waren. 
Inadequate definition of protective measures in the instructions for site management during the work with a rail construction crane. Inadequate and not rule compliant communication between employees on the construction site with the movements inspector during work with the rail construction crane. Approval of the ride from Z 48026 without previous setting of the work with the rail construction crane.</t>
  </si>
  <si>
    <t>HU-2858</t>
  </si>
  <si>
    <t>Train derailment, 29-09-13, Szenta (Hungary)</t>
  </si>
  <si>
    <t>Signalman switched the point under the incoming train.  It was possible due to a malfunction of the signaling system.</t>
  </si>
  <si>
    <t>Szenta</t>
  </si>
  <si>
    <t>PL-2824</t>
  </si>
  <si>
    <t>Level crossing accident, 9/30/2013, level crossing with full barriers (Poland)</t>
  </si>
  <si>
    <t>The train No 90221 operated by RU - Koleje Mazowieckie going in relation Warszawa Rembertów - Zyrardów hit the personal car standing on the track No 1 and partly on track No 2 on the level crossing as a consequence of which the car was moved approx. 46 away from LC and was staying on the track No 2. Additionally, the track was nextly hit by the train operated by RU - PKP Intercity going in relation Lódz Kaliska - Warszawa Wschodnia on the track No. 2. _x000D_
The personal car was standing on the LC because the censecutive road truck had problem with leaving the LC, because of the small gauge of the LC road.</t>
  </si>
  <si>
    <t>level crossing with full barriers</t>
  </si>
  <si>
    <t>Koleje Mazowieckie - KM Sp. z o.o.; 
PKP Intercity S.A.</t>
  </si>
  <si>
    <t>Running by the train No. 90221 on the car Peugeot 407 standing on the track No. 1 line 001 in the danger zone of the level crossing category A.</t>
  </si>
  <si>
    <t>- Improper organization of the road traffic at the level crossing and the inadequacy of the technical condition of level crossing and its using to a significant increase in road traffi caused by the closure of the viaduct repaired in Grodzisk Mazowiecki within the local  road No. 579, _x000D_
- Not realizing arrangements done by representatives of the infrastructure managers (IM branch in ZLK in Warsaw and the Centrum Realizacji Inwestycji PKP PLK SA) and local authorities on 11.6.2013 concerning adaptation of level crossing and roads running to the level crossing to take over increased road traffic. _x000D_
_x000D_
- Violation of the Regulation of the level crossing srvice by the level crossing operator in terms of a late start closing the barrier, through the use of bad practice of waiting for phone signal from the previous level crossing on the lines No 1 and 4 with the max. speed of 130 -160 km / h ._x000D_
_x000D_
- Execution of work by the level crossing operator under influence of psychoactive substances (amphetamines content found in the blood of 117 ng / ml), _x000D_
_x000D_
- No notification traffic managers of the next stations by the level crossing operator with the signal “Alert” A1 (need to stop trains) because of the traffic congestion on the level crossing. _x000D_
_x000D_
- Inadequate visibility of the danger zone from the position of level crossing operator, due to lack of windows to the right side of the front wall or the wrong location of the barrier controller – almost all the danger zone between the barriers remained invisible, _x000D_
_x000D_
- One-person staff of the level crossing making impossible steering of road traffic on the level crossing to avoid traffic congestion on the level crossing (lack of possibility to pass by the road trucks coming from opposite directions); not taking the appropriate actions by the infrastructure manager in accordance to the dangerous occurances taking place before the serious accident._x000D_
-	Stopping by the driver in the danger zone of the level crossing , which is violation of the  Paragraph 28. 4  Road traffic law from 20 June 1997 (consolidated text of 30 August 2012 with later amendemends) and not taking actions aimed to leave the danger zone  in connection with the closing the barriers._x000D_
 _x000D_
- No adjustment of the technical condition of roads to the level crossing and positioning of the motors of the barriers to allow  a smooth exit road vehicles from the danger zone, _x000D_
_x000D_
- The reduction of visibility due to the occurrence of fog limiting visibility to about 100 meters, _x000D_
_x000D_
Ineffective supervision over the work of level crossing operator and the state of maintenance of infrastructure, in particular: _x000D_
•	irregularities in the training of newly recruited level crossing  AH in the section on late closing of barriers and  falsing documenation of the level crossing diaries were tolerated  (closing time of barriers were written in a manner inconsistent with reality). _x000D_
•	The authorization of the level crossing AH was performed in the inproper way. _x000D_
Not full implementation by the infrastructure manager and its oparational units safety management system; not carrying out the process of change management, risk analysis and  not taking appropriate corrective and preventive actions in relation to a significant increase in road traffic volume on the level crossing.</t>
  </si>
  <si>
    <t>BE-3941</t>
  </si>
  <si>
    <t>Trains collision, 10/1/2013, Remersdael (Belgium)</t>
  </si>
  <si>
    <t>Tuesday, 1 October 2013, two freight trains collided on the viaduct La Galoppe, located on the territory of the city of Remersdaal (km 32790 of line 24)._x000D_
_x000D_
Freight train E47540 rides from station Montzen on track B Line 24 towards Genk Goederen._x000D_
Z65292 freight train rides from Aachen towards Antwerpen on track B line 24._x000D_
_x000D_
At around 4:07, the Z65292 Train strikes the rear of the train E47540. The train driver launches alarm via GSM._x000D_
_x000D_
At the time of the collision, the train E47540 was restarting, after signal K.12 went from red to green. The second train, Z65292, was riding on sight at reduced speed after passing a closed permissive signal B335._x000D_
Drivers were not injured._x000D_
_x000D_
The first train, E47540, is composed of 20 wagons of scrap. Some wagons have been damaged during the collision but have not derailed._x000D_
The second train, Z65292, is composed of 19 wagons carrying cars. Several wagons derailed and one of them fell off the viaduct La Galoppe. 
Le mardi 1er octobre 2013, deux trains de marchandises se sont percutés à hauteur du viaduc de la Galoppe, situé sur le territoire de la commune de Remersdaal, à hauteur de la borne kilométrique 32.790 de la ligne 24._x000D_
_x000D_
Le train de marchandises E47540, parti de la gare de Montzen, circule à voie normale sur la voie B de la ligne 24 en direction de Genk-Goederen._x000D_
_x000D_
Le train de marchandises Z65292 en provenance de Aachen en direction de Antwerpen circule à voie normale sur la voie B de la ligne 24._x000D_
Aux environs de 4h07, le train Z65292 percute l'arrière du train E47540, le conducteur du train lance une alarme GSM R. _x000D_
_x000D_
Au moment de la collision, le train E47540 était en train de redémarrer suite au passage au vert du signal K.12 au pied duquel il avait dû marquer l'arrêt. Le second train, Z65292, roulait à vitesse réduite après avoir franchi en marche à vue le signal permissif fermé B335. Les conducteurs ne sont pas blessés._x000D_
_x000D_
Le premier train, E47540, est composé de 20 wagons de mitrailles. Certains wagons ont subi un choc lors de la collision mais n'ont pas déraillé._x000D_
Le second train, Z65292, est composé de 19 wagons transportant des voitures. Plusieurs wagons ont déraillé et l'un d'eux est tombé en bas du viaduc de la Galoppe</t>
  </si>
  <si>
    <t>Remersdael</t>
  </si>
  <si>
    <t>SNCB Logistics; 
Crossrail Benelux</t>
  </si>
  <si>
    <t>Selon le scénario le plus probable établi par l'OE suite à son enquête, la cause directe de la collision_x000D_
par rattrapage du premier train par le second est le freinage tardif du second train. 
According to the most likely scenario established by the IB after investigation, the direct cause of the collision is the late braking of the second train.</t>
  </si>
  <si>
    <t xml:space="preserve">Divers facteurs ont agi en tant que causes indirectes :_x000D_
• la représentation mentale de la situation par le conducteur:_x000D_
   le conducteur n'a pas d'information sur la raison de la fermeture du signal permissif fermé_x000D_
   qu'il franchit en marche à vue : les raisons peuvent être multiples et sa représentation mentale_x000D_
   pourrait s'en trouver affectée, affaiblie._x000D_
• l'absence de visibilité du signal de queue du premier train._x000D_
   en marche à vue de nuit, un des gestes-métiers des conducteurs consiste à rechercher le_x000D_
   signal de queue lumineux d'un autre train : en l'absence de visibilité de ce signal, il y avait_x000D_
   peu de chance pour que le conducteur du second train adapte sa représentation mentale_x000D_
   et adapte sa routine mentale._x000D_
• l'absence de système de récupération :_x000D_
   l'analyse de l'Organisme d'Enquête a montré l'insuffisance d'efficacité, dans les circonstances_x000D_
   de l'accident, du système d'aide à la conduite TBL1+ ainsi que du système de signalisation_x000D_
   de cabine ETCS (niveaux 1 et 2) : ces 2 systèmes permettent de franchir un signal_x000D_
   permissif fermé à faible vitesse et la détection des trains étant réalisée par des circuits de_x000D_
   voie, ils n'apportent pas d'appui technologique au conducteur devant gérer la marche à_x000D_
   vue. D'autres systèmes, tels l'ETCS de niveau 3 ou le RCAS imaginé par le German Aerospace_x000D_
   Center, pourraient constituer des systèmes de récupération mais ils sont toujours actuellement_x000D_
   en cours de développement._x000D_
_x000D_
L'OE a dégagé 2 causes sous-jacentes au cours de son enquête :_x000D_
• l'insuffisance de sensibilisation du personnel de terrain à la transmission d'information:_x000D_
   l'incompatibilité entre des lanternes et certains types de wagons était connue par les opérateurs_x000D_
   de terrain, mais ces problèmes n'ont pas été rapportés à la ligne managériale de la_x000D_
   SNCB Logistics. L'échange d'informations pertinentes pour la sécurité est essentielle pour_x000D_
   un fonctionnement efficace du SGS._x000D_
• le risque de collision par rattrapage suite au franchissement en marche à vue d'un signal_x000D_
   permissif fermé. 
</t>
  </si>
  <si>
    <t>HU-2811</t>
  </si>
  <si>
    <t>Train derailment, 10/1/2013, Vasvár (Hungary)</t>
  </si>
  <si>
    <t>7 wagons of a freight train has derailed. 
Tehervonat 7 kocsija kisiklott.</t>
  </si>
  <si>
    <t>Vasvár</t>
  </si>
  <si>
    <t>Track failure.</t>
  </si>
  <si>
    <t>Lack of maintenance.</t>
  </si>
  <si>
    <t>CZ-2820</t>
  </si>
  <si>
    <t>Train derailment, 02/10/2013, Prerov station (Czech Republic)</t>
  </si>
  <si>
    <t>Derailment of locomotive and freight wagon of shunting movement during shunting operation on switch No. 208 at Prerov station.</t>
  </si>
  <si>
    <t>Direct cause: breaking of right bent switch rail of switch No. 208 at Prerov station in a place of reforging of switch rail profile to rail profile._x000D_
_x000D_
Contributory factor:	none.</t>
  </si>
  <si>
    <t>Underlying cause: inadequate mechanical properties of right bent switch rail of switch No. 208 at Prerov station in a place of reforging of switch rail profile to rail profile, caused by incorrect technology of reforging of switch rail profile to rail profile or absence or imperfect execution of subsequent heat treatment in the manufacturing process._x000D_
_x000D_
Root cause: none.</t>
  </si>
  <si>
    <t>RO-2804</t>
  </si>
  <si>
    <t>Train derailment, 04/10/2013, Suplacu de Barcau - Simleu Silvaniei (Romania)</t>
  </si>
  <si>
    <t>the 18-th wagon from the freight train no. 89401 derailed</t>
  </si>
  <si>
    <t>Suplacu de Barcau - Simleu Silvaniei</t>
  </si>
  <si>
    <t>The direct cause of the accident occurrence is the climbing of the flange of wheel no. 1 from the right side of the first axle from the first bogie in the running direction of the wagon no. 82537988021-4, 18th from the train on the head of the rail corresponding to the exterior curve rail and the derailment of the axle, as a result of the action of the following several factors:_x000D_
-the existence of an inefficient Lenoir shock absorber afferent to the leading wheel no. 1 from the first bogie in the running direction from wagon no. 82537988021-4, 18th from the train;_x000D_
-the overlap of the characteristic points “RC” with the point “V”, in the front of km 53+702, determinate in length profile the end of the slope of 4,5 ‰ and the beginning of the slope of 8,0 ‰, curve with left deviation;_x000D_
-the reactions in the train provoked by the pushing force effect of the active banking locomotive on a route in curve, on a slope cu a the effect of the compression force developed by the active banking locomotive, on a slope with a declivity of 8,0 ‰ 
Cauza directa a producerii acestui accident o constituie  catararea buzei bandajului rotii nr.1 din partea dreapta a primei osii de la primul boghiu sens mers al vagonului nr.82537988021-4, al 18-lea din compunerea trenului pe ciuperca sinei corespunzatoare firului exterior al curbei ?i deraierea osiei, ca rezultat al ac?iunii urmatorului cumul de factori:_x000D_
•existenta unui amortizor Lenoir ineficace aferent rotii atacante nr.1 de la primul boghiu sens mers al vagonului nr.82537988021-4, al 18-lea din compunerea trenului;_x000D_
•suprapunerea punctelor caracteristice “RC” cu punctul “V”, în dreptul km 53+702,  determinat în profilul în lung de sfârsitul rampei de 4,5‰ si începutul rampei de 8,0‰, curba cu deviatie stânga;_x000D_
•reactiunile în tren provocate de efectul fortei de împingere produsa de locomotiva împingatoare activa pe un traseu în curba, pe o  rampa cu declivitate de 8,00 ‰.</t>
  </si>
  <si>
    <t>Failure to comply with Article 6, point 3 from the Instruction of norms and tolerances for the track construction and maintenance – tracks with standard gauge no. 314/1989, approved by the Deputy Minister of Transport and Telecommunication’s Order no. 89 from the 10th of January 1989, which stipulate that: “The placement of slopes in length profile in the graduate transition curves is allowed only in duly justified cases and only with the approval of the Tracks and Installations Directorate.” 
Nerespectarea art.6 pct.3 din Instructia de norme si tolerante pentru constructii si întretinerea caii - linii cu ecartament normal nr.314/1989 aprobata prin Ordinul Adjunctului Ministrului Transporturilor si Telecomunicatiilor nr.89 din 10.01.1989, ce prevede ca: “Amplasarea racordarii declivitatilor în profil în lung în curbele de racordare se admite numai în cazuri bine justificate si numai cu aprobarea Directiei Linii si Instalatii.”</t>
  </si>
  <si>
    <t>CZ-2892</t>
  </si>
  <si>
    <t>Accident to persons caused by RS in motion, 10/11/2013, Karlov pod Jestedem station (Czech Republic)</t>
  </si>
  <si>
    <t>Three maintenance workers were working on the track, while the train_x000D_
No. 101155 drove on this track and one worker was hit by this passing_x000D_
train.</t>
  </si>
  <si>
    <t>Karlov pod Jestedem station</t>
  </si>
  <si>
    <t>Direct cause:_x000D_
• failure to stop work activity of contractor's employee on not excluded track at the time when train No. 101155 passed by. This employee wasn't warned by the work site patrol;_x000D_
• violation of terms for securing the work area by failure of providing information about current transport situation. Failure to determine adequate distance from the beginning of the work area. Consequence was late giving warning signals._x000D_
_x000D_
Contributory factor:_x000D_
• unsuitable manner of informing workers while working on not excluded track relative to the used working tools;_x000D_
• providing of supervisor activities when working on not excluded track by incompetent person.</t>
  </si>
  <si>
    <t>Underlying cause:_x000D_
• breach of technological procedures of (IM) - failure to ensure of informing station dispatcher from Karlov pod Ještedem station about the planned works on operated, not excluded track, who is going to ensure supervision and time range within which the supervisor will have to report itself to station dispatcher of Karlov pod Ještedem station because of work safety conditions;_x000D_
• breach of technological procedures of IM for activity on operated, not excluded track._x000D_
_x000D_
Root cause:_x000D_
•failure to create sufficient control system which in case of unauthorized delegation of system responsibility for activities on not excluded track towards other legal entities would prevent:_x000D_
- conducting contractor's work activities on not excluded track without permission issued by infrastructure manager's employee responsible for this appropriate district;_x000D_
- performing operation supervisor by professionally unqualified person without local knowledge and appropriate documentation knowledge;_x000D_
- acquiring appropriate qualification by person incapable in practice to apply rules and regulations for safety operation and maintenance of management and safety system during work activities on not excluded track and during conducting safety cooperation between infrastructure manager's and contractor's employees.</t>
  </si>
  <si>
    <t>FR-2868</t>
  </si>
  <si>
    <t>Level crossing accident, 15-10-13, Saint-Rémy-de-Sillé (France)</t>
  </si>
  <si>
    <t>TGV train n°8665 hits a lorry and derails on level crossing n°128 at Saint-Rémy-de-Sillé on the double track line from Le Mans to Rennes</t>
  </si>
  <si>
    <t>Saint-Rémy-de-Sillé</t>
  </si>
  <si>
    <t>The urderslung trailer has been blocked on the level crossing because of the road profile</t>
  </si>
  <si>
    <t>Poor preparation of the route by the road driver;_x000D_
Insufficient road signs and signals</t>
  </si>
  <si>
    <t>UK-2890</t>
  </si>
  <si>
    <t>Train derailment, 15/10/2013, Camden Road (United Kingdom)</t>
  </si>
  <si>
    <t>The train involved was travelling from Lawley Street in Birmingham to Felixstowe and comprised a class 70 locomotive hauling 22 flat wagons loaded with containers. The fifth wagon on the train was carrying two containers. The container at the leading end was loaded with scrap metal and the container at the trailing end was empty._x000D_
_x000D_
At around 02:40 hrs, the rear bogie of the fifth wagon derailed in the vicinity of the disused station at Primrose Hill as the train was travelling over the spur which links the West Coast Main Line with the North London line. The train was travelling at around 17 mph (27 km/h) at the time. The train then ran with the bogie derailed for a distance of about 900 metres._x000D_
_x000D_
As the train joined the North London line at Camden Road West Junction, the derailed bogie struck the points, causing the rear bogie to collapse and the front bogie of the same wagon to derail. The rear container on the wagon fell from the train, and collided with an overhead line stanchion. The damage to the wagons in the vicinity of the derailment split the train’s brake pipe and this resulted in the train being stopped automatically._x000D_
_x000D_
The route through Camden Road was closed for six days as it was necessary for Network Rail to arrange for key track and overhead line equipment components to be specially manufactured. London Overground services and freight train operations between the Midlands and the Thames-side ports/East Anglia were severely disrupted throughout this period.</t>
  </si>
  <si>
    <t>Camden Road</t>
  </si>
  <si>
    <t>The leading right hand wheel of the trailing bogie on wagon No. 641063 derailed after its flange climbed up and over the rail (paragraph 39).</t>
  </si>
  <si>
    <t>The causal factors were:_x000D_
a.	The track had opposing twist faults which significantly reduced the load on the first wheel to derail (paragraphs 46 and 135, Recommendation 1)._x000D_
b.	There was no check rail on the tight radius curve to provide lateral restraint to the wheels of the wagon and prevent flange climbing as it negotiated the curve (paragraph 58, recommendation 1 of the RAIB’s investigation into the derailment at Ordsall Lane Junction on 23 January 2013, see paragraph 134b)._x000D_
c.	The combination of longitudinal and lateral asymmetric loading of the wagon.  Linked factors include: _x000D_
i	the extent of asymmetric loading of wagon No. 641063, which reduced the load on the right-hand rear wheels (paragraph 82, Recommendation 2); and_x000D_
ii	the rules on the loading of FEA wagons had been relaxed following the derailment at Duddeston Junction in 2007, allowing greater longitudinal asymmetry (paragraph 87, Recommendation 2)._x000D_
It is possible that the following factor was causal:_x000D_
a.	The level of friction between wheel and rail may have increased the probability of derailment (paragraph 62, recommendation 1 of the RAIB’s investigation into the derailment at Ordsall Lane Junction on 23 January 2013, see paragraph 134b)._x000D_
The RAIB also concluded that:_x000D_
a.	lateral track irregularities increased the probability of derailment by increasing the lateral forces at the wheel/rail interface (paragraph 68, Recommendation 2); and._x000D_
b.	there is a possibility that the FEA(E) wagon is particularly prone to flange-climbing derailment on twisted track when loaded asymmetrically (paragraph 95, Recommendation 2)._x000D_
_x000D_
Underlying factors _x000D_
The underlying factors were:_x000D_
a.	The effect of asymmetric loading on the resistance of the FEA(E) wagon to derailment on twisted track was not considered as part of the process for accepting the wagon for operation on Britain’s railway infrastructure (paragraph 100, Recommendation 3)._x000D_
b.	Following previous similar derailments, neither the duty holders, Freightliner and Network Rail, nor RSSB had fully quantified the risk from operation of FEA wagons with asymmetric loading or determined whether measures were required to mitigate the risk (paragraph 106, Recommendation 2)._x000D_
c.	There was insufficient awareness of the ongoing poor condition and classification of the North London lines (both as a passenger route and as category 3 track) among the managers of the Euston Maintenance Delivery Unit (paragraphs 51 and 113, Learning point 1)._x000D_
_x000D_
Factor affecting the severity of consequences_x000D_
The following factor exacerbated the consequences of the event:_x000D_
a.	The spigots on the wagon did not restrain the 40 ft container following the derailment (no recommendation).</t>
  </si>
  <si>
    <t>UK-2891</t>
  </si>
  <si>
    <t>Train derailment, 10/15/2013, Gloucester (United Kingdom)</t>
  </si>
  <si>
    <t>Derailment of a freight train that happened at around 20:15 hrs on 15 October 2013, on the approach to Gloucester on the railway line from Newport via Lydney._x000D_
_x000D_
The train comprised a class 66 locomotive and 14 twin container flat wagons, loaded with curtain sided containers. It was travelling at a speed of around 69 mph (111 km/h) when the rear axle of the rear wagon derailed around 4 miles (6.5 km) from Gloucester. The maximum permitted speed for this section of railway line was 90 mph (145 km/h) although the maximum permitted speed for this train was 75 mph (121 km/h)._x000D_
_x000D_
The train driver was unaware of the derailment and the train continued with one axle derailed for a distance of around 3.8 miles (6.1 km) until, at Gloucester West junction, the derailed wagon collided with a set of facing points while travelling at 22 mph (35 km/h). Here both wheelsets were torn from the rear bogie and the empty container on the rear wagon was thrown off. The driver was slowing the train to comply with line speed restrictions and remained unaware of the derailment._x000D_
_x000D_
The train then continued towards Gloucester causing further damage to the track and wagon, damaging two bridges and throwing some debris onto a road below. As the train arrived into Gloucester station, the driver brought the train to a stand after he received an emergency message from the signaller over the cab radio system, calling for all trains in the Gloucester area to stop. The signaller had become aware of the derailment through damage to the signalling system. No one was injured as a result of this accident._x000D_
_x000D_
Examination of the line on the approach to the point at which the rear axle derailed, revealed evenly spaced dips in the rails which resulted in regular variations in the vertical height of the track; a phenomenon known as cyclic top.</t>
  </si>
  <si>
    <t>Gloucester</t>
  </si>
  <si>
    <t>The rear wheelset of the last wagon in the train derailed on plain line when it passed over a cyclic top track defect.</t>
  </si>
  <si>
    <t>The causal factors were:_x000D_
a. The track on the up main line between 118 miles 50 chains and 118 miles 40 chains had a vertical track geometry defect that required immediate action but there was no speed restriction in place for trains passing over it (paragraph 63, Recommendation 2)._x000D_
i. The cyclic top track defects had formed as a result of water flowing in the formation under the track (paragraph 68, Recommendation 1)._x000D_
ii. The local Network Rail maintenance team was identifying the cyclic top track defect through its track inspection regime but its short and medium term repairs were ineffective and the long term solution had not been progressed (paragraph 80, Recommendation 4)._x000D_
iii. The Network Rail maintenance team had no manual way of measuring the level of cyclic top still present after completing short term repairs or measuring the rate at which the cyclic top worsened once trains began running over it (paragraph 93, Recommendation 3)._x000D_
iv. Train 4M36 was permitted to run at speeds up to its maximum speed of 75 mph (121 km/h) over the cyclic top on the up main line (paragraph 98, Learning Point 1 and Recommendation 2)._x000D_
b. The IDA wagon is susceptible to wheel unloading at its rear bogie when responding to cyclic changes in vertical track geometry (‘cyclic top’), especially with a partial load, such as an empty 45 foot long curtain-sided container. This was not identified when the wagon was approved for use on Network Rail’s infrastructure (paragraph 114, Recommendation 6)._x000D_
i. The IDA wagon’s ride performance was not tested with a partial load such as an empty 45 foot long curtain-sided container. If it had been tested, it is probable that the IDA wagon would not have met the ride performance criteria in Railway Group Standard GM/RT2141 issue 3 (paragraph 134, Recommendation 5)._x000D_
ii. The approval process for the IDA wagon did not assess the wagon’s ride performance when loaded with a partial load such as an empty 45 foot long curtain-sided container (paragraph 150, Learning Point 2 and Recommendation 5)._x000D_
_x000D_
Underlying factors_x000D_
195 The underlying factors were:_x000D_
a. The track drainage deficiencies at this location were not addressed during the two years that the cyclic top track defect worsened (paragraph 77, Recommendation 1)._x000D_
b. There was an absence of management challenge to the repeated ineffective repair of the cyclic top and removal of emergency speed restrictions (paragraph 110, Recommendation 2)._x000D_
c. The ride performance of the IDA wagon in response to regular changes in vertical track geometry (‘cyclic top’) was not specifically tested or assessed as_x000D_
part of the approval process, because the standards it was approved against did not require it (paragraph 158, Recommendation 5)._x000D_
Additional observations_x000D_
196 Although not linked to the cause of the accident, the RAIB observes that:_x000D_
a. The drain at the top of the cutting had been partially blocked by vegetation since at least 2009 because it was not on Network Rail’s system for managing_x000D_
the inspection and maintenance of its drainage assets (paragraph 181, no recommendation, see paragraph 202)._x000D_
b. At the time of the accident, Network Rail’s Gloucester track maintenance depot had a shortfall in its resources due to vacancies and long term illness,_x000D_
which meant there was limited resilience to react to unplanned increases in workload (paragraph 185, no recommendation, see paragraph 203)._x000D_
c. Guidance in document GM/GN2688 on the design of two-axle freight wagons which have a wheelbase that is a sub-multiple of a 60 foot (18.29 metres) rail_x000D_
length could also be applied to the spacing between the centres of the bogies on a bogie wagon (paragraph 189, Recommendation 7).</t>
  </si>
  <si>
    <t>DE-2870</t>
  </si>
  <si>
    <t>Trains collision, 16-10-13, Essen-Werden (Germany)</t>
  </si>
  <si>
    <t>Am 16.10.2013 gegen 00:10 Uhr kollidierte die Zugfahrt S 31648 des Eisenbahnverkehrsunternehmens (EVU) DB Regio AG auf der Fahrt von Esse Hbf nach Köln-Nippes während der Einfahrt in den Bahnhof Essen-Werden mit einem auf der Weiche 832 stehende Arbeitszug des EVU Loco Logistik &amp; Consulting AG. 
On 16. 10. 2013 around 00:10 a. m. , the train S 31 648 of the railway company (EVU) DB Regio AG collided on the journey from Esse Hbf to Cologne-Nippes during the entrance to Essen-Werden station with a working train of the RU Loco Logistik &amp; Consulting AG standing on switch 832.</t>
  </si>
  <si>
    <t>Essen-Werden</t>
  </si>
  <si>
    <t>Die Ursache für das Ereignis war eine Verkettung von Fehlern in der Kommunikation und den betrieblichen Handlungen der an der Sperrfahrt beteiligten Personen. Außerdem wurden Mängel in der Baubetriebsplanung deutlich. 
The cause of the event was a chaining of errors in the communication and the operational actions of the persons involved in the blockade drive. Weaknesses in the planning of construction operations were also evident.</t>
  </si>
  <si>
    <t>DK-5313</t>
  </si>
  <si>
    <t>Level crossing accident, 16-10-13, Grib Skov (Denmark)</t>
  </si>
  <si>
    <t>Level crossing accident, person on bicycle 
Person påkørt af tog i overkørsel i Grib Skov</t>
  </si>
  <si>
    <t>Grib Skov</t>
  </si>
  <si>
    <t>Inattention from cyclist combined with The local railway had not set any shutdowns or warnings about the lack of coverage in relation to possible traffic on the forest road. Also, at the other crossings where the coating was removed, there were set-ups or warnings.</t>
  </si>
  <si>
    <t>RO-2867</t>
  </si>
  <si>
    <t>Trains collision, 16.10.2013, Monor Gledin - Rapa de Jos (Romania)</t>
  </si>
  <si>
    <t>The service train no. 48924 (formed from catenary renewal and installation machine with motor tower car DP58),  collided with the last wagon of the freight train no.50473 belonging of the SC UNICOM TRANZIT SA</t>
  </si>
  <si>
    <t>Monor Gledin - Rapa de Jos</t>
  </si>
  <si>
    <t>Cauza directa a producerii acestui accident grav o constituie neoprirea drezinei pantograf DP 58 care circula în trasa trenului de marfa nr.48924, la semnalul BL 6 de pe BLA Monor Gledin – Râpa de Jos care, fiind stins, ordona oprirea, fapt ce a condus la ajungerea din urma si lovirea ultimului vagon din compunerea trenului de marfa nr.50473-2, deraierea drezinei pantograf de cea de a doua osie în sensul de mers si ranirea unui numar de 16 persoane aflate pe drezina pantograf._x000D_
       	_x000D_
Factori care au contribuit:_x000D_
•	vegetatia abundenta existenta în zona semnalului luminos de trecere al blocului de linie automat BL 6, care a împiedecat vizibilitatea acestuia. _x000D_
•	starea tehnica a semnalului luminos BL6 care avea becul ars si la focul rosu de rezerva._x000D_
•	starea  de oboseala accentuata a mecanicului de drezina generata prin faptul ca acesta lucra în regim de consemn la locul de munca, în conditiile în care nu a avut asigurat timpul de odihna prevazut de Regulamentul de consemn si nici cel prevazut între doua prezente succesive la serviciu._x000D_
•	neasigurarea la Districtul LC+EA ELF Saratel a numarului optim de posturi pentru functia de mecanic drezina pantograf, fapt ce a condus la neacoperirea necesarului de personal autorizat pentru asigurarea continuitatii serviciului, chiar si prin regimul de consemn adoptat. 
The direct cause of the occurrence of this serious accident is the failure to stop the tower wagon DP 58 which run on the available train path of the freight train no. 48924, at signal BL 6 from BLA Monor Gledin – Rapa de Jos which, being on danger, fact which led to the overtaking and the hitting of the rear wagon from the freight train no. 50473-2, the derailment of the tower wagon from the second axle in the running direction and the injury of a number of 16 persons from the tower wagon._x000D_
_x000D_
Contributing factors_x000D_
•	the abundant vegetation existent in the area of the entry color light signal of the automatic line block BL 6, which stopped its visibility;_x000D_
•	the technical state of the color light signal BL 6 which had the bulb burned out and at the back up red signal light;_x000D_
•	the enhanced fatigue of the driver, generated through the fact that he was working under the confinement at the working place, in conditions in which he hadn’t the resting time foreseen in the Confinement Regulation and neither that foreseen between two successive presences on duty;_x000D_
•	the noninsurance at District LC – EA – ELF Saratel of the optimal number of posts for the position driver tower wagon, fact which led to the uncovering of the necessary authorized employees, even though the adopted confinement regime.</t>
  </si>
  <si>
    <t>Cauze subiacente_x000D_
Nerespectarea prevederilor art.89 alin.(1) si alin.(2) din Regulamentul de semnalizare nr.004/2006 referitoare la obligatiile mecanicului în cazul în care întâlneste un semnal luminos de trecere al blocului de linie automat stins._x000D_
_x000D_
Cauze primare _x000D_
-	Neconcordanta între prevederile art.13 alin.(1) din Instructia 340/2001 (conform caruia îndrumarea si circulatia UAM se face pe baza de cale libera) si art.208, alin.(3) din Regulamentul 005/2005 (conform caruia UAM se pot expedia dupa un tren – care sunteaza sigur – la sector de bloc)._x000D_
-	Lipsa prevederilor referitoare la competentele si la modul de desfasurare a autorizarii agentului de însotire a drezinei pantograf. _x000D_
-	Lipsa prevederilor din Regulamentului de consemn referitoare la asigurarea personalului autorizat pentru conducerea drezinelor dupa interventiile ce întrerup perioada de odihna 
Underlying cause_x000D_
_x000D_
None respecting the provisions of art. 89, paragraph (1) and paragraph (2) from the Signaling Regulation no. 004/2006 referring to the driver’s obligations in the case he’s meeting an off passing light signal of the automatic line block. _x000D_
_x000D_
Root causes_x000D_
_x000D_
-	the inconsistency between art. 13, paragraph (1) from the Instruction 340/2001 (according to which the guiding and the traffic UAM is made based on free track) and art. 208, paragraph (3) from the Regulation 005/2005 (according to which UAM can be dispatched after a train  which is shunting safe – at a block sector);_x000D_
-	the lack of provisions from the Confinement Regulation referring to the assuring of the authorized personnel to drive the tower wagons after the interventions which are interrupting the rest period</t>
  </si>
  <si>
    <t>HU-2864</t>
  </si>
  <si>
    <t>Train derailment, 17-10-13, Vörösmarty tér (Hungary)</t>
  </si>
  <si>
    <t>Train deraileld with its two axles. _x000D_
(the occurrence happened again at the station due to similar circumstances on 30/10/2013 and 31/10/2013)</t>
  </si>
  <si>
    <t>Vörösmarty tér</t>
  </si>
  <si>
    <t>A jármuvekre szerelt nyomkarima keno berendezés hatása kialakításánál fogva a Vörösmarty tér váltókörzetében nem érvényesül._x000D_
Az esztergálás után, „bekopás” alatt lévo kerekek és a sínszálak között a kis sugarú ívben haladva fellépo kedvezotlen súrlódás olyan mértékure nott, hogy a kerekek a sínszálakra felkaptak. 
Due to its design, the influence of the flange lubrication equipment fitted to the vehicles does not apply in the Red Marty area.  _x000D_
After turning, the unfavourable friction between the wheels under “abrasion” and the rail strands, running in a small radius arc, has increased to such an extent that the wheels have risen to the rail strands.</t>
  </si>
  <si>
    <t>NO-3011</t>
  </si>
  <si>
    <t>Other event, 17/10/2013, Bybanen Bergen, Mårdalen stop (Norway)</t>
  </si>
  <si>
    <t>The person was run down when crossing the tracks outside the pedestrian crossing in the plattform area on the station.</t>
  </si>
  <si>
    <t>Bybanen Bergen, Mårdalen stop</t>
  </si>
  <si>
    <t>The accident occurred as the person was in the process of crossing the tracks some way away from the pedestrian crossing in order to get to the platform on the other side. It is assumed that the deceased was focusing on the vehicle standing at the platform on the opposite side in order to take it to work, and therefore failed to notice the light rail vehicle coming from the left on the nearest track.</t>
  </si>
  <si>
    <t>HU-3031</t>
  </si>
  <si>
    <t>Level crossing accident, 18-10-13, Between Meglod and Rakoshegy station (Hungary)</t>
  </si>
  <si>
    <t>A car was hit by a passenger train at a level crossing. The wigwag of the LC was not operating, the barrier of the LC was in raised position when the occurrence happened.</t>
  </si>
  <si>
    <t>Between Meglod and Rakoshegy station</t>
  </si>
  <si>
    <t>The IC attributes the occurrence to the following factors:_x000D_
The warning lights turned into failure state because the train stayed in the open line too long._x000D_
No order was issued relevant to the setting of the block signals to “Stop!” position and to a procedure to be followed subsequently._x000D_
The train significantly exceeded the speed limit applicable in such cases._x000D_
The reduced sight triangle as not available from the given direction._x000D_
The driver of the road vehicle accessed the level crossing without stopping at the marked spot and making sure that crossing would be safe</t>
  </si>
  <si>
    <t>IT-2903</t>
  </si>
  <si>
    <t>Fire in RS, 10/24/2013, Line between Locate Triulzi - Milano Rogoredo (Italy)</t>
  </si>
  <si>
    <t>Train 50346, relationship Alessandria shunting yard - Chiasso shunting yard (14 wagons containing dangerous goods: UN code 1077, Danger code 23 , standing in line due to fire in the locomotive 655-520.</t>
  </si>
  <si>
    <t>Line between Locate Triulzi - Milano Rogoredo</t>
  </si>
  <si>
    <t>Failure of insulating material inside the D.C. filter capacitor  in the cabinet of the Filter High Voltage (FAT) positioned in input to the two static converters ARSA.</t>
  </si>
  <si>
    <t>Lack of special checks on the components of the FAT, particularly on the condenser and the discharge resistor with particular regard to the presence of bulges, oil leaks, deformations of the anchorage areas of the insulators, traces of discharges or beading._x000D_
Lack of reports on bench about any short circuit conditions of electrical components in HT cab, with the procedures to be followed in case of opening of the IR due to a short circuit, and in the lack of systems of block of the FAT</t>
  </si>
  <si>
    <t>DE-2924</t>
  </si>
  <si>
    <t>Trains collision, 26/10/2013, Gladbeck West (Germany)</t>
  </si>
  <si>
    <t>Güterzug 89025 kollidierte nach vorheriger Vorbeifahrt am haltzeigenden Ausfahrsignal des Bahnhofs Gladbeck West mit dem einfahrenden Güterzug 63174. 
After passing previously the exit-stop signal of the railway station Gladbeck West, the freight train 89025 collided with the incoming freight train 63174.</t>
  </si>
  <si>
    <t>Gladbeck West</t>
  </si>
  <si>
    <t>Güterzug 890258 fuhr aufgrund ungenügender Bremswirkung am haltzeigenden Ausfahrsignal vorbei. Die ungenügende Bremswirkung ist auf einen geschlossenen Luftabsperrhahn zurückzuführen. 
Due to the insufficient braking effect, the freight train 890258 passed by the exit-stop signal. The insufficient braking effect is due to a closed air shut-off valve.</t>
  </si>
  <si>
    <t>UK-3008</t>
  </si>
  <si>
    <t>Other event, 26/10/2013, Aspatria (United Kingdom)</t>
  </si>
  <si>
    <t>At 10:03 hrs, a 2.5 tonne builder’s pick up vehicle ran away from the B5299 Brayton Road, broke through the railway boundary fence and fell down the embankment, coming to rest on its roof in the middle of the line used by trains going in the direction of Workington. The 09:39 hrs train from Carlisle to Lancaster was approaching at the time, but its driver was alerted by an emergency stop call over the train’s radio system and was able to stop 1.5 (2.4 km) miles from the obstruction on the line._x000D_
At the accident location, the B5299 joins the main A596 road at a junction adjacent to the railway, and at a point where the A596 runs parallel to the railway, before crossing it over Aspatria Tunnel. Locations where a road is close to a railway are required to be assessed by the local highway authority and/or Network Rail to determine the risk of road vehicle incursion to the operational railway.</t>
  </si>
  <si>
    <t>Aspatria</t>
  </si>
  <si>
    <t>The unattended road vehicle ran away down the B5299 Brayton Road towards the railway and neither the roadside kerb nor the wooden fence forming the railway boundary opposite the road junction with the A596 Lawson Street at Aspatria prevented the road vehicle entering railway infrastructure (paragraph 48).</t>
  </si>
  <si>
    <t>The risk ranking process in the DfT’s guidance does not describe how the risk of a vehicle that has lost control on a side road (eg a runaway on a side road with a downhill gradient towards the railway) should be assessed and then taken into account in conjunction with the risk of road vehicle incursion from the corresponding main road so that an overall risk ranking score may be derived (paragraph 49, Recommendations 1 and 2).</t>
  </si>
  <si>
    <t>ES-2901</t>
  </si>
  <si>
    <t>Spad, 27/10/2013, Zalla station (Vizcaya) (Spain)</t>
  </si>
  <si>
    <t>Passenger train overtook exit signal S2/2 at Zalla station._x000D_
A near miss train collision occurred.</t>
  </si>
  <si>
    <t>Zalla station (Vizcaya)</t>
  </si>
  <si>
    <t>The incident is caused by human failure of train driver of train 08904 in particular due to a lack of attention while driving. As a consequence, the order stated by exit signal S2/2 was not complyed with and signal was improperly overrun, breaching article 2/04/00 of Signal Book of Feve.</t>
  </si>
  <si>
    <t>ES-2902</t>
  </si>
  <si>
    <t>Train derailment, 27/10/2013, Sant Andreu Arenal station (Barcelona) (Spain)</t>
  </si>
  <si>
    <t>Passenger train partially derailed (last coach) at Sant Andreu Arenal station</t>
  </si>
  <si>
    <t>Sant Andreu Arenal station (Barcelona)</t>
  </si>
  <si>
    <t>The accident is caused by human failure of traffic agent when wrongly actuated switch nº 12, while train was right passing through it, and probably being his intention to actuate switch nº4._x000D_
This failure might be caused by the traffic agent´s workload at that moment since he had to simultaneously authorize commuter trains´movements and help the infrastructure staff to repair the existing breakdown. Nevertheless, to actuate both switches without a previous verification that the track circuit A4 was empty were not a proper action. Non-compliance with article 268.3 of Operation Manual</t>
  </si>
  <si>
    <t>UK-3132</t>
  </si>
  <si>
    <t>Level crossing accident, 29/10/2013, Barratts Lane FPC (United Kingdom)</t>
  </si>
  <si>
    <t>On Saturday 26 October 2013. At about 14:50 hrs, an elderly female pedestrian who was crossing the railway, was struck by a train travelling from Nottingham to Birmingham, and killed instantly._x000D_
_x000D_
The crossing, which is over two tracks, links two residential areas. Immediately prior to the accident another train, travelling towards Nottingham, had been stopped at a signal near to the crossing and its presence may have distracted the pedestrian.</t>
  </si>
  <si>
    <t>Barratts Lane FPC</t>
  </si>
  <si>
    <t>The immediate cause of the accident was that the pedestrian started to cross the line as a train was approaching from the Nottingham direction.</t>
  </si>
  <si>
    <t>It is likely that the pedestrian was distracted by the presence of another train standing at a nearby signal.</t>
  </si>
  <si>
    <t>CZ-3343</t>
  </si>
  <si>
    <t>Train derailment, 03/11/2013, Brno - Malomerice station (Czech Republic)</t>
  </si>
  <si>
    <t>derailment of shunting operation (freight wagon) over jammed stop_x000D_
block at the point of wide head of rail during movement from hump to_x000D_
station line No. 405.</t>
  </si>
  <si>
    <t>Brno - Malomerice station</t>
  </si>
  <si>
    <t>Direct cause:_x000D_
jam of double flanged railway stop block at the point of wide head of_x000D_
rail._x000D_
_x000D_
Contributory factor: none.</t>
  </si>
  <si>
    <t>Underlying cause: none._x000D_
_x000D_
Root cause:_x000D_
giving instructions to railway undertaking during organizing of_x000D_
railway transport (shunting operation) with contradictions and_x000D_
deficiencies of established safety management system according_x000D_
to provisions of internal technological procedures: SŽDC D1_x000D_
Dopravní a návestní predpis and developed technological_x000D_
procedures according to provisions of Decree No. 173/1995 Sb.,_x000D_
dopravní rád drah, as amended, which did not ensure a fluent and_x000D_
safe railway transport;_x000D_
_x000D_
operation of railway transport with contradictions and deficiencies_x000D_
of established safety management system according to internal_x000D_
technological procedures: SŽDC S3 Železnicní svršek and SŽDC_x000D_
(CD) S2/3) Organizace a provádení kontrol tratí Ceských drah_x000D_
which made impossible to ensure a fluent and safe railway_x000D_
transport according to rules for the operation of the railway_x000D_
transport and the official authorization.</t>
  </si>
  <si>
    <t>HU-3024</t>
  </si>
  <si>
    <t>Train derailment, 11/4/2013, Hatvan (Hungary)</t>
  </si>
  <si>
    <t>Eight wagons of a freight train derailed at Hatvan station. All of derailed wagons ran back on the rail, therefore the driver did not realised the event. After outgoing of the train a station personnel examined the track and noticed the traces of the derailment. The freight train was stopped at Ferencvaros station, where the traces of the derailment were also found on eight wagons of the train.</t>
  </si>
  <si>
    <t>Hatvan</t>
  </si>
  <si>
    <t>Track- vehicle interaction_x000D_
Poor track condition</t>
  </si>
  <si>
    <t>NO-3012</t>
  </si>
  <si>
    <t>Train derailment, 04/11/2013, Between Dovre and Dombås station on Dovrebanen. (Norway)</t>
  </si>
  <si>
    <t>A freight train derailed with one axel on the trains first wagon.</t>
  </si>
  <si>
    <t>Between Dovre and Dombås station on Dovrebanen.</t>
  </si>
  <si>
    <t>It is assumed that the derailment was due to a combination of factors. The settlement of the track, the composition of the train and the operation of the train were all within acceptable limits; the AIBN believes that the derailment was a result of how these factors acted together.</t>
  </si>
  <si>
    <t>FI-2950</t>
  </si>
  <si>
    <t>Trains collision with an obstacle, 07-11-13, Pännäinen, between Pännäinen and Kolppi, Seinäjoki Ylivieska section of line (Finland)</t>
  </si>
  <si>
    <t>Freight train collided with an excavator working on track.</t>
  </si>
  <si>
    <t>Pännäinen, between Pännäinen and Kolppi, Seinäjoki Ylivieska section of line</t>
  </si>
  <si>
    <t>The immediate cause of the accident was attributed to incorrect or unclear communica-tion regarding the trackwork permission given during a conversation between the track-work supervisor and the excavator driver. The confusion was caused by the permission given by the traffic controller and and wording "behind the train", and the trackwork su-pervisor's location at Pännäinen Station without visual contact with the excavator. Works permission practices had developed between the traffic controllers and trackwork supervisors that expedited trackwork but contributed to hazards. Short-circuit conductors were not used for securing the construction site.</t>
  </si>
  <si>
    <t>The root cause of the accident was a prolonged exceptional situation at Pännäinen Sta-tion, which was attributed to the trackwork contract and its delay. Problems with safety device installations had delayed the project. The traffic controller and the trackwork su-pervisor were overloaded with work._x000D_
The delay in the contract was caused by several reasons, such as problems in man-agement, communication and monitoring, incompetence of employees, and profit-seeking at the expense of safety in a large trackwork project with a main contractor and several subcontractors._x000D_
As the work proceeded and problems were discovered, the Finnish Transport Agency was able to intervene only through safety discussions and cautions. These monitoring tools were found to be ineffective in the context of the Pännäinen trackwork contract.</t>
  </si>
  <si>
    <t>IT-3170</t>
  </si>
  <si>
    <t>Level crossing accident, 11/7/2013, km 16+279, line Lecco - Bergamo (Italy)</t>
  </si>
  <si>
    <t>Train 5036 collides with an ambulance</t>
  </si>
  <si>
    <t>km 16+279, line Lecco - Bergamo</t>
  </si>
  <si>
    <t>Human error by the traffic controller of Ambivere that has issued the opening command of the barriers without checking the presence or absence of a train in the route.</t>
  </si>
  <si>
    <t>SK-3220</t>
  </si>
  <si>
    <t>Trains collision with an obstacle, 09/11/2013, Leopoldov station (Slovak Republic)</t>
  </si>
  <si>
    <t>Trains collision with an buffer-stop in Leopoldov station.</t>
  </si>
  <si>
    <t>Leopoldov station</t>
  </si>
  <si>
    <t>Derailment of locomotive and damage on equipment of IM.</t>
  </si>
  <si>
    <t>HU-2964</t>
  </si>
  <si>
    <t>Fire in RS, 10-11-13, Between Mezokeresztes-Mezonyárád and Mezokövesd station (Hungary)</t>
  </si>
  <si>
    <t>On the 10th of November 2013. a locomotive (nr. 91 53 0 480007-0) wich hauled a freight train (nr. 47221) went up in fire on the main line nr. 80 between Mezokeresztes-Mezonyárád and Mezokövesd station. After turning off the fire, locomotive transported back to the owner making disrupted examination and refurbish.</t>
  </si>
  <si>
    <t>Between Mezokeresztes-Mezonyárád and Mezokövesd station</t>
  </si>
  <si>
    <t>On the basis of available data, the IC concluded that the occurrence was caused by a defect of oil cooler of the locomotive._x000D_
On the basis of the findings of site surveys, the IC concluded that a hidden density problem developed in the oil cooler of the locomotive, which allowed the oil to leak from the closed line and flow onto the smoothing choke coil due to the construction of the vehicle. Then the oil caught fire as a result of the rise in the temperature of the coil caused by power uptake._x000D_
As a consequence of the fire, the elements of the oil cooler began to leak, and large quantity of oil leaked onto the induction coil which was already on fire, thus adding more fuel to the fire.</t>
  </si>
  <si>
    <t>The operating lever of the stop valve of the transformer oil line is made of a material which the heat of the fire was able to melt and destruct, and this made it difficult to stop oil leakage during firefighting.</t>
  </si>
  <si>
    <t>DE-2949</t>
  </si>
  <si>
    <t>Trains collision, 11-11-13, Hosena (Germany)</t>
  </si>
  <si>
    <t>Am 11.11.2013 gegen 18:26 Uhr kam es im Bahnhof Hosena im Gleis 4 zu einer Kollision (Auffahren in gleicher Richtung) der Zugfahrten DGS 90981 und GM 61649. Der GM 61649 erhielt Einfahrt in das Gleis 4, obwohl dieses noch mit dem DGS 90981 besetzt war. 
In Hosena station in track 4, there was a collision of freight trains 90981 and 61649th 61649 train was entering the track 4, although this was still occupied by the outgoing train 90981.</t>
  </si>
  <si>
    <t>Freightliner DE GmbH; 
DB Schenker Rail Deutschland AG</t>
  </si>
  <si>
    <t>Ursächlich für die Zugkollision im Gleis 4 des Bahnhofs Hosena war die Einfahrt des GM 61649 in den vom Zug DGS 90981 noch besetzten Gleisabschnitt. Dies wurde durch betriebliche Fehlhandlungen der örtlichen Mitarbeiter auf dem Befehlsstellwerk B1 und dem Weichenwärterstellwerk W3 verursacht. 
The cause of the train collision on rail track 4 at railway station Hosena was the entry of the GM 61649 on the track section which was still occupied by train DGS 90981. This had been caused by operational improper handling of local staff on the command box B1 and the points operator W3.</t>
  </si>
  <si>
    <t>HU-3032</t>
  </si>
  <si>
    <t>Spad, 18/11/2013, Between Mad and Tallya stations (Hungary)</t>
  </si>
  <si>
    <t>Freight train did not stopped at Mad station. The train left the station and ran on the same track with a passenger train coming from the opposite direction. The trains stopped cca 3000 m from each other.</t>
  </si>
  <si>
    <t>Between Mad and Tallya stations</t>
  </si>
  <si>
    <t>Factual statements directly connected to the occurrence of the accident:
The train No. 62579-2 travelled through Mád station despite the preliminary notification to the train crew and the lack of permission, and the mistake was not realised by the locomotive driver or the shunter.
Factual statements indirectly connected to the occurrence of the accident:
The chapter relating to the stopping of trains in the Train loading and running regulations No. F.2 does not require giving manual signals to the train if the train crew was notified in advance of a stop not included in the timetable.
Other risk factors:
The service timetable of the trains running according to a prompt timetable is formally identical with the service timetable of the trains running on specified paths, despite the fact that the safety critical traffic data indicated in the former is not based on real facts. Thus, this document may mislead the train crew.</t>
  </si>
  <si>
    <t>RO-2994</t>
  </si>
  <si>
    <t>Train derailment, 20/11/2013, Valea Alba - Balota (Romania)</t>
  </si>
  <si>
    <t>the 8 th wagon from the freight train no. 31710 derailed in open line Valea Alba - Balota</t>
  </si>
  <si>
    <t>Valea Alba - Balota</t>
  </si>
  <si>
    <t>Cauza directa :_x000D_
Cauza directa a producerii deraierii vagonului nr.31539335121-0 o constituie catararea buzei bandajului rotilor nr.7 pe suprafata de rulare a sinei corespunzatoare firului exterior al curbei, datorita torsionarii caii peste valoarea maxima admisa, sub actiunea fortelor dinamice generate de materialul rulant, urmata de caderea acesteia în exteriorul caii si a rotii corespondente nr.8 între firele caii._x000D_
_x000D_
Factori care au contribuit:_x000D_
-	nerespectarea prevederilor instructionale referitoare la masurile care trebuiesc luate la terminarea lucrarilor de refactie în vederea redeschiderii circulatiei feroviare, ceea ce a favorizat formarea unor denivelari transversale ale caii, cu valori peste tolerantele admise;_x000D_
-	lipsa contrasinei dintre firele caii de lânga sina corespunzatoare firului interior al curbei;_x000D_
-	nerealizarea conditiei ca diferentele între valorile masurate ale sagetilor vecine ale curbei sa se încadreze în toleranta admisa;_x000D_
-	nerespectare prevederilor caietului de sarcini „Consolidare terasament km 347+100-km 347+250 situat între statiile Balota - Valea Alba linia CF 100 Videle - Orsova P.TH.+ D.E. SUPRASTRUCTURA LINII C.F.”, referitoare la neconservarea retelei de picheti marcati în cadrul pichetajului complementar, legati în plan si profil de aceleasi repere ca pichetii plantati initial; 
Direct cause_x000D_
The direct cause of the derailment of wagon no. 31539335121-0 was the climbing of the wheel flange of wheel no. 7 on the running surface of the track corresponding to the exterior curve rail, because of the track twist over the admitted value, under the dynamic forces action generated by the rolling stock, followed by the falling of that in the exterior of the track, and of the corresponding wheel no. 8 between the track rails._x000D_
_x000D_
Contributing factors_x000D_
-	failure to comply with the instructional provisions referring to the measures that has to be taken at the finishing of the renewal of the track for the railway traffic reopening, which favored the forming of transversal level difference of the track, with values over the admitted tolerances;_x000D_
-the missing check rail between the track rails of the rail corresponding to the interior curve rail;_x000D_
-the condition that the differences between the measured values of the neighbor arrows of the curve to fit in the admitted tolerances was not realized;_x000D_
-	failure to comply with the specification provisions “Embankment protection km 347+100 – km 347+250, situated between the railway stations Balota – Valea Alba, railway line Videle – Orsova P.TH. + D.E. LINES SUPERSTRUCTURE”, referring to the not conservations of the peg network marked in the complementary markings, in plan and profile connected by the same peg as the initial planted pegs.</t>
  </si>
  <si>
    <t>UK-3070</t>
  </si>
  <si>
    <t>Trains collision with an obstacle, 20/11/2013, Chester station (United Kingdom)</t>
  </si>
  <si>
    <t>At 12:10 hrs on Wednesday 20 November 2013 a passenger train collided with the buffer stop at the end of platform 1 at Chester station and became derailed. The train involved was the 10:10 hrs Virgin Trains service from London Euston to Chester. Two passengers on the train were slightly injured in the collision._x000D_
As the train approached Chester station the driver applied the brakes to reduce the speed for the 20 mph speed limit into the platforms. The weather at the time had been dry but a rain shower was just starting and the adhesion between the wheels and rails was reduced. The train’s wheel slide protection system detected that the wheels were sliding on the rails, regulated the application of the brakes, and the train was able to achieve a rate of deceleration sufficient to bring its speed down to within the speed limit as it approached the station._x000D_
As the train approached the platform the driver lightly applied the brakes again but the wheels immediately started to slide. Despite the immediate automatic activation of the wheel slide protection system, the train’s deceleration was insufficient to bring it down to a safe speed as it moved along the platform. Consequently, the emergency brakes were applied by train protection and warning system and the driver pressed the emergency stop button very shortly afterwards. The combination of emergency braking and the detection of wheel slide triggered the automatic sanding system on the leading vehicle to drop sand onto the rail head._x000D_
The presence of the sand improved adhesion for the wheels that ran over it and the speed was reduced before the train collided with the buffer stop at the end of the platform._x000D_
The buffer stop was of an old design with only minimal capacity to absorb energy. The train destroyed it before overriding its remains to mount the platform where it came to rest. The front bogie was lifted off the track as the front of the leading vehicle rode up onto the platform.</t>
  </si>
  <si>
    <t>Chester station</t>
  </si>
  <si>
    <t>The train was unable to slow down at a sufficient rate to avoid collision with the buffer stop.</t>
  </si>
  <si>
    <t>Causal factors_x000D_
The causal factors were:_x000D_
the level of adhesion between wheels and rails was exceptionally low (paragraph 83);_x000D_
no action was taken to improve the coefficient of friction between the wheels and rail by pre-treatment of the rails;_x000D_
- the site did not qualify as being at risk of low adhesion on the basis of its surroundings_x000D_
- the site did not qualify as a low adhesion site on the basis of historical data._x000D_
the activation of the train’s sander was too late to avoid a collision with the buffer stop._x000D_
It is probable that the following factor was also causal:_x000D_
Virgin Trains’ defensive driving policy did not apply to the approach to buffer stops._x000D_
Factors affecting the severity of consequences_x000D_
A factor that exacerbated the consequences of the event was that the buffer stop was of an old design. A modern energy-absorbing design of buffer stop would have prevented the train from overriding it and mounting the platform._x000D_
_x000D_
Observation_x000D_
The Group Standard which requires sanders to be fitted to multiple units, GM/RT2461, does not mandate that the sanders operate automatically when wheel slip is detected while braking in step 2, or equivalent.</t>
  </si>
  <si>
    <t>UK-3071</t>
  </si>
  <si>
    <t>Other event, 23/11/2013, Winchfield (United Kingdom)</t>
  </si>
  <si>
    <t>At about 18:50 hrs, train 1Z94, the 17:48 hrs charter service from London Waterloo to Weymouth, was approaching Winchfield, where it was due to stop for the locomotive to take on water. While the train was travelling at about 40 mph, the right-hand connecting rod of the locomotive, former British Railways (Southern Region)  4-6-2 34067 “Tangmere”, became detached at the leading end (referred to as the small end), and dropped down. The end of the detached rod struck the conductor rail, and there was some electrical flashing. This was noticed by the locomotive crew, and the driver stopped the train immediately, about one mile outside Winchfield station. After running along the conductor rail for some distance, the connecting rod dropped onto the sleeper ends just before the locomotive came to rest._x000D_
_x000D_
The locomotive’s support crew dismantled the connecting rod, and the train was then assisted by the diesel locomotive that was attached to its rear as far as Basingstoke, where the passengers transferred to another train to continue their journey.</t>
  </si>
  <si>
    <t>Winchfield</t>
  </si>
  <si>
    <t>The immediate cause of the accident was that the small end assembly came apart (paragraph 41).</t>
  </si>
  <si>
    <t>It is likely that one or more of the following factors was causal, but the loss of some components means that RAIB cannot be certain which one: a.The cotter may have come out following the breakage of one or both of its legs; the gudgeon pin nut may then have unwound and the pin may have come out (paragraph 44, Recommendation 1). b. The design of some components had been modified during restoration of the locomotive, possibly without full consideration of the potential effect of these modifications (paragraph 69, Recommendation 4). c. As a consequence of (b), there were deficiencies in the design and manufacture of the cotter (paragraph 62, Recommendation 2). d.The gudgeon pin nut may have split, as a result of either an inherent flaw or fatigue cracking (paragraph 75, no recommendation).</t>
  </si>
  <si>
    <t>FR-3173</t>
  </si>
  <si>
    <t>Infrastructure events, 26-11-13, Carbonne (France)</t>
  </si>
  <si>
    <t>Infrastructure events</t>
  </si>
  <si>
    <t>Circulation of several trains on a multiple break of a rail having caused a gap of 1,30 m of length. 
Plusieurs trains ont circulé sur une rupture de rail occasionnant une lacune de 1,30 mètre de long.</t>
  </si>
  <si>
    <t>Carbonne</t>
  </si>
  <si>
    <t>A multiple break of the rail due to the presence, on a short distance, of three points of fragility of the rail and a defect of track's geometry</t>
  </si>
  <si>
    <t>The absence of prescription of security measures in case of dysfunction of the bell for train's announcement in the railway station_x000D_
The slown detection of a rail's break in this track without electric circuit in the rails</t>
  </si>
  <si>
    <t>DK-5314</t>
  </si>
  <si>
    <t>Trains collision, 30-11-13, Padborg (Denmark)</t>
  </si>
  <si>
    <t>Arriving freight train hit side-on by freight train ready to leave the staion</t>
  </si>
  <si>
    <t>Padborg</t>
  </si>
  <si>
    <t>DB Schenker Rail Scandinavia A/S; 
Denmark</t>
  </si>
  <si>
    <t>tog TG 40569 satte sig uden lokomotivførerens mellemkomst i bevægelse fordi toget, bl.a. under hensyntagen til de på Padborg station forekommende fald, ikke var - tilstrækkeligt - afbremset mens det afventedes afgangstilladelse</t>
  </si>
  <si>
    <t>- Lokomotivførerne var ikke kendt med det forholdsvis stærke fald på op til 4 promille på sporene på Padborg station_x000D_
- Lokomotivet (dispolok) var ikke udrustet med et togkontrolsystem, der kunne aflæse ATC-baliserne på Padborg station</t>
  </si>
  <si>
    <t>IT-3171</t>
  </si>
  <si>
    <t>Train derailment, 12/1/2013, km 10+200 line Foggia - Metaponto (Italy)</t>
  </si>
  <si>
    <t>Train derails because of the removal of part of the roadbed as a result of adverse weather conditions.</t>
  </si>
  <si>
    <t>km 10+200 line Foggia - Metaponto</t>
  </si>
  <si>
    <t>Introflection of rails caused by the removal of a section of the railway embankment below due to a flood event of considerable importance with the flooding of the river Carapelle and the channel Ponte Rotto._x000D_
Inadequate disposal of alluvial flow from the hydraulic structures in the route concerned, for which it has been determined the undermining of the embankment below the track, with the introversion of the track._x000D_
Failure to secure the driver's seat on the floor, which, without attachment, was able to move independently within the cabin as a result of shaking, causing injuries to the driver.</t>
  </si>
  <si>
    <t>Failure to consider the route as a singular point as regards atmospheric phenomena characterized by particular situations of danger in the context of the system In.Rete 2000 of RFI SpA, then no obligation to carry out extraordinary monitoring activities._x000D_
The numerous sharp edges and protrusions present in the cabin, on which, to the effect of shocks suffered during the derailment, the agents in the cabin have repeatedly impacted.</t>
  </si>
  <si>
    <t>HU-3051</t>
  </si>
  <si>
    <t>Spad, 02-12-13, Vác (Hungary)</t>
  </si>
  <si>
    <t>Leaving Vac station the train No.2114. run on the same track with the train No. EC273, which was arriving form the opposite direction. Drivers had realised the dangerous situation a stopped their train. 
A kijáró 2114 sz. vonat szembeközlekdett az EC273. sz. vonattal</t>
  </si>
  <si>
    <t>Vác</t>
  </si>
  <si>
    <t>RO-3035</t>
  </si>
  <si>
    <t>Fire in RS, 02/12/2013, Zlatarei - Dragasani stations (Romania)</t>
  </si>
  <si>
    <t>the diesel locomotive DA 875 wich hauled the freight train no. 22002-1 caught fire</t>
  </si>
  <si>
    <t>Zlatarei - Dragasani stations</t>
  </si>
  <si>
    <t>Cauza directa _x000D_
Incendiul s-a produs ca urmare a fisurarii racordului flexibil de la instalatia de alimentare cu combustibil a motorului diesel, care face legatura între robinetul cu trei cai si filtrul brut,  în zona armaturii superioare de lânga robinetul cu trei cai, ce a avut ca urmare pulverizarea motorinei si aprinderea acesteia de la scânteile produse la colectorul motorului electric ce antreneaza pompa de combustibil si pompa auxiliara de ulei a motorului diesel. 
Direct cause _x000D_
The fire occurred due the cracking of the flexible pipe from the fuel installation of the diesel engine, which connects three-way valve and coarse filter in the upper valve next to the three-way valve, resulting the spraying of the diesel and its ignition from sparks from the electric motor collector that drives the fuel pump and the auxiliary oil pump of the diesel engine.</t>
  </si>
  <si>
    <t>Cauze subiacente _x000D_
Nu s-a respectat ciclul de reparatii la locomotiva, conform prevederilor Normativului feroviar "Vehicule de cale ferata. Tipuri de revizii si reparatii planificate. Normele de timp sau normele de kilometri parcursi pentru efectuarea reviziilor si reparatiilor planificate", aprobat prin Ordinul Ministrului Transporturilor si Infrastructurii nr.315/2011, modificat si completat prin Ordinul Ministrului Transporturilor si Infrastructurii nr.1359/2012. 
Underlying causes_x000D_
The repairs cycle at the locomotive was not respected, according to the provisions of the Railway Norm "Railway Vehicles. Types of inspections and planned repairs. Time norms or mileage standards for maintenance and planned repairs", approved by Ministry of Transport and Infrastructure’s Order no. 315/2011, amended and completed through Ministry of Transport and Infrastructure’s Order no. 1359/2012.</t>
  </si>
  <si>
    <t>RO-3053</t>
  </si>
  <si>
    <t>Level crossing accident, 04/12/2013, Praid - Sovata (Romania)</t>
  </si>
  <si>
    <t>at km 109 +410 level crossing  fitted with road sign and mechanical barriers  the vehicle no. AG 87 ECB hitted the diesel multiple unit nr.4503, operating as train no. 14630, and the diesel multiple unit derialed</t>
  </si>
  <si>
    <t>Praid - Sovata</t>
  </si>
  <si>
    <t>Cauza directa a producerii accidentului o constituie nerespectarea de catre conducatorul autovehiculului a semnificatiei indicatoarelor rutiere, referitor la prudenta sporita de care trebuie sa dea dovada participantii la traficul rutier la apropierea si traversarea liniilor de cale ferata, coroborata cu nerespectarea prioritatii de trecere a trenului la trecerea la nivel._x000D_
_x000D_
Factori care au contribuit :_x000D_
•	conducatorul autovehiculului nu s-a asigurat înainte de trecerea la nivel si nu a oprit înaintea acesteia, având în vedere ca indicatoarele rutiere îl avertizau ca se apropie de un loc deosebit de periculos unde ar fi trebuit sa se asigure înainte de a traversa pasajul la nivel, chiar daca informa?iile referitoare la tipul trecerii la nivel erau ambigue; 
The direct cause of the accident is the non-respecting of the driver of the vehicle of the meaning of road signs, increased caution of the road users when approaching and crossing railway lines, combined with non-respecting of the crossing priority of the train at crossing level._x000D_
_x000D_
Contributing factors_x000D_
-	the driver didn’t assured before the level crossing and did not stop before it, since the road signs warning him that he was approaching at a very dangerous place where he should assured before crossing the level crossing, even if information of that type of the level crossing were ambiguous.</t>
  </si>
  <si>
    <t>IE-3096</t>
  </si>
  <si>
    <t>Spad, 2013-12-08, Millstreet Station (Ireland)</t>
  </si>
  <si>
    <t>A303 the 11.50hrs passenger service Tralee to Hueston passed signal TL223 at TL223 at danger while A304 was approaching the platform at Millstreet Station.</t>
  </si>
  <si>
    <t>Millstreet Station</t>
  </si>
  <si>
    <t>The RAIU investigation found that the immediate cause of the SPAD was that Driver A303 did not see 
that Signal TL223 was displaying a stop aspect and continued driving towards Millstreet Station. 
Possible contributory factors to Train A303 arriving at Millstreet Station Platform were:
 The current basic overrun protection in the Millstreet area does not provide sufficient protection to 
trains on single lines with crossings loops;
 Driver A303 lost situational awareness, as he thought Signal TL223 was displaying a green 
aspect;
 Driver A303 had an incorrect expectation that Signal TL223 would be displaying a green aspect 
as he had never approached the signal displaying a red light; this incorrect expectation was 
reinforced by the fact that the barriers for Level Crossing XE061 were lowered on his approach 
and there were passengers waiting on the platform. Furthermore, he had not been made aware 
by radio or by any other means and he was unaware that the crossing point for the trains had 
changed;
 Driver A303 did not apply any form of Error Prevention Technique (EPT) on the approach to the 
yellow aspect of Signal TLR223 to remind him that Signal TL223 would be displaying a red 
aspect;
 Driver A303 did not apply any EPT to refocus on his driving duties after he had become stressed, 
distracted and preoccupied by the events at Killarney Station during the same journey, where two 
young children were left unattended, which resulted in Driver A303 having to return to the station. 
Driver A303 had also become distracted by the fact that he was unable to provide relief duties for 
another service, due to the late running of the train. Driver A303 may have also become 
distracted by the speed board, located directly after Signal TL223; and the flashing lights of Level 
Crossing XE061;
 The CTC Signalman and the Traffic Regulator were unaware that they had inadvertently reduced 
the overrun protection for the trains, as they allowed Train A304 onto the platform instead of 
holding it outside the station.</t>
  </si>
  <si>
    <t>Underlying causes associated with the incident, include:
 The Traffic Regulator’s Manual does not include specific instructions or any form of dynamic risk 
assessment in relation to the alteration of the scheduled movements of trains;
 IÉ’s Lineside Signal Sighting &amp; Spacing Signalling Standard (I-SIG-2043) does not adequately 
address the risks associated with distraction features in the vicinity of signals, in particular, the 
positioning of speed boards in the vicinity of signals.
The root cause associated with the incident was:
 Non-technical skills, such as EPT, are not adequately promoted, trained for, assessed or 
monitored during driving training and driver competency management as outlined in IÉ-RU’s suite
of Operations SMS documents (namely OPS-SMS-3.0, OPS-SMS-3.1, OPS-SMS-3.2 &amp; OPS_x0002_SMS-3.5).</t>
  </si>
  <si>
    <t>RO-3075</t>
  </si>
  <si>
    <t>Train derailment, 09/12/2013, Valea Alba - Balota (Romania)</t>
  </si>
  <si>
    <t>the 5-th and the 6-th wagons from the freight train no. 30650 derailed in open line between Valea Alba and Balota stations</t>
  </si>
  <si>
    <t>DB SCHENKER RAIL ROMÂNIA</t>
  </si>
  <si>
    <t>Direct cause_x000D_
The direct cause of the derailment of wagon no. 25804367935-0 was the climbing of the wheel flange of wheel no. 1 on the running surface of the track corresponding to the exterior curve rail, followed by the falling of that in the track exterior and of the corresponding wheel no. 2 between the track rails at the running over a track section with a the track torsion over the admitted value._x000D_
_x000D_
Contributing factors_x000D_
-	all the track geometry checks weren’t performed at the finishing of the renewal of the track for the railway traffic reopening;_x000D_
-	improper compacting crushed stone prism, which favored the formation of transversal unevenness of the track with values above tolerances;_x000D_
-	failure to comply with admitted tolerances of the values differences between the diameter wheel rolling circles of the wagon nr.25804367935-0;_x000D_
-	the performing of strengthening the embankment for a length of two times to the provisions of the specification without allocating an appropriate timeframe;_x000D_
-	the missing check rail between the track rails of the rail corresponding to the interior curve rail;_x000D_
-	failure to comply with the specification provisions “Embankment protection km 347+100 – km 347+250, situated between the railway stations Balota – Valea Alba, railway line Videle – Orsova P.TH. + D.E. LINES SUPERSTRUCTURE”, referring to the not conservations of the peg network marked in the complementary markings, in plan and profile connected by the same peg as the initial planted pegs. 
Cauza directa :_x000D_
	Cauza directa a producerii deraierii vagonului nr.25804367935-0  o constituie catararea buzei bandajului rotii nr.1 pe suprafata de rulare a sinei corespunzatoare firului exterior al curbei, urmata de caderea acesteia în exteriorul caii si a rotii corespondente nr.2 între firele caii, la circula?ia peste o por?iune a caii cu valoarea torsionarii caii peste valoarea admisa._x000D_
	_x000D_
_x000D_
Factori care au contribuit:_x000D_
-	nu au fost facute toate verificarile geometriei caii, dupa terminarea lucrarilor, în vederea redeschiderii circulatiei feroviare; _x000D_
-	compactarea necorespunzatoare a prismei de piatra sparta, ceea ce a favorizat formarea unor denivelari transversale ale caii cu valori peste tolerantele admise;_x000D_
-	neîncadrarea în toleran?ele admise a valorilor diferen?elor dintre diametrele cercurilor de rulare ale rotilor vagonului nr.25804367935-0;_x000D_
-	executarea lucrarilor de consolidare a terasamentului pe o lungime de doua ori mai mare fa?a de prevederile caietului de sarcini fara alocarea unui interval de timp corespunzator;_x000D_
-	nu a fost montata contrasina dintre firele caii de lânga sina corespunzatoare firului interior al curbei;_x000D_
-	nerespectare prevederilor caietului de sarcini „Consolidare terasament km 347+100-km 347+250 situat între statiile Balota - Valea Alba linia CF 100 Videle - Orsova P.TH.+ D.E. SUPRASTRUCTURA LINII C.F.”, referitoare la conservarea retelei de picheti marcati în cadrul pichetajului complementar, legati în plan si profil de aceleasi repere ca pichetii plantati initial.</t>
  </si>
  <si>
    <t>Underlying cause_x000D_
-	failure to comply with the specifications provisions referring on how works should be done_x000D_
-	failure to comply with the provisions of the Instructions of norms and tolerances for the track construction and maintenance – lines with standard gauge no. 314/1989, approved by the Order of the Deputy Minister of the Ministry of Transportations and Telecommunications no. 89 from the 10th of January 1989, referring at the level tolerances and track position in plan. 
Cauze subiacente:_x000D_
-	Nerespectarea prevederilor caietelor de sarcini referitoare la modul de executare a  lucrarilor. _x000D_
_x000D_
-	Nerespectarea prevederilor Instruc?iei de norme si tolerante pentru constructii si întretinerea caii - linii cu ecartament normal nr.314/1989 aprobata prin Ordinul Adjunctului Ministrului Transporturilor si Telecomunicatiilor nr.89 din 10.01.1989, referitoare la toleran?ele la nivel ?i pozi?ia caii în plan.</t>
  </si>
  <si>
    <t>NO-3089</t>
  </si>
  <si>
    <t>Spad, 17/12/2013, Railway in general (Norway)</t>
  </si>
  <si>
    <t>Class report about 170 SPADs during the years 2010-2012 
En studie av 170 passhendelser i årene 2010-2012</t>
  </si>
  <si>
    <t>Railway in general</t>
  </si>
  <si>
    <t>No direct cause, this is a class report of 170 SPAD incidents.</t>
  </si>
  <si>
    <t>FR-3196</t>
  </si>
  <si>
    <t>Runaway, 18-12-13, Mérens-les-Vals (France)</t>
  </si>
  <si>
    <t>The rails being wet and polluted by autumn leaves , the regional train TER n° 871479 consists of two EMUs slips in the steep rising gradient between the stations of Ax-les-Thermes and Merens-les-vals . It stops and then begins to drift backwards in the gradient._x000D_
With the brakes fully applied, it travels 380 m in the wrong direction direction before stopping in a flat sector.</t>
  </si>
  <si>
    <t>Mérens-les-Vals</t>
  </si>
  <si>
    <t>1. the rails had not been cleaned preventively_x000D_
2. the dispatcher took no measures after several trains slipping and not being able to climb the gradient_x000D_
3. Sandboxes had not been refilled when the EMUs were serviced at Toulouse_x000D_
4. Poor efficiency of the brakes by low adhesion</t>
  </si>
  <si>
    <t>1. Poor organisation of preventive cleaning of rails by IM on the region of Toulouse_x000D_
2. Dispatchers' procedures in case of poor adhesion need to be completed_x000D_
3. Uncertain quality of servicing in the depot of Toulouse_x000D_
4. The design of the brakes of AGC EMUs needs to be revalidated</t>
  </si>
  <si>
    <t>IE-3095</t>
  </si>
  <si>
    <t>Other event, 18-12-13, Kent Central Station Cork (Ireland)</t>
  </si>
  <si>
    <t>Report of severe damage to canopy roof adjacent to platform 1 Cork (Kent Station) causing collapse on platform and injury to persons.</t>
  </si>
  <si>
    <t>Kent Central Station Cork</t>
  </si>
  <si>
    <t>in light of Article 19 §1 of SD"; 
(a) the seriousness of the accident or incident; 
(d) requests from infrastructure managers the safety authority or the Member State"</t>
  </si>
  <si>
    <t>The immediate cause of the accident was a significant increase in wind speed leading to greater pressure acting on the canopy over Platforms 1 and 2 resulting in the rapid failure of the cast-iron columns</t>
  </si>
  <si>
    <t>IE-5197</t>
  </si>
  <si>
    <t>Spad, 18-12-13, Ireland (Ireland)</t>
  </si>
  <si>
    <t>Investigation into SPADs on IÉ Network, from January 2012 to June 2015</t>
  </si>
  <si>
    <t>12 (see  IE-3096)</t>
  </si>
  <si>
    <t>The RAIU investigation into this SPAD event found the immediate cause of the Driver A780 travelling 
past signal XE098DS at danger was that the GLS allowed Train A780 into the section of track where it 
was known there was two faulty level crossings, as the LCCO have not told the GLS not to allow 
trains into the section until the EOs had arrived at the level crossings and had verified that they were 
in order to allow a train approach. Contributory factors to Train A780 passing Signal XE098DS were:
 Driver A780 had not travelled toward Level Crossing XE098 cautiously, as set out in the Rule 
Book, as he had an incorrect expectation that he would approach Level Crossing XE098 with the 
signals operational;
 The visibility of the signals was affected by the adverse weather conditions, which resulted in 
Driver A780 losing situational awareness as to his location in terms of the level crossing and 
resulting in him, not seeing Signal XE098DS until it was too late to stop; 
 The LCCO did not have clear understanding of the LCCC instructions, which resulted in him not 
telling the GLS not to allow trains into the section until the EOs had local control. In addition, the 
LCCO was not aware that he had to get the EO to verify the status of the level crossing;
 The GLS did not fully appreciate the role of the EO and was not aware that EOs were required to 
verify the status (to the LCCO) of the level crossing before allowing trains to approach them.</t>
  </si>
  <si>
    <t>Underlying causes to the SPAD are:
 The LCCC Instructions are not user friendly, which has resulted in the LCCOs reverting to the 
Rule Book which is not fully comprehensive in terms of the operation of CCTV level crossings;
 The roles and responsibilities of the LCCOs and the Signalman are not fully established, in that 
the LCCOs appear to have gained more responsibility over recent years, which is not supported 
by any documentation.
The root causes to the SPAD was:
 Role of the LCCO and GLS do not appear to be fully outlined in any formal documentation.</t>
  </si>
  <si>
    <t>CZ-3342</t>
  </si>
  <si>
    <t>Accident to persons caused by RS in motion, 20/12/2013, Vsetin station (Czech Republic)</t>
  </si>
  <si>
    <t>Tow and collision a shunter (he stood between engine and first wagon) with shunting operation.</t>
  </si>
  <si>
    <t>Vsetin station</t>
  </si>
  <si>
    <t>Direct cause: unauthorized entrance of head shunter between rolling stocks without the knowledge and instruction of the person who controlled a shunting operation._x000D_
_x000D_
Contributory factor:	performance of work activities of head shunter under the influence of alcohol and exceeding of speed limit of shunting operation.</t>
  </si>
  <si>
    <t>Underlying cause: putting of shunting operation into motion without instruction from head shunter to engine driver of shunting operation, that there was given agreement for a movement of shunting operation. _x000D_
_x000D_
Root cause: none.</t>
  </si>
  <si>
    <t>RO-3100</t>
  </si>
  <si>
    <t>Train derailment, 21/12/2013, Mureni - Vanatori stations (Romania)</t>
  </si>
  <si>
    <t>the fisrt axle from the locomotive EA no. 745 derailed</t>
  </si>
  <si>
    <t>Mureni - Vanatori stations</t>
  </si>
  <si>
    <t>Direct cause_x000D_
The direct cause of the derailment of locomotive EA 40-0745-6 was the climbing of the wheel flange of wheel from the right of the axle no. 6 on the running surface of the rail corresponding to the exterior curve rail, due the track twist over the maximum admitted value, under the dynamic forces generated by the rolling stock, followed by the falling of that in the track exterior and of the corresponding wheel from the left of the same axle between the track rails. 
Cauza directa _x000D_
_x000D_
Cauza directa a producerii deraierii locomotivei EA 40-0745-6  o constituie catararea buzei bandajului rotii din dreapta a osiei nr.6 pe suprafata de rulare a sinei corespunzatoare firului exterior al curbei, din cauza torsionarii caii peste valoarea maxima admisa, sub actiunea fortelor dinamice generate de materialul rulant, urmata de caderea acesteia în exteriorul caii si a rotii corespondente din stânga a aceleiasi osii între firele caii.</t>
  </si>
  <si>
    <t>Underlying cause_x000D_
Failure to comply with Art. 6.7 of Instruction for using the track measuring wagons no. 329/1995 on rectification of defects of grade 5. 
Cauze subiacente _x000D_
_x000D_
Nerespectarea prevederilor art.6.7 din Instructia pentru folosirea vagoanelor de masurat calea nr.329/1995 referitor la remedierea defectelor de gradul 5.</t>
  </si>
  <si>
    <t>FR-3197</t>
  </si>
  <si>
    <t>Train derailment, 23-12-13, Drancy - Le Bouget (France)</t>
  </si>
  <si>
    <t>Dangerous goods special wagon derails at low speed during shunting in marshalling yard._x000D_
Container not damaged; No spilling.</t>
  </si>
  <si>
    <t>Drancy - Le Bouget</t>
  </si>
  <si>
    <t>The direct cause of the derailment is the climbing of the flange of the wheel n°9 onto the rail at the tip of switch n°32 taken in deviation</t>
  </si>
  <si>
    <t>The dirailment  results most probably from the exceptional conjunction of several factors, despite all complying with standards :_x000D_
* A sinuous layout of track close to limits allowed;_x000D_
* Angular layout of the diverted track at the tip of the switch ;_x000D_
* worn switch blade;_x000D_
* unconventionnal articulated wagon_x000D_
* high center of gravity of the wagon</t>
  </si>
  <si>
    <t>HU-3101</t>
  </si>
  <si>
    <t>Level crossing accident, 23/12/2013, Gyor és Öttevény (Hungary)</t>
  </si>
  <si>
    <t>A car was stalled in the level crossing, and it was hit by the train.</t>
  </si>
  <si>
    <t>Gyor és Öttevény</t>
  </si>
  <si>
    <t>A car has has stuck at the level crossing. The driver tried to ask the police to stop the railway traffic, but it was unsuccessful.</t>
  </si>
  <si>
    <t>HU-3266</t>
  </si>
  <si>
    <t>Fire in RS, 31-12-13, Murony station (Hungary)</t>
  </si>
  <si>
    <t>Fourth carriage of the train No.72-1 caught fire after leaving Bekescsaba station._x000D_
The train was stopped at the next station (Murony) where the firefighters raked out the fire.</t>
  </si>
  <si>
    <t>Murony station</t>
  </si>
  <si>
    <t>Az esetben részes személykocsi futési rendszerének biztonságát szolgáló berendezések az esetet megelozoen valószínusíthetoen nem voltak olyan állapotban, hogy a futoberendezés esetleges meghibásodása esetén hatékonyan beavatkoz-zanak a rendszer muködésébe._x000D_
- A személykocsi futési rendszerének szabályozása nem muködött, melynek következtében az túlmelegedett._x000D_
- A futési rendszer túlhevülését a beépített védelmi berendezés érzékelte, az olvadófémes biztonsági hokioldó muködött, azonban a futési áramkört a fegyverzetének rongálódása miatt nem volt képes megszakítani._x000D_
- A légcsatornában jelenlévo szennyezodés a jelen lévo ho hatására beiz-zott, s elosegítette a tuz kialakulását. 
Just before the occurrence the equipment related to the safety of the heating system probably was not in such condition to be able to stop the improper operation of the system:_x000D_
- conditioning of the heating system had been out of operation, therefore the system became overheated_x000D_
- the built-in safety equipment realised the overheating (fuse was blown) but it was not able to switch off the system due to its structural failure_x000D_
- combustible material in the air-duct caught fire</t>
  </si>
  <si>
    <t>Az ülések fa szerkezetuek, amit a befúvott meleg futolevego közvetlenül melegít, szárít, így az utastérbe a forró levego által befújt izzó szennyezodés könnyen gyulladó anyaggal találkozott. 
Wood-frame of the seats of the carriage was directly heated and dryed by hot air and this hot air mixed with smouldering material from the air-duct met this combustible material</t>
  </si>
  <si>
    <t>IE-3133</t>
  </si>
  <si>
    <t>Other event, 31-12-13, Waterford Central Rail Station Ireland (Ireland)</t>
  </si>
  <si>
    <t>At 08.00 hours on 31/12/13 the RAIU where called to investigate a landslide at Waterford Railway Station Ireland. There was a large amount of fallen rock on the track nearest the cliff face (near the signalling cabin) with some of the rock in the location of the rockfall remaining unstable.There is steel netting to prevent falling debris and reports of previous rockfalls in the station area.</t>
  </si>
  <si>
    <t>Waterford Central Rail Station Ireland</t>
  </si>
  <si>
    <t>immediate cause of the rock fall at Plunkett Station was likely due to the toppling of the upper part of the rock mass to the north of the structure, followed by rotation of the toppled rock mass, resulting in rock fall debris flowing onto the ground</t>
  </si>
  <si>
    <t>AT-3174</t>
  </si>
  <si>
    <t>Accident to persons caused by RS in motion, 08/01/2014, Station Steinfeld im Drautal (Austria)</t>
  </si>
  <si>
    <t>On Wednesday, 8th January 2014 at 09:45 hrs, in the railway station Steinfeld in Drautal , a collision between a work vehicle and a person who was on the rail track occurred._x000D_
Due to the collision, one staff member of the infrastructure manager was fatally injured. The train staff stayed unharmed. _x000D_
The causation of the collision was the start of works without notification and without protective measures. 
Mittwoch, 8. Jänner 2014 um 09:45 Uhr ereignete sich im Bf Steinfeld im Drautal eine Kollision zwischen einem Motorturmwagen und einer im Gleis befindlichen Person._x000D_
Durch die Kollision wurde ein Mitarbeiter des IM tödlich verletzt. Die Zugmannschaft blieb unver-letzt._x000D_
Die Ursache für die Kollision war die Aufnahme der Arbeiten ohne Anmeldung und ohne Schutz-maßnahmen.</t>
  </si>
  <si>
    <t>Station Steinfeld im Drautal</t>
  </si>
  <si>
    <t>Unerlaubtes Betreten von Bahnanlagen und Arbeitsaufnahme durch den verunfallten Mitarbeiter. 
Unauthorized entry of railway installations and working start of the staff member involved in the accident.</t>
  </si>
  <si>
    <t>IE-5239</t>
  </si>
  <si>
    <t>Spad, 08-01-14, Various Locations in Ireland (Ireland)</t>
  </si>
  <si>
    <t>Trend Investigation into SPAD's on Irish Rail Network from January 2012 - June 2015</t>
  </si>
  <si>
    <t>Various Locations in Ireland</t>
  </si>
  <si>
    <t>In December 2013, two serious ‘Signal Passed at Danger’ (SPAD) events were reported to the RAIU by Iarnród Éireann (IÉ). After an initial review of these SPADs, and an earlier SPAD in April 2013 the RAIU made the decision to carry out a full review of Category A SPADs on the IÉ network from 2012 to 2014. This was later extended to include SPADs from January to June 2015. As a result, the RAIU reviewed forty-five SPAD events which occurred within a three and a half year period. These SPADs were divided into three main event types, namely: SPADs during normal train operations; SPADs during degraded train operations; and Start Against Signal (SAS)/ Start on Yellow (SOY) SPADs. The SPADs with the highest SPAD Risk Rankings (SRR) in 2013 were chosen as the main case studies, where a full investigation was carried out into these three SPADs: SPAD at Signal TL223, Millstreet, on the 8th December 2013; SPAD at Signal XX098, Gortavogher</t>
  </si>
  <si>
    <t>RO-3150</t>
  </si>
  <si>
    <t>Train derailment, 09/01/2014, Brasov Triaj - Darste (Romania)</t>
  </si>
  <si>
    <t>The 9-th wagon from the freight train no. 517410 derailed in open line between Brasov Triaj and Darste station.</t>
  </si>
  <si>
    <t>Brasov Triaj - Darste</t>
  </si>
  <si>
    <t>Cauza directa a producerii accidentului o constituie cre?terea punctuala a ecartamentului caii în timpul circula?iei materialului rulant pe o zona de traseu în curba, fapt care a condus la caderea între firele caii a ro?ii din partea stânga a primei osii în sensul de mers a vagonului nr.21531502307-1, urmata de ca?ararea buzei bandajului ro?ii din partea dreapta a aceleiasi osii pe suprafa?a de rulare a ciupercii corespunzatoare firului exterior al curbei ?i caderea acesteia în exteriorul caii de rulare._x000D_
_x000D_
Factori care au contribuit:_x000D_
•	inexisten?a numarului corespunzator de tirfoane pentru fixarea placilor metalice de traversele de lemn, precum ?i existen?a unor tirfoane rupte;_x000D_
•	prisma de piatra colmatata cu pamânt si vegetatie în proportie de 80-90 %, elementele de prindere fiind acoperite (nu erau vizibile) si în interiorul si în exteriorul curbei. 
Direct cause_x000D_
The direct cause of the accident is the punctual increasing of the track gauge during the rolling stock running on a curve of the route area, which led to the fall between the rails of the wheel from the left side of the first axle in the running direction of the wagon no. 21531502307-1, followed by the climbing of the wheel flange from the right side of the same axle on the running surface of the head of the rail corresponding to the exterior curve rail and the falling of that in the exterior of the track._x000D_
_x000D_
Contributing factors_x000D_
_x000D_
-	the lack of an adequate number of coach screws for fastening the metal plates on the wooden sleepers, and the existence of broken coach screws; _x000D_
-	broken stone prism clogged with soil and vegetation in a proportion of 80-90%, the gripping elements being coated (were not visible) in the inside and outside of the curve.</t>
  </si>
  <si>
    <t>Cauze subiacente_x000D_
Mentenanta necorespunzatoare a suprastructurii caii în cuprinsul curbei km 168+756-169+114. 
Underlying cause_x000D_
_x000D_
Improper maintenance of the track superstructure in the curve at km 168 + 756-169 + 114.</t>
  </si>
  <si>
    <t>CZ-3387</t>
  </si>
  <si>
    <t>Accident to persons caused by RS in motion, 10/01/2014, Tram track between Palmovka - Palmovka metro stops (Czech Republic)</t>
  </si>
  <si>
    <t>A passenger got trapped into the first door of second rolling stock of_x000D_
the tram train No. 25 run 3 and consequently towed at Palmovka (Na_x000D_
Žertvách) tram stop.</t>
  </si>
  <si>
    <t>Tram track between Palmovka - Palmovka metro stops</t>
  </si>
  <si>
    <t>Direct cause: trapping a passanger's hand into the door while entering and_x000D_
subsequent departure of the tram train from the tram stop;_x000D_
_x000D_
entrance of passenger into rolling stock after acoustic and lighting_x000D_
signal "Stay in - Stay out", issued by the tram driver immediately_x000D_
before closing the doors of rolling stock and departure from the_x000D_
tram stop._x000D_
_x000D_
Contributory factor: failure to stop the tram train by using all means on signal "Danger -_x000D_
Stop using all means";_x000D_
_x000D_
failure to determine the situation along the tram train on the side of_x000D_
the passengers prior to departure from the tram stop.</t>
  </si>
  <si>
    <t>Underlying cause: failure of technological procedures of IM/RU for the activity of tram_x000D_
drivers before leaving tram trains from the tram stop and for_x000D_
management of railway vehicles during driving;_x000D_
_x000D_
failure to observe instructions and commands of the operator and_x000D_
the railway undertaking when entering the rail vehicle._x000D_
_x000D_
Root cause: none</t>
  </si>
  <si>
    <t>IT-3172</t>
  </si>
  <si>
    <t>Trains collision with an obstacle, 1/12/2014, Firenze Santa Maria Novella (Italy)</t>
  </si>
  <si>
    <t>During the maneuver for the placement of the train, train collides with buffer stops and two cars derailded leading to the investment of the agent involved in the maneuver.</t>
  </si>
  <si>
    <t>Firenze Santa Maria Novella</t>
  </si>
  <si>
    <t>Sudden, unexpected and undue spontaneous movement of the convoy.</t>
  </si>
  <si>
    <t>Performing, by the agent serving as a pointsman, the maneuver for the placement of the RS for the train  without the activation of the ATP._x000D_
Performing, by the pointsman, the maneuver placement alone instead of with the presence in the cab of another agent enabled.</t>
  </si>
  <si>
    <t>NL-3286</t>
  </si>
  <si>
    <t>Train derailment, 1/15/2014, Hilversum (The Netherlands)</t>
  </si>
  <si>
    <t>Derailment of an intercity service leaving Hilversum station. First three bogies went straight in switch 3B, remainig 11 bogies went left into the track for the opposing direction.</t>
  </si>
  <si>
    <t>Hilversum</t>
  </si>
  <si>
    <t>When the train travelled over the switch, one of the switch blades shifted due to a fatigue fracture in a part of the release mechanism of the point machine (EBI-switch).</t>
  </si>
  <si>
    <t>The fatigue fracture in the part in question occured because:_x000D_
- the part was more susceptible to fatigue due to finishing defects _x000D_
- and the part was exposed to an additional load due to flange-back contact that repeatedly occured over a long period of time._x000D_
_x000D_
Both issues were able to occur because the failure mode in question was not achnowledged either bij the manifacturer/supplier (Bombardier) or the infrastructure manager (ProRail)._x000D_
 _x000D_
The investigation revealed that in particular the four following issues played a role:_x000D_
1) The Infrastruture Manager, the Supplier and the Maintenance Contractors exchanged insufficient information concerning the design and use of the point machine._x000D_
2) The focus in maintenance is increasingly aimed at preventing train service disruptions, with the risk that, as a consequence, the attention for safety will be threatened._x000D_
3) The degree to which the Infrastucture Manager managed the maintenance was limited._x000D_
4) The Infrastructure Manager and the Supplier drew insufficient lessons from previous incidents with the point machine in question (EBI switch) and from previous comparable train derailments.</t>
  </si>
  <si>
    <t>UK-3328</t>
  </si>
  <si>
    <t>Trains collision with an obstacle, 16/01/2014, Bridgeway, Near Shrewsbury (United Kingdom)</t>
  </si>
  <si>
    <t>The accident occurred just before midnight on 16 January 2014 and involved train 1J76, the 22:36 hrs service from Manchester Piccadilly to Shrewsbury. At the point of impact the train, formed by a class 175 diesel multiple unit operated by Arriva Trains Wales, was travelling at approximately 85 mph (136 km/h). It braked to a stand in around half a mile (0.8 km)._x000D_
_x000D_
Seconds before the collision a member of staff jumped off the trolley and clear of the train. A van, inside which another member of staff was unloading equipment, was parked close to the railway and was very nearly struck by the train. Although the train did not derail, it suffered significant damage, including a ruptured fuel tank. The member of staff who jumped clear suffered minor injuries._x000D_
_x000D_
The trolley was being loaded on the up line to move equipment southwards, towards Shrewsbury, to undertake a weld repair. However, this line was still open to traffic to allow train 1J76, the last train of the evening, to approach (the down line had been blocked by arrangement with the controlling signaller based in Cardiff).</t>
  </si>
  <si>
    <t>Bridgeway, Near Shrewsbury</t>
  </si>
  <si>
    <t>The trolley was placed on an open line.</t>
  </si>
  <si>
    <t>Immediate cause_x000D_
The trolley was placed on an open line._x000D_
_x000D_
Causal factors_x000D_
The causal factors were:_x000D_
a. The COSS blocked the down line on the advice of the welder, who had initially inferred that the work was on the down line from the record of arrangements form21 in the SSOWP;_x000D_
b. The presentation of information on the line blockage form misled the welder into making an incorrect assumption about the location of the work;_x000D_
c. The welder later realised that the work was actually on the up line, but assumed that it was safe to place the trolley on that line because he believed that engineering work taking place at another location north of Bridgeway UWC meant that the up line was blocked anyway; and_x000D_
d. The COSS did not exercise full control over site safety._x000D_
_x000D_
Underlying factor_x000D_
Decisions made in work planning and resourcing, and the absence of relevant information in the SSOWP, contributed to poor decision-making by the track workers on the night of the accident._x000D_
_x000D_
Additional observations_x000D_
_x000D_
Although not linked to the accident on 16 January 2014, the RAIB observes that:_x000D_
a. There were a number of deficiencies in competence management at Shrewsbury Maintenance Delivery Unit; and_x000D_
b. Welfare arrangements for the track workers were poor.</t>
  </si>
  <si>
    <t>IT-3198</t>
  </si>
  <si>
    <t>Trains collision with an obstacle, 1/17/2014, Line Genova - Ventimiglia, Andora - Cervo (Italy)</t>
  </si>
  <si>
    <t>Train collision with terrain fell on the railway after a landslide and subsequent derailment</t>
  </si>
  <si>
    <t>Line Genova - Ventimiglia, Andora - Cervo</t>
  </si>
  <si>
    <t>landslide of the the hill above the railroad</t>
  </si>
  <si>
    <t>DE-3202</t>
  </si>
  <si>
    <t>Train derailment, 19-01-14, Obernjesa (Germany)</t>
  </si>
  <si>
    <t>Der Güterzug GB  49152 entgleist im Bahnhof Obernjesa in Gleis 2 mit dem 13. Wagen. 
The freight train derailed in GB 49152 Obernjesa station in track 2 with the 13th Car.</t>
  </si>
  <si>
    <t>Obernjesa</t>
  </si>
  <si>
    <t>Heißläufer am 13. Wagen (Hbbillns) in Verbindung mit dem Bruch des Wellenschenkels 
Hot axle box on 13th wagon (Hbbillns) in connection with the fraction of the shaft journal.</t>
  </si>
  <si>
    <t>UK-3287</t>
  </si>
  <si>
    <t>Accident to persons caused by RS in motion, 1/22/2014, Newark North Gate (United Kingdom)</t>
  </si>
  <si>
    <t>The accident occurred at 11:40 hrs on 22 January 2014. The track worker was struck by a passenger train and suffered fatal injuries._x000D_
_x000D_
The track worker was part of a gang of three engaged in the inspection of two sets of points to the south of the station. The train, a passenger service from King's Cross, was approaching from the south at around 26 mph (42 km/h) and was heading into platform 3 as scheduled.</t>
  </si>
  <si>
    <t>Newark North Gate</t>
  </si>
  <si>
    <t>The lookout was in a position on the track where he could be struck by train 1B82.</t>
  </si>
  <si>
    <t>The causal factors were: a) The lookout moved from the position of safety and into the path of train 1B82. This was most probably to check for trains approaching on the up line, having incorrectly decided that train 1B82 was going into platform 1 (paragraph 45, Recommendation 1). b) The lookout did not take evasive action when the train sounded the horn a second time, probably because he believed the approaching train was on another line (paragraph 59, Recommendation 1). c) There was a breakdown in safety discipline and vigilance at the work site (paragraph 64, Recommendation 1). A possible underlying factor was that Network Rail’s process for assessment in the line was not being followed as envisaged by the procedure, which may have led to a deterioration in the safety attitude and discipline of individuals and teams going unaddressed (paragraph 72, Learning point 1, no recommendation).</t>
  </si>
  <si>
    <t>ES-3364</t>
  </si>
  <si>
    <t>Trains collision with an obstacle, 1/23/2014, Between Briviesca and Calzada de Bureba (Burgos) (Spain)</t>
  </si>
  <si>
    <t>Due to an special section block that was wrongly established, a long distance passenger train collided with a tools holder platform as some works were performed at that track. No personal damages.</t>
  </si>
  <si>
    <t>Between Briviesca and Calzada de Bureba (Burgos)</t>
  </si>
  <si>
    <t>The accident is caused by human failure of traffic agent (traffic manager at the centralized traffic control cabinet in Miranda de Ebro) when performed an improper action. By mistake he blocked track I between Calzada de Bureba and Briviesca instead of track II that had been indeed granted to the responsible of works through a telephoneme</t>
  </si>
  <si>
    <t>NO-3245</t>
  </si>
  <si>
    <t>Train derailment, 1/23/2014, Jar Station (Norway)</t>
  </si>
  <si>
    <t>Thursday 23 January 2014 tram number 172 derailed in a switch point at Jar station in Bærum municipality. No one was injured in the derailment. The tram line between Jar and Bekkestua opened Sunday 19 January 2014. Between Jar and Bekkestua both metro and trams run on the same track. 
Torsdag 23. januar 2014 sporet trikk nummer 172 av i en sporveksel på Jar stasjon i Bærum. Ingen personer ble skadet da trikken sporet av. Trikkestrekningen mellom Jar og Bekkestua ble åpnet søndag 19. januar 2014. Mellom Jar og Bekkestua kjører T-banen og trikken på samme spor.</t>
  </si>
  <si>
    <t>Jar Station</t>
  </si>
  <si>
    <t>The investigation found that the point blades had not been optimally adjusted, in addition to which the tram had reached its maintenance limit with respect to wear on the wheels</t>
  </si>
  <si>
    <t>DE-3255</t>
  </si>
  <si>
    <t>Train derailment, 26/01/2014, Bitterfeld - Wolfen (Germany)</t>
  </si>
  <si>
    <t>Am 26.01.2014 gegen 14:24 Uhr entgleiste GA 49382 (Autotransportzug) auf der Fahrt von Děčin východ nach Gelsenkirchen-Bismarck zwischen den Betriebsstellen Bahnhof (Bf) Bitterfeld und Bf Wolfen in km 45,1. Da die Zugentgleisung zunächst nicht bemerkt wurde, legte der Zug nach der Entgleisung noch eine Strecke von ca. 2.000 m zurück und kam etwa in km 43,1 zum Halten.</t>
  </si>
  <si>
    <t>Bf Bitterfeld – Bf Wolfen</t>
  </si>
  <si>
    <t>Personen wurden nicht verletzt. An den Fahrzeugen, der Ladung und an der Infrastruktur ent-stand erheblicher Sachschaden in Höhe von ca. 870.000 Euro.</t>
  </si>
  <si>
    <t>Die Beschädigung eines der Zylinderrollenlager im in Fahrtrichtung rechten Radsatzlager der zweiten Achse am sechsten Fahrzeug im Wagenzug führte zu einem Heißläufer und in der Folge zu einem Radsatzwellenschenkelbruch sowie dem Verlust des Radsatzlagers.</t>
  </si>
  <si>
    <t>RO-3252</t>
  </si>
  <si>
    <t>Train derailment, 27/01/2014, Hunedoara (Romania)</t>
  </si>
  <si>
    <t>The  passenger train no. 14269 in push-pull system composed by locomotive no. BB523 and three carriages derailed.</t>
  </si>
  <si>
    <t>Hunedoara</t>
  </si>
  <si>
    <t>Direct cause_x000D_
The direct cause of the derailment was the falling of the wheel from the left side of the first axle of the first bogie from the locomotive between the track rails, followed by the climbing of the flange wheel of the wheel from the right side on the running surface of the rail corresponding to the exterior curve rail and the falling of this in the exterior track on an area of the track which had values of the gauge over the maximum admitted limit._x000D_
_x000D_
Contributing factors_x000D_
-	keeping on the track of sleepers which don’t assure the rails fastening and keeping of the gauge and of the level in the admitted tolerance limits and which cannot be repaired; 
Cauza directa :_x000D_
_x000D_
Cauza directa a producerii deraierii o constituie caderea rotii din partea stânga a primei osii a primului boghiu al locomotivei între firele caii, urmata de catararea buzei rotii din partea dreapta pe suprafata de rulare a sinei corespunzatoare firului exterior al curbei si caderea acesteia în exteriorul caii, la deplasarea pe o zona a caii ce avea valori a ecartamentului caii peste limita maxima admisa în exploatare._x000D_
_x000D_
Factori care au contribuit_x000D_
- mentinerea în cale a traverselor care nu asigura prinderea sinelor, pastrarea ecartamentului si nivelului în limitele tolerantelor admise si care nu pot fi reparate.</t>
  </si>
  <si>
    <t>Underlying cause_x000D_
_x000D_
Failure to comply with the provisions of the Instructions of norms and tolerances for the track construction and maintenance – lines with standard gauge no. 314/1989, which regulate the replacement of the non-corresponding sleepers on the track. 
Cauze subiacente:_x000D_
-	nerespectarea prevederilor art.25 al Instructiei de norme si tolerante pentru constructia si întretinerea caii - linii cu ecartament normal - nr.314/1989, ce reglementeaza înlocuirea în cale a traverselor necorespunzatoare.</t>
  </si>
  <si>
    <t>BG-3353</t>
  </si>
  <si>
    <t>Fire in RS, 2/1/2014, Gorna Oryahovitza (Bulgaria)</t>
  </si>
  <si>
    <t xml:space="preserve">At 01:28 hrs. on 01.02.2014, the diesel locomotive No 07123.3 got fire in its first cabin while stayed with running engine before its inclusion into the timetable for train service in the Locomotive depot Gorna Oryahovitza. The Regional department “Fire safety and civil protection” was informed immediately after the initial attempt to fight the fire and it was extinguished approximately at 02:00 a.m. There was not injured staff, but damages caused to the locomotive. 
</t>
  </si>
  <si>
    <t>Gorna Oryahovitza</t>
  </si>
  <si>
    <t>The immediate technical cause of the occurred accident – fire ignition in the diesel locomotive No 07123.3 at Gorna Oryahovitza locomotive depot, was the use of open fire source (paraffin torch) for refreezing the water separators (condense pots) with pressure of 5 and 10 Bar from the pneumatic installation located under the floor of the locomotive first cabin. Leaving unattended the locomotive with operating diesel engine led to acceleration and expansion of the fire.</t>
  </si>
  <si>
    <t>The use of open fire source (paraffin torch) for refreezing the water separators.</t>
  </si>
  <si>
    <t>RO-3261</t>
  </si>
  <si>
    <t>Train derailment, 01/02/2014, Ploiesti Sud (Romania)</t>
  </si>
  <si>
    <t>the locomotive EA 003 from the freight train no.30638-1, dearailed</t>
  </si>
  <si>
    <t>Ploiesti Sud</t>
  </si>
  <si>
    <t>Direct cause_x000D_
Braking and dislocation of a section of 250 mm lenght from the rail of the exterior curve rail at the joint from km 59+450 (curve with left deviation in the running direction) under the dynamic action of the axle no. 1 of the locomotive EA 91-53-0-471-003-0._x000D_
_x000D_
Contributing factors_x000D_
_x000D_
- the cutting and drilling of the rail with oxyacetylene flame; _x000D_
- flakes, gas bubbles and non-metallic inclusions in steel mass of the rail head, around which formed cracks under the dynamic action of the rolling stock was torn itself; 
Cauza directa: _x000D_
_x000D_
Ruperea si dislocarea unei portiuni în lungime de 250 mm din sina de pe firul exterior al curbei la joanta de la km 59+450 (curba cu deviatie stânga în sensul de mers), sub ac?iunea dinamica a osiei nr.1 a locomotivei EA 91-53-0-471-003-0._x000D_
_x000D_
Factori care au contribuit:_x000D_
_x000D_
- taierea si gaurirea sinei cu flacara oxiacetilenica; _x000D_
- fulgi, bule de gaze si incluziuni nemetalice în masa otelului din zona ciupercii sinei, în jurul carora s-au format fisuri care, sub ac?iunea dinamica a materialului rulant au condus la ruperea sinei;</t>
  </si>
  <si>
    <t>Underlying cause_x000D_
_x000D_
Is the mantaining on the track of rail with defects of I category (cutted rail and drilled with flame) , violation of the provisions of Art. 21 from the Instructions of norms and tolerances for the track construction and maintenance – lines with standard gauge no. 314/1989. 
Cauza subiacenta o constituie mentinerea în cale a sinei defecte de categoria I (sina taiata si gaurita cu flacara), încalcându-se astfel prevederile art.21 al Instructiei de norme si tolerante pentru constructii si întretinerea caii-linii cu ecartament normal nr.314/1989.</t>
  </si>
  <si>
    <t>RO-3285</t>
  </si>
  <si>
    <t>Train derailment, 03-02-14, Barbosi Triaj (Romania)</t>
  </si>
  <si>
    <t>the 31'st and the 35'th wagons from the freight train no. 89453 derailed</t>
  </si>
  <si>
    <t>Direct cause_x000D_
The direct cause of this railway accident was the climbing of the wheel flange of wheels from the right side of the derailed wagons, in the running direction, on the running surface, due to an accumulation of ice on the left rail, combined with thick snow layer existing between the rails, pressed by the running gears of the railway vehicles._x000D_
_x000D_
Contributing factors_x000D_
The factor that contributed was the outstanding winter weather. 
Cauza directa a producerii acestui accident feroviar o constituie escaladarea a buzei bandajelor rotilor de pe partea dreapta în sensul de mers a vagoanelor deraiate pe suprafata caii de rulare, datorate unei acumulari de gheata pe sina din stânga, cumulat cu stratul gros de zapada existent între firele caii presat de aparatele de rulare a vehiculelor feroviare.</t>
  </si>
  <si>
    <t>UK-3392</t>
  </si>
  <si>
    <t>Accident to persons caused by RS in motion, 03/02/2014, Holborn (United Kingdom)</t>
  </si>
  <si>
    <t>The incident occurred on the westbound Piccadilly Line platform at around 19:00 hrs on Monday 3 February 2014. The train had stopped normally in the platform and passengers had alighted and boarded. A member of staff on the platform (station assistant) signalled to the Train Operator to close the doors by raising a baton above his head. The Train Operator observed the raised baton and started to close the train’s doors. At this point a passenger arrived on the platform and moved towards the train, stopping as she realised that the doors were closing. As she stopped, the end of the scarf that she was wearing continued to swing towards the train and became trapped between the closing doors._x000D_
The Train Operator was unaware that the scarf was trapped in the door and after confirming that all doors were closed, started to move the train into the tunnel. The passenger was dragged along the platform by her scarf as the train started to move. The station assistant tried to help the passenger by holding on to her and they both fell to the ground. This resulted in the scarf being forcibly removed from the passenger’s neck and carried into the tunnel by the train._x000D_
The passenger suffered injuries to her neck and back and was taken to hospital; she is now recovering. The RAIB’s investigation will seek to understand the sequence of events and will examine the arrangements in place for safe despatch of trains from London Underground stations where station assistants are provided on the platform.</t>
  </si>
  <si>
    <t>Holborn</t>
  </si>
  <si>
    <t>The passenger’s scarf became trapped in the doors of the train.</t>
  </si>
  <si>
    <t>Causal factors_x000D_
The causal factors were:_x000D_
a. The passenger was near to the train doors when they closed._x000D_
b. The passenger did not pull the scarf out from the doors before the train began to move._x000D_
c. The passenger was not able to pull the scarf out from the doors once the train had begun to move._x000D_
d. The SATS did not alert the train operator to the situation._x000D_
e. The train operator did not notice the trapped scarf._x000D_
f. The train operator was able to start the train although the scarf was trapped in the doors._x000D_
g. The train operator was unable to see what was happening on the platform after the train had begun to move._x000D_
_x000D_
Underlying factor_x000D_
An underlying factor was that the SATS role is involved with the safe despatch of trains, but the equipment and procedures associated with the role do not enable the SATS to intervene effectively in an emergency.</t>
  </si>
  <si>
    <t>CZ-3341</t>
  </si>
  <si>
    <t>Spad, 04/02/2014, Lipa station (Czech Republic)</t>
  </si>
  <si>
    <t>departure of regional passenger train No. 15966 from Lípa station without track dispatcher permission to leave station and its movement to occupied track section by freight train No. 82552.</t>
  </si>
  <si>
    <t>Lipa station</t>
  </si>
  <si>
    <t>Direct cause:	departure of regional passenger train from Lípa station without track dispatcher permission to leave station into occupied track section by freight train No. 82552._x000D_
_x000D_
Contributory factor:	none.</t>
  </si>
  <si>
    <t>Underlying cause:	failure to comply with technological procedure (reporting obligation) by engine driver of regional passenger train No. 15966 at Lípa station._x000D_
_x000D_
Root cause:		none.</t>
  </si>
  <si>
    <t>CZ-3344</t>
  </si>
  <si>
    <t>Trains collision with an obstacle, 04/02/2014, Open line between Jindrichov ve Slezsku state border and Jindrichov ve Slezsku stations (Czech Republic)</t>
  </si>
  <si>
    <t>Regional passenger train No. 1661 colllided with an obstacle –_x000D_
fallen trees and consequently derailed.</t>
  </si>
  <si>
    <t>Open line between Jindrichov ve Slezsku state border and Jindrichov ve Slezsku stations</t>
  </si>
  <si>
    <t>Direct cause: interference of the protection zone of railway by fall of three trees_x000D_
(oaks) growing in the impact distance from the axis of track line._x000D_
_x000D_
Contributory factor: weather conditions – strong wind.</t>
  </si>
  <si>
    <t>Underlying cause: failure to remove sources of danger (three trees) in the impact_x000D_
distance from the axis of track line._x000D_
_x000D_
Root cause: failure to assess conditions of trees growing in the impact distance_x000D_
from the axis of track line as a source of threat for the safe operation on railway.</t>
  </si>
  <si>
    <t>NO-3430</t>
  </si>
  <si>
    <t>Level crossing accident, 2/9/2014, Steinerud Level crossing (Norway)</t>
  </si>
  <si>
    <t>On Sunday 9. of february a woman was hit by a eastbound metro train on Steinerud level crossing on line 1, Holmenkollbanen, outside of Oslo city centre. The woman opened up the emergency exits when the level crossing barriers was down and walked in front of the mowing eastbound train. The woman died as a result of the accident. 
Søndag 9. ferbaur ble en kvinne påkjørt av østgående t-bane tog på Steinerud planovergang på linje 1, Holmenkollbanen. Kvinnen åpnet nødklaffen på bommen, når bommen stod i nedre stilling, og gikk ut i sporet rett foran T-banen. Kvinnen omkom momentant, eller kort tid etter.</t>
  </si>
  <si>
    <t>Steinerud Level crossing</t>
  </si>
  <si>
    <t>Trespassing through closed full barrier level crossing.</t>
  </si>
  <si>
    <t>The investigation found that there have been a series of illegal crossings at full-barrier level crossings on the Holmenkollen line. Several of these illegal crossings have been made through the flexible end of the boom. The investigation also showed that full barriers with flexible ends are not described in any analyses or technical regulations.</t>
  </si>
  <si>
    <t>HU-3411</t>
  </si>
  <si>
    <t>Train derailment, 10-02-14, Budapest, Zsókavár utca (Hungary)</t>
  </si>
  <si>
    <t>A tram (Nr69) derailed  with its one axle._x000D_
(The occurrence is investigated together with the tram-derailment, which occurred on 27th February 2014)</t>
  </si>
  <si>
    <t>Budapest, Zsókavár utca</t>
  </si>
  <si>
    <t>The driver did not look the switch well.</t>
  </si>
  <si>
    <t>AT-3311</t>
  </si>
  <si>
    <t>Level crossing accident, 12/02/2014, Station Hohlbach (Austria)</t>
  </si>
  <si>
    <t>Wednesday, 12 February 2014 at 18:05 hrs, during the drive of the passenger train Z 4382 on the level crossing in km 36,438 (passive level crossing, secured with St. Andrew's cross and road sign “Stop”) between the stations Hollenegg and Schwanberg, a collision between a passenger train and a car occurred._x000D_
The driver of the car and three passengers of the car was fatally injured, the train staff and passengers stayed unharmed. The car and the passenger train were heavy damaged. The infrastructure was slightly damaged, the environment was not affected. The causation of the crash was that the car tried to use the level crossing at the same time when the passenger train Z 4382 approached. 
Am Mittwoch, 12. Februar 2014 um 18:05 Uhr ereignete sich auf der mit Straßenverkehrszeichen „Halt“ gekennzeichneten, durch Andreaskreuze und Gewährleisten des erforderlichen Sichtraumes gesicherten EK in km 36,438 zwischen Hst Hollenegg und Hst Schwanberg, ein Zusammenprall des Personenzuges Z 4382 mit einem PKW. Der Lenker des PKW und drei mitfahrende Personen wurden tödlich verletzt, die Zugmannschaft und die Fahrgäste blieben unverletzt. Der PKW und Z 4382 wurden schwer beschädigt. An der Infrastruktur entstand geringer, an der Umwelt entstand kein Schaden. Die Ursache für den Zusammenprall war das Einfahren des PKWs in die EK unmittelbar vor Z 4382.</t>
  </si>
  <si>
    <t>Station Hohlbach</t>
  </si>
  <si>
    <t>Nichtbeachtung der gesetzlichen Bestimmungen für das Verhalten von Straßenverkehrsbenützern beim Befahren von Eisenbahnkreuzungen. 
Non-observance of legal provisions for the behaviour of road users when driving at railway level crossings.</t>
  </si>
  <si>
    <t>IE-3314</t>
  </si>
  <si>
    <t>Level crossing accident, 12-02-14, Level Crossing Accident at XX024 151.4 MP Ballina Branch Corraun (Ireland)</t>
  </si>
  <si>
    <t>Irish Rail advised the RAIU that the A863 09.35hrs train from Ballina to Manulla Junction passenger service collided with a road vehilce (van) at a user worked level crossing XX024. Following the occurrence the van came to rest across a drain in a field adjacent to the railway.</t>
  </si>
  <si>
    <t>Level Crossing Accident at XX024 151.4 MP Ballina Branch Corraun</t>
  </si>
  <si>
    <t>The immediate cause of the accident was that the An Post van did not stop, as required, at the Level Crossing and drove into the path of the oncoming train 
The immediate cause of the accident was that the An Post van did not stop, as required, at the Level Crossing and drove into the path of the oncoming train</t>
  </si>
  <si>
    <t>There is a history of misuse at the Level Crossing; with local users regularly misusing the Level Crossing_x000D_
IÉ did not take sufficient actions at the Level Crossing to prevent its regular misuse, despite the RAIU making a safety recommendation related to preventing level crossing misuse in 2009 and re-iterating in 2011 
There is a history of misuse at the Level Crossing; with local users regularly misusing the Level Crossing;_x000D_
IÉ did not take sufficient actions at the Level Crossing to prevent its regular misuse, despite the RAIU making a safety recommendation related to preventing level crossing misuse in 2009 and re-iterating in 2011</t>
  </si>
  <si>
    <t>DK-5312</t>
  </si>
  <si>
    <t>Level crossing accident, 22-02-14, Overkørsel 153 Bedsted (Denmark)</t>
  </si>
  <si>
    <t>Level crossing accident, car hit by train in crossing 153 Bedsted Thy - Snedsted) 
Bil kørt ud foran tog i overkørsel 153 Bedsted Thy-Snedsted</t>
  </si>
  <si>
    <t>Overkørsel 153 Bedsted</t>
  </si>
  <si>
    <t>Inattention from the car driver.</t>
  </si>
  <si>
    <t>HU-4500</t>
  </si>
  <si>
    <t>Train derailment, 23-02-14, Hatvan (Hungary)</t>
  </si>
  <si>
    <t>Locomotive of the outgoing freight train Nr 90556 derailed with its two axles at Hatvan station. 
Hatvan állomáson a kihaladó 90556 sz. vonat vontatójármuve két tengellyel kisiklott.</t>
  </si>
  <si>
    <t>The track was worn off at the site of the occurrence. The track was not able to stand the heavy axle load of the vehicle and due to the dinamic loading the track crashed under the moving vehicle and the vehicle derailed.</t>
  </si>
  <si>
    <t>Velocity of the train was higher than the restricted speed applied on the section of the occurrence (15 km/h instead of the permitted 10 km/h)_x000D_
Axle load of the vehicle was above the permitted axle load value of the track but it is acceptable by the issued regulations.</t>
  </si>
  <si>
    <t>IT-3491</t>
  </si>
  <si>
    <t>Level crossing accident, 25/02/2014, LC km 65+637 line Cremona - Mantova (Italy)</t>
  </si>
  <si>
    <t>Train 2655 (Trenord) collides with motorcycle at the LC km 65 +637, line Cremona - Mantova</t>
  </si>
  <si>
    <t>LC km 65+637 line Cremona - Mantova</t>
  </si>
  <si>
    <t>improper occupation of the railway at the LC km 65 + 637 by the motorcycle, consequence of the attempt (failed) of the driver_x000D_
to cross the LC by performing a maneuver of zig-zag between the half-barriers regularly closed</t>
  </si>
  <si>
    <t>SK-3654</t>
  </si>
  <si>
    <t>Train derailment, 2/25/2014, between stations Krásna nad Hornádom and NiÅ¾ná MyÅ¡la (Slovak Republic)</t>
  </si>
  <si>
    <t>Derailment of train between stations Krásna nad Hornádom and Nižná Myšla</t>
  </si>
  <si>
    <t>between stations Krásna nad Hornádom and NiÅ¾ná MyÅ¡la</t>
  </si>
  <si>
    <t>PRVÁ SLOVENSKÁ ŽELEZNICNÁ</t>
  </si>
  <si>
    <t>Direct Cause is combination of inconvenient technical condition of railway infrastructure and wagon</t>
  </si>
  <si>
    <t>HU-3412</t>
  </si>
  <si>
    <t>Train derailment, 27-02-14, Budapest, Fiumei u. (Hungary)</t>
  </si>
  <si>
    <t>A tram (Nr24) derailed with its last two axles._x000D_
(The occurrence is investigated together with the tram-derailment, which occurred on 10th February 2014 - HU-3411)</t>
  </si>
  <si>
    <t>Budapest, Fiumei u.</t>
  </si>
  <si>
    <t>Outdated railway track.</t>
  </si>
  <si>
    <t>DE-4066</t>
  </si>
  <si>
    <t>Level crossing accident, 28/02/2014, Forchheim Trubbachbrücke Abzw - Ebermannstadt (Germany)</t>
  </si>
  <si>
    <t>Personenzug DPN 87085 prallte am Bahnübergang Prtzfeld mit einem Pkw zusammen. 
The passenger train DPN 87085 collided with a passenger vehicle at the level crossing Pretzfeld.</t>
  </si>
  <si>
    <t>Forchheim Trubbachbrücke Abzw - Ebermannstadt</t>
  </si>
  <si>
    <t>Agilis Verkehrsgesellschaft mbH &amp; Co. KG</t>
  </si>
  <si>
    <t>Straßenverkehrsteilnehmer missachtete aus ungeklärten Gründen das rote Blinklicht der technischen Bahnübergangssicherung. 
For unknown reasons, a road user did not respect the red flashing light of the technical level crossing safety system.</t>
  </si>
  <si>
    <t>HU-3386</t>
  </si>
  <si>
    <t>Level crossing accident, 03-03-14, Szentes és Szegvár állomások között (Hungary)</t>
  </si>
  <si>
    <t>A truck got stuck in the level crossing, and it was hit by a passanger train. The train has derailed. 
Egy tehergépkocsi elakadt az útátjáróban, a személyvonat nekiütközött és kisiklott.</t>
  </si>
  <si>
    <t>Szentes és Szegvár állomások között</t>
  </si>
  <si>
    <t>A truck has stucked in the level crossing.</t>
  </si>
  <si>
    <t>HU-3413</t>
  </si>
  <si>
    <t>Train derailment, 3/5/2014, Rákosrendezo station (Hungary)</t>
  </si>
  <si>
    <t>Train Nr. 22239 (empty EMU heading to depot) derailed at Rakosrendezo station. The track used by the train was under maintenance, but not closed. The incoming train reached the section, which was under reconstruction derailed with its two bogies.</t>
  </si>
  <si>
    <t>Rákosrendezo station</t>
  </si>
  <si>
    <t>Human Factor - Track maintenance process</t>
  </si>
  <si>
    <t>CZ-3394</t>
  </si>
  <si>
    <t>Train derailment, 07/03/2014, Brno hlavni nadrazi station (Czech Republic)</t>
  </si>
  <si>
    <t>Derailment of rolling stock in the head of regional passenger train No._x000D_
4421 in Brno hl. n. station on the switch.</t>
  </si>
  <si>
    <t>Brno hlavni nadrazi station</t>
  </si>
  <si>
    <t>Direct cause: permission of train movement across a switch, where neither switch rail was closely up to the stock rail._x000D_
_x000D_
Contributory factor: station interlocking equipment enabled despite a fault in switch No. 140 to create train route with normal operation, including giving signals to status allowing the ride.</t>
  </si>
  <si>
    <t>Underlying cause: _x000D_
pushing away of outlying switch rail of switch No. 140 by hydraulic holding device of working machine to distance from stock rail, when the locking hook of jaw lock got to the positions out of flange of the stock rail. Consequently it was lifted up above the cut of slide locking bar, leaned against inner edge of flange of the stock rail and prevented to point blade to close up to stock rail during its adjustement to station line No. 11k;_x000D_
_x000D_
wrongly selected technology of work between switches No. 139 and No. 140, when the working machine fixed with its hydraulic clamps in the place of point blade of switch No. 140;_x000D_
_x000D_
failure to put into operation switch no. 140 into fully working conditions after finishing work._x000D_
_x000D_
Root cause: none</t>
  </si>
  <si>
    <t>CZ-3429</t>
  </si>
  <si>
    <t>Trains collision, 10/03/2014, The City of Ostrava, Nova Hut (Czech Republic)</t>
  </si>
  <si>
    <t>Collision of rolling stock of tram train No. 14, run 11/112 during_x000D_
shunting operation with standing rolling stock of tram train No. 4,_x000D_
run 101.</t>
  </si>
  <si>
    <t>The City of Ostrava, Nova Hut</t>
  </si>
  <si>
    <t>Direct cause: incorrect function of auxiliary contacts of directional contactors "Z1" of_x000D_
rolling stock type T3SU - CS, No. 902 of tram train No. 14 run 11/112,_x000D_
which resulted in inactivity of electrodynamic break._x000D_
_x000D_
Contributory factor: the tram driver did not test the effect of electrodynamic brake as soon_x000D_
as possible after he changed driver's stand and put the tram into_x000D_
movement.</t>
  </si>
  <si>
    <t>Underlying cause: non-issuance of obligations for the person driving rolling stock of tram,_x000D_
to test the effect of electrodynamic brake as soon as possible after he_x000D_
changed driver's stand and put the tram into movement._x000D_
_x000D_
Root cause: none.</t>
  </si>
  <si>
    <t>RO-3428</t>
  </si>
  <si>
    <t>Train derailment, 3/10/2014, Palas - Constanta Marfuri (Romania)</t>
  </si>
  <si>
    <t>The lead axle from the track-maintenance car DCL 033 derailed. The working train no. 88395 consist in track-maintenance car DCL 033 and DCL 044.</t>
  </si>
  <si>
    <t>Palas - Constanta Marfuri</t>
  </si>
  <si>
    <t>Cauza producerii acestui accident feroviar o constituie circulatia drezinei cu o viteza apreciata de mecanic intuitiv, drezina având vitezometrul nefunctional, pe o linie de cale ferata cu defecte de nivel ale suprastructurii caii ce permitea circulatia cu restrictie de 30 km/h, care a condus la :_x000D_
-supraîncarcarea rotii din partea stânga sens mers a primei osii a drezinei;_x000D_
-descarcarea de sarcina a rotii din partea dreapta (roata atacanta) în zona km.1+200 pe distanta  Palas - Constanta Marfuri;_x000D_
-escaladarea sinei din partea dreapta sens mers de catre roata atacanta; _x000D_
-deraierea osiei motoare a drezinei, cu roata atacanta în partea dreapta a sensului de mers si roata corespondenta între firele caii._x000D_
 Dinamica deraierii a fost influentata negativ si de repartizarea neuniforma a sarcinilor pe roti, generata de existen?a unei diferente de 7 mm între valorile extreme (maxime si minime)  ale cotei  masurate în cele patru puncte ale suspensiei primare a drezinei, limita admisa fiind de 6 mm. 
The cause of the occurrence of this railway accident is the running of the draisine with a speed apreciated intuitiv by the driver, the draisine having a defect speed recorder, on a railway line with level defects of the track superstracture which permitted the running with a restriction of 30 km/h which led to:_x000D_
- the overloading of the wheel from the left side in the running direction of the first axle of the draisine;_x000D_
- the load transfer of the wheel from the right side (leading wheel) in the area km. 1+200 on the section Palas - Constanta Marfuri;_x000D_
- the climbing on the rail from the right side in the running direction by the leading wheel; _x000D_
- the derailment of the driving axle, with the leading wheel in the right side in the running direction and of the corresponding wheel between the rails of the track._x000D_
The derailment dynamic was negative influenced also by the apportionment variability of the loads on the wheels, generated by the existance of a difference of 7 mm between the extreme values (minimum and maximum) of the dimension measured in the 4 points of the primary suspension of the draisine, the admitted limit being of 6 mm.</t>
  </si>
  <si>
    <t>Cauze subiacente. _x000D_
_x000D_
Executarea necorespunzatoare a lucrarilor de înlocuire osii, prin  neechilibrarea suspensiei secundare si neefectuarea cântaririi drezinei dupa înlocuirea osiilor,  de o societate care nu a detinut un agrement tehnic în acest sens si nici documentatia tehnica necesara._x000D_
_x000D_
Cauze primare._x000D_
_x000D_
Lipsa unui normativ feroviar pentru drezinele de cale referitor la:_x000D_
 - tipuri de revizii si reparatii planificate; _x000D_
 - norme de timp pentru efectuarea reviziilor si reparatiilor planificate ; _x000D_
 - lucrari ce trebuiesc executate în cadrul reviziilor si reparatiilor planificate 
Underlying cause_x000D_
_x000D_
The improper performance of the replacing axle’s works, by the unbalancing secondary suspension failure and the not performing of the draisine weighing after the replacing of the axles, by a company which didn’t owned a technical agreement for that and hadn’t any required technical documentation._x000D_
_x000D_
Root cause_x000D_
_x000D_
The missing of a railway standardisation for the draisines reffering at:_x000D_
- types of inspections and planned repairs; _x000D_
- time norm for the inspections and planned repairs performing; _x000D_
- works which must be performed during the inspections and planned repairs.</t>
  </si>
  <si>
    <t>CZ-3866</t>
  </si>
  <si>
    <t>Trains collision, 13-03-14, Open line between Decin - Prostredni Zleb and Decin hlavni nadrazi stations (Czech Republic)</t>
  </si>
  <si>
    <t>A freight train No. 48397 bumped into last wagon of stationary freight train No. 48325 due to unauthorized movement of freight train No. 48397 past an automatic block signal with signal “stop”.</t>
  </si>
  <si>
    <t>Open line between Decin - Prostredni Zleb and Decin hlavni nadrazi stations</t>
  </si>
  <si>
    <t>LTE Logistik a transport Czechia s.r.o.; 
Advanced World Transport a.s.</t>
  </si>
  <si>
    <t>Direct cause:_x000D_
• unauthorized movement of freight train No. 48397 past an automatic block signal with signal “stop”._x000D_
Contributory factor:_x000D_
• insufficient readiness of train driver to immediately respond to failure of the braking device by activation of additional braking device.</t>
  </si>
  <si>
    <t>Underlying cause:_x000D_
• failure to comply of technological procedures of infrastructure manager for a ride on the track equipped with an automatic block by the person driving the train No. 48397._x000D_
Root cause: none.</t>
  </si>
  <si>
    <t>RO-3431</t>
  </si>
  <si>
    <t>Train derailment, 3/14/2014, Constanta Marfuri - Palas (Romania)</t>
  </si>
  <si>
    <t>The lead axle from the track-maintenance car DCL 007 derailed. The working train no. 88396 consist in track-maintenance car DCL 007.</t>
  </si>
  <si>
    <t>Constanta Marfuri - Palas</t>
  </si>
  <si>
    <t>Longitudinal, direction and cross level defects, which in their aggregation conditions were subject to forces transmitted by the draisine and given the technical characteristics of the running gear (wheelbase and axle load) generated a critical state regarding the guiding capacity both of the track and of the leading axle of the draisine. This led to the climbing of the exterior curve rail and the derailment of a draisine axle._x000D_
Contributing factors_x000D_
-the use of driving rolling stock which is not registered 
Defectele de nivel transversal, de nivel longitudinal si de directie, care în conditiile cumularii lor, au fost supuse fortelor transmise de drezina si având în vedere  caracteristicile tehnice ale aparatului de rulare (ampatament si sarcina pe osie), au generat o stare critica privind capacitatea de ghidare, atât a caii cât si a osiei conducatoare a drezinei. Acestea au condus la escaladarea sinei firului exterior al curbei si deraierea de o osie a drezinei. _x000D_
Factorii care au contribuit_x000D_
-utilizarea de material rulant motor neînmatriculat.</t>
  </si>
  <si>
    <t>Underlying cause_x000D_
a)	The draisine DCL 135L – 007_x000D_
-	failure to assure the technical conditions (Instruction no. 340, Chapter 8 Art.79);_x000D_
-	failure to comply with the inspections and repairs cycle (NF 67-007:2012);_x000D_
b) Procedures_x000D_
   - use of the not authorized personnel at the performing of the track inspection (Order no. 2262/2005)._x000D_
Root cause_x000D_
The actual regulating framework doesn’t foresee:_x000D_
-	the minimum necesarry works which must be performed with the occasion of the inspections and repairs according to the cycle stipulated in NF 67-007:2012;_x000D_
-	the dimensions of the primary and secundary suspesions clearance and of the maximum admitted differences between the powered axles’wheels and the trailing axles;_x000D_
-	operations and verifications which must be performed before the guidance of the draisines in traffic;_x000D_
-	the performance type of the control regarding the acces on the infrastructure of the machines belonging to CNCF „CFR” SA. 
Cauze subiacente_x000D_
      a)Drezina DCL 135L – 007_x000D_
-	neasigurarea conditiilor tehnice(  Instructia nr. 340, cap. 8 art.79);_x000D_
-	nerespectarea ciclului de revizii si reparatii (NF 67-007:2012);_x000D_
 _x000D_
b)Proceduri_x000D_
   -utilizarea de personal neautorizat pentru efectuarea reviziei caii (Ordinul nr. 2262/2005)._x000D_
      D.3. Cauze primare._x000D_
Cadrul actual de reglementare nu prevede :_x000D_
-	lucrarile minim necesare care trebuiesc efectuate cu ocazia reviziilor si reparatiilor conform ciclului stipulat în NF 67-007:2012;_x000D_
-	marimea jocurilor suspensiei primare si secundare si a diferentelor între  diametrele rotilor osiilor motoare si alergatoare maxim admise ;_x000D_
-	operatii si verificari care trebuiesc efectuate înainte de îndrumarea drezinelor în circulatie;_x000D_
-	modul de efectuare a controlului privind accesul pe infrastructura a utilajelor apartinând CNCF „CFR” SA.</t>
  </si>
  <si>
    <t>CZ-3543</t>
  </si>
  <si>
    <t>Level crossing accident, 15/03/2014, Open line between Cervenka - Moravicany stations (Czech Republic)</t>
  </si>
  <si>
    <t>Collision of long distance passenger train No. 444 with an obstacle –_x000D_
a car at the active level crossing.</t>
  </si>
  <si>
    <t>Open line between Cervenka - Moravicany stations</t>
  </si>
  <si>
    <t>Direct cause:_x000D_
• deadlock of the car in the scene of the level crossing No. P6520;_x000D_
• failure to stop railway transport between the stations Cervenka and Moravicany, at a level crossing P6520, after receiving a request to stop.</t>
  </si>
  <si>
    <t>Underlying cause:_x000D_
• requiring stop of railway transport, for the employees of IM who did not have the means to take effective measures to stop railway transport at the level crossing P6520, and who was only the mediator._x000D_
_x000D_
Root cause:_x000D_
• failure to prioritizing telephone contacts provided for integrated rescue system, which the operator of the integrated rescue system uses to request to stopping the operation of railway transport in imminent danger.</t>
  </si>
  <si>
    <t>DE-3471</t>
  </si>
  <si>
    <t>Train derailment, 20/03/2014, Maschen Rbf (Germany)</t>
  </si>
  <si>
    <t>Train DGV 93505 derailed at the railway station Maschen Rbf with a wagon with long welded rails, with both axes. 
Zug DGV 93505 entgleiste im Bahnhof Maschen Rbf mit einem mit Langschienen beladenen Wagen, mit beiden Achsen.</t>
  </si>
  <si>
    <t>Maschen Rbf</t>
  </si>
  <si>
    <t>Die-Lei GmbH</t>
  </si>
  <si>
    <t>Der führende SKL 26 hatte eine größere Ladehöhe als der ihm nachfolgende Wagen. Folge hiervon war, dass neben der höhreren Belastung der rechten Fahrzeugseite eine unterschiedliche Belastung der Radsätze des Wagens gegeben war. 
The leading heavy small wagon 26 had a bigger loading height than the following wagon. As a consequence, in addition to the bigger loading on the right driving side, there was a different burden on the wheelset of the wagon.</t>
  </si>
  <si>
    <t>UK-3517</t>
  </si>
  <si>
    <t>Spad, 20-03-14, Greenford, Greater London (United Kingdom)</t>
  </si>
  <si>
    <t>A passenger train passed two consecutive signals at danger near Greenford, Greater London, on 20 March 2014, and travelled a considerable distance before being stopped._x000D_
The train involved was the 11:36 hrs Chiltern Railways service from London Paddington to West Ruislip. No-one was hurt in the incident._x000D_
_x000D_
A freight train had passed the junction at Greenford shortly before the passenger train was due. Because this train was still occupying the line between Greenford and South Ruislip, the signaller at Greenford kept the signal at the junction at danger. The passenger train, travelling at about 20 mph (32 km/h), passed this signal and the next one, 142 yards (130 metres) further on, which was also at danger. It passed over the junction and onto the single-track section towards South Ruislip, which was still occupied by the freight train. The signaller at Greenford was unable to send an emergency radio message to the driver, but contacted the signaller at Marylebone signalling centre who was able to do so. The train was stopped after it had travelled about 1.75 miles (2.8 km) past Greenford.</t>
  </si>
  <si>
    <t>Greenford, Greater London</t>
  </si>
  <si>
    <t>Chiltern Railways</t>
  </si>
  <si>
    <t>Train 2M30 passed onto the single line without stopping at either of the previous two signals which were at danger (paragraph 35).</t>
  </si>
  <si>
    <t>The causal factors were:_x000D_
a. The driver did not react to signals GE55 and GE50 at danger (paragraph 40, no recommendation)._x000D_
b. The TPWS equipment did not intervene to stop the train when it passed signals GE55 and GE50 at danger (paragraph 66, Learning point 2)._x000D_
c. The train stopped on arrival at Paddington with the rear cab over a TPWS trigger loop (paragraph 73, Recommendation 1)._x000D_
d. The driver took no action in response to the yellow flashing light displayed by the TPWS equipment (paragraph 80, Recommendation 1)._x000D_
e. The TPWS equipment on the train self-isolated if an attempt was made to set it up while standing over a loop (paragraph 87, Recommendation 1, Learning point 2)._x000D_
125 It is probable that the following factors were causal:_x000D_
a. The signaller cleared signal GE56 when the train was more than 200 yards (183 metres) from it (paragraph 44, see paragraph 132, Learning point 1)._x000D_
b. The driver had not been stopped at Greenford in the recent past (paragraph 63)._x000D_
Underlying factor_x000D_
126 The driver management process within Chiltern Railways did not address the driver performance issues which contributed to this incident (paragraph 93, Recommendation 1).</t>
  </si>
  <si>
    <t>CZ-3572</t>
  </si>
  <si>
    <t>Level crossing accident, 24/03/2014, Open line between Rozsochatec and Chotebor stations (Czech Republic)</t>
  </si>
  <si>
    <t>Collision of regional passenger train No. 5306 with an obstacle – a car_x000D_
at the active level crossing.</t>
  </si>
  <si>
    <t>Open line between Rozsochatec and Chotebor stations</t>
  </si>
  <si>
    <t>Third party – level crossing user (car driver violation)</t>
  </si>
  <si>
    <t>Underlying cause:_x000D_
failure to respect rules for operation on the road by the driver of the_x000D_
car;_x000D_
entering of the car on active level crossing when the arriving train_x000D_
has been visible._x000D_
_x000D_
Root cause: none</t>
  </si>
  <si>
    <t>HU-4468</t>
  </si>
  <si>
    <t>Other event, 26-03-14, Budapest, Keleti pályaudvar - Stadionok (Hungary)</t>
  </si>
  <si>
    <t>An engine lid fell down from the bottom of the EMU, that made the EMU immobile._x000D_
The passengers were evacuated 
A vonat aljáról egy takarófedél leeset, amely a vonat alját megrongálva azt mozgásképtelenné tette. Az utasokat gyalogosan kimenekítették.</t>
  </si>
  <si>
    <t>Budapest, Keleti pályaudvar - Stadionok</t>
  </si>
  <si>
    <t>Az alkalmazott zárszerkezetek menetes szárai eltörtek, melynek következtében az Input box fedelét csak a két földelosodrat tartotta. A pályán lévo szerkezeti elemeknek ütközve a lógó fedél lengésbe jött, majd annak sarka felcsapódva zárlatot okozott, lelógó része pedig pályamenti infrastruktúra elemeket rongált meg. 
The threaded stems of the locking devices used were broken, as a result of which the lid of the Input box was kept only by the two undergrounds. When faced with structural elements on the track, the lounge lid swings, the heel climbed to a defect and the sliding part damaged trackside infrastructure elements.</t>
  </si>
  <si>
    <t>BG-3631</t>
  </si>
  <si>
    <t>Train derailment, 28/03/2014, Todor Kableshkov station (Bulgaria)</t>
  </si>
  <si>
    <t>At 08:20 AM on 28.03.2014 while passing transit through Todor Kableshkov station the freight train No. 10530 derailed on rail track No. 3  before switch No. 24. Five of its altogether 24 wagons loaded with coal overturned into both sides of the railway and the train was broken between the 5-th and 6-th wagons.  No casualties occurred in result of the accident, but substantial damages to the RS and the infrastructure._x000D_
Due to the infrastructure restoration works, the train movement between Stambolyiski, Todor Kableshkovand Plovdiv stations was interrupted for 28 hours and 38 minutes - from 08:20 a.m. on 28.03.2014 to 12:58 on 29.03.2014.</t>
  </si>
  <si>
    <t>Todor Kableshkov station</t>
  </si>
  <si>
    <t>Immediate technical cause of the occurred accident - derailment of five wagons from freight train No 10530 in transit on the third track in Todor Kableshkov station on 28/03/2014, was the cross destruction of the right rail thread at km 146 + 535, 54 occurred in the lower part of the rail heel, due to created tension concentrator (burn of welding).</t>
  </si>
  <si>
    <t>The root cause of the accident is the artificially created concentrator of tensions in the rail by taking a peace of the material off during welding a jumper rope (the defect), which remained from the first use of the rail thread and led to creation of a crack in the heel and to total destruction of the rail.</t>
  </si>
  <si>
    <t>CZ-3510</t>
  </si>
  <si>
    <t>Spad, 28-03-14, Praha hlavni nadrazi station (Czech Republic)</t>
  </si>
  <si>
    <t>Regional passenger train No. 8830 passed a signal at danger (departure signal No. S11a showing signal “stop”) at Praha hlavni nadrazi station.</t>
  </si>
  <si>
    <t>Praha hlavni nadrazi station</t>
  </si>
  <si>
    <t>Direct cause:_x000D_
•ignoring signal “stop” of main (departure) signal S11a by the train driver._x000D_
_x000D_
Contributory factor:_x000D_
•absence of technical device to prevent a train from unauthorized movement past the signal at danger in case of train driver's failure.</t>
  </si>
  <si>
    <t>Underlying cause:_x000D_
•failure to comply with technological procedures of infrastructure manager (IM) for train departure from the station by train driver of regional passenger train No. 8830 (putting the passenger train No. 8830 into motion without making sure if main (departure) signal S11a is in position enabling the ride.);_x000D_
•failure to comply with technological procedures of railway undertaking (RU), in particular:_x000D_
          ?start with activities for a train departure from station occupied by station dispatcher without observing requirements for expedition of the train;_x000D_
          ?failure to monitor railway track during train movement and to respect given instructions._x000D_
_x000D_
Root cause:_x000D_
•introduction of dispatching trains (with transport of passengers, which regularly or extraordinary stops at a place for entry and exit of passengers at the Praha hlavní nádraží station) only by using the main (departure) signal permitting the movement of the train without any other security policy. The train dispatcher who controlled the railway transport had not been (organizationally or technically) replaced, in spite of warnings issued by Rail Safety Inspection Office about risks associated with results of investigation of previous accidents and incidents.</t>
  </si>
  <si>
    <t>UK-3691</t>
  </si>
  <si>
    <t>Train derailment, 02-04-14, Angerstein Junction (United Kingdom)</t>
  </si>
  <si>
    <t>The derailment of a freight train at Angerstein Junction, near Charlton in south east London, at about 12:16 hrs on 2 April 2014. The train comprised 20 wagons, of the JRA and JGA types, hauled by a class 66 locomotive. It had just left sidings at Angerstein Wharf, where the wagons had been unloaded, and was travelling to Bardon Hill, Leicestershire. It then derailed, at a low speed, on a curved section of the single line track which links the sidings to the North Kent line at Angerstein Junction.</t>
  </si>
  <si>
    <t>Angerstein Junction</t>
  </si>
  <si>
    <t>The immediate cause of the accident was that there was insufficient load on the front right-hand wheel of the leading bogie on wagon 546 to counteract the lateral forces at the wheel-rail interface, and thus to prevent the flange climbing over the railhead in the vicinity of trap points 851A (paragraph 58).</t>
  </si>
  <si>
    <t>3 The causal factors were:_x000D_
a) A track fault in the vicinity of the trap points resulted in significant unloading of the leading right-hand wheel of wagon 546 (paragraph 68, Recommendation 3)._x000D_
b) The track fault at the trap points was not detected and corrected by Network Rail’s inspection and maintenance regime (paragraph 82, Recommendations 3 and 4)._x000D_
c) Wagon 546 contained an uneven residual load that was sufficient to bring some of its loaded primary suspension springs into play, concurrently with relatively low wheel loads (paragraph 93, Recommendations 1 and 6)._x000D_
d) The leading bogie on wagon 546 had an unbalanced diagonal wheel loading, associated with a twisted bogie (paragraph 98, Recommendations 2 and 5)._x000D_
e) Procedures to release materials in the wagon during discharge at Tinsley and Angerstein allowed an uneven residual load to remain in the wagon (paragraph 113, Recommendation 1)._x000D_
154 The underlying factors were:_x000D_
a) The potential for residual loads, particularly uneven residual loads, to increase the risk of derailment had not been recognised (paragraph 121, Recommendations 1 and 6)._x000D_
b) Compliance with existing railway standards does not eliminate the risk of derailment (paragraph 129, Recommendation 6).</t>
  </si>
  <si>
    <t>HU-3535</t>
  </si>
  <si>
    <t>Train derailment, 06-04-14, Budapest Ferencváros (Hungary)</t>
  </si>
  <si>
    <t>25th wagon of the  train No 91759 derailed and damaged the track lenght of 450 meters between Ferencváros and Kobánya- Kispest station. 
Ferencváros állomásról Kobánya - Kispest felé kijáró 91759 számú vonat 25. kocsija egy forgóvázzal kisiklott és a pályát 450 méter hosszban megrongálta.</t>
  </si>
  <si>
    <t>Budapest Ferencváros</t>
  </si>
  <si>
    <t>VB a baleset bekövetkezését az alábbi közvetlen okokra vezette vissza:_x000D_
-	a 33 53 5321 098-2 psz. kocsi menetirányát tekintve az elso tengelye vezetetlenné vált, az 1 sz. tengelycsap törése következtében,_x000D_
-	a kocsi közelebbrol nem azonosítható karbantartása során nem megfelelo ívhegesztési technológia következtében az érintett kerékpár csapágyain jelentos villamos áram átfolyás történt, ami hofejlodéssel járó meghibásodást okozott._x000D_
-	az érintett kerékpárba szerelt csapágygyuruk és gördüloelemek sérülése miatt megnövekedett a csapágy belso súrlódása, ami nagymértéku hofejlodést hozott létre,_x000D_
-	a vonatra engedélyezett sebesség jelentos túllépése a kialakuló hoterhelést számottevoen növelte (a vonat a pályára és a besorozott jármuvekre megengedett sebességet nem lépte túl),_x000D_
-	a hoterhelés következtében a tengelycsap anyagának mechanikai tulajdonságai lecsökkentek és ennek következtében az letörött. 
The direct causes of the accident are the following : _x000D_
_x000D_
-	Regarding the direction of the vehicle nr 33 53 5321 098-2 , the first axle of the vehicle became unguided , due to the break of the axle bearings,_x000D_
-	Due to improper arc welding technology, which couldn’t be identified from closer during maintenance, a significant flow of current was produced on the bearings of the pair of wheels concerned, which resulted in an exothermic damage._x000D_
-	Due to the damage of the bearing rings and rolling elements in the pair of wheels concerned, the internal friction of the bearing increased, resulting in a high level of heat generation_x000D_
-	The excess of the allowed speed of the train increased significantly the heat stress ( the train didn’t exceed the allowed speed for trains on track and in line)_x000D_
-	Due to the heat stress, the mechanical properties of the material of the axel bearings decreased, which resulted in its breaking.</t>
  </si>
  <si>
    <t>IT-3518</t>
  </si>
  <si>
    <t>Accident to persons caused by RS in motion, 07/04/2014, Castelfranco Emilia (Italy)</t>
  </si>
  <si>
    <t>fall and subsequent death of traveler in an attempt to alighting from train</t>
  </si>
  <si>
    <t>Castelfranco Emilia</t>
  </si>
  <si>
    <t>Incorrect behavior of the traveler that forced the door for getting off.</t>
  </si>
  <si>
    <t>Non-compliance with regulations in force of the door control for the cars of the low floor type.</t>
  </si>
  <si>
    <t>HR-3549</t>
  </si>
  <si>
    <t>Trains collision near miss, 10-04-14, Oriovac (Croatia)</t>
  </si>
  <si>
    <t>NIB HR</t>
  </si>
  <si>
    <t>On 10/04/2014 at 9:13 p.m., on the railway line M104, at the Oriovac station, a collision has been avoided between the train N°741 and the train N°45 520 on the third track. This incident occurred during the scheduled closing of the left track direction Nova Kapela Batina- Orinovac-Sibinj and the train operation on the right track. The train N°45520 had been provided a safe route on the third track and was entering on track N°3 on the towards the train N°741. The train N°741, which was coming on the right irregular track, has entered without the permission the same track. The train dispatcher has come out next to the train N° 741 and has stopped it at the km 241 + 770 and has stopped the train N°45520 at km 241 + 450. 
Dana 10.04.2014. u 9.13 sati, na pruzi M104, u kolodvoru Oriovac, došlo je do izbjegnutog sudara vl 741 i 45520 na 3. kolosijeku. Ovaj se incident dogodio za vrijeme predvidenog zatvora lijevog kolosijeka Nova Kapela Batrina – Oriovac – Sibinj i odvijanja prometa vlakova po desnom kolosijeku. Vl 45520 je imao osiguran ulazni put vožnje na 3. kolosijek i ulazio je na isti na križanje sa vl 741. Vl 741, koji je dolazio po desnom nepravilnom kolosijeku, bez odobrenja je ušao na isti kolosijek. Prometnik vlakova je izišao pored vl 741 i zaustavio ga u km 241+770, a vl 45520 je zaustavio u km 241+450.</t>
  </si>
  <si>
    <t>Croatia</t>
  </si>
  <si>
    <t>Oriovac</t>
  </si>
  <si>
    <t>HŽ PUTNICKI PRIJEVOZ; 
HŽ CARGO</t>
  </si>
  <si>
    <t>HŽ Infrastruktura</t>
  </si>
  <si>
    <t>Direct cause of this incident is not following special traffic procedures during closure of one running line. 
The cause of the incident is the non-compliance of the obligation to stop the high speed train N°471 at the foreseen place.</t>
  </si>
  <si>
    <t>possible that the driver had problems spotting the input signal B, due to the position of the sun and fog</t>
  </si>
  <si>
    <t>DE-3534</t>
  </si>
  <si>
    <t>Train derailment, 11-04-14, Forchheim (Germany)</t>
  </si>
  <si>
    <t>Die Zugfahrt S 39198 auf der Fahrt von Nürnberg nach Bamberg entgleist im Bf Forchheim auf der Weiche mit einem Drehgestell. 
The train S 39198 on the trip from Nuremberg to Bamberg derailed with a bogie in station Forchheim on the switch.</t>
  </si>
  <si>
    <t>Forchheim</t>
  </si>
  <si>
    <t>Arbeitsfehler des Fahrdienstleiters Forchheim 
Working error of the traffic controller in Forchheim</t>
  </si>
  <si>
    <t>CZ-3869</t>
  </si>
  <si>
    <t>Trains collision, 4/12/2014, Praha Liben station (Czech Republic)</t>
  </si>
  <si>
    <t>Failure to comply with condition for running on sight and for movement_x000D_
on occupied track, where was the stationary locomotive. The shunting_x000D_
operation locomotive suddenly collided with it on an actually occupied_x000D_
track.</t>
  </si>
  <si>
    <t>Praha Liben station</t>
  </si>
  <si>
    <t>Shunting operation; 
Locomotive running solo</t>
  </si>
  <si>
    <t>Direct cause:_x000D_
•failure to comply with condition for running on sight by engine driver of shunting operation._x000D_
_x000D_
Contributory factors:_x000D_
•performing of the shunting operation by the engine driver without an appropriate permission;_x000D_
•lack of concentration on driving by the engine driver.</t>
  </si>
  <si>
    <t>Underlying cause:_x000D_
•failure of technological processes of infrastructure manager and railway undertaking for activities in the course of performing the shunting operation conducted by the employee in charge of shunting operation (engine driver)._x000D_
_x000D_
Root cause: none.</t>
  </si>
  <si>
    <t>RO-3544</t>
  </si>
  <si>
    <t>Other event, 4/13/2014, Predeal-Timisu de Sus (Romania)</t>
  </si>
  <si>
    <t>a train consisting of 26 wagons has exceeded the speed movement because the driver could not brake the train</t>
  </si>
  <si>
    <t>Predeal-Timisu de Sus</t>
  </si>
  <si>
    <t>Cauza directa a producerii incidentului a constituit-o func?ionarea necorespunzatoare a frânelor automate la vagoanele din compunerea trenului care a condus la nerealizarea efectului de frânare necesar pentru men?inerea vitezei maxime admise la coborârea pe panta._x000D_
	_x000D_
Factori care au contribuit:_x000D_
Depasirea tonajului maxim admis prevazut în livretul cu mersul trenurilor de marfa pentru sectia de circula?ie Predeal-Bra?ov datorita înscrierii eronate, în scrisoarea de trasura, a masei marfii transportate. 
The direct cause, of the incident occurrence was the non-corresponding functioning of the automatic brakes at the wagons from the train which led to the unfulfillment of the braking effect necessary for the maintaining of the maximum admitted speed at the slope descending._x000D_
_x000D_
Contributing factors_x000D_
Exceeding of the maximum admitted tonnage foreseen by the freight trains timetable for the traffic section Predeal Brasov due the wrongly recording, in the consignment note, of the transported goods mass.</t>
  </si>
  <si>
    <t>Cauze subiacente:_x000D_
Lucrarile efectuate în cadrul ultimei repara?ii planificate (RP) la o parte din vagoanele aflate în compunerea trenului de marfa nr.50406-1 nu au asigurat func?ionarea frânelor automate la nivelul de siguranta feroviara impus de reglementarile specifice în vigoare._x000D_
_x000D_
Cauze primare_x000D_
Nu au fost identificate cauze primare. 
Underlying cause_x000D_
_x000D_
The works performed at the last planned repair (PR) at some of the wagons from the freight train no. 50406-1 didn’t assured the functioning of the automatic brakes at the railway safety level imposed by the specific regulations in craft._x000D_
_x000D_
Root cause_x000D_
None</t>
  </si>
  <si>
    <t>ES-3667</t>
  </si>
  <si>
    <t>Train derailment, 15-04-14, Arcade station (Pontevedra) (Spain)</t>
  </si>
  <si>
    <t>Freight train partially derailed at point nº 6 at Arcade station (Pontevedra)</t>
  </si>
  <si>
    <t>Arcade station (Pontevedra)</t>
  </si>
  <si>
    <t>The cause of the derailment is unknown. The most likely hypothesis is a sum of factors with a synergistic effect on the vehicle dynamic making it to derail.</t>
  </si>
  <si>
    <t>HU-4469</t>
  </si>
  <si>
    <t>Spad, 15-04-14, Püspökladány station (Hungary)</t>
  </si>
  <si>
    <t>Train No. 6160 passed Signal "B" at Danger, and splitted open point no. 8. 
A 6160 sz. vonat az állomás "Megállj" állású,  "B" jelu bejárati jelzojét meghaladta, és a 8 sz. váltót felvágta.</t>
  </si>
  <si>
    <t>Püspökladány station</t>
  </si>
  <si>
    <t>NO-3606</t>
  </si>
  <si>
    <t>Train derailment, 4/15/2014, Svene at the Numedal line (Norway)</t>
  </si>
  <si>
    <t>Tuesday 15.4.204, a freight train from TX Logistik derailed at km 113,720 north of Svene stamp mill at the Numedal line. The train was carrying wood chippings. Several waggons were damaged, and the infrastrucure needs extensive repairs. The line is expected to be out of service for a period of time. 
Tirsdag 15.4.2014 sporet sørgående godstog fra TX Logstik av ved km 113,720, nord for Svene pukkverk på Numedalsbanen. Toget var lastet med flis. To vogner veltet og det oppstod store materielle skader, både på vogner og skinnegang. Det er ventet at linjen vil være ute av drift en periode.</t>
  </si>
  <si>
    <t>Svene at the Numedal line</t>
  </si>
  <si>
    <t>The poor condition of the line.</t>
  </si>
  <si>
    <t>EE-3559</t>
  </si>
  <si>
    <t>Level crossing accident, 16/04/2014, Raasiku (Estonia)</t>
  </si>
  <si>
    <t>Collision between the long distance passenger train no 0290 and truck Man took place on automatically regulated (active) Raasiku station level crossing. After the accident the truck was flung out of the road onto grassland, the driver perished and the car had become unfit for use. The train derailed, one passenger died, 12 passengers were slightly injured.</t>
  </si>
  <si>
    <t>Estonia, AS Eesti Raudtee</t>
  </si>
  <si>
    <t>The direct cause of the accident is the human error, where the psychological condition of the driver of the semi-trailer MAN vehicle contributed to the inability of the driver's daring driving manner, accompanied with inattentiveness, to stop the vehicle in order to let the rolling stock pass._x000D_
Instrumental factor. The inattentiveness of the driver was facilitated by compensation of radiation intensity of the blinking red traffic lights, equipped with incandescent lamps by on-falling solar radiation.</t>
  </si>
  <si>
    <t>HR-3573</t>
  </si>
  <si>
    <t>Train derailment, 22-04-14, Kistanje-Knin (Croatia)</t>
  </si>
  <si>
    <t>On 22 April 2014, at 15.00 hours at +700 5 km there was a derailment of a special purpose vehicle, Plasser &amp; Theurer USP 3000C, as well as wagon U- f n.44 7 also both shaft . Derailment hepend due to hit the stone of greater than 200 kg , which is slide with height over 100 meters ( from the axis of the track over 30 m ) on the right side of the line, and moved to the left side and jammed between_x000D_
 rails and platform standpoint Ocestovo . These vehicles are operated only between Kistanje - Knin in the group with two special purpose vehicles  ownership of Railway facilities company._x000D_
 Derailment caused major damage to the vehicles and damage and the destruction of 35 sleepers. 
Dana 22. travnja 2014. u 15,00 sati u km 5+700 došlo je do iskliznuca vozila za posebne namjene Plasser &amp; Theurer USP 3000C, kao i prikolice U-ž takoder s obje_x000D_
osovine. Do iskliznuca je došlo zbog udara u kamenu gromadu mase preko 200 kg, koja se odronila s visine preko 100 metara (od osi kolosijeka preko 30 m) s desne strane pruge te je prešao na lijevu stranu i zaglavio izmedu tracnice i perona stajališta Ocestovo. Navedena vozila prometovala su na relaciji Kistanje – Knin u grupi sa još dva vozila za posebne namjene vlasništva tvrtke Pružne gradevine._x000D_
 Prilikom isliznuca došlo je do veceg oštecenja na vozilima  i oštecenja i uništenja 35 pragova.</t>
  </si>
  <si>
    <t>Kistanje-Knin</t>
  </si>
  <si>
    <t>Pružne gradevine d.o.o. za obavljanje uslužnih djelatnosti</t>
  </si>
  <si>
    <t>Uzrok nesrece je odron kamenja na prugu, zbog cega je došlo do sudara vlaka s odronom i iskliznuca 
The cause of the accident is a rock-fall on the tracks, which caused a collision with a train derailment and landslides</t>
  </si>
  <si>
    <t xml:space="preserve">Heavy rainfall at the landslide site the day before the accident; Poor distance visibility at the stand Oćestovo  
</t>
  </si>
  <si>
    <t>CZ-3692</t>
  </si>
  <si>
    <t>Level crossing accident, 23-04-14, Vsetaty station (Czech Republic)</t>
  </si>
  <si>
    <t>Collision of freight train No. 66301 with an obstacle - a bus at the level crossing No. 2724.</t>
  </si>
  <si>
    <t>Vsetaty station</t>
  </si>
  <si>
    <t>Direct cause:_x000D_
•overlap of rear part of the bus into danger zone of the closed level crossing when the freight train was driving through the level crossing._x000D_
_x000D_
Contributory factor:_x000D_
•the bus driver didn't make sure himself if he had left the level crossing No. P2724 safely;_x000D_
•allow to entry to vehicles whose length exceeds 6.5 meters to level crossings No. P2724 and P2675 without notification of the maximum allowed length of the vehicles;_x000D_
•not taking measures based on the findings of the common inspection of railway crossings No. P2724 and P2675 on 20. 3. 2013.</t>
  </si>
  <si>
    <t>Underlying cause:_x000D_
•inadequate control activities at level crossings No. 2724 and 2675 (sources of danger were not found – unsafe state of adjacent road and poor labelling of the level crossings);_x000D_
•approval and implementation of the project of reconstruction level crossings No. P2724 and P2675 without professional assessment of the impact on ensuring safe driving of long vehicles between level crossings and safety of rail transport operation, due to local adverse ratios of crossing railway with road._x000D_
_x000D_
Root cause: none.</t>
  </si>
  <si>
    <t>DE-3583</t>
  </si>
  <si>
    <t>Train derailment, 4/23/2014, Gröbers (Germany)</t>
  </si>
  <si>
    <t>Am 23.04.2014 gegen 18:10 Uhr entgleiste die Zugfahrt EZ 51521 des Eisenbahnverkehrs-unternehmens DB Schenker Rail AG auf der Fahrt von Seelze Rbf nach Leipzig-Engelsdorf im Bahnhof (Bf) Gröbers auf der Weiche 81W22. Die Zugentgleisung ereignete sich auf der Strecke Magdeburg Hauptbahnhof (Hbf) – Halle (Saale) Hbf – Leipzig Messe Süd, die von der DB Netz AG als Eisenbahninfrastrukturunter-nehmen betrieben wurde. Es handelte sich um eine elektrifizierte Hauptbahn, die im Ver-zeichnis der örtlich zulässigen Geschwindigkeiten (VzG) unter der Nummer 6403 geführt wurde. Die Unfallstelle befand sich auf der Weiche 81W22 im Bf Gröbers etwa in km 96,5. In diesem Abschnitt war die Strecke zweigleisig und durfte gemäß VzG mit einer maxima-len Geschwindigkeit von 120 km/h befahren werden. Die benachbarten Betriebsstellen waren die Abzweigstelle (Abzw) Hl Karena und Großkugel Haltepunkt (Hp) Die Weiche 81W22, auf der die Zugfahrt EZ 51521 entgleiste, war eine Schnellfahrweiche der Form EW 60-2500-1:26,5-fb mit federnd beweglicher Herzstückspitze. Die Weiche war mit zwei Weichenantrieben und Weichenformsignalen ausgerüstet, die auf Höhe der Wei-chenzungen und der federnd bewegliche Herzstückspitze positioniert waren.</t>
  </si>
  <si>
    <t>Bf Gröbers</t>
  </si>
  <si>
    <t>DB Schenker Rail AG</t>
  </si>
  <si>
    <t>DB Netz Aktiengesellschaft</t>
  </si>
  <si>
    <t>Es wurden keine Personen getötet oder verletzt. An der Infrastruktur und an den beteiligten Fahrzeugen entstanden Sachschäden.</t>
  </si>
  <si>
    <t>Während notwendiger Arbeiten an der gestörten Weiche 81W22 wurde diese durch das Personal vor Ort nicht ordnungsgemäß gestellt und verschlossen, bevor die Zugfahrt EZ 51521 zugelassen wurde.</t>
  </si>
  <si>
    <t>AT-3591</t>
  </si>
  <si>
    <t>Fire in RS, 24/04/2014, Station Launsdorf-Hochosterwitz (Austria)</t>
  </si>
  <si>
    <t>Der Betrieb auf der Strecke wurde vom zuständigen Fahrdienstleiter (Fdl) im elektroni-schen Stellwerk Unterzentrale Neuwiederitzsch von einem Bedienplatz in der Betriebs-zentrale Leipzig aus entsprechend den Regularien der Richtlinie 408 –Züge fahren und Rangieren – durchgeführt.</t>
  </si>
  <si>
    <t>Station Launsdorf-Hochosterwitz</t>
  </si>
  <si>
    <t>Durch das Abhandenkommen einer Sicherung (Sicherungsbolzen und Federsplint) einer Reserve-bürste wurde die Reservebürste einseitig unter dem SKl verkeilt. Durch das Mitschleifen im Gleis-bett wurden die Kunststoffummantelungen derart erhitzt, dass der Fahrzeugteil in Brand geriet. 
Due to the loss of a safety device (safety pin and spring pin) of a spare brush, the spare brush has been wedged on one side under the SKI. Because of dragging on the track bed, the plastic coverings were heated and the vehicle component caught fire.</t>
  </si>
  <si>
    <t>DK-5305</t>
  </si>
  <si>
    <t>Level crossing accident, 29-04-14, Ørholm (Denmark)</t>
  </si>
  <si>
    <t>Level crossing accident, pedestrian killed 
Tirsdag den 29. april kl. 15:18 blev en person påkørt af Lokalbanens tog 191514 i overgang 15 på strækningen_x000D_
Nærum- Jægersborg. Personen døde kort efter hændelsen.</t>
  </si>
  <si>
    <t>Ørholm</t>
  </si>
  <si>
    <t>Uopmærksomhed hos person som krydsede jernbanen / benyttede overgangen. 
Inattention of person crossing the railroad</t>
  </si>
  <si>
    <t>CZ-3605</t>
  </si>
  <si>
    <t>Level crossing accident, 4/30/2014, open line between Kyjov and VlkoÅ¡ stations (Czech Republic)</t>
  </si>
  <si>
    <t>Collision of regional passenger train No. 1725 with an obstacle – a car_x000D_
at the level crossing.</t>
  </si>
  <si>
    <t>open line between Kyjov and VlkoÅ¡ stations</t>
  </si>
  <si>
    <t>Direct cause:_x000D_
• third party – level crossing user (car driver's violation);_x000D_
• failure to comply with measures for train caution train Sp 1725.</t>
  </si>
  <si>
    <t>Underlying cause:_x000D_
•car driver behaviour before the level crossing, in the distance of visibility warning crosses for safe stop where it is necessary to behave particularly carefully and make sure it is possible safely cross over the level crossing;_x000D_
•not giving priority to rail traffic at level crossings with road track;_x000D_
•human error, which resulted in a failure to oversights and observe the signal "open level crossing" and disregard for the universal order for the train No. 1725 by the train driver._x000D_
_x000D_
Root cause: none.</t>
  </si>
  <si>
    <t>HU-3612</t>
  </si>
  <si>
    <t>Level crossing accident, 03-05-14, Rákos - Pécel (Hungary)</t>
  </si>
  <si>
    <t>A train collied witha a car at a level crossing. The user side warning and protection of the level crossing did not work. 
A zavarban lévo AS 142 jelu útátjáróban a vonat szgk.-val ütközött.</t>
  </si>
  <si>
    <t>Rákos - Pécel</t>
  </si>
  <si>
    <t>Signalling device malfunction and human inattention.</t>
  </si>
  <si>
    <t>BG-3633</t>
  </si>
  <si>
    <t>Level crossing accident, 5/7/2014, Septemvri railway station (Bulgaria)</t>
  </si>
  <si>
    <t>At 4:35 PM on 07.05.2014 while moving between Belovo and Septemvri stations, the Passenger train No 10113 of the RU (BDZ Passengers) ran onto a road heavy truck passing the level crossing on km 101+227 secured by automatic sound and light signal system._x000D_
The truck driver and five passengers and were injured, one of which died in the hospital afterwards as a consequence of the accident. Damages were caused to the RS, the road truck and the RI. _x000D_
The movement on both the rail tracks was blocked immediately and recovered after rehabilitation works at 10:43 PM on track No 2 and at 5:25 AM on 08.05.2014 on track No 1.</t>
  </si>
  <si>
    <t>Septemvri railway station</t>
  </si>
  <si>
    <t>The immediate technical cause of the serious railway accident occurred on 07.05.2014 is the unlawful crossing of the motor vehicle (lorry "Scania" with reg no PB 4810 KB) over the railway crossing at km 101+227 within Belovo-Septemvri inter-station in regularly activated automatic level crossing signalling  indicating the imminent passing of a train.</t>
  </si>
  <si>
    <t>The driver of the motor vehicle did not stop obligatorily in front of the traffic lights repeater on the factory territory, which was with  flashing yellow light and sound signalization activated and undertook passing through the level crossing at his own risk and responsibility without being convinced that no train was approaching and the passage would be safe.</t>
  </si>
  <si>
    <t>DE-3607</t>
  </si>
  <si>
    <t>Trains collision with an obstacle, 07-05-14, Olching (Germany)</t>
  </si>
  <si>
    <t>S-Bahn-Leerfahrt 38982 kollidiert bei der Durchfahrt in Olching, Gleis 2 mit der Baggerschaufel eines sich drehenden Zweiwegebaggers. 
S-Bahn empty train 38982 collides in Olching, track 2 with the bucket of a passing rotating two-way excavator.</t>
  </si>
  <si>
    <t>Olching</t>
  </si>
  <si>
    <t>Der Auslegearm eines Zweiwegebaggers wurde in den nicht gesperrten Gleisbereich geschwenkt. 
The extension arm of the two-way excavator had been swivelled in a non-blocked track area.</t>
  </si>
  <si>
    <t>HU-3613</t>
  </si>
  <si>
    <t>Level crossing accident, 07-05-14, Veresegyház - Orbottyán (Hungary)</t>
  </si>
  <si>
    <t>A train collied with a car at an open crossing. 
A nem biztosított útátjáróban a vonat egy szgk.-val ütközött.</t>
  </si>
  <si>
    <t>Veresegyház - Orbottyán</t>
  </si>
  <si>
    <t>A gépkocsivezeto a kello távolságból észlelhetoen közeledo vonat ellenére a vasúti átjáróba behajtott, és a vonat érkezése elott azt nem tudta elhagyni. 
The driver, despite the distance of the level crossing, could not leave his car before the arrival of the train.</t>
  </si>
  <si>
    <t>RO-3608</t>
  </si>
  <si>
    <t>Train derailment, 07/05/2014, Timisoara Nord station (Romania)</t>
  </si>
  <si>
    <t>the first axle of the passanger train no. 9612 , consist of  DMU  AM 979 derailed</t>
  </si>
  <si>
    <t>Timisoara Nord station</t>
  </si>
  <si>
    <t>Cauza directa_x000D_
Cauza directa a producerii accidentului o constituie ruperea axei osiei motoare a automotorului AM 979 (prima osie în sensul de mers), urmata de caderea rotii din partea dreapta între firele caii._x000D_
	Ruperea osiei s-a produs la oboseala în conditii de suprasolicitare (sub eforturi compuse de încovoiere rotativa si tractiune-compresiune) la racordarea dintre sectiunea de diametru 150 mm si sectiunea tronsonului cu caneluri. Amorsele de rupere au provenit din concentratori de tensiune plasati pe circumferinta osiei în zona de racordare._x000D_
Factori care au contribuit:_x000D_
-	diferente de 20 mm între diametrele cercurilor de rulare ale rotilor osiilor motoare ale celor doua automotoare, care au indus tensiuni interne suplimentare în axa acestei osii în conditiile exploatarii în cuplu a celor doua automotoare (AM 979 si AM 990);_x000D_
-	utilizarea de personal cu experienta redusa (operator CUS) la efectuarea contolului ultrasonic la osiile motoare de automotor. 
The direct cause of this accident occurrence is the breaking of the powered axle of the diesel multiple unit AM 979 (first axle in the running direction), followed by the wheel falling from the right side between the track rails._x000D_
The axle breaking was a fatigue fracture in overload conditions (under efforts composed by the rotary bending and traction-compression) at the connection between the section with a diameter of 150 mm and the section with grooves. The tendency to fracture derived from the stress concentrations placed on the circumference of the axle in the connection area._x000D_
_x000D_
Contributing factors_x000D_
_x000D_
-	differences of 20 mm between the diameters of the running treads of the powered axles wheels of the two units, which induced additional internal tensions in the axis of this axle in the operation conditions in couple of this two units (AM 979 and AM 990);_x000D_
-	the use of employees with low experience (CUS operator) at the performing of ultrasonic control at the powered axles of the DMU.</t>
  </si>
  <si>
    <t>Cauze subiacente_x000D_
1.	Mentinerea în exploatare a osiei motoare de la AM 979, fara a avea certitudinea ca aceasta corespunde din punct de vedere al controlului ultrasonic (CUS). Astfel, la data de 08.01.2014, în Depoul Timisoara, la osia în cauza s-a efectuat un CUS incomplet (fara ca acesta sa includa si verificarea zonei în care s-a produs ruperea - zona atacului de osie) si fara ca acesta sa respecte reglementarile specifice (,,Instructiunile pentru controlul ultrasonic al osiilor de automotor” – elaborate de catre ICPTT în anul 1975)._x000D_
2.	Neasigurarea conditiilor necesare de operare si autoinstruire pentru operatorul CUS, conditii prevazute la cap. 1.4 – Probleme de personal, din „Instructiunile pentru controlul ultrasonic al osiilor de automotor” – elaborate de catre ICPTT în anul 1975._x000D_
_x000D_
Cauze primare_x000D_
1.	Inexistenta unui cadru de reglementare actualizat si armonizat referitor la efectuarea controlului ultrasonic la osiile automotoarelor seria 900, prin care sa fie stabilite în mod clar:_x000D_
?	reviziile /reparatiile planificate în cadrul carora se executa controlul ultrasonic;_x000D_
?	intervalul de timp/kilometrii la care se efectueaza controlul ultrasonic;_x000D_
?	unitatea si personalul care efectueaza controlul ultrasonic._x000D_
2.	Inexistenta unor reglementari prin care sa fie stabilite conditiile tehnice de exploatare, referitoare la diferenta maxima admisa între diametrele cercurilor de rulare ale rotilor osiilor motoare de la automotoarele pe doua osii seria 900, echipate cu motor Volvo Penta si cutie de viteza automata Allison, în cazul utilizarii acestora cuplate, în comanda multipla. 
Underlying cause_x000D_
_x000D_
1.	Keeping in operation of the powered axle from AM 979, without assurance that it corresponds in terms of ultrasonic control (CUS). Thus, on 01st of August 2014, in the Engine Shed Timisoara, at the axle in question was made an incomplete CUS (without to include the verification of the area in which the break occurred - the leading area of the axle) and without to comply with the specific regulations (”Instructions for ultrasonic control of DMU axles"- developed by ICPTT in 1975)._x000D_
2.	Failure to provide the necessary operating conditions and self-instruction of the CUS operator, condition of the Chapter 1.4 - Problems of staff, "Instructions for ultrasonic testing of motorised train axles” - developed by ICPTT in 1975._x000D_
_x000D_
Root cause_x000D_
_x000D_
1.	The inexistence of an updated and harmonised framework referring to the performing of an ultrasonic control at the DMU axles series 900, in which could be clear set:_x000D_
?	inspections /planned repairs when the ultrasonic control is performed;_x000D_
?	the time / km. at which is performed the ultrasonic control;_x000D_
?	the company and employees which performs the ultrasonic control._x000D_
2.	The inexistence of regulations which set the technical conditions for operation, referring at the maximum admitted difference between the diameters of the running treads of the powered axle’s wheels from the DMU two axles series 900, equipped with an engine Volvo Penta and automatic gear box Allison, in the case their use coupled, in multiple command.</t>
  </si>
  <si>
    <t>RO-3641</t>
  </si>
  <si>
    <t>Train derailment, 5/8/2014, Isalnita- Co?ofeni (Romania)</t>
  </si>
  <si>
    <t>the 9-th wagon from the rear, from the freight train no.93849 derailed</t>
  </si>
  <si>
    <t>Isalnita- Co?ofeni</t>
  </si>
  <si>
    <t>Descarcarea incompleta a marfii din vagonul deraiat ( marfa din compartimentul opus rotii atacante nr.7 nu a fost descarcata). _x000D_
Acest fapt  a condus la supraîncarcarea rotii nr.8 si descarcarea corespunzatoare de sarcina a rotii atacante nr.7 apartinând primei osii a primului boghiu al vagonului nr.81536651298-7, al 9-lea de la semnal în compunerea trenului de marfa nr.93849, producând deraierea osiei conducatoare a boghiului pe  partea stânga a  sensului de mers, pe schimbatorul de cale nr.14 cap Y al statiei CFR Cernele, la km 256+500. 
The incomplete unloading of the freight from the derailed wagon (the freight from the compartment opposite to the leading wheel no.7 has not been unloaded). _x000D_
This has led to overloading of the wheel no. 8 and the corresponding unloading of the leading wheel no. 7, belonging to the first axle of the first bogie of wagon no. 81536651298-7, 9th from the rear of the freight train no. 93849 causing the derailment of the leading axle of the bogie from the left side in the running direction, on the switch no. 14 Y end of Cernele railway station, at km 256 + 500.</t>
  </si>
  <si>
    <t>Cauza primara_x000D_
Conventia cadru de descarcare nr. C.S.1.1/343/09.10.2013 conform careia se desfasoara  primirea vagoanelor descarcate în statia CFR Cernele nu prevede explicit modul de verificare al vagoanelor  privind descarcarea acestora de catre beneficiar. 
Root cause_x000D_
Unloading Framework Convention no. CS1.1 / 343 / 10.09.2013 according to which is performed the reception of the unloaded wagons in the railway station Cernele does not foreseen clearly the inspection method of the wagons at the unloading of those by the beneficiary.</t>
  </si>
  <si>
    <t>UK-3826</t>
  </si>
  <si>
    <t>Level crossing accident, 11-05-14, Frampton Mansell, between Kemble and Stroud. User Worked Crossing (United Kingdom)</t>
  </si>
  <si>
    <t>Fatal accident that occurred on a level crossing at Frampton Mansell, between Kemble and Stroud, on Sunday 11 May 2014. At about 18:40 hrs, a motorcyclist was riding his motorbike across the railway when he was struck by a train travelling from Swindon to Gloucester, and died shortly afterwards._x000D_
The crossing, which is over two railway tracks, links an unclassified tarmac road on the northern edge of Frampton Mansell with a track running through farmland towards Sapperton. The unstaffed crossing is provided with simple swing gates, and signs which give warnings and instructions to users on how the crossing is to be used safely. On each side of the crossing are located telephones which are linked to the signalling centre.</t>
  </si>
  <si>
    <t>Frampton Mansell, between Kemble and Stroud. User Worked Crossing</t>
  </si>
  <si>
    <t>The immediate cause of the accident was that the trail bike rider crossed into the path of the approaching train (paragraph 38).</t>
  </si>
  <si>
    <t>Causal factors_x000D_
119 Although the exact reasons for the trail bike rider’s actions cannot be established, the causal factors were: a. Rider 1 was unaware of the threat from the approaching train until it was too late (paragraph 41, recommendation being implemented as described at paragraphs 128 and 129)._x000D_
b. The trail riders did not use the telephone to call the signaller to see if it was safe to cross (paragraph 54, Recommendations 2, 3 and 4)._x000D_
c. The signs at the level crossing did not influence the behaviour of the trail bike riders (paragraph 58, recommendations being implemented as described at paragraphs 123 to 127, action taken as described at paragraphs 135 to 140, Recommendations 1, 2, 3 and 4)._x000D_
d. The trail riders were not aware that they were not permitted to use the level crossing with their trail bikes (paragraph 78, action taken as described at paragraphs 135 and 136, Recommendations 2, 5 and 6)._x000D_
Underlying factors_x000D_
120 Two underlying factors have been identified:_x000D_
a. Network Rail took no effective action to manage the risk of unsafe use by unauthorised trail bikers using the crossing (paragraph 86, Recommendations 5 and 6)._x000D_
b. There was no requirement for signs to be provided on the highway approaches to, or at Frampton level crossing, to indicate the usage restrictions that applied over it (paragraph 102, Recommendations 2, 5 and 6).</t>
  </si>
  <si>
    <t>HU-4453</t>
  </si>
  <si>
    <t>Other event, 5/12/2014, Budapest, Keleti pályaudvar (Hungary)</t>
  </si>
  <si>
    <t>Shunting unit collided with an obstacle at Budapest Keleti station. There were road reconstruction works in the vicintity of the railway track. The obstacle was hoisted by a crane and lifted into the structure gauge of the railway track. 
Budapesten, a Keleti pályaudvaron egy tolató egység egy urszelvényen belül lévo tárgynak ütközött. Az eset környezetében útépítési munkálatokat végeztek, s daruzás közben emelték be a betonelemet a vasúti urszelvényen belülre.</t>
  </si>
  <si>
    <t>Budapest, Keleti pályaudvar</t>
  </si>
  <si>
    <t>The entrepreneur, who was responsible for the reconstruction works of the flyover, started to crane the concrete panel without the permission of the railway company._x000D_
Worker, leading the movement of the concrete panel, had fallen over and let the panel too near to the track and the oncoming vehicle hit it.</t>
  </si>
  <si>
    <t>The person who supervised the activity could not realise the oncoming vehicle due to an other train which ran in front of him.</t>
  </si>
  <si>
    <t>UK-3688</t>
  </si>
  <si>
    <t>Runaway, 12-05-14, Loughborough Central (United Kingdom)</t>
  </si>
  <si>
    <t>A collision occurred at around 12:35 hrs on Monday 12 May 2014 between an unmanned runaway train and a set of five coaches that was stabled on the down main line about 450 metres on the approach to Loughborough Central station. Nobody was injured as a result of the collision, although significant damage was sustained by some of the rail vehicles involved. The GCR was not open to the public when the collision occurred._x000D_
_x000D_
The train consisted of a Class 37 locomotive coupled to a single preserved Travelling Post Office (TPO) coach. It ran away on the down main line, with the TPO coach leading, from a position opposite Quorn signal box for a distance of about 1.8 miles (2.9 km) before the collision occurred.</t>
  </si>
  <si>
    <t>Heritage railway</t>
  </si>
  <si>
    <t>The immediate cause of the incident was that the driver did not apply the locomotive brake _x000D_
to stop and therefore the locomotive collided with the carriages.</t>
  </si>
  <si>
    <t>Contributory factors were most likely:_x000D_
 the distraction of the driver from keeping a good look out due to doing other things at  the time of the collision;_x000D_
 the distraction of the fireman from keeping a good look out as he was attending to the fire;_x000D_
 the driver’s reduced visibility due to a localised concentration of steam;_x000D_
 the driver’s reduced visual acuity when not wearing spectacles as required by his medical certificate</t>
  </si>
  <si>
    <t>DE-3983</t>
  </si>
  <si>
    <t>Level crossing accident, 15-05-14, Iversheim - Arloff (Germany)</t>
  </si>
  <si>
    <t>Regionalbahn 11671 erfasst auf dem Bahnübergang in km 10,59 einen Pkw. 
Regional passenger train 11671 collides with a passenger car at a level crossing at km 10,59.</t>
  </si>
  <si>
    <t>Iversheim - Arloff</t>
  </si>
  <si>
    <t>Nichtbeachtung der Straßenverkehrsordnung durch die Pkw-Fahrerin 
Non-observance of road traffic regulations by the car driver</t>
  </si>
  <si>
    <t>SE-3684</t>
  </si>
  <si>
    <t>Other event, 20-05-14, Hallstahammar (Sweden)</t>
  </si>
  <si>
    <t>Permanent speed reduction not noted by locomotive ATC-equipment due to damaged beacons.</t>
  </si>
  <si>
    <t>Hallstahammar</t>
  </si>
  <si>
    <t>The incident occurred because the ATC transponders, the balises, at the ahead information point for the curve speed restriction, 1100 m before the restriction start point, were both destroyed, so the in-vehicle ATC equipment did not _x000D_
receive any ahead information about the speed restriction as would have been the case in normal circumstances. The vehicle ATC showed 140 km/h as the permissible speed, instead of the pending 75/80 km/h that would have been the correct ahead info about the upcoming curve. First the driver increased speed according to ATC info, but then he acted on his knowledge of the line and _x000D_
engaged the brakes to negotiate the curve, which he in fact knew to have a speed restriction. If he had not acted thus, the train would have entered the curve at 140 km/h. The vehicle ATC would have engaged emergency brakes as the train passed the starting point of the speed restriction, but that point is where the curve starts and with the reaction time of the brake system taken into account, the train would have gone into the circular curve at a severe overspeed and a derailment might have occurred.</t>
  </si>
  <si>
    <t>The dangerous situation described in this report could appear, because both balises, in the ahead information group regarding the speed restriction, were inoperable. No errors could then be detected and, accordingly, no alert given to the driver. Balise groups related to signals are all linked together with the _x000D_
information that they send to the vehicle ATC (the distance to the next signal and its balise group is included in the telegram; if the next group is not found, the driver will be alerted), but that is not the case for static information points, such as speed restrictions. The complete loss of a static ahead information balise group will not be detected by vehicle ATC._x000D_
The balises in the ahead information point for the speed restriction were most probably destroyed by a ballast plough. The inspection procedure that should be executed after track adjustment and ballast forming does not include check-ing signalling equipment in the track. _x000D_
The restrictive ahead information from the balise group in question is normally masked by a restrictive ahead information from the distant signal balise group for Hallstahammar home signal 122, as was the case in this particular situation. The distant signal balise group lies before the speed restriction ahead infor-mation balise group, for trains in the direction dealt with here. The vehicle ATC showed "70, pending" from the distant signal, and the information "80, pending", that would be recorded for the curve, would not have shown until the signal speed information was altered to a higher value, when the train passed Hallstahammar 122. The ahead information sign, which the driver is supposed to notice, is, of course, situated at the information point that the train passed before signal 122 and can not be expected to have been of any substantial help to the driver in this particular situation.</t>
  </si>
  <si>
    <t>DE-3668</t>
  </si>
  <si>
    <t>Level crossing accident, 21-05-14, Oberasbach â€“ Anwanden (Germany)</t>
  </si>
  <si>
    <t>Am 21.05.2014 gegen 11:36 Uhr prallte Zug T 63511 als Triebfahrzeugleerfahrt auf der Fahrt von Nürnberg Rbf nach Ansbach auf dem technisch gesicherten Bahnübergang (BÜ) zwischen den Haltepunkten (Hp) Oberasbach und Anwanden in km 9,406 mit einem Lastkraftwagen (Lkw) zusammen. 
On 21.05.2014 at around 11:36, train T63511 collided with a lorry (lorry) in km 9.406 when travelling from Nuremberg Rbf to Ansbach on the technically secured level crossing (BÜ) between the stops (Hp) Oberasbach and walls.</t>
  </si>
  <si>
    <t>Oberasbach â€“ Anwanden</t>
  </si>
  <si>
    <t>Der Lkw befuhr den BÜ, obwohl dieser aufgrund der örtlichen Gegebenheiten und der vorherrschenden Verkehrssituation nicht zügig zu räumen war. In der Folge stand der Lkw auf dem BÜ als sich die Schrankenbäume senkten. 
The lorry was driving on the level crossing, although due to local conditions and the prevailing traffic situation it was not possible to evacuate it quickly. As a result, the lorry was on the level crossing when the barrier lowered.</t>
  </si>
  <si>
    <t>DE-3999</t>
  </si>
  <si>
    <t>Trains collision with an obstacle, 25-05-14, Neumünster (Germany)</t>
  </si>
  <si>
    <t>Während der Einfahrt in den Bahnhof Neumünster kollidierte der DPN 81869 mit LST-Anlagen. Nach Ankunft in Gleis 6 wurden ein Achsschenkelburch festgestellt. 
During the entry into the railway station Neumünster, the DPN 81869 collided with control and safety technology installations. After arrival on track 6, an axle journal breakage was detected.</t>
  </si>
  <si>
    <t>Neumünster</t>
  </si>
  <si>
    <t>NBE nordbahn Eisenbahngesellschaft mbH</t>
  </si>
  <si>
    <t>Die Störung am Fahrzeug wurde verursacht durch einen Montagefehler der Druckkappenverschraubung, der zu einem Heißläufer in Verbindung mit einem Abscheren eines Teils des Wellenschenkels am in Fahrtrichtung letzten Radsatz des Dieseltriebwagens VT 2.77, der Baureihe 648.4, führte. Trotz der Kenntnis eines möglichen Montagefehlers an der Druckkappenverschraubung der Radsatzlager, wurde der Fahrzeughalter bzw. Fahrzeugbetreiber durch den Fahrzeughersteller nicht informiert. 
The malfunction of the vehicle was caused by a fitting failure of the screw fitting of pressure caps, which caused a hot-box in conjunction with a shearing off of part of the shaft leg on the last wheelset of the diesel engine VT 2.77, product series 648.4. Despite the knowledge of a possible assembly error at the screw fitting of the pressure cap, the wheelset bearing, the vehicle owner or vehicle operator was not informed by the vehicle manufacturer.</t>
  </si>
  <si>
    <t>UK-3736</t>
  </si>
  <si>
    <t>Train derailment, 5/25/2014, Paddington (United Kingdom)</t>
  </si>
  <si>
    <t>A derailment that occurred at London Paddington main line station, on Sunday 25 May 2014._x000D_
The train that derailed was an empty five car Class 360/2 passenger train (reporting number 5T08), manufactured by Siemens and operated by Heathrow Express. It was travelling from Old Oak Common to Paddington in preparation for entering passenger service._x000D_
At 05:20 hrs, both sets of wheels on the leading bogie of the third vehicle derailed to the left when the vehicle was about 150 metres from the buffer stops in platform 3 and travelling at between 12 and 14 mph (19.3 and 22.5 km/h)._x000D_
The driver twice stopped the train after it derailed. On both occasions, unaware of what had happened, he restarted the train. As a consequence, the train ran nearly 100 metres in a derailed state and was finally stopped with the right side of the derailed bogie in a pit that was located between the rails, which lifted both wheels on the left side of the rear bogie off the rails. No one was injured.</t>
  </si>
  <si>
    <t>Paddington</t>
  </si>
  <si>
    <t>Heathrow Express</t>
  </si>
  <si>
    <t>The immediate cause of the derailment was that the vertical forces acting at the wheel-rail interface were too low to prevent the flange of the leading left-hand wheel of the TOS2 vehicle climbing the outer rail of the curve at this location (paragraph 46).</t>
  </si>
  <si>
    <t>The following causal factors combined to lead to the derailment: a. the wheels on the left-hand side of the leading bogie were permanently unloaded (paragraph 49, Recommendation 1); and b. a track twist further unloaded the wheels on the left-hand side of the leading bogie (paragraph 101, Recommendation 5). 130 The wheels on the left-hand side of the leading bogie were permanently unloaded because: The bogies of the TOS2 vehicle were incorrectly set up (paragraph 54). This happened because: i. the PTT procedure introduced the risk of the bogie setup being disturbed (paragraph 65, Recommendation 1); and ii. the technicians did not realise that they could potentially disturb the bogie setup (paragraph 69, Recommendation 2). The incorrect setup of the TOS2 bogies had not been identified (paragraph 78). This happened because: iii. the checks during the PTT interventions were not effective as they were not monitoring parameters likely to provide a clear indication of a wheel load imbalance (paragraph 80, Recommendation 1); and iv. there was no other check (during maintenance or operation) (paragraph 89, Recommendation 1). 131 A track twist further unloaded the wheels on that side of the leading bogie because: a. the process to plan and implement the work required following identification of the track twist was not followed (paragraph 110); b. Network Rail’s assurance process did not identify that the process to plan and implement the work required following identification of the track twist was not complied with (paragraph 116, Recommendation 5); and c. the twist fault was not spotted by any of the visual inspections that took place over the three-year period leading up to the derailment (paragraph 123). 132 The underlying factors were:a. the lack of effective transfer of design intent regarding anti-roll bars and their function from Siemens Germany/Austria to Siemens UK (paragraph 94, Recommendations 3 and 4); and b.	the likely perception within the maintenance team of the West Ealing depot that the tracks along the platforms at Paddington station were of low priority (paragraph 115).</t>
  </si>
  <si>
    <t>NO-3761</t>
  </si>
  <si>
    <t>Train derailment, 5/30/2014, Trofors station, Nordlandsbanen (Norway)</t>
  </si>
  <si>
    <t xml:space="preserve">Freight train 5790 derailed close to Trofors station, Nordlandsbanen. Freight wagons number 15, 16 and 19 derailed. The train continued aprox. 1000 meter after the derailment. 
</t>
  </si>
  <si>
    <t>Trofors station, Nordlandsbanen</t>
  </si>
  <si>
    <t>Poor conditions of the track</t>
  </si>
  <si>
    <t>HR-3680</t>
  </si>
  <si>
    <t>Trains collision with an obstacle, 02-06-14, Kukaca - Gornja Dubrava (Croatia)</t>
  </si>
  <si>
    <t>On 02.06.2014., on track M202, near station Kukacha, the train hit a trolley that was on the track, and the trolley hit the infrastructure worker, the worker suffered serious injuries 
Dana 02.06.2014. godine u 10:56 na pruzi M202 izmedu kolodovara – Kukaca – Gornje Dubrave - Vlak 4059 EMG 6 111-008 Hž PP - Zagreb u km 520+700 udario je u kolica tirafonke Pružnih gradevina u profilu pruge koja su udarila i ozlijedila želj. radnika. Intervencija hitne pomici i Policijske postaje Ogulin. Pruga je bila zatvorena do 13:12.</t>
  </si>
  <si>
    <t>Kukaca - Gornja Dubrava</t>
  </si>
  <si>
    <t>HŽ PUTNICKI PRIJEVOZ</t>
  </si>
  <si>
    <t>Izravni uzrok ove nesrece je nedostatak koordinacije i komunikacije izmedu prometnika i pružnog poslovode vezano na mjesto polaska vlaka. 
Direct cause of this accident was the lack of coordination and communication between the railway signalman and managers in relation to the departure of the train.</t>
  </si>
  <si>
    <t>Cimbenici koji su pridonijeli ovoj nesreci su:_x000D_
•	Nepravovremeno uklanjanje dijelova lake pružne mehanizacije s kolosijeka;_x000D_
•	Mala vidljivost na daljinu na mjestu obavljanja radova;_x000D_
•	Buka motora s unutrašnjim izgaranjem na stroju za pritezanje vijaka;_x000D_
•	Nedovoljno kvalitetan transfer informacija prema prometniku vlakova o vrsti radova na dionici pruge kojom upravlja. 
Factors that contributed to this accident are:_x000D_
 • The non-removal of parts of the light track machinery from the track;_x000D_
 • Low visibility distance in place of performing the work;_x000D_
 • Noise internal combustion engine on the machine for tightening screws;_x000D_
 • Poor quality transfer of information to the train dispatcher of works on the line section which is managed.</t>
  </si>
  <si>
    <t>DE-3798</t>
  </si>
  <si>
    <t>Fire in RS, 04-06-14, Kamen - Üst Nordbögge (Germany)</t>
  </si>
  <si>
    <t>Regionalexpress 10637 nach Explosion mit Stichflamme udn starker Rauchentwicklung im Fahrmotor 1 in km 137,8 liegen geblieben. 
After explosion with flash fire and strong smoke development in the drive motor 1, Regionalexpress 10637 remained lying at km 137.8.</t>
  </si>
  <si>
    <t>Kamen - Üst Nordbögge</t>
  </si>
  <si>
    <t>Mangelhafte Arbeitsausführung durch Nichtbeachtung von vorgeschriebenen Instandhaltungsanweisungen 
Defective workmanship due to the disregarding of prescribed maintenance instructions</t>
  </si>
  <si>
    <t>DE-3694</t>
  </si>
  <si>
    <t>Train derailment, 05/06/2014, Herne (Germany)</t>
  </si>
  <si>
    <t>Am 05.06.2014 gegen 19:20 Uhr entgleiste die S-Bahn S 30294 des Eisenbahnverkehrsunternehmens (EVU) DB Regio AG auf der Fahrt von Dortmund Hbf nach Recklinghausen Hbf bei der Einfahrt nach Gleis 7 des Bahnhofs (Bf) Herne in der Doppelkreuzungsweiche (DKW) 77 mit zwei Drehgestellen.</t>
  </si>
  <si>
    <t>Herne</t>
  </si>
  <si>
    <t>An den Fahrzeugen und der Bahnanlage entstanden geschätzte Sachschäden in Höhe von ca. 570.000 €.</t>
  </si>
  <si>
    <t>Für die Entgleisung der S 30294 war der Verlust der Endlage der Zungen der DKW 77 c/d ursächlich. Die Untersuchung des betreffenden Weichenantriebes ergab starke Inspektionsmängel.</t>
  </si>
  <si>
    <t>HU-4505</t>
  </si>
  <si>
    <t>Train derailment, 07-06-14, Budapest, Svábhegy (Hungary)</t>
  </si>
  <si>
    <t>The train passed the red signal and derailed on the next shift. 
A vonat meghaladta a vörös jelzot, majd a következo váltón kisiklott.</t>
  </si>
  <si>
    <t>Budapest, Svábhegy</t>
  </si>
  <si>
    <t>The cogwheel train has passed the red signal, and derailed on the next switch.</t>
  </si>
  <si>
    <t>IE-5195</t>
  </si>
  <si>
    <t>Level crossing accident, 08-06-14, Knockaphunta (Ireland)</t>
  </si>
  <si>
    <t>Irish rail advised that the at approximately 18:42hrs that the 15:35hrs from Heuston Station to Westport, train ID A804, was passing over Crossing XM250 (Knockaphunta) it was struck from the side by a silver Toyota Auris car. Crossing XM250 is a user worked level crossing.</t>
  </si>
  <si>
    <t>Knockaphunta</t>
  </si>
  <si>
    <t>The immediate cause of the accident was that a car did not stop at the level crossing and drove into 
the side of the passing train. Contributory factors associated with accident are:
 The gates at the level crossing were open when the car approached the level crossing, allowing 
the car to enter onto the level crossing without stopping;
 The level crossing was regularly misused by the local users, whereby the gates are regularly left 
open.</t>
  </si>
  <si>
    <t>The underlying cause associated with this accident is the fact that the many actions IÉ have taken in 
response to previous RAIU safety recommendations (2009 and 2011), have not resolved the issue of 
level crossing users leaving the gates open.
An additional observation to this accident is that the addition and purpose of the ‘new Stop Line’ on 
user worked level crossings is not obvious to users of the level crossing and may cause confusion 
with the statutory Stop Lines used previously at some level crossings</t>
  </si>
  <si>
    <t>HU-4470</t>
  </si>
  <si>
    <t>Train derailment, 10-06-14, Füzesabony - Mezokövesd (Hungary)</t>
  </si>
  <si>
    <t>The 7th carrige of Train No. 53015 derailed between Füzesabony &amp;Mezokövesd stations 
Az 53015 sz. vonat 7. kocsija kisiklott.</t>
  </si>
  <si>
    <t>Füzesabony - Mezokövesd</t>
  </si>
  <si>
    <t>A VB a balesetek bekövetkezését az alábbi közvetlen okokra vezette vissza:_x000D_
-	a belso csapágygyuruk az összeszerelésnél az eloírtnál kisebb túlfedéssel kerültek illesztésre,_x000D_
-	ettol függetlenül a karbantartás során alkalmazott helytelen hegesztési technológia miatt a csapágy futófelületein és gördüloelemein felületi hibák alakultak ki,_x000D_
-	a csapágyban szennyezésként jelenlévo részecskék a tengelycsap és a csapágy futófelületét károsították,_x000D_
-	a csapágy fenti sérülése és annak szennyezettsége miatt megnövekedett a belso súrlódása, ami egyre növekvo hofejlodést hozott létre, A növekvo hoterhelés miatt kialakuló homérséklet-különbség hatására a csapágyak szerelésénél alkalmazott túlfedés eltunt, a csapágy belso gyuruje lelazult, a tengelycsapon megmozdult, csúszott, ami további csapágysérülést és tovább fokozódó hoterhelést generált,_x000D_
-	a hoterhelés következtében a tengelycsap anyagának mechanikai tulajdonságai leromlottak és ennek következtében az letörött;_x000D_
-	a kocsik érintett tengelyei a tengelycsaptörés következtében vezetetlenné váltak és kisiklottak. 
The direct reasons of the VB accidents were the following:_x000D_
-At the assembly of the inner bearing rings, they were fit together with less overlapping than initially prescribed_x000D_
-independently from that , because of the inadequate welding technology, faults have appeared on the tread of the bearing and on its rolling elements_x000D_
-The elements present as pollution in the bearing damaged the surface of the tread of the wheelseat and of the bearing_x000D_
-Given the damage and the pollution, the internal friction of the bearing increased, which generated ever increasing heat development. Because of the increased heat pressure development which resulted in the temperature difference, the overlapping at the assembly of the bearings disappeared, the inner ring of the bearing got relaxed, it moved on the wheelseat, slided, which resulted in further damage of the bearing and further generation of incread heat development._x000D_
- As a result of the heat pressure, the mechanical quality of the material of the wheelseat got worse and as a result the affected axes of the wagons broke</t>
  </si>
  <si>
    <t>-	Az eset helyszíne elott a telepített honfutásjelzo berendezés nem muködött, a túlhevült csapágyazás nem került felfedezésre, ezért a vonat megállítására intézkedés nem történt._x000D_
_x000D_
-	Az aszimmetrikus kerékterhelésbol adódó csökkent kerékterhelés önmagában is kisiklás bekövetkezéséhez vezethet, a megnövekedett kerékterhelés pedig a pályában,, foként a kitérok váltórészének alkatrészeiben idézhet elo károsodást._x000D_
-	Az eRDM berendezés aszimmetrikus kerékterhelés jelzési és riasztási határértékei nem minden olyan rendellenesség kiértékelésére voltak beállítva, melynek észlelésére és jelzésére a mért adatok megfelelo kiértékeléssel egyébként lehetoséget biztosítottak. 
- The equipment installed did not work, the overheating of the bearing had not been discovered, therefore the train had to be stopped._x000D_
- The asymmetric loading decreased due to the unbalanced load on the wheel itself which led to a derailment; the increased load on the wheel, especially in case of detours may cause damage to the gearbox components._x000D_
- The equipment for recognizing the asymmetric load balancing had not been set up to evaluate any abnormalities, which would have been able to detect and indicate the correct evaluation of the measured data, if needed.</t>
  </si>
  <si>
    <t>HU-4440</t>
  </si>
  <si>
    <t>Train derailment, 6/18/2014, Papírgyár és Puskaporos (Hungary)</t>
  </si>
  <si>
    <t>The engine of passanger train has derailed with 1 axle. 
Személyvonat mozdonya 1 tengellyel kisiklott.</t>
  </si>
  <si>
    <t>Papírgyár és Puskaporos</t>
  </si>
  <si>
    <t>Track failure and engine failure.</t>
  </si>
  <si>
    <t>CZ-3764</t>
  </si>
  <si>
    <t>Unauthorised train movement other than SPAD, 19-06-14, Dolni Berkovice station (Czech Republic)</t>
  </si>
  <si>
    <t>Unauthorized movement of freight train No. 160780 from Dolní Berkovice station to open line between Dolní Berkovice and Hnevice stations</t>
  </si>
  <si>
    <t>Dolni Berkovice station</t>
  </si>
  <si>
    <t>Direct cause:_x000D_
• unauthorized movement of freight train No. 160780 from Dolní Berkovice station to open track line No. 1 without line consent and proper expedition of the train._x000D_
_x000D_
Contributory factor:_x000D_
• using of incorrect technological processes by station dispatchers of Dolní Berkovice station while operating and organizing railway transport in cooperation with employees of railway undertaking CD Cargo, a. s., which has been made possible due to ineffective supervision.</t>
  </si>
  <si>
    <t>failure with compliance of technological processes of infrastructure manager for departure and way of securing of its ride.</t>
  </si>
  <si>
    <t>LV-3762</t>
  </si>
  <si>
    <t>Train derailment, 6/20/2014, Station Ziemelblazma (Latvia)</t>
  </si>
  <si>
    <t>Train derailment at station Ziemelblazma access road switch nr. 6</t>
  </si>
  <si>
    <t>Station Ziemelblazma</t>
  </si>
  <si>
    <t>Switches Nr.6 right blade movement to inside of track occurred because of right blade locker raising when freight train was moving along the switch</t>
  </si>
  <si>
    <t>Underlying couse: Standard right blade locker was not installed on the switch Nr.6 and on switch checking time was not recognized, that locker construction did not guarantee blade safe fixation and had differences from drawing._x000D_
Root couse: In infrastructure manager’s requirements was not included switches' lockers' additional fixation.</t>
  </si>
  <si>
    <t>HU-3800</t>
  </si>
  <si>
    <t>Level crossing accident, 21-06-14, Between Bucsuszentlaszlo and Zalaszentmihaly-Pacsa stations (Hungary)</t>
  </si>
  <si>
    <t>A trailer was hit by an oncoming passenger train at a passive LC. In consequence of the occurrence the motorcar of the train derailed. The driver of the train and one passenger suffered minor injuries.</t>
  </si>
  <si>
    <t>Between Bucsuszentlaszlo and Zalaszentmihaly-Pacsa stations</t>
  </si>
  <si>
    <t>A mezogazdasági vontató akkor hajtott be a vasúti átjáróba, amikor arra vonat közlekedett, és a vonat érkezése elott azt elhagyni már nem tudta._x000D_
A vasúti pályára rálátási lehetoség korlátozottsága, valamint a jármuszerelvény méret és teljesítményadatai miatt a biztonságos áthaladás lehetosége nem állt fent. 
The agricultural tractor entered the level crossing when the train was running on it and was unable to leave it before the train arrived.  _x000D_
Due to the limited possibility of viewing the railway track and the size and performance of the vehicle combination, the possibility of safe passage was not available.</t>
  </si>
  <si>
    <t>HR-3784</t>
  </si>
  <si>
    <t>Trains collision near miss, 22-06-14, Dugo Selo (Croatia)</t>
  </si>
  <si>
    <t>On track M102 between stations Sesvete and Dugo Selo collision of trains 782 and 8087 was avoided, they were heading at each other at low speed. 
Izbjegnut nalet vlakova broj 782 i 8087 na lijevom kolosijeku pruge izmedu Sesveta i Dugog Sela.</t>
  </si>
  <si>
    <t>Dugo Selo</t>
  </si>
  <si>
    <t>HŽ PUTNICKI PRIJEVOZ; 
Railway Undertaking 1</t>
  </si>
  <si>
    <t>Izravni uzrok ovog dogadaja je otpremanje vlaka broj 782 na vožnju po nepravilnom kolosijeku bez prethodno osiguranih uvjeta za sigurnu otpremu sukladno odredbama Pravilnika o nacinu i uvjetima za obavljanje sigurnoga tijeka željeznickoga prometa 
Direct cause of this event is dispatching train No. 782 for a drive on the wrong side track without previously securing conditions for safe dispatch in accordance with the provisions of the Traffic Regulations of the Croatian Railways</t>
  </si>
  <si>
    <t>Pridonoseci cimbenici ovom dogadaju bili su sljedeci:_x000D_
•	Povecan radni napor prometnog osoblja _x000D_
•	Neprovjeravanje oznaka o zauzetosti pružnog kolosijeka na kolodvorskoj postavnici u oba susjedna kolodvora _x000D_
•	Organizacija prometa na pruzi izmedu kolodvora Sesvete i Dugo Selo _x000D_
•	Povecan obujam željeznickog prometa izmedu kolodvora Sesvete i Dugo Selo_x000D_
_x000D_
Temeljni uzrok ovog dogadaja je nepridržavanje procedura prijema i otpremanja vlakova sukladno odredbama Prometnog pravilnika Hrvatskih Željeznica 
Contributing factors to this event are as follows:_x000D_
•	Increased workload of traffic controllers _x000D_
•	Not checking the busy light signaling of the railway track on station signal box in both neighboring stations _x000D_
•	Organization of the railway traffic between stations Sesvete and Dugo Selo _x000D_
•	Increased volume of railway traffic _x000D_
The underlying cause of this event is noncompliance procedures of receiving and dispatching of trains in accordance with the provisions of the Traffic Regulations of Croatian Railways _x000D_
Organisational cause: Infrastructure manager with in Safety Management System did not create system which would take in account impact of human factors, ie. Human capabilities and limitations on the performance of employees are not taken into account by applying recognized methods in the field of influence of human factors on job performance and safety</t>
  </si>
  <si>
    <t>IT-3763</t>
  </si>
  <si>
    <t>Accident to persons caused by RS in motion, 6/24/2014, Ronco Scrivia (Italy)</t>
  </si>
  <si>
    <t>Person falls from a passenger vehicle in the attemping to get off.</t>
  </si>
  <si>
    <t>Ronco Scrivia</t>
  </si>
  <si>
    <t>Undue attempt to get off by the passenger with train in motion.</t>
  </si>
  <si>
    <t>UK-3827</t>
  </si>
  <si>
    <t>Accident to persons caused by RS in motion, 24-06-14, Between Redhill Tunnel and Quarry Tunnel. (United Kingdom)</t>
  </si>
  <si>
    <t>The accident occurred at about 10:40 hrs on 24 June 2014. The track worker was struck by a passenger train and suffered serious injuries._x000D_
The injured person was with a gang of eleven people engaged in undertaking repairs to the Up Quarry line between Redhill Tunnel and Quarry Tunnel. The train, a passenger service from Gatwick Airport to London Victoria, was travelling at about 80 mph (129 km/h).</t>
  </si>
  <si>
    <t>Between Redhill Tunnel and Quarry Tunnel.</t>
  </si>
  <si>
    <t>The section supervisor was walking too close to the track with his back to the approaching train (paragraph 41).</t>
  </si>
  <si>
    <t>The causal factors were: a. the work was being carried out while trains were running, and there were deficiencies in the planning, choice and implementation of the safe system of work used on the day which indicate that there was a weak safety culture at Network Rail’s Three Bridges maintenance depot (paragraph 44);_x000D_
b. working under lookout protection was not prohibited at this location (paragraph 62, see paragraph 118, Learning point 1 and Recommendation 1);_x000D_
c. the cess at this location is narrow and treacherous, and not suitable as a position of safety (paragraph 69, see paragraph 118 and Recommendation 1);_x000D_
d. the section supervisor did not remain in a position of safety until the train had passed (paragraph 74);_x000D_
e. the section supervisor was unaware of the imminent danger from the approaching train (paragraph 78, Learning point 2); and_x000D_
f. the actions of the section supervisor were not observed by anyone else on site, so no other warning was given (paragraph 85).</t>
  </si>
  <si>
    <t>DE-3799</t>
  </si>
  <si>
    <t>Trains collision, 28-06-14, Angern-Rogäz (Germany)</t>
  </si>
  <si>
    <t>Im Bahnh0f Angerd-Rogäz kam es durch den von der Strecke in den Bahnhof zurückrollenden Zug DGS 90968 zur Kollision mit dem in Gleis 1 stehenden Zug DGS 95620. 
The train DGS 90968 which came back after having left the station of Angern-Rogätz collided with train DGS 95620 on track 1</t>
  </si>
  <si>
    <t>Angern-Rogäz</t>
  </si>
  <si>
    <t>Fehlverhalten des Triebfahrzeugführers 
Misconduct of the train driver</t>
  </si>
  <si>
    <t>IT-4746</t>
  </si>
  <si>
    <t>Accident to persons caused by RS in motion, 01-07-14, various (Italy)</t>
  </si>
  <si>
    <t>Series of accidents to people caused by RS in motion, in stations, starting from 01.07.2014 onwards</t>
  </si>
  <si>
    <t>various</t>
  </si>
  <si>
    <t>Trenitalia; 
Trenitalia-LeNORD Srl; 
NTV SpA; 
Oceanogate Italia S.p.A.</t>
  </si>
  <si>
    <t>violation of one or more conduct  rules by users of railways</t>
  </si>
  <si>
    <t>DE-3813</t>
  </si>
  <si>
    <t>Train derailment, 02/07/2014, Hagen Gbf (Germany)</t>
  </si>
  <si>
    <t>Güterzug KT 50017 entgleiste bei der Ausfahrt aus Gleis 216 auf der Weiche 446 mit allen Achsen des Triebfahrzeugs und dem ersen Wagen. 
Freight train KT 50017 derailed at the exit from the track 216 on the switch 446 with all axles of the leading vehicle and the first carriage.</t>
  </si>
  <si>
    <t>Hagen Gbf</t>
  </si>
  <si>
    <t>Die Untersuchungen ergaben, dass sich die Weiche 446 nicht in Endlage befand. Mangelnde Fahrwegprüfung durch Fahrdienstleiter. 
Investigation showed that switch 446 was not in the final position. Insufficient rail driveway inspection by the train dispatcher.</t>
  </si>
  <si>
    <t>ES-3876</t>
  </si>
  <si>
    <t>Infrastructure events, 02-07-14, Alpera (Albacete) (Spain)</t>
  </si>
  <si>
    <t>A passenger train is forced to a halt at open track as heavy rain flooded the track. Train driver that was warned of the problems ahead was running at sight_x000D_
The track sank into the ground due to the excess of water.</t>
  </si>
  <si>
    <t>Alpera (Albacete)</t>
  </si>
  <si>
    <t>The incident is caused by failure of the infrastructure, in particular by track warping while train was passing, due to an inadequate drainage system that failed to evacuate the heavy rains of those days.</t>
  </si>
  <si>
    <t>PT-3865</t>
  </si>
  <si>
    <t>Train derailment, 02-07-2014, PK 158,466 Beira Alta (Portugal)</t>
  </si>
  <si>
    <t>Derailment of wagon 43 71 437 8 671-7 included in a freight train running eastbound on Beira Alta line. This is the third of a series of similar derailments with the same type of wagons, over the same line and on similar circumstances. 
Descarrilamento do vagão 43 71 437 8 671-7 integrando um comboio de mercadorias ascendente na linha da Beira Alta. Este é o terceiro descarrilamento de características similares ocorrido naquela linha e com o mesmo tipo de veículos, em situações equiparáveis, num curto período de tempo.</t>
  </si>
  <si>
    <t>PK 158,466 Beira Alta</t>
  </si>
  <si>
    <t>TAKARGO-Transporte de Mercadorias</t>
  </si>
  <si>
    <t>CZ-3818</t>
  </si>
  <si>
    <t>Trains collision, 7/8/2014, Ceská Trebová station (Czech Republic)</t>
  </si>
  <si>
    <t>Freight train No. 148231 passed a signal at danger (departure signal LV showing red aspect) at Ceska Trebova station and collided with freight train No. 63710. Consequently 1 engine of freight train No. 148231 and 4 freight wagons of freight train No. 63710 derailed.</t>
  </si>
  <si>
    <t>Ceská Trebová station</t>
  </si>
  <si>
    <t>Advanced World Transport a.s.; 
CD Cargo</t>
  </si>
  <si>
    <t>Direct cause:_x000D_
•train driver's operational error (disrespecting of signal “stop” of main (entry) signal LV at branch Parník)._x000D_
_x000D_
Contributory factor:_x000D_
•exceeding the speed limit by the engine driver of freight train No. 148231.</t>
  </si>
  <si>
    <t>Underlying cause:_x000D_
•insufficient knowledge of the track line by the train driver of freight train No. 148231, which caused unauthorized movement of this freight train beyond the main (entry) signal LV due to oversight the main signal LV._x000D_
_x000D_
Root cause: none.</t>
  </si>
  <si>
    <t>SE-2618</t>
  </si>
  <si>
    <t>Train derailment, 09-07-14, Alby - Ånge (Sweden)</t>
  </si>
  <si>
    <t>Derailment of freight train. 15 out of 24 wagons derailed. A few of the wagons ended up on the other track (line with double track).</t>
  </si>
  <si>
    <t>Alby - Ånge</t>
  </si>
  <si>
    <t>The conclusion is that the train derailed due to a track buckle, which developed in the very warm weather that afternoon.</t>
  </si>
  <si>
    <t>The buckle is assumed to have appeared due to deficiencies in track stability, in turn caused by a lack of ballast at the crucial point._x000D_
The last stage included in the process of changing sleepers was to re-establish the ballast section and then to inspect the line. No problems were recognized or noted during any of the inspections that took place between the final track adjustments and the accident.</t>
  </si>
  <si>
    <t>DE-4000</t>
  </si>
  <si>
    <t>Train derailment, 10-07-14, Köln-Kalk Nord (Germany)</t>
  </si>
  <si>
    <t>Während der Einfahrt entgleist der EK 52102 auf der Weiche 631 mit insgesamt drei Achsen. 
During the entry, the EK 52102 derailed on railroad switch 631 with three axles in total.</t>
  </si>
  <si>
    <t>Köln-Kalk Nord</t>
  </si>
  <si>
    <t>Fahrdienstleiter ließ Zug 52102 über gestörte Weiche einfahren. 
The train dispatcher let train 52102 enter on a damaged track.</t>
  </si>
  <si>
    <t>ES-4196</t>
  </si>
  <si>
    <t>Spad, 10-07-14, San Vicente de Calders station (Tarragona) (Spain)</t>
  </si>
  <si>
    <t>Freight train overtook exit signal S2/1B at San Vicente de Calders station. The incident made a near miss train collision to happen. Nor personal neither material damages.</t>
  </si>
  <si>
    <t>San Vicente de Calders station (Tarragona)</t>
  </si>
  <si>
    <t>The incident is caused by human failure of train driver of freight train BAX80, in particular by a misperception of the signal, probably due to a lack of attention during the driving</t>
  </si>
  <si>
    <t>CZ-3954</t>
  </si>
  <si>
    <t>Level crossing accident, 7/11/2014, Open line between Brno Chrlice - Brno hlavni nadrazi (Czech Republic)</t>
  </si>
  <si>
    <t>Collision of regional passenger train No. 4753 at the level crossing_x000D_
with a lorry with consequent derailment.</t>
  </si>
  <si>
    <t>Open line between Brno Chrlice - Brno hlavni nadrazi</t>
  </si>
  <si>
    <t>Direct cause:_x000D_
• third party – level crossing user (lorry driver's violation).</t>
  </si>
  <si>
    <t>Underlying cause:_x000D_
• driver's failure to respect of the light and sound warning and ride at the level crossing at the time when it was forbidden;_x000D_
• behavior of the driver in front of the level crossing, from distance of visibility of warning cross for safe stop in which he was not careful and did not make sure whether he can safely pass the level crossing;_x000D_
• not giving of priority to railway transport at a crossing of the road with railway track._x000D_
_x000D_
Root cause: none.</t>
  </si>
  <si>
    <t>ES-3877</t>
  </si>
  <si>
    <t>Accident to persons caused by RS in motion, 11-07-14, Alpedrete (Madrid) (Spain)</t>
  </si>
  <si>
    <t>A young girl on her bicycle went throug the board crossing of Alpedrete (Madrid) station being hit by the passing train.</t>
  </si>
  <si>
    <t>Alpedrete (Madrid)</t>
  </si>
  <si>
    <t>The accident was caused when the victim impinged the track, crossing the board crossing without noticing the approaching train</t>
  </si>
  <si>
    <t>HR-3862</t>
  </si>
  <si>
    <t>Train derailment, 11-07-14, Novi Marof - BudinÅ¡cina (Croatia)</t>
  </si>
  <si>
    <t>Railway vehicle derailment 
Iskliznuce vagona za posebne namjene</t>
  </si>
  <si>
    <t>Novi Marof - BudinÅ¡cina</t>
  </si>
  <si>
    <t>Uzrok nesrece je lom opruge na ovjesu željeznickog vozila 
The cause of the accident was the breaking of the spring on the suspension of rail vehicles.</t>
  </si>
  <si>
    <t>BG-3959</t>
  </si>
  <si>
    <t>Train derailment, 7/12/2014, Kaloyanovets, Bulgaria (Bulgaria)</t>
  </si>
  <si>
    <t>At 03:17 PM on 12.07.2014 while passing transit on track No 4 through Kaloyanovets station, the fast passenger train No. 8601 from Sofia to Varna derailed at the entry switches of the station. The locomotive overturned and broke with its train composition. The first 5 wagons derailed as well. In result of the accident, the locomotive driver died and seven other persons were injured including three passengers and four staff members of the RU.   _x000D_
The movement of trains on the rail track no. 1 and no 2 was interrupted and major damages were inflicted on the rolling stock and railway infrastructure. _x000D_
The movement on the rail track no. 1 was restored at 02:21 hrs. on 13.07.2014.</t>
  </si>
  <si>
    <t>Kaloyanovets, Bulgaria</t>
  </si>
  <si>
    <t>The immediate reason for the serious railway accident - derailment of the locomotive and the first five wagons from train No 8601 in Kaloianovets station on 12.07.2014, is the passing of the input signal by the train at a speed of 106 km/h and entering the input switches no 2/4 at a speed of 104 km/h in permitted speed for movement of up to 40 km/h.</t>
  </si>
  <si>
    <t>The locomotive crew did not respect the basic requirements of the regulations for the operation of railway infrastructure governing the safe movement of trains.</t>
  </si>
  <si>
    <t>HU-4448</t>
  </si>
  <si>
    <t>Train derailment, 7/15/2014, Papírgyár és Puskaporos (Hungary)</t>
  </si>
  <si>
    <t>The engine of the passanger train has derailed with 1 axle. 
A mozdony 1 tengellyel kisiklott.</t>
  </si>
  <si>
    <t>Failure of track and engine.</t>
  </si>
  <si>
    <t>HU-4467</t>
  </si>
  <si>
    <t>Fire in RS, 15-07-14, Budapest, Nyugati tér (Hungary)</t>
  </si>
  <si>
    <t>Heavy smoke in the metro.</t>
  </si>
  <si>
    <t>Budapest, Nyugati tér</t>
  </si>
  <si>
    <t>Electrical short circuit with foreign material.</t>
  </si>
  <si>
    <t>IT-3898</t>
  </si>
  <si>
    <t>Trains collision, 15/07/2014, Napoli Centrale (Italy)</t>
  </si>
  <si>
    <t>Collision with solo loco and consequent derailment</t>
  </si>
  <si>
    <t>1. Shunting signal passed at danger by the solo loco, authorized to move from the end of truck n. 12 to the signal._x000D_
2. Undue shuntinting movement authorization for the solo loco.</t>
  </si>
  <si>
    <t>NO-3974</t>
  </si>
  <si>
    <t>Trains collision with an obstacle, 16-07-14, Tunnel nearby Oppsal metro station on the Østensjø line (Norway)</t>
  </si>
  <si>
    <t>Wednesday 16 July 2014 a Metro train collided with an obstacle approximately 150 metres inside the tunnel before arriving at Oppsal metro station. No one was injured. 
Onsdag 16. juli 2014 kjørte et T-banetog på en gjenstand i sporet ca. 150 meter inne i tunnelen ved Oppsal stasjon. Ingen ble skadet i ulykken.</t>
  </si>
  <si>
    <t>Tunnel nearby Oppsal metro station on the Østensjø line</t>
  </si>
  <si>
    <t>Sporveien T-banen AS</t>
  </si>
  <si>
    <t>Lack of communication</t>
  </si>
  <si>
    <t>Assumptions</t>
  </si>
  <si>
    <t>FR-3902</t>
  </si>
  <si>
    <t>Trains collision, 17-07-14, Denguin (France)</t>
  </si>
  <si>
    <t>Between Denguin and Lescar, a regional EMU hits at 90km/h a TGV train proceeding on sight at 30km/h.</t>
  </si>
  <si>
    <t>Denguin</t>
  </si>
  <si>
    <t>Passenger train; 
High speed passenger train</t>
  </si>
  <si>
    <t>wrong side failure of the block signal caused by contact between two damaged electric wires</t>
  </si>
  <si>
    <t>Wires damaged by rodents; poor maintenance of the shelter containing the electric equipment of the signal</t>
  </si>
  <si>
    <t>HR-3867</t>
  </si>
  <si>
    <t>Train derailment, 7/17/2014, VaraÅ¾din (Croatia)</t>
  </si>
  <si>
    <t>Railway vehicle derailment 
Iskliznuce vagona za posebne nemajene</t>
  </si>
  <si>
    <t>VaraÅ¾din</t>
  </si>
  <si>
    <t>Tijekom manevarske vožnje vlaka došlo je do iskliznuca zadnjeg vozila 
The last wagons of the train derailed when shunting</t>
  </si>
  <si>
    <t>IT-3899</t>
  </si>
  <si>
    <t>Accident to persons caused by RS in motion, 7/17/2014, Butera - Falconara, line Gela - Caltanissetta (Italy)</t>
  </si>
  <si>
    <t>Fatal investment of three technical staff of the infrastructure manager</t>
  </si>
  <si>
    <t>Butera - Falconara, line Gela - Caltanissetta</t>
  </si>
  <si>
    <t>The technicians of the IM have entrusted the safety to a telephone communication, despite all the existing rules</t>
  </si>
  <si>
    <t>The district chief of the workers considered correct that the technicians proceed to operate not as required by the IM in the implementation of the measures of prevention and protection._x000D_
The head of the plant has not adequately monitored and supervised the implementation of the measures of prevention and protection._x000D_
The Operative Traffic Controller has underestimated the telephonic service communication , considering the request by the technician as only for information.</t>
  </si>
  <si>
    <t>HU-4449</t>
  </si>
  <si>
    <t>Train derailment, 7/19/2014, Majláth és Papírgyár (Hungary)</t>
  </si>
  <si>
    <t>The engine of the passanger train has derailed with 1 axle. 
A vonat mozdonya 1 tengellyel kisiklott.</t>
  </si>
  <si>
    <t>Majláth és Papírgyár</t>
  </si>
  <si>
    <t>HU-4457</t>
  </si>
  <si>
    <t>Spad, 19-07-14, Dunakeszi (Hungary)</t>
  </si>
  <si>
    <t>Train No. 2135 at Station Dunakeszi passed Signal "D" at Danger, splitted open point No. 7, than stopped opposite train No. 2364. The distance between the two trains was only 38,2 m. 
A 2135 sz. vonat Dunakeszi állomás "D" jelu bejárati jelzojét meghaladta, a 7 sz. váltót felvágta és a 2364 sz. vonattól 38,2 m-re megállt</t>
  </si>
  <si>
    <t>Dunakeszi</t>
  </si>
  <si>
    <t>•	A 2135 sz. vonat mozdonyvezetoje nem érzékelte a sárga fényt mutató térközjelzot, a sárga-fehér fényt mutató ismétlo jelzot, a surített éberségi felhívásokat relfex-szeruen, jelentésének tudatosulása nélkül kezelte és vonatával fékezés nélkül elhaladt a „Megállj!” állású „D” jelu bejárati jelzo mellett._x000D_
•	A balesetveszélyes szituáció kialakulását a mellette utazó pályamester sem érzékelte, a folyamatba nem avatkozott be. 
• The driver of train No 2135 did not perceive the bay indicator showing yellow light, the repeating signal showing yellow-white light, the compressed vigilance notices were handled relfex so as not to be aware of their meaning, and his train passed without braking in addition to the entry mark “D” at the “stop!” position.  _x000D_
• The development of a risk of accident was not perceived by the trainmaster travelling next to him or her, and he or she did not intervene in the process.</t>
  </si>
  <si>
    <t>•	A 2135 sz. vonat mozdonyán üzemelo vonatbefolyásoló berendezés a surített éberségi felhívások törlésének nem támasztja feltételéül a fékezési folyamat megkezdését._x000D_
•	Rákospalota-Újpest forgalmi szolgálattevoje nem az F.2. sz. Forgalmi Utasításban szabályozott módon kérte az engedélyeket, az elindult vonatok indulási idejét nem közölte._x000D_
•	Dunakeszi forgalmi szolgálattevoje nem követelte meg a szabályos munkavégzést, ezáltal a hozzájárult a kapott információk félreértéséhez._x000D_
•	A 2364 sz. vonat mozdonyvezetoje vonatával Dunakeszi állomáson két esetben a forgalmi szolgálattevo engedélye nélkül elindult. 
• Train control equipment on the locomotive of train No 2135 does not require the start of the braking process to cancel compressed vigilance notices. _x000D_
• The operator of Rákospalota Újpest did not request the authorisations in the manner laid down in the Traffic Instruction F.2 and did not indicate the departure time of the trains departed. _x000D_
• The traffic operator in Dunakeszi did not require regular work, thereby contributing to a misunderstanding of the information received.  _x000D_
• The driver of train No 2364 departed with his train at Dunakesi station in two cases without the authorisation of the traffic manager.</t>
  </si>
  <si>
    <t>SE-4051</t>
  </si>
  <si>
    <t>Trains collision near miss, 22-07-14, Bjuv (Sweden)</t>
  </si>
  <si>
    <t>Severely prolonged application time of the brakes on several wagons on a freight train caused this train to overshoot the stopping point, bringing it too close to the set route of a crossing passenger train.</t>
  </si>
  <si>
    <t>Bjuv</t>
  </si>
  <si>
    <t>Freight train; 
Passenger train</t>
  </si>
  <si>
    <t>TX Logistik AB; 
Arriva Tåg AB</t>
  </si>
  <si>
    <t>The immediate cause of the incident was the abnormal amount of time it took for the brakes to engage, which was due to a constriction of the train pipe main line in wagon 3.</t>
  </si>
  <si>
    <t>The constriction occurred because a fixed hose coupling in the main line had been refitted in a way that introduced a twist in the hose which caused it to twist. During assembly, the hose became twisted in a way that affected the flow area. The constriction was not identified by the technical post-inspections, nor by the subsequent brake tests._x000D_
The underlying cause was that the maintenance contractor had not identified the risk that the hose might become twisted when re-fitting it to the vehicle, this in turn due to a lack of guidance, from the rail-way undertaking (RU) or the entity in charge of maintenance (ECM), regarding the correct procedure for fitting and performing a function check of the hose in question, in conjunction with repairs on the vehi-cle. Neither the ECM nor the RU had noted this state of affairs.</t>
  </si>
  <si>
    <t>CZ-3951</t>
  </si>
  <si>
    <t>Level crossing accident, 26-07-14, Open line between Jince and Bratkovice stations (Czech Republic)</t>
  </si>
  <si>
    <t>Collision of regional passenger train No. 7901 with a car at level crossing No. P544 at Bratkovice station.</t>
  </si>
  <si>
    <t>Open line between Jince and Bratkovice stations</t>
  </si>
  <si>
    <t>Direct cause:_x000D_
•driver's failure to respect the light and acoustic warning and driving across the level crossing at the time when it was forbidden._x000D_
_x000D_
Contributory factor:_x000D_
•replacing of mechanical level crossing system equipped with barriers by level crossing system without barriers at the level crossing No. P544 as part of the rationalization of the station interlocking equipment and level crossing system at the Bratkovice station.</t>
  </si>
  <si>
    <t>Underlying cause:_x000D_
•violation of the Act no. 361/2000 Coll. by the car driver before entering on the level crossing._x000D_
_x000D_
Root cause: none.</t>
  </si>
  <si>
    <t>CZ-3950</t>
  </si>
  <si>
    <t>Spad, 27-07-14, Kolin station (Czech Republic)</t>
  </si>
  <si>
    <t>unauthorized movement of long distance passenger train No. 851 behind the main signal device No. Sc101c, trailing-point movement through the switch No. 196 and putting the passengers of train No. 9344 at danger.</t>
  </si>
  <si>
    <t>Direct cause:_x000D_
• train driver's operational error (he did not respect signal “stop” of the main signal Sc101c at Kolín station)._x000D_
_x000D_
Contributory factor:_x000D_
• absence of technical equipment at Kolín station that would prevent the train from passing signal at danger.</t>
  </si>
  <si>
    <t>Underlying cause:_x000D_
• failure to comply with technological procedures of RU and IM by the train driver of long distance passenger train No. 851 (he did not follow a signals from IM);_x000D_
• unadapted speed of train so that the locomotive could stop safely in front of the signal "Stop" on main signal), although the train driver was alerted to this signal by signal "Warning" on the previous main signal device 1S and by signal on automatic train control system.</t>
  </si>
  <si>
    <t>BE-3984</t>
  </si>
  <si>
    <t>Other event, 7/28/2014, Ottignies (Belgium)</t>
  </si>
  <si>
    <t>Problème rencontré par le système EBP gérant la signalisation 
Problem identified by the EBP system which is managing the signaling</t>
  </si>
  <si>
    <t>Ottignies</t>
  </si>
  <si>
    <t>la destruction de l'itinéraire du train alors que le train le parcourait 
the destruction of the train itinerary when the train went through it</t>
  </si>
  <si>
    <t>DE-3981</t>
  </si>
  <si>
    <t>Trains collision, 01-08-14, Mannheim Hbf (Germany)</t>
  </si>
  <si>
    <t>Güterzug DGS 40635 fuhr dem EC 216 in der Weiche 154 in die Flanke. 
The freight train DGS 40635 drove into the flank of EC 216 on railway switch 154.</t>
  </si>
  <si>
    <t>Mannheim Hbf</t>
  </si>
  <si>
    <t>ERS Railways GmbH</t>
  </si>
  <si>
    <t>Durch die Vorbeifahrt am haltzeigenden Signal wurde der Zug gebremst. Die Zwangsbremsung wurde durch den Triebfahrzeugführer aufgelöst. Er fuhr ohne Verbindungsaufnahme mit dem Fahrdienstleiter weiter. 
The train was stopped because he passed the stop signal. The emergency brake was released by the train driver. He continued driving without establishing connection to the traffic controller.</t>
  </si>
  <si>
    <t>RO-3966</t>
  </si>
  <si>
    <t>Trains collision, 8/2/2014, Cotesti (Romania)</t>
  </si>
  <si>
    <t>the freight train train no.60482 collided the machines for maintenance of railway tracks stationed in line III of Cotesti railway station</t>
  </si>
  <si>
    <t>Cotesti</t>
  </si>
  <si>
    <t>Cauza directa a producerii accidentului o constituie nerespectarea indica?iei semnalului de intrare X al H.m. Cote?ti, care ordona „Opre?te fara a depa?i semnalul!”, conducând la tamponarea utilajelor feroviare sta?ionate pe linia nr.III directa din H.m. Cote?ti coroborat cu inexisten?a unor bariere organiza?ionale care sa împiedice producerea unei coliziuni._x000D_
Factori care au contribuit_x000D_
-	depasirea serviciului continuu maxim admis pe locomotiva de catre personalul de trac?iune care a condus ?i deservit locomotiva EA 389;_x000D_
-	conducerea locomotivei EA 389 cu instala?ia de control automat al vitezei trenului izolata în mod nejustificat;_x000D_
-	lipsa de aten?ie în urmarirea de catre personalul de trac?iune a indicatiei semnalului de intrare X al statiei Cotesti, care ordona „Opre?te fara a depa?i semnalul!” pe fondul starii de oboseala a mecanicului de locomotiva ?i a mecanicului ajutor, care se aflau în serviciu de aproximativ 32 ore; 
Direct cause _x000D_
The direct cause of the accident occurrence is the not respecting of the entry signal X from the railway station Cotesti, which ordered „Stop without exceeding the signal!”, leading to the end-collision of the railway machinery stopped on line no. III direct from the railway station Cotesti, corroborated with the inexistence of organisational barriers which could prevent a collision._x000D_
_x000D_
Contributing factors_x000D_
-	Exceeding the maximum allowed continuous duty of the locomotive staff which drove and operated the locomotive EA 389;_x000D_
-	Driving the locomotive EA 389 with the train automatic speed control system unduly isolated;_x000D_
-	The lack of attention of the traction staff in pursuing the indication of the entry signal X from the railway station Cotesti, which ordered "Stop without exceeding the signal" against the background of fatigue of the driver and the driver's assistant, who were in service for about 32 hours;</t>
  </si>
  <si>
    <t>Cauze subiacente _x000D_
-	nerespectarea duratei serviciului continuu maxim admis pe locomotiva contrar prevederilor Ordinului 256/29.03.2014 ?i ale instruc?iunilor de lucru IL-7.5.1-01 edi?ia a 4-a._x000D_
-	nerespectarea prevederilor Anexei 2 din Instruc?iunile pentru activitatea personalului de locomotiva în transportul feroviar nr.201/2006 referitor la cazurile când se admite scoaterea din func?ie a instala?iei de control automat al vitezei trenului instalata pe locomotiva;_x000D_
-	nerespectarea prevederilor art.127-(1) lit.a din Instruc?iunile pentru activitatea personalului de locomotiva în transportul feroviar nr.201/2006 referitoare la urmarirea cu aten?ie, în timpul remorcarii trenului a indica?iei semnalelor;  _x000D_
_x000D_
Cauze primare_x000D_
-	neaplicarea de catre  SC Transferoviar Grup SA a tuturor masurilor pentru ?inerea sub control a pericolelor pe care le-a identificat în cadrul sistemului de management al siguran?ei;_x000D_
-	neaplicarea de catre CNCF „CFR” SA a prevederilor procedurii opera?ionale „Evaluarea cu alte organiza?ii a riscurilor de interfa?a introduse de modificari” cod PO SMS 0-4.14, parte a propriului sistem de management al siguran?ei. Astfel nu au fost identificate ?i evaluate riscurile de interfa?a introduse de modificarea activita?ii în halta de mi?care Cote?ti în condi?iile executarii lucrarilor de repara?ie periodica cu ma?ini grele de cale ?i ciuruirea integrala a prismei de piatra sparta (RPMG+Ci) aprobate. 
Underlying causes_x000D_
-	Noncompliance with the maximum permissible duration of continuous duty on the locomotive contrary to the Order no. 256 / 03.29.2014 and working instructions IL-7.5.1-01 4th edition._x000D_
-	Noncompliance with the provisions of Annex 2 of the Instructions for the activity of the locomotive staff no. 201/2006 on cases where the shutting down is allowed of the automatic control system installed on the train locomotive;_x000D_
-	Noncompliance with Art. 127- (1) a of the Instructions for locomotive staff activity no. 201 / 2006 referring to follow carefully when towing a train at the indication signals;_x000D_
_x000D_
Root causes_x000D_
-	Not applying of the SC Transferoviar Group SA of all measures to control the hazards identified in the safety management system;_x000D_
-	Not applying of the Railway Company "CFR" SA of the operational procedure provisions "risk assessment with other organizations interface introduced by changes" code PO SMS 0-4.14, part of its own safety management system. So were not identified and assessed the interface risks introduced by modifying the activity of the railway station Cotesti in the conditions of the execution of approved periodic repair works with heavy track machinery and full screening of the ballast prism (RPMG + Ci).</t>
  </si>
  <si>
    <t>RO-3967</t>
  </si>
  <si>
    <t>Train derailment, 8/4/2014, Augustin station (Romania)</t>
  </si>
  <si>
    <t>the locomotive EA 531 from the freight train no 50427 derailed on crossing to the switch 1 from the station</t>
  </si>
  <si>
    <t>Augustin station</t>
  </si>
  <si>
    <t>Cauza directa a producerii acestui accident o constituie escaladarea sinei de legatura exterioare a curbei schimbatorului de cale nr.1, de catre roata nr.1 stânga de la osia conducatoare a boghiului din fata al locomotivei LE 40-0531-9 , ca urmare a reducerii capacitatii de ghidare a osiei conducatoare, fiind depasita astfel limita de stabilitate la deraiere. _x000D_
_x000D_
Reducerea capacitatii de ghidare a osiei conducatoare a fost generata cumulativ de urmatorii factori :_x000D_
_x000D_
?	depasirea tolerantelor admise fata de ecartamentul prescris la aparatele de cale (prevazute la art.19.2 din Instructia nr.314/1989), fapt care a condus la aparitia unor unghiuri de atac defavorabile ale osiei în cale;_x000D_
?	descarcarea de sarcina a rotii nr.1, provocata de repartizarea defavorabila a sarcinii în etajele de suspensie ale locomotivei LE 40-0531-9, amplificata în regim dinamic. 
The direct cause of this accident occurrence is the climbing of the connection curve exterior rail of the  switch no. 1 by the left wheel no. 1 from the leading axle from the front bogie of the locomotive LE 40-0531-9, due the decreasing of the guiding capacity of the leading axle, being exceeded the derailment stability limit. _x000D_
_x000D_
The decreasing of the guiding capacity of the leading axle was generated cumulative by the following factors:_x000D_
_x000D_
?	Exceeding of the admitted tolerances beside the prescribed gauge at the points and crossings (foreseen at Art. 19.2 from the Instruction no. 314/1989), fact which led to the entry of not favourable attack angles of the axle in the track;_x000D_
?	The unload transfer of the wheel no. 1, due the not favourable assignment of the load in the suspension levels of the locomotives LE 40-0531-9, amplified in dynamic regime.</t>
  </si>
  <si>
    <t>ES-4197</t>
  </si>
  <si>
    <t>Fire in RS, 06-08-14, Between Ballobar and Valfarta stations (Huesca) (Spain)</t>
  </si>
  <si>
    <t>Small fire in passenger train´s locomotive come out after train had stopped due to a failure in a bogie._x000D_
No personal damages.</t>
  </si>
  <si>
    <t>Between Ballobar and Valfarta stations (Huesca)</t>
  </si>
  <si>
    <t>The accident was caused by rolling stock failure, when the overheating of the connectors of system Q1's switch produced electric arcs</t>
  </si>
  <si>
    <t>BG-3997</t>
  </si>
  <si>
    <t>Fire in RS, 8/7/2014, Kaloyanovets - Stara Zagora interstation (Bulgaria)</t>
  </si>
  <si>
    <t>At approx 06:15 PM on 07.08.2014, while moving on its direction Sofia - Burgas, the electric locomotive No 44117.0 hauling the fast passenger train No 8613 got fire in its engine compartment before Stara Zagora station. The locomotive crew stopped the train immediately and started fighting the fire with the manual fire extinguishers available in the locomotive and in the wagons. The train master called 112 and informed on the emergency situation._x000D_
The fire was extinguished successfully at approx 07:10 PM. There were no casualties or injures in result of the accident, but damages to the locomotive only. The movement on the railway was restored at 09:26 PM.</t>
  </si>
  <si>
    <t>Kaloyanovets - Stara Zagora interstation</t>
  </si>
  <si>
    <t>The immediate technical cause of the occurred railway accident is the interruption of wire 263 connecting the starting circuit of II-nd engine pump 239. It resulted in long lasting starting mode and unacceptably large operating current, which led to melting of the wire insulation and its ignition due to improper placed fuse 248 of 100 A (instead of 40A).</t>
  </si>
  <si>
    <t>Incorrect replacement of fuse 248 with one of 100 A instead of 40 A.</t>
  </si>
  <si>
    <t>DE-3982</t>
  </si>
  <si>
    <t>Train derailment, 08-08-14, Burgstall (Murr) (Germany)</t>
  </si>
  <si>
    <t>Am 08.08.2014 entgleist der am Schluss laufende Wagen des EZ 51298 gegen 00:18 Uhr im Bahnhof (Bf) Burgstall; Gleis 1 in km 4,866 bei einer Geschwindigkeit von ca. 79 km/h. Aufgrund einer Hauptschalterauslösung auf dem Triebfahrzeug des EZ 51298 bringt der Tf den Zug in km 7,650 vor dem Einfahrsignal Kirchberg zum Halten. Der entgleiste Wagen wird bis zum Halt des Zuges mitgezogen. Es kommt zu keiner Zwangsbremsung. 
On 08.08.2014, the wagon running at the end of EZ 51298 at about 00h18 at railway station Burgstall, track 1 at km 4,866 at a speed of approximately 79 km/h. Due to the activation of the main switch on traction unit of EZ 51298, the train driver stopped the train at km 7,650 at the Kirchberg entrance signal. The derailed wagon was moved with the train until the train had stopped. There was no emergency brake.</t>
  </si>
  <si>
    <t>Burgstall (Murr)</t>
  </si>
  <si>
    <t>Die Ursache der Entgleisung des EZ 51298 ist auf mehrere kurz hintereinanderliegende Gleislagefehler in der Längshöhe (zyklische Unregelmäßigkeit, gem. DIN EN 13848) zurückzuführen, deren Entstehung auf eine nicht bzw. eingeschränkt funktionierende Entwässerung des Gleiskörpers und folglich auf eine abschnittsweise verminderte Tragfähigkeit des Gleisunterbaus zurückzuführen ist._x000D_
Bei der Durchfahrt über Gleis 1 im Bf Burgstall klettert der linke Radkranz der letzten Achse, ca. in km 4,866 auf den Schienenkopf auf. Dort läuft er wenige Meter auf dem Schienenkopf weiter und gleitet in km 4,872 unter Einwirkung der Kurvenfahrt nach bogenaußen endgültig auf die Betonschwellen nach links ab. 
The cause of the derailment of EZ 51298 is due to several short subsequent horizontal track failures in longitudinal level (cyclical irregularity, DIN EN 13848), the origins of which are due to the lack of, or limited functioning of, the drainage of the wagon body and, consequently, to the degradation of the track structure by section._x000D_
During the transit through track 1 at railway station Burgstall, the left wheel rim went on the last axle, approximately at km 4,866 on the railhead. There it ran a few meters along the railhead and slid at km 4,872 km, under the influence of transverse forces, to the outside of the curve on the concrete sleepers on the left.</t>
  </si>
  <si>
    <t>HU-3973</t>
  </si>
  <si>
    <t>Trains collision near miss, 08-08-14, Balassagyarmat (Hungary)</t>
  </si>
  <si>
    <t>A tolató egység felvágott egy váltót, a személyzet ezt nem jelentette, hanem visszaállt a biztonsági határjelzo mögé. A helytelenül álló váltón át behaladó személyvonat a foglalt vágányon álló jármu elott 15 méter távolságra megállt 
The shunting unit split the point, but the staff did not report it. They moved back on the track behind the shunting limit signal. The passenger train arrived through the point in uncorrect position on the occupied track and stopped from the shunting unit about 15 meter distance.</t>
  </si>
  <si>
    <t>Balassagyarmat</t>
  </si>
  <si>
    <t>ES-4198</t>
  </si>
  <si>
    <t>Other event, 11-08-14, Pancorbo station (Burgos) (Spain)</t>
  </si>
  <si>
    <t>During the execution of works at track, this one is wrongly returned to the CTC but there were some workers still working on it. An approaching train was stopped when some of them made hand signals to stop it</t>
  </si>
  <si>
    <t>Pancorbo station (Burgos)</t>
  </si>
  <si>
    <t>The event was caused by human failure of the job foreman when returned track 1 to the Centralized Traffic Control when workers were still working on switch 5. This was due because he thought the workers were not working under his responsibility and that the works didn't affect track 1 since he didn't know the scope of point 223 of the weekly proceeding._x000D_
As a contributory factor, the track crew did not use the shunt bar and the relevant stop signs, which could have stopped the train, thus they didn't comply with article 343 of the General Operating Rules</t>
  </si>
  <si>
    <t>UK-4224</t>
  </si>
  <si>
    <t>Fire in RS, 11-08-14, Walkergate station. Newcastle upon Tyne (United Kingdom)</t>
  </si>
  <si>
    <t>At 18:56 hrs a two-car Metro train, travelling from South Shields to St James, arrived at Walkergate station. While standing in the station an electrical fault occurred to a line breaker mounted on the underside of the train, which produced some smoke. It also caused the circuit breakers at the sub-stations supplying the train with electricity, via the overhead line, to trip (open). About one minute later power was restored to the train. There followed a brief fire in the area of the initial electrical fault and further smoke. Shortly afterwards, the overhead line above the train parted and the flailing ends of the wire fell on the train roof and one then fell on to the platform, producing significant arcing and sparks for around 14 seconds. Fortunately, there was no-one on the platform at the time. However, there were at least 30 passengers on the train who self-evacuated on to the platform using the train doors’ emergency release handles. The fire service attended but the fire was no longer burning. No-one was reported to be injured in the accident and there was no significant damage to the interior of the train.</t>
  </si>
  <si>
    <t>Walkergate station. Newcastle upon Tyne</t>
  </si>
  <si>
    <t>A sustained fault current drawn through the pantograph caused localised overheating and weakening of the contact wire, which then parted under tension (paragraph 53).</t>
  </si>
  <si>
    <t>A sustained overcurrent was drawn because:_x000D_
a. electrical arcing occurred as a result of a fault in a part of the train’s traction power circuit which is not protected by on-train equipment and which relies on the DC traction power system to detect it and to disconnect the current (paragraph 59, no recommendation); and _x000D_
b. the current drawn by the arcing fault did not exceed the overload settings of the circuit breaker at Percy Main substation or the mid-point line current relay (paragraph 64, no recommendation)._x000D_
Underlying factors _x000D_
112 Nexus, working with DBTW, did not effectively manage the system interface risk between the DC traction power supply, power control and the train (paragraph 75, Recommendation 2).</t>
  </si>
  <si>
    <t>RO-3998</t>
  </si>
  <si>
    <t>Train derailment, 8/22/2014, Voslobeni - Izvoru Muresului stations (Romania)</t>
  </si>
  <si>
    <t>The locomotive EA 572 from the freight train no 51713-2 derailed on the open line between Voslobeni and Izvoru Muresului stations.</t>
  </si>
  <si>
    <t>Voslobeni - Izvoru Muresului stations</t>
  </si>
  <si>
    <t>Cauza directa a producerii acestui accident o constituie escaladarea firului exterior a curbei de catre de catre roata din dreapta a osiei nr.6 (prima în sensul de mers al trenului) de la locomotiva EA 40-0572-4 (locomotiva împingatoare)  ca urmare a maririi raportului dintre forta conducatoare si sarcina ce actionau pe roata atacanta (roata din partea dreapta a osiei nr.6), depasindu-se astfel limita de stabilitate la deraiere. _x000D_
Cresterea raportului dintre forta conducatoare si sarcina ce actionau pe roata atacanta a fost generata de descarcarea puternica de sarcina a rotii din dreapta a osiei nr.6 (prima în sensul de mers al trenului) în urma torsionarii caii peste valoarea admisa pentru viteza de maxim 30 km/h. 
The direct cause of this accident occurrence is constituted by the climbing of the exterior curve rail by the right wheel of axle no. 6 (first in the running direction of the train) from the locomotive EA 40-0572-4 (banking locomotive), due the increasing of the ratio between the leading force and the load which acted on the leading wheel (the wheel from the right side of the axle no. 6), exceeding the stability limit at derailment. _x000D_
The increasing of the ratio between the leading force and the load which acted on the leading wheel was generated by the strong load discharging of the right wheel from axle no. 6 (first in the running direction of the train) after the track twist over the admitted value for the speed of maximum 30 km/h.</t>
  </si>
  <si>
    <t>Cauze subiacente_x000D_
Cauzele subiacente ale producerii acestui accident sunt urmatoarele:_x000D_
?	executarea necorespunzatoare a lucrarilor de buraj intermediar din data de 21.08.2014, pe zona cuprinsa între km 138+000 si km 138+325, fara a fi efectuate si operatiile de îndopare a  traverselor pe întreaga lungime a acestora, asa cum era prevazut în „Dosarul de organizare” a lucrarilor de reparatie periodica cu ciuruire integrala (RPc) dintre haltele de miscare Voslabeni si Izvoru Muresului;_x000D_
?	nerespectarea prevederilor pct.10 din fisa „Masuri de siguranta circulatiei”, parte integranta a dosarului de organizare a lucrarii care stabilea ca zilnic, dupa orele de program, precum si în zilele nelucratoare, sa se asigure prezenta pe santier a unei echipe de interventie care sa verifice periodic linia si sa intervina atunci când era necesar pentru mentinerea liniei în tolerantele admise. 
The underlying causes of this accident occurrence are the following:_x000D_
?	The non-corresponding performance of the intermediary packing of sleepers from 21st of July 2014, in the area between km 138+000 and km 138+325, without being performed also the plug in operation of the sleepers on those entire length, as foreseen in the “Organisation File” of the periodical repair works with integral packing of sleepers (RPc) between the railway station Voslabeni and Izvorul Muresului;_x000D_
?	The non-compliance with the provisions of point 10 from the sheet “Measures for traffic safety”, integral part of the organization file of the work which set that daily, after the working hours and in the non-working hours, to provide on the construction site of an intervention team which had to inspect periodically the line and intervene when it was necessary to maintain the line in the admitted tolerances.</t>
  </si>
  <si>
    <t>HU-4075</t>
  </si>
  <si>
    <t>Runaway, 8/26/2014, Szeged (Hungary)</t>
  </si>
  <si>
    <t>While the driver manually switched the point No. 26, the tram has gone without the driver.</t>
  </si>
  <si>
    <t>Szeged</t>
  </si>
  <si>
    <t>Vehicle construction and  Failure of driver</t>
  </si>
  <si>
    <t>SK-0014</t>
  </si>
  <si>
    <t>Level crossing event, 27/08/2014, between Bánovce nad Bebravou and Rybany (Slovak Republic)</t>
  </si>
  <si>
    <t>between Bánovce nad Bebravou and Rybany</t>
  </si>
  <si>
    <t>direct cause of accident was that road freight car enter in to crossing during the passage of a train</t>
  </si>
  <si>
    <t>RO-4045</t>
  </si>
  <si>
    <t>Train derailment, 28-08-14, Voslobeni - Izvoru Muresului stations (Romania)</t>
  </si>
  <si>
    <t>Wagon no 31537957532-5 loaded with diesel fuel from the freight train no 41755-2 derailed on the open line between Voslobeni and Izvoru Muresului stations.</t>
  </si>
  <si>
    <t>Direct cause_x000D_
-	increase of the hotizontally guide force on the first wheel (right wheel in the running direction)  from the guiding axle of the first bogie of the wagon no.31537957322-5, the 16th of the freight train no.41755-2, km. 138+843, between the railway stations Voslabeni and Izvoru Muresului, over the derailment stability limit. _x000D_
Contributing factors were:_x000D_
•	track twisting over the accepted value for the maximum speed of 30 km/h, it leading to the load transfer of the left wheel of the guiding axle of the derailed bogie from the wagon and that led the increase of the ratio between the guiding force and the load on the first  wheel;_x000D_
•	exceeding of the accepted tolerances at the differences between the close deflections , that led to the appearance of some detrimental striking angles of the guiding axle in the track;_x000D_
•	existence of an excessive humidity in the track bed, because the showers  fallen before the railway accident (21-27.08.2014), that affected the quality of works for the screening and packing of sleepers. 
Cauza directa_x000D_
-	cresterea fortei orizontale de ghidare pe roata atacanta(roata din partea stânga sens mers)  a osiei conducatoare a primului boghiu al vagonului nr.31537957322-5, al 16-lea din compunerea trenului  de marfa nr.41755-2, la km. 138+843 între Hm Voslabeni si Hm Izvoru Muresului, peste limita de stabilitate la deraiere. _x000D_
_x000D_
Factorii care au contribuit la producerea acestui accident au fost:_x000D_
•	torsionarea caii peste valoarea admisa pentru viteza de maxim 30 km/h, fapt ce a produs _x000D_
 descarcarea de sarcina a rotii din stânga a osiei conducatoare a boghiului deraiat  al vagonului si care a generat la rândul ei, cresterea raportului dintre forta conducatoare si sarcina ce actionau pe roata atacanta;_x000D_
•	depasirea tolerantelor admise la diferentele între sagetile vecine fapt ce a condus la aparitia unor unghiuri de atac defavorabile ale osiei conducatoare în cale;_x000D_
•	existenta unei umiditati în exces pe platforma caii, datorita ploilor torentiale din perioada anterioara producerii accidentului feroviar (21-27.08.2014), care a afectat calitatea lucrarilor de ciuruire mecanizata si buraj.</t>
  </si>
  <si>
    <t>Undelying causes_x000D_
-	non-compliance of the provisions from the point 10 of the sheet „Traffic safety measures” (part of the file for the work organization), regulation that established daily ensurance, after the working hours, as well as in the days off, of an operation team until 18.00 o’clock, that check periodically the track and intervene, if case, in order to keep the track in accordance with the accepted tolerances. _x000D_
Root causes	 _x000D_
	Instructions from «File for the organozation of periodical repair» do not contain measures for mechanical packing of sleepers and screening in the splashy broken stone bed, very cloked also during the period of time with excessive humidity. 
Cauza subiacenta_x000D_
_x000D_
-	nerespectarea prevederilor pct.10 din fisa „Masuri de siguranta circulatiei”(parte integranta a dosarului de organizare a lucrarii), reglementare care stabilea asigurarea zilnica, dupa orele de program, precum si în zilele nelucratoare, a prezentei pe santier a unei echipe de interventie pâna la ora 18.00 care sa verifice periodic linia si sa intervina atunci când era necesar pentru mentinerea liniei în tolerantele admise. _x000D_
_x000D_
Cauza primara	 _x000D_
	Instructiunile din «Dosarul de organizare al lucrarilor de RPc» nu contin masuri pentru lucrari de ciuruire si buraj mecanizat pentru zona cu prisma de piatra sparta noroioasa,  foarte colmatata si pe timp cu umiditate în exces.</t>
  </si>
  <si>
    <t>CZ-4035</t>
  </si>
  <si>
    <t>Level crossing accident, 8/30/2014, Open line between Slatinany and Chrudim stations (Czech Republic)</t>
  </si>
  <si>
    <t>Collision of service train No. 163920 with cyclist at the level crossing_x000D_
for a pedestrian.</t>
  </si>
  <si>
    <t>Open line between Slatinany and Chrudim stations</t>
  </si>
  <si>
    <t>Tratová strojní spolecnost</t>
  </si>
  <si>
    <t>Direct cause:_x000D_
•third party – level crossing user (cyclist violation)._x000D_
_x000D_
Contributory factor:_x000D_
• insufficient attention of cyclists;_x000D_
• absence of traffic signs or other measures in front of the level crossing for pedestrian, which would prohibit ride of cyclists.</t>
  </si>
  <si>
    <t>Underlying cause:_x000D_
•failure to respect rules for operation on the road by the cyclist;_x000D_
•failure to comply with construction measure to ensure safety for level crossing users from the side of builder of cycling path;_x000D_
•inadequate procedures in inspection of level crossing No. 5339 from the side of infrastructure manager._x000D_
_x000D_
Root cause: none.</t>
  </si>
  <si>
    <t>ES-4199</t>
  </si>
  <si>
    <t>Train derailment, 31-08-14, Zaragoza-Delicias station (Zaragoza) (Spain)</t>
  </si>
  <si>
    <t>Long distance passenger train derailed of its last bogie while passing through the gauge changing faciltiy.</t>
  </si>
  <si>
    <t>The derailment was caused by failure of the rolling stock, in particular in the gauge change device of the right wheel of the last axle of the composition, in the direction of travel, that doesn't perform axial translation for the gauge changing due to the seizing of the gearing conical system.</t>
  </si>
  <si>
    <t>HR-4040</t>
  </si>
  <si>
    <t>Train derailment, 31-08-14, Rijeka (Croatia)</t>
  </si>
  <si>
    <t>During maneuvering of 18 empty rolling stock from the unloading of the cargo terminal portion, derailment of two empty wagons occured on the switch. 
Za vrijeme manevriranja 18 praznih vagona iz istovarnog mjesta u teretni dio kolodvora, došlo je do iskliznuca dva prazna teretna vagona na skretnici.</t>
  </si>
  <si>
    <t>Rijeka</t>
  </si>
  <si>
    <t>HŽ CARGO</t>
  </si>
  <si>
    <t>The direct cause of this accident was the failure to secure the road path of the train in a way that switch number 140 was not secured properly. Due that, during the passage of shunting composition over the switch, the switch uncontrollably dislocated which resulted in the derailment of wagon No. 4 and 5.</t>
  </si>
  <si>
    <t>Contributory Factors: _x000D_
High grass around the truck and switch No. 140 which reduced visibility of the switch, and the lever for handling the switch._x000D_
_x000D_
Underlying Factors: Insufficient supervision of daily maintenance work (cleaning, lubrication)</t>
  </si>
  <si>
    <t>PL-4725</t>
  </si>
  <si>
    <t>Train derailment, 31-08-14, open line section Kraków Prokocim - Kraków Plaszów (Poland)</t>
  </si>
  <si>
    <t>On 31/08/2014 at 16:17 during the freight train No 344026/7 operated by PKP Cargo has been derailed while  approaching the station Kraków Plaszów. _x000D_
The 3 axles of the 6-axle locomotive of the train type ET41-144 has been derailed on the line in the curve of radious 474 m.</t>
  </si>
  <si>
    <t>open line section Kraków Prokocim - Kraków Plaszów</t>
  </si>
  <si>
    <t>The first bogie of link B of ET41-144 series locomotive failed to negotiate the curve of the track due to overdrive of the left wheel, which was due to exceeded maximum admissible difference in the wheel diameter in the fifth wheel set of the rail vehicle.</t>
  </si>
  <si>
    <t>1) Underlying causes:_x000D_
– The locomotive did not undergo examination after the incident of 12 July 2014 (P3 survey), contrary to the by-laws of the carrier._x000D_
– The recommendations of the diagnostic technician to remove track unevenness in vertical and horizontal planes and to replace the rails with damaged running surface were not implemented._x000D_
_x000D_
_x000D_
      b) Indirect causes:_x000D_
-	Wrong guiding of both bogies of the derailed link caused by the stiffened coupling between links A and B of the locomotive resulting from the exceeded maximum admissible dimension of parameter D of the bogie coupler. _x000D_
-	Subsidence of the right rail (local reduction of track superelevation) where the wheel climbed onto the right rail, with a simultaneous change in the track gauge and running on a rail which needed replacement, with damaged running surface that facilitated climbing of the wheel onto the rail head. _x000D_
-	Lack of adequate trainset monitoring by the driver while the train was running in a curve._x000D_
c) Systemic causes:_x000D_
-	The infrastructure manager and its implementing units did not fully implement the Safety Management System in the field of risk analysis procedure (SMS-PR-02), SMS-PW-1 procedure ‘Maintenance of the railway line in technical_x000D_
 and organisational efficiency’ as well as they did not take corrective and preventive measures (SMS-PD-05) following a negative assessment of railway track condition carried out by an inspector._x000D_
-	The carrier and its implementing units did not fully implement_x000D_
 the Safety Management System in the field of the procedures ‘Maintenance of the rolling stock in efficiency’ (P/12) and ‘Procedure in case of railway accidents and incidents’, especially ‘Guidelines on returning to service railway rolling stock after accidents’ in relation to the fact that locomotive TEM-2 No. 191 run into locomotive ET-41 No. 144 at the station KWK Szczyglowice on 12 July 2014, that is about 1.5 months prior to the incident concerned.</t>
  </si>
  <si>
    <t>DE-4093</t>
  </si>
  <si>
    <t>Level crossing accident, 02-09-14, Schweinsberg Anst - Kirchhain (Germany)</t>
  </si>
  <si>
    <t>Sperrfahrt 55327 kollidiert auf dem Bahnübergang in km 18,103 zwischen Schweinsberg Anst und Kirchhain mit einem Traktor. 
The train 55327 moving on a track closed to regular through traffic collides with a tractor on level crossing at km 18,103 between Schweinsberg Anst and Kirchhain.</t>
  </si>
  <si>
    <t>Schweinsberg Anst - Kirchhain</t>
  </si>
  <si>
    <t>Der Fahrer der landwirtschaftlichen Zugmaschine beachtete mehrere Pfeifsignale der Rangierlok und das Andreaskreuz zur Sicherung des BÜ nicht. Beim Heranfahren an den BÜ übersah er auch die Rangierlok von Kirchhain kommend. 
The driver of the agricultural tractor did not respect several whistle signals of the shunting locomotive and the St. Andrew's cross to secure the level crossing. When approaching the level crossing, he also ignored the shunting locomotive coming from Kirchhain.</t>
  </si>
  <si>
    <t>ES-4200</t>
  </si>
  <si>
    <t>Train derailment, 02-09-14, Between Unquera and Colombres stations (Cantabria) (Spain)</t>
  </si>
  <si>
    <t>Freight train partially derailed between Unquera and Colombres stations (Cantabria). No personal damages</t>
  </si>
  <si>
    <t>Between Unquera and Colombres stations (Cantabria)</t>
  </si>
  <si>
    <t>The accident was caused by defects within the track geometry, in particular the existence of warping of track due to poor drainage</t>
  </si>
  <si>
    <t>DK-5315</t>
  </si>
  <si>
    <t>Level crossing accident, 03-09-14, Level crossing 265, Thisted (Denmark)</t>
  </si>
  <si>
    <t>Passenger car hit by train in level crossing, both passengers killed. 
Personbil kørte langsom ud foran tog i overkørsel 265 og blev ramt af toget. Begge personer i bilen omkom</t>
  </si>
  <si>
    <t>Level crossing 265, Thisted</t>
  </si>
  <si>
    <t>The car driver failed to stop at the stop line before the crossing.</t>
  </si>
  <si>
    <t>HU-4310</t>
  </si>
  <si>
    <t>Spad, 03-09-14, Százhalombatta station (Hungary)</t>
  </si>
  <si>
    <t>Train nr. 24149 infrastructure works train passed the red signal without permission at the "C" entrance signal of Százhalombatta station. After the train shounted back to the front of the "C" signal it was running face to face with nr. 839 passanger train. Trains stopped about 100 meters from each other.</t>
  </si>
  <si>
    <t>Százhalombatta station</t>
  </si>
  <si>
    <t>HU-4492</t>
  </si>
  <si>
    <t>Level crossing accident, 03-09-14, Karcag-Kunmadaras (Hungary)</t>
  </si>
  <si>
    <t>Train No. 36913 in an open crossing collided with a trailer of a tractor. The train derailed. 
A 36913 sz. vonat egy nem biztosított vasúti átjáróban egy mezogazdasági vontató pótkocsijának ütközött. A vonat motorkocsija kisiklott.</t>
  </si>
  <si>
    <t>Karcag-Kunmadaras</t>
  </si>
  <si>
    <t>HR-4043</t>
  </si>
  <si>
    <t>Fire in RS, 04-09-14, VaraÅ¾din (Croatia)</t>
  </si>
  <si>
    <t>On thursday, 4th September 2014 at 12:50 hours, at the railway station Varaždin there was a fire in the driver's control cabinet of diesel multiple unit (DMU) 
Dana 4.9.2014. godine u 12:50 sati u kolodvoru Varaždin došlo je do požara u razvodnom ormaru upravljacnice diesel motornog vlaka.</t>
  </si>
  <si>
    <t>Direct cause of this accident is malfunction of electrical installation of the train.</t>
  </si>
  <si>
    <t>Absence of fire detection system in diesel engine set, The workshop that performs control inspections is not equipped with thermal cameras for testing weak spots on electrical installations that cannot be determined by visual inspection.</t>
  </si>
  <si>
    <t>RO-4085</t>
  </si>
  <si>
    <t>Train derailment, 05-09-14, Popesti Valcea - Babeni stations (Romania)</t>
  </si>
  <si>
    <t>Six wagons loaded with coal from the freight train no. 23688 derailed on open line  between Popesti Valcea and Babeni stations.</t>
  </si>
  <si>
    <t>Popesti Valcea - Babeni stations</t>
  </si>
  <si>
    <t>Direct cause of the railway accident was the unsuitable technical condition of the track superstructure, tis has led the left wheel (wheel no. 2) of the first axle  from the wagon no. 81536654772-8, first in the composition of the freight train no.23688  left the running surface of the rail head. _x000D_
Contributing factor_x000D_
Exceeding of the loading limit and of the maximum load  accepted on the axle (20 tons) of the wagon no. 81536654772-8. 
Cauza directa a producerii accidentului feroviar o constituie starea tehnica necorespunzatoare a suprastructurii caii, care a condus la parasirea suprafe?ei de rulare a ciupercii ?inei de catre roata din partea stânga (roata nr. 2) a osiei atacante de la vagonul nr. 81536654772-8, primul din compunerea trenului de marfa nr.23688.  _x000D_
Factor care a contribuit_x000D_
Depasirea limitei de încarcare si a sarcinii maxime admise pe osie (20 tone) a vagonului nr. 81536654772-8.</t>
  </si>
  <si>
    <t>Undelying causes_x000D_
1.	Unsuitable maintenance of the track superstructure in the derailment area, it being confirmed by the keeeping in operation of the wooden sleepers whose failures imposed their replacement._x000D_
2.	Loading of the wagons of the freight train no.23688, without the compliance with the provisions of points 3.1 and 3.2 from the Annex II RIV, concerning the maximum load on axle and the loading limits._x000D_
Root causes_x000D_
The investigation commission identified as root causes of this railway accident the problems appeared in the drawing up of the safety management system, problems written down in the chapter C.5.2. Safety management system from the investigation report, respectively: _x000D_
1.	Non-inclusion of the provisions from art.9, Sheet 4 from the Instruction no.305/1997, concerning the quarterly measurement of the gauge and cross level of the district lines, with the gauge measure, if these were not measured with the testing and recording car or trolley, in  „Flow chart of the process for the track diagnosis and work reception” from the procedure code PP-63 „Railway infrastructure maintenance”._x000D_
2.	Non-inclusion of Instruction of norms and tolerances for the construction and maintenance of track – lines with standard gauge no.314/1989 in the codes of good practice, that is applied for the risk associated to the danger identified, hereinafter referred to as „failure of the track superstructure”._x000D_
3.	Non-identification in the Danger Records, worked out according to the procedure code PP-83-01 „Control of all associated risks of the railway infrastructure management”, of the danger that led to the accident, respectively the track over-widening (exceeding of the maximum accepted value of the track gauge). 
. Cauze subiacente_x000D_
1.	Mentenan?a necorespunzatoare a suprastructurii caii în zona producerii deraierii, fapt confirmat de men?inerea în exploatare a traverselor de lemn ale caror defecte impuneau înlocuirea acestora._x000D_
2.	Încarcarea vagoanelor din compunerea trenului de marfa nr.23688, fara a fi respectate prevederile punctelor 3.1 si 3.2 din Anexa II RIV, referitoare la sarcina maxima pe osie si limitele de încarcare._x000D_
Cauze primare_x000D_
Comisia de investigare a identificat drept cauze primare ale acestui accident feroviar deficien?ele manifestate în elaborarea sistemului de management al siguran?ei, deficien?e ce sunt  consemnate la cap. C.5.2. Sistemul de management al sigurantei din prezentul raport de investigare, respectiv: _x000D_
1.	Neincluderea prevederilor art.9, Fisa 4 din Instructia nr.305/1997, referitoare la masurarea trimestriala a ecartamentului ?i nivelului transversal al liniilor districtului, cu tiparul de masurat calea, daca acestea nu au fost masurate cu vagonul sau caruciorul de masurat calea, în „Diagrama Flux a procesului de diagnoza a caii si recensaminte de lucrari” din procedura cod PP-63 „Mentenanta infrastructura feroviara”._x000D_
2.	Neincluderea Instructiei de norme si tolerante pentru constructii si întretinerea caii - linii cu ecartament normal nr.314/1989 între codurile de buna practica, care se aplica pentru riscul asociat pericolului identificat ?i denumit „defectarea suprastructurii caii”._x000D_
3.	Neidentificarea în Eviden?a Pericolelor, întocmita conform procedurii cod PP-83-01 „Controlul tuturor riscurilor asociate cu activitatea de gestionare infrastructura feroviara”, a pericolului care a determinat producerea accidentului, respectiv supralargirea caii (depasirea valorii maxime admise a ecartamentului caii).</t>
  </si>
  <si>
    <t>LV-4067</t>
  </si>
  <si>
    <t>Accident to persons caused by RS in motion, 07-09-14, Riga, Latvijas Republika (Latvia)</t>
  </si>
  <si>
    <t>An accident occurred on 7 September 2014 at 6.17 a.m. at the railway station Skirotava. The shunter was struck by an uncoupling rail tanks group and suffered fatal injuries. Tanks were moving from hump in marshalling yard.  _x000D_
At the moment of the accident the marshalling yard was under reconstruction and marshalling yard automatic switches were operated manually.  Due to this reason the shunter had additional responsibility, resp., to move the switch manually.</t>
  </si>
  <si>
    <t>Riga, Latvijas Republika</t>
  </si>
  <si>
    <t>State join-stock company "Latvijas dzelzcels" (Latvian Railway)</t>
  </si>
  <si>
    <t>The direct cause of the accident is:_x000D_
The shunter didn’t check the tanks were moving and walked on the track just in front of the moving tanks.</t>
  </si>
  <si>
    <t>Underlying causes are the following: _x000D_
One of the possible reasons is shunter’s fatigue and temporary loss of concentration as a result of the changes in working conditions and increased workload;_x000D_
Other assumption is that shunter’s personal problems might have caused temporary deterioration of the focus functions.</t>
  </si>
  <si>
    <t>RO-4086</t>
  </si>
  <si>
    <t>Train derailment, 07-09-14, Constanta Marfuri station (Romania)</t>
  </si>
  <si>
    <t>Two wagons from the freight train no. 89617 derailed on the switch no. 17 in Constanta Marfuri station.</t>
  </si>
  <si>
    <t>Constanta Marfuri station</t>
  </si>
  <si>
    <t>Cauza directa  _x000D_
În opinia comisiei de investigare, cauza probabila a producerii acestui accident feroviar o  constituie reactiile de compresie aparute în corpul trenului între primul si al doilea vagon de la locomotiva,  ca urmare suprapunerii efectului de defrânare a trenului peste cel de frânare la gararea trenului de marfa nr.89617 în statia CF Constanta Marfuri.  _x000D_
_x000D_
       Aceste reactii (reculuri) din corpul trenului  au determinat:_x000D_
- comprimarea puternica a tampoanelor de pe partea dreapta a sensului de mers, dintre primul si al doilea vagon din tren si destinderea completa a tampoanelor de pe partea stânga;_x000D_
- reducerea capacitatii de ghidare a rotilor 1 si 3, partea stânga sens mers, de la al doilea boghiu al primului vagon de la locomotiva si rularea acestora pe ciuperca sinei între acul drept si  contraac;_x000D_
- escaladarea acului curb de catre rotile 2 si 4, urmata de înscrierea acestui boghiu pe parcursul liniei 5;_x000D_
- deraierea boghiului cu osiile 1-2 si 3-4 de la vagonul nr. 33539335448-5  urmata de antrenarea în  deraiere a  boghiului cu osiile 5-6 si 7-8 de la vagonul urmator nr. 33539335061-6._x000D_
_x000D_
Factorii care au contribuit :_x000D_
-	actionarea frânei directe a locomotivei de remorcare a trenului de marfa nr.89617 peste efectul de slabire a frânei automate a trenului; _x000D_
- uzura garniturilor din poliamida  la crapodinele celor doua boghiuri deraiate  (montate pe  boghiuri în urma cu cca 5 ani, de la data efectuarii ultimului  RP), fapt care a condus la_x000D_
 rigidizarea   acestora datorita lipsei lubrifierii; 
In the opinion of the investigation commission, the probable cause of this railway accident occurrence is the compression reactions arised in the train’s body between the first and the second wagon from the locomotive, due the overlapping of the unbracking effect of the train over the braking effect at the stabling of the freight train no. 89617 in the railway station Constanta Marfuri.  _x000D_
_x000D_
       Those reactions (recoils) from the train body determined:_x000D_
- the strong compression of the buffers from the right side in the running direction, between the first and second wagons of the train and the complet release of the buffers from the left side;_x000D_
- the decreasing of the guidance capacity of the wheels 1 and 3, left side in the running direction, from the second bogie of the first wagon from the locomotive and the running of those on the rail head between the right point blade  and the stock rail;_x000D_
- the climbing on the curved blade switch by the wheels 2 and 4, followed by the entering of this bogie on the route of line 5;_x000D_
- the derailment of the bogie with the axles 1-2 and 3-4 from wagon no. 33539335448-5, followed by the driving in derailment of the bogie with the axles 5-6 and 7-8 from the next wagon no. 33539335061-6._x000D_
_x000D_
Contributing factors:_x000D_
-	the actioning of the direct brake of the hauling locomotive from the freight train no. 89617 over de decreasing effect of the automatic brake of the train; _x000D_
- the wearness of the polyamide brake pads at the centre castings of the two derailed bogies (mounted on the bogies ca. 5 years ago, at the date of the last periodical repair which was performed), fact which led to their stiffener, due the lack of lubrication.</t>
  </si>
  <si>
    <t>. Cauze subiacente. _x000D_
- nerespectarea art. 74 pct. 3 din Regulamentul de remorcare si frânare nr.006/2005(utilizarea simultana a frânei directe si frânei automate)_x000D_
- executarea de frânari si slabiri la intervale scurte de timp, care au produs forte de compresie,  contrar prevederilor  Art. 72 pct. 9 din Regulamentul de remorcare si frânare nr.006/2005 ; 
Underlying causes_x000D_
- non-complying with the Art. 74, point 3 from the Hauling and Braking Regulation no. 006/2005 (the simultaneous of the direct and automatic brake)_x000D_
- the performing of brakings and attenuations at short time periods, which enabled compression forces, against the provisions of Art. 72, point 9 from the Hauling and Braking Regulation no. 006/2005.</t>
  </si>
  <si>
    <t>CZ-4137</t>
  </si>
  <si>
    <t>Accident to persons caused by RS in motion, 09-09-14, The City of Ostrava (Czech Republic)</t>
  </si>
  <si>
    <t>a passenger got trapped into the doors of the tram train No. 17 run 206 and consequently towed at ÚMOb Jih tram stop, at Ostrava.</t>
  </si>
  <si>
    <t>The City of Ostrava</t>
  </si>
  <si>
    <t>setting the tram train No. 17 into motion by the tram driver while the passenger was trapped into the doors._x000D_
_x000D_
Contributory factor:_x000D_
_x000D_
• no respect for the instructions of tram train undertaking – acoustic and lighting signal "Stay in - Stay out", issued by the tram driver immediately before closing the doors of rolling stock. No respect for the prohibition of motion near entry area with a backpack;_x000D_
• a passenger under the influence of alcohol.</t>
  </si>
  <si>
    <t>failure to ensure the situation along the tram train on the side of the passengers prior to departure from the tram stop.</t>
  </si>
  <si>
    <t>HR-4118</t>
  </si>
  <si>
    <t>Trains collision, 11-09-14, Zagreb Glavni kolodvor, radionica 'Graba' (Croatia)</t>
  </si>
  <si>
    <t>during shunting work in the workshop for maintenance of rolling stocks, there was a collision of shunting rolling stock in the workshop 
Prilikom manevarskog rada na 9. kolosijeku u radionici za održavanje vagona na Zagreb GK, došlo je do nalijetanja manevarskog sastava na stojece vagone, koji su zbog siline udarca odbaceni i udarili su u vagon na dizalicama. Udareni vagon je pao s dizalica.</t>
  </si>
  <si>
    <t>Zagreb Glavni kolodvor, radionica 'Graba'</t>
  </si>
  <si>
    <t>Izravni uzrok ove nesrece je manevarska vožnja brzinom koja je bila prevelika za stanje smanjenog trenja na kolosijeku zbog cega se manevarski sastav nije mogao na vrijeme zaustaviti. 
The direct cause of this accident is the maneuver driving speed, which was too elevated for the state of the reduced friction on the track, which is the reason why the maneuver structure couldn’t stop in time.</t>
  </si>
  <si>
    <t>Cimbenici koji su doprinijeli ovoj nesreci:_x000D_
-	Uzroku nesrece doprinijele su vremenske prilike (kiša) i nedovoljno dobro održavanje kolosijeka tj. to što trava na industrijskom kolosijecima nije bila pokošena, zbog cega je bio smanjen koeficijent trenja izmedu kotaca i tracnica te je to produljilo zaustavni put manevarskog sastava. _x000D_
-	Težini nesrece je doprinijelo to što stojeci vagoni u radionici nisu bili osigurani od samo pokretanja te su se zbog siline udarca pokrenuli i uradili u vagon koji je bio postavljen na dizalicu. 
Factors which have contributed to this accident:_x000D_
_x000D_
-The factors that contributed to this accidents are the weather condition( rain), and the inadequate maintenance of the track, given that the grass on the industrial tracks was not mowed, and that’s why the coefficient of friction was reduced between the rails and the wheels and extended the time of stopping the maneuvering structure._x000D_
-The fact that contributed to the seriousness of the accident was that the standing wagons on the workline were not secured from the same rolling stock due to the force of the kick-start and happened in the wagon which was set on the crane.</t>
  </si>
  <si>
    <t>HR-4132</t>
  </si>
  <si>
    <t>Train derailment, 11-09-14, Plain track between Labin Dalmatinski and KaÅ¡tel Stari (Croatia)</t>
  </si>
  <si>
    <t>On the track M604 (Oštarije -Split) during a ride of the passenger train No 523 between the station Labin Dalmatian and Kastel Stari, the train hits a landslide and derailed. 
Dana 11.09.2014. godine tijekom vožnje brzog vlaka 523 prugom M604 (Oštarije -Split) izmedu kolodvora Labin Dalmatinski i Kaštel Stari došlo je do iskliznuca vlaka uslijed udara u stijenu.</t>
  </si>
  <si>
    <t>Plain track between Labin Dalmatinski and KaÅ¡tel Stari</t>
  </si>
  <si>
    <t>The train hit a landslide in km 301+294 (chapter 4.5). 
nalet vlaka na odron stijena i zemlje u km 301+294 (poglavlje 4.5).</t>
  </si>
  <si>
    <t>Infrastructure manager doesn’t have a methodology for assessment of slopes from which would follow timeline and amount of works that have to be done in reinforcement of slopes (chapter 4.2 and 4.5). 
Upravitelj infrastrukture je proveo sanaciju predmetnoga pokosa nakon prethodnog odrona, medutim, zbog nepostojanja razradene metodologije vrednovanja pokosa iz koje bi proizlazio vremenski raspored i kvaliteta sanacije prije nego dode do pojave odrona, sanacija predmetnog pokosa se pokazala nedostatnom (poglavlje 4.2 i 4.5).</t>
  </si>
  <si>
    <t>CZ-4105</t>
  </si>
  <si>
    <t>Train derailment, 14-09-14, Open line between Chotovice - Prevysov stations (Czech Republic)</t>
  </si>
  <si>
    <t>Derailment of 15 freight wagons during movement of freight train No. 66399.</t>
  </si>
  <si>
    <t>Open line between Chotovice - Prevysov stations</t>
  </si>
  <si>
    <t>Direct cause: exceeding of the limits of the track buckling.</t>
  </si>
  <si>
    <t>Underlying causes:_x000D_
• failure to take effective measures to eliminate the influence of defects of track geometry on the safety of the rail operation;_x000D_
• unsatisfactory state of the railway substructure affecting the state of track geometry._x000D_
Root cause: none.</t>
  </si>
  <si>
    <t>HU-4280</t>
  </si>
  <si>
    <t>Fire in RS, 16-09-14, Szodliget (Hungary)</t>
  </si>
  <si>
    <t>The EMU (electric multiply unit) nr. 2354 pulled by the unit nr. went on fire. 
Göd és Vác állomások között a 2354 sz. vonatot továbbító 414 012 psz. motorkocsi kigyulladt.</t>
  </si>
  <si>
    <t>Szodliget</t>
  </si>
  <si>
    <t>A VB a baleset bekövetkezését az alábbi közvetlen okokra vezette vissza:_x000D_
-	a 414 012 psz. motorkocsi II- es áraminverterét tápláló simító-fojtó tekercs elégtelen hutés miatt túlhevült és ennek következtében tuz keletkezett, _x000D_
-	a felso hézagoló lamellák a tekercselés közepe felé elcsúsztak emiatt a belso légjárat keresztmetszete lecsökkent, ennek következtében elégtelen hutés alakult ki. 
The direct causes of the VB accident are the following:_x000D_
-	The second “smoothing- choking” roll of the railcar ( number 414012), which inverts electricity into the railcar, got overheated because of inadequate cooling, and fire was produced as a result,_x000D_
-	The upper shim plates moved to the center of the roll, and that’s why the internal cross-section of the internal airflow was reduced resulting in inadequate cooling</t>
  </si>
  <si>
    <t>A Vb a baleset bekövetkezését közvetetten az alábbi okokra vezette vissza:_x000D_
-	a mozdonyvezeto a bekövetkezett potenciális hibát Felsogöd megállóhelyen nem ismerte fel és vonatával továbbközlekedett anélkül, hogy az észlelt füstölés okát feltárta volna._x000D_
_x000D_
A motorkocsinak nem volt tartozéka a földelokapcsoló szekrényzár kulcs. Ezért a mozdonyvezeto a motorkocsi nagyfeszültségi berendezéseit nem tudta leföldelni. A  tuzoltásához szükséges munkaengedélyt a tuz észlelése után 71 perccel adták ki a beavatkozó tuzoltó egység részére. 
The underlying causes of the accident are the following:_x000D_
-The train driver didn’t recognize the potential error at the train-stop at Felsogöd, and the train continued to move on, without exploring the causes of the smoke that was detected_x000D_
_x000D_
The train didn’t have a “ grounding switch” locker key. Therefore, the driver couldn’t ground the high-voltage equipment of the motorcar.  The necessary work permit for the extinguishing of the fire was issued to the fire brigade 71 minutes after the fire was detected.</t>
  </si>
  <si>
    <t>CZ-4741</t>
  </si>
  <si>
    <t>Trains collision, 17-09-14, Praha-VyÅ¡ehrad passing point (Czech Republic)</t>
  </si>
  <si>
    <t>Collision of long distance passenger train No. 965 with shunting operation with consequent derailment.</t>
  </si>
  <si>
    <t>Praha-VyÅ¡ehrad passing point</t>
  </si>
  <si>
    <t>Ceské dráhy; 
MBM rail s.r.o.</t>
  </si>
  <si>
    <t>Direct cause:_x000D_
• a ride of the train No. 965 along set train route from 2. track towards 3. station track across the switch No. 12 occupied by the shunting operation._x000D_
Contributory factors:_x000D_
• the decision to set up the route for the train No. 965 from station track No. 2 (Praha-Smíchov station) towards the station track No. 3 (Praha-Vyšehrad) in contradiction with order for the traffic closure No. 63246 and with provisions of station regulation;_x000D_
• failure to abide the conditions for driving on sight by the train driver;_x000D_
• insufficient coordination among ordering party and contractor before the start of traffic closure in order to carry out the works according to the order for traffic closure No. 63246;_x000D_
• occupation of the switch No. 12 in contradiction with the order for traffic closure No. 63246 and without proper permission to the termination or interruption of shunting operation on this switch by the station dispatcher (Praha-Vyšehrad), failure to notify the signalman of this fact;_x000D_
• failure to observe the speed limit;_x000D_
• incorrectly written train order "V" for train No. 965.</t>
  </si>
  <si>
    <t>Underlying cause:_x000D_
• failure to observe technological procedures of infrastructure manager for activity at shunting operation and for detection free train route._x000D_
Root cause: none.</t>
  </si>
  <si>
    <t>DE-4729</t>
  </si>
  <si>
    <t>Fire in RS, 18-09-14, Neuwied (Germany)</t>
  </si>
  <si>
    <t>Güterzug 51315 wird im Bahnhof Neuwied wegen eines Brandes auf dem Autotransportwagen verladenen Autos gestellt. 
Due to a fire, the freight train 51315 is placed on the car-carrier wagon for cars in railway station Neuwied.</t>
  </si>
  <si>
    <t>Neuwied</t>
  </si>
  <si>
    <t>Bei der Untersuchung der Brandursache wurde festgestellt, dass alle Bremsen des Autotransportwagens angebremst waren. Durch die feste Bremse entstand an allen vier Radsätzen ein Funkenflug. Über den Radsätzen 1 und 3 wurde das Bodenblech auf dem die Pkw Reifen standen soweit erhitzt, dass die Reifen ihre selbst Entzündungstemperatur erreicht haben. Das Feuer entstand über dem 1. und 3. Radsatz nahezu gleichzeitig 
When investigating the cause of the fire, it came out that all the brakes of the car carrier trailer had been applied. Due to the fixed brake, flying sparking occurred on all four wheelsets. Above the wheelsets 1 and 3, there was a bottom plate on which the car tires were heated to the extent that the tires had reached their own ignition temperature. The fire originated almost simultaneously above the 1st and 3rd wheelsets.</t>
  </si>
  <si>
    <t>HR-4226</t>
  </si>
  <si>
    <t>Level crossing accident, 18-09-14, Krapina (Croatia)</t>
  </si>
  <si>
    <t>On the level crossing in the center of Krapina city, commuter train collided with truck which was carrying dangerous goods (acid). Acid spilled, thus endangering the environment. People was evacuated within the 60 meter perimeter. 
Na ŽCP u centru grada Krapine vlak je naletio na kamion koji je prevozio opasni teret (kiselinu i lužinu). Zbog prolijevanja opasnog tereta mjesto dogadaja je izolirano, te je evakuiranp stanovništvo u krugu od 60 m.</t>
  </si>
  <si>
    <t>Krapina</t>
  </si>
  <si>
    <t>Izravni uzrok ove nesrece je prolazak teretnog motornog vozila preko željeznicko-cestovnog prijelaza (ŽCP) za vrijeme aktivnosti uredaja za signaliziranje prolaska vlaka na ŽCP. 
Direct cause of the accident was passing a truck on railway crossing (ŽCP) during activity of signaling device of a train on the level crossing</t>
  </si>
  <si>
    <t xml:space="preserve">Cimbenici koji su pridonijeli ovoj nesreci su:_x000D_
•	Zbunjujuca i komplicirana prometna signalizacija na samom ŽCP-u, _x000D_
•	Specificna konfiguracija terena i ceste na ŽCP-u koja je mogla odvuci pažnju vozaca cestovnog motornog vozila sa svjetlosne signalizacije koja je oznacavala nailazak vlaka na ŽCP_x000D_
•	Loša preglednost ŽCP-a strojovodi koji upravlja vlakom iz pravca Ðurmanca. 
</t>
  </si>
  <si>
    <t>RO-4188</t>
  </si>
  <si>
    <t>Level crossing accident, 19-09-14, Valea Seaca (Romania)</t>
  </si>
  <si>
    <t>Collision of passanger train no.1753 with a heavy truck passing the level crossing secured by automatic sound and light signal system</t>
  </si>
  <si>
    <t>Valea Seaca</t>
  </si>
  <si>
    <t>Cauza directa a producerii acestui accident o constituie nerespectarea de catre conducatorul vehiculului rutier a semnificatiei semnalelor acustice si optice emise de instala?ia SAT de la trecerea la nivel cu calea ferata. 
Direct cause of the accident is the non-compliance by the road vehicle driver with the accoustic and optical signals of SAT (automatically signaling system without barriers) equipment from the level crossing.</t>
  </si>
  <si>
    <t>Nu au fost identificate 
None</t>
  </si>
  <si>
    <t>UK-4290</t>
  </si>
  <si>
    <t>Accident to persons caused by RS in motion, 22-09-14, Hest Bank between Carnforth and Lancaster. (United Kingdom)</t>
  </si>
  <si>
    <t>A near-miss incident involving a group of nine track workers who were working on the West Coast Main Line, south of Hest Bank between Carnforth and Lancaster. The incident occurred at about 14:23 hrs on Monday 22 September 2014._x000D_
The group, comprising contract staff and a controller of site safety employed by Network Rail, were packing ballast under sleepers on the up main line on a small bridge. A lookout operated warning system (LOWS) was being used to give warning of approaching trains because the gang’s view was restricted by curvature of the line. This system is designed to allow lookouts to signal the approach of a train by operating two toggle switches on a LOWS lookout unit. This then transmits a radio signal to a LOWS static unit which then gives both visual and audible warnings._x000D_
On the afternoon of the near-miss, the LOWS equipment was being operated by two Network Rail lookouts, one on each side of the site of work and each equipped with a LOWS lookout unit. The lookout watching for trains on the up line was located 780 metres (approximately 0.5 mile) from the site of work, in a position which gave him a good view of trains approaching from the north. The static unit was located near the track workers. The LOWS is reported to have been both tested and operating normally prior to the incident._x000D_
At about 14:23 hrs, a train, the 12:12 hrs Edinburgh to Manchester Airport service, approached the site from the north (on the up line). The group were provided with no advance warning that the train was approaching and were forced to take immediate evasive action when the train first became visible, approximately four seconds before it reached the site of work. Some staff were unable to reach a safe position and pressed themselves against the bridge parapet. The train was travelling at an estimated 80 mph (129 km/h) as it passed the group at a location where the maximum permitted speed is 125 mph (201 km/h).</t>
  </si>
  <si>
    <t>Hest Bank between Carnforth and Lancaster.</t>
  </si>
  <si>
    <t>The workgroup did not receive a warning of the train before it arrived at the site of work (paragraph 54).</t>
  </si>
  <si>
    <t>The incident occurred due to a combination of the following causal factors:_x000D_
a. It is possible that the Lookout operated the operator vigilance switch instead of the warning activation switches (paragraph 58; no recommendation due to action taken, paragraph 116)._x000D_
b. It is possible that the Lookout forgot about the need to send a warning after delaying his response because of the extended sighting distance available (paragraphs 65 and 103; no recommendation due to action taken, paragraph 120)._x000D_
c. It is probable that the Lookout’s vigilance had degraded (paragraph 72, Recommendation 1). _x000D_
Underlying factors_x000D_
106 The underlying factors were:_x000D_
a. It is possible that incorporating recent human factors research into the lookout’s role would have avoided the incident (paragraph 78, Recommendation 2)._x000D_
b. LOWS was vulnerable to a single point failure by one person (paragraph 86, Recommendation 2).</t>
  </si>
  <si>
    <t>UK-4291</t>
  </si>
  <si>
    <t>Electric shock, 23-09-14, Sutton Weaver, Cheshire (United Kingdom)</t>
  </si>
  <si>
    <t>Electric shock</t>
  </si>
  <si>
    <t>The accident occurred at about 19:00 hrs on 23 September 2014 on the line from Crewe to Liverpool. The driver was slowing his train on the approach to a signal which was displaying a red aspect when he observed a damaged section of overhead line and stopped his train before reaching it. He reported the damage to the signaller before leaving the cab of his train. Shortly afterwards the driver came close to, or made contact with, part of the damaged overhead line that was hanging down but still energised. He received a severe electric shock and was seriously injured.</t>
  </si>
  <si>
    <t>Sutton Weaver, Cheshire</t>
  </si>
  <si>
    <t>The immediate cause of the accident was the driver coming close to, or making contact with, live, low hanging OLE</t>
  </si>
  <si>
    <t>The causal factors were:_x000D_
a. the auxiliary wire had broken and was hanging down (paragraph 67); _x000D_
b. the auxiliary wire was live (paragraph 63); and _x000D_
c. the driver left the cab and came close to, or made contact with the live auxiliary wire (paragraph 68)._x000D_
Underlying factors _x000D_
a. Network Rail OLE inspections did not include detailed examination of the condition of the auxiliary wire strands within protective sleeves to identify wire strand breakage or fatigue precursor indications possibly present on the wire and/or the sleeve (paragraph 109, Recommendation 1); and_x000D_
b. the train driver left the train when the OLE was known to be damaged and was still electrically live (paragraph 109, Recommendation 2).</t>
  </si>
  <si>
    <t>RO-4187</t>
  </si>
  <si>
    <t>Train derailment, 9/24/2014, Diakovo - Halmeu border stations (Romania)</t>
  </si>
  <si>
    <t>The rear wagon from the freight train no. 48651/3651 derailed on the open line between Diakovo and Halmeu border stations.</t>
  </si>
  <si>
    <t>Diakovo - Halmeu border stations</t>
  </si>
  <si>
    <t>Cauza directa a producerii acestui accident o constituie escaladarea firului exterior a curbei de catre roata nr.5 a vagonului nr.52623642 la o distanta de 7,6 metri înainte de vârful inimii de încalecare-descalecare nr.2 ca urmare a maririi raportului dintre forta conducatoare si sarcina ce actionau pe roata atacanta (roata nr.5), depasindu-se astfel limita de stabilitate la deraiere. Cresterea raportului dintre forta conducatoare si sarcina ce actionau pe roata atacanta a fost generata de:_x000D_
?	abaterile peste limitele admise prin reglementarile specifice constatate la nivelului transversal al liniei, abateri ce au condus la torsionari mari ale liniei si, implicit, la descarcarea puternica de sarcina a rotii atacante (roata nr.5);_x000D_
?	grosimea buzei rotii nr.5 aflata sub limita minima admisa prin Regulamentul de utilizare a vagoanelor de marfa in trafic international (PGV), fapt ce a condus la cresterea unghiului de atac al rotii nr.5 în raport cu sina si, implicit, la cresterea fortei de conducere. 
Direct cause_x000D_
The direct cause of the accident occurrence is the climbing of the exterior rail curve by the wheel no. 5 of the wagon no. 52623642 at a distance of 7,6 m before the switch crossing nose (for separating gauge) no. 2, following the increasing of the ratio between the creep force and the load which acted on the leading wheel (wheel no. 5), exceeding the derailment stability limit. The increasing of the ratio between the creep force and the load which acted on the leading wheel was generated by:_x000D_
?deflections over the admitted limits of the specific regulations found at the cross level of the line, deflections which led to big twist of the line and, implicit, at the strong load transfer of the leading wheel (wheel no. 5);_x000D_
?the thickness of the flange of the wheel no. 5 was under the minimum limit admitted by the Rules of Reciprocal Use of Wagons in International Traffic (PGV), fact which led to the increasing of the leading angle of the wheel no. 5 in relation with the rail and, implicit, to the increasing of the creep force.</t>
  </si>
  <si>
    <t>Cauze subiacente:_x000D_
1.	Mentinerea vagonului nr.52623642 în compunerea trenului nr.3651/48651 si îndrumarea acestuia din statia Diacovo (UZ) în conditiile în care grosimea rotii nr.5 de la acest vagon era sub limita impusa prin Regulamentul de utilizare a vagoanelor de marfa în trafic international (PGV)._x000D_
2.	Mentinerea în cale a traverselor necorespunzatoare, pe zona curbei aferente inimii de încalecare – descalecare nr. 2, traverse ce au fost constatate ca necorepunzatoare la recensamântul din anul 2013._x000D_
_x000D_
Cauze primare: _x000D_
Nu au fost identificate cauze primare. 
Underlying cause_x000D_
_x000D_
1.	The keeping of wagon no. 52623642 in the train no. 3651/48651 and its ordering in the station Diacovo (UZ) in the conditions in which the thickness of the wheel no. 5 from this wagon was under the limit imposed by the Rules of Reciprocal Use of Wagons in International Traffic (PGV)._x000D_
2.	The keeping in the track of non-corresponding sleepers, in the curve area afferent to switch crossing nose (for separating gauge) no. 2,  sleepers which were found as non-corresponding at the census from 2013._x000D_
_x000D_
Root cause_x000D_
_x000D_
None</t>
  </si>
  <si>
    <t>ES-4324</t>
  </si>
  <si>
    <t>Trains collision, 26-09-14, Between Santa María de la Alameda (Madrid) and Las Navas del Marqués (Ávila) (Spain)</t>
  </si>
  <si>
    <t xml:space="preserve">A relief locomotive collided with the breakdown freight train. 
</t>
  </si>
  <si>
    <t>Between Santa María de la Alameda (Madrid) and Las Navas del Marqués (Ávila)</t>
  </si>
  <si>
    <t>; 
CONTINENTAL RAIL</t>
  </si>
  <si>
    <t>The accident is caused by human failure of train driver, in particular for breaching of article 141.1 of Operation Manual as he failed to comply with the running at sight prescriptions</t>
  </si>
  <si>
    <t>ES-4325</t>
  </si>
  <si>
    <t>Spad, 26-09-14, Barcelona Estación de Francia (Barcelona) (Spain)</t>
  </si>
  <si>
    <t>Empty stock overtook exit signal S1/14 of Barcelona Estación de Francia station causing a near miss train collision</t>
  </si>
  <si>
    <t>Barcelona Estación de Francia (Barcelona)</t>
  </si>
  <si>
    <t>The incident is caused by human failure of driver, more precisely by a mistake when perceiving the state of signal S1/14 - it was indicating a stop aspect but the driver stated he noticed it was indicating authorised overtook. As a contributory factor, a lack of clarity and the consequent misunderstanding between the traffic manager and the driver</t>
  </si>
  <si>
    <t>DE-4697</t>
  </si>
  <si>
    <t>Fire in RS, 28-09-14, Laurenburg (Germany)</t>
  </si>
  <si>
    <t>Due to strong smoke emissions, DPN 25582 has been transferred to the bogie at the platform. 
DPN 25582 wurde mit starker Rauchentwicklung am ersten Drehgestell am Bahnsteig gestellt.</t>
  </si>
  <si>
    <t>Laurenburg</t>
  </si>
  <si>
    <t>vectus Verkehrsgesellschaft mbH</t>
  </si>
  <si>
    <t>Als Auslöser konnte ein Lagerschaden am rechten Radsatzlager der zweiten Achse des führenden Drehgestells festgestellt werden. Der Lagerschaden wurde offenbar durch sich_x000D_
nacheinander aus den Gewinden lösende Befestigungsschrauben der Druckkappe verursacht. Grund für das Lösen der Schrauben war vermutlich ein sich verminderndes Anzugs- Drehmoment der Schrauben aufgrund eines Montagefehlers (verminderte Vorspannung der Druckkappe durch Nachsetzung der Lagerinnenschalen). 
As a trigger, a bearing damage to the right wheelset bearing of the second axis of the leading bogie has been identified. The bearing damage was apparently caused by successively loosening of the threads fixing screws of the pressure cap. The reason for the loosening of the screws was presumably a decreasing tightening torque of the screws due to a mounting error (reduced preload of the pressure cap due to the reduction of the bearing inner shells).</t>
  </si>
  <si>
    <t>UK-4293</t>
  </si>
  <si>
    <t>Train derailment, 02-10-14, Porthkerry, Vale of Glamorgan, South Wales (United Kingdom)</t>
  </si>
  <si>
    <t>At about 02:30 hrs, the last two wagons of a loaded freight train (reporting number 6B81) derailed on the Down line between Porthkerry No. 1 Tunnel and Porthkerry Viaduct. The train comprised a class 66 locomotive pulling 21 loaded coal wagons and was en-route from Avonmouth to Aberthaw power station._x000D_
The derailed wagons were dragged to a stand causing extensive track damage over a distance of about 80 metres. The driver, who was uninjured, discovered that the last two wagons were derailed when walking back to inspect his train.</t>
  </si>
  <si>
    <t>Porthkerry, Vale of Glamorgan, South Wales</t>
  </si>
  <si>
    <t>The left rail broke up as the train was passing over it (paragraph 64).</t>
  </si>
  <si>
    <t>The causal factors were:_x000D_
a) The rail contained an inherent defect present since manufacture (paragraph 66). _x000D_
b) The inherent defect in the rail was not discovered when the rail was recycled to the site in 2008. This causal factor arose because of one of the following:_x000D_
i. The VLS defect was not present (paragraphs 81 to 85 and 119);_x000D_
ii. The VLS defect was too small to be detected (paragraphs 86 to 88 and _x000D_
119); or_x000D_
iii. The rail was not tested (paragraphs 89 and 119). _x000D_
c) The rail was not replaced before it collapsed (paragraph 90). This causal _x000D_
factor arose due to a combination of the following:_x000D_
i. The visual inspection intended to identify VLS in pre-1976 rails was not carried out (paragraphs 91 to 92, Recommendation 3)._x000D_
ii. The regular visual track inspections did not find the defect (paragraphs 93 to 100, Recommendations 1 and 2)._x000D_
iii. The VLS was not confirmed following earlier UTU testing (paragraphs 101 to 104, Recommendation 2)._x000D_
iv. Once discovered, the defect was not identified as requiring urgent attention (paragraphs 105 to 113, Recommendation 2).</t>
  </si>
  <si>
    <t>DK-5316</t>
  </si>
  <si>
    <t>Level crossing accident, 03-10-14, Overkørsel 30 - Ruds Vedby (Denmark)</t>
  </si>
  <si>
    <t>Pedestrian ignored the barriers and walked right in front of the comming train. 
Fodgænger passerede uden om sænkede bomme og blev ramt af det kommende tog</t>
  </si>
  <si>
    <t>Overkørsel 30 - Ruds Vedby</t>
  </si>
  <si>
    <t>Regionstog A/S</t>
  </si>
  <si>
    <t>Regionstog</t>
  </si>
  <si>
    <t>Inattention from the pedestrian</t>
  </si>
  <si>
    <t>BG-4284</t>
  </si>
  <si>
    <t>Level crossing accident, 10/9/2014, LC at km 5+375 in the Volujak-Sofia inter-station section. (Bulgaria)</t>
  </si>
  <si>
    <t>At 14:05 hrs on 09.10.2014, train No 10997 run by  locomotive No 55-078 (solo) of the Bulgarian State Railways – Cargo Transport hit a road vehicle passing through the level crossing at km 5+375 in the Voluyak-Sofia inter-station section by raised up (in vertical position) LC barrier beans and deactivated road signalization. In result of the accident, one passenger traveling in the car was killed and its driver was injured. The car was smashed and minor damages were caused to the locomotive and the RI. _x000D_
The movement of trains through the railway section was prohibited from 14:05 to 17:00 hrs on line no 1 and to 17:25 hrs on line no 2 due to implementation of investigation activities by the police and NIB.</t>
  </si>
  <si>
    <t>LC at km 5+375 in the Volujak-Sofia inter-station section.</t>
  </si>
  <si>
    <t>Not activated Level crossing barrier beans and road signalization while securing the train No. 10997 passing through the LC due to lack of communication between the duty traffic manager at Voluyak station and the LC guard at Obelya halt.</t>
  </si>
  <si>
    <t>While ensuring the movement of train No 10997, the duty traffic managers at Voluyak and Sofia stations violated the basic requirements of the normative acts governing the safety of movement for acceptance and dispatch of trains at the two stations as follows:_x000D_
_x000D_
1. The duty traffic manager-first person at Voluyak station violated art. 99 (1), (2), (3) and (4), art. 101, art. 142 (1) and art. 347 (1) from the ”Rules of train operation and shunting activity in the rail transport“ (RTOSA);_x000D_
2. The duty traffic manager-first person at Sofia station-central post, western region violated art. 142 (1) of the RTOSA.</t>
  </si>
  <si>
    <t>BE-4281</t>
  </si>
  <si>
    <t>Spad, 10-10-14, Schaerbeek (Belgium)</t>
  </si>
  <si>
    <t>Passenger train passed signal at danger at a railway station grid followed by a face to face encounter with another passenger train. 
SPAD d'un train de voyageurs dans un grill de gare suivi d'un nez à nez avec un autre train de voyageurs</t>
  </si>
  <si>
    <t>Schaerbeek</t>
  </si>
  <si>
    <t>Le conducteur n'adapte pas la vitesse du train lors du passage au signal avertisseur 
The driver does not adjust the speed of the train when passing the warning signal</t>
  </si>
  <si>
    <t>ES-4499</t>
  </si>
  <si>
    <t>Train derailment, 11-10-14, Sestao siding (Vizcaya) (Spain)</t>
  </si>
  <si>
    <t>Freight train partially derailed at Sestao siding. No personal damages.</t>
  </si>
  <si>
    <t>Sestao siding (Vizcaya)</t>
  </si>
  <si>
    <t>TRACCIÓN RAIL</t>
  </si>
  <si>
    <t>The most probable hypothesis is that the derailing was caused by the sum of different factors, factors that can´t be considered “the cause” separately, but acting together have a synergic effect on the vehicle dynamic, resulting in the derailing.</t>
  </si>
  <si>
    <t>DE-4301</t>
  </si>
  <si>
    <t>Train derailment, 20/10/2014, Eisenach (Germany)</t>
  </si>
  <si>
    <t xml:space="preserve">Am 20.10.2014 entgleiste gegen 19:16 Uhr die Zugfahrt RB 16335 des Eisenbahnverkehrs-unternehmens DB Regio AG auf der Fahrt von Eisenach nach Halle (Saale) Hauptbahnhof im Bahnhof (Bf) Eisenach bei der Ausfahrt aus Gleis 403.
Der Bf Eisenach erstreckt sich von km 163,140 bis km 166,400 der vom Eisenbahninfra-strukturunternehmen DB Netz AG betriebenen zweigleisigen elektrifizierten Hauptbahn Halle (Saale) Hauptbahnhof – Bf Baunatal-Guntershausen, die im Verzeichnis der örtlich zulässigen Geschwindigkeiten (VzG) mit der Nummer 6340 geführt wird. Die Strecke durfte gemäß VzG im Bf Eisenach mit einer Geschwindigkeit von 120 km/h befahren werden und war für einen Bremsweg von 1.000 m ausgelegt. Sie war mit punktförmiger Zugbeeinflussung und digitalem Zugfunk Global System for Mobile Communications – Rail ausgerüstet. Der Fahrweg des Zuges ist im nachfolgenden Lageplan dargestellt. Zum Zeitpunkt des Ereignisses fanden im Bf Eisenach Baumaßnahmen statt, die im Rah-men von fünf Betriebs- und Bauanweisungen (Betra) realisiert wurden. Im Bf Eisenach durfte die VzG-Strecke 6340 aufgrund der Baumaßnahmen nur mit 40 km/h befahren werden. In Umsetzung der Betra F 42 0853 14 entstand im Verbindungsgleis zwischen den Weichen 21W327 und 21W326 eine Gleislücke von ca. 30 cm, in der die Zugfahrt RB 16335 entgleiste.
Der Betrieb im Bf Eisenach wurde vom zuständigen Fahrdienstleiter (Fdl) im elektronischen Stellwerk Eisenach nach den Regularien der Richtlinie (Ril) 408 – Züge fahren und Rangieren – durchgeführt.
</t>
  </si>
  <si>
    <t>Bf Eisenach</t>
  </si>
  <si>
    <t>DB Regio Aktiengesellschaft</t>
  </si>
  <si>
    <t>Personen wurden weder verletzt noch getötet. Es entgleisten vier Wagen und es entstan-den Sachschäden.</t>
  </si>
  <si>
    <t>Die Zugfahrt RB 16335 befuhr das Verbindungsgleis zwischen den Weichen 327 und 326, das wegen noch nicht beendeter Bauarbeiten eine Gleislücke von ca. 30 cm aufwies und daher nicht befahrbar war. Der zuständige Fahrdienstleiter hatte den Fahrweg für die Zugfahrt, trotz einer angeordneten Sperrung der Weichenverbindung 327/326, eingestellt. Der technisch Berechtigte hatte bei der Befahrbarkeitsmeldung für die Gleise 301 und 302 nicht gefordert, dass die Weichenverbindung 327/326 gesperrt bleiben müsse.</t>
  </si>
  <si>
    <t>HU-4455</t>
  </si>
  <si>
    <t>Level crossing accident, 20-10-14, Tatabánya - Környe (Hungary)</t>
  </si>
  <si>
    <t>A train collided with a bus, at a good working level crossing. One passenger on the bus died.</t>
  </si>
  <si>
    <t>Tatabánya - Környe</t>
  </si>
  <si>
    <t>HU-4321</t>
  </si>
  <si>
    <t>Train derailment, 21-10-14, Ostffyasszonyfa (Hungary)</t>
  </si>
  <si>
    <t>The passenger train became derailed on the first point of the station, the signaling system worked correctly 
Az állomásra behaladó személyvonat az állomás elso váltóján kisiklott. A biztosítóberendezés jól muködött.</t>
  </si>
  <si>
    <t>Ostffyasszonyfa</t>
  </si>
  <si>
    <t>UK-4454</t>
  </si>
  <si>
    <t>Train derailment, 23-10-14, Heworth (Gateshead) (United Kingdom)</t>
  </si>
  <si>
    <t>The derailment of a freight train that happened at around 15:20 hrs on 23 October 2014, near Heworth, on the approach to Newcastle upon Tyne, on the railway line from Sunderland._x000D_
_x000D_
The train comprised a class 66 locomotive and 25 two axle cement tank wagons, which were empty. It was travelling at a speed of around 51 mph (82 km/h) when the tenth wagon derailed just after passing through Heworth station. The maximum permitted speed for this train on this section of railway line was 60 mph (97 km/h)._x000D_
_x000D_
The train driver was unaware of the derailment and the train continued with the wagon running derailed for a distance of around 1.5 miles (2.4 km) causing damage to the track and signalling equipment. The signaller became aware of the possibility of a derailment through damage to the signalling equipment and placed a signal back to red in front of the train. Accordingly, the driver brought the train to a stand just before Park Lane junction, and after being asked to examine the train by the signaller, reported back that one wagon had derailed. No one was injured as a result of this accident.</t>
  </si>
  <si>
    <t>Heworth (Gateshead)</t>
  </si>
  <si>
    <t>The leading left-hand wheel of PCA wagon 10769 climbed onto the head of the rail and derailed (paragraph 43).</t>
  </si>
  <si>
    <t>The causal factors were:_x000D_
a. The wheel on the leading right-hand corner of wagon 10769 was not sufficiently damped due to a worn damper pad in its suspension, which made the leading left-hand wheel on the wagon susceptible to unloading when responding to changes in vertical track geometry (paragraph 46; see also Bordesley Junction recommendation 2 (paragraph 185)). This causal factor arose due to one of the following factors: _x000D_
i. It is possible that a damper pad that was already close to the wear limit was installed at the last VIBT examination (paragraph 63, Recommendation 1); or_x000D_
ii. It is probable that a problem with the alignment of the leading wheelset within its suspension caused excessive damper pad wear while also increasing the propensity of the wagon to derail (paragraph 67, Recommendation 1)._x000D_
b. The ballast on the approach to the point of derailment on the Down Sunderland line was heavily contaminated with slurry, resulting in wet beds and vertical track geometry faults that required maintenance action, including a cyclic top defect which should have resulted in the imposition of an emergency speed restriction (paragraph 74). This causal factor arose due to a combination of the following factors:_x000D_
For the emergency speed restriction:_x000D_
i. A 30 mph (48 km/h) emergency speed restriction was not applied for a cyclic top defect on the Down Sunderland line at Heworth, which allowed train 6S26 to pass over the cyclic top at up to its maximum speed of 60 mph (97 km/h) (paragraph 78; see also Gloucester recommendation 2 (paragraph 192))_x000D_
For the cyclic top defect:_x000D_
ii. Water was present in and under the track bed (paragraph 85, Recommendation 2)._x000D_
iii. The wet beds and resulting vertical track geometry faults at Heworth were repeatedly found by the track inspection regime, but other than mandated reactive repairs in response to faults reports from track geometry recording trains, no repairs were planned or took place (paragraph 97, Recommendations 3 and 4; see also Santon recommendation 7 (paragraph 177))._x000D_
iv. The limited amount of reactive repair work that took place at Heworth was done to sign off reported track geometry faults, which had to be completed within a short timescale, but these repairs were ineffective _x000D_
(paragraph 113, Recommendations 4 and 5; see also Gloucester recommendation 2 (paragraph 192))._x000D_
v. The track at Heworth had not been renewed in 2013 as intended and the mitigations identified following this track renewal shortfall were not carried out (paragraph 119, Recommendations 4 and 5)._x000D_
The underlying factors were:_x000D_
a. The Newcastle Track Section Manager’s team was unable to cope with the amount of track maintenance work it had to do (paragraph 128, Recommendation 4). This underlying factor arose due to a combination of _x000D_
the following factors:_x000D_
i. Reduced numbers of staff over a prolonged period affected the amount of preventative track maintenance that was carried out (paragraph 133)._x000D_
ii. Changes to the safe systems of work used for protecting staff carrying out track maintenance affected the amount of work that was carried out (paragraph 144)._x000D_
iii. Restrictions on gaining access to the track in the Heworth area affected the amount of track maintenance that was carried out at this location (paragraph 150)._x000D_
iv. Changes to track inspection increased the workload of the Newcastle Track Section Manager organisation (paragraph 153)._x000D_
b. Network Rail’s management processes for audit and self-assurance did not identify that the Newcastle Track Section Manager organisation was not complying with Network Rail’s processes for track maintenance _x000D_
(paragraph 157, Recommendation 5).</t>
  </si>
  <si>
    <t>UK-4377</t>
  </si>
  <si>
    <t>Trains collision with an obstacle, 26-10-14, Watford Tunnels (United Kingdom)</t>
  </si>
  <si>
    <t>A collision between a train and the door of a lineside equipment cabinet within Watford tunnel on Sunday 26 October 2014. The accident occurred at approximately 07:20 hrs, and involved the 06:42 hrs service from Milton Keynes to London Euston, operated by London Midland._x000D_
The train comprised a four-car class 350 electric multiple unit and was travelling at 88 mph when the door of the cabinet struck the underframe of the third coach of the train. The impact caused the cabinet door to become detached and it subsequently hit the side of the tunnel and then a door on the rear coach of the train. This caused significant damage to the train door and penetrated the window, causing some small glass debris to enter the passenger compartment. Fortunately, there were no injuries reported by anyone travelling on the train.</t>
  </si>
  <si>
    <t>Watford Tunnels</t>
  </si>
  <si>
    <t>London Midland</t>
  </si>
  <si>
    <t>One of the doors of Cabinet A opened to become foul of the up fast line, most likely as a result of aerodynamic forces, as train 2K00 passed through the tunnel (paragraph 31).</t>
  </si>
  <si>
    <t>The causal factors were:_x000D_
a. The right-hand door of Cabinet A was probably left closed but unsecured when the work undertaken during the engineering possession was completed. This causal factor arose due to a combination of at least two of the following factors (factors ii and iii); factors i and iv may also have been causal:_x000D_
i. the task lighting may have been inadequate, making it difficult for the testers to see that the door had been left unsecured (paragraphs 37 to 39, Learning point 1, Recommendation 1);_x000D_
ii. the method of work adopted for testing made it more likely that a door would be left unsecured (paragraphs 40 to 43, no recommendation);_x000D_
iii. no-one was allocated the responsibility for checking that the doors had been closed and secured on completion of the work (paragraphs 44 to 50, see paragraphs 98(ii), 99, Learning point 1 and Recommendation 2); and_x000D_
iv. the testers may have been suffering from fatigue, increasing the probability of an error being made (paragraphs 51 to 57, _x000D_
Recommendation 3). _x000D_
b. The cabinet was positioned such that an open door could be struck by a train (paragraph 58, see paragraph 98(i) and Recommendation 4)._x000D_
Underlying factors_x000D_
96 The risk arising from an open cabinet door being struck by a train was not identified and appropriately mitigated (paragraph 70). This was due to a combination of the following factors:_x000D_
a. the risk arising from the use of the cabinet in the specific environment of Watford Tunnel was not assessed and mitigated (paragraphs 72 to 77, Learning point 2); and_x000D_
b. the cabinet itself had not been subject to a generic risk assessment when the design was modified for its use in Watford Tunnel (paragraphs 78 to 87, see paragraph 100 and Learning point 2, Recommendations 5 and 6)._x000D_
97 A possible underlying factor was that Siemens had not fully implemented its policy on managing the risk from fatigue (paragraph 88, Recommendation 3).</t>
  </si>
  <si>
    <t>DE-4385</t>
  </si>
  <si>
    <t>Trains collision, 29-10-14, Hagen Vorhalle (Germany)</t>
  </si>
  <si>
    <t>Im Rangierdienst entgleiste ein leerer Güterwagen mit einer Achse. Diese entgleiste Achse wurde bei der Zuguntersuchung übersehen. Bei der späteren Zugfahrt entgleisten 4 Wagen im anschließenden Weichenbereich. 
During shunting, an empty freight wagon with one axis derailed. The derailed axis had not been noticed during the train inspection. During a later train journey, 4 wagons derailed in the near turnout area.</t>
  </si>
  <si>
    <t>Hagen Vorhalle</t>
  </si>
  <si>
    <t>Die Ursache der Zugentgleisung liegt in der vorherigen Entgleisung eines Güterwagens im Rahmen der Zugbildung. Ohne, dass die Entgleisung erkannt wurde, fuhr Zug 52201 aus dem Bahnhof aus und entgleiste anschließend im Weichenbereich. 
The train derailment had been caused by the previous derailment of a freight wagon during the train composition. The derailment not being recognized, the train 52201 left the railway station and then derailed in the turnout area.</t>
  </si>
  <si>
    <t>DE-4386</t>
  </si>
  <si>
    <t>Train derailment, 30-10-14, Dahlbruch (Germany)</t>
  </si>
  <si>
    <t>Bei der Einfahrt nach Gleis 4 entgleiste der Güterzug auf der Weiche 17. 
During the entry on rail track 4, the freight train derailed on track switch 17.</t>
  </si>
  <si>
    <t>Dahlbruch</t>
  </si>
  <si>
    <t>betriebliche Fehlhandlung Fahrdienstleiter 
operational error of train dispatcher</t>
  </si>
  <si>
    <t>RO-4323</t>
  </si>
  <si>
    <t>Train derailment, 30-10-14, Toplet - Baile Herculane stations (Romania)</t>
  </si>
  <si>
    <t>The first three wagons of the passenger train no. 1691 derailed on the open line between Toplet and Baile Herculane stations.</t>
  </si>
  <si>
    <t>Toplet - Baile Herculane stations</t>
  </si>
  <si>
    <t>Direct cause of the accident was the hit of the active surface of the rail head from the exterior track  of the curve by a heavy machine with one of its constructive part, when it crossed over the level crossing km 400+190, between the railway stations Tople? and Baile Herculane, it leading to the vertical twisting of the rail, detachment of the parts  for the fastening of the rail base on the metallic plates and exit of the rail base from the rebates of the metallic plates. As a result, the track gauge could not be kept between tolerances yet, the exceeding of the maximum values under the action of the dynamic stresses generated in the track by the rolling stock in motion, led to the fall of the wheels from the first wagon inside the track, involving in the derailment the first bogie of the second and third wagons. 
Cauza directa a producerii accidentului o constituie lovirea fe?ei active a ciupercii ?inei firului exterior al curbei de catre un utilaj greu cu una din par?ile sale constructive, în momentul traversarii trecerii la nivel de la km 400+190 dintre H.m. Tople? ?i sta?ia CFR Baile Herculane, fapt care a condus la torsionarea în plan vertical a ?inei, cedarea elementelor de fixare a talpii ?inei de placile metalice ?i ie?irea talpii ?inei din rebordurile placilor metalice. Ca urmare, ecartamentul caii nu mai putea fi men?inut în toleran?e, depa?irea valorii maxime sub ac?iunea for?elor dinamice induse caii de materialul rulant în mi?care determinând caderea în interiorul caii a ro?ilor primului vagon, care a antrenat în deraiere primul boghiu al celui de al doilea ?i al treilea vagon.</t>
  </si>
  <si>
    <t>. Root causes_x000D_
Lack in the regulation framework, respectively in the Instruction for the performance of overhaul track works no.302/1986 and in the technical provisions from the File for organization on the periodical repair no.3243/2014, of clear stipulations on the way to continue the road in line area, after each technological packing of sleepers within the periodical repairs performed in the area of the level crossing. 
Cauze primare_x000D_
Inexisten?a în cadrul de reglementare, respectiv în Instructia pentru executarea lucrarilor de repara?ie radicala a liniei de cale ferata nr.302/1986 ?i în prescrip?iile tehnice din Dosarul de organizare a lucrarilor de RPc nr.3243/2014, a precizarilor clare referitoare la modul de realizare a continuita?ii drumului pe zona caii ferate, dupa fiecare buraj tehnologic din cadrul lucrarilor RPc executat pe zona trecerilor la nivel.</t>
  </si>
  <si>
    <t>UK-4378</t>
  </si>
  <si>
    <t>Runaway, 01-11-14, Raven Crossing (United Kingdom)</t>
  </si>
  <si>
    <t>At around 21:40 hrs on 1 November 2014, a pair of special trolleys (known as ‘ironmen’) were being used to transport a 16 metre (52 foot) length of rail, weighing approximately 0.9 tonnes, from an access point at Gwaun-Cae-Gurwen to Raven level crossing. While the ironmen were in transit they ran out of control for a distance of more than five miles along the Garnant Branch line. Two track-workers travelled with the runaway ironmen (one on each) as far as Raven level crossing, where they shouted a warning to four colleagues who were in the process of removing road panels from the level crossing, before jumping off. As a result of this warning the men working on the level crossing were able to move away shortly before the ironmen ran through their site of work. One of the men who had travelled with the ironmen required hospital treatment for injuries he sustained when he jumped clear; there were no other injuries. _x000D_
The ironmen subsequently ran through three further road crossings (two of which were automatically operated) and two footpath crossings before they had slowed sufficiently for a Network Rail manager to be able to stop and secure them near the town of Ammanford. The ironmen were not equipped with lights._x000D_
Reports indicate that the runaway occurred during a period of intense rainfall._x000D_
Network Rail documents show the average gradient of the line between Gwaun-Cae-Gurwen and Raven level crossing as being 1 in 40. The RAIB observes that the gradient of the line is not uniform and that it therefore exceeds 1 in 40 for parts of this distance._x000D_
A second pair of ironmen, which was being used to transport a similar load, was following the first pair. The three track-workers who were with these ironmen struggled to retain control of them, but eventually succeeded and brought their load to Raven level crossing as planned.</t>
  </si>
  <si>
    <t>Raven Crossing</t>
  </si>
  <si>
    <t>The track workers were unable to control the speed of the rig on the descent towards Raven level crossing (paragraph 42).</t>
  </si>
  <si>
    <t>Causal factors_x000D_
118 The causal factors were:_x000D_
a. The task planning for the work at the level crossing had not adequately mitigated the risk from use of the ironmen on the gradient (paragraph 45, Recommendation 1)._x000D_
b. The responsibilities of the ‘person in charge of the trolley’ were not carried out (paragraph 52, Recommendation 2)._x000D_
c. The speed of the rig was not sufficiently controlled to prevent a runaway (paragraph 59, Recommendation 2)._x000D_
d. The brakes on the ironmen were unable to control the speed of the rig (paragraph 66, Recommendations 3, 4 and 5). This causal factor arose due to a combination of the following:_x000D_
i. The brake springs fitted to the leading ironman were incapable of delivering the specified torque (paragraph 69, Recommendation 3)._x000D_
ii. There was insufficient slack in the brake cables of the runaway ironmen (paragraph 77, Recommendations 3 and 6)._x000D_
iii. Application of the CoP0018 maintenance brake test by Torrent Trackside did not identify probable poor brake performance (paragraph 82, Recommendations 3 and 6)._x000D_
iv. The effectiveness of the brakes was reduced by pad wear due to the long gradient and their continual use to control the speed of the loaded ironmen (paragraph 90, Recommendation 3)._x000D_
v. The effectiveness of the brakes may have been reduced due to the presence of water and leaf contamination (paragraph 92, Recommendation 3)._x000D_
Underlying factor_x000D_
119 None of the relevant standards, codes of practice or manufacturer’s instructions define whether the brake fitted to manually propelled plant may be used to control the speed of such plant on gradients (paragraph 98, Recommendations 3 and 4).</t>
  </si>
  <si>
    <t>BE-4363</t>
  </si>
  <si>
    <t>Trains collision, 03-11-14, Linkebeek (Belgium)</t>
  </si>
  <si>
    <t>On Monday, November 3, 2014 at 13:30, a few meters from the stop point of Linkebeek, the E2163 passenger train SNCB was struck by the Z93709 locomotive belonging to Infrabel._x000D_
 This collision caused the evacuation of 41 passengers and around 20 were slightly injured. 
Le lundi 3 novembre 2014 vers 13h30, à quelques mètres du point d'arrêt de Linkebeek, le train de voyageur E2163 de la SNCB a été heurté par la locomotive Z93709 appartenant à Infrabel. _x000D_
Cette collision a nécessité l'évacuation de 41 voyageurs dont 16 blessés et selon les informations disponibles, cinq d'entre eux seraient des blessés graves.</t>
  </si>
  <si>
    <t>Linkebeek</t>
  </si>
  <si>
    <t>Société nationale des Chemins de fer belges; 
Infrabel</t>
  </si>
  <si>
    <t>Manque d'adhérence des véhicules ferroviaires sur les rails 
Lack of grip rail vehicles on rails</t>
  </si>
  <si>
    <t>L'Organisme d'Enquête a identifié 3 causes indirectes :_x000D_
- l’absence de nettoyage des voies dans la pente, ayant permis l’encrassement des voies et l’accumulation de cet encrassement,_x000D_
- l’absence du signalement par les conducteurs au gestionnaire de l’infrastructure des problèmes d’adhérence rencontrés plus tôt ce jour-là,_x000D_
- l’identification tardive de l’importance des problèmes d’adhérence durant les heures et jours précédant l’accident._x000D_
_x000D_
Comme cause sous-jacente, l’Organisme d’Enquête pointe une identification incomplète des risques associés au danger d’une mauvaise adhérence, notamment les risques d’une collision suite à des problèmes d’adhérence lors d’un freinage (en descente). 
The Survey Organization has identified three indirect causes:_x000D_
- The lack of cleaning channels in the slope, which allowed the fouling of channels and accumulation of such fouling,_x000D_
- The lack of reporting by drivers to the infrastructure manager adhesion problems met earlier that day,_x000D_
- The late identification of the importance of adherence problems during the hours and days preceding the accident._x000D_
As underlying cause, the Agency of Investigation advanced incomplete identification of risks associated with the risk of poor adherence, including the risk of collision due to adhesion problems when braking (downhill) .</t>
  </si>
  <si>
    <t>NO-4375</t>
  </si>
  <si>
    <t>Train derailment, 03-11-14, Eidsvoll station, Dovrebanen (Norway)</t>
  </si>
  <si>
    <t>Freight train 5932 derailed with 3 wagons in point no. 7 at Eidsvoll station on Dovrebanen</t>
  </si>
  <si>
    <t>Eidsvoll station, Dovrebanen</t>
  </si>
  <si>
    <t>Because of a faulty connection, points no V007 were set to the wrong track, even though it was possible for the traffic controller to give clearance for driving onto track 1 from the north.</t>
  </si>
  <si>
    <t>HU-4471</t>
  </si>
  <si>
    <t>Broken axles, 04-11-14, Dombóvár (Hungary)</t>
  </si>
  <si>
    <t>Train No. 63871-2 derailed  - caused by broken axle of 34 th. carrige. 
A 63871-2 sz. tehervonat 34. kocsija tengelycsaptörés következtében kisiklott.</t>
  </si>
  <si>
    <t>Dombóvár</t>
  </si>
  <si>
    <t>A VB a baleset bekövetkezését az alábbi közvetlen okokra vezette vissza:_x000D_
-	a 31 55 5977 357-3 psz. kocsi menetirányát tekintve az elso tengelye vezetetlenné vált, az 5 sz. tengelycsap törése következtében,_x000D_
-	a tengelycsonk törése a ciklikusan ismétlodo mechanikai igénybevétel okozta kifáradási folyamat következménye. 
The direct causes of the VB accident are the following :_x000D_
-	Due to the breaking of the wheelseat nr 5, the first axis of the wagon nr 31 55 5977 357-3 became unguided in the direction of the wagon,_x000D_
-	The snag of the axis is the result of the fatigue process caused by the cyclic repetition of the mechanical stress</t>
  </si>
  <si>
    <t>RO-4353</t>
  </si>
  <si>
    <t>Train derailment, 04-11-14, Merisor-Crivaddia (Romania)</t>
  </si>
  <si>
    <t>the fourth wagon from the rear of the freight train no.23815 derailed in open line between Merisor and Crivadia stations</t>
  </si>
  <si>
    <t>Merisor-Crivaddia</t>
  </si>
  <si>
    <t>Direct Cause _x000D_
The direct cause of the railway accident was the fall between the tracks of the left wheel (wheel  no.7) from the guiding axle of the wagon no.81536655216-5, the 29th of the freight train no.23815. It happened beacause the unsuitable technical condition of the track superstructure, corroborated with the fact that the guiding axle of this wagon had the distance between the inner faces of the tyres under the limit imposed by the specific regulations in force. 
Cauza directa _x000D_
Cauza directa a producerii accidentului feroviar o constituie caderea între firele caii a ro?ii din partea stânga (roata nr.7) a osiei conducatoare de la vagonul nr.81536655216-5, al 29-lea din compunerea trenului de marfa nr.23815. Acest lucru s-a produs în conditiile în care starea tehnica a suprastructurii caii era necorespunzatoare, coroborat cu faptul ca osia conducatoare a acestui vagon avea distanta între fetele interioare ale bandajelor rotilor sub limita impusa de reglementarile specifice în vigoare.</t>
  </si>
  <si>
    <t>Underlying causes_x000D_
-	unsuitable maintenance of the track superstructure in the derailment area, it being confirmed by the keeping in operation of the wooden sleepers whose failures imposed their replacement;_x000D_
-	unsuitable maintenance of the wagon no. 81536655216-5, reflected by the non-identification during the intermediary technical inspection RTI (RR/RIF) of the failure existing at the axle corresponding to the wheels 7-8 and namely, the distance between the inner faces of the tyres under the limit imposed by the Regulations for Railway Technical Operation no.002/2001. _x000D_
_x000D_
Root causes_x000D_
-	non-application of the provisions of the Instruction for the maintenance of the lines no. 300/1982, associated to the operational procedure code PO SMS 0-4.07 „Compliance with the technical specifications, standards and requirements  relevant within the whole life cycle of the lines in the maintenance process”, part of the safety management system of CNCF “CFR” SA,  it being confirmed by the under-sizing of the staff from the district L6 Banita;_x000D_
-	lack in the railway norm code NF 67-006:2011 of a provision that, for the intermediary technical inspection of wagons, to compel the disassembling of the axles and lifting of wagons equiped with disc-wheels and tyres, it making more difficult the measurement of the sizes of these axle types and leading to the measurement failures. 
Cauze subiacente _x000D_
-	mentenan?a necorespunzatoare a suprastructurii caii în zona producerii deraierii, fapt confirmat de men?inerea în exploatare a traverselor de lemn ale caror defecte impuneau înlocuirea acestora;_x000D_
-	mentenan?a necorespunzatoare a vagonului de marfa nr.81536655216-5, manifestata prin neidentificarea cu ocazia efectuarii reviziei tehnice intermediare RTI (RR/RIF) a defectului existent la osia corespunzatoare rotilor 7-8 si anume, distanta între fetele interioare ale bandajelor rotilor sub limita impusa de Regulamentul de Exploatare Tehnica Feroviara nr.002/2001. _x000D_
_x000D_
Cauze primare_x000D_
-	neaplicarea prevederilor Instructiei de întretinere a liniilor ferate nr. 300/1982, document asociat al procedurii operationale cod PO SMS 0-4.07 „Respectarea specificatiilor tehnice, standardelor si cerintelor relevante pe întreg ciclul de viata a liniilor în procesul de întretinere”, parte a sistemului de management al sigurantei al CNCF “CFR” SA, fapt confirmat  de subdimensionarea personalului districtului L6 Banita;_x000D_
-	lipsa din normativul feroviar cod NF 67-006:2011 a unei prevederi care, în cazul reviziei tehnice intermediare a vagoanelor de marfa, sa oblige la dezlegarea osiilor si ridicarea vagonului si în cazul vagoanelor dotate cu osii cu roti disc si bandaje, fapt ce a facut mai dificila masurarea dimensiunilor acestor tipuri de osii si a condus la erori de masurare.</t>
  </si>
  <si>
    <t>SE-4436</t>
  </si>
  <si>
    <t>Other event, 04-11-14, Strömtorp (Sweden)</t>
  </si>
  <si>
    <t>Two trains met each other at Strömtorp station. The trains ended up in the same train route due to a connection in the interlocking plant.</t>
  </si>
  <si>
    <t>Strömtorp</t>
  </si>
  <si>
    <t>Svenska Tågkompaniet AB; 
SJ AB</t>
  </si>
  <si>
    <t>National rules imposed by implementing of the Safety Directive 2004/49/EC</t>
  </si>
  <si>
    <t>Den omedelbara orsaken till tillbudet var en felaktig funktion i ställverket i Strömtorp. Felaktigheten bestod i att upplåsningskretsen för tågväg från signal 21 till signal 31, var felaktigt konstruerad på ett sätt som medförde, att för tåg med kortare längd än ca 100 m låses tågvägen upp på ett alltför tidigt stadium av tågets passage över tågvägen. 
The immediate cause of the incident was an incorrect operation of the switchyard. The misstatement consisted of the fact that the train path back circuit from signal 21 to signal 31 was incorrectly constructed in such a way that, for trains with a length of less than 100 m, the train is locked up in a too early stage of train passage over the train path.</t>
  </si>
  <si>
    <t>Bakomliggande orsaker låter sig knappast fastställas efter tjugo år, men brister kan ha funnits i beställning av omkonstruktionen, i själva konstruktionsarbetet och i granskningen av det utförda arbetet. Vid ibruktagandebesiktningen har inte alla ombyggda tågvägar provats. 
The underlying causes are unlikely to be defined after twenty years, but shortcomings may have existed in the design of the conversion, the design of the works and the examination of the work carried out. The placing in service survey has not all tested all reconstructed paths of the train.</t>
  </si>
  <si>
    <t>ES-4493</t>
  </si>
  <si>
    <t>Level crossing accident, 09-11-14, Between Calañas and Los Milanos (Huelva), PK 130+742 (Spain)</t>
  </si>
  <si>
    <t>A car, with two people in, is knocked down by a train when the former was crossing through the level crossing, type A. As a result, the occupant died.</t>
  </si>
  <si>
    <t>Between Calañas and Los Milanos (Huelva), PK 130+742</t>
  </si>
  <si>
    <t>The accident had its origing when the car crossed the LC while train 17907 was approaching to it</t>
  </si>
  <si>
    <t>HR-4708</t>
  </si>
  <si>
    <t>Train derailment, 10-11-14, Sisak, luka (Croatia)</t>
  </si>
  <si>
    <t>Shunting locomotive derailed on industrial railway track 
Manevarska lokomotiva je iskliza tijekom vožnje po teretnom kolosijeku</t>
  </si>
  <si>
    <t>Sisak, luka</t>
  </si>
  <si>
    <t>Izravni uzrok ove nesrece je vožnja manevarske lokomotive po spojnom kolosijeku, koji povezuje kolosijeke 16t i 17t, koji je zbog lošeg stanja kolosijecne grade trebao biti zatvoren za promet. Predmetni kolosijek je pod težinom lokomotive promijenio geometriju stoga je došlo do iskliznuca vozila (poglavlje 8.2.). 
The direct cause of this accident is running of a shunting locomotive on the truck that was closed for traffic due bad conditions of the truck (chapter 8.2.).</t>
  </si>
  <si>
    <t>Organizacijski cimbenici: Željeznicki prijevoznik se nije pridržavao usmeno dogovorenih odredbi o organizaciji prometa na kolosijecima na podrucju Pristaništa i skladišta, prema kojoj je dio kolosijeka trebao biti zatvoren za promet. Navedena organizacija nije bila upisana u Poslovni red kolodvora Sisak (poglavlje 8.2). Upravitelj infrastrukture nije adekvatnim znakovima obilježio kolosijeke koje je zatvorio za promet, takoder, nakon zatvaranja dijela kolosijeka nije provjeravao kako se obavlja manevriranje na predmetnom dijelu kolosijeka (poglavlje 7.4.2). 
Underlying Factors: Railway undertaking did not obey traffic flow verbally arranged with infrastructure manager (chapter 8.2). Infrastructure manager didn’t marked closed truck with appropriate signs and conduct any control or inspection of the traffic on closed trucks (chapter 7.2).</t>
  </si>
  <si>
    <t>PT-4418</t>
  </si>
  <si>
    <t>Other event, 10-11-14, Algueirão - Mem Martins (Portugal)</t>
  </si>
  <si>
    <t>At a station, passenger fell from a stopped train when doors opened but some vehicles were outside the platform. 
Passageiro caiu do comboio quando as portas abriram mas a carruagem onde aquele se encontrava estava parada fora da plataforma da estação.</t>
  </si>
  <si>
    <t>Algueirão - Mem Martins</t>
  </si>
  <si>
    <t>CP - Comboios de Portugal</t>
  </si>
  <si>
    <t>Passenger stepped out of the door and fell, because:_x000D_
(a) Train was stopped outside halt platform;_x000D_
(b) Door was free to be opened at an unsafe location;_x000D_
(c) Passenger impairments didn't allowed him to perceive the danger.</t>
  </si>
  <si>
    <t>(a) Design of the door command system did not take risk in consideration;_x000D_
(b) Operating procedures did not take risks in to consideration;_x000D_
(c) RU hasn't performed a risk assessment of the door command system,</t>
  </si>
  <si>
    <t>CZ-4391</t>
  </si>
  <si>
    <t>Trains collision, 11/11/2014, Petrovice u Karviné station - Odbocka Závada branch (Czech Republic)</t>
  </si>
  <si>
    <t>Collision of an auxiliary shunting rolling stock with stuck train No. 47850</t>
  </si>
  <si>
    <t>Petrovice u Karviné station - Odbocka Závada branch</t>
  </si>
  <si>
    <t>CD Cargo; 
Ostravská dopravní spolecnost</t>
  </si>
  <si>
    <t>Direct cause:_x000D_
•unauthorized movement of the auxiliary shunting rolling stock beyond the spot where it was organized and allowed._x000D_
_x000D_
Contributory factors:_x000D_
•failure to comply with condition for running on sight by train driver of the auxiliary shunting rolling stock;_x000D_
•exceeding the highest authorized speed and failure to adapt of ride to worse adhesive conditions.</t>
  </si>
  <si>
    <t>Underlying cause:_x000D_
•train driver of the auxiliary shunting rolling stock didn't watch the railway track (kilometre stones) in place ahead of the locomotive of stuck freight train properly._x000D_
_x000D_
Root cause: none.</t>
  </si>
  <si>
    <t>HR-4373</t>
  </si>
  <si>
    <t>Other event, 11-11-14, Horvati - Zdencina (Croatia)</t>
  </si>
  <si>
    <t>On Tuesday, 11.11.2014 at 06:16 hours, unsecured load on the freight wagon destroyed two track-side signals, damaged several catenary masts, and has pulled down and destroyed about 750m of electric contact wire, thus causing electrical power shutdown. Several wagons are damaged by fallen contact wire. 
Dana 11.11.2014. g u 06:13 sati na pruzi M202 na dionici Horvati-Zdencina, neosigurani teret na teretnom vlaku 61103 je potrgao vozni vod kontaktne mreže u dužini ca. 750 m, te polomio konzole na stupovima, kao i oštetio prostorne signale.</t>
  </si>
  <si>
    <t>Horvati - Zdencina</t>
  </si>
  <si>
    <t>National rules imposed by implementing of the Safety Directive 2004/49/EC; 
(a) the seriousness of the accident or incident</t>
  </si>
  <si>
    <t>izvlacenje ruke stabilizatora dizalice tijekom vožnje vlaka, koja nije bila osigurana svornjakom (poglavlje 4.5). 
The Immediate cause of this accident was exit of a “leg” of a crane (which was carried by one of the rolling stock) during the train ride (chapter 4.5).</t>
  </si>
  <si>
    <t>Željeznicki prijevoznik u svom sustavu upravljanja sigurnošcu nema propisanu proceduru kojom od pošiljatelja traži potvrdu da je teret ili dijelovi tereta dostatno pakirani i kao takvi sigurni za transport, tj. da tijekom transporta ne može doci do samopokretanja dijelova tereta (poglavlje 4.2). (poglavlje 4.2). 
Underlining factors: The Railway undertaking in its safety management system doesn't have a procedure that proscribes that owner of a load should inform RU about movable parts of the load and way of securing of its (chapter 4.2).</t>
  </si>
  <si>
    <t>HU-0012</t>
  </si>
  <si>
    <t>Level crossing accident, 11-11-14, Bátaszék (Hungary)</t>
  </si>
  <si>
    <t>At the LC nr. As515 equipped with automatic warning lights the train nr. 38715 collided with a trailer track. 
A 38 715 számú vonat az AS515 fénysorompóval biztosított útátjáróban egy pótkocsis teherautóval ütközött.</t>
  </si>
  <si>
    <t>Bátaszék</t>
  </si>
  <si>
    <t>A tehergépkocsi vezetoje a fénysorompók villogó piros jelzése mellett megállás nélkül behaladt az útátjáróba. 
The driver of the lorry got into the level crossing without a stop despite the signal of the barriers with flashing red lights</t>
  </si>
  <si>
    <t>NO-4420</t>
  </si>
  <si>
    <t>Trains collision with an obstacle, 11-11-14, Intersection between Munkedamsveien and Cort Adelers street in Oslo (Norway)</t>
  </si>
  <si>
    <t>On Tuesday 11.11.2014, about 1730 in the evening, a tram collided with a bus in the intersection between Cort Adelers street and Munkedamsveien in Oslo. There were about 40 passengers onboard the bus and the tram, whereas 13 of them were injured to various extent. The Accident Investigation Board of Norway has decided to investigate the accident both from the railway and the roadside perspective. 
Tirsdag 11.11.2014 ca. kl. 1730 kolliderte trikken med en buss i krysset Cort Adelers gate - Munkedamsveien i Oslo. Det var ca 40 passasjerer til sammen i buss og trikk, hvorav 13 ble skadet i ulik grad. Statens havarikommisjon for transport har iverksatt en undersøkelse av ulykken som vil se på problemstillinger både fra vei- og jernbanesiden.</t>
  </si>
  <si>
    <t>Intersection between Munkedamsveien and Cort Adelers street in Oslo</t>
  </si>
  <si>
    <t>Sporveien Trikken AS</t>
  </si>
  <si>
    <t>-</t>
  </si>
  <si>
    <t>CZ-4392</t>
  </si>
  <si>
    <t>Train derailment, 13-11-14, Pribyslav station (Czech Republic)</t>
  </si>
  <si>
    <t>Derailment of last wagon of freight train No. 48305.</t>
  </si>
  <si>
    <t>Pribyslav station</t>
  </si>
  <si>
    <t>Direct cause:_x000D_
• ride of rolling stock on the track with strongly muddy gravel bed. Under the load were exceeded operating anomalies of track position. _x000D_
_x000D_
A contributing factor to the amount of damage to infrastructure damage:_x000D_
• Incorrect response of the railway station dispatcher of Pribyslav who despite finding that on of the wagons has derailed, didn't use immediately the "General stop" in order to stop the train.</t>
  </si>
  <si>
    <t>Underlying causes:_x000D_
• not ensuring sufficient load-bearing capacity of track bed in places of long-term polluted and completely muddy track bed;_x000D_
• ensure appropriate and adequate quality of inspections and track maintenance at the site of the incident._x000D_
_x000D_
Root cause:_x000D_
• long-term neglect of the expansion of the above-mentioned defect caused by control system failure in the framework of safety measurement system. Due to inspections system failure wasn't the defect detected, that caused its expansion and threat the railway transport.</t>
  </si>
  <si>
    <t>DE-4387</t>
  </si>
  <si>
    <t>Trains collision, 13/11/2014, Düsseldorf Flughafen Terminal (Germany)</t>
  </si>
  <si>
    <t>Am 13.11.2014 kollidierte gegen 04:18 Uhr der Personenzug S 30601, auf der Fahrt von Köln Hbf nach Düsseldorf Flughafen Terminal, im Bahnhof (Bf) Düsseldorf Flughafen Terminal mit einem im Lichtraum des Einfahrgleises 882 stehenden Kleinwagenanhänger (Kla).</t>
  </si>
  <si>
    <t>Düsseldorf Flughafen Terminal</t>
  </si>
  <si>
    <t>Durch das Ereignis wurde eine Person leicht verletzt. Es entstanden Sachschäden an den Fahrzeugen, die auf ca. 9.000 Euro geschätzt wurden.</t>
  </si>
  <si>
    <t>Die mangelhafte Verständigung zwischen dem zuständigen Fahrdienstleiter (Fdl) und dem Triebfahrzeugführer (Tf) eines Schwerkleinwagens (Skl) löste den Eintritt des Ereignisses aus. Der Tf des Skl setzte sein Fahrzeuggespann entgegen der vom Fdl zum Rangieren vorgesehenen Fahrtrichtung in Bewegung. Dabei entgleisten beide Kla auf der stumpf befahrenen Weiche 884. Diese befand sich für die Fahrtrichtung des Skl in der falschen Stellung. Der Zug S 30601 kollidierte mit dem nun im Regellichtraum ihres Fahrweges stehenden führenden Kla des Skl.</t>
  </si>
  <si>
    <t>.</t>
  </si>
  <si>
    <t>DE-4388</t>
  </si>
  <si>
    <t>Trains collision, 13-11-14, Dillingen (Saar) (Germany)</t>
  </si>
  <si>
    <t>Regionalbahn 13765 kollidierte während der Einfahrt in Gleis 1 des Bf Dillingen (Saar) mit einem Bauzug. 
Regional train 13765 collided during the entry on rail track 1 at railway station Dillingen (Saar) with a service train.</t>
  </si>
  <si>
    <t>Dillingen (Saar)</t>
  </si>
  <si>
    <t>DB Regio Südwest GmbH</t>
  </si>
  <si>
    <t>Der Facs - Wagen der Rangierabteilung stand bei der signalmäßig durchgeführten Einfahrt des RB 13765 nach Gleis 1 nicht grenzeichenfrei auf der Weiche 78. 
The Facs-wagon of the shunting gang stood did not appear on track 1 was not on the turnout 78 on the signaling entry of the RB 13765 to track 1.</t>
  </si>
  <si>
    <t>CZ-4731</t>
  </si>
  <si>
    <t>Trains collision with an obstacle, 16-11-14, HruÅ¡ovany u Brna station (Czech Republic)</t>
  </si>
  <si>
    <t>Overhead contact line damage caused by collector of fast passenger train No. 803 locomotive and consequent bumping into damaged overhead contact line by shunting operation.</t>
  </si>
  <si>
    <t>HruÅ¡ovany u Brna station</t>
  </si>
  <si>
    <t>indeterminate and sudden damage of locomotive pantograph.</t>
  </si>
  <si>
    <t>UK-4628</t>
  </si>
  <si>
    <t>Trains collision with an obstacle, 17-11-14, Newbury (United Kingdom)</t>
  </si>
  <si>
    <t>A passenger train struck a signal that had collapsed and fallen across the track between Newbury and Newbury Racecourse stations._x000D_
_x000D_
The accident occurred at about 14:35 hrs on 17 November 2014 and involved train 1A83, the 10:41 hrs First Great Western service from Truro to London Paddington, travelling on the up line. The train struck the junction indicator attached to the head of signal T2865. The signal was attached to a metal post which was lying across the down line (the line usually used by trains travelling west) and foul of the up line. Before it collapsed, this signal post had been standing adjacent to the down line._x000D_
_x000D_
The train was travelling at approximately 110 mph (177 km/h) at the point of collision. Although the train did not derail, it did sustain exterior damage to the cab of the leading power car and a ruptured air pipe._x000D_
_x000D_
Immediately before the accident there had been no indication of a problem to the signaller because the signalling cables were still intact and the signal itself was still showing a light. A freight train had passed through the area on the down line around 15 minutes before the collision without incident._x000D_
_x000D_
The post of signal T2865 (formerly numbered R824) had last been examined in June 2014 and no defects were reported for it. However, the base of the post was hidden by ballast and corrosion at and below ground level was not detected by the examination regime. The signal head was replaced on 28 September 2014 and no issues were reported with the signal post at that time.</t>
  </si>
  <si>
    <t>Newbury</t>
  </si>
  <si>
    <t>The Up and Down Westbury lines were fouled by signal T2865 which had collapsed without the signaller being aware that this had happened (paragraph 38)</t>
  </si>
  <si>
    <t>The causal factors were:_x000D_
a. The signal collapsed because the base of the post had corroded (paragraph 41, Recommendations 1, 2 and 5). _x000D_
b. The corrosion was not detected by the routine examination regime (paragraph 52, Learning point 1 and Recommendation 3)._x000D_
c. The corrosion was not detected by additional inspections carried out as part of a resignalling project in the area (paragraph 59, no recommendation)._x000D_
d. The corrosion was not addressed through maintenance (paragraph 66, Recommendation 3)._x000D_
Underlying factors_x000D_
97 The underlying and possible underlying factors were:_x000D_
a. Network Rail’s management of ballast conditions around the bases of signal structures was ineffective (paragraph 70, Recommendation 2)._x000D_
b. There were inconsistencies in Amey’s competence management arrangements that constituted a possible underlying factor in the accident (paragraph 74, Recommendation 4)</t>
  </si>
  <si>
    <t>ES-4494</t>
  </si>
  <si>
    <t>Train derailment, 18-11-14, Tarragona Classificació station (Tarragona) (Spain)</t>
  </si>
  <si>
    <t>A freight train with eight wagons carrying dangerous goods derailed at Tarragona Classificació station. There was no leakage nor personal damages</t>
  </si>
  <si>
    <t>Tarragona Classificació station (Tarragona)</t>
  </si>
  <si>
    <t>The accident was caused by failure of infrastructure, in particular the track was open when train passed through due to sleepers and fastenings in a poor condition</t>
  </si>
  <si>
    <t>RO-4393</t>
  </si>
  <si>
    <t>Train derailment, 19-11-14, Simeria Triaj (Romania)</t>
  </si>
  <si>
    <t>the first wagon from the freight train no. 50480 derailed on the switch no. 7 from the Simeria Triaj railway station due to passed on danger  the signal YTj</t>
  </si>
  <si>
    <t>Simeria Triaj</t>
  </si>
  <si>
    <t>Ignorarea de catre personalul de locomotiva a indicatiei semnalului luminos YT al ramificatiei DELTA cu indicatia ,,OPRESTE fara a depasi semnalul !” (o unitate luminoasa de culoare rosie spre tren), prin neînsusirea corecta a ordinului de circulatie înmânat mecanicului de locomotiva la îndrumare din statia Simeria Triaj.   _x000D_
Factori care au contribuit:_x000D_
-	semnalul luminos de ramificatie YT nu a fost pus pe liber 
. Direct cause_x000D_
The locomotive staff did not comply with the position of the light signal YT of the branch line DELTA on the position ,,STOP without passing the signal on stop position !” (a light unit of red colour to the train), non-meeting properly with the train order, handed over to the driver, at the routing from the railway station Simeria Triaj.   _x000D_
Contributing factors:_x000D_
-	light signal of the branch line YT was not on clear position.</t>
  </si>
  <si>
    <t>Cauze subiacente_x000D_
1.	Nerespectarea art.23(2) coroborat cu art.21 din Regulamentul de semnalizare nr.004/2006 aprobat prin Ordinul MTCT nr.1482/2006 privind ,,indicatia semnalului luminos de ramificatie”._x000D_
2.	Nerespectarea obligatiilor personalului de locomotiva în parcurs prevazute în Instructiuni pentru activitatea personalului de locomotiva în transportul feroviar nr.201 aprobate prin Ordinul MTCT nr.2229/2006:_x000D_
-	art.127(2) - luarea masurilor impuse de observatiile efectuate în timpul parcursului, în conformitate cu reglementarile specifice în vigoare_x000D_
3.	Necomunicarea reciproca a informatiilor prin radiotelefon, cu privire la circulatia trenului, între IDM dispozitor statia Simeria si mecanicul de locomotiva, în conformitate cu art.189 din Regulamentul pentru circulatia trenurilor si manevra vehiculelor feroviare nr.005/2005 aprobat prin Ordinul MTCT nr.1816/2005 si a art.136(1)–(3) din Instructiunile pentru activitatea personalului de locomotiva în transportul feroviar nr.201 aprobate prin Ordinul MTCT nr.2229/2006. 
Underlying causes_x000D_
1.	Infringement of the art.23(2) corroborated with the art.21 from the Regulations of signaling no.004/2006 approved through the Order of the Ministry of Transports, Constructions and Tourism no.1482/2006 on ,,position of the light signal of branch line”._x000D_
2.	Non-compliance with the locomotive staff obligations, stipulated in the Instructions for the activity of the locomotive staff in the railway transport no.201 approved through the Order of the Ministry of Transports, Constructions and Tourism no.2229/2006:_x000D_
-	art.127(2) – taking the measures imposed by the observations done during the route, according to the specific regulations in force._x000D_
3.	Lack of mutual communication of information, through radio-telefon, about the train running, between the  disposing station movements inspector from the railway station Simeria and the driver, according to the art.189 from the Regulations for the train running and shunting of the railway vehicles no.005/2005 approved by Order of Ministry of Transports, Constructions and Tourism no.1816/2005 and to the art.136(1)–(3) from the Instructions for the activity of the locomotive staff in the railway transport no.201, approved by Order of Ministry of Transports, Constructions and Tourism no.2229/2006.</t>
  </si>
  <si>
    <t>CZ-4424</t>
  </si>
  <si>
    <t>Train derailment, 21-11-14, Ostrava hl. n. (Czech Republic)</t>
  </si>
  <si>
    <t>broken axle pivot of freight train No. 248253 and consequent derailment of two wagons of freight train No. 248253 at Ostrava, hl. n. station.</t>
  </si>
  <si>
    <t>Ostrava hl. n.</t>
  </si>
  <si>
    <t>Direct Cause:_x000D_
fatigue fracture of axle No. 018-801833 of wagon No. 82 51 5967 133-7 initialized by surface defects._x000D_
_x000D_
Contributory factor: _x000D_
speeding up of axle pivot rupture No. 018-801833 due to chemical structure of material (increased content of sulphur and phosphorus).</t>
  </si>
  <si>
    <t>RO-4427</t>
  </si>
  <si>
    <t>Train derailment, 23-11-14, Catusa (Romania)</t>
  </si>
  <si>
    <t>the 3 rd wagon from the rear of the freight train no. 76058 derailed on the switch no. 6CL in the railway station Catusa, on the broad gauge line</t>
  </si>
  <si>
    <t>Catusa</t>
  </si>
  <si>
    <t>Cauza directa a producerii deraierii o constituie caderea ro?ii din partea stânga a primei osii a primului boghiu al vagonului între firele caii, la deplasarea pe o zona a caii ce avea valori ale ecartamentului caii peste limita maxima admisa în exploatare, urmata de ca?ararea buzei ro?ii din partea dreapta pe suprafa?a de rulare a ?inei corespunzatoare firului exterior al curbei ?i caderea acesteia în exteriorul caii._x000D_
_x000D_
Factori care au contribuit _x000D_
-	men?inerea în cale a traverselor necorespunzatoare, care nu asigurau prinderea ?inelor si pastrarea ecartamentului în limitele admise. 
1 Direct cause_x000D_
	The direct cause of the derailment is the fall of the left wheel, from the first axle of the first bogie, in the running direction of the wagon, between the rails, on a track distance with gauge values over the maximum limit accepted in operation, followed by the overclimbing of the right wheel flange on the running surface of the rail corresponding to the out track of the curve and its fall outside the track._x000D_
          Contributing factors _x000D_
-	keeping in the track of sleepers that did not ensure the fastening of the rails and maintenance of the gauge between the accepted limits.</t>
  </si>
  <si>
    <t>-	nerespectarea prevederilor art.45 al Instructiei nr.315/1950 – Norme si tolerante mai importante pentru linii, ramificatii si poduri pentru linia cu ecartament URSS din reteaua cailor ferate române ce reglementeaza  faptul ca, la ramificatii,  traversele sa fie în stare buna si perfect burate. _x000D_
-	nerespectarea prevederilor art.28 din HG nr.2299 privind aprobarea Normelor metodologice de aplicare a prevederilor OG 60/2004, referitoare la periodicitatea verificarilor pe LFI, în sensul ca verificarea LFI statia CF Catusa se efectua anual si nu lunar. 
1 Direct cause_x000D_
	The direct cause of the derailment is the fall of the left wheel, from the first axle of the first bogie, in the running direction of the wagon, between the rails, on a track distance with gauge values over the maximum limit accepted in operation, followed by the overclimbing of the right wheel flange on the running surface of the rail corresponding to the out track of the curve and its fall outside the track._x000D_
          Contributing factors _x000D_
-	keeping in the track of sleepers that did not ensure the fastening of the rails and maintenance of the gauge between the accepted limits.</t>
  </si>
  <si>
    <t>DE-4696</t>
  </si>
  <si>
    <t>Level crossing accident, 25/11/2014, Bargteheide - Bad Oldesloe (Germany)</t>
  </si>
  <si>
    <t>RE 21429 kollidiert auf dem Bahnübergang Rolfshagen mit einem Pkw 
RE 21429 collides on level crossing Rolfshagen with a passenger car.</t>
  </si>
  <si>
    <t>Bargteheide - Bad Oldesloe</t>
  </si>
  <si>
    <t>UK-4629</t>
  </si>
  <si>
    <t>Trains collision, 27-11-14, Bryn station, between St Helens and Wigan (United Kingdom)</t>
  </si>
  <si>
    <t>Runaway of an on-track machine that occurred at Bryn station, between St Helens and Wigan, in the early hours of Thursday 27 November 2014. At the time of the accident the line concerned was closed to normal traffic and the machine was working within an engineering possession._x000D_
_x000D_
At approximately 00:10 hours, the machine, an overhead line electrification wiring vehicle, ran away and travelled approximately 100 metres before colliding with two stationary road-rail vehicles (mobile elevating work platforms). Both of the road-rail vehicles sustained severe damage and one was derailed. Two people on the road-rail vehicles and one person on the on-track machine jumped clear prior to the impact. Although no physical injuries were reported, a number of the workers were nearly struck by an elevating work platform which swung sideways due to the force of the impact.</t>
  </si>
  <si>
    <t>Bryn station, between St Helens and Wigan</t>
  </si>
  <si>
    <t>Balfour Beatty Rail Ltd</t>
  </si>
  <si>
    <t>The indirect brakes on the access unit (the DTS and the coupled access wagon)released when the operators on the work platform and basket module did not have any control over a functioning traction or brake system (paragraph 124).</t>
  </si>
  <si>
    <t>The causal factors were:_x000D_
a. The driver almost certainly left the working cab after turning on the ‘work mode on’ switch, but without opening the working air valve. This released the indirect brake without the hydraulic drive being able to engage or the working air brake being able to apply (paragraph 138)._x000D_
The RAIB has decided not to make a recommendation relating to this causal factor. It has concluded that the error was unprotected and foreseeable, and it has not identified any evidence concerning a lack of experience or understanding of the actions that needed to be taken._x000D_
b. The change management controls applied to the introduction of the wiring train did not identify the need to mitigate the risk associated with the unprotected human error (paragraph 144, Recommendations 2 and 3)._x000D_
c. Work undertaken as part of the approvals regime, to demonstrate compliance of the working brake system and the remote driving controls with technical standards, did not identify the need to mitigate the risk associated with the unprotected human error (paragraph 154). This causal factor arose due to a combination of the following:_x000D_
i. There was no assessment of compliance of the DTS, or its modifications, with current rail industry standards because it was considered to be of an established design and that the modifications that had been made to it were of a minor nature (paragraph 160, Recommendations 1, 2 and 3)._x000D_
ii. The assessment of compliance of the access wagon with current rail industry standards excluded consideration of the need for the working brake controls to be fail safe, and there was no requirement for the emergency stop pushbuttons to act on a brake that was fail safe or independent of the hydraulic drive or working brake (paragraph 165, Recommendations 2 and 3)._x000D_
iii. A review of compliance of the remote driving controls with EN13849-1 was limited to an inspection of the electrical circuits and did not result in an assessment of the overall integrity of the brake control system (paragraph 172, Recommendation 4)._x000D_
d. No risk assessment work undertaken in support of the development of the wiring train identified the need to mitigate the risk associated with the unprotected human error (paragraph 177). This causal factor arose due to a combination of the following:_x000D_
i. The risk assessment that considered the wiring train as a whole did not identify an unbraked vehicle runaway as a significant hazard (paragraph 181, Recommendation 1)._x000D_
ii. Network Rail’s product acceptance process did not challenge or report concerns with any risk assessment before it issued a Certificate of Acceptance that allowed the access unit to operate (paragraph 187, Recommendations 3 and 4)._x000D_
Underlying factors_x000D_
202 The underlying factors were:_x000D_
a. Balfour Beatty focused on a philosophy of using an existing vehicle with minimum design change. This led to it not considering the wider implications of the new use that the DTS was being put to (paragraph 192, Recommendations 2 and 3)._x000D_
b. Balfour Beatty did not follow a system-based design approach when developing the wiring train. This limited its understanding of the new use that the DTS was being put to (paragraph 194, Recommendation 2).</t>
  </si>
  <si>
    <t>CZ-4465</t>
  </si>
  <si>
    <t>Train derailment, 28-11-14, Bohumín station (Czech Republic)</t>
  </si>
  <si>
    <t>Derailment of one rolling stock of freight train No. 49792 at Bohumín station.</t>
  </si>
  <si>
    <t>Bohumín station</t>
  </si>
  <si>
    <t>Direct cause:_x000D_
_x000D_
failure to ensure the required frame rigidity on transport track No. 27 and extension of the track gauge. _x000D_
_x000D_
Contributory factor:_x000D_
_x000D_
long term permission to driving through a curve of radius 225 m without vertical drop and track transition curves, in track No. 27 at speeds over 50 km/h (10 km/h higher than allowed).</t>
  </si>
  <si>
    <t>Underlying cause:_x000D_
_x000D_
in curve with radius 225 m without vertical drop and track transition curves, in track No. 27: _x000D_
-the use of wooden rail sleepers, which between km 276,535 to 276,529 caused operability disruption of rail fastening system and frame rigidity due to time and operational wear and tear;_x000D_
-using of attachment bolts type R1, which between km 276,535 to 276,529 didn't provide a rigid connection between rail bearing-plate and sleepers as a result of corrosion damaged threads._x000D_
_x000D_
Root cause:_x000D_
_x000D_
creation of SMS system through regulations taken over from another IM, with a completely different organizational structure, scope, responsibilities of managers and employees for ensuring the security of rail transport, without harmonizing it with their own SMS elements.</t>
  </si>
  <si>
    <t>RO-4508</t>
  </si>
  <si>
    <t>Train derailment, 30-11-14, Filesti- Catusa (Romania)</t>
  </si>
  <si>
    <t>the 3-rd, 4-th and 5-th wagons from the freight train no.76052 derailed in open line, (broad gauge line) between Filesti and Catusa railway station</t>
  </si>
  <si>
    <t>Filesti- Catusa</t>
  </si>
  <si>
    <t>Direct cause_x000D_
	The direct cause of the derailment was the exceeding of the maximum limit accepted in the track gauge operation, it leading to the fall of the right wheel, in the running direction, from the guiding axle of the first bogie from the 3rd wagon of the freight train no.76052, between the rails, followed by the overclimbing by the flange of the left wheel on the running surface of the rail from the exterior track of the curve, and its fall outside the track. 
Cauza directa a producerii deraierii o constituie depasirea limitei maxime admise în exploatare a ecartamentului caii, fapt ce a determinat caderea între firele caii a ro?ii din dreapta în sensul de mers a osiei conducatoare a primului boghiu al celui de-al treilea vagon din compunerea trenului de marfa nr.76052, urmata de escaladarea buzei ro?ii corespondente din partea stânga pe suprafa?a de rulare a ?inei firului exterior al curbei ?i caderea acesteia în exteriorul caii.</t>
  </si>
  <si>
    <t>Underlying caises_x000D_
-	non-compliance with the provisions of art. 16 of the Instruction no.315/1950 – Norms and tolerances more important for the lines, line branches and bridges for the line with gauge URSS of Romanian railway network. 
Cauze subiacente_x000D_
-	nerespectarea prevederilor art.16 din cadrul Instructiei nr.315/1950 – Norme si tolerante mai importante pentru linii, ramificatii si poduri pentru linia cu ecartament URSS din reteaua cailor ferate române.</t>
  </si>
  <si>
    <t>CZ-0011</t>
  </si>
  <si>
    <t>Train derailment, 01-12-14, Pacejov - HoraÅ¾dovice predmestí (Czech Republic)</t>
  </si>
  <si>
    <t>Derailment of 15th wagon of freight train No. 67891 due to stuck bearing and consequent twisting off pivot of the freight wagon.</t>
  </si>
  <si>
    <t>Pacejov - HoraÅ¾dovice predmestí</t>
  </si>
  <si>
    <t>Direct cause:_x000D_
•technical fault, stuck bearing and consequent twisting off pivot of the freight wagon on the first axle of chassis "a" and destruction of bearing box._x000D_
Contributory factors:_x000D_
•malfunction of the hot axle indicator located at the km 322,497, line Ceské Budejovice - Plzen hl. n.;_x000D_
•dispatchers of railway stations (Pacejov and Horaždovice predmestí) did not report a potentially dangerous malfunction to the train driver even though they were alerted about and they had adequate technical means (TRS system);_x000D_
•dispatchers of stations Pacejov and Horaždovice predmestí have not made arrangements for stopping the train as quick as possible, even though they had been notified about the malfunction and they had adequate technical means.</t>
  </si>
  <si>
    <t>Underlying cause:_x000D_
•insufficient lubrication of internal bearing (PLC 410-13) front axle of chassis "a" wagon series (Falls no. 81 54 6681916-7)._x000D_
Root cause:_x000D_
• a change in the system of implementation of scheduled repairs of wagons from railway undertaking CD Cargo which has been in effect since 1. 1. 2014.The result has extended mileage of wagons between revision repairs thereby reducing the frequency of scheduled wagons maintenance.</t>
  </si>
  <si>
    <t>DE-0008</t>
  </si>
  <si>
    <t>Train derailment, 02-12-14, Borna (Germany)</t>
  </si>
  <si>
    <t>Bei der Einfahrt des Güterzuges DGS 99659 in den Bahnhof Borna entgleisten die letzten drei Wagen in der Weiche 56. 
During the entry of the freight train DGS 99659 into the railway station Borna, the last three wagons derailed on railway track 56.</t>
  </si>
  <si>
    <t>Borna</t>
  </si>
  <si>
    <t>Heavy Haul Power International GmbH</t>
  </si>
  <si>
    <t>Der Fahrdienstleiter hat in Vorbereitung der Zugfahrt eines Personenzuges aus Gleis 2, nicht wie notwendig die Weiche 55 bedient, sondern die Weiche 56 und damit die Weiche unter dem Fahrzeug umgestellt. 
When preparing the train journey of a passenger train from track 2, the train dispatcher did not operate track 55 as he should, but track 56 and therefore changed the track under the vehicle.</t>
  </si>
  <si>
    <t>DE-4698</t>
  </si>
  <si>
    <t>Level crossing accident, 02-12-14, Witten - Witten Annen Nord (Germany)</t>
  </si>
  <si>
    <t>S 31801 kollidierte auf dem ungesicherten Bahnübergang Pferdebachstraße mit einem Pkw zusammen. 
S 31801 collided at the unsecured level crossing Pferdebachstraße with a passenger car.</t>
  </si>
  <si>
    <t>Witten - Witten Annen Nord</t>
  </si>
  <si>
    <t>betriebliche Fehlhandlung Bahnübergangsposten 
operational error at crossing post</t>
  </si>
  <si>
    <t>HU-0010</t>
  </si>
  <si>
    <t>Spad, 03-12-14, Telekgerendás (Hungary)</t>
  </si>
  <si>
    <t>The passenger train stopped before a point in incorrect position. The track was occupied by a freight train. There was about 100 meters between the two trains. 
A személyvonat meghaladta a "Megállj!" állású bejárati jelzot. A kitéro irányú váltóra ráhaladt, és megállt a vágányon álló tehervonat végétol 100 méterre.</t>
  </si>
  <si>
    <t>Telekgerendás</t>
  </si>
  <si>
    <t>A mozdonyvezeto olyan jelzési képet vélt látni a bejárati jelzon, amely azon adott pillanatban nem tudott megjelenni, majd ennek a látni vélt jelzési képnek megfeleloen haladt tovább a vonattal. 
The driver thought to see a signal on the entrance marker that could not be displayed at that moment and then proceeded with the train according to this signal.</t>
  </si>
  <si>
    <t xml:space="preserve">A Szeged – Békéscsaba vasútvonalon nincs kiépítve a vonatbefolyásoló berendezés számára jelfeladás, így a vonatközlekedés lebonyolítása során a mozdonyvezetok kapcsán az emberi hibák kiküszöbölésére nincs lehetoség. 
</t>
  </si>
  <si>
    <t>RO-0015</t>
  </si>
  <si>
    <t>Fire in RS, 07-12-14, Orbeni-Faraoani (Romania)</t>
  </si>
  <si>
    <t>the locomomotive no. DHB 2001 (that doesn't hauling  the train) from the freight train no.80450 was caught fire</t>
  </si>
  <si>
    <t>Orbeni-Faraoani</t>
  </si>
  <si>
    <t>Cauza directa:_x000D_
Pozitia ,,activa" a mufei de regim a locomotivei DHF 2001, aflata în compunerea trenului în stare inactiva (în loc de pozitia ,,neutra"), care a condus la supraîncalzirea peste limita de inflamabilitate a uleiului din convertizorul de pornire al transmisiei hidraulice, spargerea carcasei convertizorului, pulverizarea uleiului aprins în interiorul cabinei de conducere si arderea echipamentelor din interiorul cabinei locomotivei._x000D_
Factori care au contribuit:_x000D_
Pregatirea necorespunzatoare a locomotivei DHF 2001 pentru a circula remorcata ?n stare inactiva, ?n corpul trenului de marfa nr.80450, de catre personalul cu atribu?ii în acest sens. 
Direct cause:  _x000D_
The „active” position of the condition coupling  from the locomotive DHF 2001, in the composition of the train, as a inactive  one, (instead of „neutral” position), that led to the overheating over the inflammability limit of the oil from the converter for the start of the hydraulic transmission, breaking of the converter cover, jetting of the heat oil inside the driving cab and burning of the locomotive cab equipments. _x000D_
Contributing factors: _x000D_
Unsuitable preparation of the locomotive DHF 2001, for its hauling as a inactive one, in the freight train no.80450, by the responsible staff.</t>
  </si>
  <si>
    <t>Cauze subiacente: _x000D_
Nerespectarea prevederilor art.36, sec?iunea a 5-a (condi?ii pentru introducerea unor vehicule feroviare în corpul trenurilor de calatori si marfa), cap. V (frânarea trenurilor) din Regulamentul de Remorcare si Frânare nr.006/2005, dupa cum urmeaza:_x000D_
•	alin.(4) referitor la modul de supraveghere a locomotivei remorcate;_x000D_
•	alin.(7) referitor la modul de aranjare si transport în compunerea trenurilor de marfa, a locomotivelor diesel cu transmisie hidraulica, fara biele de ac?ionare, locomotive care nu sunt în ac?iune si anume „numai cu mufa de regim blocata în pozitie neutra”; _x000D_
_x000D_
B.4. Cauze primare _x000D_
•	Absenta unor prevederi privind modul de manipulare a mufei de regim în con?inutul  Instructiei de Exploatare a locomotivei diesel hidraulice de 580 CP remotorizata cu motor Diesel Cummins QSX15, în forma de Power Pack, elaborata de operatorul de transport feroviar S.C. Grup Feroviar Român S.A., în proprietatea caruia se afla locomotiva;_x000D_
•	Absenta procedurii de implementare a cerintelor mentionate în Regulamentul (UE) nr.1158/2010 referitoare la identificarea riscurilor asociate operatiunilor feroviare, inclusiv cele care rezulta direct din activitatile profesionale, organizarea muncii sau volumul de lucru si activitatile altor organizatii si/sau persoane; 
Infringement of the provisions art. 36, section 5 (conditions for the inclusion of some railway vehicles in the passenger and freight trains), chapter V (train braking) from the Regulations for Hauling and Braking no.006/2005, as follows:_x000D_
•	paragraph (4) on the way to monitor the hauling locomotive ;_x000D_
•	paragraph (7) on the way to arrange and transport in the composition of the freight train the diesel-hydraulic locomotives, without operation bars, locomotives that are not in operation, that is „only with the condition coupling blocked on neutral position”; _x000D_
_x000D_
_x000D_
D.3. Root causes:_x000D_
_x000D_
•	lack of some provisions on the operation of the condition coupling in the Instruction for the Operation of diesel hydraulic locomotive of 580 HP, remotorized with engine Diesel Cummins QSX15 in form Power Pack, worked out by the railway undertaking S.C. Grup Feroviar Român S.A., that is the owner of the locomotive;_x000D_
•	lack of the procedure for the implementation of the requirements stipulated in the Regulations (UE) no.1158/2010 on the identification of the risks associated to the railway operations, including those resulted directly from the professional activities, organization of the work or the workload and the activities of other organizations and/or persons;</t>
  </si>
  <si>
    <t>FR-0061</t>
  </si>
  <si>
    <t>Wrong-side signalling failure, 09-12-14, Achères (France)</t>
  </si>
  <si>
    <t>Passenger train passes a low speed switch in diverging position without a signal warning to slow down._x000D_
Wrong side failure in the controls of the switch._x000D_
Speed of the train on the points 87 km/h instead of max speed 30 km/h._x000D_
No derailment.</t>
  </si>
  <si>
    <t>Achères</t>
  </si>
  <si>
    <t>wiring error of the control circuit of the switch n°116 not detected by testing</t>
  </si>
  <si>
    <t>Error in the wiring pattern; Incomplete testing plan by inexperienced manager</t>
  </si>
  <si>
    <t>FR-4732</t>
  </si>
  <si>
    <t>Level crossing event, 09-12-14, Montauban (France)</t>
  </si>
  <si>
    <t>Regional train hits a lorry and derails._x000D_
The road was forbidden to trucks. the truck had difficulties to cross another vehicle on the crossing and was surprised by the closing barriers and got stuck</t>
  </si>
  <si>
    <t>Montauban</t>
  </si>
  <si>
    <t>the truck driver took a route prohibited to lorries and he had difficulties to pass another lorry on the crossing. He had to stop and was surprised by the closing barriers.</t>
  </si>
  <si>
    <t>both truck drivers have not respected the prohibition on heavy goods vehicles on this route;_x000D_
narrow LC</t>
  </si>
  <si>
    <t>RO-0053</t>
  </si>
  <si>
    <t>Train derailment, 12-12-14, Filesti-Catusa (Romania)</t>
  </si>
  <si>
    <t>the 3-th, 4-th, 6-th, 7-th  and 8-th wagons from the freight train no. 76054 derailed in open line (broad gauge line) between Filesti and Catusa railway stations.</t>
  </si>
  <si>
    <t>Filesti-Catusa</t>
  </si>
  <si>
    <t>Direct cause_x000D_
	The direct cause of the derailment is the exceeding of the maximum value accepted in operation for the track gauge, it leading to the fall between the rails of the right wheel, in the running direction of the guiding axle from the first bogie of the 4th wagon of the freight train no.76054, followed by the derailment of the second axle from this bogie and the derailment of the other 4 wagons (the 3rd, 6th, 7th and 8th) from the composition of this freight train. 
Cauza directa_x000D_
	Cauza directa a producerii deraierii o constituie depasirea valorii maxime admise în exploatare a ecartamentului caii, fapt ce a determinat caderea între firele caii a ro?ii din dreapta în sensul de mers a osiei conducatoare a primului boghiu al celui de-al 4-lea vagon din compunerea trenului de marfa nr.76054, urmata de antrenarea în deraiere a celei de-a doua osii a acestui boghiu si deraierea celorlalte patru vagoane (situate al 3-lea, al 6-lea, al 7-lea si al 8-lea) din compunerea acestui tren de marfa.</t>
  </si>
  <si>
    <t>Underlying causes_x000D_
-	infringement of the provisions from the art.16 of the Instruction no.315/1950 – Norms and tolerances more important for lines, branch lines and bridges for the line with gauge URSS from Romanian railway network. 
Cauze subiacente_x000D_
-	nerespectarea prevederilor art.16 din cadrul Instructiei nr.315/1950 – Norme si tolerante mai importante pentru linii, ramificatii si poduri pentru linia cu ecartament URSS din reteaua cailor ferate române.</t>
  </si>
  <si>
    <t>AT-4691</t>
  </si>
  <si>
    <t>Accident to persons caused by RS in motion, 15-12-14, Anschlussbahn Hasslacher (Austria)</t>
  </si>
  <si>
    <t>On 15th December 2014, at a shunting ride in a siding, derailed the first two wagons during an unauthorized drive over an applied locking-shoe. The shunting employee at the head fell after the locking-shoe off the footboard of the derailed wagon, was overrun by the wagon and fatally injured._x000D_
The cause of the accident was a faulty shunting-way-observation by the fatally injured employee. 
Bei der geschobenen Verschubfahrt in der AB Hasslacher Drauland wurde der aufgelegte und abgesperrte Sperrschuh überfahren. In Fahrtrichtung der geschobenen Verschubfahrt entgleisten der erste Wagen mit allen vier Radsätzen und der zweite Wagen mit den vorlaufenden zwei Radsätzen nach rechts. Durch die Entgleisung stürzte der an der Spitze der geschobenen Verschubfahrt befindliche Mitarbeiter vom Verschieberauftritt des ersten Wagens und wurde von diesem überrollt und getötet. Ursache war das unerlaubte Überfahren eines aufgelegten und abgesperrten Sperrschuhs, der bei Dunkelheit und ohne künstliche Beleuchtung nicht erkannt wurde.</t>
  </si>
  <si>
    <t>Anschlussbahn Hasslacher</t>
  </si>
  <si>
    <t>Bei der Beistellung von Güterwagen als geschobene Verschubfahrt wurde das beim aufgelegten und abgesperrten Sperrschuh „1H“ befindliche Sperrsignal in der Stellung „WEITERFAHRT VERBOTEN“ auf Grund der Dunkelheit und fehlender künstlicher Beleuchtung nicht erkannt und unerlaubt überfahren. 
During the positioning of freight wagons at a shunting ride in a siding, the locking-shoe on the existing and blocked skid „1H“ with the indication ''DRIVING THROUGH PROHIBITED'' had not been recognized in the dark and had been overrun without authorization, due to missing artificial lightning.</t>
  </si>
  <si>
    <t>CZ-0054</t>
  </si>
  <si>
    <t>Trains collision with an obstacle, 15-12-14, Prosenice, CZE (Czech Republic)</t>
  </si>
  <si>
    <t>Collision of load of freight train No. 50232 with a main departure signal device L1 at Prosenice station, collision with technical device at Prerov station and consequent collision of regional passenger train No. 3333 with main departure signal device L 1 at Prosenice station, which created an obstacle for train No. 3333 caused by the collision with train No. 50232</t>
  </si>
  <si>
    <t>Prosenice, CZE</t>
  </si>
  <si>
    <t>Passenger train; 
Freight train</t>
  </si>
  <si>
    <t>Ceské dráhy; 
CD Cargo</t>
  </si>
  <si>
    <t>disruption of the cross-section of station track No. 2 at Prosenice station by loose 9th roll of wire loaded in the 2. layer on freight wagon (type Res 31 54 3939 681-5).</t>
  </si>
  <si>
    <t>Underlying cause:_x000D_
• use of freight wagon with the load whose storage and fixation did not meet the safe operation requirements of rail transport and loading Directive UIC;_x000D_
• the railway undertaking did not detect during security controls (since 2006), that save and load securing did not meet the requirements for the safe operation of railway transport, and Loading Directive UIC._x000D_
_x000D_
Root cause:_x000D_
• checking procedure of the correct position and securing of this specific kind of load of rolls of wire.</t>
  </si>
  <si>
    <t>FR-4694</t>
  </si>
  <si>
    <t>Trains collision, 15-12-14, Saint-Germain-des-Fossés (France)</t>
  </si>
  <si>
    <t>During a shunting movement from a siding track to the main line in station, a work train hits a stationary passenger train at approx 10 km/h._x000D_
 The driver did not see the passenger train because he was backing without visibility and without a shunter to guide the movement._x000D_
Previous to the movement, the conversation by mobile telephone between the driver and the local trafic manager was not clear enough for the driver to understand that there was a stationary train on the track he was heading to.</t>
  </si>
  <si>
    <t>Saint-Germain-des-Fossés</t>
  </si>
  <si>
    <t>Infrastructure works train; 
Passenger train</t>
  </si>
  <si>
    <t>backing  without a shunter to guide the movement. 
lack of clearness in the telephone conversation between driver and trafic manager</t>
  </si>
  <si>
    <t>HU-4616</t>
  </si>
  <si>
    <t>Spad, 16-12-14, Budapest, Rákosrendezo station (Hungary)</t>
  </si>
  <si>
    <t>An empty passenger train passed an exit signal at danger at Rakosrendezo station. The train split open a switch and stoped appr. 250 m after the exit signal. There was no traffic on the track at the time of occurrence. 
Egy szerelvényvonat meghaladta a kijárati jelzot Rákosrendezo állomáson. A vonat felvágott egy váltót, s a jelzotol mintegy 250 méterre állt meg. Az eset idején a vágányon más vonat nem közlekedett.</t>
  </si>
  <si>
    <t>Budapest, Rákosrendezo station</t>
  </si>
  <si>
    <t>Human error - Train crew - Misunderstanding a sign (a yellow aspect) at the adjacent track</t>
  </si>
  <si>
    <t>Fatigue - Train driver_x000D_
Time pressure (train was late)_x000D_
Not consistently regulated traffic rules between Istvantelek and Rakosrendezo stations (Recommendation issued)</t>
  </si>
  <si>
    <t>HU-4615</t>
  </si>
  <si>
    <t>Other event, 17-12-14, Budapest, Könyves Kálmán körút (Hungary)</t>
  </si>
  <si>
    <t>Tram has derailed with its two axles at Ferencvaros depot. The derailed vehicle closed the road traffic of the Könyves Kalman körut. 
Egy ferencvárosi kocsiszínbe behaladó villamos két tengellyel kisiklott. A siklott jármu elzárta a Könyves Kálmán körút forgalmát.</t>
  </si>
  <si>
    <t>Budapest, Könyves Kálmán körút</t>
  </si>
  <si>
    <t>Human failure - Operational error by an out of duty staff_x000D_
Technical failure - the system did not realised the occupied state of the switch and let it be switched while a vehicle was running on it.</t>
  </si>
  <si>
    <t>HU-4626</t>
  </si>
  <si>
    <t>Trains collision with an obstacle, 17-12-14, Dunai Finomító (Hungary)</t>
  </si>
  <si>
    <t>Train No. 807 collided with a sleeper-screw driver 
A vonat egy síncsavarozó géppel ütközött.</t>
  </si>
  <si>
    <t>Dunai Finomító</t>
  </si>
  <si>
    <t>A series of human errors.</t>
  </si>
  <si>
    <t>IT-4712</t>
  </si>
  <si>
    <t>Trains collision, 12/17/2014, Villadossola (Italy)</t>
  </si>
  <si>
    <t>Part of the train 51332 collides with other rolling stock of the same train during coupling</t>
  </si>
  <si>
    <t>Villadossola</t>
  </si>
  <si>
    <t>Unexpected and undue spontaneous movement of the group of six wagons, which was caused by the failure to immobilize the group of wagons</t>
  </si>
  <si>
    <t>Incorrect or superficial execution of operations to ensure the temporary immobilisation of the 6 wagons._x000D_
Incorrect or superficial execution of the operations, provided for the parking of vehicles.</t>
  </si>
  <si>
    <t>RO-4609</t>
  </si>
  <si>
    <t>Train derailment, 17-12-14, Pestis station (Romania)</t>
  </si>
  <si>
    <t>the 14-th, 15-th, 16-th and 17-th wagons from the freight train no. 29920 derailed</t>
  </si>
  <si>
    <t>Pestis station</t>
  </si>
  <si>
    <t>Cauza directa _x000D_
Cauza directa a producerii accidentului feroviar o constituie starea tehnica necorespunzatoare a traverselor de lemn care nu permitea strângerea tirfoanelor ?i fixarea placilor metalice. Acest fapt a favorizat deplasarea placilor metalice în lungul traverselor ?i implicit cre?terea valorii ecartamentului caii peste toleran?ele admise determinând caderea între firele caii a ro?ii din partea dreapta a osiei conducatoare a celui de al 14-lea vagon dupa locomotiva, urmata de escaladarea suprafetei de rulare a ciupercii sinei de pe firul exterior al curbei de catre roata din partea stânga a aceleiasi osii si caderea acesteia în exteriorul caii. _x000D_
_x000D_
Factori care au contribuit:_x000D_
-	mentenanta necorespunzatoare a suprastructurii liniei nr.2 din statia Pestis,;_x000D_
-	utilizarea de personal care nu era autorizat pentru activitatea de revizie a caii; _x000D_
-	utilizarea materialului rulant a carui sarcina pe osie depa?ea valoarea sarcinii limitei admise prin planul tehnic de exploatere al statiei; 
Direct cause _x000D_
The direct cause of the railway accident was the inadequate technical state that did not allow to fix the metal plates. This caused the moving of the metal plates along the sleepers and thus increased the tolerance between the wheels track on the right side of the axle of the 14th wagon of the train followed by the left-hand wheel of the same axle falling outside the path._x000D_
Factors that have contributed:_x000D_
-	improper maintenance of superstructure line nr.2 at Pestis station;_x000D_
-	staff not authorized to carry out maintenance activities; _x000D_
-	use of rolling stock with axle load exceeding the maximum rated axle load.</t>
  </si>
  <si>
    <t>. Cauze subiacente_x000D_
-	nerespectarea prevederilor art.25 alin.(2) din Instructia de norme si tolerante pentru constructia si întretinerea caii - linii cu ecartament normal nr.314/1989, referitor la defectele care impun înlocuirea traverselor de lemn;_x000D_
-	nerespectarea prevederilor art.125 alin.(1) si (3) din Instructiunile pentru activitatea personalului de locomotiva în transportul feroviar nr.201, aprobata prin Ordinul MTCT nr.2229/2006, referitor la respectarea vitezei maxime de circula?ie;_x000D_
-	nerespectarea Anexa II RIV, Volumul II, pct.1.6.4. ,,Metode de încarcare – Tagle de otel”, care impunea utilizarea de vagoane cu podea de lemn, cu taglele de otel asezate în straturi uniform repartizate pe latimea vagonului, cu intercalari din lemn de exenta moale ;_x000D_
_x000D_
D.3. Cauze primare_x000D_
-	neaplicarea prevederilor Instructiei privind fixarea termenelor si a ordinei in care trebuie efectuate reviziile caii nr.305/1997, Instructiei de întretinere a liniilor ferate nr. 300/1982 si Instructiei de norme si tolerante pentru constructia si intretinerea caii - Linii cu ecartament normal nr.314/1989 documente asociate la Procedura de Proces, cod PP - 63, ,,Mentenanta infrastructurii feroviare” parte a sistemului de management al sigurantei al S.C. RC – CF Trans S.R.L. Brasov, referitor la:_x000D_
-	dimensionarea necorespunzatoare a volumului de lucrari necesare între?inerii liniei;_x000D_
-	mentenan?a necorespunzatoare a infrastructurii feroviare; _x000D_
-	folosirea în activitatea de revizie tehnica a caii a personalului neautorizat pentru aceasta activitate, contrar prevederilor Ordinului MTI nr.815/2010 din 12 octombrie 2010 pentru aprobarea Normelor privind implementarea si dezvoltarea sistemului de mentinere a competentelor profesionale pentru personalul cu responsabilitati în siguranta circulatiei si pentru alte categorii de personal care desfasoara activitati specifice în operatiunile de transport pe caile ferate din România, document asociat al Procedurii de proces, cod PP - 622, ,,Competenta, instruie, autorizare”, parte a sistemului de management al sigurantei al S.C. RC – CF Trans S.R.L. Brasov; _x000D_
-	permiterea accesului pe liniile din sta?ie CFR Pesti? a materialului rulant cu sarcina pe osie mai mare decât cea admisa prin Planul tehnic de exploatare al statiei, ducând la încalcarea Regulamentului pentru circulatia trenurilor si manevra vehiculelor feroviare – nr.005/2005, document asociat la Procedura Operationala, cod PO –75-02, ,,Acces pe infrastructura feroviara”, parte a sistemului de management al sigurantei al S.C. RC – CF Trans S.R.L. Brasov. 
Underlying causes_x000D_
-	failure to comply with the provisions of art.25 alin.(2) of the instructions of the rules and tolerances for construction and maintenance of the track – of the normal gauge  nr.314/1989, for defects that require replacement of sleepers;_x000D_
-	failure to comply with the provisions of art.125 alin.(1) and (3) of the instructions to the train staff in rail transport nr.201, approved by Order MTCT nr. 2229/2006, regarding compliance with the maximum speed of movement;_x000D_
-	failure to comply with Annex II RIV, Volume II, par. 1.6.4. ,,Loading method – Steel billet”, which requires the use of wagons with wooden floor, steel with layered tiles evenly spaced across the width of wagon, with insertions of softwood;_x000D_
_x000D_
D.3. Primary causes_x000D_
-	non-application of the guidelines for setting time limits and track revisions needed according to nr.305/1997, Instructions for maintenance of railways nr. 300/1982 and Instruction of norms and tolerances for the track construction and maintenance – Standard gauge lines nr.314/1989 documents related to the procedure for trial, code PP - 63, ,,Maintenance of railway infrastructure” part of the safety management system at S.C. RC – CF Trans S.R.L. Brasov, referring to:_x000D_
-	inadequate size of the volume of work required for the maintenance line;_x000D_
-	improper maintenance of railway infrastructure; _x000D_
-	the use of technical inspection activity to track unauthorized personnel for this activity, contrary to the Order MTI MTI nr.815/2010 of 12 October 2010, approving the norms regarding the implementation and development of professional skills for the maintenance responsible for traffic safety personnel and other staff performing specific transport operations on the railways in Romania, document associated with Procedure, code PP - 622, ,, Competence, training, authorization”, part of the safety management system of SC RC - CF Trans LLC Brasov;_x000D_
-	access to the lines of Pestis railway station with rolling stock axle load greater than allowed by technical plan operating the station, resulting in violation of the Regulation for train movement and shunting railway vehicles – nr.005/2005, associate document procedure operational, code PO –75-02, ,, Access to the railway infrastructure”, part of the safety management system S.C. RC – CF Trans S.R.L. Brasov.</t>
  </si>
  <si>
    <t>RO-4614</t>
  </si>
  <si>
    <t>Train derailment, 18-12-14, Dej Triaj (Romania)</t>
  </si>
  <si>
    <t>the locomotive of the train no. 50448 derailed on the switch no.15 A from the Dej Triaj railway station</t>
  </si>
  <si>
    <t>Direct cause of the accident is the lateral thershold appeared at the insulated joint gap made of plywood, that led to the overclimbing of the left connection rail, on the “deflecting” section, by the flange of the left wheel from the guiding axle of the first bogie, in the running direction of the hauling locomotive EA 386 from the freight train no.50448, at its passing over the switch no.15A from the railway station Dej Triaj.    _x000D_
Contributing factors:_x000D_
	Broken of the plywood fish plates from the left insulated joint, on the deflecting section, that generated the appearance of a lateral thershold between the ends of the rails at the insulated joint gap. 
Cauza directa a accidentului o constituie pragul lateral format în dreptul rostului de la joanta izolanta cu eclise de lignofoliu, care a condus la escaladarea ?inei de legatura din partea stânga de pe direc?ia „abatere”, de catre buza bandajului ro?ii din partea stânga a osiei conducatoare de la primul boghiu în sensul de mers a locomotivei de remorcare EA 386 a trenului de marfa nr.50448, la circulatia acestuia peste schimbatorul de cale nr.15A din sta?ia CFR Dej Triaj.    _x000D_
_x000D_
	Factori care au contribuit:_x000D_
	Ruperea ecliselor de lignofoliu de la joanta izolanta din partea stânga de pe direc?ia „abatere” care a favorizat formarea unui prag lateral între capetele ?inelor în dreptul rostului joantei izolante.</t>
  </si>
  <si>
    <t>Underlying causes:_x000D_
     	Lack of a suitable maintenance of the insulated joint on the „deflecting” section of the switch no.15A. 
Neasigurarea unei mentenan?e corespunzatoare a joantei izolante de pe direc?ia „abatere” a schimbatorului de cale nr.15A.</t>
  </si>
  <si>
    <t>HU-4622</t>
  </si>
  <si>
    <t>Train derailment, 22-12-14, Budapest, Gubacsi út (Hungary)</t>
  </si>
  <si>
    <t>The tram has derailed on a switch by 2 axles. 
A villamos a váltón két tengellyel kisiklott.</t>
  </si>
  <si>
    <t>Budapest, Gubacsi út</t>
  </si>
  <si>
    <t>The driver did not see well the switches.</t>
  </si>
  <si>
    <t>BG-4690</t>
  </si>
  <si>
    <t>Train derailment, 12/23/2014, Zimnitsa station (Bulgaria)</t>
  </si>
  <si>
    <t>At 07:05 AM on 23.12.2014, the freight train No 30561 derailed in Zimnitsa station just after starting its movement towards Burgas station. Both the electric locomotives with no. 92034 and no. 92027 of DB Schenker property that serviced the train composition derailed with all of their bogies on rail track No. 4 at switch No. 11 of the station. _x000D_
No casualties occurred in result of the accident, but damages were caused to both the locomotives and to the infrastructure._x000D_
Due to the infrastructure restoration works, the train movement between Zimnitsa and Straldzha stations was interrupted until 18:15 hrs on 23.12.2014.</t>
  </si>
  <si>
    <t>Zimnitsa station</t>
  </si>
  <si>
    <t>DB Schenker Rail Bulgaria EOOD</t>
  </si>
  <si>
    <t>Immediate technical cause for the derailment occurred was the cross-transverse brittle breaking of the left deviation point of switch No 11.</t>
  </si>
  <si>
    <t>The breaking occurred in the rail crown as a result from created external tension concentrator and inner micro crack. The breaking developed into the core part of the rail crown as a result from the dynamic impact, which led to avalanched destruction from the crown to the rail foot. The location of the defect found was between two sleepers and two supporting wedges and that was a precondition for the horizontal displacement caused of the broken point parts.</t>
  </si>
  <si>
    <t>RO-4630</t>
  </si>
  <si>
    <t>Train derailment, 23-12-14, Ploiesti Sud (Romania)</t>
  </si>
  <si>
    <t>the 4-th, 5-th and 6-th wagon from the freight train no. 80386 derailed in ploiesti Sud railway station</t>
  </si>
  <si>
    <t>Cauza directa a producerii acestui accident o constituie escaladarea acului curb al schimbatorului de cale nr.57, în zona calcâiului acului, de catre roata atacanta nr.2 a vagonului nr.84537850017-5 ca urmare a cre?terii raportului dintre for?a conducatoare si sarcina ce ac?ionau pe aceasta roata, depasindu-se astfel limita de stabilitate la deraiere. Cre?terea a fost generata de ac?iunea combinata a urmatorilor factori:_x000D_
-	descarcarea de sarcina a ro?ii nr.2, provocata de ruperea arcului de suspensie în foi aferent fusului de osie nr.3, în condi?iile unei fisuri vechi existenta în zona de racordare a foii principale a arcului cu ochiul acesteia, care s-a amplificat în regim dinamic. _x000D_
-	apari?ia unui unghi de atac defavorabil al osiei în cale datorita depa?irii toleran?elor admise în exploatare la ecartamentul prescris pentru aparatele de cale._x000D_
		Deraierea ro?ii atacante nr.2 a vagonului nr.84537850017-5 s-a produs prin cumularea celor doi factori, respectiv ruperea foii principale a arcului ?i valoarea ecartamentului caii, niciunul dintre ace?tia neputând determina singur deraierea. 
The direct cause of the accident is the overclimbing of the curved point from the switch no.57, in the area of the heel of the points, by the first wheel no.2 of the wagon no.84537850017-5 because of the increase of the ratio between the guiding force and the load acting on this wheel, exceeding the stability limit at the derailment. The increase was generated by the combined action of the next factors:_x000D_
-	load transfer of the wheel no.2, generated by the breaking of the leaf spring afferent to the wheel no.3, in the conditions of an old crack existing at the connection between the main spring leaf and its eye, that increased in dynamic conditions. _x000D_
-	appearance of an unsuitable angle of attack, because the exceeding of the tolerances  accepted in the operation for the gauge established for the switches._x000D_
The derailment of the first wheel no.2 from the wagon no.84537850017-5 happened through the cumulation of those two factors, that is the breaking of the main spring leaf and the value of the track gauge, none of them could lead itself to the derailment.</t>
  </si>
  <si>
    <t>Cauze subiacente:_x000D_
Nu au fost identificate cauze subiacente._x000D_
_x000D_
Cauze primare: _x000D_
Lipsa unor reglementari referitoare la efectuarea de verificari, între reviziile planificate, în scopul identificarii unor defecte ascunse (care nu pot fi observate în cadrul reviziilor tehnice la trenuri) la suspensia care echipeaza vagoanele cu boghiuri tip H. 
Root causes:_x000D_
Lack of regulations on the performance of checking, between the planned inspections, for the identification of some hidden failures (that can not be observed during the train technical inspections) at the suspension of the wagons with bogies type H .</t>
  </si>
  <si>
    <t>UK-4703</t>
  </si>
  <si>
    <t>Accident to persons caused by RS in motion, 28-12-14, Heathrow Airport Tunnel at Stockley (United Kingdom)</t>
  </si>
  <si>
    <t>A train almost struck two construction workers, and collided with a small trolley, on the Up Airport line between Heathrow Airport Tunnel and the Stockley Flyover._x000D_
The incident occurred at about 10:05 hrs on Sunday 28 December 2014 and involved train 1Y40, the 09:48 hrs service from London Heathrow Terminal 5 to London Paddington. The track workers jumped clear just before the approaching train struck a small engineering trolley that they had been placing on the line. The train, formed by a Class 332 electric multiple unit, was travelling at approximately 36 mph (58 km/h) when it struck the trolley. _x000D_
The two track workers were among a large number of people carrying out construction work on the approach to a new bridge that had been recently constructed adjacent to the existing Stockley Flyover. This new structure, which carries a new railway track over the mainline from London Paddington to Reading, was built as part of the Crossrail surface works being undertaken by Network Rail._x000D_
To enable this work to take place, parts of the operational railway in and around the construction site had been closed for varying periods during the few days before the incident. The two construction workers were unaware that the Up Airport line had returned to operational use a few hours before they started to place the trolley onto this line. They formed part of an eight person workgroup which included a Controller of Site Safety (COSS). The COSS and other group members were not with the two track workers at the time of the incident. The presence of temporary fencing, intended to provide a barrier between construction activities and the operational railway, did not prevent the two track workers accessing the open line._x000D_
Network Rail owned the infrastructure at the site of the accident and had employed Carillion Construction as the Principal Contractor for the construction works. The two track workers and the COSS were all employed by sub-contractors.</t>
  </si>
  <si>
    <t>Heathrow Airport Tunnel at Stockley</t>
  </si>
  <si>
    <t>The site supervisor and trackworker A placed a trolley on the Up Airport line when unaware that it was open to traffic (paragraph 96).</t>
  </si>
  <si>
    <t>The causal factors were:_x000D_
a. The information provided to the site supervisor did not prevent him from deciding it was safe to move the temporary fencing separating him from a line open to traffic and place the hand trolley on the open line (paragraph 98, Recommendation 3)._x000D_
b. The workgroup and COSS B were routinely using railway safety and access arrangements which they knew were not compliant with the site safety system (paragraph 101, Learning point 2, Recommendation 1). This factor is demonstrated by:_x000D_
l COSS B did not always provide a safety briefing, and did not complete his SSoW pack, according to the site safety system (paragraph 103);_x000D_
l COSS B did not lead the conversation with the site supervisor in a way which ensured that they both understood the intended use of the hand trolley (paragraph 106);_x000D_
l COSS B was not with his workgroup and some members of this group continued to work in this situation (paragraph 107);_x000D_
l workers were using an unapproved route to access the flyover (paragraph 110); and_x000D_
l neither the site safety system, nor non-technical skills training given to COSS B, prevented the workgroup becoming accustomed to unsafe working practices (paragraph 111)._x000D_
The underlying factors were:_x000D_
a. Site safety supervision processes did not identify that deviation from the site safety system had become normal practice (paragraph 115, Recommendations 1 and 2)._x000D_
b. Carillion site management had not used available opportunities to mitigate risks associated with changes to railway protection arrangements (paragraph 128, Recommendation 3).</t>
  </si>
  <si>
    <t>CZ-4689</t>
  </si>
  <si>
    <t>Trains collision, 30-12-14, Poricany station (Czech Republic)</t>
  </si>
  <si>
    <t>Unauthorized movement of a regional passenger train No. 9329 past the signal device S1 with the signal “Stop”, entrance on the railway route set for long distance passenger train No. 983 with the consequent collision of the trains and derailment.</t>
  </si>
  <si>
    <t>Poricany station</t>
  </si>
  <si>
    <t>Direct cause:_x000D_
• failure to respect the signal “stop” of the main signal S1 at the Porícany station by the train driver._x000D_
Contributory factors:_x000D_
• the absence of technical equipment at Porícany station that would prevent the train from passing the signal at danger;_x000D_
• failure to respect station dispatcher's instructions given to the driver of train No. 9326.</t>
  </si>
  <si>
    <t>Underlying cause:_x000D_
• train driver did not comply with the technological procedures of RU and IM for shunting operation and departure of train the No. 9326 by the train driver._x000D_
Root cause: none.</t>
  </si>
  <si>
    <t>HU-4688</t>
  </si>
  <si>
    <t>Train derailment, 30-12-14, Budapest, Móricz Zsigmond körtér (Hungary)</t>
  </si>
  <si>
    <t>A villamos elso forgováza kisiklott 
The tram derailed with the first boogie.</t>
  </si>
  <si>
    <t>Budapest, Móricz Zsigmond körtér</t>
  </si>
  <si>
    <t>DK-5308</t>
  </si>
  <si>
    <t>Level crossing accident, 06-01-15, Gråsten (Denmark)</t>
  </si>
  <si>
    <t>Level crossing accident, pedestrian killed 
Person ramt af tog i overkørsel 35, Havnegade, Gråsten station</t>
  </si>
  <si>
    <t>Gråsten</t>
  </si>
  <si>
    <t>Uopmærksomhed hos fodgænger ved passage af jernbanen. 
Inattention of the pedestrian crossing the railway</t>
  </si>
  <si>
    <t>HU-4692</t>
  </si>
  <si>
    <t>Train derailment, 06-01-15, Budapest, Tímár u. (Hungary)</t>
  </si>
  <si>
    <t>The 5th waggon of the train has derailed by 2 axles. 
A vonat ötödik kocsija 2 tengellyel kisiklott.</t>
  </si>
  <si>
    <t>Budapest, Tímár u.</t>
  </si>
  <si>
    <t>Bad condition of the train and the track</t>
  </si>
  <si>
    <t>NO-4702</t>
  </si>
  <si>
    <t>Wrong-side signalling failure, 06-01-15, Atna station (Norway)</t>
  </si>
  <si>
    <t>At 17:57 on Tuesday 6 January 2015, the driver and the head conductor of train 2387 observed an abnormal signal at Atna station on the Røros line. The driver and head conductor have explainedthat they saw that the main departure signal N was green (proceed) for a period of around ten seconds, at the same time that the pre-signal for this signal showed 'expect stop' and the informationin the driver's cab showed 'expect stop'. During this period, an oncoming train was on its way to Atna from the opposite direction, from Hanestad._x000D_
_x000D_
The incident itself did not lead to a dangerous situation, because, as was explained, the signal that showed green went back to red before train 2387 had reached the platform at Atna station._x000D_
_x000D_
However, the logs from the signalling system did not show the same situation as described by the driver and the head conductor. According to the log, the signalling system worked as intended, and the log states that the signal was red during the period in which it was reported as being green._x000D_
_x000D_
As the driver and the head conductor were certain about their observations of an incorrect green light, this has led to uncertainty concerning the safety function of the signalling system. The Accident Investigation Board Norway (AIBN) has therefore conducted a series of checks in order to find an explanation for the observation._x000D_
_x000D_
A comprehensive review of the documentation and analyses of the NSB-87 signalling system have been carried out, in addition to inspections and tests of the signalling system at Atna. This is described in the report and pertaining appendices._x000D_
_x000D_
There are four main theories that may explain the incident: an optical illusion that resembled a green light, sabotage, human error in the form of misinterpretation, or a technical fault in the signalling system. It is the technical element of the signalling system that has been the main focus of this investigation._x000D_
_x000D_
The AIBN has not found any basis in the documentation or the tests conducted that can explain the situation described by the driver and the head conductor. All the tests conducted have shown that the signalling system works as intended._x000D_
_x000D_
The driver and the head conductor are certain about their observations, and this has weighed heavily in this investigation. The AIBN cannot say for certain what caused the ambiguous signal observed by the driver and the head conductor of train 2387 at Atna station on 6 January 2015._x000D_
_x000D_
_x000D_
This report is in Norwegian only. English summary is included._x000D_
_x000D_
No safety recommendation is issued in connection with this investigation. 
Tirsdag 6. januar 2015 kl. 1757 observerte fører og ombordansvarlig i tog 2387 et unormalt signalbilde på Atna stasjon på Rørosbanen. Fører og ombordansvarlig har forklart at de så at utkjørhovedsignal N lyste grønt (kjør) i en periode på ca. 10 sekunder, samtidig som forsignalet for dette signalet viste «forvent stopp» og informasjon i førerrommet viste «forvent stopp». I denne perioden var det et motgående tog, som kom fra Hanestad, på vei til Atna fra motsatt ende._x000D_
_x000D_
Hendelsen i seg selv førte ikke til en faresituasjon, da det ble forklart at signalet som viste grønt gikk tilbake til rødt, før tog 2387 hadde kommet frem til plattformen på Atna stasjon. _x000D_
_x000D_
Loggene fra signalanlegget viste imidlertid ikke samme situasjon som fører og ombordansvarlig beskrev. I følge loggen har signalanlegget fungert som det skal, og det fremkommer i loggen at signalet har lyst rødt i den perioden det ble rapportert om grønt lys._x000D_
_x000D_
Ettersom fører og ombordansvarlig har vært sikre på sine observasjoner av feilaktig grønt lys, har dette medført usikkerhet rundt sikkerhetshetsfunksjonen til signalanlegget. Havarikommisjonen har derfor gjennomført en rekke undersøkelser for å finne en forklaring på observasjonen. _x000D_
_x000D_
En omfattende gjennomgang av dokumentasjon og analyser av signalanlegg av typen NSB-87 er utført, i tillegg til befaringer og tester av signalanlegget på Atna. Dette er beskrevet i rapporten, og tilhørende vedlegg._x000D_
_x000D_
Det er fire hovedteorier som er vurdert å kunne forklare hendelsen, en optisk illusjon som har lignet på grønt lys, sabotasje, menneskelig svikt i form av feiloppfattelse eller teknisk feil i signalanlegget. Det er den tekniske delen av signalanlegget som har fått mest fokus i denne undersøkelsen. _x000D_
_x000D_
Havarikommisjonen har ikke funnet grunnlag i hverken dokumentasjonen eller de testene som er gjennomført, som kan forklare den situasjonen som fører og bordansvarlig har forklart. Alle tester som er gjennomført har vist at signalanlegget fungerer slik det er tiltenkt._x000D_
_x000D_
Fører og ombordansvarlig er sikre på sine observasjoner, og det har veid tungt i denne undersøkelsen. Havarikommisjonen kan ikke med sikkerhet si hva som er årsaken til det tvetydige signalbildet som ble observert av fører og ombordansvarlig i tog 2387 på Atna den 6. januar 2015.</t>
  </si>
  <si>
    <t>Atna station</t>
  </si>
  <si>
    <t>Det er fire hovedteorier som er vurdert å kunne forklare hendelsen, en optisk illusjon som har lignet på grønt lys, sabotasje, menneskelig svikt i form av feiloppfattelse eller teknisk feil i signalanlegget. Det er den tekniske delen av signalanlegget som har fått mest fokus i denne undersøkelsen. _x000D_
_x000D_
Havarikommisjonen har ikke funnet grunnlag i hverken dokumentasjonen eller de testene som er gjennomført, som kan forklare den situasjonen som fører og bordansvarlig har forklart. Alle tester som er gjennomført har vist at signalanlegget fungerer slik det er tiltenkt._x000D_
_x000D_
Fører og ombordansvarlig er sikre på sine observasjoner, og det har veid tungt i denne undersøkelsen. Havarikommisjonen kan ikke med sikkerhet si hva som er årsaken til det tvetydige signalbildet som ble observert av fører og ombordansvarlig i tog 2387 på Atna den 6. januar 2015. 
There are four main theories that may explain the incident: an optical illusion that resembled a green light, sabotage, human error in the form of misinterpretation, or a technical fault in the signalling system. It is the technical element of the signalling system that has been the main focus of this investigation. _x000D_
_x000D_
The AIBN has not found any basis in the documentation or the tests conducted that can explain the situation described by the driver and the head conductor. All the tests conducted have shown that the signalling system works as intended._x000D_
_x000D_
The driver and the head conductor are certain about their observations, and this has weighed heavily in this investigation. The AIBN cannot say for certain what caused the ambiguous signal observed by the driver and the head conductor of train 2387 at Atna station on 6 January 2015</t>
  </si>
  <si>
    <t>FI-4699</t>
  </si>
  <si>
    <t>Operational event, 07-01-15, Finland (Finland)</t>
  </si>
  <si>
    <t>Theme investigation on wron routings in train traffif in 2015</t>
  </si>
  <si>
    <t>Many different; A majority of the wrong routings occurred when the traffic controller was forming a route manually.</t>
  </si>
  <si>
    <t>4	CONCLUSIONS_x000D_
4.1	Statements_x000D_
1.	A majority of the wrong routings occurred when the traffic controller was forming a route manually. In many cases, the automated system could have been used._x000D_
2.	Traffic controllers do not take maximum advantage of the automated system's functions or features._x000D_
3.	Routes have been formed manually, because the traffic controllers believe that this makes traffic run smoother and facilitates their work, and because they distrust the automation systems._x000D_
4.	On occasion, traffic controllers find that the automation systems make their work slow and restrictive._x000D_
5.	Higher rail traffic speeds require modifications to the interlocking systems. Insufficient atten-tion has been paid to this within the remote control system. Trains need to slow down or even stop at signals until the signal indicates that driving ahead is permitted._x000D_
6.	The manual creation of routes has led to errors, cases of forgetting and errors of judgement._x000D_
7.	In many cases, such errors only resulted in minor traffic disruptions, as the engine driver no-ticed the faulty position of a switch or signal._x000D_
8.	A passenger train being directed onto a track with no platform easily creates a dangerous situation as passengers attempt to board the train, and there is not always time to make an an-nouncement to the passengers or warn other traffic._x000D_
9.	In some sections of the rail network, the part of the automation system dealing with train num-bers is not in use, despite the technology itself being in place._x000D_
10.	The systems used for traffic control have been in an almost constant state of change, which has affected the users of the systems._x000D_
11.	Several different systems are in use and are subject to continuous and numerous changes. There is insufficient time to train personnel in the use of new or modified systems before the deployment of these systems._x000D_
12.	The safety management system of the Safety Investigation Authority has not been comprehen-sively updated for five years, despite the fact that the operating environment and organisations have changed. On several occasions, the Transport Safety Agency has detected shortcomings in the quality control of the Finnish Transport Agency’s service providers._x000D_
13.	The roles of the Finnish Transport Agency and Finrail as purchasers of control services and as service providers are partly unclear. This hampers collaboration in the development of traffic control systems._x000D_
14.	During the investigation, the Rail Traffic Control Manual in effect at that time was a confidential document. The confidentiality makes the utilisation of the manual more difficult. The Rail Traffic Control Manual contains information that is useful in the training of instructors who train engine drivers and those responsible for trackwork, contributing to the safety of traffic and making it run more smoothly._x000D_
15.	The regulations and instructions in effect are not always identical to those actually used._x000D_
16.	At some traffic control points, small, unclear or erroneous display symbols, or a lack of symbols designating passenger platforms, hamper the work of traffic controllers._x000D_
17.	Several different traffic control systems may be in use at one traffic control point. This hampers the work of traffic controllers as they move between control tables, or work at several tables simultaneously._x000D_
18.	Traffic controllers feel that they have insufficient say in the planning of new traffic systems and development of old ones._x000D_
19.	It is impossible for the traffic controllers to verify the correctness of the route on their displays in cases where some of the switches are not monitored._x000D_
20.	Traffic has not always been initiated in accordance with the inspection instructions after maintenance or repairs of a switch or an interlocking. Traffic controllers are unable to confirm the position of a switch solely from their displays._x000D_
21.	Traffic controllers do not submit a deviation report for all wrong routings._x000D_
22.	No clear and uniform system exists for reporting on wrong routings that covers all parties: the rail traffic operator, the owner of the rail network and the safety authority._x000D_
23.	Finrail Oy classifies some wrong routings as quality deviations. However, a wrong route classi-fied as a quality deviation may cause a dangerous situation for passengers if a passenger train is directed onto a track with no platform._x000D_
24.	Trackwork causes traffic controllers to have to remember many operations. The problem is exacerbated by the large variety of trackwork operators and the resulting diversity of communications._x000D_
25.	Communication between traffic controllers at the borders of control areas is partially deficient. For example, changes in the arrival order of trains were not always reported to the receiving traffic controller in situations where the train number was not automatically transmitted._x000D_
26.	The instructions for cancelling a departure signal on tracks controlled via radio signals, issued as a voice communication based on a flash message, are difficult to find in the system's exten-sive operating instructions._x000D_
27.	Changes made to the automatic traffic control functions in connection with train schedule changes include a lot of routine operations and opportunities for error. Errors resulting from this reduce trust in the functioning of the automation._x000D_
28.	An emergency stop message cannot be relayed via the engine radio at border crossing points for international traffic. Nor is there a common hand signal.</t>
  </si>
  <si>
    <t>CZ-4711</t>
  </si>
  <si>
    <t>Trains collision with an obstacle, 11-01-15, open line between Rozna - Nedvedice stations (Czech Republic)</t>
  </si>
  <si>
    <t>Collision of regional passenger train No. 14905 with an obstacle (two trees) fallen on the track in the 76,100 km between Rožná and Nedvedice stations</t>
  </si>
  <si>
    <t>open line between Rozna - Nedvedice stations</t>
  </si>
  <si>
    <t>Direct cause:_x000D_
uprooting and subsequent fall of two trees growing in the protected zone of the track on the line track._x000D_
_x000D_
Contributory factor:_x000D_
an inner putrefaction of both uprooted trees.</t>
  </si>
  <si>
    <t>Underlying cause:_x000D_
• failure of find and remove the source of danger to the railway tracks in the protected zone, which consisted in trees in the fall distance of the line track._x000D_
_x000D_
Root cause:_x000D_
• unsystematic and inconsistent assessing sources of danger in the protected zone and failure to accept appropriate measures to prevent similar incidents by IM;_x000D_
• the absence of training and validation of knowledge of railway operator workers responsible for monitoring the line tracks in the field of assessing the health condition of vegetation in the protected zone of the line track and simultaneously also the absence of such controls.</t>
  </si>
  <si>
    <t>ES-4726</t>
  </si>
  <si>
    <t>Spad, 12-01-15, Barcelona Marina (Barcelona) (Spain)</t>
  </si>
  <si>
    <t>Commuter train overtook signal 3646, ordering to stop, and caused a near miss train collision. No personal damages.</t>
  </si>
  <si>
    <t>Barcelona Marina (Barcelona)</t>
  </si>
  <si>
    <t>The incident had its origin in a human failure of train 25780 driver, in particular by lack of attention causing the unauthorised overtook of signal 3646 which was indicating stoppage</t>
  </si>
  <si>
    <t>HR-4707</t>
  </si>
  <si>
    <t>Level crossing event, 12-01-15, Kupinec (Croatia)</t>
  </si>
  <si>
    <t>On level crossing "Kupinec", there was a collision of a train and a truck 
Na pruzi M202, ŽCP Kupinec, došlo je do sudara brzog vlaka broj 703 i kamiona</t>
  </si>
  <si>
    <t>Kupinec</t>
  </si>
  <si>
    <t>Izravni uzrok ove nesrece je izlazak teretnog motornog vozila na ŽCP neposredno prije nailaska vlaka na isti. 
The direct cause of this accident was fact that the truck didn’t stop in front of the level crossing.</t>
  </si>
  <si>
    <t xml:space="preserve">Ice on the surface of the road, construction of the road, speed of the truck, and position of Sun.  
</t>
  </si>
  <si>
    <t>HU-4704</t>
  </si>
  <si>
    <t>Train derailment, 16-01-15, Szolnok-Rendezo (Hungary)</t>
  </si>
  <si>
    <t>The engine has derailed by 1 wheel. 
A vonat mozdonya egy kerékkel kisiklott.</t>
  </si>
  <si>
    <t>Szolnok-Rendezo</t>
  </si>
  <si>
    <t>Floyd Ltd.</t>
  </si>
  <si>
    <t>The gauge was a little high, the speepers was very old.</t>
  </si>
  <si>
    <t>FR-4709</t>
  </si>
  <si>
    <t>Fire in RS, 17-01-15, Channel tunnel; running tunnel north; interval 4 (Channel Tunnel*)</t>
  </si>
  <si>
    <t>Fire on board a truck shuttle in the Channel Tunnel._x000D_
The fire was caused by an electrical arc between the overhead power line and a CB aerial which had not been detected by the aerial detection system and which was mounted on a lorry which had been loaded onto an Arbel wagon without pagoda._x000D_
None of the 42 people present on the train has been injured during the event._x000D_
The two lorries situated on wagons 14 and 15 of the front rake have completely burnt._x000D_
The running tunnel North has been damaged. In addition to the overhead power line and electric cabling which are beyond repair, the reinforced concrete ceiling has been damaged by the fire. The tunnel lining has become detached exposing the reinforcing bars over a length of approximately sixty metres.</t>
  </si>
  <si>
    <t>Channel Tunnel*</t>
  </si>
  <si>
    <t>Channel tunnel; running tunnel north; interval 4</t>
  </si>
  <si>
    <t>The fire was caused by an electrical arc between the overhead power line and a CB aerial which had not been detected by the aerial detection system and which was mounted on a lorry which had been loaded onto an Arbel wagon without pagoda._x000D_
The fire broke out in the cab of the incident lorry then spread to the outside and was only detected about 23 mins later._x000D_
When the on-board and fixed detectors raised the alarm, the train could still have stopped at the SAFE 4F station but the procedures in place at the time did not lead to the driver doing so. About a minute later, the fire caused an electrical arc which led to a second power trip._x000D_
Even though it was technically possible, the RCC did not try to re-energise the overhead power line so the train was inevitably forced to stop.</t>
  </si>
  <si>
    <t>Defective processes and systems for detecting aerials and small objects;_x000D_
Suppression of pagodas or other physical barriers between the vehicles and the overhead power line;_x000D_
Late fire detection ;_x000D_
Defective RCC procedures in the event of fire and simultaneous power trip._x000D_
Perfectible change management process.</t>
  </si>
  <si>
    <t>HU-4705</t>
  </si>
  <si>
    <t>Train derailment, 19-01-15, Budapest, Lehel tér (Hungary)</t>
  </si>
  <si>
    <t>A végállomásról induló villamos 2 tengellyel kisiklott 
Tram No. 4304 derailed at point No. K3001</t>
  </si>
  <si>
    <t>Budapest, Lehel tér</t>
  </si>
  <si>
    <t>Railway switch technical condition and human error.</t>
  </si>
  <si>
    <t>RO-4710</t>
  </si>
  <si>
    <t>Fire in RS, 24-01-15, Suncuius (Romania)</t>
  </si>
  <si>
    <t>the locomotive DA 1086 (diesel locomotive) that hauled freight the freight train no.32152 caught  fire.</t>
  </si>
  <si>
    <t>Suncuius</t>
  </si>
  <si>
    <t>Direct cause _x000D_
The fire was generated by an electric short-circuit between the connection cable of the batteries no.6 si no.7  and the metallic tube for the protection of this cable._x000D_
_x000D_
Contributing factors_x000D_
-	decrease during the time of the insulation resistance of the electric cable;_x000D_
-	presence of some fuel deposits on the locomotive bogies and equipments; 
Cauza directa _x000D_
Incendiul a fost provocat de un scurtcircuit electric produs între cablul de înseriere dintre bateriile de acumulatori nr.6 si nr.7  si teava metalica de protec?ie a acestui cablu._x000D_
_x000D_
Factori care au contribuit_x000D_
-	scaderea în timp a rezistentei de izolatie  a cablului  electric;_x000D_
-	prezenta unor depuneri combustibile pe boghiurile si pe echipamentele locomotivei;</t>
  </si>
  <si>
    <t>Underlying causes _x000D_
Keeping in service of the locomotive DA 1086, after the exceeding of time or km limits for the scheduled repair, infringing the provisions of the Railway normative N.F. 67-006:2011 "Railway vehicles. Types of scheduled inspections and repairs. Time or km limits for the performance of the scheduled inspections and repairs"._x000D_
It was favoured by the infringment of the regulations on the validation through signature, by the legal representative of the keeper, of the records of times and km run by the locomotives, infringing the provisions of the Railway normative N.F. 67-006:2011 "Railway vehicles. Types of scheduled inspections and repairs. Time or km limits for the performance of the scheduled inspections and repairs"._x000D_
_x000D_
Root causes_x000D_
-	lack of application, by SNTFM CFR Marfa SA, of the provisions from the procedure  code PO 431-SMS, part of its safety management system. So, the risks of fires in the locomotives were not identified and assessed;_x000D_
-	lack of a decision flow on the identification and making of decision to take out of service the locomotives, at which the time and km limits for scheduled repairs were exceeded; 
Mentinerea în serviciu a locomotivei DA 1086, dupa ce au fost depasite normele de timp sau kilometri pentru reparatia planificata, încalcându-se  prevederile  Normativului feroviar N.F. 67-006:2011 "Vehicule de cale ferata. Tipuri de revizii si reparatii planificate. Normele de timp sau normele de kilometri parcursi pentru efectuarea reviziilor si reparatiilor planificate"._x000D_
 _x000D_
_x000D_
Acest fapt a fost favorizat de nerespectarea reglementarilor privitoare la validarea prin semnatura de catre reprezentantul legal al detinatorului, a înregistrarilor privind duratele si kilometri parcursi ai  locomotivelor, încalcându-se  prevederile  Normativului feroviar N.F. 67-006:2011 "Vehicule de cale ferata. Tipuri de revizii si reparatii planificate. Normele de timp sau normele de kilometri parcursi pentru efectuarea reviziilor si reparatiilor planificate" ._x000D_
_x000D_
Cauze primare_x000D_
-	neaplicarea de catre SNTFM CFR Marfa SA a prevederilor procedurii opera?ionale  cod PO 431-SMS, parte a propriului sistem de management al siguran?ei. Astfel, nu au fost identificate ?i evaluate riscurile de producere a incendiilor la locomotive;_x000D_
-	inexistenta unui circuit decizional privitor la identificarea si emiterea deciziei de retragere din serviciu a locomotivelor, la care au fost depasite normele de timp sau kilometri  pentru reparatiile planificate;</t>
  </si>
  <si>
    <t>CZ-4714</t>
  </si>
  <si>
    <t>Trains collision with an obstacle, 28-01-15, open line between Poniklá and Hrabacov stations (Czech Republic)</t>
  </si>
  <si>
    <t>Collision of regional passenger train no. 15501 with an obstacle – rockslide with consequent derailment.</t>
  </si>
  <si>
    <t>open line between Poniklá and Hrabacov stations</t>
  </si>
  <si>
    <t>A rockslide onto a railway track in operation._x000D_
_x000D_
Contributory factor:_x000D_
• leaking of water into a rock face and its cyclic freezing and melting.</t>
  </si>
  <si>
    <t>Underlying cause:_x000D_
• erosion of the rock face._x000D_
_x000D_
Root cause: none.</t>
  </si>
  <si>
    <t>FR-4735</t>
  </si>
  <si>
    <t>Train derailment, 28-01-15, Paris-Gare de Lyon station (France)</t>
  </si>
  <si>
    <t>An empty TGV train which was moving to the track n°15 in "Paris Gare de Lyon"  station derailed at a speed of 20 km/h while passing on a switch which changed of position under the train causing a double track running. 4 coaches derailed.</t>
  </si>
  <si>
    <t>Paris-Gare de Lyon station</t>
  </si>
  <si>
    <t>points 22L reversed under the train</t>
  </si>
  <si>
    <t>The mecanical interlocking had been disturbed during a maintenance in the signal box making the route lock ineffective and allowing the switchman to move points 22L under the train._x000D_
Poor training of the concerned maintenance operators</t>
  </si>
  <si>
    <t>PT-4739</t>
  </si>
  <si>
    <t>Level crossing accident, 28-01-15, Estômbar (Portugal)</t>
  </si>
  <si>
    <t>Moped driver collided with closed level-crossing barrier and was projected to the railway track, being run over by the approaching train._x000D_
This accident seems to fit in a trend of similar previous and following incidents involving collisions with this level crossing barriers. 
Motociclo circulando na EM-25, sentido Estômbar-Lagoa, embateu na meia-barreira do lado direito, que estava fechada, tendo o condutor sido projectado para a via e colhido pelo comboio 5900._x000D_
Esta ocorrência enquadra-se num historial de incidentes nesta PN com características primárias similares.</t>
  </si>
  <si>
    <t>Estômbar</t>
  </si>
  <si>
    <t>The moped driver hitting the level crossing lowered half-barrier because he didn’t stop before reaching it, and in consequence being projected to the crossing pavement, stopping over the track instants before the passage of the train._x000D_
The combined effect of the distance of the half-barrier to the track and the moped and driver velocity and mass, had the result of the fallen moped driver stopping over the track.  	_x000D_
The moped and its driver appeared in front of the train within its braking distance, making it impossible for the train to stop before reaching them. 	_x000D_
The moped driver didn’t respond accordingly to the activated signals of the level crossing, not reducing its speed so as to stop short of the lowered half-barrier. 	_x000D_
The investigation determined that there is a variable annual time-slot, within which the time of the accident is included, when the low sun may cause significant glare and reduce the conspicuity of the half-barrier and level crossing signs to road users approaching from the west, due to the road orientation.	_x000D_
Therefore, GISAF considers that there is a high probability that the moped driver didn’t reduce its speed and stop because:_x000D_
•	He was momentarily distracted due to the visual disturbance caused by the facing sun; 	_x000D_
•	He didn’t perceive the activated warning signal nor the lowered half-barrier of the level crossing due to the glare caused by the low sun illuminating them from behind.	    _x000D_
GISAF considers that it is possible that the following factors have contributed to the accident:_x000D_
•	Limitations related to the age of the moped driver, naturally reducing sensorial awareness and the capacity to adapt to disturbing factors during driving; 	_x000D_
•	Underestimation of the risk by the moped driver because of his familiarity with the location and route.</t>
  </si>
  <si>
    <t>1) Despite the risk of sun glare having been identified by the rail Infrastructure Manager, no mitigating measure was defined nor implemented at the level crossing._x000D_
2) The process for level crossings’ risk analysis by the rail Infrastructure Manager does not guarantee that, in a consistent manner, each existing risk is assessed and that the corresponding control measures are defined and implemented._x000D_
3) The automation of the level crossing was not supported by an engineering project justifying the design of the layout and road signalling to the specific location risks, in particular not considering the risk of sun glare to the road users due to the alignment of the road approach. 	_x000D_
4) Notwithstanding the general dispositions of the national Level Crossings Regulation and the technical standards of the rail Infrastructure Manager, there is no national or industry standard or guidance that integrates the principles and good practice of road engineering relevant to level crossing design so as to give designers and technicians the necessary guidance regarding the use of technical solutions internationally proven as best practices relating, for example, (i) to the integrated design of the level crossing with its road approaches, (ii) to the layout and type of components and (iii) to the adequate measures to mitigate each identified risk, nor do Infrastructure Managers follow such foreign guidance._x000D_
5) The processes of the rail IM Safety Management System relating to the introduction of prevention measures following safety related incidents have shown not to be sufficiently robust so as to ensure:_x000D_
   • That the classification of safety occurrences according to their causes is reliable;_x000D_
   • That the practical perception by the regional staff about the abnormal frequency of the half-barrier breaks at the level crossing resulted in a global critical analysis of the occurrences history; _x000D_
   • That the history of occurrences was subjected to an analysis with the purpose of determining their causes, identify any risks evidenced by the use of the level crossing and implement the appropriate mitigating measures._x000D_
6) On the other hand, the IM program for regular audits of its SMS wasn’t effective to detect the above mentioned weaknesses in the processes. _x000D_
7) Also, the fact that the National Safety Authority, within its supervision obligations, has never audited the application of the Infrastructure Manager’s SMS, particularly on its processes relevant to level crossings, one of the components responsible for most casualties on the national rail system, has contributed to the above mentioned weaknesses in the SMS not being identified nor subjected to improvement actions._x000D_
8) Finally, the investigation also concludes that, in addition to the generally accepted fact of level crossing safety having to be treated in an integrated way between rail and road, the latter one is preponderant because only on the road approaches can most measures be introduced to induce drivers to adopt the necessary precautionary behaviour when arriving at the level crossing. However, the existing regulations concerning level crossings aren’t effective to favour or even compel the rail and road infrastructure managers to work jointly for designs, layouts and equipment that minimize risks to the users of either mode.</t>
  </si>
  <si>
    <t>UK-4751</t>
  </si>
  <si>
    <t>Trains collision with an obstacle, 28-01-15, Moston Station (United Kingdom)</t>
  </si>
  <si>
    <t>at around 06:20 hrs, a Northern Rail passenger train travelling at about 68 mph (109 km/h) struck displaced platform edge coping stones as it passed through Moston station, between Manchester Victoria and Rochdale. The train involved was the 06:12 hrs service from Manchester Victoria to Leeds. It suffered minor damage, but did not derail and nobody was injured._x000D_
About 14 minutes before the accident involving the passenger train, the 03:57 hrs DB Schenker freight train service from Warrington Arpley to Doncaster (reporting number 6E33) had passed through the same platform. The RAIB’s preliminary examination has identified that two incorrectly stowed container fixings (hinged spigots) on the rear wagon of this train, an empty FKA type container wagon, had struck the platform and displaced the coping stones. This type of hinged spigot is attached to a bar on the side of the wagon and can be slid along the bar to accommodate different sized containers. When correctly stowed as required for operation on the rail network, the spigots should be rotated to rest within a locating recess on top of the wagon. At the time of the accident the spigots which struck the platform were hanging down on the sides of the vehicle and projecting beyond the usual wagon width. _x000D_
Railway standards define both the permitted width of wagons and the minimum permitted spacing between a platform and the nearest rail of the adjacent track. A survey undertaken by Network Rail in July 2014 had shown that the platform at Moston was closer to the track than permitted by these standards. This had not been corrected before the accident and, as a consequence, the incorrectly stowed spigots struck the platform edge.</t>
  </si>
  <si>
    <t>Moston Station</t>
  </si>
  <si>
    <t>Outward projecting spigots on the FKA wagon in train 6E33 struck platform supports and dislodged coping stones on the edge of the down platform at Moston (paragraph 15)</t>
  </si>
  <si>
    <t>The causal factors were:_x000D_
a. Spigots could be left in in an outward projecting position which projected beyond the permitted vehicle gauge (paragraph 20, Recommendation 1)._x000D_
b. Ground staff at Warrington did not notice that the spigots were projecting outwards when preparing and dispatching train 6E33 (paragraph 25, Learning point 1)._x000D_
c. Horizontal offsets between Moston down platform and the adjacent track were less than required by modern design standards (paragraph 34, no recommendation).</t>
  </si>
  <si>
    <t>UK-4724</t>
  </si>
  <si>
    <t>Fire in RS, 30-01-15, Between Windsor &amp; Eton Riverside and Dachet (United Kingdom)</t>
  </si>
  <si>
    <t>The 19:53 hrs South West Trains service from Windsor &amp; Eton Riverside to London Waterloo had travelled about 400 metres after starting from Windsor station, when a small bang was heard under the sixth carriage of the ten-carriage train, followed by about five seconds of severe sparking and flashing._x000D_
_x000D_
The train, which was formed of two class 458/5 electric multiple units and was travelling at about 15 mph at the time, stopped immediately. Some smoke entered the carriages through ventilators. There were two passengers in the sixth carriage, and they moved quickly into another part of the train. The guard of the train moved from the rear to the sixth carriage to investigate, and the driver also moved to the middle of the train. They could see that there was still smoke coming from below the sixth carriage, so the driver returned to the front of the train from where he contacted the signaller by radio to ask for the electric power to be switched off. While he was doing this, the floor of the sixth carriage was penetrated by fire, and smoke rapidly filled the vehicle._x000D_
_x000D_
There were eleven passengers on the train. The guard, assisted by the crew of another train that was in Windsor station, evacuated the passengers to the track, and helped them walk back to the station. The fire brigade were called, and confirmed by 20:50 that the fire was out. None of the passengers were hurt, but the guard was taken to hospital and treated for smoke inhalation.</t>
  </si>
  <si>
    <t>Between Windsor &amp; Eton Riverside and Dachet</t>
  </si>
  <si>
    <t>Loosening of the bolted joint between the shoe cables and the bus line led to arcing, which generated heat which burned through the floor of the vehicle (paragraph 57)</t>
  </si>
  <si>
    <t>The causal factors were:_x000D_
a. The cable joint was loose, and came apart while the train was in service (paragraph 61). This happened because:_x000D_
i. the joint was almost certainly not tightened when the bogie was refitted to the vehicle during the conversion project (paragraph 73, see paragraph 164, Recommendation 1)._x000D_
ii. the quality control procedures operated by Wabtec in the works at Doncaster did not provide any assurance that the joint had been tightened (paragraph 76, Recommendation 1)._x000D_
b. The electrical protection arrangements on the train and the infrastructure did not prevent the arcing (paragraph 89)._x000D_
c. The floor of the train was unable to withstand the temperatures generated by the arcing (paragraph 101)._x000D_
d. The design of the junction box did not allow for the consequences of internal pressure build-up (paragraph 110, Recommendation 2, Learning point 1)._x000D_
Factors affecting the severity of consequences_x000D_
162 Factors that exacerbated the consequences of the event were:_x000D_
a. The lighting in the damaged unit ceased to operate fifteen minutes after the start of the incident, leading to passengers leaving the train unescorted and getting on to a potentially live railway (paragraph 114, Learning point 2, Recommendation 3)._x000D_
b. The train crew did not call for assistance, and the emergency services were not mobilised until about 25 minutes after the accident (paragraph 124, see paragraph 167).</t>
  </si>
  <si>
    <t>DE-4743</t>
  </si>
  <si>
    <t>Accident to persons caused by RS in motion, 31-01-15, Feucht (Germany)</t>
  </si>
  <si>
    <t>Eine Person versucht in Feucht (Gleis 4) bei fast geschlossenen Türen gewaltsam in die S 39661 einzusteigen. Dabei wird die männliche Person eingeklemmt, mitgeschleift und tödlich verletzt. 
In Feucht (track 4), a person tries to enter violently the S 39661 with almost closed doors. A male person is stuck, dragged and deadly wounded.</t>
  </si>
  <si>
    <t>Feucht</t>
  </si>
  <si>
    <t>Fehler bei der Abfertigung des Zuges 
Mistake during train dispatching.</t>
  </si>
  <si>
    <t>BG-4713</t>
  </si>
  <si>
    <t>Train derailment, 2/1/2015, Stryama station (Bulgaria)</t>
  </si>
  <si>
    <t>While entering Stryama station, the train No 30111, which was moving along Sofia - Karlovo direction composed of an electrical locomotive and two passenger cars, derailed with all the bogies of the locomotive and the first car and with the first bogie of the second car at the rail switch No 2 of the station at 09:08 hrs on 01.02.2015._x000D_
The accident did not result in any casualties or wounded persons. Damages were caused to the RS and the infrastructure._x000D_
The movement of the trains was reestablished at 00:50 hrs on 02.02.2015.</t>
  </si>
  <si>
    <t>Stryama station</t>
  </si>
  <si>
    <t>The immediate cause was wrongly prepared route by the duty traffic manager in Stryama station. The route was for acceptance of PT 30111 on the 2-nd acceptance-departure track of the station with welcoming signal. That happened within evident semi-opened switch No. 2.</t>
  </si>
  <si>
    <t>The  requirements of the legislative documents regulating the train operation safety were not met within the acceptance of PT No 30111 in Stryama station.</t>
  </si>
  <si>
    <t>FI-4721</t>
  </si>
  <si>
    <t>Level crossing event, 06-02-15, Kokemäki, Isotalo level crossing, Kokemäki Pori section of line (Finland)</t>
  </si>
  <si>
    <t>Level crossing accident, passenger train - tractor</t>
  </si>
  <si>
    <t>Kokemäki, Isotalo level crossing, Kokemäki Pori section of line</t>
  </si>
  <si>
    <t>VR Ltd</t>
  </si>
  <si>
    <t>The immediate cause of the accident was that the driver of the articulated hauler did not notice the passenger train coming from his left.</t>
  </si>
  <si>
    <t>The factors that contributed to this error in observation were the glare of the low sun from the direction of the oncoming train and the location of the level crossings on a private road where two tracks diverge. An additional factor was that the colour scheme of the front end of the train did not make it stand out from its surroundings. The relatively infrequent traffic on this section of the railway (18 trains a day) and the ongoing preparations to move the excavator also reduced caution. _x000D_
The engine driver noticed the articulated hauler approaching the level crossing, gut did not pay any further attention to it, as he assumed that it would stop. He shifted his attention to the next level crossing, which is why it took him longer to notice that the articulated hauler had continued onto the track.</t>
  </si>
  <si>
    <t>RO-4719</t>
  </si>
  <si>
    <t>Train derailment, 07-02-15, Satu Nou - Biled (Romania)</t>
  </si>
  <si>
    <t>the 5-th, 6-th, 7-th and 8-th wagons from the freight train no.89388 derailed</t>
  </si>
  <si>
    <t>Satu Nou - Biled</t>
  </si>
  <si>
    <t>Direct cause:_x000D_
The direct cause of the accident is the fall between the rails of the right wheel of the guiding axle from the 5-th wagon after the locomotive, no.33539332500-6,  at the running on an area with gauge values over the maximum limit accepted in operation._x000D_
Contributing  factors:_x000D_
-	keeping in the track of sleepers that were not ensured the fastening of the rails and were not maintained the gauge between the accepted tolerances._x000D_
-	distance between the exterior faces of the flanges of wheels, belonging to the guiding axle of the wagon no.33539332500-6 (the 5-th wagon after the locomotive), under the minimum value accepted in operation. 
Cauza directa:_x000D_
Cauza directa a producerii accidentului o constituie caderea între firele caii a rotii din partea dreapta a osiei conducatoare a celui de al 5-lea vagon dupa locomotiva, nr.33539332500-6, la deplasarea pe o zona cu valori ale ecartamentului peste limita maxima admisa în exploatare._x000D_
_x000D_
Factori care au contribuit:_x000D_
-	men?inerea în cale a unor traverse care nu asigurau prinderea sinelor si nu mentineau ecartamentul caii în limitele tolerantelor admise._x000D_
-	distanta dintre fetele exterioare ale buzelor rotilor osiei conducatoare a vagonului nr.33539332500-6 (al 5-lea vagon dupa locomotiva) mai mica decât valoarea minima admisa în exploatare.</t>
  </si>
  <si>
    <t>Underlying causes of the accident consisted in the lack of compliance with the provisions of the next Nattional Safety Rules, as follows:_x000D_
-	art.25.4 fom the Instruction of norms and tolerances for the track construction and maintenance – lines with standard gauge - no.314/1989 ,according witch it is not accepted in the track two unsuitable close sleepers and over two sleepers in a group of 15 sleepers is not accepted;_x000D_
-	art.221(2) letter a from the Regulations for railway technical operation – no.002 and Table no.1 from Instruction on technical inspection and maintenance of wagons in operation no.250/2005, on the categorization in accepted tolerances for the value of distance between the exterior faces of the flanges of wheels from the wheelsets, in order to be accepted in operation._x000D_
Root cause:_x000D_
The investigation commission identified as root causes of this accident, the deficiencies from the working out of the safety management system, written down in the chapter C.5.2. Safety management system from this investigation report, respectively: _x000D_
1.	non-inclusion of art.3 from the Sheet no.4, concerning the fortnightly inspection and of Sheets  no.2  and no.3 from the  Instruction on the establishment of deadlines and order for the performance of  track inspections no.305/1997 in „Flow chart of the process for the track diagnosis and work receptions” from the procedure code PP-63 „Railway infrastructure maintenance”. _x000D_
2.	non-inclusion of the Instruction of norms and tolerances for the track construction and maintenance – lines with standard gauges no.314/1989 in the codes of good practice, applied for the risk  associated to the identified dangerous and called „failure of the track superstructure”._x000D_
3.	non-identification in the Danger Record, worked out according to the procedure code PP-83-01 „Control of all risks associated to the activity for the railway infrastructure management”, of the danger that led to the accident, respectively exceeding of the maximum accepted value for the track gauge. 
Cauzele subiacente ale producerii accidentului au constat în nerespectarea unor prevederi din urmatoarele Norme Nationale de Siguranta, astfel:_x000D_
-	art.25.4 din Instructia de norme si tolerante pentru constructia si întretinerea caii - linii cu ecartament normal - nr.314/1989, referitor la faptul ca nu se  admite  mentinerea  în cale  a doua traverse rele vecine si nu se admit mai mult de doua traverse rele la un grup de 15 traverse;_x000D_
-	art.221(2) lit.a din Regulamentul de exploatare tehnica feroviara – nr.002 si Tabelul nr.1 din Instructiuni privind revizia tehnica si întretinerea vagoanelor în exploatare nr.250/2005, referitor la încadrarea în toleran?ele admise ale valorii distan?ei dintre fe?ele exterioare ale buzelor ro?ilor la osiile montate, pentru a fi admise în exploatare._x000D_
Cauze primare:_x000D_
Comisia de investigare a identificat drept cauze primare ale acestui accident feroviar deficientele manifestate în elaborarea sistemului de management al sigurantei, deficiente ce sunt  consemnate la cap. C.5.2. Sistemul de management al sigurantei din prezentul raport de investigare, respectiv: _x000D_
1.	Neincluderea art.3 din Fisa nr.4, referitor la revizia chenzinala si a Fiselor nr.2 si nr.3 din Instructia privind fixarea termenelor si a ordinei în care trebuie efectuate reviziile caii nr.305/1997 în „Diagrama Flux a procesului de diagnoza a caii si recensaminte de lucrari” din procedura cod PP-63 „Mentenanta infrastructura feroviara”. _x000D_
2.	Neincluderea Instructiei de norme si tolerante pentru constructii si întretinerea caii - linii cu ecartament normal nr.314/1989 între codurile de buna practica, care se aplica pentru riscul asociat pericolului identificat si denumit „defectarea suprastructurii caii”._x000D_
3.	Neidentificarea în Evidenta Pericolelor, întocmita conform procedurii cod PP-83-01 „Controlul tuturor riscurilor asociate cu activitatea de gestionare infrastructura feroviara”, a pericolului care a determinat producerea accidentului, respectiv depasirea valorii maxime admise a ecartamentului caii.</t>
  </si>
  <si>
    <t>ES-4757</t>
  </si>
  <si>
    <t>Trains collision with an obstacle, 09-02-15, A Susana statio (A Coruña) (Spain)</t>
  </si>
  <si>
    <t>During a shunting movement a groupage of empty wagons collided with a buffer stop and partially derailed. No personal damage</t>
  </si>
  <si>
    <t>A Susana statio (A Coruña)</t>
  </si>
  <si>
    <t>Human error: the train operating assistant didn't set a correct route and didn't check the switch position before ordering the train to move.</t>
  </si>
  <si>
    <t>NO-4722</t>
  </si>
  <si>
    <t>Trains collision with an obstacle, 09-02-15, Dovrebanen Trondheim station (Norway)</t>
  </si>
  <si>
    <t>Mandag 09.02.2015 kl. 08:47 kolliderte tog 411 med endebufferten i spor 23 på Trondheim stasjon. Tre passasjerer og ombordansvarlig ble lettere skadet i sammenstøtet. 
Collision between train 411 and end stop buffer track 23 at Trondheim station. 3 minor injuries on passenger and 1 minor injury on crew member.</t>
  </si>
  <si>
    <t>Dovrebanen Trondheim station</t>
  </si>
  <si>
    <t>Low adhesion</t>
  </si>
  <si>
    <t>NO-4728</t>
  </si>
  <si>
    <t>Train derailment, 09-02-15, Grytå bridge, between Haugastøl and Tunga station on the Bergen line (Norway)</t>
  </si>
  <si>
    <t>Monday 9 February 2015, the locomotive of freight train 5502 derailed at Grytå between Tunga and Haugastøl stations on the Bergen Line. The locomotive derailed with three of its axles going off the rails to the right in the direction of travel.  All the wagons were on the track, and the freight car set was connected to the locomotive. The locomotive and the first wagon had become buffer-locked.</t>
  </si>
  <si>
    <t>Grytå bridge, between Haugastøl and Tunga station on the Bergen line</t>
  </si>
  <si>
    <t>East of Tunga station, the train ran into a cutting where a snowdrift had started to build up. The locomotiv derailed when the train run through this snowdrift.</t>
  </si>
  <si>
    <t>ES-4753</t>
  </si>
  <si>
    <t>Train derailment, 13-02-15, Barcelona Estació de França station (Barcelona) (Spain)</t>
  </si>
  <si>
    <t>A passenger train going into track 3 at Barcelona Estació de França station partially derailed. No personal damages.</t>
  </si>
  <si>
    <t>Barcelona Estació de França station (Barcelona)</t>
  </si>
  <si>
    <t>The accident was caused by failure of infrastructure, due to the track widening because and poor condition of fastenings</t>
  </si>
  <si>
    <t>RO-4723</t>
  </si>
  <si>
    <t>Train derailment, 14-02-15, Copaceni - Popesti Valcea (Romania)</t>
  </si>
  <si>
    <t>The second bogie from the first wagon, from the freight train no.23686 derialed.</t>
  </si>
  <si>
    <t>Copaceni - Popesti Valcea</t>
  </si>
  <si>
    <t>Cauza directa a producerii accidentului o constituie caderea rotii între firele caii, la deplasarea pe o zona cu valori ale ecartamentului peste limita maxima admisa în exploatare._x000D_
Factori care au contribuit_x000D_
-	lipsa tirfoanelor de prindere la trei traverse consecutive (tirfoane necesare pentru asigurarea prinderii sinelor de traverse) pe firul interior al curbei, în zona producerii deraierii;_x000D_
-	mentinerea nivelului superior al prismei de piatra sparta peste nivelul fetei traverselor, fapt care a împiedicat vizualizarea prinderii sinelor de traverse;_x000D_
-	depasirea limitei maxime  de încarcare si a sarcinii maxime admise pe osie a vagonului nr.81536651421-5. 
Direct cause :_x000D_
The direct cause of the accident is the fall of the wheel between the rails, running on a track distance with values of the gauge over the maximum limit accepted in operation._x000D_
_x000D_
Contributing factors:_x000D_
-	lack of coach screws for the fastening of three successive sleepers (necessary coach screws for ensuring the fastening of the rails on sleepers) on the inner track of the curve, in the derailment area;_x000D_
-	keeping of the upper level of the track bed over the level of the sleepers, it making impossible the view of the fastening of the rails on the sleepers; _x000D_
-	exceeding of the loading limit and of the maximum load accepted on the axle of the wagon no.81536651421-5.</t>
  </si>
  <si>
    <t>Cauze subiacente:_x000D_
	Nerespectarea prevederilor Fisei nr.3, art.2 din Instructia privind fixarea termenelor si a ordinei în care trebuie efectuate reviziile caii nr.305/1997, referitoare la verificarile si masuratorile care se efectueaza în cadrul reviziei chenzinale, respectiv verificarea integritatii si starii prinderilor la linii si aparate de cale._x000D_
	Nerespectarea prevederilor art.14.2  din Instructia de norme si tolerante pentru constructii si întretinerea caii - linii cu ecartament normal nr.314/1989, referitor la dimensiunile si forma prismei de balast pentru calea în curba._x000D_
Nerespectarea prevederilor punctelor 3.1 si 3.2 din Anexa II a Regulamentului pentru utilizarea reciproca a vagoanelor în trafic international, referitoare la sarcina maxima pe osie si limitele de încarcare._x000D_
_x000D_
Cauze primare:_x000D_
Comisia de investigare a identificat drept cauze primare ale acestui accident feroviar deficien?ele manifestate în elaborarea sistemului de management al siguran?ei, deficien?e ce sunt  consemnate la cap. C.5.2. Sistemul de management al sigurantei din prezentul raport de investigare, respectiv: _x000D_
1.	Neincluderea Fisei nr.3, din Instructia privind fixarea termenelor si a ordinei în care trebuie efectuate reviziile caii nr.305/1997 în „Diagrama Flux a procesului de diagnoza a caii si recensaminte de lucrari” din procedura cod PP-63 „Mentenanta infrastructura feroviara”. În cadrul acestei fise la art.2 sunt prevazute verificarile care se efectueaza în cadrul reviziei chenzinale, respectiv verificarea integritatii si starii prinderilor la linii si aparate de cale. _x000D_
2.	Neincluderea Instructiei de norme si tolerante pentru constructii si întretinerea caii - linii cu ecartament normal nr.314/1989 între codurile de buna practica, care se aplica pentru riscul asociat pericolului identificat ?i denumit „defectarea suprastructurii caii”._x000D_
3.	Neidentificarea în Eviden?a Pericolelor, întocmita conform procedurii cod PP-83-01 „Controlul tuturor riscurilor asociate cu activitatea de gestionare infrastructura feroviara”, a pericolului care a determinat producerea accidentului, respectiv depasirea valorii maxime admise a ecartamentului caii. 
Underlying causes:_x000D_
-	infringement of the provisions from the Sheet no.3, art.2 from Instruction for the establishment of the terms and order for the performance of the track inspection no.305/1997, on the inspections and measurements that have to be made within the fortnightly inspection, respectively the checking of the integrity and condition of the fastening of the lines and switches._x000D_
-	infringment of the provisions of the art.14.2  from Instruction of norms and tolerances for the track construction and maintenance – lines with standard gauge no.314/1989, on the sizes and shape of the track bed for the curved track._x000D_
-	infringment of the provisions from the points 3.1 si 3.2 of the Annex II from the Regulations for the mutual use of the wagons in the international traffic, concerning the maximum load on axle and the loading limits.</t>
  </si>
  <si>
    <t>CZ-4733</t>
  </si>
  <si>
    <t>Trains collision, 16-02-15, Bakov nad Jizerou station. (Czech Republic)</t>
  </si>
  <si>
    <t>collision of shunting operation with the train No. 184600 (solo running locomotive).</t>
  </si>
  <si>
    <t>Bakov nad Jizerou station.</t>
  </si>
  <si>
    <t>failure to comply with condition for running on sight by train driver at shunting operation._x000D_
_x000D_
Contributory factor:_x000D_
• failure to drive rail vehicle from the position with the best view;_x000D_
•insufficient (unclear) a confusing instructions given to the train driver when the shunting permission was being given – how far is possible to operate at the station track No. 3;_x000D_
• unclear and incomprehensible instructions for ensuring safety during the shunting operation from the train driver of a shunting operation to station dispatcher.</t>
  </si>
  <si>
    <t>Underlying cause:_x000D_
• failure to comply with technological procedures of the infrastructure manager and railway undertaking for shunting operation by the participating employees.</t>
  </si>
  <si>
    <t>IT-4909</t>
  </si>
  <si>
    <t>Trains collision, 16-02-15, Rubiera (Italy)</t>
  </si>
  <si>
    <t>Runaway of empty wagons during shuinting operation in a shunting yard, collision with other wagons, derailment and then collision of a regional train with the derailed wagons, occupying the gauge of the railway line where the regional train was running</t>
  </si>
  <si>
    <t>Rubiera</t>
  </si>
  <si>
    <t>Trenitalia SpA; 
Dinnazzano Po S.p.A</t>
  </si>
  <si>
    <t>Direct cause of the runaway (first event) is the improper stationing of wagons</t>
  </si>
  <si>
    <t>Absence on the connection with the terminal of a device able to inhibit the involuntary exit from the terminal of rail vehicles (underlying cause)_x000D_
Need for a reorganization of the regulatory framework for the railway sidings, giving its exact responsibilities of check and maintenance of safety to a subject uniquely and clearly identified and appropriately monitored (root cause)</t>
  </si>
  <si>
    <t>ES-4754</t>
  </si>
  <si>
    <t>Spad, 17-02-15, Madrid Chamartín station (Madrid) (Spain)</t>
  </si>
  <si>
    <t>Passenger train overtook exit signal at Madrid Chamartín station. No personal damages.</t>
  </si>
  <si>
    <t>The incident is produced by the human failure of driving staff and in particular by a mistaken perception of the signal EB5's indication which all the time was showing a red aspect and the driver stated he saw it in an authorised overrun aspect</t>
  </si>
  <si>
    <t>RO-4730</t>
  </si>
  <si>
    <t>Broken wheels or axles, 17-02-15, Dragasani (Romania)</t>
  </si>
  <si>
    <t>the axle journal to the axle no.1 of the Diesel railcar AM 917 has broken</t>
  </si>
  <si>
    <t>Dragasani</t>
  </si>
  <si>
    <t>Cauza directa_x000D_
Cauza directa a producerii incidentului o constituie depasirea limitei de oboseala a materialului din care a fost fabricata osia motoare nr.25083, în conditii de suprasolicitare sub eforturi compuse de tractiune-compresiune si încovoiere rotativa._x000D_
_x000D_
_x000D_
Factori care au contribuit:_x000D_
?	aparitia concentratorilor de tensiune sub forma de cavitati si microfisuri care, în timp au condus la aparitia fisurilor transversale de oboseala pe suprafata fusului osiei spre racordarea cu tronsonul de diametru 133 mm;_x000D_
?	efectuarea controlui ultrasonic la osia motoare nr.25083 fara verificarea zonelor fusurilor de osii. 
Direct cause_x000D_
The direct cause of the incident was the exceeding of the fatigue limit of the material from which the driving axle no.25083 was made of, in conditions of overstress under the efforts consisting in tractive-compression and rotative bending._x000D_
 _x000D_
Contributing factors:_x000D_
?	appearance of stress concentrators as holes and micro-cracks that, during the time let to the appearance of cross fatigue cracks on the surface of the axle journal to the connection with the section of 133 mm diameter;_x000D_
?	performance of ultrasonic inspection at the driving axle no.25083 without the inspection of the axle journal areas.</t>
  </si>
  <si>
    <t>Cauza subiacenta_x000D_
Neefectuarea controlului ultrasonic pe suprafetele fusurilor de osie pentru depistarea fisurilor transversale de oboseala, amorsate la suprafata, contrar prevederilor pct. 3.1 din ,,Instructiuni pentru controlul ultrasonic al osiilor de automotor” – elaborate de catre ICPTT în anul 1975. Acest lucru a fost posibil în conditiile în care Sectia reparatii Pitesti din cadrul SC ,,CFR-SCRL Brasov” SA nu detinea dotarea tehnica necesara realizarii acestui control ultrasonic._x000D_
_x000D_
Cauza primara_x000D_
Ambiguitatea prevederilor din Specificatia Tehnica Cod ST8 – 2004 „Revizii planificate tip Pth3, RT, R1, R2, RM la automotoare seria 700-900-1000”, referitoare la periodicitatea si locul unde se efectueaza controlul ultrasonic al osiilor de automotoare. 
Underlying cause_x000D_
Non-performance of the ultrasonic inspection on the axle journal surfaces in order to find out the cross fatigue cracks, initiate to the surface, infringing the provisions from the point 3.1 of ,,Instructions for the ultrasonic inspection of the diesel mltiple units axles” – drawn by ICPTT in 1975. It was possible because the Repair section Pitesti of SC ,,CFR-SCRL Brasov” SA was not getting the necessary technical equipments to perform a such ultrasonic inspection._x000D_
_x000D_
Root cause_x000D_
Ambiguity of the provisions from the Technical Specification Code ST8 – 2004 „Planned inspections type Pth3, RT, R1, R2, RM at the diesel multiple units series 700-900-1000”, concerning the periodicity and place where the ultrasonic inspection of the diesel mltiple units axles is made.</t>
  </si>
  <si>
    <t>DE-4779</t>
  </si>
  <si>
    <t>Unauthorised train movement other than SPAD, 18/2/2015, Bf Jossa – Bf Burgsinn</t>
  </si>
  <si>
    <t>Am 18.02.2015 erhielt der Personenzug RB 58043 des Eisenbahnverkehrsunternehmens (EVU) DB Regio AG gegen 13:00 Uhr vom Fahrdienstleiter (Fdl) Jossa die Zustimmung in den Zugfolgeabschnitt 941 einzufahren, obwohl dieser noch durch den Güterzug DGS 69235 des EVU boxXpress.de GmbH besetzt war.</t>
  </si>
  <si>
    <t>Bf Jossa – Bf Burgsinn</t>
  </si>
  <si>
    <t>keine</t>
  </si>
  <si>
    <t>Ereignisursächlich war ein Arbeitsfehler des für den Streckenabschnitt zuständigen Fahrdienstleiters Jossa. Dieser deutete den durch DGS 69235 belegten und deshalb als besetzt angezeigten Zugfolgeabschnitt 941 als eine Störung des selbsttätigen Streckenblocks, statt zu prüfen ob sich eine Zugfahrt in diesem befand. Des Weiteren erteilte er der RB 58043 keinen schriftlichen Befehl 9 zum Fahren auf Sicht im vermeintlich gestörten Zugfolgeabschnitte 941. Ereignisbegünstigend wirkte sich ein dem Ereignis unmittelbar vorausgegangener Fehler in der Zugnummernmeldeanlage des Stellwerks Jossa aus.</t>
  </si>
  <si>
    <t>CZ-4727</t>
  </si>
  <si>
    <t>Unauthorised train movement other than SPAD, 19-02-15, Vratimov, control station; Siding of company AWT, a. s. (Czech Republic)</t>
  </si>
  <si>
    <t>Uncontrolled movement of shunting operation with consequent derailment of 21 freight wagons at Paskov siding.</t>
  </si>
  <si>
    <t>Vratimov, control station; Siding of company AWT, a. s.</t>
  </si>
  <si>
    <t>• not terminating of ride of shunting operation at the Staríc district of Paskov siding;_x000D_
• failure to perform a brake test of the shunting operation before ride from Staríc district to the siding track No. 90 at Paskov siding.</t>
  </si>
  <si>
    <t>• failure to interconnect the pressure pipe of air brake between locomotive and first wagon of shunting operation;_x000D_
• failure to detect the unconnected pipe of air brake between locomotive and wagons of shunting operation, due to failure to keep an eye on air pressure gauge displays.</t>
  </si>
  <si>
    <t>UK-4748</t>
  </si>
  <si>
    <t>Trains collision with an obstacle, 22-02-15, Froxfield (United Kingdom)</t>
  </si>
  <si>
    <t>A collision between a high speed train (HST) and a bridge parapet which had fallen onto the railway at Oak Hill, an unclassified road off the A4 on the edge of the village of Froxfield, between Hungerford and Bedwyn. The accident occurred at about 17:31 hrs on Sunday 22 February 2015, when the heavily loaded 16:34 hrs First Great Western service from London Paddington to Penzance (train reporting number 1C89) hit brick debris while travelling at about 90 mph (145 km/h). The train driver had no opportunity to brake before hitting the debris, and the impact lifted the front of the train. Fortunately, the train did not derail, and the driver applied the emergency brake. The train stopped after travelling a further 730 metres (800 yards). There were no injuries. The leading power car sustained underframe damage and there was damage to the train’s braking system._x000D_
_x000D_
The bridge parapet had originally been struck at about 17:20 hrs by a reversing articulated lorry. The lorry driver had turned off the A4 at a junction just north of the railway bridge, and crossed over the railway before encountering a canal bridge 40 metres further on which he considered to be too narrow for his vehicle. A pair of road signs located just south of the A4 junction warn vehicle drivers of a hump back bridge and double bends but there were no weight or width restriction signs. The lorry driver stopped before the canal bridge and attempted to reverse round a bend and back over the railway bridge without assistance, and was unaware when the rear of his trailer first made contact with, and then toppled, the brick parapet on the east side of the railway bridge. The entire parapet, weighing around 13 tonnes, fell onto the railway, obstructing both tracks. This was witnessed by a car driver who was travelling behind the lorry. The car driver left his vehicle to alert the lorry driver and he then contacted the emergency services by dialing 999 on his mobile phone at about 17:21 hrs.</t>
  </si>
  <si>
    <t>Froxfield</t>
  </si>
  <si>
    <t>The eastern parapet of Oak Hill Road overline bridge had been pushed off onto the tracks below and the driver of the approaching train was unaware of the obstruction ahead (paragraph 40).</t>
  </si>
  <si>
    <t>The causal factors were:_x000D_
a. An HGV on the bridge reversed into the eastern parapet, pushing it over onto the tracks below (paragraph 42, Recommendations 2 and 3, Learning point 2)._x000D_
b. The train was not stopped before it collided with the debris, due to delays in informing the railway about the obstruction (paragraph 61, Recommendation 1, Learning point 1)._x000D_
c. The train driver was not able to stop the train within his sighting distance of the obstruction (paragraph 83, no recommendation)._x000D_
Underlying factors_x000D_
103 The underlying factors were:_x000D_
a. In accordance with WBC’s policy on fitting road signage, there were no road signs to warn drivers that Oak Hill Road was not suitable for HGVs (paragraph 56, see paragraph 110)._x000D_
b. Network Rail’s procedure for fitting identification plates to overline bridges did not apply directly to the Oak Hill Road overline bridge, because it had no prior history of bridge strikes (paragraph 68, Recommendation 1)._x000D_
c. The DfT and Network Rail procedures for assessing the risk from RVI do not specifically address the risk of incursion of bridge debris from a road traffic accident on an overline bridge. This was an underlying factor (paragraph 74, Recommendations 2 and 3).</t>
  </si>
  <si>
    <t>CZ-4734</t>
  </si>
  <si>
    <t>Accident to persons caused by RS in motion, 27-02-15, Cernotín (Czech Republic)</t>
  </si>
  <si>
    <t>a passenger got trapped in the doors, consequently towed and injured by regional passenger train No. 3237.</t>
  </si>
  <si>
    <t>Cernotín</t>
  </si>
  <si>
    <t>Direct cause:_x000D_
• setting the regional passenger train No. 3237 in motion with the passenger who was trapped in the last door of train through her travel bag in Cernotín railway stop._x000D_
_x000D_
Contributory factor:_x000D_
• the electric unit (type 460) was not equipped with device, which doesn’t allow departure of the train, if doors of the train are not completely closed.</t>
  </si>
  <si>
    <t>Underlying cause:_x000D_
• unconscious mistake of driver of the train No. 3237 before departure from railway stop Cernotín, which resulted:_x000D_
 ? not detection of passenger, who was locked in the rear doors of the train;_x000D_
 ? not detection of signal of opened doors at the cab of train driver._x000D_
_x000D_
Root cause:_x000D_
failure to take adequate measures by the railway undertaking of the train No. 3237 to prevent incidents based on taking account to final report and safety recommendations issued by Railway Safety Inspection Office where was recommended to the railway undertaking, besides other things to improve traction control system of train unit type 460 in order to disable setting the train in motion unless the doors are completely closed.</t>
  </si>
  <si>
    <t>HR-4738</t>
  </si>
  <si>
    <t>Level crossing accident, 27-02-15, Kosovo (Croatia)</t>
  </si>
  <si>
    <t>On 27 February 2015 at 17:58 hours, at the level crossing in the village of Kosovo, on line M604, there was a collision of freight train number 61103 and a truck driven by a foreign national. 
Dana 27. veljace 2015. u 17:58 sati, na ŽCP-u „Knauf“ u mjestu Kosovo, na pruzi M604, došlo je do sudara teretnog vlaka broj 61103 i teretnog motornog vozila kojim je upravljao strani državljanin.</t>
  </si>
  <si>
    <t>Kosovo</t>
  </si>
  <si>
    <t>izlazak teretnog motornog vozila na ŽCP bez prethodne provjere mogucnosti sigurnog prolaza preko ŽCP-a (poglavlje 4.1). 
Lory driver entered in to the level crossing without checking if a train was coming (chapter 4.1).</t>
  </si>
  <si>
    <t>-       ŽCP „Knauf“ je pasivno osiguran (poglavlje 4.5),_x000D_
-	brzina prometovanja željeznickih vozila (poglavlje 3.2.3.), _x000D_
-	konstrukcijsko rješenje prelaska prometnice na samom ŽCP-u i neposredno u blizini (oštar zavoj i suženje kolnika) – poglavlje 5.5,_x000D_
-	intenzitet kamionskog prometa (poglavlje 5.4). 
-	Level crossing is passively secured (chapter 4.5)_x000D_
-	Speed of trains (chapter 3.2.3) _x000D_
-	Construction of the road in front of the level crossing (the curve and narrowing of the road) – chapter 5.5_x000D_
-	Intensity of lorry traffic (chapter 5.4)</t>
  </si>
  <si>
    <t>DE-4762</t>
  </si>
  <si>
    <t>Unauthorised train movement other than SPAD, 03/03/2015, Enzisweiler (Germany)</t>
  </si>
  <si>
    <t>Am 03.03.2015 gegen 09:09 Uhr fuhr der Personenzug IRE 4226 der DB ZugBus Regionalver-kehr Alb-Bodensee GmbH (RAB) in das noch durch den Personenzug RE 3245 der RAB besetz-te Gleis 2 des Bahnhofs (Bf) Enzisweiler ein und kam etwa 20 m vor diesem zum Stillstand.
Der Bf Enzisweiler befand sich an der eingleisigen, nicht elektrifizierten Hauptbahn Fried-richshafen Stadt, W 105 – Abzw Lindau-Aeschach, W 2. Die Strecke wird im Verzeichnis der örtlich zulässigen Geschwindigkeiten (VzG) mit der Streckennummer 4530 geführt. Die Stre-cke durfte gemäß VzG im betroffenen Abschnitt mit einer maximalen Geschwindigkeit von 100 km/h, für Züge mit aktiver Neigetechnik von 120 km/h, befahren werden und war für einen Bremsweg von 700 m ausgelegt. Die Strecke war mit dem digitalen Zugfunk Global System for Mobile Communications Railway (GSM-R) ausgerüstet. Als Zugsicherungssystem kam die punktförmige Zugbeeinflussung sowie für das bogenschnelle Fahren mit aktiver Neigetechnik die Geschwindigkeitsüberwachung für NeiTech-Züge zur Anwendung.</t>
  </si>
  <si>
    <t>Bf Enzisweiler</t>
  </si>
  <si>
    <t>DB ZugBus Regionalverkehr Alb-Bodensee GmbH (RAB)</t>
  </si>
  <si>
    <t xml:space="preserve">Personen wurden weder verletzt noch getötet. Es entstanden keine Sachschäden. Die Strecke war in Folge des Ereignisses für etwa zwei Stunden gesperrt und es wurde ein Busnotverkehr eingerichtet.
</t>
  </si>
  <si>
    <t>Ursächlich für die Entstehung des Ereignisses war die nicht korrekte Anwendung der mittelbaren Fahrwegprüfung in Verbindung mit der Nichtanbringung der erforderlichen Hilfssperren nach dem Halt des Zuges RE 3245 vor dem Asig D. Diese hätten bei Kreuzungen und Überholungen nach Ril 408.0231 Abschn. 3 Abs. 8a in Kombination mit Anhang 15 zu den örtlichen Richtlinien für Mitarbeiter auf den Betriebsstellen für den Bf Enzisweiler nach Halt des Zuges sofort angebracht werden müssen.</t>
  </si>
  <si>
    <t>Beitragender Faktor war die fehlende technische Überwachung der nicht einsehbaren Bereiche im Stellbereich des Stw Enzisweiler. Hinzu kamen die Unsicherheiten des Fdl im Umgang mit der ungewohnten Betriebssituation, die durch die Defizite in Ausbildung und örtlicher Einarbeitung begünstigt wurden.</t>
  </si>
  <si>
    <t>ES-4755</t>
  </si>
  <si>
    <t>Train derailment, 04-03-15, Between Collado Albo and Siete Picos stations (Madrid) (Spain)</t>
  </si>
  <si>
    <t>Passenger train partially derailed at PK 7,855 of Los Cotos-Cercedilla railwayline, between Collado Albo and Siete Picos stations. No personal damages</t>
  </si>
  <si>
    <t>Between Collado Albo and Siete Picos stations (Madrid)</t>
  </si>
  <si>
    <t>Infrastructure failure: gauge widening caused by por condition of wooden sleepers and fasteners.</t>
  </si>
  <si>
    <t>NL-4737</t>
  </si>
  <si>
    <t>Trains collision, 06-03-15, Tilburg (The Netherlands)</t>
  </si>
  <si>
    <t>A collision between a passengertrain and the backend of a standing freighttrain, most likely caused by a SPAD. The last wagon of the freighttrain was a tank car, loaded with butadieen. There was a little leakage of butadieen. The leak was closed by icing and then the tank was unloaded. A few passengers and 1 staff member of the passengertrain are slightly injured by the collission; 3 people (policeman) are slightly injured by inhaling butadieen.</t>
  </si>
  <si>
    <t>Tilburg</t>
  </si>
  <si>
    <t>The investigation makes it clear that in addition to a red signal passage by the passenger train, the train collision in Tilburg was also brought about by decisions concerning the operational control of the freight train, which led to an increased risk level. _x000D_
_x000D_
It has also become clear that the safety of the transport of dangerous goods by rail could be improved through additional measures in respect of the composition of freight trains with dangerous goods, the design of tank wagons and the deployment of passenger trains with poor collision compatibility on routes via which dangerous goods are transported, respectively. _x000D_
_x000D_
Given the potential seriousness of railway accidents involving dangerous goods, both issues need to be tackled urgently. The responsibility for these actions lies with the railway undertakings involved, the railway manager (ProRail), and the chemical companies that order the transport of dangerous goods.</t>
  </si>
  <si>
    <t>DE-4784</t>
  </si>
  <si>
    <t>Level crossing accident, 07/03/2015, Neustadt (Aisch) - Bad Windsheim (Germany)</t>
  </si>
  <si>
    <t>Regionalbahn 58690 kollidiert zwischen Neustadt (Aisch) und Bad Windsheim am Bahnübergang in km 9,29 mit einem Pkw 
Regional train 58690 collided between Neustadt (Aisch) and Bad Windsheim at level crossing at km 9,29 with a private car.</t>
  </si>
  <si>
    <t>Neustadt (Aisch) - Bad Windsheim</t>
  </si>
  <si>
    <t>DK-5754</t>
  </si>
  <si>
    <t>Accident to persons caused by RS in motion, 07-03-15, Odense Station (Denmark)</t>
  </si>
  <si>
    <t>On Saturday morning a field worker was aware that there was a person close to the rails, track 4 at Odense station. It was a young man who was (fatally) hit by a train. 
On Saturday morning a field worker pointed out that there was a person close to the rails, track 4 at Odense station. It was a young man, who was (fatal) hit by the train.</t>
  </si>
  <si>
    <t>Odense Station</t>
  </si>
  <si>
    <t>DB Schenker Rail Scandinavia A/S</t>
  </si>
  <si>
    <t>A young man crossed the tracks in the night (the station was closed), and was hit by a non-stop freight train.</t>
  </si>
  <si>
    <t>UK-4747</t>
  </si>
  <si>
    <t>Spad, 07-03-15, Wooton Bassett Junction (United Kingdom)</t>
  </si>
  <si>
    <t>An incident occurred at 17:25 hrs on Saturday 7 March 2015, in which train reporting number 1Z67, the 16:35 hrs service from Bristol Temple Meads to Southend, passed a signal at danger on the approach to Wootton Bassett junction, Wiltshire. The train subsequently came to a stand across the junction. The signal was being maintained at danger in order to protect the movement of a previous train. However, at the time that the SPAD occurred, this previous train had already passed through the junction and was continuing on its journey. No injuries, damage or derailment occurred as a result of the SPAD.</t>
  </si>
  <si>
    <t>Wooton Bassett Junction</t>
  </si>
  <si>
    <t>Train 1Z67 approached signal SN45 at too high a speed to stop before passing the signal at danger and coming to a stand across Wootton Bassett Junction (paragraph 62).</t>
  </si>
  <si>
    <t>Causal factors_x000D_
256 The driver of train 1Z67 had not taken account of the caution aspect at signal SN43 and reduced the train’s speed appropriately as it approached signal SN45 (paragraph 63a). This was due to a combination of the following factors:_x000D_
a. The driver did not see signal SN43 as train 1Z67 passed it (paragraph 67, Recommendation 1)._x000D_
b. The AWS warning relating to signal SN43 did not alert the driver that he had passed signal SN43 and that the signal was displaying a caution aspect. This was in part due to the way a temporary speed restriction on approach to the signal had been implemented (paragraphs 80 and 276, Recommendations 1 and 5)._x000D_
c. The driver did not realise that he had missed signal SN43 even though it was an important feature of the route on the approach to Wootton Bassett Junction (paragraph 89, no recommendation)._x000D_
257 The TPWS system on board Tangmere was unable to reduce the speed of train 1Z67 so as to prevent it from over-running the signal and the up Badminton line. This was because TPWS brake demands had been rendered ineffective by the train crew’s earlier use of the AWS isolating cock, in contravention of the relevant rules (paragraph 102). The isolating cock was opened due to a combination of the following factors:_x000D_
a. The driver had not acknowledged the AWS warning associated with the TSR within the required period and this caused an AWS brake demand (paragraphs 110 and 276, Recommendations 1 and 2)._x000D_
b. The driver did not want the train to come to stand as a result of the AWS brake demand (paragraph 118, Recommendations 1 and 2)._x000D_
c. The driver and fireman had a low perception of the risk of using the AWS isolating cock to by-pass the AWS brake demand (paragraphs 121, 266, 268, 269 and 276, Learning point 1, Recommendations 1 and 2)._x000D_
Underlying factors_x000D_
258 The way that the AWS system on Tangmere was designed and installed meant that AWS warning horns were not always audible to drivers. This meant that the AWS system did not meet the requirements of the relevant standards. In addition, the AWS isolating cock was in a position which was accessible to train crew when the train was moving. Despite this, the AWS system was certified as being compliant with the relevant standards and the locomotive was permitted to enter into service (paragraphs 141 and 276, Recommendation 1)._x000D_
259 The TSR in force on the approach to Wootton Bassett Junction was based on an earlier emergency speed restriction. However, the design of this emergency speed restriction was based on incorrect information. This ultimately resulted in the warning board for the TSR being placed between the fixed AWS magnet for signal SN43 and the signal itself, even though this was not permitted by the relevant standards. Opportunities to correct this error during implementation of the ESR and TSR were also missed (paragraph 168, Recommendation 5)._x000D_
260 West Coast Railways had a weak safety culture. This affected how its staff complied with the requirements of the Rule Book, relevant railway group standards and the company’</t>
  </si>
  <si>
    <t>UK-4886</t>
  </si>
  <si>
    <t>Other event, 07-03-15, Scout Green (United Kingdom)</t>
  </si>
  <si>
    <t>An empty 30 foot container was blown off an FEA(B) wagon that formed part of train 4S83 (the 23:54 hrs service from Basford Hall to Coatbridge). The train was travelling at around 75 mph (120 km/h) on the down main line in the vicinity of Scout Green, Cumbria, around 2.5 miles south of Shap Summit. The container passed over the adjacent up main line and came to rest at the bottom of the up side embankment. There was no damage to train 4S83, any other train, the overhead line equipment or the track. Trees on the embankment and a boundary wall at its foot were knocked over. _x000D_
The incident took place at a time of high cross winds. Although it did not result in injuries, the potential for more serious consequences is evident._x000D_
The wagon involved was fitted with UIC spigots to retain containers on a flat wagon deck. The ability of wagons fitted with such spigots to retain containers subject to overturning forces, such as those developed in high cross winds, is dependent on compliance with the dimensional tolerances specified in standard UIC 571-4. Investigation of previous similar incidents at Hardendale and Cheddington in 2008, concluded that spigots which do not comply with UIC 571-4 are ineffective in such circumstances. The inward hinging spigots fitted to FEA(B) wagon involved in this incident did not comply with the standard. _x000D_
The freight train operator was aware of this and was aiming to control the risk of containers being blown off by the following procedural means:_x000D_
•if winds of over 55 mph (88 km/h) are forecast, any empty containers should be pinned down or the maximum train speed reduced to 60 mph (96 km/h); and_x000D_
•if winds over 65 mph (104 km/h) are forecast, any empty containers should be removed or pinned down._x000D_
The forecast wind-speeds for Cumbria at the time were less than 55 mph (88km/h) which meant there was no procedural requirement to limit the train’s speed or pin down empty containers. However, local measurements at Shap weather-station, suggest that the actual local wind-speed was around 62 mph (100 km/h)._x000D_
The freight operator has since reduced the 55 mph (88km/h) wind-speed threshold to 41 mph (66 km/h) and issued a National Incident Report (NIR) to inform the rest of the railway industry. RAIB have issued Urgent Safety Advice.</t>
  </si>
  <si>
    <t>Scout Green</t>
  </si>
  <si>
    <t>The container detachments were caused by strong gusting winds combined with the speed of the trains, and a defective design of container retention.</t>
  </si>
  <si>
    <t>NO-4740</t>
  </si>
  <si>
    <t>Trains collision, 10-03-15, Alna and Nyland station on the Hovedbanen line (Norway)</t>
  </si>
  <si>
    <t>On Tuesday 10 March 2015, at approximately 11.00, passenger train 7224 collided with a crane on a work train of the LM type. 
Tirsdag 10. mars 2015 ca. kl. 1100 støtte persontog 7224 sammen med kranen på et arbeidstog type LM.</t>
  </si>
  <si>
    <t>Alna and Nyland station on the Hovedbanen line</t>
  </si>
  <si>
    <t>Jernbaneverket; 
NSB AS</t>
  </si>
  <si>
    <t>The crane's transport securing devices consisted of a hydraulic lock and a bracket that was intended to hold the jib in place. In the AIBN's opinion, both these securing devices failed. The vertical track faults along the track probably also contributed to the incident.</t>
  </si>
  <si>
    <t>FI-4744</t>
  </si>
  <si>
    <t>Trains collision near miss, 12-03-15, Oulunkylä, Helsinki Riihimäki section of line (Finland)</t>
  </si>
  <si>
    <t>On Thursday, 12 March 2015 at 1.19 pm, an incident occurred at Pukinmäki Station after two Sm4 commuter trains ended up within the same block section. The incident occurred after the H train stopped as a result of a malfunction in safety device on the neutral section following signal E581. The engine driver let the train "roll"1 backwards in order to exit the neutral section, causing it to enter the block section of the Z train following it on the same track.</t>
  </si>
  <si>
    <t>Oulunkylä, Helsinki Riihimäki section of line</t>
  </si>
  <si>
    <t>The immediate cause of the incident was the H train reversing gravity-assisted into the block section of the Z train.</t>
  </si>
  <si>
    <t>The occurrence of the incident was affected by a malfunction of the safety device pedal that had been reported several times but that could not have been repaired. Furthermore, the unspecific and infrequent communications during the incident contributed to the occurrence._x000D_
The engine driver was unable to resolve the technical problems that led to the incident due to his lack of experience and insufficient training. Technical support was also not easily available.</t>
  </si>
  <si>
    <t>UK-4749</t>
  </si>
  <si>
    <t>Accident to persons caused by RS in motion, 12-03-15, Clapham South (United Kingdom)</t>
  </si>
  <si>
    <t>A passenger fell between a train and the platform, after being dragged for a short distance by a train departing from Clapham South station on the London Underground system._x000D_
The accident occurred on the northbound Northern Line platform at around 08:00 hrs on Thursday 12 March 2015. The train had stopped normally in the platform and passengers had alighted and boarded. A member of staff on the platform who was acting in the role of station assistant (train services) signalled to the train operator to commence the door close procedure. Shortly afterwards, the train operator started to close the train’s doors. Before the doors fully closed, one set was obstructed and the doors reopened. A passenger who had just boarded, and found that the available standing space was uncomfortable, decided to step back off the train, onto the platform, in order to catch the following train. As the doors reclosed, the edge of this passenger’s coat became trapped between the door leaves._x000D_
The train operator, who was unaware of the situation, started to drive the train into the tunnel and the passenger was dragged along the platform by her coat. While checking the platform camera view displayed in his cab, the train operator saw passengers stepping aside and a person moving with the train, and applied the train brakes. However, before the train came to a stop, the passenger fell to the ground, off the platform edge and into the gap between the 4th and 5th carriages, having become separated from her coat. The train stopped after travelling about 60 metres._x000D_
The passenger suffered serious injuries to her arm and head, and was taken to hospital; she is now recovering. The RAIB’s investigation will seek to understand the sequence of events and will review the arrangements in place for safe dispatch of trains from London Underground stations and the risk arising from items becoming trapped in London Underground train doors.</t>
  </si>
  <si>
    <t>Clapham South</t>
  </si>
  <si>
    <t>The passenger’s coat became trapped in the train door so that she was dragged and then fell beneath the train as it started to move out of the platform (paragraph 34).</t>
  </si>
  <si>
    <t>The causal factors were:_x000D_
a. The passenger’s coat became trapped in the door (paragraph 36, no recommendation)._x000D_
b. The passenger was unable to remove the coat from between the door leaves after it became trapped (paragraph 40, Recommendation 1)._x000D_
c. The train’s door control system did not detect that an object was trapped between the door leaves (paragraph 65, Recommendation 1)._x000D_
d. The design of the in-cab CCTV system did not allow the train operator to see that the passenger’s coat was trapped before he started the train moving (paragraph 70, Recommendation 1)._x000D_
e. The CSA was unaware that the passenger was trapped until after the train started moving (paragraph 87, no recommendation)._x000D_
f. The gap between the train and the platform was large enough for the passenger to fall through (paragraph 93, Recommendation 1).</t>
  </si>
  <si>
    <t>ES-4756</t>
  </si>
  <si>
    <t>Runaway, 18-03-15, Veriña station (Asturias) (Spain)</t>
  </si>
  <si>
    <t>A locomotive runaway that ends with a collision with a buffer.</t>
  </si>
  <si>
    <t>Veriña station (Asturias)</t>
  </si>
  <si>
    <t>Human error, when the driver abandoned the locomotive with its engine running, without taking the necessary safety measures to prevent uncontrolled movements. Moreover, the "dead man" device was inoperative and the parking brake was not functioning properly.</t>
  </si>
  <si>
    <t>FI-4745</t>
  </si>
  <si>
    <t>Unauthorised train movement other than SPAD, 18-03-15, Hyvinkää, Helsinki Riihimäki section of line (Finland)</t>
  </si>
  <si>
    <t>Incident, risk of derailment in turnout</t>
  </si>
  <si>
    <t>Hyvinkää, Helsinki Riihimäki section of line</t>
  </si>
  <si>
    <t>The direct cause of the incident was the train's speeding while running to a switch.</t>
  </si>
  <si>
    <t>The incident was a result of the engine driver forgetting to switch on the ATP engine device and not realising this at any point but driving the train trusting the ATP control system. The driver's concentration on the performance of his work was likely compromised due to his personal phone calls and messaging._x000D_
The progress of the incident was facilitated by the engine driver being solely responsible for switching on the ATP device, and nothing in the cabin gave a clear warning to him of the system not being switched on. Furthermore, the progress of the incident was affected by the fact that the speed of the train is not limited while it is running without the ATP device.</t>
  </si>
  <si>
    <t>HR-4752</t>
  </si>
  <si>
    <t>Trains collision with an obstacle, 19-03-15, Beli Manastir (Croatia)</t>
  </si>
  <si>
    <t>On 19.03.2015 on the truck M301 (Osijek - Beli Manastir), there was a collision of passenger commuter train with a fallen tree. 
Dana 19.03.2015.  godine na pruzi M301 (Osijek - Beli Manastir) došlo je do naleta putnickog vlaka na srušeno stablo.</t>
  </si>
  <si>
    <t>Beli Manastir</t>
  </si>
  <si>
    <t>National rules imposed by implementing of the Safety Directive 2004/49/EC; 
in light of Article 19 §2 of SD"; 
(a) the seriousness of the accident or incident</t>
  </si>
  <si>
    <t>Izravni uzrok ove nesrece je nalet vlaka na stablo koje je palo na prugu. 
The Immediate cause of this accident was rush of the train on a tree that had fallen onto the tracks.</t>
  </si>
  <si>
    <t>Temeljni uzroci: ne pridržavanje propisanih postupaka definiranih u Pravilniku o zaštiti na radu u šumarstvu (NN10/86). 
The root causes: non-compliance with prescribed procedures defined in the Ordinance on Occupational Safety in forestry (NN 10 / 86).</t>
  </si>
  <si>
    <t>UK-4775</t>
  </si>
  <si>
    <t>Train derailment, 23-03-15, Washwood Heath (United Kingdom)</t>
  </si>
  <si>
    <t>A freight train had derailed and then re-railed when crossing from the Up Derby Slow line to the Down Derby Fast line. The train was brought to a stand at Landor Street Junction at 08:10 hrs and the driver was asked to examine the train. He found evidence that the 10th wagon on the train had run derailed._x000D_
The freight train was the 05:58 hrs Basford Hall (Crewe) to Southampton container service. It consisted of a Class 66 locomotive pulling a mix of 24 container wagons and had been travelling at 15 mph while negotiating a series of crossovers. The wagon that derailed was an IKA wagon (8049091473), consisting of two flat wagons permanently coupled together. Examination of the track confirmed that the train had run derailed for a distance of 121 metres, before re-railing at a set of trailing points. The derailment caused significant damage to track and signalling equipment. No-one was injured.</t>
  </si>
  <si>
    <t>Wagon 37 80 4909 147-3 was unable to negotiate track with the amount of curvature and twist that was present in 802B points at Washwood Heath West Junction (paragraph 58).</t>
  </si>
  <si>
    <t>e causal factors were:_x000D_
a. The leading bogie of the trailing platform of wagon 37 80 4909 147-3 was unable to rotate freely, and the amount by which the vertical load on the wheels reduced when the wagon encountered a track twist was excessive (paragraph 60). This causal factor arose due to a combination of the following:_x000D_
i. The bogie centre pivot liners of the wagon were worn well beyond their maintenance limits (paragraph 67 and Recommendation 1)._x000D_
ii. The worn centre pivot liners had not been identified and replaced during maintenance (paragraph 77 and Recommendation 1)._x000D_
b. The track contained a twist fault that, once detected, Network Rail’s standard stated should be repaired within 36 hours (paragraph 101). This causal factor arose due to a combination of the following:_x000D_
i. The track through crossover 802 contained a designed twist due to the cant difference between the slow and fast lines (paragraph 105)._x000D_
ii. The two-levelled baseplates beneath the rails of the crossover were not installed in accordance with the design drawing (paragraph 109 and Recommendation 3)._x000D_
iii. The twist that was present in 802B points at the time of the derailment had not been identified by Network Rail maintenance staff (paragraph 119 and Recommendation 3)._x000D_
Underlying factor_x000D_
136 AAE’s processes for management of maintenance were not robust and allowed the centre pivot liners of its Megafret wagons in the UK to deteriorate to an unsafe state (paragraphs 94 and 144).</t>
  </si>
  <si>
    <t>CZ-4742</t>
  </si>
  <si>
    <t>Level crossing accident, 24-03-15, Obratan, Ceská republika (Czech Republic)</t>
  </si>
  <si>
    <t>collision of regional passenger train No. 18422 with an obstacle – a lorry at the level crossing with consequent derailment.</t>
  </si>
  <si>
    <t>Obratan, Ceská republika</t>
  </si>
  <si>
    <t>Direct causes:_x000D_
• third party – level crossing user (car driver's violation);_x000D_
• driver's failure to respect of the light warning of the level crossing._x000D_
Contributory factor: _x000D_
• exceeding the speed limit in front of a level crossing by the driver of the lorry.</t>
  </si>
  <si>
    <t>Underlying causes:_x000D_
• truck driver’s behaviour before proceeding over the level crossing: oversight of the warning traffic signs, the driver overlooked the warning traffic signs and he wasn't careful enough and did not make sure, whether he can safely proceed over the level crossing;_x000D_
• not giving priority to railway transport at a level crossing._x000D_
Root cause: none.</t>
  </si>
  <si>
    <t>CZ-4750</t>
  </si>
  <si>
    <t>Trains collision, 28-03-15, between stations Velké Å½ernoseky and Litomerice dolní nádraÅ¾í (Czech Republic)</t>
  </si>
  <si>
    <t>The freight train No. 148359 passed the signal device No. S1 with the signal “Stop” on it and entered the track occupied by another the freight train No. 53668.</t>
  </si>
  <si>
    <t>between stations Velké Å½ernoseky and Litomerice dolní nádraÅ¾í</t>
  </si>
  <si>
    <t>Direct Cause: unauthorized movement of freight train No 148359 into the section between Žernoseky and Litomerice stations occupied by oncoming train No. 53668._x000D_
Contributory factor: the absence of technical equipment that would prevent the train from passing signal at danger.</t>
  </si>
  <si>
    <t>Underlying cause: failure to observe technological procedures of infrastructure manager by train driver of freight train No. 148359, failure to stop the train before the signal "Stop" of the main signal device S1 at the Velké Žernoseky station._x000D_
Root cause: none.</t>
  </si>
  <si>
    <t>ES-4825</t>
  </si>
  <si>
    <t>Train derailment, 31-03-15, Medina del Campo station (Valladolid) (Spain)</t>
  </si>
  <si>
    <t>Freight train partially derailed at Medina del Campo station. No personnal damages.</t>
  </si>
  <si>
    <t>Medina del Campo station (Valladolid)</t>
  </si>
  <si>
    <t>The accident was caused due to an infrastructure failure and in particular due to values of warp being out of tolerance</t>
  </si>
  <si>
    <t>HU-4760</t>
  </si>
  <si>
    <t>Trains collision with an obstacle, 05-04-15, Budapest Keleti (Hungary)</t>
  </si>
  <si>
    <t>The train did not stopped before the buffer stop, and hit it moving by low speed 
A vonat nem állt meg az ütközobak elott és neki ütközött</t>
  </si>
  <si>
    <t>Budapest Keleti</t>
  </si>
  <si>
    <t>Human failure</t>
  </si>
  <si>
    <t>DE-4761</t>
  </si>
  <si>
    <t>Train derailment, 07-04-15, Eschhofen (Germany)</t>
  </si>
  <si>
    <t>RB 15423 kommt bei der Ausfahrt aus dem Bf Eschofen auf der spitz zu befahrenden Weiche 611 entgleist zum Stehen. Es entgleist das führende Triebfahrzeug 91-80 6143 021-4  mit dem in Fahrtrichtung dritten und vierten Radsatz. 
During exit from railway station Eschofen on facing points 611, the regional train 15423 stopped because of derailment. It derailed the leading engine 91-80 6143 021-4  with the third and fourth wheelset in travel direction.</t>
  </si>
  <si>
    <t>Eschhofen</t>
  </si>
  <si>
    <t>DB Regio Hessen GmbH</t>
  </si>
  <si>
    <t>Aufgrund eines Radsatzwellenbruchs an der zweiten Achse des nachlaufenden Drehgestells beim Tfz 90 80 6143 021-4 und der dadurch entstehenden Vergrößerung des Ar Maßes kommt es bei der Abfahrt der RB 15423 im Bf Limburg zu Anschlagsspuren an Radlenkern und Weichen. Bei der Durchfahrt der Weiche 611 in Eschhofen kommt es schließlich zur Entgleisung des zweiten Drehgestells. 
Due to a wheelset fracture on the second axle of the running bogie at traction unit 90 80 6143 021-4 and the resulting increase of the are dimension, during departure of RB 15423 at Limburg railway station, there were collision traces at guard rails and railway switches. When driving through railway switch 611 in Eschhofen, the second bogie derailed.</t>
  </si>
  <si>
    <t>HU-4759</t>
  </si>
  <si>
    <t>Train derailment, 07-04-15, Jánoshegy (Hungary)</t>
  </si>
  <si>
    <t>The engine has derailed and turn on. 
A vonat mozdonya kisiklott és felborult.</t>
  </si>
  <si>
    <t>Jánoshegy</t>
  </si>
  <si>
    <t>MÁV Co.</t>
  </si>
  <si>
    <t>Track failure</t>
  </si>
  <si>
    <t>AT-4788</t>
  </si>
  <si>
    <t>Trains collision with an obstacle, 08-04-15, Station Linz-Ebelsberg (Austria)</t>
  </si>
  <si>
    <t>Am 8. April 2015 ereignete sich in der Hst Linz-Ebelsberg eine Kollision des Z 47980 mit einem Kinderwagen. _x000D_
Ein unbeaufsichtigter am Bahnsteig befindlicher Kinderwagen, in dem sich ein Kleinkind befand, rollte Richtung Bahnsteigkante und stürzte zwischen zwei Wagen des die Hst Linz-Ebelsberg durchfahrenden Z 47980. Dabei wurde das Kleinkind aus dem Kinderwagen geschleudert und vom Zug erfasst. Es verstarb noch an der Unfallstelle. _x000D_
Die Ursache war ein unbeabsichtigtes Entrollen des Kinderwagens mit anschließendem Sturz auf Gleis 2. 
On April 8, 2015 a collision between a stroller and a RID freight train occurs at the station Linz-Ebelsberg._x000D_
The parked stroller at the platform sat down by wind action in motion. Thus, the stroller collided laterally with the 12th car of the train. The children in the stroller died at the accident site._x000D_
The cause was the lack of supervision and the insufficient fixing of the stroller.</t>
  </si>
  <si>
    <t>Station Linz-Ebelsberg</t>
  </si>
  <si>
    <t>Die Ursache war ein unbeabsichtigtes Entrollen des Kinderwagens mit anschließendem Sturz auf Gleis. 
The cause was the stroller driving away involuntarily and subsequently crashing onto the rail track.</t>
  </si>
  <si>
    <t>HU-4767</t>
  </si>
  <si>
    <t>Train derailment, 08-04-15, Nogradszakal station (Hungary)</t>
  </si>
  <si>
    <t>One of the wagons of freight train No. 83331 has derailed at Nogradszakal station due to an operational failure. In consequence of a failure the bogies of the wagon ran on separate track at the switch No 1 and the wagon derailed at the other side of the station. 
A 83331 sz. tehervonat egyik kocsija kisiklott Nógrádszakál állomáson. Aláváltás következtében az 1 sz. kitéronél a jármu forgóvázai külön vágányra futottak, majd a jármu az állomás másik végén kisiklott.</t>
  </si>
  <si>
    <t>Nogradszakal station</t>
  </si>
  <si>
    <t>ZS Cargo Slovakia a.s.</t>
  </si>
  <si>
    <t>In the opinion of the IC, the occurrence may be attributed to human factors, as the switch No. 1 of Nógrádszakál station was set to straight direction position before the train No. 83331 left it, and without an authorisation given to the pointsman, and as a result of that, the bogies of the last but one wagon in the train set ran on different tracks, and the wagons derailed.</t>
  </si>
  <si>
    <t>The train No. 83331 was allowed to access in diverging direction instead of the straight direction specified in the service timetable given to the station._x000D_
The train No. 83331 accessing Nógrádszakál station failed to stop in front of the switch No 1 which was set inappropriately (in diverging direction) for it._x000D_
The train stopping at Nógrádszakál station to change crew stopped at another lo-cation than that specified in the instructions, and due to that, the tail of the train was left outside the entry signal of the station._x000D_
Some of the provisions in “Station Instructions for traffic management on the Malé Straciny/Nógrádszakál – Ipolytarnóc /Lucenec shared (peage) railway line used by MÁV Ltd. and ŽSSK CARGO a.s.” have become outdated, have not been adapted to changes, and due to that, daily practice has developed procedures differing from those provisions.</t>
  </si>
  <si>
    <t>UK-4774</t>
  </si>
  <si>
    <t>Accident to persons caused by RS in motion, 10-04-15, West Wickham (United Kingdom)</t>
  </si>
  <si>
    <t>A passenger whose bag became trapped in the closing doors of a train from which she was alighting, and was then dragged under the train as it departed. The passenger suffered life-changing injuries._x000D_
The train was formed of two four-car Class 465 units coupled together. The doors involved were the rear passenger doors on the last vehicle of the leading 465 unit. The train was being driven by a trainee driver, under the supervision of an instructor driver._x000D_
At West Wickham station train drivers are responsible for checking that it is safe for the train to depart after the doors have been closed. As is normal at many such stations, no other members of staff are provided on the train or platform to assist with train dispatch. To assist train drivers view the side of the train, CCTV monitors are positioned next to the stopping position of the driving cab to enable the driver to see the train in the platform._x000D_
The train arrived on time at West Wickham and a passenger alighted from the third coach of the leading unit of the train. Shortly afterwards, the passenger involved in the accident opened the rear door on the fourth coach of the leading unit and started to alight. Before the doors were fully open, they, together with the door that had already been opened on the third coach, began to close. Although the passenger was able to get through the doors, the strap of a bag she was carrying became trapped in the closing doors._x000D_
Neither the trainee driver nor the instructor saw that a person was trapped by the train doors before the train was driven away from the platform._x000D_
While the passenger was still attempting to free the strap from between the doors, the train began to move and she was pulled along the platform before losing her balance. The passenger was then dragged off the platform and under the train, falling onto the track between the fourth and fifth vehicles.</t>
  </si>
  <si>
    <t>West Wickham</t>
  </si>
  <si>
    <t>A strap on the passenger’s backpack was trapped by the train doors as they closed. As the train departed from the platform, she was dragged until she fell onto the platform and then into the gap between the platform and train (paragraph 39).</t>
  </si>
  <si>
    <t>The causal factors were:_x000D_
a. The train doors closed unexpectedly and quickly as the passenger stepped off the train (paragraph 42, Learning point 4 and Recommendation 1)._x000D_
b. The train doors were not released long enough to allow the passenger to get up, gather her belongings, and get off the train (paragraph 55, Learning point 1)._x000D_
c. The door obstruction detection system did not detect the trapped backpack strap. As a consequence, the driver was able to take power and drive the train out of the station (paragraph 62)._x000D_
d. The passenger was not able to pull the trapped backpack from the doors and her arm may have remained within the strap while she was dragged (paragraph 71)._x000D_
e. Although shown on the DOO monitors, neither driver was aware of the trapped passenger when the train doors were closing, or afterwards (paragraph 78, Learning points 2 and 3 and Recommendation 2)._x000D_
f. The gap between the platform and train was large enough for the passenger to fall into (paragraph 96 and previous recommendation at paragraph 127).</t>
  </si>
  <si>
    <t>RO-4765</t>
  </si>
  <si>
    <t>Railway vehicle movement events, 14-04-15, Agigea Nord station (Romania)</t>
  </si>
  <si>
    <t>the 4-th wagon from the freight train no. 82571 derialed</t>
  </si>
  <si>
    <t>Cauza directa a producerii acestui accident o constituie escaladarea firului din dreapta de catre roata nr.8 (a osiei 7-8, prima în sensul de mers al trenului) de la vagonul nr. 31535493160-4, ca urmare a maririi raportului dintre forta conducatoare si sarcina care actionau pe roata atacanta (roata din partea dreapta a osiei 7-8), depasindu-se astfel limita de stabilitate la deraiere. _x000D_
	Cresterea raportului dintre forta conducatoare si sarcina ce actionau pe roata atacanta a fost generata de descarcarea puternica de sarcina a rotii din dreapta a osiei 7-8 (prima în sensul de mers al trenului) ca urmare a torsionarii caii peste valoarea admisa._x000D_
Torsionarea caii peste valoarea limita admisa s-a produs în conditiile în care, cu ocazia lucrarilor de RPc efectuate în statia CFR Agigea Nord, în cazul diagonalei 15-19 nu s-a realizat aducerea liniilor vecine la aceeasi cota. 
The direct cause of this accident is the overclimbing of the right track by the wheel no.8 (of the axle 7-8, first in the running direction of the train) from the wagon no.31535493160-4, following the increase of the report between the driving force and the load that were acting on the atack wheel (the right wheel of the axle 7-8), so exceeding the derailment stability limit. _x000D_
	The increase of the report between the driving force and the load that were acting on the atack wheel was generated by the very important load transfer of the right wheel of the axle 7-8 (first in the train running direction) following the track twisting over the accepted value._x000D_
The track twisting over the accepted limit value happened because, during the works of periodical repair, performed in the railway station Agigea Nord, with reference to the cross-over 15-19, the close lines were not taken at the same quota.</t>
  </si>
  <si>
    <t>Cauze subiacente _x000D_
Nerespectarea prevederilor din Dosarul de Organizare al lucrarilor de RPc din statiei CFR Agigea Nord, referitoare la:_x000D_
?	reperarea pe teren a parametrilor geometrici proiectati ai caii înainte si dupa terminarea lucrarilor;_x000D_
?	masurarea zilnica a ecartamentului, nivelului transversal din 2,5 m în 2,5 m si a sagetilor pe portiunea de linie cu restrictie de viteza de 30 km/h; _x000D_
?	supravegherea zilnica a liniei între burajul I si burajul III si interventia în situatia în care apar deformatii în afara tolerantelor admise în exploatare._x000D_
_x000D_
Cauze primare_x000D_
Cauza primara a accidentului  o constituie întocmirea Dosarului de Organizare al lucrarilor de RPc din statia CFR Agigea Nord fara respectarea prevederilor art. 3 din Dispozitia CNCF „CFR” SA nr.12/2000, conform caruia, ,,cu ocazia lucrarilor de RPc si buraj mecanizat, pe zona aparatelor de cale, se va avea în vedere aducerea liniilor vecine la aceeasi cota, astfel încât diagonalele aferente sa fie în acelasi plan”. Astfel, prin acest dosar de organizare lucrarile au fost dimensionate eronat, fara a fi cuprinse în cadrul acestora si zona schimbatorului de cale nr.19 (diagonala 15-19 în totalitate). 
Underlying causes _x000D_
Infringement of the provisions from the File for the Organization of the Periodical Repair Works in the railway station Agigea Nord, for:_x000D_
?	marking on site of the designed geometric parammeters of the track, before and after the work finish;_x000D_
?	daily measurement of the gauge, of the cross level from 2,5 m in 2,5 m and of the deflections on the line with speed restriction of 30 km/h; _x000D_
?	daily monitoring of the line beween packing of sleepers I and packing of sleepers III and intervention if track distortions appeare out of the tolerances accepted in operation._x000D_
_x000D_
Root causes_x000D_
Root cause of the accident is that the File for the Organization of the Periodical repair in the railway station Agigea Nord was not made with the compliance with the provisions of  art. 3 from the Disposal of CNCF „CFR” SA no.12/2000, according which ,,during the works for periodical repair and mechanic packing of sleepers, in the switches area, one will take into account to take the close lines at the same quota, so the afferent crosses-over be in the same plane”. So, through the organization file the works were incorrect  sized, without included the switch no.19 (cross-over 15-19 completely).</t>
  </si>
  <si>
    <t>DE-4768</t>
  </si>
  <si>
    <t>Trains collision, 15-04-15, Karlsruhe Gbf (Germany)</t>
  </si>
  <si>
    <t>Am 15.04.2015 um 18:34 Uhr kollidiert DGS 43014 (Gallarate – Ludwigshafen BASF Ubf) der SBB Cargo GmbH bei der Einfahrt nach Gleis 104 im Bf Karlsruhe Gbf in der Weiche 41W809; km 0,780 mit einer aus Gleis 103 abgelaufenen Wagengruppe. Die abgelaufene Wagengruppe besteht aus fünf beladenen und einem leeren Kesselwagen mit Gefahrgut. Der an der Spitze dieser Wagengruppe befindliche leere Wagen 33-80 7933 032-4 stößt mit den vier am Schluss laufenden Wagen des DGS 43014 zusammen. Es kommt nicht zu einer Entgleisung. 
On 15.04.2015, at 18:34, the DGS 43014 (Gallarate – Ludwigshafen BASF Ubf) of the SBB Cargo GmbH collided during the entry on rail track 104 in railway station Karlsruhe Gbf on facing point 41W809, with a group of wagons coming from rail track 103. The above group of wagons was composed of five loaded and one empty tank wagon with dangerous goods. The empty wagon 33-80 7933 032-4 which was at the top of this group of wagons collided with the four running wagons of DGS 43014 at the end. There has been no derailment.</t>
  </si>
  <si>
    <t>Karlsruhe Gbf</t>
  </si>
  <si>
    <t>SBB Cargo Deutschland GmbH</t>
  </si>
  <si>
    <t>Verstoß gegen die VDV Schrift 757 Teil B i.V.m. Ril 408.0811 Abs. 2ff, wonach gemeinsam zu bewegende Fahrzeuge erst untereinander gekuppelt werden müssen, bevor diese bewegt werden dürfen. Außerdem wurde beim Zurückdrücken der Rangierabteilung im Gleis 103 gegen die Ril 408.0821 Abschnitt 4 (1) verstoßen. Der Lrf befand sich bei dieser Fahrzeugbewegung in Höhe seines schiebenden Triebfahrzeuges. Der Lrf konnte folglich seinen Fahrweg nicht ständig beobachten. 
Violation of VDV 757 Part B i.V.m. Ril 408.0811 paragraph 2ff, according to which jointly moving vehicles must first be coupled with each other before they may be moved. In addition, while pushing back the shunting department in track 103 against the Ril 408.0821 section 4 (1) was violated. The shunting locomotive driver was in this vehicle movement on the level of its sliding locomotive. The shunting locomotive driver could therefore not constantly observe its route.</t>
  </si>
  <si>
    <t>PT-4771</t>
  </si>
  <si>
    <t>Level crossing near miss, 17-04-15, Level crossing 106,202 - Oeste (Portugal)</t>
  </si>
  <si>
    <t>As passenger train nr. 6450 went through level crossing 106,202-Oeste (manned, with manual barriers), it was open. After an emergency stop, a crew member visited the level crossing shelter and reported not having found the guard. 
À passagem da circulação n.º 6450 (operador CP) pela PN 106,202-Oeste (tipo A, guarnecida de pessoal), esta encontrava-se aberta. Após paragem de emergência, um membro da tripulação deslocou-se ao abrigo da PN reportando não ter encontrado o agente do gestor da infraestrutura responsável pela guarda daquele atravessamento rodoviário de nível.</t>
  </si>
  <si>
    <t>Level crossing 106,202 - Oeste</t>
  </si>
  <si>
    <t>A causa imediata dos incidentes foi o facto de as barreiras da PN não terem sido fechadas antes da passagem dos comboios. _x000D_
As barreiras da PN não foram fechadas porque os agentes que em cada ocorrência tinham a função da sua manobra e guarda não o fizeram. [FCau-01]_x000D_
Essas omissões da ação de manobra das barreiras decorreram de um lapso  no desempenho humano dos agentes encarregados da guarda da PN em cada ocorrência, os quais perderam a noção do tempo decorrido após o aviso pela estação e da aproximação do comboio. [FCau-02]_x000D_
O lapso dos agentes foi possível devido à PN, em conformidade com o regulamento, não ser fechada imediatamente após o aviso feito à PN pela estação das Caldas da Rainha. [FCau-03]_x000D_
Tal situação decorre do longo tempo entre o aviso à PN e a passagem do comboio (entre 45 a 60 minutos, consoante as situações), a qual resulta do facto da distância entre a estação das Caldas da Rainha e a estação colateral norte com interferência no controlo da circulação dos comboios ser anormalmente grande (entre 40 e 56 km). [FCau-04]_x000D_
Tal aconteceu porque as estações intermédias deixaram, ao longo dos anos e de forma permanente ou não, de ter interferência na circulação por opção de gestão. [FCau-05]_x000D_
No caso da ocorrência de 17-04-2015, o lapso do guarda da PN naquele dia resultou também de uma transgressão , que consistiu em, estando um comboio anunciado, não ter fechado as barreiras antes de se deslocar ao sanitário. [FCau-06]_x000D_
Este guarda da PN cumpria com a escala de serviço que lhe foi definida pelo GI, encontrando se a realizar um turno que havia sido desaconselhado pelo seu médico de família._x000D_
[FCau-07]_x000D_
Por outro lado, em qualquer das ocorrências os comboios não pararam antes de ter atingido a PN com as barreiras abertas, porque dentro da distância que necessitavam para parar não foi possível aos agentes de condução identificar que as barreiras estavam abertas. [FCau-08]_x000D_
O sistema da PN não dispunha de qualquer forma de redundância à falha humana que colocasse a PN em segurança, nem possibilidade de em tempo útil informar os comboios sobre o seu estado inseguro. [FCau-09]_x000D_
Fatores contribuintes:_x000D_
O guarda da PN em serviço na ocorrência de 17-04-2015 estava sob o efeito de medicação prescrita que afectava, nomeadamente, o sistema digestivo, o sistema nervoso e a capacidade de concentração. Não tendo sido consideradas as restrições médicas no estabelecimento da escala de serviço pelo GI, é provável que estivesse prejudicada a capacidade de discernimento e decisão do guarda da PN na avaliação das circunstâncias e consequências que levaram à transgressão de não ter fechado as barreiras da PN antes de se deslocar para o sanitário, assim como tal ter contribuído para a perda de noção da iminente aproximação do comboio e para a dificuldade funcional na abertura do trinco da porta do sanitário. [FCon-01]_x000D_
Na data do incidente o trabalhador ainda não tinha sido enviado à medicina do trabalho para realizar o seu exame médico periódico, apesar de a data limite para o efeito já ter sido ultrapassada. Caso o tivesse feito atempadamente, é possível que as restrições que viriam a constar da sua ficha de aptidão para o trabalho fossem tidas em devida consideração no estabelecimento da escala de serviço do trabalhador. [FCon-02] 
The immediate cause of the incidents was the fact that the barriers were not lowered before the trains approached. This happened because the workers who had the function to manually lower the barriers failed to do so. _x000D_
The omission of the necessary actions resulted from a lapse (according to Reason’s human error taxonomy) of the level crossing keepers, who lost situational awareness regarding the time elapsed after the telephone communication from the station. This lapse was possible due to the operational regime of the level crossing which results in the barriers not being lowered immediately after receiving the “train announced” communication._x000D_
This resulted from the significant period of time elapsing since the communication to the level crossing of “train in section” and the effective passage of the train (45 to 60 minutes, depending on the cases), which resulted from the fact that the distance between Caldas da Rainha station and the other collateral station intervening in train dispatching is quite long (between 40 and 56 km) because, over the years and temporarily or not, the intermediate stations ceased to have dispatching functions by a management option of the infrastructure manager._x000D_
In this type of level crossing there isn’t any kind of redundancy to human failure that will revert the system to a secure status._x000D_
In the case of the 17-04-2015 occurrence, the lapse on the part of the level crossing keeper also resulted from a transgression (again following Reason’s taxonomy) consisting of having left for the lavatories without closing the barriers to road traffic, despite a train being announced. However, this keeper was working in a rostered shift that had been recommended against by his doctor, due to the fact that he was prescribed medication that affected the digestive and nervous systems, as well as his ability to stay focused._x000D_
The medical restrictions not having been considered in rostering the worker, it is probable that his judgement and capability to evaluate the circumstances and consequences of its actions were negatively affected, thus leading to the transgression and contributing to the loss of awareness regarding the imminence of the approaching train._x000D_
On another subject, on both occurrences the trains were not able to stop before reaching the level crossing because the opened barriers could not be seen within braking distance, and also because this type of level crossing does not have any means of warning approaching trains of its insecure status.</t>
  </si>
  <si>
    <t>Causas subjacentes:_x000D_
Considerando o longo tempo possível entre o aviso à PN e a passagem do comboio, os procedimentos do GI aplicáveis às tarefas do guarda da PN em apreço não contemplavam estratégias que o municiassem com defesas ativas explicitamente dedicadas a minimizar o risco de erro humano. [CSub-01]_x000D_
Causas profundas:_x000D_
O comprimento do cantão associado à PN foi sendo sucessivamente aumentado pelo GI sem que o risco inerente ao correspondente ao longo tempo entre o aviso à PN e o momento em que as suas barreiras devem ser manobradas, estivesse controlado de forma eficaz, em conformidade com os requisitos para o SGS, nomeadamente tendo em consideração os fatores humanos que podem prejudicar o desempenho dos agentes que asseguram o seu acionamento. [CPro-01]_x000D_
Complementarmente, o processo do SGS do GI para o reporte e análise de acidentes e incidentes com vista à introdução de melhorias no sistema, careceu de robustez para garantir: _x000D_
-Que as situações de incidentes similares na PN ocorridas em 2014 tivessem sido registadas e sujeitas a análise;_x000D_
-Que a primeira ocorrência a ser identificada tivesse sido analisada com vista a identificar as respetivas causas, a detetar riscos evidenciados pelo modo de exploração associado à PN e a introduzir as medidas de controlo adequadas. O inquérito realizado pela organização focou-se apenas no incumprimento do guarda da PN e na sua penalização disciplinar, sem procurar além da causa direta. _x000D_
[CPro-02]_x000D_
Apesar de haver a perceção em diversos trabalhadores, de distintos níveis e setores do gestor da infraestrutura, quanto ao risco correspondente à existência de um tempo longo entre o momento do aviso a uma PN manual e a passagem do comboio nela, não foram eficazes os processos do SGS respeitante ao reporte pelos trabalhadores de informações que possam ser relevantes para a segurança, para que essa perceção individual resultasse em conhecimento da organização e no consequente tratamento sistemático desse risco com vista à sua avaliação e introdução de medidas de controlo. [CPro-03]_x000D_
Acresce que também na empresa de transporte ferroviário o processo de circulação da informação relevante para a segurança não teve a robustez necessária a assegurar que os dois incidentes de 2014 tivessem a sequência adequada a serem registados e tratados em conformidade com os preceitos do seu SGS, o que poderia ter resultado, nomeadamente, na sua comunicação ao GI, podendo ajudar a suprir a lacuna que neste particular também ocorreu no lado do GI. [CPro-04]_x000D_
Numa outra vertente, o processo implementado no GI para a transmissão de informação relevante para a segurança dentro da organização não foi eficaz para garantir que a informação de segurança relativa à restrição médica do trabalhador envolvido no incidente de 17-04-2015 fosse tida em conta na elaboração das escalas de serviço. [CPro-05]_x000D_
Também, os mecanismos de controlo implementados no âmbito do SGS do GI não foram eficazes para evitar que o trabalhador envolvido na ocorrência de 17-04-2015 tivesse naquela data o seu exame médico periódico em atraso 59 dias em relação à data marcada, e para mitigar o risco daí decorrente. [CPro-06]_x000D_
O processo do Sistema de Gestão de Segurança do GI para avaliar a aptidão dos trabalhadores careceu da robustez necessária para identificar a desadequação entre a aptidão do trabalhador envolvido na ocorrência de 17-04-2015 e o perfil necessário para desempenhar funções de segurança em passagens de nível, tendo particularmente em consideração o histórico do trabalhador e a fiabilidade necessária à criticidade que aquela função tem para a segurança uma vez que esta não tem qualquer redundância. [CPro-07]_x000D_
No que diz respeito ao modo de funcionamento específico das PN guardadas, a inexistência de redundância suprindo falha humana ou de possibilidade de aviso ao comboio em tempo útil sobre o estado da PN, não está suportada em qualquer análise de risco no âmbito do SGS do GI que justifique a adequação das medidas de controlo presentemente utilizadas. [CPro-08]_x000D_
Neste domínio, a legislação prevê que, para o mesmo momento de circulação num atravessamento de nível, o GI possa aplicar indistintamente PN guardada ou automatizada, sem que esteja demonstrada a equivalência da fiabilidade e risco de ambas as soluções técnicas, tanto mais que em caso de falha humana a PN guardada não recai para um estado seguro, contrariamente a uma PN automatizada. [CPro-09]_x000D_
No respeitante ao controlo interno do SGS, o programa de auditorias regulares do gestor da infraestrutura ferroviária não foi eficaz para detetar os aspetos do seu Sistema de Gestão de Segurança carecendo de reforço, acima referidos, com vista à introdução das melhorias necessárias. [CPro-10]_x000D_
Por seu lado, o facto de a Autoridade Nacional de Segurança Ferroviária, no âmbito das suas obrigações de supervisão, nunca ter procedido a qualquer auditoria à aplicação do Sistema de Gestão da Segurança do gestor da infraestrutura, nomeadamente às partes deste que interessam aos atravessamentos de nível, uma das áreas do sistema ferroviário nacional onde se verifica maior sinistralidade, contribuiu para que os aspetos acima referidos não tenham sido identificados nem objeto de melhoria. [CPro-11]_x000D_
Por fim, a PN foi sendo mantida como a única na Linha do Oeste com operação manual uma vez que se perspetivava a sua supressão, a qual foi sendo sucessivamente adiada, sem que o risco de tal situação tenha sido avaliado ou sujeito a medidas de controlo correspondentes. _x000D_
[CPro-12] 
As underlying cause, the investigation determined that the procedures for the keeper duties' didn't provide him with the necessary defense strategies to allow him to cope with the very long time from the train announcement to the moment when he had to effectively close the gates._x000D_
The investigation has determined also the existence of root causes relating to the Safety Management Systems and organizational procedures, as follows:_x000D_
The length of the dispatching section associated with the level crossing was increased over the years by the IM, without any effective control of the risk of the corresponding increase in time since the telephone announcement of a train until the moment when the barriers should be lowered, particularly taking into consideration the human factors of the keepers._x000D_
The level crossing was kept as the only one on the Oeste Line with manual operation because its suppression was planned; however, this has been postponed over the years without the consequent risk having been assessed or subjected to control measures._x000D_
Additionally, the IM SMS process for reporting and analysing accidents and incidents for continuous improvement, lacked the necessary robustness to guarantee that similar incidents that had occurred during 2014 were registered and subjected to analysis, as well as to ensure that the 17-04-2015 incident was duly analysed to identify its causes, detect the evidenced risks relating to the operational regime of the level crossing and to introduce the appropriate control measures. The internal investigation conducted by the IM focused only on the conduct of the keepers and disciplinary action, without searching beyond the direct cause.   _x000D_
Also, the RU SMS process for circulating safety relevant information lacked the necessary consistency to ensure that the two 2014 incidents had the adequate follow up so as to be registered and duly treated._x000D_
On another subject, the IM SMS process for circulating safety relevant information within its own organization was not effective to guarantee that the safety relevant information concerning the medical condition of the worker involved in the occurrence of 17-04-2015 was taken into consideration in establishing his roster._x000D_
Also, the IM SMS process to assess worker fitness for the job was not robust enough to identify the gap between the profile of the worker involved in the occurrence of 17-04-2015 and the requirements of the function at the level crossing, taking into particular consideration the worker history and the required reliability to perform a task that is safety critical and does not have any redundancies._x000D_
Regarding supervision, the NSA had never performed any audit to the IM SMS, particularly to its parts that are relevant to level crossings, one of the areas of the national railway system most responsible for accidents.</t>
  </si>
  <si>
    <t>DE-4769</t>
  </si>
  <si>
    <t>Train derailment, 19-04-15, Oldenburg (Oldb) (Germany)</t>
  </si>
  <si>
    <t>Personenzug DPN 83387 der Nordwestbahn GmbH (NWB) fuhr aus Gleis 7 des Bf. Oldenburg (Hbf) in Richtung Bremen Hbf aus. Die Zugfahrt wurde mit Signal Zs1 am Standort des Asig N7 zugelassen. Während der Ausfahrt über Gleis 8 entgleiste auf der Weiche 164 a die erste Achse des zweiten Drehgestells. 
Passenger train DPN 83387 of Nordwestbahn GmbH (NWB) went from rail track 7 of railway station Oldenburg (Hbf) towards railway station Bremen Hbf. The train journey was allowed with signal Zs1 at the place of Asig N7. During the exit on rail track 8 the train derailed on rail track 164 a the first axle of the second bogie.</t>
  </si>
  <si>
    <t>Oldenburg (Oldb)</t>
  </si>
  <si>
    <t>NordWestBahn GmbH</t>
  </si>
  <si>
    <t>unzeitige Weichenbedienung des Fahrdienstleiters 
bad time management of the movement of trains by train dispatcher</t>
  </si>
  <si>
    <t>FR-4773</t>
  </si>
  <si>
    <t>Level crossing accident, 20-04-15, Nangis LC n°41 (France)</t>
  </si>
  <si>
    <t>Intercity train hits at speed an articulated lorry with underslung trailer blocked on a canted level crossing._x000D_
The locomotive and 7 coaches derail</t>
  </si>
  <si>
    <t>Nangis LC n°41</t>
  </si>
  <si>
    <t>The truck driver ignored the signals indicating that  the road was forbidden to HGV._x000D_
The underslung trailer was too low to pass the canted level crossing._x000D_
The truck driver was not able to raise the suspension of the trailer._x000D_
The truck driver did not use the telephon of the LC to alert the railway dispatcher</t>
  </si>
  <si>
    <t>Poor training of the driver</t>
  </si>
  <si>
    <t>HU-4766</t>
  </si>
  <si>
    <t>Train derailment, 20-04-15, Pécel (Hungary)</t>
  </si>
  <si>
    <t>The train has derailed bacause of a broken axle. 
A tehervonat tengelycsaptörés miatt kisiklott.</t>
  </si>
  <si>
    <t>Pécel</t>
  </si>
  <si>
    <t>-	a csapágyban szennyezésként jelenlévo részecskék a tengelycsap és a csapágy futófelületét károsították,_x000D_
-	a csapágy fenti sérülése és annak szennyezettsége miatt megnövekedett a belso súrlódása, ami egyre növekvo hofejlodést hozott létre, A növekvo hoterhelés miatt kialakuló homérséklet-különbség hatására a csapágyak szerelésénél alkalmazott túlfedés eltunt, a csapágy belso gyuruje lelazult, a tengelycsapon megmozdult, csúszott, ami további csapágysérülést és tovább fokozódó hoterhelést generált, 
-the contaminant elements present in the bearing damaged the tread of the wheelseat and of the bearing_x000D_
-the internal friction of the bearing increased because of its upper damage and contamination, that produced an ever increasing exothermic development. Under the effect of the temperature difference caused by the increasing heat load,  the overlapping applied at the mounting of the bearings disappeared, the inner ring of the bearing relaxed, moved on  the wheelseat, slided, which generated further damage to the bearing and further intensifying heat load.</t>
  </si>
  <si>
    <t>DE-4770</t>
  </si>
  <si>
    <t>Train derailment, 21-04-15, Goslar (Germany)</t>
  </si>
  <si>
    <t>Güterzug EK 53928 entgleiste auf der Weiche 9 des Bahnhofs Goslar mit dem letzten Wagen. 
Freight train EK 53928 derailed on rail track 9 of railway station Goslar with the last wagon.</t>
  </si>
  <si>
    <t>Goslar</t>
  </si>
  <si>
    <t>unzeitige Weichenbedienung durch den Weichenwärter 
bad time management of railroad switch by the switchman</t>
  </si>
  <si>
    <t>DE-4785</t>
  </si>
  <si>
    <t>Spad, 24/04/2015, Ruhland (Germany)</t>
  </si>
  <si>
    <t>Am 24.04.2015 gegen 22:45 Uhr fuhr der Zug DGS 95312 auf der Fahrt von Straßgräbchen-Bernsdorf (Oberlausitz) nach Consrade unzulässig am Halt zeigenden Ausfahrsignal (Asig) F5 des Bahnhofs (Bf) Ruhland vorbei und gefährdete dadurch die Zugfahrt Bauz 63009. Beide Züge wurden durch Nothaltauftrag gestellt und kamen ca. 25 m voneinander entfernt zum Halten.</t>
  </si>
  <si>
    <t>Ruhland</t>
  </si>
  <si>
    <t>ITL-Eisenbahngesellschaft mbH</t>
  </si>
  <si>
    <t>Die doppelte Kreuzungsweiche (DKW) 7 wurde aufgefahren. Sachschäden an der vorhan-denen Infrastruktur oder an den beteiligten Fahrzeugen entstanden nicht.</t>
  </si>
  <si>
    <t>Das Ereignis wurde durch einen Verstoß gegen die Richtlinie (Ril) 301 - Signalbuch ausge-löst.</t>
  </si>
  <si>
    <t>DE-4780</t>
  </si>
  <si>
    <t>Fire in RS, 25-04-15, Wilhelmshaven (Germany)</t>
  </si>
  <si>
    <t>Regionalbahn 82305 fing auf der Fahrt in den Bahnhof Wilhelmshaven Feuer. 
Regional train 82305 caught fire during entry into railway station Wilhelmshaven.</t>
  </si>
  <si>
    <t>Wilhelmshaven</t>
  </si>
  <si>
    <t>Brand wurde durch eine undichte Stelle an der Dieselleitung ausgelöst. 
The fire has been caused by a leak at the diesel pipe.</t>
  </si>
  <si>
    <t>DE-4781</t>
  </si>
  <si>
    <t>Train derailment, 26/04/2015, Ruhland (Germany)</t>
  </si>
  <si>
    <t>Am 26.04.2015 gegen 18:02 Uhr entgleiste die Zugfahrt S 37461 auf der Fahrt von Hoyerswerda nach Geithain während der Ausfahrt aus dem Bahnhof (Bf) Ruhland auf der doppelten Kreuzungsweiche (DKW) 17 mit einem Drehgestell der zweiten Triebzugeinheit.</t>
  </si>
  <si>
    <t>Es wurden keine Personen verletzt oder getötet. Schäden am Oberbau und den Fahrzeugen entstanden nicht.</t>
  </si>
  <si>
    <t>Die Sicherung der Hilfsfahrstraße wurde entgegen den Regelungen der Richtlinie (Ril) 408 aufgehoben, bevor der Zug die Fahrstraßen-Zugschlussstelle passiert hatte. Durch das anschließende unzeitige Umstellen der DKW 17 entgleiste der Triebwagen.</t>
  </si>
  <si>
    <t>RO-4772</t>
  </si>
  <si>
    <t>Fire in RS, 27-04-15, Tulcea Marfuri (Romania)</t>
  </si>
  <si>
    <t>the diesel electric locomotive DA 1383 that hauled the freight train no.21716 caught fire</t>
  </si>
  <si>
    <t>Tulcea Marfuri</t>
  </si>
  <si>
    <t>Cauza directa _x000D_
Incendiul s-a produs datorita scurtcircuitului aparut în circuitul motorului de tractiune nr.5, ca urmare a întreruperii conexei de legatura a cablului de alimentare de forta „A” cu polul auxiliar, fapt care a condus la aparitia unui arc electric urmat de spargerea izolatorului coroanei portperii (conturnarii prin arc electric) si strapungerea capacului superior de vizitare al acesteia. Strapungerea capacului superior de vizitare de catre arcul electric, cumulat cu punerea în scurt a circuitului de alimentare a motorului de tractiune, a condus la aprinderea izolatiei cablurilor de forta si a reziduurilor de produse petroliere urmat de propagarea incendiului în sala masinii a locomotivei._x000D_
_x000D_
Factori care au contribuit_x000D_
?	neintrarea în actiune a protectiei la supracurent datorita defectarii servoregulatorului electronic de câmp - SREC;_x000D_
?	neintrarea în actiune a protectiei împotriva punerii la masa pe circuitul de forta ca urmare a defectarii aparatului de monitorizare a rezistentei de izolatie - AMRI si izolarii acestuia; _x000D_
?	racirea necorespunzatoare a motorului de tractiune nr.5 ca urmare a depunerilor de produse petroliere, provenite din zonele de etansare constructiva a instalatiilor si ale motorului diesel, pe corpul motorului precum si pe sita scutului ventilatorului, fapt ce a favorizat încalzirea motorului de tractiune. 
Direct cause _x000D_
The fire was generated by the short-circuit appeared in the ciruit of the traction engine no.5,  following the cut of the connection between the power supply cable of  force „A” and the auxiliary pole, it leading to an electric arc, followed by braking of the insulator brush plate (electrical breakdown) and the penetration of the upper cover for its inspection. The penetration of the upper cover by the electric arc, together the short-circuiting of the power supply circuit from the traction engine, led to the ignition of the force cable insulation and of the oil residuals, followed by the fire extension in the locomotive  engine room._x000D_
_x000D_
Contributing factors_x000D_
?	non- action of overcurrent protection because the failure of the field electronic controller - SREC;_x000D_
?	non-action of the protection against the short-circuit on the force circuit, because the failure of the device for the monitoring of the di-electric strength - AMRI and its insulation; _x000D_
?	unsuitable cooling of the traction engine no.5, following the oil deposits, resulted from the constructive sealing areas of the equipments and diesel engine, on the engine body, as well as on the filter of the ventilator protection, it generating the heating of the traction engine.</t>
  </si>
  <si>
    <t>Cauze subiacente _x000D_
Nu au fost respectate prevederile Specificatiei tehnice cod ST-LDE 2100 CP- REV editia 1 Revizia 4 „Revizii planificate tip PTAE (Pth3), R15, RI, RT, R1, R2, 2R2, R3 si reparatii accidentale tip RIT, RIR, RAD, RA la locomotivele Diesel-electrice de 2100 CP”, în sensul ca, în cadrul reviziilor planificate:_x000D_
- nu au fost verificate circuitele de alimentare a releului de protectie 76;_x000D_
- nu a fost efectuata curatarea  sitei scutului ventilatorului motorului de tractiune._x000D_
_x000D_
Cauza primara_x000D_
Lipsa procedurilor referitoare la modul în care trebuie efectuata verificarea circuitelor de alimentare ale releului de protectie 76, pentru locomotivele dotate cu SREC – servoregulator electronic de câmp si AMRI – aparat de monitorizare a rezistentei de izolatie,  a condus la utilizarea în exploatare a acestei locomotive fara protectii la supracurent si la punere la masa. 
Underlying causes _x000D_
One did not comply with the provisions of the Technical specification code ST-LDE 2100 CP- REV edition 1 Revision 4 „Planned inspections type PTAE (Pth3), R15, RI, RT, R1, R2, 2R2, R3 and accidental repairs type RIT, RIR, RAD, RA at the locomotives Diesel-electric of 2100 HP”, that is, within the planned repairs:_x000D_
- one did not inspected  the power supply circuits of the protective relay 76;_x000D_
- one did not clean the filter of the ventilator protection from the traction engine._x000D_
_x000D_
Root cause_x000D_
Lack of the procedures on the way to peform the inspection of the power supply circuits from the protective relay 76,  for the locomotives provided with SREC – field electronic controller and AMRI – monitoring device for the monitoring of the di-electric strength, led to the use in operation of the this locomotive without protections for overcurrent and short-circuiting</t>
  </si>
  <si>
    <t>RO-4776</t>
  </si>
  <si>
    <t>Other, 28-04-15, Sabaoani (Romania)</t>
  </si>
  <si>
    <t>the station master from railway station Sabaoani wasn't authorized for manipulating the SCB instalation</t>
  </si>
  <si>
    <t>Sabaoani</t>
  </si>
  <si>
    <t>Investigation commission establishing that this event „IT IS NOT CLASSIFIED AS RAILWAY INCIDENT” according to the definition from the“Regulations for the investigation of the accidents and incidents, for the development and iprovement of Romanian railway and metro safety”, approved by the Government Decision no. 117/2010_x000D_
Therefore there is not identified any cause of the acccident. 
Comisia de investigare a constatat ca avizarea  cu privire la efectuarea serviciului de catre IDM în baza autorizatiilor detinute pâna la data de 27.04.2015 în h.m. Sabaoani nu se încadreaza ca incident feroviar în sensul “Regulamentului de investigare a accidentelor si incidentelor, de dezvoltare si îmbunatatire a sigurantei feroviare pe caile ferate si pe reteaua  de transport cu metroul din România”, aprobat prin H.G. nr. 117/2010._x000D_
Nefiind un incident nu au fost stabilite cauze.</t>
  </si>
  <si>
    <t>CZ-4778</t>
  </si>
  <si>
    <t>Trains collision with an obstacle, 04-05-15, HanuÅ¡ovice station (Czech Republic)</t>
  </si>
  <si>
    <t>Collision of regional passenger train No. 13659 with a technical device - buffer stop on dead-end track with consequent derailment.</t>
  </si>
  <si>
    <t>HanuÅ¡ovice station</t>
  </si>
  <si>
    <t>Direct cause:_x000D_
•permission to entry of the train to the railway station Hanušovice without proper setting of the train route.</t>
  </si>
  <si>
    <t>Underlying cause:_x000D_
•failure of the double-check of the correct setting of switches No. 1 and 2 at train route before permission to entry of the train Os 13659 to the station Hanušovice was given by the main entrance signal device._x000D_
Root cause: none.</t>
  </si>
  <si>
    <t>DE-4782</t>
  </si>
  <si>
    <t>Train derailment, 04-05-15, Eilenburg (Germany)</t>
  </si>
  <si>
    <t>Bei der Zugfahrt des DGS 95495, vom Bahnhof Eilenburg Gleis 6 über Gleis 3 in den Streckenanschluss Lüptitz, entgleiste die hintere Achse des 11. Wagens auf der Weiche 114. 
During the exit of DBS 95495 from the railway station Eilenburg, the 11th wagon derailed on rail track 114.</t>
  </si>
  <si>
    <t>Eilenburg</t>
  </si>
  <si>
    <t>Als Ursache für die Entgleisung wurden zwei lose Radreifen an der hinteren Achse des 11. Wagens festgestellt. Ein Radreifen war bereits vom Radkörper abgerutscht, so dass das Spurmaß nicht mehr gehalten wurde. 
Anglais_x000D_
_x000D_
Français_x000D_
_x000D_
Finnois_x000D_
_x000D_
_x000D_
_x000D_
_x000D_
_x000D_
_x000D_
_x000D_
_x000D_
_x000D_
_x000D_
_x000D_
_x000D_
_x000D_
Als Ursache für die Entgleisung wurden zwei lose Radreifen an der hinteren Achse des 11. Wagens festgestellt. Ein Radreifen war bereits vom Radkörper abgerutscht, so dass das Spurmaß nicht mehr gehalten wurde._x000D_
_x000D_
_x000D_
_x000D_
_x000D_
_x000D_
_x000D_
_x000D_
_x000D_
_x000D_
_x000D_
_x000D_
_x000D_
_x000D_
_x000D_
209/5000_x000D_
_x000D_
_x000D_
_x000D_
_x000D_
_x000D_
_x000D_
_x000D_
_x000D_
_x000D_
_x000D_
_x000D_
_x000D_
_x000D_
_x000D_
_x000D_
_x000D_
The cause of the derailment was found to be two loose wheel tires on the rear axle of the 11th car. A wheel tire had already slipped off the wheel body, so that the track gauge was no longer maintained._x000D_
_x000D_
_x000D_
_x000D_
_x000D_
Anglais_x000D_
_x000D_
Français_x000D_
_x000D_
Finnois_x000D_
_x000D_
_x000D_
_x000D_
_x000D_
_x000D_
_x000D_
_x000D_
_x000D_
_x000D_
_x000D_
_x000D_
_x000D_
The cause of the derailment was found to be two loose wheel tires on the rear axle of the 11th car. A wheel tire had already slipped off the wheel body, so that the track gauge was no longer maintained._x000D_
_x000D_
_x000D_
_x000D_
_x000D_
_x000D_
Anglais_x000D_
_x000D_
Français_x000D_
_x000D_
Finnois_x000D_
_x000D_
_x000D_
_x000D_
_x000D_
_x000D_
_x000D_
_x000D_
_x000D_
_x000D_
_x000D_
_x000D_
_x000D_
_x000D_
Als Ursache für die Entgleisung wurden zwei lose Radreifen an der hinteren Achse des 11. Wagens festgestellt. Ein Radreifen war bereits vom Radkörper abgerutscht, so dass das Spurmaß nicht mehr gehalten wurde._x000D_
_x000D_
_x000D_
_x000D_
_x000D_
_x000D_
_x000D_
_x000D_
_x000D_
_x000D_
_x000D_
_x000D_
_x000D_
_x000D_
_x000D_
_x000D_
210/5000_x000D_
_x000D_
_x000D_
_x000D_
_x000D_
_x000D_
_x000D_
_x000D_
_x000D_
_x000D_
_x000D_
_x000D_
_x000D_
_x000D_
_x000D_
The cause of the derailment was found to be two loose wheel tires on the rear axle of the 11th car. A wheel tire had already slipped off the wheel body, so that the track gauge was no longer maintained.</t>
  </si>
  <si>
    <t>AT-4789</t>
  </si>
  <si>
    <t>Spad, 06-05-15, Station Waldstein (Austria)</t>
  </si>
  <si>
    <t>On May 6, 2015 a collision occurs between two railcars at a single-track free route after the station Waldstein. A train driver and a passenger suffered fatal injuries._x000D_
The cause was not aware of a holding concept before departure from the station Waldstein. 
Am Mittwoch den 06. Mai 2015, um ca. 10:12 Uhr ereignete sich eine Kollision zwischen Z 8762 und Z 8787 auf der eingleisigen freien Strecke zwischen Bf Peggau-Deutschfeistritz und Bf Übelbach nächst der Vstu Waldstein. Ein Triebfahrzeugführer und ein Fahrgast erlitten tödliche Verletzungen. Zwei Fahrgäste, ein Fahrgastbetreuer und ein Triebfahrzeugführer wurden schwer verletzt. Drei Fahrgäste wurden leicht verletzt. Die am Unfall beteiligten Schienenfahrzeuge wurden schwer beschädigt, die Infrastruktur wurde nicht beschädigt.</t>
  </si>
  <si>
    <t>Station Waldstein</t>
  </si>
  <si>
    <t>Einfahrt von Z 8762 in den durch Z 8787 besetzten Gleisabschnitt der freien Strecke nach der Vstu Waldstein in Richtung Bf Peggau-Deutschfeistritz. 
Entrance of train Z8762 on the occupied by Z 8787 track section of the free track to Waldstein at the direction of Peggau-Deutschfeistritz railway station.</t>
  </si>
  <si>
    <t>DE-4783</t>
  </si>
  <si>
    <t>Trains collision with an obstacle, 6/5/2015, Üst Willroth – Bf Siegburg/Bonn</t>
  </si>
  <si>
    <t>Am 06.05.2015 gegen 11:09 Uhr kollidierte der ICE 728 des Eisenbahnverkehrsunterneh-mens (EVU) DB Fernverkehr AG, auf dem Weg von Nürnberg Hbf nach Dortmund Hbf, mit Bruchstücken der Schallabsorber der festen Fahrbahn</t>
  </si>
  <si>
    <t>Üst Willroth – Bf Siegburg/Bonn</t>
  </si>
  <si>
    <t>Es entstanden Sachschäden an der Infrastruktur und dem beteiligten Fahrzeug. Die Höhe der Sachschäden wurde auf ca. 80.000 Euro geschätzt.</t>
  </si>
  <si>
    <t>Bei mehreren dieser auf der festen Fahrbahn verbauten Schallabsorber aus Porenbeton kam es unter Einfluss der Witterung zu horizontalen Abbrüchen. Die Kollision mit den Absorberplatten hätte verhindert werden können, wenn die defekten Platten wie in der Bau- und Betriebsanweisung vorgesehen im erforderlichen Umfang ausgetauscht worden wären.</t>
  </si>
  <si>
    <t>RO-4777</t>
  </si>
  <si>
    <t>Train derailment, 07-05-15, Predeal - Timisu de Sus (Romania)</t>
  </si>
  <si>
    <t>The leading boghie from the 5-th wagon from the freight train no. 30686 dereialed</t>
  </si>
  <si>
    <t>Predeal - Timisu de Sus</t>
  </si>
  <si>
    <t>Cauza directa _x000D_
Cauza directa a producerii acestui accident o constituie escaladarea firului exterior al curbei de catre roata atacanta (nr.7) de la vagonul nr.83536658171-7 ca urmare a maririi raportului dintre forta conducatoare si sarcina ce actionau pe aceasta roata, depasindu-se astfel limita de stabilitate la deraiere. Cresterea raportului dintre forta conducatoare si sarcina ce actionau pe roata atacanta s-a produs în conditiile unei încarcari neomogene în plan tranversal a vagonului, fapt ce a condus la descarcarea puternica de sarcina a roti atacante. 
Direct cause _x000D_
The direct cause of this accident was the overclimbing of the exterior track of the curve by the first wheel (no.7) from the wagon no.83536658171-7 following the increase of the report between the driving force and the load acting on this wheel, so exceeding the derailment stability limit. The increase of the report between the driving force and the load acting on the first wheel happened because the cross heterogenous loading of the wagon, it leading to the very important unloading transfer of the atack wheel.</t>
  </si>
  <si>
    <t>Cauze subiacente _x000D_
1.	Încarcarea vagonului nr.83536658171-7 din compunerea trenului de marfa nr.30686, fara a fi respectate prevederile punctului 3.3. din Anexa II RIV, referitoare la repartizarea omogena a încarcaturii în vagoane._x000D_
2.	Luarea în primire a acestui vagon de catre operatorul de transport feroviar de la expeditorul marfii fara a respecta prevederile Normei Uniforme Marfa (NUM) 7 la art. 36 din Regulamentul de transport pe caile ferate din România referitoare la verificarea modului de încarcare a marfii în vagoane._x000D_
Cauza primara_x000D_
Neaplicarea prevederilor referitoare la modul de predare-primire a expeditiilor de vagoane din Regulamentul de Transport pe Caile Ferate din România, document de referinta al procedurii cod 30 MMS „Managementul Procesului Primirea-Predarea Vagoanelor”, parte a sistemului de management al sigurantei al DB Schenker Rail România SRL, în sensul ca operatorul de transport feroviar nu a încheiat cu expeditorul vagoanelor un document prin care sa se stabileasca în detaliu modul de predare-primire a expeditiilor de vagoane. 
Underlying causes _x000D_
1.	The loading of the wagon no.83536658171-7 of the freight train no.30686, without meeting with the provisions of point 3.3. from the Annex II RIV, for the homogenous disposition of the load in wagons._x000D_
2.	Taking delivery of this wagon by the railway undertaking from the goods forwarding agent  without meeting with the provisions of Uniform Freight Norm (NUM) 7 at art. 36 from Regulations for Romanian Railway Transport on the inspection of the loading way of the goods in wagons.</t>
  </si>
  <si>
    <t>ES-4823</t>
  </si>
  <si>
    <t>Spad, 10-05-15, Barcelona Sants station (Barcelona) (Spain)</t>
  </si>
  <si>
    <t>Empty stock overrun exit signal E2 at Barcelona Sants station</t>
  </si>
  <si>
    <t>Human error: the driver of the train #39766 confused the exit signals of the tracks 3 and 4. The error was favored by the fact that the position of the exit signals of tracks 3 and 4 can lead to confusion.</t>
  </si>
  <si>
    <t>HU-4795</t>
  </si>
  <si>
    <t>Train derailment, 12-05-15, Jánoshegy (Hungary)</t>
  </si>
  <si>
    <t>The 2nd passanger waggon of the train has derailed by 1 boogie. 
A vonat 2. személykocsija 1 forgóvázzal kisiklott.</t>
  </si>
  <si>
    <t>Fracture of vehicle spring.</t>
  </si>
  <si>
    <t>UK-4809</t>
  </si>
  <si>
    <t>Accident to persons caused by RS in motion, 12-05-15, Market Street (United Kingdom)</t>
  </si>
  <si>
    <t>The accident occurred at 11:13 hrs and involved a tram operated by RATP Metrolink that had just departed from Market Street tram stop. The pedestrian, who had alighted from the same tram, initially walked past the front of it with the track on which the tram was standing to his left. Just beyond the tram stop, the track divides into two routes, with trams on the right-hand route heading for Mosley Street and trams on the left-hand route heading for Piccadilly Gardens. The tram from which the pedestrian alighted was routed towards Piccadilly Gardens._x000D_
_x000D_
Once alighting and boarding was complete, the tram driver sounded the whistle and started away from the Market Street stop. At around this time, the pedestrian was ahead of the tram, crossing the Mosley Street track. He continued onto the Piccadilly Gardens track and walked between the two rails. By this time, the tram was approaching and struck him, causing him to be knocked to the ground. He sustained serious injuries as a consequence._x000D_
_x000D_
The tram driver applied the tram’s brakes and sounded the warning horn at about the time that the accident occurred. _x000D_
_x000D_
The circumstances surrounding this incident only became apparent several days after the accident when RAIB asked RATP Metrolink for the images from the tram’s forward facing CCTV camera.</t>
  </si>
  <si>
    <t>Market Street</t>
  </si>
  <si>
    <t>The pedestrian was in the path of the tram as it approached (paragraph 35).</t>
  </si>
  <si>
    <t>The causal factors were:_x000D_
a. the pedestrian did not move out of the path of the tram as it approached (paragraph 36, Recommendation 2)._x000D_
b. the driver did not apply the tram’s brakes in time to avoid striking the pedestrian (paragraph 41, see paragraph 83 and Recommendation 2).</t>
  </si>
  <si>
    <t>UK-4844</t>
  </si>
  <si>
    <t>Level crossing accident, 14-05-15, Oakwood Farm UWC (United Kingdom)</t>
  </si>
  <si>
    <t>The accident occurred at 18:16 hrs on 14 May 2015, and involved the 17:29 hrs Northern Rail passenger service from Leeds to York. The train (reporting number 2C52) consisted of two Class 150 2-car multiple units. The collision with the tractor occurred at Oakwood Farm User Worked Crossing (UWC) on a single line section of track between Knaresborough and Cattal stations. The tractor was hauling an empty trailer and was stationary on the crossing when the train, travelling close to the line speed limit of 65 mph (104 km/h), collided with it._x000D_
_x000D_
The train did not derail and none of the 66 passengers was injured. Two of the three train crew and the tractor driver were taken to hospital. All were badly shaken by the accident. The impact caused the front of the tractor to become detached from the rear cab-end, with the cab remaining intact. The leading end of the front Class 150 unit was damaged and stopped 468 metres beyond the crossing with one of the tractor’s wheels wedged under the train in front of one of its leading wheels._x000D_
_x000D_
A private tarmac road which crosses the railway, allows access between Oakwood Farm and the A59._x000D_
_x000D_
On each side of the crossing there is a gate and miniature stop lights (MSL). These show a green light when there are no trains in the vicinity and a red light when a train is approaching. The approach of a train also activates an audible alarm sounder (Yodalarm). There are also telephones to contact the signaller should this be required._x000D_
_x000D_
Additionally, the gates at Oakwood Farm UWC have been fitted with a power-operated system known as POGO (Power Operated Gate Opener). This allows the gates to be opened and closed remotely from buttons mounted on posts either side of the crossing. Some regular users have been provided with mobile operating devices which can control the gates from within their vehicles. It is understood that the tractor driver involved did not have a mobile operating device and used one of the push buttons to open the gates. The gates can be operated at any time and are not interlocked with the MSL operating system._x000D_
_x000D_
As a result of testing of the signalling equipment, including the MSL’s and information from the data logger at the crossing, the RAIB has concluded that the track circuits and the MSL’s were working correctly at the time of the accident.</t>
  </si>
  <si>
    <t>Oakwood Farm UWC</t>
  </si>
  <si>
    <t>The tractor driver started to cross the railway line when the MSL was displaying a_x000D_
red light (paragraph 42).</t>
  </si>
  <si>
    <t>Causal factors_x000D_
115 The causal factors were:_x000D_
a. The tractor driver probably did not recheck the MSL when approaching the crossing, having used the distant left-hand roadside button to open the gates (paragraph 45). This was probably due to a combination of the following:_x000D_
i. the tractor driver made his decision that it was safe to cross when he was at the left-hand roadside buttons (paragraph 49, no recommendation);_x000D_
ii. the tractor driver was unfamiliar with the crossing and had not received_x000D_
instructions on how to use the crossing safely (paragraph 55, no_x000D_
recommendation); and_x000D_
iii. the MSL was not conspicuous to the tractor driver (paragraph 64,Recommendations 1 and 2)._x000D_
b. By the time the train driver realised that the tractor was not going to stop, it was too late to stop the train (paragraph 66, no recommendation)._x000D_
Underlying factors_x000D_
116 The underlying factors were: a. Network Rail did not ensure that the risks to crossing users at Oakwood Farm UWC were adequately mitigated (paragraph 72, Recommendation 1), in relation to:_x000D_
i. controlling the design and the installation of the wiring of the gate buttons (paragraph 74);_x000D_
ii. not implementing previously recommended improvements (paragraph 80);_x000D_
and_x000D_
iii. not risk assessing the POGO equipment as part of a full system before installation (paragraph 88)._x000D_
b. Network Rail did not adequately manage the introduction of POGO equipment (paragraph 96, Recommendations 2 and 3).</t>
  </si>
  <si>
    <t>RO-4786</t>
  </si>
  <si>
    <t>Fire in RS, 15-05-15, Bucuresti Vest - Chiajna (Romania)</t>
  </si>
  <si>
    <t>the diesel hidraulic locomotive LDH 623 from the freight train no. 96014 caught fire</t>
  </si>
  <si>
    <t>Bucuresti Vest - Chiajna</t>
  </si>
  <si>
    <t>Cauza directa si factorii care au contribuit_x000D_
Incendiul s-a produs ca urmare a scurtcircuitului aparut în cablajul de alimentare al instalatiei INDUSI, în zona dozei de trecere a cablurilor, pe conductorii cu potential diferit, urmare a scaderii rezistentei de izolatie a învelisurilor cablurilor si strapungerea acestora, fapt ce a condus în final la aprinderea învelisurilor._x000D_
 _x000D_
Factorii care au contribuit_x000D_
- fenomenul de îmbatrânire al învelisurilor cablurilor de alimentare al instalatiei INDUSI;_x000D_
- existen?a în zona producerii scurtcircuitului a unor resturi de produse petroliere provenite din exploatarea locomotivei precum ?i a unui curent de aer produs de ventilatorul dynastarterului 
Direct cause and contributing factors_x000D_
The fire happened following the short-circuit in the power supply cables of INDUSI equipment, in the area of box for cable passing, on conductors with different stress, following the decrease of the di-electric strength of the cable covering and their perforation, it leading finally to the covering ignition_x000D_
 _x000D_
Contributing factors_x000D_
- ageing of the covering of power supply cables from the INDUSI equipment;_x000D_
- existence in the area of the short-circuit of oil reseduals resulted from the locomotive operation, as well as of an air flow generated by the dynastarter ventilator.</t>
  </si>
  <si>
    <t>Nu au fost identificate. 
None.</t>
  </si>
  <si>
    <t>DE-4794</t>
  </si>
  <si>
    <t>Train derailment, 16-05-15, Einsiedlerhof (Germany)</t>
  </si>
  <si>
    <t>Güterzug EZ 51904 entgleist bei der Durchfahrt im Bahnhof Einsiedlerhof, Gleis 1 mit der hinteren Achse des 13. Wagens. 
Freight train EZ 51904 derailed when driving through railway station Einsiedlerhof, rail track 1 with the rear axle 13. wagon.</t>
  </si>
  <si>
    <t>Einsiedlerhof</t>
  </si>
  <si>
    <t>The cause of the derailment was a wheelset bearing damage on the 13th freight wagon (vehicle number: 2180 2469 010-7, Hbbins type 306) in the train composition. This resulted in a heat-related shearing of the wheelset axle of the trailing wheelset and as a further consequence in the derailment of the wagon approximately at the height of intermediate signal 14S1 at the railway station Einsiedlerhof. 
Die Ursache der Entgleisung war ein Radsatzlagerschaden am 13. Güterwagens (Fz-Nr.: 2180 2469 010-7, Hbbins der Bauart 306) im Zugverband. Hierbei kam es zu einer hitzebedingten Abscherung des Radsatzwellenstumpfes des nachlaufenden Radsatzes und in der weiteren Folge zur Entgleisung des Wagens ca. in Höhe des Zsig 14S1 des Bf Einsiedlerhof.</t>
  </si>
  <si>
    <t>RO-4787</t>
  </si>
  <si>
    <t>Train derailment, 16-05-15, Loamne? - Ocna Sibiului (Romania)</t>
  </si>
  <si>
    <t>the leading boghie from the diesel multiple units ADH 1412 which conist the passenger train no. 2568 derailed</t>
  </si>
  <si>
    <t>Loamne? - Ocna Sibiului</t>
  </si>
  <si>
    <t>Cauza directa a producerii accidentului o constituie caderea între firele caii a ro?ii din partea dreapta a osiei conducatoare de la automotorul ADH 11 ce a format trenul de calatori nr.2568 urmata de escaladarea suprafe?ei de rulare a ciupercii ?inei de pe firul exterior al curbei de catre roata din partea stânga a aceleia?i osii ?i caderea acesteia în exteriorul caii. Acest lucru s-a produs în conditiile cre?terii valorii ecartamentului caii peste valoarea maxima admisa ca urmare a deplasarii laterale a ?inei de pe firul exterior al curbei sub ac?iunea for?elor dinamice transmise caii de materialul rulant în mi?care. 
Direct cause of the accident was the fall between the tracks of the right wheel of the driving axle from the diesel multiple unit ADH 11, that was passenger train no.2568, followed by the overclimbing of the running surface of the rail head from the exterior track of the curve by the left wheel of the same axle and its fall outside the track  It happened because the increase of the gauge value over the accepted maximum value, following the lateral displacement of the rail from the exterior track of the curve under the dynamic stresses of the moving rolling stock on the track.</t>
  </si>
  <si>
    <t>Cauza subiacenta a producerii acestui accident o constituie întretinerea necorespunzatoare a suprastructurii caii în zona producerii deraierii, fapt confirmat de men?inerea în exploatare a unor traverse necorespunzatoare care nu permiteau fixarea ?inelor._x000D_
Cauza primara a producerii acestui accident a fost neaplicarea în totalitate a prevederilor din procedurile operationale PO SMS 0-4.07 „Respectarea specificatiilor tehnice, standardelor si cerintelor relevante pe întreg ciclul de viata a liniilor în procesul de întretinere”, cod PO SMS 0-4.12 „Managementul riscurilor de siguranta feroviara” si cod PO SMS 0-4.28 „Verificarea si controlul rezultatelor operatiunilor de întretinere”, precum si a celor din codurile de practica utilizate de catre administratorul infrastructurii feroviare publice (instructiunile referitoare la întretinerea liniei). 
Underlying cause of the accident was the unsuitable maintenance of the track superstructure in the derailment area, it being confirmed by the keeping of some unsuitable sleepers that did not assure the rail fastening._x000D_
Root cause of this accident was the non-application of the provisions of the operational procedures PO SMS 0-4.07 „Meeting with the technical specifications, standards and relevant requirements during the whole life cycle of the lines in maintenance process”, code PO SMS 0-4.12 „Management of the railway safety risks” and code PO SMS 0-4.28 „Checking and control of the maintenance results”, as well as of the practice codes used by the public railway infrastructure manager (instructions on the line maintenance).</t>
  </si>
  <si>
    <t>HU-4798</t>
  </si>
  <si>
    <t>Level crossing accident, 19-05-15, Szombathely (Hungary)</t>
  </si>
  <si>
    <t>The freight-train collided with a lorry. The signaling system did not work. 
A tehervonat egy teherautóval ütközött, a biztosítóberendezés nem muködött.</t>
  </si>
  <si>
    <t>NO-4801</t>
  </si>
  <si>
    <t>Train derailment, 20-05-15, Near Oppegård station (Norway)</t>
  </si>
  <si>
    <t>The 20th of May 2015 freight train 45958 from GreenCargo AB derailed with one wagon approximately 400 m from Oppegård station south of Oslo. The freight train was on its way from Gothenburg in Sweden to the Alnabru freight terminal in Oslo. The line is double tracked, but the direction of the derailed wagon was towards the right, away from the other track. The wagon and the infrastructure suffered severe damages. 
20. mai 2015 sporet en vogn i godstog 45958 fra GreenCargo AB av, ca. 400 meter før Oppegård stasjon på Østfoldbanen. Godstoget kom fra Gøteborg og var på vei til Alnabru. Strekningen er dobbeltsporet, men avsporingen skjedde mot høyre og ikke mot møtende trafikk. Både vogn og infrastruktur fikk store skader.</t>
  </si>
  <si>
    <t>Near Oppegård station</t>
  </si>
  <si>
    <t>As the wagon was negotiating a sharp curve, wheel lift occurred in the right forward wheelset. The wheel lift could have occurred as a result of the wagon in front being significantly heavier, creating strong buffer forces in the tight curve in connection with braking. Parts of the transition curve were near to the maintenance limit for track twist. Load calculations show that the load distribution in the derailed wagon was uneven, both laterally and longitudinally. The uneven load that was registered using an automatic wheel damage detector indicates a big difference between the wheels on the back axle that cannot be explained by load transfer. The Accident Investigation Board Norway (AIBN) believes that it is probable that the wagon had a fault condition that either could not be detected at the accident site or that was of such a nature that it was camouflaged by the consequential damage after the derailment. It is also probable that the Lgjns wagon from 1976 had weaknesses in the form of small cracks on the surface of the longitudinal girder and concealed cracks in welds that would act as fracture lines in the event of extensive stress. Investigations that the AIBN has had carried out at the Norwegian Armed Forces Laboratory Services support this. _x000D_
The AIBN believes that several factors contributed to the accident.  Under normal circumstances, each individual factor alone would not have been capable of causing a derailment, but in combination they constituted a risk.</t>
  </si>
  <si>
    <t>See direct cause explanation.</t>
  </si>
  <si>
    <t>AT-4796</t>
  </si>
  <si>
    <t>Level crossing accident, 22-05-15, Between station Purgstall and station Scheibbs (Austria)</t>
  </si>
  <si>
    <t>Friday, 22nd Mai 2015, it came to a collision on a railway crossing between station Purgstall and station Scheibbs between train 7028 and a car. From the occupants of the car were two adults and three children fatally injured and three other children serious injured. The train crew (an engine driver) and about ten passengers stay unharmed. The causation of the collision was that the car tried to use the level crossing at the time when the passenger train approached. 
Freitag, den 22. Mai 2015 kam es auf einer Eisenbahnkreuzung zwischen Bf Purgstall und Bf Scheibbs zu einem Zusammenprall zwischen Z 7028 und einem PKW. Dabei wurden von den Insassen des PKW zwei Erwachsene und drei Kinder tödlich sowie drei weitere Kinder schwer verletzt. Das Zugpersonal (ein Tfzf) und ca. zehn Fahrgäste blieben unverletzt. Die Ursache für den Zusammenprall war das Übersetzen der EK trotz Annäherung des Zuges.</t>
  </si>
  <si>
    <t>Between station Purgstall and station Scheibbs</t>
  </si>
  <si>
    <t>Einfahren des Personenkraftwagen in die Eisenbahnkreuzung vor dem herannahenden Zug 7028. Nichtbeachtung der durch die Eisenbahnkreuzungsverordnung geregelten Bestimmungen für das Verhalten von Straßenverkehrsbenützern beim Befahren von Eisenbahnkreuzungen. 
Driving of passenger car into the railway crossing while the train 7028 was approaching. Non-observance of the provisions governing the behavior of road users when crossing railroad crossings regulated by the Railway Crossing Regulation.</t>
  </si>
  <si>
    <t>ES-4824</t>
  </si>
  <si>
    <t>Spad, 22-05-15, Vicálvaro station (Coslada) (Spain)</t>
  </si>
  <si>
    <t>A light engine overrun exit signal at Vicálvaro station causing a near miss train collision. Nor personal nor material damages</t>
  </si>
  <si>
    <t>Vicálvaro station (Coslada)</t>
  </si>
  <si>
    <t>CONTINENTAL RAIL; 
TRACCIÓN RAIL</t>
  </si>
  <si>
    <t>The incident was caused by a human error of the driver of the locomotive VK1053, in particular by lack of attention, improperly passing the exit signal B107-3, that was in stop position. As a contributing cause, the driver didn’t take into account the different acceleration performance of an isolated locomotive, compared to a loaded train.</t>
  </si>
  <si>
    <t>Causes involving conditions of the regulatory framework and the application of the safety management system:_x000D_
"It has not been possible to verify that the training courses of drivers insist enough in the different acceleration and braking performances of rolling stock, considering the different conditions in which they could circulate.(cf. recommendation 28/2015-1)."_x000D_
_x000D_
Additional observations:_x000D_
"It has not been verified the existence, in the SMS of Continental Rail, of a procedure with general criteria for suspension, revocation and recovery of qualifications following a human error, considering its graveness (cf. recommendation 28/2015-2)."</t>
  </si>
  <si>
    <t>RO-4790</t>
  </si>
  <si>
    <t>Train derailment, 22-05-15, Caracal (Romania)</t>
  </si>
  <si>
    <t>the 18-th wagon from the freight train no.31652 derailed on the switch no.20 in the railway station Caracal</t>
  </si>
  <si>
    <t>Caracal</t>
  </si>
  <si>
    <t>Cauza directa _x000D_
Cauza directa a producerii accidentului o constituie pierderea capacita?ii de ghidare a rotii atacante, nr.2, a osiei conducatoare a primului boghiu al celui de-al 18 –lea vagon din compunerea trenului de marfa nr. 31652 (roata din partea dreapta a sensului de mers) ca urmare a torsionarii caii peste limita maxima admisa de reglementarile specifice în vigoare . _x000D_
Torsionarea caii peste valoarea limita admisa s-a produs datorita faptului ca în cadrul lucrarilor de buraj mecanizat efectuate în statia CFR Caracal nu s-a realizat aducerea liniilor vecine la aceeasi cota. 
Direct cause _x000D_
The direct cause of the accident is the loss of the guidance capacity of the leading wheel no. 2, of the guiding axle from the first bogie of the 18th wagon of the freight train no. 31652 (right wheel in the running direction) because the track twisting over the maximum limit accepted by the specific regulations in force . _x000D_
Track twisting over the accepted limit happened because during the mechanical packing of sleepers performed in the railway station Caracal, the adjacent lines were not put at the same dimension line.</t>
  </si>
  <si>
    <t>Cauze subiacente_x000D_
	Nerespectarea prevederilor art. 3 din Dispozitia CNCF „CFR” SA nr.12/2000 care a condus la realizarea incompleta a lucrarilor de buraj mecanizat pe zona aparatelor de cale, fara a  cuprinde în cadrul acestora si zona schimbatoarelor de cale nr.14, 16/18 (latura 14 – 16/18 a bretelei combinate nr.12-14-16/18-20).  _x000D_
	Cauze primare_x000D_
Lipsa unor instructiuni/proceduri de lucru la nivelul administratorului de infrastructura feroviara referitoare la executarea lucrarilor de buraj cu ma?ini grele de cale Plasser &amp; Theurer. 
Underlying causes_x000D_
	Infringement of the provisions of the art. 3 from the Disposal CNCF „CFR” SA no.12/2000 that led to the partial performance of the mechanical packing of sleepers in the area of the  switches, without  including also the switches no.14, 16/18 side 14 – 16/18 of the combined group no.12-14-16/18-20).  _x000D_
	Root cause_x000D_
Lack of some working instructions/procedures at the railway infrastructure administrator for the performance of the packing of sleepers with heavy vehicles Plasser &amp; Theurer.</t>
  </si>
  <si>
    <t>CZ-4791</t>
  </si>
  <si>
    <t>Level crossing accident, 25-05-15, Velké Pavlovice station (Czech Republic)</t>
  </si>
  <si>
    <t>Collision of regional passenger train No. 14523 at the level crossing with a truck with consequent derailment.</t>
  </si>
  <si>
    <t>Velké Pavlovice station</t>
  </si>
  <si>
    <t>Direct cause: unauthorized entry of a truck onto a level crossing when acoustic and visual warnings were being given.</t>
  </si>
  <si>
    <t>Underlying causes:_x000D_
• driver's failure to respect acoustic and visual warnings of the level crossing safeguarding equipment;_x000D_
• truck driver’s behaviour before proceeding over the level crossing, the driver wasn't careful enough and did not make sure, whether he can safely proceed over the level crossing._x000D_
Root cause: none.</t>
  </si>
  <si>
    <t>RO-4792</t>
  </si>
  <si>
    <t>Train derailment, 26-05-15, Vanatori (Romania)</t>
  </si>
  <si>
    <t>the 23-th to 29-th wagons from the freight train no. 50428 derailed on the switch no. 7 from the railway station Vânatori,</t>
  </si>
  <si>
    <t>Vanatori</t>
  </si>
  <si>
    <t>Cauza directa a producerii accidentului o constituie deszavorârea si deplasarea acelor macazului nr.7 în timpul trecerii trenului nr.50428 peste schimbatorul de cale nr.7, ca urmare a desfacerii cuplajului ?i întreruperea lan?ului cinematic dintre electromecanismul de ac?ionare a macazului propriu-zis ?i fixatorul de vârf al schimbatorului de cale nr.7. Acest lan? cinematic avea rolul de a realiza manevrarea, blocarea ?i asigurarea pozi?iei acelor macazului conform parcursului comandat._x000D_
	Factorii care au contribuit la deszavorârea si deplasarea acelor macazului centralizat a schimbatorului de cale nr.7, au fost:_x000D_
-	lipsa asigurarii bol?ului barei de trac?iune aferenta electromecanismului de ac?ionare a macazului nr.7 (componenta a lan?ului cinematic dintre electromecanism ?i fixatorul de vârf al schimbatorului de cale nr.7), anterior trecerii trenului nr.50428 peste acest schimbator de cale, pentru împiedicarea ie?irii acestui bol? din orificiile cuplajului dintre capatul barei de trac?iune a electromecanismului de macaz si bara de ac?ionare a fixatorului de vârf;_x000D_
-	uzurile elementelor componente ale fixatoarelor de vârf ?i de mijloc corespunzatoare schimbatorului de cale nr.7 peste cotele admise, prevazute de documentatia tehnica de referinta;_x000D_
-	starea tehnica necorespunzatoare a traverselor speciale de lemn din zona fixatorului de vârf, care nu permiteau strângerea tirfoanelor necesara fixarii de traverse, a placilor metalice cu alunecatori. 
C.7.1. Direct cause, contributing factors_x000D_
Direct cause of the accident is the unlocking and the movement of the points from the switch no.7 during the crossing of the train no.50428 over the switch no.7, because the uncoupling and cut of the connection between the switch motor and the inside locking of the switch no. 7. By this connection one operated, locked and ensured the position of the switch points according to the ordered route._x000D_
	The factors that contributed at the unlocking and movement of the points from the centralized switch of the turnout nr.7, were:_x000D_
-	unblocking of the of pin of the draft bar  from the motor for the operation of the switch no.7 (part of the connection between the switch motor and the inside locking of the switch  no.7), before passing the train no.50428 over this switch, in order to prevent the exit of this pin from the holes of the coupling between the end of the draft bar of the swittch motor and the operation bar of the inside locking;_x000D_
-	the wears of the parts of the inside and middle lockings, corresponding to the switch no.7 over the accepted quotas, stipulated in the reference technical documentation;_x000D_
-	unsuitable technical condition of the special wodden sleepers from the area of the inside locking, that did not permit the fastening of the coach screws for the fixing of the sleepers, of the metalic plates with slide chairs.</t>
  </si>
  <si>
    <t>Cauzele primare ale producerii acestui accident au fost lipsa din cadrul de reglementare specific a unor prevederi detaliate referitoare la :_x000D_
-	sarcinile si responsabilita?ile personalului responsabil cu între?inerea liniilor (personalul L) ?i ale personalului responsabil cu între?inerea instala?iilor CT (personalul CT), în cadrul lucrarilor executate în comun, pentru asigurarea mentenan?ei fixatoarelor de macaz cu cleme si a electromecanismelor de macaz de la schimbatoarele de cale centralizate electrodinamic;_x000D_
-	modul ?i mijloacele de verificare a înclinarii umerilor oblici ai cutiei de înzavorâre ?i a toleran?ei prevazuta în documentatia tehnica de referinta;_x000D_
-	atribu?iile si responsabilita?ile fiecarei persoane din compunerea unei echipe care asigura mentenan?a electromecanismelor de macaz (echipa CT). 
The root causes of the accident consisted in the lack in the specific regulation framework of some detailed provisions on :_x000D_
-	tasks and responsabilities of the staff in charge with the track maintenance (rail track staff) and of the staff in charge with the interlocking equipments ( interlocking staff), during the works  performed together, in order to ensure the maintenance of the clamp locking and of the point motors  from the interlocking switches;_x000D_
-	way and means to check reclining of the oblique joints of the loccking box and of the tolerance stipulated in the reference technical documentation;_x000D_
-	tasks and responsibilities of each person  from the gang in charge with the maintenance of the switch motors (intelocking gang).</t>
  </si>
  <si>
    <t>RO-4793</t>
  </si>
  <si>
    <t>Trains collision, 27-05-15, Putna Seaca (Romania)</t>
  </si>
  <si>
    <t>the train no. 58394 (tower wagon for the catenary maintenance) caught up and colied with the freight train no. 41786</t>
  </si>
  <si>
    <t>Putna Seaca</t>
  </si>
  <si>
    <t>Direct cause of the railway accident: human mistake consisting in the non-compliance with the positions of the block signals Bl 12 and  PrYF, being on „STOP without passing the signal in stop position”. _x000D_
This mistake, cummulated with the non-watching of the front route of the tower wagon, led to the overtaking and seious collision of the rear wagon from the freight train, running in front of the tower wagon._x000D_
Contributing factors:_x000D_
?	the tower wagon was not equipped with a system for the automatic control of the train speed;_x000D_
?	the speedometer was out of service, the speed of the tower wagon was not correctly appreciated and all the measures for the safety traffic were not taken. 
Cauza directa a producerii accidentului feroviar: eroare umana ce a constat în nerespectarea indicatiilor date de semnalele de bloc Bl 12 si  PrYF  care afisau indicatia „OPRESTE fara a depasi semnalul!”. _x000D_
Aceasta eroare, cumulata cu neurmarirea parcursului din fata  drezinei pantograf, a condus la ajungerea din urma si tamponarea violenta a ultimului vagon din compunerea trenului de marfa care circula înaintea drezinei pantograf._x000D_
Factori care au contribuit:_x000D_
?	lipsa dotarii drezinei pantograf cu un sistem de control automat al vitezei trenului;_x000D_
?	nefunctionarea vitezometrului, aprecierea incorecta a vitezei drezinei pantograf si neluarea tuturor masurilor de circulatie în siguranta.</t>
  </si>
  <si>
    <t>Underlying causes_x000D_
1.	Non-compliance with the provisions of the Regulations for signalling no.004/2006 on the posistions of the passing light signal of the automatic section block and of the passing light signal of the automatic section block with distant signal function._x000D_
2.	Non-compliance with the provisions of the Instructions for the running of the machines and vehicles for construction, maintenance of the tracks and contact line – no.340, for:_x000D_
-	technical condition of the speedometer;_x000D_
-	training, examination and authorization of the authorized manning agent;_x000D_
-	, knowledge and complete compliance with the specific regulations in force for the railway transport, by the authorized manning agent;_x000D_
-	obligations of the authorized manning agent;_x000D_
3.	Non-compliance with the provisions of point B from the Annex 1.1. of the Minister of Transports and Infrastructure’s Order no. 815 from the 12th of October 2010, on the ensurance of training of the driver of the tower wagon by the specialized staff with professional competences  specific to the types of rolling stock._x000D_
4.	Non-compliance by the public infrastructure manager CNCF „CFR” SA of the provisions from EU Reguliantions no.1078/2012 on the common safety method for the monitoring that the railway undertaking and infrastructure administrators have to apply after getting a safety certificate or a safety authorization, as well as the entities in charge with the maintenance, by the lack of application of the the monitoring of its contractor (SC „ELECTRIFICARE CFR” SA)._x000D_
_x000D_
_x000D_
Root causes _x000D_
Lack from the regulation framework of the keeper and user of the tower wagon DP 052 (SC „ELECTRIFICARE CFR” SA) of the specific provisiosn  on the position of the manning agent in relation to the running direction of the tower wagon. 
Cauze subiacente_x000D_
1.	Nerespectarea  prevederilor din Regulamentul de semnalizare nr.004/2006 referitoare la indicatiile date de catre semnalul luminos de trecere ale blocului de linie automat si de semnalul luminos de trecere ale blocului de linie automat cu functia de prevestitor._x000D_
2.	Nerespectarea prevederilor din Instructiunile pentru circulatia masinilor si utilajelor pentru constructia, întretinerea caii si a liniei de contact – nr.340, referitoare la:_x000D_
-	starea tehnica a vitezometrului;_x000D_
-	instruirea, examinarea si autorizarea agentului de însotire autorizat_x000D_
-	agentului autorizat de însotire cunoasterea si respectarea în totalitate a reglementarilor specifice în vigoare referitoare la activitatea de transport feroviar;_x000D_
-	obligatiile agentului autorizat de însotire;_x000D_
3.	Nerespectarea prevederilor pct.B din Anexa 1.1. la Ordinul MTI nr. 815 din 12 octombrie 2010, referitoare la asigurarea instruirii mecanicului drezinei pantograf de catre personal de specialitate care sa detina competente profesionale specifice tipurilor de material rulant._x000D_
4.	Nerespectarea de catre administratorul infrastructurii feroviare publice CNCF „CFR” SA a prevederilor Regulamentului UE nr.1078/2012 privind o metoda comuna de siguranta pentru monitorizarea pe care trebuie sa o aplice întreprinderile feroviare si administratorii de infrastructura dupa primirea unui certificat de siguranta sau a unei autorizatii de siguranta, precum si entitatile responsabile cu întretinerea, prin neaplicarea procesului de monitorizare contractorului sau (SC „ELECTRIFICARE CFR” SA)._x000D_
_x000D_
Cauze primare _x000D_
Lipsa din cadrul de reglementare al detinatorului si utilizatorului drezinei pantograf DP 052 (SC „ELECTRIFICARE CFR” SA) a prevederilor specifice referitoare la pozitionarea agentului de însotire în raport cu sensul de deplasare al drezinei pantograf.</t>
  </si>
  <si>
    <t>HU-4816</t>
  </si>
  <si>
    <t>Trains collision with an obstacle, 29-05-15, Szajol (Hungary)</t>
  </si>
  <si>
    <t>Train No. 45415-2 collided with an obstacle, wich felt down from the overhead line. 
A 45415-2 sz. vonat leszakadt felsovezetéknek ütközött</t>
  </si>
  <si>
    <t>Szajol</t>
  </si>
  <si>
    <t>HU-4799</t>
  </si>
  <si>
    <t>Trains collision with an obstacle, 01-06-15, Budapest Nyugati pályaudvar (Hungary)</t>
  </si>
  <si>
    <t>The passenger train could not stop before the buffer stop and collided to it. 
A személyvonat nem tudott megállni a vágányvégi ütközobak elott é snekiütközött</t>
  </si>
  <si>
    <t>Budapest Nyugati pályaudvar</t>
  </si>
  <si>
    <t>A VB a baleset bekövetkezését az alábbi közvetlen okokra vezette vissza: - a 696 számú D12 fékezoszelep üzemifék állásában a fovezeték nyomása 5 bar fölé emelkedett,  - a rendellenes fovezeték nyomásemelkedés, késon felfutó fékhatást eredményezett, ami a fékút kritikus megnövekedését eredményezte. - az érintett fékezoszelep karbantartása során a vezérlohüvely és zárócsavar megengedett szélso határméretekhez közeli értékekkel került összeszerelésre, így a fékezokar lenyomásának hatására a vezérlohüvely el tudott billenni a zárócsavar furatában a köztük lévo NJ legnagyobb játék mértékében, és ennek következtében a gyorstölto szelepet kinyitotta. 
The direct causes of the VB accident are the following : - Due to the service break hold of the break valve nr 696 D12, the pressure of the main wire raised above 5 bar- the abnormal rise of pressure resulted in a late breaking action, which caused the critical increase of the stopping distance.- During the maintenance of the breaking valve concerned, the control sleeve and screw were assembled near the value of the maximum allowed size-limit, and therefore as a result of the pressing of the break lever, the control sleeve could move in the hole of the closing screw, at the value of the largest NJ space between them, and as a consequence it opened the fast charging valve.</t>
  </si>
  <si>
    <t>PL-4802</t>
  </si>
  <si>
    <t>Level crossing accident, 03-06-15, Level crossing D category at the section Kornatowo - Grudziadz Mniszek (Poland)</t>
  </si>
  <si>
    <t>The train No 59715 operated by railway undertaking Arriva RP going from Torun Glówny in destination Grudziadz hit on the level crossing D category (without protection nor signalisation)_x000D_
the passenger car Volkswagen Sharan which had moved from the right side of the level crossing. _x000D_
As a consequence of the accident there were 2 fatalities (children in ages 3 and 6 yeras) and additionally 2 people seriously injured.</t>
  </si>
  <si>
    <t>Level crossing D category at the section Kornatowo - Grudziadz Mniszek</t>
  </si>
  <si>
    <t>Arriva Polska Spólka z ograniczona odpowiedzialnoscia</t>
  </si>
  <si>
    <t>Collision of train No. APM 59715 with passenger vehicle Volkswagen Sharan located on the railway-road crossing category „D”.</t>
  </si>
  <si>
    <t>I.   Primary causes_x000D_
1. failure to observe the required triangle of visibility at the crossing from the right side of the road, towards odd direction at the location of sign B-20 „STOP” from 5 m and from 10 m and 20 m as a result of: adverse land shape (before the crossing, the track is in an excavation), excessive vegetation, exceeding 1.2 m, from road ordinate at the access with unfavourable lengthwise profile of road (excessive rise of the road towards the crossing) and unfavourable crosswise profile of road (inclination of road to right on the right curve), which made it impossible to observe the incoming train by the vehicle driver,_x000D_
_x000D_
2. no reaction of the infrastructure administrator after receiving information about major hazard on the crossing from Pniewite village residents - no inspection was performed on the crossing concerning the reported hazards and no measures were taken to mitigate the risk (eliminate the risk),_x000D_
_x000D_
3. failure to call a meeting by the railway infrastructure administrator with the road administrator and Police, in order to change the existing protection of the crossing in relation to increase of maximum speed of the trains along this route. _x000D_
    _x000D_
 II.    Indirect causes:_x000D_
_x000D_
1. failure to take actions by the infrastructure administrator to limit the risk, including failure to limit the speed of trains due to lack of appropriate visibility and failure to cut out the vegetation, that precluded train visibility,_x000D_
_x000D_
2. improper parameters of the road within the scope of exceeding admissible lengthwise inclination at the access to the crossing and lack of horizontal section of the road from the extreme rail of the track, as a result of errors in the final project and improper performance of acceptance of the crossing after modernization of line No. 207,_x000D_
_x000D_
3. lack of hard surfaced road along a distance of at least 10 m from the extreme rail, poor technical condition of unsurfaced road on the crossing, leading to loss of grip when starting the vehicle before the crossing,_x000D_
_x000D_
4. ineffective supervision over safety conditions on the railway crossing by the infrastructure administrator, including improper provision of detours of railway line, which do not identify the problem of lack of visibility due to vegetation near the crossing,_x000D_
_x000D_
5. lack of annual inspection of the crossing in 2014 required by art. 62 of the act of 7 July 1994 „Construction law” (Journal of Laws 1994, No. 89, item 114 as amended),_x000D_
_x000D_
III. Systematic causes:_x000D_
_x000D_
1. determination by the investor (PKP PLK S.A. – CRI Gdansk) of precise assumption concerning modernization of railway line No. 207 - representing annex to the Contract Functional and Utility Program made it impossible to implement essential changes in the existing infrastructure, necessitating applying for the construction permit, _x000D_
_x000D_
2. failure to perform (twice) change management process specified in the Procedure SMS-PR-03 „Change management” - (rev. 1 issued on 27.01.2015) in relation to the change of visibility triangle with the planned increase of train speed from  50 km/h to 80 km/h and from 80 km/h to 100 km/h,_x000D_
_x000D_
3. failure to perform operations in order to minimise or liquidate hazards, specified in the Procedure SMS-PR-02, „Identification and assessment of technical risk” (rev. 1 issued on 22.06.2010) as well as failure to take corrective and preventive measures, including failure to limit the speed of trains on the crossing in relation to lack of required visibility of train face from both sides of the crossing, _x000D_
_x000D_
4. incomplete application of the Procedure SMS-PW-01, „Maintenance of railway line technical and organizational efficiency” - (rev. 3 of 08.12.2014), including failure to cut out vegetation at the crossing in order to increase visibility, _x000D_
_x000D_
5. approval by the infrastructure administrator (Investment Project Assessment Team) without any reservations of the line modernization project, especially within the scope of alteration of the crossing, preconditions of which did not satisfy the requirements of the Decision of the Minister of Transport and Marine Economy of 26 February 1996 on technical conditions which railway crossings with public roads and their location should satisfy (Journal of  Laws No. 33 item 144 as amended), imposed by requirements of § 6 and 7 of the Procedure SMS-PW-09, „Safe designing of railway infrastructure and principles of cooperation between designers” - (rev.2.2, issued on 23.05.2014),_x000D_
_x000D_
6. approval, by Lisewo Commune Office, without any reservations, of line modernization project, along the section through Lisewo commune, from the point of view of collisions with municipal infrastructure, i.e. water mains and municipal road, preconditions of which did not satisfy the requirements of the Decision of the Minister of Transport and Marine Economy of 26 February 1996 on technical conditions which railway crossings with public roads and their location should satisfy (Journal of  Laws No 33, item 144 as amended):_x000D_
_x000D_
7. failure to identify significant defects and technical faults during final acceptance of the works on the crossing at km 36.658 line No. 207, by the infrastructure administrator (final acceptance team), consisting in that technical parameters and type of the road did not satisfy the requirements of the Decision of the Minister of Transport and Marine Economy of 26 February 1996 on technical conditions which railway crossings with public roads and their location should satisfy (Journal of Law 1996, No. 33 item 144 as amended), lack of any objections during acceptance of works on the crossing by the infrastructure administrator, § 9 (3)  (3) of the Procedure SMS-PW-11, „Cooperation with investment works contractors and designers" (rev. 2.2 issued on 23.05.2014).</t>
  </si>
  <si>
    <t>UK-4843</t>
  </si>
  <si>
    <t>Train derailment, 03-06-15, Angerstein Junction (United Kingdom)</t>
  </si>
  <si>
    <t>The train, comprising 22 empty JGA wagons hauled by a class 66 locomotive, derailed at a low speed on a curved section of the single line track which links sidings to the North Kent line at Angerstein Junction._x000D_
_x000D_
The leading wheelset of the 11th wagon had derailed as it was passing over a set of trap points about 50 metres before the junction with the North Kent Line; these points had been correctly set to allow the passage of the train. The derailment occurred after the front of the train had run onto the North Kent Line and when the train was braking on the approach to a stop signal. The driver was not immediately aware of the derailment and restarted his train from this signal when it cleared. The remaining wheels of the 11th wagon, and all wheels on the 10th and 12th wagons, were then pulled off the track as they continued over Angerstein Junction, onto the Down North Kent Line and over part of a cross-over between the Up and Down North Kent lines. The train continued along the Down line until it was stopped, having travelled about 160 metres after the initial derailment, by an automatic brake application caused when a brake pipe broke between two of the derailed wagons._x000D_
_x000D_
Although routed onto the Down North Kent line, the derailed wagons stopped in a position where they were foul of the adjacent Up line. There was no train on this part of the Up line when the derailment occurred._x000D_
_x000D_
The derailment caused damage to wagons, cabling and signal equipment, and track. Train services on the North Kent line suffered disruption until 5 June._x000D_
_x000D_
The accident occurred at the place where a similar train derailed on 2 April 2014. This earlier derailment was subject to an RAIB investigation, the report of which will be published soon. Our investigation into the 3 June 2015 derailment will therefore concentrate on identifying any safety learning additional to that gained from the earlier investigation.</t>
  </si>
  <si>
    <t>There was insufficient load on the front right-hand wheel of the leading bogie on wagon BHQ17121 to counteract the lateral forces at the wheel-rail interface, and thus to prevent the flange climbing over the rail head in the vicinity of trap points 851A (paragraph 38). 
There was insufficient load on the front right-hand wheel of the leading bogie on wagon BHQ17121 to counteract the lateral forces at the wheel-rail interface, and thus to prevent the flange climbing over the rail head in the vicinity of trap points 851A (paragraph 38).</t>
  </si>
  <si>
    <t>The causal factors were:_x000D_
a. Wagon BHQ 17121 had a significant unloading of the leading right-hand wheel (paragraph 44, Recommendation 1). This causal factor arose due to a combination of the following:_x000D_
i. The suspension on the front right-hand wheel of wagon BHQ 17121 was locked in the loaded position (paragraph 50, Recommendation 1); and_x000D_
ii. Wagon BHQ 17121 had a bogie frame twist acting to unload the leading right-hand wheel (paragraph 63, Recommendation 1)._x000D_
b. Maintenance of wagon BHQ 17121 neither identified the presence of, nor prevented the development of, a bogie frame twist and a suspension defect causing uneven wheel loading (paragraph 67, Learning point 1, Recommendations 1 and 2); and_x000D_
c. The infrastructure configuration at the point of derailment presented a derailment risk to wagons that had abnormal wheel load distributions (paragraph 78, Recommendation 3). 
The causal factors were:_x000D_
a. Wagon BHQ 17121 had a significant unloading of the leading right-hand wheel (paragraph 44, Recommendation 1). This causal factor arose due to a combination of the following:_x000D_
i. The suspension on the front right-hand wheel of wagon BHQ 17121 was locked in the loaded position (paragraph 50, Recommendation 1); and_x000D_
ii. Wagon BHQ 17121 had a bogie frame twist acting to unload the leading right-hand wheel (paragraph 63, Recommendation 1)._x000D_
b. Maintenance of wagon BHQ 17121 neither identified the presence of, nor prevented the development of, a bogie frame twist and a suspension defect causing uneven wheel loading (paragraph 67, Learning point 1, Recommendations 1 and 2); and_x000D_
c. The infrastructure configuration at the point of derailment presented a derailment risk to wagons that had abnormal wheel load distributions (paragraph 78, Recommendation 3).</t>
  </si>
  <si>
    <t>RO-4800</t>
  </si>
  <si>
    <t>Train derailment, 05-06-15, Varciorova - Orsova (Romania)</t>
  </si>
  <si>
    <t>the 4-th, 5-th,6-th and7-th wagons from the rear of the freight train no. 21153 derailed in open line between Varciorova and Orsova</t>
  </si>
  <si>
    <t>Varciorova - Orsova</t>
  </si>
  <si>
    <t>Cauza directa _x000D_
Cauza directa a producerii acestui accident o constituie escaladarea sinei de pe firul exterior al curbei de catre roata atacanta (situata pe partea dreapta în sensul de mers al trenului) de la vagonul nr. 31535484375-9 ca urmare a maririi raportului dintre forta conducatoare si sarcina ce actionau pe aceasta roata, depasindu-se astfel limita de stabilitate la deraiere. _x000D_
Cresterea raportului dintre forta conducatoare si sarcina ce actionau pe roata atacanta s-a produs în conditiile descarcarii puternice de sarcina a ro?ii din partea dreapta a osiei conducatoare ?i a cre?terii for?ei laterale (de ghidare) pe aceasta roata._x000D_
Factori care au contribuit_x000D_
1.	Factori care au contribuit la descarcarea par?iala de sarcina verticala a rotii atacante:_x000D_
?	diferen?a de 23 mm (punctul ,,4” mai ridicat) constatata la nivelul transversal dintre cele doua fire ale caii, masurata în punctele notate cu,,0” si ,,4”, aflate la o distanta de 10 m, distanta ce este foarte apropiata de distanta dintre osiile extreme (10,8 m) ale vagonului nr. 31535484375-9, fapt care a dus la cresterea sarcinilor verticale ce actionau pe rotile aflate pe diagonala dreapta spate – stânga fata si la descarcarea partiala a sarcinilor verticale ce actionau pe rotile de pe cealalta diagonala (dreapta fata – stânga spate); _x000D_
?	excesul de supraînaltare existent la locul producerii deraierii, fapt ce a condus la acceleratii transversale negative. _x000D_
2.	Factori care au contribuit la cresterea fortei laterale (de ghidare):_x000D_
?	uzura pronuntata a garniturii din poliamida de la crapodina boghiului I (primul boghiu în sensul de mers al trenului) de la vagonul nr.31535484375-9, fapt care a condus la marirea rezistentei la frecare, sporind gradul de rigiditate al ansamblului boghiu – cutie vagon si implicit marirea unghiului de atac;_x000D_
?	depasirile tolerantelor în exploatare pentru valorile sagetilor vecine si între sagetile maxime si minime pe curba, fapt ce a amplificat mi?carile dinamice laterale ale vehiculului feroviar tractat în timpul rularii. 
Direct cause _x000D_
The direct cause of this accident  is the overclimbing of the rail from the exterior track of the curve by the leading wheel (on the right side in the running direction of the train) from the wagon no. 31535484375-9, because the increase of the ratio between the guiding force and the load on this wheel, so exceeding the derailment stability limit. _x000D_
The increase of the ratio between the guiding force and the load on the leading wheel happened because the high load transfer of the right wheel of the guiding axle and increase of the lateral force (guiding one) of this wheel_x000D_
Contributing factors_x000D_
1. Factors that contributed to the partial transfer of vertical load of the leading wheel:_x000D_
?	diference of 23 mm (point ,,4”  higher) found at the crosslevel between the two tracks, measured in the points,,0” and ,,4”, situated at a distance of 10 m, distance very close to the distance between the end axles (10,8 m) of the wagon no. 31535484375-9, leading to the increase of the vertical loads acting on the wheels of the right behind cross-over – left front and to the partial transfer of the vertical loads, that acted  on the wheels of the other cross-over (right front – left behind); _x000D_
?	excess of cant of track existing at the derailment site, leading to the negative transverse accelerations. _x000D_
_x000D_
2.	Factors that contributed to the increase of the lateral force (guiding):_x000D_
?	strong wear of the polyamide lining of the centre casting from the bogie I (first bogie in the train running direction) of the wagon no.31535484375-9, leading to the increase of the friction resistance, increasing the stiffness of the unit bogie – wagon body and implicitly the increase of the attack angle;_x000D_
?	exceeding of the tolerances in operation for the values of the close deflections and between the maximum and minimum deflections in the curve, it leading to the lateral dynamic movements of the vehicle hauled during the running.</t>
  </si>
  <si>
    <t>Cauze subiacente _x000D_
Cauza subiacenta a acestui accident feroviar o constituie nerespectarea prevederilor art.7B, pct.1 din Instructia de norme si tolerante pentru constructia ?i întretinerea caii - linii cu ecartament normal nr.314/1989 cu privire la tolerantele pozitiei caii în plan, atât pentru valorile sagetilor vecine, cât si între sagetile maxime si minime pe curba._x000D_
Cauze primare_x000D_
1.	Neaplicarea prevederilor Instructiei de întretinere a liniilor ferate nr. 300/1982, document asociat al procedurii operationale cod PO SMS 0-4.07 „Respectarea specificatiilor tehnice, standardelor si cerintelor relevante pe întreg ciclul de viata a liniilor în procesul de întretinere”, parte a sistemului de management al sigurantei al CNCF “CFR” SA, referitoare la dimensionarea personalului subunita?ilor de între?inere linii, în raport cu volumul de lucrari, fapt confirmat de subdimensionarea personalului districtului de linii nr.5 Drobeta Turnu Severin si a districtului de poduri, din cadrul Sectiei L4 Drobeta Turnu Severin._x000D_
2.	Neidentificarea ca pericol a men?inerii în exploatare a defectelor de gradul 3 ?i 4 ale geometriei caii, precum ?i a defectelor înregistrate pe por?iunile de linie cu restric?ie de viteza de 30 km/h (sau mai mica), depistate cu ocazia masuratorilor efectuate cu vagonul de masurat calea. 
Underlying causes _x000D_
Underlying cause of the accident was the infringement  of the provisions of art.7B, point 1 from the Instructins of tolerances for the track construction and maintenance – tracks with standard gauge no.314/1989 on tolerances of the track laying, both for  the values of the close deflections and between the maximum and minimum deflections in the curve._x000D_
_x000D_
Root causes_x000D_
1.Non-application of the provisions of the Instruction for the line maintenance no. 300/1982, document associated to the operational procedure code PO SMS 0-4.07 „Compliance with the technical specifications, standards and requirements relevant within the whole lifetime of the tracks in the maintenance process”, part of the safety management system of CNCF “CFR” SA, on the sizing of the staff from the sub-units, responsible for the track maintenance, in relation to the workloads, it being confirmed by the undersizing of the staff from Line District no.5 Drobeta Turnu Severin and of Bridge District within Track Section L4 Drobeta Turnu Severin._x000D_
2.Non-identification as danger of the keeping in operation of the failures level 3 and 4 of the track geometry, as well as of the failures identified on the track sections with speed restriction of 30 km/h (or less), found out  during the measurements prformed with the testing and recording wagon.</t>
  </si>
  <si>
    <t>DE-4819</t>
  </si>
  <si>
    <t>Level crossing accident, 10.06.2015, Cham (Oberpf) - Bad Kötzting (Germany)</t>
  </si>
  <si>
    <t>Personenzug DPN 74181 kollidiert mit einem Kleintransporter. 
Passenger train DPN 74181 collides with a pick-up truck.</t>
  </si>
  <si>
    <t>Cham (Oberpf) - Bad Kötzting</t>
  </si>
  <si>
    <t>Regental Bahnbetriebsgesellschaft mbH</t>
  </si>
  <si>
    <t>Der Fahrer des Kleintransporters missachtete den Vorrang des Schienenverkehrs 
The driver of the pickup truck did not respect the priority of the rail transport.</t>
  </si>
  <si>
    <t>PT-4821</t>
  </si>
  <si>
    <t>Other event, 14-06-15, Leiria (Portugal)</t>
  </si>
  <si>
    <t>DMU of class 592.0 ran as passenger train 802 on Oeste line, between Coimbra-B and Caldas da Rainha stations (about 135 km). This class of rolling stock was not tested and was not authorized to run on that line or on any part of the portuguese network south of Porto-Campanhã station. The nonconformity was only detected by the stationmaster of Leiria station, 55 km before the end of the journey; the train was allowed by the IM to reach its final destination._x000D_
For any rolling stock to be used on any part of the network, railway rules stipulate that it must be authorized for each line by the NSA. The use of this kind of rolling stock was planned with antecipation by the RU and IM but neither safety managent systems were able to detect and prevent the incident. 
Unidade Tripla Diesel da série 592.0 foi utilizada para realizar o comboio de passageiros n.º 802 entre Coimbra-B e Caldas da Rainha (percurso de cerca de 135 km). Esta série de material circulante não havia sido testada nem estava autorizada a circular naquele troço, nem em qualquer outro a sul de Porto-Campanhã. Tal desconformidade apenas foi detectada pelo agente de circulação do gestor da infraestrutura em serviço na estação de Leiria (55 km antes do final do trajecto), tendo o gestor da infraestrutura autorizado a finalização da viagem._x000D_
Os regulamentos ferroviários determinam que o material circulante apenas pode circular numa linha se estiver autorizado para o efeito pela Autoridade Nacional de Segurança Ferroviária. _x000D_
A utilização deste material circulante naquele comboio foi planeada com antecedência quer pela empresa de transporte ferroviário, quer pelo gestor da infraestrutura, no entanto, nenhum dos Sistemas de Gestão da Segurança daquelas entidades permitiu detectar e impedir o incidente.</t>
  </si>
  <si>
    <t>Leiria</t>
  </si>
  <si>
    <t>Não existiu impedimento à circulação dos comboios nas linhas não autorizadas regulamentarmente._x000D_
A ICS 115/05, regulada no seu 23.º aditamento e distribuída aos agentes operacionais, não foi tida em consideração. [FCau-01]_x000D_
As UTD série 592.0 foram programadas para os comboios que circularam em linhas para as quais o material automotor não se encontrava autorizado. [FCau-02]_x000D_
As desconformidades relacionadas com a série de material automotor não foram identificadas pelas tripulações dos comboios. [FCau-03]_x000D_
As desconformidades relacionadas com o material automotor utilizado nos respetivos comboios não foram identificaram pelos operadores de circulação ao longo das linhas. [FCau-04]_x000D_
As desconformidades relacionadas com o material automotor utilizado nos respetivos comboios não foram identificadas pelos CCO de Lisboa e Porto. [FCau-05] 
The procedures in place at the RU and IM did not prevent the use of DMUs of class 592.0 in lines for which it was not authorized to run, there having occurred an undue assimilation with DMUs of class 592.2, which was duly authorized to run in the travelled lines.</t>
  </si>
  <si>
    <t>Causas subjacentes:_x000D_
As folhas de marcha constantes do 1.º aditamento ao Livro Horário não distinguem as séries das UTD 592.0 e 592.2, tratando-as como uma série única. [CSub-01]_x000D_
Os mapas de rotação do material circulante referente ao parque das unidades automotoras UTD série 592.0 e 592.2 não fazem distinção entre as séries, tratando-as como uma única série. [CSub-02]_x000D_
Os CCO de Lisboa e Porto assumem como válidos os mapas de rotação de material enviados pela empresa de transporte ferroviário. [CSub-03]_x000D_
Os procedimentos existentes nas empresas ferroviárias não preveem uma verificação explícita, tanto na fase da programação como na fase de utilização do material automotor. [CSub-04]_x000D_
Comunicação pouco clara entre a ETF e o GI no que diz respeito ao âmbito da consideração da série 592.0 na realização do Horário Técnico. [CSub-05]_x000D_
O procedimento generalizado de difusão da regulamentação pelos trabalhadores através da simples distribuição da regulamentação não garante às organizações que esta seja corretamente interpretada e aplicada pelos seus agentes. [CSub-06]_x000D_
Causas profundas:_x000D_
O risco referente à utilização de material circulante não autorizado foi subavaliado pela ETF e pelo GI. [CPro-01] 
The applicable rules had been distributed to the staff involved in the whole process but were not duly taken in to consideration by all parties at the moment of schedule planning, rolling stock allocation and train operation. Furthermore, the generalized procedure of rules and orders being disseminated among staff by the simple distribution of documentation was not effective to guarantee that the respective content was duly interpreted and applied by the frontline workers. _x000D_
None of the operational documents (rolling stock allocation sheets, operational timetable and driving licences) makes the distinction between class 592.0 and 592.2, considering as a single class when, from the rules and technical points of view, they are not. Also the generality of the involved persons were not aware of the distinction between both classes of DMUs._x000D_
All involved agents in the chain of events, with the exception of the station manager at Leiria, were acritical to the situation with which they were confronted during the operation of the trains, based on the assumption that a fact coming from the programming sectors was not expected to require to be challenged. _x000D_
The existing procedures of the RU and IM did not contemplate an explicit and documented check on the conformity of allocation of rolling stock to the routes to be travelled, neither at the planning phase nor at the moment of use, relying solely on the memory and knowledge of intervening staff._x000D_
As root cause to the incidents, the safety investigation has identified that the risk of the use of rolling stock on lines where it is not authorized was underestimated by the RU and the IM.</t>
  </si>
  <si>
    <t>DE-4806</t>
  </si>
  <si>
    <t>Trains collision, 18-06-15, Halle (Saale) Hbf (Germany)</t>
  </si>
  <si>
    <t>Eine gezogene Rangierfahrt (bestehend aus dem Rangier-Tfz 362 378-2 und zwei geschleppten Schad-Tfz BR 143) ist im Bf Halle (Saale) Hbf mit der im Gleis 2w (Bahnsteig 5) stehenden Regionalbahn 26269 kollidiert. 
A towed shunting movement (composed of driving traction vehicle 362 378-2 and two towed damaged traction vehicles BR 143) collided at Halle (Saale) railway station with regional train 26269 standing on rail track 2w (platform 5).</t>
  </si>
  <si>
    <t>Halle (Saale) Hbf</t>
  </si>
  <si>
    <t>Die Rangierfahrt leitete den Bremsvorgang zu spät ein. 
The shunting movement started the braking process too late.</t>
  </si>
  <si>
    <t>CZ-4803</t>
  </si>
  <si>
    <t>Level crossing accident, 24-06-15, Petrov u StráÅ¾nice - StráÅ¾nice (Czech Republic)</t>
  </si>
  <si>
    <t>Collision of regional passenger train No. 2710 with a van at the level crossing No. P8143 between Sudomerice na Morave and Strážnice stations.</t>
  </si>
  <si>
    <t>Petrov u StráÅ¾nice - StráÅ¾nice</t>
  </si>
  <si>
    <t>unauthorized entry of a van onto a level crossing at a time when acoustic and visual warnings were being given.</t>
  </si>
  <si>
    <t>Underlying cause:_x000D_
_x000D_
• behaviour of the van driver in front of the level crossing; the car driver was not careful enough and did not make sure whether he can safely pass the level crossing;_x000D_
• van driver's failure to respect visual and acoustic warning. Ride at the level crossing at the time when it was forbidden;_x000D_
• not giving of priority to railway transport at the level crossing.</t>
  </si>
  <si>
    <t>CZ-4804</t>
  </si>
  <si>
    <t>Train derailment, 29-06-15, Hranice na Morave - DrahotuÅ¡e (Czech Republic)</t>
  </si>
  <si>
    <t>Broken axle pivot of freight train No. 146893 and consequent derailment of one wagon between Hranice na Morave and Drahotuše stations.</t>
  </si>
  <si>
    <t>Hranice na Morave - DrahotuÅ¡e</t>
  </si>
  <si>
    <t>Direct cause: fatigue fracture of axle No. 018970164 of freight wagon No. 33 51 7984 332-1 initialized by surface defects.</t>
  </si>
  <si>
    <t>Underlying cause: failure to provide maintenance to the extent that would carry out that the technical condition of the freight wagon will meet the requirements throughout its use for the operation of railway transport._x000D_
Root cause: none.</t>
  </si>
  <si>
    <t>DE-4807</t>
  </si>
  <si>
    <t>Trains collision, 29-06-15, Hoppegarten (Mark) (Germany)</t>
  </si>
  <si>
    <t>Am 29.06.2015 gegen 21:46 Uhr entgleiste im Bahnhof Hoppegarten auf der S-Bahnstrecke Berlin Ostbahnhof – Strausberg Nord in Höhe der Weiche 49 (km 16,950) Zug S 5130 mit allen Drehgestellen der letzten drei Wagen. 
On 29.06.2015 at about 21:46, train S 5130 derailed on the Berlin Ostbahnhof - Strausberg Nord S-Bahn line at turnstile 49 (km 16,950) with all bogies of the last three wagons.</t>
  </si>
  <si>
    <t>Hoppegarten (Mark)</t>
  </si>
  <si>
    <t>Die Zugentgleisung war Folge einer unzeitigen Weichenbedienung durch den Fahrdienstleiter des Stellwerks „Hob“. Dieser hatte die spitz befahrene Weiche 49 umgestellt, obwohl die Weiche durch S 5130 befahren wurde. 
The train derailment was the result of an untimely switch operation by the operator of the ‘Hob’ station. The latter had changed the pointed turnout 49, although the turnout was driven by the S 5130.</t>
  </si>
  <si>
    <t>HU-4810</t>
  </si>
  <si>
    <t>Fire in RS, 29-06-15, Nagyigmánd-Bábolna (Hungary)</t>
  </si>
  <si>
    <t>Fire in 2 "Eas" type, opened freight carriage. The cargo of the carriages is iron waste. 
Nagyigmánd-Bábolna állomás III. vágányára bejáró tehervonat két db, ócskavassal rakott Eas kocsija kigyulladt.</t>
  </si>
  <si>
    <t>Nagyigmánd-Bábolna</t>
  </si>
  <si>
    <t>A nem tuzveszélyes áruként, nyitott kocsiban feladott rakományt olyan muanyag hálóval takarták le, melynek gyulladáspontja alacsonyabb, mint a vonat továbbításához használt mozdony kipufogójából kiáramló füst és izzó korom homérséklete, így a háló tüzet tudott fogni, mely átterjedt a rakományra._x000D_
A vashulladékként feladott rakomány nagy mennyiségben tartalmazott gyúlékony anyagot. 
The cargo transported as non-flammable goods in an open wagon was covered with a plastic net with a lower ignition point than the temperature of the smoke and the incandescent black from the exhaust of the locomotive used to convey the train, so the net was able to catch a fire which spread to the load.  _x000D_
Cargo shipped as iron waste contained large quantities of flammable material.</t>
  </si>
  <si>
    <t>DE-4808</t>
  </si>
  <si>
    <t>Train derailment, 30/06/2015, Mannheim Hbf - Ludwigshafen (Rhein) Hbf (Germany)</t>
  </si>
  <si>
    <t xml:space="preserve">Am 30.06.2015 gegen 12:25 Uhr entgleiste am Güterzug DGS 44676 des Eisenbahnverkehrsunternehmens (EVU) SBB Cargo Deutschland GmbH der an Position 24 laufende Wagen mit dem führenden Drehgestell (DG) bei der Fahrt von Mannheim Hbf nach Ludwigshafen (Rhein) Hbf.  </t>
  </si>
  <si>
    <t>Mannheim Hbf - Ludwigshafen (Rhein) Hbf</t>
  </si>
  <si>
    <t xml:space="preserve">Es entstand erheblicher Sachschaden an der Infrastruktur und geringer Sachschaden am Fahrzeug. Aufgrund der Sonderanfertigung der durch die Entgleisung beschädigten Spezialschwellen blieb das betroffene Gleis mehrere Wochen gesperrt.
</t>
  </si>
  <si>
    <t>Die Ursache für die Entgleisung lag im individuellen Zusammenwirken von Wagen und Oberbau. Die plötzlichen Veränderungen der Gleisparameter in Längshöhe, Richtung und Verwindung im Bereich der Entgleisungsstelle nahm das erste Drehgestell des an Position 24 laufenden Wagens bei der langsamen Fahrt aufgrund des verwindungssteifen und torsionsträgen Wagens einzig durch die Drehgestelle nicht mehr auf, so dass es zum Verlust der Spurführung kam.</t>
  </si>
  <si>
    <t>HR-4805</t>
  </si>
  <si>
    <t>Accident to persons caused by RS in motion, 30-06-15, Split Predgrade (Croatia)</t>
  </si>
  <si>
    <t>During ongoing shunting operation railway worker fell in the tracks and was run over by the train. 
Na željeznickom kolodvoru Split Predgrade, prilikom manevarskog rada grupe od osam vagona smrtno je stradao radnik koji je obavljao operaciju manevroranja.</t>
  </si>
  <si>
    <t>Split Predgrade</t>
  </si>
  <si>
    <t>Izravni uzrok ove nesrece je pad rukovatelja manevre s vagona serije MDDlm u pokretu ispred prednjeg okretnog postolja (poglavlje 5.3.). 
The direct cause of this accident was a drop the shunting worker from the rolling stock in front of the front bogie (Chapter 5.2.).</t>
  </si>
  <si>
    <t>Cimbenici koji su pridonijeli ovoj nesreci: _x000D_
-	manevarski radnik se tijekom manevriranja nalazio na vanjskoj strani horizontalnog luka (poglavlje 4.4), _x000D_
-	konstrukcija vagona serije MDDlm (poglavlje 4.8), _x000D_
-	manevarski rad nije obavljan od strane manevarskog odreda kako je to definirano u propisima (poglavlje 4.3.2)._x000D_
Organizacijski cimbenici: _x000D_
-	okvirni nastavni program školovanja manevarskih radnika ne sadrži specificnosti manevarskoga rada na vagonima serije MDDlm (poglavlje 4.7), _x000D_
-	željeznicki prijevoznik nema razradenu tehnologiju manevriranja u kojoj bi se propisale upute za nacin manevriranja pojedinih serija vagona (poglavlje 5.4.5). 
Contributing factors: _x000D_
-	Shunting worker was on the outside of the curve during shunting operation (chapter 4.4), _x000D_
-	Design of rolling stock of series MDDlm (chapter 4.8.), _x000D_
-	The shunting operation was not conducted according regulation (chapter 4.3.2)._x000D_
Organizational factors: _x000D_
-	Program of education of shunting workers does not contain information about specific design of rolling stocks series MDDlm (chapter 4.7); _x000D_
-	The Railway Undertaking does not have shunting technology that has the instructions on how to do shunting operation of a certain types of rolling stocks (chapter 5.4.5).</t>
  </si>
  <si>
    <t>IT-4944</t>
  </si>
  <si>
    <t>Level crossing near miss, 30-06-15, Line Macomer - Cagliari, LC km 140+487 (Italy)</t>
  </si>
  <si>
    <t>Regional train 3950, approaching LC km 140+487, stops in emergency due to a bus standing within the LC, with complete barriers closed.</t>
  </si>
  <si>
    <t>Line Macomer - Cagliari, LC km 140+487</t>
  </si>
  <si>
    <t>Incompatibility of the turning right maneuver with the geometry of the LC for the road vehicles approaching from Via Leonardo da Vinci with length equal to the one of the bus involved.</t>
  </si>
  <si>
    <t>Underlying Causes:_x000D_
- lack of visibility of the special traffic lights (road side) from via Leonardo da Vinci;_x000D_
- absence of warning road signs of the presence of the LC on the approach road routes;_x000D_
- non activation of the emergency procedures indicated by vertical signs installed by the IM within the level crossing, which provide, in the case of vehicle entrapment between the barriers, that the driver contacts the telephone number indicated by the IM;_x000D_
- non break through of the barriers by the bus._x000D_
Root Causes:_x000D_
- presence of the, the elimination of which was already planned;_x000D_
- omitted restore of the ordinary bus route, suspended for road works on Via Roma that were already completed, for which it was temporarily provided to transit through the LC km 140 + 487 from Via Leonardo da Vinci</t>
  </si>
  <si>
    <t>UK-4839</t>
  </si>
  <si>
    <t>Train derailment, 30-06-15, Langworth, Lincoln (United Kingdom)</t>
  </si>
  <si>
    <t>The train, reporting number 6E54, was the 10.39 hrs service from Kingsbury Oil Terminal to Humber Oil Refinery. It consisted of a Class 60 locomotive and 22 empty, diesel fuel, tank wagons. The train was travelling at approximately 48 mph (77 km/h) approaching 101B facing points, when the driver reported that he saw a kink in the left-hand rail. Shortly afterwards, the train’s brakes automatically applied bringing it to a stand._x000D_
_x000D_
Wagons 11 and 12 from the leading end had derailed, each by one bogie, and wagon 13 by both bogies. They had remained upright. The train had then separated at the trailing end of wagon 13 and there was a gap of about 250 metres to the rest of the train. The following six tank wagons, ie wagons 14 to 19, left the track completely and some rolled over. Wagon 20 was derailed by the leading bogie and wagons 21 and 22 remained on the track. The separation of the train had caused the continuous brake pipe to part applying the brakes to the whole train._x000D_
_x000D_
There were no injuries, however, substantial damage was caused to the infrastructure, including the points and signalling equipment. Sixteen of the wagons were later recovered by rail. Wagons 14 to 19 were recovered by crane and transported from the site by road. There were no reports of any leakage of diesel fuel residue from the tanks.</t>
  </si>
  <si>
    <t>Langworth, Lincoln</t>
  </si>
  <si>
    <t>Train 6E54 encountered a track buckle which derailed wagons 11 to 20</t>
  </si>
  <si>
    <t>The causal factors were:_x000D_
a. the track started to buckle when the rail temperature in the vicinity of 101B points exceeded its buckling temperature because:_x000D_
i. it was the hottest day of the year to date (paragraph 48, no recommendation);_x000D_
ii. there was insufficient ballast at the toe of 101B points to laterally restrain the track from buckling (paragraph 52, Recommendations 2 and 4;_x000D_
iii. there was a pre-existing lateral misalignment in the area of 101B points which promoted the formation of a track buckle (paragraph 59, Recommendation 2;_x000D_
iv. the stress free temperature of the rails was probably less than the 27oC recorded in Network Rail’s stressing database (paragraph 65, Recommendation 1); and_x000D_
b. a long freight train ran over the buckle at too high a speed for the vulnerable condition of the track (paragraph 69, Recommendation 2)._x000D_
Underlying factors_x000D_
101 The underlying factors were:_x000D_
a. There was insufficient appreciation of the factors affecting the CRT of the site and its vulnerability to hot weather (paragraph 81, Recommendations 2 and 4)._x000D_
b. Maintenance work was continually reprioritised or cancelled because the Lincoln maintenance depot was under-resourced (paragraph 83, Recommendation 3). This was a possible underlying factor.</t>
  </si>
  <si>
    <t>HU-4811</t>
  </si>
  <si>
    <t>Wrong-side signalling failure, 01-07-15, Miskolc-Gömöri pu. (Hungary)</t>
  </si>
  <si>
    <t>A passenger train stopped before an earlier splitted off switch. 
A felvágott váltóra hívójelzéssel személyvonatot járattak. A mozdonyvezeto megállt a felvágott váltó elott.</t>
  </si>
  <si>
    <t>Miskolc-Gömöri pu.</t>
  </si>
  <si>
    <t>HU-4817</t>
  </si>
  <si>
    <t>Unauthorised train movement other than SPAD, 01-07-15, Rakospalota-Ujpest station (Hungary)</t>
  </si>
  <si>
    <t>Incoming freight train (No.44471) ran on the track occupied with a stopping shunting unit at Rakospalota-Ujpest station. The driver of the train realised the dangerous situation and applied emergency breaking. There was no collision between the vehicles. 
Rákospalota-Újpest állomáson a 44471 sz. vonat elozetes értesítés nélkül a foglalt V. sz. vágányra járt be. Személyi sérülés nem történt.</t>
  </si>
  <si>
    <t>Rakospalota-Ujpest station</t>
  </si>
  <si>
    <t>MMV PLC. (MMV Magyar Magánvasút Zrt); 
MÁV-START Zrt.</t>
  </si>
  <si>
    <t>Station staffs did not realise that the approach track of the freight train is occupied by an other set of passenger train. _x000D_
Not correct following of the procedure laid down in the Rule Book</t>
  </si>
  <si>
    <t>Signalling system applied on the station is not able to detect the occupation of the track. (SIEMENS-HALSKE)_x000D_
Risk-evaluation: not proper reporting about the occurrence</t>
  </si>
  <si>
    <t>RO-4879</t>
  </si>
  <si>
    <t>Train derailment, 02-07-15, Rosiori Nord (Romania)</t>
  </si>
  <si>
    <t>the electric locomotive ED 043 that hauled the freight train no. 61706 derailed on the switch no.15 in the Rosiori Nord Station</t>
  </si>
  <si>
    <t>Rosiori Nord</t>
  </si>
  <si>
    <t>Cauza directa a producerii accidentului o constituie în?epenirea osiei intermediare a primului boghiu în sensul de mers (osia nr.5) ?i împiedicarea autoghidarii osiei atacante. Acest fapt a condus la cre?terea raportului dintre for?a conducatoare ?i sarcina ce ac?ionau pe roata atacanta depa?indu-se limita de stabilitate la deraiere pe aceasta roata. _x000D_
Factori care au contribuit_x000D_
-	descarcarea de sarcina a rotii atacante a osiei nr.6 (prima osie în sensul de mers al trenului), ca urmare a neechilibrarii acesteia, aceasta roata fiind cea mai descarcata fata de celelalte roti de pe partea dreapta în sensul de mers ale primului boghiu în sensul de mers;_x000D_
-	variaria?ia ecartamentului caii cu valori peste toleran?ele admise. 
Direct cause, contributing factors_x000D_
	Direct cause of the accident is the blocking of the intermediate axle of the first bogie in the running direction (axle no.5) and the interruption of the auto-guiding of the leading axle. It led to the increase of the ratio between the guiding force and the load that act on the leading wheel, so exceeding the derailment stability limit on this wheel. _x000D_
	Contributing factors_x000D_
-	load transfer of the leading wheel from the axle no.6  ( first axle in the running direction of the train), following its unbalancing, this wheel being the most load transfered against the other wheels from the right side in the running direction of the first bogie._x000D_
-	gauge variations with values over the accepted values.</t>
  </si>
  <si>
    <t>Cauze subiacente _x000D_
Nerespectarea art.1, pct.14 .1.c din Instruc?ia pentru norme ?i toleran?e pentru construc?ia ?i între?inerea caii-linii cu ecartament normal nr.314/1989 referitoare la variatia neuniforma a ecartamentului, cu abateri de cel mult 2 mm/m. _x000D_
Nu au fost identificate cauze primare ale producerii acestui accident. 
Underlying causes _x000D_
Infringement of the art.1, point14 .1.c from the Instruction for norms and tolerances for the track construction and maintenance-lines with standard gauge no.314/1989 concerning the irregular variations of the gauge, with errors of less  2 mm/m. _x000D_
Root Causes _x000D_
None.</t>
  </si>
  <si>
    <t>CZ-4812</t>
  </si>
  <si>
    <t>Train derailment, 03-07-15, Horní Cerekev (Czech Republic)</t>
  </si>
  <si>
    <t>Derailment of one wagon of freight train No. 62800.</t>
  </si>
  <si>
    <t>Horní Cerekev</t>
  </si>
  <si>
    <t>Direct cause:_x000D_
• loosing of a tyre of railway wheel._x000D_
_x000D_
Contributory factor: none.</t>
  </si>
  <si>
    <t>Underlying cause:_x000D_
• the gradual heating of the tyre of railway wheel and release connections by long and intense braking the wheel of the wagon._x000D_
_x000D_
Root cause: none.</t>
  </si>
  <si>
    <t>HU-4818</t>
  </si>
  <si>
    <t>Unauthorised train movement other than SPAD, 03-07-15, Uzsa station (Hungary)</t>
  </si>
  <si>
    <t>Incoming passenger train (No. 19603) run on the track occupied with passenger train No. 9616 at Uzsa station. The driver of the train No. 19603 realised that the point Nr 3 leads his train in wrong direction and immediately apllied the emergency break. There was no collision between the trains. 
A 19603 sz. vonatot elozetes értesítés nélkül a 9616 sz. vonattal elfoglalt I. sz. vágányra járatták. A két vonat egymástól mintegy 240 méterre állt meg. Személyi sérülés nem történt.</t>
  </si>
  <si>
    <t>Uzsa station</t>
  </si>
  <si>
    <t>Human factor:  - violation of written rules of the train signalling regulation. Wrong route was set for the train Nr. 19603 and the train passed the signal at clear, just after the driver had realised the dangerous situation stopped  its train immediately.</t>
  </si>
  <si>
    <t>RO-4813</t>
  </si>
  <si>
    <t>Train derailment, 05-07-15, Coslariu Gr. Podu Mures- Craciunel (Romania)</t>
  </si>
  <si>
    <t>the leading axle from the 7-th wagon from the freight train no. 40617-2 derailed</t>
  </si>
  <si>
    <t>Coslariu Gr. Podu Mures- Craciunel</t>
  </si>
  <si>
    <t>Cauza directa a producerii acestui accident o constituie escaladarea sinei de pe firul exterior a curbei de catre roata atacanta (roata nr.1 situata pe partea stânga în sensul de mers al trenului) de la vagonul nr.43714378134-6 ca urmare a modificarii raportului dintre forta conducatoare si sarcina ce actionau pe aceasta roata, depasindu-se astfel limita de stabilitate la deraiere. _x000D_
Cresterea raportului dintre forta conducatoare si sarcina ce actionau pe roata atacanta s-a produs în conditiile descarcarii puternice de sarcina a ro?ii din partea stânga (roata nr.1) a osiei conducatoare ?i a cre?terii for?ei laterale (de ghidare) pe aceasta roata._x000D_
Factori care au contribuit:_x000D_
?	diferen?a de 31 mm (punctul ,,4” mai ridicat) constatata la nivelul transversal dintre cele doua fire ale caii, masurata în punctele notate cu ,,0” si ,,4”, aflate la o distanta de 10 m, distanta ce este egala cu ampatamentul (distanta dintre osii) unitatii de vagon deraiate, fapt care a dus la cresterea sarcinilor verticale ce actionau pe rotile aflate pe diagonala stânga spate – dreapta fata si la descarcarea partiala a sarcinilor verticale ce actionau pe rotile de pe cealalta diagonala (stânga fata – dreapta spate);_x000D_
?	existenta unei zone de aproximativ 30% din suprafata sectiunii foii de arc principale a arcului de suspensie de la roata nr.1 cu urme de ruptura veche, zona ce a contribuit la ruperea acestei foi de arc, fapt ce a condus la înrautatirea capacitatii de ghidare a acestei roti si, implicit la cresterea fortei de ghidare._x000D_
Cauza directa a producerii acestui accident o constituie escaladarea sinei de pe firul exterior a curbei de catre roata atacanta (roata nr.1 situata pe partea stânga în sensul de mers al trenului) de la vagonul nr.43714378134-6 ca urmare a modificarii raportului dintre forta conducatoare si sarcina ce actionau pe aceasta roata, depasindu-se astfel limita de stabilitate la deraiere. _x000D_
Cresterea raportului dintre forta conducatoare si sarcina ce actionau pe roata atacanta s-a produs în conditiile descarcarii puternice de sarcina a ro?ii din partea stânga (roata nr.1) a osiei conducatoare ?i a cre?terii for?ei laterale (de ghidare) pe aceasta roata._x000D_
Factori care au contribuit:_x000D_
?	diferen?a de 31 mm (punctul ,,4” mai ridicat) constatata la nivelul transversal dintre cele doua fire ale caii, masurata în punctele notate cu ,,0” si ,,4”, aflate la o distanta de 10 m, distanta ce este egala cu ampatamentul (distanta dintre osii) unitatii de vagon deraiate, fapt care a dus la cresterea sarcinilor verticale ce actionau pe rotile aflate pe diagonala stânga spate – dreapta fata si la descarcarea partiala a sarcinilor verticale ce actionau pe rotile de pe cealalta diagonala (stânga fata – dreapta spate);_x000D_
?	existenta unei zone de aproximativ 30% din suprafata sectiunii foii de arc principale a arcului de suspensie de la roata nr.1 cu urme de ruptura veche, zona ce a contribuit la ruperea acestei foi de arc, fapt ce a condus la înrautatirea capacitatii de ghidare a acestei roti si, implicit la cresterea fortei de ghidare. 
The direct cause of this accident is the over-climbing of the rail from the exterior track of the curve by the leading wheel (wheel no.1 left side in the running direction of the train) of the wagon no.43714378134-6, following the change of the ratio between the guiding force and the load acting on this wheel, so exceeding the derailment stability limit. _x000D_
The increase of the ratio between the guiding force and the load acting on the leading wheel was generated by the strong load transfer of the left wheel (wheel no.1) from the leading axle and by the increase of the lateral force (guiding one) on this wheel._x000D_
Contributing factors:_x000D_
?	difference  of 31 mm (point ,,4” higher) found out at the crossing level between those two tracks, measured in the points ,,0” and ,,4”, situated at 10 m, distance equal with the base-wheel of the derailed wagon (distance between the axles), it leading to the increase of the of the vertical loads acting on the wheels of the back left cross-over – right front and to the partial decrease of the vertical of the vertical loads acting on the wheels of the another cross-over (left front – right back);_x000D_
?	existence of an area of about 30% from the surface of the section of the main spring leaf of the suspension spring from the wheel no. 1 with old breakage traces, this area contributing to the breakage of this spring leaf, it leading to the deterioration of the guiding capacity of this wheel and, implicitly, to the increase of the guiding force.</t>
  </si>
  <si>
    <t>Cauza subiacenta a acestui accident feroviar o constituie nerespectarea prevederilor art.7A, pct.1 si 2 din Instructia de norme si tolerante pentru constructia ?i întretinerea caii - linii cu ecartament normal nr.314/1989 cu privire la tolerantele admise la denivelarea caii._x000D_
Cauze primare_x000D_
Nu au fost identificate cauze primare. 
The underlying cause of this accident is the non-compliance with the provisions of art.7A, points 1 and 2 from the Instruction of norms and tolerances for the track construction and maintenance – lines with standard gauge no.314/1989 concerning the accepted tolerances for the track distortion._x000D_
       _x000D_
Root causes_x000D_
None.</t>
  </si>
  <si>
    <t>RO-4814</t>
  </si>
  <si>
    <t>Train derailment, 06-07-15, Catusa (Romania)</t>
  </si>
  <si>
    <t>two wagon from the freight train no. 59464 derailed in the railway station Caatusa</t>
  </si>
  <si>
    <t>Cauza directa, factori care au contribuit_x000D_
	Cauza directa a producerii accidentului o constituie starea necorespunzatoare a caii, în cuprinsul schimbatorului de cale nr.R8, cu valori ale ecartamentului peste limita maxima admisa în exploatare, fapt ce a consdus la caderea rotii între firele caii._x000D_
	Factorul care a contribuit este mentinerea în cale a traverselor necorespunzatoare, care nu asigurau prinderea sinelor si pastrarea ecartamentului în limitele admise. 
Direct cause, contributing factors_x000D_
The direct cause of the accident is the unsuitable condition of the track, within the switch no. R8, with values of the gauge over the maximum limit accepted in operation, it leading to the fall of the wheel between the tracks._x000D_
	The contributing factors is the keeping of  unsuitable sleepers within the line, that did not assure the fastening of the rails and the gauge according to the accepted limits.</t>
  </si>
  <si>
    <t>Cauze subiacente_x000D_
-	nerespectarea prevederilor art.45 al Instructiei nr.315/1950 – Norme si tolerante mai importante pentru linii, ramificatii si poduri pentru linia cu ecartament larg (1520 mm) din reteaua cailor ferate române ce reglementeaza  faptul ca, la ramificatii,  traversele sa fie în stare buna si perfect burate. _x000D_
_x000D_
	Cauze primare_x000D_
Nu au fost identificate cauze primare. 
Underlying causes_x000D_
infringement of the provisions of art.45 from the Instruction no.315/1950 – More important norms and tolerances for lines, branch lines and bridges,  for the line with broad-gauge line (1520 mm) of Romanian railways, according which, at the branch-lines, the sleepers have to be in good condition and perfectly packed_x000D_
_x000D_
Root causes_x000D_
None.</t>
  </si>
  <si>
    <t>HU-4815</t>
  </si>
  <si>
    <t>Train derailment, 07-07-15, Kecskemét (Hungary)</t>
  </si>
  <si>
    <t>Freight train derailed on the switch. 
A vonat a kisiklott a sarun</t>
  </si>
  <si>
    <t>Kecskemét</t>
  </si>
  <si>
    <t>•	A Vb megállapítása szerint a baleset oka a rögzítosaru eltávolításának elmulasztása volt. A nem az eloírt helyen alkalmazott, megkopott festésu sarut a vonat indulása elott nem távolították el a vágányról, és az csúszás közben a 28 sz. kitéro keresztezo részén elakadva a gördülo kerekek elott akadályt képezett, ami végül a jármuvek kiemelését, és siklását eredményezte._x000D_
•	Az esemény bekövetkezésében szerepet játszott a tolatásvezetovel kapcsolatos emberi tényezo, aki a rögzítosarut nem kereste. 
• The Vb concluded that the cause of the accident was the failure to remove the fastener. The worn-out stained sleeve, which was not used at the required location, was not removed from the track prior to the departure of the train and formed an obstacle to the rolling wheels by hanging on the crossing part of the crossing No 28 during the slip, which ultimately resulted in the removal and rubbing of the vehicles.  _x000D_
• The human factor related to the shunting guide was a factor in the occurrence of the event, who did not search for the fixation arrow.</t>
  </si>
  <si>
    <t>•	A baleset vizsgálata során megállapítást nyert, hogy a siklást okozó rögzítosaru festése megkopott, a saru rozsdásodása elkezdodött, ami az eszköz láthatóságát – különösen rossz világítási viszonyok mellett - nagyon kedvezotlenül befolyásolja._x000D_
•	A korábban bekövetkezett hasonló balesetek tanulságait értékelve a MÁV Zrt. nem tartotta szükségesnek az eszköz láthatóságát javító, így a biztonsági kockázatot csökkento intézkedés bevezetését, a biztonsági szintet megfelelonek értékelte._x000D_
•	A szolgálati helyen kialakult szokások a felelosségi körök megváltozásával jártak, mert a tolatásvezeto – tekintettel arra, hogy segíto célzattal korábban is történt már ilyen – azt feltételezte, hogy a sarut a kocsivizsgáló áthelyezte. 
• In the course of the accident investigation, it was found that painting of the ridge-causing fastener was worn and the russeting of the ridge had started, which had a very negative impact on the visibility of the device, especially in poor lighting conditions. _x000D_
• In assessing the lessons learned from similar accidents that occurred in the past, MÁV Zrt. did not consider it necessary to introduce a measure to improve the visibility of the device, thus reducing the safety risk, and assessed the level of safety as appropriate.  _x000D_
• The customs at the place of service entailed a change of responsibilities, because the shunting guide assumed that the lagoon had been relocated by the car examiner, taking into account the fact that it had already been done for help.</t>
  </si>
  <si>
    <t>HR-4820</t>
  </si>
  <si>
    <t>Level crossing event, 10-07-15, Å vogari (Croatia)</t>
  </si>
  <si>
    <t>On 10/07/2015 at around 16:15 hours, on the line R101, between the station Sveti Petar u Šumi  and Kanfanar, on the level crossing located in village Švogari, there was a collision of passenger train number 4710 (DMU 7122-025) and road freight vehicles. The driver of a road vehicle was fatally injured, and the passenger suffered severe injures but survived. 
Dana 10.07.2015. godine oko 16:15 sati, na pruzi R101, izmedu kolodvora Sveti Petar u Šumi i Kanfanar, na željeznicko cestovnom prijelazu koji se nalazi u mjestu Švogari, došlo je do sudara vlaka broj 4710 (DMG 7 122-025) i cestovnog teretnog vozila. U sudaru je stradao vozac cestovnog vozila, a suvozac je zadobio TTO.</t>
  </si>
  <si>
    <t>Å vogari</t>
  </si>
  <si>
    <t>nailazak teretnog vozila na nedovoljno obilježeni ŽCP kada je na isti dolazio putnicki vlak broj 4710 (poglavlje 7.8.). 
The freight road vehicle entered on the lever crossing on the same time when the train arrived on the crossing (chapter 7.8).</t>
  </si>
  <si>
    <t>Upravitelj cestovne infrastrukture nema uspostavio sustav kontrole trokuta preglednosti izvan infrastrukturnog željeznickog pojasa kao je propisano Odlukom o nerazvrstanim cestama Opcine Žminj u duhu cl. 14 Odluke (poglavlje 7.7.6.). Upravitelj infrastrukture osim obavještavanja upravitelja cestovne infrastrukture, nema predvidene mjere za povecanje razine sigurnosti u slucaju kada trokut preglednosti nije zadovoljen (7.10). 
Road Infrastructure manager doesn’t have an established system of control of visibility in triangle of visibility on passive protected level crossing in spirit of its Regulation. Rail Infrastructure Manager doesn’t have measures for increasing safety in cease where there is not enough visibility in triangles of visibility (chapters 7.7.1, 7.7.4 and 7.7.6).</t>
  </si>
  <si>
    <t>PL-4826</t>
  </si>
  <si>
    <t>Level crossing accident, 11-07-15, level crossing in the section Koluszki - Galkówek of the line No 17 (Poland)</t>
  </si>
  <si>
    <t>The passenger train No 65111 operated by the PKP Intercity hit a passenger car Skoda Octavia on the level crossing with barriers. The barriers were opened as a result of that the serius accident has occured.  As a consequence of the accident there was 2 fatalities and 1 seriously injured among the level crossing users being inside the car.</t>
  </si>
  <si>
    <t>level crossing in the section Koluszki - Galkówek of the line No 17</t>
  </si>
  <si>
    <t>Collision of the train No. 65111 with road vehicles (passenger vehicles) on the crossing cat. A during gates opening.</t>
  </si>
  <si>
    <t>Primary cause:_x000D_
- starting the opening of the gates by the crossing guard after passing the train No. 45104 on track No. 2 through the crossing despite the train No. 65111 approaching on track No. 1, about which the guard was informed and which fact he confirmed in the system SCP-2 and premature entering the crossing by passenger vehicles during opening the gates with simultaneous signal prohibiting the entrance on the crossing._x000D_
_x000D_
Indirect causes:_x000D_
- 	lack of caution by road vehicles drivers before entering the crossing, _x000D_
-	non-optimum, inconsistent with project and final documentation configuration of work station of the crossing guard, which practically excluded the option to simultaneously operate the gates, observe train approaching the crossing and computer screen of the notification system SCP-2 and operate it as well as use phone communication,_x000D_
-	lack of sufficient visibility of trains approaching the crossing on track No. 1 from Galkówek from the crossing guard position (obstruction of visibility by the platform and other infrastructure elements) and land shape; visibility of trains incoming from Galkówek at the moment of accident was hindered by direct sun light,_x000D_
- 	missing function concerning gates lock in closed position for odd direction (after displaying Osp2 signal on warning light Top235), _x000D_
-	distraction of crossing guard by third person, who entered the crossing guard house in order to ask about trains time table and previously performed operations related to notification about second train No. 41318 received by mistake,_x000D_
- 	no visibility of train approaching on track No. 1 from Galkówek by vehicles drivers: from the side of track No. 1 - obstruction by the platform and infrastructure elements (fence, gates, posts, ...), however, from the side of track No. 2 - by acoustic screen; visibility conditions concerning trains approaching from Galkówek on the side of track No. 1 are also not provided for the road users within 5 m from the extreme rail of the track; thus visibility was additionally hindered at the moment of accident by direct sun light,_x000D_
- 	no visibility of crossing gates, pedestrians entering the crossing and vehicles approaching and entering the crossing by train driver approaching the crossing on track No. 1 from Galkówek (visibility from the side of track No. 1 (right) limited by the platform, fence and elements of infrastructure, and from the side of track No. 2 (left) by acoustic screen); at the same time no visibility of D8 signal sent by crossing guard to driver of train approaching the crossing from Galkówek direction; _x000D_
- 	lack of Rp1 "Attention" signal sent by driver of the train No. 65111 at indicators W6a at km 22.700 and km 23.230._x000D_
_x000D_
Systematic causes:_x000D_
-	faulty ergonomics of crossing guard work station, consisting in completely different dependence of gates opening (opening the crossing) for opposing directions of train travel: from the station side, where the position of gates depends on srk station devices, and their lifting is not possible (without using a special procedure and sealed key) until train leaves the crossing, and from the route side, gates can be lifted any time, after simple pushing a button; moreover, arrangement of devices operated by the crossing guard precludes simultaneous operation of the train notification system and gates as well as observation of trains and crossing zone as well as sending D8 signal to a driver.</t>
  </si>
  <si>
    <t>CZ-4822</t>
  </si>
  <si>
    <t>Trains collision with an obstacle, 14-07-15, Praha Masarykovo nádraÅ¾í station (Czech Republic)</t>
  </si>
  <si>
    <t>Unauthorized movement of regional passenger train No. 8616 behind the signal Lc3, collision with a buffer stop, consequent derailment and entry into the passenger hall at Praha Masarykovo nádraží station.</t>
  </si>
  <si>
    <t>Praha Masarykovo nádraÅ¾í station</t>
  </si>
  <si>
    <t>Direct cause:_x000D_
• ignoring signal “stop” of signal Lc3 by the train driver._x000D_
Contributory factors:_x000D_
• failure to apply the knowledge about the local and track conditions by the driver of the train 8616 while driving along the third station track to the main signal LC3, failure to initiate braking at the point where "target braking" would be initiated;_x000D_
• underestimation of the importance of AVV system for increasing rail transport safety. There wasn't an obligation to use the AVV system.</t>
  </si>
  <si>
    <t>Underlying causes:_x000D_
• failure to comply with technological procedures of infrastructure manager and railway undertaking by the driver of the train Os 8616, not following the signals given by IM;_x000D_
• failure to initiate braking by the train driver Os 8616 in order to safely stop before the main signal device Lc3 with signal "Stop", due to a failure to keep an eye on the monitors and the control board while the position of switch for driving mode was showing deactivated state of the AVV system and manual driving mode was activated._x000D_
Root cause: none.</t>
  </si>
  <si>
    <t>AT-4835</t>
  </si>
  <si>
    <t>Spad, 15-07-15, Leopoldau (Austria)</t>
  </si>
  <si>
    <t>Durch die Kollision entgleisten bei Zug 35438 die ersten drei Drehgestelle des Triebzuges 4124 024-3 mit allen Radsätzen. Bei Zug 48071 entgleiste das Triebfahrzeug 1193 890-1 mit allen Radsätzen. Der erste Wagen im Zugverband entgleiste mit beiden Radsätzen des nachlaufenden Drehgestells und überpufferte mit dem nachlaufenden zweiten Wagen. Es entstand erheblicher Sachschaden an den beteiligten Fahrzeugen und an den Infrastruktureinrichtungen. Es wurden keine Personen verletzt oder getötet. 
At the station Leopoldau an empty running passenger train 35438 collided with the oncoming freight train 48071 on the swith 154. The collision resulted in considerable material damage on  Infrastructure and rolling stock, no persons were injured.</t>
  </si>
  <si>
    <t>Leopoldau</t>
  </si>
  <si>
    <t>ÖBB-Personenverkehr AG; 
Austria</t>
  </si>
  <si>
    <t>After the emergency stopp train 35438 after SPAD, the train driver continued trainmovement without contact the centrel switch. 
Überfahren des haltzeigenden Einfahrsignals X005 durch Z 35438, vermutlich durch eine Verwechslung mit dem für die Fahrt von Z 48071 in Freistellung befindlichen Einfahrsignal Z012. _x000D_
Nach erfolgter PZB-Zwangsbremsung wurde die Fahrt ohne Einholung einer Zustimmung zur Weiterfahrt vom zuständigen Fdl fortgesetzt.</t>
  </si>
  <si>
    <t>IT-4837</t>
  </si>
  <si>
    <t>Other event, 20-07-15, Line Firenze - Arezzo (Italy)</t>
  </si>
  <si>
    <t>Detachment of a door from train in motion</t>
  </si>
  <si>
    <t>Line Firenze - Arezzo</t>
  </si>
  <si>
    <t>The lack of three of the four fixing screws of the lower guide of the door leaf has presumably resulted in the impairment of the lower fixing of the door, which has not been able to counter the outward thrust, and it is raised for aerodynamic effect , resulting in breakage of the top hardware and total detachment of the door from the car.</t>
  </si>
  <si>
    <t>Underlying:_x000D_
1. Procedures for carrying out the checks during the construction phase (relative to the assembly doors) and subsequent maintenance phases. In Maintenance Plan it had not been initially planned specific inspection and control activities related to the fixing screws of the bottom rail of the door, which are then inserted - after the event -in a modification of the aforementioned maintenance plan._x000D_
2. Jazz convoy, not designed to withstand the pressure that is generated on convoys used on high-speed lines, it was nevertheless permitted to run on a railway line with allowed speed&gt; 200 km/h and the possibility of intersection in a tunnel with HS trains, without having carried out the necessary analysis required by the specificity of the case._x000D_
Root:_x000D_
Procedures in force at the time of the incident relating to the admission to service and to the authorization of the use of vehicles on the Italian railway network did not include verification relative to the strength of external doors, windows and related attachment systems of vehicles  that are not specifically designed for high speed for which it was required the circolability even on conventional lines with allowed speed &gt; 200 km/h.</t>
  </si>
  <si>
    <t>RO-4828</t>
  </si>
  <si>
    <t>Train derailment, 20-07-15, Balaci - Rosiori (Romania)</t>
  </si>
  <si>
    <t>Three wagons from the freight train no. 60812 derailed in open line between Balaci and Rosiori railway station</t>
  </si>
  <si>
    <t>Balaci - Rosiori</t>
  </si>
  <si>
    <t>Cauzele si  factori care au contribuit_x000D_
Cauza directa a producerii accidentului o constituie pierderea stabilita?ii caii, generata de alcatuirea ?i mentenanta necorespunzatoare a caii sudate pe zona km 189+400-189+500. 
Direct cause _x000D_
The direct cause of the accident is the loss of track stability, generated by the fastenings between track items and unsuitable maintenance of the welding track at km 189+400-189+500.</t>
  </si>
  <si>
    <t>Cauza subiacenta_x000D_
Nerespectarea prevederilor Instruc?iei de norme ?i toleran?e pentru construc?ia ?i între?inerea caii-linii cu ecartament normal nr.314/1989 ?i a Instruc?iei pentru alcatuirea, între?inerea ?i supravegherea caii fara joante nr.341/1980 (retiparita 1997), referitor la modul de alcatuire a caii fara joante ?i la asigurarea mentenan?ei infrastructurii feroviare pe sec?ia de circula?ie Coste?ti-Ro?iori Nord._x000D_
_x000D_
Cauze primare_x000D_
1.	Ineficien?a masurilor pe care administratorul de infrastructura feroviara publica ?i le-a propus pentru ?inerea sub control a riscurilor clasificate, conform Procedurii Opera?ionale „Managementul riscurilor de siguran?a feroviara” cod: PO SMS 0-4.12,  ca „nedorite” ?i care sunt asociate pericolelor determinate de: nerespectarea condi?iilor de realizare a caii sudate, mentenan?a ?i supraveghere a acesteia ?i de nerespectarea normelor privind men?inerea  integrita?ii ?i normelor de calitate a caii pe poduri._x000D_
2.	Neaplicarea prevederilor Instructiei de întretinere a liniilor ferate nr. 300/1982, document asociat al procedurii operationale cod PO SMS 0-4.07 „Respectarea specificatiilor tehnice, standardelor si cerintelor relevante pe întreg ciclul de viata a liniilor în procesul de întretinere”, parte a sistemului de management al sigurantei al CNCF “CFR” SA, referitoare la dimensionarea personalului subunita?ilor de între?inere linii, în raport cu volumul de lucrari, fapt confirmat de subdimensionarea personalului Districtului de Linii nr.3 Miro?i si a Districtului de Poduri, din cadrul Sectiei L1Pite?ti. 
Underlying cause_x000D_
Infringment of the provisions of the Instructions of norms and tolerances for the track construction and maintenance-tracks with standard gauge no.314/1989 and of the Instruction for the structure, maintenance and surveillance of the welded track no.341/1980 (printed again in 1997), concerning the structure of the welded track and ensurance of the fastenings between track items and maintenance on the track section Costesti-Rosiori Nord._x000D_
_x000D_
_x000D_
Root causes_x000D_
1.	Inefficiency of the measures that the manager of the public railway infrastructure took for  the control of the classified risks, according to the Operational procedure  „Management of railway safety risks” code: PO SMS 0-4.12,  as „undesirable” and associated to the dangers generated by: the infringment of the conditions for the welded track execution, its maintenance and surveillance and by the infringment of the norms for the integrity keeping and of the norms for the quality of the track on bridges._x000D_
2.	Non-application of the provisions of the Instruction for the track maintenance no. 300/1982, document associated to the operational procedure code PO SMS 0-4.07 „Compliance with the technical specifications, standards and requirements, relevant for the whole life time of the tracks in the maintenance process”, part of the safety management system of CNCF “CFR” SA, concerning the sizing of the staff from the sub-units for the line maintenance, in relation to the amount of works, it being confirmed by the under-sizing of the staff from the Track District no.3 Miro?i and of the Bridge District, from the Track Section L1Pite?ti.</t>
  </si>
  <si>
    <t>PT-4838</t>
  </si>
  <si>
    <t>Train derailment, 21-07-15, Vesuvio (Portugal)</t>
  </si>
  <si>
    <t>Partial derailment of the 5th, 6th and 9th wagons of freight train nr. 51232 at 14h35m. The derailed wagons were flat cars with Y21C bogies, running empty. 
Cerca das 14h35, em plena via e a cerca de 80 km/h, próximo do PK 158+400 da linha do Douro, descarrilaram parcialmente três vagões do comboio n.º 51232 (vagões 3560064-1, 3560053-4 e 3832117-9, que circulavam em 5.º, 6.º e 9.º lugar da composição, respetivamente). Não houve danos pessoais. A via foi reaberta à exploração pelas 04h20 do dia 22-07-2015.</t>
  </si>
  <si>
    <t>Vesuvio</t>
  </si>
  <si>
    <t>in light of Article 19 §2 of SD"; 
(a) the seriousness of the accident or incident</t>
  </si>
  <si>
    <t>CZ-4827</t>
  </si>
  <si>
    <t>Level crossing accident, 22-07-15, Studénka station (Czech Republic)</t>
  </si>
  <si>
    <t>Collision of long distance passenger train No. 512 with an obstacle – a lorry at the active level crossing.</t>
  </si>
  <si>
    <t>Studénka station</t>
  </si>
  <si>
    <t>Direct cause:_x000D_
• Third party – level crossing user (lorry driver violation). Entry onto the level crossing No. P6501 when acoustic and visual warnings were being given, at the time when the train approached to the level crossing._x000D_
Contributory factor:_x000D_
• Failure to escape from the area of level crossing No. P6501 – failure to break the level crossing barriers by the lorry driver, when the lorry was trapped on the level crossing before arrival of the train No. 512.</t>
  </si>
  <si>
    <t>Underlying cause:_x000D_
• Driver's failure to respect acoustic and visual warnings of the level crossing safeguarding equipment._x000D_
Root cause: none</t>
  </si>
  <si>
    <t>HU-4831</t>
  </si>
  <si>
    <t>Level crossing accident, 23-07-15, Csorna station (Hungary)</t>
  </si>
  <si>
    <t>Passenger train No.9912 collided with a car at a level crossing at Csorna station. In consequence of the occurrence four people - all of them sitting in the car - died at the site of the event. 
Csorna állomáson 0 9912 sz vonat összeütközött egy személygépkocsival. Az eset következtében a gépkocsiban ülo 4 személy a helyszínen életét vesztette.</t>
  </si>
  <si>
    <t>Csorna station</t>
  </si>
  <si>
    <t>DE-4875</t>
  </si>
  <si>
    <t>Trains collision with an obstacle, 25-07-15, Himmelsthür (Abzw) - Hildesheim Hbf (Germany)</t>
  </si>
  <si>
    <t>Personenzug 83719 kollidiert mit einem abgebrochenen, großen Ast und geriet in weiterer Folge in Brand 
Passenger train 83719 collided with a broken, large tree branch and caught fire subsequently.</t>
  </si>
  <si>
    <t>Himmelsthür (Abzw) - Hildesheim Hbf</t>
  </si>
  <si>
    <t>Osthannoversche Eisenbahnen AG (OHE)</t>
  </si>
  <si>
    <t>Wegen des zum Ereigniszeitpunkt herrschenden Sturmes brach ein massiver Ast aus der Vegetation seitlich der Strecke heraus und verfing sich in der Oberleitung. 
Because of the storm prevailing at the time of the incident, a massive branch broke out of the vegetation on the side of the track and was caught in the overhead line.</t>
  </si>
  <si>
    <t>UK-4967</t>
  </si>
  <si>
    <t>Accident to persons caused by RS in motion, 25-07-15, Hayes and Harlington station (United Kingdom)</t>
  </si>
  <si>
    <t>At approximately 13:10 hrs, the 11.37 hrs Oxford to London Paddington service departed from platform 4 with a passenger trapped by her hand in the last door of the three-coach train. The passenger was dragged for a distance of approximately 8 to 10 metres before falling to the ground; during the fall her hand became free. The passenger subsequently reported bruises to her hand and head to a member of staff at the station._x000D_
The driver was the only member of staff on the train and no staff were present on the platform; the driver was responsible for dispatching the train. For this task, he was aided by CCTV cameras which provided him with a view of the train on platform-mounted monitors alongside his cab. The driver’s duties included checking the monitors before he closed the doors, and again before the train moved off, to ensure that both actions could be performed safely._x000D_
RAIB was made aware of the accident during week commencing 24 August 2015.</t>
  </si>
  <si>
    <t>Hayes and Harlington station</t>
  </si>
  <si>
    <t>The train departed from the platform with the passenger’s hand trapped in the train door</t>
  </si>
  <si>
    <t>The causal factors were:_x000D_
a. the passenger placed her hand into the gap between the door leaves as they were closing (paragraphs 36 and 37, Recommendation 1);_x000D_
b. the passenger could not remove her hand once the door had closed (paragraphs 38 to 46, see paragraphs 112 to 119 and Recommendation 2);_x000D_
c. the driver was able to start the train with the passenger’s hand trapped in the door (paragraphs 48 to 60, see paragraph 129 and Learning point 1); and_x000D_
d. the train driver started the train with the passenger’s hand trapped in the door. The following possible reasons for this were identified:_x000D_
i. the train driver may have looked at the CCTV monitors before departing, but did not see the passenger in close proximity to the door (paragraphs 61 to 68, Learning points 1 and 3);_x000D_
ii. the train driver may not have looked at the CCTV monitors at any time after pressing the door close button (paragraphs 69 to 74, see paragraphs 120 to 126 and Learning points 1 and 3); or_x000D_
iii. the train driver may have been aware of the passenger, but did not perceive her to be at risk (paragraphs 75 to 78, see paragraph 128d, Recommendation 3 and Learning points 1 and 3)._x000D_
Underlying factors_x000D_
109 The underlying factors were:_x000D_
a. The train driver and other FGW staff believed that the door interlock system would detect the presence of an object such as a hand (paragraphs 79 to 84, Learning points 1 and 3); and_x000D_
b. FGW’s driver management processes did not detect and adequately respond to the deteriorating safety performance of the driver involved in the accident (paragraphs 85 to 89, see paragraph 129 and Learning point 3).</t>
  </si>
  <si>
    <t>UK-4845</t>
  </si>
  <si>
    <t>Train derailment, 26-07-15, Godmersham, Kent (United Kingdom)</t>
  </si>
  <si>
    <t>At approximately 21:40 hrs, the 20:10 hrs service from Charing Cross to Ramsgate travelling at approximately 70 mph (110 km/h) struck a number of cows that had gained access to the railway at Godmersham, between Wye and Chilham. Both bogies of the leading vehicle of the eight-car train derailed, and the vehicle then struck an underline (rail over river) bridge. The train stopped with the leading vehicle listing at about 20 degrees._x000D_
_x000D_
The driver of a train that had passed through the area an hour earlier, had reported seeing cows alongside the line near to the area where the accident subsequently occurred. The signaller cautioned the next train, which passed through the area at reduced speed. When the driver of this train reported seeing no cows, trains were permitted to run at normal speed again. Two further trains passed through with no reports from the drivers of anything unusual. In the meantime, staff had been sent to site to conduct a search and were starting to look for the animals when the accident happened._x000D_
_x000D_
Although there were no injuries to the crew or any of the passengers on board the derailed train, the driver and some of the passengers were reported to have suffered shock. All passengers were taken off the train by 23:40 hrs to the village hall at Godmersham, from where onward road transport had been arranged._x000D_
_x000D_
Our preliminary examination has found evidence indicating that the cows had gained access to the railway through an area of flattened lineside fencing._x000D_
_x000D_
The train was re-railed by approximately 22:30 hrs on Monday 27 July and work was able to commence to repair the track, signalling equipment and conductor rail (which supplies traction power to trains) over a length of approximately 400 metres. Work also commenced on re-building the parapet of the bridge that had been severely damaged when it was struck by the train. The line was re-opened for normal operation at 04:10 hrs on Thursday 30 July 2015.</t>
  </si>
  <si>
    <t>Godmersham, Kent</t>
  </si>
  <si>
    <t>The train derailed as a result of striking a herd of cows on the line</t>
  </si>
  <si>
    <t>The causal factors were:_x000D_
a. The fence had not been maintained so as to restrain cattle (paragraph 49, Recommendation 1)._x000D_
b. The railway’s response to an earlier report of a cow within the boundary fence was insufficient to prevent the accident (paragraph 55, Learning point 1 and Recommendation 2)._x000D_
c. The absence of an obstacle deflector on the leading unit of the train made the derailment more likely (paragraph 61, Recommendations 3 and 4).</t>
  </si>
  <si>
    <t>HU-4829</t>
  </si>
  <si>
    <t>Train derailment, 27-07-15, Between Zahony and Mandok station (Hungary)</t>
  </si>
  <si>
    <t>Two loaded wagons of the freight train No.68151 has derailed between Zahony and Mandok stations with their one-one bogies. 
A 68151 sz. tehervonat két rakott kocsija egy-egy forgóvázzal kisiklott Záhogy és Mándok állomások között.</t>
  </si>
  <si>
    <t>Between Zahony and Mandok station</t>
  </si>
  <si>
    <t>Poor track condition - value of the cant is over the standards_x000D_
Different type of bogies were built in the derailed wagons (HK Porter) than the others (Y25) in the train</t>
  </si>
  <si>
    <t>Unefficient maintenance of the track (speed restriction, non-efficient maintenance)</t>
  </si>
  <si>
    <t>HU-4830</t>
  </si>
  <si>
    <t>Train derailment, 28-07-15, Komarom station (Hungary)</t>
  </si>
  <si>
    <t>Three wagons of the freight train No 42200 has derailed at Komarom station with their one-one bogies. 
A 42200 sz. tehervonat három rakott kocsija egy-egy forgóvázzal kisiklott Komárom állomáson.</t>
  </si>
  <si>
    <t>Komarom station</t>
  </si>
  <si>
    <t>METRANS Danubia Kft.</t>
  </si>
  <si>
    <t>- signalling system failure (emergency breaking applied)_x000D_
- lack of lubrication on the surface of the buffers of the involved wagons_x000D_
- lighter wagons in the middle of the train_x000D_
- improper settings of the braking system on the engine (P instead of G)_x000D_
- track geometry ( the train run through switches in diverging position)</t>
  </si>
  <si>
    <t>UK-4851</t>
  </si>
  <si>
    <t>Trains collision, 01-08-15, Logan, East Ayreshire, Scotland (United Kingdom)</t>
  </si>
  <si>
    <t>One of the engineering freight trains, reporting number 6K07, was the 09:17 hrs from Carlisle Yard to New Cumnock. It consisted of a class 66 diesel-electric locomotive hauling 36 two-axle box wagons (types MHA and MTA); the leading four wagons were empty and the remainder were loaded with either sand or ballast. At New Cumnock, this train entered into an engineering work site and was authorised to travel along the Down Main line and then to stand behind another engineering freight train. This train, reporting number 6K06, was the 07:03 hrs from Carlisle Yard to New Cumnock and was already stationary within the work site about 3 miles (4.8 km) away. While travelling within the work site and rounding a right-hand curve, train 6K07 ran into the rear of stationary train 6K06 at 28 mph (45 km/h)._x000D_
There were no injuries but the locomotive and seven wagons from train 6K07 and eleven wagons from train 6K06 were derailed; the locomotive and some wagons were severely damaged. One wagon came to rest across a minor roadway. There was also substantial damage to the track on both railway lines.</t>
  </si>
  <si>
    <t>Logan, East Ayreshire, Scotland</t>
  </si>
  <si>
    <t>Train 6K07 was travelling too fast to stop short of the rear of train 6K06 when the driver first sighted the train ahead (paragraph 50).</t>
  </si>
  <si>
    <t>The causal factors were:_x000D_
a. The movement of train 6K07 within the work site was not made at the default speed of 5 mph (8 km/h) defined in the Rule Book (GE/RT8000) and was not made at caution (paragraph 58, see also Arley recommendation 1 (paragraph 128)). It is possible that the driver’s choice of speed through the work site was influenced by two factors:_x000D_
i. he thought the movement was taking place in a possession rather than a work site (paragraph 63, see also Arley recommendation 2 (paragraph 131), Learning point 1)._x000D_
ii. he wanted to arrive at the track renewal site as soon as possible and find out when he would be relieved from this driving duty (paragraph 71, Learning point 2)._x000D_
b. The driver of train 6K07 believed that train 6K06 was further away than it actually was, due to a misunderstanding about the location of train 6K06 (paragraph 77, see also Arley recommendation 2 (paragraph 131), Kitchen Hill learning point (paragraph 133) and Leigh-on-Sea recommendation 2 (paragraph 122)). This causal factor arose due to a combination of the following:_x000D_
i. The instructions briefed by the ES to the driver included a mileage for the nominated start of the track renewal site but not a location for the rear of train 6K06 (paragraph 82, see also Arley recommendation 2 (paragraph 131), Recommendations 2 and 3)._x000D_
ii. The potential for a misunderstanding was increased when the instructions were briefed by the ES to the driver via a mobile phone conversation rather than face to face (paragraph 86, Learning point 3)._x000D_
iii. The instructions briefed by the ES to the driver were not properly written down by the driver which reduced the opportunity for the driver to confirm the details given or identify information that was not provided (paragraph 90, see also Leigh-on-Sea recommendation 1 (paragraph 118) and Arley recommendation 2 (paragraph 131), Recommendations 2 and 3)._x000D_
The underlying factor was:_x000D_
a. The Rule Book requirement in GE/RT8000/T3 for making movements within a work site at a speed of no greater than 5 mph (8 km/h) or at caution is often not complied with by drivers (paragraph 93). This underlying factor arose due to a combination of the following:_x000D_
i. The speeds at which drivers travel are not routinely monitored when driving trains in possessions or work sites (paragraph 98, Recommendation 1)._x000D_
ii. Drivers have to travel long distances at 5 mph (8 km/h) or at slow speeds while proceeding at caution, as a result of possession and work site lengths, in conditions that can encourage a driver to go faster (paragraph 103, see also Leigh-on-Sea recommendation 2 (paragraph 122), Recommendation 4)_x000D_
iii. The ability of drivers to proceed at caution at speeds greater than 5 mph (8 km/h) in possessions and work sites is not routinely observed, so if it is deficient, it is not corrected (paragraph 108, Recommendation 1).</t>
  </si>
  <si>
    <t>DE-4876</t>
  </si>
  <si>
    <t>Train derailment, 02-08-15, Tapfheim - Blindheim (Germany)</t>
  </si>
  <si>
    <t>Zug 61970 (Schotterpflug entgleist aufgrund Achsbruch 
Train 61970 (ballast wagon derailed due to broken axle).</t>
  </si>
  <si>
    <t>Tapfheim - Blindheim</t>
  </si>
  <si>
    <t>RTS Rail Transport Service Germany GmbH</t>
  </si>
  <si>
    <t>SK-4897</t>
  </si>
  <si>
    <t>Spad, 03-08-15, Bratislava-Lamac station (Slovak Republic)</t>
  </si>
  <si>
    <t>Bratislava-Lamac station</t>
  </si>
  <si>
    <t>CZ-4836</t>
  </si>
  <si>
    <t>Trains collision, 04-08-15, HoraÅ¾dovice predmestí station (Czech Republic)</t>
  </si>
  <si>
    <t>Collision of train No. 668 with train No. 667 with subsequent derailment (as a result of unsecured ride of train No. 668).</t>
  </si>
  <si>
    <t>HoraÅ¾dovice predmestí station</t>
  </si>
  <si>
    <t>Direct cause:_x000D_
Change of the switch no. 28X by signalman of signal box No. 2, when the wagons of train No. 668 were on the switch point and subsequent ride rear of the train along different track that was not determined for the ride of the train.</t>
  </si>
  <si>
    <t>Underlying causes:_x000D_
• failure to find out whether the train route is unoccupied or not by station dispatcher in their district and the order to preparation a train route for the train R 667 against the established technological processes;_x000D_
• reposition of the switch no. 28X and 29X by signalman of signal box without clear instructions from the station dispatcher;_x000D_
• giving unclear instructions related to the performance of transport services during communication between the station dispatcher and the signalman of signal box No. 2._x000D_
Root cause: none.</t>
  </si>
  <si>
    <t>DE-4877</t>
  </si>
  <si>
    <t>Level crossing accident, 4/8/2015, Ravensburg – Friedrichshafen Stadt</t>
  </si>
  <si>
    <t>Am 04.08.2015 gegen 15:37 Uhr prallte DPN 87581 des Eisenbahnverkehrsunternehmens (EVU) Bodensee-Oberschwaben-Bahn (BOB), auf dem Weg von Ulm Hbf nach Friedrichsha-fen Stadt, mit einem Sattelzug zusammen. Der Ereignisort befand sich auf dem Bahnüber-gang (BÜ) in km 190,97 auf der zweigleisigen, nicht elektrifizierten Hauptbahn, welche von dem Eisenbahninfrastrukturunternehmen (EIU) DB Netz AG betrieben wurde. Gemäß dem Verzeichnis der örtlich zulässigen Geschwindigkeiten wurde diese Strecke unter der Num-mer 4500 geführt und durfte mit einer maximal zulässigen Geschwindigkeit von 140 km/h befahren werden. Am Ereignisort war die zulässige Geschwindigkeit auf 130 km/h be-grenzt. Die Strecke war durchgehend mit Punktförmiger Zugbeeinflussung (PZB) und digita-lem Zugfunk Global System for Mobile Communications Railway (GSM-R) ausgerüstet.</t>
  </si>
  <si>
    <t>Ravensburg - Friedrichshafen Stadt</t>
  </si>
  <si>
    <t>Bodensee-Oberschwaben-Bahn GmbH</t>
  </si>
  <si>
    <t xml:space="preserve">Am Eisenbahn- und am Straßenfahrzeug entstanden geringe Sachschäden. </t>
  </si>
  <si>
    <t xml:space="preserve">Der Lastkraftwagen konnte den Bahnübergang nicht rechtzeitig räumen. Aufgrund der vor dem Bahnübergang ausgebildeten Kuppe, setzte der Auflieger des Lastkraftwagens auf und ein 
Räumen des Gefahrenbereichs war aus eigener Kraft nicht mehr möglich. </t>
  </si>
  <si>
    <t>BG-4850</t>
  </si>
  <si>
    <t>Trains collision, 09-08-15, Plovdiv station (Bulgaria)</t>
  </si>
  <si>
    <t>At around 9:47 p. m. on 09.08.2015 while implementing a shunt for attaching to the composition of the International fast train No. 493 traveling in Sofia-Plovdiv-Istanbul direction, the diesel locomotive No. 07-032 collided with the only wagon of the train at a speed of approximately 18 km per hour on the fifth track of Plovdiv station. The wagon was moved 7 meters as result of the collision._x000D_
In result of the collision one passenger was seriously injured and another 8 received light traumas._x000D_
It was inflicted a light damage to the only wagon of the train._x000D_
Passengers were served by bus from Plovdiv to Istanbul.</t>
  </si>
  <si>
    <t>Plovdiv station</t>
  </si>
  <si>
    <t>National rules imposed by implementing of the Safety Directive 2004/49/EC; 
in light of Article 19 §1 of SD"</t>
  </si>
  <si>
    <t>The direct cause for the occurred significant accident was the movement of the locomotive to the composition of the FT No 493 with running speed of 18 km/h instead of the permitted speed of movement of up to 3 km/h in accordance with the requirements of the normative acts governing the movement of trains and shunting work.</t>
  </si>
  <si>
    <t>Infringed were Art. 284, p. 5 and 12 of Ordinance No 58, Art. 438, p. 1 and 4 and Art. 482, (1) and (2-b) of RTMaSA concerning the the speed and rolling stock protection as well as the speed limitation of up to 3 km/h while performing shunting operation for approaching a wagon for attachment.</t>
  </si>
  <si>
    <t>HU-4848</t>
  </si>
  <si>
    <t>Spad, 09-08-15, Kapolnasnyek station (Hungary)</t>
  </si>
  <si>
    <t>Passenger train (Nr 3543) passed a signal at Danger at Kapolnasnyek station. The train split open switch Nr 8 which was set incorrectly for the train. 
A 4543 sz,. vonat meghaladta  a Megállj- állású kijárati jelzot Kápolnásnyék állomáson és felvágta a részére khelytelenül álló 8 sz. kitérot.</t>
  </si>
  <si>
    <t>Kapolnasnyek station</t>
  </si>
  <si>
    <t>Human failure _ Violation_ Non-following of the correct procedures</t>
  </si>
  <si>
    <t>Late decision on the changing the order of the trains - unusual traffic situation_x000D_
"Ready to depart!"-handsignal of the train staff - the signal was at danger_x000D_
Lack of communication - non-using existing communication channels to clarify the situation</t>
  </si>
  <si>
    <t>HU-4847</t>
  </si>
  <si>
    <t>Spad, 11-08-15, Nagykanizsa station (Hungary)</t>
  </si>
  <si>
    <t>A freight train passed a signal at "Danger". The loco splitted up a switch. No another train involved in the incident. 
A tehervonat meghaladta a "Megállj!" állású kijárati jelzot, és a 43. sz. váltót felvágva állt meg.</t>
  </si>
  <si>
    <t>Nagykanizsa station</t>
  </si>
  <si>
    <t>violation - human factor - non-following of the correct procedures</t>
  </si>
  <si>
    <t>Unefficient of communication - non-using of the existing communication channels to clarify the situation</t>
  </si>
  <si>
    <t>RO-4846</t>
  </si>
  <si>
    <t>Fire in RS, 11-08-15, Banita - Merisor (Romania)</t>
  </si>
  <si>
    <t>the locomotive EA 085, that hauled the freight train no. 80348 caught fire, in open line between Banita and Merisor railway station</t>
  </si>
  <si>
    <t>Banita - Merisor</t>
  </si>
  <si>
    <t>Direct cause _x000D_
The direct cause of the accident was a failure at the high power supply cable from the   equipment block S4, that led to the local over-heating  and ignition of the cable insulation, with the extension of the fire in the whole equipment block S4 and then at the rest of the units from the locomottive body and driving cabins._x000D_
Because the high temperature generated by the fire, the components and the materials from the equipment block S4 atomised, melt and distorted, it making impossible for the investigation commission to identify exactly the component whose failure generated to the fire._x000D_
Contributing factors_x000D_
-	train stop, non mentioned in the timetable, in the area of the entry signal of the railway station Crivadia, because the voltage variation in the high line, it leading in time, when the train started to run on area with gradient 16 ‰, at a high stress of the traction engines from which one was disconected. 
Cauza directa _x000D_
Cauza directa a producerii incendiului a fost o defectare a cablajului electric de forta din blocul de aparate S4, care a dus la supraîncalzirea locala si aprinderea izolatiei cablajului, cu extinderea flacarii la întregul bloc de aparate S4 si apoi la restul agregatelor din cutia locomotivei ?i posturile de conducere._x000D_
Din cauza temperaturii ridicate generate de incendiu, componentele si materialele din blocul de aparate S4 au fost vaporizate, topite sau deformate, fapt care a împiedicat comisia de investigare sa identifice cu precizie componenta a carei defectare a dus la declansarea incendiului._x000D_
Factori care au contribuit_x000D_
-	oprirea neitinerarica a trenului, în zona semnalului de intrare al haltei de miscare Crivadia, ca urmare a fluctuatiilor de tensiune în linia de contact, fapt ce a condus, în timpul demararii trenului în rampa de 16 ‰, la o puternica solicitare a motoarelor de tractiune, din care unul era izolat.</t>
  </si>
  <si>
    <t>None 
Nu au fost identificate.</t>
  </si>
  <si>
    <t>SK-4930</t>
  </si>
  <si>
    <t>Level crossing accident, 13-08-15, between stations Mníchova Lehota and Bánovce nad Bebravou (Slovak Republic)</t>
  </si>
  <si>
    <t>between stations Mníchova Lehota and Bánovce nad Bebravou</t>
  </si>
  <si>
    <t>TSS Bratislava</t>
  </si>
  <si>
    <t>Direct Cause of the accident - entering a vehicle on a railway crossing when the train passed this crossing</t>
  </si>
  <si>
    <t>CZ-4878</t>
  </si>
  <si>
    <t>Level crossing accident, 14-08-15, OstroÅ¾ská Nová Ves - Uherský Ostroh (Czech Republic)</t>
  </si>
  <si>
    <t>Collision of freight train No. 82100 with a car at level crossing No. P7953 between Uherský Ostroh and Ostrožská Nová Ves stations.</t>
  </si>
  <si>
    <t>OstroÅ¾ská Nová Ves - Uherský Ostroh</t>
  </si>
  <si>
    <t>unauthorized entry of a car onto a level crossing at the time when it was forbidden.</t>
  </si>
  <si>
    <t>•failure to respect the rules for operation on the road by the car driver;_x000D_
•behavior of the driver in front of the level crossing, the car driver wasn't careful enough and didn't make sure whether he can safely pass the level crossing;_x000D_
•not giving the priority to railway transport at the level crossing;_x000D_
•enter of the car on the level crossing at the time when the arriving train was already visible.</t>
  </si>
  <si>
    <t>HU-4849</t>
  </si>
  <si>
    <t>Trains collision, 16-08-15, Acsa-Erdokürt - Nógrádkövesd (Hungary)</t>
  </si>
  <si>
    <t>Two passanger trains collided between Acsa-Erdokürt and Nógrádkövesd. Train Nr. 33512 service running from Aszód to Balassagyarmat was given a written order to run only to Acsa-Erdokürt station, but the train left the station without any permission. (At Acsa-Erdokürt station there is no station personell.) When the train left Acsa-Erdokürt station, the other train, Nr. 33517 service running from Balassagyarmat to Aszód, had already departed from Nógrádkövesd station. In consequence of this two trains became on the same track. The two train drivers realized the dangerous situation immediately applied the emergency brake, but they could not manage to avoid the collision. At the moment of the crash the velocity of the trains were 23 km/h and 28 km/h. 
Az Acsa-Erdokürt állomásról engedély nélkül tovabbközlekedett személyvonat a 260 sz. szelvényben összeütközött a Nógrádkövesd felol közlekedo személyvonattal. A két vonat sebessége az ütlözéskor a gyorsfékezés hatására 23 km/h és 28 km/h volt.</t>
  </si>
  <si>
    <t>Acsa-Erdokürt - Nógrádkövesd</t>
  </si>
  <si>
    <t>•	Galgamácsa állomás forgalmi szolgálattevoje az írásbeli rendelkezés kézbesítésekor nem olvasta fel annak tartalmát, az írásbeli rendelkezést nem azonos idoben kézbesítette a mozdonyvezetonek és a vezeto jegyvizsgálónak._x000D_
•	A 33512. sz. vonat mozdonyvezetoje és a vezeto jegyvizsgálója annak ellenére ismerték el aláírásukkal az írásbeli rendelkezés tudomásul vételét, hogy annak tartalmát a forgalmi szolgálattevo nem ismertette velük, és azt egyikük sem olvasta el,_x000D_
•	ezért Acsa-Erdokürt állomásról a vonattal úgy indultak el, hogy az egyvágányú pályán ellenirányú vonat volt útban._x000D_
•	A 33512 sz. vonat vezeto jegyvizsgálója Acsa-Erdokürt állomásról való indulás elott nem közölte a vonat elorelátható indulási idejét Nógrádkövesd állomás forgalmi szolgálattevojével, így nem volt lehetoség arra, hogy a vonatszemélyzet tévedésére fény derüljön. 
• The service provider at Galgamácsa Station did not read the contents of the written order at the time of delivery, and did not deliver the written order to the driver and the ticket inspector at the same time._x000D_
• No. 33512. the train driver and the ticket inspector of the train acknowledged with their signature the acknowledgment of the written order, even though the contents were not read and understood by the traffic service provider,_x000D_
• therefore, the train departed from Acsa-Erdokürt station with the opposite train on the track._x000D_
• No. 33512. The train ticket inspector of the train did not communicate the estimated departure time of the train to the traffic service station of Nógrádkövesd station before leaving the Acsa-Erdokürt station, so it was not possible for the train crew to find out.</t>
  </si>
  <si>
    <t>•	A vasútvonalon nincs közvetlen, vészhelyzeti kommunikáció lefolytatására alkalmas távközlo rendszer, ezért Nógrádkövesd állomás forgalmi szolgálattevoje nem tudott közvetlenül és azonnal kommunikálni a 33512 sz. vonat mozdonyvezetojével. Kettejük közcélú mobiltelefonja között a beszédkapcsolat nem épült fel._x000D_
•	Nógrádkövesd állomás forgalmi szolgálattevoje telefonkapcsolatba tudott lépni a 33512 sz. vonat vezeto jegyvizsgálójával, azonban nem utasította haladéktalanul a vonat megállítására._x000D_
•	A vasútvonalon nem üzemel ellenmenet kizáró biztosítóberendezés. 
• There is no direct communication system for emergency communication on the railway line, therefore the traffic service provider of Nógrádkövesd station was not able to communicate directly and immediately with the 33512. with train driver. There was no voice connection between the two public mobile phones._x000D_
• The traffic service provider at Nógrádkövesd station was able to establish a telephone connection to 33512. however, he did not immediately instruct him to stop the train._x000D_
• Non-reversing interlocking equipment on the line</t>
  </si>
  <si>
    <t>RO-4872</t>
  </si>
  <si>
    <t>Fire in RS, 22-08-15, Ucea - Victoria (Romania)</t>
  </si>
  <si>
    <t>diesel electric locomotive DA 1524 caught fire</t>
  </si>
  <si>
    <t>Ucea - Victoria</t>
  </si>
  <si>
    <t>SC VIROMET SA</t>
  </si>
  <si>
    <t>Direct cause _x000D_
The fire appeared because the electric arc in the rotor winding of the traction engine no.4, because its interruption in the area of the technological bending of the spires, it leading to the ignition of the bellow from the ventilation chanel, as well as of the electric insulation of the supply cables of the traction engine._x000D_
Contributing factors _x000D_
The very important stress of the traction engines at high values and important variations of the current strength from the rotor circuit, in the running conditions  from the 22nd of August 2015 (rain, vegetation fallen on the line, ramp profil with gradient of 10 ‰) that led to the train stop, being necessary its successive starting. 
Cauza directa _x000D_
Incendiul s-a produs datorita arcului electric survenit în bobinajul rotoric al motorului de trac?iune nr.4 ca urmare a întreruperii acestuia în zona de îndoire tehnologica a spirelor, fapt ce a condus în final la aprinderea burdufului de la canalul de ventila?ie precum ?i a izola?iei electrice a cablurilor de alimentare ale motorului de trac?iune._x000D_
Factorii care au contribuit _x000D_
Puternica solicitare a motoarelor de trac?iune la valori ?i varia?ii mari ale intensitatii curentului electric din circuitul rotoric, pe fondul condi?iilor în care s-a efectuat circula?ia la data de 22.08.2015 (ploaie, vegeta?iei cazuta pe linie, profilul în rampa cu o declivitatea de 10 ‰) care au condus la oprirea trenului, fapt ce a necesitat demarari succesive ale acestuia.</t>
  </si>
  <si>
    <t>None 
Cauze subiacente _x000D_
Nu au fost identificate cauze subiacente ale producerii acestui accident._x000D_
Cauze primare_x000D_
Nu au fost identificate cauze primare ale producerii acestui accident.</t>
  </si>
  <si>
    <t>ES-4896</t>
  </si>
  <si>
    <t>Fire in RS, 27-08-15, Alora station (Málaga) (Spain)</t>
  </si>
  <si>
    <t>Passenger train suffered a fire in Alora station. No personal damages</t>
  </si>
  <si>
    <t>Alora station (Málaga)</t>
  </si>
  <si>
    <t>Technical failure: the fire starts because of a overheating of the axle box of the right side in the first axle. It has not been posible to determine the exact cause of that overheating.</t>
  </si>
  <si>
    <t>HU-4873</t>
  </si>
  <si>
    <t>Spad, 27-08-15, Fertoboz (Hungary)</t>
  </si>
  <si>
    <t>The train has passed a signal at danger, and crashed a switch. 
A vonat meghaladta a Megállj! állású kijárati jelzot, és felvágott egy váltót.</t>
  </si>
  <si>
    <t>Fertoboz</t>
  </si>
  <si>
    <t>Human factor of train driver</t>
  </si>
  <si>
    <t>ES-4905</t>
  </si>
  <si>
    <t>Trains collision with an obstacle, 02-09-15, Between Biurrun and Noain stations (Navarra) (Spain)</t>
  </si>
  <si>
    <t>Freight train hit with its cattle catcher a rail lying near the track then being dragged until at Pamplona station this situation was detected.</t>
  </si>
  <si>
    <t>Between Biurrun and Noain stations (Navarra)</t>
  </si>
  <si>
    <t>The accident was caused because the lying rail was invading the track gauge. The cause of that invasion remains unknown: it’s likely to be a consequence of an improper handling or a malicious act, facilitated by the fact that the rail was not properly secured. Deformations caused by temperature oscillations and the position of the rail (next to the higher side of the track), would have helped.</t>
  </si>
  <si>
    <t>SE-4881</t>
  </si>
  <si>
    <t>Accident to persons caused by RS in motion, 05-09-15, Pölsebo (Sweden)</t>
  </si>
  <si>
    <t>A person, who was part of a team engaged in exchanging sleepers, was hit by a passing train after the work was finished and suffered serious injury.</t>
  </si>
  <si>
    <t>Pölsebo</t>
  </si>
  <si>
    <t>The exact reason why M came to be in a place where he could be hit by a passing train, that is, walking inside the danger zone, has not been possible to establish. What is known is that he was asked to join the rest of the team, to assist in the finishing work that was being carried out. One probable reason for M to approach the track during the walk, would be to inspect the track to gather information that might be of interest for the work to be carried out the next day.</t>
  </si>
  <si>
    <t>Significant factors, that may have had impact on the events, are the noise level on the working site and the fact that the safety situation was altered: from the protection of a track possession to a situation with a track that was open to traffic. The track possession was given over. _x000D_
_x000D_
An underlying factor that contributed to the situation, was that no particular safety measures were taken to protect the finishing work, with reference to the activities in question not being regarded as activities inside the danger zone/ track area. An underlying factor on the systemic level is that it is not self-evident from the rules and instructions that a risk assessment should be carried out for that type of activity. There is no systematic verification of how rules in this regard are interpreted and applied in actual practice.</t>
  </si>
  <si>
    <t>HU-4883</t>
  </si>
  <si>
    <t>Trains collision, 06-09-15, Békéscsaba (Hungary)</t>
  </si>
  <si>
    <t>The train nr. 44463-2 arrived at platform XII, but the last waggon stopped on the last switch. The next train (nr. 44471-2) came into collision with this waggon. 
A XII. vágányra bejáró 44463-2 tehervonat utolsó kocsija kívül maradt a biztonsági határjelzon. A XI. vágányra jelzokezeléssel bejáró 44471-2 vonat nekiütközött ennek a kocsinak.</t>
  </si>
  <si>
    <t>Békéscsaba</t>
  </si>
  <si>
    <t>AWT Rail Hu Zrt.; 
PSŽ a.s.</t>
  </si>
  <si>
    <t>The new CC system allowed to enter the train on an engaged track.</t>
  </si>
  <si>
    <t>RO-4880</t>
  </si>
  <si>
    <t>Train derailment, 06-09-15, Valisoara - Valea Timisului (Romania)</t>
  </si>
  <si>
    <t>Six wagons from the  the freight train. no. 80368-1 derailed in open line between Valisoara and Valea Timisului railway station._x000D_
The train consisted of 26 wagons  loaded with diesel.</t>
  </si>
  <si>
    <t>Valisoara - Valea Timisului</t>
  </si>
  <si>
    <t>Cauzele si factorii care au contribuit_x000D_
Cauza directa _x000D_
Cauza directa a producerii acestui accident o constituie supraîncalzirea urmata de ruperea fusului de osie aferent rotii nr.4 de la vagonul nr.82537987165-0 (aflat al 4-lea în compunerea trenului) si de pierderea capacitatii de ghidare a osiei corespunzatoare rotilor 3-4._x000D_
Factor care a contribuit:_x000D_
Vechimea rulmentilor montati în cutia de osie aferenta rotii nr.4 de la acest vagon (rulmentul WJ - 47 de ani de la data fabricatiei, iar rulmentul WJP - 45 de ani de la data fabricatiei). 
Direct cause _x000D_
The direct cause of this accident is the over-heating, followed by the breakage of the axle journal from the wheel no.4 of the wagon no.82537987165-0 (the 4th in the train) and the loss of the guiding capacity of the axle corresponding to the wheels 3-4._x000D_
Contributing factors:_x000D_
Age of the roller bearings from the the axle box afferent to the wheel no.4 of ths wagon (roller bearing WJ - 47 years from the manufacturing date, and the roller bearing WJP - 45 years from the manufacturing date).</t>
  </si>
  <si>
    <t>Cauze subiacente _x000D_
Nu au fost identificate cauze subiacente._x000D_
Cauza primara_x000D_
Cauza primara o constituie lipsa din norma tehnica nationala referitoare la repararea cutiilor de osii cu rulmenti a unor prevederi prin care sa fie stabilita durata maxima de serviciu pentru rulmentii cu role ce echipeaza vagoanele de marfa (exprimata în kilometri parcursi sau ani). 
. Underlying causes _x000D_
None._x000D_
_x000D_
Root causes_x000D_
The root cause is the lack in the national technical norm for the repair of the axle boxes with roller bearings of some provisions that establish the maximum working time life for the roller bearings of the wagons (expressed in run kilometers or years).</t>
  </si>
  <si>
    <t>CZ-4887</t>
  </si>
  <si>
    <t>Level crossing accident, 07-09-15, Å luknov (Czech Republic)</t>
  </si>
  <si>
    <t>Collision of regional passenger train No. 5449 with a truck at level crossing No. P3540 with consequent derailment at Šluknov station.</t>
  </si>
  <si>
    <t>Å luknov</t>
  </si>
  <si>
    <t>Direct cause:_x000D_
• driver's failure to respect the light and acoustic warning and driving across the level crossing at the time when it was forbidden and visual and acoustic warnings were being given._x000D_
Contributory factor:_x000D_
• replacing the mechanical level crossing system equipped with barriers by level crossing system without barriers at the level crossing No. P3540 as part of the reconstruction of the level crossing system.</t>
  </si>
  <si>
    <t>Underlying causes:_x000D_
• driver's failure to respect of the light and sound warning and ride at the level crossing at the time when it was forbidden;_x000D_
• not giving priority to railway transport at a level crossing._x000D_
Root cause: none.</t>
  </si>
  <si>
    <t>DE-4891</t>
  </si>
  <si>
    <t>Train derailment, 08-09-15, Angern-Rogätz (Germany)</t>
  </si>
  <si>
    <t>Am 08.09.2015 gegen 23:47 Uhr entgleiste die Zugfahrt RB 17842 von Magdeburg Hauptbahnhof (Hbf) nach Stendal. Beim Vorziehen des Zuges von Gleis 1 nach Gleis 3 im Bahnhof (Bf) Angern-Rogätz fuhr dieser auf der Weiche S3 mit den beiden Radsätzen des zweiten Drehgestells der Triebzugeinheit zweigleisig und entgleiste anschließend.</t>
  </si>
  <si>
    <t>Angern-Rogätz</t>
  </si>
  <si>
    <t>Fahrzeuge: 5.000€, Infrastruktur: 48.000€</t>
  </si>
  <si>
    <t>Die Fahrstraße des Zuges RB 17842 wurde entgegen den Regelungen gemäß Richtlinie (Ril) 408 –Züge fahren und Rangieren – aufgelöst, bevor der Zug die Fahrstraßen‐Zugschlussstelle
passiert hatte. Durch unzeitiges Umstellen der Weiche S3 unter dem Zug kam es zum zweispurigen Lauf und damit zur Entgleisung der Triebzugeinheit.</t>
  </si>
  <si>
    <t>CZ-4882</t>
  </si>
  <si>
    <t>Accident to persons caused by RS in motion, 09-09-15, open line between Vlkanec - Golcuv Jeníkov stations (Czech Republic)</t>
  </si>
  <si>
    <t>Uncontrolled movement of bogies type 53 loaded with rails on sleepers on excluded track towards the railway station Vlkanec which consequently collided with two employees of infrastructure manager, entered the excluded station track no. 3 in railway station Golcuv Jeníkov, where it bumped into another 7 bogies type 53 loaded with rails on sleepers and derailed.</t>
  </si>
  <si>
    <t>open line between Vlkanec - Golcuv Jeníkov stations</t>
  </si>
  <si>
    <t>Direct cause:_x000D_
• insufficient securing against uncontrolled movement of bogies type 53 loaded with rails on sleepers._x000D_
_x000D_
Contributory factor:_x000D_
• failure to comply with workflow defined in technological procedures for putting aside the bogies type 53 loaded with rails on sleepers._x000D_
_x000D_
Contributory factor associated with collide of loaded bogies with the employees:_x000D_
• failure to notify the contractor about of the presence of employees working on excluded track by infrastructure manager.</t>
  </si>
  <si>
    <t>Underlying cause:_x000D_
• failure to comply with the provisions of technological processes, providing terms and conditions for securing vehicles against uncontrolled movement._x000D_
_x000D_
Root cause: none.</t>
  </si>
  <si>
    <t>BE-4888</t>
  </si>
  <si>
    <t>Train derailment, 10-09-15, Buizingen (Belgium)</t>
  </si>
  <si>
    <t>On Thursday 10 September 2015, the SNCB/NMBS passenger train E8574 making the journey between Schaerbeek and Geraardsbergen, was operating on line 96. The train was composed of an electric locomotive of type 21 followed by 8 M4 carriages._x000D_
The study of the recording strip, testing at the accident site and analysis of the documents provided have allowed the chain of events to be retraced._x000D_
_x000D_
On the day in question, the sky was clear and the sun was clearly visible. The temperature was around 20°C. At 16:56, the train passed a first signal (K-D.1) at a speed of around 139km/h._x000D_
This signal was showing Green-Yellow Horizontal (GYH). Its mast is equipped with a warning signal in the form of a speed sign; a white triangular sign with rounded corners showing a black "5" figure. This sign indicates that the lowest speed that the following stop signal may require is 50km/h and this, if the signal (K-D.1) shows a "Green-Yellow Horizontal" aspect._x000D_
_x000D_
The driver accepted the restrictive aspect of the signal using the on-board equipment. We notice a slight drop in speed but the driver does not decelerate sufficiently and as expected._x000D_
One minute later (16:57), the train approached a second signal (C-D.1) which also showed Green-Yellow Horizontal (GYH) but with an overhead illuminated sign with a chevron and an illuminated sign underneath showing the figure 5. In this configuration:_x000D_
• the figure 5 means that the speed of the train au droit du signal at the signal should be 50km/h or less,_x000D_
• the illuminated chevron indicated that the train is changing regime, moving from normal track to counter-track via the points (11BD-11AD)._x000D_
_x000D_
The speed of the train is around 120km/h when passing the signal instead of 50km/h. The driver engaged the emergency brake. The train entered the points at an excessively high speed. The locomotive, which has a higher mass, did not derail, only the first bogie of the first carriage derailed._x000D_
The train came to a standstill at the platform of the unmanned stopping point in Buizingen: the locomotive and the first two carriages were at the platform._x000D_
_x000D_
The driver launched an alarm via GSM-R and train circulation was suspended. 39 passengers suffered bruising, of whom 10 were taken to hospitals in the region and were discharged within 24h._x000D_
Damage was noted to the infrastructure: concrete sleepers were splintered, deformations to the track and the track equipment. The first carriage of the train was also damaged._x000D_
_x000D_
The accident did not meet the definition of serious accident; however, in slightly different circumstances, this could have had more serious consequences. The IB decided to open an investigation.</t>
  </si>
  <si>
    <t>The direct cause of the derailment of the first passenger-car of the train E8574 is the overspeed of the train on the switches that moves the train from normal track to counter-track, the braking being lately engaged by the driver.</t>
  </si>
  <si>
    <t>In the operational situation usually encountered by the driver, the itinerary of the train continued in a straight line meeting in the order the signals K-D.1 green, C-D.1 and H-E.1. In this configuration, the speed restriction on signal H-E.1 is 120km/h._x000D_
On the day of the accident, the driver’s sequence of actions demonstrated behaviour coherent with this situation: passage of signal K-D.1 at 139km/h in progressive deceleration and passage of C-D.1 at 123km/h._x000D_
The driver concerned had little experience. To interpret the signal, he was using his experience in the area i.e. the fifty or so times he had passed through there (as the investigation was able to establish)._x000D_
There is a risk for drivers little experienced to incorrectly read a signal in a similar operational situation due to their expectations._x000D_
_x000D_
The day of the accident, the driver carried out his third service after a long work interruption of almost 8 weeks. The attention deficit could easily be explained by the fact that the driver was returning from a long holiday: accidentology data from SNCB/NMBS shows more events during these periods of return from holiday. This phenomenon can be explained by the weakening of automatic reflexes, the cognitive solicitations in relation to the activity and which maintain them being suspended during the holiday period. This effect is all the more marked when the reflexes have not yet fully taken root, which is the case for inexperienced drivers._x000D_
_x000D_
The occurrences of overspeed noted by the analysis centre of SNCB/NMBS are recorded in a database SIROCCO since April 2015. Due to the difficult detection of this type of events it is very likely that , the number of cases of overspeed is under-estimated._x000D_
SNCB/NMBS does not hold statistics permitting the cross-checking of data in terms of potential explanatory factors such as age, seniority, the driver’s profile, the time of occurrence (for example return from leave), place, or any other contextual element._x000D_
SNCB/NMBS is developing a procedural project in which corrective and/or precautionary measures are being developed with regard to the severity of the overspeed._x000D_
_x000D_
The large drop in speed from 140km/h to 50km/h is not signalled by an illuminated number but by a speed sign as warning signal. The combination of the aspect of the signal and the triangular, point down sign showing the number "5" is not simply and intuitively decodable. It requires an effort at interpretation._x000D_
_x000D_
The infrastructure and the rolling material was equipped with TBL1+. As the TBL1+-system does not assure continuous speed monitoring, it has not triggered an emergency brake. As ETCS was not present either on board the rolling material or on the ground, the mistake could not be corrected which would have prevented the event from happening._x000D_
ETCS is currently being installed according to a deployment plan from 2012 to 2022.</t>
  </si>
  <si>
    <t>DE-4894</t>
  </si>
  <si>
    <t>Train derailment, 11-09-15, Duisburg-Wedau - Lintorf (Germany)</t>
  </si>
  <si>
    <t>Am 11.09.2015 kam es um ca. 22:20 Uhr auf der VzG-Strecke 2324 des Eisenbahninfrastrukturunternehmens (EIU) DB Netz AG zwischen dem Bf Duisburg-Wedau und dem Bf Lintorf zu einer Zugentgleisung. In km 10,200 entgleiste der dritte Wagen von Zug EZ 52075 des Eisenbahnverkehrsunternehmen (EVU) DB Schenker Rail AG mit der in Fahrtrichtung (FR) ersten Achse. Da die Zugentgleisung zunächst unentdeckt blieb, konnte der Zug nach der Entgleisung noch eine Strecke von ca. 2800 m zurücklegen. 
On 11.09.2015, a train derailment occurred at about 22:20 on the register of authorized speed track section 2324 of the rail infrastructure company DB Netz AG between the railway station Duisburg-Wedau and the railway station Lintorf. At km 10,200, the third wagon of train EZ 52075 of the rail infrastructure company DB Schenker Rail AG derailed with the direction of the first axle. Given that the train derailment had not been discovered right away, the train continued driving on a distance of about 2800 m.</t>
  </si>
  <si>
    <t>Duisburg-Wedau - Lintorf</t>
  </si>
  <si>
    <t>Schmiermittelverlust am Radsatzlagergehäuse des in FR linksseitigen Radsatzlagers der ersten Achse führte zum Heißläufer und im Anschluss zum Achsschenkelbruch sowie dem Verlust des gesamten Radsatzlagergehäuses. 
The loss of lubricant at the wheelset bearing housing of the frontal left-side bearing housing of the first axle caused a hot runner and also an axle journal fracture and a loss of the whole wheelset bearing housing.</t>
  </si>
  <si>
    <t>RO-4884</t>
  </si>
  <si>
    <t>Train derailment, 11-09-15, Dambu (Romania)</t>
  </si>
  <si>
    <t>The 5-th wagon from the freight train no.31550 derailed in the Dambu railway station</t>
  </si>
  <si>
    <t>Dambu</t>
  </si>
  <si>
    <t>Cauza directa_x000D_
Cauza directa a producerii accidentului o constituie caderea ro?ii din parte dreapta, în sensul de mers, a osiei conducatoare de la vagonul nr.315378818902, între ?inele caii, la deplasarea pe o zona cu valori ale ecartamentului peste limita maxima admisa în exploatare._x000D_
Factori care au contribuit_x000D_
-	existen?a a ?apte traverse consecutive necorespunzatoare (crapaturi, zone putrede, prinderi inactive), în zona producerii deraierii; 
Direct cause, contributing factors_x000D_
The direct cause of the accident was the fall of the right wheel, running direction, from the leading axle of the wagon no.315378818902, between the track rails, during the running in an area with gauge values over the maximum limit accepted in operation._x000D_
_x000D_
Contributing factors_x000D_
-	existence of seven successive sleepers unsuitable (cracks, rotten parts, inactive fastening), in the derailment area;</t>
  </si>
  <si>
    <t>Cauze subiacente:_x000D_
-	neasigurarea mentenan?ei infrastructurii feroviare determinata de necunoa?terea de catre gestionarul de infrastructura neinteroperabila a dispozitivului de linii din sta?ia CFR Dâmbu, pe care l-a preluat de la administratorul de infrastructura feroviara publica CNCF „CFR” SA._x000D_
Cauze primare:_x000D_
Nu au fost identificate. 
Underlying causes:_x000D_
-	lack of maintenance of the railway infrastructure generated by the ignorance of the manager of the non-interoperable infrastructure of the lines laying out in the railway station Dâmbu, took over from the railway public infrastructure administrator CNCF „CFR” SA._x000D_
_x000D_
Root causes: none.</t>
  </si>
  <si>
    <t>UK-4942</t>
  </si>
  <si>
    <t>Unauthorised train movement other than SPAD, 11-09-15, Fletton junction, Peterborough (United Kingdom)</t>
  </si>
  <si>
    <t>At around 17:10 hrs on 11 September 2015, the 14:25 hrs passenger service from Newcastle to London King’s Cross passed over Fletton junction at around twice the maximum speed permitted at this location. Although the train did not derail, the motion of the train caused minor injuries to three members of staff and one passenger. _x000D_
The train was formed of nine passenger coaches with a driving van trailer leading, and a locomotive at the rear providing motive power._x000D_
Approaching Peterborough station, the train was running around 20 minutes late and it stopped in platform 1 at Peterborough to allow another service to overtake it using the up fast line. When the train departed Peterborough station, it ran on the up slow line towards Fletton junction, about 1 mile south of the station, where the up slow line merges with the up fast line. Initially, the train proceeded slowly because the signal protecting Fletton junction remained at danger. _x000D_
Once the signaller cleared the route through Fletton junction and the junction protecting signal changed to a proceed aspect, the driver accelerated and the train reached a speed of 52 mph (83 km/h) as it ran over the points onto the up fast line. The maximum permitted speed for trains running from the up slow line to the up fast line at this location is 25 mph (40 km/h)._x000D_
The maximum permissible speed over the up slow line between the south end of platform 1 at Peterborough station and Fletton junction is 70 mph (113 km/h). A warning sign and audible warning are provided on this length of track to warn drivers about the 25 mph speed restriction over the connection between the up slow line and the up fast line. This length of track also includes Train Protection and Warning System (TPWS) overspeed sensor equipment intended to limit the speed of trains as they approach Fletton junction.</t>
  </si>
  <si>
    <t>Fletton junction, Peterborough</t>
  </si>
  <si>
    <t>The train passed over Fletton Junction at approximately twice the maximum permitted speed (paragraph 33)</t>
  </si>
  <si>
    <t>9 The causal factors were a combination of:_x000D_
a. The driver did not reduce the train’s speed to comply with the speed restriction at Fletton Junction, probably because of distraction and fatigue due to home-?related stress (paragraph 35, learning points 1 and 2, Recommendation 1)._x000D_
b. The design and location of lineside signs, and the position of AWS magnets, may have contributed to the lack of an appropriate response to the speed restriction at Fletton Junction (paragraph 57, learning point 4)._x000D_
c. Engineering controls did not prevent the train from overspeeding (paragraph 66, learning point 4)._x000D_
Underlying factors_x000D_
120 The underlying factors are listed below:_x000D_
a. Neither VTEC’s management system nor the driver had recognised that home-related distraction and fatigue were likely to be affecting the safety of his driving (paragraph 73). This involved both the line management system (paragraph 82, Recommendation 1) and the investigation process (paragraph 83, Recommendation 5)._x000D_
b. Network Rail’s procedures did not identify that the speed restriction sign at Fletton Junction was smaller than required by its standards, and this is a possible underlying factor (paragraph 87, Recommendation 4)._x000D_
c. It is possible that greater consideration of overspeed risk at Fletton Junction would have led to mitigation which would have prevented the overspeed incident (paragraph 94, Recommendations 2 and 3).</t>
  </si>
  <si>
    <t>CZ-4952</t>
  </si>
  <si>
    <t>Trains collision with an obstacle, 12-09-15, Ústí nad Orlicí station (Czech Republic)</t>
  </si>
  <si>
    <t>Damage of overhead contact line and locomotive during the ride of the freight train No. 66287 at the place of connection of two overhead contact lines.</t>
  </si>
  <si>
    <t>Ústí nad Orlicí station</t>
  </si>
  <si>
    <t>Direct cause:_x000D_
• ride of locomotive of freight train No. 66287 without ordered lowering the pantograph at the place of connection of two overhead contact lines._x000D_
_x000D_
Contributory factor:_x000D_
• in the time between 1. 9. 2015 and 12. 9. 2015 have been proven that nine trains drove across the place where incident happened without lowering the locomotive pantograph and put the contact wire into large thermal load beyond the normal operating conditions.</t>
  </si>
  <si>
    <t>Underlying cause:_x000D_
• failure to comply with the stationary sign “pantograph down” located before the place of the incident by the train driver._x000D_
_x000D_
Root cause: none.</t>
  </si>
  <si>
    <t>DE-4918</t>
  </si>
  <si>
    <t>Unauthorised train movement other than SPAD, 12-09-15, Hoffenheim - Reilsheim (Germany)</t>
  </si>
  <si>
    <t>RB 38538 fuhr an den Bahnhöfen Zuzenhausen, Meckesheim und Reilsheim ohne Halt vorbei. Die Fahrgastnotbremse wurde auf diesem Streckenabschnitt mehrmals erfolglos bedient. 
RB 38538 drove through the railway stations Zuzenhausen, Meckesheim and Reilsheim without stopping. On this itinerary, the passenger emergency brake had been operated several times unsuccessfully.</t>
  </si>
  <si>
    <t>Hoffenheim - Reilsheim</t>
  </si>
  <si>
    <t>DE-4923</t>
  </si>
  <si>
    <t>Level crossing accident, 12-09-15, Kirn - Bad Sobernheim (Germany)</t>
  </si>
  <si>
    <t>Am 12.09.2015 um 06:05 Uhr kollidiert DPN 29503 auf dem Laufweg von Saarbrücken Hbf nach Frankfurt (Main) Hbf auf dem technisch gesicherten Bahnübergang in km 43,119 der Strecke Bingen (Rh.) – Saarbrücken (VZG 3511) am Hp Monzingen mit einem Pkw. 
On 12.09.2015 at 06:05, the DPN 29503 collided on its way from Saarbrücken main central station to Frankfurt (Main) main central station on the technically secured level crossing at km 43.119 the track Bingen (Rh.) - Saarbrücken (VZG 3511) at the stopping point Monzingen with a passenger car.</t>
  </si>
  <si>
    <t>Kirn - Bad Sobernheim</t>
  </si>
  <si>
    <t>DB Regio Rheinland GmbH</t>
  </si>
  <si>
    <t>Der Unfall wurde durch den Fahrer des Pkw verursacht. Dieser hatte die geschlossenen Halbschranken der BÜSA umfahren. 
The accident was caused by the driver of the passenger car. He had bypassed the closed half-barriers of the level crossing protection system.</t>
  </si>
  <si>
    <t>IE-4890</t>
  </si>
  <si>
    <t>Operational event, 12-09-15, Ballybrophy - Portlaoise (Ireland)</t>
  </si>
  <si>
    <t>Operational Irregularity</t>
  </si>
  <si>
    <t>Ballybrophy - Portlaoise</t>
  </si>
  <si>
    <t>The immediate cause of Train J207 passing adjacent to the worksite without the prior notification to the ballast cleaning staff was as a result of ES2 informing the Person in Charge of Possession (PICOP) (who in turn informed the Signalman) that the Down Line was clear for trains, without briefing any of the ballast cleaning staff on the introducing of SLW arrangements</t>
  </si>
  <si>
    <t>CZ-4885</t>
  </si>
  <si>
    <t>Train derailment, 14-09-15, Golcuv Jeníkov (Czech Republic)</t>
  </si>
  <si>
    <t>Derailment of bogies type 53 loaded with rails on sleepers on freight train No. 164203 between Vlkanec and Golcuv Jeníkov stations</t>
  </si>
  <si>
    <t>Golcuv Jeníkov</t>
  </si>
  <si>
    <t>closer unspecified technical failure of bogies type 53.</t>
  </si>
  <si>
    <t>HU-4889</t>
  </si>
  <si>
    <t>Train derailment, 15-09-15, Between Mandok and Zahony stations (Hungary)</t>
  </si>
  <si>
    <t>One of the wagons of freight train Nr68158 (loaded with gasoline) has derailed with one of its bogies between Mandok and Zahony stations. The occurrence happened not far from the section where an other derailment- investigated by the Hungarian NIB (HU-4829) - occurred on 27/07/2015. The Hungarian NIB investigates the two accidents together. 
A 68158 sz. vonat egy, benzinnel rakott kocsija egy forgóvázzal kisiklott Mándok és Záhony állomások között. Az eset helyétol nem messze hasonló esemény történt 2015. 07. 27.-én. A KBSZ a két eseményt együtt vizsgálja.</t>
  </si>
  <si>
    <t>Between Mandok and Zahony stations</t>
  </si>
  <si>
    <t>Poor track condition - value of the cant is over the standards_x000D_
Different type of bogies (HK Porter) at the derailed vehicles than the other ones (Y25) in the train</t>
  </si>
  <si>
    <t>unefficient measures to keep the track in safe condition (speed restriction, partial maintenance)</t>
  </si>
  <si>
    <t>DE-4924</t>
  </si>
  <si>
    <t>Level crossing accident, 16-09-15, Buxtehude - Horneburg (Germany)</t>
  </si>
  <si>
    <t>Am 16.09.2015 gegen 07:43 Uhr prallte der Nahverkehrszug DPN 83467 des Eisenbahnverkehrsunternehmens (EVU) Metronom Eisenbahngesellschaft mbH auf dem Laufweg Hamburg Hbf - Cuxhaven zwischen den Betriebsstellen Buxtehude und Horneburg auf dem technisch gesicherten Bahnübergang (BÜ) mit einem Gelenkbus zusammen. 
On 16.09.2015 at 07:43, the train DPN 83467 of the railway undertaking (EVU) Metronom Eisenbahngesellschaft mbH on the Hamburg Hbf – Cuxhaven trajectory between the Buxtehude and Horneburg operating points on the technically secure level crossing (BÜ) collided with a articulated bus.</t>
  </si>
  <si>
    <t>Buxtehude - Horneburg</t>
  </si>
  <si>
    <t>Durch einen Fahrfehler der Busfahrerin, der von der örtlichen Straßenführung begünstigt wurde, kam der Gelenkbus bei ausgeschalteter Bahnübergangssicherungsanlage (BÜSA) auf dem BÜ zum Halten. Es gelang der Fahrerin nicht, den BÜ rechtzeitig zu räumen. 
As a result of a fault on the part of the bus driver, which was favoured by the local road routing, the articulated bus was stopped on the BÜ, when the level crossing security system (BÜSA) was switched off. The driver did not succeed in removing the BÜ in good time.</t>
  </si>
  <si>
    <t>UK-4906</t>
  </si>
  <si>
    <t>Trains collision with an obstacle, 17-09-15, London King's Cross Station (United Kingdom)</t>
  </si>
  <si>
    <t>At around 12:18 hrs, the 10:55 hrs service from Cambridge collided with the buffer stops at King’s Cross station, platform 11._x000D_
The train was formed of a four-car class 317 electric multiple unit and was being driven at the time by a trainee driver under supervision. The train came into the platform at normal speed, but the brakes were not applied so as to bring the train to a stand before the collision with the buffer stop occurred. At the time of the collision, the train was travelling at around 5 mph (8 km/h). Upon contact with the buffers, the train stopped rapidly, with the buffer stop moving back a short distance._x000D_
Fourteen passengers reported injuries: of those, four were treated by the London Ambulance service and two were taken to hospital. Both were released later the same day. There was minor damage caused to the buffer stops and the outside of the train, but a number of interior fittings were dislodged during the impact and at least one passenger was struck by a detached lighting diffuser.</t>
  </si>
  <si>
    <t>London King's Cross Station</t>
  </si>
  <si>
    <t>The trainee driver did not apply the brake in time to stop the train before it hit the buffer stops (paragraph 37).</t>
  </si>
  <si>
    <t>The causal factors were:_x000D_
a. When prompted by the driver instructor to apply the brakes, the trainee selected the wrong control handle (paragraph 41, Recommendation 1);_x000D_
b. The driver instructor permitted the trainee to drive on the approach to the buffer stops (paragraph 51, see paragraph 94 and Recommendations 1 and 2); and _x000D_
c. The driver instructor did not sufficiently monitor the actions of the trainee driver on the approach to the buffer stops at King’s Cross (paragraph 58, Recommendations 1 and 2)._x000D_
Underlying factors_x000D_
91 The underlying factors were:_x000D_
a. GTR’s regime for training its driver instructors focused on their technical competence as drivers rather than their wider skills as trainers (paragraph 61, Recommendation 2); and_x000D_
b. The driver instructor’s competence in the role had not been adequately assessed or monitored (paragraph 68, Recommendation 2)</t>
  </si>
  <si>
    <t>SK-4931</t>
  </si>
  <si>
    <t>Spad, 22-09-15, station Kalná nad Hronom (Slovak Republic)</t>
  </si>
  <si>
    <t>station Kalná nad Hronom</t>
  </si>
  <si>
    <t>Železnicná spolocnost  Cargo Slovakia</t>
  </si>
  <si>
    <t>SK-4932</t>
  </si>
  <si>
    <t>Train derailment, 26-09-15, Devínska Nová Ves station (Slovak Republic)</t>
  </si>
  <si>
    <t>Devínska Nová Ves station</t>
  </si>
  <si>
    <t>Direct Cause of accidents is overheating of bearing which led to twisting the axle pin and derailment of a wagon 33 56 666 0018-4, the cause can not be determined.</t>
  </si>
  <si>
    <t>DK-5317</t>
  </si>
  <si>
    <t>Level crossing accident, 28-09-15, Overkørsel 100 - Nyrup (Denmark)</t>
  </si>
  <si>
    <t>Employee of the Regionstog standing in the middle of the track i the level crossing was hit by an oncoming tran 
Medarbejder - vagtmand - fra Regionstog ramt af tog i overkørsel</t>
  </si>
  <si>
    <t>Overkørsel 100 - Nyrup</t>
  </si>
  <si>
    <t>Inattention (spoke on the phone) from employee</t>
  </si>
  <si>
    <t>CZ-4934</t>
  </si>
  <si>
    <t>Trains collision, 30-09-15, Svetec station; Doly Bílina siding (Czech Republic)</t>
  </si>
  <si>
    <t>Collision of shunting operation with a set of wagons with consequent derailment.</t>
  </si>
  <si>
    <t>Svetec station; Doly Bílina siding</t>
  </si>
  <si>
    <t>Direct causes:_x000D_
• supervisor of shunting operation began shunt without check of occupancy of the service track by undesirable items;_x000D_
• failure to adjust driving speed to view of supervisor of shunting operation.</t>
  </si>
  <si>
    <t>Underlying cause:_x000D_
• failure to observe technological procedures at shunting operation by the supervisor of shunting operation._x000D_
_x000D_
Root cause: none.</t>
  </si>
  <si>
    <t>SK-4933</t>
  </si>
  <si>
    <t>Spad, 01-10-15, station Bratislava-Lamac (Slovak Republic)</t>
  </si>
  <si>
    <t>station Bratislava-Lamac</t>
  </si>
  <si>
    <t>LTE Logistik a Transport Slovakia</t>
  </si>
  <si>
    <t>ES-4912</t>
  </si>
  <si>
    <t>Trains collision, 05-10-15, Tardienta station (Huesca) (Spain)</t>
  </si>
  <si>
    <t>A locomotive while coupling to its coaches collided with them</t>
  </si>
  <si>
    <t>Tardienta station (Huesca)</t>
  </si>
  <si>
    <t>The accident was caused by a human error, when the driver executed the reversing: he didn’t apply brake correctly, probably because of a bad risk perception (excess of confidence or lack of attention). Indeed, he violated the General Circulation Regulation and the Regulation Circular Letter #8 of the IM (ADIF), because he drove in the cabin opposing the march. Excess of speed at the manoeuver and poor experience of the driver in that line and locomotive were contributing causes.</t>
  </si>
  <si>
    <t>NO-4899</t>
  </si>
  <si>
    <t>Runaway, 05-10-15, Nyland workshop to Alnabru shunting yard (Norway)</t>
  </si>
  <si>
    <t>On monday the 5th of October, an EL 16 locomotive came out of control at Nyland workshop. The locomotive went about 2 kilometers down the line against Alnabru shunting yard._x000D_
The locomotive came out of control during shunting from track 4 to track 1 inside the workshop area. The locomotive accellerated, hit a track stop and went further down the line heading towards track G12 at Alnabru shunting yard._x000D_
The driver got inside the machineroom and disconnected the battery which cuts the power. The locomotives emergency brakes was already applied and the locomotive stopped about 2 kilometers from starting position. 
Mandag 5. oktober kom en EL.16 lokomotiv ut av kontroll ved skifting ved Nyland verksted. Lokomotivet kjørte ca. 2 kilometer før det stoppet i spor G12 på Alnabru terminal._x000D_
Et EL.16 lokomotiv fra CargoNet AS kom ut av kontroll under skifting fra spor 4 til spor 1 inne på Nyland verksted. Lokomotivet akselererte og kjørte opp en sporsperre før det fortsatte mot spor G12 på Alnabru terminal._x000D_
Fører fikk tilslutt koblet fra batteriet slik at traksjonen ble kuttet og lokomotivet bremset med nødbrems frem til det stoppet ca. 2 km fra der det startet.</t>
  </si>
  <si>
    <t>Nyland workshop to Alnabru shunting yard</t>
  </si>
  <si>
    <t>Two cables connected wrong in engine cabinet</t>
  </si>
  <si>
    <t>Lack of control</t>
  </si>
  <si>
    <t>HU-4898</t>
  </si>
  <si>
    <t>Level crossing accident, 07-10-15, Between Sopron and Loipersbach-Schattendorf stations (Hungary)</t>
  </si>
  <si>
    <t>Passenger train (No 7726) collided with a car at a Level Crossing (AS270) equipped with automatic user side warning, between Sopron and Loipersbach-Schattendorf stations near the Hungarian-Austrian border. In consequence of the occurrence the driver of the car died. The passenger train has derailed with its first axle. 
Sopron és Lépesfalva-Somfalva állomások között, a magyar-osztrák állahatár közelében, a 7726 sz. vonat összeütközött egy személygépkocsival. Az eset következtében a gépkocsi vezetoje életét vesztette, a személyvonat egy tengellyel kisiklott.</t>
  </si>
  <si>
    <t>Between Sopron and Loipersbach-Schattendorf stations</t>
  </si>
  <si>
    <t>Violation (road vehicle drivers)</t>
  </si>
  <si>
    <t>DE-4925</t>
  </si>
  <si>
    <t>Train derailment, 09-10-15, Gengenbach (Germany)</t>
  </si>
  <si>
    <t>Bei der Ausfahrt des Zuges 4270 aus dem Bahnhof Gengenbach überpufferte der zweite Wagen mit dem führenden Steuerwagen. 
During the exit of train 4270 from railway station Gengenbach, the second wagon overrode the driving trailer.</t>
  </si>
  <si>
    <t>Gengenbach</t>
  </si>
  <si>
    <t>Triebfahrzeugführer erkannte das Signal "Gleiswechselanzeiger" zu spät. Dadurch fuhr er mit stark überhöhter Geschwindigkeit in den anschließenden Weichenbereich. 
Driver of traction vehicle recognized the signal ''track change indicator'' too late. For this reason, he drove with a high speed into the connecting switch area.</t>
  </si>
  <si>
    <t>FR-4904</t>
  </si>
  <si>
    <t>Train derailment, 12-10-15, Sainte-Pazanne (France)</t>
  </si>
  <si>
    <t>Regional railcar derails at  25 kph in station because switch moved under the train._x000D_
The movement of the switch mas made possible by the loss of shunt of the track circuit.</t>
  </si>
  <si>
    <t>Sainte-Pazanne</t>
  </si>
  <si>
    <t>Loss of shunt during 2.7 seconds on the track circuit controling the route locking. The wheels of the railcar where dirty with grime collected on the track before the station.</t>
  </si>
  <si>
    <t>No cleaning devices (scrubbers) on the wheels of the railcar; dirty rails after renewal of the track; undue use of presetting of routes on low traffic line.</t>
  </si>
  <si>
    <t>BG-4910</t>
  </si>
  <si>
    <t>Fire in RS, 13-10-15, Inter section between the stations of Elin Pelin and Vakarel (Bulgaria)</t>
  </si>
  <si>
    <t>Around 9:00 a.m. on 13.10.2015 in the section between the stations of Elin Pelin and Vakarel, the locomotive crew of the fast train No. 1621, which was moving on track No. 1 from Sofia to Plovdiv, noticed a smoke in the engine compartment of the locomotive. The crew members took immediate action to put down the smoke and managed to extinguish the raising fire with the locomotive fire extinguishing installation and the portable fire-extinguishers available. _x000D_
In result of the event the train occupied the railway section from 8:49 to 10:11 hours. _x000D_
There were no passengers and railway staff injured. Damages were caused to the electrical locomotive No 44-169.</t>
  </si>
  <si>
    <t>Inter section between the stations of Elin Pelin and Vakarel</t>
  </si>
  <si>
    <t>Due to a modified profile of contact cam S2, from the voltage circuit closer unit 015-5 of the auto-transforming switch remained switched on. As a result from that the arms of the disc selecting switch of the ATS performed commutation under electrical load and that led to voltaic arc appearance. That fact led to increasing in the pressure in the oil of the ATS tank, due to which the fuselage destroyed explosively. From the high temperature, the leaked transformer oil burned up, which led to the fire occurrence in the locomotive.</t>
  </si>
  <si>
    <t>ES-4913</t>
  </si>
  <si>
    <t>Other event, 14-10-15, Monte la Reina station (Zamora) (Spain)</t>
  </si>
  <si>
    <t>A passenger train runs without meeting the requeriments established due to works in the railway section</t>
  </si>
  <si>
    <t>Monte la Reina station (Zamora)</t>
  </si>
  <si>
    <t>The incident was caused by a human error of the driving staff, who didn’t comply with the traffic regulations established by the Supplementary Telephone Blocking between Toro and Zamora._x000D_
The situation of the advanced and entrance signals, which were turned towards the field, not complying with the provisions of the instruction ATO/CTO #35/52, was a contributing factor._x000D_
Another contributing factor was the fact that the driver didn’t know the Notice TO #58, which indicated the different aspects of the signals, not including the orientation towards the field of signals. This document was not provided by the responsible personnel of the RU (See recommendation 49/15-3).</t>
  </si>
  <si>
    <t>RO-4907</t>
  </si>
  <si>
    <t>Train derailment, 14-10-15, Campia Turzii - Valea Florilor (Romania)</t>
  </si>
  <si>
    <t>six wagons from the fright train no. 80413 (from 12-th to 17-th) derailed in open line between the railway stations Campia Turzii and Valea Florilor</t>
  </si>
  <si>
    <t>Campia Turzii - Valea Florilor</t>
  </si>
  <si>
    <t>Cauza directa _x000D_
Cauza directa a producerii acestui accident o constituie escaladarea suprafe?ei de rulare a ciupercii ?inei din dreapta de catre buza bandajului ro?ii din partea dreapta a primei osii în sensul de mers al trenului (osia corespunzatoare ro?ilor 7-8) de la vagonul nr.84537851144-6 (al 13-lea din compunerea trenului), ca urmare a cre?terii raportului dintre forta de ghidare si sarcina care actiona pe roata atacanta (roata nr.8), depasindu-se astfel limita de stabilitate la deraiere. _x000D_
Cresterea raportului dintre forta de ghidare si sarcina ce actionau pe roata atacanta s-a produs în conditiile descarcarii puternice de sarcina a acestei ro?i ?i a cre?terii for?ei laterale (de ghidare) pe aceasta roata._x000D_
Factori care au contribuit:_x000D_
-	starea necorespunzatoare a suprastructurii feroviare în zona producerii accidentului feroviar:_x000D_
-	starea necorespunzatoare a terasamentului caii ferate pe zona km 457+470 de pe firul I de circula?ie dintre sta?ia CFR Câmpia Turzii-Valea Florilor, care din punct de vedere al compozi?iei pamântului determinata prin analize de laborator, are con?inut de argila prafoasa în procent neconform cu prevederile STAS 7582-91 „Lucrari de cale ferata – Terasamente – prescrip?ii de proiectare ?i de verificare a calita?ii”;_x000D_
-	precipitatiile din zilele premergatoare producerii accidentului. 
D.1. Direct cause _x000D_
The direct cause of this accident was the over-climbing of the running surface of the head of the right rail by the flange of the right wheel from the first axle in the running direction of the train (axle corresponding to the wheels 7-8) from the wagon no.84537851144-6 (the 13th of the train), following the increase of the ratio between the guiding force and the load acting on the leading wheel (wheel no.8), so exceeding the stability limit at derailment. _x000D_
The increase of the ratio between the guiding force and the load acting on the leading wheel happened because the serious load transfer of this wheel and the increase of the lateral force (guiding force) on this wheel._x000D_
Contributing factors:_x000D_
-	unsuitable condition of the railway superstructure at the accident site:_x000D_
-	unsuitable condition of the track bed at km 457+470 of track I, between the railway stations Câmpia Turzii-Valea Florilor, that concerning the ground composition, determined upon laboratory analysis, it had powedered clay percentage nonconforming with the provisions of STAS 7582-91 „ Railway works –  Track beds – provisions for design and quality control”;_x000D_
-	rainfall in the days before the accident</t>
  </si>
  <si>
    <t>Cauza subiacenta_x000D_
	Cauza subiacenta este mentenan?a necorespunzatoare a infrastructurii feroviare în zona producerii accidentului, în sensul ca, aceasta s-a efectuat fara respectarea prevederilor:_x000D_
1.	cap.II, lit.B „Repara?ia radicala a liniei în execu?ie mecanizata”, pct.2 din „Instruc?ia pentru executarea lucrarilor de repara?ie radicala a liniilor de cale ferata nr.302/1986”, din Dosarul de organizare a lucrarilor ?i în sensul ca:_x000D_
?	nu au fost executate sondajele (?li?uri) în prisma de piatra sparta pentru identificare cotei nivelului platformei, a înal?imii stratului de piatra sparta ?i a celui de reparti?ie, în toate punctele, a?a cum este prevazut în Dosarul de Organizare al lucrarilor de ciuruire integrala a prismei de piatra sparta ?i în „Instruc?ia pentru executarea lucrarilor de repara?ie radicala a liniilor de cale ferata nr.302/1986”;_x000D_
?	nu au fost executate lucrarile de taiere a banchetei pentru eliminarea de pe platforma caii a apei acumulata din precipita?ii;_x000D_
?	nu a fost urmarita men?inerea direc?iei caii în toleran?ele instruc?ionale;_x000D_
?	nu au fost executate lucrarile de readucere a joantelor la echer;_x000D_
2.	art.7, pc.1 din Instruc?ia de norme ?i toleran?e pentru construc?ia ?i între?inerea caii – linii cu ecartament normal nr.314/1989, în sensul ca, nu a fost respectata toleran?a nivelului transversal al caii pe zona de aliniament  pentru viteza maxima de circula?ie a trenurilor, de 80 km/h;_x000D_
3.	art.10, pct.B.5 din Instruc?ia de norme ?i toleran?e pentru construc?ia ?i între?inerea caii – linii cu ecartament normal nr.314/1989, în sensul ca, nu au fost executate lucrarile pentru aducerea joantelor la echer;_x000D_
4.	art.3, Fi?a nr.4 din Instruc?ia privind fixarea termenelor ?i a ordinii în care trebuie efectuate reviziile caii nr.305/1989 referitor la programarea lucrarilor pentru remedierea defectelor constatate cu ocazia reviziilor;_x000D_
5.	Cap. 4 „Norme de manopera ?i de consum de materiale”, pct.4.1 din „Instruc?ia de între?inere a liniilor ferate nr.300/1982” referitor la asigurarea normei de manopera la între?inerea curenta în execu?ie manuala, respectiv de 174 om norma pe an pe km. _x000D_
_x000D_
_x000D_
_x000D_
Cauza primara_x000D_
Cauza primara a accidentului  o constituie întocmirea Dosarului de Organizare al lucrarilor de ciuruire integrala a prismei de piatra sparta dintre sta?ia CFR Câmpia Turzii ?i halta de mi?care Valea Florilor firul I fara respectarea prevederilor pct.III.1.2. din Anexa 1 - „Diagrama flux a procesului de întretinere” din cadrul procedurii operationale cod PO SMS 0-4.07 referitoare la faptul ca întocmirea documentatiei pentru lucrarile de reparatie periodica se face pe baza proceselor tehnologice stabilite de instructii, reglementari si dipozitii. Astfel, dosarul a fost întocmit ?i aprobat fara a respecta prevederile cap.II, lit.B „Repara?ia radicala a liniei în execu?ie mecanizata”, pct.2 din „Instruc?ia pentru executarea lucrarilor de repara?ie radicala a liniilor de cale ferata nr.302/1986”, instruc?ie care este utilizata de catre CNCF „CFR” SA ca ?i cod de practica în sistemul propriu de management al siguran?ei. 
Underlying cause_x000D_
	The underlying cause is the unsuitable maintenance of the railway infrastructure  at the accident site ,that is it was made infringing the provisions:_x000D_
6.	chapter II, letter B „Mechanical overhaul of the line”, point 2 from „Instruction for the performance of the line overhauls  no.302/1986”, from the File for the work organization, that is:_x000D_
?	one did not take samples (slotted holes) from the broken stone in order to identify the quota of the platform level, the high of the broken stone level and repairing situation, in all points, as it is stipulated in the File for the organization of the whole cleaning of the broken stone and in  „Instruction for the performance of the line overhauls no.302/1986”;_x000D_
?	one did not cut the track bench in order to eliminate the water accumulated from rainfall from the track bed ;_x000D_
?	one did not monitor the keeping of the track direction between the instruction tolerances;_x000D_
?	one did not perform works for putting the joints on right section (on the same line);_x000D_
7.	art.7, point 1 from the Instruction of norms and tolerances for the track construction and maintenance – lines with standard gauge no.314/1989, that is, one did not comply with the tolerance of the crossing level in the area of straight line, for the maximum train speed of 80 km/h;_x000D_
8.	art.10, point B.5 from Instruction of norms and tolerances for the track construction and maintenance – lines with standard gauge no.314/1989, that is, one did not perform the works for putting the joints on right section (on the same line);_x000D_
9.	art.3, Sheet no.4 from Instruction for the establishment of terms and order for the performance of the track inspections no.305/1989, concerning the schedule of the works for the removal of the failures found during the inspections;_x000D_
Chapter 4 „Norms of manpower and material consumption”, point.4.1 from „Instruction for line maintenance no.300/1982” concerning the ensuring of the manpower norm for the current manual maintenance, respectively of 174 person norm per year per. _x000D_
	_x000D_
_x000D_
Root cause_x000D_
Root causes of the accident is the drawing up of the File for the organization of the works for the complete cleaning of the broken stone between the railway stations Câmpia Turzii and Valea Florilor, track I, without meeting with the provisions from the point III.1.2. of the Annex 1 - „Flow diagram of the maintenance process” from the operational procedure code PO SMS 0-4.07 according which the drawing up of the documents for the periodical repair is made upon the technological processes established through instructions, regulations and disposals. So, the file was drew up and approved without meeting with the provisions from chapter II, letter B „Mechanical overhaul of the line”, point 2 from „Instruction for the performance of the line overhauls no.302/1986”, instruction used by CNCF „CFR” SA as code of practice in its own safety management system.</t>
  </si>
  <si>
    <t>RO-4908</t>
  </si>
  <si>
    <t>Train derailment, 15-10-15, Ilteu (Romania)</t>
  </si>
  <si>
    <t>the electric locomotive EA 263 that hauled the passenger train no. 2343 derailed on the switches no.1-3 in the Ilteu railway station</t>
  </si>
  <si>
    <t>Ilteu</t>
  </si>
  <si>
    <t>Cauza directa a producerii accidentului o constituie ca?ararea buzei ro?ii pe ?ina urmata de caderea în exteriorul caii generata de reducerea for?ei verticale ?i cre?terea for?ei de ghidare, care au ac?ionat pe roata din partea stânga a osiei atacante, ca urmare a urmatorilor factori:_x000D_
-	depasirea tolerantelor admise la ecartamentul si nivelul transversal prescris al caii pe diagonala delimitata de schimbatoarele de cale nr.1 ?i nr.3 din sta?ia CFR Ilteu._x000D_
-	cre?terea unghiului de atac dintre roata atacanta ?i ?ina generat de abaterea de la paralelism a osiilor montate de la boghiul II al locomotivei (primul în sensul de mers). _x000D_
Cauze subiacente _x000D_
-	nerespectarea Instruc?iei de norme ?i toleran?e pentru construc?ii ?i între?inerea caii pentru linii cu ecartament normal nr. 314/1989, art.1 pct.14, art 7 litera A respectiv art.19 pct.2 ?i pct.6 cu privire la toleran?ele admise fa?a de ecartamentul nominal/prescris pe liniile cu prisma de balast respectiv fa?a de  nivelului  transversal prescris ale unui fir fa?a de celalalt;  _x000D_
-	nerespectarea pct.9 al Anexei nr.2 din Norma tehnica feroviara ,,Vehicule de cale ferata. Locomotive electrice de 5.100 kW ?i 3.400 kW. Prescrip?ii tehnice pentru revizii ?i repara?ii planificate”, aprobata prin OMT nr.366/2008, ca urmare a neefectuarii ciclului de repara?ii planificate la locomotive conform normativului feroviar "Vehicule de cale ferata. Tipuri de revizii si repara?ii planificate. Normele de timp sau normele de kilometri parcur?i pentru efectuarea reviziilor si repara?iilor planificate", aprobat prin Ordinul Ministrului Transporturilor ?i Infrastructurii nr.315/2011, modificat ?i completat prin Ordinul nr.1359/2012 al Ministrului Transporturilor ?i Infrastructurii. 
Direct cause of the accident was the overclimbing of the rail by the flange of wheel, followed by its fall outside the track, generated by the decrease of the vertical force and increase of the guiding force, applied from the left side of the leading axle, following the next factors:_x000D_
-	exceeding of the accepted tolerances for the gauge and track crossing level on the cross-over between the switches no.1 and no.3 in the railway station Ilteu._x000D_
-	increase of the angle of attack between the leading wheel and the rail, generated by the deviation from the parallelism of the wheelsets from the bogie II of the locomotive (first in the running direction). _x000D_
Underlying causes _x000D_
-	infringement  of the Instruction of norms and tolerances for the construction and maintenance of the track, for lines with standard gauge no. 314/1989, art.1 point.14, art 7 letter A, respectively art.19 point 2 and point 6 concerning the accepted tolerances as against the nominal/prescribed  gauge for the conventional lines, respectively as against the stipulated crossing level of a track as against the another one;  _x000D_
-	infringement of the point.9 of Annex no.2 from the Railway technical norm  ,,Railway vehicles. Electric locomotives of 5.100 kW and 3.400 kW. Technical provisions for planned inspections and repairs”, approved by Order of the Ministry of Transports no.366/2008, following the non-performance of the cycle of the planned repairs at the locomotives, according to the railway norm "Railway vehicle. Types of planned inspections and repairs. Norms of time and norms of km run for the performance of planned inspections and repairs", approved by Order of Ministry of Transports and Infrastructure no.315/2011, amended by Order of the Ministry of Transports and Infrastructure no.1359/2012.</t>
  </si>
  <si>
    <t>Nu au fost identificate cauze primare. 
None</t>
  </si>
  <si>
    <t>FR-4917</t>
  </si>
  <si>
    <t>Trains collision with an obstacle, 20-10-15, Serqueux (France)</t>
  </si>
  <si>
    <t>Regional EMU collides with two cows at 139 km/h. Collision disables all electric systems and brakes._x000D_
Train run away for 20 km and stops in an uphill gradient.</t>
  </si>
  <si>
    <t>Serqueux</t>
  </si>
  <si>
    <t>Cows on track_x000D_
Insufficient protection of the brakes control panels_x000D_
Poor efficiency of the ostacle deflector_x000D_
Vulnerability of safety functions in the event of a short circuit in the electric coupler</t>
  </si>
  <si>
    <t>HU-4911</t>
  </si>
  <si>
    <t>Other event, 21-10-15, Délegyháza (Hungary)</t>
  </si>
  <si>
    <t>One of the waggons of a shunting train has derailed.</t>
  </si>
  <si>
    <t>Délegyháza</t>
  </si>
  <si>
    <t>A vasúti kocsi egyenetlen megrakása 
Uneven loading of the rail car.</t>
  </si>
  <si>
    <t>ES-4953</t>
  </si>
  <si>
    <t>Spad, 22-10-15, Rio Huerva siding (Zaragoza) (Spain)</t>
  </si>
  <si>
    <t>Freight train overran exit signal S1/3, which stated a red aspect, at Río Huerva siding. This caused a near miss train collision with another freight train.</t>
  </si>
  <si>
    <t>CONTINENTAL RAIL; 
Renfe Operadora Mercancías</t>
  </si>
  <si>
    <t>Human error: the driver of the freight train 99563 missed the exit signal S1/3 in stop indication. The possible fatigue after 8 hours and 14 minutes of driving and the poor experience of the driver in that section contributed to the error.</t>
  </si>
  <si>
    <t>UK-4962</t>
  </si>
  <si>
    <t>Trains collision, 22-10-15, Shalesmoor tram stop (United Kingdom)</t>
  </si>
  <si>
    <t>The accident occurred at around 08:25 hrs on 22 October 2015, at Shalesmoor tram stop._x000D_
Tram 118 which had departed from Middlewood and was bound for Sheffield city centre, was stationary at the tram stop. It was struck from behind by tram 120, which was travelling from Malin Bridge towards the city centre. The impact speed was around 10 mph (16 km/h). There was no derailment_x000D_
Both trams were heavily loaded with passengers at the time. Three passengers and a member of staff received minor injuries. Both trams suffered damage and there was disruption to tram services through Shalesmoor for the rest of the day while recovery operations were undertaken. _x000D_
Initial analysis of the evidence indicates that tram 120 did not brake as quickly as would be expected even though the driver applied the magnetic track brake which is designed to provide additional braking force over and above that provided by the braked wheels. The tram tracks around Shalesmoor tram stop are known to suffer from low adhesion conditions in autumn, due to contamination from leaves crushed onto the rail head.</t>
  </si>
  <si>
    <t>Shalesmoor tram stop</t>
  </si>
  <si>
    <t>Tram 120 was unable to stop before colliding with stationary tram 118 on the same line (paragraph 41).</t>
  </si>
  <si>
    <t>The causal factors were:_x000D_
a. the driver of tram 120 did not drive the tram in a manner appropriate for the conditions (paragraph 43);_x000D_
b. the brakes on tram 120 did not provide the level of braking expected by the driver due to low adhesion rail head conditions (paragraph 53, Recommendation 1); and_x000D_
c. tram 118 had remained stationary in Shalesmoor tram stop (paragraph 74)._x000D_
Underlying Factor_x000D_
85 The management of low rail head adhesion by Stagecoach Supertram was not compliant with its own procedures (paragraph 64).</t>
  </si>
  <si>
    <t>DE-4926</t>
  </si>
  <si>
    <t>Train derailment, 23-10-15, Hamm Rbf (Germany)</t>
  </si>
  <si>
    <t>Am 23.10.2015 gegen 02:37 Uhr entgleiste der Güterzug DGS 75828, auf der Fahrt von Rheinhausen Pbf nach Pirna Gbf, im Bahnhof (Bf) Hamm (Westf) Rbf in der Weiche 135 mit den an 9., 10. und 11. Stelle laufenden Wagen.</t>
  </si>
  <si>
    <t>Bf Hamm (Westf) Rbf</t>
  </si>
  <si>
    <t>ITL Eisenbahngesellschaft mbH</t>
  </si>
  <si>
    <t>In Folge der Entgleisung entstanden Schäden am Oberbau und an den betroffenen Wagen in Höhe von ca. 150.000 Euro.</t>
  </si>
  <si>
    <t>Ursächlich für die Entgleisung war eine Kombination verschiedener Faktoren, die durch die Infrastruktur, den Betrieb und die Fahrzeugtechnik beeinflusst wurden. Einzeln betrachtet waren diese Faktoren nicht unfallursächlich. Erst das Zusammenwirken eines Gleislagefeh-lers in Verbindung mit einer einsetzenden Zwangsbremsung führte zum Einwirken von Kräften auf die Fahrzeuge derart, dass sie dadurch auf der Weiche 135 entgleisten.</t>
  </si>
  <si>
    <t>IE-4959</t>
  </si>
  <si>
    <t>Spad, 23-10-15, Ardrahan (Ireland)</t>
  </si>
  <si>
    <t>Signal passed at danger - Ardrahan</t>
  </si>
  <si>
    <t>Ardrahan</t>
  </si>
  <si>
    <t xml:space="preserve"> There was no material damage to infrastructure as a result of the incident at Ardrahan. The units 
involved, units 2601 and 2602 showed wheel flats on all wheels. This unit required wheel turning. </t>
  </si>
  <si>
    <t>Immediate cause of the operational incidents
204The immediate cause of both operational incidents was an insufficient level of adhesion, between 
the rail and the train wheel, to bring the vehicle to a stop before the relevant signals.
Contributory factors
205Contributory factors associated with the incidents are as follows:
 CF-01 – The incident locations experienced light rain prior to the train services operating, 
resulting in LRA conditions;
 CF-02 – There was no on-board sanders to improve adhesion, between the rail and the train 
wheel.
Additional contributory factors associated with the incident in Ardrahan
Operational incidents at Ardrahan, 23rd October 2015 &amp; Spa, 28th November 2015
RAIU 51 Investigation Report 2016-R003
 CF-04 – Incorrect OTDR input resulted in the speed displayed to driver varying by up to 5mph 
(8 km/h) at 70mph (112km/h).</t>
  </si>
  <si>
    <t>No underlying or root causes associated with the incidents were identified.
Additional observations
There is some ambiguity in the standards related to driving in LRA conditions (the Professional 
Driving Standard and the Seasonal LRA Booklet) in that the standards request that drivers select 
an appropriate braking position based on the braking characteristics of the train to achieve the 
desired level of retardation; as a result this can lead to some variance in interpretation.</t>
  </si>
  <si>
    <t>DE-4927</t>
  </si>
  <si>
    <t>Trains collision, 28-10-15, Bonn Gbf (Germany)</t>
  </si>
  <si>
    <t>Am 28.10.2015 gegen 05:26 Uhr kollidierte der Reisezug DPN 25409 auf der Fahrt von Köln-Deutzerfeld nach Koblenz Hbf bei der Einfahrt in den Bahnhof (Bf) Bonn Hbf, Bahnhofsteil (Bft) Bonn Gbf, nach Gleis 205 mit einem aus Gleis 126 kommenden Zweiwegebagger.</t>
  </si>
  <si>
    <t>Bonn Gbf</t>
  </si>
  <si>
    <t>Trans Regio Deutsche Regionalbahn GmbH; SES Aus- und Fortbildung e. K.</t>
  </si>
  <si>
    <t>Es entstanden Sachschäden an den Eisenbahnfahrzeugen in Höhe von ca. 60.000 Euro</t>
  </si>
  <si>
    <t>Der Triebfahrzeugführer (Tf) des in Gleis 126 stehenden Zweiwegebaggers fasste das für Zug DPN 25409 Sh 1 zeigende Lichtsperrsignal (Ls) 233 als Zustimmung des Weichenwärters zu seiner geplanten Rangierbewegung auf und setzte sich in Bewegung. Dadurch kam es zur Kollision mit dem einfahrenden Zug. Außerdem trugen das Handeln des Fdl und Mängel bei der signaltechnischen und betrieblichen Anbindung des Gleises 126 zur Entstehung des Un-falls bei.</t>
  </si>
  <si>
    <t>CZ-4928</t>
  </si>
  <si>
    <t>Trains collision, 30-10-15, Rehlovice station (Czech Republic)</t>
  </si>
  <si>
    <t>Unauthorized movement of the freight train No. 163602 behind the departure signal L2 and the consequent collision with the freight train No. 59040.</t>
  </si>
  <si>
    <t>Rehlovice station</t>
  </si>
  <si>
    <t>UNIPETROL DOPRAVA; 
SD - Kolejová doprava</t>
  </si>
  <si>
    <t>Direct cause: the unauthorized movement of the freight train No. 163602 behind the departure signal device L2 with the signal “Stop” at Rehlovice station._x000D_
Contributory factor: absence of technical equipment which prevents a train from passing a signal in case of danger.</t>
  </si>
  <si>
    <t>Underlying cause: breach of technological procedures of the IM and the RU by the train driver of the freight train No. 163602._x000D_
Root cause: none.</t>
  </si>
  <si>
    <t>BE-5445</t>
  </si>
  <si>
    <t>Spad, 01-11-15, Antwerpen-Luchtbal (Belgium)</t>
  </si>
  <si>
    <t>On  Sunday  1  November  2015,  after  a  regular  stop  at  Antwerpen-Centraal  station,  the  driver  of train E9227 was given the green departure signal. At 10:45, the train E9227 left Antwerpen-Centraal station by the A track of L.25._x000D_
During  the  route,  the  driver  passed  the  signal  A455,  which  was  showing  a  double  yellow.  The driver  confirmed  seeing  the  restrictive  double  yellow  with  the  Memor  button,  belatedly  but without emergency braking._x000D_
The  restrictive  double  yellow  signal  A455  means  that  the  driver  of  the  train  should  adapt  the speed of the train to be able to stop in time, in the present case in front of the signal at danger G-R.12. However, the driver continued accelerating up to 90 km/h and crossed the signals G-R.12 (10:48) and J-R.12 (10:49), both at danger._x000D_
In a normal situation, further on from the signal J-R.12, the train is directed from the L.25 towards the L.12 but, considering that the signalling control had not yet planned the route and the last route that it had planned led to L.4, the train continued its route from the L.25 towards the L.4. _x000D_
Finally, the train came to a standstill on the L.4, around 1 km from the transition zone of the catenary voltage 3 kV to 25 kV. The train travelled 2.15 km from the first overrunning of the signal._x000D_
Following the overrunning of the signal, 250 passengers had to be evacuated and a certain number of trains were cancelled. There was not an immediate danger of collision.</t>
  </si>
  <si>
    <t>Antwerpen-Luchtbal</t>
  </si>
  <si>
    <t>According to the hypothesis retained by the Investigation Body, the double overrunning of a signal results directly from a lack of concentration linked to the driver being tired. The lack of concentration_x000D_
explains why the train driver neglected the driving information received several times._x000D_
Also, according to the hypothesis retained by the Investigation Body, the driver had taken authorised medication and started his service with a false sense of fitness for service. Once the effect of the medication had passed the plasma peak, it developed into a sub-therapeutic zone where the capacity for concentration gradually reduced to a reduced state of concentration or hypovigilance which is difficult to self-diagnose.</t>
  </si>
  <si>
    <t>Indirect cause 1_x000D_
According to the hypothesis retained by the Investigation Body, the first indirect cause of the overrunning of a signal was the lack of a driving assistance mechanism of type TBL1+ or ECTS cab signalling Level 1 or 2 on board the locomotive. In the given circumstances (speed of the train), the presence of TBL1+ and ECTS technologies on board the train would have allowed the train to be stopped in time and avoided any overrunning of signals. The DRSI confirmed the authorisation for entry into service of locomotives of a TRAXX type with configuration 7D and 7D1 (ed. 2 September 2016) allowing the use of TBL1+ and ECTS L1 technologies. Locomotives with this equipment have since been put into service on the IC links Brussels-Amsterdam._x000D_
_x000D_
Indirect cause 2_x000D_
According to the hypothesis retained by the Investigation Body, the second indirect cause of the overrunning of signals was the fact that the route was not exempt of conflicts. If the risk of finding a signal at danger is reduced, logically, the risk of SPAD is reduced. The risk of encountering a signal at danger may be reduced by ensuring the elimination of conflicts in the planning and maintenance of timetables. The Infrastructure Manager is currently studying a safe planning system, in particular by ensuring that conflicts are avoided in the planning and maintenance of the timetable. _x000D_
_x000D_
Underlying cause_x000D_
The underlying cause of the double overrunning of signals was the absence of an LMRA or a vigilance detection system for train drivers. The implementation of a quality FRMS (Fatigue Risk Management System) increases the probability of timely detection of unfitness of a driver as well as problems linked to a potential vigilance slip during his service.</t>
  </si>
  <si>
    <t>HU-4929</t>
  </si>
  <si>
    <t>Train derailment, 01-11-15, Orgonás (Hungary)</t>
  </si>
  <si>
    <t>A cog-wheel railway (rack railway) vehicle derailed with one bogie</t>
  </si>
  <si>
    <t>Orgonás</t>
  </si>
  <si>
    <t>Track condition</t>
  </si>
  <si>
    <t>DK-5299</t>
  </si>
  <si>
    <t>Level crossing accident, 02-11-15, Svebølle (Denmark)</t>
  </si>
  <si>
    <t>En person blev påkørt af tog i perronovergangen på Svebølle station, da han skulle krydse spor 1 for at komme til perronen ved spor 2. Personen blev kvæstet, men døde den efterfølgende nat af sine kvæstelser. 
Person hit by train at the level crossing (between tracks), Sveboelle track 1</t>
  </si>
  <si>
    <t>Svebølle</t>
  </si>
  <si>
    <t>Uopmærksomhed hos fodgænger ved passage af overgang til perronen ved spor 2 på Svebølle Station 
Inattention of the pedestrian crossing at the platform to track 2 at Svebølle Station</t>
  </si>
  <si>
    <t>HR-4936</t>
  </si>
  <si>
    <t>Accident to persons caused by RS in motion, 02-11-15, Zagreb (Croatia)</t>
  </si>
  <si>
    <t>Passenger train No. 8014 on the line M101 between the stations Podsused tvornica and Zaprešic hit a Patrolman, who was seriously injured. 
Tijekom prometovanja putnickog vlaka broj 8014, na pruzi M101, izmedu kolodvora Posused tvornica i kolodvora Zaprešic došlo je do naleta vlaka na ophodara pruge, pri cemu je isti teže ozljeden.</t>
  </si>
  <si>
    <t>Zagreb</t>
  </si>
  <si>
    <t>Direktan uzrok nesrece je nalet putnickog vlaka na cuvara pruge-ophodara, koji se je poskliznuo i pao u kolosijek (poglavlje 5.1). 
The direct cause of this accident was that passenger train hit a trucks controller during his regular truck inspection. Before the train arrived the controller fell down on the truck (chapter 5.1).</t>
  </si>
  <si>
    <t xml:space="preserve">Analizom cinjenica prikupljenih tijekom istrage nisu utvrdeni propusti u svezi propisa ili sustava upravljanja sigurnošcu. 
</t>
  </si>
  <si>
    <t>PT-4949</t>
  </si>
  <si>
    <t>Train derailment, 02-11-15, Norte line, near Francelos halt (Portugal)</t>
  </si>
  <si>
    <t>While unit freight train 64132 passed near KM 324+960 of North line, one bogie of cement tank wagon nr. 83 94 930 5 035-6 derailed and damaged the track for about 1500 metres, until the train stopped. The wagon kept upright and didn't invade into the other track loading gauge. There was minor damage to the derailed wagon and to the following one, and moderate damage to the track. The line was reopened by 05h00 next day, with a speed restriction. 
Próximo do PK 324+960 da linha do Norte, em plena via, descarrilou um bogie do vagão 83 94 930 5 035-6, 13.º veículo rebocado do comboio de mercadorias n.º 64132 procedente de Leandro-Cimpor com destino a Souselas. Não houve danos pessoais. Houve danos moderados em cerca de 1500 metros da via D e no vagão que se seguia àquele que descarrilou. A via foi reaberta à exploração pelas 05h00 do dia 03/11/2015, com restrição de velocidade.</t>
  </si>
  <si>
    <t>Norte line, near Francelos halt</t>
  </si>
  <si>
    <t>The investigation established as most likely that the immediate cause of the derailment was the loss of guidance of the rear bogie wheels of the 13th wagon of the consist resulting from the wheels being unloaded due to abnormal excitation of the springs and a lateral thrust on the wheels.</t>
  </si>
  <si>
    <t>This resulted from the probable combination of the factors presented followingly without any degree of precedence or of relative importance:_x000D_
? The wagon that derailed had powder cement filling dead spaces in the structure that should be empty, resulting in a significant increase in weight in relation to the nominal tare situation and putting its suspension working in conditions unfavourable to its good behaviour._x000D_
? This was a result from wear on the internal edges of the cargo chambers and was subject to regular repair by the vehicle holder. However, the procedures for sharing information relevant to safety by the vehicle holder/loader were not enough for the entity in charge of maintenance (ECM) to be aware of the deficiency. Additionally, the vehicle maintenance plan did not provide for any inspection or intervention inside the tank._x000D_
? The longitudinal rail level in the area before the derailment point had a regular undulating configuration, both in length and in amplitude, designated in the specialized literature as cyclic top, similar to what has been shown to be able to excite the suspension of wagons vertically, leading to the abnormal accumulation and release of energy that results in wheel unloading and, in some circumstances, in the lifting of the wheels from the rails._x000D_
? The vertical configuration of the rails had a wavelength proximate to the distance between the wagons’ bogie centres and, for the speed and conditions in which they travelled, excited their suspension at a frequency relatively close to the natural frequency of the vehicles._x000D_
? The risk of derailment by cyclic top is not considered by the IM within the scope of its SMS, since this is a derailment risk that is still internationally poorly characterized and whose treatment is difficult because it heavily depends on the interaction between the track and each specific rolling stock and its travelling speed; in fact, in Europe, only the UK infrastructure manager controls this risk explicitly and qualitatively. In addition, the present version of the European standard EN 13848-5 regarding the geometric quality of the track, despite mentioning the need to take into account the sequences and combination of isolated defects, namely cyclic top, does not establish any specific criteria or guidelines for this purpose._x000D_
? The dynamic characteristics of the wagon resulting from the regime in which its suspension was working and the position of the centre of mass resulting from operating outside its nominal loading conditions, made it susceptible to the referred configuration of the longitudinal level of the track, leading to the accumulation of energy in the suspension, probably inducing large vertical movements._x000D_
? It is likely that the wagon's dynamic response to the track geometry existing at the site was additionally influenced by the dynamics of the vehicles that were adjacent to it, subjected to a similar excitation and equally functioning outside their nominal loading conditions due to also having cement in inappropriate spaces._x000D_
? The sudden change in the rolling circle existing in a section of the left rail, a few meters before the derailment point, thrusted the wheelset to the right.</t>
  </si>
  <si>
    <t>CZ-4947</t>
  </si>
  <si>
    <t>Trains collision, 03-11-15, Ceská Trebová station (Czech Republic)</t>
  </si>
  <si>
    <t>Collision of shunting operation with another shunting operation standing on connection track No. 90 with consequent derailment of last two wagons.</t>
  </si>
  <si>
    <t>Direct cause:_x000D_
• failure to comply with condition for running on sight by train driver during the shunting operation._x000D_
_x000D_
Contributory factor:_x000D_
• failure to release of shunting route in front of the signal device Lc 403 with stop signal by the previous shunting operation.</t>
  </si>
  <si>
    <t>Underlying cause:_x000D_
• failure to comply with technological procedures of the infrastructure manager and railway undertaking for shunting operation by the railway undertaking employees._x000D_
_x000D_
Root cause: none.</t>
  </si>
  <si>
    <t>SK-4983</t>
  </si>
  <si>
    <t>Level crossing accident, 03-11-15, Level crossing between Petrovce nad Laborcom zast. and Michalovce (Slovak Republic)</t>
  </si>
  <si>
    <t>Level crossing between Petrovce nad Laborcom zast. and Michalovce</t>
  </si>
  <si>
    <t>Cause a serious accident was deadlocked car on crossing and its not removing from the railway track</t>
  </si>
  <si>
    <t>UK-4963</t>
  </si>
  <si>
    <t>Spad, 03-11-15, Ruscombe Junction (United Kingdom)</t>
  </si>
  <si>
    <t>At approximately 08:22 hrs on 28 March 2015, the 08:25 hrs Acton Yard to Merehead Quarry freight service, reporting number 7C29 (running approximately one hour early) passed signal T1729 on the Up Westbury line at Reading Westbury Line Junction by about 20 metres._x000D_
In a separate incident at approximately 06:12 hrs on 3 November 2015, the 06:22 hrs Acton Yard to Merehead Quarry freight service, reporting number 7C29 (running approximately one hour early) passed signal T1627 at Ruscombe (near Twyford) at danger by about 60 metres._x000D_
Both trains were operated by DB Schenker (DBS). In both cases, the driver applied the train’s brakes when the train was close to the respective signal, and before the Train Protection and Warning System at the signal intervened, but not in time to prevent the train passing the signal at danger._x000D_
For both incidents, the initial evidence suggests that driver fatigue may have been a factor. Other similarities between the two incidents were that they involved the same train service and occurred approximately seven miles apart. In both cases the drivers had booked on duty around midnight, worked a train from Westbury to Acton, and then after taking a layover at Acton, departed with their return working to Westbury approximately one hour early.</t>
  </si>
  <si>
    <t>Ruscombe Junction</t>
  </si>
  <si>
    <t>Both SPAD incidents occurred because the drivers were too fatigued to properly control their trains (paragraph 59).</t>
  </si>
  <si>
    <t>The causal factors were:_x000D_
a. The drivers were not sufficiently rested (paragraph 62). This causal factor arose due to a combination of the following:_x000D_
i. The drivers had not had sufficient sleep (paragraph 65, Learning point 1);_x000D_
ii. The rest facilities at Acton train crew depot were not fit for purpose (paragraph 68, Learning point 2)._x000D_
b. The drivers were nearing the end of a long night shift (paragraph 73, Recommendation 1)._x000D_
c. The drivers did not report as unfit for duty (paragraph 77, Learning point 1)._x000D_
Underlying factors_x000D_
103 The underlying factors were:_x000D_
a. Insufficient supervision and management at Westbury depot probably led to the depot’s poor SPAD performance and lack of fatigue reporting (paragraph 81, see paragraph 128)._x000D_
b. Fatigue management at DB was not adequate to control the associated risks (paragraph 85, Recommendations 2 and 3).</t>
  </si>
  <si>
    <t>HU-4935</t>
  </si>
  <si>
    <t>Fire in RS, 04-11-15, Almásfüzito and Komárom (Hungary)</t>
  </si>
  <si>
    <t>On the 4th of November 2015. a locomotive (nr. 98 55 0478 306-1) which hauled a freight train (nr.45284) went up in fire on the main line nr. 1 between Almásfüzito and Komárom.</t>
  </si>
  <si>
    <t>Almásfüzito and Komárom</t>
  </si>
  <si>
    <t>A hajtómu hokicserélo kiegyenlíto cso törése miatt a szállított közeg a hajtómuolaj a felhevült kipufogóra porlasztódott és ennek következtében tuz keletkezett. A gépészeti berendezések által keltett rezgések hatására a kiegyenlíto cso eltörött, mivel azon csomegfogó elem nem volt kialakítva.</t>
  </si>
  <si>
    <t>DE-4938</t>
  </si>
  <si>
    <t>Level crossing accident, 05-11-15, Vilseck - Freihung (Germany)</t>
  </si>
  <si>
    <t>Am 05.11.2015 gegen 22:00 Uhr kollidiert auf dem Bahnübergang bei Freihungsand in Strecken-km 27,132 der eingleisigen Bahnstrecke Neukirchen - Weiden (Strecke 5060) der aus dem Triebwagen 612 060-3 / 612 560-2 gebildete RE 3535 mit einem liegengebliebenen Tieflade-Sattelzug. 
Regional express train 3535 collided with a truck at level crossing at km 27,132 between Vilseck and Freihung.   _x000D_
Train and truck caught fire.</t>
  </si>
  <si>
    <t>Vilseck - Freihung</t>
  </si>
  <si>
    <t>Der Fahrer des Sattelzuges hat vermutlich in der Dunkelheit die bestehenden und für seine Fahrzeugkonfiguration ungünstigen Höhenverhältnisse an der Rampe zum Bahnübergang nicht erkannt. In der Folge fuhr er mit langsamer Geschwindigkeit auf den Bahnübergang, wobei der linke Längsträger des Sattelaufliegers auf der Kuppe der Zufahrtsrampe so aufsetzte, dass die Zugmaschine den Sattelzug nicht mehr von der Stelle bewegen konnte. Der Zeitraum zwischen dem Festfahren und dem Eintreffen des Zuges reichte dann nicht mehr aus, um durch Anheben des Aufliegers eine Weiterfahrt zu ermöglichen. Der Triebfahrzeugführer des Regionalexpress hatte aufgrund der Lichtverhältnisse keine Chance, den in der Dunkelheit quer zu seiner Fahrtrichtung stehenden Sattelzug zu erkennen. 
The driver of the semitrailer did probably not recognize in the darkness of the existing negative altitude conditions, which were bad for the vehicle configuration on the ramp of the railroad crossing. Then, he drove at low speed on the railroad crossing, whereas the left longitudinal beams of the semitrailers were put on the access ramp and the tractor unit could not move any more. The time period between the failure and the arrival of the train was consequently not sufficient, in order to enable the lifting of the trailer to continue driving. The train driver of the Regionalexpress did not have the possibility, due to bad lighting conditions, to recognize in the darkness the standing semitrailer opposite to his direction.</t>
  </si>
  <si>
    <t>DE-4977</t>
  </si>
  <si>
    <t>Level crossing accident, 07-11-15, Jübek - Flensburg Weiche (Germany)</t>
  </si>
  <si>
    <t>Am 07.11.2015 gegen 17:55 Uhr prallte der KT 40549 auf dem Weg von Padborg nach Neumünster zwischen den Betriebsstellen Flensburg Weiche und Jübek am Bahnübergang (BÜ) in km 162,0 mit zwei PKW zusammen.</t>
  </si>
  <si>
    <t>Jübek - Flensburg Weiche</t>
  </si>
  <si>
    <t>Die Fahrer der beiden PKW wurden schwer, eine dritte Person leicht verletzt. An den Straßen fahrzeugen entstand Totalschaden, am Triebfahrzeug des KT 40549 und der Infrastruktur Sachschaden.</t>
  </si>
  <si>
    <t>Die Sicherung des BÜ wurde nach der Zugfahrt RE 21072 aufgehoben, obwohl sich der Zug KT 40549 aus Richtung Flensburg Weiche noch im Streckenabschnitt befand und den BÜ noch nicht befahren hatte.</t>
  </si>
  <si>
    <t>UK-4964</t>
  </si>
  <si>
    <t>Train derailment, 07-11-15, Knaresborough (United Kingdom)</t>
  </si>
  <si>
    <t>At 07:22 hrs on 7 November 2015, the 06:52 hrs Northern Rail passenger service from York to Harrogate derailed on points 3A between Cattal and Knaresborough stations. The train (reporting number 2C07) consisted of two Class 150, 2-car multiple units. _x000D_
At this location the single line section of track changes to double track (a crossover). The intention was for the train to remain on the down main line and not to use the crossover._x000D_
Train movements at this location are controlled from Knaresborough signal box, using a lever frame and relying on a mix of mechanical and electrical interlocking. The line speed in this area is 65 mph (104 km/h) but the train was travelling at 19 mph (30 km/h) at the time of the derailment, having been authorised to pass signal K10 at danger (red). Signal K10 protects the crossover._x000D_
The leading 5 bogies derailed and damage was sustained by both the train and track. None of the train crew or five passengers on board were injured. The line was re-opened at 12:58 hrs on 8 November 2015._x000D_
Train 2C07 was authorised past signal K10 at danger by the signaller in Knaresborough signal box after the signaller experienced difficulties clearing the signal. These difficulties were almost certainly associated with the points 3A not being in a safe condition for the train to pass._x000D_
The signaller was appointed to work Knaresborough signal box the afternoon before the derailment as the resident signaller was sick. He had not operated the signal box for a number of months.</t>
  </si>
  <si>
    <t>Knaresborough</t>
  </si>
  <si>
    <t>Train 2C07 derailed on points 3A on the approach to Knaresborough station because the signaller (MOM) authorised the train to proceed towards the points when they were not set in either normal or reverse (paragraph 49, Learning points 1, 2 and 3).</t>
  </si>
  <si>
    <t>The causal factors were:_x000D_
a. Points 3A had failed in an intermediate position, most likely because of high friction at the baseplate to switch rail interfaces (paragraph 56, no recommendation). This causal factor arose due to a combination of the following:_x000D_
i. the lack of adherence to the lubrication application guidelines combined with the poor installed geometry of the points (paragraph 60); and_x000D_
ii. the repeated maintenance interventions in response to similar previous failures on points 3A did not trigger a review of the effectiveness of the lubrication scheme at this location (paragraph 65, Learning point 4)._x000D_
b. The signaller (MOM) did not realise that the points were not set in either the normal or reverse position and interpreted his ability to reverse the signal lever as proof that the route was correctly set and safe (paragraph 69, no recommendation). This causal factor arose because the signaller (MOM)’s knowledge of Knaresborough signal box was either lacking or had faded over time (paragraphs 78 and 84, Recommendation 1)._x000D_
Underlying factors_x000D_
98 The underlying factor was:_x000D_
a. The lack of robustness of Network Rail’s Competence Management System for non-signallers (paragraph 76, Recommendation 1).</t>
  </si>
  <si>
    <t>CZ-4937</t>
  </si>
  <si>
    <t>Train derailment, 08-11-15, Drísy station (Czech Republic)</t>
  </si>
  <si>
    <t>The derailment of the freight train No. 359511 due to a broken rail.</t>
  </si>
  <si>
    <t>Drísy station</t>
  </si>
  <si>
    <t>UNIPETROL DOPRAVA</t>
  </si>
  <si>
    <t>Direct cause:_x000D_
• the broken rail caused by rail defects.</t>
  </si>
  <si>
    <t>Underlying causes:_x000D_
• violation of the technological processes of the infrastructure manager – failure to adopt appropriate measures due to the condition of the visible defect on the head of the rail;_x000D_
• insufficient or ineffective control activities of the infrastructure manager which resulted in insufficient removal of source of danger to the rail system._x000D_
Root cause: none.</t>
  </si>
  <si>
    <t>HU-4940</t>
  </si>
  <si>
    <t>Trains collision, 09-11-15, Budapest, Hengermalom str. (Hungary)</t>
  </si>
  <si>
    <t>Tram collided into the the rear part of another tram in Budapest. The first vehicle was standing before the final station because that was occupied by another vehicle. The following tram, which one was during a test run, was not able to stop before the standing vehicle and run into it. There were no injuries.</t>
  </si>
  <si>
    <t>Budapest, Hengermalom str.</t>
  </si>
  <si>
    <t>Speed of the tram was slightly higher than the permitted speed._x000D_
Driver - did not realised the slippery surface of the rail, therefore he was not able to stop its vehicle_x000D_
Magnetic track brake failure (tram)</t>
  </si>
  <si>
    <t>Slippery track due to the weather conditions and the applied railhead lubrication system</t>
  </si>
  <si>
    <t>HU-4941</t>
  </si>
  <si>
    <t>Trains collision, 10-11-15, Szeged, Tisza Lajos krt. (Hungary)</t>
  </si>
  <si>
    <t>Two tramways collided at a switch.</t>
  </si>
  <si>
    <t>Szeged, Tisza Lajos krt.</t>
  </si>
  <si>
    <t>Szegedi Közlekedési Társaság Kft.</t>
  </si>
  <si>
    <t>Human factor of driver</t>
  </si>
  <si>
    <t>DE-4939</t>
  </si>
  <si>
    <t>Train derailment, 11-11-15, Treben-Lehma (Germany)</t>
  </si>
  <si>
    <t>Am 11.11.2015 gegen 23:40 Uhr entgleiste die Zugfahrt GA 52805 des Eisenbahnverkehrsunternehmens DB Schenker Rail auf der Fahrt von Bahnhof (Bf) Braunschweig Rbf nach Bf Mosel in der Überleitstelle (Üst) Treben‐Lehma in der Weiche 20 mit zwei Wagen.</t>
  </si>
  <si>
    <t>Treben-Lehma</t>
  </si>
  <si>
    <t>Es wurden keine Personen getötet oder verletzt. An der Infrastruktur und den beteiligten Fahrzeugen entstanden Sachschäden.</t>
  </si>
  <si>
    <t>Der Ursprung für das Ereignis lag demnach in einem Verstoß gegen die Ril 408 – Fahrdienstvorschrift –. Die Fdl brachte die Hilfssperren zur Sicherung der Hilfsfahrstraße nicht an oder entfernte sie, bevor der GA 52805 die Weichen passiert hatte. Deshalb war der Fahrweg des Zuges nicht mehr gesichert und das anschließende unzeitige Umstellen der Weiche 20 unter dem Zug möglich.</t>
  </si>
  <si>
    <t>FR-4943</t>
  </si>
  <si>
    <t>Train derailment, 14-11-15, Eckwersheim (France)</t>
  </si>
  <si>
    <t>Test train derails in a curve during acceptance tests of a new HS line 
During a high-speed test, the train brakes too late and approaches a curve at 255 km / h instead of 176 km / h. The train derailed and overturned._x000D_
_x000D_
_x000D_
_x000D_
_x000D_
_x000D_
_x000D_
_x000D_
_x000D_
_x000D_
_x000D_
_x000D_
_x000D_
_x000D_
_x000D_
_x000D_
_x000D_
_x000D_
Suggérer une modification_x000D_
_x000D_
Afficher la traduction originale_x000D_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  »_x000D_
_x000D_
_x000D_
_x000D_
_x000D_
_x000D_
_x000D_
_x000D_
«  »_x000D_
_x000D_
_x000D_
_x000D_
_x000D_
_x000D_
_x000D_
_x000D_
_x000D_
_x000D_
«  »_x000D_
_x000D_
_x000D_
_x000D_
_x000D_
_x000D_
_x000D_
_x000D_
_x000D_
_x000D_
«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During high-speed tries, approaching the end of the high speed section, the brakes are applied too late and the train reaches the transition curve at 255 kph instead of 176 kph. The train overturns derails and breaks up.</t>
  </si>
  <si>
    <t>Eckwersheim</t>
  </si>
  <si>
    <t>Other occurrence - not to be submitted to ERA</t>
  </si>
  <si>
    <t>Driving crew applies brakes too late</t>
  </si>
  <si>
    <t>Errors made by driving crew when calculating the braking point._x000D_
Poor training ond methods of the driving crew._x000D_
Complex organisation of the test campaign._x000D_
Unnecessarily dangerous test specification.</t>
  </si>
  <si>
    <t>DE-4955</t>
  </si>
  <si>
    <t>Trains collision, 16-11-15, Wustermark Rbf (Germany)</t>
  </si>
  <si>
    <t>DPN 79473 kollidierte in der Weiche 220 mit einer Rangierfahrt (einzelfahrendes Triebfahrzeug) 
DPN 79473 collided on track 220 with a shunting movement (single traction vehicle).</t>
  </si>
  <si>
    <t>Wustermark Rbf</t>
  </si>
  <si>
    <t>ODEG Ostdeutsche Eisenbahngesellschaft mbH</t>
  </si>
  <si>
    <t>Trotz eindeutiger Verständigung zwischen dem Fahrdienstleiter Wustermark (Wur) und dem Triebfahrzeugführer des einzeln fahrenden Triebfahrzeugs 9180 6186 423-0 nahm der Triebfahrzeugführer einen Führerstandwechsel vor und fuhr anschließend in die falsche Richtung und der ihn überholenden Zugfahrt DPN 79473 in die Flanke. 
Despite the clear communication between the train dispatcher Wustermark (Wur) and the train driver of the single driving locomotive 9180 6186 423-0, the train dispatcher did a driver's cab change and then drove in the wrong direction and the overtaking train DPN 79473 in the flank.</t>
  </si>
  <si>
    <t>DE-4956</t>
  </si>
  <si>
    <t>Trains collision, 17-11-15, Schleswig (Germany)</t>
  </si>
  <si>
    <t>Regionalexpress 69552 kollidiert nach Ausfahrt aus Gleis 801 in Weiche 816 mit             _x000D_
  einer nicht grenzzeichenfrei stehenden Stopfmaschine. 
Regional express 69552 collides during exit from track 801 on railway switch 816 with a not in the clear standing tamping machine.</t>
  </si>
  <si>
    <t>Schleswig</t>
  </si>
  <si>
    <t>Deutsche Bahn Gleisbau GmbH</t>
  </si>
  <si>
    <t>Die Ursache für die Kollision ist auf eine mangelhafte Fahrwegprüfung zurückzuführen. Vor Zulassung der Zugfahrt hätte während der Bauarbeiten die Bestätigung über das Freisein des Flankenschutzraumes an der Weiche 816 von einem Flankenschutzposten eingeholt_x000D_
werden müssen. Eine Kommunikation mit dem Flankenschutzposten vor der Zulassung der Ausfahrt des RE-D 69552 konnte nicht nachgewiesen werden. Weiterhin wurde festgestellt, dass die Wärterhaltscheibe (Signal Sh 2) zum Zeitpunkt des Eintreffens am Unfallort nicht an der durch die Betra festgelegten Stelle stand. Es war eine Wärterhaltscheibe in der Weiche 816 und nicht 10 m vor dem Grenzzeichen der Weiche 816 aufgestellt. 
The cause of the collision was insufficient track inspection. Prior to the authorization of the train journey, during the construction works, confirmation should have been asked by the flank protection guard about the flank protection space being free on rail track 816. The communication with the flank protection guard before the authorization of the exit of RE-D 69552 could not be proved. Furthermore, it has been noticed that the guard plate (signal Sh 2) did not stand at the point specified by the Betra at the moment of the entry. There was a guard plate on rail track 816 and not 10 meters before the frontline.</t>
  </si>
  <si>
    <t>RO-4950</t>
  </si>
  <si>
    <t>Other, 17-11-15, Fetesti (Romania)</t>
  </si>
  <si>
    <t>the freight train no. 31734 circulated on the distance Brasov to Fetesti with the brake weight percentage unachieved</t>
  </si>
  <si>
    <t>Fetesti</t>
  </si>
  <si>
    <t>Direct cause _x000D_
The direct cause of the incident is the non-ensurance of the braked weight percentage of the freight train no.31734 between Livezi Ciuc – Ghimes. _x000D_
Contributing factors:_x000D_
- possibility to send through the soft application ATLAS a message that in the field for the braked weight percentage had a value and in the field “Mentions” contained another value for the braked weight percentage;_x000D_
- the application field for the braked weight percentage is not compulsory to be filled in/checked in the process of asking/tendering/notification and approval of the train schedule;_x000D_
- the traffic controllers within BCCTF did not regulate the way to train for these applications. 
Cauza directa _x000D_
Cauza directa a producerii acestui incident o constituie neasigurarea procentului de masa frânata a trenului de marfa nr.31734 pe distanta Livezi Ciuc – Ghimes. _x000D_
Factorii care au contribuit:_x000D_
- posibilitatea transmiterii prin intermediul aplicatiei informatice ATLAS a unui mesaj care în câmpul rezervat procentului de masa frânata avea trecuta o valoare si în câmpul “Mentiuni” sa contina alta valoare pentru procentul de masa frânata;_x000D_
- câmpul din aplicatie destinata procentului de masa frânata nu este un câmp obligatoriu de completat/verificat în procesul de solicitare/ofertare/avizare si aprobare a programarii trenurilor;_x000D_
- dispecerii din cadrul BCCTF nu au reglementat modul de efectuare a instruirii privind utilizarea acestei aplica?ii.</t>
  </si>
  <si>
    <t>Underlying causes _x000D_
Infringement of the Annex no.30 of the Regulations for hauling and braking no.006 for the freight trains consisting in wagons provided with braking depending on the load, braked with automatic and electric braking._x000D_
Root causes_x000D_
None. 
Cauze subiacente _x000D_
Nerespectarea Anexei nr.30 la Regulamentul de remorcare si frânare nr.006 pentru trenurile de marfa care au în compunere vagoane echipate cu frâna proportionala cu încarcatura, frânate cu frâna automata  si frâna electrica._x000D_
Cauze primare_x000D_
Nu au fost identificate cauze primare</t>
  </si>
  <si>
    <t>HU-4946</t>
  </si>
  <si>
    <t>Train derailment, 19-11-15, Hatvan-Rendezo (Hungary)</t>
  </si>
  <si>
    <t>The train has derailed by 5 waggons, 7 axles on a switch.</t>
  </si>
  <si>
    <t>Hatvan-Rendezo</t>
  </si>
  <si>
    <t>The condition of track and wagons</t>
  </si>
  <si>
    <t>RO-4948</t>
  </si>
  <si>
    <t>Train derailment, 19-11-15, Rupea-Racos (Romania)</t>
  </si>
  <si>
    <t>seven wagons from the freight train no. 41758-1 derailed between railway stations Rupea and Racos (3 wagons overturned).</t>
  </si>
  <si>
    <t>Rupea-Racos</t>
  </si>
  <si>
    <t>Cauza directa a producerii acestui accident o constituie escaladarea fe?ei laterale active a ciupercii ?inei de pe firul exterior al curbei de catre buza bandajului ro?ii din partea dreapta a primei osii în sensul de mers al trenului (osia corespunzatoare ro?ilor 7÷8) de la vagonul nr.31537965984-2 (al 12-lea din compunerea trenului), ca urmare a cre?terii raportului dintre forta conducatoare si sarcina care actionau pe roata atacanta (roata nr.8), depasindu-se astfel limita de stabilitate la deraiere. _x000D_
	Cresterea raportului dintre forta conducatoare si sarcina ce actionau pe roata atacanta s-a produs în conditiile cre?terii for?ei laterale (de ghidare) pe aceasta roata ?i a descarcarii puternice de sarcina a acestei ro?i._x000D_
_x000D_
Factorii care au contribuit:_x000D_
-	starea tehnica necorespunzatoare a traverselor de pe zona punctelor „1” ?i „0” (în sensul de mers al trenului), care permiteau deplasarea placilor metalice de pe firul exterior al curbei în sensul cre?terii valorii ecartamentului caii;_x000D_
-	abaterile la ecartamentul caii  pe zona dintre punctele 2 ?i 1 (în sensul de mers al trenului), a caror valori masurate în stare statica depa?eau valoarea admisa a toleran?ei ecartamentului caii. Aceste valori ale ecartamentului caii au condus implicit la depa?irea varia?iei admise a ecartamentului cu mai mult de 2mm/m;_x000D_
-	uzurile laterale neuniforme ale ciupercii ?inelor, care au amplificat mi?carea de ?erpuire a vagoanelor;_x000D_
-	excesul de supraînal?are generat de restric?ionarea vitezei de circula?ie la 50 km/h pe zona curbei de la km 238+425-238+790, la care supraînal?area a fost calculata pentru viteza de 65 km/h. 
The direct cause of the accident is the over-climbing of the active lateral surface of the rail head from the exterior track of the curve by the flange of right wheel of the first axle in the train running direction (axle corresponding to the wheels 7÷8) from the wagon no.31537965984-2 (the 12th of the train), because the increase of the ratio between the leading force and the load acting on the leading wheel (wheel no.8), exceeding the limit of stability at derailment. _x000D_
	The increase of the ratio between the leading force and the load acting on the leading wheel happened because the the increase of the lateral force (guiding one) on this wheel and the serious load transfer of this wheel._x000D_
_x000D_
Contributing factors:_x000D_
-	unsuitable technical condition of the sleepers in the points „1” and „0” (in the train running direction), allowing the movement of the metallic plates from the exterior track, meaning the increase of the gauge value;_x000D_
-	deviations at the track gauge between the points 2 and 1 (in the train running direction), whose values measures in static condition exceeded the track accepted limit. This gauge values led implicitly to the exceeding of the accepted change of the gauge over 2mm/m;_x000D_
-	the variable lateral wears of the rail head, that increase the hunting motion of the wagons;_x000D_
-	the superelevation of the track generated by the speed restriction at 50 km/h in the curve at km 238+425-238+790, where the cant of track was calculated for speed of 65 km/h.</t>
  </si>
  <si>
    <t>Cauze subiacente _x000D_
-	nerespectarea prevederilor art.1, pct.14 din „Instruc?ia de norme ?i toleran?e pentru construc?ii ?i între?inerea caii pentru linii cu ecartament normal nr.314/1989”, referitoare la toleran?ele admise fa?a de ecartamentul nominal prescris pe liniile cu prisma de balast;_x000D_
-	nerespectarea prevederilor pct.4.1 din Cap. 4 „Norme de manopera ?i de consum de materiale”, al „Instruc?iei de între?inere a liniilor ferate nr.300/1982” referitoare la asigurarea normei de manopera la între?inerea curenta în execu?ie manuala._x000D_
_x000D_
_x000D_
	Cauza primara a accidentului  o constituie neaplicarea prevederilor procedurii operationale cod PO SMS 0-4.07 „Respectarea specificatiilor tehnice, standardelor si cerintelor relevante pe întreg ciclul de viata a liniilor în procesul de întretinere”, parte a sistemului de management al sigurantei al CNCF „CFR” SA, referitoare la dimensionarea personalului subunita?ilor de între?inere linii, în raport cu volumul de lucrari, fapt confirmat de subdimensionarea personalului Districtului de Linii nr.1 Raco? din cadrul Sec?iei L2 Sighi?oara. 
Underlying causes _x000D_
-	infringement of the provisions of art.1, point 14 from the „Instruction of norms and tolerances for the construction and maintenance of lines with standard gauge no.314/1989”, concerning the accepted tolerances as against the nominal gauge established for the lines with ballast bed;_x000D_
-	infringement of the provisions of the point 4.1 from Chapter 4 „Norms of labor and material consumption”, of „Instruction for the line maintenance no.300/1982” concerning the assurance of the labor norm for the current hand maintenance._x000D_
_x000D_
_x000D_
Root cause of the accident is the lack of application of the provisions from the operational procedure code PO SMS 0-4.07 „Compliance with the technical provisions, standards and relevant requirements during the line life in the maintenance process”, part of the safety management system got by CNCF „CFR” SA, concerning the sizing of the staff of the sub-units for the track  maintenance, in relation to the works, fact confirmed by the sub-sizing of the staff of the Track District no.1 Raco? within Track Section L2 Sighi?oara.</t>
  </si>
  <si>
    <t>DE-4957</t>
  </si>
  <si>
    <t>Trains collision, 20-11-15, Emden Rbf (Germany)</t>
  </si>
  <si>
    <t>Güterzug 52835 kollidierte bei der Einfahrt in den Bahnhof Emden Rbf mit einem abgestellten Triebfahrzeug. 
Freight train 52835 collided during the entry into the railway station Emden Rbf with a parked traction vehicle.</t>
  </si>
  <si>
    <t>Emden Rbf</t>
  </si>
  <si>
    <t>Mangelhafte Vorbereitung des Fahrwegs durch den zuständigen Fahrdienstleiter 
Deficient preparation of the driveway by the train dispatcher.</t>
  </si>
  <si>
    <t>ES-4969</t>
  </si>
  <si>
    <t>Train derailment, 20-11-15, Palencia and Monzón de Campos stations (Palencia) (Spain)</t>
  </si>
  <si>
    <t>Freight train partially derailed at PK 305+197 between Palencia and Monzón de Campos stations. No personnal damages</t>
  </si>
  <si>
    <t>Palencia and Monzón de Campos stations (Palencia)</t>
  </si>
  <si>
    <t>The accident was caused by the overheating of the axle box, probably caused by a stiff bearing. It eroded the stub shaft until it broke.</t>
  </si>
  <si>
    <t>HU-4954</t>
  </si>
  <si>
    <t>Unauthorised train movement other than SPAD, 24-11-15, Kaposméro (Hungary)</t>
  </si>
  <si>
    <t>The dispatcher on station Kaposméro authorized the departing to train No. 28258 before arriving of train No. 28299. The drivers realized the dangerous situation and stopped the vehicles. 
A 28258. sz vonat és a 28299 sz. vonat szembeközlekedett.</t>
  </si>
  <si>
    <t>Kaposméro</t>
  </si>
  <si>
    <t>Infrastructure works train; 
Locomotive running solo</t>
  </si>
  <si>
    <t>MAV ZRt.; 
MMV Magyar Magánvasutak Zrt.</t>
  </si>
  <si>
    <t>BE-5180</t>
  </si>
  <si>
    <t>Level crossing accident, 25-11-15, Pittem (Belgium)</t>
  </si>
  <si>
    <t>On 25 November 2015 at around 13:25, a bus from the company De Lijn came to a standstill on the tracks of a level crossing in Pittem. The driver of an SNCB/NMBS passenger train noticed when exiting a bend that there was a bus blocking the level crossing and engaged the emergency brake._x000D_
In spite of the emergency brake, a collision could not be avoided. The bus driver was killed in the collision.</t>
  </si>
  <si>
    <t>Pittem</t>
  </si>
  <si>
    <t>Direct cause: the presence of a stationary bus on a level crossing during the passage of the train at this crossing.</t>
  </si>
  <si>
    <t>Owing to a miscalculation, the bus turned onto the open level crossing - before the arrival of the train was announced - and became stuck against the level crossing signals._x000D_
_x000D_
Factors directly contributing to the bus becoming stuck on the crossing:_x000D_
• the configuration of the roads and level crossing, and more specifically considering the bend of 135° in combination with the width of the road_x000D_
• the configuration of the bus and, amongst others, the length of the articulated vehicle_x000D_
_x000D_
The bus met the legal requirements (turning circle), but simulations show that due to the curve of the crossing, only a very limited number of starting positions could be taken._x000D_
_x000D_
Underlying cause 1: the lack of communication between the driver and Dispatching._x000D_
Underlying cause 2: the failure by the bus driver to follow the arranged route._x000D_
_x000D_
Root cause - 1: insufficient awareness by the bus drivers and their employers of the risks associated with deviating from the planned route._x000D_
Root cause - 2: insufficient awareness by the bus drivers and their employers of the risks associated with level crossings</t>
  </si>
  <si>
    <t>DK-5755</t>
  </si>
  <si>
    <t>Accident to persons caused by RS in motion, 26-11-15, Viby (Denmark)</t>
  </si>
  <si>
    <t>During passage in Viby ad track 1, IC 56876 hit a person trying to cross the tracks. The person died at the accident. 
Under gennemkørsel i Viby ad spor 1, påkørte tog IC 56876 en person, der forsøgte at krydse sporene. Personen omkom ved påkørslen.</t>
  </si>
  <si>
    <t>Viby</t>
  </si>
  <si>
    <t>Illegal crossing the tracks</t>
  </si>
  <si>
    <t>DE-4958</t>
  </si>
  <si>
    <t>Trains collision, 28-11-15, Bremerhaven-Speckbüttel (Germany)</t>
  </si>
  <si>
    <t>Am 28.11.2015 gegen 02:07 Uhr kollidierte der Güterzug GA 52828 auf dem Weg von Bremerhaven nach Fallersleben im Bahnhofsteil (Bft) Bremerhaven-Speckenbüttel des Bahnhofs (Bf) Bremerhaven Seehafen mit einer Rangierfahrt im Gleis 282. Die aus einem Gleisarbeitsfahrzeug (GAF) und einem Gleiskraftwagenanhänger gebildete geschobene Rangierfahrt fuhr auf den Zugschluss des anfahrenden GA 52828 auf.</t>
  </si>
  <si>
    <t>Bremerhaven-Speckbüttel</t>
  </si>
  <si>
    <t>DB Schenker Rail
DB Netz AG</t>
  </si>
  <si>
    <t>Bei dem Unfall wurde eine Person getötet und vier Personen leicht verletzt. Es entstanden Sachschäden in Höhe von ca. 122.000 Euro</t>
  </si>
  <si>
    <t>Der Unfall war Folge einer nicht ausreichenden Fahrwegbeobachtung durch den Triebfahrzeugführer (Tf) des GAF in Verbindung mit überhöhter Rangiergeschwindigkeit. Das Nichteinhalten von Arbeitsschutzbestimmungen trug zudem wesentlich zur Unfallfolge bei.</t>
  </si>
  <si>
    <t>HU-4961</t>
  </si>
  <si>
    <t>Train derailment, 28-11-15, Hárshegy (Hungary)</t>
  </si>
  <si>
    <t>The train has derailed on a track under repairing.</t>
  </si>
  <si>
    <t>Hárshegy</t>
  </si>
  <si>
    <t>The track was knocked down under train traffic.</t>
  </si>
  <si>
    <t>HU-4960</t>
  </si>
  <si>
    <t>Level crossing accident, 30-11-15, Agfalva, between Sopron (HU) and Loipersbach-Schatendorf /Lépesfalva - Somfalva/ (AT) stations (Hungary)</t>
  </si>
  <si>
    <t>Passenger train collided with a car at a level crossing protected by warning lights at Agfalva. The train was an international service which runs from Sopron (HU) to Wiener Neustadt (AT) station. In consequence of the occurrence one person sitting in the car died at the site of the occurrence 
Személygépkocsi ütközött egy személyvonattal Ágfalván. Az eset követketében a szeélygépkocsiban ülo személyek egyike életét vesztette.</t>
  </si>
  <si>
    <t>Agfalva, between Sopron (HU) and Loipersbach-Schatendorf /Lépesfalva - Somfalva/ (AT) stations</t>
  </si>
  <si>
    <t>AT-5034</t>
  </si>
  <si>
    <t>Trains collision, 01-12-15, Between Station Breitenstein and Station Semmering (Austria)</t>
  </si>
  <si>
    <t>Tuesday, 1 December 2015 collided in the section between station Breitenstein and station Semmering (tunnel “Polleroswand”) an unauthorised backward rolling train with a assistance engine, which approaching on the same track. As a result of the collision the driver of the assistance engine was  seriously injured. The assistance engine was heavily damaged, 14 wagons from train 43601 were heavily damaged and derailed in the tunnel (Pollereswand). Furthermore it come to heavy damage on railway tracks, overhead line and tunnel infrastructure. 
Dienstag, den 1. Dezember 2015 kollidierte im Streckenabschnitt zwischen Bf Breitenstein und Bf Semmering (Polleroswandtunnel)ein unerlaubt entrollter Zug mit einem auf demselben Gleis fahrenden Hilfstriebfahrzeug. Bei der Kollision wurde der Triebfahrzeugführer des Hilfstriebfahrzeuges schwer verletzt.  Das Hilfstriebfahrzeuges wurde schwer beschädigt. 14 Wagen des entrollten Zuges wurden schwer beschädigt und entgleisten im Tunnel, wobei es zu schweren Beschädigungen an Gleisanlagen, Oberleitung und Tunnelinfrastruktur kam.</t>
  </si>
  <si>
    <t>Between Station Breitenstein and Station Semmering</t>
  </si>
  <si>
    <t>Rail Cargo Austria AG; 
ÖBB-Produktion GmbH</t>
  </si>
  <si>
    <t>Die Ursache für den Vorfall ist das unerlaubte Zurückrollen des Z 43601 nach einem betriebsbedingten Halt beim haltzeigenden BS der Sbl „Bt 1“. 
The cause of the incident was the unauthorised rolling backwards of the train Z 43601, after an operational stop at the operating stop signal of the suburban line ‘’Bt 1’’.</t>
  </si>
  <si>
    <t>FR-4971</t>
  </si>
  <si>
    <t>Train derailment, 01-12-15, Laroche-Migennes (France)</t>
  </si>
  <si>
    <t>A regional train derails at 20 km/h on half-closed points in the station of Laroche-Migennes._x000D_
The points have been previously burst open by a train and damaged.</t>
  </si>
  <si>
    <t>Laroche-Migennes</t>
  </si>
  <si>
    <t>Points were forced open and damaged by a previous train</t>
  </si>
  <si>
    <t>Misuse of the key for point lock</t>
  </si>
  <si>
    <t>HU-4965</t>
  </si>
  <si>
    <t>Train derailment, 01-12-15, Miskoc Gömöri pu. (Hungary)</t>
  </si>
  <si>
    <t>The 8.; 9; 10. wagon in the train derailed just next to the point No. 12. 
Az állomásra behaladó vonat 8-10. kocsija kisklott a 12. sz. váltó után közvetlenül.</t>
  </si>
  <si>
    <t>Miskoc Gömöri pu.</t>
  </si>
  <si>
    <t>Irregular work.</t>
  </si>
  <si>
    <t>CZ-4966</t>
  </si>
  <si>
    <t>Level crossing accident, 04-12-15, level crossing P 5312, Pokrikov - Å½dárec u Skutce (Czech Republic)</t>
  </si>
  <si>
    <t>Collision of regional passenger train No. 5303 at the level crossing P5312 with a car.</t>
  </si>
  <si>
    <t>level crossing P 5312, Pokrikov - Å½dárec u Skutce</t>
  </si>
  <si>
    <t>Direct cause:_x000D_
• driver's failure to respect the light and acoustic warning and driving across the level crossing at the time when it was forbidden and visual and acoustic warnings were being given.</t>
  </si>
  <si>
    <t>Underlying causes:_x000D_
• driver's failure to respect of the light and sound warning and ride at the level crossing at the time when it was forbidden;_x000D_
• behavior of the driver in front of the level crossing, the car driver wasn't careful enough and didn't make sure whether he can safely pass the level crossing._x000D_
_x000D_
Root cause: none.</t>
  </si>
  <si>
    <t>CZ-4968</t>
  </si>
  <si>
    <t>Level crossing accident, 11-12-15, Open line between Lískovec u Frýdku - Frýdek-Místek stations (Czech Republic)</t>
  </si>
  <si>
    <t>Collision of regional passenger train No. 3125 with a truck at level crossing No. P7408.</t>
  </si>
  <si>
    <t>Open line between Lískovec u Frýdku - Frýdek-Místek stations</t>
  </si>
  <si>
    <t>Direct cause: third party – level crossing user (truck driver violation). Entry onto the level crossing No. P7408 when acoustic and visual warnings were being given, at the time when the train No. 3125 was approaching the level crossing._x000D_
Contributory factor: none.</t>
  </si>
  <si>
    <t>Underlying cause: insufficient attention during driving the truck, that caused oversight of traffic signs before the level crossing and failure to register acoustic and visual warnings of the level crossing safety equipment system._x000D_
Root cause: none.</t>
  </si>
  <si>
    <t>HU-4973</t>
  </si>
  <si>
    <t>Spad, 19-12-15, Jákó-Nagybajom (Hungary)</t>
  </si>
  <si>
    <t>Freight train No. 45083 could not stop before the exit signal in Danger! state, passed the signal and stoped 590 meter behind the signal. 
Jákó-Nagybajom állomásra behaladó tehervonat nem tudott megállni a kijárati jelzo elott, elhaladt a Megállj!-állású jelzo mellett, és azt követoen 590 méter távolságra állt meg.</t>
  </si>
  <si>
    <t>Jákó-Nagybajom</t>
  </si>
  <si>
    <t>Lack of braking force,</t>
  </si>
  <si>
    <t>RO-4972</t>
  </si>
  <si>
    <t>Other, 27-12-15, Arad (Romania)</t>
  </si>
  <si>
    <t>on the shunting moving for coupling the diesel electric locomotive DA 1097 (that  had haul the  passenger  train no. 3115) buffered the first carriage of the train</t>
  </si>
  <si>
    <t>Arad</t>
  </si>
  <si>
    <t>Cauza directa a producerii incidentului feroviar o constituie neadaptarea vitezei locomotivei DA 1097 la spatiul rezervat manevrei, fapt ce a condus la tamponarea violenta a garniturii trenului._x000D_
Factorii care au contribuit_x000D_
?	neefectuarea unei frânari rapide de catre mecanicul de locomotiva când a constatat ca siguranta circulatiei a fost periclitata;_x000D_
?	defectarea locomotivei EGM 920, care a redus timpul de punere în serviciu si iesirea din depou a locomotivei DA 1097 pentru remorcarea trenului de calatori regio nr.3115. 
Direct cause of the railway incident was the non-adjustment of the speed of the locomotive DA 1097 at the shunting area, it leading to the serious collision with the rake of coaches_x000D_
Contributing factors_x000D_
?	n-application of a quick braking by the locomotive driver, when he observed that the traffic safety was affected;_x000D_
?	failure of the locomotive EGM 920, that decreased the time for the putting in service and exit of the locomotive DA 1097, for the hauling of the passenger train Regio no.3115.</t>
  </si>
  <si>
    <t>Cauzele subiacente ale producerii incidentului au fost:_x000D_
?	nerespectarea prevederilor din Instructiunile pentru activitatea personalului de locomotiva în transportul feroviar nr.201/2007, art.179(3) si art.198(1) si din Regulamentul de remorcare si frânare nr.006/2005, art.5(3) cu privire la obligatia mecanicului de locomotiva de a regla viteza cu care se efectueaza manevra astfel încât sa se poata asigura oprirea locomotivei la locul stabilit, fara a se produce deteriorarea materialului rulant;  _x000D_
?	nerespectarea prevederilor din Regulamentul de remorcare si frânare nr.006/2005 - art.73(1) privind obligatia luarii masurilor de frânare rapida în conditiile în care siguranta circulatiei a fost periclitata; _x000D_
?	nerespectarea Normativului Feroviar "Vehicule de cale ferata. Tipuri de revizii si reparatii planificate. Normele de timp sau normele de kilometri parcursi pentru efectuarea reviziilor si reparatiilor planificate", anexa nr1, tabelul 3.1, aprobat prin Ordinul Ministrului Transporturilor si Infrastructurii nr.315/2011, modificat si completat prin Ordinul nr.1359/2012 al Ministrului Transporturilor si Infrastructurii, cu privire la reparatiile planificate la locomotive._x000D_
	Cauze primare_x000D_
Nu au fost identificate cauze primare. 
Underlying causes of the incident:_x000D_
?	infringement of the provisions from the Instructions for the activity of the locomotive staff no.201/2007, art.179(3) and art.198(1) and from the Regulations for hauling and braking no.006/2005, art.5(3) concerning the obligation of the locomotive driver to adjust the shunting speed so that the locomotive can be stopped at the established place, without damages at the rolling stock;  _x000D_
?	infringement of the provisions from the Regulations for hauling and braking no.006/2005 - art.73(1) concerning the obligation to apply the quick braking if the traffic safety was affected; _x000D_
?	infringement of the Railway Norm "Railway vehicles. Types of planned inspections and repairs. Norms of time or of run km for the performance of the planned inspections and repairs", annex no1, table 3.1, approved by Order of the Minister of Transports and Infrastructure no.315/2011, amended by Order of the Minister of Transports and Infrastructure no.1359/2012 for the planned repairs at the locomotive._x000D_
	Root causes_x000D_
None.</t>
  </si>
  <si>
    <t>HR-4970</t>
  </si>
  <si>
    <t>Level crossing accident, 28-12-15, Bjelovar (Croatia)</t>
  </si>
  <si>
    <t>On 28th of December 2015, on a level crossing in city of Bjelovar a regional passenger train hit a taxi. In this accident two persons in taxi driver were killed  and five other passengers in the taxi were injured. Nobody in the train was injured. On the time of the accident automatic half barriers on the level crossing were out of function caused by malfunction. 
Dana 28.12.2015. godine, u 13:19 sati, na pruzi L203, Križevci-Bjelovar-Kloštar, na željeznicko-cestovnom prijelazu u Bjelovaru došlo je do naleta putnickog vlaka broj 2310 na taxi vozilo koje je prevozilo šest putnika. U nesreci su smrtno stradale dvije osobe u takxiju (vozac taxija i putnica), a pet putnika iz taksija je zadobili tjelesne ozljede koje nisu opasne po život. U trenutku nesrece sustav za automatsku zaštitu željeznicko-cestovnog prijelaza, izgraden 2013. godine, je bio u kvaru.</t>
  </si>
  <si>
    <t>Bjelovar</t>
  </si>
  <si>
    <t>Nezaustavljanje vlaka broj 2310 ispred ŽCP-a na kojem je oprema za osiguranje prometa bila izvan funkcije zbog kvara, dok je u isto vrijeme na ŽCP naišlo putnicko motorno vozilo 
The Train didn’t stop in front of the Level Crossing</t>
  </si>
  <si>
    <t>Situacijska svjesnost strojovode vlaka, strojovoda nije registrirao pogrešno upisan broj vlaka i nije poduzeo radnje koje proizlaze iz naloga _x000D_
Slaba vidljivost iz vlaka na ŽCP zbog magle i gradevina u blizini infrastrukturnog pojasa _x000D_
Konstrukcija signalnog uredaja kolodvora Bjelovar 
Situational awareness of the train driver, the train driver did not react on mistake in the written order given by the traffic controller and he did not take measures to stop the train in front of the LC_x000D_
Low visibility from the train on the level crossing due to fog and buildings near the truck _x000D_
Construction of the signalling device on station Bjelovar</t>
  </si>
  <si>
    <t>UK-4982</t>
  </si>
  <si>
    <t>Other event, 31-12-15, Lamington Viaduct (United Kingdom)</t>
  </si>
  <si>
    <t>Thursday 31st December 2015, several trains passed over Lamington Viaduct after the ground beneath a viaduct pier had been eroded by river scour. The viaduct carries the railway, running between Carstairs and Lockerbie, across the River Clyde. This is a section of the West Coast Main Line between Glasgow and London where passenger trains are permitted to travel at up to 120 mph (193 km/h). Although there were no injuries or damage to trains, the viaduct was seriously damaged, and the main line is expected to remain closed until March 2016 while it is repaired._x000D_
_x000D_
At 07:35 hrs, the driver of the southbound 06:52 Virgin West Coast service from Edinburgh Waverley to London Euston reported a dip in the track and, in response, signallers restricted the speed of trains until track maintenance staff had arrived on site. After inspecting the track and watching a southbound train pass at low speed, the track maintenance staff attending removed the speed restriction. They remained on site to undertake minor remedial work. After observing unusual track movement at 08:40 hrs, during the passage of the northbound 05:57 hrs Virgin West Coast service from Crewe to Glasgow Central at high speed, they immediately re-imposed temporary speed restrictions on trains in both directions. They blocked the line to all trains a few minutes later at 08:53 hrs after observing a large crack in pier number 2, one of three viaduct piers located in the river.</t>
  </si>
  <si>
    <t>Lamington Viaduct</t>
  </si>
  <si>
    <t>A train passed over the subsiding viaduct at high speed, causing significant distortion of the track.</t>
  </si>
  <si>
    <t>2 The causal factors were:_x000D_
a. High river flow velocity undermined a viaduct pier (paragraphs 59 and 93, Learning points 1 and 2)._x000D_
b. Scour protection for the piers and abutments was not provided in a timely manner (paragraph 70, Recommendation 1, Learning point 1)._x000D_
c. Trains were allowed over the viaduct at high speed before the possible presence of scour damage had been assessed (paragraphs 95 and 138, Recommendation 2)._x000D_
Underlying factors_x000D_
173 The underlying factors were:_x000D_
a. There was no effective process for managing scour risk on Scotland Route and this had not been recognised by Network Rail (paragraph 100). _x000D_
Shortcomings included:_x000D_
i. Ineffective processes for taking account of new information concerning scour risk (paragraph 117, Recommendation 1);_x000D_
ii. Inappropriate reliance on water level monitoring when it is not a reliable measure of scour risk (paragraphs 118 and 119, Recommendation 1);_x000D_
iii. Ineffective or absent checking that procedures remained valid and effective (paragraphs 124 and 131); no recommendation due to action taken (paragraph 184);_x000D_
iv. Ineffective means of disseminating key information, or verifying that the processes functioned correctly (paragraphs 127 to 129, Recommendation 3);_x000D_
v. No mitigation against circumstances when scour damage is not apparent until flood water subsides (paragraph 138, Recommendation 2)._x000D_
b. Organisational changes led to loss of knowledge and ownership of some infrastructure issues (paragraph 139, Recommendation 3)_x000D_
c. Scour protection works were not prioritised by Scotland Route when allocating funding determined by the ORR (paragraph 143); no recommendation due to action taken (paragraph 183).</t>
  </si>
  <si>
    <t>UK-4981</t>
  </si>
  <si>
    <t>Broken rails, 05-01-16, Queens Park (United Kingdom)</t>
  </si>
  <si>
    <t>At approximately 08:30 hrs on Tuesday 5 January 2016, the 07:39 hrs passenger service from Bletchley to London Euston travelled at a speed of 75 mph (120 km/h) over a section of track near Queen’s Park station, where a 5 mph (8 km/h) emergency speed restriction applied. _x000D_
The London Midland service, reporting number 2B14, consisted of three class 350 electrical multiple units coupled together; a total of 12 coaches. It was being driven by a driver-manager who was being assessed, as part of a routine competence management process, by a second driver-manager travelling in the driving cab. No injuries or damage resulted from the incident, and the train continued normally to its destination._x000D_
The maximum speed generally permitted at this location is 75 mph (120 km/h), but an emergency speed restriction had been imposed during the previous night after a cracked rail was found at a set of points near the east end of Queen’s Park station. The correct line-side signs and warnings had been placed on the approach to the speed restriction, and a notice warning of the speed restriction had been correctly displayed on the late notices board at the drivers’ depot. In addition, emails relating to the speed restriction had been sent to various London Midland managers, including the driver-managers involved in the incident.</t>
  </si>
  <si>
    <t>Queens Park</t>
  </si>
  <si>
    <t>The driver did not reduce the train’s speed to comply with the emergency speed restriction (paragraph 44).</t>
  </si>
  <si>
    <t>The causal factors were:_x000D_
a. The driver believed the emergency speed restriction applied to a different route (paragraph 47). This causal factor arose due to a combination of:_x000D_
l the driver misunderstood the email sent at 05:23 hrs (paragraph 49, Recommendation 2, Learning point 3);_x000D_
l the driver’s misunderstanding was not corrected by the email notification sent at 05:27 hrs (paragraph 50, Recommendation 2, Learning point 3);_x000D_
l the driver’s misunderstanding was not corrected by the late notice case (paragraph 51, Recommendation 2, Learning point 3); and_x000D_
l the lineside signage did not alert the driver to his misunderstanding (paragraph 53)._x000D_
b. The assessor did not intervene to correct the driver’s misunderstanding (paragraph 57). This causal factor arose due to a combination of:_x000D_
l the assessor did not read the email notifications before the incident (paragraph 59, Learning point 1);_x000D_
l the assessor did not pay full attention to the late notice case (paragraph 60, Learning point 1);_x000D_
l the assessor did not correct the driver’s misunderstanding when questioning him before departure from Bletchley (paragraph 62, Learning point 1); and_x000D_
l the assessor did not see the emergency speed restriction sign so could not intervene to slow the train (paragraph 65 Recommendation 1)._x000D_
Underlying factors_x000D_
94 An underlying factor was that the management processes for maintaining driver managers’ driving and</t>
  </si>
  <si>
    <t>DE-4976</t>
  </si>
  <si>
    <t>Fire in RS, 06-01-16, Biesdorfer Kreuz Ost - Berlin-Kaulsdorf (Germany)</t>
  </si>
  <si>
    <t>Am 06.01.2016 gegen 20:00 Uhr entstand am in Fahrtrichtung hinteren Teil des dreiteiligen Triebzuges DPN 5179 auf dem Weg von Berlin-Lichtenberg nach Kostrzyn Osop zwischen den Betriebsstellen Biesdorfer Kreuz Ost und Berlin-Kaulsdorf ca. in km 9,6 ein Fahrzeugbrand.</t>
  </si>
  <si>
    <t>Biesdorfer Kreuz Ost - Berlin-Kaulsdorf</t>
  </si>
  <si>
    <t>NEB Betriebsgesellschaft mbH</t>
  </si>
  <si>
    <t>Auslösende Ursache für das Brandereignis war vermutlich eine Überhitzung im Bereich eines der Schaltschütze, die im hinteren Zugteil auf einem Schwenkrahmen im Schaltschrank 1 montiert waren.</t>
  </si>
  <si>
    <t>HU-4974</t>
  </si>
  <si>
    <t>Accident to persons caused by RS in motion, 06-01-16, Tatabánya (Hungary)</t>
  </si>
  <si>
    <t>A passanger jumped out form the train after its start. The waggon had automatic doors.</t>
  </si>
  <si>
    <t>Tatabánya</t>
  </si>
  <si>
    <t>The passanger jumped out from the train.</t>
  </si>
  <si>
    <t>HU-4975</t>
  </si>
  <si>
    <t>Train derailment, 08-01-16, Ferencváros Keleti rendezo (Hungary)</t>
  </si>
  <si>
    <t>The 7th car of train No. 90770 has derailed with 2 axels. 
A 90770 sz. vonat 7. kocsija két tengellyel kisiklott.</t>
  </si>
  <si>
    <t>Ferencváros Keleti rendezo</t>
  </si>
  <si>
    <t>A tolatásvezeto a 90770 sz. vonat indulása elott nem ellenorizte, hogy a vonat elso 10 kocsija alatt maradt-e rögzítosaru, így a 7. kocsi alatt lévo sarut nem észlelte, nem távolította el. 
Before the departure of train No 90770, the shunting driver did not check that there was a mounting bracket under the first 10 wagons of the train, so he did not detect or remove the shoe under wagon 7.</t>
  </si>
  <si>
    <t>•	A tolatásvezeto a körzetbejárás során a 90770 sz. vonat szerelvénye alól a rögzítosarukat jóval az eloírt ido elott eltávolította._x000D_
•	A Kocsirendezo a 90770 sz. vonat szerelvényének összeállításakor felfedezte, hogy a szerelvény nincs megfeleloen biztosítva megfutamodás ellen, amit pótolt, azonban a rögzítosarut nem megfelelo helyre helyezte el, és a saru elhelyezését nem jelentette. 
• The reversing driver shall enter the area as described in Art. removed the mounting brackets from the train assembly well in advance of the prescribed time._x000D_
• Car Organizer No. 90770. when assembling the train train, he discovered that the train was not properly secured against running, which he replaced, but did not place the clamping bracket properly and did not represent the location of the shoe.</t>
  </si>
  <si>
    <t>RO-4979</t>
  </si>
  <si>
    <t>Train derailment, 11-01-16, Petrosani (Romania)</t>
  </si>
  <si>
    <t>the 10-th wagon from the freight train no. 20954 derailed on the track no.8 from the Petrosani railway station</t>
  </si>
  <si>
    <t>Petrosani</t>
  </si>
  <si>
    <t>Cauza directa _x000D_
Cauza directa a producerii accidentului feroviar o constituie caderea între firele caii a ro?ii din partea dreapta (roata nr.1) a osiei conducatoare de la vagonul nr.85535310074-3, al 10-lea din compunerea trenului de marfa nr.20954. Acest lucru s-a produs în conditiile în care, starea tehnica a suprastructurii caii era necorespunzatoare._x000D_
Factori care au contribuit:_x000D_
?	starea tehnica necorespunzatoare a traverselor de lemn din zona punctului „0” (punctul în care s-a produs caderea rotii nr. 1 în interiorul caii), care nu asigurau prinderea ?inelor ?i men?inerea ecartamentului în limitele toleran?elor admise; _x000D_
?	spa?iile libere existente între rebordurile placilor metalice ?i talpa ?inei de la firul exterior al curbei la cele trei traverse consecutive premergatoare sec?iunii transversale a caii în care s-a produs deraierea (traversele „0”÷„2”), care sub actiunea fortelor dinamice transmise de rotile materialului rulant, au permis supralargirea suplimentara a caii, fa?a de valorile masurate în regim static ale ecartamentul caii, cu valori cuprinse între 4mm ?i 6mm;_x000D_
?	subdimensionarea numarului de personal muncitor existent la Districtul de linii nr.7 Petrosani, personal ce are în reponsabilitate mentenanta infrastructurii feroviare în zona producerii accidentului;_x000D_
?	cantita?ile insuficiente de traverse de lemn aprovizionate la Districtul de linii nr.7 Petrosani pentru executarea lucrarilor de între?inere ?i reparare a caii. 
Direct cause _x000D_
The direct cause of the railway accident was the fall of the right wheel (the wheel no. 1) from the leading  axle of the wagon no.85535310074-3, the 10-th in the freight train no.20954, between the tracks. It happened because the unsuitable technical condition of the superstructure._x000D_
Contributing factors:_x000D_
?	unsuitable technical condition of the wooden sleepers in the point „0” (the point where the wheel no. 1 fell inside the track), these did not assured the fastening of the rails and keeping of the gauge between the accepted tolerances; _x000D_
?	the free spaces between the shoulders of the metallic plates and the base of the rail from the exterior track of the curve, at those three successive sleepers before the cross section of the track where the derailment happened (sleepers „0”÷„2”), that under the dynamic forces of the rolling stock wheels, allowed the additional overwidening of the track, against the values measured statically, with values between 4mm and 6mm;_x000D_
?	under-sizing of the workers from Track District no.7  Petrosani, responsible with the maintenance of the track infrastructure in the railway accident site;_x000D_
?	inadequate quantities of wooden sleepers sent to the Track District no.7 Petrosani for the performance of track maintenance and repair.</t>
  </si>
  <si>
    <t>Cauze subiacente _x000D_
?	nerespectarea prevederilor art.25, alin.(2) ?i alin.(4) din din „Instruc?ia de norme ?i toleran?e pentru construc?ii ?i între?inerea caii pentru linii cu ecartament normal nr.314/1989”, referitoare la defectele care impun înlocuirea traverselor de lemn si la mentinerea în cale a traverselor necorespunzatoare;_x000D_
?	nerespectarea prevederilor pct.4.1. din Cap.4 „Norme de manopera ?i de consum de materiale”, al „Instruc?iei de între?inere a liniilor ferate nr.300/1982” referitoare la asigurarea normei de manopera la între?inerea curenta în execu?ie manuala._x000D_
Cauza primara_x000D_
Cauza primara a accidentului o constituie neaplicarea prevederilor procedurii operationale cod PO SMS 0-4.07 „Respectarea specificatiilor tehnice, standardelor si cerintelor relevante pe întreg ciclul de viata a liniilor în procesul de întretinere”, parte a sistemului de management al sigurantei al CNCF „CFR” SA, referitoare la dimensionarea personalului subunita?ilor de între?inere linii, în raport cu volumul de lucrari, fapt confirmat de subdimensionarea personalului Districtului de Linii nr.7 Petrosani din cadrul Sec?iei L9 Simeria. 
Underlying cause_x000D_
?	infringement of the provisions from  the art.25, paragraphs (2) and (4) from „Instruction of norms and tolerances for the track construction and maintenance, lines with standard gauge no.314/1989”, concerning the failures that impose the replacement of the wooden sleepers and keeping of the unsuitable sleepers;_x000D_
?	infringement of the provisions from point 4.1. Chapter 4 „Norms of manpower and material consumption”, of „Instruction for the line maintenance no.300/1982” concerning the compliance with the norm of manpower at the current manual maintenance._x000D_
Root cause_x000D_
Root cause of the accident is the non-application of the provisions from the operational procedure code PO SMS 0-4.07 „Compliance with the technical specifications, standards and relevant requirements within the whole life time of the lines in the maintenance process”, part of the safety management system of CNCF „CFR” SA, with reference to the sizing of the staff from the sub-units responsible with the track maintenance, in relation to the work total, it being confirmed by the under-sizing of the staff from Track District no.7 Petrosani from Section L9 Simeria.</t>
  </si>
  <si>
    <t>BE-5181</t>
  </si>
  <si>
    <t>Trains collision, 13-01-16, Binche (Belgium)</t>
  </si>
  <si>
    <t>On Wednesday 13 January 2016 at around 20:53, the SNCB/NMBS empty passenger train ME3421 struck the rear of the SNCB/NMBS train E3440 when entering Binche station._x000D_
There were no victims in the collision and the damage, which was only to the rolling stock, was relatively limited.</t>
  </si>
  <si>
    <t>Binche</t>
  </si>
  <si>
    <t>The collision between the two passenger trains was made possible due to the position of an insulated connection on a track circuit ensuring the detection of trains: while the train E3440 had released one part of its route by passing this connection, the train was still in the track gauge of the adjacent track II._x000D_
The track circuit being released, the movement of the train ME3421 onto track II was authorised: the front of the train ME3421 collided with the rear of the train E3440.</t>
  </si>
  <si>
    <t>Underlying causes :_x000D_
In 2011, the installations in Binche changed to EBP/PLP. The parameter setting of installations did not require any works or adaptations on the ground. There was no procedure for verification foreseen: the 1002 plan was not altered._x000D_
The change of technology (TCO Video/PLP " EBP/PLP) and the change of logic (introduction of flexible transit) are changes requiring study and verification procedures: the error in the 1002 plan was not picked up in these changes._x000D_
The parameter-setting of installations was therefore carried out based on the 1002 plan and the insulated connection 21U was considered as a release point._x000D_
The released track circuits may be used in the route tracing of another train, increasing operational flexibility._x000D_
_x000D_
Root causes : _x000D_
The parameter-setting in EBP at Binche station was carried out according to experience at the time, without formal written procedures being foreseen and followed. This way of proceeding does not allow risks linked to the use of a new technology (switch to EBP) to be taken into account. According to the NSA, this switch to another technology constitutes a major change that, according to Regulation 402/2013 (or previously 352/2009):_x000D_
• should be evaluated by taking into account all changes linked to safety;_x000D_
• should require the exhaustive application of the MSC in relation to the evaluation and assessment of risks.</t>
  </si>
  <si>
    <t>FR-4978</t>
  </si>
  <si>
    <t>Level crossing accident, 14-01-16, Beuveille (France)</t>
  </si>
  <si>
    <t>Collision between a freight train at the speed of 80 km/h and a truck on the level crossing n° 49 in the town of Beuveille (Meurthe-et-Moselle). The locomotive and 21 wagons derailled, the tracks are damaged and the train driver is injured.</t>
  </si>
  <si>
    <t>Beuveille</t>
  </si>
  <si>
    <t>Truck not able to stop before the closed level crossing</t>
  </si>
  <si>
    <t>Speeding truck with ice on the road</t>
  </si>
  <si>
    <t>NO-5644</t>
  </si>
  <si>
    <t>Other event, 18-01-16, The national railway network (Norway)</t>
  </si>
  <si>
    <t>More than 650 railway incidents and serious railway incidents were reported in the period 1 January 2014 to 30 November 2015 concerning work on and near tracks on the national railway network._x000D_
Based on this, the Accident Investigation Board Norway (AIBN) has decided to commence a thematic study of a selection of incident types related to work on and near tracks._x000D_
There is extensive activity relating to maintenance work and construction of new lines on the national railway network. The great number of reported incidents in connection with track possessions for work and setting up construction sites is the reason why the AIBN wants to conduct a study of this work. 
Det er innrapportert over 650 jernbanehendelser og alvorlige jernbanehendelser i perioden  01.01.2014 til 30.11.2015 om arbeider i og ved spor på det nasjonale jernbanenettet. _x000D_
Staten havarikommisjon for transport har med bakgrunn i dette valgt å starte en temaundersøkelse på et utvalg hendelsestyper relatert til arbeider i og ved spor. _x000D_
Det er en stor aktivitet knyttet til vedlikeholdsarbeider og nybygging på det nasjonale jernbanenettet. Det store antallet innrapporterte hendelser i forbindelse med disponeringer for arbeider og etablering av anleggsområde har gjort at SHT ønsker å gjøre en undersøkelse knyttet til dette arbeidet.</t>
  </si>
  <si>
    <t>The national railway network</t>
  </si>
  <si>
    <t>The AIBN would like to draw attention to the following results as particularly interesting:_x000D_
-	It is well known among the PSSSs that work on and near tracks relatively often takes place without permission. This is frequently a result of a conscious choice based on the perception that the situation is safe and under control._x000D_
-	External PSSSs experience language problems that could result in misunderstandings more often that those employed by Bane NOR SF._x000D_
-	One in four are of the opinion that, generally speaking, PSSSs have inadequate knowledge of the lines, and it is pointed out that PSSSs from external enterprises do not have the same access to information about the worksite as those employed by Bane NOR SF._x000D_
-	In the AIBN’s opinion, the fact that that as many as one in five PSSSs say that what actually takes place on construction sites does not comply with the regulations gives cause for concern and is something that Bane NOR SF should look into. Nor is it uncommon for employees to be sent away from a worksite because they are working without permission.</t>
  </si>
  <si>
    <t>HR-4989</t>
  </si>
  <si>
    <t>Broken wheels or axles, 20-01-16, Rijeka Brajdica (Croatia)</t>
  </si>
  <si>
    <t>on the locomotive series 1411-012 a wheel was broken 
Na lokomotivi serije 1141-012 u luci Rijeka Brajdica došlo je do loma kotaca</t>
  </si>
  <si>
    <t>Rijeka Brajdica</t>
  </si>
  <si>
    <t>in light of Article 19 §2 of SD"; 
(b) it forms part of a series of accidents or incidents relevant to the system as a whole; 
(c) its impact on railway safety on a Community level</t>
  </si>
  <si>
    <t>Izravni uzrok ovog incidenta:_x000D_
-	toplinske promjene materijala vijenca kotaca koje su inicirale pojavu pukotina na površini kotrljanja kotaca (poglavlje 7.4). Toplinske promjene uzrokovane su kocenjem lokomotive. 
The direct cause of the incident:_x000D_
-	Is caused by thermal changes on the material of the wheel which generated cracks on the surface of the wheel (chapter 7.4). Thermal changes are caused by braking of the locomotive.</t>
  </si>
  <si>
    <t>-	lokomotive serije 1061 zamijenjene su lokomotivama serije 1141, a da prethodno nije napravljena analiza rizika kod zamjene serije vozila u svezi tehnickih karakteristika vozila serije 1141 podserija koje nisu opremljene elektrodinamickom kocnicom na brdskim prugama (poglavlje 8.2. i 8.3). 
The direct cause of the incident:_x000D_
-	Is caused by thermal changes on the material of the wheel which generated cracks on the surface of the wheel (chapter 7.4). Thermal changes are caused by braking of the locomotive.</t>
  </si>
  <si>
    <t>PT-4991</t>
  </si>
  <si>
    <t>Spad, 20-01-16, Roma-Areeiro station (Portugal)</t>
  </si>
  <si>
    <t>Maintenance vehicle VCC104 of the Infrastructure Manager (IP), while running as movement nr. 95210, overrun signal S30/M30 (Roma-Areeiro station) at red, trailing through a switch set for the other direction and into a path set for another train. The unauthorised movement continued unnoticed by the crew for about 3 km, when it was stopped by action of the signalling control centre. 
Marcha de serviço n.º 95210, realizada pelo veículo de conservação de catenária VCC 104 do Gestor da Infraestrutura (IP), ultrapassou indevidamente o sinal S30/M30 da estação do Areeiro na posição de fechado, tendo talonado o AMV 1-I daquela estação e prosseguido com o movimento não autorizado durante cerca de 3 km.</t>
  </si>
  <si>
    <t>Roma-Areeiro station</t>
  </si>
  <si>
    <t>IP - Infraestruturas de Portugal</t>
  </si>
  <si>
    <t>The on-track machine did not stop before attaining the signal. 
O VCC não parou antes de atingir o sinal M30/S30.</t>
  </si>
  <si>
    <t>1- Causal factors_x000D_
a) The brake was not applied by the driver. _x000D_
b) The driver was not warned by the second-man that the signal was on._x000D_
c) The emergency brake was not applied by the second-man._x000D_
d) Lapses by the driver and second-man because they were focused in features other than their driving functions. _x000D_
Fatores contribuintes_x000D_
2- Contributing factors_x000D_
a) Acceptance of the on-track machine at Roma-Areeiro station not performed in accordance to the rules, allowing this vehicle to enter the station when a conflicting route was established at the exit._x000D_
3- Underlying causes_x000D_
a) The driver and second-man were OLE workers also authorized to perform driving functions, potentiating the diversion of their attention to their root competencies, thus distracting them from the driving functions._x000D_
b) Driving and second-man jobs are safety critical functions; however, the IM SMS does not specify for these jobs any requirements regarding competency updates, minimum driving periods, route knowledge and psychological exams. _x000D_
c) For the trip, the second-man had been attributed na additional task besides assisting the driver (search and dictate kilometer posts), deterring from the concentration necessary to the safety critical job of second-man._x000D_
4- Root causes_x000D_
a) Management undervaluation of the risk related to human factors of staff marginally performing driving tasks. _x000D_
b) Management insufficient control of the running of on-rack machines so as to guarantee the adequacy of safety control measures regarding the use of these vehicles on lines open to traffic. 
Fatores causais:_x000D_
a) O freio do VCC não foi acionado pelo agente de condução de modo a parar antes de atingir o sinal fechado._x000D_
b) O agente de condução não foi avisado pelo agente de acompanhamento de que o sinal estava fechado._x000D_
c) A válvula de emergência do VCC não foi acionada pelo agente de acompanhamento de modo a parar antes de atingir o sinal fechado._x000D_
d) Lapsos do agente de condução e do agente de acompanhamento ao estar a sua atenção focada em aspetos que não aqueles relativos à sinalização._x000D_
Fatores contribuintes_x000D_
a) Receção do VCC na estação de Roma-Areeiro efetuada em desacordo com as condições regulamentares, o que permitiu a entrada deste veículo na estação quando se encontrava o itinerário efetuado para a partida de outro comboio dessa estação, confluindo ambas as circulações no mesmo trajeto._x000D_
3- Causas subjacentes_x000D_
a) O agente de condução e o agente de acompanhamento são técnicos de infraestruturas que executam acessoriamente funções de condução e de acompanhamento, potenciando que fiquem concentrados na sua competência de raiz e que se distraiam das funções condução e de apoio à condução._x000D_
b) Sendo as funções de condução e de apoio relevantes para a segurança ferroviária, o gestor da infraestrutura, no âmbito do seu SGS, não tem definidos requisitos mínimos quanto à respetiva periodicidade formativa, tempos de condução mínimos, conhecimento de caminho e exames psicológicos periódicos dos agentes que efetuam esse serviço._x000D_
c) Durante o trajeto foi atribuída ao agente de acompanhamento uma tarefa para além do apoio à condução (procurar e ditar os PK), prejudicando a concentração necessária para aquela função de segurança._x000D_
4- Causas profundas_x000D_
a) Subavaliação, pela gestão, do risco referente aos fatores humanos dos agentes que desempenham acessoriamente funções de condução ou de apoio à condução._x000D_
b) Insuficiente controlo, pela gestão, da supervisão da circulação de VME com vista a garantir as condições de proteção previstas na regulamentação.</t>
  </si>
  <si>
    <t>BG-4985</t>
  </si>
  <si>
    <t>Train derailment, 23-01-16, Dupnitsa Station (Bulgaria)</t>
  </si>
  <si>
    <t>Freight train ? 50601 of 'BDZ - Freight Services' Ltd., loaded with cement, derailed shortly after midnight on 23.01.2016 while entering on fourth track in 'Dupnitsa' station. Nine loaded with cement wagons derailed. Severe damages were caused to the rolling stock and to the rail infrastructure, including overhead lines and signalling._x000D_
After its departure from Delyan station, the train was moving downhill with inclination of 20 ‰ at about 80 km/h by permissible speed of 60km/h._x000D_
There were no dead and injured persons as a result of the accident.</t>
  </si>
  <si>
    <t>Dupnitsa Station</t>
  </si>
  <si>
    <t>The immediate cause for the derailment of nine freight wagons from the composition of freight train No 50601at entering Dupnitsa station is: Insufficient  braking effect of the automatic train brake leading to excess of permitted speed for the train entering the station diversion track in Dupnitsa. The causes for the insufficient braking effect are: non-compliance with the provisions of the current legislation in rail transport, with reference to the short test (test "D") of automatic train brake at Delyan station and non-compliance with the technology for management of freight train in long downhill at low temperatures.</t>
  </si>
  <si>
    <t>ES-5038</t>
  </si>
  <si>
    <t>Train derailment, 23-01-16, Ascó station (Tarragona) (Spain)</t>
  </si>
  <si>
    <t>Freight train partially derailed at Ascó station. No personal damage.</t>
  </si>
  <si>
    <t>Ascó station (Tarragona)</t>
  </si>
  <si>
    <t>Transfesa Rail</t>
  </si>
  <si>
    <t>The derailing was caused by an infrastructure failure, concretely a track twist, because of an excessive cant gradient.</t>
  </si>
  <si>
    <t>Underlying causes are, firstly, the bad consolidation of sleepers, caused by a poor drainage; secondly, the high heavy traffic of the line; and finally, the non-compliance of the rules of the AI’s SMS, regarding to tracks’ monitoring.</t>
  </si>
  <si>
    <t>RO-4980</t>
  </si>
  <si>
    <t>Fire in RS, 23-01-16, Aninoasa (Romania)</t>
  </si>
  <si>
    <t>the diesel multiple unit Desiro Siemens no. 2114, that ompose the train no. 9438  caught fire</t>
  </si>
  <si>
    <t>Aninoasa</t>
  </si>
  <si>
    <t>Direct cause _x000D_
The fire happened because the over-heating of the power supply cables from the double radial fan, part of the unit without adjuster from the air conditioning equipment of the wagon no. 2 of the diesel multiple unit Desiro 2114, it leading to the ignition of their ínsulation and thermic affecting of the very close components._x000D_
_x000D_
Contributing factors_x000D_
_x000D_
?	failure (blocking of the rotor) of one of the double radial fans from the composition of the unit without adjuster of the air conditioning equipment of the wagon no.2 of the diesel multiple unit Desiro 2114;_x000D_
?	keeping in operation of the diesel multiple unit Desiro 2114, after achieving the time limit for the performance of the planned repairs. 
Cauza directa _x000D_
Incendiul s-a produs ca urmare a supraîncalzirii cablurilor de alimentare ale ventilatorului dublu radial, din compunerea unita?ii fara regulator a instala?iei de climatizare a vagonului nr.2 a automotorului Desiro 2114, fapt ce a condus la aprinderea izola?iei acestora ?i afectarea termica a componentelor din imediata vecinatate._x000D_
_x000D_
_x000D_
_x000D_
_x000D_
_x000D_
_x000D_
_x000D_
Factori care au contribuit_x000D_
_x000D_
?	defectarea (blocarea rotorului) unuia din ventilatoarele dublu radiale din compunerea unita?ii fara regulator a instala?iei de climatizare a vagonului nr.2 al automotorului Desiro 2114;_x000D_
?	men?inerea în exploatare a automotorului Desiro 2114, dupa realizarea normei de timp pentru efectuarea repara?iilor planificate.</t>
  </si>
  <si>
    <t>Underlying causes _x000D_
One did not comply with the provisions of Chapter 3 – Norms for the performance of the inspections and planned repairs of the railway vehicles and their periodicity (cycle) of the Railway Norm  67-006:2011 „Railway vehicles. Types of inspections and planned repairs.  Norms of time or norms of run km for the performance of inspections and planned repairs", approved by Order of Minister of Transports and Infrastructure no.315/2011, amended by Order of Minister of Transports and Infrastructure  no.1359/2012, as follows:_x000D_
-subparagraph 3.1, that is the diesel multiple unit Desiro 2114 was not withdrawn from running at the achievement of the norm of time stipulated for the performance of the planned repairs;_x000D_
       -table 3.1, letter A,  position no.10, that is one did not meet with the cycle of planned repairs for the diesel multiple unit Desiro 2114._x000D_
Root causes_x000D_
None. 
Cauze subiacente _x000D_
Nu au fost respectate prevederile Capitolului 3 – Norme pentru efectuarea reviziilor ?i repara?iilor planificate ale vehiculelor feroviare ?i periodicitatea acestora (ciclul) din Normativul Feroviar  67-006:2011 „Vehicule de cale ferata. Tipuri de revizii ?i repara?ii planificate.  Normele de timp sau normele de kilometri parcur?i pentru efectuarea reviziilor ?i repara?iilor planificate", aprobat prin Ordinul Ministrului Transporturilor ?i Infrastructurii nr.315/2011 modificat ?i completat prin Ordinul MTI nr.1359/2012, astfel:_x000D_
-subpunctul 3.1, în sensul ca automotorul Desiro 2114 nu a fost retras din circula?ie la realizarea  normei de timp prevazuta pentru efectuarea repara?iilor planificate;_x000D_
       -tabelul 3.1, lit. A,  pozi?ia nr.10, în sensul ca nu a fost respectat ciclul de repara?ii planificate pentru automotorul Desiro 2114._x000D_
_x000D_
Cauze primare_x000D_
În cursul investiga?iei nu au fost identificate cauze primare.</t>
  </si>
  <si>
    <t>DE-5231</t>
  </si>
  <si>
    <t>Level crossing accident, 25-01-16, Remscheid Hbf (Germany)</t>
  </si>
  <si>
    <t>Am 25.01.2016 prallte die Zugfahrt DPN 90127 des Eisenbahnverkehrsunternehmens (EVU) Abellio Rail NRW GmbH gegen 18:05 Uhr im Bahnhof Remscheid auf dem Bahnübergang (BÜ) „Blumentalstraße“, im km 17,056, mit einem Pkw zusammen.</t>
  </si>
  <si>
    <t>Remscheid Hbf</t>
  </si>
  <si>
    <t>Abellio Rail NRW GmbH</t>
  </si>
  <si>
    <t>Bei der Ausfahrt aus dem Bahnhof Remscheid Hbf fuhr der Triebfahrzeugführer (Tf) des Zuges DPN 90127 unzulässig, ohne die Zustimmung des Fahrdienstleiters (Fdl), am haltzeigenden Ausfahrsignal (Asig) N2 vorbei. Auf dem BÜ in km 17,056 kam es zum Zusammenprall mit einem PKW, da die Fahrstraße des Zuges nicht eingestellt und die zugehörige Bahnübergangssicherungsanlage (BÜSA) nicht eingeschaltet war. 
When leaving Remscheid Hbf station, the driver (Tf) of the DPN 90127 train was not allowed, without the consent of the signaller (Fdl), passing through the stopping signal (Asig) N2. There was a collision with a car at the BÜ in km 17.056 because the road of the train was not set and the corresponding level crossing safety system (BÜSA) was not switched on.</t>
  </si>
  <si>
    <t>ES-5023</t>
  </si>
  <si>
    <t>Spad, 25-01-16, Els-Park station (Elchje) (Spain)</t>
  </si>
  <si>
    <t>Work train overtook home signal E1 at Elx-Park station. No personal damage</t>
  </si>
  <si>
    <t>Els-Park station (Elchje)</t>
  </si>
  <si>
    <t>The SPAD was caused by a lack of attention of the driver.</t>
  </si>
  <si>
    <t>RO-4987</t>
  </si>
  <si>
    <t>Other event, 25-01-16, Suceava (Romania)</t>
  </si>
  <si>
    <t>on the shunting movement of the locomotive DHC 615 for coupling with the train no.5604 has occured the bumping of the carriage no. 50532068004-2</t>
  </si>
  <si>
    <t>Suceava</t>
  </si>
  <si>
    <t>. Cauza directa, factori care au contribuit._x000D_
Cauza directa este o eroare umana manifestata prin neadaptarea vitezei locomotivei, astfel încât sa se poata asigura oprirea vehiculelor la locul stabilit, fara a se produce deteriorarea acestora sau degradarea si deplasarea încarcaturii. Astfel, la opera?iunea de cuplare, locomotiva nu a fost oprita la o distanta de cel putin de 2 m. înaintea primului vagon din compunerea trenului._x000D_
_x000D_
Factori care au contribuit: Lipsa de atentie a mecanicului de locomotiva la operatiunea de cuplare la garnitura compusa din cele sase vagoane, sosite cu trenul de calatori nr.5601. 
Direct cause, contributing factors._x000D_
The direct cause is a human mistake consisting in the maladjustment of the locomotive speed, so the vehicles can be stopped at the established place, without leading to their deterioration or to the load degradation or displacement. So, at its coupling, the locomotive was not stopped at a distance of 2 m at least, before the fisrt coach of the train._x000D_
_x000D_
Contributing factors: the driver did not pay attention to the coupling at the rake of coaches consisting in those 6 wagons, arrived in the passenger train no.5601.</t>
  </si>
  <si>
    <t>Cauze subiacente: _x000D_
Nerespectarea prevederilor din Instructiuni pentru activitatea personalului de locomotiva  în transportul feroviar nr.201/2007, Partea a VI-a capitolul II art.179 alin.(3) si  Partea a IV-a  capitolul II art.115 alin. (3), prin neadaptarea vitezei locomotivei la viteza reala, necesara opririi la o distanta de cel putin 2 metri înaintea garniturii;_x000D_
_x000D_
 Cauze primare:  Nu au fost identificate cauze primare. 
Underlying causes: _x000D_
Infringment of the provisions from the Instruction for the activity of the locomotive staff no.201/2007, Part  VI- of the chapter II art.179 paragraph (3) and  Part IV- of chapter II art.115 paragraph (3), through the maladjustment of the real speed of the locomotive,  necessary to stop at 2 m at least before the rake of coaches;_x000D_
_x000D_
Root causes:  None.</t>
  </si>
  <si>
    <t>HU-4984</t>
  </si>
  <si>
    <t>Spad, 02-02-16, Budapest, Bécsi út (Hungary)</t>
  </si>
  <si>
    <t>Tram No. 19/5 passed Signal "G" at danger, and splitted up oint No. 6. 
A forgalomból kiálló villamos Meghaladta a "G" jelzot, majd felvágta a 6 sz. váltót.</t>
  </si>
  <si>
    <t>Budapest, Bécsi út</t>
  </si>
  <si>
    <t>A jármuvezeto tévesen a „G” jelu jelzo jelzését vette magára, melynek kialakulásában az alábbi tényezok játszottak szerepet:_x000D_
•	fiziológiai szükséglet és személyi konfliktus következtében megnövekedett stressz szint,_x000D_
•	a helyismeret hiánya_x000D_
•	téves információ_x000D_
•	a pályaszakasz kialakítása 
The driver mistakenly took on the mark ‘G’, in which the following factors played a role: _x000D_
• Increased levels of stress due to physiological need and personal conflict,_x000D_
• Lack of local knowledge_x000D_
• erroneous information _x000D_
• design of the track section</t>
  </si>
  <si>
    <t>FI-4998</t>
  </si>
  <si>
    <t>Accident to persons caused by RS in motion, 03-02-16, Uimaharju station (Finland)</t>
  </si>
  <si>
    <t>Accident to persons involving rolling stock in motion – Track worker hit by a train.</t>
  </si>
  <si>
    <t>Uimaharju station</t>
  </si>
  <si>
    <t>The immediate cause of the accident was that a person working on the tracks without protective measures failed to notice the approaching train and moved too close to the rails when the train arrived.</t>
  </si>
  <si>
    <t>The root cause was the cable marker’s attention being focused on the cable detector. In addition, the current weather conditions and the train being quiet made the train more difficult to notice._x000D_
The root causes are related to faulty work practices in cable marking in particular. Cable marking is not seen as actual trackwork, and it is often carried out without protective measures. This had an effect on starting the work before receiving a trackwork permission. In addition, the information about the intention to mark the cables with a trackwork permission had not been transmitted to the cable markers. This was affected in return by the cable marking form not being filled out at the order stage and by the form remaining incomplete when it was finally filled out. The form does not clearly require any comments on the protective measures to be taken, either. It is difficult to determine the need for protective measures in advance, because the maps available cannot be used to evaluate the need to move within the trackwork hazard zone. The company marking the cables had not paid attention to the faulty practices, and higher management had not addressed them, either. _x000D_
The distance between organisations and the many links in the contract chain have blurred the responsibilities and weakened the flow of information.</t>
  </si>
  <si>
    <t>UK-5040</t>
  </si>
  <si>
    <t>Trains collision with an obstacle, 04-02-16, Knockmore Junction (United Kingdom)</t>
  </si>
  <si>
    <t>At around 06:57 hours on 4 February 2016, a passenger train collided with an excavator bucket that was lying on the track near Knockmore Junction._x000D_
_x000D_
The train was the 06:25 hrs Northern Ireland Railways service from Great Victoria Street, Belfast to Portadown. It consisted of two Class 3000, three-car diesel multiple units. While passing Knockmore Junction, about 1.5 miles (2.4 km) west of Lisburn station, and travelling at about 60 mph (96 km/h), it struck the excavator bucket. The driver applied the train’s brakes and stopped about 330 metres after the point of impact._x000D_
_x000D_
As the train pushed the bucket along the track, the leading vehicle was lifted off the rails as it rode over the obstruction. The train stopped with all wheels back on the rails and the excavator bucket wedged under the fuel tank, about 8 - 10 metres from the front of the vehicle._x000D_
_x000D_
One passenger received medical attention after the accident. The leading vehicle was badly damaged, and had to be lifted by crane from the railway and transported by road back to the Northern Ireland Railways depot in Belfast. The track was repaired overnight and was open in time for train services the following day.</t>
  </si>
  <si>
    <t>Knockmore Junction</t>
  </si>
  <si>
    <t>The up main line was reopened to rail traffic when it was unsafe to do so (paragraph 45).</t>
  </si>
  <si>
    <t>The causal factors were:_x000D_
a. Machine driver A detached the excavator bucket from his machine between the rails of the up main line (paragraph 48, Learning point 2)._x000D_
b. Machine driver A forgot to collect the bucket when he left site after lifting the trailer and ballast box into the cess, leaving the bucket obstructing the up main line (paragraph 54, Learning point 2)._x000D_
c. The TSC and other members of the work group were unaware that the excavator bucket was causing an obstruction and so action was not taken to remove it (paragraph 57, Learning point 1)._x000D_
d. The worksite was handed back to the PICOP when the line was not safe for the passage of trains (paragraph 67, Recommendation 1)._x000D_
Possible underlying factor_x000D_
102 NIR and its contractors had not defined how the areas of work should be inspected to ensure they were clear of obstructions (paragraph 71, Recommendation 1)</t>
  </si>
  <si>
    <t>RO-4986</t>
  </si>
  <si>
    <t>Train derailment, 06-02-16, Letca (Romania)</t>
  </si>
  <si>
    <t>ten wagons from the freight train no. 42691 derailed on the entrance in the railway station Letca</t>
  </si>
  <si>
    <t>Letca</t>
  </si>
  <si>
    <t>Cauza directa_x000D_
Cauza directa a producerii acestui accident o constituie lovirea de catre roata celui de-al 6-lea vagon din compunerea trenului a unei par?i din cupona?ul de ?ina introdus în rostul de dilata?ie dintre panoul tampon PT1 ?i panoul tampon PT2 al tronsonului de CFJ, firul stâng în sensul cre?terii kilometrajului, urmata de escaladarea ciupercii ?inei de catre roata vagonului. _x000D_
Sub efectul for?elor dinamice transmise de materialul rulant, cupona?ul de ?ina s-a rupt în doua par?i, partea superioara, datorita ?ocurilor primite de la ro?ile materialului rulant, a sarit în plan vertical ?i a fost lovita de roata din partea stânga a celui de al 6-lea vagon, fapt ce a determinat deraierea acestuia ?i antrenarea în deraiere a celorlalte 10 vagoane. _x000D_
_x000D_
Factori care au contribuit_x000D_
Tratarea superficiala a modului de alcatuire a ansamblului „joanta”, de la km 98+985 din partea stânga a sensului de mers al trenului, dintre primul ?i cel de al doilea panou tampon de la capatul zonei de respira?ie a tronsonului de cale fara joante, care nu a ?inut cont de faptul ca punctul de la km 98+985 trebuia tratat ca un punct slabit, pentru care ar fi trebuit sa se emita condi?ii prin care sa se reglementeze modul de realizare a circula?iei feroviare. 
Direct cause_x000D_
Direct cause of this accident is the wheel of the 6th wagon hit a part of the small rail section introduced into the expansion joint between the  protection rail PT1 and the protection rail PT2 of the joint non-welded track, left track in the direction of the km increase, followed by the overclimbing of the rail head by the wagon wheel. _x000D_
Under the dynamic forces of the rolling stock, the small rail broke in two pieces, the upper part, because the shocks received from the rolling stock, left out vertically  and was hit by the left wheel of the 6th wagon, leading to the its derailment and the derailment of other 10 wagons. _x000D_
_x000D_
	Contributing factors_x000D_
The unsuitable handling of the composition of the unit „joint”, km 98+985, left side in the train running direction, between the first protection rail and the second one, at the end of the breathing area (the welded track where the axial stresses are variable), that did not take into account that the point from km 98+985 had to be handled as a unfastned point, for which one should establish conditions that regulate the way to perform railway traffic.</t>
  </si>
  <si>
    <t>Cauze subiacente_x000D_
Cauzele subiacente ale acestui accident feroviar sunt: _x000D_
Neprogramarea ?i nerealizarea lucrarilor de rectificare a rosturilor de dilata?ie pe por?iunea de linie implicata în accident, lucrari care se impuneau a fi executate datorita rosturilor de dilata?ie ale caror valori erau în afara toleran?elor admise._x000D_
Nerespectarea prevederilor art.10F, pct.1 din Instructia de norme si tolerante pentru constructia ?i întretinerea caii - linii cu ecartament normal nr.314/1989, referitoare la masurile care trebuie luate pentru asigurarea ?inelor contra-fugirii._x000D_
Nerespectarea prevederilor Instructiei pentru alcãtuirea, întretinerea si supravegherea cãii fãrã joante nr.341/1980, referitoare la dimensiunile panourilor tampon de la capetele zonelor de respira?ie din cuprinsul tronsoanelor de cale fara joante ?i a rosturilor de dilata?ie adiacente acestora. _x000D_
_x000D_
Cauze primare_x000D_
1.	Neidentificarea ca pericol ?i ne?inerea sub control a riscurilor legate de  men?inerea în exploatare a unor rosturi cu valori peste toleran?ele admise._x000D_
2.	Nerespectarea prevederilor din Procedura opera?ionala cod: PO SMS 0-4.07 „Respectarea specifica?iilor tehnice, standardelor ?i cerin?elor relevante pe întreg ciclul de via?a a liniilor în procesele de între?inere”, referitoare la aprovizionarea ritmica a cantita?ilor de materiale necesare între?inerii._x000D_
3.	Neaplicarea prevederilor din Instruc?ia de între?inere a caii – aprobata prin Ordinul 1274/1981, document asociat al procedurii operationale cod PO SMS 0-4.07 „Respectarea specificatiilor tehnice, standardelor si cerintelor relevante pe întreg ciclul de viata a liniilor în procesul de întretinere”, parte a sistemului de management al sigurantei al CNCF „CFR” SA, referitoare la dimensionarea personalului subunita?ilor de între?inere linii, în raport cu volumul de lucrari, fapt confirmat de subdimensionarea personalului districtului de linii nr.5 Babu?eni din cadrul Sectiei L7 Dej._x000D_
4.	Neaplicarea, pentru por?iunea de linie implicata în accident, a prevederilor procedurii opera?ionale cod PO SMS 0-4.07 „Respectarea specificatiilor tehnice, standardelor si cerintelor relevante pe întreg ciclul de viata a liniilor în procesul de întretinere”, parte a sistemului de management al sigurantei al CNCF „CFR” SA, referitoare la identificarea ?i programarea executarii lucrarilor de mentenan?a 
The underlying causes of this railway accident are: _x000D_
The lack of scheduling and performance of the works for the rectification of the expantion joints on the track section involved in the accident, works imposed because the expantion joint values were out of accepted tolerances._x000D_
Infringement of the provisions of art.10F, point 1 from Instruction of norms and tolerances for the track construction and maintenance – lines with standard gauge no.314/1989, on the measures to be taken for the ensurance of the rails against the run away._x000D_
Infringement of the provisions of Instruction for the composition, maintenance and surveillance of the welded track no.341/1980, concerning the sizes of the protection rails from the end of the breathing areas of the welded track sections and of their adjoining expantion joints. _x000D_
_x000D_
Root causes_x000D_
1.	Lack of identification as danger and lack of control of the risks afferent to the keeping in operation of some expantion joints with values over the accepted tolerances._x000D_
2.	Infringement of the provisions from the Operational procedure code: PO SMS 0-4.07 „Compliance with the technical specifications, standards and requirements relevants within the whole life time of the lines in the maintenance processes”, concerning the rithmic supply with the quantities of materials necessary for maintenance._x000D_
3.	Non-application of the provisions from the Instruction for the track maintenance – approved by the Minister of Transport's Order no.1274/1981, document associated to the operational procedure code PO SMS 0-4.07 „Compliance with the technical specifications, standards and requirements relevant within the whole life time of the lines in the maintenance process”, part of the safety management system of CNCF „CFR” SA, on the sizing of the staff from the subunits for the line maintenance, in relation to the total works, it being confirmed by the under-sizing of the staff from the line district no.5 Babu?eni within Section L7 Dej._x000D_
4.	Non-application, on the track section involved in accident, of the provisions from the operational procedure code PO SMS 0-4.07 „Compliance with the technical specifications, standards and requirements relevant within the whole life time of the lines in the maintenance process”, part of the safety management system of CNCF „CFR” SA, with reference to the identification and schedule of the maintenance performance.</t>
  </si>
  <si>
    <t>RO-4990</t>
  </si>
  <si>
    <t>Train derailment, 08-02-16, Ludus- Sarmasel (Romania)</t>
  </si>
  <si>
    <t>the first axle from the diesel multiple unit AMX 14020 (that consist the regio train no. 14020) derailed</t>
  </si>
  <si>
    <t>Ludus- Sarmasel</t>
  </si>
  <si>
    <t>Cauza directa a producerii accidentului o constituie pierderea capacita?ii de ghidare a caii în zona km 15+350, care a determinat caderea între ?ine a ro?ii din partea dreapta a osiei conducatoare de la automotorul tip AMX, ce a format trenul de calatori nr.14020, urmata de escaladarea ciupercii ?inei de pe firul exterior al curbei de catre roata din partea stânga a aceleia?i osii ?i caderea acesteia în exteriorul caii. _x000D_
Acest lucru s-a produs în conditiile cre?terii valorii ecartamentului caii peste valoarea maxima admisa ca urmare a deplasarii laterale a ?inei de pe firul exterior al curbei sub ac?iunea for?elor dinamice transmise caii de catre materialul rulant în mi?care._x000D_
     	Factorii care au contribuit la producerea accidentului au fost:_x000D_
-	men?inerea în cale a traverselor care nu asigurau prinderea ?inelor ?i men?inerea ecartamentului în limitele toleran?elor admise. 
Direct cause of the accident is the  loose of the guiding capacity of the track at km 15+350, that led to the fall of the right wheel of the leading axle from the multiple unit type AMX, that was the passenger train no.14020, followed by the overclimbing of the rail head from the exterior track of the curve by the left wheel of the same axle and its fall outside the track. _x000D_
It happened because the increase of the gauge value over the maximum accepted value, because the lateral movement of the rail of the exterior track of the curve under the dynamic forces transmitted by the rolling stock to the track._x000D_
  Contributing factors:_x000D_
-	keeping of sleepers that did not ensure the fastening of rails and maintaining of the gauge between the accepted limits.</t>
  </si>
  <si>
    <t>Cauzele subiacente au fost:_x000D_
-	nerespectarea prevederilor art.25 din Instruc?ia de norme ?i toleran?e pentru construc?ia ?i între?inerea caii - linii cu ecartament normal - nr.314/1989, cu privire la defectele care impun înlocuirea traverselor de lemn;_x000D_
-	neaplicarea prevederilor Art.3 – aliniat nr.3 din Fi?a Nr.4 a Instruc?iei 305/1997 ,,privind fixarea termenelor ?i a ordinii în care trebuie efectuate reviziile caii”._x000D_
_x000D_
          Cauza primara a producerii acestui accident a fost aplicarea par?iala a prevederilor din:_x000D_
-	Procedura de proces cod PP-63 Edi?ia: 2 Revizia: 1 din 01.06.2015 - „Mentenan?a Infrastructura Feroviara” – Diagrama flux a procesului de Diagnoza caii ?i recensaminte de lucrari;_x000D_
-	codurile de practica utilizate de catre administratorul infrastructurii feroviare (instructiunile referitoare la întretinerea liniei). 
Underlying causes:_x000D_
-	infringement of the provisions from the art.25 of the Instruction of norms and tolerances for the track construction and maintenance – lines with standard gauge - no.314/1989, with reference to the failures that impose the replacement of the wooden sleepers;_x000D_
-	non-application of the provisions from art.3 – paragraph 3 from the Sheet no.4 of the Instruction no.305/1997 ,,concerning the establishment of terms and order for the check inspections”._x000D_
Root cause    _x000D_
      	Root cause of this accident is the partial application of the provisions from:_x000D_
-	process procedure code PP-63 Edition: 2 Revision: 1 from the 1st of June 2015 - „Maintenance of the railway infrastructure” – Flow chart of the process for the track diagnosis and work receptions;_x000D_
-	practice codes used by the railway infrastructure manager (instructions for the track maintenance).</t>
  </si>
  <si>
    <t>DE-4988</t>
  </si>
  <si>
    <t>Trains collision, 09-02-16, Bad Aibling - Kolbermoor (Germany)</t>
  </si>
  <si>
    <t>Am 09.02.2016 gegen 06:47 Uhr kollidieren auf der Bahnstrecke Holzkirchen – Rosenheim (Streckennummer 5622) zwischen den Bahnhöfen Bad Aibling und Kolbermoor die beiden Züge DPN 79505 und DPN 79506 der Bayerischen Oberlandbahn (BOB) etwa in Streckenki-lometer 30,29. Der Zug DPN 79505 (Elektrotriebzug (ET) 325) kam von München über Holzkirchen mit Fahrtziel Rosenheim, der von Rosenheim kommende Zug DPN 79506 (ET 355) fuhr in Rich-tung Holzkirchen 
On 09.02.2016 at 06:47 on the railway line Holzkirchen - Rosenheim (route number 5622) between the railway stations Bad Aibling and Kolbermoor,  the two trains DPN 79505 and DPN 79506 of the the Bavarian Oberlandbahn (BOB) collided at kilometer 30.29  approximately. The train DPN 79505 (electric multiple unit (ET) 325) came from Munich via Holzkirchen with destination Rosenheim, the train coming from Rosenheim DPN 79506 (ET 355) went in the direction of Holzkirchen.</t>
  </si>
  <si>
    <t>Bad Aibling - Kolbermoor</t>
  </si>
  <si>
    <t>Bayerische Oberlandbahn GmbH</t>
  </si>
  <si>
    <t>Die Zugkollision der beiden Regionalzüge ist auf mehrere betriebliche Fehlhandlungen des Fdl Bad Aibling bei der Abwicklung der Fahrten auf Ersatzsignal (Zs1) zurückzuführen Begünstigt wurde der Ereigniseintritt durch das Zusammentreffen von menschlichen Verhaltensweisen, unvollständiger Rückmeldung der Stellwerkstechnik, schwierig anwendbarer Regeln und unzulänglicher örtlicher Regelungen. Zudem beeinflusste die Handhabung der Bedieneinrichtung des Notrufsystems beim Fdl die Zugkollision und deren Folgen. 
The train collision of the two regional trains is due to several operational errors of the train dispatcher at Bad Aibling during the handling of the train itineraries on the replacement signal (Zs1). The event was favored by the coincidence of human behaviors, incomplete feedback of interlocking technology, difficult to apply rules and inadequate local regulations. In addition, the handling of the operating device of the emergency call system by the train dispatcher influenced the train collision and its consequences.</t>
  </si>
  <si>
    <t>HU-4992</t>
  </si>
  <si>
    <t>Fire in RS, 12-02-16, Kisbér (Hungary)</t>
  </si>
  <si>
    <t>Fire in opened freight carriage, the cargo was iron waste. 
Egy vashulladékot szállító tehervagon rakománya kigyulladt.</t>
  </si>
  <si>
    <t>Kisbér</t>
  </si>
  <si>
    <t>UK-5039</t>
  </si>
  <si>
    <t>Trains collision with an obstacle, 14-02-16, Barrow-on-Soar (United Kingdom)</t>
  </si>
  <si>
    <t>At around 10:27 hrs on 14 February 2016, a passenger train collided with a conveyor boom projecting from an aggregates train standing in Barrow-on-Soar sidings (some Network Rail documents refer to the sidings as Mountsorrel sidings)._x000D_
_x000D_
The train was the 10:20 hrs East Midlands Trains service from Leicester to York. It consisted of a seven car class 222 diesel multiple unit and struck the boom of the wagon, which was projecting over the line, at approximately 102 mph (163 km/h). The maximum speed allowed for this type of train at this location is 110 mph (176 km/h). The driver applied the emergency brake and the train stopped approximately 0.75 miles (1.21 km) from the point of impact._x000D_
_x000D_
The front coach of the train was damaged by the impact but did not derail. The unloading conveyor arm was also damaged and a member of staff, who had been working on the conveyor, was seriously injured and was taken to hospital by air ambulance. Nobody on the train was injured, but the driver was badly shaken.</t>
  </si>
  <si>
    <t>Barrow-on-Soar</t>
  </si>
  <si>
    <t>The unloading conveyor boom was in a position where it obstructed the path of a train on the down main line as it approached (paragraph 60).</t>
  </si>
  <si>
    <t>The causal factors were:_x000D_
a. The normally open switch contact block on the button which commands the boom to move out on the main line side had stuck in the on position (paragraph 64, Recommendation 4). This causal factor probably arose because:_x000D_
i. the moving part of the normally open switch contact block had become coated with corrosion product (paragraph 69);_x000D_
which in turn was most likely caused because;_x000D_
ii. the switch was used in environmental conditions that it was not rated to withstand (paragraph 76, Learning points 1 and 2)._x000D_
b. Maintenance work was being undertaken on the unloading wagon on a siding which was within boom reach of the main line (paragraph 88, Recommendation 2). This causal factor arose because neither the site rules nor the systems of work for staff had addressed the risk of an uncontrolled movement of the unloading boom (paragraph 89, Recommendation 1)._x000D_
The supporting risk assessments were focussed on direct risks to staff and there was no consideration of the risk to other railway operations._x000D_
Underlying factors_x000D_
132 The underlying factors were:_x000D_
a. Wabtec did not have adequate control of the maintenance of wagon REDA92545 such as to manage the risks the condition of the electrical system on the wagon presented (paragraph 107, Recommendations 2 &amp; 4, Learning points 1 and 2)._x000D_
b. Tarmac did not ensure that the safety risk from the condition of the electrical system on wagon REDA92545 was adequately managed (paragraph 117, Recommendations 1 and 3).</t>
  </si>
  <si>
    <t>BE-5182</t>
  </si>
  <si>
    <t>Runaway, 18-02-16, Landen (Belgium)</t>
  </si>
  <si>
    <t>Le jeudi 18 février 2016, vers 20:35, un peu avant la gare de Landen, un conducteur, descendu dans les voies pour réaliser une inspection de son train, constate la mise en mouvement de celui-ci par gravitation. Le conducteur n'a pas réussi à remonter dans le train en mouvement, qui dérive environ 12 kilomètres jusqu'à Tienen. 
Thursday, 18 February 2016, at 8:35 p.m., just before the Landen Station, a train-driver, who descended on tracks to perform an inspection of the train, experienced the setting into motion of the train by gravity. The train-driver was unable to go back in the moving train, which derives about 12 kilometers to Tienen.</t>
  </si>
  <si>
    <t>Landen</t>
  </si>
  <si>
    <t>La cause directe de l'échappement du train est le desserrage des freins suite au rétablissement de la pression nominale dans la CFA qui est atteinte après que le conducteur ait refermé le robinet de purge._x000D_
Les éléments ayant contribué sont :_x000D_
• le manipulateur qui n'était pas en position "freinage" ou "freinage d'urgence";_x000D_
• le frein de parking qui n'était pas enclenché durant l'inspection du train par le conducteur;_x000D_
• la pente de la voie qui a permis au train de se mettre en mouvement par gravitation;_x000D_
• l'AM80 n'est pas équipée d'un système anti-dérive, qui aurait pu freiner le train. 
The direct cause of the train's exhaust is the release of the brakes following the re-establishment of the nominal pressure in the CFA which is reached after the driver has closed the bleed valve._x000D_
The contributing elements are:_x000D_
• the manipulator which was not in the "braking" or "emergency braking" position;_x000D_
• the parking brake that was not engaged during the train's inspection by the driver;_x000D_
• the slope of the track that allowed the train to gravitationally move;_x000D_
• The AM80 is not equipped with an anti-drift system, which could have braked the train.</t>
  </si>
  <si>
    <t>• Le non-respect de la procédure HLT par le conducteur pour l'immobilisation de son train lors de l'inspection du train;_x000D_
• le mouvement intempestif du levier du robinet de purge qui a causé une fuite d'air au réservoir principal d'une des voitures du train, entraînant la diminution de la pression dans la CFA. 
• Failure to comply with the HLT procedure by the driver for the immobilization of his train during the inspection of the train;_x000D_
• the inadvertent movement of the bleed valve lever which caused an air leak to the main tank of one of the train cars, resulting in a decrease in pressure in the CFA.</t>
  </si>
  <si>
    <t>RO-4993</t>
  </si>
  <si>
    <t>Train derailment, 18-02-16, Sintereag (Romania)</t>
  </si>
  <si>
    <t>the first axle from the locomotve EA no.760  that hauled the passanger train no 4206-1 derailed in the Sintereag railway station</t>
  </si>
  <si>
    <t>Sintereag</t>
  </si>
  <si>
    <t>Cauza directa a producerii acestui accident o constituie pierderea capacita?ii de sustenta?ie ?i ghidare a primei osii a locomotivei, prin caderea ro?ii din partea stânga între firele caii, urmata de escaladarea ciupercii ?inei din partea dreapta de catre buza bandajului ro?ii a aceleia?i osii._x000D_
_x000D_
Factori care au contribuit:_x000D_
Starea tehnica necorespunzatoare a traverselor care, sub ac?iunea for?elor dinamice transmise de ro?ile materialului rulant catre elementele de fixare a placilor metalice, nu puteau asigura men?inerea în toleran?e a valorii ecartamentului caii. 
Direct cause of this accident was the loss of the guiding capacity of the first axle from the locomotive, through the fall of the left whel between the rails, followed by the overclimbing of the head of the right rail by the flange of the wheel of the same axle._x000D_
_x000D_
Contributing factors:_x000D_
The unsuitable technical condition of the sleepers that, under the dynamic forces of the rolling stock wheels, transmitted to the fastening elements of the metallic plates, could not ensure the keeping of the track gauge between the tolerances.</t>
  </si>
  <si>
    <t>Cauze subiacente:_x000D_
Nerespectarea prevederilor art.25, alin.(2) ?i alin.(4) din”Instruc?ia de norme ?i toleran?e pentru construc?ia ?i între?inerea caii – linii cu ecartament normal, nr.314/1989“, referitoare la defectele care impun înlocuirea traverselor de lemn ?i la neadmiterea men?inerii în cale a traverselor necorespunzatoare._x000D_
_x000D_
Cauze primare: _x000D_
Neaplicarea prevederilor din anexa 2 la procedura opera?ionala cod PO SMS 0-4.07 ”Respectarea specifica?iilor tehnice, standardelor ?i cerin?elor relevante pe întreg ciclul de via?a a liniilor în procesele de între?inere“, parte a sistemului de management al siguran?ei al CNCF ”CFR“ SA, referitoare la înlocuirea traverselor de lemn necorespunzatoare. 
Underlying causes:_x000D_
Infringement of the provisions from the art.25, paragraphs (2) and.(4) from the”Instruction of norms and tolerances for the track construction and maintenance – lines with standard gauge, no.314/1989“, on the failures that impose the replacement of the wooden sleepers  and non-keeping of the unsuitable sleepers._x000D_
_x000D_
Root causes: _x000D_
Non-application of the provisions from the annex 2 of the operational procedure code PO SMS 0-4.07 ”Meeting with the technical specifications, standards and requirements relevant for whole life cycle of the lines in the maintenance processes“, part of the safety management system of CNCF ”CFR“ SA, on the replacement of the unsuitable wooden sleepers.</t>
  </si>
  <si>
    <t>HU-4997</t>
  </si>
  <si>
    <t>Train derailment, 21-02-16, Rajka (Hungary)</t>
  </si>
  <si>
    <t>3 tank-waggons have derailed by 12 axles.</t>
  </si>
  <si>
    <t>Rajka</t>
  </si>
  <si>
    <t>Track and wagon condition.</t>
  </si>
  <si>
    <t>DE-5077</t>
  </si>
  <si>
    <t>Unauthorised train movement other than SPAD, 23-02-16, Pinneberg - Hamburg-Eidelstedt (Germany)</t>
  </si>
  <si>
    <t>Am 23.02.2016 gegen 15:44 Uhr wurde dem Zug RE 21073 in der Betriebsstelle Pinneberg auf der Strecke Pinneberg - Hamburg-Eidelstedt (DB-Streckennr.: 1220) die Zustimmung zur Ausfahrt durch Ersatzsignalbedienung (Zs1) in den besetzten Blockabschnitt in Richtung Hamburg erteilt. Dieser kam ca. 150 Meter vor dem letzten Wagen der vorausfahrenden Zugfahrt DPN 83825 entfernt zum Stehen. 
On 23.02.2016 at 15:44, the train RE 21073 on the operating station Pinneberg of the itinerary Pinneberg - Hamburg-Eidelstedt (DB-track section number: 1220) had been authorized by the substitute signal to entry into the occupied section towards the direction of Hamburg. The latter came to a standstill about 150 meters before the last car of the train DPN 83825.</t>
  </si>
  <si>
    <t>Pinneberg - Hamburg-Eidelstedt</t>
  </si>
  <si>
    <t>Auf Grund einer Blockstörung zwischen Pinneberg und Hamburg-Eidelstedt wurde dem Zug RE 21073 im Bf Pinneberg, ohne sich zu versichern ob der Zugfolgeabschnitt noch durch einen anderen Zug belegt ist, die Zustimmung zur Ausfahrt durch Bedienung des Ersatzsignals unzulässig erteilt. 
Due to a block disturbance between Pinneberg and Hamburg-Eidelstedt, the train RE 21073 in the rail station Pinneberg was authorized by operating the substitute signal to exit without checking in advance whether the train section was still occupied by another train.</t>
  </si>
  <si>
    <t>NL-5022</t>
  </si>
  <si>
    <t>Level crossing accident, 23-02-16, Dalfsen (The Netherlands)</t>
  </si>
  <si>
    <t>A passenger train collided with a caterpillar man lift. The train derailed and ended on its side approximately 150 m beyond the point of the collision. The train driver was killed in the accident and of the other six occupants, two became injured. The man lift operator jumped off the vehicle shortly before the collision. 
A passenger train has collided with a mobile platform at a level crossing. Due to the collision, the train derailed and approximately 200 m landed on the side next to the track. In the train there were, apart from the driver, a conductor and (probably) five passengers. In the accident the driver died and the remaining six passengers were slightly injured. The platform driver shortly before the crash jumped from the vehicle and suffered no injuries.</t>
  </si>
  <si>
    <t>Dalfsen</t>
  </si>
  <si>
    <t>Arriva</t>
  </si>
  <si>
    <t>Level crossing not cleared in time by slow road vehicle (caterpillar man lift)</t>
  </si>
  <si>
    <t>No warning signs provided at level crossing with instructions for exceptional road users._x000D_
No warning provided for driver of approaching train in case of obstructed level crossing._x000D_
Late level crossing visibility for train driver due to curve in track._x000D_
Impact speed and obstacle mass significantly higher than the reference collision in EN15227._x000D_
Train speed and type of road traffic not taken into account in level crossing risk analysis._x000D_
Hardly any cooperation between road and rail manager in risk assessment of level crossing.</t>
  </si>
  <si>
    <t>UK-5058</t>
  </si>
  <si>
    <t>Level crossing accident, 23-02-16, Grimston Lane level crossing (United Kingdom)</t>
  </si>
  <si>
    <t>At around 12:25 on 23 February 2016, a pedestrian crossing the railway at Grimston Lane level crossing was struck and fatally injured by a train travelling from Ipswich to Felixstowe._x000D_
_x000D_
The footpath only crossing, which is over one railway track, links two parts of Grimston Lane, an unclassified tarmac road on the western edge of Trimley St Martin, leading through farmland to Trimley Lower Street.</t>
  </si>
  <si>
    <t>Grimston Lane level crossing</t>
  </si>
  <si>
    <t>The pedestrian started to cross the railway at Grimston Lane footpath crossing when there was insufficient time for him to get to a position of safety on the opposite side before train 2R14 passed over (paragraph 55).</t>
  </si>
  <si>
    <t>94 The accident was probably caused by either:_x000D_
a. The pedestrian not being aware of the approaching train when he decided to cross the railway (paragraph 59); either because:_x000D_
i. the skew of the crossing, or another reason, resulted in him not looking in the direction of the approaching train (paragraph 61, Recommendation 1); or_x000D_
ii. he was not at the best viewing position when he made the decision to start to cross and the approaching train was obscured (paragraph 67, Learning point 1)._x000D_
Or alternatively:_x000D_
b. The pedestrian being aware that the train was approaching but misjudging how much time he needed when he decided to cross the railway (paragraph 72); because:_x000D_
i. he misjudged the time the approaching train would take to arrive at the crossing and, therefore, considered he had more time to cross the railway than he had (paragraph 74, no recommendation); and/or_x000D_
ii. he underestimated how long it would take him to cross the railway (paragraph 77, no recommendation)._x000D_
Underlying factors_x000D_
95 A possible underlying factor was that the assessment criteria and algorithms used by Network Rail to calculate the numerical risk at level crossings do not fully account for the degree to which skewed alignment affects the safety of passive crossings, where users need to be vigilant of approaching trains (paragraph 81, Recommendation 1).</t>
  </si>
  <si>
    <t>DE-5046</t>
  </si>
  <si>
    <t>Operational event, 24-02-16, Hameln (Germany)</t>
  </si>
  <si>
    <t>Am 24.02.2016 kam es gegen 14:31 Uhr und gegen 16:43 Uhr im Gleis 103 des Bahnhofs Hameln je zur gegenseitigen Gefährdung der Regionalzüge DPN 82971 und DPN 82968, sowie DPN 82975 und DPN 82972 (alle Züge gehören zum EVU: Nordwestbahn GmbH (NWB)). 
On 24.02.2016, at about 14:31 and at about 16:43, on rail track 103 of railway station Hameln, regional trains DPN 82971 and DPN 82968, and also DPN 82975 and DPN 82972 (all the trains belong to the railway undertaking: Nordwestbahn GmbH (NWB)) were in a situation of mutual risk.</t>
  </si>
  <si>
    <t>Hameln</t>
  </si>
  <si>
    <t>Der für die Zugfahrten zuständige Fahrdienstleiter (Fdl) hatte jeweils die Ausfahrten der Zugfahrten DPN 82971 und DPN 82975 aus dem Bahnhof Hameln mit besonderem Auftrag nach Voldagsen in Richtung der eingleisigen Strecke zugelassen, ohne die hierzu zwingend not-wendigen betrieblichen Vorbedingungen erfüllt zu haben. 
The responsible for the train movements train dispatcher had authorized the exits of the train movements DPN 82971 and DPN 82975 from railway station Hameln with a specific order to Voldagsen in the direction of the single track line, without having fulfilled the necessary operating preconditions.</t>
  </si>
  <si>
    <t>NO-5041</t>
  </si>
  <si>
    <t>Runaway, 26-02-16, Sinsen (Norway)</t>
  </si>
  <si>
    <t>In Norway, road-rail vehicles are used for maintenance assignments on railway, metro and tram tracks. Maintenance work is normally carried out at night, often in several places at the same time._x000D_
In the early hours of Friday 26 February 2016, the brakes of a road-rail vehicle failed during maintenance work near Sinsen metro station. There were two people on board, and the driver’s perception of the situation was that it was not possible to stop with the brakes available. They therefore chose to jump from the vehicle before it gathered too much speed. Both people sustained slight injuries as they hit the ground. They were able to notify a work team that was working on the track approximately one kilometre from where they had jumped off. They then proceeded in the direction the road-rail vehicle had taken and found it approximately 600 metres down the track towards Carl Berners plass, where it had come to a halt. _x000D_
An examination of the brake system after the incident showed that there was no brake fluid in one of the hydraulic circuits, and that the brake pressure was unstable in the other circuit because of an internal leakage in the main cylinder._x000D_
The Accident Investigation Board Norway’s investigation showed that the brake system for the rail wheels on the road-rail vehicle constitutes a safety risk, as the brakes are not fail-safe. The following findings were made during the investigation:_x000D_
•	The brake system is not in accordance with the Legal Requirement Regulations, BOStrab or EN 15746._x000D_
•	The Norwegian Railway Authority did not detect the faults in the brake system when it authorised use of the road-rail vehicle._x000D_
•	The maintenance procedures were not able to prevent the faults that occurred._x000D_
•	The pre-use checklist was not designed in a way that enabled the driver to detect the faults._x000D_
•	The driver received no automatic warning of the faults (pressure drop) in the brake circuits for the rail brakes._x000D_
The supplier, SRS Sjölanders AB, states that it has delivered more than 300 track maintenance vehicles with similar brake systems. According to the Norwegian National Rail Administration (Jernbaneverket), 24 vehicles belonging to private maintenance undertakings may be used for work assignments on their track systems._x000D_
_x000D_
The AIBN submits one safety recommendation requesting the undertakings to consider the introduction of restrictions on use of vehicles with this type of brake system. 
Skinnegående ledningsbiler brukes i Norge til vedlikeholdsoppdrag for jernbane, T-bane og trikk. Normalt utføres vedlikeholdsarbeid på nattestid, ofte på flere steder samtidig._x000D_
_x000D_
Natt til fredag 26. februar 2016 sviktet bremsene på en skinnegående ledningsbil under et vedlikeholdsoppdrag ved Sinsen T-banestasjon. Det var to personer ombord, og fører oppfattet situasjonen slik at det ikke var mulig å stanse med de tilgjengelige bremsene. De valgte derfor å hoppe ut før farten ble for stor. Begge fikk lettere skader da de traff bakken. De fikk varslet et arbeidslag som jobbet i sporet omtrent 1 km fra stedet der de hoppet ut. Deretter fulgte de etter i retningen til ledningsbilen, og fant den igjen ca. 600 meter mot Carl Berners plass der den hadde stanset. _x000D_
_x000D_
Undersøkelsen av bremsesystemet etter hendelsen viste at det var tomt for bremsevæske i den ene hydrauliske kretsen, og ustabilt bremsetrykk i den andre kretsen grunnet innvendig lekkasje i hovedsylinderen._x000D_
_x000D_
Havarikommisjonens undersøkelser viser at bremsesystemet for jernbanehjulene til ledningsbilen utgjør en sikkerhetsrisiko, da bremsene ikke feiler til sikker tilstand. Undersøkelsen peker på følgende:_x000D_
_x000D_
•	Bremsesystemet er ikke i samsvar med kravforskriften, BOStrab eller EN 15746._x000D_
•	Statens jernbanetilsyn har ikke avdekket manglene i bremsesystemet da det ble gitt tillatelse til å ta ledningsbilen i bruk._x000D_
•	Vedlikeholdsrutinene klarte ikke å forebygge feilene som oppstod._x000D_
•	Uttakskontrollen var utformet slik at det ikke var mulig for fører å avdekke feilene._x000D_
•	Fører ble ikke automatisk varslet om at det var feil (trykkfall) i bremsekretsen til jernbanebremsene._x000D_
_x000D_
Leverandøren, SRS Sjölanders AB, opplyser at de har levert over 300 arbeidsmaskiner med tilsvarende bremsesystem. Jernbaneverket kjenner til at 24 maskiner eiet av private foretak kan tas i bruk på deres sporanlegg i forbindelse med arbeidsoppdrag._x000D_
_x000D_
Havarikommisjonen fremmer en sikkerhetstilråding hvor virksomhetene bes vurdere bruksbegrensninger for kjøretøy med denne typen bremsesystem.</t>
  </si>
  <si>
    <t>Sinsen</t>
  </si>
  <si>
    <t>An examination of the brake system after the incident showed that there was no brake fluid in one of the hydraulic circuits, and that the brake pressure was unstable in the other circuit because of an internal leakage in the main cylinder.</t>
  </si>
  <si>
    <t>The Accident Investigation Board Norway’s investigation showed that the brake system for the rail wheels on the road-rail vehicle constitutes a safety risk, as the brakes are not fail-safe. The following findings were made during the investigation:_x000D_
_x000D_
•	The brake system is not in accordance with the Legal Requirement Regulations, BOStrab or EN 15746._x000D_
•	The Norwegian Railway Authority did not detect the faults in the brake system when it authorised use of the road-rail vehicle._x000D_
•	The maintenance procedures were not able to prevent the faults that occurred._x000D_
•	The pre-use checklist was not designed in a way that enabled the driver to detect the faults._x000D_
•	The driver received no automatic warning of the faults (pressure drop) in the brake circuits for the rail brakes.</t>
  </si>
  <si>
    <t>UK-5052</t>
  </si>
  <si>
    <t>Train derailment, 02-03-16, Ealing Broadway (United Kingdom)</t>
  </si>
  <si>
    <t>At 01:30 hrs on 2 March 2016 a London Underground District line train became derailed on points 39 outside Ealing Broadway station._x000D_
The train, which was forming a service from Upminster, had been held for about an hour at signal WP17 outside Ealing Broadway, which was set at danger (red) due to a track circuit failure._x000D_
Staff took action to secure points 38, which are in the route from signal WP17 to platform 7. Points 39A in the route had not been identified as also requiring securing and these were not set correctly for the train to pass over them. It was at these points that the train derailed, at a speed estimated to be less than 5 mph (8 km/h), having been authorised to pass signal WP17 at danger._x000D_
No-one was injured in the derailment and there was no damage to the train, but the points were badly damaged._x000D_
There were nineteen passengers on the train, who were escorted to the platform at Ealing Broadway.</t>
  </si>
  <si>
    <t>Ealing Broadway</t>
  </si>
  <si>
    <t>39A points were set in the wrong position for the passage of the train, which derailed as it travelled over them (paragraph 68).</t>
  </si>
  <si>
    <t>The causal factors were:_x000D_
a. track circuit CB failed, locking points 39A in the reverse position (paragraph 70, no recommendation);_x000D_
b. the train operator of train 011 was authorised to pass signal WP17 at danger despite the route being incorrectly set for the train (paragraph 73, Recommendation 3);_x000D_
c. the availability and quality of the information available to service control staff was insufficient (paragraph 82, Recommendation 1);_x000D_
d. staff misunderstood the track layout at Ealing Broadway (paragraph 90, no recommendation);_x000D_
e. the training of the service control staff on Traffic Controller’s Diagrams did not include recognising slip points (paragraph 96, no recommendation);_x000D_
f. the duty signal incident manager did not pass on the full information regarding which set of points were required to be in which position for the route (paragraph 99, Recommendation 2); and_x000D_
g. the working relationship between the Piccadilly line signaller and the District line service controller was poor (paragraph 107, Recommendation 3)._x000D_
Underlying factors_x000D_
130 An underlying factor was that the management of information for operating staff is inadequate (paragraph 110, Urgent Safety Advice (appendix D)).</t>
  </si>
  <si>
    <t>HU-5042</t>
  </si>
  <si>
    <t>Spad, 07-03-16, Mosonszolnok station (Hungary)</t>
  </si>
  <si>
    <t>Freight train departed from Mosonszolnok station without permission. The train passed a red signal, left the station and run towards the neighbouring station oppositely the adjusted direction of the traffic.</t>
  </si>
  <si>
    <t>Mosonszolnok station</t>
  </si>
  <si>
    <t>A 42082-1 sz. vonat úgy indult el az állomásról, hogy a kijárati vágányútjában érintett egyéni kijárati jelzon továbbhaladást tiltó jelzési kép volt, s a mellette való elhaladásra nem kapott felhatalmazást._x000D_
A Vb a rendelkezésére álló adatok alapján az esetek bekövetkezését emberi tényezore vezeti vissza. A vonat mozdonyvezetoje téves feltételezés alapján indította meg vonatát, anélkül, hogy a rá vonatkozó jelzo állásáról, továbbhaladást engedélyezo vagy tiltó jelzési képérol meggyozodött volna. 
Train No 42082-1 departed from the station with a signal image prohibiting passing through the individual exit marker on the exit track and was not authorised to pass next to it. _x000D_
On the basis of the data at its disposal, Vb leads the occurrence of cases to a human factor. The train driver started his train on an incorrect assumption, without ascertaining the signal position or the signal image of the train driver allowing or prohibiting him to proceed.</t>
  </si>
  <si>
    <t>RO-5045</t>
  </si>
  <si>
    <t>Fire in RS, 09-03-16, Tulcea Marfuri (Romania)</t>
  </si>
  <si>
    <t>the diesel electric locomotive DA 1306 caught fire</t>
  </si>
  <si>
    <t>Direct cause _x000D_
The fire happened because the over-heating of the power supply cables from the traction motor no.5, it leading to the ignition of their insulation and of the oil wastes resulted from the locomotive operation. _x000D_
_x000D_
Contributing factors_x000D_
1. over-operation of the traction motors at values and variations of the current strength, in the conditions of the hauling of the freight train no.93311d-2 on the 9th of March 2016 (high humidity of the air 94%, profile with gradient up to 21.5 ‰, the big tonnage of the train representing 98,35% from the maximum tonnage accepted for this track section);_x000D_
1.	the sanding equipment of the locomotive DA 1306 was out of service;_x000D_
2.	the anti-slide equipment of the locomotive DA 1306 was out of service;_x000D_
3.	put in operation of the locomotive DA 1306 with the equipments for sanding and anti-slide out of service; _x000D_
4.	unsuitable cleaning of the locomotive following the oil leakages, resulted from the sealing areas of the equipments and of the diesel motor;_x000D_
5.	keeping in operation of the locomotive DA 1306 after achieving the time norm for the performance of the planned repairs. 
Cauza directa _x000D_
Incendiul s-a produs datorita supraîncalzirii cablurilor de alimentare ale motorului de trac?iune nr.5 fapt ce a condus la aprinderea izola?iei acestora precum ?i a reziduurilor de produse petroliere provenite din exploatarea locomotivei. _x000D_
_x000D_
Factori care au contribuit_x000D_
1.	puternica solicitare a motoarelor de trac?iune la valori ?i varia?ii mari ale intensita?ii curentului electric, pe fondul condi?iilor în care s-a efectuat remorcarea trenului de marfa nr.93311d-2 din data de 09.03.2016 (umiditate ridicata a aerului 94%, profilul în rampa cu o declivitatea de pâna la 21.5 ‰, tonajul mare al trenului ce reprezenta 98,35% din tonajul maxim admis pentru aceasta sec?ie);_x000D_
2.	nefunc?ionarea instala?iei de nisipare a locomotivei DA 1306;_x000D_
3.	nefunc?ionarea instala?iei antipatinaj a locomotivei DA 1306;_x000D_
4.	punerea în exploatare a locomotivei DA 1306 în condi?iile în care instala?iile de nisipare ?i antipatinaj nu func?ionau; _x000D_
5.	starea de cura?enie necorespunzatoarea a locomotivei ca urmare a scurgerilor de produse petroliere, provenite din zonele de etan?are a instala?iilor precum ?i ale motorului diesel;_x000D_
6.	men?inerea în exploatare a locomotivei DA 1306 dupa realizarea normei de timp pentru efectuarea repara?iilor planificate.</t>
  </si>
  <si>
    <t>. Underlying causes _x000D_
?	infringement of the provisions from the Annex 3 of the Technical Specification code ST-LDE 2100 HP- Rev. edition 2 Revision 0 „Planned inspections type PTAE (Pth), R15, RI, RT, R1, R2, 2R2, R3 and casual repairs type RIT, RIR, RAD, RA at the locomotives Diesel-electric of 2100 HP”, that is, within the planned inspection R15 performed on the 8th of March 2016 one did not make the works stipulated for keeping in good operation condition the sanding equipment of the locomotive DA 1306; _x000D_
?	infringement of the proivisions of the Annex 3 of the Technical Specification code ST-LDE 2100 HP- Rev. edition 2 Revision 0 „Planned inspections type PTAE (Pth), R15, RI, RT, R1, R2, 2R2, R3 and casual repairs type RIT, RIR, RAD, RA at the locomotives Diesel-electric of 2100 HP”, that is, within the planned repairs R15 performed on the 8th of March 2016, one did not checked the circuit for the protection against the slide of the locomotive DA 1306; _x000D_
?	infringement of the provisions from the Instructions for the activity of the locomotive staff no.201/2006 approved by Order of the Minister of Transports no.2229/2006, respectivelly of the art.40 letters c) and h), concerning the equipments whose failures prohibit the exit of the locomitves from the traction units for the train hauling or for shunting;_x000D_
?	infringement of the provisions of Chapter 3 – Norms for the performance of inspections and planned repairs of the railway vehicles and their periodicity (cycle) from the Railway Norm  67-006:2011 „„Railway vehicles. Types of inspections and planned repairs.  Norms of time or norms of run km for the performance of inspections and planned repairs", approved by Order of Minister of Transports and Infrastructure no.315/2011, amended by Order of Minister of Transports and Infrastructure  no.1359/2012, as follows:_x000D_
-subparagraph 3.1, that is the locomotive DA 1306 was not withdrawn from running at the achievement of the norm of time stipulated for the performance of the planned repairs;_x000D_
       -table 3.1, letter A,  position no.3, that is one did not meet with the cycle of planned repairs for the locomotive DA 1306._x000D_
_x000D_
Root cause_x000D_
Lack in the regulation framework (procedures, orders, disposals, etc) that establish the periodicity of the works for cleaning and washing of the  diesel-electric locomotives, as well as the lack of a contract for these services in accordance with the requirements of the Chapter 3 – Prescriptions for cleaning and washing the diesel-electric locomotives 060 DA DE 2100 HP  from the Railway Technical Norm no.67-004 from the 18th of March 2008 "Railway vehicle. Diesel-electric locomotive 060 DA de 2.100 HP. Technical prescriptions for inspection within the technological process at the entrance of the locomotive in the traction units, prescriptions for power supply and fitting-out, as well as for the cleaning and washing the locomotive" concerning the measures that have to be taken for keeping the cleaning condition of the diesel-electric locomotives. 
Cauze subiacente _x000D_
?	nerespectarea prevederilor Anexei 3 la specifica?ia tehnica cod ST-LDE 2100 CP- Rev. edi?ia 2 Revizia 0 „Revizii planificate tip PTAE (Pth), R15, RI, RT, R1, R2, 2R2, R3 ?i repara?ii accidentale tip RIT, RIR, RAD, RA la locomotivele Diesel-electrice de 2100 CP”, în sensul ca, în cadrul reviziei planificate R15 efectuata la data de 08.03.2016 nu au fost executate lucrarile prevazute pentru men?inerea în buna stare de func?ionare a instala?iei de nisipare a locomotivei DA 1306; _x000D_
?	nerespectarea prevederilor Anexei 3 la specifica?ia tehnica cod ST-LDE 2100 CP- Rev. edi?ia 2 Revizia 0 „Revizii planificate tip PTAE (Pth), R15, RI, RT, R1, R2, 2R2, R3 ?i repara?ii accidentale tip RIT, RIR, RAD, RA la locomotivele Diesel-electrice de 2100 CP”, în sensul ca, în cadrul reviziei planificate R15 efectuata la data de 08.03.2016 nu au fost verificat circuitul de protec?ie împotriva patinarii a locomotivei DA 1306; _x000D_
?	nerespectarea prevederilor din Instruc?iunile pentru activitatea personalului de locomotiva în transportul feroviar nr.201/2006 aprobate prin Ordinul Ministrului nr.2229/2006, respectiv ale art.40 lit.c) ?i lit.h), cu privire la instala?iile ale caror defectare interzic ie?irea locomotivelor din unita?ile de trac?iune pentru remorcarea trenurilor sau manevra;_x000D_
?	nerespectarea prevederilor Capitolului 3 – Norme pentru efectuarea reviziilor ?i repara?iilor planificate ale vehiculelor feroviare ?i periodicitatea acestora (ciclul) din Normativul Feroviar  67-006:2011 „Vehicule de cale ferata. Tipuri de revizii ?i repara?ii planificate.  Normele de timp sau normele de kilometri parcur?i pentru efectuarea reviziilor ?i repara?iilor planificate", aprobat prin Ordinul Ministrului Transporturilor ?i Infrastructurii nr.315/2011 modificat ?i completat prin Ordinul MTI nr.1359/2012, astfel:_x000D_
-subpunctul 3.1, în sensul ca locomotiva DA 1306 nu a fost retrasa din circula?ie la realizarea  normei de timp prevazuta pentru efectuarea repara?iilor planificate;_x000D_
       -tabelul 3.1, lit. A,  pozi?ia nr.3, în sensul ca nu a fost respectat ciclul de repara?ii planificate pentru locomotiva DA 1306._x000D_
_x000D_
Cauza primara_x000D_
Absen?a unui cadru de reglementare (proceduri, ordine, dispozi?ii, etc) prin care sa fie stabilita periodicitatea lucrarilor de cura?are ?i spalare a locomotivelor diesel – electrice precum ?i lipsa unui contract aferent acestor servicii în conformitate cu cerin?ele Capitolului 3 - Prescrip?ii pentru cura?area ?i spalarea locomotivei diesel - electrice 060 DA DE 2100 CP din Norma tehnica feroviara nr.67-004 din 18.03.2008 "Vehicule feroviare. Locomotiva diesel-electrica 060 DA de 2.100 CP. Prescrip?ii tehnice pentru revizia pe procesul tehnologic la intrarea locomotivei în unita?ile de trac?iune, prescrip?ii pentru alimentare ?i echipare, precum ?i pentru cura?area ?i spalarea locomotivei" referitor la masurile ce trebuie luate pentru men?inerea starii de cura?enie a locomotivelor diesel-electrice.</t>
  </si>
  <si>
    <t>RO-5043</t>
  </si>
  <si>
    <t>Train derailment, 10-03-16, Siculeni (Romania)</t>
  </si>
  <si>
    <t>The first boghie from the 4-th wagon of the freight train no.83286 derailed  in the railway station Siculeni</t>
  </si>
  <si>
    <t>Siculeni</t>
  </si>
  <si>
    <t>Direct cause of the accident is the hit and overclimbing of the check rail on the direction I,  corresponding to the common crossing from  the switch no.60 of the double diamond crossing with slips TJD nr.60/64, in the  Siculeni railway station,  by the left wheels from the first bogie in the running direction of the wagon no.31534542105-3.  It happened because the increase of the gauge value in dynamic conditions, cummulated with the fact that, the widening of the trough from the end of the check rail from the same direction, at the common crossing of the same switch, had a smaller value than that established by the manufacturer of the switch._x000D_
	_x000D_
Contributing factors: _x000D_
-	change of the widening of the trough at the end of the check rail from the common crossing from the direction  I of TJD nr.60/64, through putting plates for the adjustment of the trough widening, without knowing their use way;_x000D_
-	change of the length of the curved stock rail of the direction I- of TJD no.60/64, of the running rail from the check rail of the direction I at the common crossing of the switch no.60, as well as of the shape and sizes of the metallic plates at the right joint (towards the running direction of the train) from the end of the right stock rail of the direction I;_x000D_
-	unsuitable technical condition of some special wooden sleepers, that did not allow the fastening of the coach screws for the fastening of the metallic plates on sleepers at:_x000D_
?	the first support of the check rail from the direction I (left support, towards the running direction of the train, between the switch diamond of the switch no.60) of TJD no.60/64;_x000D_
?	right joint (towards the running direction of the train) from the end of the right stock rail of the direction I. 
Cauza directa a producerii acestui accident o constituie lovirea si escaladarea contra?inei de pe direc?ia I,  corespunzatoare inimii simple de încruci?are a aparatului de cale nr.60 din cuprinsul traversarii cu jonc?iune dubla TJD nr.60/64 din sta?ia CFR Siculeni, de catre ro?ile din partea stânga ale primului boghiu în sensul de mers al vagonului nr.31534542105-3. Aceasta s-a produs în condi?iile cre?terii, în regim dinamic, a valorii ecartamentului caii, cumulat cu faptul ca, largimea jgheabului la capatul contra?inei de pe aceea?i direc?ie, din dreptul inimii de încruci?are simpla a acestui aparat de cale, avea valoarea mai mica decât cea prescrisa de producatorul aparatului de cale._x000D_
	_x000D_
Factorii care au contribuit: _x000D_
-	modificarea largimii jgheabului în dreptul capatului contra?inei din dreptul inimii de încruci?are simpla de pe direc?ia I a TJD nr.60/64, prin introducerea placu?elor pentru reglarea largimii jgheabului, fara cunoa?terea modului de folosire a acestora;_x000D_
-	modificarea lungimii contraacului curb al direc?iei I-III a TJD nr.60/64, a ?inei de rulare de la contra?ina de pe direc?ia I din dreptul inimii de încruci?are simpla a aparatului de cale nr.60, precum ?i a formei ?i dimensiunilor unor placi metalice la joanta din partea dreapta (fa?a de sensul de mers al trenului) de la capatul contraacului drept al direc?iei I;_x000D_
-	starea tehnica necorespunzatoare a unora din traversele speciale de lemn, care nu au mai permis strângerea tirfoanelor pentru fixarea placilor metalice de traverse în zona:_x000D_
?	primului suport al contra?inei de pe direc?ia I (suportul din partea stânga, fa?a de sensul de mers al trenului, dinspre vârful inimii simple a aparatului de cale nr.60) a TJD nr.60/64;_x000D_
?	joantei din partea dreapta (fa?a de sensul de mers al trenului) de la capatul contraacului drept al direc?iei I.</t>
  </si>
  <si>
    <t>Underlying causes of the accident: _x000D_
-	infringement of the provisions from art.15, point 11 and from art.19 point 2 from the Instruction of norms and tolerances for the track construction and maintenance – tracks with standard gauge no.314/1989, concerning the non-acceptance of the unsuitable sleepers within the switches, respectively at the tolerances accepted in the operation of the switches;_x000D_
-	infringement of the provisions from point 4.4.1 from the Instruction for work code I 05.00.00-15 for fitting, operation and maintenance of switches type 49 E1, 60 E1 and R65, drawn up by the manufacturer of the switch no.60/64, concerning the conditions that impose the replacement of the switch sub-assemblies;_x000D_
-	infringement of the provisions from chapter 5 of the Instruction for work code I 05 00.00-22 for the operation and maintenance of the running rails with stock rails type „U”, drawn up by the manufacturer of the switch no.60/64, concerning the measures that have to be taken for a unsuitable guiding distance._x000D_
_x000D_
 Root cause_x000D_
	Non-application of all provisions of the operational procedure code PO SMS 0-4.07 „Meeting with the technical specifications, standards and requirements relevant for whole life time of the lines in maintenance process” (including the annexes), part of the safety management system of the public railway infrastructure CNCF „CFR” SA, with reference to:_x000D_
-	managing of the activities for maintenance and periodical repairs of the lines;_x000D_
-	ensuring of the materials, labour force and training of the staff, necessary to perform current maintenance and periodical repair. 
Cauzele subiacente ale producerii acestui accident au fost: _x000D_
-	nerespectarea prevederilor art.15, pct.11 ?i ale art.19 pct.2 din Instructia de norme si tolerante pentru constructii si întretinerea caii - linii cu ecartament normal nr.314/1989, referitoare la neadmiterea traverselor necorespunzatoare în cuprinsul aparatelor de cale, respectiv la toleran?ele admise în exploatare la aparatele de cale;_x000D_
-	nerespectarea prevederilor pct.4.4.1 din Instruc?iunea de lucru cod I 05.00.00-15 pentru montarea, exploatarea ?i între?inerea aparatelor de cale ferata tip 49 E1, 60 E1 ?i R65, elaborata de producatorul aparatului de cale nr.60/64, referitoare la condi?iile care impun înlocuirea subansamblelor aparatelor de cale;_x000D_
-	nerespectarea prevederilor Cap.5 din Instruc?iunea de lucru cod I 05 00.00-22 pentru exploatarea ?i între?inerea ?inelor de rulare cu contra?ine tip „U”, elaborata de producatorul aparatului de cale nr.60/64, referitoare la masurile ce trebuie luate în cazul unei distan?e de ghidare defectuoasa._x000D_
_x000D_
 Cauza primara_x000D_
	Neaplicarea tuturor prevederilor procedurii operationale cod PO SMS 0-4.07 „Respectarea specificatiilor tehnice, standardelor si cerintelor relevante pe întreg ciclul de viata a liniilor în procesul de întretinere” (inclusiv a anexelor), parte a sistemului de management al sigurantei administratorului de infrastructura feroviara publica CNCF „CFR” SA, referitoare la:_x000D_
-	coordonarea activita?ilor de între?inere ?i repara?ii periodice a liniilor de cale ferata;_x000D_
-	asigurarea bazei materiale, a for?ei de munca ?i a instruirii personalului necesare executarii lucrarilor de între?inere curenta ?i repara?ie periodica.</t>
  </si>
  <si>
    <t>RO-5044</t>
  </si>
  <si>
    <t>Train derailment, 12-03-16, Chitila (Romania)</t>
  </si>
  <si>
    <t>the rear two wagons from the freight train 40616 derailed in the Chitila railway station</t>
  </si>
  <si>
    <t>Chitila</t>
  </si>
  <si>
    <t>Cauza directa a producerii accidentului o constituie pierderea capacitatii de ghidare a caii în zona km 1+985 pe linia curenta firul II dintre Ramifica?ia Rudeni ?i sta?ia CFR Chitila._x000D_
_x000D_
Factori care au contribuit:_x000D_
-	mentenan?a defectuoasa a suprastructurii caii. 
Direct cause of  the accident is the lost of the guiding capacity of the track at km 1+985, on the running line, track II, between the branch line Rudeni and the railway station Chitila._x000D_
_x000D_
Contributing factors:_x000D_
-	unsuitable maintenance of the track superstructure.</t>
  </si>
  <si>
    <t>Cauza subiacenta_x000D_
Nerespectarea prevederilor Instruc?iei de norme ?i toleran?e pentru construc?ia ?i între?inerea caii-linii cu ecartament normal nr.314/1989, referitor la modul de alcatuire a caii cu joante._x000D_
_x000D_
Cauze primare_x000D_
1.	Neaplicarea prevederilor Instructiei de întretinere a liniilor ferate nr.300/2003, document asociat al procedurii operationale cod PO SMS 0-4.07 „Respectarea specificatiilor tehnice, standardelor si cerintelor relevante pe întreg ciclul de viata a liniilor în procesul de întretinere”, parte a sistemului de management al sigurantei al CNCF “CFR” SA, referitoare la dimensionarea personalului Districtului de Linii nr.5 Chitila din cadrul Sectiei L2 Bucure?ti, în raport cu volumul de lucrari._x000D_
2.	Neidentificarea pericolelor generate de aprovizionarea insuficienta cu unele materiale necesare realizarii mentenan?ei caii (respectiv a traverselor normale de lemn). 
Underlying cause_x000D_
Infringement of the provisions from the Instruction of norms and tolerances for the construction and maintenance of the track – line with standard gauge no. 314/1989, concerning the composition of the welded track._x000D_
_x000D_
Root causes_x000D_
1.	Non-application of the provisions from the Instruction for the maintenance of the lines no.300/2003, document associated to the operational procedure code PO SMS 0-4.07 „Compliance with the technical specifications, standards and requirements relevant for the whole life time of the lines in the maintenance process”, part of the safety management system of  CNCF “CFR” SA, for the sizing of the staff from  Line District no.5 Chitila, within  Track Section L2 Bucure?ti, in relation to the works.</t>
  </si>
  <si>
    <t>RO-5047</t>
  </si>
  <si>
    <t>Other event, 12-03-16, Strehaia - Butoiesti (Romania)</t>
  </si>
  <si>
    <t>the rear locomotive EA 329 from the passenger train no.9502 struck a fishplate from a joint</t>
  </si>
  <si>
    <t>Strehaia - Butoiesti</t>
  </si>
  <si>
    <t>Direct cause_x000D_
The direct cause of the railway incident was the affecting of the structure clearance by the metallic fish plate type 65, put inside the track, on the right side in the running direction of the train.   _x000D_
_x000D_
           Contributing factors_x000D_
?	breakage through shear of those 3 horizontal screws type PM 27x170, that ensure the fastening of the fish plate type 65 at the joint from the right side of the track, having as reference the train running direction, at km 304+000, track II of the line Bucure?ti Nord-Timi?oara Nord-track section Filia?i – Or?ova.  _x000D_
?	the existence of a muddy area in the broken stone prism, that generated, under the dynamic effect of the rolling stock in running, frequent vertical movements of the joint assembly, affecting the mechanical resistance at shear of those 3 horizontal screws type PM 27x170, that ensure the fastening of the fish plates. 
Cauza directa_x000D_
Cauza directa a producerii incidentului feroviar o constituie afectarea gabaritului CFR de libera trecere de catre eclisa metalica tip 65, dispusa la interiorul caii, pe partea dreapta în sensul de mers al trenului.   _x000D_
           Factori care au contribuit_x000D_
?	ruperea prin forfecare a celor 3 suruburi orizontale de tip PM 27x170, ce asigurau fixarea eclisei tip 65 la joanta dispusa pe partea dreapta a caii, având ca referin?a sensul de mers al trenului, la km 304+000, firul II de circula?ie al liniei Bucure?ti Nord-Timi?oara Nord-sec?ia de circula?ie Filia?i – Or?ova.  _x000D_
?	existenta în corpul prismei de piatra sparta a unei zone noroioase, care a favorizat sub efectul dinamic produs de materialul rulant aflat în circula?ie, producerea unor deplasari repetate în plan vertical ale ansamblului joantei, afectând astfel rezisten?a mecanica la forfecare a celor 3 suruburi orizontale de tip PM 27x170 ce asigurau fixarea ecliselor.</t>
  </si>
  <si>
    <t>Underlying causes_x000D_
?	infringement of the codes for good practices, with reference to the railway superstructure maintenance; _x000D_
?	infringement of the provisions of the Minister of Transports’ Order 490/2000, Annex 1- "Instructions on the dealing with the failures of some railway critical products under warranty" – 906, art. 4(1);_x000D_
_x000D_
Root causes_x000D_
?	None. 
Cauze subiacente_x000D_
?	nerespectarea codurilor de bune practici în ce prive?te mentenan?a suprastructurii feroviare; _x000D_
?	nerespectarea prevederilor OMT 490/2000, Anexa 1- "Instructiuni privind tratarea defectelor unor produse feroviare critice aflate în termen de garantie" – 906, art. 4(1);_x000D_
_x000D_
            Cauzele primare_x000D_
?	Nu au fost identificate cauze primare.</t>
  </si>
  <si>
    <t>ES-5059</t>
  </si>
  <si>
    <t>Trains collision with an obstacle, 15-03-16, Between Mont-roig del Camp and Hospitalet de Lâ€™Infant stations (Tarragona) (Spain)</t>
  </si>
  <si>
    <t>Long distance passenger train collided with a large rock lying on the track and partially derailed after that. No personal damage. The heavy rains fallen during that day made ground and rocks to fall from the cutting.</t>
  </si>
  <si>
    <t>Between Mont-roig del Camp and Hospitalet de Lâ€™Infant stations (Tarragona)</t>
  </si>
  <si>
    <t>The accident was caused by a partial collapsing of the ditch, facilitated by the heavy rains of previous days.</t>
  </si>
  <si>
    <t>Monitoring and maintenance didn’t notice the state of the ditch. The section of the ditch was not reinforced.</t>
  </si>
  <si>
    <t>ES-5060</t>
  </si>
  <si>
    <t>Spad, 16-03-16, Torrejón de Ardoz siding (Madrid) (Spain)</t>
  </si>
  <si>
    <t>Freight train overrun exit signal S1/3 at Torrejón de Ardoz siding.</t>
  </si>
  <si>
    <t>Torrejón de Ardoz siding (Madrid)</t>
  </si>
  <si>
    <t>ACCIONA RAIL SERVICES</t>
  </si>
  <si>
    <t>The incident was caused by a human error of the driver of the train CGX89: the train passed the signal S1/3 (which indicated ‘stop’) because of a lack of attention. The short experience of the driver and possible fatigue (after 11h37min of working) were contributing causes.</t>
  </si>
  <si>
    <t>DE-5050</t>
  </si>
  <si>
    <t>Trains collision, 20-03-16, Neufahrn (Niederbay) - Eggmühl (Germany)</t>
  </si>
  <si>
    <t>Am 20.03.2016 gegen 08:07 Uhr kollidiert der in Fahrtrichtung Neufahrn (MNFR) – Eggmühl (MEGM) auf dem Streckengleis MNFR-MEGM fahrende Personenzug DPN 84102 der Län-derbahn GmbH in km 100,7 mit dem führenden Triebfahrzeugs den rechten Flankenpflug einer im Nachbargleis arbeitenden Schotterplaniermaschine. 
On 20.03.2016, at about 08:07, passenger train DPN 84102 belonging to Länderbahn GmbH and driving in the direction of Neufahrn (MNFR) – Eggmühl (MEGM) on the track MNFR-MEGM collided at km 100,7 with the leading traction unit on the right shoulder plough of a ballast planning machine operating in the adjacent track.</t>
  </si>
  <si>
    <t>Neufahrn (Niederbay) - Eggmühl</t>
  </si>
  <si>
    <t>LEANDER-Eisenbahn GmbH</t>
  </si>
  <si>
    <t>Zum Aufnehmen von überschüssigem Schotter außerhalb des festgelegten Arbeitsbereichs und zum Ausweichen vor einem Hindernis wurde der rechte Flankenpflug der Schotterplaniermaschine nach Deaktivierung der Schwenkbegrenzung kurzzeitig angehoben und seitlich weiter ausgeschwenkt. Der Bediener des Flankenpflugs übersah dabei die Warnung durch die blinkende Warnanlage vor dem herannahenden DPN 84102. Entgegen der betrieblichen Vorgabe lässt der Bediener des Flankenpfluges keine Gleissperrung beantragen, sondern schwenkt den Pflug eigenmächtig in das benachbarte Lichtraumprofil. Der in das Lichtraumprofil des DPN 84102 ragende Flankenpflug kollidierte mit dem auf der äußeren Spitze des Flankenpflugs obenauf montierten Warngeber mit der linken Trittstufe der führenden Lokomotive 9180 6183 002-5. 
To remove excess ballast outside the defined working range and to avoid an obstacle, the right shoulder plough of the ballast planning machine had been lifted for a short time period and swung out laterally, after deactivating the swiveling limitation. The operator of the shoulder plough oversaw the warning signal by the flashing warning device of the approaching DPN 84102. Contrary to the operational requirement, the operator of the shoulder plough did not request a track closure, but swiveled the plough without any authorization into the adjacent loading gauge. The shoulder plough, which went across the loading gauge of the DPN 84102, collided with the outer end of the shoulder plough on the warning device with the left step tread of the leading locomotive 9180 6183 002-5.</t>
  </si>
  <si>
    <t>CZ-5048</t>
  </si>
  <si>
    <t>Level crossing accident, 21-03-16, Golcuv Jeníkov mesto - Golcuv Jeníkov stations (Czech Republic)</t>
  </si>
  <si>
    <t>Collision of shunting operation on excluded line with a car at the level crossing No. P3706 in the area of Golcuv Jeníkov mesto railway stop.</t>
  </si>
  <si>
    <t>Golcuv Jeníkov mesto - Golcuv Jeníkov stations</t>
  </si>
  <si>
    <t>LOKOTRANS SERVIS</t>
  </si>
  <si>
    <t>Direct cause:_x000D_
• entry of the car onto the level crossing No. P3706 at the time when the shunting operation was approaching to the level crossing; _x000D_
• illegal movement of shunting operation between stations behind a place to stop listed in order "V" and the consequent movement over the railway crossing No. P3706, with an exceeding the authorized_x000D_
speed._x000D_
Contributory factor:_x000D_
• the train driver of shunting operation was under the influence of alcohol.</t>
  </si>
  <si>
    <t>Underlying cause:_x000D_
• not giving priority to railway transport at a level crossing by driver of the car;_x000D_
• departure of shunting operation from the Golcuv Jeníkov station to the excluded track line in conflict with the technological procedures due to incorrect and incomplete content of order "V" and process for its takeover by train driver;_x000D_
• failure to compliance of technological procedures provided for a movement of shunting operation between stations on excluded track line._x000D_
Root cause: none.</t>
  </si>
  <si>
    <t>RO-5049</t>
  </si>
  <si>
    <t>Train derailment, 21-03-16, Augustin (Romania)</t>
  </si>
  <si>
    <t>the first bogie from the electric locomotive EA 498 that hauled Interregio train no. 1745 derailed on the entrance on the railway station Augustin.</t>
  </si>
  <si>
    <t>Augustin</t>
  </si>
  <si>
    <t>Direct cause of the accident is the track gauge, with values over the tolerances accepted in operation, for switches, respectively on the cross-over 3-7 from the railway station Augustin, that is, while the first axle ran on a track section with widened gauge (1449 mm), the last axle ran on a track section with a gauge narrowed (1426 mm)._x000D_
It led to a bad guiding of the last axle (to the running direction) of the locomotive, sent to the guiding axle (first axle of the first bogie from the locomotive) through the transverse coupling, it limiting the guiding capacity and radial orientation in curve, of the leading axle, generating its derailment. The limitation of the guiding capacity happened during the speed increase, without this speed increase be a decisive factor of the accident._x000D_
Contributing factors of the accident were: _x000D_
-	the special wooden sleepers from the group of switches 3-7 that had longitudinal cracks. 
Cauza directa a producerii accidentului o constituie ecartamentul caii, cu valori care depa?eau toleran?ele admise în exploatare, pentru aparatele de cale, respectiv pe diagonala 3-7 din halta de mi?care Augustin, în sensul ca, în timp ce prima osie se afla pe o zona cu ecartament largit (1449 mm), ultima osie se afla pe o zona cu ecartament îngustat (1426 mm)._x000D_
Acest fapt a indus o ghidare defectuoasa ultimei osii (fa?a de sensul de mers) a locomotivei, transmisa osiei conducatoare (prima osie a primului boghiu al locomotivei) prin intermediul cuplajului transversal, fapt care a limitat capacitatea de ghidare ?i orientare radiala în curba, a osiei conducatoare, determinând deraierea acesteia. Limitarea capacita?ii de ghidare s-a produs în timpul sporirii vitezei, fara ca aceasta sporire a vitezei sa fie un factor determinant la producerea accidentului._x000D_
_x000D_
Factorii care au contribuit la producerea accidentului au fost: _x000D_
_x000D_
-	traversele speciale de lemn din cuprinsul diagonalei 3-7 care prezentau crapaturi longitudinale.</t>
  </si>
  <si>
    <t>Underlying causes  _x000D_
-	infringement of the art19.2 from Instruction of norms and tolerances for the construction and maintenance of the track – lines with standard gauge - no.314/1989 concerning the tolerances accepted against the gauge established for switches. _x000D_
-	infringement of the provisions from art.25, point 4 from Instruction of norms and tolerances for the construction and maintenance of the track – lines with standard gauge - no.314/1989, concerning the non-acceptance of the unsuitable sleepers within the switches._x000D_
_x000D_
Root causes_x000D_
Non application of all provisions of the operational procedures code PO SMS 0-4.07 „Compliance with the technical specifications, standards and requirements relevant for whole life cycle of the lines in the maintenance process”, part of the safety management of the public railway infrastructure manager CNCF „CFR” SA, concerning the performance of the maintenance and periodical repairs of railway tracks. 
Cauzele subiacente _x000D_
-	Nerespectarea art.19.2 din Instruc?ia de norme ?i toleran?e pentru construc?ia ?i între?inerea caii - linii cu ecartament normal - nr.314/1989 referitoare la toleran?ele admise fa?a de ecartamentul prescris la aparatele de cale. _x000D_
-	Nerespectarea prevederilor art.25, pct.4 din Instruc?ia de norme ?i toleran?e pentru construc?ia ?i între?inerea caii - linii cu ecartament normal - nr.314/1989, referitoare la neadmiterea traverselor necorespunzatoare în cuprinsul aparatelor de cale._x000D_
_x000D_
Cauze primare_x000D_
Neaplicarea tuturor prevederilor procedurii operationale cod PO SMS 0-4.07 „Respectarea specificatiilor tehnice, standardelor si cerintelor relevante pe întreg ciclul de viata a liniilor în procesul de întretinere”, parte a sistemului de management al sigurantei administratorului de infrastructura feroviara publica CNCF „CFR” SA, referitoare la executarea lucrarilor de între?inere ?i repara?ii periodice a liniilor de cale ferata.</t>
  </si>
  <si>
    <t>FI-5062</t>
  </si>
  <si>
    <t>Trains collision with an obstacle, 22-03-16, Kokkola, Matkaneva, Seinäjokiâ€“Ylivieska section of line (Finland)</t>
  </si>
  <si>
    <t>A locomotive running as a freight train collided with a steel slit coil and derailed. The slit coil had dropped on the track from a freight train running to the opposite direction.</t>
  </si>
  <si>
    <t>Kokkola, Matkaneva, Seinäjokiâ€“Ylivieska section of line</t>
  </si>
  <si>
    <t>The immediate cause of the accident was the breaking of the radial straps holding the slit coil pack together. The break was preceded by the radial straps becoming loose and displaced during the handling and transport after they were bound at the factory. The loose radial straps allowed the slit coil pack to tilt during transport. The pack fell over and a slit coil fell of the wagon.</t>
  </si>
  <si>
    <t>The binding was deficient. There was only one strap at the centre around the circumference holding the radial straps in place. According to the instructions, there should have been two straps placed near the edges of the slit coil pack._x000D_
No separate risk assessment has been carried out for slit coil transports with an aim to take potential hazards and critical work phases into account in binding, handling and transport. The strength of the binding of slit coil packs has not been calculated, either, nor has it been determined in which part of the wagon the heavy slit coil packs should be placed, taking the wagon’s running characteristics and the lateral accelerations on the coil bundle into account.</t>
  </si>
  <si>
    <t>PL-5061</t>
  </si>
  <si>
    <t>Level crossing accident, 26-03-16, Dziarnowo (Poland)</t>
  </si>
  <si>
    <t>The passenger long-distance train No 7501 going in relations Poznan Glówny - Gdynia Glówny operated by RU - PKP Intercity collided with the passenger car Audi A4 Kombi at the levle crossing category A. The barriers of the level crossing were opened.  The car was passing the level crossing when the train approached and hit the car at the level crossing as a consequence of which two level crossing users from the car were killed.</t>
  </si>
  <si>
    <t>Dziarnowo</t>
  </si>
  <si>
    <t>A rail vehicle hitting a road vehicle (passenger car, Audi A4 WAGON), which entered the level crossing with opened gates, directly in front of the approaching train No. EIE 7501, owned by the PKP Intercity S.A. carrier.</t>
  </si>
  <si>
    <t>I. Underlying: ?	_x000D_
1) failure to preserve extreme caution by the driver of Audi A4 WAGON, especially entrance to the level crossing with significant speed, without making sure whether a rail vehicle is approaching or not, against provisions of Art. 19 para 1 of the Act of 20 June 1997 “Traffic Law” - (uniform text OJ Dz.U. 2012, item 1137, as amended)_x000D_
2) driving a road vehicle under influence of alcohol (above 0,2 ‰). _x000D_
3) giving the “C½” signal did not depend on closing of the level crossing’s gates, _x000D_
4) deconcentration and distraction of the train dispatcher Mr. K.W. from current technical and operational situation caused by:_x000D_
malfunction of radio communication with the train on the Dziarnowo level junction, and on the route between the Janikowo station and the Dziarnowo  level junction  _x000D_
- failure of automatic crossing signaling devices at the cat. B level crossing located at 92.252-kilometer point, before the level crossing, where the accident took place; the failure occurred after the “C½” signal, was given, allowing the train No. EIE 7501 to proceed to the area of the Dziarnowo level junction, _x000D_
- a few attempts to establish radio communication with the train to inform the train driver of cat. I failure. _x000D_
_x000D_
II. Root causes:_x000D_
?1) leaving the gates opened by the train dispatcher on the Dziarnowo level junction before giving the “S2” signal, proceed, for the train No. EIE 7501, on the “C½” home signal._x000D_
?2) giving the “S2” signal, proceed, on the “C½” signal, not having made sure whether the level crossing’s gates are closed._x000D_
III. Systemic causes:_x000D_
_x000D_
1.	The infrastructure manager and its executive unit failed to carry out the safety management system’s procedures, including:_x000D_
-  failure to carry out the change management process, determined in the SMS-PR-03 procedure named “Change management - rev. 1 issued in 27.01.2015”, as regards the planned increase of timetable speed of train in the Janikowo -  Dziarnowo level junction section (including the level crossing situated in 95.669-kilometer point), recommended because of conditions occurring in the workplace of the train dispatcher operating the gates. It should have been treated as wrong ergonomics of the train dispatcher’s workplace, among others, no information on gates position that would be displayed on the control panel. Increase of trains speed on the Janikowo -  Dziarnowo level junction section reduced the time of travel and allowed to preserve the time intended for operation of the devices by the train dispatcher in case temporary overlap of needs (e.g. failure of the control and signaling system or radio communication with a train). The above-mentioned circumstance should force an analysis of the train dispatcher’s workplace ergonomics._x000D_
_x000D_
- failure to carry out actions intended to minimize or reduce dangers, stipulated in Procedures SMS-PW-01 called “Maintaining a railway line in a technically and organizationally effective condition” - SMS-PR-02 called “Identification and evaluation of technical risk”, including failure to carry out the risk assessment or to make the possibility to give signals to proceed (note: in Dziarnowo level junction) dependent on closure of the gates, and as a consequence, failure to undertake adequate corrective and preventive actions compliant with the procedure SMS-PD-05 “Corrective and preventive actions” in response to the existing threat of an accident on a level crossing._x000D_
_x000D_
2.	Inefficient direct supervision over safety conditions on the level crossing carried out by the infrastructure manager, including inspections performed in an insufficiently detailed manner, not identifying the emerging threats within the SMS, i.e. the possibility to give the signal allowing to proceed was not dependent on closing the gates (note: Dziarnowo level junction).</t>
  </si>
  <si>
    <t>AT-5499</t>
  </si>
  <si>
    <t>Train derailment, 28-03-16, Station Wiener Neustadt (Austria)</t>
  </si>
  <si>
    <t>On Monday, March 28th, 2016, at about 05:31 clock, Z 29266 lost at the entrance to the railway station Wiener Neustadt Hbf on the floor of the vehicle (underfloor area) an attached technical device (compressor). Subsequent driving over the technical equipment in the track area resulted in the derailment of the Z 29266 with four axles of the towing vehicle, which consists of a three-part 4020 series railcar. On the rail vehicle as well as on the infrastructure a partly substantial property damages developed. The Derailment led to extensive operational constraints (e.g., track blockage, failure of Trains). The cause of the loss of fixed to the vehicle floor technical equipment was a combination between a design error and a mounting error determined. 
Montag, 28. März 2016, um ca. 05:31 Uhr, verlor Z 29266 bei der Einfahrt in den Bf Wiener Neustadt Hbf eine am Fahrzeugboden (Unterflurbereich) befestigte technische Einrichtung (Kompressor). Durch das anschließende Überfahren der im Gleisbereich liegenden technischen Einrichtung entgleiste der aus einem dreiteiligen Triebzug der Baureihe 4020 gebildete Z 29266 mit vier Achsen des Motorwagens. Am Schienenfahrzeug sowie an der Infrastruktur entstand zum Teil erheblicher Sachschaden. Die Entgleisung führte zu umfangreichen betrieblichen Einschränkungen (z.B. Sperre von Gleisen, Ausfall von Zügen). Als Ursache für den Verlust der am Fahrzeugboden befestigten technischen Einrichtungen wurde eine Kombination zwischen einem konstruktiven Fehler und einem Einbaufehler ermittelt.</t>
  </si>
  <si>
    <t>Station Wiener Neustadt</t>
  </si>
  <si>
    <t>Als Ursache für den Verlust der am Fahrzeugboden befestigten technischen Einrichtungen wurde eine Kombination zwischen einem konstruktiven Fehler und einem Einbaufehler ermittelt. 
The cause of the loss of fixed to the vehicle floor technical equipment was a combination between a design error and a mounting error determined.</t>
  </si>
  <si>
    <t>NO-5063</t>
  </si>
  <si>
    <t>Level crossing accident, 30-03-16, Fauske station (Norway)</t>
  </si>
  <si>
    <t>On the 30th of March 2016 a person was hit by train 471 at Fauske station. The accident occured when the person was using the pedestrian level crossing over track 1 at Fauske station. At the same time, train 471 from Trondheim to Bodø arrived at the station. The person was hit by the train and died immediately. 
Den 30. mars 2016 ble en person påkjørt av tog 471 på Fauske stasjon._x000D_
_x000D_
Ulykken skjedde idet vedkommende var i ferd med å krysse personovergangen til spor 1 for å komme til mellomplattformen. Samtidig med dette var tog 471 fra Trondheim til Bodø på vei inn på stasjonen. Personen ble truffet av toget og omkom på stedet.</t>
  </si>
  <si>
    <t>Fauske station</t>
  </si>
  <si>
    <t>Havarikommisjonen mener det er sannsynlig at bruk av smarttelefon og lyd på øret tok bort fokus fra omgivelsene slik at vedkommende ikke oppdaget toget. Txp var tilstede på plattformen og kan, ifølge instruks og dersom det er mulig, gripe inn ved tilløp til uønskede hendelser. Slik Havarikommisjonen ser det, var ikke det mulig i den gitte situasjonen, og det er heller ikke noe de reisende kan basere seg på. I fremtiden er det sannsynlig at flere stasjoner blir ubetjente, og overvåkning og sikring av personoverganger på stasjoner må ta høyde for dette. Dersom tog 471 hadde vært kjørt i spor 2 istedenfor spor 1, ville man unngått at toget krysset personovergangen under innkjøring til stasjonen. Havarikommisjonen mener at man må vurdere sporbruk ved Fauske på nytt, og at dette arbeidet også må gjøres ved andre stasjoner som har tilsvarende kryssinger med passasjerutveksling. 
The Accident Investigation Board Norway (AIBN) finds it probable that the person in question was distracted from observing the surroundings as a result of using a smart phone with ear plugs and did not notice the train. A train dispatcher was present on the platform and, according to the instructions, has the authority to intervene when possible in situations that could give rise to an undesirable incident. In the AIBN’s view, this was neither possible in the given situation, nor is it something that passengers should rely on. More stations are likely to be unmanned in the future, and pedestrian crossings must be monitored and secured accordingly. Had train 471 run on track 2 rather than track 1, it would not have had to cross the pedestrian crossing while approaching the station. The AIBN is of the opinion that track allocation at Fauske should be reconsidered, and that this should also be done at other stations where trains pass each other in a similar way and exchange passengers.</t>
  </si>
  <si>
    <t>HU-5071</t>
  </si>
  <si>
    <t>Train derailment, 31-03-16, Budapest, Fovám tér (Hungary)</t>
  </si>
  <si>
    <t>A tram derailed with five axles, at low speed. No human injuries. 
A villamos egy jobbos ívben 5 tengellyel kisiklott.</t>
  </si>
  <si>
    <t>Budapest, Fovám tér</t>
  </si>
  <si>
    <t>The track moved under the tram.</t>
  </si>
  <si>
    <t>UK-5072</t>
  </si>
  <si>
    <t>Trains collision, 03-04-16, Plymouth station (United Kingdom)</t>
  </si>
  <si>
    <t>At 15:34 hrs on Sunday 3 April 2016, a train entering platform 6 at Plymouth station, collided with a stationary train. Around 35 people, including the driver of one of the trains were injured, some seriously._x000D_
The stationary train, 1A91, had arrived in platform 6 around 34 minutes before the collision. This train would normally have used platform 7. On this occasion it could not, because the platform lifts were closed for planned maintenance and the train required its catering supplies to be restocked before its onward journey to London Paddington at 15:41 hrs. At the time of the collision, train 1A91 had one member of staff on board._x000D_
Train 2E68 was the 13:39 hrs service from Penzance to Exeter. It was formed of two class 150 diesel multiple units coupled together; a total of four vehicles. There were approximately 60 passengers on the train as it approached Plymouth. This train was booked into platform 8 at Plymouth but the signaller decided to signal the train into platform 6 behind train 1A91 so that passengers intending to catch train 1A91 could do so easily as the lifts were not working on both platforms 7 and 8. Allowing trains to share a platform is known as permissive working, and is allowed for passenger trains using platform 6. The signaller could see the rear of train 1A91 from the signal box window and estimated that there was enough room for train 2E68 to fit on the platform behind train 1A91, however, there was insufficient room._x000D_
Approaching Plymouth station from the west, the data recorder fitted to train 2E68 showed the train slowed to about 14 mph (22 km/h) approaching signal P15 on the approach to Plymouth station. This signal cleared from red (meaning stop) to an indication meaning that the train may proceed into platform 6, but that the driver must be prepared to stop short of any train, vehicle or obstruction. Signal P15 is located around 333 metres from where the rear of train 1A91 stood._x000D_
The train then accelerated to a speed of around 21 mph (34 km/h) and as train 2E68 approached Plymouth station through a relatively tight, left-hand curve, the driver saw train 1A91 in platform 6 ahead. The driver was surprised to see the rear of train 1A91 so close to the west end of the platform. He looked at the tracks to confirm which route the train was taking and, realising a collision was imminent, applied the emergency brake. This was around three seconds before the collision, which occurred at about 15 mph (24 km/h). Many passengers were standing in preparation to leave the train and were thrown into the train’s fixtures and onto the floor.</t>
  </si>
  <si>
    <t>Plymouth station</t>
  </si>
  <si>
    <t>The driver did not apply the brakes early enough to stop train 2E68 before it collided with the stationary train in the platform (paragraph 34).</t>
  </si>
  <si>
    <t>The causal factors were:_x000D_
a. The signaller routed train 2E68 into a platform that had insufficient room for it (paragraph 38) due to a combination of:_x000D_
i. his intention to allow an easier transfer of passengers from train 2E68 to train (paragraph 40, no recommendation); and_x000D_
ii. his misjudgement of the available platform space behind train 1A91 (paragraph 43, Recommendation 2)._x000D_
b. The signaller did not tell the driver that an unusual move was intended (paragraph 54, Recommendation 2)._x000D_
c. The driver of train 2E68 did not expect his train to be going into the same platform as train 1A91 (paragraph 61) because:_x000D_
i. the driver believed that his train could safely proceed to a 4-car stop sign located approximately midway along the platform he would use and lacked the experience to quickly recognise the identity of the platform occupied by train 1A91 (paragraph 63, Recommendations 1 and 2, Learning point 1);_x000D_
ii. the training and assessments undertaken by the driver had not ensured a correct understanding of permissive working (paragraph 73, Recommendation 1, Learning point 1); and_x000D_
iii. the driver had not previously experienced the type of permissive move arranged as he approached Plymouth on the day of the accident (paragraph 79, Recommendation 1)_x000D_
Underlying factor_x000D_
114 A possible underlying factor was that neither Network Rail nor Great Western Railway had identified the risk of an accident during permissive working at Plymouth due to a combination of driver inexperience and a signaller arranging an unusual permissive move (paragraph 86, Recommendation 2).</t>
  </si>
  <si>
    <t>UK-5103</t>
  </si>
  <si>
    <t>Accident to persons caused by RS in motion, 07-04-16, Twyford station (United Kingdom)</t>
  </si>
  <si>
    <t>At around 10:52 hrs on 7 April 2016, a wheelchair occupied by a teenage girl moved towards the edge of platform 4 of Twyford station and into multiple glancing contacts with wagons of a passing freight train. The last contact pushed the wheelchair clear of the platform edge. The girl suffered a minor injury to her foot._x000D_
Prior to the accident, the wheelchair was stationary, behind the yellow line painted on the platform and facing parallel to the tracks. It was positioned next to the girl’s mother, who has stated that she had applied the brakes on the wheelchair.</t>
  </si>
  <si>
    <t>Twyford station</t>
  </si>
  <si>
    <t>The wheelchair was pushed into contact with the passing freight train by the aerodynamic effects of the train’s slipstream (paragraph 34).</t>
  </si>
  <si>
    <t>The causal factors were:_x000D_
a) The air flow along platform 4 at Twyford station generated a force which exceeded the braking force of the wheelchair (paragraph 36, Learning point)._x000D_
b) The mother was unaware of the hazard from the slipstream of the passing freight train and therefore did not take any additional precautions (paragraph 52, Recommendations 1, 2, 3, 4 and 5)._x000D_
Probable underlying factor_x000D_
75 There was no requirement in Railway Group standard GI/RT7016 to carry out an aerodynamic risk assessment for platform 4 at Twyford station and hence mitigate the risks from passing trains (paragraph 58, Recommendation 3).</t>
  </si>
  <si>
    <t>UK-5070</t>
  </si>
  <si>
    <t>Level crossing accident, 10-04-16, Hockham Road level crossing near Thetford, Norfolk (United Kingdom)</t>
  </si>
  <si>
    <t>At 12:30 on Sunday 11 April 2016 a train travelling from Norwich to Cambridge collided with an agricultural tractor and trailer at Hockham Road level crossing. The tractor driver was seriously injured, and the train driver and several passengers received minor injuries. The tractor was destroyed, and the train was badly damaged._x000D_
_x000D_
Hockham Road level crossing is on a private road near Thetford, Norfolk, and also carries a public footpath. Vehicle users must open and close the crossing gates themselves, and at the time of the accident they had to use the telephone to obtain permission from a signaller at Cambridge, before going over the crossing. In 2012, the crossing had been provided with red and green lights which informed users whether it was safe to cross, but this equipment had been intentionally decommissioned at the time of the accident._x000D_
_x000D_
The tractor driver was given permission to cross the line, and had reached the mid-point of the crossing when his vehicle was struck by train 1K77, the 12:03 Norwich to Cambridge service, which was travelling at 84 mph (135 km/h). There were 135 passengers and two crew on the train, which did not derail and came to a stop 410 metres beyond the crossing._x000D_
_x000D_
The trailer separated from the tractor and struck the side of the train several times, breaking windows and puncturing the outer body of the train, before coming to rest next to the tractor at the side of the railway line. The driving cab of the train was severely deformed by the impact, and the driver’s door broke away.</t>
  </si>
  <si>
    <t>Hockham Road level crossing near Thetford, Norfolk</t>
  </si>
  <si>
    <t>The tractor driver drove onto the crossing as the train was approaching</t>
  </si>
  <si>
    <t>The causal factors were:_x000D_
a. The signaller gave permission for the tractor to cross when there was insufficient time for it to do so in safety (paragraph 55, Recommendation 1)._x000D_
b. Although information about the position of the incident train was available on the signaller’s display, the signaller lost his awareness of the position of the train (paragraphs 59 to 62), because of one or both of the following factors:_x000D_
l the signaller’s competence to operate the workstation safely and effectively was not adequately monitored (paragraphs 64 to 70, Recommendation 3, see paragraph 137); and_x000D_
l the signaller’s concentration levels may have decreased due to a combination of fatigue and a lack of engagement with the signalling task (paragraphs 72 to 79, no recommendation, see paragraph 137)._x000D_
c. The EBI Gate 200 system that would have detected the presence of the train and would have probably prevented the accident had been temporarily decommissioned. This was due to the following factors:_x000D_
l Network Rail had not come to a clear understanding with Bombardier on how the equipment had met the required safety integrity level (paragraphs 83 to 94, no recommendation); and_x000D_
l Network Rail decommissioned the EBI Gate system having decided it constituted an unacceptable risk (paragraphs 95 to 103, no recommendation)._x000D_
Underlying factors_x000D_
125 Underlying factors were:_x000D_
a. Network Rail did not adequately define the minimum experience requirements necessary for signallers to maintain their competence to work safely and effectively on the Thetford workstation (paragraph 105, Recommendation 3, see paragraph 137); and_x000D_
b. Fatigue management within Cambridge PSB was inadequate (paragraph 108, no recommendation, see paragraph 137).</t>
  </si>
  <si>
    <t>BG-5073</t>
  </si>
  <si>
    <t>Fire in RS, 13-04-16, Aytos - Chernograd intersection (Bulgaria)</t>
  </si>
  <si>
    <t>At approx. 11:07 PM on 13.04.2016 and while hauling regional train 8626 between the stations Aytos and Chernograd in Burgas – Sofia direction, electrical locomotive 44081.8 got fire in its engine compartment. The crew stopped the train, called the emergency and started fighting the fire. The fire was extinguished after 3,5 hrs. by the fire brigade._x000D_
No passengers or railway staff were injured. Severe damages were caused to the electrical locomotive and some additional to the railway infrastructure.</t>
  </si>
  <si>
    <t>Aytos - Chernograd intersection</t>
  </si>
  <si>
    <t>National rules imposed by implementing of the Safety Directive 2004/49/EC; 
in light of Article 19 §2 of SD"; 
(b) it forms part of a series of accidents or incidents relevant to the system as a whole</t>
  </si>
  <si>
    <t>The most likely reason for the fire is the mechanical destruction of some of the capacitors of the R – C groups of internal over-voltage suppression in the traction rectifier of the first traction group resulting from high temperature and exhausted resource.</t>
  </si>
  <si>
    <t>The main cause for the occurrence of the accident is the unsatisfactory condition of the electrical equipment of electric locomotive No 44081.8. _x000D_
On touching the heated components of the rectifier cabinet (resistors, capacitors, conductors) the liquid dispersed from the capacitors caught fire and caused the burning process. This was confirmed by the condition of diodes in the rectifier cabinet of the first traction group – their copper conductors are fragile and brittle, which is a sign of reaching temperatures in the range of over 900°? proved by the expertise made by independent laboratory on fire-fighting safety.</t>
  </si>
  <si>
    <t>CZ-5202</t>
  </si>
  <si>
    <t>Spad, 13-04-16, Rudoltice v Cechách station (Czech Republic)</t>
  </si>
  <si>
    <t>Unauthorized movement of locomotive train No. 56255 behind the main departure signal No. S1 and its entry into a train route of freight train No. 43204.</t>
  </si>
  <si>
    <t>Rudoltice v Cechách station</t>
  </si>
  <si>
    <t>Rail system s.r.o.</t>
  </si>
  <si>
    <t>Direct cause:_x000D_
• failure of the train brakes caused by gradual leakage of air from the brake system of the brake cylinder No. IV._x000D_
_x000D_
Contributory factor: none.</t>
  </si>
  <si>
    <t>Underlying cause:_x000D_
• failure to comply the procedures for recording and reporting defects of locomotives by train drivers, which are required by the internal regulations of the railway undertaking;_x000D_
• performance of the last control of the locomotive before the accident during which the defects in the setting of brake system were not detected and removed; including the absence of records of executions and results of controls, although it is required by the internal regulations of the railway undertaking;_x000D_
• operating of the locomotive with defects in the braking system, which were not recorded and removed by the railway undertaking before the accident, even though the railway undertaking had known about them (the locomotive was operated in technical condition which was not confirming to the approved technical serviceability)._x000D_
_x000D_
Root cause:_x000D_
• unelaborating procedures and patterns for documenting safety information and non-establishing a procedure for control of transfer of the most important safety information according to Annex No. 1 of the Decree No. 376/2006 Coll. in the Chapter 4.4.5 and 4.4.5.1 of the safety management system of the railway undertaking;_x000D_
• inadequate determination of the purpose of documenting safety information and responsibility for its administration and completeness in the Chapter 4.4.5 and 4.4.5.1 of its safety management system, based on the above mentioned absence of procedures, patterns and transfer controls.</t>
  </si>
  <si>
    <t>RO-5069</t>
  </si>
  <si>
    <t>Train derailment, 15-04-16, Galgau (Romania)</t>
  </si>
  <si>
    <t>the 25-th wagon (loaded with containers) from the freight train no. 42619 derailed in the railway station Galgau</t>
  </si>
  <si>
    <t>Galgau</t>
  </si>
  <si>
    <t>Cauza directa a producerii acestui accident o constituie escaladarea de catre roata atacanta (nr.1) a primei osii de la vagonului nr.31533556277-5 a sinei din dreptul inimii simple de încruci?are a schimbatorului de cale nr.9 din compunerea traversarii cu jonc?iune dubla TJD nr.5/9. Escaladarea ?inei de catre roata atacanta s-a produs ca urmare a caderii primei axe triunghiulare ?i lovirii de catre aceasta a contra?inei din dreptul acestei inimii simple de încruci?are._x000D_
_x000D_
Factorii care au contribuit:_x000D_
Men?inerea în circula?ie a vagonului nr.31533556277-5 cu defecte la timoneria de frâna (lipsa bulon articula?ie cadru de boghiu – atârnator, etrier de siguran?a al axei triunghiulare rupt) care puteau provoca caderea pieselor acesteia._x000D_
		Pozi?ionarea articula?iei cadru de boghiu – atârnator ?i a zonei de fixare a etrierului de siguran?a pe cadrul boghiului, pozi?ionare ce îngreuneaza constatarea acestor defecte cu ocazia reviziilor tehnice. 
Direct cause, contributing factors:_x000D_
Direct cause of this accident is the guiding axle (no. 1) of the first axle from the wagon no.31533556277-5 overclimbed the rail next to the common crossing of the switch no.9 from the double diamond crossing with slips TJD nr.5/9. The overclimbing of the rail by the guiding wheel happened because the fall of the first brake beam and hit of the check rail next to the common crossing._x000D_
_x000D_
Contributing factors:_x000D_
Keeping in traffic of the wagon no.31533556277-5 with failures at the the brake rigging  (joint bolt at the bogie framne missing – brake beam hanger, safety stirrup-piece of the brake beam broken) that could generate the fall of its parts._x000D_
		The position of the bogie frame joint – brake beam hanger and of the fastening of the safety stirrup-piece on the bogie frame, position that makes difficult the finding of some failures during the technical inspections.</t>
  </si>
  <si>
    <t>Cauze subiacente:_x000D_
		Nerespectarea prevederilor art.87, tabelul 8 – „defecte ?i uzuri la instala?ia de frâna” din Instructiuni privind revizia tehnica si întretinerea vagoanelor în exploatare nr.250/2005 referitoare la retragerea din circula?ie a vagoanelor cu defecte ?i piese lipsa la timoneria de frâna. _x000D_
_x000D_
Cauze primare: _x000D_
		Neaplicarea prevederilor procedurii opera?ionale cod PO 75.6 „Procedura Opera?ionala Activita?i în sta?ii” care are ca document asociat Instructiuni privind revizia tehnica si întretinerea vagoanelor în exploatare nr.250, referitoare la constatarea ?i tratarea vagoanelor cu defecte ?i piese lipsa la instala?ia de frâna. 
Underlying causes:_x000D_
		Infringement of the provisions of art.87, table  8 – „failures and wears at the braking device” from Instructions for the technical inspection and maintenance of the wagons in operation no.250/2005 concerning the withdrawal from traffic of the wagons with failures and missing parts at the brake rigging. _x000D_
Root causes: _x000D_
		Non-application of the provisions of the operational procedure code PO 75.6 „Activities in railway stations” that has as associated document Instructions for the technical inspection and maintenance of the wagons in operation no.250, concerning the finding and handling of the wagons with failures and missing parts at the brake rigging.</t>
  </si>
  <si>
    <t>ES-5078</t>
  </si>
  <si>
    <t>Trains collision, 17-04-16, Hernani station (Guipúzcoa) (Spain)</t>
  </si>
  <si>
    <t>Passenger train entering Hernani (track 2) station collided laterally with freight train that was standing at track 4 but last wagon went partially into track 2. After collision, freight train partially derailed. Some passengers suffered minor injuries</t>
  </si>
  <si>
    <t>Hernani station (Guipúzcoa)</t>
  </si>
  <si>
    <t>The accident was caused by a track circuit failure: the track circuit of the point didn't detect the presence of the last wagon of the stationed freight train, which was invading the main track. Because of this, the main track appeared as 'clear' at the control centre, so it authorised the pass of the commuter train, which finally collided with the wagon.</t>
  </si>
  <si>
    <t>The failure of the track circuit was caused by the excess of rusting of the rails. This excessive rust was not detected by the maintenance operations._x000D_
Moreover, the signaller that stationed the freight train at the side track hadn't checked that the lenght of this track was too short for that train, so it was likely to block the main track.</t>
  </si>
  <si>
    <t>CZ-5074</t>
  </si>
  <si>
    <t>Accident to persons caused by RS in motion, 19-04-16, DKV Olomouc siding (Czech Republic)</t>
  </si>
  <si>
    <t>Collision of shunting rolling stock with an employee of railway undertaking.</t>
  </si>
  <si>
    <t>DKV Olomouc siding</t>
  </si>
  <si>
    <t>Direct cause:_x000D_
• a breach of fulfillment of duty by the employee (neglecting of safety) – an entry of the employee in front of the moving shunting rolling stock.</t>
  </si>
  <si>
    <t>Underlying cause: _x000D_
• a wrong choice of site by the employee in a circuit of line when his safety was endangered by the moving shunting rolling stock._x000D_
_x000D_
Root cause: none.</t>
  </si>
  <si>
    <t>RO-5075</t>
  </si>
  <si>
    <t>Train derailment, 22-04-16, Zalau Nord (Romania)</t>
  </si>
  <si>
    <t>the hauling locomotive of the freight train no. 48402 derailed on the railway station Zalau Nord</t>
  </si>
  <si>
    <t>Zalau Nord</t>
  </si>
  <si>
    <t>Cauza directa: _x000D_
Cauza directa a producerii acestui accident o constituie escaladarea sinei de pe firul exterior al curbei de catre roata atacanta  (prima pe partea dreapta în sensul de mers) de la locomotiva DA 970, ca urmare a depasirii  limitei de stabilitate la deraiere._x000D_
Depasirea  limitei de stabilitate la deraiere s-a produs din cauza unor coeficien?i de frecare roata/sina majorati, a unor forte de frecare dintre cutie si boghiu majorate  precum si a împiedicarii înscrierii în pozitie radiala în curba, a osiei atacante._x000D_
Factori care au contribuit: _x000D_
?	introducerea în exploatare dupa reprofilarea prin strunjire, a rotilor cu rugozitate mai mare decât cea admisibila pe suprafata de rulare;_x000D_
?	mentinerea în exploatare a locomotivei, fara ca sa fie asigurata ungerea corespunzatoare la punctele de sprijin ale cutiei pe boghiuri: 
Direct cause_x000D_
The direct cause of the accident was the overclimbing of the rail from the exterior side of the curve  by the leading wheel (first on the right side in the running direction) of the locomotive DA 970, because the exceeding of the stability limit over which the derailment can happen._x000D_
The exceeding of the stability limit, over which the derailment can happen, was possible following some increased friction coefficients wheel/rail, folowing some increased friction forces between the locomotive body and the bogie, as well as because the leading axle could not ran radially on the curve._x000D_
Contributing factors: _x000D_
?	putting in operation, after the reprofiling through turning, of the wheels with roughness over the acceptable one on the running surface;_x000D_
?	keeping in operation of the locomotive, without ensuring the corresponding lubrication in the support points of the locomotive body  on the bogies:</t>
  </si>
  <si>
    <t>Cauze subiacente:_x000D_
?	Neaplicarea prevederilor NTF 81-002:2004, privitoare la rugozitatea maxim admisibila pe suprafetele de rulare ale rotilor;_x000D_
?	Aplicarea necorespunzatoare a prevederilor „Instructiei de ungere” din cadrul  „Instructiei de exploatare pentru locomotiva Diesel Electrica de 2100 CP 060-DA”, privitoare la metoda de ungere care trebuie aplicata la „Suporturile laterale ale cutiei”. 
Underlying causes:_x000D_
?	non-application of the provisions NTF 81-002:2004, concerning the roughness maximum accepted on the running surfaces of the wheels;_x000D_
?	unsuitable application of the provisions „Lubrication instruction” within „Instruction for the operation of the Diesel-Electric locomotive of 2100 HP 060-DA”, concerning the lubrication method that has to be applied at „Lateral supports of the locomotive body”.</t>
  </si>
  <si>
    <t>RO-5076</t>
  </si>
  <si>
    <t>Train derailment, 26-04-16, Craiova (Romania)</t>
  </si>
  <si>
    <t>the 9th, 10th and 11th wagons from the freight train no.39554 derailed in the railway station Craiova</t>
  </si>
  <si>
    <t>Craiova</t>
  </si>
  <si>
    <t>Cauza directa _x000D_
Cauza directa a producerii accidentului feroviar o constituie geometria necorespunzatoare a caii, care în cuprinsul schimbatorului de cale nr.71, care pe direc?ia în abatere, avea valori peste toleran?ele admise în exploatare la ecartament. _x000D_
_x000D_
Factori care au contribuit_x000D_
?	men?inerea traverselor speciale de lemn necorespunzatoare pe schimbatorul de cale care nu puteau sa asigure o prindere activa, fapt ce a condus la depa?irea toleran?elor admise ale ecartamentului caii; _x000D_
?	spa?ii mari, neinstruc?ionale între pro?api ?i inima acului curb, care au permis deplasarea laterala a acestui ac, care sub ac?iunea for?elor dinamice transmise ?inelor de ro?ile materialului rulant, în sensul cre?terii (largirii) ecartamentului caii _x000D_
?	subdimensionarea numarului de personal muncitor al Districtului de linii nr.1 Craiova, district care asigura mentenanta infrastructurii feroviare în sta?ia CFR Craiova;_x000D_
?	cantita?ile insuficiente de materiale pentru executarea lucrarilor de între?inere ?i reparare a liniilor ?i schimbatoarelor de cale din sta?ia CFR Craiova; 
Direct cause of the accident is the unsuitable geometry of the track, that within the switch no.71, on the deflecting section, had values over the tolerances accepted in operation for the gauge._x000D_
Contributing factors_x000D_
?	keeping of unsuitable special wooden sleepers within the switch, that could not ensure an active fastening, it leading to the exceeding of the tolerances accepted for the gauge; _x000D_
?	big distances, non-instructional between the  switch stop and curved point, that allowed the lateral movement of this point switch, that under the dynamic forces sent to the rails by the wheels of the rolling stock, in the direction of the increase (widening) of the track gauge _x000D_
?	undersizing of the staff number from the Track District no.1 Craiova, district that ensure the maintenance of the railway infrastructure in the railway station Craiova;_x000D_
?	insufficient quantities of materials for the maintenance and repair of lines and switches from the railway station Craiova;</t>
  </si>
  <si>
    <t>Cauze subiacente _x000D_
1.	Nerespectarea prevederilor art.25, alin.(2) ?i alin.(4) din „Instruc?ia de norme ?i toleran?e pentru construc?ii ?i între?inerea caii pentru linii cu ecartament normal nr.314/1989”, referitoare la defectele care impun înlocuirea traverselor de lemn si la neadmiterea traverselor necorespunzatoare în cuprinsul aparatelor de cale;_x000D_
2.	Nerespectarea prevederilor art.19, pct.11 din „Instruc?ia de norme ?i toleran?e pentru construc?ii ?i între?inerea caii pentru linii cu ecartament normal nr.314/1989”, referitoare la spa?iul dintre pro?api ?i inima acului; _x000D_
3.	Nerespectarea prevederilor pct.4.1 din Cap. 4 „Norme de manopera ?i de consum de materiale”, al „Instruc?iei de între?inere a liniilor ferate nr.300/1982” referitoare la asigurarea normei de manopera la între?inerea curenta în execu?ie manuala;_x000D_
_x000D_
Cauza primara_x000D_
Neaplicarea tuturor prevederilor procedurii operationale cod PO SMS 0-4.07 „Respectarea specificatiilor tehnice, standardelor si cerintelor relevante pe întreg ciclul de viata a liniilor în procesul de întretinere” (inclusiv a anexelor), parte a sistemului de management al sigurantei administratorului de infrastructura feroviara publica CNCF „CFR” SA, referitoare la:_x000D_
-	coordonarea activita?ilor de între?inere ?i repara?ii periodice a liniilor de cale ferata;_x000D_
-	asigurarea bazei materiale ?i a for?ei de munca necesara executarii lucrarilor de între?inere curenta ?i repara?ie periodica. 
Underlying causes _x000D_
1.	Infringement of the provisions of art.25, paragraphs (2) and (4) from „Instruction of norms and tolerances for the construction and maintenance of lines with standard gauge no.314/1989”, concerning the failures that impose the replacemenmt of wooden sleepers and rejection of unsuitable sleepers within the switches;_x000D_
2.	Infringement of the provisions of art.19, point 11 from „Instruction of norms and tolerances for the construction and maintenance of lines with standard gauge  no. 314/1989”, concerning the distance between switch stop and curved point; _x000D_
3.	Infringement of the provisions of the point 4.1 from Chapter 4 „Norms of manpower and material consumption”, of „Instruction for the line maintenance no.300/1982” concerning the ensurance of the norm of manpower  for the current manual maintenance;_x000D_
_x000D_
Root cause_x000D_
Non-application of all provisions of the operational procedure code PO SMS 0-4.07 „Compliance with the technical specifications, standards and relevant requirements within the whole life cycle in the maintenance process” (including the annexes), part of the safety management system of the public railway infrastructure manager CNCF „CFR” SA, with reference to:_x000D_
-	coordination of the maintenance and periodical repair of the lines;_x000D_
-	ensurance of the material basis and of the manpower for the current maintenance and periodical repair.</t>
  </si>
  <si>
    <t>NO-5079</t>
  </si>
  <si>
    <t>Trains collision, 29-04-16, Alnabru terminal (Norway)</t>
  </si>
  <si>
    <t>On Friday 29 April 2016, at 03:31 at night, two trains belonging to GreenCargo AB collided at Alnabru shunting yard. One of the trains was what is known as a shunting stock, which in this context means freight cars that are being transported by a shunting locomotive to be parked or made up into a complete train. The other train was a freight train coming from Bergen._x000D_
_x000D_
The collision occurred when the freight train was on its way in to park on the track next to the shunting stock. The shunting stock was about to park 18 cars, and backed too far so that it hit the freight train at the run-off point between the two tracks._x000D_
_x000D_
The tracks at the place of the incident are not equipped with a signalling system, and it is Bane NOR SF’s local traffic controller who controls train movements in the area. The recommended practice at Alnabru is that the local traffic controller notifies the shunting personnel of incoming trains, so that they can stop the shunting operation. This was not done in the case in question._x000D_
_x000D_
Because there is no technical barrier in the form of a signalling system to prevent collisions, operational barriers are necessary._x000D_
_x000D_
The Accident Investigation Board Norway submits a safety recommendation to the effect that Bane NOR SF should consider whether the recommended practice should become fixed instructions 
Fredag 29. april 2016 klokken 0331 kolliderte to tog tilhørende GreenCargo AB på Alnabru skiftestasjon. Det ene toget var et såkalt skift, og betyr i denne sammenheng vogner som transporteres av et skiftelokomotiv for å parkeres eller settes sammen til et ferdig tog. Det andre toget var et godstog som kom fra Bergen. _x000D_
_x000D_
Sammenstøte skjedde da godstoget var på vei inn for å parkere i sporet ved siden av skiftet. Skiftet skulle parkere 18 vogner, og bakket for langt slik at det traff godstoget ved sporvekselen mellom de to sporene._x000D_
_x000D_
Sporene på hendelsesstedet er ikke sikret med signalanlegg, og det er togekspeditør i Bane NOR SF som styrer togbevegelsene i området. Anbefalt praksis på Alnabru er at togekspeditør varsler skiftebetjeningen om ankommende tog, slik at de kan stoppe skifteoperasjonen. Det ble ikke gjort i dette tilfellet._x000D_
_x000D_
Ettersom det ikke er en teknisk barriere mot sammenstøt i form av signalanlegg på området, er operasjonelle barrierer nødvendig. _x000D_
_x000D_
Havarikommisjonen fremmer en sikkerhetstilråding som retter seg mot at Bane NOR SF bør vurdere om den anbefalte praksisen skal bli en fast instruks.</t>
  </si>
  <si>
    <t>Alnabru terminal</t>
  </si>
  <si>
    <t>Shunting operation; 
Freight train</t>
  </si>
  <si>
    <t>The collision occurred when the freight train was on its way in to park on the track next to the shunting stock. The shunting stock was about to park 18 cars, and backed too far so that it hit the freight train at the run-off point between the two tracks.</t>
  </si>
  <si>
    <t>The tracks at the place of the incident are not equipped with a signalling system, and it is Bane NOR SF’s local traffic controller who controls train movements in the area. The recommended practice at Alnabru is that the local traffic controller notifies the shunting personnel of incoming trains, so that they can stop the shunting operation. This was not done in the case in question.</t>
  </si>
  <si>
    <t>RO-5080</t>
  </si>
  <si>
    <t>Train derailment, 03-05-16, Dragotesti - Borascu (Romania)</t>
  </si>
  <si>
    <t>first and second wagon from the freight train no. 23562 loaded with coal derailed</t>
  </si>
  <si>
    <t>Dragotesti - Borascu</t>
  </si>
  <si>
    <t>Cauza directa a producerii accidentului feroviar o constituie caderea între firele caii a ro?ii din partea stânga (roata nr.7) a osiei conducatoare de la vagonul nr,81536655144-9, primul din compunerea trenului de marfa nr.23652. Acest lucru s-a produs în conditiile în care, alcatuirea suprastructurii caii era necorespunzatoare, permi?ând deplasarea placilor metalice în sensul cre?terii ecartamentului caii, iar vagoanele din compunerea trenului erau supraîncarcate._x000D_
_x000D_
_x000D_
Factori care au contribuit:_x000D_
?	supraîncarcarea vagoanelor din compunerea trenului de marfa nr.23652._x000D_
?	men?inerea în exploatare a 4 traverse consecutive, care nu aveau placile metalice fixate cu tirfoane pe capatul dinspre firul exterior al curbei, pentru împiedicarea deplasarii acestora ?i implicit pentru asigurarea toleran?elor admise ale ecartamentului caii;  _x000D_
?	subdimensionarea numarului de personal muncitor existent la Districtul de linii nr.6 Turceni, personal ce asigura mentenanta infrastructurii feroviare în zona producerii accidentului;_x000D_
?	alocarea unor cantita?i insuficiente de materiale pentru executarea lucrarilor de între?inere ?i reparare a liniei curente dintre haltele de mi?care Dragote?ti-Turceni; 
Direct cause _x000D_
Direct cause of the accident is the fall of the left wheel (wheel no. 7) of the leading axle, from the wagon no. 81536655144-9, first of the freight train no. 23652, between the rails. It happened because the unsuitable composition of the track superstructure, allowing the metallic plates movement in the direction of the track gauge increase, and the train wagons were overloaded._x000D_
_x000D_
Contributing factors:_x000D_
?	overloading of the wagons from the composition of the freight train no.23652._x000D_
?	keeping in operation of 4 consecutive sleepers, that did not have the metallic plates fastened with screws at the end from the exterior rail of the curve, in order to stop their movement and implicitly to ensure the accepted tolerances for the track gauge;  _x000D_
?	undersizing of the worker number existing at the Track District no.6 Turceni, staff that ensure the maintenance of the railway infrastructure at the accident site;_x000D_
?	supplying of unsufficient materials for the performance of maintenance and repair of the running line between the railway stations Dragote?ti-Turceni;</t>
  </si>
  <si>
    <t>Cauze subiacente _x000D_
1.	Nerespectarea prevederilor art.25, alin.(2) ?i alin.(4) din „Instruc?ia de norme ?i toleran?e pentru construc?ii ?i între?inerea caii pentru linii cu ecartament normal nr.314/1989”, referitoare la defectele care impun înlocuirea traverselor de lemn si la mentinerea în cale a traverselor necorespunzatoare;_x000D_
2.	Nerespectarea prevederilor pct.4.1 din Cap. 4 „Norme de manopera ?i de consum de materiale”, al „Instruc?iei de între?inere a liniilor ferate nr.300/1982” referitoare la asigurarea normei de manopera la între?inerea curenta în execu?ie manuala;_x000D_
3.	Încarcarea vagoanelor din compunerea trenului de marfa nr.23652, fara a fi respectate prevederile punctelor 3.1 si 3.2 din Anexa II RIV, referitoare la sarcina maxima pe osie si limitele de încarcare._x000D_
_x000D_
Cauzele primare_x000D_
Cauzele primare ale producerii accidentului sunt urmatoarele:_x000D_
-	neaplicarea tuturor prevederilor procedurii operationale cod PO SMS 0-4.07 „Respectarea specificatiilor tehnice, standardelor si cerintelor relevante pe întreg ciclul de viata a liniilor în procesul de întretinere”, parte a sistemului de management al sigurantei al CNCF „CFR” SA, referitoare la dimensionarea personalului subunita?ilor de între?inere linii, în raport cu volumul de lucrari ?i la asigurarea bazei materiale;_x000D_
-	neaplicarea tuturor prevederilor procedurii operationale cod PO 431-SMS „Identificarea ?i evaluarea riscurilor asociate siguran?ei feroviare” Edi?ia 1, Revizia 00 din 2011, parte a sistemului de management al sigurantei al SNTFM „CFR Marfa” SA, referitoare la identificarea ?i evaluarea riscurilor induse de activitatea  de preluare/predare a expedi?iilor de vagoane de la/la expeditor desfa?urata în subunita?ile Sucursalei Banat-Oltenia. 
Underlying causes _x000D_
1.	Infringement of the provisions from art.25, paragraphs (2) and (4) of „Instruction of norms and tolerances for the construction and maintenance of lines with standard gauge no. 314/1989”, concerning the failures that impose the replacement of wooden sleepers and keeping in line of unsuitable sleepers;_x000D_
_x000D_
2.	Infringement of the provisions from point 4.1 of Chapter 4 „Norms of manpower and material consumption”, from the „Instruction for the maintenance of the lines no.300/1982” for the ensurrance of the manpower norm for the current manual maintenance ;_x000D_
_x000D_
3.	Loading of wagons from the composition of the freight train no.23652, non-meeting with the provisions of points 3.1 si 3.2 from the Annex II RIV, concerning the maximum load on axle and the loading limits._x000D_
_x000D_
Root causes_x000D_
Root causes of the accidet are:_x000D_
-	non-application of all provisions of the operational procedure code PO SMS 0-4.07 „Compliance with the technical specifications, standards and relevant requirements within the whole life cycle of the lines in the maintenance process”, part of the safety management system of CNCF „CFR” SA, concerning the sizing of the staff from the sub-units for the line maintenace, in relation to the works and enssurance of the material basis;_x000D_
-	non-application of all provisions from the operational procedure code PO 431-SMS „Identification and assessment of the risks associated to the railway safety” Edition 1</t>
  </si>
  <si>
    <t>HU-5081</t>
  </si>
  <si>
    <t>Level crossing accident, 05-05-16, Tószeg station (Hungary)</t>
  </si>
  <si>
    <t>A 37123 sz. személyvonat Tószeg állomás nem biztosított útátjárójában egy motorkerékpárral ütközött._x000D_
A baleset következtében a motorkerékpár vezetoje a helyszínen életét vesztette. 
Passenger train nr 37123 collided with motorcycle at an opened crosslevel at Tószeg Station._x000D_
Following the accident the biker died.</t>
  </si>
  <si>
    <t>Tószeg station</t>
  </si>
  <si>
    <t>Human inattention</t>
  </si>
  <si>
    <t>HR-5084</t>
  </si>
  <si>
    <t>Train derailment, 08-05-16, Zagreb Zapadni, terminal station (Croatia)</t>
  </si>
  <si>
    <t>Tijekom vožnje manevarskog sastava na kolodvoru Zagreb Zapadni, na devetom kolosijeku došlo je do iskliznuca manevarske lokomotive serije 2132-305 s prvom osovinom. 
During the drive of shunting composition at the station Zagreb Zapadni, on the ninth track, there was a derailment of a shunting locomotive of Series 2132-305 with the first axle.</t>
  </si>
  <si>
    <t>Zagreb Zapadni, terminal station</t>
  </si>
  <si>
    <t>Croatia, HŽ Infrastruktura</t>
  </si>
  <si>
    <t>in light of Article 19 §2 of SD"; 
(b) it forms part of a series of accidents or incidents relevant to the system as a whole</t>
  </si>
  <si>
    <t>Izravni uzrok ove nesrece je:_x000D_
•	iskliznuce manevarske lokomotive s prvim vratilom u smjeru vožnje po 9. kolosijeku u kolodvoru Zagreb Zapadni (poglavlje 6.1). 
The derailment of the shunting locomotives with the first shaft in the direction of the drive (chapter6.1).</t>
  </si>
  <si>
    <t>Cimbenici koji su pridonijeli ovoj nesreci: _x000D_
•	loši vremenski uvjeti (poglavlje 6.3) utjecali su na slabiji kontakt (poglavlje 8.2.2) izmedu kotaca manevarske lokomotive  i gornjeg profila tracnice_x000D_
•	razlicito ponašanje kolosijeka ovisno o tome dali je napravljen od betonskih ili drvenih pragova (poglavlje7.3.2)._x000D_
Organizacijski cimbenici: _x000D_
•	tijekom provodenja istrage predmetne nesrece nisu zapaženi nikakvi organizacijski cimbenici, koji su doveli do navedenoga iskliznuca. 
Contributory Factors:   _x000D_
•	Bad weather conditions (chapter 6.3) have resulted in weaker contact (chapter 8.2.2) between the wheel shunting locomotives and upper profile rails,_x000D_
•	The different behaviors of the gauge depending on whether there are made of concrete or wooden sleepers (chapter 7.3.2)._x000D_
Underlying Factors:    _x000D_
•	During the investigation concerned an accident are not observed organizational factors that led to the derailment of the above.</t>
  </si>
  <si>
    <t>NO-5083</t>
  </si>
  <si>
    <t>Electric shock, 08-05-16, Skarpsno (Norway)</t>
  </si>
  <si>
    <t>In the early hours of Sunday 8 May 2016, three people climbed onto the rail cars of a work train that was parked at Skarpsno between Rudshøgda and Moelv. The line was closed to traffic during the weekend due to ongoing maintenance work._x000D_
The three people climbed onto one of the foremost rail cars and moved along the top of the rail cars towards the rear end of the train. One person came into contact with the catenary power line, which carries a voltage of 16,000 volt, and fell from the rail car onto a conveyor belt. The person died on the spot. 
Natt til søndag 8. mai 2016 klatret 3 personer på vognene til et hensatt arbeidstog ved Skarpsno mellom Rudshøgda og Moelv. Banen var stengt for trafikk denne helgen mens det foregikk vedlikeholdsarbeid. _x000D_
Personene klatret opp på en av de fremste vognene og gikk videre bakover på toppen av de neste vognene. En person kom i berøring med kontaktledningen hvor spenningen er 16000 Volt, og falt derfra og ned på et transportbånd. Personen omkom på stedet.</t>
  </si>
  <si>
    <t>Skarpsno</t>
  </si>
  <si>
    <t>Person came into contact With contact whire while climbing on parked work Train.</t>
  </si>
  <si>
    <t>RO-5082</t>
  </si>
  <si>
    <t>Fire in RS, 08-05-16, Timisu de sus - Predeal (Romania)</t>
  </si>
  <si>
    <t>the locomotive EA 852 that hauled the freight train no. 33304 caught fire in open line between railway stations Predeal and Timisu de Sus</t>
  </si>
  <si>
    <t>Timisu de sus - Predeal</t>
  </si>
  <si>
    <t>Cauza directa a producerii accidentului a constituit-o supraîncalzirea motorului de trac?iune nr.4 ?i a depunerilor de produse petroliere provenite din func?ionarea defectuoasa a compresoarelor de aer, care sub ac?iunea curen?ilor de aer din tunelul unde a fost oprita locomotiva, a condus în final la aprinderea cablurilor de alimentare a motorului._x000D_
	_x000D_
Factorii care au contribuit la producerea accidentului au fost:_x000D_
-	puternica solicitare a motoarelor de trac?iune la valori ?i varia?ii mari ale intensita?ii curentului electric,   o perioada mare de timp, pe fondul condi?iilor în care s-a efectuat remorcarea trenului de marfa nr.33304 din data de 08.05.2016 (ploaie abundenta, profilul liniei în rampa cu o declivitatea medie de 24,43‰, reducerea capacita?ii de remorcare a locomotivei împingatoare datorita tendin?ei de patinare a acesteia ?i a intrarii în ac?iune a protec?iei antipatinaj);_x000D_
-	nefunc?ionarea instala?iilor de nisipare a liniei la locomotivele de remorcare ale trenului; _x000D_
-	între?inerea necorespunzatoare a locomotivei prin neremedierea pierderilor de ulei la compresoarele de aer;_x000D_
- men?inerea în exploatare a locomotivei EA nr.40-0852-0 cu un poten?ial tehnic care nu asigura conditii de siguran?a, confort ?i securitate a circulatiei, dupa depa?irea normelor de timp ?i kilometrii impuse pentru efectuarea repara?iilor ?i a reviziilor planificate. 
Direct causes, contributing factors _x000D_
Direct cause of the accident is the over-heating of the traction engine no.4 and of the oil deposits resulted from the bad operation of the air compressors, that under the action of the air stream from the tunnel where the locomotive was stopped, led finally to the ignition of the power supply cables of the engine_x000D_
Contributing factors:_x000D_
-	overload of the traction engines at high values and variantions of the current intensity, for a long time, in the conditions in which the freight train no. 33304 was hauled, on the 8th of May 2016 (heavy rain, track on rising gradient with the medium grade of 24,43‰, decreasing of the hauling capacity of the banking locomotive because its sliding tendency and the  activation of the anti-sliding device);_x000D_
-	out of service of the devices, of the hauling locomotives, for the sanding of the lines; _x000D_
-	unsuitable maintenance of the locomotive, consisting in the non removal  of the oil leakages from the air compressors;_x000D_
- keeping in operation of the locomotive EA no.40-0852-0 that from technical point of view did not meet with the safety conditions, comfort and security of the traffic, after exceeding the time and km norms imposed for the performance of the planned repairs and inspections.</t>
  </si>
  <si>
    <t>Cauzele subiacente ale producerii accidentului au fost:_x000D_
- nerespectarea prevederilor din Instructiuni pentru activitatea personalului de locomotiva în transportul feroviar nr.201/2007, Art.40, lit.h, care interzice „ie?irea locomotivelor din unita?ile de trac?iune pentru remorcarea trenurilor sau manevra, cu urmatoarele piese, instala?ii ?i echipamente lipsa sau defecte:… instala?ia de nisipare a liniei”;_x000D_
- nerespectarea prevederilor din Specifica?ia tehnica ST-LE 5100 kW-Rev.-Revizii planificate tip PTAE (PTh), RAC, RI, RT, R1, R2 ?i repara?ii accidentale tip RIT, RIR, RAD, RA la locomotivele electrice de 5100 kW din anul 2015, care stipuleaza la punctul 95, „remedierea pierderilor de ulei ?i aer” în cadrul reviziilor planificate tip RT, R1, R2; _x000D_
- nerespectarea prevederilor Normativului feroviar "Vehicule de cale ferata. Tipuri de revizii ?i repara?ii planificate. Normele de timp sau normele de kilometri parcur?i pentru efectuarea reviziilor ?i repara?iilor planificate", aprobat prin Ordinul ministrului transporturilor si infrastructurii nr.315/2011 modificat ?i completat prin OMTI nr.1359/2012, pct.3.1, de retragere a locomotivei din serviciu pentru efectuarea repara?iilor planificate;_x000D_
- nerespectarea normelor de timp pentru efectuarea reviziilor ?i repara?iilor planificate stipulate în Normativul feroviar "Vehicule de cale ferata. Tipuri de revizii ?i repara?ii planificate. Normele de timp sau normele de kilometri parcur?i pentru efectuarea reviziilor ?i repara?iilor planificate", aprobat prin Ordinul ministrului transporturilor si infrastructurii nr.315/2011, modificat ?i completat prin OMTI nr.1359/2012, tabelul nr.3.1._x000D_
Cauza primara a producerii accidentului a fost întocmirea necorespunzatoare a procedurii opera?ionale „Între?inere ?i repara?ii material rulant trac?iune” cod PO 74.3, elaborata în anul 2011, care nu prevede retragerea locomotivelor din serviciu pentru efectuarea repara?iilor planificate, ci efectuarea acestora în func?ie de fondurile alocate. Astfel, aceasta procedura nu respecta Normativul feroviar "Vehicule de cale ferata. Tipuri de revizii ?i repara?ii planificate. Normele de timp sau normele de kilometri parcur?i pentru efectuarea reviziilor ?i repara?iilor planificate", aprobat prin Ordinul ministrului transporturilor si infrastructurii nr.315/2011 modificat ?i completat prin OMTI nr.1359/2012. 
Underlying causes:_x000D_
- infringement of the provisions from the Instruction for the activity of the locomotive staff no.201/2007, art.40, letter h, that forbids „the exit of the locomotives from the engine sheds for the hauling of the trains or for shunting, with the next pices, devices and equipmenmts missing or out of service:… sanding device of the line”;_x000D_
- infringement of the provisions from the Technical Specifications ST-LE 5100 kW-Rev.- Planned inspections type PTAE (PTh), RAC, RI, RT, R1, R2 and accidental repairs type RIT, RIR, RAD, RA at electric locomotives of 5100 kW in 2015, that stipulates at points 95, „fixing the faults of the oil and air leakages” within the planned inspections type RT, R1, R2; _x000D_
- infringement of the provisions of Railway Norm "Railway vehicles. Types of planned inspections and repairs. Norms of time and km run for the performance of planned inspections and repairs approved through the Order of Minister of Transports and Infrastructure no.315/2011, amended through the Order of Minister of Transports and Infrastructure no.1359/2012, point.3.1, for the withdrawal of the locomotive from operation for the performance of the planned repairs;_x000D_
- infringement of the norms of time for the performance of the planned inspections and repairs stipulated in the Railway Norm "Railway vehicles. Types of planned inspections and repairs. Norms of time or km run for the performance of planned inspections and repairs", approved through Order of Minister of Transports and Infrastructure no.315/2011, amended through the Order of Minsiter of Transports and Infrastructure no.1359/2012, tabel no.3.1._x000D_
_x000D_
Root cause of the accident was the unsuitable drawing up of the operational procedure „Maintenace and repair of the traction rolling stock” code PO 74.3, made in 2011, that does not stipulate the withdrawal of the locomotives from operation for the performance of the planned repairs, only their performance according to the allocated funds. So, this procedure does not meet with the Railway Norm "Railway vehicles. Types of planned inspections and repairs. Norms of time and km run for the performance of planned inspections and repairs", approved through the Order of Minister of Transports and Infrastructure no.315/2011, amended through the Order of Minister of Transports and Infrastructure no.1359/2012.</t>
  </si>
  <si>
    <t>HR-5089</t>
  </si>
  <si>
    <t>Infrastructure events, 12-05-16, Vinkovci Station (Croatia)</t>
  </si>
  <si>
    <t>A local passenger train passed through level crossing on which half barriers were open. 
Putnicki vlak broj 2611 prešao preko nezacticenog ŽCP-a</t>
  </si>
  <si>
    <t>Vinkovci Station</t>
  </si>
  <si>
    <t>The direct cause of this incident is: _x000D_
-	Failure of the cable splitter switchgear contact K2/K12 and switchoffgear contact K4/14 (Chapter 4.3.1.).</t>
  </si>
  <si>
    <t>Contributing factors: _x000D_
-	Damage of the cable head splitter switchgear contact K2 / K12 switchoffgear contact K4/14 K4/14 (Chapter 4.3.1.), _x000D_
-	above average rainfall (Chapter 2.4)._x000D_
Organizational factors:_x000D_
-	Procedure of training and teaching executives in charge of maintenance of safety devices (chapter 4.3.2)</t>
  </si>
  <si>
    <t>HU-5102</t>
  </si>
  <si>
    <t>Level crossing accident, 16-05-16, Veresegyház-Orbottyán (Hungary)</t>
  </si>
  <si>
    <t>In level-crossing No. AS220 the pessenger train collided with a car. The LC was protected by a well-functioning wig-wag. 
Az AS 220-as jól muködo fénysorompóval ellátott útátjáróban a 2425 sz. személyvonat egy személygépkocsival ütközött</t>
  </si>
  <si>
    <t>Veresegyház-Orbottyán</t>
  </si>
  <si>
    <t>A balesetet a személygépkocsi vezetojével kapcsolatba hozható emberi tényezok okozták. A gépjármu vezetoje figyelmen kívül hagyva a jól muködo fénysorompó tilos jelzését, a szükséges körültekintés nélkül kezdte meg az átkelést a vasúti átjárón. 
The accident was caused by human factors associated with the driver of the car. The driver of the vehicle, without taking into account the prohibited signal of a well-functioning light barrier, began crossing the level crossing without taking the necessary care.</t>
  </si>
  <si>
    <t xml:space="preserve">Human inattention. 
</t>
  </si>
  <si>
    <t>DE-5095</t>
  </si>
  <si>
    <t>Trains collision with an obstacle, 19/5/2016, Bf Wunstorf – Bf Haste</t>
  </si>
  <si>
    <t>Am 19.05.2016 kollidierten gegen 14:51 Uhr der ICE 548, auf dem Weg von Berlin-Gesundbrunnen nach Düsseldorf Hbf, und gegen 15:20 Uhr der ICE 549, auf dem Weg von Düsseldorf Hbf nach Berlin-Gesundbrunnen, im Streckengleis Wunstorf - Haste mit einem Ausbruch an der Flügelschiene eines Versuchsherzstücks im km 24,954.</t>
  </si>
  <si>
    <t>Bf Wunstorf – Bf Haste</t>
  </si>
  <si>
    <t>Es entstanden Sachschäden an der Infrastruktur sowie an den Radsätzen der beteiligten Fahrzeuge.</t>
  </si>
  <si>
    <t>Ein im Rahmen einer Betriebserprobung verbautes Versuchsherzstück und die dazugehörige Flügelschiene hatte den dynamischen Belastungen des Eisenbahnbetriebs nicht standgehalten. In der Folge kam es offensichtlich zu Rissbildungen und später zu einem großflächigen Ausbruch an der Flügelschiene.</t>
  </si>
  <si>
    <t>RO-5088</t>
  </si>
  <si>
    <t>Train derailment, 21-05-16, Dragotesti (Romania)</t>
  </si>
  <si>
    <t>the second boghie from the 27-th wagon of the freight train no. 23639 derailed in the railway station Dragotesti</t>
  </si>
  <si>
    <t>Dragotesti</t>
  </si>
  <si>
    <t>Cauza directa a producerii accidentului o constituie manipularea  macazurilor 7/11 cu acces la linia 3 în timpul trecerii trenului de marfa nr.23639 pe parcursul de intrare la linia II directa. 
Direct cause of the accident is the operation of the switches 7/11, for access on the line 3, at the passing of the freight train no.23639 on the entry section to the direct line II.</t>
  </si>
  <si>
    <t>Cauza subiacenta_x000D_
- Nerespectarea art.19 din Reglementarile privind folosirea instalatiilor SCB din halta de miscare Dragotesti în sensul ca în cazul folosirii semnalului de chemare I.D.M. e obligat sa supravegheze instalatia C.E.D., sa nu manipuleze nici un macaz din parcurs sau de acoperire, pâna la gararea trenului pe linia de garare.  _x000D_
-  Nerespectarea fisei nr.11 din Planul Tehnic de Exploatare în sensul ca impiegatul de miscare nu sa convins personal pe teren ori prin raportarea acarului referitor la gararea trenului. 
- infringement of the art.19 of the Regulations for the use of interlocking equipments from the railway station Dragotesti, that is at the use of the calling-on signal, the movements inspector has to monitor the equipment C.E.D., not operate  any switch of the route or derailing one, up to the stabling of the train on the line.  _x000D_
-  infringement of the sheet no.11 of the Technical Operation Plan, that is the movements inspector did not  go on site or did not receive confirmation from the pointsman.</t>
  </si>
  <si>
    <t>HU-5087</t>
  </si>
  <si>
    <t>Train derailment, 22-05-16, Széchenyihegy (Hungary)</t>
  </si>
  <si>
    <t>The cogwheel railway train has derailed on a switch by 1 boogie.</t>
  </si>
  <si>
    <t>Széchenyihegy</t>
  </si>
  <si>
    <t>The switch was destroyed under the train.</t>
  </si>
  <si>
    <t>DK-5318</t>
  </si>
  <si>
    <t>Level crossing accident, 23-05-16, Kværndrup station (Denmark)</t>
  </si>
  <si>
    <t>Young french lady hit by train when using the platform crossing. 
Ung fransk kvinde påkørt af tog i perronovergnag</t>
  </si>
  <si>
    <t>Kværndrup station</t>
  </si>
  <si>
    <t>No warning of comming train at all to the passenger as she used the platform crossing</t>
  </si>
  <si>
    <t>Insufficient safety and warning measures at the platform crossing in relation to track use, increased speed and operation (non-stop train)</t>
  </si>
  <si>
    <t>RO-5090</t>
  </si>
  <si>
    <t>Train derailment, 25-05-16, Pestis (Romania)</t>
  </si>
  <si>
    <t>11 wagons from the freight train no.30638 derailed în the railway station Pesti?</t>
  </si>
  <si>
    <t>Pestis</t>
  </si>
  <si>
    <t>Direct cause _x000D_
The direct cause of the accident was the unsuitable condition of the track at the derailment site, line IV from the railway station Pesti?, that under the action of the dynamic forces of the rolling stock led to the exceeding of the accepted operation tolerances._x000D_
_x000D_
Contributing factors:_x000D_
-	unsuitable technical condition of the normal wooden sleepers that, under the dynamic forces sent by the rolling stock to the fastening elements of the metallic plates, could not keep between the tolerances the gauge value;_x000D_
-	chocking of the track bed  and differences of level at the derailment site, in the point „0” the outside rail level (hef = 15 mm) being under the level of the inside rail (hseized = - 5 mm), at measurements made in static mode;_x000D_
-	exceeding of the maximum running speed stipulated in the operation technical plan (PTE) of the railway station Pestis;_x000D_
-	non-supplying of the Line District no.2 Simeria, with normal wooden sleepers (railway critical products from the risk class IA), necessary according to the last count of the unsuitable sleepers;_x000D_
-	non-ensuring of the necessary workers for the performance of the railway infrastructure maintenance in the Line District no.2 Simeria, district that ensured the performance of these works in the railway station Pesti?; 
Cauza directa a producerii accidentului feroviar o constituie starea necorespunzatoare a caii  în zona producerii deraierii, linia IV din sta?ia CFR Pesti?, care sub ac?iunea for?elor dinamice transmise de materialul rulant, a condus la depa?irea toleran?elor admise în exploatare._x000D_
Factori care au contribuit:_x000D_
-	starea tehnica necorespunzatoare a traverselor normale de lemn care, sub actiunea fortelor dinamice transmise de materialul rulant catre elementele de fixare a placilor metalice, nu mai aveau capabilitatea de a men?ine în toleran?e valoarea ecartamentului caii;_x000D_
-	prisma colmatata ?i denivelari în zona deraierii, în punctul „0” nivelul firului exterior (hef = 15 mm) fiind mai jos decât firul interior (hmasurat = - 5 mm), la masuratori efectuate în regim static;_x000D_
-	depa?irea vitezei maxime de circulatie prevazuta de planului tehnic de exploatare (PTE) al statiei CFR Pestis;_x000D_
-	nealocarea, la Districtul de linii nr.2 Simeria, de traverse de lemn normale (materiale feroviare critice încadrate la clasa de risc IA), necesare conform ultimelor recensaminte ale traverselor necorespunzatoare din cale;_x000D_
-	nealocarea resurselor umane necesare executarii lucrarilor de mentenanta a infrastructurii feroviare la nivelul Districtului de linii nr.2 Simeria, district care asigura efectuarea acestor lucrari în sta?ia CFR Pesti?;</t>
  </si>
  <si>
    <t>Underlying causes:_x000D_
- infringement of the provisions of the art.25, paragraphs (2) and (4) from „Instruction of norms and tolerances for the track construction and maintenance - track with standard gauge no.314/1989”, concerning the failures that impose the replacement of the wooden sleepers and non-keeping within the track of unsuitable sleepers;_x000D_
- infringement of the provisions of point 4.1 from the Chapter 4 „Norms of manpower and material consumption”, of „Instruction for the line maintenance no.300/1982” concerning the ensuring of the norm of manpower for the current hand maintenance;_x000D_
- infringement of the provisions from the art.166, paragraph (3), from the Regulations for the Railway Technical Operation no.002 approved through the Order of the Minister of Public Works, Transports and Lodgings no.1186 from the 29th of August 2001, according which the provisions from the operation technical plan of the railway station are compulsory for the staff with responsibilities in the traffic safety at to the railway undertaking that perform transports in the respective railway station._x000D_
_x000D_
Root causes: _x000D_
- non-application of all provisions from the operational procedure code PO SMS 0-4.07 „Compliance with the technical specifications, standards and requirements relevant for the whole life cycle of the lines in maintenance process”, part of the safety management system of CNCF „CFR” SA, concerning the ensuring the materials and manpower necessary for the performance of the current maintenance and periodic repair to keep the safety level at the accident site._x000D_
-	disparity between the provisions from the operation technical plan of the railway station (PTE) and the Sheet for the Notification of the Speed Restrictions (BAR) Timisoara, for the period of time the 11th and the 31st  2016, line 214, concerning the maximum running speed at the accident site. 
Cauze subiacente:_x000D_
-	nerespectarea prevederilor art.25, alin.(2) si alin.(4) din”Instructia de norme si tolerante pentru constructia si întretinerea caii – linii cu ecartament normal, nr.314/1989“, referitoare la defectele care impun înlocuirea traverselor de lemn si la neadmiterea mentinerii în cale a traverselor necorespunzatoare;_x000D_
-	nerespectarea prevederilor pct.4.1, din Cap.4 „Norme de manopera si de consum de materiale”, al „Instructiei de întretinere a liniilor ferate nr.300/1982” referitoare la asigurarea normei de manopera la întretinerea curenta în executie manuala;_x000D_
-	nerespectarea prevederilor art.166, alin.(3), din Regulamentul de Exploatare Tehnica Feroviara nr.002 aprobat prin Ordinul MLPTL nr.1186 din 29.08.2001, care reglementeaza faptul ca, prevederile din planul tehnic de exploatare al statie sunt obligatorii pentru personalul cu responabilitati în siguranta circulatiei ai operatorilor de transport feroviari care desfasoara operatiuni de transport feroviar în statia respectiva._x000D_
_x000D_
Cauze primare: _x000D_
-	neaplicarea tuturor prevederilor procedurii operationale cod PO SMS 0-4.07 „Respectarea specificatiilor tehnice, standardelor si cerintelor relevante pe întreg ciclul de viata a liniilor în procesul de întretinere”, parte a sistemului de management al sigurantei al CNCF „CFR” SA, referitoare la asigurarea bazei materiale ?i a for?ei de munca necesara executarii lucrarilor de între?inere curenta ?i repara?ie periodica în vederea mentinerii nivelului de siguranta feroviara în zona producerii accidentului feroviar;_x000D_
-	neconcordanta între prevederile din planul tehnic de exploatare al statie (PTE) si Buletinul de Avizare a Restrictiilor de viteza (BAR) Timisoara, decada 11 – 31 mai 2016, linia 214, referitoare la viteza maxima de circulatie pe zona unde s-a produs acest accident feroviar.</t>
  </si>
  <si>
    <t>SE-5107</t>
  </si>
  <si>
    <t>Accident to persons caused by RS in motion, 25-05-16, Markaryd (Sweden)</t>
  </si>
  <si>
    <t>Two persons working at a track were hit by a train. One of them was severly injured.</t>
  </si>
  <si>
    <t>Markaryd</t>
  </si>
  <si>
    <t>Olyckan orsakades av att teknikerna arbetade inom säkerhetszonen utan att ha vidtagit åtgärder för att skydda sig mot fordonsrörelser på spåret. 
The accident was caused by the fact that the technicians worked within the safety zone without having taken measures to protect themselves against the movement of vehicles on the track.</t>
  </si>
  <si>
    <t>Bidragande orsak var att inga riskbedömningar genomförts inför arbetet.  _x000D_
_x000D_
Bakomliggande faktor var att det saknades ett tillförlitligt och fungerande system för att utse skydds- och säkerhetsledare vid direktplanerade bantekniska arbeten, vilket i sin tur bidrog till en otydlig rollfördelning i arbetslaget. 
This was due to the fact that risk assessments were not carried out before the work was carried out._x000D_
_x000D_
The underlying factor was the lack of a reliable and workable system for the designation of safety and security managers in direct planned infrastructure operations, which in turn contributed to an unclear division of roles in the team.</t>
  </si>
  <si>
    <t>CZ-5091</t>
  </si>
  <si>
    <t>Train derailment, 26-05-16, open line between Dobronín and Jihlava stations (Czech Republic)</t>
  </si>
  <si>
    <t>Derailment of 2 loaded wagons of freight train No. 62800</t>
  </si>
  <si>
    <t>open line between Dobronín and Jihlava stations</t>
  </si>
  <si>
    <t>Direct cause: _x000D_
• technical fault of the drawn wagon (type Uacs No. 84 54 930 7158-1) – blockage of the axle bearing of the first right front bogie, a consequential twist of the axel's pivot and a destruction of an axelbox.</t>
  </si>
  <si>
    <t>Underlying cause: _x000D_
• insufficient lubrication of the internal bearing (PLC 410-13) from the first front axle of the bogie of wagon – type Uacs No. 84 54 930 7158-1._x000D_
Root cause: none.</t>
  </si>
  <si>
    <t>CZ-5094</t>
  </si>
  <si>
    <t>Train derailment, 27-05-16, Praha hlavní nádraÅ¾í station (Czech Republic)</t>
  </si>
  <si>
    <t>Derailment of the train set No. 560 on its departure from Praha hl. n. station.</t>
  </si>
  <si>
    <t>Praha hlavní nádraÅ¾í station</t>
  </si>
  <si>
    <t>Direct cause: movement of the train set No. 560 over the slip switch No. 8a/b which was in an insufficient technical condition._x000D_
Contributory factor: unprofessional performance of welds on parts of the base plate of the slip switch No. 8a/b.</t>
  </si>
  <si>
    <t>Underlying cause: failure to detect an insufficient state of the slip switch No. 8a/b and to not take adequate measures due to the failure to comply the technological procedures of the IM._x000D_
Root cause: none.</t>
  </si>
  <si>
    <t>ES-5106</t>
  </si>
  <si>
    <t>Spad, 28-05-16, Vilanova i la Geltrú station (Barcelona) (Spain)</t>
  </si>
  <si>
    <t>Passenger train overtook exit signal S1/2, stating red aspect, at Vilanova i la Geltrú station. This caused a near miss train collision. No personal damages.</t>
  </si>
  <si>
    <t>Vilanova i la Geltrú station (Barcelona)</t>
  </si>
  <si>
    <t>The incident was caused by a human error of the driver of the train “regional express” 17501, probably caused by a poor risk perception (lack of attention) after passing entry signal E1 at Vilanova i la Geltrú station. This signal was showing a stop announce (yellow light), but the driver didn’t prepare for stopping, so the train passed the exit signal S1/2, which was showing stop order (red light). This was an incompliance of articles 213 and 217 of General Circulation Regulation.</t>
  </si>
  <si>
    <t>The 14 minutes delay of the train has been considered as an underlying factor: as it had not a scheduled stop at that station, the driver could have assumed a risk that contributed to the SPAD.</t>
  </si>
  <si>
    <t>RO-5092</t>
  </si>
  <si>
    <t>Train derailment, 28-05-16, Berbesti (Romania)</t>
  </si>
  <si>
    <t>the 15-th wagon  of the freight train no. 79184 derailed on the enrance in the railway station Berbesti</t>
  </si>
  <si>
    <t>Berbesti</t>
  </si>
  <si>
    <t>Direct cause of the railway accident is the fall of the left wheel (wheel no. 6) of the leading axle from the second bogie of the wagon no. 31536634061-2, the 15th of the freight train no. 79184, between the rails, because the line technical condition, that under the action of the dynamic forces transmitted by the rolling stock in movement, allowed the exceeding of the operation tolerances of the geometric parameters of the line._x000D_
_x000D_
Contributing factors:_x000D_
?	unsuitable technical condition of the wooden sleepers at the point „0” (point where the wheel no. 6 fell inside the track), that did not ensure the fastening of the rails and the keeping of the gauge between the accepted tolerances; _x000D_
?	lack of supplying with normal wooden sleepers at the Line District no.7 Pope?ti, necessary for the maintenance and repair of the line;_x000D_
?	under-sizing on the workers from the Line District no.7 Pope?ti, in charge with the maintenance of the railway infrastructure at the accident site. 
Cauza directa a producerii accidentului feroviar o constituie caderea între firele caii a ro?ii din partea stânga (roata nr.6) a osiei conducatoare a celui de-al doilea boghiu de la vagonul nr.31536634061-2, al 15-lea din compunerea trenului de marfa nr.79184, datorita starii tehnice a liniei, care sub ac?iunea for?elor dinamice transmise caii de materialul rulant în mi?care, a permis depa?irea toleran?elor în exploatare a parametrilor geometrici ai caii._x000D_
_x000D_
Factori care au contribuit:_x000D_
?	starea tehnica necorespunzatoare a traverselor de lemn din zona punctului „0” (punctul în care s-a produs caderea ro?ii nr.6 în interiorul caii), care nu asigurau prinderea ?inelor ?i men?inerea ecartamentului în limitele toleran?elor admise; _x000D_
?	neaprovizionarea cu traverse de lemn normale la Districtul de linii nr.7 Pope?ti necesare pentru executarea lucrarilor de între?inere ?i reparare a caii;_x000D_
?	subdimensionarea numarului de personal muncitor existent la Districtul de linii nr.7 Pope?ti, personal ce are în responsabilitate mentenan?a infrastructurii feroviare în zona producerii accidentului.</t>
  </si>
  <si>
    <t>Underlying causes:_x000D_
?	infringement of the provisions of the art.25, paragraphs (2) and (4) from „Instruction of norms and tolerances for the track construction and maintenance - track with standard gauge no.314/1989”, concerning: failures that impose the replacement of the wooden sleepers and keeping within the track of unsuitable sleepers;_x000D_
?	infringement of the provisions of point 4.1 from the Chapter 4 „Norms of manpower and material consumption”, of „Instruction for the line maintenance no.300/1982” concerning the ensuring with the norm of manpower for the current hand maintenance;_x000D_
?	non-complying with the overhaul cycle for the railway infrastructure, against the provisions from art.11(1) of " Instruc?ions for overhaul of the railway lines no.303/2003"._x000D_
_x000D_
Root causes:_x000D_
Root cause of the accident is the non-application of the provisions from the operational procedure code PO SMS 0-4.07 „Compliance with the technical specifications, standards and requirements relevant for the whole life cycle of the lines in maintenance process”, part of the safety management system of CNCF „CFR” SA, concerning the sizing of the staff from the sub-units for the line maintenance, reporting to the works, through the under-sizing the staff of the Line District no.7 Pope?ti from the Track Section L3 Râmnicu Vâlcea. 
Cauze subiacente:_x000D_
?	nerespectarea prevederilor art.25, alin.(2) ?i alin.(4) din „Instruc?ia de norme ?i toleran?e pentru construc?ii ?i între?inerea caii pentru linii cu ecartament normal nr.314/1989”, referitoare la: defecte care impun înlocuirea traverselor de lemn si men?inerea în cale a traverselor necorespunzatoare;_x000D_
?	nerespectarea prevederilor pct.4.1 din Cap. 4 „Norme de manopera ?i de consum de materiale”, al „Instruc?iei de între?inere a liniilor ferate nr.300/1982” referitoare la asigurarea normei de manopera la între?inerea curenta în execu?ie manuala;_x000D_
?	nerespectarea ciclurilor de repara?ii capitale ale infrastructurii feroviare, contrar prevederilor art.11(1) din " Instruc?iunile pentru lucrarile de repara?ie capitala a liniilor de cale ferata nr.303/2003"._x000D_
_x000D_
Cauze primare:_x000D_
Cauza primara a accidentului o constituie neaplicarea prevederilor procedurii opera?ionale cod PO SMS 0-4.07 „Respectarea specifica?iilor tehnice, standardelor si cerin?elor relevante pe întreg ciclul de via?a a liniilor în procesul de între?inere”, parte a sistemului de management al siguran?ei al CNCF „CFR” SA, referitoare la dimensionarea personalului subunita?ilor de între?inere linii, în raport cu volumul de lucrari, prin subdimensionarea personalului Districtului de Linii nr.7 Pope?ti din cadrul Sec?iei L3 Râmnicu Vâlcea.</t>
  </si>
  <si>
    <t>NO-5096</t>
  </si>
  <si>
    <t>Train derailment, 31-05-16, Near Bøn station (Norway)</t>
  </si>
  <si>
    <t>31 May was the first hot day in 2016, which contributed to Green Cargo AB’s freight train 5242 derailing due to buckling of the track just north of Bøn station on the Hovedbanen line. The four rearmost wagons were completely or partly derailed. The section was closed for repairs for a total of four weeks._x000D_
_x000D_
The year before, Bane NOR SF had installed a cable duct at the derailment site for the level crossing protection system at Bøn station, next to the ballast shoulder. This may have contributed to weakening the lateral support in the curve where the buckling occurred. At the same time as the cabling project was carried out, vegetation was removed along the section, which led to increased sun exposure and may thereby have caused increased compressive forces on the continuously welded track. In connection with the buckling, there was also a track fault that had developed over time. The track fault had been registered in the last four measurements by the line measurement and inspection vehicle on the section (carried out during the period between May 2015 and April 2016), and the tendency was already present before the cable duct work started. In August 2015, at the same time as work was carried out, some track irregulatities on the section were reported._x000D_
_x000D_
The AIBN believes that the most important contributory causes to the derailment were as follows:_x000D_
- Bane NOR did not have sufficient control of the compressive stresses on the tracks. _x000D_
- Bane NOR had not corrected the track fault in time. _x000D_
- The overall risk situation for the section was not sufficiently known and addressed in connection with the work carried out the previous autumn._x000D_
_x000D_
The AIBN submits two safety recommendations to Bane NOR SF as a result of this accident. One concerns the control mechanisms that are intended to ensure that track corrections are carried out and documented. In the other safety recommendation, the AIBN recommends that Bane NOR SF strengthen its process for ensuring a shared risk understanding at the interface between project-based work and day-to-day operations. 
Den 31. mai 2016 kl. 1438 sporet godstog 5242 fra Green Cargo AB av med de tre siste vognene i toget. Godstoget var på vei fra Åndalsnes til Alnabru. Avsporingen skjedde noen kilometer før Bøn stasjon. Både vognene og infrastruktur fikk store skader.</t>
  </si>
  <si>
    <t>Near Bøn station</t>
  </si>
  <si>
    <t>The AIBN believes that the most important contributory causes to the derailment were as follows:_x000D_
- Bane NOR did not have sufficient control of the compressive stresses on the tracks. _x000D_
- Bane NOR had not corrected the track fault in time. _x000D_
- The overall risk situation for the section was not sufficiently known and addressed in connection with the work carried out the previous autumn.</t>
  </si>
  <si>
    <t>X-ID</t>
  </si>
  <si>
    <t>AT-10269</t>
  </si>
  <si>
    <t>Trains collision with an obstacle, 31.05.2016, St. Pölten Hbf station</t>
  </si>
  <si>
    <t>NIB AT</t>
  </si>
  <si>
    <t>On May 31, 2016 at 7:59 am, RJ 160 entered the railway station St. Pölten Hbf. An open side skirt collided with the beginning of the platform 5 on the track 204. This broke away from the vehicle and parts of it came to rest in the track area.
The following train 904 of WESTbahn Management GmbH arriving on the same track 204 and passed the place with the ruins of the lost side skirt at 08:09 am. There was no collision.</t>
  </si>
  <si>
    <t>St. Pölten Hbf station</t>
  </si>
  <si>
    <t xml:space="preserve">High speed passenger train                </t>
  </si>
  <si>
    <t>ÖBB-Personenverkehr AG;  WESTbahn Management GmbH</t>
  </si>
  <si>
    <t>Infrastructure</t>
  </si>
  <si>
    <t>Article 20.2 of Directive (EU) 2016/798 – (b)</t>
  </si>
  <si>
    <t>Die Seitenschürze von RJ 160 war nicht ordnungsgemäß gesichert, klappte während der Fahrt auf, ragte
aus dem Lichtraumprofil heraus und kollidierte mit dem Bstg.</t>
  </si>
  <si>
    <t>HU-5105</t>
  </si>
  <si>
    <t>Level crossing accident, 02-06-16, Táborfalva (Hungary)</t>
  </si>
  <si>
    <t>Nr. 2923 train collided with a car. The driver of car has died. 
A 2923 sz. vonat személygépkocsival ütközött. A gépjármu vezetoje elhunyt.</t>
  </si>
  <si>
    <t>Táborfalva</t>
  </si>
  <si>
    <t>•	A vasúti átjáró kezdete a gépjármuvezeto számára csak késon volt észlelheto, a közút felé benyúló növényzet takarása miatt._x000D_
•	A vasúti átjáróban a rálátási háromszög nem volt szabad, a rálátást növényzet takarta._x000D_
•	Az átjáró a rálátás hiányában sem volt biztosítva, és az „Állj! Elsobbségadás kötelezo!” jelzotábla sem volt kihelyezve. _x000D_
•	A gépjármu vezetoje úgy hajtott a vasúti átjáróba, hogy elotte az áthaladás veszélytelenségérol nem gyozodött meg. 
· The beginning of the railway passage was only visible to the driver late, because of the covering of vegetation reaching the road._x000D_
· The view triangle in the railway passage was not free and the view was covered by vegetation._x000D_
· The gateway was not secured in the absence of a view, and "Stop! Priority is required!” sign not displayed._x000D_
· The driver of the vehicle drove into the railway passage without first being convinced that there was no danger of passage.</t>
  </si>
  <si>
    <t>BE-5098</t>
  </si>
  <si>
    <t>Trains collision, 05-06-16, Hermalle-sous-Huy (Belgium)</t>
  </si>
  <si>
    <t>Le dimanche 05/06/2016, vers 23:05, le train de voyageurs E3820 de la SNCB entre en collision avec l'arrière du train E48535 de B Logistics : les 2 trains circulaient dans le même sens sur la voie B de la ligne 125. 
On Sunday 5th June 2016 at around 11:05 pm, the SNCB E3820 passenger train collided with the rear of the B Logistics E48535: the two trains were circulating in the same direction on the path B of the line 125.</t>
  </si>
  <si>
    <t>NMBS Logistics; 
Société nationale des Chemins de fer belges</t>
  </si>
  <si>
    <t>La collision par rattrapage est due au dépassement d’un signal présentant l’aspect fermé suite à l’absence de freinage par le conducteur de train de voyageurs. 
The collision caused by a delay was due to the fact that the driver of the passenger train ignored a deactivated signal after not having used the braking system.</t>
  </si>
  <si>
    <t>Underlying factor 1 : _x000D_
We conclude from the analysis that it is likely that the driver’s level of alertness was not optimal. The ability of humans to be distracted allows them to notice abnormal events. This ability allows him to recognise and respond to situations quickly and adapt to the new situation and new in-formation.However, this same distracting ability also predisposes him to errors. Indeed, in the case of dis-traction, there is a risk of not being attentive to the most important aspects of a task or situation. Distractions  can  be  numerous  and  diverse:  external  to  the  individual  (work  on  the  track,  ...)  or  coming from the individual (mobile phone, multimedia tablet, drink, newspaper, music, ...)No  call  via  the  mobile  phone  or  GSM-R  device  was  made  on  the  moments  of  the  belated  ac-knowledgements  or  TBL1+  interventions.  The  private  mobile  phone  of  the  driver  could  not  be  analysed by the Investigation Body. Activity with a mobile phone is difficult to measure: indeed, activities may be due to automatic programs (update, ...), the driver can also use the mobile phone in a disconnected way to view photos, to watch videos downloaded beforehand, to listen to music,...No other potential source of distraction was noted.The question regarding the use of mobile phones was however raised during the investigation by the external experts. Drivers are aware of the ban on the use of private mobile phones in the driver’s cab but recognise that sometimes the rule is not strictly followed.Prevention through making the driving staff responsible therefore plays a leading role.During  the  last  consultation  meetings,  the  national  safety  authority  raised  awareness  among  railway companies about the risks of using mobile phones._x000D_
_x000D_
Underlying factor 2 :_x000D_
During the operational sequence, the driver of the passenger train arrived at signal D.11 showing a “Double Yellow” aspect which indicates to the driver that the following signal (signal B222) is to be considered closed. The driver is late to acknowledge the restrictive signal, that is to say after having  passed  the  signal  but  within  the  4  seconds  time  frame  allowed.  Beyond  4  seconds,  an  emergency brake would have been engaged.Passing through a restrictive signal is shown in the driver’s cab by the yellow memorisation indi-cator light turning on.The  memorisation  function  of  the  yellow  lamp  in  the  driver's  cab  is  not  sufficient  to  allow  the  driver to realise that he is travelling towards a closed signal (B222 showing a red aspect).The driver unduly passes signal B222 equipped with the Memor system.The accident shows, as in the case of the Wetteren accident, that it is possible for a driver to “automatically” acknowledge a signal without this triggering any particular action. The goal of the Memor system is to obtain, through the presence of a device for driver assistance and surveillance, risk reduction linked to the possible relaxation in vigilance of the driver. With the Memor system, no alert is expected to warn the driver of his passing the signal and allow him to make an emergency brake. It is the absence of the sound signal that is supposed to “alert” the driver of passing through.Memor  is  not  designed  to  trigger  an  emergency  brake  in  case  of  passing  the  signal,  unlike  an  ATP/ATC system.The investigation also focused on the management systems implemented by the two companies._x000D_
_x000D_
_x000D_
Root cause 1 (organisational learning): _x000D_
Although compliance with the signals is a rule that is stressed intensively during training and during the monitoring of drivers, the reaction patterns of a driver faced with a restrictive signal may undergo deviations from the rule and from good practice: some drivers adopt a more reac-tive approach and regularly acknowledge belatedly. In interviews with drivers, experts from the external company mentioned that the driving habits of some drivers who recently entered into service are different to those of drivers who drove on other systems (Memor, Gong-Whistle) : they would tend to rely more on reminders of certain as-pects of signals by the TBL1+ system on board trains. This is a deviation from the requirements: every driver has to observe lateral signalling and respect the rules defined by the company and included in the HLT (driver's reglementation)_x000D_
The TBL1+ system is a driver assistance system, not an automatic train control system.The TBL1+ system does not equip all the signals: schematic signalling plans2 mention this infor-mation but drivers cannot and should not know, according to the NMBS/SNCB, which signals are equipped with TBL1+ and which are not.Indeed, the train driving rules do not change according to TBL1+ equipment or Memor signals.Controls via tape recordings analysis are carried out by the railway company. However, it is not possible to check all daily journeys._x000D_
_x000D_
_x000D_
Root cause 2 (monitoring) :_x000D_
After the Buizingen accident in 2010, the two companies, Infrabel and NMBS/SNCB filed an ac-celerated equipment plan for the TBL1+ system at the infrastructure level and in rolling stock.Infrabel  communicates  on  the  state  of  protection  of  its  network  by  the  TBL1+  system  in  terms  of,  inter  alia,  “efficiency  coverage”.  This  communication  may  have  led  to  confusion:  the  99.9%  efficiency coverage does not correspond to 99.9% reduction in risk of reaching the danger point provided by the installation of the TBL1+ system, nor to the equipment of 99.9% of all Infrabel network signals with TBL1+._x000D_
_x000D_
Why was the B222 signal not equipped?_x000D_
Infrabel works in two phases to make the network safe:_x000D_
• the first consists in a rapid deployment (4-5 years) of TBL1+ in 75% of the signals, and_x000D_
• the second phase consists in the equipment of the network with ETCS. _x000D_
_x000D_
During the first phase, the TBL1+ system was not installed on all of the network signals: the objec-tive of the manager is to reduce by 75% the danger point being reached when signals are overrun.To decide to equip or not equip a signal with TBL1+ equipment, Infrabel conducted a risk analysis._x000D_
In summary, the B222 signal was not equipped for the following reasons:_x000D_
• the level of risk estimated by the method used was relatively low and the category to which the signal belongs did not have to be equipped with the TBL1+ system as a priority;_x000D_
• the signal was not involved in achieving the objective set by the infrastructure manager to reduce by 75% the danger point being reached when signals are overrun;_x000D_
• the delay in the schedule of modernisation of the line section in PLP;_x000D_
• the Infrabel decision to install the TBL1+ on the section “any relay” without waiting for the installation of the PLP but via a minimum deployment;   _x000D_
• the  B222  signal  is  an  automatic  signal  that  required  new  wiring  to  allow  the  installation  of  TBL1+. It will disappear under the new PLP configuration of the section “Ampsin-Haute-Flône”._x000D_
_x000D_
The second phase_x000D_
The Masterplan prepared by Infrabel and NMBS/SNCB is an ambitious plan to make the Belgian rail network safe using ATP (TBL1+) and ATC (such as ETCS 1, 2 and 1 Limited Supervision) sys-tems.Many signals should be equipped by 2020: analysis of changes in the past of ATP/ATC (TBL, TBL 1, TBL2,) systems implementation projects on the Belgian rail network show that these projects undergo  revisions  because  they  are  considered  too  ambitious.  The  TBL1+  schedule  has  been  respected, the monitoring of the ETCS deployment schedule is one of the recommendations of the Investigation Body as part of the Wetteren accident investigation._x000D_
Risk analysis by Infrabel established that the risk of reaching a danger point if a closed signal is passed decreases as follows: _x000D_
• 75% in the case of TBL1+ equipment;_x000D_
• 85 à 90% in the case of ETCS 1 Limited Supervision equipment_x000D_
• 95% in the case of ETCS 1 or ETCS 2 equipment._x000D_
_x000D_
Certain signals are not to be equipped:_x000D_
• the  independent  simplified  stop  signals  that  can  be  passed  in  major  movement  are  not  taken into account;_x000D_
• lines for which the reference speed is less than or equal to 70 km/h equipped with cross-ings, protected by simplified stop signals are not taken into account._x000D_
_x000D_
ETCS is being installed following a deployment plan from 2012 to 2022. We must remain aware that zero risk does not exist. ETCS’s goal is to reduce the risk of reaching a danger point if a closed signal is passed. 
Underlying factor 1 : _x000D_
We conclude from the analysis that it is likely that the driver’s level of alertness was not optimal. The ability of humans to be distracted allows them to notice abnormal events. This ability allows him to recognise and respond to situations quickly and adapt to the new situation and new in-formation.However, this same distracting ability also predisposes him to errors. Indeed, in the case of dis-traction, there is a risk of not being attentive to the most important aspects of a task or situation. Distractions  can  be  numerous  and  diverse:  external  to  the  individual  (work  on  the  track,  ...)  or  coming from the individual (mobile phone, multimedia tablet, drink, newspaper, music, ...)No  call  via  the  mobile  phone  or  GSM-R  device  was  made  on  the  moments  of  the  belated  ac-knowledgements  or  TBL1+  interventions.  The  private  mobile  phone  of  the  driver  could  not  be  analysed by the Investigation Body. Activity with a mobile phone is difficult to measure: indeed, activities may be due to automatic programs (update, ...), the driver can also use the mobile phone in a disconnected way to view photos, to watch videos downloaded beforehand, to listen to music,...No other potential source of distraction was noted.The question regarding the use of mobile phones was however raised during the investigation by the external experts. Drivers are aware of the ban on the use of private mobile phones in the driver’s cab but recognise that sometimes the rule is not strictly followed.Prevention through making the driving staff responsible therefore plays a leading role.During  the  last  consultation  meetings,  the  national  safety  authority  raised  awareness  among  railway companies about the risks of using mobile phones._x000D_
_x000D_
Underlying factor 2 :_x000D_
During the operational sequence, the driver of the passenger train arrived at signal D.11 showing a “Double Yellow” aspect which indicates to the driver that the following signal (signal B222) is to be considered closed. The driver is late to acknowledge the restrictive signal, that is to say after having  passed  the  signal  but  within  the  4  seconds  time  frame  allowed.  Beyond  4  seconds,  an  emergency brake would have been engaged.Passing through a restrictive signal is shown in the driver’s cab by the yellow memorisation indi-cator light turning on.The  memorisation  function  of  the  yellow  lamp  in  the  driver's  cab  is  not  sufficient  to  allow  the  driver to realise that he is travelling towards a closed signal (B222 showing a red aspect).The driver unduly passes signal B222 equipped with the Memor system.The accident shows, as in the case of the Wetteren accident, that it is possible for a driver to “automatically” acknowledge a signal without this triggering any particular action. The goal of the Memor system is to obtain, through the presence of a device for driver assistance and surveillance, risk reduction linked to the possible relaxation in vigilance of the driver. With the Memor system, no alert is expected to warn the driver of his passing the signal and allow him to make an emergency brake. It is the absence of the sound signal that is supposed to “alert” the driver of passing through.Memor  is  not  designed  to  trigger  an  emergency  brake  in  case  of  passing  the  signal,  unlike  an  ATP/ATC system.The investigation also focused on the management systems implemented by the two companies._x000D_
_x000D_
_x000D_
Root cause 1 (organisational learning): _x000D_
Although compliance with the signals is a rule that is stressed intensively during training and during the monitoring of drivers, the reaction patterns of a driver faced with a restrictive signal may undergo deviations from the rule and from good practice: some drivers adopt a more reac-tive approach and regularly acknowledge belatedly. In interviews with drivers, experts from the external company mentioned that the driving habits of some drivers who recently entered into service are different to those of drivers who drove on other systems (Memor, Gong-Whistle) : they would tend to rely more on reminders of certain as-pects of signals by the TBL1+ system on board trains. This is a deviation from the requirements: every driver has to observe lateral signalling and respect the rules defined by the company and included in the HLT (driver's reglementation)_x000D_
The TBL1+ system is a driver assistance system, not an automatic train control system.The TBL1+ system does not equip all the signals: schematic signalling plans2 mention this infor-mation but drivers cannot and should not know, according to the NMBS/SNCB, which signals are equipped with TBL1+ and which are not.Indeed, the train driving rules do not change according to TBL1+ equipment or Memor signals.Controls via tape recordings analysis are carried out by the railway company. However, it is not possible to check all daily journeys._x000D_
_x000D_
_x000D_
Root cause 2 (monitoring) :_x000D_
After the Buizingen accident in 2010, the two companies, Infrabel and NMBS/SNCB filed an ac-celerated equipment plan for the TBL1+ system at the infrastructure level and in rolling stock.Infrabel  communicates  on  the  state  of  protection  of  its  network  by  the  TBL1+  system  in  terms  of,  inter  alia,  “efficiency  coverage”.  This  communication  may  have  led  to  confusion:  the  99.9%  efficiency coverage does not correspond to 99.9% reduction in risk of reaching the danger point provided by the installation of the TBL1+ system, nor to the equipment of 99.9% of all Infrabel network signals with TBL1+._x000D_
_x000D_
Why was the B222 signal not equipped?_x000D_
Infrabel works in two phases to make the network safe:_x000D_
• the first consists in a rapid deployment (4-5 years) of TBL1+ in 75% of the signals, and_x000D_
• the second phase consists in the equipment of the network with ETCS. _x000D_
_x000D_
During the first phase, the TBL1+ system was not installed on all of the network signals: the objec-tive of the manager is to reduce by 75% the danger point being reached when signals are overrun.To decide to equip or not equip a signal with TBL1+ equipment, Infrabel conducted a risk analysis._x000D_
In summary, the B222 signal was not equipped for the following reasons:_x000D_
• the level of risk estimated by the method used was relatively low and the category to which the signal belongs did not have to be equipped with the TBL1+ system as a priority;_x000D_
• the signal was not involved in achieving the objective set by the infrastructure manager to reduce by 75% the danger point being reached when signals are overrun;_x000D_
• the delay in the schedule of modernisation of the line section in PLP;_x000D_
• the Infrabel decision to install the TBL1+ on the section “any relay” without waiting for the installation of the PLP but via a minimum deployment;   _x000D_
• the  B222  signal  is  an  automatic  signal  that  required  new  wiring  to  allow  the  installation  of  TBL1+. It will disappear under the new PLP configuration of the section “Ampsin-Haute-Flône”._x000D_
_x000D_
The second phase_x000D_
The Masterplan prepared by Infrabel and NMBS/SNCB is an ambitious plan to make the Belgian rail network safe using ATP (TBL1+) and ATC (such as ETCS 1, 2 and 1 Limited Supervision) sys-tems.Many signals should be equipped by 2020: analysis of changes in the past of ATP/ATC (TBL, TBL 1, TBL2,) systems implementation projects on the Belgian rail network show that these projects undergo  revisions  because  they  are  considered  too  ambitious.  The  TBL1+  schedule  has  been  respected, the monitoring of the ETCS deployment schedule is one of the recommendations of the Investigation Body as part of the Wetteren accident investigation._x000D_
Risk analysis by Infrabel established that the risk of reaching a danger point if a closed signal is passed decreases as follows: _x000D_
• 75% in the case of TBL1+ equipment;_x000D_
• 85 à 90% in the case of ETCS 1 Limited Supervision equipment_x000D_
• 95% in the case of ETCS 1 or ETCS 2 equipment._x000D_
_x000D_
Certain signals are not to be equipped:_x000D_
• the  independent  simplified  stop  signals  that  can  be  passed  in  major  movement  are  not  taken into account;_x000D_
• lines for which the reference speed is less than or equal to 70 km/h equipped with cross-ings, protected by simplified stop signals are not taken into account._x000D_
_x000D_
ETCS is being installed following a deployment plan from 2012 to 2022. We must remain aware that zero risk does not exist. ETCS’s goal is to reduce the risk of reaching a danger point if a closed signal is passed.</t>
  </si>
  <si>
    <t>SE-5108</t>
  </si>
  <si>
    <t>Trains collision near miss, 07-06-16, Västerås (Sweden)</t>
  </si>
  <si>
    <t>A near collision occurred at the station Västerås on June 7th between a shunting movement and a passenger train. The shunting movement passed a signal at danger. The train and the shunting movement were stopped close to each other.</t>
  </si>
  <si>
    <t>Västerås</t>
  </si>
  <si>
    <t>Passenger train; 
Shunting operation</t>
  </si>
  <si>
    <t>The immediate cause for the incident was that the "Stop" aspect in signal Vå 138 was not heeded by the driver of the shunting movement.</t>
  </si>
  <si>
    <t>A probable contributing factor was that the headlights of the oncoming train were in the field of vision of the driver of the shunting movement, and that may have diverted his attention.</t>
  </si>
  <si>
    <t>UK-5138</t>
  </si>
  <si>
    <t>Other, 07-06-16, Baildon (United Kingdom)</t>
  </si>
  <si>
    <t>Between 17:45 hrs and 17:58 hrs on Tuesday 7 June 2016, two passenger trains passed over a section of the single line at Baildon where part of the supporting embankment had been washed away. This had left one of the rails unsupported over a length of between 3 and 4 metres. The driver of the second train saw the washout but was unable to stop the train before passing over it at a speed of around 45 mph (72 km/h). The train did not derail but the driver was shaken by the event. He stopped the train and made an emergency call to the signaller._x000D_
_x000D_
The washout occurred during a period of intense rainfall at around 16:25 hrs that afternoon. A member of public noticed the washed out track around this time and reported it to the local Fire and Rescue Service who then informed Network Rail. At around the same time, a train driver reported flooding in the area, with water flowing above the level of the rails, to the local signaller. Network Rail stopped train movements on the line and sent staff to inspect the track at the reported flooding location. The inspection found that the floodwater had receded significantly, but did not identify the washout 340 metres further along the line towards Bradford. At 17:29 hrs, the line was reopened for use at its maximum speed of 50 mph (80 km/h)._x000D_
_x000D_
At 17:45 hrs, the 17:16 hrs Bradford Forster Square to Ilkley service passed over the damaged section of track. The driver of this train did not report any fault, but a second call from a member of public was received by the local police stating they had witnessed a train passing over the damaged track. The message was passed to Network Rail, but before the line was blocked to traffic, a second train, the 17:20 hrs Ilkley to Bradford Forster Square service, had passed over it.</t>
  </si>
  <si>
    <t>Baildon</t>
  </si>
  <si>
    <t>The line was open to traffic after the track’s support had been washed out by flood water (paragraph 43).</t>
  </si>
  <si>
    <t>Causal factors_x000D_
100 The causal factors were:_x000D_
a. The ballast under one rail of the track had been washed out for a distance of 3 - 4 metres (paragraph 45). This causal factor arose due to a combination of the following:_x000D_
i. the drainage system running under the track could not cope with the quantity of water following the flash flood (paragraph 47);_x000D_
ii. the flood water on the railway was directed to the single sided embankment (paragraph 55); and_x000D_
iii. a repair to the embankment following a previous flood could not withstand the flow of water (paragraph 59)._x000D_
b. Network Rail did not deal with the reports of the damaged track appropriately (paragraph 61). This causal factor arose due to a combination of the following:_x000D_
i. the controllers did not carefully listen to the safety messages within the emergency phone calls (paragraph 65);_x000D_
ii. the controllers did not direct its incident responders to the correct location (paragraph 69);_x000D_
iii. incident responders were not aware of the vulnerability of the embankment to flooding (paragraph 76); and_x000D_
iv. the third train to go over the washout was not stopped from doing so, despite the line having been blocked to traffic (paragraph 81)._x000D_
Underlying factors_x000D_
101 The underlying factors were:_x000D_
a. Network Rail did not take any substantive remedial actions following the previous track washout at the same location in August 2012 (paragraph 89, Recommendation 1), and_x000D_
b. The competence of controllers in safety critical communications was not being adequately managed; this was a possible underlying factor (paragraph 92, Learning point 1).</t>
  </si>
  <si>
    <t>HR-5097</t>
  </si>
  <si>
    <t>Train derailment, 08-06-16, Rogotin (Croatia)</t>
  </si>
  <si>
    <t>On 08.06.2016. between the stations Opuzen and Rogotin there was a derailment of a railway maintenance vehicle. 
Dana 08.06.2016. izmedu kolodvora Opuzen i Rogotin došlo je do iskliznuca TMD-a serije 9 103-272</t>
  </si>
  <si>
    <t>Rogotin</t>
  </si>
  <si>
    <t>Izravni uzrok ove nesrece je: lom vratila TMD-a zbog umora materijala. 
the fracture of an axle of the special vehicle due to fatigue of the axle.</t>
  </si>
  <si>
    <t>Cimbenici koji su pridonijeli ovoj nesreci: _x000D_
-	tip ugradenog vratila, _x000D_
-	postupak ultrazvucnog ispitivanja vratila obavlja se u sklopu redovitih popravaka SP (srednji popravak) i VP (veliki popravak), _x000D_
-	unutar kontrolnih pregleda (P1, P3, P6 i P12) obavlja se samo provjera i pregled elemenata donjeg ustroja._x000D_
Organizacijski cimbenici: propisani vremenski period izmedu dva postupka ultrazvucnog ispitivanja vratila. 
Contributing factors: _x000D_
-	a type of build axle, _x000D_
-	the ultrasonic shaft test procedure is performed only during regular repair of the SP (medium repair) and VP (major repairs)_x000D_
-	 during the regular checks and reviews ultrasonic examination is not conducting._x000D_
Organizational factors: the period of time between the two ultrasonic shafts scan procedures</t>
  </si>
  <si>
    <t>RO-5099</t>
  </si>
  <si>
    <t>Fire in RS, 14-06-16, Cata Rupea (Romania)</t>
  </si>
  <si>
    <t>the electric locomotive EA no.557 that hauled the passenger train no.3536 caught fire</t>
  </si>
  <si>
    <t>Cata Rupea</t>
  </si>
  <si>
    <t>Direct cause_x000D_
The fire happened because the mechanical interaction between the windings of the rotor and of those of the stator, because the detachment of the band from the rotor winding, leading to a serious local heating and appearance of sparks, it generating the ignition of the electrical insulation of the power supply cables from the traction engine no.4, of the gangway of the ventilation duct and the fire propagation at the other components._x000D_
Contributing factors _x000D_
•	deterioration of the band of the rotor winding because its aging; _x000D_
•	keeping in service of the locomotive EA 557, after reaching the norms of time/km for the performance of the planed repairs. 
Cauza directa_x000D_
Incendiul s-a produs datorita interac?iunii mecanice dintre înfa?urarile rotorului ?i ale statorului ca urmare a desprinderii bandajului înfa?urarii rotorice, ce a avut ca efect o puternica încalzire locala ?i apari?ia de scântei fapt ce a produs aprinderea izola?iei electrice a cablurilor de alimentare ale motorului de trac?iune nr.4, a burdufului de la canalul de ventila?ie ?i extinderea incendiului la celelalte componente.       _x000D_
Factorii care au contribuit _x000D_
•	deteriorarea bandajului înfa?urarilor bobinajului rotoric ca urmare a îmbatrânirii acestuia; _x000D_
•	men?inerea în serviciu a locomotivei EA 557, dupa atingerea normelor de timp/kilometri pentru efectuarea repara?iilor planificate.</t>
  </si>
  <si>
    <t>Underlying causes _x000D_
Infringement of the provisions of the Railway Norm  67-006:2011 "Railway vehicles. Types of revisions and planned repairs.  Norms of time and run km for the performance of the inspections and planned repairs", approved through the Order of the Minister of Transports and Infrastructure no.315/2011, amended through the Order of Minister of Transports and Infrastructure no.1359/2012, respectively:_x000D_
•	chapter 3 – Norms for the performance of inspections and planned repairs of the railway vehicles and their periodicity,  sub-point 3.1, that is the locomotive EA 557 was not withdrawn from running when it reached the norm of time or km stipulated for the performance of the planned repairs;_x000D_
•	chapter 3 – Norms for the performance of the inspections and planned repairs of the railway vehicles and their cycle, Table 3.1,  letter A,  position no.1, that is the cycle of the planned repairs for the locomotive EA 557 was not met._x000D_
Root causes_x000D_
•	infringement of the requirements from the operational procedure PO-07.1-14 “Planning of inspections and repairs for locomotives, multiple units and electrical multiple units got by SNTFC “CFR Calatori” SA” chapter 4.7 - Organization of the planning of the scheduled repairs, point 4.7.5 – Sequence and periodicity of the inspections and scheduled repairs - Annex no. 1 code F-PO-7.1-14-01 – point A.1 concerning the Norm of time or km run for the performance of the planned repairs;_x000D_
•	lack of some real provisions for keeping under control of the risks generated by the danger represented by “Non-meeting with the cycle of inspections and repairs at the rolling stock”. 
Cauze subiacente _x000D_
Nerespectarea prevederilor Normativului feroviar  67-006:2011 "Vehicule de cale ferata. Tipuri de revizii ?i repara?ii planificate.  Normele de timp sau normele de kilometri parcur?i pentru efectuarea reviziilor ?i repara?iilor planificate", aprobat prin Ordinul Ministrului Transporturilor ?i Infrastructurii nr.315/2011 modificat ?i completat prin Ordinul MTI nr.1359/2012, respectiv:_x000D_
•	capitolul 3 – Norme pentru efectuarea reviziilor ?i repara?iilor planificate ale vehiculelor feroviare ?i periodicitatea acestora (ciclul),  subpunctul 3.1, în sensul ca locomotiva EA 557 nu a fost retrasa din circula?ie la atingerea normei de timp sau kilometri prevazuta pentru efectuarea repara?iilor planificate;_x000D_
•	capitolul 3 – Norme pentru efectuarea reviziilor ?i repara?iilor planificate ale vehiculelor feroviare ?i periodicitatea acestora (ciclul), Tabelul 3.1,  lit. A,  pozi?ia nr.1, în sensul ca nu a fost respectat ciclul de repara?ii planificate pentru locomotiva EA 557._x000D_
Cauze primare_x000D_
•	nerespectarea cerin?elor prevazute în procedura opera?ionala PO-07.1-14 “Planificarea reviziilor ?i repara?iilor pentru locomotive, automotoare ?i rame electrice apar?inând SNTFC “CFR Calatori” SA” capitolul 4.7 - Organizarea activita?ii de planificare a repara?iilor programate, punct. 4.7.5 – Succesiunea ?i periodicitatea reviziilor ?i repara?iilor programate - Anexa nr. 1 cod F-PO-7.1-14-01 – punctul A.1 referitor la Norma de timp sau de kilometri parcur?i pentru efectuarea repara?iilor planificate;_x000D_
•	absen?a unor prevederi concrete pentru ?inerea sub control a riscurilor generate de pericolul reprezentat de “Nerespectarea ciclului de revizii ?i repara?ii material rulant”.</t>
  </si>
  <si>
    <t>UK-5139</t>
  </si>
  <si>
    <t>Level crossing near miss, 14-06-16, Dock Lane User Worked Crossing (United Kingdom)</t>
  </si>
  <si>
    <t>At 13:25 on 14 June 2016, a train travelling from Lowestoft to Ipswich narrowly missed a member of the public who was in the process of opening the vehicle gates at Dock Lane level crossing. There were no injuries and there was no damage to either the train or the infrastructure._x000D_
_x000D_
Dock Lane is a user worked level crossing on a private road near Melton, in Suffolk, and also carries a public footpath. Vehicle users must use the telephone to call the signaller at Saxmundham to obtain permission to drive over the crossing before opening the gates. Pedestrians are not required to use the telephone before crossing._x000D_
_x000D_
The member of the public was the driver of a vehicle waiting to cross the railway. A passenger in the car had called the signaller who gave permission for the vehicle to cross. The driver had opened the near side gate and was walking onto the crossing to open the far gate when the passenger, who had heard the approaching train, shouted, prompting the car driver to stop. Train 2D81, the 12:07 Lowestoft to Ipswich service, then passed over the crossing, narrowly missing the car driver._x000D_
_x000D_
The car passenger reported the near miss to the signaller.</t>
  </si>
  <si>
    <t>Dock Lane User Worked Crossing</t>
  </si>
  <si>
    <t>Having received permission to cross from the signaller, a member of the public was about to use the crossing when a train passed (paragraph 44).</t>
  </si>
  <si>
    <t>The causal factors were:_x000D_
a. It is possible that the signaller’s thought process was diverted by the familiar and ‘light-hearted’ nature of the call, and that he gave an automatic response (paragraph 48, Learning point 1)._x000D_
b. There were numerous calls to the signallers operating Saxmundham signal box due to the large number of UWC-T crossings, with a cumulative high traffic load, controlled from there. This demand rate made the possibility of a signaller error more likely (paragraph 53, Recommendations 2 and 3). The high demand on the signaller from UWC-T calls continued due to a combination of the following:_x000D_
i. Assessments undertaken as part of the ongoing process for the management of risk at level crossings and signal boxes did not prioritise the need to change crossing types (paragraph 62, Recommendation 1)._x000D_
ii. The line upgrade in 2012 did not take the opportunity to change the crossing types (paragraph 76, Recommendation 4)._x000D_
iii. Telephones had been added to Jetty Avenue level crossing (paragraph 83, Recommendation 4)._x000D_
c. It is possible that the signaller was mentally fatigued when the caller asked for permission to cross the line, due to the high mental demand involved in maintaining awareness of train positions in long track sections and relating_x000D_
these to the many UWC-T requests (paragraph 88, Recommendation 2).</t>
  </si>
  <si>
    <t>BG-5100</t>
  </si>
  <si>
    <t>Fire in RS, 16-06-16, Sahrane station (Bulgaria)</t>
  </si>
  <si>
    <t>At approx. 12:16 PM local time on 16.06.2016, while controlling the transit pass of fast train No 3622 through Dunavtsi station in Burgas – Sofia direction, the Traffic Manager on duty observed a smoke coming out from beneath the locomotive. The information was communicated to his colleague in Sahrane station and to the train dispatcher. _x000D_
The train was stopped in the Sahrane station, and after separating the locomotive from the passenger cars, the crew started fighting the raising fire with the fire extinguishing installation and the portable equipment available. _x000D_
At approx. 02:14 PM local time the fire was extinguished by the fire brigade called from the town of Kazanluk. No passengers or railway staff were injured. Damages were caused to the electrical locomotive only.</t>
  </si>
  <si>
    <t>Sahrane station</t>
  </si>
  <si>
    <t>The Investigation Commission considers that the cause for the fire of locomotive No 44-085.9 is the presence of a wooden piece under the bearing grid of the smoothing reactor of the auxiliary machines, which is located on the oil cooling radiator of the traction transformer.</t>
  </si>
  <si>
    <t>The bearing grid was repeatedly welded on a single place where the weld was teared several times after breaking due to a fatigue of the material as a result from the presence of vibrations of the grid during operation. After the consecutive tear of the welding it was not restored, but a wooden piece of pine was placed in the repair point to serve as a support to the grid during operation instead.</t>
  </si>
  <si>
    <t>RO-5101</t>
  </si>
  <si>
    <t>Train derailment, 22-06-16, Telciu-Cosbuc (Romania)</t>
  </si>
  <si>
    <t>two wagons loaded with logs from the freight train no.42564 derailed in open line between railway stations Telciu and Cosbuc</t>
  </si>
  <si>
    <t>Telciu-Cosbuc</t>
  </si>
  <si>
    <t>Direct cause: _x000D_
The direct cause of this railway accident is the loss of the horizontal stability of the group rail-sleepers under the action of the dynamic forces sent by the rolling stock during the train running, it leading to the overclimbing of the active shoulder of the rail head, corresponding to the outside rail of the curve, by the flange of the wheel no.5 from the right side of the first axle from the second bogie, in the running direction, of the wagon no.31535301647-2 (the 31st one of the train), followed by the fall of the left wheel of the same axle between the rails._x000D_
Contributing factors:_x000D_
-	high values of the temperature registered in the rails, taking into account that :_x000D_
•	the derailment happened in an area with mixed cross section, it leading to the keeping of high temperatures registered in the air and in the rails; _x000D_
•	when the derailment happened, the temperature registered in rails was between 460C-480C (when the derailment happened it was of about 460C);   _x000D_
-	the non-welded track at the derailment site was not formed in accordance with the instructions, that is the joints were not ”on square” because for the track construction at the derailment site one used rails of different lengths, and the number of joints from the outside rail of the curve was different from the number of joints from the inside rail of the curve (on the outside rail of the curve there were 6 joints and on the inside one there were 4 joints);_x000D_
-	the sizes of the expansion joints, whose values in operation were under the values of the joints accepted in operation;_x000D_
-	the shape of the broken stone track bed, that did not comply with the geometry of the broken stone track bed for the current line, route in curve, non-welded track fitted on wooden sleepers;_x000D_
-	existence at the derailment site of some track sections with insufficient broken stone; 
Cauza directa: _x000D_
Cauza directa a producerii acestui accident feroviar o constituie pierderea stabilita?ii în plan orizontal al cadrului ?ine traverse sub ac?iunea for?elor dinamice transmise de materialul rulant în timpul circula?iei trenului, fapt ce a condus la escaladarea flancului activ al ciupercii ?inei, corespunzatoare firului exterior al curbei, de catre buza ro?ii nr.5 de pe partea dreapta a primei osii a celui de-al doilea boghiu, în sensul de mers, al vagonului nr.31535301647-2 (al 31-lea din compunerea trenului), urmata de caderea ro?ii din partea stânga a aceleia?i osii între firele caii._x000D_
Factori care au contribuit:_x000D_
-	valorile mari ale temperaturii înregistrate în ?ine, ?inând cont de faptul ca:_x000D_
•	deraierea s-a produs într-o zona în care profilul transversal al caii este mixt, fapt care are ca efect men?inerea temperaturilor ridicate înregistrate în aer ?i în ?ine; _x000D_
•	la data producerii deraierii temperatura înregistrata în ?ine a fost cuprinsa între 460C-480C (la ora producerii deraierii aceasta era de aproximativ 460C);   _x000D_
-	alcatuirea neinstruc?ionala a caii cu joante în zona producerii deraierii în sensul ca joantele nu erau la echer datorita faptului ca pentru construc?ia caii în zona producerii deraierii au fost folosite ?ine de lungimi diferite, iar numarul joantelor de pe firul exterior al curbei era diferit de numarul joantelor de pe firul interior al curbei (pe firul exterior al curbei erau 6 joante, iar pe firul interior al curbei erau 4 joante);_x000D_
-	dimensiunile rosturilor de dilata?ie, ale caror valori în exploatare erau mai mici decât valorile rosturilor admise în exploatare;_x000D_
-	forma prismei de piatra sparta, care nu respecta geometria prismei de piatra sparta pentru linie curenta, traseu în curba, cale cu joante montata pe traverse de lemn;_x000D_
-	existen?a în zona producerii deraierii a unor por?iuni de linie cu piatra sparta insuficienta;</t>
  </si>
  <si>
    <t>Underlying causes: _x000D_
-	infringement of the provisions of art.10, point B.2 from „Instruction of norms and tolerances for the track construction and maintenance”- no.314/1989, concerning the expansion joints, that have to be from size point of view as uniform as possible; _x000D_
-	infringement of the provisions from the point 4 from Chapter 4 „Norms of manpower and material consumption”, of „Instruction for the line maintenance”- no.300/1982 concerning the ensuring of the norm of manpower for the current manual maintenance._x000D_
-	infringement of the provisions of art.14.2 from „Instruction  of norms and tolerances for the track construction and maintenance” - no.314/1989  concerning the shape of the broken stone track bed and its sizes._x000D_
_x000D_
Root causes:_x000D_
-	non-application of the provisions from the Instruction for the track maintenance no.300/1982, document associated to the operational procedure code PO SMS 0- 4.07 „Compliance with the technical specifications, standards and requirements relevant for the whole lifetime of the lines in the maintenance process”, part of the safety management system of CNCF „CFR” SA, concerning the sizing of the staff from the sub-units for the line maintenance, in relation to the work quantity;_x000D_
-	non-identification of the dangers generated by the insufficient supply with some materials necessary in the maintenance process, in order to make track panel  from normal wooden sleepers and rails. 
Cauze subiacente: _x000D_
-	nerespectarea prevederilor art.10, pct.B.2 din „Instruc?ia de norme ?i toleran?e pentru construc?ia ?i între?inerea caii”- nr.314/1989, referitoare la rosturile de dilata?ie, rosturi care trebuie sa fie cât mai uniforme ca marime; _x000D_
-	nerespectarea prevederilor pct.4 din Cap. 4 „Norme de manopera ?i de consum de materiale”, al „Instruc?iei de între?inere a liniilor ferate”- nr.300/1982 referitoare la asigurarea normei de manopera la între?inerea curenta în execu?ie manuala._x000D_
-	nerespectarea prevederilor art.14.2 din „Instruc?ia de norme ?i toleran?e  pentru  construc?ia ?i între?inerea caii” - nr.314/1989  referitoare la forma prismei de piatra sparta ?i dimensiunile acesteia._x000D_
_x000D_
Cauze primare:_x000D_
-	neaplicarea prevederilor Instruc?iei de între?inere a caii nr.300/1982, document asociat al procedurii opera?ionale cod PO SMS 0- 4.07 „Respectarea specifica?iilor tehnice, standardelor ?i cerin?elor relevante pe întreg ciclul de via?a a liniilor în procesul de între?inere”, parte a sistemului de management al siguran?ei al CNCF „CFR” SA, referitoare la dimensionarea personalului subunita?ilor de între?inere linii, în raport cu volumul de lucrari;_x000D_
-	neidentificarea pericolelor generate de aprovizionarea insuficienta cu unele materiale necesare în procesul de mentenan?a pentru realizarea de panouri din traverse normale de lemn ?i ?ine</t>
  </si>
  <si>
    <t>UK-5140</t>
  </si>
  <si>
    <t>Accident to persons caused by RS in motion, 24-06-16, Shawford Junction (United Kingdom)</t>
  </si>
  <si>
    <t>At 12:22 hrs on 24 June 2016, train 1T29, the 11:09 hrs London Waterloo to Portsmouth Harbour service, narrowly missed striking a track worker who had gone onto the railway to locate a reported track defect. He was not injured but was badly shaken by the incident._x000D_
_x000D_
The track worker was a Network Rail employee and was part of a team of three carrying out rail inspections and maintenance. He had accessed the railway at Shawford station and walked northwards along one side of the tracks to locate a reported rail defect using GPS equipment. When he was unable to locate the defect, he crossed three tracks to the far side of the railway. After a short time, he began to cross back. While crossing, he stopped and stood still in the centre track (the down fast line) as he became distracted by the GPS equipment. At the same time, train 1T29 was approaching at about 80 mph (129 km/h) around a right-hand bend. The driver sounded the train’s horn and made an emergency brake application. The track worker only began to move when the train was about two seconds away and moved clear about one second before the train passed him._x000D_
_x000D_
The train driver reported the near miss to the signaller. Neither the track worker, nor another member of the team who was walking towards him along the side of the railway, reported the near miss at the time. The incident was not reported to the RAIB at the time.</t>
  </si>
  <si>
    <t>Shawford Junction</t>
  </si>
  <si>
    <t>The track worker became distracted while standing on a line open to traffic.</t>
  </si>
  <si>
    <t>The causal factors were:_x000D_
a. There was a breakdown in safety discipline and vigilance when the COSS and track worker went onto the railway at Shawford (paragraph 37, see also Newark North Gate recommendation 1 (paragraph 100)). This resulted in:_x000D_
i. A safe system of work for working at Shawford not being implemented (paragraphs 41 to 43, see also Newark North Gate recommendation 2 (paragraph 104), Learning points 1 and 2)._x000D_
ii. The track worker leaving the down cess and crossing the tracks to the up cess without the permission of the COSS (paragraphs 44 to 47, Learning point 3)._x000D_
iii. The track worker becoming distracted and stopping in the middle of the down fast line when crossing back to the down cess (paragraphs 48 to 53, Learning point 4)._x000D_
b. The track worker’s alertness and decision making were probably affected by fatigue (paragraph 54, see also paragraph 112, Recommendation 1)._x000D_
Underlying factor_x000D_
96 A possible underlying factor was that the rail testing team based at Eastleigh depot was not resilient to any loss of resources or any sudden increase in workload (paragraph 63, Recommendation 2).</t>
  </si>
  <si>
    <t>CZ-5113</t>
  </si>
  <si>
    <t>Trains collision, 25-06-16, Brno hl. n. station (Czech Republic)</t>
  </si>
  <si>
    <t>Unauthorized movement of the shunting operation behind the shunting signal, the collision with the oncoming shunting locomotive and the consequent derailment of the shunting operation.</t>
  </si>
  <si>
    <t>Brno hl. n. station</t>
  </si>
  <si>
    <t>Direct cause: a failure to stop the shunting operation ahead of the signal “Shunting forbidden” at the shunting signal device Se69.</t>
  </si>
  <si>
    <t>Underlying cause: the train driver's operational error (he did not respect signal “Shunting forbidden” of the shunting device Se69)._x000D_
Root cause: none.</t>
  </si>
  <si>
    <t>HU-5104</t>
  </si>
  <si>
    <t>Trains collision, 25-06-16, Hatvan (Hungary)</t>
  </si>
  <si>
    <t>While approaching Track IV of the station, the ? 5108 train bumped into the end of the crane working on Track V.</t>
  </si>
  <si>
    <t>Design of the maintenance work.</t>
  </si>
  <si>
    <t>HU-5349</t>
  </si>
  <si>
    <t>Level crossing accident, 27-06-16, Dunahíd forgalmi kitéro (Hungary)</t>
  </si>
  <si>
    <t>Thtrain No. 2142 crashed with a car at level crossing. 
A HÉV egy személyautóval ütközött egy útátjáróban.</t>
  </si>
  <si>
    <t>Dunahíd forgalmi kitéro</t>
  </si>
  <si>
    <t>A gépkocsi vezetoje úgy hajtott be a vasúti átjáróba, hogy nem gyozodött meg arról, hogy az átjáró felé közeledett-e vasúti jármu, és az átjárót a vonat odaérkezése elott elhagyni nem tudta. 
The driver of the car drove into the railway passage without verifying whether a railway vehicle was approaching the passage and was unable to leave the passage before the train arrived.</t>
  </si>
  <si>
    <t>Az útátjáró forgalomnagysága a hatályos jogszabályok szerint indokolná a fénysorompóval való biztosítást, ennek ellenére a muszaki biztosítás nincs kiépítve. 
The traffic volume of the road-gateway would justify the provision of light-signaling in accordance with the applicable legislation, but technical insurance is not established.</t>
  </si>
  <si>
    <t>PT-5143</t>
  </si>
  <si>
    <t>Train derailment, 03-07-16, Louriçal (Portugal)</t>
  </si>
  <si>
    <t>Passenger medium distance train IR 805, operated by a 3-car DMU, derailed the front bogie of the middle non-powered car while negotiating a right-hand curve._x000D_
The DMU was operating in degraded mode, with the pneumatic secondary suspension out of service on the first and second cars._x000D_
The derailment caused minor damage to the rolling stock and some damage to the track. Operation was resumed by 12h10 of 4/07/2016. 
Descarrilamento, sensivelmente ao PK 198+825 (Oeste), de um bogie do veículo intermédio da automotora UTD 592.060 (propriedade da RENFE) quando assegurava o comboio inter-regional n.º 805 do operador CP, circulando em modo degradado devido a desativação da suspensão secundária pneumática. Do acidente não resultaram danos pessoais. Houve danos ligeiros na via e no material circulante. _x000D_
A via foi reaberta à exploração pelas 12h10 do dia 04/07/2016, com restrição de velocidade.</t>
  </si>
  <si>
    <t>Louriçal</t>
  </si>
  <si>
    <t>AT-6224</t>
  </si>
  <si>
    <t>Level crossing event, 05-07-16, Bf Sattledt, km 11,780 (Austria)</t>
  </si>
  <si>
    <t>On 5 July 2016, the train 3200 coming from Grünau im Almtal to the direction of Wels central station. On the acoustically secured level crossing between the station Sattledt and the stop Unterhart in km 11,780, the train 3200 collided with a truck._x000D_
Train 3200 derailed, six passengers and the driver were easily injured. The truck driver was seriously injured. Substantial property damage was caused to infrastructure and vehicles._x000D_
Escaping diesel fuel contaminated the soil in the collision area. 
Am 5. Juli 2016 fuhr der Zug 3200 von Grünau im Almtal kommend in Richtung Wels Hauptbahnhof. Auf der akustisch gesicherten Eisenbahnkreuzung zwischen Bahnhof Sattledt und der Haltestelle Unterhart im km 11,780 kollidierte der Zug 3200 um 05:47 Uhr mit einem Lastkraftwagen._x000D_
Zug 3200 entgleiste, es wurden sechs Passagiere und der Triebfahrzeugführer leicht verletzt. Der Lastkraftwagenfahrer wurde schwer verletzt. An Infrastruktur und Fahrzeugen entstand erheblicher Sachschaden.</t>
  </si>
  <si>
    <t>Bf Sattledt, km 11,780</t>
  </si>
  <si>
    <t>Befahren der nicht technisch gesicherten Eisenbahnkreuzung durch den LKW unmittelbar vor dem sich nähernden Zug 3200. 
The lorry passes through the non-technically secure railway crossing immediately ahead of the approaching train 3200.</t>
  </si>
  <si>
    <t>BG-5132</t>
  </si>
  <si>
    <t>Fire in RS, 08-07-16, Mihailovo - Svoboda intersection (Bulgaria)</t>
  </si>
  <si>
    <t>Highball 4681 composed of locomotive 44-141 and 3 carriages with a total mass of 123 tons, took the Mihailovo – Svoboda stations railway section from 12:05 to 12:55 hours LT, due to a fire occured in the locomotive engine while running. Fire Safety was called through the 112 emergency phone. _x000D_
No one was injured among the passengers and staff.  The fire was extinguished at 15:55. The locomotive was released by the authorities of the MoI and Fire Safety at 5 p.m. Damages were caused to the locomotive and the contact network. Delays of 11 trains were caused,  diverted were 6 and  extra 9 trains were appointed.</t>
  </si>
  <si>
    <t>Mihailovo - Svoboda intersection</t>
  </si>
  <si>
    <t>Cause for the accident – fire occurrence in electrical locomotive No 44-141.0 during movement is, rupture of the shell of the auto-transformer switch (ATS) due to occurrence of ?? voltaic arc between the fixed contacts and the rollers of the switch on grades, due to broken diagram of the apparatus switch</t>
  </si>
  <si>
    <t>The voltaic arc caused the ignition of the oil, located in the internal part of the switch which from its side led to the ignition of the other elements and aggregates in the machinery compartment of the locomotive.</t>
  </si>
  <si>
    <t>FI-5111</t>
  </si>
  <si>
    <t>Trains collision with an obstacle, 08-07-16, Kotka, Mussalo, Port of HaminaKotka (Finland)</t>
  </si>
  <si>
    <t>Collision of tank wagons with buffer stop during shunting. Two tank wagons derailed.</t>
  </si>
  <si>
    <t>Kotka, Mussalo, Port of HaminaKotka</t>
  </si>
  <si>
    <t>The immediate cause of the accident was the placing of the shunting foreman during shunting, where he could not see the end of the track during the final stage of shunting. The choice of place from which to control the shunter affected his assumption that the unit’s cut-off point would be inside the gate.</t>
  </si>
  <si>
    <t>The current instructions do not precisely define the placing of the shunting foreman, or observation by radio-control during work. According to regulations, such work should be done in a way that allows the shunting unit to be stopped before reaching any obstacle whatsoever. Shunting accidents obviously happen because the control station chosen is incorrect. The safety management system was unable to address this erroneous practice effectively. In the case of shunting, management supervision does not function as required by the safety management system. Several accidents have occurred – and have not been prevented – due to inadequate or neglectful observation.</t>
  </si>
  <si>
    <t>CZ-5109</t>
  </si>
  <si>
    <t>Trains collision, 10-07-16, Rotava station (Czech Republic)</t>
  </si>
  <si>
    <t>An unauthorized movement of the regional passenger train No. 17016 behind a signal “Stop point” with a consequent collision with the regional passenger train No. 17007.</t>
  </si>
  <si>
    <t>Rotava station</t>
  </si>
  <si>
    <t>GW Train Regio a. s.</t>
  </si>
  <si>
    <t>PDV RAILWAY a. s.</t>
  </si>
  <si>
    <t>Direct cause:_x000D_
• a failure to wait of an arrival of the regional passenger train No. 17007 from Rotava operating point without a permission from a dispatcher.</t>
  </si>
  <si>
    <t>Underlying cause: _x000D_
• a breach of technological procedures of the IM for a centralised traffic control by the train driver of the regional passenger train No. 17016 after the arrival at Rotava operating control point._x000D_
Root cause: none.</t>
  </si>
  <si>
    <t>RO-5112</t>
  </si>
  <si>
    <t>Train derailment, 10-07-16, Bucurestii Noi (Romania)</t>
  </si>
  <si>
    <t>the 12-th and 13-th wagon from the freight train no.71706 derailed on the entrance in the railway station Bucurestii Noi</t>
  </si>
  <si>
    <t>Cauza directa a producerii acestui accident o constituie escaladarea umarului activ al ciupercii ?inei de pe firul exterior a curbei, de catre buza bandajului ro?ii atacante a celui de-al doilea boghiu (roata nr.6 situata pe partea stânga în sensul de mers al trenului) de la vagonul nr.31539335525-2, ca urmare a cre?terii raportului dintre forta de ghidare si sarcina care actiona pe aceasta roata, depasindu-se astfel limita de stabilitate la deraiere. _x000D_
	Cresterea raportului dintre forta de ghidare si sarcina ce actionau pe roata s-a produs în conditiile descarcarii de sarcina a acestei ro?i ?i a cre?terii for?ei laterale (de ghidare) pe aceasta roata._x000D_
_x000D_
Factori care au contribuit_x000D_
în legatura cu suprastructura caii:_x000D_
?	diferen?a de 12 mm între valorile nivelului transversal al caii masurate în regim static, dintre punctele ,,0” si ,,4”  aflate la o distan?a de 10 m, distan?a aproximativ egala cu ampatamentul vagonului nr.31539335525-2, care a deraiat;_x000D_
?	colmatarea accentuata a prismei de piatra sparta  pe zona producerii deraierii, care a favorizat deplasari în plan vertical ale cadrului ?ina-traversa sub efectul dinamic al trecerii materialului rulant;_x000D_
?	excesul de supraînal?are existent pe toata zona producerii deraierii;_x000D_
?	zone cu piatra sparta insuficienta executarii unei compactari prin lucrari de buraj pentru men?inerea nivelului transversal al caii._x000D_
To?i ace?ti factori au condus la descarcarea par?iala a sarcinii verticale ce ac?iona pe roata atacanta a osiei conducatoare a celui de-al doilea boghiu al  vagonului nr.31539335525-2._x000D_
_x000D_
în legatura cu materialul rulant:_x000D_
?	distrugerea totala a placilor de poliamida aflate între crapodinele vagonului nr.31539335525-2.  Aceasta a avut ca efect aparitia unei frecari directe între crapodinele inferioare ?i cele superioare si implicit a cresterii momentului de frecare între aceste par?i ale cele doua parti ale ansamblului crapodina având ca efect afectarea mobilita?ii celor doua boghiuri fapt care a condus la reducerea capacitatii de înscriere în curba a vehiculului respectiv a cre?terii for?ei laterale (de ghidare). 
Direct cause _x000D_
The direct cause of the accident is the overclimbing of the active shoulder of the head of the rail from the exterior rail of the curve by the flange of the leading wheel from the second bogie (wheel no.6 on the left side in the running direction) from the wagon no.31539335525-2, following the increase of the ratio between the guiding force and the load on the wheel, so exceeding the stability limit at derailment. _x000D_
	The increase of the ratio between the guiding force and load on the wheel happened because the load transfer of this wheel and the increase of the lateral force (guiding one) on this wheel._x000D_
_x000D_
Contributing factors_x000D_
afferent to the track superstructure:_x000D_
?	difference of 12 mm between the values of the cross section of the track, statically measured, between the points ,,0” and ,,4”  situated at 10 m, distance aproximately equal with the wheel base of the wagon no.31539335525-2, that derailed;_x000D_
?	chocking  of the broken stone track bed at the derailment site, that led to vertical movements of the frame rail-sleeper under the dynamic effect of the rolling stock passing;_x000D_
?	superelevation  of the track existing at the derailment site;_x000D_
?	areas with insufficient compacting through packing of sleepers in order to keep the cross section of the track._x000D_
All these factors led to the partial transfer of the vertical load that acted on the leading wheel of the guiding axle from the second bogie of the wagon no.31539335525-2._x000D_
_x000D_
afferent to the rolling stock:_x000D_
?	total destruction of the polyamide plates situated between the centre castings of the wagon no.31539335525-2. It led to the appearance of a direct friction between the lower centre castings and the upper ones and implicitly to the increase of the friction moment  between these parts those two parts of the centre casting assembly, affecting the mobility of those two bogies and leading to the decrease of vehicle capability to negotiate the curve, respectively the increase of the lateral force (guiding one).</t>
  </si>
  <si>
    <t>Cauze subiacente: _x000D_
1.	Nerespectarea prevederilor art.25, pct.(2), (3) ?i (4) din „Instruc?ia de norme ?i toleran?e pentru construc?ii ?i între?inerea caii pentru linii cu ecartament normal nr.314/1989”, referitoare la defectele care impun înlocuirea traverselor de lemn si de beton;_x000D_
2.	Nerespectarea ciclurilor de repara?ii capitale ale infrastructurii feroviare, contrar prevederilor art.11(1) din " Instruc?iunile pentru lucrarile de repara?ie capitala a liniilor de cale ferata nr.303/2003";_x000D_
3.	Nerespectarea prevederilor art.87, tabelul 6 – „defecte ?i uzuri la ?asiu ?i boghiuri” din Instructiuni privind revizia tehnica si întretinerea vagoanelor în exploatare nr.250/2005 referitoare la retragerea din circula?ie a vagoanelor având valoarea jocului însumat la pietrele de frecare de pe ambele par?i ale boghiului în afara valorilor stabilite._x000D_
_x000D_
Cauza primara:_x000D_
Neaplicarea tuturor prevederilor procedurii operationale cod PO SMS 0-4.07 „Respectarea specificatiilor tehnice, standardelor si cerintelor relevante pe întreg ciclul de viata a liniilor în procesul de întretinere” (inclusiv a anexelor), parte a sistemului de management al sigurantei administratorului de infrastructura feroviara publica CNCF „CFR” SA, referitoare la:_x000D_
?	coordonarea activita?ilor de între?inere ?i repara?ii periodice ale liniilor de cale ferata;_x000D_
?	asigurarea bazei materiale necesare executarii lucrarilor de între?inere curenta ?i repara?ie periodica. 
Underlying causes: _x000D_
1.	infringement of the provisions of art.25, points (2), (3) and (4) from  „Instruction of norms and tolerances for the construction and maintenance of the lines with standard gauge  no.314/1989”, concerning the failures that impose the replacement of the wooden and concrete sleepers;_x000D_
2.	non-meeting with the cycles of overhauls of the railway infrastructure, against the provisions art.11(1) from " Instructions for overhauls of the lines no.303/2003";_x000D_
3.	infringement of the provisions art.87, table 6 – „failures and wears at the chassis and bogies” from Instructions for the technical inspection and maintenance of the operated wagons no.250/2005 for the withdrawal from traffic of the wagons having the value of the total clearance at the side bearers from both sides of the bogie out of established values._x000D_
_x000D_
Root cause:_x000D_
Non-application of all provisions from the operational procedure code PO SMS 0-4.07 „Compliance with technical specifications, standards and relevant requirements for whole life time of the lines in maintenance process” (including the annexes), part of the safety management system of the infrastructure manager CNCF „CFR” SA, concerning:_x000D_
?	coordination of the maintenance and periodic repair of the tracks;_x000D_
?	ensuring of the materials necessary to perform the current maintenance and periodic repair.</t>
  </si>
  <si>
    <t>IT-5134</t>
  </si>
  <si>
    <t>Trains collision, 12-07-16, Line Bari - Barletta, track section between Andria and Corato (Italy)</t>
  </si>
  <si>
    <t>Front to front collision of trains ET1016 and ET1021 at km 51</t>
  </si>
  <si>
    <t>Line Bari - Barletta, track section between Andria and Corato</t>
  </si>
  <si>
    <t>Ferrotramviaria Spa</t>
  </si>
  <si>
    <t>Ferrotramviaria SpA</t>
  </si>
  <si>
    <t>Contemporary occupation of the section between Andria and Corato by trains ET 1016 and ET 1021, due to an incorrect management of traffic by the traffic managers and incorrect intervention in the management of crossings by the train staff.</t>
  </si>
  <si>
    <t>Implementation of a procedure not provided for by the Regulations for the movement of trains for the purpose of carrying out an additional train._x000D_
Implementation of procedures that differ from the regulatory provisions for the management of the Circulation Protocol._x000D_
Conditioning of the conduct of the Local Traffic Manager following the request by the coordinator to implement a procedure not provided by the Regulations for the movement of trains for the purpose of carrying out an additional train._x000D_
Work environment of the Local Traffic Manager open to third party access._x000D_
Dependency on the human factor of the security level of the telephone blocking regime._x000D_
Ineffective staff training._x000D_
Limited effectiveness of controls on the work of personnel._x000D_
Presence of line sections with different characteristics that could have generated on the onboard staff a drop in attention and an excess of confidence in safety of the system. _x000D_
_x000D_
Incorrect implementation of Directive 2004/49/EC.</t>
  </si>
  <si>
    <t>PT-5118</t>
  </si>
  <si>
    <t>Train derailment, 15-07-16, Regueira de Pontes (Portugal)</t>
  </si>
  <si>
    <t>Derailment of the rear three wagons of a freight train composed of a diesel loco and 14 wagons (238 m, 835 t). The derailed wagons were bogie platform wagons loaded with bags of cement._x000D_
The wagons were damaged and the cargo of the last wagon fell to the cess and to a stream. There was severe damage to the track due to the wagons running derailed for about 400 m._x000D_
The track was reopened to traffic by 14:10 of 17/07/2016 with a speed restriction. 
Descarrilamento dos três últimos vagões do comboio de mercadorias n.º 95217. Vagões plataforma das séries 383 0 e 383 2, com bogies Y21c, transportando cimento ensacado. Do acidente não resultaram danos pessoais. Houve danos nos três vagões descarrilados e na infraestrutura a via ficou bastante danificada em cerca de 400 m e foram causados danos ligeiros numa ponte metálica; a carga de um dos vagões ficou danificada, tendo os sacos de cimento caído para a banqueta da via e alguns para a Ribeira dos Milagres. A via foi reaberta à exploração pelas 14h10 do dia 17/07/2016, com restrição de velocidade.</t>
  </si>
  <si>
    <t>Regueira de Pontes</t>
  </si>
  <si>
    <t>HR-5114</t>
  </si>
  <si>
    <t>Train derailment, 16-07-16, Tunel Sleme (Croatia)</t>
  </si>
  <si>
    <t>The accident took place on 16th of July 2016 on the line M 202, between stations Lokve and Fužine, in the Tunnel Sleme, where a cargo from a freight wagon fell off and two freight wagons were derailed. The wagon from which the cargo was fallen off is owned by the company ZS Cargo Slovakia and the cargo was loaded in Košice, Slovakia Republic. 
Dana 16. srpnja 2016. na pruzi M202, izmedu kolodvora Lokve i Fužine u tunelu Sleme, dogodila se željeznicka nesreca gdje je tijekom vožnje teretnog vlaka 60300, došlo do ispadanja tereta s vagona i iskliznuca dva vagona teretnoga vlaka. Vagon s kojeg je ispao teret je u vlasništvu tvrtke ŽS Cargo, Slovacka, a teret je bio tovaren u Košicama, R. Slovacka.</t>
  </si>
  <si>
    <t>Tunel Sleme</t>
  </si>
  <si>
    <t>in light of Article 19 §2 of SD"; 
(a) the seriousness of the accident or incident; 
(c) its impact on railway safety on a Community level</t>
  </si>
  <si>
    <t>-	Pomicanje kotura lima i pucanje traka za osiguranje tereta (poglavlje 4.2). 
-	 Is moving of the roller coils and braking of securing tapes (Chapter 4.2.).</t>
  </si>
  <si>
    <t xml:space="preserve"> 
-	Nacin postavljanja i osiguranja tereta na vagon rezultirao je da je trenje izmedu tereta i palete bilo manje nego trenje izmedu saonica i podnice vagona što je prilikom pojave inercijskih sila dovelo do pomicanja kotura lima, a kasnije i pomicanja saonica po podnici vagona (poglavlje 4.2). _x000D_
_x000D_
-	The loading mode and mode of securing of the load is organized in such a way that the friction between the good and the pallet was less than the friction between the sledge and the floor of the rolling stock. So when inertial forces started to influence on the Roller, it started to move (chapter 4.2).</t>
  </si>
  <si>
    <t>ES-5175</t>
  </si>
  <si>
    <t>Spad, 18-07-16, Shunting yard at Boñar station (León) (Spain)</t>
  </si>
  <si>
    <t>Railcar during shunting operation at Boñar station, due to a problem with brake, overtook home signal E2, impinging main line.</t>
  </si>
  <si>
    <t>Shunting yard at Boñar station (León)</t>
  </si>
  <si>
    <t>Driving staff human error: the driver was not paying the due atention to the track and signals during the shunting, as he was checking desk indicators for an engine test. Also, the station signaller authorised the manoeuvre even knowing there was an approaching train. Moreover, after passing the signal, the driver didn't notify it directly to the control centre, causing a delay in the centre's reaction that lead to a near miss collision.</t>
  </si>
  <si>
    <t>DE-5135</t>
  </si>
  <si>
    <t>Trains collision, 22-07-16, Plochingen (Germany)</t>
  </si>
  <si>
    <t>Am 22.07.2016 gegen 07:49 Uhr kollidierte bei der Ausfahrt aus Gleis 10 des Bf Plochingen der Regionalexpress (RE) 22011 (Stuttgart Hbf – Tübingen Hbf) seitlich mit einer in der Weichenverbindung 64W90/64W91 nicht grenzzeichenfrei stehenden Rangierfahrt (Rf). 
On 22.07.2016 at 07:49, when leaving track 10 of the Plochingen station, the Regional Express (RE) 22011 (Stuttgart Hbf – Tübingen Hbf) collided laterally with a shunting trip (Rf) not border-marked on the switch connection 64W90/64W91.</t>
  </si>
  <si>
    <t>Plochingen</t>
  </si>
  <si>
    <t>Ursächlich für die Kollision war die unzulässige Vorbeifahrt einer Rf am Halt zeigenden Lichtsperrsignal (Ls) 64LW91Y i. V. mit einem anschließenden Halt in einem nicht grenzzeichenfrei isolierten Gleisabschnitt zwischen den Weichen 64W90 und 64W91. Für diese besondere Konstellation ist in der Stellwerkslogik keine Profilsperre realisiert. Dadurch war es signaltechnisch möglich, dass eine andere Zugfahrstraße über die Weiche (W) 64W91 eingestellt werden konnte, obwohl die Rf nicht profilfrei auf der Weichenverbindung 64W90/64W91 stand. Das zur Ausfahrzugstraße gehörende Hauptsignal N 10 konnte deshalb regelkonform auf Fahrt gestellt werden, obwohl der Fahrweg einschließlich der einmündenden Gleisabschnitte nicht frei von Fahrzeugen war. 
The reason for the collision was the unauthorised passing of a light barrier signal (Ls) 64LW91Y in conjunction with a subsequent stop in a non-border insulated section of track between switches 64W90 and 64W91. There is no profile lock for this particular configuration in the interlocking logic. This made it possible to signal that another train road could be set via the switch (W) 64W91, even though the Rf was not profile-free on the switch connection 64W90/64W91. The main signal N 10, which forms part of the exit road, could therefore be placed on the journey in accordance with the rules, even though the path, including the inbound sections of the track, was not free of vehicles.</t>
  </si>
  <si>
    <t>CZ-5136</t>
  </si>
  <si>
    <t>Accident to persons caused by RS in motion, 24-07-16, open line between Olomouc hl. n. - Å tepánov stations (Czech Republic)</t>
  </si>
  <si>
    <t>The falling out of the minor passenger from the door during the ride of the long distance passenger train No. 884.</t>
  </si>
  <si>
    <t>open line between Olomouc hl. n. - Å tepánov stations</t>
  </si>
  <si>
    <t>Direct cause:_x000D_
• a spontaneous opening of the entrance door of the towed rolling stock No. 51 54 82-40 377-8 during ride of the train.</t>
  </si>
  <si>
    <t>Underlying cause:_x000D_
• the ride of the train with the unclosed door of the towed rolling stock No. 51 54 82-40 377-8 which was not secured against opening even after activation the automatic door locking function._x000D_
Root cause:_x000D_
• creating a situation which allowed a failure of closing the door before activating of the automatic door locking function.</t>
  </si>
  <si>
    <t>HU-5137</t>
  </si>
  <si>
    <t>Level crossing accident, 25-07-16, Between Babocsa and Barcs stations (Hungary)</t>
  </si>
  <si>
    <t>Truck collided with passenger train betweem Babocsa and Barcs stations at a level crossing protected by automatic warning lights. In conswequence of the occurrence the lorry caught fire. Driver of the road vehicle died at the site of the occurrence.</t>
  </si>
  <si>
    <t>Between Babocsa and Barcs stations</t>
  </si>
  <si>
    <t>A Vb a helyszíni szemle tapasztalatai, a beszerzett dokumentumok, illetve a ren-delkezésre álló videófelvételek elemzése és értékelése alapján a következoket ál-lapította meg:_x000D_
–	A nyergesvontató vezetoje a vasúti átjárón való áthajtást annak ellenére kezd-ték meg, hogy a fénysorompó jelzoberendezése tilos jelzést adott. _x000D_
–	A nyergesvontató a vasúti urszelvénybe került, s azt a vonat odaérkezéséig elhagyni nem tudta, ami összeütközésüket eredményezte._x000D_
–	Az érintett vonat nem lépte túl a menetrendben eloírt sebességet, a vonat mozdonyvezetojének a Vb véleménye szerint nem volt esélye az ütközés elke-rülésére. 
Based on the experience of the on-site visit, the analysis and evaluation of the documents obtained and the video recordings available, Vb found the following:_x000D_
- The driver of the tractor started to cross the railway passage even though the non-stop signaling device had given a signal._x000D_
- The fifth wheel tractor was placed in the rail section and could not leave it until the train arrived, resulting in a collision._x000D_
- The train concerned did not exceed the speed prescribed in the timetable, and the train driver did not, in the opinion of Vb, have a chance to avoid the impac</t>
  </si>
  <si>
    <t>FI-5157</t>
  </si>
  <si>
    <t>Trains collision, 27-07-16, Helsinki, Itäkeskus metro station (Finland)</t>
  </si>
  <si>
    <t>A test train collided with a train standing on the track.</t>
  </si>
  <si>
    <t>Helsinki, Itäkeskus metro station</t>
  </si>
  <si>
    <t>HKL-Ratioliikenne</t>
  </si>
  <si>
    <t>The driver failed to recognise the fouling point indicator and misjudged the space available for the over-take.</t>
  </si>
  <si>
    <t>Several different levels of factors created conditions for the accident. The custom in Itäkeskus was to park teaching trains in the turnout area while drivers and traffic controllers took their breaks. Traffic control had not recognised the danger this posed to other traffic._x000D_
There was a functional design fault in the safety devices, which had not been noticed previ-ously. This made it possible to form a route despite the teaching train being parked in the turnout area. Moreover, the traffic control system set a different route from the one that the traffic controller had intended. The operator had not fixed this known fault. At the time of the accident, the traffic controller settled for the route formed by the traffic control system._x000D_
Due to shortcomings in the safety management system, the metro transport operator had not identified the risk of metro trains colliding and had not prepared for it in terms of safety devices and staff competence._x000D_
The actions of the driver of the test drive train also contributed to the accident. The skills of the drivers contributing to the accident were inadequate, which in turn was due to shortcomings in the training system.</t>
  </si>
  <si>
    <t>UK-5147</t>
  </si>
  <si>
    <t>Other event, 01-08-16, Grove Lane, Barrow on Soar (United Kingdom)</t>
  </si>
  <si>
    <t>On 1 August 2016, part of a bridge wall and footpath at Grove Lane, Barrow on Soar, collapsed and a large volume of masonry fell onto the Midland Main Line below. At the time of the collapse, drilling work was being undertaken to investigate a depression in the footpath on the south side of the bridge. The bridge was closed to the public when the collapse occurred, but the railway lines below were open to traffic. There were a number of pre-existing defects in the bridge structure which Network Rail had been monitoring for some years._x000D_
_x000D_
Shortly after drilling commenced to take soil samples for analysis, cracks appeared in the footpath, and then the adjacent wall, footpath and the drilling rig fell onto the railway. Workers engaged in the drilling work were able to get clear and no-one was injured._x000D_
_x000D_
There were no trains in the immediate vicinity at the time. However, an empty train passed less than five minutes earlier and a London to Nottingham passenger service passed less than 10 minutes earlier. Rail services through the bridge were suspended until Wednesday 3 August to allow the bridge to be made safe.</t>
  </si>
  <si>
    <t>Grove Lane, Barrow on Soar</t>
  </si>
  <si>
    <t>The Sileby wing wall became overloaded, causing it to overturn and deposit debris on the open railway (paragraph 58).</t>
  </si>
  <si>
    <t>The causal factors were:_x000D_
a) the design of the wing wall made it susceptible to overturning (paragraph 62, Recommendation 2);_x000D_
b) the wing wall was weakened by a long-standing full-height vertical crack and was leaning towards the track (paragraph 69, Recommendation 2);_x000D_
c) the water main probably had a slow leak which caused subsidence of the footpath (paragraph 73, Recommendations 1b, 1c, 2a, 3 and learning point 1); and_x000D_
d) the core sampling activity in proximity to the water main disturbed the pipe such that it ruptured and the increased loading from water pressure was sufficient to overturn the wing wall (paragraph 95, Recommendations 1a, 1b, 1d, 2 and 3)._x000D_
Underlying factor_x000D_
125 Neither Network Rail nor CML understood the risk to the bridge structure and to the open railway from the coring works (paragraph 110, Recommendations 1a,1b, 1d and 3).</t>
  </si>
  <si>
    <t>RO-5141</t>
  </si>
  <si>
    <t>Train derailment, 02-08-16, Valea Alba (Romania)</t>
  </si>
  <si>
    <t>first axle from the electric locomotive EA  no. 047, that hauled freight train no. 92310, derailed in the railway station Valea Alba.</t>
  </si>
  <si>
    <t>Valea Alba</t>
  </si>
  <si>
    <t>Cauza directa a producerii accidentului o constituie depasirea   limitei de stabilitate la deraiere pe  roata atacanta (roata din dreapta a primei osii a locomotivei  ED 047, în sensul de mers) generata de  descarcarea de sarcina a acestei roti ?i cre?terea for?ei de ghidare._x000D_
Aceste fapte au favorizat escaladarea firului exterior al curbei de catre roata atacanta de la locomotiva, urmata de rularea buzei rotii pe suprafata de rulare a sinei circa 1,87m si ulterior caderea rotii în dreapta firului exterior, respectiv a rotii din stânga între firele caii. _x000D_
Factori care au contribuit:_x000D_
-	diferenta de 6,41 mm între diametrele cercurilor de rulare ale rotilor de la osia nr.6 (roata din dreapta având diametrul mai mic), respectiv de  3,51 mm  între diametrele cercurilor de rulare ale rotilor de la osia nr.5 (roata din dreapta având diametrul mai mic), fata de toleran?a de 1 mm admisa de reglementarile specifice în vigoare pentru osii în exploatare; _x000D_
-	starea necorespunzatoare a geometriei caii pe zona producerii accidentului (depa?iri ale toleran?elor la ecartamentul caii, defecte depistate de vagonul de masurat calea neremediate, nemontarea de contra?ine pe firul interior al caii în curbe cu declivita?i mari). Aceasta stare a condus la introducerea înainte de producerea accidentului a unei restric?ii de viteza de 15km/h pe zona producerii acestuia. 
Direct cause of the accident was the exceeding of the stability limit at derailment on the leading wheel (right wheel of the first axle from the locomotive ED 047, in the running direction) generated by the transfer of the loading of this wheel and increase of the guiding force._x000D_
These led to the overclimbing of the exterior rail of the curve by the leading wheel of the locomotive, followed by the running of the wheel flange on the running surface of the rail about 1,87m and then its fall  on the right side of the exterior rail, respectively of the left wheel between the rails. _x000D_
Contributing factors:_x000D_
-	difference of 6,41 mm between the diameters of the running treads of the wheels from the axle no.6 (the right wheel having a smaller diameter), respectively of 3,51 mm  between  the diameters of the running treads of the wheels from the axle no.5 (right wheel having a smaller diameter), against tolerance of 1 mm accepted by the specific regulations in force for the axles in operation; _x000D_
-	unsuitable condition of the track geometry at the accident site (exceeding of the tolerances at the track gauge, failures detected by towable measuring wagon, non-fitting of the check rail on the interior rail of the track in curves with big slopes). This situation  led to setting, before the accident, of a speed restriction of 15km/h at its site.</t>
  </si>
  <si>
    <t>?	nerespectarea prevederilor anexei “CONTROLUL DIMENSIONAL– Cotele elementelor componente si tolerante de uzura ale osiilor montate de locomotive si osiilor de automotoare”, Tabelul 1, pct. 26.2 din "Instructia pentru repararea osiilor montate de la vehicolele feroviare nr.931/1986” referitoare la diferenta admisa între diametrele cercurilor de rulare ale rotilor aceleiasi osii (maxim 1 mm în exploatare). _x000D_
?	nerespectarea Instruc?iei de norme ?i toleran?e pentru construc?ii ?i între?inerea caii pentru linii cu ecartament normal nr. 314/1989, Cap. I, art.1 pct.14.1, lit. c), privind  toleran?ele admise fa?a de ecartamentul nominal/prescris pe liniile cu prisma de balast._x000D_
Cauza primara_x000D_
 neaplicarea tuturor prevederilor procedurii operationale cod PO SMS 0-4.07 „Respectarea specificatiilor tehnice, standardelor si cerintelor relevante pe întreg ciclul de viata a liniilor în procesul de întretinere” (inclusiv a anexelor), parte a sistemului de management al sigurantei administratorului de infrastructura feroviara publica CNCF „CFR” SA, referitoare la:_x000D_
?	coordonarea activita?ilor de între?inere ?i repara?ii periodice ale liniilor de cale ferata;_x000D_
?	asigurarea bazei materiale necesare executarii lucrarilor de între?inere curenta ?i repara?ie periodica. 
Underlying causes _x000D_
?	infringement of the provisions from the annex “DIMENSIONAL CONTROL– Quotes of the components and the wear tolerances for the wheelset  from the locomotives and for the axles from the multiple units”, Table 1, point 26.2 from "Instruction for the repair of the wheelset  from the railway vehicles no.931/1986” concerning the accepted difference between the diameters of the running treads of the wheels from the same axle (maximum 1 mm in operation). _x000D_
?	infringement of the Instruction of norms and tolerances for the construction and maintenance of lines with standard gauge no. 314/1989, chapter I, art.1 point 14.1, letter c), concerning the accepted tolerances against standard gauge/stipulated for the lines with ballast bed._x000D_
_x000D_
Root cause_x000D_
Non-meeting with all the provisions of the operational procedure code PO SMS 0-4.07 „Compliance with the technical specifications, standards and requirements relevant for the whole life time of the lines in the maintenance process” (including the annexes), part of the safety management system of the public railway infrastructure manager CNCF „CFR” SA, with reference to:_x000D_
?	coordination of the maintenance and periodic repairs of the lines;_x000D_
?	ensuring of the materials necessary to perform the current maintenance and the periodic repairs.</t>
  </si>
  <si>
    <t>RO-5142</t>
  </si>
  <si>
    <t>Fire in RS, 05-08-16, Buzau -Boboc (Romania)</t>
  </si>
  <si>
    <t>the electric locomotive EA 818, that hauled regional passenger train no.5110 caught fire</t>
  </si>
  <si>
    <t>Buzau -Boboc</t>
  </si>
  <si>
    <t>Cauza directa_x000D_
Cauza directa a producerii incendiului a fost scurtcircuitarea cablurilor de alimentare a motorului de trac?iune nr.3 (când acesta func?iona în regim de trac?iune), de catre aluminiul radiatoarelor diodelor din blocul redresor care s-a topit, ca urmare a scaderii capacita?ii de transfer al caldurii în procesul de convec?ie for?ata ?i a curgerii materialului topit pe jugul de fixare a cablurilor la intrarea în motorul de trac?iune._x000D_
Factorii care au contribuit_x000D_
-	starea necorespunzatoare a suprafe?elor radiatoarelor din aluminiu de la blocul redresor aferent motorului de trac?iune nr.3, prin acoperirea acestora cu un strat de impurita?i;_x000D_
-	starea necorespunzatoare a suprafe?elor din interiorul cutiei locomotivei prin acoperirea acestora cu o pelicula de produse petroliere provenite de la pierderile frecvente de ulei ale compresoarelor;_x000D_
-	men?inerea în serviciu a locomotivei EA 818, dupa atingerea ?i depa?irea normelor de timp/kilometri pentru efectuarea repara?iilor planificate;_x000D_
-	condi?iile mediului înconjurator la data ?i ora producerii incendiului, temperatura de aproximativ 32°C a aerului ?i viteza nesemnificativa a vântului (zi torida de vara); _x000D_
-	men?inerea în serviciu a locomotivei cu motoarele de trac?iune nr.2 ?i nr.4 izolate. 
Direct cause_x000D_
The direct cause of the fire was a short-circuit at the cables for the power supply of the traction engine no.3 (when it worked in traction condition), generated  by the aluminum from the cooler of the diodes from the rectifier, that melted, because the decrease of the capacity for the heat transfer in the forced convective process and the leaking of the melted material on the terminal block for the fastening of the cables at the entry in the traction engine_x000D_
Contributing factors_x000D_
-	unsuitable condition o the surfaces of the aluminum coolers from the rectifier afferent to the traction engine no.3, by their covering with a layer of impurities;_x000D_
-	the unsuitable condition of the surfaces inside the locomotive body, by their covering with a layer of petrol substances resulted from frequent oil leakages of the compressors;_x000D_
-	keeping in operation of the locomotive EA 818, after reaching and exceeding the norms of time/km for the performance of the planned repairs;_x000D_
-	the environment conditions when the fire happened, air temperature was about 32°C and insignificant speed of the wind (hot summer day); _x000D_
-	keeping in operation of the locomotive with the traction engines no.2 and no.4 off.</t>
  </si>
  <si>
    <t>Cauze subiacente_x000D_
Nerespectarea prevederilor Normativului feroviar  67-006:2011 "Vehicule de cale ferata. Tipuri de revizii ?i repara?ii planificate. Normele de timp sau normele de kilometri parcur?i pentru efectuarea reviziilor ?i repara?iilor planificate", aprobat prin Ordinul Ministrului Transporturilor ?i Infrastructurii nr.315/2011 modificat ?i completat prin Ordinul MTI nr.1359/2012, respectiv:_x000D_
-	capitolul 3 – Norme pentru efectuarea reviziilor ?i repara?iilor planificate ale vehiculelor feroviare ?i periodicitatea acestora (ciclul),  subpunctul 3.1, în sensul ca locomotiva EA 818 nu a fost retrasa din circula?ie la atingerea normei de timp sau kilometri prevazu?i pentru efectuarea repara?iilor planificate;_x000D_
-	capitolul 3 – Norme pentru efectuarea reviziilor ?i repara?iilor planificate ale vehiculelor feroviare ?i periodicitatea acestora (ciclul), Tabelul 3.1,  lit. A,  pozi?ia nr.1, în sensul ca nu a fost respectat ciclul de repara?ii planificate pentru locomotiva EA 818._x000D_
_x000D_
Cauze primare_x000D_
Nerespectarea cerin?elor prevazute în procedura opera?ionala PO-07.1-14 “Planificarea reviziilor ?i repara?iilor pentru locomotive, automotoare ?i rame electrice apar?inând SNTFC “CFR Calatori” SA” capitolul 4.7 - Organizarea activita?ii de planificare a repara?iilor programate, punct. 4.7.5 – Succesiunea ?i periodicitatea reviziilor ?i repara?iilor programate - Anexa nr.1 cod F-PO-7.1-14-01 – punctul A.1 referitor la Norma de timp sau de kilometri parcur?i pentru efectuarea repara?iilor planificate. Astfel, conform cerin?elor procedurale, la locomotiva electrica EA 818 trebuiau executate lucrari de repara?ii tip RG în anul 2007 respectiv lucrari de repara?ii tip RR în anul 2012._x000D_
Procedura opera?ionala PO-07.1-14 “Planificarea reviziilor ?i repara?iilor pentru locomotive, automotoare ?i rame electrice apar?inând SNTFC “CFR Calatori” SA”  este incompleta , în sensul ca nu con?ine prevederi concrete referitoare la masurile ce trebuie luate în cazul în care materialul rulat atinge norma de timp/kilometri pentru efectuarea repara?iilor planificate. 
Underlying causes_x000D_
Infringement of the provisions of the Railway Norm  67-006:2011 "Railway vehicles. Types of inspections and planned repairs. Norms of time or norms of km run for the performance of inspections and planned repairs", approved through Order of the Minister of Transports and Infrastructure - OMTI no.315/2011, amended by  OMTI no.1359/2012, respectively:_x000D_
-	chapter 3 – Norms for the performance of inspections and planned  repairs at the railway vehicles and their periodicity (cycle), sub-point 3.1, that is the locomotive EA 818 was not withdrawn from running when it reached the norm of time and km stipulated for the performance of the planned repairs;_x000D_
-	chapter 3 – Norms for the performance of the inspections and planned repairs of the railway vehicles and their periodicity (cycle), Table 3.1,  letter A,  position no.1, that is the cycle of planned repairs for the locomotive EA 818 was not met._x000D_
_x000D_
_x000D_
_x000D_
Root causes_x000D_
Infringement of the requirements stipulated in the operational procedure PO-07.1-14 “Planning of the inspections and repairs for the locomotives, diesel and electric  multiple units got by SNTFC “CFR Calatori” SA” chapter 4.7 – Organization of the planning of the scheduled repairs, point. 4.7.5 – Sequence and  periodicity of the inspections and planned repairs - Annex no.1 code F-PO-7.1-14-01 – point A.1 concerning the Norm of time or km run for the performance of the planned repairs. So, according to the procedure requirements, overhauls  had  to be performed at the electric locomotive EA 818 in 2007, respectively repairs type RR in 2012._x000D_
The operational procedure PO-07.1-14 “Planning of inspections and repairs for locomotives, motorized trains and multiple units got by SNTFC “CFR Calatori” SA” is not complete , that is it does not contain concrete provisions on the measures that have to be establish for the rolling stock that reaches the norm of time/km for the performance of the planned repairs.</t>
  </si>
  <si>
    <t>UK-5183</t>
  </si>
  <si>
    <t>Accident to persons caused by RS in motion, 07-08-16, Balham (United Kingdom)</t>
  </si>
  <si>
    <t>On Sunday 7 August 2016, a passenger travelling on a train from Gatwick Airport to London Victoria struck his head on a signal gantry near Balham. The train was travelling at about 60 mph (96 km/h) and he sustained fatal injuries.</t>
  </si>
  <si>
    <t>Balham</t>
  </si>
  <si>
    <t>The passenger’s head struck a signal gantry (paragraph 36).</t>
  </si>
  <si>
    <t>The causal factors were:_x000D_
a. The passenger’s head was out of the window (paragraph 39, no recommendation)._x000D_
b. There was nothing to prevent passengers from opening the window or putting their head out of the opened window (paragraph 42, Recommendation 2 and see paragraph 111)._x000D_
c. There was less than the normal standard clearance between the structure and the train (paragraph 50, see paragraph 117)._x000D_
Underlying factor_x000D_
104 The process for assessing the compatibility of this train onto this route did not manage the risk of the combination of reduced structure clearances and opening windows (paragraph 74, Recommendation 1).</t>
  </si>
  <si>
    <t>FI-5158</t>
  </si>
  <si>
    <t>Trains collision with an obstacle, 13-08-16, Oulu marchalling yard (Finland)</t>
  </si>
  <si>
    <t>A Freight train collided with wagons standing on the track.</t>
  </si>
  <si>
    <t>Oulu marchalling yard</t>
  </si>
  <si>
    <t>The switchman made a mistake when ensuring that the track was not occupied. The engine driver’s attention prior to the collision had been on things other than driving the train, which contributed to the occurrence of the accident. It is likely that greater attentiveness by the engine driver would have either prevented the accident, or at least considerably reduced the damage caused.</t>
  </si>
  <si>
    <t>The switches at the Oulu railway yard are manually operated, the switches do not have technically implemented position control and there is no indication of occupied tracks on the tracks. Regardless of this, the route was protected for a train._x000D_
Neither instructions nor training had been provided on the procedure used to protect a route. The procedure used by the switchman for route protection is vulnerable to errors. The switchman alone made the decision to protect the route, and this was not verified in any way._x000D_
One of the underlying causes of the accident was the failure of the risk assessments conducted at the railway yard to identify risks related to the working methods and practices used. Overlapping instructions that are not fully consistent were also viewed as a problem. Some of the instructions are drawn up for common use, but some of their content cannot be followed everywhere. The instructions are not consistent in all parts, and some of the actors do not know which instructions should be applied to which function.</t>
  </si>
  <si>
    <t>HU-5144</t>
  </si>
  <si>
    <t>Train derailment, 14-08-16, Ujszasz station (Hungary)</t>
  </si>
  <si>
    <t>Passenger train Nr.5736 derailed with its first bogie at the switch Nr. 6. in Ujszasz station. There were no personal injuries. 
Személyvonat (536) elso forgóvázával kisiiklott Újszász állomáson a 6 sz. kitéron.</t>
  </si>
  <si>
    <t>Ujszasz station</t>
  </si>
  <si>
    <t>A Vb a baleset bekövetkezését az alábbi közvetlen okokra vezette vissza:_x000D_
- a vonat részére történt váltó állításakor a kitéro irányú csúcssín kampózárja nem_x000D_
érte el a végállását, a csúcsín és a tosín között pontosan meg nem határozható_x000D_
hézag maradt,_x000D_
- a csúcssín éle kb. 600 mm hosszban hiányzott, ez lehetové tette, hogy az elso_x000D_
kerékpártengely bal kereke felkapjon a csúcssín és a tosín közti résbe, ez fokozta_x000D_
a csúcssín megnyílását,_x000D_
- a második tengely bal kerekének nyomkarimája a megnyílt csúcssín és tosín közti_x000D_
résbe gördült,_x000D_
- a kerekek a tosíneken gördültek tovább, az elso és a második kerékpártengelyek_x000D_
jobb oldali kerekei a 12. aljnál a baloldali kerekek a 15. aljnál kisiklottak,_x000D_
- eközben a csúcssín hátulját a kerékkoszorú megütötte és azt visszaállítva_x000D_
eredetileg szándékolt állásba részben bekampózta. 
The accident is due to the following direct causes:_x000D_
-At the moment of setting the changeover for the train, the hook on the top rails is not locked_x000D_
it has reached its end position, it cannot be precisely defined between the top rail and the top rail_x000D_
there was a gap,_x000D_
- edge of the top rail approx. 600 mm in length was missing, which made it the first_x000D_
the left wheel of the bicycle axle snags the gap between the top rail and the main rail,_x000D_
opening the rails,_x000D_
- the flange of the left wheel of the second axle between the open rails and the pivot rail_x000D_
rolled into a gap,_x000D_
- the wheels continued rolling on the main rails, the first and second bicycle axles_x000D_
right-hand wheels at bottom 12, left-hand wheels at bottom 15,_x000D_
- while the back of the top rail was struck by the wheel arch and restored_x000D_
originally partially hitched into the intended position.</t>
  </si>
  <si>
    <t>UK-5163</t>
  </si>
  <si>
    <t>Accident to persons caused by RS in motion, 15-08-16, David Lane tram stop (United Kingdom)</t>
  </si>
  <si>
    <t>A member of the public who had alighted from a northbound tram at David Lane tram stop, was later struck by another tram on the off-street section of the NET system between David Lane and Basford tram stops. The accident occurred at around 22:57 hrs on 15 August 2016 and the person sustained fatal injuries._x000D_
Prior to the accident, there had been reports of a person on the tracks between the tram stops and arrangements made for trams in the vicinity to be warned of this.</t>
  </si>
  <si>
    <t>David Lane tram stop</t>
  </si>
  <si>
    <t>The tram driver could not bring his tram to a stop in time to prevent the collision with a member of the public who was lying on the track</t>
  </si>
  <si>
    <t>The causal factors were:_x000D_
a. It was difficult for the driver of tram 225 to detect the presence of the member of the public on the track (paragraph 46, no recommendation)._x000D_
b. The driver of tram 225 had not been asked to reduce the tram’s speed or to exercise caution between Basford and David Lane tram stops (paragraph 50)._x000D_
This causal factor arose due to a combination of the following:_x000D_
i. SDS3 misunderstood the reporting call from the driver of tram 228 to SDS2 (paragraph 59, paragraphs 95 and 97; Learning point 2)_x000D_
ii. SDS3 acted on an overheard call (paragraph 63; Learning point 2)._x000D_
iii. SDS3’s misunderstanding was not detected and challenged by anyone in the control room (paragraph 65, paragraphs 95 and 96a)._x000D_
81 The RAIB considered the relevance of the headlight setting on tram 225. The RAIB found no evidence to suggest that it was a factor in the causation of the accident (paragraph 73, Learning point 1)._x000D_
Underlying factor_x000D_
82 An underlying factor was that NTL’s senior management did not manage the risks associated with deficiencies in safety critical communications effectively (paragraph 69, Recommendation 1).</t>
  </si>
  <si>
    <t>FR-5146</t>
  </si>
  <si>
    <t>Trains collision with an obstacle, 17-08-16, Saint-Aunès (France)</t>
  </si>
  <si>
    <t>Regional EMU hits a big tree fallen on the track due to violent storm.</t>
  </si>
  <si>
    <t>Saint-Aunès</t>
  </si>
  <si>
    <t>violent wind storm</t>
  </si>
  <si>
    <t>HU-5145</t>
  </si>
  <si>
    <t>Trains collision near miss, 23-08-16, Budaörs station (Hungary)</t>
  </si>
  <si>
    <t>Shunting unit run through from trailing direction on a switch, which was set for an incoming freight train at Budaörs station. Both the driver of the freight train and the station staffs realised the dangerous situation and stopped their move immediately. The distance between the train and the shunting unit after the emergency braking was cca. 140 m on the same track. There were no injuries. 
Egy tolató egység felvágott egy váltót, mely egy behaladó tehervonat részére volt beállítva Budaörs állomáson. A mozdonyvezeto és az állomási személyzet észlelte a veszélyes szituációt és azonnal megálltak. A két egység között a távolság 140 méter volt. Személyi sérülés nem történt.</t>
  </si>
  <si>
    <t>Budaörs station</t>
  </si>
  <si>
    <t>Rail Cargo Hungaria Zrt.; 
MAV ZRt.</t>
  </si>
  <si>
    <t>A tolatásvezeto annak ellenére adott engedélyt a mozdonyvezetonek a tolás megkezdésére, hogy arra a forgalmi szolgálattevotol nem kapott egyértelmu engedélyt, a helytelenül álló 13. sz. váltót késon észlelte. 
The shunting driver granted the driver permission to start the shunting despite the fact that he had not received a clear permission from the transport operator, the incorrect switch No. 13 was detected late.</t>
  </si>
  <si>
    <t>DK-5756</t>
  </si>
  <si>
    <t>Accident to persons caused by RS in motion, 26-08-16, Værløse (Denmark)</t>
  </si>
  <si>
    <t xml:space="preserve">The AIB DK received notification on the accident only on 29.08.2016, as the accident was initially assessed as non-rail related. Subsequent review of video recordings, however, showed that the person was injured in the case of falls on the platform and was hit by the train. 
Havarikommissionen modtog først den 29.08.2016 underretning om ulykken, idet ulykken i første omgang blev vurderet som ikke-jernbanerelateret. Efterfølgende gennemgang af videooptagelser viste imidlertid, at personen blev kvæstet i forbindelse med fald på perronen og derunder berøring med kørende tog. </t>
  </si>
  <si>
    <t>Værløse</t>
  </si>
  <si>
    <t>DSB S-tog</t>
  </si>
  <si>
    <t>Person got an inconvenience / feel unwell, falls and are hit by driving train.</t>
  </si>
  <si>
    <t>RO-5154</t>
  </si>
  <si>
    <t>Fire in RS, 26-08-16, Tarnavele - Radulesti (Romania)</t>
  </si>
  <si>
    <t>the diesel electric locomotive DA 614 that hauled the train no.87232 consist in two locomotives caught fire</t>
  </si>
  <si>
    <t>Tarnavele - Radulesti</t>
  </si>
  <si>
    <t>Direct cause _x000D_
The fire happened because the local overheating in the box for the connection of the cables for power supply of the traction engine no.3, because the decrease over time of the di-electric strength between the electric cables with different electric potential, it leading to the ignition of their insulation as well as of the oil rests existing in the area of the fire appearance. _x000D_
_x000D_
Contributing factors_x000D_
1.	oil leakages from the diesel engine, the hydrostatic equipment and the the compressor of the locomotive DA 614, that led to the decrease of the di-electric strength between the electric cables with different electric potential in the box for their connection, corresponding to the electric traction engine no.3;_x000D_
2.	keeping in operation of the locomotive DA 614 after reaching the norm of time for the performance of the planned repairs. 
Cauza directa _x000D_
Incendiul s-a produs ca urmare a supraîncalzirii locale survenita în doza de legatura a cablurilor de alimentare a motorului de trac?iune nr.3, datorita scaderii în timp a rezisten?ei de izola?ie între cablurile electrice cu poten?ial electric diferit, fapt ce a condus la aprinderea izola?iei acestora precum ?i a reziduurilor de produse petroliere existente în zona de ini?iere a incendiului. _x000D_
_x000D_
Factori care au contribuit_x000D_
1.	pierderile de ulei provenite de la motorul diesel, instala?ia hidrostatica ?i compresorul locomotivei DA 614, care au produs scaderea rezisten?ei de izola?ie între cablurile electrice cu poten?ial electric diferit în doza de legatura a acestora corespunzatoare motorului electric de tractiune nr.3;_x000D_
2.	men?inerea în exploatare a locomotivei DA 614 dupa realizarea normei de timp pentru efectuarea repara?iilor planificate.</t>
  </si>
  <si>
    <t>Underlying causes _x000D_
1.	infringement of the provisions from Instructions for the activity of the locomotive staff no.201/2006 approved through Order of Minister no.2229/2006, respectively of the art.44-(3) letter,b),  concerning the obligation to remove, within the intermediary inspections, the failures at the parts, equipments and assemblies, where the problems appeared during the locomotive operation, written down by the driver in the locomotive incident record;_x000D_
2.	infringement of the provisions Railway Norm 67-006:2011 „Railway vehicles. Types of inspections and planned repairs.  Norms of time and km run for the performance of the inspections and planned repairs”, approved through the Order of the Minister of Transports and Infrastructure no.315/2011 with further amendments, respectively:_x000D_
•	chapter 3 – Norms for the performance of inspections and planned repairs at the railway vehicles  and their periodicity (cycle), subsection 3.1, that is the locomotive DA 614 was not withdrawn from traffic at the achievement of the norm of time or km stipulated for the performance of the planned repairs;_x000D_
•	chapter 3 – Norms for the performance of the inspections and planned repairs at the railway vehicles and their periodicity (cycle), Table 3.1,  letter. A, position no.3, that is the cycle of planned repairs at the locomotive DA 614 was not met._x000D_
_x000D_
Root causes_x000D_
1.	infringement of the provisions from the operational procedure „Identification and assessment of the risks associated to the railway safety” code: PO 431-SMS 1st edition, revision 00, that is the the Zonal Freight Center Bucure?ti did not perform a risk assessment and no measure for their prevention was establish; _x000D_
2.	inadequate elaboration of the operational procedure „Maintenance and repairs at the traction rolling stock” code: PO 74.3 2nd edition, revision 00, that is its provisions have no control of the risks generated by the danger generated by “keeping in operation of the rolling stock after achieving the norm of time/km for the performance of the planned repairs”. 
Cauze subiacente _x000D_
1.	nerespectarea prevederilor din Instruc?iuni pentru activitatea personalului de locomotiva în transportul feroviar nr.201/2006 aprobate prin Ordinul Ministrului nr.2229/2006, respectiv ale art.44.- (3) lit,b),  cu privire la obliga?ia remedierii, în cadrul reviziilor intermediare, a defec?iunilor la piesele, instala?iile ?i agregatele la care au aparut probleme în exploatarea locomotivei, semnalate de catre mecanic în carnetul de bord al locomotivei;_x000D_
2.	nerespectarea prevederilor Normativului feroviar 67-006:2011 „Vehicule de cale ferata. Tipuri de revizii ?i repara?ii planificate.  Normele de timp sau normele de kilometri parcur?i pentru efectuarea reviziilor ?i repara?iilor planificate”, aprobat prin Ordinul Ministrului Transporturilor ?i Infrastructurii nr.315/2011 cu modificarile ?i completarile ulterioare, respectiv:_x000D_
•	capitolul 3 – Norme pentru efectuarea reviziilor ?i repara?iilor planificate ale vehiculelor feroviare ?i periodicitatea acestora (ciclul), subpunctul 3.1, în sensul ca locomotiva DA 614 nu a fost retrasa din circula?ie la realizarea normei de timp sau kilometri prevazuta pentru efectuarea repara?iilor planificate;_x000D_
•	capitolul 3 – Norme pentru efectuarea reviziilor ?i repara?iilor planificate ale vehiculelor feroviare ?i periodicitatea acestora (ciclul), Tabelul 3.1,  lit. A, pozi?ia nr.3, în sensul ca nu a fost respectat ciclul de repara?ii planificate pentru locomotiva DA 614._x000D_
_x000D_
Cauze primare_x000D_
1.	nerespectarea prevederilor procedurii opera?ionale „Identificarea ?i evaluarea riscurilor asociate siguran?ei feroviare” cod: PO 431-SMS edi?ia 1, revizia 00, în sensul ca la Centrul Zonal de Marfa Bucure?ti nu au fost efectuata o evaluare a riscurilor ?i nu au fost dispuse masuri de prevenire a acestora; _x000D_
2.	întocmirea necorespunzatoare a procedurii opera?ionale „Între?inere ?i repara?ii material rulant de trac?iune” cod: PO 74.3 edi?ia 2, revizia 00, în sensul ca prevederile acesteia nu ?in sub control riscurile generate de pericolul reprezentat de “men?inerea în exploatare a materialului rulant dupa realizarea normei de timp/km pentru efectuarea repara?iilor planificate”.</t>
  </si>
  <si>
    <t>BG-5150</t>
  </si>
  <si>
    <t>Train derailment, 28-08-16, Petarch station (Bulgaria)</t>
  </si>
  <si>
    <t>At 12:24 PM on 28.08.2016 freight train (FT) No 50505 of BDZ Cargo Ltd. departed from Stanyantsi shunting area in direction Stanyantsi – Voluyak – Dupnitsa. While passing transit through Petarch station and after exit switch no 2, seven cars (from 4-th to 10-th) from the composition of the train derailed. The train was composed of 12 wagons loaded with coal, serviced by the leading locomotive No 43-551 and pushing locomotive No 45-166, and with a total mass of 924 tonnes._x000D_
No one was hurt in result of the accident. Destroyed were about 200 meters of railroad and severe material damages were inflicted to the derailed cars._x000D_
The movement of trains along the Petarch - Kostinbrod railroad section was suspended, 13 trains were cancelled and extra 5 trains of BDZ Passengers were appointed. After completing the fortification works on the track, the movement of trains was restored to a limit of 25 km/h of movement in the section from km. 21+000 to km 21+300 at 2:45 AM on 08.30.2016.</t>
  </si>
  <si>
    <t>Petarch station</t>
  </si>
  <si>
    <t>The cause that led to train derailment is the detachment of the clamp that fixes the outer and inner springs to the wing of the left axle box of the second axle of the first bogie of the fourth wagon in row of the train.</t>
  </si>
  <si>
    <t>The tearing off of the clamp weld to the left axle box wing led to dropping down of the springs while passing over rail switch no 2, imbalance of the wagon and to following jump of the first bogie's left wheel  over the rail head.</t>
  </si>
  <si>
    <t>CZ-5148</t>
  </si>
  <si>
    <t>Trains collision, 30-08-16, open line between Chválkov and Vcelnicka stations (Czech Republic)</t>
  </si>
  <si>
    <t>An unauthorized movement of the regional passenger train No. 203 behind of a front track convergence marker and a consequent collision with the regional passenger train No. 204</t>
  </si>
  <si>
    <t>open line between Chválkov and Vcelnicka stations</t>
  </si>
  <si>
    <t>Jindrichohradecké místní dráhy</t>
  </si>
  <si>
    <t>A failure to wait for an arrival of the train No. 204 to Chválkov operating control point and a departure of the train No. 203 from this operating control point.</t>
  </si>
  <si>
    <t>A breach of technological procedures of the IM for a centralised traffic control by the train driver of the train No. 203 after arrival at Chválkov operating control point, a failure to wait for the arrival of the train No. 204 and a departure of the train No. 203 against the train No. 204</t>
  </si>
  <si>
    <t>CZ-5149</t>
  </si>
  <si>
    <t>Train derailment, 30-08-16, Kolín station (Czech Republic)</t>
  </si>
  <si>
    <t>The derailment of 6 wagons of the freight train No. 360542</t>
  </si>
  <si>
    <t>Kolín station</t>
  </si>
  <si>
    <t>Direct Cause: exceeding of the limit operating deviations of a track gauge in part of the switch No. 38</t>
  </si>
  <si>
    <t>Underlying causes:_x000D_
• unsatisfactory technical condition of the block sleepers caused by insufficient fixing of the fasteners;_x000D_
• failure to adopt adequate measures to ensure the safe operation of railway and railway transport._x000D_
Root cause: none.</t>
  </si>
  <si>
    <t>HU-5169</t>
  </si>
  <si>
    <t>Train derailment, 30-08-16, Festetics u. (Hungary)</t>
  </si>
  <si>
    <t>The tram passed the signal at danger, and derailed on the next switch.</t>
  </si>
  <si>
    <t>Festetics u.</t>
  </si>
  <si>
    <t>NO-5166</t>
  </si>
  <si>
    <t>Train derailment, 02-09-16, Gulleråsen (Norway)</t>
  </si>
  <si>
    <t>On Friday 2 September 2016, one bogie of a metro train derailed after making a stop at Gulleråsen station. On Saturday 3 September, the same thing happened in the same place._x000D_
_x000D_
Both cases involved a metro train that accelerated out from the station after making a stop. In both cases  one bogie derailed at low speed. Gulleråsen station is situated on a curve leading uphill towards Frognerseteren. No one was injured in these incidents.</t>
  </si>
  <si>
    <t>Gulleråsen</t>
  </si>
  <si>
    <t>Derailmaint because of dry rail.</t>
  </si>
  <si>
    <t>System for filling of wheel flange lube in maintanance yard was out of service for about 2 months without anyone taking action. Trains went in service without lube on wheel flange lubrucation system. Beacause of this, the lube on the rails was wore down.</t>
  </si>
  <si>
    <t>RO-5155</t>
  </si>
  <si>
    <t>Train derailment, 02-09-16, Gura Motrului (Romania)</t>
  </si>
  <si>
    <t>the first axle of electric locomotive EA no.130 that hauled the freight train no. 93756A-1 derailed in the railway station Gura Motrului</t>
  </si>
  <si>
    <t>Gura Motrului</t>
  </si>
  <si>
    <t>Cauza directa a producerii accidentului o constituie escaladarea firului exterior al curbei de catre roata din dreapta a osiei nr.6, de atac, în sensul de mers al trenului (boghiul II) de la locomotiva EA 130, datorita depasirii limitei de stabilitate la deraiere pe aceasta roata, ca urmare a cresterii raportului dintre forta conducatoare si sarcina ce actionau pe roata atacanta.	_x000D_
Factori care au contribuit:_x000D_
-	descarcarea de sarcina a rotii atacante a osiei nr.6 (prima osie în sensul de mers al trenului), ca urmare a neechilibrarii acesteia, rotile de la osiile nr.6 si 5 fiind cele mai descarcate în compara?ie cu roata de la osia nr.4 de pe partea dreapta ale primului boghiu în sensul de mers;_x000D_
-	starea necorespunzatoare a geometriei caii pe zona producerii accidentului (depa?iri ale toleran?elor la nivelul transversal precum ?i la torsionarea caii). 
The direct causes of the accident was the overeclimbing of the exterior rail of the curve by the right wheel of the leading axle no.6 (bogie II) from the locomotive EA 130, in the train running direction, because the exceeding of the derailment stability limit on this wheel, because the increase of the report between the leading force and the load on the leading wheel.	_x000D_
Contributing factors:_x000D_
-	load downloading of the leading wheel from the axle no.6 (first axle in the train running direction), because the less of its counterbalance, the wheels from the axles no.6 and 5, being with the most load transfer comparred to the wheel from the axle no.4 from the right side of the first bogie in the running direction;_x000D_
-	unsuitable condition of the track geometry at the accident site (exceeding of the tolerances at cross level and the track twist).</t>
  </si>
  <si>
    <t>Cauze subiacente _x000D_
?	nerespectarea Instruc?iei de norme ?i toleran?e pentru construc?ii ?i între?inerea caii pentru linii cu ecartament normal nr. 314/1989,Cap. I art.7, lit. A, pct.1 ?i 4, privind  toleran?ele admise la nivelul transversal prescris al unui fir fa?a de celalalt, respectiv la torsionarea caii._x000D_
_x000D_
_x000D_
Cauza primara_x000D_
?	neaplicarea tuturor prevederilor procedurii operationale cod PO SMS 0-4.07 „Respectarea specificatiilor tehnice, standardelor si cerintelor relevante pe întreg ciclul de viata a liniilor în procesul de întretinere” (inclusiv a anexelor), parte a sistemului de management al sigurantei administratorului de infrastructura feroviara publica CNCF „CFR” SA, referitoare la coordonarea activita?ilor de între?inere a liniilor de cale ferata. 
Underlying causes _x000D_
?	infringement of the Instruction of norms and tolerances for the track construction and maintenance for lines with standard gauge no. 314/1989,Chapter I, art.7, letter A, points 1 and 4, concerning the tolerances accepted for the cross level, stipulated for a rail against the another one, respectively the track twist._x000D_
_x000D_
Root cause_x000D_
?	non-application of all provisions from the operation procedure code PO SMS 0-4.07 „Compliance with the technical specifications, standards and requirements relevant for the whole life time of the lines in the maintenance process” (including the annexes), part of the safety management system got by the public railway infrastructure manager CNCF „CFR” SA, concerning the coordination of the activities  for the line maintenance.</t>
  </si>
  <si>
    <t>BG-5161</t>
  </si>
  <si>
    <t>Train derailment, 03-09-16, Voluyak - Hrabarsko intersection (Bulgaria)</t>
  </si>
  <si>
    <t>At approximately 06:20 AM on 03.09.2016, freight train No 50501 composed by 18 full with coal wagons and electric locomotive no 46033.7 with a gross mass of 1340 tons, departed from Voluyak station towards the Goljamo selo station. During the train movement, the twelfth wagon derailed at km 14+055. Since the towing locomotive was very powerful, the crew did not feel the sense of the derailed wagon. Upon entering of the train in the right track curve at km 23 755 and due to a fall in the pressure in the train main air pipe, the locomotive driver undertook quick stopping. In result of the inspection done afterwards, it was found that after the twelfth wagon derailed and inclined were the immediate following five wagons, as the last one of the composition did not derail._x000D_
Nobody from the crew was injured. Around 9700 meters of track were destroyed and serious material damage were caused to the derailed six wagons. The movement of trains in the section Voluyak - Pernik was suspended.</t>
  </si>
  <si>
    <t>Voluyak - Hrabarsko intersection</t>
  </si>
  <si>
    <t>Irregular loading and allocation of the bulk cargo in the twelfth wagon of the train, as a result of which the central bearing of the first bogie during movement, worked aggressively and respective rotation movement of the bogie was hindered, which led to an uphill of the right wheel of the first wheel set of the first bogie over the rail head without leaving a trace.</t>
  </si>
  <si>
    <t>HU-5159</t>
  </si>
  <si>
    <t>Accident to persons caused by RS in motion, 03-09-16, Budapest, Déli (Hungary)</t>
  </si>
  <si>
    <t>A Budapest-Déli pályaudvarra bejáró 4927 sz. vonatot a vontatási nagyfeszültségbol származó elektromos ívkisülés érte. Egy, a vonaton utazó no könnyu égési sérüléseket szenvedett. 
Nr. 4927 passenger train got an electric arc from traction wire. A passanger on the board injured by heat of spark of electric arc.</t>
  </si>
  <si>
    <t>Budapest, Déli</t>
  </si>
  <si>
    <t>A VB a baleset bekövetkezését az alábbi közvetlen okokra vezette vissza:_x000D_
-	a felsovezetéki oszlopot a környezetében lévo növényzet benotte, aminek következtében villamos ívkisüléssel járó zárlat keletkezett,_x000D_
-	 a zárlat következtében a felsovezeték megemelését gátló szerkezet válasz szigeteloje eltört, annak karja az oszlopra esett és az 25 kV feszültség alá került,_x000D_
-	ennek következtében a földelo szikraköz a vezetékével együtt az oszlopról lerobbanva villamos ívet gyújtott, amely az oszlop mellet éppen elhaladó vonat kocsiszekrényén keresztül záródott. 
The direct causes of the accident are:_x000D_
_x000D_
- the overhead column was overgrown with vegetation in its vicinity, which resulted in a short circuit with electric arc discharge,_x000D_
- As a result of the fault, the insulator of the device preventing the raising of the overhead contact line has broken, its arm has fallen on the column and has been put at a voltage of 25 kV,_x000D_
- As a result, the earthing spark gap, detonated from the pole, ignited an electric arc, which was closed through the body of the train just passing by.</t>
  </si>
  <si>
    <t>HR-5160</t>
  </si>
  <si>
    <t>Trains collision, 05-09-16, Zagreb RanÅ¾irni Kolodvor (Croatia)</t>
  </si>
  <si>
    <t>On an industrial truck in the Ranžirni Kolodvor Zagreb Station two rail vehicle collided. There was no injuries. 
Dana 05. rujna 2016. godine na industrijskom kolosijeku u Ranžirnom kolodvoru Zagreb došlo je do sudara dva TMD-a. Nije bilo ozlijedenih.</t>
  </si>
  <si>
    <t>Zagreb RanÅ¾irni Kolodvor</t>
  </si>
  <si>
    <t>Izravni uzrok ove nesrece je nemogucnost zaustavljanja TMD-a serije 9103-203 prije udara u drugi TMD, uslijed proklizavanja kotaca tijekom kocenja (poglavlje 4.2.). 
The direct cause of this accident is inability of rail vehicle to stop slippery truck conditions (Chapter 4.2.).</t>
  </si>
  <si>
    <t>Cimbenici koji su pridonijeli ovoj nesreci: _x000D_
-	smanjena mogucnost pregleda prometa vozaca TMD-a na „Z“ kolosijeku zbog raslinja i deponiranog gradevinskog materijala (poglavlja 3.4.),_x000D_
-	kiša i trava na gornjem rubu tracnica uslijed cega je pruga bila skliska (poglavlje 2.4), _x000D_
-	vozilo serije 9103 nije opremljeno protukliznom zaštitom i pjeskarama, (poglavlje 2.2.2)._x000D_
Organizacijski cimbenici: _x000D_
-	Za „Z“ kolosijek Upravitelj infrastrukture nema izraden sustav održavanja okoliša kolosijeka (poglavlje 3.9), _x000D_
-	Za „Z“ kolosijek Upravitelj infrastrukture nema razraden sustav reguliranja prometa kolosijekom (poglavlje 3.8)._x000D_
-	Nije napravljena analiza utjecanja deponiranog otpadnog gradevinskog materijala na sigurnost odvijanja prometa „Z“ kolosijekom (poglavlje 3.9)._x000D_
-	Promet željeznickih vozila „Z“ kolosijekom se regulira vizualno (poglavlje 3.8). 
Contributing factors: _x000D_
- Visibility to both drivers was decreased due to threes and bulks of stone near the truck (chapters 3.4),_x000D_
 - Rain and grass on the rail truck caused slippery conditions on the truck (chapter 2.4),_x000D_
- Vehicles series 9103 are not equipped with antiskid devices (chapter 2.2.2), _x000D_
Organizational factors:_x000D_
-	For the „Z“ Industrial rail truck the Infrastructure manager did not have developed a system of maintenance of environment of the truck  (chapter 3.9),_x000D_
-	The Infrastructure manager does not have developed the system of traffic regulation on the “Z” truck (chapter 3.8),_x000D_
-	Risk analysis of disposal of construction waist along “Z” truck and influence of in on traffic safety was not made (chapter 3.9),_x000D_
-	Traffic of railway vehicles on “Z” truck is regulated visually by train drivers (chapter 3.8).</t>
  </si>
  <si>
    <t>HU-5203</t>
  </si>
  <si>
    <t>Train derailment, 08-09-16, Széchenyi-hegy (Hungary)</t>
  </si>
  <si>
    <t>The cogwheel train derailed on a switch.</t>
  </si>
  <si>
    <t>Széchenyi-hegy</t>
  </si>
  <si>
    <t>The swith was destroyed under the train.</t>
  </si>
  <si>
    <t>ES-5165</t>
  </si>
  <si>
    <t>Train derailment, 09-09-16, O Porriño (Pontevedra) (Spain)</t>
  </si>
  <si>
    <t>Passenger train derailment and collision, at the entrance of Porriño station</t>
  </si>
  <si>
    <t>O Porriño (Pontevedra)</t>
  </si>
  <si>
    <t>The derailment was caused by an excess of speed of the train when passing the diverted switch at the entrance of Porriño station. Previous signals had ordered the train to slow down, but the driver didn’t comply with those orders, although he confirmed reception. Evidence and tests have ruled out any failure in signals, brakes or visibility, so most likely cause was a human error in signals interpretation. However, this is not concluding, because of the lack of recordings in cabin and direct witnesses (driver himself and train guard were among the fatalities). Some hints point to a possible distraction (previous incompliance of a speed limit, possible presence of the train guard in the cabin).</t>
  </si>
  <si>
    <t>Routine habits and low frequency of travelling could have influenced the driver’s behaviour. The driver only drove this section once every 3-4 weeks, in a different country with different rules and signals. Moreover, those times he drove, situation was always the same: 25 km with no stops nor diversions, with several speed restrictions that didn’t apply to this train (“simply go ahead”). This, combined with the low frequency of travelling, could have led to a poor consolidation of knowledge about line, a wrong risk perception and a possible “habit-based driving”, prone to a lower level of attention to signals. _x000D_
Moreover, signals’ beacons that warned to slow down were positioned amidst other beacons with “trivial” messages (speed restrictions that didn’t apply to this train), so (in the described situation of lower level of attention) they could have been confused with those “trivial” warnings (although this beacons arrangement was not against rules, it has been modified). This combination of factors (possible habit-based driving + possible distraction + sub-optimal beacons’ arrangement) could have caused the wrong response to the instructions of the signals._x000D_
On other matters, the train was diverted by the IM for checking a track circuit, according to a usual practice. However, this procedure is not properly defined in the SMS and it has traceability issues. Risk management in this situations has to be solved.</t>
  </si>
  <si>
    <t>CZ-5164</t>
  </si>
  <si>
    <t>Level crossing accident, 13-09-16, active level crossing No. P8139 between StráÅ¾nice and Vnorovy (Czech Republic)</t>
  </si>
  <si>
    <t>Collision of a regional passenger train No. 2710 with a tractor at the level crossing P8139.</t>
  </si>
  <si>
    <t>active level crossing No. P8139 between StráÅ¾nice and Vnorovy</t>
  </si>
  <si>
    <t>Driver's failure to respect the light and acoustic warning and driving across the level crossing at the time when it was forbidden and visual and acoustic warnings were being given.</t>
  </si>
  <si>
    <t>Underlying causes:_x000D_
1) Driver's failure to respect of the light and sound warning and ride at the level crossing at the time when it was forbidden._x000D_
2) Behavior of the driver in front of the level crossing, the car driver wasn't careful enough and didn't make sure whether he can safely pass the level crossing._x000D_
_x000D_
Root cause: none.</t>
  </si>
  <si>
    <t>BG-5167</t>
  </si>
  <si>
    <t>Fire in RS, 14-09-16, Chernograd â€“ Karnobat rail intersection (Bulgaria)</t>
  </si>
  <si>
    <t>While moving in Burgas – Karnobat direction on 14.09.2016, PT No 80290 (composed of EL No 44096 and two passenger wagons) got fire in its electrical locomotive in the Chernograd – Karnobat rail intersection. Immediately after smelling a smoke of the fire at approx. 15:00 LT, the locomotive crew stopped the train, called emergency and started fighting the fire with the fire extinguishers available. The fire was extinguished completely by the District branch of the Fire Safety and Protection of Population brigade at approx. 20:20 LT._x000D_
There were no injured among the passengers and staff serving the train, but substantial material damages were caused to the locomotive and the contact network. Suspended was the movement of 11 trains and other 5 were delayed substantially. The movement of trains on road No. 1 was reestablished at 22:44 LT.</t>
  </si>
  <si>
    <t>Chernograd â€“ Karnobat rail intersection</t>
  </si>
  <si>
    <t>The original cause for the lighting of a fire in locomotive No 44096.6 was a rupture of the rubber joint, which served the oil circulation from the ATP to the transformer located over the radiator for cooling the oil in the transformer.</t>
  </si>
  <si>
    <t>The oil scattered out of the  rupture of the rubber joint in the engine compartment covered many of the apparatuses, located in the high-voltage camera. Decisive for its self ignition was its touch to the smoothing reactor of the supporting machinery. In result from the increasing temperature (up to 170°?) and  intensive air circulation in that area (because of the work of the cooling fans) serious quantity of the oil ignited.</t>
  </si>
  <si>
    <t>UK-5171</t>
  </si>
  <si>
    <t>Infrastructure events, 16-09-16, Watford Tunnel (United Kingdom)</t>
  </si>
  <si>
    <t>On Friday 16 September 2016, a southbound passenger train was travelling at about 70 mph (112 km/h) on the up slow line of the West Coast Main Line, when the leading carriage was derailed by a landslip just before entering the northern portal of Watford tunnel. The train stopped in the tunnel, partly blocking the adjacent line. About two minutes later, it was struck a glancing blow by a northbound passenger train which did not derail. Two passengers suffered minor injuries. Both trains suffered significant damage, including the cab to saloon door on the derailed train becoming jammed.</t>
  </si>
  <si>
    <t>Watford Tunnel</t>
  </si>
  <si>
    <t>Train 2K04 derailed as a result of colliding with a landslip</t>
  </si>
  <si>
    <t>There was no crest drainage or sub-surface drainage at this location which meant intense rainfall led to a washout failure on the cutting slope (paragraph 78, Recommendation 1)._x000D_
Underlying factors_x000D_
129 The topography forming a water concentration feature, and the associated risk of a washout failure, was not recognised as a significant risk (paragraph 85,Recommendation 2)._x000D_
130 Network Rail’s staff responsible for the management of the earthworks were unaware of a historic slip on the immediately adjacent part of the cutting, and unaware of the face wall drawings showing that it was intended to have a drainage function (paragraph 90, Learning point 1).</t>
  </si>
  <si>
    <t>HU-5177</t>
  </si>
  <si>
    <t>Runaway, 17-09-16, Ferencváros (Hungary)</t>
  </si>
  <si>
    <t>A locomotive, which were switched off correctly, and leaved by driver before, began to move. The loco rolled over 4 km to Soroksári út station without any person on the board. At Soroksári út station the loco collided to a bumper at the end of the track, and derailed. There were no personal injuries. 
Ferencváros állomáson leállított mozdony személyzet nélkül megfutamodott, 4,5 km megtétele után egy csonkavágányon kisiklatták.</t>
  </si>
  <si>
    <t>Ferencváros</t>
  </si>
  <si>
    <t>Logistik- und Transport- GmbH</t>
  </si>
  <si>
    <t>A szabályosan kiüzemelt mozdony kormányszelepében szennyezodés volt, ami emiatt szivárgott, és lehetové tette a redundáns funkció elovezérlo nyomásának a kettos visszacsapó szelepen keresztül történo teljes leszellozését, minek hatására a fékhengerek feloldottak, a rugóerotárolós fék viszont feloldva maradt, így a mozdony fékezetlen lett, és a 7 ‰-es lejtésu pályán megfutamodott. 
There was a dirt in the correctly operated locomotive steering valve which leaked and allowed the redundant function pre-control pressure to be fully drained through the double-check valve, causing the brake cylinders to dissolve, while the spring brake remained unlocked, so the locomotive was unbraked and ran on the 7 ‰ gradient.</t>
  </si>
  <si>
    <t>SE-5173</t>
  </si>
  <si>
    <t>Trains collision, 21-09-16, Piteå - Arnemark (Sweden)</t>
  </si>
  <si>
    <t>A freight train operated by Green Cargo got permission to pass a stop signal. Another freight train operated by Green Cargo was travelling on the same track in the oncoming direction. The two trains collided with each other. No people were injured physically.</t>
  </si>
  <si>
    <t>Piteå - Arnemark</t>
  </si>
  <si>
    <t>The direct cause for the accident was that the checks carried out by the traffic controller to ascertain the position of trains relevant to the situation, led to the erroneous conclusion that train 9207 had indeed reached Piteå and that the line section Piteå–Arnemark thus had become free to use for train 6032.</t>
  </si>
  <si>
    <t>An underlying cause for the assumptions made by the traffic controller was that he had mistaken another incoming train for 9207. When he checked his notes about activities in Piteå, the information found there was deemed more relevant than the information that could be gathered from the Argus traffic control system or the STEG planning and documentation tool._x000D_
_x000D_
An underlying cause on the systemic level, was that the infrastructure manager had not perceived if the traffic controller, who had limited experience, had sufficient understanding of the requirements regarding the mandatory checks, that should be carried out in situations where trains have to be permitted to pass signals at “Danger”. Additionally, the infrastructure manager had not looked into how the traffic controller regarded the status of the different tools (STEG, Argus, “Hjälpblankett”) and how to interpret the information coming from those systems. _x000D_
_x000D_
Further, a possible influencing factor was that the infrastructure manager, when developing STEG, used only experienced traffic controllers as reference group. Another possible influencing factor was that no risk assessment was carried out to find potential problems with the introduction of a planning tool that would also have impact on the principles for how documentation of traffic events should be performed.</t>
  </si>
  <si>
    <t>AT-5168</t>
  </si>
  <si>
    <t>Trains collision with an obstacle, 23-09-16, Tunnel Stierschweiffeld (Austria)</t>
  </si>
  <si>
    <t>On September 23rd 2016, at about 13:14 clock, a collision of the train ICE 90 with an obstacle occurred. The train stopped in the Tunnel „Stierschweiffeld“. By crossing the obstacle, a side entrance door, the three leading wheelsets of the train ICE 90 were derailed technically, although they were in the track after the stop. The passengers of the train ICE 90 were evacuated through the emergency exit 4 from the Tunnel „Stierschweiffeld“ with the help of external rescue forces and transported further in the replacement transport. No people were injured or killed. The previously traveling train Z 409 had an encounter with train Z 63 in the area of the eastern portal of the Tunnel „Stierschweiffeld“. By the resulting pressure and suction waves, the incorrectly closed and locked side entrance door of the last vehicle of train Z 409 was sucked out of the mount and fell on the track of the following train ICE 90. 
Am 23. September 2016, um ca. 13:14 Uhr kam es im Stierschweiffeldtunnel zu einer Kollision des ICE 90 mit einer im Gleis liegenden Seiteneinstiegstür. Z 90 kam im Stierschweiffeldtunnel zum Stillstand. Durch das Überfahren der Seiteneinstiegstür_x000D_
waren technisch gesehen die drei vorlaufenden Radsätze des ICE entgleist, obwohl sie sich nach dem Stillstand im Gleis befanden. Die Fahrgäste von Z 90 wurden durch den NA 4 aus dem Stierschweiffeldtunnel mit Hilfe externer Rettungskräfte evakuiert und im Schienenersatzverkehr weiterbefördert. Es wurden keine Personen verletzt oder getötet. Der zuvor verkehrende Z 409 hatte im Bereich des Ostportals des Stierschweiffeldtunnels eine Begegnung mit Z 63. Durch die dadurch aufgetretenen Druck- und Sogwellen wurde die nicht ordnungsgemäß verschlossene und verriegelte Seiteneinstiegstür des letzten Fahrzeuges von Z 409 aus der Halterung gesogen und kam am Fahrweg des nachfolgenden Z 90 zu liegen.</t>
  </si>
  <si>
    <t>Tunnel Stierschweiffeld</t>
  </si>
  <si>
    <t>Als hauptsächlicher Grund für den Vorfall wurden durch die Untersuchungen menschliche Faktoren festgestellt:_x000D_
Betätigung des Absperrvierkants im noch nicht ordnungsgemäß geschlossenen Zustand der Seiteneinstiegstür, sodass der ausgefahrene Riegel der Absperreinrichtung nicht im Verriegelungsverschlag arretieren konnte. Durch die Druck und Sogwellen im Tunneleingangsportal wurde die Seiteneinstiegstür aus der_x000D_
Halterung gerissen. Weitere menschliche Faktoren traten durch Sprachbarrieren bei der Kommunikation zwischen den betrieblich nicht geschulten Fahrgastbetreuer und den Zub auf (Verzögerung der Alarmierung). 
Based on investigation, it came out that the main reason of this incident were human factors:_x000D_
Operation of the blocking square at a not according to the rules situation of the side entry door, so that the extended barrier could not be blocked in the locking mechanism. Because of the pressure and suction waves in the entry portal of the tunnel, the side door had been torn off the bracket. More human factors appeared because of the language barrier during the communication between the passenger attendants, who do not have had operational training (delay in alert).</t>
  </si>
  <si>
    <t>ES-5191</t>
  </si>
  <si>
    <t>Train derailment, 30-09-16, Pajares (Asturias) (Spain)</t>
  </si>
  <si>
    <t>Train derailment in the tunnel of Pajares.</t>
  </si>
  <si>
    <t>Pajares (Asturias)</t>
  </si>
  <si>
    <t>The direct cause of the derailment was a previously broken rail (the left one, in the direction of travel), caused by a manufacturing defect.</t>
  </si>
  <si>
    <t>The environmental conditions inside the tunnel (that foster corrosion), and the heavy traffic in the line (that causes material fatigue) are considered as contributing factors. They caused a longitudinal crack that advanced until a break of the rail. Moreover, neither the inspections (on foot and on board), nor the ultrasonic tests, made according to the IM’s SMS, detected any flaw in the rail. _x000D_
_x000D_
The applied procedure of the IM’s SMS that deals with rail auscultation has not been effective, so it can be considered as a root cause.</t>
  </si>
  <si>
    <t>SE-5174</t>
  </si>
  <si>
    <t>Trains collision, 30-09-16, Molkom - Deje (Sweden)</t>
  </si>
  <si>
    <t>A multiple unit of two locomotives collided with a freight train that had come to a standstill on the line between Molkom and Deje. One of the drivers was injured. The rolling stock sustained severe damage.</t>
  </si>
  <si>
    <t>Molkom - Deje</t>
  </si>
  <si>
    <t>Rushrail AB</t>
  </si>
  <si>
    <t>The direct cause of the collision was that the speed of the assisting vehicle was not adjusted to the current situation.</t>
  </si>
  <si>
    <t>Contributing factors that have been identified are the driver's wish to complete this unforeseen work task without unnecessary delay, and the driver's restricted experience with the situation, i.e. the driver had had limited training in how to perform the procedure and how to apply the rules that govern this activity.  _x000D_
_x000D_
A possible contributing factor is also the exchange of information between the involved drivers, giving more details about the position of the train to be assisted; this may have influenced the driver's perception of the obstacle clearance.</t>
  </si>
  <si>
    <t>RO-5170</t>
  </si>
  <si>
    <t>Train derailment, 02-10-16, Malnas Bai - Bicsadu Oltului (Romania)</t>
  </si>
  <si>
    <t>the electric locomotive EA 014 that hauling the passenger  train no. 1642 derailed  the 6th axle from</t>
  </si>
  <si>
    <t>Malnas Bai - Bicsadu Oltului</t>
  </si>
  <si>
    <t>Cauza directa a producerii accidentului o constituie ruperea axei osiei nr.6 de la locomotiva EA nr.91530400014-3 aflata în remorcarea trenului IR nr.1642. Ruperea axei osiei s-a produs ca urmare a depa?irii limitei de oboseala a materialului din care a fost fabricata axa osiei (numarul înregistrare în parcul CFR: 32978)._x000D_
Factorul care a contribuit la ruperea axei osiei îl constituie numarul mare de cicluri întindere – compresiune la care a fost solicitata aceasta osie montata de-a lungul duratei sale de serviciu (43 ani). Astfel, numai de la data 01.01.1998 (data de la care de?inatorul locomotivei are eviden?e privind parcursul acestei osii montate), aceasta osie montata a parcurs o distan?a de 2.002.133 kilometri. 
Direct cause of the accident was the breakage of  axle no.6 from the locomotive EA no.91530400014-3, hauling the train IR no.1642. The breakage of the axle happened because the exceeding of the fatigue limit of the material the axle was made of (the matriculation number in the engine stock: 32978)._x000D_
Contributing factors at the axle breakage was the high number of the cycles of lengthening – compression to which the wheelset was submited during the service time (43 years). So, only from the 1st January 1998 (date starting which the locomotive keeper had records about the route of the wheelset), this  wheelset ran 2.002.133 km._x000D_
.</t>
  </si>
  <si>
    <t>Cauze subiacente _x000D_
Nu au fost identificate cauze subiacente ale acestui accident feroviar. _x000D_
Cauza primara _x000D_
Nu au fost identificate cauze primare ale acestui accident feroviar. 
Underlying cause_x000D_
None._x000D_
 Root cause_x000D_
None.</t>
  </si>
  <si>
    <t>NO-5179</t>
  </si>
  <si>
    <t>Train derailment, 03-10-16, Bjerka station, Nordlandsbanen (Norway)</t>
  </si>
  <si>
    <t>On October 3rd 2016 at approx. 21:55 hour train 474 collided with a rock-fall in to the track close to Bjerka station, Nordlandsbanen. The train derailed in the collision with the rock fall. The train carried 14 passengers and 2 staff members. Two of the passengers suffered light injuries, and were sent to the hospital for medichal treatment. Both the train and the infrastructure was damaged in the accident.</t>
  </si>
  <si>
    <t>Bjerka station, Nordlandsbanen</t>
  </si>
  <si>
    <t>The boulders that came down broke from a rock cutting where individual boulders were secured by rock bolts. The rockfall was caused by earth and rock material that came loose from the slope above the track and crashed into the rockfall ditch that had been constructed. The rockfall was so big that some of the boulders landed on the track. The rockfall was caused by the collapse of an earth-filled crack behind the boulders, which was sloped towards the railway line. The boulders that had been bolted remained in the rock cutting. A triggering factor may have been heavy rain that had washed away gouge material behind and under the rock, which caused it to collapse.</t>
  </si>
  <si>
    <t>HR-5198</t>
  </si>
  <si>
    <t>Level crossing near miss, 05-10-16, Å½eljeznicko-cestovni prijelaz broj 28 (Danica), Koprivnica. (Croatia)</t>
  </si>
  <si>
    <t>On LC "Danica" in town of Koprivnica, on 05th of October 2016, a Train passed the LC with half-barriers open. After the Incident, maintenance workers checked the LC, and LC was working correctly. The same Incident happened again on 06 of October 2016. 
Dana 05. listopada 2016. godine u 23:32 sati, na ŽCP-u Danica u Koprivnici dogodio se incident, prijelaz vlaka preko ŽCP-a na kojem se polubranici nisu spustili. Isti incident se ponovio i dan 06. listopada 2016. godine.</t>
  </si>
  <si>
    <t>Å½eljeznicko-cestovni prijelaz broj 28 (Danica), Koprivnica.</t>
  </si>
  <si>
    <t>HŽ CARGO; 
Rail Cargo Carrier - Croatia</t>
  </si>
  <si>
    <t>Inducirane smetnje u signalnom kabelu uredaja za osiguranje prometa, zbog kojih, prilikom nailaska vlakova na ŽCP-u broj 28, u predmetnim slucajevima, nisu bili spušteni polubranici. Uzrok smetnjama je elektromagnetski utjecaj vuce na SS kablove uz prugu. 
Induced disturbances in the signal cable of the Automated Level Crossing safety device, due to which, during train passing over, on the LC No. 28, in the cases concerned, were not lowered to the halve barriers. The cause of the disruption is the electromagnetic impact of electric traction on the signaling cables along the track.</t>
  </si>
  <si>
    <t>Tijekom projektiranja rekonstrukcije ŽCP-a nije napravljena analiza rizika zamjene opreme, pa tako ni utjecaj elektrovuce na SS kabele položene uz prugu._x000D_
Ispitivanja provedena na pokusnoj dionici nisu u potpunosti odgovarala stvarnim uvjetima na pruzi M201._x000D_
Nakon pojave prvog incidenta nije utvrden uzrok istoga._x000D_
Organizacija službe održavanja – decentralizacija._x000D_
U uputama proizvodaca se ne navodi da bi inducirane elektromagnetske smetnje mogle utjecati na pouzdanost rada uredaja. 
During the design of the reconstruction of the LC a risk analysis of replacing the LC equipment was not conducted, that includes the impact of the electric traction on the signalling cables along the railway track._x000D_
Examination of the equipment on the test section did not fully correspond to the actual conditions on M201._x000D_
The cause of the first incident has not been established._x000D_
The organisation of maintenance – decentralisation of it._x000D_
The manufacturer's instructions do not state that induced electromagnetic disturbances could affect the reliability of design work.</t>
  </si>
  <si>
    <t>HU-5212</t>
  </si>
  <si>
    <t>Trains collision with an obstacle, 05-10-16, Between Nagydorog and Vajta stations (Hungary)</t>
  </si>
  <si>
    <t>Hungarian grey cattle herd was stuck by an oncoming passanger train between Nagydorog ang Vajta station at a passive level crossing (protected by only St. Andrew's cross) In consequence of the occurrence the passanger train derailed with its first bogie. There were no personal injuries on the train. 16 cattles of the herd were killed by the collision. 
Egy személyvonat szürkemarha csordába rohant Vajta és Nagydorog állomások között egy nem biztosított közút-vasút keresztezodésben.</t>
  </si>
  <si>
    <t>Between Nagydorog and Vajta stations</t>
  </si>
  <si>
    <t>A Vb a helyszíni szemle tapasztalatai, a beszerzett dokumentumok, illetve a ren-delkezésre álló fényképfelvételek elemzése és értékelése alapján a következoket állapította meg:_x000D_
–	A mezogazdasági vontató vezetoje az átkelés elott a jármuvét úgy állította meg, hogy annak eleje a szerkesztési szelvénybe ért, emiatt a közeledo vonatot észlelve áthajtott az átjárón, s a jármuvet a hajtott állatok követni kezdték,_x000D_
–	Az érintett vonat nem lépte túl a menetrendben eloírt sebességet, a vonat mozdonyvezetoje a Vb véleménye szerint mindent elkövetett az ütközés elke-rülése érdekében. 
Based on the experience of the on-site visit, the analysis and evaluation of the documents obtained and the photographs available, it has been found the following:_x000D_
- The driver of the tractor stopped his vehicle before crossing with the vehicle so that the front of the vehicle was in the construction gage, which led to the approaching train passing through the passage and the vehicle being followed by the driven animals,_x000D_
- The train concerned did not exceed the speed required by the timetable, the train driver having, in the opinion of Vb, done his utmost to avoid the collision.</t>
  </si>
  <si>
    <t>A közút-vasút szintbeli keresztezodésekben használatos rálátási háromszögek meghatározása során alkalmazott normák legalább 5 km/h sebességre és legfel-jebb 22 méteres jármuhosszra (mezogazdasági vontató két pótkocsival) alapoznak. Az esetben érintetthez hasonló nagylétszámú állatcsoportok átkelésének ido-szükséglete ennél jóval kedvezotlenebb lehet. A szabályozási környezet erre csak az állatcsoport felosztását, és részletekben való áthajtását kínálja megoldásként, ez azonban az állatok viselkedésére tekintettel nehezen, vagy bizonyos esetben – mint például jelen eset, amikor a borjak a csoport elején haladnak – egyáltalán nem lehetséges. A külföldi gyakorlatban ismert telefonos kapcsolatfelvétel és egyeztetés a forgalomirányítás és az állatok hajtói között a hazai szabályozási környezetben és gyakorlatban nem ismert. 
The standards used to determine the visibility triangles for road-rail level crossings shall be based on speeds of not less than 5 km/h and a maximum of 22 m of vehicle length (agricultural tractor with two trailers). The time needed to cross a large number of animal groups such as the one concerned may be much less favorable. The regulatory environment offers only a solution to this by dividing the group of animals and subtracting them in installments, but this is not possible at all, given the behavior of the animals, or in some cases, such as the present case, where the calves are at the front of the group. Telephone contacts and consultation between traffic management and animal drivers, known in foreign practice, are not known in the domestic regulatory environment and practice.</t>
  </si>
  <si>
    <t>UK-5184</t>
  </si>
  <si>
    <t>Level crossing accident, 05-10-16, Alice Holt footpath crossing (United Kingdom)</t>
  </si>
  <si>
    <t>On 5 October 2016, a mobility scooter user crossing the railway at Alice Holt footpath crossing, adjacent to Bentley Station in Hampshire, was struck and fatally injured by a through train travelling from Alton to Waterloo. _x000D_
The footpath crossing, over two railway tracks, links the village of Bentley with the countryside to the south. It is on a section of a long distance route (The Shipwrights Way) described as suitable for walkers, cyclists and mobility vehicles.</t>
  </si>
  <si>
    <t>Alice Holt footpath crossing</t>
  </si>
  <si>
    <t>The mobility scooter user started to cross the railway when it was not safe to do so.</t>
  </si>
  <si>
    <t>Causal factors_x000D_
90 The following causal factors have been identified:_x000D_
l the user was probably unaware that it was unsafe to cross when the front of his scooter was at the white line;_x000D_
l the mobility scooter user did not stop in response to the warning horn sounded as the train passed the whistle board, possibly because he was unaware of the sound;_x000D_
l the user continued to cross the railway after passing through the gap in the fence; and_x000D_
l the arrangements at the crossing restricted the opportunity for the mobility scooter user to see approaching trains._x000D_
Probable underlying factor_x000D_
91 Network Rail’s level crossing management process did not take full account of use by mobility scooters.</t>
  </si>
  <si>
    <t>HU-5350</t>
  </si>
  <si>
    <t>Accident to persons caused by RS in motion, 07-10-16, Kapuvár (Hungary)</t>
  </si>
  <si>
    <t>A shunting loco hit two person. 
A tolatási mozgást végzo mozdony két embert halálra gázolt.</t>
  </si>
  <si>
    <t>Kapuvár</t>
  </si>
  <si>
    <t>?	Az utasok nem a kijelölt átjárót vették igénybe a vágányokon való átkelésre, hanem közvetlenül a mozdony elott, annak holtterében keltek át a síneken._x000D_
?	A vágány közelében tartózkodó utasok nem lettek tájékoztatva a tolatás megkezdésérol._x000D_
?	A mozdonyvezeto a tolatásvezeto hozzájárulása nélkül indult el a mozdonnyal._x000D_
?	A mozdonyvezeto ismerte jármuve holtterét, és tájékoztatták arról, hogy a jármuve közelében (mindkét oldalon) utasok mozognak, mégis megkezdte a mozgást._x000D_
?	Az elindulás veszélyére figyelmezteto hangjelzést a mozdonyvezeto a megindulás pillanatában adta, nem pedig azelott annyi idovel, hogy az esetlegesen a holttérben tartózkodó személyeknek legyen idejük reagálni arra, és kihaladni az urszelvénybol._x000D_
?	A tolatásvezeto ismerte a mozdonyvezeto mozgás megkezdésére irányuló szándékát, de nem hívta fel a figyelmét arra, hogy erre még tole nem kapott felhatalmazást. Ezzel elfogadta azt, hogy a mozdony rövidesen meg fogja kezdeni a mozgást, mégsem készült fel, illetve mégsem kezdte meg annak kísérését, valamint nem intézkedett arra vonatkozóan, hogy az utasokat veszélyezteto mozgás ne kezdodhessen meg._x000D_
?	A vonat nem a kijelölt helyen állt meg. 
? -passengers did not use the designated portal to cross the tracks, but crossed the tracks directly in front of the locomotive, in its dead space._x000D_
? -passengers in the vicinity of the track were not informed of the start of the shunting._x000D_
? -driver left the locomotive without the driver's consent._x000D_
? -driver knew the dead space of his vehicle and was informed that passengers were moving (both sides) near his vehicle, but he started to move._x000D_
? -warning of departure danger was given by the driver at the moment of departure and not before the time allowed for persons who may be in the blind to react and move out of the gage._x000D_
? -driver was aware of the driver's intention to move, but did not point out that he had not yet been authorized to do so. By doing so, it accepted that the locomotive would soon start moving, but that it was not prepared or started to escort it, and that it did not take    any measures to prevent the movement that would endanger passengers from commencing._x000D_
? -train did not stop at the designated location-</t>
  </si>
  <si>
    <t xml:space="preserve">?	A vasúttársaság biztonságirányítási rendszere a vágányzár során már korábban is fellelheto helytelen munkavégzési gyakorlatot nem ismerte fel idejében, ezért annak megszüntetésérol gondoskodni nem tudott. 
</t>
  </si>
  <si>
    <t>NO-5185</t>
  </si>
  <si>
    <t>Other event, 10-10-16, Romsås metro station (Norway)</t>
  </si>
  <si>
    <t>10 October 2016 about 21:37 in the evening, metro train 511 stopped with its rear carriage partly outside the platform at Romsås metro station. The train stopped with its rear doors outside the platfom. The driver did not notice this, and relased the doors. A person in a wheelchair disembarked backwards and fell into the track. Another passenger who tried to help came in contact with high voltage parts and received injuries in the arm. The AIBN has decided to investigate the accident and the mechanisms which should prevent these kind of situations. 
Den 10.10.2016 ca. kl. 2137 stanset t-banetog 511 med bakre del av toget utenfor plattform på Romsås T-banestasjon. Toget stoppet slik at dørene bakerst var utenfor plattformen. Fører oppdaget ikke dette, og friga dørene som normalt. En person i rullestol, som skulle ut av bakerste dør, rygget ut og falt ned i sporet. En annen passasjer, som forsøkte å hjelpe vedkommende, fikk brannskade i en hånd etter strømgjennomgang fra strømavtakeren under toget. Havarikommisjonen har besluttet å undersøke ulykken og mekanismene som er ment å forhindre denne typen hendelser.</t>
  </si>
  <si>
    <t>Romsås metro station</t>
  </si>
  <si>
    <t>Metro trains normally operate with three to six carriages, and, depending on their length, they are_x000D_
meant to stop at designated marks on the platform. There are no technical or operational barriers_x000D_
that ensure that metro trains stop at the correct mark. This is mainly the responsibility of the train_x000D_
driver. As train drivers alternate between different lines and train lengths, combined with_x000D_
monotonous and, in part, automated work, errors in judgement will occur. The AIBN believes_x000D_
greater awareness is needed of the importance of stopping both three-carriage and six-carriage_x000D_
trains in the correct position. Measures implemented to increase awareness should subsequently be_x000D_
followed up by measuring whether the desired effect has been achieved.</t>
  </si>
  <si>
    <t>PT-5172</t>
  </si>
  <si>
    <t>Fire in RS, 10-10-16, Juncal (Portugal)</t>
  </si>
  <si>
    <t>Fire on motor vehicle 592 054 of DMU, at Juncal station, running as passenger train nr. 4100. 
Incêndio no veículo motor 592 054, na estação do Juncal (linha do Douro), quando realizava o comboio regional de passageiros n.º 4100. Apenas se registaram danos materiais no veículo.</t>
  </si>
  <si>
    <t>Juncal</t>
  </si>
  <si>
    <t>The fire originated from the leakage of fuel from two worn out fuel lines in the engine's fuel injection system. The fixing system of the set of lines integrating the fuel injection system of the diesel engine, between the pump and the injectors, made these fixings subject to regular disarrangements due to their operating conditions. The evidence indicated that these pipes were in contact when in operation. The fact that they rub against each other, due to the vibration resulting from the working of the diesel engine, caused an abnormal wear in their contact area. In addition, it was also established that the uncontrolled tightening of the clamps that should maintain the integrity and position of the tubes, led to their crushing and aggravated the mentioned wear, culminating in the perforation of the pipes’ walls._x000D_
The inspection and maintenance operations to which this system was subjected were not as to guarantee its proper status, resulting eventually in fixing conditions that subjected the pipes to wear and deformations that resulted in their cracking and subsequent leakage of fuel to the top of the engine. This fuel ended up combusting, resulting in the fire on the vehicle.</t>
  </si>
  <si>
    <t>This condition was latent in all DMUS of the 592.0 and 592.2 series, which had a significant history (for at least 11 years) of recurrent fires and with the same cause, either before entering service in Portugal and afterwards._x000D_
However, over the years, this has not prompted a revision of the fixing system or maintenance processes that would prove effective in reducing the risk to a level as low as reasonable, nor has this history been taken into account by the railway undertaking, nor by the national railway safety authority in the process of authorizing and monitoring the use of that rolling stock on the national railway network.</t>
  </si>
  <si>
    <t>SE-5194</t>
  </si>
  <si>
    <t>Trains collision near miss, 11-10-16, Fangsjobacken (Sweden)</t>
  </si>
  <si>
    <t>The driver of train 34871did not manage to stop the train at a signal and the train continued despite Automatic train control breaking and was close to collide with train 26890.</t>
  </si>
  <si>
    <t>Fangsjobacken</t>
  </si>
  <si>
    <t>The combination of a too high value for braking power being entered into ATP and the prolonged reaction time of the brakes compared with the value stored in ATP, resulted in ATP triggering the brakes too late to stop the train before signal 2/5. The locomotives' ATP was tested after the event and showed no deviations from expected performance.  The braking power value that was entered into the locomotives' ATP, did not correspond to the actual braking power of the train and, in fact, not even to the theoretical braking power that would have been available if the locomotive had had well-functioning brakes. The deceleration value entered into ATP was 0,69 while the actual retardation was 0,57. The correct value to enter into the ATP should have been 0,58.</t>
  </si>
  <si>
    <t>No deceleration check was carried out due to an upslope on the line. A lower deceleration value due to this had not been entered into the ATP.  The locomotives brake system did not function properly, inasmuch as the brake reaction time was longer than it should be, and the braking power was lower than was to be expected. Subsequent examination of the locomotive indicates that these conditions seem to have been caused by contaminants (oil and water) in the locomotives' pressurized air system, and that brake power was restricted as mechanical limitations in the brake linkage came into play due to thin brake blocks and near-minimum wheel diameter on at least one axle. _x000D_
_x000D_
The railway undertaking had not ensured that information given to the staff was also understood and used in practice. Another contributing underlying factor was the fact that the maintenance program used by Railcare was not sufficient to detect the deficiencies in the brake system.</t>
  </si>
  <si>
    <t>BE-5446</t>
  </si>
  <si>
    <t>Trains collision with an obstacle, 15-10-16, Melsele (Belgium)</t>
  </si>
  <si>
    <t>Tijdens de nacht van 14 op 15/10 is Lijn 59 volledig buiten dienst gesteld voor het uitvoeren werkzaamheden met mobiele kranen. Kort voor 7u00 worden procedures opgestart om spoor A terug in dienst te geven. De werkzaamheden met de kraan zijn nog niet beëindigd en een kraanman zet zijn weg-spoorkraan via een overweg over van spoor A naar spoor B. Terwijl de werkzaamheden op spoor B verderzet worden, wordt een aankomende trein opgehouden aan een gesloten sein op spoor A.  _x000D_
_x000D_
_x000D_
Bij het einde van de werkzaamheden met de kraan laadt de kraanman werkgerief in de laadbak van de weg-spoorkraan en rijdt hij richting overweg waar hij het werkgerief in een camionette moet lossen. _x000D_
_x000D_
_x000D_
Om 7u26 bekomt de treinbestuurder van IC-trein E727 een groen seinbeeld en vertrekt hij mits naleving van de opgelegde snelheidsbeperkingen. De trein haalt de spoor-wegkraan, die op nevenliggend spoor B rijdt, in. Tijdens het inhalen zwenkt de kraanarm van de weg-spoorkraan onverwacht uit. De treinbestuurder voert een noodremming uit maar kan de botsing niet voorkomen. 
During the night of 14 to 15/10, Line 59 has been completely out of service for carrying out work with mobile cranes. Shortly before 7:00, procedures had been started to reassign rail track A. The works with the crane had not been completed and a crane operator managed his railroad crane via a level crossing from rail track A to rail track B. While the works on rail track B were continuing, an oncoming train had been stopped at a railway signal on rail track A._x000D_
_x000D_
At the end of the railroad works with the crane, the crane operator loaded the work materials on the trailer of the railroad crane and travelled towards a point where he had to unload the work materials on a van._x000D_
_x000D_
At 7:26, the train driver of IC-train E727 received a green signal and drove within the imposed speed limits. The train stopped in front of the railroad crane, which run on the adjacent rail track B. During the entry, the crane arm of the road rail broke unexpectedly. The train driver performed an emergency braking but could not prevent the collision.</t>
  </si>
  <si>
    <t>The direct cause of the accident was the intrusion of the crane jib into the adjacent track's loading gauge and the train's ability to enter this zone without an effective safety method being activated.</t>
  </si>
  <si>
    <t>The first indirect factor is the poor communication:_x000D_
• without prior communication, safety method 2 as provided for was altered to safety method 3, which had not been provided for;_x000D_
• information on the “track cleared” condition on the site was shared insufficiently with the block post._x000D_
_x000D_
The second indirect factor was the failure to respect the “clear track” rules and the failure to apply the instructions for the use of forms (a routine violation) on the site._x000D_
_x000D_
The first underlying factor is the lack of fully developed procedures on the part of the infrastructure manager for the choice, dissemination and application of the specific safety methods, which should take account of dynamic working conditions such as the transition from one safety method to another, among other things._x000D_
_x000D_
A second underlying factor is the lack on the part of the contractor of a risk analysis or of accompanying measures for the application of safety methods that are imposed by the infrastructure manager._x000D_
_x000D_
A third underlying factor is the lack of checks for completeness or of the content of the contractor's health and safety plan. _x000D_
_x000D_
A fourth underlying factor is the limited consideration given in the infrastructure manager and the contractor's training sessions to dangers and risks related to a change in operational circumstances.</t>
  </si>
  <si>
    <t>HR-5186</t>
  </si>
  <si>
    <t>Level crossing accident, 17-10-16, Kuljevcica (Croatia)</t>
  </si>
  <si>
    <t>The rush of a special train on the level crossing Kuljevcica on the passenger car._x000D_
Vehicle driver sustained fatal injuries, while the special railway vehicle slipped from the tracks. 
Nalet specijalnog željeznickog vozila na željeznicko cestovnom prijelazu Kuljevcica na osobno vozilo._x000D_
Vozac osobnog vozila je zadobio teške tjelesne ozljede, dok je specijalno željeznicko vozilo iskliznulo sa tracnica.</t>
  </si>
  <si>
    <t>Kuljevcica</t>
  </si>
  <si>
    <t>Izravni uzrok ove nesrece: je izlazak osobnog vozila na ŽCP neposredno prije nailaska TMD-a na isti (poglavlje 3.1.1.). 
The direct cause of this accident is that a road vehicle came out at the LC just before the railway special vehicle come on the LC.</t>
  </si>
  <si>
    <t>Organizacijski cimbenici: _x000D_
-	Kontrola radnih procesa vozaca TMD-a (poglavlje 4.3.1.),_x000D_
-	Proces redovitog školovanja vozaca TMD-a (poglavlje 4.3.1.),_x000D_
-	Sustav vodenja evidencija školovanja i obucavanja vozaca TMD-a ovisno o dionici pruge i seriji vozila (poglavlje 4.3.1.). 
Organizational factors:_x000D_
-	Control of TMD driver work processes (Chapter 4.3.1.),_x000D_
-	The process of regular training of TMD drivers (Chapter 3.4.),_x000D_
-	A system for keeping records of training TMD drivers depending on the track section and the vehicle series (Chapter 4.3.1.).</t>
  </si>
  <si>
    <t>LT-5187</t>
  </si>
  <si>
    <t>Accident to persons caused by RS in motion, 18-10-16, Siding track No. 14, Palemonas yard, Kaunas train station, Lithuania (Lithuania)</t>
  </si>
  <si>
    <t>Transport Accident and Incident Investigation Division</t>
  </si>
  <si>
    <t>Shunting locomotive was rolling itself toward the switch, where another locomotive was standing and waiting to start work. Shunting locomotive driver tried to catch the runaway locomotive which according to primary information slipped from ladder consulting person being pressed between two locomotives.</t>
  </si>
  <si>
    <t>Lithuania</t>
  </si>
  <si>
    <t>Siding track No. 14, Palemonas yard, Kaunas train station, Lithuania</t>
  </si>
  <si>
    <t>UAB "R.BALTIC"</t>
  </si>
  <si>
    <t>UAB „R.BALTIC“</t>
  </si>
  <si>
    <t>Mašinistas, noredamas sustabdyti lokomotyva TGK-2, bego iki jo, taciau del nedidelio atstumo tarp lokomotyvu  nespejes  užlipti  dešines  puses  laipteliais  buvo  prispaustas  prie stovejusio lokomotyvo TEM TMH. 
The driver wanted to stop the runaway locomotive. The driver did not fully climb right hand side locomotive’s TGK-2 steps before he was pressed against stationary locomotive TEM TMH on the track No. 14.</t>
  </si>
  <si>
    <t>AT-5211</t>
  </si>
  <si>
    <t>Trains collision, 19-10-16, Wieselburg an der Erlauf (Austria)</t>
  </si>
  <si>
    <t>At 12:04hrs on 19 October 2016, a unintentionally carriage group of four freight wagons and a transport wagon unrolled in the train station Randegg and collided with the train 7012, wich was waiting at the entrance signal „A“ at the train station Wieselburg. According to the documents available to the SUB, to the collision 5 people were severely  and 13 people slightly injured. Significant material damage occurred on the rail vehicles. The collision resulted in extensive operational restrictions (e.g., failure of trains, rail replacement services). The cause of the incident is the unrolling of a carriage group at Randegg station. The unrolling of the wagon group is due to insufficient securing of stationary vehicles during shunting operations. _x000D_
There is no evidence of technical failure. 
Mittwoch, 19. Oktober 2016, um ca. 12:04 Uhr, kollidierte eine in der Zuglaufstelle Randegg  während der Durchführung von Verschubtätigkeiten unbeabsichtigt entrollte Wagengruppe bestehend aus vier Güterwagen und einem Transportwagen mit dem vor dem haltzeigenden Einfahrsignal „A“ des Bf Wieselburg an der Erlauf stehenden Zuges 7012. Gemäß den der SUB vorliegenden Dokumenten wurden durch die Kollision 5 Personen schwer und 13 Personen leicht verletzt. An den Schienenfahrzeugen entstand erheblicher Sachschaden. Die Kollision führte zu umfangreichen betrieblichen Einschränkungen (z.B. Ausfall von Zügen, Schienenersatzverkehr)._x000D_
Die Ursache für den Vorfall ist das Entrollen einer Wagengruppe in der Zuglaufstelle Randegg. Das Entrollen der Wagengruppe ist auf eine nicht ausreichende Sicherung stillstehender Fahrzeuge während der Durchführung von Verschubtätigkeiten zurückzuführen. Es liegen keine Hinweise auf technisches Versagen vor.</t>
  </si>
  <si>
    <t>Wieselburg an der Erlauf</t>
  </si>
  <si>
    <t>The cause of the incident is the unrolling of a carriage group at Randegg station. The unrolling of the wagon group is due to insufficient securing of stationary vehicles during shunting operations. There is no evidence of technical failure.</t>
  </si>
  <si>
    <t>RO-5178</t>
  </si>
  <si>
    <t>Train derailment, 19-10-16, Medgidia (Romania)</t>
  </si>
  <si>
    <t>the 6-th wagon (loaded with cement) from the freight train no. 80394 derailed in the railway station Medgidia</t>
  </si>
  <si>
    <t>Medgidia</t>
  </si>
  <si>
    <t>Cauza directa a producerii acestui accident feroviar o constituie caderea între firele caii a ro?ii din partea stânga a osiei conducatoare de la vagonul nr.31533555119-0, al 6-lea din compunerea trenului de marfa nr.80394. Acest lucru s-a produs în conditiile cre?terii valorii ecartamentului caii peste valoarea maxima admisa, ca urmare a deplasarii laterale a ?inei de pe firul exterior al curbei sub ac?iunea for?elor dinamice transmise caii de catre materialul rulant în mi?care._x000D_
_x000D_
Factorii care au contribuit:_x000D_
- starea tehnica necorespunzatoare a traverselor de lemn din zona punctului „0”, care sub ac?iunea for?elor dinamice transmise de rotile materialului rulant, au permis supralargirea caii, astfel încât ecartamentul a depa?it limita maxima admisa de 1470 mm._x000D_
	Starea tehnica necorespunzatoare a caii a fost determinata de:_x000D_
- subdimensionarea numarului de personal muncitor existent la Districtul de linii nr.1 Medgidia, personal ce are în reponsabilitate mentenan?a infrastructurii feroviare în zona producerii accidentului;_x000D_
- cantita?ile insuficiente de traverse de lemn aprovizionate la Districtul de linii nr.1 Medgidia pentru executarea lucrarilor de între?inere ?i reparare a caii. 
Direct cause _x000D_
Direct cause of the accident was the fall between the rails of the left wheel from the guiding axle of the wagon no.31533555119-0, the 6th wagon of the freight train no.80394. It happened because the increase of the track gauge value over the maximum accepted value, following the lateral movement of the exterior rail of the curve under the action of the dynamic forces transmited to the track by the running rolling stock._x000D_
_x000D_
Contributing factors:_x000D_
- unsuitable technical condition of the wooden sleepers in the point „0”, that under the action of the dynamic forces transmited by the wheels of the rolling stock, allowed the overwidening of the track, so the gauge exceeded the maximum accepted limit of 1470 mm._x000D_
	The unsuitable technical condition of the track was generated by:_x000D_
- under-sizing of the worker number existing at the Line District no. 1 Medgidia, in charge with the maintenance of the railway infrastructure at the accident site;_x000D_
- insufficient quantities of wooden sleepers supplied to the Line District no.1 Medgidia for the track maintenance and repair.</t>
  </si>
  <si>
    <t>Cauze subiacente_x000D_
- nerespectarea prevederilor art.25, alin.(2) ?i (4) din „Instruc?ia de norme ?i toleran?e pentru construc?ia ?i între?inerea caii pentru linii cu ecartament normal nr.314/1989”, referitoare la defectele _x000D_
care impun înlocuirea traverselor de lemn;_x000D_
- nerespectarea prevederilor pct.4.1. din Cap.4 „Norme de manopera ?i de consum de materiale”, al „Instruc?iei de între?inere a liniilor ferate nr.300/1982” referitoare la asigurarea normei de manopera la între?inerea curenta în execu?ie manuala._x000D_
_x000D_
Cauza primara_x000D_
Cauza primara a accidentului o constituie neaplicarea prevederilor procedurii opera?ionale cod PO SMS 0-4.07  „Respectarea specificatiilor tehnice, standardelor si cerintelor relevante pe întreg ciclul de via?a a liniilor în procesul de întretinere”, parte a sistemului de management al siguran?ei CNCF „CFR” SA, referitoare la dimensionarea personalului subunita?ilor de între?inere linii, în raport cu volumul de lucrari, în cazul Districtului de Linii L1 Medgidia din cadrul Sec?iei L2 Medgidia. 
Underlying causes_x000D_
- infringement of the provisions art.25, paragraphs (2) and (4) from „Instruction of norms and tolerances for the track construction and maintenance, for lines with standard gauge no.314/1989”, concerning the failures that impose the replacement of the wooden sleepers;_x000D_
- infringement of the provisions from point 4.1. of Chapter 4 „Norms of manpower and material consumption”, of „Instrution for the line maintenance no.300/1982” concerning the ensuring of the manpower for the current manual work._x000D_
_x000D_
Root cause_x000D_
Root cause of the accident is the nonapplication of the provisions from the operational procedure code PO SMS 0-4.07  „Compliance with the technical specifications, standards and requirements relevant for the whole life time of the lines in maintenance process”, part of the safety management system of CNCF „CFR” SA, concerning the sizing of the staff from the sub-units for the line maintenance, in relation to the total works, in case of the Line District L1 Medgidia from the Track Section L2 Medgidia.</t>
  </si>
  <si>
    <t>DK-5648</t>
  </si>
  <si>
    <t>Fire in RS, 20-10-16, Odense (Denmark)</t>
  </si>
  <si>
    <t>Brand i IC-tog 829 på Odense station._x000D_
_x000D_
Ved ankomst til Odense konstaterede personalet kraftig røgudvikling fra bagerste del af forreste togsæt_x000D_
MF 5051), og evakuerede de ca. 50 passagerer i togsættet - og lkf kørte togsættet frem og væk_x000D_
fra stationsbygning og perrontag. 
Fire in IC train 829 at Odense station._x000D_
_x000D_
On arrival at Odense, the staff found strong smoke evolution from the rear of the front train set_x000D_
MF 5051, and evacuated the approx. 50 passengers in the train - and drove the train away_x000D_
from the station building and perron.</t>
  </si>
  <si>
    <t>Odense</t>
  </si>
  <si>
    <t>It has not been possible to determine whether it was atomized hydraulic oil, dry leaves, a combination or something that started the fire._x000D_
It is considered as predominantly likely that leakage at O-ring on the engine rear cover has caused atomized oil in and around the engine compartment, thus being the main factor for the fire_x000D_
dissemination and extent._x000D_
Since neither the AIB DK nor DSB is aware of similar fires with corresponding cause this fire is considered a single case.</t>
  </si>
  <si>
    <t>DE-5188</t>
  </si>
  <si>
    <t>Level crossing accident, 21/10/2016, Oberkochen – Königsbronn</t>
  </si>
  <si>
    <t>Am 21.10.2016 gegen 09:16 Uhr prallte IRE 3225 auf dem Weg von Aalen nach Ulm Hbf auf dem Bahnübergang (BÜ) km 11,2 mit einem Lastkraftwagen (Lkw) zusammen.</t>
  </si>
  <si>
    <t>Oberkochen - Königsbronn</t>
  </si>
  <si>
    <t>Am Lkw entstand Totalschaden. Am Triebzug entstand erheblicher Sachschaden. Die Infrastruktur wurde nur gering beschädigt.</t>
  </si>
  <si>
    <t xml:space="preserve">Ursächlich für das Ereignis war das Fehlverhalten des Straßenverkehrsteilnehmers, der vor Ort bei Leitungsbauarbeiten tätig war. Der Fahrer befuhr mit seinem Lkw für einen Entladevorgang den BÜ auf der Gegenfahrspur während sich die Bahnübergangssicherungsanlage (BÜSA)
einschaltete. </t>
  </si>
  <si>
    <t>DK-10129</t>
  </si>
  <si>
    <t>Train derailment, 26/10/2016, Lundby, Denmark</t>
  </si>
  <si>
    <t>NIB DK</t>
  </si>
  <si>
    <t>Lundby</t>
  </si>
  <si>
    <t>Denmark, Danske Statsbaner</t>
  </si>
  <si>
    <t>Denmark, Banedanmark</t>
  </si>
  <si>
    <t>NO-5193</t>
  </si>
  <si>
    <t>Train derailment, 27-10-16, Marnardal (Norway)</t>
  </si>
  <si>
    <t>On Thursday 27 October 2016, a track maintenance vehicle started rolling uncontrolled towards Marnardal and derailed at a high speed after 5.6 km. The excavator was completely destroyed and damaged the infrastructure and surrounding terrain by Marnardal. The Accident Investigation Board Norway (AIBN) concludes that two possible scenarios may have caused the excavator to start rolling out of control as it was being prepared for work. One scenario is linked to a technical fault in the brake system. The other concerns incorrect operation of the brakes.  The investigation of the brake system found errors in technical drawings, and a lack of risk assessments in connection with the introduction of new components and functions. The investigation of the operational procedures found errors in the procedures and a lack of compliance with procedures.  The vehicle was operated by NJD Railvac AS for Bane NOR SF. This means that Bane NOR SF has an overarching responsibility for safety management in the supplier’s activities. _x000D_
_x000D_
The AIBN submits one safety recommendation for Bane NOR SF to strengthen its control of suppliers’ safety management through its management of suppliers 
Den 27. oktober 2016 rullet en vogn fra arbeidstog 56972 ca. 5,7 km før den sporet av i en kurve nord for Marnardal stasjon._x000D_
Vognen var en selvgående vogn for oppsuging av masse langs sporet. Vognen hadde blitt fraktet til arbeidsstedet i et arbeidstog og den hadde blitt koblet fra da den begynte å rulle bakover. Den rullet ca. 5,7 km i fall på 25 ‰ før den sporet av i en høyrekurve. Vognen veltet ut av kurven og ble liggende opp ned. _x000D_
_x000D_
Det oppstod brann i en dieseltank og øvrig utstyr på vognen. I tillegg ble det skader på jernbaneinfrastrukturen. _x000D_
_x000D_
Deler av Sørlandsbanen var stengt i mer enn 24 timer etter jernbaneulykken.</t>
  </si>
  <si>
    <t>Marnardal</t>
  </si>
  <si>
    <t>The Accident Investigation Board Norway (AIBN) concludes that two possible scenarios may have caused the excavator to start rolling out of control as it was being prepared for work. One scenario is linked to a technical fault in the brake system. The other concerns incorrect operation of the brakes.</t>
  </si>
  <si>
    <t>The investigation of the brake system found errors in technical drawings, and a lack of risk assessments in connection with the introduction of new components and functions. The investigation of the operational procedures found errors in the procedures and a lack of compliance with procedures.</t>
  </si>
  <si>
    <t>DE-5189</t>
  </si>
  <si>
    <t>Trains collision, 28-10-16, Köln-Eifeltor (Germany)</t>
  </si>
  <si>
    <t>Güterzug 43258 kollidiert bei der Einfahrt in den Bahnhof  mit einem Triebfahrzeug, welches nicht profilfrei abgestellt ist. 
Freight train collided during the entry into railway station with a traction vehicle, which had not been parked profile free.</t>
  </si>
  <si>
    <t>Köln-Eifeltor</t>
  </si>
  <si>
    <t>Die Ursache für das Ereignis war die fehlerhafte Fahrwegprüfung des Fahrdienstleiters (Fdl) des Stellwerks (Stw) Esf. Dieser hatte das Freisein des Gleises nicht vollständig geprüft. 
The cause for this event was the erroneous rail track inspection by the train dispatcher of the signal box. The train dispatcher had not completely checked if the rail track was vacant.</t>
  </si>
  <si>
    <t>HU-5447</t>
  </si>
  <si>
    <t>Train derailment, 03-11-16, Kétegyháza (Hungary)</t>
  </si>
  <si>
    <t>The 24th waggon of the train has derailed on a switch.</t>
  </si>
  <si>
    <t>Kétegyháza</t>
  </si>
  <si>
    <t>FOXrail Zrt.</t>
  </si>
  <si>
    <t>Track an vehicle failure.</t>
  </si>
  <si>
    <t>ES-5205</t>
  </si>
  <si>
    <t>Trains collision, 04-11-16, L'Hospitalet de Llobregat (Spain)</t>
  </si>
  <si>
    <t>The train 25752 pass the entrance signal E1 at the station of L'Hospitalet de Llobregat, colliding laterally with other train that was advancing in the side track.</t>
  </si>
  <si>
    <t>L'Hospitalet de Llobregat</t>
  </si>
  <si>
    <t>The direct and immediate cause of the accident was the wrong indication of the entrance signal, due to a malfunction in the interlocking system of the L’Hospitalet station. There was also a human error of the driver of train 25752, as he didn’t pay attention enough to the entrance signal (inducted by the interlocking malfunctioning): so, he didn’t comply with the perceived order and went back, passing the backward signal R1 without authorisation and colliding with the other train.</t>
  </si>
  <si>
    <t>An underlying factor was the hasty action of the signaller: he ordered an itinerary for the train 25752, but immediately cancelled it. He also ordered an exit itinerary for the other train (25779) without noticing that the first train had passed the backward signal R1 and was occupying the track #4 without any itinerary._x000D_
Other underlying factor was that the driver of the train 25752 switched the channel of his radiotelephone without authorisation, and this prevented the signaller from contacting him on time to avoid the collision._x000D_
The root cause was the insufficient verification and design checking of the station’s interlocking, so its potential risk was not detected until this accident.</t>
  </si>
  <si>
    <t>ES-5214</t>
  </si>
  <si>
    <t>Fire in RS, 04-11-16, Cheste station (Valencia) (Spain)</t>
  </si>
  <si>
    <t>The rear coach of a commuter train, as staying still between home signal and back signal of Cheste station, caught into fire. Train driver started suffocating the fire which was finally extinguished by the fire brigade. No personal damages.</t>
  </si>
  <si>
    <t>Cheste station (Valencia)</t>
  </si>
  <si>
    <t>The accident was caused by a technical failure in Rolling stock: in was initiated by the loss of one screw of a flange that fixed a feed pipe. This loss provoked a fuel leak that led to the fire in the engine M2.</t>
  </si>
  <si>
    <t>DE-5222</t>
  </si>
  <si>
    <t>Train derailment, 08-11-16, Blumenberg (Germany)</t>
  </si>
  <si>
    <t>Am 08.11.2016 gegen 13:30 Uhr entgleiste der Reisezug DPN 80146 auf der Fahrt von Magdeburg Hauptbahnhof nach Thale/Goslar bei der Einfahrt in den Bahnhof Blumenberg auf der Weiche 8 mit den beiden Radsätzen des hinteren Drehgestells der führenden Triebwageneinheit.</t>
  </si>
  <si>
    <t>Blumenberg</t>
  </si>
  <si>
    <t>Transdev Sachsen-Anhalt GmbH</t>
  </si>
  <si>
    <t>Personen wurden nicht getötet oder verletzt. An den Fahrzeugen und an der vorhandenen Infrastruktur entstanden Sachschäden.</t>
  </si>
  <si>
    <t>Die Fahrstraße wurde entgegen dem geltendem Regelwerk vorzeitig aufgelöst und anschließend die Weiche 8 unter dem DPN 80146 umgestellt.</t>
  </si>
  <si>
    <t>PL-5199</t>
  </si>
  <si>
    <t>Level crossing accident, 08-11-16, level crossing (Poland)</t>
  </si>
  <si>
    <t>The passenger train No 42104 operated by PKP Intercity going in relation Lódz - Kraków Glówny colided with the road vehicle (pasenger car) on the level crossing A category. The barriers of the level crossing were not closed by the operator. The colision took place while the speed of the train was approx. 120 km/h. The visibility was limited to 100 m by the dense fogg. The car aws completely demaged.</t>
  </si>
  <si>
    <t>level crossing</t>
  </si>
  <si>
    <t>At the cat. A level crossing, the train No. 1329 hitting the road vehicle (passenger car), which entered the level crossing when the gates were opened, traveled through track No. 2 and drove directly in front of the train traveling on track No. 1.</t>
  </si>
  <si>
    <t>I. Primary cause:_x000D_
the crossing keeper started to close the gates too late before the train No. 1329 approaching on track No. 1, of which the keeper was informed, and which he recorded in the “Crossing keeper’s logbook - R49”._x000D_
_x000D_
II. Indirect (underlying) causes:_x000D_
- failure to preserve special care by the road vehicle’s driver in conditions of limited visibility, caused by intensive fog before entering the level crossing, and while traveling through the tracks, including when driving through the tracks, having left track No. 2 and before entering the track No. 1, where the train No. 1329 was traveling, _x000D_
- failure to inform the post No. 40 at 148.388 km point that the train No. 1329 is approaching from the PT2 post at 146.232-km point of railway line No. 1,_x000D_
- the manner of using messages on the departure time of the train and information on the train’s traveling by the previous post, adopted by the crossing keeper operating the “Moryca” level crossing at 148.388 km point what contributed to him failing to ensure the required two-minute period for closing the gates before the front of the train No. 1329 reaches the level crossing. _x000D_
_x000D_
III. Systemic (root) causes:_x000D_
- non-optimum adjustment of the notification and information system regarding the train operations in terms and conditions of the announcements posts and crossing keepers’ posts, as regards the ensured times, in comparison to trains’ timetables, including reinstitution of maximum travel speed of train through the Piotrków Trybunalski station after revitalization of the line (since 13.06.2015), what violated the SMS procedures regarding consideration of effects of the introduced changes, and additionally resulted in an improper manner of using that information to operated the level crossing at 148.388 km point for train traveling in an odd direction, including numerous cases of closing the gates on the level crossing only when the information that the train is approaching was received, which was sent by the previous post (at  148.388 km point), what in case of train traveling at a speed greater than 60 km/h could not ensure the two-minute period required in the terms and conditions for closure of the gates before the train approaches, thus creating a threat to safety,_x000D_
- lack of clear determination in the technical terms and regulations of the Piotrków Trybunalski station, of actions and responsibilities of the senior signalman and signalman of the executive signal box PT2 as regards operation of the “Bujny” level crossing at 146.232 km point, especially as regards the actions of informing about trains going through that level crossing,_x000D_
- ineffective supervision over safety on the level crossing by the infrastructure manager, including organization of the control process, resulting in superficial inspections, not identifying all emerging threats within SMS (e.g. improper notification times for crossing keepers).</t>
  </si>
  <si>
    <t>PT-5209</t>
  </si>
  <si>
    <t>Level crossing accident, 08-11-16, Vale de Santarém (Portugal)</t>
  </si>
  <si>
    <t>Collision of regional train 4425 with a low-loader lorry immobilised on a level crossing. 
Colisão do comboio regional de passageiros n.º 4425 com um veículo pesado que se encontrava imobilizado sobre a PN 69,474 (linha do Norte), causando o descarrilamento do primeiro bogie do comboio.</t>
  </si>
  <si>
    <t>Vale de Santarém</t>
  </si>
  <si>
    <t>Due to the road configuration, the time needed for the lorry to go through the level crossing was longer than the set automatic warning time before the passing of the train. When the half-barrier lowered on the lorry, the driver and the helper got out of the truck to assess the situation, unaware of the short period of time until the arrival of the train. When the lorry driver realized that the train was approaching, it was not possible to move the road vehicle sufficiently to avoid being hit by the train due to the slope above the road. The death of the driver's helper resulted from the injuries caused by being hit by the wreckage of the road vehicle after the collision.</t>
  </si>
  <si>
    <t>In Portugal, unlike other countries, road drivers do not receive training or information on the safest behaviors to adopt in blocking situations or similar emergencies in LX._x000D_
The LX automation was made without being previously guaranteed that the configuration of the road where the crossing is located did not imply constraints to the compliance with the legal requirements for the maximum time of crossing of the LX by any vehicle that is allowed to normally use that road. Neither was imposed, as an alternative, a circulation ban on long vehicles incompatible with the existing constraints._x000D_
The IM underestimated the risk at the LX, in the prevailing conditions, to road vehicles with characteristics similar to the one involved in the accident. In fact, the constraints caused by the surrounding area to such a vehicle are not compatible with the established level crossing operating times._x000D_
At the time of the accident, the LX was classified as type A but was not included in any decommissioning program, although this being a legal requirement. However, it is also noted that such a legal requirement may not be effective, because a LX can indefinitely integrate a decommissioning program without actually being decommissioned._x000D_
There is a general under-evaluation by all parties with competence in this field (road and rail), concerning the risk of a road vehicle being hit by an automatic barrier of a LX, or getting stuck between barriers:_x000D_
i.	National legislation does not provide for any action to be taken in case a vehicle is immobilized between barriers in a LX;_x000D_
ii.	Road traffic laws do not define any procedure to adopt in these situations;_x000D_
iii.	In general, this kind of situation is not discussed at all in theoretical or practical driving lessons needed to obtain a driving license of any vehicle category;_x000D_
iv.	There is a lack of awareness raising actions focused on the danger of a vehicle getting stuck between barriers and on the actions to be taken;_x000D_
v.	There is no evidence of awareness raising actions directed at car drivers that focus on the procedures to be adopted in case of immobilization between the barriers of a LX. However, there are a number of European examples of awareness raising actions where, among other topics, there is a discussion about the risks of drivers being stuck between barriers and there is information about the measures to be taken in these situations.</t>
  </si>
  <si>
    <t>HU-5263</t>
  </si>
  <si>
    <t>Level crossing event, 09-11-16, Kápolnásnyék-Gárdony (Hungary)</t>
  </si>
  <si>
    <t>In level-crossing No. AS491 the passenger train collides with a car. 
A 846 sz. vonat az AS491 jelü fénysorompóval biztosított útátjáróban személygépkocsival ütközött.</t>
  </si>
  <si>
    <t>Kápolnásnyék-Gárdony</t>
  </si>
  <si>
    <t>A gépkocsivezeto a sötétben nem ismerte fel, hogy még nem haladt át az útátjárón, és a két vágány közé hajtott, ott elakadt és a vonat érkezéséig jármuvét nem tudta eltávolítani, vagy a vasúti személyzetet a veszélyrol értesíteni. 
The driver did not recognize in the dark that he had not yet crossed the road and drove between the two tracks, was blocked and could not remove his vehicle until the train arrived or inform the railway staff of the danger.</t>
  </si>
  <si>
    <t>HU-5454</t>
  </si>
  <si>
    <t>Level crossing accident, 09-11-16, Gárdony (Hungary)</t>
  </si>
  <si>
    <t>Nr. 846 train collided with a car. 
A 846sz. vonat személygépkocsival ütközött.</t>
  </si>
  <si>
    <t>Gárdony</t>
  </si>
  <si>
    <t>Az útátjáró kialakítása a baleset idején nem felelt meg a hatályos eloírásoknak, mert az útátjáró közelében közvilágítás van, az átjáró mégsem volt megvilágítva. 
The design of the crossing at the time of the accident did not comply with the regulations in force because there is street lighting near the level crossing, but the crossing was not illuminated.</t>
  </si>
  <si>
    <t>UK-5196</t>
  </si>
  <si>
    <t>Train derailment, 09-11-16, Sandilands (United Kingdom)</t>
  </si>
  <si>
    <t>At around 06:10 hrs on Wednesday 9 November 2016, a tram derailed on the approach to the junction, and turned onto its side. At least seven people are known to have died as a result of the accident. A further 50 people were taken to hospital, most of whom have since been released._x000D_
_x000D_
The tram was operating an ‘inbound’ service from New Addington to Wimbledon via Croydon town centre. Sandilands Junction is the point where inbound trams from the Beckenham Junction/Elmers End and New Addington routes converge, shortly before they arrive at Sandilands tram stop (to the east of Croydon town centre). Trams approaching from the New Addington direction have to negotiate a sharp, left-hand curve with a speed limit of 20 km/h (12 mph) before reaching the junction. The derailment occurred on the curve and initial indications suggest that the tram was travelling at a significantly higher speed than is permitted.</t>
  </si>
  <si>
    <t>Sandilands</t>
  </si>
  <si>
    <t>The tram overturned because it was travelling too fast to negotiate the curve (paragraph 95).</t>
  </si>
  <si>
    <t>Causal factors_x000D_
Causal factors relating to the driving of the tram_x000D_
464 The tram did not slow down to a safe speed before entering Sandilands south curve because the driver did not apply sufficient braking (paragraphs 119 and sufficient braking, the RAIB has concluded that the most likely cause was a temporary loss of awareness of the driving task during a period of low workload, which possibly caused him to microsleep. It is also possible that, when regaining awareness, the driver became confused about his location and direction of travel._x000D_
465 The RAIB has identified a number of factors that may have influenced the driver’s actions:_x000D_
a. low driver workload when approaching the accident site (paragraph 138 to 142, Recommendations 3 and 4);_x000D_
b. although there is no evidence that the driver’s shift pattern carried an exceptional risk of causing fatigue, it is possible that the driver had become fatigued due to insufficient sleep when working very early turns of duty (paragraphs 143 to 152, Recommendations 3 and 4);_x000D_
c. disorientation of the driver (paragraph 153 to 156); and_x000D_
d. the infrastructure approaching the curve did not contain sufficiently distinctive features to alert drivers to their position relative to the curve at Sandilands or to their direction of travel in the tunnel (paragraphs 157 to 164, Recommendation 5)._x000D_
Consideration of other factors_x000D_
466 A serious overspeeding incident at Sandilands south curve on 31 October 2016 was similar in nature to the event that led to the overturning of tram 2551 on 9 November 2016. Even had full details of the incident been known to TOL’s managers, the RAIB considers it unlikely that they would have recognised the need for urgent implementation of additional measures to mitigate the risk. This is because they neither knew how close the tram came to overturning, nor fully understood the actual level of risk associated with overspeeding on curves (paragraphs 180 to 191)._x000D_
467 It is also relevant to note that design of the junction resulted in a tight lefthand curve. Although such curves are a normal feature of tramway design it is important that the risk associated with overspeeding is adequately mitigated (paragraphs 192 to 194, recommendations 2, 3 and 4)._x000D_
Underlying factors_x000D_
468 The underlying factors were:_x000D_
a. LT and TOL did not recognise the actual level of risk associated with overspeeding on a curve (paragraph 195, Recommendation 2). This was for the following reasons:_x000D_
i. route hazard assessments did not identify the need for additional mitigation due to the risk associated with overspeeding at Sandilands south curve (paragraphs 197 to 201, Recommendation 10)._x000D_
ii. risk profiling for the Croydon network did not fully recognise the level of risk associated with a tram overturning (paragraphs 203 to 211, Recommendation 10);_x000D_
iii. route hazard assessments and risk profiling relied on driver performance as the main means of mitigating the risk of overspeeding (paragraphs 202 and 212 to 214, Recommendation 10); and_x000D_
iv. route hazard assessments and risk profiling did not take account of evidence from other tram, road and rail systems showing the level of risk associated with trams overturning (paragraphs 215 to 221, Recommendation 10)._x000D_
b. Although senior managers recognised the importance of learning from experience, there were a number of factors which prevented TOL from gaining a full understanding of the extent of late braking (probably partly because of a lack of distinct cues) on the approach to Sandilands south curve. These factors included:_x000D_
i. a reluctance of some drivers to report their own mistakes (paragraphs 224 to 243, Recommendation 12); and_x000D_
ii. potential safety learning from customer complaints was not fully exploited (paragraph 248, Recommendation 13)._x000D_
c. The risk associated with excessive speed around curves was neither fully understood by the safety regulator nor adequately addressed by UK tramway designers, owners and operators (paragraph 249, Recommendation 2).</t>
  </si>
  <si>
    <t>DK-5651</t>
  </si>
  <si>
    <t>Level crossing accident, 15-11-16, Kvissel (Denmark)</t>
  </si>
  <si>
    <t>At crossing 173, Mariendalsvej at Kvissel, an elderly male cyclist drove 15.11.2016 in front of DSB's train L 58 from Frederikshavn. The man was struck by the train and died at the entrance. 
I overkørsel 173, Mariendalsvej ved Kvissel, kørte en ældre, mandlig cyklist 15.11.2016 ud foran DSB’s tog L 58 fra Frederikshavn. Manden blev ramt af toget og omkom ved påkørslen.</t>
  </si>
  <si>
    <t>Kvissel</t>
  </si>
  <si>
    <t>The bicylist didn't pay attention to the closed barriers</t>
  </si>
  <si>
    <t>RO-5200</t>
  </si>
  <si>
    <t>Train derailment, 17-11-16, Ditrau (Romania)</t>
  </si>
  <si>
    <t>4 Wagons  loaded with ammonium nitrate, from the freight train no.51720, derailed on the switch no. 4 on the railway station Ditrau.</t>
  </si>
  <si>
    <t>Ditrau</t>
  </si>
  <si>
    <t>Cauza directa a producerii acestui accident o constituie caderea între firele caii a ro?ii din partea dreapta (sens de mers) a primei osii  (osia corespunzatoare ro?ilor 1÷2) de la vagonul nr.37802770232-3 (al 17-lea din compunerea trenului), ca urmare a nerealizarii prinderilor ?ine-traverse pe o zona pe care se efectuau lucrari de înlocuire a traverselor, fapt care, sub ac?iunea sarcinilor dinamice transmise de materialul rulant, a permis cre?terea ecartamentului peste valoarea maxima admisa de 1470 mm._x000D_
Factorii care au contribuit la producerea acestui accident au fost:_x000D_
-	efectuarea lucrarilor de înlocuire, la rând, a traverselor de lemn pe schimbatorul de cale nr. 4, fara  îndeplinirea condi?iilor de siguran?a feroviara pe durata executarii lucrarilor;_x000D_
-	realizarea lucrarilor de mentenan?a fara asigurarea prezen?ei permanente a unui responsabil autorizat SC din partea executantului lucrarii; _x000D_
-	neasigurarea supravegherii lucrarilor pe ?antier, din partea beneficiarului, la data producerii accidentului, de un responsabil cu siguran?a circula?iei nominalizat de acesta. 
Direct cause of the accident was the fall between the rails of the right wheel (running direction) from the first axle (axle corresponding to the wheels 1÷2) from the wagon no.37802770232-3 (the 17th of the train), because the lack of fastening rail-sleepers in an area where the sleepers were replaced, this, under the dynamic loads transmited  by the rolling stock, allowed the increase of the gauge over the maximum accepted value of 1470 mm._x000D_
Contributing factors of the accident were:_x000D_
-	performance of works for the replacement of the wooden sleepers at the switch no. 4, one after another, without meeting with the railway safety conditions during the works;_x000D_
-	performance of maintenance without the permanent presence of a traffic safety responsible from the work performer; _x000D_
-	lack of surveillance of the works by a traffic safety responsible, appointed by the beneficiary, when the accident happened,.</t>
  </si>
  <si>
    <t>Cauzele subiacente ale producerii acestui accident au fost: _x000D_
1.	Informa?iile transmise de conducerea regionalei catre personalul de execu?ie prin telegrama de aprobare privind condi?iile în care se efectueaza închiderea liniei au fost ambigue ?i au creat confuzii._x000D_
2.	Nerespectarea prevederilor art.108 ?i 109 din „Instruc?iuni pentru restric?ii de viteza, închideri de linii ?i scoatere de sub tensiune” nr. 317/2004 referitoare la solicitarea închiderii de linie sau modul de ac?iune în cazul în care lucrarile aprobate prin telegrama de închidere nu se mai executa._x000D_
Cauza primara a producerii acestui accident a fost lipsa unor proceduri sau prescrip?ii la nivelul unita?ilor de baza sta?ie/district privind efectuarea de lucrari de catre operatori economici din afara caii ferate ?i neidentificarea pericolelor generate de:_x000D_
•	efectuarea lucrarilor la linie fara respectarea condi?iilor SC prevazute în codurile de practica, parte a SMS; _x000D_
•	neverificarea de beneficiar a lucrarilor efectuate de executant, în vederea redeschiderii circula?iei feroviare;_x000D_
•	comunicarea deficitara  între reprezentan?ii administratorului de infrastructura ?i personalul operatorilor economici care efectueaza lucrari la suprastructura caii ferate, în legatura cu asigurarea condi?iilor SC pe durata executarii lucrarilor ?i implicit a riscurilor asociate acestora. 
Underlying causes of this accident were: _x000D_
1.	information sent by the management of the railway county to the working level staff, through the approval telegram on the condition for the line closing, were ambiguous and generated confusions._x000D_
2.	infringement of the provisions of the art.108 and 109 from the „Instructions for speed restrictions, closing of the lines and cut of power supply” no. 317/2004 concerning the asking of the line closing or the way to act if  the approved works through the the closing telegram are not performed._x000D_
Root causes_x000D_
Root cause of this accident was the lack of some procedures or provisions, in the basis units station/district concerning the performance of the works by  economic operators outside the railway field and the non-identification of the dangers generated by:_x000D_
•	the performance of the track works without meeting with the safety traffic conditions stipulated in the practice codes, part of the safety management system; _x000D_
•	non-checking by the beneficiary of the works performed by the performer, for resuming the traffic;_x000D_
•	unsuitable communication between the representatives of the infrastructure manager and the staff of the economic operators that perform works at the track superstructure, with reference to the assurance of the traffic safety conditions along the performance of the works, and implicitly of their associated risks.</t>
  </si>
  <si>
    <t>HU-5210</t>
  </si>
  <si>
    <t>Train derailment, 18-11-16, Bartók Béla u. (Hungary)</t>
  </si>
  <si>
    <t>Tramway derailed while changing direction 
A villamos irányváltás közben kisiklott</t>
  </si>
  <si>
    <t>Bartók Béla u.</t>
  </si>
  <si>
    <t>Az esemény bekövetkezésére közvetlenül ható tényezok az alábbiak voltak:_x000D_
-	a villamos második forgóváza a kitéro irányban álló váltóra haladt, míg az elso forgóváza egyenesen haladt, így a jármu kisiklott;_x000D_
-	a jármuvezeto nem gyozodött meg arról, hogy jármuve hol áll. 
The factors directly affecting the occurrence of the event were:_x000D_
- the second bogie of the electric power went to the rotary-turn in the alternate direction while the first bogie passed straight and the vehicle slipped out;_x000D_
- the driver is not convinced of where his vehicle is standing.</t>
  </si>
  <si>
    <t>Közvetett okok_x000D_
A esemény bekövetkezésére, a közvetlen okokat eloidézo tényezok:_x000D_
-	a 19-es villamos vezetoje nem volt tisztában a helyi eljárási szokásokkal, ezért nem a jármutelep felé állt félre a visszafogáshoz;_x000D_
-	a 49-es villamos vezetojének nem volt információja a tervezett visszafogásról, ezért a megállóból kihaladó 19-es villamos mögé haladt;_x000D_
-	a két jármuvezeto között a biztonságkritikus kommunikáció minosége gyenge volt, csak mutogatásra korlátozódott._x000D_
Gyökérokok_x000D_
Idoben és térben távol lévo okok, amelyek a rendszer muködésével kapcsolatosak a szabályozási környezetben és a biztonságirányítási rendszerben:_x000D_
-	a diszpécser nem értesítette a 49-es villamos jármuvezetojét, hogy elotte visszafogást kell végrehajtania a 19-es villamosnak _x000D_
-	a biztonságkritikus kommunikáció alapelvei nem kerülnek oktatásra. 
Indirect causes_x000D_
The factors that give rise to the immediate cause of the event are:_x000D_
_the driver of tram number 19 was not aware of the local procedural practices and therefore did not step aside towards the vehicle yard to restrain it;_x000D_
- the driver of tram 49 had no information on the planned recapture and was therefore driving behind tram number 19, which was leaving the station;_x000D_
- the quality of safety-critical communication between the two drivers was poor and was limited to pointing._x000D_
Root causes_x000D_
Reasons absent in time and space related to system operation in the regulatory environment and in the safety management system:_x000D_
- the dispatcher has not notified the driver of tram 49 that he must first restrain tram 19 _x000D_
- the principles of security-critical communication are not taught.</t>
  </si>
  <si>
    <t>RO-5204</t>
  </si>
  <si>
    <t>Other, 24-11-16, Arad (Romania)</t>
  </si>
  <si>
    <t>on  shunting movement of the locomotive DA no.352  from the track 1A to the track 12A1 (where was stationed a group of 25 tank wagons loaded with fuel) it was produced the colision between the locomotive and the rear end wagon</t>
  </si>
  <si>
    <t>Cauza directa a producerii incidentului feroviar o constituie neadaptarea vitezei locomotivei DA 352 la spatiul de manevra necesar cuplarii cu grupul de vagoane aflat în stationare._x000D_
Factorii care au contribuit_x000D_
?	Executarea serviciului în siguranta circulatiei, de catre personalul de conducere si deservire a locomotivei, aflat sub influenta bauturilor alcoolice. 
Direct cause of the railway incident was the the non-adjustement of the locomnotive speed DA 352 at the shunting space needed for the coupling of the stopped rake of wagons._x000D_
Contributing factors_x000D_
Carrying of the traffic safety task by the locomotive crew, that was under the influence of alcohol.</t>
  </si>
  <si>
    <t>Cauzele subiacente_x000D_
?	nerespectarea prevederilor din Instructiunile pentru activitatea personalului de locomotiva în transportul feroviar nr.201/2007, art.179(3) si art.198(1) si din Regulamentul de remorcare si frânare nr.006/2005, art.5(3), prin care mecanicul de locomotiva este obligat sa regleze viteza cu care se efectueaza manevra astfel încât sa se poata asigura oprirea locomotivei la locul stabilit, fara a se produce deteriorarea materialului rulant;  _x000D_
?	nerespectarea întocmai a  Regulamentului pentru circulatia trenurilor si manevra vehiculelor feroviare - nr.005/2005, art.7, alin.1, cu privire la verificarea personalului care deserveste trenul la intrare în serviciu în statiile în care operatorii de transport feroviar nu au structura organizatorica proprie si Anexa 2, cap.III – Îndatoririle IDM privind completarea si manipularea foii de parcurs la prezentarea la serviciu în statie a personalului de locomotiva, art.5. alin.2 si alin.5, litera a, ceea ce a permis personalului de conducere si deservire a locomotivei sa-si înregistreze programul de activitate aleatoriu, fara a putea fi monitorizat.  _x000D_
?	nerespectarea Ordinului MTTc, nr.855/1986, privind unele masuri pentru întarirea disciplinei în unitatile Ministerului Transporturilor si Telecomunicatiilor, art.1, prin care se interzice personalului din domeniul transporturilor sa introduca sau sa consume în unitate bauturi alcoolice sau sa se prezinte la lucru sub influenta bauturilor alcoolice, precum si prevederile din Instructiunile pentru activitatea personalului de locomotiva în transportul feroviar nr.201/2007 art.12(1), lit.b), prin care personalului de locomotiva i se interzice sa transporte si/sau sa consume în timpul serviciului bauturi alcoolice care pot diminua capacitatea sa de conducere. 
Underlying causes_x000D_
?	infringement of the provisions of the Instructions for the activity of the locomotive crew  no. 201/2007, art.179(3) si art.198(1) and of the Regulations for hauling and braking no.006/2005, art.5(3), according which the driver has to adjust the shunting speed so be able to stop the the locomotive in the established place, without damaging the rolling stock;  _x000D_
?	infringement of the Regulations for the train running and shunting of the railway vehicles - no.005/2005, art.7, paragraph1, concerning the control of the train crew at the shift begining in the railway stations where the railway undertakings haven’t own organisation structure and of the Annex 2, chapter III – Duties of the movements inspector with reference to the filling and handling of the route sheet at the coming of the locomotive crew for shift in the railway station, art.5, paragraphs 2 and 5, letter a, it permiting to the locomotive crew to register an aleatory activity programm , without could be surveilled.  _x000D_
?	infringement of the Order of Minister of Transports and Telecommunications no.855/1986, concerning some measures for enhancing the discipline in the units of the Minister of Transports and Telecommunications, art.1, through which it is forbidden to the staff from the trasnport field to take inside or to drink alcohol  or to come to work under the influence of the alcohol, as well as of the provisions  from Instructions for the activity of the locomotive staff no.201/2007 art.12(1), letter b), according which the locomotive crew must not transport and/or drink during the shift alcohol, that can reduce the driving capacity._x000D_
_x000D_
 Root causes_x000D_
None.</t>
  </si>
  <si>
    <t>SK-5267</t>
  </si>
  <si>
    <t>Train derailment, 26-11-16, Å½ilina station (Slovak Republic)</t>
  </si>
  <si>
    <t>break off rail switch</t>
  </si>
  <si>
    <t>HU-5338</t>
  </si>
  <si>
    <t>Level crossing accident, 28-11-16, Nyúl (Hungary)</t>
  </si>
  <si>
    <t>A freight train crashed with a truck at level crossing. The shunter in the loco has died. 
A muszaki biztosítás nélküli útátjáróban a vonat egy tehergépkocsival ütközött. A mozdonyon utazó vonali tolatásvezeto életét vesztette.</t>
  </si>
  <si>
    <t>Nyúl</t>
  </si>
  <si>
    <t>A tehergépkocsi vezetoje úgy hajtott be a vasúti átjáróba, hogy nem gyozodött meg arról, hogy az átjáró felé közeledik-e vasúti jármu, és az átjárót a vonat odaérkezése elott elhagyni nem tudta. 
The driver of the lorry drove into the level crossing without being sure whether a railway vehicle was approaching the crossing and was unable to leave the crossing before the train arrived.</t>
  </si>
  <si>
    <t>AT-5496</t>
  </si>
  <si>
    <t>Trains collision, 29-11-16, Bahnhof Wien Hütteldorf (Austria)</t>
  </si>
  <si>
    <t>A group of five freight wagons loaded with round wood was unrolled. The wagon group collided between train station Wien Hütteldorf and junction Hüttelldorf 1 with the Z 25055 standing at the entry signal "C". 
Zwischen dem Bf Wien Hütteldorf und der Abzw Hf 1 im Bereich der Straßenüberführung Guldengasse ereignete sich eine Kollision zwischen fünf aus dem Bf Wien Hütteldorf entrollten Güterwagen und dem vor dem haltzeigenden Einfahrsignal „C“ des Bf Wien Hütteldorf stehenden Z 25055. Die Güterwagen waren mit Rundholz beladen.</t>
  </si>
  <si>
    <t>Bahnhof Wien Hütteldorf</t>
  </si>
  <si>
    <t>ÖBB-Personenverkehr AG; 
Rail Cargo Austria AG</t>
  </si>
  <si>
    <t>Die Kollision des Z 25055 mit der aus fünf Wagen bestehenden Wagengruppe resultiert aus dem Entrollen der Wagengruppe. 
The collision of the Z 25055 with the group of five freight wagons resulted from the rolling out of the freight wagons group.</t>
  </si>
  <si>
    <t>RO-5206</t>
  </si>
  <si>
    <t>Other event, 29-11-16, Barsesti (Romania)</t>
  </si>
  <si>
    <t>on the shunting moving of the locomotive EA 515 for  coupling  to the  freight train no.81708 (which will have to run with 2 locomotives - EC 104 first in the running direction and EA 515 the second in the running direction ) occurred the collision between the EA 515 and the locomotive EC 104 which was coupled to the train</t>
  </si>
  <si>
    <t>Barsesti</t>
  </si>
  <si>
    <t>Cauza directa a accidentului feroviar o constituie imposibilitatea adaptarii vitezei vehiculului de catre operatorul uman la spa?iul rezervat manevrei, datorita func?ionarii necorespunzatoare a sistemului de ac?ionare a graduatorului locomotivei EA 515._x000D_
Comisia de investigare a identificat urmatorii factori care au contribuit la producerea accidentului feroviar:_x000D_
-	nesiguranta în exploatare a echipamentului SAGMA 0,5/110 în cazul producerii unor defecte în echipamentul intern si/sau în schema electrica de comanda a graduatorului în care este conectat;_x000D_
-	protectia inadecvata la perturba?ii electromagnetice a echipamentului SAGMA 0,5/110  în raport cu standardele aplicabile domeniului feroviar;_x000D_
-	conectarea neconforma cu prevederile din specificatia tehnica a producatorului a echipamentului SAGMA 0,5/110 în schema electrica de ac?ionare a graduatorului, prin omiterea conectarii bornelor 15 si 16 ale echipamentului, destinate treptelor 2 ?i 3 ale controlerului. 
The direct cause of the accident is the impossibility of the human operator to adjust the speed of the vehicle at the distance reserved for shunting, because the unsuitable working of the system for the operation of the dimmer of the locomotive EA 515._x000D_
The investigation commission identified the next factors contributing the accident occurrence:_x000D_
-	insecurity in operation of the equipment SAGMA 0,5/110 in case of failures in the internal equipment and/or in the electric scheme for the command of the dimmer where it is connected;_x000D_
-	inadequate protection against electro-magnetic interferences of the equipment SAGMA 0,5/110  in relation to the standards applicable in the railway field;_x000D_
-	connection without meeting with the provisions from the technical specification of the manufacturer, of the equipment SAGMA 0,5/110 in the electric scheme for the operation of the dimmer by omitting the connection of the terminal connections 15 and 16 of the equipment, afferent to the levels 2 and 3 of the switch..</t>
  </si>
  <si>
    <t>Cauze subiacente _x000D_
?	nerespectarea cerin?elor privind imunitatea echipamentelor electronice în conformitate standardele aplicabile domeniului feroviar;_x000D_
?	nerespectarea cerin?ei privind cablarea echipamentului SAGMA 0,5/110, în conformitate precizarile punctului 2.4 din specifica?ia tehnica ST 04/2001._x000D_
Cauza primara_x000D_
?	încadrarea eronata a sistemelor de comanda a locomotivelor în categoria produselor feroviare a caror defectare determina grave perturbatii feroviare (conform prevederilor OMT 290/2000, Anexa nr.3, la clasa de risc 1B). Acest fapt permite utilizarea produsului fara implementarea unor cerinte suplimentare impuse de standardele aplicabile produselor feroviare critice care, prin defectare, ar putea genera o pierdere a sigurantei si securitatii transporturilor specifice clasei de risc 1A. 
Underlying causes _x000D_
?	infringement of the requirements concerning the imunity of the electronic equipments in accordance with the standards applicable in the railway field;_x000D_
?	infringement of the requirement for the cabling of the equipment SAGMA 0,5/110, in accordance with the provisions from point  2.4 from the technical specification ST 04/2001._x000D_
Root cause_x000D_
?	wrong classification of the systems for the locomotive command in the category of railway products which failure generates serious railway interruptions (according to the provisions of the Minister of Transports’ Order 290/2000, Annex no.3, at the class of risk 1B). It allows the use of the product without implementing some additional requirements imposed by the standars applicable to the railway critical products that, through their failure, could generate loss of safety and security of the transports specific to the class of risk 1A.</t>
  </si>
  <si>
    <t>RO-5207</t>
  </si>
  <si>
    <t>Fire in RS, 29-11-16, Neptun (Romania)</t>
  </si>
  <si>
    <t>the diesel multiple unit AM753 that consisted the paseenger train no.8389 caught fire</t>
  </si>
  <si>
    <t>Neptun</t>
  </si>
  <si>
    <t>Cauza directa a producerii incendiului a fost aprinderea motorinei care s-a scurs prin fisura produsa în zona alamita a conductei metalice din circuitul de alimentare cu combustibil care a ajuns în zonele supraîncalzite ale motorului diesel si pe galeriile de evacuare a gazelor arse._x000D_
_x000D_
Factori care au contribuit_x000D_
?	Pierderea surubului cu piulita la unul din cele 4 puncte de fixare elastica a motorului diesel de cadrul boghiului care a avut ca efect cresterea nivelului trepidatiilor la nivelul conductei din circuitul de alimentare cu motorina favorizand fisurarea acesteea;_x000D_
?	Neasigurarea rezisten?ei mecanice a conductei metalice din circuitul de alimentare conform prevederilor din ”SCHITA CIRCUITULUI DE MOTORINA” cod R4.1486 prin utilizarea unei conducte subdimensionate;_x000D_
?	Întocmirea necorespunzatoare a documentatiei tehnice necesare realizarii circuitului de motorina în sensul ca nu exista desenele cu detalii de executie privind modul de realizare a circuitelor de motorina; 
Direct cause _x000D_
The direct cause of the fire was the ignition of the diesel drained because the crack in the brass part of the metallic pipe from the fuel supply circuit, that reached the over-heated areas of the diesel engine and on the evacuation channels of the burnt gases_x000D_
_x000D_
Contributing factors_x000D_
?	loss  of the screw with nut  at one of those 4 elastic fastening points of diesel engine on the bogie frame, that led to the raise of the vibrations at the pipe from the  diesel supply circuit, generating its cracking;_x000D_
?	non-ensuring of the mechanical resitance of the metallic pipe from the supply circuit according to the provisions from ”DRAFT OF THE DIESEL CIRCUIT” code R4.1486, using an under-size pipe;_x000D_
?	unsuitable drafting of the technical documentation necessary for the diesel circuit, respectively there are no drawings with execution details about the diesel circuit achievement;</t>
  </si>
  <si>
    <t>Cauze subiacente _x000D_
Nu au fost respectate prevederile din ”SCHITA CIRCUITULUI DE MOTORINA” cod R4.1486 întocmita de SC RELOC SA Craiova, prin utilizarea în circuitului de alimentare a unei conducte metalice cu F18x1,5 în loc de F22x2,9._x000D_
Nu au fost respectate prevederile OMT 290/2000 anexa nr.3, art.5 alin.2 si art.12 lit.b referitor la faptul ca SC RELOC SA Craiova nu a solicitat avizul beneficiarului si al AFER pe solutiile tehnice utilizate la realizarea produsului conform fisei de modificare nr.1 (desene pentru  rezervor , trasee conducte, etc.)._x000D_
Nu au fost respectate prevederilor HG nr.877/2010 privind interoperabilitatea sistemului feroviar, art.20(1) referitor la obtinerea autorizatiei de punere în functiune la iesirea din reparatie tip RG cu modernizare a automotorului AM 753._x000D_
Cauza primara_x000D_
Nu au fost identificate cauze primare. 
Underlying causes_x000D_
One did not meet with the provisions from ”DRAFT OF THE DIESEL CIRCUIT” code R4.1486, made by SC RELOC SA Craiova, using in the supply circuit a metallic pipe with F18x1,5 instead F22x2,9._x000D_
One did not comply with the provisions of the Minister of Transports’Order OMT 290/2000 annex no.3, art.5 paragraph 2 and art.12 letter b, that is SC RELOC SA Craiova did not ask the approval of the beneficiary and of Romanian Railway Authority - AFER for the technical solutions used for the product manufacturing, according to the change sheet no.1 (drawings for the tank, pipe routes, etc.)._x000D_
One did not comply with the provisions of the Government Decision no.877/2010 concerning the interoperability of the railway system, art.20(1) concerning the getting of the authorization for putting in operation at the exit from repair type RG, with the modernization of the multiple unit AM 753._x000D_
_x000D_
Root cause_x000D_
None.</t>
  </si>
  <si>
    <t>PL-5371</t>
  </si>
  <si>
    <t>Trains collision, 02-12-16, section Myszków - zawiercie (Poland)</t>
  </si>
  <si>
    <t>On 2 December 2016 at 03:55’00 from station track No 2 train No TME 362012, travelling from Trzebinia to Wróblin Glogowski, composed of 16 tank cars of Za series, carrying dangerous cargo 90 UN 30 82 (heavy fuel oil), left Zawiercie station towards Myszków station. The train was running at a speed of about 75 km/h to semaphore SBL 2662. The route between Zawiercie station and Myszków station along track 2 is divided into 8 ABS blocks. _x000D_
Next, following that train, at 04:00’00, with three free ABS blocks, the second train No TME 452012, running from Jaworzno Szczakowa to Elk Towarowy, departed from station track No 2 of Zawiercie station towards Myszków station on the same track No 2. _x000D_
After departure of train No TME 452012 there remained a confirmation of route “e2” caused by a power outage for railway traffic control devices at Zawiercie station._x000D_
At 04:02:34 meter No 881 451 72 at the power supply of RG Lazy “Trójkat” from the side of GPZ Lazy recorded a power outage for the devices of line block Myszków – Zawiercie at both tracks. _x000D_
At the time of ABS power outage, train No TME 362012 ran past four free ABS blocks and passed the ABS block signal No 2662 located at km 266,200 at the speed of 80 km/h. When entering the third block from the end and the sixth along the Zawiercie – Myszków route, the engine driver noticed a change in the display at the ABS block signal No 2650 situated at km 265,000 from continuous green signal “S2” to a doubtful signal (dark, unlighted semaphore)._x000D_
In this situation, the engine driver of train No TME 362012 started to brake at stopped the head of the train at km 263,494, i.e. about 500 m in front of semaphore 2650._x000D_
Next, he established a radiotelephone connection with the signalman of Myszków station and let him know about the situation, while the train No TME 452012 that left Zawiercie station and entered the route behind the train in question with three free ABS blocks continued to travel at constant acceleration at speed of between v = 45 km/h and v = 80 km/h._x000D_
Having been informed by the signalman of Myszków station that the block to semaphore No 2636 is free, the engine driver of train No TME 362012 omitted the semaphore of ABS block signal No 2650 (dark) and continued to travel at the speed of v = 20 km/h._x000D_
As the next ABS semaphore No 2636 (the last ABS semaphore before the Myszków station entry semaphore) displayed signal S1 “Stop”, having stopped the train in front of this semaphore the engine driver again contacted the signalman of Myszków station by radiotelephone. _x000D_
Having been informed that “your entry is given” the engine driver set the train in motion. When the train travelled about 150 m, at the speed of about 18 km/h, and the back of the train TME 362012 was still at the block in front of ABS semaphore No 2636, the last car of train No TME 362012 was hit by train No TME 452012 at the speed of 75 km/h. _x000D_
After the latter train hit the former train, train No TME 362012 was pushed by inertia at a distance of about 105 m _x000D_
at the speed of between 48 km/h and 0 km/h. _x000D_
As a result of train No TME 452012 hitting the back of train No TME 362012 the last car of the train, i.e. the tank, was damaged, and the cargo (heavy fuel oil) was spilled. _x000D_
As a result of the accident, the two end cars of train _x000D_
No TME 362012 were derailed, the third car from the end was not derailed, _x000D_
and three more cars in front of it were derailed. _x000D_
As to train No TME 452012, two front cars behind the locomotive _x000D_
were derailed because the cargo (coal dust) _x000D_
spilled from the tracks from the first car.</t>
  </si>
  <si>
    <t>section Myszków - zawiercie</t>
  </si>
  <si>
    <t>PKP Cargo S.A.; 
EURONAFT TRZEBINIA Sp. z o.o.</t>
  </si>
  <si>
    <t>Cargo train No TME 452012 hit the back of cargo train No TME 362012.</t>
  </si>
  <si>
    <t>1) Underlying cause_x000D_
The speed of train No TME 452012 did not match the status of lack of displayed signals at the semaphores of the ABS block signals (doubtful signal). _x000D_
(Ir-1 § 62(6)(17), Ie-1 § 2(7) and (8))_x000D_
_x000D_
2) Indirect causes:_x000D_
?	Continuity of lighting of the S1 signal at the semaphores of the automatic block was not ensured in a situation where there was a power outage at the railway traffic control devices from the non-traction demand line._x000D_
?	Passive behaviour of the signalman of the Myszków station in a situation of atypical readings at ABS blocks and information from the engine driver of train No 362012 that he stopped the train on the route (all ABS blocks displayed as busy although there were only two trains on the route). (Ir-1 § 29(4)(2) and § 63(13))_x000D_
?	The back of train No TME 362012 was marked with a Pc5 signal with signal shields not furnished with adequate reflective materials and with irregular dimensions, contrary to the provisions of the instruction (Ie-1 § 14(1)(5) and Ie-102 Part II)._x000D_
_x000D_
3)     Systemic causes:_x000D_
?	Withdrawal from use of the Pc5 light signal at night at specified railway routes and lines also using a multiple block automatic line block without earlier examinations or expert opinions defining potential effects of such a decision._x000D_
?	When line No 4 (Central Rail Line) was designed and built, it was not taken into account that on route _x000D_
Góra Wlodowska – Zawiercie line No 1 runs in parallel (on a section of about 5.5 km) with the route Myszków – Zawiercie, both routes furnished with a multi-block ABS, where sections for two blocks on both lines are virtually overlapping with different varieties of the automatic block, and semaphores are not set on one plane perpendicularly to the track and continuity of lighting of the red light for line No 1 is not ensured in the case of a power outage for the ABS from the non-traction demand line, and the ensured continuity of lighting of displays of the semaphores for line No 4 could cause the engine driver to erroneously read these indications as signals for line No 1 at night and in bad weather.</t>
  </si>
  <si>
    <t>SK-5261</t>
  </si>
  <si>
    <t>Trains collision with an obstacle, 02-12-16, between stations Východná and Králova Lehota (Slovak Republic)</t>
  </si>
  <si>
    <t>between stations Východná and Králova Lehota</t>
  </si>
  <si>
    <t>The direct cause of the accident was a fallen tree on railway line.</t>
  </si>
  <si>
    <t>HU-5449</t>
  </si>
  <si>
    <t>Trains collision, 05-12-16, Budapest, Pillangó utca (Hungary)</t>
  </si>
  <si>
    <t>The metro train slipped, did not stop at the red signal, and collided with the previous train.</t>
  </si>
  <si>
    <t>Budapest, Pillangó utca</t>
  </si>
  <si>
    <t>Slip of wheels</t>
  </si>
  <si>
    <t>PT-5235</t>
  </si>
  <si>
    <t>Unauthorised train movement other than SPAD, 06-12-16, Ameal-Sul (Portugal)</t>
  </si>
  <si>
    <t>During a track possession for works, a contractor's rail-route vehicle overran the possession limit and ran for circa 600 m on track open to service, occupying a path where normal services could run. 
Durante a execução de trabalhos entre as estações de Alfarelos e Ameal-Sul, na linha do Norte, um veículo rail-route ultrapassou indevidamente o limite da zona de trabalhos, fazendo um percurso de cerca de 600 metros em via aberta à exploração.</t>
  </si>
  <si>
    <t>Ameal-Sul</t>
  </si>
  <si>
    <t>BG-5208</t>
  </si>
  <si>
    <t>Train derailment, 10-12-16, Hitrino station (Bulgaria)</t>
  </si>
  <si>
    <t>At 05:37 ?? on 10.12.2016 freight train no. 90570 of Bulmarket Rail Cargo Ltd. with 26 wagons-tanks (20 loaded with propylene, 3 with propane-butane and 3 empty), locomotive 87025 and supporting locomotive 86003 in front, with a total mass of 1756 tonnes, derailed with 12 of the wagons (from the sixth to the 17-th) while entering track no 3 at switch no 5 in Hitrino station where it was to meet with passenger train no 90201. _x000D_
In result of the derailment, the tank of the 10-th wagon was punctured and the propylene that spilled over ignited spontaneously followed by a powerful thunder and shock wave. Many houses and public buildings were totally demolished, seven local residents were killed, four were seriously injured and 18 others were injured.  Violated was the local urban environment and significant damages were caused to the rail track and catenary, and to the infrastructure facilities. _x000D_
All the residents of Hitrino village were evacuated and the movement of trains along Visoka poljana – Hitrino - Pliska railway segment was suspended until the complete withdrawal of the wagon-tanks loaded with dangerous goods had been done .</t>
  </si>
  <si>
    <t>Hitrino station</t>
  </si>
  <si>
    <t>Bulmarket Rail Cargo Ltd.</t>
  </si>
  <si>
    <t>Non-observance of the speed of trafficking upon prepared route for entering of freight train Nr. 90570 on the Third platform at Hitrino station. _x000D_
Through point Nr.1 the train passes with the speed of 81 km/h, and through point Nr. 5 – with 78 km/h, upon permitted speed of up to 40 km/h for entering into a deviation on the Third acceptance-departure platform, with stopping.</t>
  </si>
  <si>
    <t>Upon the entrance of the train at Hitrino station, not fulfilled are the permission indications of the warning and the entrance traffic lights, limiting the speed of trafficking up to 40 km/h in accordance with Art. 317, item 3 and Art. 324, par. 2 and par. 3, item 5 of Ordinance Nr. 58 (Figure 26)._x000D_
Not fulfilled is also the signal for limiting of the speed up to 60 km/h through the entrance points for entering on the Main platform, necessitated by the type of locking of the points at Hitrino station in accordance with Art. 384, par. 1 and par. 2 of Ordinance Nr. 58.</t>
  </si>
  <si>
    <t>DK-5650</t>
  </si>
  <si>
    <t>Accident to persons caused by RS in motion, 12-12-16, Høje Taastrup (Denmark)</t>
  </si>
  <si>
    <t>Station Operator (Student) killed during shunting operation at the shunting area at Høje Taastrup Station.</t>
  </si>
  <si>
    <t>Høje Taastrup</t>
  </si>
  <si>
    <t>On the present basis, the AIB DK view is that the accident was due to the fact that train 9224 began to rank from track 0 at Høje Taastrup Station towards the combined terminal without the required permission from the station manager and without the site being assigned to location._x000D_
This meant that the shunting movement passed a signal in danger (SPAD) and subsequently hit the discharge shoe - Shoe 01, which resulted in the derailment._x000D_
The following elements has or may have influenced the process leading to the accident:_x000D_
- the student who had no certificate in shunting operations was under the shunting without direct supervision when the accident occurred_x000D_
- there was a duty to start shunting when signal "canceled" was postponed without obtaining permission from the station manager in FC Roskilde_x000D_
This practice of launching the shunting when the signal "Canceled" was placed seems tacitly accepted by both the ranger staff and the staff in FC Roskilde_x000D_
- after ATC emergency braking, the engine driver resumed the shunting on the basis of the permit he announced he received via the ranger radio_x000D_
- At the time of the accident, the student was not certified as shunting operator, and thus did not have the necessary prerequisites for being able to act as a leader without supervision_x000D_
- there was no requirement or guidelines for when a student could work unattended - in the education of students, and there were no guidelines for whether or not when or_x000D_
how an intern could allow students to work unattended during education._x000D_
A pupil can not, according to the AIB DK assessment, act as a shunting operator, without the one who is formally a leader (attendee) in the vicinity and can review the route throughout the shunting .</t>
  </si>
  <si>
    <t>FR-5213</t>
  </si>
  <si>
    <t>Infrastructure events, 13-12-16, Near Jonzac (France)</t>
  </si>
  <si>
    <t>13 fractures are found on the rails  after the passage of the freight train n° 72049. 11 fractures are grouped on a 32 km long section on both sides of the station of Jonzac._x000D_
Two large flats (110mm) were found on one wheelset of a loaded wagon of the train._x000D_
Theses flats caused severe impacts on the track and are the direct cause of the fractures</t>
  </si>
  <si>
    <t>Near Jonzac</t>
  </si>
  <si>
    <t>severe impacts caused by the rotation of the 2 wheels affected by severe flats (110mm) 
Poor condition of the track in the concerned sector; most of the fractures affected rails dated from 1928 and 1929.</t>
  </si>
  <si>
    <t>Previous skidding caused by possible malfunction of the load proportional valve of the concerned wagon._x000D_
The traffic controllers and signalmen did not stop the train despîte the typical noise caused by the flats._x000D_
No wheel impact detectors on french rail network 
insufficient means for the maintenance of the infrastructure</t>
  </si>
  <si>
    <t>CZ-5215</t>
  </si>
  <si>
    <t>Train derailment, 15-12-16, Havlíckuv Brod station (Czech Republic)</t>
  </si>
  <si>
    <t>Derailment of locomotive and 3 rolling stocks at the entrance of the train No. 48302 to the Havlíckuv Brod station, on the switch No. 13a/b due to missing switch rail after a previous extraordinary event.</t>
  </si>
  <si>
    <t>Havlíckuv Brod station</t>
  </si>
  <si>
    <t>Movement of the freight train No. 48302 through the switch when a direct part of the road was a place where the missing switch rail was removed from a previous extraordinary event.</t>
  </si>
  <si>
    <t>Underlying cause:_x000D_
• failure to implement the prescribed measures to ensure the safety on damaged part of the switch No. 13b after a previous extraordinary event._x000D_
_x000D_
Root cause: none.</t>
  </si>
  <si>
    <t>DE-5223</t>
  </si>
  <si>
    <t>Trains collision, 18-12-16, Basel Bad Rbf (Germany)</t>
  </si>
  <si>
    <t>Am 18.12.2016 um 14:03 Uhr kollidierte DGS 43615 (Laufweg: Freiburg Gbf -Novara) bei der Einfahrt nach Gleis A 53 im Bf Basel Bad Rangierbahnhof (Rbf) auf der Weiche (W) 104 mit einem nicht grenzzeichenfrei stehenden Kesselwagen aus Zug EZ 45023. 
Freight train 43615 collided during entry into railway station Basel Bad Rbf on track 104 with the last wagon of the parked train 44663.</t>
  </si>
  <si>
    <t>Basel Bad Rbf</t>
  </si>
  <si>
    <t>Ursächlich für den Zusammenstoß war die mangelhafte Fahrwegprüfung und Fahrwegsicherung des Fahrdienstleiters (Fdl) im Stellwerk (Stw) 6. Der am Schluss laufende Kesselwagen des am 17.12.2016 im Gleis A 1 abgestellten EZ 45023 stand nicht grenzzeichenfrei. Die Einfahrt des DGS 43615 erfolgte auf Hauptsignal obwohl der Fahrweg nicht frei war. 
The cause of the collision was the poor track inspection and track protection of the traffic controller in the interlocking 6. The tank wagon running at the end of the EZ 17.12.2016 on track A 1 was not free of the border mark. The entry of the DGS 43615 took place by the main signal, even though the infrastructure was not free.</t>
  </si>
  <si>
    <t>UK-5228</t>
  </si>
  <si>
    <t>Accident to persons caused by RS in motion, 22-12-16, Woodbourn Road Tram Stop (United Kingdom)</t>
  </si>
  <si>
    <t>At about 10:00 hrs on 22 December 2016, a pedestrian, who had just got off an inbound tram, was struck and fatally injured by an outbound tram travelling from Sheffield city centre towards Meadowhall, while using the crossing at the northern end of Woodbourn Road tram stop. The crossing, over both tracks, provides a pathway between the inbound platform and Woodbourn Road._x000D_
Because no one was waiting at the outbound platform and no one on board requested that the tram stop, it was travelling through the stop at around 13 mph (21 km/h).</t>
  </si>
  <si>
    <t>Woodbourn Road Tram Stop</t>
  </si>
  <si>
    <t>The tram driver did not see the pedestrian approaching the crossing and the pedestrian was seemingly unaware of the approaching tram (paragraph 25).</t>
  </si>
  <si>
    <t>The causal factors were:_x000D_
a. The tram driver did not see the pedestrian in time to take action to prevent the accident (paragraph 28, Recommendation 2, Learning point 2). This causal factor arose due to a combination of the following:_x000D_
i. The driver’s attention was focused on looking back in the tram’s mirrors (paragraph 36, Learning point 2, paragraph 100)._x000D_
ii. It is possible that the driver did not see the pedestrian as the tram entered the tram stop as a result of wearing sunglasses, which reduced the visibility of the pedestrian who was in a shaded area (paragraph 47, Learning point 3)._x000D_
iii. It is possible that the driver’s concentration levels were reduced by that stage of her shift (paragraph 51, Recommendation 2)._x000D_
b. The pedestrian was seemingly unaware that the tram was approaching the crossing just before he crossed (paragraph 57, Learning point 1, paragraphs 99 and 101)._x000D_
c. The tram gave no audible warning to indicate that it was not stopping at the tram stop (paragraph 61, Recommendation 1, paragraph 99)._x000D_
Underlying factor_x000D_
98 Stagecoach Supertram did not assess the risk of trams in service not stopping at tram stops (paragraph 86, Learning point 1, paragraph 101)</t>
  </si>
  <si>
    <t>AT-5224</t>
  </si>
  <si>
    <t>Train derailment, 26-12-16, Station Spittal-Millstättersee (Austria)</t>
  </si>
  <si>
    <t>On 26 December 2016, at 11:53 clock, the second to eighth wagons of the train 48600 derailed at the entrance to the station Spittal-Millstättersee. A division of train occurs between the first and second wagon in the train. The derailment caused considerable damage to the superstructure and the signalling systems. A slight damage of the first wagon of the train and serious damage of the second till the eighth wagon in the train occurred._x000D_
Persons were not injured._x000D_
This was caused by a broking shaft of the preceding wheelset of the second wagon in the train. 
Am 26. Dezember 2016, um 23:53 Uhr entgleiste bei der Einfahrt in den Bf Spittal-Millstättersee der zweite bis achte Wagen von Z 48600. Es erfolgte eine Zugtrennung zwischen dem ersten und zweiten Wagen im Zugverband. Durch die Entgleisung kam es zu erheblichen Schäden am Oberbau und an den Signalanlagen. Weiteres erfolgten eine leichte Beschädigung am erstgereihten Wagen im Zugverband und schwere Beschädigung des zweiten bis achten Wagens im Zugverband._x000D_
Personen wurden nicht verletzt._x000D_
Ursache war der Bruch der vorlaufenden Radsatzwelle des zweiten Wagens im Zugverband.</t>
  </si>
  <si>
    <t>Station Spittal-Millstättersee</t>
  </si>
  <si>
    <t>Bei dem im Z 48600 als zweites Fahrzeug gereihten mit Eisenerz-Pellets beladenen Güterwagen ereignete sich während der Fahrt ein Bruch (Dauerschwingbruch) der vorlaufenden Radsatzwelle im vorlaufenden Drehgestell bei der Einfahrt in den Bf Spittal-Millstättersee. 
On the freight wagon ranked as the second vehicle of Z 48600 and loaded with iron ore pellets, a break (fatigue fracture) of the leading wheelset axle in the leading bogie occurred while driving during the entry into the railway station Spittal-Millstättersee.</t>
  </si>
  <si>
    <t>FR-5227</t>
  </si>
  <si>
    <t>Operational event, 26-12-16, Antibes (France)</t>
  </si>
  <si>
    <t>Regional train forces open the points n° 1310a in the station of Antibes.</t>
  </si>
  <si>
    <t>Antibes</t>
  </si>
  <si>
    <t>The forcing open the points of switch 1310a was caused by the regional train driver's non-compliance with a signal commanding him to stop.</t>
  </si>
  <si>
    <t>Three cover systems had no effect : speed monitoring, signal detonator, and repetition of signal._x000D_
The explanatory factors for the lack of effect of these systems are:_x000D_
- for the speed monitoring, the fault not detected by the driver when the cab is put into service ;_x000D_
- for the signal detonator : the soundproofing of modern drivers'cabins vis-à-vis external noise making it more difficult to perceive this sound ;_x000D_
- for the repetition of signal : the transgression of the drivers'rule of immediate stop in case of non-observation of the repeated signal</t>
  </si>
  <si>
    <t>UK-5247</t>
  </si>
  <si>
    <t>Unauthorised train movement other than SPAD, 29-12-16, Cardiff Central (United Kingdom)</t>
  </si>
  <si>
    <t>Over the Christmas period in 2016, Network Rail carried out extensive resignalling and track remodelling work in and around Cardiff Central station. This was the final stage of the Cardiff area signalling replacement scheme, a project which has been in progress for several years. This stage involved the closure of the power signal box at Cardiff, with control of the area moving to the South Wales Control Centre (SWCC), and changes to the track layout and signalling on the east side of Cardiff Central station._x000D_
Some of the new track layout was brought into use on 29 December. At 08:46 hrs on that morning the driver of train 2T08 from Cardiff Central to Treherbert, which had just left platform 7, noticed that a set of points in the route his train was about to take were not set in the correct position. Train 2T08 was the first up train on the Up Llandaff line after the start of service over the new layout._x000D_
The points at which the train stopped were redundant in the new layout and should have been secured in the normal position in readiness for their complete removal at a later date. The project works required eight point ends in two separate locations to be locked and secured in this way. In the event only six of the eight point ends were locked and secured, and the line was re-opened to traffic without the omission having been identified by the project team through the normal checking processes which should take place as part of this type of works. These two point ends were left in a condition in which they were unsecured and not detected by the signalling system, and the points at which train 2T08 stopped, points 817A, were left lying reverse. If the driver had not noticed the position of these points and stopped, the train would have been diverted towards line E (the former down relief line) on which trains can run in either direction. The new signalling system uses axle counters for train detection, and in this situation the system would not have identified that the train was in the wrong place._x000D_
A few minutes earlier, at 08:24 hrs, another train, down train 1V02, had travelled over the other points which had been left unsecured at the other end of the same crossover (817B). These points had been left in the normal position, which was correct for trains travelling over them in the down direction._x000D_
No-one was injured and no damage was caused by either event, and Network Rail acted quickly to secure both sets of points.</t>
  </si>
  <si>
    <t>Cardiff Central</t>
  </si>
  <si>
    <t>The CASR project team handed back 817A and 817B points in an unsafe condition</t>
  </si>
  <si>
    <t>Causal factors_x000D_
117 The causal factors were:_x000D_
a. The SCM did not identify all the points required to the team securing them (paragraph 58, Recommendation 1)._x000D_
b. Among the members of the project team, the responsibility for checking the securing of redundant points was not clearly allocated or understood, and they did not make arrangements for these checks to be made (paragraph 63, Recommendation 1)._x000D_
Underlying factors_x000D_
118 The underlying factors were:_x000D_
a. The project team had developed a work group culture that led to insular thinking about methods of work and operational risk (paragraph 74, Recommendation 1)._x000D_
b. The project team (excluding Atkins) had signed up to a fatigue management agreement but it was not effectively implemented. This is a possible underlying factor (paragraph 81, Recommendation 3)._x000D_
c. Network Rail’s project governance was not sufficiently thorough (paragraph 93, Recommendations 1, 2 and 3)</t>
  </si>
  <si>
    <t>RO-5217</t>
  </si>
  <si>
    <t>Train derailment, 30-12-16, Beclean pe Somes - Sintereag (Romania)</t>
  </si>
  <si>
    <t>the locomotive EA no.188 that hauled the passenger train no. 4107 derialed by the first axle in the running direction, in open line between Beclean pe Somes and Sintereag</t>
  </si>
  <si>
    <t>Beclean pe Somes - Sintereag</t>
  </si>
  <si>
    <t>Cauza directa a producerii accidentului feroviar o constituie caderea între firele caii a ro?ii din partea stânga a osiei conducatoare a locomotivei electrice EA 188, roata care rula pe firul interior al curbei. Acest lucru s-a produs în conditiile cre?terii ecartamentului caii, peste toleran?ele admise, ca urmare a deplasarii laterale a ?inei de pe firul exterior al curbei, sub ac?iunea for?elor dinamice transmise caii de catre materialul rulant în timpul deplasarii._x000D_
_x000D_
Factori care au contribuit:_x000D_
-	starea tehnica necorespunzatoare a elementelor care asigura fixarea ?inelor de traversele de beton din zona punctului „0”, care sub ac?iunea for?elor dinamice transmise de rotile materialului rulant, au permis deplasarea ?inei firului exterior al caii în sensul cre?terii valorii ecartamentului caii;_x000D_
-	dimensionarea necorespunzatoare a numarului de personal muncitor existent la districtul care asigura mentenan?a infrastructurii feroviare în zona producerii accidentului;_x000D_
-	neasigurarea traverselor de beton necesare executarii lucrarilor de între?inere ?i reparare a caii. 
Direct cause of the accident was the fall of the left wheel of the guiding axle from the electric locomotive EA 188 between the rails , this wheel running on the exterior rail of the curve. It happened because the increase of the gauge, over the accepted tolerances, following the lateral displacement of the exterior rail of the curve, under the action of the dynamic forces transmited to the track by the rolling stock in running._x000D_
_x000D_
Contributing factors:_x000D_
-	unsuitable technical condition of the elements for the fastening of the rails on the concrete sleepers from the area of the point „0”, that under the action of the dynamic forces sent by the wheels of the rolling stock, allowed the displacement of the exterior rail of the track, to the increase of the gauge;_x000D_
-	inadequate sizing of the working staff existing in the district, in charge with the maintenance of the railway infrastructure at the accident site;_x000D_
-	non-ensuring of concrete sleepers necessary for the track maintenance and repair.</t>
  </si>
  <si>
    <t>Cauze subiacente_x000D_
-	nerespectarea prevederilor art.2, fi?a nr.3 ?i în art.3, fi?a nr.4 din „Instruc?ia 305/1997-privind fixarea termenelor ?i a ordinei în care trebuie efectuate reviziile caii”;   _x000D_
-	nerespectarea prevederilor art.25, alin.(1), alin.(3) ?i alin.(4) din „Instruc?ia de norme ?i toleran?e pentru construc?ia ?i între?inerea caii pentru linii cu ecartament normal nr.314/1989”, privind înlocuirea traverselor de beton ale caror defecte impun acest lucru. _x000D_
-	nerespectarea prevederilor pct.4.1. din Cap.4 „Norme de manopera ?i de consum de materiale”, al „Instruc?iei de între?inere a liniilor ferate nr.300/1982” referitoare la asigurarea normei de manopera la între?inerea curenta în execu?ie manuala._x000D_
Cauza primara_x000D_
Cauza primara a accidentului o constituie aplicarea par?iala a procedurii opera?ionale cod PO SMS 0-4.07 „Respectarea specificatiilor tehnice, standardelor si cerintelor relevante pe întreg ciclul de viata a liniilor în procesul de întretinere”, parte a sistemului de management al siguran?ei CNCF „CFR” SA, referitoare la dimensionarea personalului subunita?ii responsabila cu mentenan?a pe linia curenta dintre sta?ia CFR Beclean ?i halta de mi?care ?intereag ?i ca traversele necorespunzatoare din cale trebuie înlocuite sau reparate. 
Underlying causes_x000D_
-	infringement of the provisions of art.2, sheet no.3 and of art.3, sheet no.4 from „Instruction  305/1997- for the establishment of terms and order for the performance of the track inspections”;   _x000D_
-	infringement of the provisions of art.25, paragraphs (1), (3) and (4) from „Instruction of norms and tolerances for the track construction and maintenance, for lines with standard gauge no.314/1989”, concerning the replacement of the concrete sleepers which failures impose it;_x000D_
-	infringement of the provisions of point.4.1. from Chapter 4 „Norms of manpower and material consumption”, of „Instruction for the line maintenance no.300/1982” concerning the ensuring of the manpower norm for the manual current work._x000D_
_x000D_
Root cause_x000D_
Root cause of the accident was the partial application of the operational procedure code PO SMS 0-4.07 „Compliance with the technical specifications, standards and requirements relevant for the life time of the lines in the maintenance process”, part of the safety management system of CNCF „CFR” SA, concerning the sizing of the staff from the sub-units in charge with the maintenance of running line between the railway stations Beclean and ?intereag and that the unsuitable sleepers have to be replaced or repaired.</t>
  </si>
  <si>
    <t>RO-5218</t>
  </si>
  <si>
    <t>Train derailment, 31-12-16, Izvoru Oltului Izvoru Muresului (Romania)</t>
  </si>
  <si>
    <t>the electric multiple unit that composed the train no.4504 derailed in open line between Izvoru Oltului and Izvoru  Muresului railway station</t>
  </si>
  <si>
    <t>Izvoru Oltului Izvoru Muresului</t>
  </si>
  <si>
    <t>Cauza directa _x000D_
Cauza directa a producerii accidentului feroviar o constituie escaladarea umarului activ al ciupercii ?inei de pe firul exterior a curbei, de catre buza ro?ii atacante (situata pe partea dreapta în sensul de mers al trenului) a osiei nr.5 de la vagonul remorca nr.58-0112-1, ca urmare a cre?terii raportului dintre fortele laterale aparute la contactul roata - ?ina si sarcina care actiona pe aceasta roata, depasindu-se astfel limita de stabilitate la deraiere._x000D_
Cresterea raportului dintre fortele laterale si sarcina ce actionau pe aceasta roata s-a produs în conditiile descarcarii de sarcina a acestei ro?i ?i a cre?terii for?ei laterale (de ghidare) cu care aceasta roata ac?iona asupra ?inei de pe firul exterior._x000D_
_x000D_
Factori care au contribuit la producerea accidentului:_x000D_
a.	lipsa unei ungeri corespunzatoare în zona pivotului central cutie vagon - boghiu purtator la vagonul remorca deraiat, fapt ce a condus la cre?terea for?ei laterala de ghidare transmisa de catre ro?ile acestui boghiu catre ?ina de pe firul exterior al curbei;_x000D_
b.	men?inerea în serviciu a ramei electrice Z6100 cu numarul de identificare 58-0012-3 ?i vagonul remorca 58-0112-1 cu un poten?ial tehnic care nu asigura conditii de siguran?a, confort ?i securitate a circulatiei, dupa depa?irea normei de timp, impusa pentru efectuarea repara?iilor planificate;_x000D_
c.	cumularea, sub ac?iunea for?elor dinamice transmise ?inelor de ro?ile materialului rulant, a efectelor generate de defectele geometriei caii, fapt care a influen?at descarcarea de sarcina a boghiului purtator la vagonul remorca deraiat. 
Direct cause _x000D_
The direct cause of the accident was the overclimbing of the active shoulder of the rail head from the exterior rail of the curve, by the leading wheel (right one in the running direction of the train) of the axle no.5 from the trailer wagon no.58-0112-1, because the increase of the ratio between the lateral forces appeared at the contact wheel-rail and the load acting on that wheel, exceeding the derailment stability limit._x000D_
Increase on the ratio between the lateral forces and the load acting on this wheel happened because the transfer of the load of that wheel and increase of the lateral force (guiding) of that wheel acting on the exterior rail._x000D_
_x000D_
Contributing factors:_x000D_
a.	lack of a suitable lubrication at the central pin wagon body – carrying bogie at the trailer wagon derailed, it leading to the increase of the lateral guiding force transmited by the wheels of that bogie to the exterior rail of the curve;_x000D_
b.	keep in service of the train set Z6100, matriculation no. 58-0012-3 and of the trailer wagon 58-0112-1 with a technical potential that did not ensure the safety conditions, comfort and traffic security, after exceeding the time norm, imposed for the performance of the palnned repairs;_x000D_
c.	cumulation, under the action of the dynamic forces sent to the rails by the wheels of the rolling stock, of the effects generated by the track geometry failures, it led to the load transfer of the carrying bogie from the trailer wagon derailed.</t>
  </si>
  <si>
    <t xml:space="preserve"> 
Underlying causes_x000D_
a.	infringement of the provisions from point 3.1 from the Railway Norm "Railway vehicles. Types of inspections and planned repairs. Norms of time and norms of km run for the performance of the inspections and planned repairs", approved through the Order of Minister of Transports and Infrastructure OMTI no.315/2011, amended through no.1359/2012, concerning the withdrawal from operation of the railway vehicle for planned repairs;_x000D_
b.	infringement of the provisions from the tabel no.3.1, point A.8 from the Railway Norm "Railway vehicles. Types of inspections and planned repairs. Norms of time and norms of km run for the performance of the inspections and planned repairs", approved through the Order of Minister of Transports and Infrastructure OMTI no.315/2011, amended through no.1359/2012, concerning the time norm for the performance of the inspections and repairs at the electric train sets type Z 6100;_x000D_
c.	infringement of the provisions of art.7, point A.1. from „Instruction of norms and tolerances for the track construction and maintenance – lines with standard gauge - no.314/1989”, concerning the tolerances accepted for the cross level of a rail against another one. _x000D_
_x000D_
Root causes _x000D_
The root cause was the lack in the procedure „Planning of inspections and repairs for locomotives, multiple units and electric train sets got by SNTFC „CFR Calatori” SA – code PO-0-7.1-14”, drafted in 2012, document part of the safety management system of the railway undertaking, of a provisions stipulating the obligation to withdraw from operation the motorised railway vehicles for planned repairs when they reach the time norms (days, months, years) or the norms of run km, as it is stipulated in the reference document (OMTI no.315/2011).</t>
  </si>
  <si>
    <t>RO-5219</t>
  </si>
  <si>
    <t>Train derailment, 01-01-17, Brasov (Romania)</t>
  </si>
  <si>
    <t>the banking locomotive that push the freight  train no.50480-1 derialed on the switch no.47 from the Brasov railway station</t>
  </si>
  <si>
    <t>Brasov</t>
  </si>
  <si>
    <t>Cauza directa a producerii accidentului o constituie escaladarea fe?ei laterale active a ciupercii ?inei de legatura de catre buza bandajului ro?ii din stânga a primei osii în sensul de mers ca urmare a cre?terii raportului dintre for?a conducatoare ?i sarcina ce ac?ionau pe aceasta roata, depa?indu-se astfel limita de stabilitate la deraiere. Aceasta cre?tere a fost generata de:_x000D_
?	descarcarea de sarcina a ro?ii nr.2, provocata de torsionarea caii pe linia abatuta a schimbatorului de cale, cumulata cu transferul de sarcina între ro?ile primei osii în sensul de mers a locomotivei amplificat în regim dinamic;_x000D_
?	cre?terea unghiului de atac al ro?ii nr.2 a primei osii, datorita valorii ordonatei din cuprinsul schimbatorului nr.47, care în punctul Y6 era cu 5 mm mai mica decât valoarea minima a toleran?ei admise în exploatare._x000D_
		_x000D_
Factorii care au contribuit la producerea accidentului_x000D_
_x000D_
•	men?inerea în exploatare a schimbatoarelor de cale cu componente ?i elemente geometrice care nu respecta toleran?ele admise;_x000D_
•	men?inerea în serviciu a locomotivei EA nr.40-0223-0 cu un poten?ial tehnic care nu asigura conditii de siguran?a ?i securitatea circulatiei, dupa depa?irea normei de timp impuse pentru efectuarea repara?iilor planificate ?i cu un zgomot anormal la boghiul nr.1, neremediat. 
Direct cause of the accident the overclimbing of the lateral active side of the rail head by the flange of left wheel from the first axle in the running direction, because the increase of the ratio between the guiding force and the load acting on this wheel, exceeding in a such way the derailment stability limit. This increase was generated by:_x000D_
?	load trasfer of the wheel no.2, generated by the track twist on the deflecting section of the switch, cummulated with the load transfer between the wheels of the first axle in the running direction of the locomotive amplified in dynamic condition;_x000D_
?	increase of the angle attack of the wheel no.2 from the first axle, because the value on the Oy axis within the switch no.47, that in the point Y6 was with 5 mm under the minimum value of the accepted operation tolerance._x000D_
	_x000D_
Contributing factors_x000D_
_x000D_
•	keeping in operation of the switch with components and geometric element that did not meet with the accepted tolerances;_x000D_
•	keeping in operation of the locomotive EA nr.40-0223-0 with a technical potential that did not ensure the safety conditions and traffic security, after exceeding the time limit imposed for the performance of the planned repairs and with a noise abnormal at the bogie no.1, non-removed.</t>
  </si>
  <si>
    <t>Cauzele subiacente _x000D_
_x000D_
1)	nerespectarea art.19.2 din Instruc?ia de norme ?i toleran?e pentru construc?ia ?i între?inerea caii - linii cu ecartament normal - nr.314/1989  referitoare la toleran?ele admise fa?a de ecartamentul prescris la aparatele de cale;_x000D_
2)	nerespectarea art.19.6 din Instruc?ia de norme ?i toleran?e pentru construc?ia ?i între?inerea caii - linii cu ecartament normal - nr.314/1989  referitoare la toleran?ele admise fa?a de nivelul prescris la aparatele de cale;_x000D_
3)	nerespectarea art.1, pct. 14.1, lit.c din Instruc?ia de norme ?i toleran?e pentru construc?ia ?i între?inerea caii - linii cu ecartament normal - nr.314/1989  referitoare la varia?ia abaterilor de la ecartament admise în exploatare, exprimata în mm/m;_x000D_
4)	nerespectarea art.7.4 din Instruc?ia de norme ?i toleran?e pentru construc?ia ?i între?inerea caii - linii cu ecartament normal - nr.314/1989  referitoare la valorile admise ale torsionarii caii; _x000D_
5)	nerespectarea valorilor prescrise în catalogul de „Aparate de cale APCAROM, edi?ia I – 1983”, pentru ordonatele ?inei de legatura exterioara a curbei liniei deviate a aparatului de cale nr.47 cu caracteristicile tehnice: tipul  49, ecartament 1435 mm, raza R = 300 m, tangenta 1/9, ace flexibile, devia?ie stânga;_x000D_
6)	nerespectarea prevederilor Normativului feroviar "Vehicule de cale ferata. Tipuri de revizii ?i repara?ii planificate. Normele de timp sau normele de kilometri parcur?i pentru efectuarea reviziilor ?i repara?iilor planificate", aprobat prin Ordinul ministrului transporturilor si infrastructurii nr.315/2011 modificat ?i completat prin OMTI nr.1359/2012, pct.3.1, de retragere a locomotivei din serviciu pentru efectuarea repara?iilor planificate;_x000D_
7)	nerespectarea normelor de timp pentru efectuarea reviziilor ?i repara?iilor planificate stipulate în Normativul feroviar "Vehicule de cale ferata. Tipuri de revizii ?i repara?ii planificate. Normele de timp sau normele de kilometri parcur?i pentru efectuarea reviziilor ?i repara?iilor planificate", aprobat prin Ordinul ministrului transporturilor ?i infrastructurii nr.315/2011, modificat ?i completat prin OMTI nr.1359/2012, tabelul nr.3.1._x000D_
_x000D_
Cauze primare_x000D_
_x000D_
1)	Nerespectarea specificatiilor tehnice, standardelor si cerintelor relevante pe întreg ciclul de viata a liniilor în procesul de întretinere”, parte a sistemului de management al sigurantei administratorului de infrastructura feroviara publica CNCF „CFR” SA, referitoare la executarea lucrarilor de între?inere ?i repara?ii periodice a liniilor de cale ferata;_x000D_
2)	Procedura opera?ionala privind activitatea de mentenan?a a parcului de locomotive apar?inând operatorului de transport nu face referire ?i la necesitatea ?i periodicitatea efectuarii repara?iilor planificate. 
Underlying causes _x000D_
_x000D_
1)	infringement of art.19.2 from Instruction of norms and tolerances for the track construction and maintenance – lines with standard gauge - no.314/1989  concerning the tolerances accepted against the gauge established for switches;_x000D_
2)	infringement of art.19.6 from Instruction of norms and tolerances for the track construction and maintenance – lines with standard gauge - no.314/1989  concerning the accepted tolerances against the limit established for the switches;_x000D_
3)	infringement of art.1, point 14.1, letter c from Instruction of norms and tolerances for the track construction and maintenance – lines with standard gauge - no.314/1989 concerning the variation af the daviations from the gauge, accepted in operation, expressed in mm/m;_x000D_
4)	infringement of art.7.4 from Instruction of norms and tolerances for the track construction and maintenance – lines with standard gauge - no.314/1989 concerning the values accepted for track twist; _x000D_
5)	lack of compliance with the values established in the catalog „Switches APCAROM, edition I – 1983”, for the the value on the Oy axis  of the exterior connection rail of the curve of the diverging track of the switch no.47 with the technical characteristics: type  49, gauge 1435 mm, radius R = 300 m, tangent 1/9, flexible points, left deviation;_x000D_
6)	infringement of the provisions of the Railway Norm "Railway vehicles. Types of inspections and planned repairs. Norms of time and norms of km run for the performance of the inspections and planned repairs", approved through the Order of Minister of Transports and Infrastructure OMTI no.315/2011, amended through no.1359/2012, point 3.1, for withrawal the locomotive from operation for planned repairs;_x000D_
7)	lack of compliance with the time norms for the performance of inspections and planned repairs stipulated in the Railway Norm "Railway vehicles. Types of inspections and planned repairs. Norms of time and norms of km run for the performance of the inspections and planned repairs", approved through the Order of Minister of Transports and Infrastructure OMTI no.315/2011, amended through no.1359/2012, table 3.1._x000D_
_x000D_
C.7.3.Root causes_x000D_
_x000D_
1)	infringement of the technical specifications, standards and requirements relevant for the whole life cycle of the lines in maintenance process”, part of the safety management system of the railway public infrastructure manager CNCF „CFR” SA, concerning the performance of maintenance and periodical repirs at the lines;_x000D_
2)	the operational procedure for the maintenance of the locomotive stock got by the railway undertaking does not stipulate the need and periodicity of the planned repair performance.</t>
  </si>
  <si>
    <t>HU-5216</t>
  </si>
  <si>
    <t>Trains collision, 02-01-17, Between Cegledbercel-Csero and Cegléd stations (Hungary)</t>
  </si>
  <si>
    <t>Locomotive of the passenger train No. 2846 (daily service between Budapest Nyugati and Cegléd stations) brake down between Ceglédbercel-Csero and Cegléd stations at Budai út stop. The stuff responsible for the railway traffic on the line decided using the following train (IC616 - daily InterCity service between Budapest Nyugati and Záhony stations) to move the failed train (uncoupled) to Cegléd station, which is 6.5 km from the site where the locomotive brake down.  The EÉVb-equipments (TWPS) on both locomotive were switched into "shunting" position which allowed 40 km/h restricted speed. During the movement the speed of the assisting train slightly decreased and distance between two trains become cca. 30 m, when the EÉVB (TWPS) on the failed train applied the emergency brake because the speed of the train reached the restricted 40 km/h speed limit. The assisting train was not able to stop before the failed train and run into its rear end.</t>
  </si>
  <si>
    <t>Between Cegledbercel-Csero and Cegléd stations</t>
  </si>
  <si>
    <t xml:space="preserve">Direct causes:
The factors which had direct effect on the occurrence were as follows:
a)	The train № 616 did not fall behind the passenger train in front of it after the push was ended.
b)	The two trains were not coupled.
Indirect causes:
Indirect causes of the occurrence:
a)	There was no continuous communication contact between the two locomotive drivers.
b)	The train control devices were not set properly for the task.
</t>
  </si>
  <si>
    <t>Root causes:
Causes which are distant from each other both temporally and spatially (located in the regulatory environment and in the safety management system) but which are related to the operation of the system:
a)	The unregulated, unsafe activity (pushing of trains by other trains) was a common activity.
b)	MÁV Zrt. as railway network operator found that kind of assistance necessary, but failed to specify rules to be applied in such situations.
c)	The rules in the system of existing instructions were not focused on given situations but the rules applicable for a given situation need to be collected from various places, i.e. the structure of instructions is inappropriate.
d)	Due to inappropriate safety culture, the person who recognised the unsafe and incompliant nature of the activity made no attempt to direct the attention of the stakeholders on the problem.
e)	Due to inappropriate safety culture, no one demanded accurate regulation, although this form of assistance was applied quite often.
Other risk factors:
The IC reveals no such factor.</t>
  </si>
  <si>
    <t>DE-5230</t>
  </si>
  <si>
    <t>Train derailment, 6/1/2017, Mellenbach‐Glasbach</t>
  </si>
  <si>
    <t>Am 06.01.2017 gegen 06:38 Uhr entgleiste der Reisezug RB 29870 des Eisenbahnverkehrsunternehmens DB RegioNetz Verkehrs GmbH Oberweißbacher Berg‐ und Schwarzatalbahn (OBS) auf der Fahrt von Katzhütte nach Rottenbach bei der Einfahrt in den Bahnhof (Bf) Mellenbach‐Glasbach in der von der Spitze her befahrenen Rückfallweiche W 2 mit einem Drehgestell. Die Zugentgleisung ereignete sich auf der eingleisigen Nebenbahn Rottenbach – Katzhütte des Infrastrukturbetreibers DB RegioNetz Infrastruktur GmbH im Bf Mellenbach‐Glasbach.</t>
  </si>
  <si>
    <t>Mellenbach-Glasbach</t>
  </si>
  <si>
    <t>DB RegioNetz Verkehrs GmbH
Oberweißbacher Berg‐ und Schwarzatalbahn (OBS)</t>
  </si>
  <si>
    <t>DB RegioNetz Infrastruktur GmbH</t>
  </si>
  <si>
    <t>Personen wurden weder verletzt noch getötet. Es entstanden Sachschäden an der Infrastruktur und am entgleisten Fahrzeug.</t>
  </si>
  <si>
    <t>Die Rückfallweiche 2 im Bahnhof Mellenbach-Glasbach befand sich nicht in Endlage als sie von der RB 29870 befahren wurde.</t>
  </si>
  <si>
    <t>Die Funktion der Rückstelleinrichtung der Rückfallweiche war zum Unfallzeitpunkt gestört.</t>
  </si>
  <si>
    <t>ES-5240</t>
  </si>
  <si>
    <t>Train derailment, 06-01-17, Iruña de Oca (Spain)</t>
  </si>
  <si>
    <t>Derailment of 4 axles of a long distance passenger train, probably caused by a broken rail. Three of the axles got railed again by themselves, but the fourth one advanced derailed for 1960 meters, until the train stopped.</t>
  </si>
  <si>
    <t>Iruña de Oca</t>
  </si>
  <si>
    <t>The direct cause was a failure in the infrastructure, because of a faulty manufacture of the bar that lead to a breakage of the right rail. A quick cooling in the casting process caused an internal crack (kidney-shaped flaw) that advanced over time._x000D_
_x000D_
A contributing factor was the elapsed time since the casting of the rail (53 years) and its installation (49 years).</t>
  </si>
  <si>
    <t>The underlying cause is that previous track monitoring didn’t detect any fault in the rail. Inspections on foot and on cab didn’t detect it (although this fault is hardly detectable in these kinds of inspections), neither ultrasonic auscultation of the rail in 2015 and 2016 did (there was not auscultation in 2014)._x000D_
_x000D_
However, ultrasonic auscultation in 2011, 2012 and 2013 actually detected a fault (kidney-shaped flaw) in the rail, but it was not appropriately solved._x000D_
_x000D_
As ultrasonic auscultations in 2015 and 2016 didn’t detect any flaw in the rail, and they followed the procedure for ultrasonic auscultation of the IM’s SMS (SGSC-PO-24.00.09), it can be concluded that the procedure was not effective. So, this can be considered as a root cause._x000D_
_x000D_
Another root cause has to do with the fact that a flaw was actually detected in 2011, 2012 and 2013: maintenance procedures should include supervision means for an adequate tracking of its actions. Given the graveness of this kind of occurrences, it’s necessary to reconsider the procedures and resources allocated to ultrasonic auscultation of rails.</t>
  </si>
  <si>
    <t>PT-5474</t>
  </si>
  <si>
    <t>Train derailment, 06-01-17, Vila Franca das Naves (Portugal)</t>
  </si>
  <si>
    <t>Last wagon (Shimms type loaded with steel coils) of a freight train derailed while passing at speed through Vila Franca das Naves station. 
Enquanto passava a estação de Vila Franca das Naves, descarrilou o último vagão de um comboio de mercadorias (vagão tipo Shimms carregado com bobinas de aço).</t>
  </si>
  <si>
    <t>Vila Franca das Naves</t>
  </si>
  <si>
    <t>MEDWAY</t>
  </si>
  <si>
    <t>SK-5262</t>
  </si>
  <si>
    <t>Level crossing accident, 07-01-17, Poprad-Tatry station (Slovak Republic)</t>
  </si>
  <si>
    <t>Poprad-Tatry station</t>
  </si>
  <si>
    <t>Direct Cause of the accident - entering a vehicle on a railway crossing when the train passed this crossing and not respect the sign to stop</t>
  </si>
  <si>
    <t>AT-5232</t>
  </si>
  <si>
    <t>Level crossing accident, 08-01-17, Liezen (Austria)</t>
  </si>
  <si>
    <t>Am Sonntag, dem 08. Jänner 2017 kam es auf einer nicht technisch gesicherten Eisenbahnkreuzung zwischen Bf Liezen und Hast Wörschach Schwefelbad zu einem Zusammenprall zwischen Z 4472 und einem PKW. Dabei wurde nur der Fahrer des PKW verletzt, der Tfzf und die ca. 5 Fahrgäste von Z 4472 blieben unverletzt. Die Ursache für den Zusammenprall war die Unachtsamkeit des PKW Fahrers der den herannahenden Zug aus der Richtung Liezen übersah und die Eisenbahnkreuzung aufgrund der Witterungsverhältnisse nicht mehr rechtzeitig verlassen konnte. 
On 8th January 2017, at about 08:45 am, a collision between Z 4472 and a passenger car occurred on a non-technically secured EK km 85,111 of route 10201 between Bf Liezen and the Hst Wörschach Schwefelbad. The driver of the car was seriously injured, the Train was damaged on the front side. Entry of the car into the non-technically secured Level Crossing immediately before the approaching Z 4472.</t>
  </si>
  <si>
    <t>Liezen</t>
  </si>
  <si>
    <t>Einfahren des PKW in die nicht technisch gesicherte EK unmittelbar vor dem herannahenden Z 4472. 
Entry of the car into the non-technically secured Level Crossing immediately before the approaching Z 4472.</t>
  </si>
  <si>
    <t>HU-5229</t>
  </si>
  <si>
    <t>Train derailment, 10-01-17, Debrecen station (Hungary)</t>
  </si>
  <si>
    <t>First two wagons of the freight train No.64348 derailed shortly after its departure at Debrecen station, because a chock was remaind under the first wagon of the train. There were no personal injuries.</t>
  </si>
  <si>
    <t>Debrecen station</t>
  </si>
  <si>
    <t>DB Schenker Kft.</t>
  </si>
  <si>
    <t>Slipper under the wheel</t>
  </si>
  <si>
    <t>HR-5249</t>
  </si>
  <si>
    <t>Other event, 11-01-17, LuÅ¾ani-Malino (Croatia)</t>
  </si>
  <si>
    <t>On 11th of January 2017 at 20:20, the train driver reported that the passenger train No 2508 colud not stop at the station Lužani. 
Dana 11. sijecnja 2017. godine od upravitelja infrastrukture tvrtke HŽ Infrastruktura, dobivena je obavijest da dana 11.01.2017. godine u 20:20 sati strojovoda vlaka 2508 u stajalištu Lužani nije uspio zaustaviti vlak.</t>
  </si>
  <si>
    <t>LuÅ¾ani-Malino</t>
  </si>
  <si>
    <t>Neposredan uzrok ovog incidenta nije bilo moguce utvrditi ali se temeljem provedenog istraživanja zakljucuje da su incidentu mogli doprinijeti vremenski uvjeti (poglavlje 4.5). 
The immediate cause of this incident could not be established but based on the study it was concluded that the incident was contributed to the weather conditions (chapter 4.5).</t>
  </si>
  <si>
    <t>Organizacijski cimbenici: U propisanim postupcima pripreme vucnih vozila za zimske uvjete vožnje Održavatelja ne navodi se obveza prebacivanja ventila hladnjaka zraka u zimskim uvjetima (poglavlje 4.7). 
Organizational factors: The prescribed procedures for the preparation of towed vehicles for winter driving conditions do not specify the obligation to switch the air cooler valve (chapter 4.7).</t>
  </si>
  <si>
    <t>AT-5233</t>
  </si>
  <si>
    <t>Accident to persons caused by RS in motion, 12-01-17, Kirchstetten (Austria)</t>
  </si>
  <si>
    <t>On Thursday, the 12th of January, 2017, a woman was hit by an arriving train at Bf Kirchstetten. The usual traffic to track 2  had to be routed to track 1 because of a malfunction switch 54. While useing the passenger route on track level, the woman run into the rolling train and got seriously injured. 
Donnerstag, dem 12. Jänner 2017 wurde am Bf Kirchstetten eine Frau von einem einfahrenden, haltenden Zug erfasst. Aufgrund einer Weichenstörung bei der Weiche 54 musste der übliche Verkehr von Gleis 2 auf Gleis 1 geleitet werden. Bei dem beschreiten des schienengleichen Überganges stieß die Person gegen den rollenden Zug, wurde von diesem zur Seite geschleudert und  am Kopf schwer verletzt.</t>
  </si>
  <si>
    <t>Kirchstetten</t>
  </si>
  <si>
    <t>ES-5270</t>
  </si>
  <si>
    <t>Other event, 15-01-17, El Arahal (Spain)</t>
  </si>
  <si>
    <t>A regional train entered a diverted switch at Arahal station with speed excess, causing wounds to several passengers. This occurrence could have caused a derailment. There are contradictory versions (between driver and station staff) about the message of signals (signals are of a very old mechanical type, with no recording).</t>
  </si>
  <si>
    <t>El Arahal</t>
  </si>
  <si>
    <t>Human error of train driver, entering the diverted switch with excess of speed, contrary to the orders of previous signals (advanced signal E'1 and entrance signal E1). This violated articles 211 and 213 of circulation code (see recommendation 7/2017-2).</t>
  </si>
  <si>
    <t>The lack of a train protection system in that section of the line difficults prevention of possible human errors (see recommendation 7/2017-1).</t>
  </si>
  <si>
    <t>PT-5286</t>
  </si>
  <si>
    <t>Train derailment, 15-01-17, Livração (Portugal)</t>
  </si>
  <si>
    <t>When entering Livração station, the two rear vehicles of passenger train IR 868 derailed over the points. 
Ao entrar na estação da Livração, os dois últimos veículos do comboio IR 868 descarrilaram sobre o aparelho de mudança de via.</t>
  </si>
  <si>
    <t>Livração</t>
  </si>
  <si>
    <t>Train 868 passed switch 2 of Livração station, which had its counterweight lever broken; as the corresponding stabilizing force was not guaranteed, the points of switch 2 moved due to the stresses caused by the train, causing the wheels to take divergent paths and climb the rails._x000D_
_x000D_
a) Causal factors:_x000D_
-Although Livração station knew of the damage to switch 2 lever, train 868 was not prevented from entering without restrictions. [FCau-01]_x000D_
-Switch 2 counterweight balance was broken as a result of train 863 running through it when it was locked for a different path. [FCau-02]_x000D_
-The driver of train 863 did not realize that the path was incorrectly set, considering the start signal given by the station as a guarantee of its correct setting. [FCau-03]_x000D_
-Switch 2 had not been set to the correct position after the entrance of train 4112, due to a "rule-based design error" of the switch operator resulting from the change of routines at the trains’ meeting at the station. [FCau-04]_x000D_
-The worker in charge of operations at the station did not confirm the path before giving the start signal to train 863, relying on the actions of the switch operator. [FCau-05]_x000D_
-The Operating Control Centre was not informed of switch 2 having been run through. [FCau-06]_x000D_
-The worker in charge of operations at the station relied on the resolution of the damage in an informal way, with the assistance of a signaling technician. [FCau-07]_x000D_
-The signaling technician was unaware that the switch counterweight lever was broken because that fact was never communicated to him. [FCau-08]_x000D_
-The switch counterweight lever was cracked at the base, where it fractured. [FCau-09]_x000D_
_x000D_
b) Contributing cause:_x000D_
The driver of train 4103 did not realize that Switch 2 did not have the correct path set and that its counterweight was broken, considering that the start signal given by the station operator ensured that the route was correctly set. [FCon-01]</t>
  </si>
  <si>
    <t>c) Underlying causes:_x000D_
-Lack of knowledge by station agents of the importance of the counterweight for the safety of the switch. [CSub-01]_x000D_
-The station's agents never realized that their attitude could pose a problem for the safety of train 868. [CSub-02]_x000D_
-There is no evidence that inspection and maintenance visits to the switches include a detailed inspection of the counterweight lever to identify any cracks or other damages that could compromise its proper functioning. [CSub-03]_x000D_
_x000D_
d) Root causes:_x000D_
-The infrastructure manager's SMS procedures do not account for the risk of changes in routines on the human factors of the stations’ agents performing safety functions. [CPro-01]_x000D_
-The way in which the organization traditionally deals with the failures and errors committed by the workers led the worker responsible for operations to not report to the Operational -Control Center the running through of the points in Switch 2, due to the fear of punishment. [CPro-02]_x000D_
-The routines installed among the personnel caused some redundant safety check procedures to be relaxed. [CPro-03]_x000D_
-The risk of cracking on the counterweight lever of manual switches was not considered for the preparation of inspection and maintenance procedures. [CPro-04]</t>
  </si>
  <si>
    <t>DK-5649</t>
  </si>
  <si>
    <t>Accident to persons caused by RS in motion, 18-01-17, Nørreport Station (Denmark)</t>
  </si>
  <si>
    <t>Immediately before the train 10156 arrived at the platform a person dropped down in front of the train and got hit. 
Umiddelbart før tog 10156 ankom til perron faldt en person ned foran toget og blev påkørt.</t>
  </si>
  <si>
    <t>Nørreport Station</t>
  </si>
  <si>
    <t>Inattention from passages (alcohol influenced)</t>
  </si>
  <si>
    <t>AT-5571</t>
  </si>
  <si>
    <t>Level crossing accident, 21-01-17, between Graz webling and Graz Wetzelsdorf (Austria)</t>
  </si>
  <si>
    <t>On Saturday, 21. Januar 2017, at 17:53 o'clock the Train 8436 collided with a Police vehicle on an Level crossing with activ protection without barrier in km 3,296. The Level crossing is between the stops Graz Webling and Graz Wetzelsdorf. 
Am Samstag, 21.Jänner 2017, um 17:53 Uhr, ereignete sich auf der mit einer Lichtzeichenanlage gesicherten Eisenbahnkreuzung (EK) km 3,296 zwischen den Haltestellen Graz Webling und Graz Wetzelsdorf ein Zusammenprall zwischen Zug 8436 (SB) und einem Einsatzfahrzeug der Polizei.</t>
  </si>
  <si>
    <t>between Graz webling and Graz Wetzelsdorf</t>
  </si>
  <si>
    <t>Graz-Koeflacher Bahn und Busbetrieb GmbH</t>
  </si>
  <si>
    <t>Ursache für den Zusammenprall war das Einfahren des Einsatzfahrzeuges in den Gefahrenraum der Eisenbahnkreuzung unmittelbar vor dem herannahenden Z 8436. Die Lichtzeichenanlage der Eisenbahnkreuzung km 3,296 hat zum Unfallzeitpunkt an allen vier Signalgebern Rotlicht angezeigt. 
The cause of the collision was the entry of the operational vehicle into the danger zone of the railway crossing just before Z 8436 was approaching. At the time of the accident, the traffic light facility of the railway crossing at km 3,296 displayed the red light at all four signal transmitters.</t>
  </si>
  <si>
    <t>CZ-5234</t>
  </si>
  <si>
    <t>Level crossing accident, 23-01-17, open line between Vejprnice station and Tlucná railway stop (Czech Republic)</t>
  </si>
  <si>
    <t>Collision of regional passenger train No. 7403 with a car at level crossing P599 between Vejprnice station and Tlucná railway stop.</t>
  </si>
  <si>
    <t>open line between Vejprnice station and Tlucná railway stop</t>
  </si>
  <si>
    <t>Underlying cause:_x000D_
• behaviour of the driver in front of the level crossing, the car driver wasn't careful enough and didn't make sure whether he can safely pass the level crossing;_x000D_
_x000D_
• driver's failure to respect of the light and sound warning and ride at the level crossing at the time when it was forbidden._x000D_
_x000D_
Root cause: none.</t>
  </si>
  <si>
    <t>CZ-5243</t>
  </si>
  <si>
    <t>Train derailment, 24-01-17, Velký Å enov operating control point (Czech Republic)</t>
  </si>
  <si>
    <t>Unsecured movement with the consequent derailment of the regional passenger train No. 5452 due to aggregation of ice in area of the self-returning switch No. 1sv</t>
  </si>
  <si>
    <t>Velký Å enov operating control point</t>
  </si>
  <si>
    <t>(b) it forms part of a series of accidents or incidents relevant to the system as a whole; 
(a) the seriousness of the accident or incident</t>
  </si>
  <si>
    <t>The train driver did not obey the instruction of the signal Sv1 before entering into the self-returning switch No. 1sv.</t>
  </si>
  <si>
    <t>Underlying cause: failure to stop the regional passenger train No. 5452 in front of the self-returning switch No. 1sv and failure to control its correct position at Velký Šenov operation control point._x000D_
Root cause: none.</t>
  </si>
  <si>
    <t>UK-5246</t>
  </si>
  <si>
    <t>Train derailment, 24-01-17, Lewisham (United Kingdom)</t>
  </si>
  <si>
    <t>At 05:35 hrs on Tuesday 24 January 2017, two loaded wagons of a westbound freight train derailed as they passed over Courthill Loop South Junction, to the south of Lewisham station, while travelling at around 20 mph (32 km/h)._x000D_
The accident resulted in major damage to the railway infrastructure. The first of the two derailed wagons overturned and spilt its contents. The train divided in front of the derailed wagons and its brakes automatically applied._x000D_
There were no injuries. However, there was major disruption to local train services._x000D_
The freight train was the 03:36 hrs service from a loading terminal at Grain, on the Thames Estuary. It comprised a class 66 diesel-electric locomotive and 18 bogie hopper wagons. It was carrying building sand to Neasden, in north-west London. The wagons that derailed were the 16th and 17th from the front. They were both of the JGA type._x000D_
The track work at Courthill Loop South Junction was new. It was made up of modular panels of switches and crossings that had been part assembled offsite. They had been delivered and installed as part of engineering work carried out on the weekend of 14 and 15 January 2017. Follow-up engineering work had been carried out at the junction on the weekend before the derailment.</t>
  </si>
  <si>
    <t>Lewisham</t>
  </si>
  <si>
    <t>There was insufficient wheel load at the left-hand wheels of the leading bogie of wagon 16 to prevent the wheel flanges climbing over the rail as the wagon negotiated the newly-laid track on the Up Courthill Loop line at Courthill Loop South Junction (paragraph 77).</t>
  </si>
  <si>
    <t>Causal factors_x000D_
137 The derailment occurred due to the combination of a significant track twist and a probable lateral offset of the wagon payload._x000D_
138 The track twist formed rapidly on the Up Courthill Loop line after the renewal site was handed back into traffic on 23 January 2017 because of two causal factors:_x000D_
a. A track bed that poorly supported the bearers remained in place without measures to protect the safe running of trains (paragraph 80). This causal factor arose due to:_x000D_
i. The lack of mechanised work to correct residual geometry faults and consolidate the ballast after the adjacent and connected slow lines were tamped (paragraph 84, Learning point 1)._x000D_
ii. The manual work undertaken to correct the residual track geometry faults that did not sufficiently consolidate the ballast under the bearers (paragraph 90, Recommendation 1)._x000D_
iii. The lack of measures to mitigate the risk that the ballast may have been poorly consolidated (paragraph 95, Recommendation 2)._x000D_
b. The configuration of the bearers made one side of the track on the Up Courthill Loop line more susceptible to poor track bed support than the other (paragraph 100). This causal factor arose due to:_x000D_
i. The mechanical flexibility of the bearer tie, in that it allowed differential rotation of the short bearer sections on either side (paragraph 104, Recommendation 4)._x000D_
ii. The approved engineering drawings for the S&amp;C layout, in that they specified bearer ties that were located in the four-foot of the Up Courthill Loop line (paragraph 108, Recommendation 4)._x000D_
139 The probable offset payload on wagon 16 significantly reduced the wheel load at the front left-hand wheel (paragraphs 118, 162 and 163, Recommendation 5)_x000D_
Underlying factor_x000D_
140 The engineering processes that Network Rail and its suppliers were using to develop S&amp;C layouts incorporating its standard bearer tie were inadequate for controlling the risks associated with flange climb derailment (paragraph 122, Recommendation 4)</t>
  </si>
  <si>
    <t>HU-5236</t>
  </si>
  <si>
    <t>Spad, 26-01-17, Csengele railway station (Hungary)</t>
  </si>
  <si>
    <t>Passenger train Nr. IC702 passed a signal at danger, run through a switch and run into a route which was set for an other train coming from the oppesite direction at Csengele station. Train driver did not applied the brake of the train in time and was not able to stop before the sign with his train. The train coming from the opposite direction realised the dangerous situation and stopped before the entrance signal of the railway station. 
Az IC712 sz. vonat meghaladta Csengele állomás kijárati jelzojét, felvágott egy váltót és behaladt az ellenkezo irányból érkezo 7037 sz. vonat részére beállított vágányútba.</t>
  </si>
  <si>
    <t>Csengele railway station</t>
  </si>
  <si>
    <t>Human mistake. 
Emberi hiba.</t>
  </si>
  <si>
    <t>CZ-5241</t>
  </si>
  <si>
    <t>Level crossing accident, 30-01-17, open line between Krasíkov and Rudoltice v Cechách stations (Czech Republic)</t>
  </si>
  <si>
    <t>The collision of the long distance passenger train No. 1007 with the lorry at the active level crossing No. 6519 equipped with barriers.</t>
  </si>
  <si>
    <t>open line between Krasíkov and Rudoltice v Cechách stations</t>
  </si>
  <si>
    <t>RegioJet a.s.</t>
  </si>
  <si>
    <t>Direct cause:_x000D_
• a deadlock of the lorry in a structure gauge of the first line track at the level crossing No. P6519 during a ride of the long distance passenger train No. 1007._x000D_
Contributory factors:_x000D_
• snow and ice on the road in the area before the level crossing;_x000D_
• a construction and technical state of the level crossing No. P6519, which was not meet a free width requirement according to Section 37, paragraph 2 of the Act No. 13/1997 Coll. and which was threatened safety of the level crossing users due to its technical design.</t>
  </si>
  <si>
    <t>Underlying causes:_x000D_
• the lorry driver’s behavior after the warning state-on had ended – the lorry driver had wrongly evaluated the structural and traffic-technical condition of the level crossing roadway and the immediate traffic situation on the road of the level crossing before he went at the level crossing;_x000D_
• the lorry entrance at the level crossing when the traffic situation on the road did not ensure safety movement of the lorry over the level crossing._x000D_
Root cause: none.</t>
  </si>
  <si>
    <t>CZ-5244</t>
  </si>
  <si>
    <t>Level crossing accident, 30-01-17, open line between Kralupy nad Vltavou predmestí station and Velvary operational control point (Czech Republic)</t>
  </si>
  <si>
    <t>Collision of the regional passenger train No. 20305 with a car at the level crossing No. P2106.</t>
  </si>
  <si>
    <t>open line between Kralupy nad Vltavou predmestí station and Velvary operational control point</t>
  </si>
  <si>
    <t>Direct cause:_x000D_
• unauthorized entry of the car onto the level crossing at the time when the train No. 20305 was arriving._x000D_
_x000D_
Contributory factor: none.</t>
  </si>
  <si>
    <t>Underlying causes:_x000D_
• enter of the car on the level crossing at the time when the arriving train could be visible and audible;_x000D_
• behaviour of the driver in front of the level crossing, the car driver wasn't careful enough._x000D_
_x000D_
Root cause: none.</t>
  </si>
  <si>
    <t>IE-5248</t>
  </si>
  <si>
    <t>Level crossing near miss, 31-01-17, Athlone Co Westmeath (Ireland)</t>
  </si>
  <si>
    <t>Near miss at XM065, Knockcroghery CCTV Level Crossing on the Athlone to Wesport Line</t>
  </si>
  <si>
    <t>Athlone Co Westmeath</t>
  </si>
  <si>
    <t>The immediate cause of Train A805 passing through LC XM065 with a car inside the lowered barriers, was as a result of the LCCO clearing the level crossing while the car was within the confines of the level crossing.</t>
  </si>
  <si>
    <t>•	There was no adequate risk assessment process for the position of Closed Circuit Television (CCTV) level crossing cameras;_x000D_
•	There is no adequate ‘non-technical skills’ training or documentation to assist LCCOs in their duties.</t>
  </si>
  <si>
    <t>DE-5245</t>
  </si>
  <si>
    <t>Unauthorised train movement other than SPAD, 01-02-17, Gruiten (Germany)</t>
  </si>
  <si>
    <t>ICE-T 1522 fuhr am Bahnhof Gruiten in das von DPN 32486 besetzten Gleis 507. 
ICE-T 1522 entered into the railway station Gruiten on track 507 occupied by DPN 32486.</t>
  </si>
  <si>
    <t>Gruiten</t>
  </si>
  <si>
    <t>Der für den Bahnhof Gruiten zuständige Fahrdienstleiter (Fdl) hat vor Einfahrt des ICE nach Gleis 507 eine von der Gleisfreimeldeanlage angezeigte Besetztanzeige mittels Achszählergrundstellungstaste (AzGrT) Bedienung aufgehoben, ohne die vorgeschriebene betriebliche Voraussetzung, den betroffenen Abschnitt durch Hinsehen zu prüfen, erfüllt zu haben. Anschließend stimmte der Fdl der Einfahrt des ICE 1522 durch Fahrtstellen des Einfahrsignals (Esig) B517 zu. Einen Auftrag zum Fahren auf Sicht hatte der Tf des ICE nicht erhalten. 
Before the entry of the ICE on track 507, the train dispatcher, who was responsible for the railway station Gruiten, had canceled a busy signal displayed by the track detection system by means of the axle counter reset button, without having fulfilled the prescribed operational requirement to check the specific section by eye control. Subsequently, the train dispatcher agreed to let the ICE 1522 enter by using the approach signal B517. An order for driving on sight had not been received by the train driver of the ICE.</t>
  </si>
  <si>
    <t>NO-5242</t>
  </si>
  <si>
    <t>Accident to persons caused by RS in motion, 02-02-17, Holstein (Norway)</t>
  </si>
  <si>
    <t>On thursday 2 February 2017 a young girl lost her life at Holstein metro station. The person fell between the platform and the metro train. The accident occurred when the train was leaving the station. The Accident Investigation Board, Norway carried out initial investigations in the station area and of the metro train the same day. 
Torsdag 2. februar 2017 omkom en ung jente på Holstein T-banestasjon. Personen falt mellom plattformen og T-toget. Ulykken skjedde da toget var på vei ut fra stasjonen. Statens havarikommisjon for transport gjennomførte innledende undersøkelser på stasjonen og av T-banetoget samme dag._x000D_
_x000D_
Undersøkelsen vil ha fokus på å klarlegge hendelsesforløp og peke på mulige årsaksforhold._x000D_
_x000D_
Eventuelle bakenforliggende forhold som kan ha bidratt til at ulykken skjedde vil bli kartlagt og analysert.</t>
  </si>
  <si>
    <t>Holstein</t>
  </si>
  <si>
    <t>There are gaps big enough for a person to fall onto the track between each carriage and where the train sets are connected. Falling between the platform and the train entails a great risk of serious personal injury or death. Sporveien T-banen AS has previously concluded that physical barriers between the edge of the platform and the track would be too costly and uncertain a measure to introduce on existing platforms.</t>
  </si>
  <si>
    <t>HU-5450</t>
  </si>
  <si>
    <t>Level crossing accident, 05-02-17, Kiskunfélegyháza (Hungary)</t>
  </si>
  <si>
    <t>The 37226 local train collided with a car. One of passenger of the car has died.  The driver of the car got serious injuries. 
A 37226 sz. személyvonat egy személygépkocsival ütközött. A szemékygépkocsi utasa a helyszínen meghalt. A gépjármu vezetoje súlyos sérüléseket szenvedett,</t>
  </si>
  <si>
    <t>Kiskunfélegyháza</t>
  </si>
  <si>
    <t>A személygépkocsi vezetoje nagy sebességgel, lassítás és kello körültekintés nélkül, így a közeledo vonatot nem észlelve haladt be a vasúti átjáróba, ahol a személyvonat nekiütközött. 
The driver of the car has entered the level crossing at high speed without slowing down and taking due care, so he did not detect the approaching train at the level crossing and was hit by the passenger train.</t>
  </si>
  <si>
    <t>A személygépkocsi vezetoje nem rendelkezett jogosítvánnyal, így kello ismeretekkel és tapasztalattal a vasúti átjárókon tanúsítandó közlekedési magatartás kapcsán. 
The driver of the car did not have a license, so he had the necessary knowledge and experience of the traffic behavior on the level crossings.</t>
  </si>
  <si>
    <t>DE-5346</t>
  </si>
  <si>
    <t>Train derailment, 06-02-17, München-Riem Ubf (Germany)</t>
  </si>
  <si>
    <t>Am 06.02.2017 gegen 21:15 Uhr entgleiste der Güterzug KT 62902 auf der Fahrt von Mün-chen-Riem Ubf nach Hamburg-Billwerder Ubf beim Anfahren im Gleis 81 des Bahnhofsteils (Bft) München-Riem Ubf mit dem nachlaufenden Drehgestell des dritten Doppel-Taschenwagens in Fahrtrichtung rechts.</t>
  </si>
  <si>
    <t>Bft München-Riem Ubf</t>
  </si>
  <si>
    <t>Germany - DB Netz AG</t>
  </si>
  <si>
    <t>Es entstanden Sachschäden an den Eisenbahnfahrzeugen und an der Infrastruktur von etwa 65.000 Euro.</t>
  </si>
  <si>
    <t>Als ursächlicher Faktor für die Entgleisung konnte festgestellt werden, dass der betroffene Doppel-Taschenwagen während des Umschlagvorgangs durch eine Verkantung zwischen Wechselbehälter und Lagerzapfen angehoben und in der Folge mit dem Spurkranz eines Rades am in Fahrtrichtung dritten Drehgestell auf dem Schienenkopf abgesetzt wurde.</t>
  </si>
  <si>
    <t>UK-5272</t>
  </si>
  <si>
    <t>Accident to persons caused by RS in motion, 06-02-17, Bank Station (DLR) London (United Kingdom)</t>
  </si>
  <si>
    <t>At around 21:30 hrs on 6 February 2017, an incident occurred at Bank station on the Docklands Light Railway (DLR). A passenger became trapped by their coat, in the closing doors of a train preparing to depart. The passenger managed to quickly get out of the coat, which remained trapped. A short time later, the coat was dragged into the tunnel by the train. The passenger, who was not dragged, was not physically injured, but the incident caused considerable distress. The coat was subsequently recovered by DLR staff.</t>
  </si>
  <si>
    <t>Bank Station (DLR) London</t>
  </si>
  <si>
    <t>The train departed with the passenger’s coat trapped in a closed door.</t>
  </si>
  <si>
    <t>The causal factors were:_x000D_
a) The drawstring on the passenger’s coat became trapped in a closed door (paragraph 39, no recommendation)._x000D_
b) The trapped drawstring was not detected by the door control system (paragraph 43, no recommendation)._x000D_
c) The PSA was unaware that an object had become trapped in the leading door because he was operating the doors from the EDP and the CCTV monitor he was relying on did not show the leading door (paragraph 48, Recommendation 3)._x000D_
d) The passenger was unable, in the available time, to release the coat or to raise the alarm (paragraph 57, Recommendations 1 and 2)._x000D_
Underlying factor_x000D_
84 An underlying factor was that the processes used by KAD to detect, mitigate and rectify CCTV system defects were not robust (paragraph 68, Recommendation 3)</t>
  </si>
  <si>
    <t>RO-5250</t>
  </si>
  <si>
    <t>Train derailment, 07-02-17, Cenad - Sannicolau Mare (Romania)</t>
  </si>
  <si>
    <t>The passenger train no. 14389 derailed in open line between Cenad and Sannicolau Mare railway stations. All 4 axle  from the power car of DMU AMX 526 derailed and the first two axle from the trailer car.</t>
  </si>
  <si>
    <t>Cenad - Sannicolau Mare</t>
  </si>
  <si>
    <t>Cauza directa a producerii accidentului feroviar o constituie caderea între firele caii a ro?ii din partea stânga (ce rula pe firul interior al curbei), a primei osii (osie de atac) a trenului, datorita starii tehnice necorespunzatoare a caii în  curba la km 66+450 al liniei curente Sânnicolau Mare – Cenad. Acest lucru s-a produs în conditiile cre?terii valorii ecartamentului caii peste toleran?ele admise, ca urmare a deplasarii laterale a ?inei de pe firul exterior al curbei sub ac?iunea for?elor dinamice transmise caii de catre materialul rulant în mi?care._x000D_
Factori care au contribuit_x000D_
-  nefixarea ?inei de la firul exterior al curbei pe capetele a patru traverse de lemn consecutive existente în cale la locul producerii deraierii, fapt ce a facut posibila sub ac?iunea for?elor dinamice dezvoltate de materialul rulant aflat în circula?ie, supralargirea ecartamentului caii la valori peste toleran?ele admise în exploatare;_x000D_
-  nefixarea ?inei de la firul interior al curbei pe capetele a trei traverse de lemn consecutive existente în cale la locul producerii deraierii, fapt ce a facut posibila sub ac?iunea for?elor dinamice dezvoltate de materialul rulant aflat în circula?ie, supralargirea ecartamentului caii la valori peste toleran?ele admise în exploatare;_x000D_
- starea tehnica necorespunzatoare a traverselor de lemn existente în cale în zona imediat premergatoare ,,punctului 0” (locului în care s-a produs deraierea), care sub ac?iunea for?elor dinamice transmise de materialul rulant catre elementele de fixare a placilor metalice, nu mai aveau capabilitatea de a men?ine în toleran?e valoarea ecartamentului caii;_x000D_
- neasigurarea bazei materiale a Districtului de linii Sânnicolau Mare cu traverse normale de lemn (materiale feroviare critice încadrate la clasa de risc IA), necesare de înlocuit în urgen?a I, conform ultimelor recensaminte ale traverselor necorespunzatoare din cale efectuate de catre ?eful de district linii Sânnicolau Mare (octombrie 2015 respectiv octombrie 2016);_x000D_
- nealocarea suficienta a resurselor umane necesare în vederea executarii lucrarilor de mentenan?a a infrastructurii feroviare la nivelul Districtului de linii Sânnicolau Mare; 
Causes and contributing factors_x000D_
Direct cause of the accident is the fall between the rails of the left wheel (running on the inside rail of the curve), from the first axle (guiding axle)  of the train, following the unsuitable condition of the track on the curve from km 66+450 of the running line Sânnicolau Mare – Cenad. It happened because the increase of the gauge value over the accepted tolerances, following the lateral movement of the outside rail of the curve under the action of the dynamic forces transmitted to the track by the running  rolling stock._x000D_
Contributing factors_x000D_
-  non-fastening of the outside rail of the curve on the ends of four consecutive wooden sleepers existing at the derailment site, it making possible under the dynamic forces generated by the rolling stock in running, the gauge widening over the accepted operation tolerances;_x000D_
- non-fastening of the inside rail of the curve on the ends of three consecutive wooden sleepers existing at the derailment site, it making possible under the dynamic forces generated by the rolling stock in running, the gauge widening over the accepted operation tolerances;_x000D_
- unsuitable technical condition of the wooden sleepers existing very close to the ,,point 0” (derailment site), that under the action of the dynamic forces transmitted by the rolling stock to the fastening elements of the metallic plates, could not keep the gauge value between the tolerances;_x000D_
- non-supplying of the Line District Sânnicolau Mare with normal wooden sleepers (critical railway materials included in the class of risk IA), necessary to be replaced  emergency I, according to the last records of the unsuitable sleepers made by the district inspector Sânnicolau Mare (Octomber 2015, respectively October 2016);_x000D_
- insufficient human resources for the performance of the railway infrastructure maintenance in the Line District Sânnicolau Mare;</t>
  </si>
  <si>
    <t>Cauze subiacente_x000D_
-	nerespectarea prevederilor art.25, alin.(2) ?i alin.(4) din „Instruc?ia de norme ?i toleran?e pentru construc?ia ?i între?inerea caii – linii cu ecartament normal, nr.314/1989“, referitoare la defectele care impun înlocuirea traverselor de lemn ?i la neadmiterea men?inerii în cale a traverselor necorespunzatoare;_x000D_
-	nerespectarea prevederilor pct.4.1, din Cap.4 „Norme de manopera ?i de consum de materiale”, al „Instruc?iei de între?inere a liniilor ferate nr.300/1982” referitoare la asigurarea normei de manopera la între?inerea curenta în execu?ie manuala;_x000D_
-	neaplicarea prevederilor din Fi?a Nr.11 ?i Fi?a Nr.12  a Instruc?iei 305/1997 ,,privind fixarea  termenelor ?i a ordinii în care trebuie efectuate reviziile caii”._x000D_
_x000D_
Cauze primare_x000D_
-	Neaplicarea prevederilor Instructiei de întretinere a liniilor ferate nr. 300/1982, document asociat al procedurii de proces cod PP-63 „ Mentenanta infrastructurii feroviare”, parte a sistemului de management al sigurantei al RC – CF Trans SRL Brasov, referitoare la verificarea trimestriala a liniilor cu CMC/tiparul de masurat calea si la dimensionarea personalului subunita?ilor de între?inere linii, în raport cu volumul de lucrari, fapt confirmat de subdimensionarea personalului districtului de linii Sânnicolau Mare;_x000D_
-	Neprevederea în „Diagrama flux” a procesului „Diagnoza caii ?i recensaminte de lucrari”, din cadrul procedurii de proces, cod PP-63 „ Mentenanta infrastructurii feroviare”, a opera?iilor de efectuare a reviziilor periodice ale caii pentru func?iile de ?ef sec?ie linii ?i ?ef sec?ie linii adjunct, prevazute în Instructiei privind fixarea termenelor si a ordinii în care trebuie efectuate reviziile caii” nr. 305/1997 (Fi?a Nr.11 ?i Fi?a Nr.12), document asociat al acestei proceduri. Functiile sus amintite nu sunt cuprinse nici în ,,statul de func?ii” al gestionarului de infrastructura; 
Underlying causes_x000D_
-	infringement of the provisions from art.25, paragraphs (2) and (4) from „Instruction of norms and tolerances for the line construction and maintenance – lines with standard gauge no.314/1989“, concerning the failures that impose the replacement of the wooden sleepers and non keeping within the line of the unsuitable sleepers;_x000D_
-	infringement of the provisions of point 4.1, from Chapter 4 „Norms of manpower and material consumption”, from „Instruction for the line maintenance  no.300/1982” concerning the assurance of the manpower norm for the current hand maintenance;_x000D_
-	non-application of the provisions from Sheets no. 11 and 12  from the Instruction 305/1997 ,,concerning the establishment of terms and order for the track inspection”._x000D_
_x000D_
Root causes_x000D_
-	non-application of the provisions from the Instruction for the line maintenance no. 300/1982, document associated to the process procedure code PP-63 „ Railway infrastructure maintenance”, part of the safety management system got by  RC – CF Trans SRL Brasov, concerning the qurterly inspection of the lines with the track trolley/gauge measure and the sizing of the staff  from the subunits for the line maintenance, in relation to the total works, fact confirmed by the undersizing of the staff from the Line District Sânnicolau Mare;_x000D_
-	non-inclusion in the „Flow diagram” of the process „Track diagnosis and work records”, from the process procedure, code PP-63 „ Railway infrastructure maintenance”, of the operations for the periodical inspections of the track for the positions of  Track Section Inspector and Deputy of the Track Section Inspector, stipulated in the Instruction for the establishment of terms and order for the track inspections” no. 305/1997 (Sheets no.11 and no.12), document associated to this procedure. The above mentioned positions are not included either in ,,List of jobs” of the infrastructure manager;</t>
  </si>
  <si>
    <t>BG-5251</t>
  </si>
  <si>
    <t>Train derailment, 09-02-17, Komunari - Dalgopol rail section (Bulgaria)</t>
  </si>
  <si>
    <t>On 09/02/2017, a tank-wagon loaded with propane-butane (LPG) of the freight train ? 30582 in composition of 24 wagons (1532 tons) serviced by two electrical locomotives of Bulgarian Railway Company AD, derailed with the first bogie on railway line no 3 between Dalgopol and Komunari stations. The locomotive crew did not notice the derailment. While entering the next Karnobat station and after passing the railway switches 1 and 2, the derailed tank-wagon ascended back on track at switch no 5._x000D_
_x000D_
There were no injured persons in result of the derailment. Damages were caused to approx. 5 km of the railway and to the derailed tank-wagon. _x000D_
The movement of the trains on track no 2 has been suspended since the moment of the event.</t>
  </si>
  <si>
    <t>Komunari - Dalgopol rail section</t>
  </si>
  <si>
    <t>“Bulgarian Railway Company” AD</t>
  </si>
  <si>
    <t>The wagon – cistern is of visibly shifted center of gravity at a crosswise direction because of the two-sidedly established gaps in the running units of the two carts and the car, as well as the loosening of the press mounting “wheel – axis”, which have violated the distances between the bandages of the first leading wheel axis of the wagon, and thus have obstructed matching of the wagon’s cart with the bend of the railway line.</t>
  </si>
  <si>
    <t>•	The increased distance between the wheels of the wheel axis;_x000D_
•	Problematic rotation of the cart, resulting from the deteriorated condition of the runners; _x000D_
•	Shifted center of gravity of the wagon-cistern at crosswise direction because of the worn runners and the centrifugal force acting upon the wagon in the bend where the accident has occurred.</t>
  </si>
  <si>
    <t>LV-5354</t>
  </si>
  <si>
    <t>Fire in RS, 09-02-17, Jelgava (Latvia)</t>
  </si>
  <si>
    <t>Fire in rolling stock (diesel locomotive) at the Jelgava  station on 9 February 2017</t>
  </si>
  <si>
    <t>Jelgava</t>
  </si>
  <si>
    <t>The cause of fire of diesel locomotive was the operation of engine of section “B” of this diesel locomotive in abnormal regime.</t>
  </si>
  <si>
    <t>Meanwhile the operation of diesel engine in abnormal regime (overspeed) was caused by turning around the axis of high pressure fuel pump barell, as a result of it leads of barell lost connection with high pressure fuel pump toothed rack, which were at maximum fuel supply condition.</t>
  </si>
  <si>
    <t>DK-10131</t>
  </si>
  <si>
    <t>Train derailment, 10/02/2017, Ruds Vedby, Denmark</t>
  </si>
  <si>
    <t>Link togsmt afsporet ved ankomst til Ruds Vedby.  Der var togrezisor og 8 passagerer med toget. 
Ingen tilskadekommende. Hastighed anslas til 35-40 km/t ved afsporing. Afsporingen skete i et forholdsvis nyetableret sporskifte pa stationen.</t>
  </si>
  <si>
    <t>Ruds Vedby</t>
  </si>
  <si>
    <t>Denmark Lokalbanen</t>
  </si>
  <si>
    <t>Denmark - Regionstog</t>
  </si>
  <si>
    <t>Betydelige skader pâ bogier, undervogn og vognkasser Sporskifte og spor 
beskadiget</t>
  </si>
  <si>
    <t>ES-5271</t>
  </si>
  <si>
    <t>Level crossing accident, 13-02-17, Torrijos (Spain)</t>
  </si>
  <si>
    <t>A regional train ran over a car at an unprotected level-crossing. The driver of the car died.</t>
  </si>
  <si>
    <t>Torrijos</t>
  </si>
  <si>
    <t>The accident was caused because the road vehicle invaded the track. This vehicle stayed in the middle of the level crossing with its lights off when the train was approaching it, and so remained until the collision.</t>
  </si>
  <si>
    <t>As underlying cause, the level crossing lacked the due road signals: this didn't comply with the current national regulations (FOM 2nd August 2001, article 9.2)._x000D_
As root cause, it must be pointed that municipalities are usually the owners of the roads in level crossings, so they are responsible for the maintenance of road signals. However, financial constraints and some lack of awareness about the problem lead to its dilapidation, for a long time.</t>
  </si>
  <si>
    <t>HU-5252</t>
  </si>
  <si>
    <t>Train derailment, 14-02-17, Szekesfehervar station (Hungary)</t>
  </si>
  <si>
    <t>First wagon of the freight train No.86905 derailed at Szekesfehervar station. 
A 86905 sz. vonat elso kocsija kisiklott.</t>
  </si>
  <si>
    <t>Szekesfehervar station</t>
  </si>
  <si>
    <t>A vonatok indításakor a szerelvény alatt maradt egy rögzítosaru, amely váltón elakadva a vonatokat kisiklasztotta 
At the start of the trains, a fixture was left under the train, which was blocked by a switch and the trains were disconnected</t>
  </si>
  <si>
    <t>LU-5259</t>
  </si>
  <si>
    <t>Trains collision, 14-02-17, Dudelange (Luxembourg)</t>
  </si>
  <si>
    <t>A passenger train collided with a freight train.</t>
  </si>
  <si>
    <t>Dudelange</t>
  </si>
  <si>
    <t>1) The passenger train driver did not react according the closed position of the advance signal SFAv Adm. _x000D_
2) The train driver assistance system MEMOR II+ did not work correctly at the advance signal SFAv Adm shortly before the accident happened.</t>
  </si>
  <si>
    <t>The first direct cause is a human factor related cause. The investigations made confirm that he didn't reduce as requested the speed of the train at the advance signal SFAv Adm. He engaged shortly before the accident an emergency brake but it was to late. _x000D_
The second cause is related to the fact that the train driver assistance system Memor II+ failed that day to stopped the train. The investigations made demonstrate that this system failed not only that day but several times in the past. It cames out that the system has some weak points and that he is not enough reliable.</t>
  </si>
  <si>
    <t>RO-5254</t>
  </si>
  <si>
    <t>Train derailment, 15-02-17, Dej Calatori - Dej (Romania)</t>
  </si>
  <si>
    <t>the 4-th wagon from the freight train no.50477 derailed by the first bogie between Dej and Dej Calatori railway station 
la data de 15.02.2017, ora 06:26, pe raza de activitate a Sucursalei Regionale CF Cluj, pe sectia de circulatie Dej – Apahida, între sta?iile CFR Dej ?i Dej Calatori, km 0+690, în circula?ia trenului de marfa nr.50477 (apartinând operatorului de transport feroviar SC UNICOM TRANZIT SA), s-a produs deraierea de primul boghiu, în sensul de mers, a celui de-al  4-lea de vagon din compunerea trenului</t>
  </si>
  <si>
    <t>Dej Calatori - Dej</t>
  </si>
  <si>
    <t>Direct cause of the accident is the overclimbing of the active shoulder of the outside rail of the curve by the leading wheel (right one in the train running direction) from the wagon no.84535489625-6, because the increase of the ratio between the guiding force and the load acting on this wheel, so exceeding the stability limit at derailment._x000D_
The increase of the ratio between the guiding force and the load acting on the leading wheel happened because the important load transfer of the right wheel from the guiding axle and increase of the lateral force (guiding one) on this wheel._x000D_
_x000D_
Contributing factors:_x000D_
_x000D_
-	load irregularly disposed in the wagon, provided by the load ratio between the wheels of 2,56 to 1, that was over the value of 1,25 to 1 accepted in operation;_x000D_
-	exceeding of the values of the tolerances accepted in operation for the track geometry, it being amplified by the dynamic lateral movements of the wagon; 
Cauza directa a producerii acestui accident o constituie escaladarea flancului activ al ciupercii ?inei de pe firul exterior al curbei de catre roata atacanta (situata pe partea dreapta în sensul de mers al trenului) de la vagonul nr.84535489625-6 ca urmare a cre?terii raportului dintre forta conducatoare ?i sarcina ce actiona pe aceasta roata, depasindu-se astfel limita de stabilitate la deraiere._x000D_
Cre?terea raportului dintre forta conducatoare ?i sarcina ce actiona pe roata atacanta s-a produs în condi?iile descarcarii puternice de sarcina a ro?ii din partea dreapta a osiei conducatoare ?i a cre?terii for?ei laterale (de ghidare) pe aceasta roata._x000D_
_x000D_
Factori care au contribuit:_x000D_
_x000D_
-	Încarcatura repartizata neuniform  în vagon, evidentiata de raportul de sarcini între roti de 2,56 la 1, care era mai mare decât valoarea de 1,25 la 1  admisa în exploatare;_x000D_
-	Depasirile valorilor tolerantelor admise în exploatare pentru geometria caii, fapt care a amplificat mi?carile dinamice laterale ale vagonului;</t>
  </si>
  <si>
    <t>Underlying causes_x000D_
_x000D_
-	infringement by the loader of the loading rules established through the Loading Method 1.11.1 from ANNEX II RIV  - Book 2, concerning the loading way of the light metallic wastes;_x000D_
-	infringement of the provisions point. 3.3 Load disposal from Annex II RIV-Book 1, concerning the maximum ratio accepted between the loads of the wheels from the same axle;_x000D_
-	infringement by RU of the provisions from the Agreement concluded with the Forwarder, concerning the control of the load disposal in the derailed wagon;_x000D_
-	infringement by RU of the provisions from art. 34 (2) of the Transport Regulations, concerning the acceptance for transport of the goods, only if the special conditions from the legal disposals are met;_x000D_
-	infringement of the provisions of art.7B, point 1 from Instruction of norms and tolerances for the track construction and maintenance-lines with standard gauges no.314/1989 concerning the positive tolerances of the track, for the values of the close deflections;_x000D_
_x000D_
Root causes_x000D_
_x000D_
-	RU did not establish for its staff the responsibilities concerning the way to load the good type cuttings (light metallic wastes) and of the responsibilities concerning the delivery – reception of the transports of good type cuttings, being infringed in a such way the provisions of point 1  from Annex 3, from the Law no. 55/2006 for the railway safety;_x000D_
_x000D_
-	the infrastructure manager did not establish for its own staff the responsibilities concerning the control of the track geometry  and the way to deal with the non-conformities found out during this control, being infringed in a such way the provisions of point 1 from Annex 3, of the Law no. 55/2006 for the railway safety;_x000D_
-	non-application of the provisions of the Instruction for the track maintenance no.300/2003, document associated to the operational procedure code PO SMS 0-4.07 „Compliance with the technical specifications, standards and requirements relevant for the whole life time of the tracks in the maintenance process”, part of the safety management system of CNCF ”CFR” SA, concerning the size of the staff from the sub-units for the line maintenance in relation to the total of works. 
Cauze subiacente_x000D_
_x000D_
-	Nerespectarea de catre încarcator a regulilor de  încarcare stabilite prin  Metoda de încarcare 1.11.1 din ANEXA II RIV  - Volumul 2, referitoare la modul de încarcare a deseurilor metalice usoare;_x000D_
-	Nerespectarea prevederilor pct. 3.3 Repartizarea încarcaturii   din Anexa II RIV-Volumul 1, referitoare la raportul maxim admis între sarcinile pe rotile aceleiasi osii;_x000D_
-	Nerespectarea de catre OTF a prevederilor din Conventia încheiata cu Expeditorul, privitoare la verificarea modului de încarcare a vagonului deraiat;_x000D_
-	Încalcarea de catre OTF a prevederilor art. 34 (2) din Regulamentul de Transport, privitoare la acceptarea la transport a marfurilor  numai daca sunt respectate conditiiile speciale din dispozitii legale;_x000D_
-	Nerespectarea prevederilor art.7B, pct.1 din Instruc?ia de norme ?i toleran?e pentru construc?ia ?i între?inerea caii-linii cu ecartament normal nr.314/1989 cu privire la toleran?ele pozi?iei caii în plan, pentru valorile sage?ilor vecine;_x000D_
_x000D_
Cauze primare_x000D_
_x000D_
-	Nedistribuirea catre personalul propriu de catre OTF, a responsabilitatilor privind verificarea modului de încarcare al marfii de tip span (deseuri metalice usoare) si a  responsabilitatilor privind predarea-primirea expeditiilor cu marfa de tip span, fiind încalcate astfel prevederile pct. 1 de la Anexa 3, din Legea nr. 55/2006  privind siguranta feroviara;_x000D_
_x000D_
-	Nedistribuirea catre personalul propriu de catre Administratorul de infrastructura, a  responsabilitatilor privind verificarea geometriei caii si modul în care trebuie tratate neconformita?ile constatate cu ocazia acestei verificari, fiind încalcate astfel prevederile pct. 1 de la Anexa 3, din Legea nr. 55/2006  privind siguranta feroviara;_x000D_
-	Neaplicarea prevederilor Instruc?iei de între?inere a liniilor ferate nr.300/2003, document asociat al procedurii opera?ionale cod PO SMS 0-4.07 „Respectarea specifica?iilor tehnice, standardelor ?i cerin?elor relevante pe întreg ciclul de via?a a liniilor în procesul de între?inere”, parte a sistemului de management al siguran?ei al CNCF ”CFR” SA, referitoare la dimensionarea personalului subunita?ilor de între?inere linii în raport cu volumul de lucrari.</t>
  </si>
  <si>
    <t>DE-5280</t>
  </si>
  <si>
    <t>Trains collision with an obstacle, 17-02-17, Frankfurt/M-Griesheim (Germany)</t>
  </si>
  <si>
    <t>Am 17.02.2017 gegen 01:39 Uhr kollidiert LPFT-T 78730 (Lw: Frankfurt/Main Hbf – Frank-furt/M-Griesheim) bei der Einfahrt nach Gleis 207 im Bahnhof (Bf) Frankfurt/M-Griesheim mit dem Gleisabschluss. Der Zug entgleist mit drei Achsen und kommt auf dem Bahnsteig zum Stehen. 
On 17.02.2017 at about 01h39, on 17.02.2017, the LPFT-T 78730 (itinerary: Frankfurt/Main Hbf – Frank-furt/M-Griesheim) collided at the entry into track 207 in the railway station Frankfurt/M-Griesheim withthe track closure. The train derailed with 3 axles and came to standing on the platform.</t>
  </si>
  <si>
    <t>Frankfurt/M-Griesheim</t>
  </si>
  <si>
    <t>Ursächlich für die Zugkollision war das Fehlverhalten des Tf, der seine Aufgaben während der Fahrt nicht mit der gebotenen Sorgfalt durchführte. Er hat als Tf, an der Spitze des Zuges ständig u.a. die zu befahrende Strecke, die Signale, die Bahnübergänge und die Oberleitung zu beobachten. Er hat auf Unregelmäßigkeiten, die den Zug gefährden könnten zu achten, vgl. Ril 418.3312 Abs. 7 (1). Letztendlich wurde der Bremsvorgang zu spät eingeleitet. 
The cause of the train collision was the fault of the train driver, who did not perform its duties with due care while driving. As a train driver, he should continuously monitor, amongst other things, the line to be travelled, the signals, the level crossings and the overhead line. He should take care for irregularities, which could jeopardise the train, see Ril 418.3312 paragraph 7 (1). In the end, the braking action was initiated too late.</t>
  </si>
  <si>
    <t>BE-5266</t>
  </si>
  <si>
    <t>Train derailment, 18-02-17, Leuven (Belgium)</t>
  </si>
  <si>
    <t>Train 3636 (Leuven - La Panne), left Leuven station at 13:09. _x000D_
A few hundred meters further, for a reason still to be determined, the train derailed and one of its carriage lay down on the flank._x000D_
+/-  hundred passengers  were on board._x000D_
The consequences are 1 death , 2 injuries and several bruised</t>
  </si>
  <si>
    <t>Leuven</t>
  </si>
  <si>
    <t>Direct cause (driving the train)_x000D_
According to the retained hypothesis, the direct cause of the derailment is the inappropriate speed of the train during the passage over an S-shaped curve formed by two connecting switches.</t>
  </si>
  <si>
    <t>Indirect factor -1 (person-related problem)_x000D_
According to the retained hypothesis, the first indirect factor is the incorrect processing of the signalled information (orders) relating to the speed restrictions that must be observed, due to an incorrect mental perception (cognitive bias)._x000D_
_x000D_
Indirect factor – 2 (design)_x000D_
According to the retained hypothesis, the second indirect factor is the train driver – despite the information provided – not managing to correct the inaccurate mental perception as a result of the limited physical and cognitive salience of the lit memory light in his driving cab and of (the panels of) signal EZ-H.9._x000D_
_x000D_
Indirect factor – 3 (design)_x000D_
The third indirect factor is the absence of an efficient recovery system._x000D_
The train has been equipped with driving support system TBL1++ which will occasionally intervene if, upon receiving a double-yellow signal aspect, the imposed maximum speed of 40 km/h is not reached in a timely manner or is no longer observed after having been reached earlier. This function is enabled automatically when a train is leaving from the departure station. The train driving support system TBL1++ has not been designed to monitor the speed of a train after receiving a Green Yellow Horizontal signal aspect: when passing a signal with signal aspect Green Yellow Horizontal, this function is automatically disabled. The train driving support system can therefore no longer intervene when the imposed speed restriction is not observed. The train has not been equipped with ETCS technology and the ETCS system on the infrastructure side has yet to become operational._x000D_
_x000D_
Systemic factor – 1 (monitoring)_x000D_
The railway undertaking neither adequately identifies the danger of failure to observe the imposed speed reduction (in a timely manner) after receiving a Green Yellow Horizontal signal aspect, nor the recurring character of incidents which may indicate that some train drivers do not systematically acquire the expected driving reflexes. The untimely observance of a speed reduction may be the result of incorrect driving habits, distraction,_x000D_
etc., and must therefore be considered a precursor of accidents._x000D_
_x000D_
Systemic factor – 2 (organisational learning)_x000D_
The configuration of the tracks and signals in a complex environment, as can be experienced by train drivers when leaving the Leuven station from platform 7, complicates an intuitive decoding of the information transmitted by the available signals._x000D_
_x000D_
_x000D_
Systemic factor – 3 (organisational learning)_x000D_
Two specific passages in the internal regulation of the railway undertaking could give rise to drivers developing arbitrary professional actions or making incorrect interpretations:_x000D_
• the option to ‘accelerate or not at the end-of-zone sign following a Green Yellow Horizontal signal aspect’ is left to the discretion of the train drivers. Even though train drivers have been duly made aware of the danger of forgetting the imposed speed restriction, no effective measures were established to reduce the risk of forgetting;_x000D_
• the incomplete definition of the reference line indicator sign in the HLT can give rise to inaccurate interpretations. In Leuven, this leads to the incorrect interpretation of ‘riding on L.36’ instead of ‘riding to L.36’.</t>
  </si>
  <si>
    <t>HR-5260</t>
  </si>
  <si>
    <t>Train derailment, 19-02-17, Karlovac (Croatia)</t>
  </si>
  <si>
    <t>On the Marshalling yard of the Kralovac Railway Station, on 19th of February 2017, a one rolling stock derailed during the shunting opreation. Derailed rolling stock is a tank which was loaded with chlorin accid. 
Dana 19.02.2017. na osmom kolosijeku kolodvora Karlovac, tijekom manevarske vožnje manevarskoga sastava došlo je do iskliznuca jednoga od vagona s jednim okretnim postoljem. Predmetni vagon je prevozio klorovodicnu kiselinu.</t>
  </si>
  <si>
    <t>Karlovac</t>
  </si>
  <si>
    <t>Izravni uzrok ove nesrece je: iskliznuce vagona cisterne s prvim okretnim postoljem zbog nestabilnosti kolosijeka (poglavlje 3.4). 
The direct cause of this accident is: derailment of a cargo wagon with first axle due to unstable rail truck (chapter 3.4).</t>
  </si>
  <si>
    <t>Cimbenici koji su pridonijeli ovoj nesreci: _x000D_
-	Širina kolosijeka na 19 pragova 8. kolosijeka prije mjesta iskliznuca je izvan dopuštenih vrijednosti (poglavlje 3.5),_x000D_
-	Stanje kolosijeka od 7. kolosijeka preko skretnice 38. prema 8. kolosijeku, vidljiva su znacajnija podrucja zablacenja kolosijeka (poglavlje 3.5),_x000D_
_x000D_
_x000D_
_x000D_
Organizacijski cimbenici: _x000D_
-	Upravitelj infrastrukture nije se pridržavao procedura propisanih u Pravilnicima 314 i 315 po pitanju održavanja gornjeg i donjeg ustroja željeznicke pruge (poglavlje 3.3.2. i 3.3.3.), 
Contributing factors: _x000D_
-	The width of the track on the 19in sleeper before the spot of the derailment on track 8th is out of range (chapter 3.5),_x000D_
-	The track condition from the 7th track through the 38th to the 8th track shows the most significant areas of gauge track (chapter 3.5),_x000D_
Organizational factors: _x000D_
-	The Infrastructure Manager did not comply with the procedures laid down in Regulations 314 and 315 regarding the maintenance of the upper and lower railway lines (chapters 3.3.2. i 3.3.3.),</t>
  </si>
  <si>
    <t>RO-5268</t>
  </si>
  <si>
    <t>Train derailment, 28-02-17, Halmeu-Porumbesti (Romania)</t>
  </si>
  <si>
    <t>the first bogie from the diesel multiple unit ADH 1421 derailed in open line between railway stations Halmeu and Porumbesti</t>
  </si>
  <si>
    <t>Halmeu-Porumbesti</t>
  </si>
  <si>
    <t>Cauza directa a producerii acestui eveniment o constituie escaladarea flancului activ al ciupercii ?inei de pe firul din stânga de catre prima roata din stânga în directia de mers de la vagonul motor 1461, ca urmare a cre?terii raportului dintre forta conducatoare ?i sarcina ce actiona pe aceasta roata precum si a micsorarii relative a unghiului de flanc al buzei rotii fata de sina,  depasindu-se astfel limita de stabilitate la deraiere._x000D_
Cre?terea raportului dintre forta conducatoare ?i sarcina ce actiona pe roata atacanta respectiv micsorarea relativa a unghiului de flanc al buzei rotii fata de sina,  s-au produs în condi?iile descarcarii puternice de sarcina a ro?ii din partea stânga a primei osii, a cre?terii for?ei laterale (de ghidare) pe aceasta roata si a înclinarii osiei fata de planul caii de rulare. _x000D_
_x000D_
Factori care au contribuit:_x000D_
_x000D_
-Socurile dinamice produse  de catre piatra sparta asezata pe suprafata de rulare a sinei din dreapta, socuri produse asupra vehiculului usor care circula cu viteza de 68 km/h; _x000D_
-Descarcarea de sarcina a primei roti din partea stânga, care s-a produs din cauza spargerii pernei de aer de la suspensie si înclinarii cutiei vagonului, spargere datorata socurilor produse de rularea rotii din dreapta peste piatra sparta asezata pe suprafata de rulare a sinei; 
Direct cause of this event is the overclimbing of the active shoulder of the left rail head by the first left wheel in the running direction of the motorized wagon 1461, following both the increase of the ratio between the guiding force and the load on this wheel and of the relative decrease of the flange angle of the wheel against the rail, exceeding in a such way the stability limit at the derailment._x000D_
Increase of the ratio between the guiding force and the load acting on the leading wheel, respectively the relative decrease of the flange angle of the wheel against the rail, happened because the strong load transfer of the left wheel from the first axle, the increase of the lateral force (guiding one) on this wheel and reclining of the axle against the running track. _x000D_
_x000D_
Contributing factors:_x000D_
_x000D_
-dynamic impacts generated by the broken stone put on the running surface of the right rail, impacts on the light vehicle running with a speed of 68 km/h; _x000D_
-load transfer of the first left wheel, happened because the breakage of the air cushion from the suspension and the reclining of the wagon body, this breakage due to the impacts generated by the running of the right wheel on the broken stone put on running surface of the rail;</t>
  </si>
  <si>
    <t>Nu au fost identificate. 
None</t>
  </si>
  <si>
    <t>UK-5279</t>
  </si>
  <si>
    <t>Other, 28-02-17, Liverpool Lime Street (United Kingdom)</t>
  </si>
  <si>
    <t>At 17:38 hrs on 28 February 2017, part of a wall beside the railway between Liverpool Lime Street and Edge Hill stations, collapsed onto tracks running through a cutting._x000D_
An electric passenger train, the 16:40 hrs Northern Rail service from Manchester Airport to Liverpool Lime Street, was passing through Edge Hill station at the time. The driver saw flashes ahead, the overhead power supply went off and the signal in front of his train changed to red. He stopped his train and called the signaller who asked him to proceed at caution and examine the line and the overhead wires once the power had been restored. The power was restored at 17:55 hrs and the train moved slowly along the line. At about 18:02 hrs the driver saw more flashes from the power lines ahead of his train, possibly indicating further falling material, and the power went off again. The driver braked and stopped his train 360 metres from the site of the collapse._x000D_
The driver of the delayed 17:47 hrs Virgin Trains service to London Euston, an electric train travelling in the opposite direction, was also requested by the signaller to proceed at caution and examine the track and overhead wires. On approaching the site, the driver of this train reported that there was a large pile of rubble blocking all lines and his train could proceed no further._x000D_
The rubble had fallen from the top of the wall on the north side of the line. The land at the top of the wall had a number of shipping containers on it. These had been converted to workshop and office accommodation. The ground level in the area where the containers were sited had been considerably raised at some time in the past._x000D_
At the time of the collapse it was raining heavily and had been doing so for around three hours previously._x000D_
The wall at the location of the collapse was approximately 20 metres above the track and the material which fell onto the lines, amounting to some 70-80 m3, fell over all four tracks. The overhead wires on the two tracks closest to the wall were demolished and the overhead wiring on the third track from the wall was damaged.</t>
  </si>
  <si>
    <t>Liverpool Lime Street</t>
  </si>
  <si>
    <t>The wall collapsed because it could not withstand the loads from the additional surcharge</t>
  </si>
  <si>
    <t>The causal factors were:_x000D_
a) The lease holder built an earthwork against the retaining wall without assessing the effect of the additional surcharge (paragraph 41, no recommendation)_x000D_
b) Network Rail took no action because it was unaware that the retaining wall had been additionally surcharged, and had not identified the infringement of its land adjacent to the retaining wall (paragraph 52, Recommendations 1 and_x000D_
2)._x000D_
Underlying factors_x000D_
89 The underlying factors were:_x000D_
a) Network Rail did not have a suitable risk prioritisation process in place to guide the scope and depth of the structures examinations carried out on the retaining wall (paragraph 76, Recommendation 1)._x000D_
b) The current examination process does not require the consistent recording of sufficient information, to adequately monitor the change in the risk to retaining walls (paragraph 80, Recommendation 2)</t>
  </si>
  <si>
    <t>UK-5293</t>
  </si>
  <si>
    <t>Accident to persons caused by RS in motion, 28-02-17, Camden Junction South (United Kingdom)</t>
  </si>
  <si>
    <t>Shortly after 01:00 hrs on 28 February 2017, two track workers narrowly avoided being struck by the 22:42 hrs passenger train service from Wolverhampton to London Euston. The incident took place close to Camden Junction South, as the train was on its final approach to Euston station. It was travelling on a line that the workers believed had been blocked to traffic to allow engineering work to take place._x000D_
_x000D_
The train was rounding a curve at approximately 47 mph (76 km/h) when the driver became aware of a track worker, who had been installing a possession limit board associated with the engineering work, moving quickly off the line ahead of him. The driver stopped his train and contacted the signaller to report a near miss with the track worker._x000D_
_x000D_
The signaller then authorised the driver to continue into Euston station. The driver had accelerated the train to 24 mph (39 km/h) when he again applied the brake in response to seeing a second track worker on the line ahead. The train stopped approximately 300 metres beyond its original stopping point, adjacent to the track worker who had also been installing equipment associated with the engineering work. The track worker moved off the line when he became aware of the approaching train, but did not have time to reach a position of safety (at least 1.25 metres from the nearest line) before the train reached him because he was working in an area some distance from the nearest position of safety._x000D_
_x000D_
There were no injuries.</t>
  </si>
  <si>
    <t>Camden Junction South</t>
  </si>
  <si>
    <t>The signaller authorised track workers to go onto a line over which he had just signalled a train.</t>
  </si>
  <si>
    <t>Causal factors_x000D_
101 The causal factors were:_x000D_
a. The possession implementation processes resulted in a loss of information (paragraph 43, Recommendation 1). This causal factor arose due to a combination of the following:_x000D_
i. The layout and formatting of information on the WON possibly caused the signaller to overlook the fact that Line A was part of the possession (paragraph 46, Recommendation 2)._x000D_
ii. Local processes at Wembley MLSCC did not prompt the signaller that Line_x000D_
A was part of the possession (paragraph 53, Recommendation 1)._x000D_
b. The signaller was possibly affected by fatigue (paragraph 61, Learning_x000D_
point 1)._x000D_
Underlying factors_x000D_
102 The underlying factors were:_x000D_
a. The processes and methods for managing and communicating information associated with possessions are not optimised for modern, multi-panel signalling centres (paragraph 69, Recommendation 1)._x000D_
b. The processes for setting up possessions still require people to place protection on the track, exposing those people to risk in the transition period before the possession is taken (paragraph 73, Recommendation 3).</t>
  </si>
  <si>
    <t>CZ-5265</t>
  </si>
  <si>
    <t>Trains collision, 01-03-17, Hradec Králové station (Czech Republic)</t>
  </si>
  <si>
    <t>Unauthorized movement of shunting operation behind a departure signal device L6, collision with freight train No. 83044 and consequent derailment of shunting operation.</t>
  </si>
  <si>
    <t>Hradec Králové station</t>
  </si>
  <si>
    <t>Shunting operation driver's error (he did not respect signal “Stop” of the departure signal device L6 at Hradec Králové hl. n. station).</t>
  </si>
  <si>
    <t>Underlying cause: failure to comply with technological procedures of RU and IM by the shunting operation driver (he did not follow a signals from IM)._x000D_
Root cause: none.</t>
  </si>
  <si>
    <t>IT-5276</t>
  </si>
  <si>
    <t>Trains collision, 02-03-17, Bivio d'Aurisina (Italy)</t>
  </si>
  <si>
    <t>Shunting loco, after runaway, collides with freight</t>
  </si>
  <si>
    <t>Bivio d'Aurisina</t>
  </si>
  <si>
    <t>RFI SpA; 
Trenitalia Cargo</t>
  </si>
  <si>
    <t>The direct cause of the accident can be identified in the failure to comply with the provisions that regulate the criteria of rolling stock stationing.</t>
  </si>
  <si>
    <t>Lack of implementation of the procedure provided for by the Regulations for the movement and stationing of rolling stock.</t>
  </si>
  <si>
    <t>RO-5269</t>
  </si>
  <si>
    <t>Train derailment, 04-03-17, Targoviste (Romania)</t>
  </si>
  <si>
    <t>the 7-th and 8-th wagon from the freight train no.92051 derailed on the entrance in the Targoviste railway station</t>
  </si>
  <si>
    <t>Targoviste</t>
  </si>
  <si>
    <t>Cauza directa a producerii accidentului feroviar o constituie caderea între firele caii a ro?ii din partea dreapta (fir interior al curbei din cuprinsul ?inelor de legatura) a osiei conducatoare de la vagonul nr.31802771994-3, al 7-lea din compunerea trenului de marfa nr.92051. Acest lucru s-a produs în conditiile cre?terii sub sarcina a valorii ecartamentului caii, peste valoarea maxima admisa ca urmare a deplasarii laterale a ?inei de pe firul exterior al curbei sub ac?iunea for?elor dinamice transmise caii de catre materialul rulant în mi?care._x000D_
_x000D_
Factorii care au contribuit:_x000D_
- starea tehnica necorespunzatoare a traverselor de lemn din zona punctului „0”, care sub ac?iunea for?elor dinamice transmise de rotile materialului rulant, nu au permis strângerea tirfoanelor pentru fixarea placilor metalice, astfel încât valoarea ecartamentului a crescut peste valoarea maxima admisa de 1470 mm; _x000D_
- for?a de munca ?i cantita?ile de materiale insuficiente realizarii mentenan?ei infrastructurii feroviare; 
Direct cause of the accident is the fall between the rails of the right wheel (inside rail of the curve within the connection rails) of the guiding axle from the wagon no.31802771994-3, the 7th one of the freight train no.92051. It happened because the increase under the load of the track gauge, over the maximum accepted value, following the lateral movement of the rail from the outside track of the curve, under the action of the dynamic forces transmited  to the track by the running rolling stock._x000D_
_x000D_
Contributing factorst:_x000D_
- unsuitable technical condition of the wooden sleepers from the point „0”, that under the action of the dynamic forces transmited  by the wheels of the rolling stock, did not permit the fastening of the coach screws for fixing the metallic plates, so the gauge value increased over the maximum accepted value of 1470 mm; _x000D_
- insuficient labour and quantities of materials for the maintenance of the railway infrastructure;</t>
  </si>
  <si>
    <t>Cauze subiacente_x000D_
- nerespectarea prevederilor art.25, alin.(2) ?i alin.(4) din „Instruc?ia de norme ?i toleran?e pentru construc?ia ?i între?inerea caii pentru linii cu ecartament normal nr.314/1989”, referitoare la defectele care impun înlocuirea traverselor de lemn si la neacceptarea mentinerii în cale a traverselor necorespunzatoare în cuprinsul aparatelor de cale;_x000D_
- nerespectarea prevederilor pct.4.1. din Cap.4 „Norme de manopera ?i de consum de materiale”, al „Instruc?iei de între?inere a liniilor ferate nr.300/1982” referitoare la asigurarea normei de manopera la între?inerea curenta în execu?ie manuala._x000D_
_x000D_
Cauza primara a accidentului o constituie neaplicarea prevederilor procedurii opera?ionale cod PO SMS 0-4.07 „Respectarea specificatiilor tehnice, standardelor si cerintelor relevante pe întreg ciclul de via?a a liniilor în procesul de întretinere”, parte a sistemului de management al siguran?ei al CNCF „CFR” SA, referitoare la dimensionarea personalului Districtului L5 Târgovi?te, în raport cu volumul de lucrari. 
Underlying causes_x000D_
- infringement of the provisions from the art.25, paragraphs (2) and alin.(4) of „Instruction of norms and tolerances for the line construction and maintenance, for lines with standard gauge no.314/1989”, concerning the failures that imposed the replacement of the wooden sleepers and the non-acceptance of keeping unsuitable wooden sleepers within the switches;_x000D_
- infringement of the provisions from the point 4.1. of the chapter 4 „Norms of manpower and material consumption”, from the „Instruction for line maintenance no.300/1982” concerning the ensuring of the manpower norm for the current hand maintenance._x000D_
_x000D_
. Root cause of the accident is:_x000D_
Root cause of the accident is the non-application of the provisions from the operational procedure code PO SMS 0-4.07 „Compliance with the technical specifications, standards and requirements relevant for the whole life cycle of the lines in maintenance process”, part of the safety management system of CNCF „CFR” SA, with reference to the sizing of the staff from the Line District L5 Târgovi?te, in connection with the works.</t>
  </si>
  <si>
    <t>SK-5337</t>
  </si>
  <si>
    <t>Spad, 08-03-17, Trencín station (Slovak Republic)</t>
  </si>
  <si>
    <t>Trencín station</t>
  </si>
  <si>
    <t>Not following signs by a driver</t>
  </si>
  <si>
    <t>AT-5573</t>
  </si>
  <si>
    <t>Runaway, 09-03-17, Railway station Bad Vöslau (Austria)</t>
  </si>
  <si>
    <t>On March 9, 2017, at 5:15 clock unrolls in railway station Bad Vöslau a group of vehicles consisting of 19 loaded freight vehicles with a total mass of 1,407 t from track 7 on the track 1 in the direction of Vienna. The unrolled vehicle group came after a distance of about 13 km automatically to a standstill. 
Am 9. März 2017, um 05:15 Uhr entrollte im Bf Bad Vöslau eine Wagengruppe bestehend aus 19 beladenen Güterwagen mit einer Gesamtmasse von 1.407 t von Gleis 7 auf das Streckengleis 1 in Richtung Wien Hbf. Die entrollte Wagengruppe kam nach einer Fahrtstrecke von etwa 13 km selbsttätig zum Stillstand.</t>
  </si>
  <si>
    <t>Railway station Bad Vöslau</t>
  </si>
  <si>
    <t>Die angezogenen Handbremsen konnten die lt. Anschrift zu erwartende Festhaltekraft nicht aufbringen._x000D_
Der Mangel an Festhaltekraft (Festhaltebremsgewicht) ermöglichte das Entrollen der Wagengruppe. 
The applied handbrakes could not reach the expected, according to the specifications, holding force._x000D_
The lack of holding force (holding brake weight) caused the unrolling of the wagon group.</t>
  </si>
  <si>
    <t>HR-5285</t>
  </si>
  <si>
    <t>Train derailment, 10-03-17, Zvecaj (Croatia)</t>
  </si>
  <si>
    <t>On 10 of March 2017, at 23:58, on the Line M201 in town of Zvecaj, ther was a derailment of two rolling stocks (14 th and 15 th rolling stock ) of an freight train No 46801. The train was driving 25 empty oil tanks. In the accident no one was injured, and there was no polution of the enviroment 
Dana 10. ožujka 2017. godine u 23:58 sati u mjestu Zvecaj došlo je od iskliznuca 14. i 15. vagona teretnoga vlaka broj 46801, sastavljenog od ukupno 25 vagona cisterni. Sve cisterne u sastavu predmetnoga vlaka su namijenjene za prijevoz nafte i naftnih derivata. U nesreci nije došlo do stradavanja osoba, ali je nastala veca materijalna šteta na vozilima i infrastrukturi. Takoder, u nesreci nije došlo do zagadenja okoliša.</t>
  </si>
  <si>
    <t>Zvecaj</t>
  </si>
  <si>
    <t>Iskliznuce prve osovine na drugom okretnom postolju cetrnaestoga vagona i to zbog penjanja vijenca lijevog kotaca na tracnicu. Neposredni uzrok iskliznuca istragom nije bilo moguce utvrditi 
The derailment of first shaft on the 2nd boggy of the fourteenth wagon. The derailment is caused by the climb of the left wheel to the rail. The immediate cause of the climb of the left wheel on the rail during the investigation was not possible to determine</t>
  </si>
  <si>
    <t>Neposredni uzrok iskliznuca istragom nije bilo moguce utvrditi, no istom je moglo doprinijeti usporavanje vlaka kocenjem što je za posljedicu moglo imati lokalno nabijanje vagona jednih na druge i trzaj vagona. Trzaj vagona je za posljedicu mogao imati poskakivanje osovine predmetnoga vagona. Takoder, moguce je da je lokalno vertikalno pomicanje kolosijecne rešetke i stanje površine okretne zdjele moglo doprinijeti rasterecenju predmetne osovine i time do penjanja vijenca kotaca na tracnicu. 
It was not possible to determine the immediate cause of the accident, but to the accident could have contributed to the slowing of the train by braking, which could have caused local hitting of the wagon on one another and the toss of the vehicle. The tug of the vehicle could have had bending the shaft. Also, it is possible that the local vertical movement of the track and the condition of the surface of the rotating bowl could contribute to the release of the subject shaft and thus to the climbing of the wheel to the rail.</t>
  </si>
  <si>
    <t>NO-5278</t>
  </si>
  <si>
    <t>Trains collision with an obstacle, 11-03-17, Dallerud (Norway)</t>
  </si>
  <si>
    <t>On 11 March 2017, passenger train 304 collided with an excavator between Bergseng and Lillehammer station._x000D_
_x000D_
The excavator was carrying out maintenance work in the area on assignment for Bane NOR SF. The driver managed to jump out of the machine seconds before the collision._x000D_
_x000D_
The passenger train was being driven in accordance with the line speed on the section. When noticing the obstruction on the track, the train driver applied the emergency brake. After the collision, the excavator was pushed close to 150 metres along the track._x000D_
_x000D_
There was damage to the front of the train, the infrastructure and extensive damage to the excavator._x000D_
_x000D_
Parts of the Dovrebanen line were closed for over six hours due to the accident. 
Den 11. mars 2017 kolliderte persontog 304 med en gravemaskin mellom Bergseng og Lillehammer stasjon._x000D_
_x000D_
Gravemaskinen utførte vedlikeholdsarbeider i området på oppdrag for Bane NOR SF. Føreren rakk å hoppe ut av maskinen sekunder før sammenstøtet._x000D_
_x000D_
Persontoget ble fremført i henhold til linjehastigheten på stedet. Da føreren oppdaget hindringen i sporet, tilsatte vedkommende nødbrems. Gravemaskinen ble skjøvet nærmere 150 meter langs sporet etter sammenstøtet._x000D_
_x000D_
Det oppsto skader i fronten av toget, skader på infrastrukturen og store skader på gravemaskinen._x000D_
_x000D_
Deler av Dovrebanen var stengt i mer enn 6 timer.</t>
  </si>
  <si>
    <t>Dallerud</t>
  </si>
  <si>
    <t>Havarikommisjonen mener det var flere faktorer som bidro til denne hendelsen, blant annet arbeidsform, nattarbeid, uklar kommunikasjon og manglende bruk av kontaktmagneter. 
The Accident Investigation Board Norway (AIBN) is of the opinion that several factors contributed to this incident, including the work method, night work, unclear communication and failure to use contact magnets.</t>
  </si>
  <si>
    <t>EE-5277</t>
  </si>
  <si>
    <t>Level crossing accident, 12-03-17, Sompa level crossing (Estonia)</t>
  </si>
  <si>
    <t>Car Toyota collided with a passenger train on the Sompa level crossing. Two people died in a car.</t>
  </si>
  <si>
    <t>Sompa level crossing</t>
  </si>
  <si>
    <t>AS Eesti Liinirongid (Elron)</t>
  </si>
  <si>
    <t>Human error, where a car driver in narcotic intoxication failed to adequately assess the risks occurring on the level crossing, closed for road traffic.</t>
  </si>
  <si>
    <t>The underlying causes in this case are non existent. The train driver observed all handling rules, provided for approach of the level crossing. The work habits and experience of the train dispatcher and other persons, involved in traffic control were competent and did not encourage by any means the accident._x000D_
There are no root causes between the case and the regulation framework, connected with it and the implementation of safety management system by the railway operator.</t>
  </si>
  <si>
    <t>DE-5284</t>
  </si>
  <si>
    <t>Accident to persons caused by RS in motion, 13-03-17, Meppen (Germany)</t>
  </si>
  <si>
    <t>Personenzug 90275 erfasst Bahnhof Meppen ein Mitarbeiter des Infrastrukturbetreibers 
At the railway station Meppen, the passenger train 90275 hit an employee of the infrastructure manager.</t>
  </si>
  <si>
    <t>Meppen</t>
  </si>
  <si>
    <t>WestfalenBahn GmbH</t>
  </si>
  <si>
    <t>Ursächlich für den Personenunfall war die zugelassene Zugfahrt DPN 90275 über die gesperrte Weiche 1. 
The reason for the accident caused to persons was the authorized train driving DPN 90275 over the blocked rail track 1.</t>
  </si>
  <si>
    <t>FR-5283</t>
  </si>
  <si>
    <t>Train derailment, 13-03-17, Solaize (France)</t>
  </si>
  <si>
    <t>On 13 march 2017, freight train 489241, transporting dangerous goods (bioethanol), derailed in Sibelin marshalling yard near the town of Lyon. The 3rd, 4th, 5th and 6th tank wagons, from head of train, derailed. Two of them overturned and laid down on their flank, and one kept on standing. Another one kept on standing but was pierced and the liquid spread out. An emergency evacuation of the area was organised, and traffic on the main line (Lyon/Marseille) stopped for one day. The track of the train was damaged on 50 meters and the lateral track was also damaged on 35 meters.</t>
  </si>
  <si>
    <t>Solaize</t>
  </si>
  <si>
    <t>The immediate cause of the derailment is the double rail breakage under the passage of the heavy train of dangerous goods._x000D_
The first break is a fatigue failure of the rail whose cracking was very advanced._x000D_
The second break occurred as a result of rail guiding efforts in the low radius curve, which were exerted on a rail weakened by the first break, a cracking developing, and a fixation reduced by rail fastenings because of rail fastenings in poor condition in this area.</t>
  </si>
  <si>
    <t>Several factors, related to the infrastructure, contributed :_x000D_
- the state of advanced cracking of the rail, and the absence of a crack search operation during maintenance operations ;_x000D_
- lack of fixation of the rail ;_x000D_
- the poor general condition of the track which had not been corrected due to the postponement of maintenance work.</t>
  </si>
  <si>
    <t>RO-5281</t>
  </si>
  <si>
    <t>Train derailment, 15-03-17, Biaia Mare Busag (Romania)</t>
  </si>
  <si>
    <t>the trailer unit from the diesel multiple unit LVT 138, that composed the passenger train no.4313 derailed by the rear axle, in open line between Baia Mare and Busag railway station.</t>
  </si>
  <si>
    <t>Biaia Mare Busag</t>
  </si>
  <si>
    <t>SOCIETATEA NATIONALA DE TRANSPORT FEROVIAR DE CALATORI "CFR CALATORI" S.A.</t>
  </si>
  <si>
    <t>Cauza directa a producerii acestui accident o constituie escaladarea flancului activ al ciupercii ?inei de catre roata din dreapta spate, având ca referin?a sensul de mers al trenului, de la vagonul remorca LVS 538, ca urmare a cre?terii raportului dintre forta conducatoare ?i sarcina ce actiona pe aceasta roata, depasindu-se astfel limita de stabilitate la deraiere._x000D_
Cre?terea raportului dintre forta conducatoare ?i sarcina ce actiona pe roata din dreapta spate, s-a produs în condi?iile descarcarii puternice de sarcina a ro?ii, generata de exercitarea unei forte orientate de jos în sus asupra cutiei vehiculului usor, de catre rezervorul de motorina care s-a desprins de pe vehicul, a cazut pe terasament si a devenit un obstacol în calea deplasarii vehiculului._x000D_
_x000D_
Factori care au contribuit:	_x000D_
_x000D_
Neefectuarea unei verificari tehnice periodice cu ocazia reviziei planificate, a ?uruburilor de la suportul de prindere al rezervorului de motorina, de la vagonul remorca LVS. 
Direct cause   of the accident is the back right wheel overclimbed the active gauge face  of the rail, having like reference the train running direction, from the trailling coach LVS 538, following the increase of the ratio between the guiding force and the load acting on this wheel, so exceeding the stability limit at derailment._x000D_
Increase of the ratio between the guiding force and the load acting on the back right wheel happened because the serious load transfer of the wheel, generated by a force acting bottom up on the body of the light vehicle, of the diesel tank that detached from the vehicle, fell on the track bed and became an obstacle for the vehicle running._x000D_
_x000D_
Contributing factors:	_x000D_
_x000D_
Non-performance of the periodical technical checking during the planned inspection of the screws from the support for the fastening of the diesel tank of the trailling coach LVS.</t>
  </si>
  <si>
    <t>Cauze subiacente_x000D_
_x000D_
Nu au fost identificate cauze subiacente._x000D_
_x000D_
Cauza primara_x000D_
_x000D_
Cauza primara a accidentului o constituie lipsa unei reglementari tehnice care sa prevada verificarea periodica a elementelor de fixare ale rezervorului de la vagonul remorca LVS, cu ocazia reviziilor planificate. 
Underlying causes_x000D_
_x000D_
None_x000D_
_x000D_
Root cause_x000D_
_x000D_
The root cause of the accident is the lack of a technical regulation that stipulate the periodical checking of the elements for the fastening of the tank from the trailling coach LVS, during the planned inspections.</t>
  </si>
  <si>
    <t>AT-5497</t>
  </si>
  <si>
    <t>Other event, 17-03-17, Thalheim Pöls (Austria)</t>
  </si>
  <si>
    <t>While conservation work, the Level crossing in km 253,832 and in km 254,385 was switched on local switch operation. When the entering RJ 532 saw the open barriers of the Level crossing in km 253,832 he initiated an emergency braking under the signal of attention. 
Aufgrund von Erhaltungsarbeiten wurde die Eisenbahnkreuzung im km 253,832 und im km 254,385 auf Ortsschalter Bedienung umgeschlatet. Als der einfahrende RJ 532 die offenen Schranken der Eisenbahnkreuzung im km 253,832 sah leitete er eine Schnellbremsung unter Abgabe des Signales Achtung ab.</t>
  </si>
  <si>
    <t>Thalheim Pöls</t>
  </si>
  <si>
    <t>Die vorzeitige Aufhebung der Sicherung der technischen Sicherungsanlage. 
The premature lifting of the security of the technical security system</t>
  </si>
  <si>
    <t>CZ-5300</t>
  </si>
  <si>
    <t>Level crossing accident, 17-03-17, open line between Teplice zámecká zahrada and Prosetice railway stops, level crossing P2096 (Czech Republic)</t>
  </si>
  <si>
    <t>Collision of the regional passenger train No. 16117 with a bus at the level crossing No. 2096.</t>
  </si>
  <si>
    <t>open line between Teplice zámecká zahrada and Prosetice railway stops, level crossing P2096</t>
  </si>
  <si>
    <t>Direct causes:_x000D_
• failure to compliance of the prescribed way of driving with measures for train caution in front of the level crossing and in the area of the level crossing by train driver in preparation, respectively by the train driver of the regional passenger train No. 16117;_x000D_
• failure to compliance of the prescribed way of the bus driver and driving across the level crossing at the time when it was forbidden._x000D_
_x000D_
Contributory factor: none.</t>
  </si>
  <si>
    <t>Underlying causes:_x000D_
• failure to respect the IM signals, which was given to the train driver in preparation, respectively by the train driver of the regional passenger train No. 16117 while driving the train;_x000D_
• behavior of the bus driver in front of the level crossing, when he did not convince, if it is possible safely cross over the level crossing._x000D_
_x000D_
Root cause: none.</t>
  </si>
  <si>
    <t>AT-5287</t>
  </si>
  <si>
    <t>Trains collision, 20-03-17, Bf Wien - Süßenbrunn (Austria)</t>
  </si>
  <si>
    <t>The Regional passenger train 29795 collided with the freight train 47001 on the switch 1 at the station in Vienna – Süßenbrunn. The freight train was passing through the station coming from the direction of Gänserndorf. The first wagon of the Regional passenger train 29795 derailed as a result of the collision. The collision resulted in considerable material damage at infrastructure and rolling stock, no persons where injured. 
Der Schnellbahnzug 29795 kollidierte mit dem aus der Richtung Gänserndorf durchfahrenden Güterzug 47001 auf der Weiche 1 im Bahnhof Wien – Süßenbrunn. Das erste Fahrzeug des Schnellbahnzuges 29795 entgleiste anschließend aufgrund der Kollision mit dem ersten Drehgestell. Bei dem Vorfall wurden keine Personen verletzt oder getötet, es entstand erheblicher Sachschaden.</t>
  </si>
  <si>
    <t>Bf Wien - Süßenbrunn</t>
  </si>
  <si>
    <t>Rail Cargo Austria AG; 
ÖBB-Personenverkehr AG</t>
  </si>
  <si>
    <t>UK-5297</t>
  </si>
  <si>
    <t>Train derailment, 20-03-17, East Somerset Junction (United Kingdom)</t>
  </si>
  <si>
    <t>At around 17:50 hrs on Monday 20 March, six loaded wagons of an eastbound freight train became derailed as the train passed over East Somerset Junction, between Castle Cary and Frome, while travelling at about 20 mph (32 km/h). The train, the 17:05 hrs service from Merehead to Acton yard, was joining the up Westbury line from the Merehead single branch line._x000D_
_x000D_
There were no injuries. The accident resulted in substantial damage to the railway infrastructure; around 100 metres of track including two sets of switches and crossings were destroyed. Train services between London Paddington and the West Country were diverted via Swindon while the wagons were recovered and track repairs took place over the following four days._x000D_
_x000D_
The freight train consisted of a class 59 diesel-electric locomotive hauling 38 loaded wagons of types JNA, JHA, HOA and IIA. It was carrying stone from the Merehead quarries for use in the construction industry. The wagons that derailed were the 24th to 29th from the front of the train. The train split between the 21st and 22nd wagons when the derailment occurred, and the train was stopped by the automatic application of the brakes._x000D_
_x000D_
The leading wagon which derailed was of the HOA type. The derailment occurred close to where a set of trailing points had been removed and replaced by plain line in 2012.</t>
  </si>
  <si>
    <t>East Somerset Junction</t>
  </si>
  <si>
    <t>The right-hand rail at the site of 945 points was insufficiently restrained, allowing it to move laterally and rotate under the load from train 7Z15, such that the leading wheels of wagon no. 24 derailed due to gauge spread (paragraph 38)</t>
  </si>
  <si>
    <t>The causal factors were:_x000D_
a. The risk from plain-lining 945 points was not recognised and managed (paragraph 50, Recommendations 1 and 2; see also paragraph 97)._x000D_
b. There was a loss of rail fixity due to the track configuration at the site of the former 945 points (paragraph 55, Recommendations 1 and 2; see also paragraph 97)._x000D_
c. The loss of rail fixity at the site of the former 945 points was not identified during track inspections, probably because staff were focused on the poor condition of adjacent sections of track (paragraph 59, Learning point 1)._x000D_
d. Network Rail’s track recording vehicle had not run over the Link Line since 2013 (paragraph 66, Recommendation 3)._x000D_
e. No manual geometry measurement had been carried out (paragraph 74, Recommendation 4, Learning point 1)._x000D_
Possible underlying factor_x000D_
91 A possible underlying factor was that the pressures on staff at Westbury track maintenance depot were affecting their ability to carry out their duties effectively (paragraph 77, Recommendation 4; see also paragraphs 96 and 97).</t>
  </si>
  <si>
    <t>CH-5291</t>
  </si>
  <si>
    <t>Train derailment, 22-03-17, Lucerne (Switzerland)</t>
  </si>
  <si>
    <t>Swiss Transportation Safety Investigation Board (STSB)</t>
  </si>
  <si>
    <t>On 22 March 2017 two vehicles of a titling train derailed at the railway station Lucerne_x000D_
In the accident seven people were injured.</t>
  </si>
  <si>
    <t>Switzerland</t>
  </si>
  <si>
    <t>Lucerne</t>
  </si>
  <si>
    <t>SBB AG Personenverkehr</t>
  </si>
  <si>
    <t>SBB Infrastruktur</t>
  </si>
  <si>
    <t>The derailment of a Eurocity train on 22 March 2017 in Lucerne on a misaligned double-slip diamond crossing is attributable to the wheel flange mounting the top edge of the switch tongue. _x000D_
The interaction of various factors caused the wheel flange cap to contact the top edge of the switch tongue in a critical area. _x000D_
The form of the wear on the flange led to the flange cap moving closer against the tip of the switch tongue. As a result of the switch tongue gaps being above previously known values, the tip of the switch tongue was also close to the critical area of the flange cap. _x000D_
The lack of a lubricating film between flange flank and rail flank caused the increase in the coefficient of friction. Together with an increased shearing force due to the defect in the lateral suspension of the bogie which was derailed first, an increased wheel lift occurred during the passage around the curve. All these factors contributed to the wheel flange cap being positioned in such a way that the wheel was able to mount the top edge of the switch tongue. In addition, the flange cap was somewhat flatter due to rolling, which facilitated the upward movement without the switch tongue substantially pushing back.</t>
  </si>
  <si>
    <t>DE-5319</t>
  </si>
  <si>
    <t>Train derailment, 22-03-17, Frankfurt (Oder) Oderbrücke (Germany)</t>
  </si>
  <si>
    <t>Am 22.03.2017 gegen 08:59 Uhr entgleiste der Güterzug DGS 49691 des Eisenbahnverkehrs-unternehmens (EVU) DeltaRail GmbH auf der Fahrt von Frankfurt (Oder) Containerterminal nach Frankfurt (Oder) Grenze bei der Einfahrt in Gleis 101 des Bahnhofs (Bf) Frankfurt (Oder) Oderbrücke mit dem ersten Drehgestell des letzten Wagens in der Verbindung zwischen den Weichen 115 und 116.</t>
  </si>
  <si>
    <t>Frankfurt (Oder) Oderbrücke</t>
  </si>
  <si>
    <t>DeltaRail GmbH</t>
  </si>
  <si>
    <t>Bei der Einfahrt in Bf Frankfurt (Oder) Oderbrücke entgleiste das erste Drehgestell des letzten Wagens.</t>
  </si>
  <si>
    <t>Die Ursache der Entgleisung war eine Interaktion zwischen Fahrzeug, Fahrbahn und Beladesituation. Das Fahrzeug, in seiner Konfiguration mit der vorhandenen Länge und den Drehzapfenabständen, war im Zusammenhang mit der in Längsrichtung asymmetrischen Beladung und den Trassierungsparametern mit gegenläufigen Gleisbögen und ausgeprägten Gefälleänderungen auf relativ kurzer Distanz im betreffenden Bereich anfällig für eine Entgleisung.</t>
  </si>
  <si>
    <t>ES-5334</t>
  </si>
  <si>
    <t>Spad, 23-03-17, Madrid-Chamartín station (Spain)</t>
  </si>
  <si>
    <t>Commuter train 31116 bound to Barajas airport passes a closed exit signal (signal S1/10) at the Madrid-Chamartín station. The train is stopped by the driving assistance system (ASFA). It near missed a collision with another empty commuter train, that was entering in the same track at a short distance ahead.</t>
  </si>
  <si>
    <t>Madrid-Chamartín station</t>
  </si>
  <si>
    <t>The direct cause of this SPAD was a lack of attention of the driver (acknowledged by herself), that led to the passing of signals.</t>
  </si>
  <si>
    <t>Also, the driver was using preset speed. Since preset speed is not allowed when entering or exiting stations, there was a regulation infringement that can be considered as an underlaying causal factor.</t>
  </si>
  <si>
    <t>HR-5290</t>
  </si>
  <si>
    <t>Train derailment, 27-03-17, Zagreb RanÅ¾irni kolodvor (Croatia)</t>
  </si>
  <si>
    <t>On 27 March 2017 in the Station Zagreb Ranžirni kolodvor, there was a derailment of three loaded freight rolling stock and shunting locomotive. 
Dana 27. ožujka 2017. godine na kolodvoru Zagreb ranžirni, došlo je od iskliznuca tri tovarena vagona i manevarske lokomotive.</t>
  </si>
  <si>
    <t>Zagreb RanÅ¾irni kolodvor</t>
  </si>
  <si>
    <t>Rail Cargo Carrier - Croatia</t>
  </si>
  <si>
    <t>Izravni uzrok predmetne nesrece je iskliznuce drugog vagona manevarskoga sastava zbog dotrajalosti dijelova kolosijecne grade kolosijeka P2 (poglavlje 4.1). 
A direct cause of this accident is: derailment of the second wagon of the manoeuvring composition due to the poor condition of parts of track gauge P2 (Chapter 4.1).</t>
  </si>
  <si>
    <t>Organizacijski cimbenici: _x000D_
-	Organizacija održavanja kolosijeka namijenjenih za manevarski rad (poglavlje 4.4.2),_x000D_
-	Prijenos informacija vezanih uz obavljanje tehnoloških procesa manevarskoga rada prema službi održavanja infrastrukture i obratno (poglavlje 4.2.2 i 4.2.3). 
Organizational factors: _x000D_
-	Organization of track maintenance intended for manoeuvring work (Chapter 4.4.2),_x000D_
-	Transfer of information related to performing technological processes of shunting to infrastructure maintenance (Chapters 4.2.2 and 4.2.3).</t>
  </si>
  <si>
    <t>HU-5288</t>
  </si>
  <si>
    <t>Trains collision with an obstacle, 28-03-17, Dunaújváros (Hungary)</t>
  </si>
  <si>
    <t>Part of third vehicle of Nr. 14449 freight train collided with entry signalling. Third vehicle of this train derailed. 
A 14449 sz. vonat 3. kocsijának alkatrésze az állomás bejárati jelzojének ütközött. Az ütközés következtében a vonat 3. kocsija kisiklott.</t>
  </si>
  <si>
    <t>Dunaújváros</t>
  </si>
  <si>
    <t>Human mistake. 
Emberi hiba</t>
  </si>
  <si>
    <t>HU-5448</t>
  </si>
  <si>
    <t>Train derailment, 28-03-17, Budapest XXII. Városház tér (Hungary)</t>
  </si>
  <si>
    <t>The tram has derailed on a switch</t>
  </si>
  <si>
    <t>Budapest XXII. Városház tér</t>
  </si>
  <si>
    <t>RO-5289</t>
  </si>
  <si>
    <t>Train derailment, 28-03-17, Ciolpani (Romania)</t>
  </si>
  <si>
    <t>the 3-rd wagon (loaded with grain) from the freight train no.30559-2 derailed on the track no.4 in the railway station Ciolpani</t>
  </si>
  <si>
    <t>Ciolpani</t>
  </si>
  <si>
    <t>The direct cause of the accident is the fall between the rails of the right wheels from the second bogie of the third train wagon, on the line 4 for reception-dispatching, in the railway station Ciolpani. It happened because the increase of the track gauge over the accepted tolerances, following the lateral movement of the rail from the outside track of the curve under the action of the dynamic forces transmited to the track by the rolling stock in running._x000D_
_x000D_
Contributing factors:_x000D_
?	 keeping in operation of  unsuitable wooden sleepers in the curve, after the switch no. 10, their condition leading to the decrease of the fastening system effectiveness and allowing the displacement to the outside of the track of the ensemble rail – metallic plate, under the dynamic forces of the rolling stock; _x000D_
?	supply with insuficient quantities of normal wooden sleepers for the performance of line maintenance and repair in the railway station Ciolpani;_x000D_
?	 lack of the polyamide lining at the centre casting of the bogie II (the second bogie in the train running direction) from the wagon no. 33530823183-6, it leading to the increased rigidity of the ensemble bogie – wagond body,  generating the increase of the lateral guiding force and implicitly to the decrease of the  curve negicoation. 
Cauza directa _x000D_
Cauza directa a producerii accidentului feroviar o constituie caderea între firele caii a ro?ilor din partea dreapta  ale celui de-al doilea boghiu de la al treilea vagon din compunerea trenului, pe linia 4 primiri-expedieri a haltei de mi?care Ciolpani. Acest lucru s-a produs în conditiile cre?terii valorii ecartamentului caii peste toleran?ele admise, ca urmare a deplasarii laterale a ?inei de pe firul exterior al curbei sub ac?iunea for?elor dinamice transmise caii de catre materialul rulant în mi?care._x000D_
_x000D_
Factori care au contribuit:_x000D_
?	 men?inerea în exploatare a  traverselor de lemn necorespunzatoare pe curba de dupa schimbatorul de cale numarul 10, starea acestora slabind eficacitatea sistemului de prindere ?i permi?ând deplasarea spre exteriorul caii a ansamblului ?ina-placa metalica, sub ac?iunea for?elor dinamice exercitate de materialul rulant; _x000D_
?	aprovizionarea cu cantita?i insuficiente de traverse de lemn normale pentru executarea lucrarilor de între?inere ?i reparare a liniilor din HM Ciolpani;_x000D_
?	 lipsa garniturii din poliamida de la crapodina boghiului II (al doilea boghiu în sensul de mers al trenului) de la vagonul nr. 33530823183-6, fapt ce a sporit gradul de rigiditate al ansamblului boghiu – cutie vagon, conducând astfel la marirea for?ei laterale de ghidare si implicit la scaderea capacita?ii de înscriere a vehiculului în curba.</t>
  </si>
  <si>
    <t>Underlying causes _x000D_
 		 ? infrigement of the provisions of art.25, paragraphs (2) and (4) from „Instruction of norms and tolerances for the line construction and maintenance, lines with standard gauge no.314/1989”, concerning the failures that impose the replacement of the wooden sleepers and non-acceptance of unsuitable neighbour wooden sleepers in the track;_x000D_
? infringement of the provisions from point.2.4.4., letter h) from Railway technical norm  "Railway vehicles. Technical provisions for the repair of bogie frames that equipped the wagons and caoches no. 81-005:2006" concerning the non-acceptance in operation of polyamide linings between the centre castings of the wagon with the thick under 6mm._x000D_
_x000D_
Root cause_x000D_
? non–application of all provisions from the operational procedure code PO SMS 0-4.07 „Compliance with the technical specifications, standards and requirements relevant for the whole life cycle of the lines in maintenance process” (including the annexes), part of the safety management system of the railway public infrastructure manager CNCF „CFR” SA, concerning the coordination of the line maintenance. 
Cauze subiacente _x000D_
 		 ? nerespectarea prevederilor art.25, alin.(2) ?i alin.(4) din „Instruc?ia de norme ?i toleran?e pentru construc?ii ?i între?inerea caii pentru linii cu ecartament normal nr.314/1989”, referitoare la defectele care impun înlocuirea traverselor de lemn si la neadmiterea traverselor necorespunzatoare vecine în cale;_x000D_
? nerespectarea prevederilor pct.2.4.4., lit. h) din Norma tehnica feroviara "Vehicule de cale ferata. Prescrip?ii tehnice pentru repararea cadrelor de boghiuri ce echipeaza vagoanele de marfa ?i calatori nr. 81-005:2006" referitoare la neacceptarea în exploatare a garniturilor de poliamida dintre crapodinele vagonului cu o grosime mai mica de 6mm._x000D_
_x000D_
_x000D_
Cauza primara_x000D_
? neaplicarea tuturor prevederilor procedurii operationale cod PO SMS 0-4.07 „Respectarea specificatiilor tehnice, standardelor si cerintelor relevante pe întreg ciclul de viata a liniilor în procesul de întretinere” (inclusiv a anexelor), parte a sistemului de management al sigurantei administratorului de infrastructura feroviara publica CNCF „CFR” SA, referitoare la coordonarea activita?ilor de între?inere a liniilor de cale ferata.</t>
  </si>
  <si>
    <t>CZ-5292</t>
  </si>
  <si>
    <t>Wrong-side signalling failure, 31-03-17, Jihlava mesto station (Czech Republic)</t>
  </si>
  <si>
    <t>The unintended movement of the freight train No. 62145 on to the station track No. 13, which was occupied by the standing rolling stocks.</t>
  </si>
  <si>
    <t>Jihlava mesto station</t>
  </si>
  <si>
    <t>Direct cause:_x000D_
• the failure to change the switch No. 34 to the correct end position during the train route preparation on the station track No. 5 due to rupture of the wire transmission of the mechanical point machine._x000D_
_x000D_
Contributory factor:_x000D_
• the station interlocking equipment allowed to make the train route by normal service despite the fault on the switch.</t>
  </si>
  <si>
    <t>Underlying causes:_x000D_
• the human factor – the St. 2 switch-woman’s error. This error consisted of failure to observe the technological procedures of the IM, which determine duties and responsibilities of the staff who is responsible for the supervision of the switches which are central switcheded by the mechanical point machine, and for the control of their correct position when the switches change and for the consequent check of their required position;_x000D_
• the inadequate chemical and strength parameters of the tested parts of the wire transmission of the mechanical point machine, which did not fulfill the requirements of the provisions of the SŽDC (CD) T 121 regulation following the industry standard ON 42 6442 for steel wires of signalling systems._x000D_
_x000D_
Root cause: none.</t>
  </si>
  <si>
    <t>CZ-5298</t>
  </si>
  <si>
    <t>Trains collision with an obstacle, 31-03-17, open line between Praha-Smíchov - Praha-Radotín stations (Czech Republic)</t>
  </si>
  <si>
    <t>Collision of the regional passenger train No. 9958 with obstacle – damaged overhead contact line.</t>
  </si>
  <si>
    <t>open line between Praha-Smíchov - Praha-Radotín stations</t>
  </si>
  <si>
    <t>Direct cause: movement of the regional passenger train No. 9958 over the place where was the damaged overhead contact line._x000D_
_x000D_
Contributory factor:the state of the insulator beyond its expected service life.</t>
  </si>
  <si>
    <t>Underlying cause: rupture of the supporting insulator in the support of an overhead contact line No. 44.</t>
  </si>
  <si>
    <t>PT-5321</t>
  </si>
  <si>
    <t>Train derailment, 01-04-17, Adémia (Portugal)</t>
  </si>
  <si>
    <t>While running at circa 100 km/h, 9 silo wagons loaded of cement (from the 2nd to the 10th position on the train) derailed causing severe damage to rolling stock and infrastructure. The locomotive and the first wagon remained on the track and stopped 500 m further away. Both tracks of the double line were damaged and occupied by the derailed wagons. Traffic on the Lisboa-Porto line was interrupted for 2 days. 
Descarrilamento de 9 vagões carregados de cimento (entre a 2.ª.º e 10.ª posição na composição) do comboio de mercadorias n.º 95204, causando a destruição parcial da via e da catenária. A locomotiva e o 1.º vagão da composição não descarrilaram e pararam cerca de 500 metros depois do descarrilamento. As duas vias foram afectadas pelo descarrilamento e a circulação de comboios no local ficou interrompida durante dois dias.</t>
  </si>
  <si>
    <t>Adémia</t>
  </si>
  <si>
    <t>MEDRAIL - Operador Ferroviário e Logístico de Mercadorias</t>
  </si>
  <si>
    <t>The immediate cause of the accident was the loss of guidance on the wheelsets of the second wagon’s leading bogie, consistent with the relief of the vertical loads on the corresponding left side wheels (in the traveling direction)._x000D_
The loss of guidance occurs when this vehicle was negotiating a track section with a cross level fault, resulting in the exceedance of the allowed limits for unrestricted operation._x000D_
The dimension and mass characteristics of the wagon, as well as its dynamical response to the track geometry at the location, made it susceptible to having its safety margin to derailment cancelled. It is possible that the wagon’s dynamic response was additionally influenced by the dynamic behaviour of the two adjoining wagons, including the effect caused by an existing defect on a wheelset of each wagon, consisting of a difference between the diameter of the wheels exceeding the allowed operational limit._x000D_
The investigation determined as the most probable cause for the track geometry fault, track deformation under the effect of the passing trains, following a wet bed correction work carried out by a maintenance gang on the previous day, considering that the work carried out by kango tamper packing was not performed and controlled in a way liable to give assurance to the quality of the result._x000D_
It is also possible that the rainfall occurred on the days leading to the accident date, associated with the persistent deficient track drainage at the spot over the years, have contributed to the track deformation._x000D_
The rupture of the coupling between the first and second wagons due to the forces involved, contributed to the dimensions and consequences of the accident.</t>
  </si>
  <si>
    <t>UNDERLYING CAUSES_x000D_
The fact that the measurement of the geometry after the work was not performed, nor was the track behaviour observed on the passing of the first train following the intervention, uncompliant  to the established procedures, resulted in the quality of sleeper support and track geometry not being confirmed. Furthermore, the tasks performed were not supported by work procedures dedicated to the specific job performed, therefore not having been subjected to a technical evaluation of its fitness for the type of maintenance to be performed._x000D_
Additionally, the training given to the contractor gang and to the supervisor from the IM revealed to be insufficient to guarantee that these workers appreciated the criticality of guaranteeing a faultless quality of the work performed, considering the strict geometric requirements for track on transition curves._x000D_
Lastly, the defects found on the running gear of the wagons of the same type as the one where the derailment started, indicate that the type’s inspection and maintenance regime are not entirely adequate, therefore not allowing to exclude that on the first derailed wagon some fault, undetected by the damage, may have also played a part in the wagon behaviour and a causal factor to the derailment._x000D_
_x000D_
ROOT CAUSES_x000D_
The IM process for controlling the work performed by its contractors in accordance with its SMS, was not robust enough to prevent the deficient control of the work performed._x000D_
Additionally, although being successful over the last years in identifying several relevant findings regarding the control of contractors and competences of staff, in both cases allowing improvements to be made, the IM internal process for monitoring and continuous improvement was not effective in identifying the shortcomings found in this investigation relating to the monitoring and control of the work performed by the contractor, to the training of staff involved and to the lack of procedures that technically supported the work method for the repair of the wet bed on the track._x000D_
Concerning the functioning conditions of the vehicles in the train, the RU process for controlling the risk of a vehicle in its train not being in a state that doesn’t compromise the safe operations, and the ECM monitoring of its own maintenance system, were not sufficiently robust to guarantee that the wagons were all fit for operation._x000D_
The fact that the NSA, within its supervision obligations, has never audited the continuous application of the IM and RU safety management systems, has also not allowed that the above mentioned weaknesses were duly identified and corrected. Despite for the last several years having planned to conduct supervision audits to the IM and RUs safety management systems, these have been systematically postponed due to the persistent lack of available staff for their undertaking.</t>
  </si>
  <si>
    <t>CZ-5303</t>
  </si>
  <si>
    <t>Trains collision, 04-04-17, Ústí nad Labem hlavní nádraÅ¾í station, district north (Czech Republic)</t>
  </si>
  <si>
    <t>Unauthorized movement of shunting operation (RU METRANS, a. s.) behind a signal device No. Se224, its entry into a route of shunting operation (RU IDS CARGO, a. s.) with consequent collision and derailment.</t>
  </si>
  <si>
    <t>Ústí nad Labem hlavní nádraÅ¾í station, district north</t>
  </si>
  <si>
    <t>METRANS; 
IDS CARGO a.s.</t>
  </si>
  <si>
    <t>Direct cause:_x000D_
• unauthorized movement of shunting operation (RU METRANS, a. s.) behind the signal device No. Se224 and its entry into a route of shunting operation (RU IDS CARGO, a. s.)._x000D_
_x000D_
Contributory factor: none.</t>
  </si>
  <si>
    <t>Underlying causes:_x000D_
• movement of shunting operation (RU METRANS, a. s.) without a permission to shunting behind signal device No. Se224;_x000D_
• failure to detection by train driver whether the signal device No. Se224 allow the shunting for the intended ride, before putting shunting operation (RU METRANS, a. s.) into motion;_x000D_
• failure to detection of the signal “Shunting forbidden” on signal device No. Se224 by the shunter and not giving immediately a sign to stop to train driver of shunting operation (RU METRANS, a. s.)._x000D_
_x000D_
Root cause: none.</t>
  </si>
  <si>
    <t>HR-5324</t>
  </si>
  <si>
    <t>Other event, 04-04-17, KriÅ¾evci (Croatia)</t>
  </si>
  <si>
    <t>Prilikom izlaska iz putnickog vlaka broj 201 u kolodovoru Koprivnica  na pruzi M201 teže je ozlijedena putnica. 
When leaving the passenger train number 201 in Station Koprivnica on the line M201 weight is injured passenger.</t>
  </si>
  <si>
    <t>KriÅ¾evci</t>
  </si>
  <si>
    <t>priklještenje bocnim vratima putnice prilikom izlaska iz  putnickog vagona 
press of the side door of the passenger when leaving the passenger wagon</t>
  </si>
  <si>
    <t>-	Neispravnost senzora prekida svjetlosne zrake _x000D_
-	Neispravnost  cjevcice zaštite od prignjecenja 
-	Malfunction of the sensor interrupts a beam of light _x000D_
-	Malfunction of the protection press tube</t>
  </si>
  <si>
    <t>PL-5320</t>
  </si>
  <si>
    <t>Level crossing accident, 04-04-17, Chelm (Poland)</t>
  </si>
  <si>
    <t>On 04.04.2017, at 17:34, a passenger train ROJ No. 22317, on the Lublin - Chelm road, operated with an electric multiple unit EN57-1292 series (EVN numbers of railway vehicles that took part in the occurrence:  PL–PREG 94 51 2 121 995–6 + PL–PREG 94 51 2 121 996–4 + PL–PREG 94 51 2 121 997–2), owned by “Przewozy Regionalne” Spólka z o.o. railway carrier, Division in Swietokrzyskie province, with its registered office in Skarzysko - Kamienna. on the cat. A level crossing, situated within the course of the poviat road No. 104884L (name and number of the street: Metalowa - Trubakowska No. 06229), on the Zawadówka - Uherka junction post road of the railway line No. 7: Warszawa Wschodnia Osobowa – Dorohusk, route No. 1, hit the “Toyota Yaris” passenger vehicle in the 244.676-km point, with the registration plate No. LC XXXXX, which entered the cat. A level crossing directly in front of the incoming train while the boom barriers were open.</t>
  </si>
  <si>
    <t>Chelm</t>
  </si>
  <si>
    <t>Przewozy Regionalne Ltd</t>
  </si>
  <si>
    <t>The railroad vehicle hits the road vehicle (a passenger car, Toyota Yaris), which entered the cat. A level crossing with open boom barriers directly in front of the approaching passenger train ROJ No. 22317, Lublin - Chelm road, operated by “Przewozy Regionalne” Spólka z o.o., Lublin Division, with its registered office in Lublin.</t>
  </si>
  <si>
    <t>Primary cause:_x000D_
The lineman fails to close the boom barriers according to the time for boom barriers closure, as stipulated in the “Rules for operation of the level crossing”, despite the notification on the traveling train No. 22317 from traffic orderly of the Zawadówka station._x000D_
_x000D_
Indirect causes:_x000D_
1.	The driver of the passenger car, Toyota Yaris, fails to maintain the utmost care, especially she enters the level crossing without making sure of whether there is no approaching railway vehicle, contrary to the provisions of Article 19 para 1 of the Act of 20 June 1997 Law on Road Traffic - (Dz.U. 2017, item 128, as amended)._x000D_
2.	Absence of the lineman in a place, from where he should observe the passing train and give the D8 signal (“Lineman present at the level crossing”) holding signal tools in his hand as stipulated in the “Rules for operation of the level crossing or of the pedestrian crossing”._x000D_
3.	The lineman carried out his duties despite lack of concentration resulting from a difficult situation having no relation to the work. _x000D_
_x000D_
Systemic causes:_x000D_
The infrastructure manager and it executive unit fail to perform the safety management system procedures - inefficient direct supervision of safety condition on the level crossing by the infrastructure manager, including inspection carried out in an insufficiently profound way, not-identifying the emerging threats within SMS or incomplete implementation of post-inspection recommendations, especially:_x000D_
•	The inspections did not identify among others the problem of limited visibility on the open boom barriers from the train driver’s position, and the inspections did not recognize an error in the Rules for operation of the level crossing related to duties of the linemen before leaving its workstation._x000D_
•	Failure to implement the post-inspection recommendations as regards shifting the place, where the lineman gives the D8 signal from.</t>
  </si>
  <si>
    <t>CZ-5302</t>
  </si>
  <si>
    <t>Train derailment, 05-04-17, Brno hl. n. station (Czech Republic)</t>
  </si>
  <si>
    <t>Derailment of the shunting operation and consequent collision with the standing rolling stocks after unauthorized switching of the switch No. 23 under the moving shunting operation.</t>
  </si>
  <si>
    <t>Unauthorized switching of the switch No. 23 under the last rolling stock of the moving shunting operation.</t>
  </si>
  <si>
    <t>Underlying cause:_x000D_
• failure to observe the technological procedures of the IM during manipulation with the switch No. 23 and failure to observe the Order No. 21/2016 of the head of the operation circuit Brno for monitoring of movement of the shunting operation._x000D_
_x000D_
Root cause: none.</t>
  </si>
  <si>
    <t>CZ-5306</t>
  </si>
  <si>
    <t>Spad, 05-04-17, Kralupy nad Vltavou station (Czech Republic)</t>
  </si>
  <si>
    <t>Unauthorized movement of freight train No. 41363 past the route signal Sc7 with signal “Stop” in Kralupy nad Vltavou station and ride to train road for regional passenger train No. 9770.</t>
  </si>
  <si>
    <t>Kralupy nad Vltavou station</t>
  </si>
  <si>
    <t>Advanced World Transport a.s.; 
Ceské dráhy</t>
  </si>
  <si>
    <t>Direct cause:_x000D_
• train driver's of freight train No. 41363 operational error (he did not respect signal “Stop” of the route signal Sc7 at Kralupy nad Vltavou station)._x000D_
_x000D_
Contributory factor:_x000D_
• absence of technical equipment which prevents a train from passing a signal in case of danger.</t>
  </si>
  <si>
    <t>Underlying cause:_x000D_
• mistake of train driver's of freight train No. 41363 who watched persons in service level crossing without protection instead watching signal of the rout signal Sc7._x000D_
_x000D_
Root cause:_x000D_
• none.</t>
  </si>
  <si>
    <t>DE-5326</t>
  </si>
  <si>
    <t>Other, 6/4/2017, Bf Blankenberg (Sieg)</t>
  </si>
  <si>
    <t xml:space="preserve">Am 06.04.2017 gegen 14:43 Uhr offenbarte sich bei Zug S 33211 auf der Fahrt von Au (Sieg) nach Horrem im Bahnhof Blankenberg/Sieg eine sicherheitsrelevante Störung am Eisenbahnfahrzeug.
Wegen untypischen Fahrverhaltens (starke Ruckbewegungen) wurde der Zug am Bahnsteig im Bahnhofsteil Merten (Sieg) durch den Tf untersucht.Dabei wurde ein heiß gelaufenes Radsatzlager und eine aus ihrem Sitz herausgelöste Gummikonusfeder an der siebten Achse links des in Fahrtrichtung vorderen Elektrotriebzuges 423 052 festgestellt 
</t>
  </si>
  <si>
    <t>Bf Blankenberg (Sieg)</t>
  </si>
  <si>
    <t>Heiß gelaufenes Radsatzlager und eine aus ihrem Sitz herausgelöste Gummikonusfeder.</t>
  </si>
  <si>
    <t>Article 20.2 of Directive (EU) 2016/798 - (b)</t>
  </si>
  <si>
    <t>Eine Undichtigkeit am Übergang der Radsatzwelle zum Radsatzlagergehäuse war erkennbar. Es ist davon auszugehen, dass es an dieser Stelle zu einem Schmiermittelaustritt kam, der für das Versagen des Radsatzlagers verantwortlich war. In der Folge löste sich dann die Gummikonusfeder aus ihrer Halterung.</t>
  </si>
  <si>
    <t>PL-5325</t>
  </si>
  <si>
    <t>Level crossing accident, 07-04-17, Ozimek (Poland)</t>
  </si>
  <si>
    <t>On 7 April 2017, on the cat. C level crossing of the Piotra Kukuczki street (poviat road No. 1744.0) and the railway line No. 144 Tarnowskie Góry - Opole Glówne (Ozimek - Chrzastowice railway route), the EIP express train No. 6102 composed of the electric multiple unit, ED250-002 series (Pendolino), hit a road vehicle standing on the level crossing. The road vehicle was composed of Mercedes Actros truck-tractor and VS-Mont semitrailer (low-loading) that transported a heavy goods vehicle. The road vehicle traveled on the street with a no-entry restriction for heavy goods vehicles - marked with B-5 signs. While passing by, the low-loading semitrailer got suspended on the level crossing’s surface, making it impossible for the road vehicle to leave the level crossing. The train No. 6102 on the Wroclaw Gl. - Warszawa Wschodnia road arriving from the side of the Chrzastowice train station, after activation of the automatic crossing signaling (SSP) in the 56.977-kilometer point, and having received the information that warning devices for road users work correctly on the level crossing in question (two vertical lights on a level crossing warning plate Top568), continued to travel at a speed of about 140 km/h. After leaving the curve (the track is on the curve from 56.743 to 57.760-km point with a radius of R 1550 m), 229 m before the level crossing, the train driver seeing the obstacle at the crossing level in the form of a road vehicle, implemented immediate braking and gave the "warning" (Rp1) signal in 56.977-m point. Despite the implemented braking, the train No. 6102 hit the road vehicle at a speed of 117 km/h. The train hit the rear part of the truck-tractor and the front part of the semi-trailer. As a result of the collision, the semi-trailer uncoupled from the tractor; the tractor was thrown away to the right (looking from the direction of travel of the EZT ED 250-002 train), while the semi-trailer with a heavy goods vehicle was thrown on the left. As a result of the impact, the EZT ED250-02 derailed to the left with the first trolley about 6 m behind the travel axis (looking in the direction of travel) and traveled for 266 m in such a state. The front of the correctly signalled train stopped at 56.705-km point.</t>
  </si>
  <si>
    <t>Ozimek</t>
  </si>
  <si>
    <t>The EIP train No. 6102 hits the obstacle in a form of a road vehicle composed of a truck-tractor and a low-loading semi-trailer transporting a heavy goods vehicle, stuck on the deflection of the road surface of the cat. C level crossing.</t>
  </si>
  <si>
    <t>Primary cause: _x000D_
The truck-tractor gets stuck on the level crossing, at a place of inadequate profile, at the joint of external concrete slabs of the crossing bridges with the asphalt surface of the road, causing the deflection (ridge), which generated the difference in inclination reaching 9.16% at a length of 6.80 m what made it impossible for the road vehicle to leave the level crossing. The deflection of 9.16% emerged because of the inclination of the crossing bridge at a length of 4 meters reaching 4.88%, and in the opposite direction of the road - at a length of 2.8 m, reaching 4.28%. (Fig. No. 2 p. 15, No. 5 p. 19)._x000D_
_x000D_
          Indirect cause:_x000D_
The driver of the road vehicles fails to observe the road traffic regulations, i.e. he traveled on the level crossing access road with the no-entry for heavy-goods vehicles restriction marked with the B-5 sign and continued to travel towards that level crossing (the Act of 20 June 1997, Law on Road Traffic - Dz.U. 2017 item 128, as amended)._x000D_
_x000D_
          Systemic causes:_x000D_
1.	The PKP PLK S.A. The Railways Plant in Opole infrastructure manager fails to carry out the technical and operational risk assessment and to perform any corrective and preventive actions arising from the Safety Management System and the Maintenance Management Systems SMS/MMS of the infrastructure manager, in relation to:_x000D_
- remodeling of the level crossing as a result of an increase in speed limit for trains to 140 km/h, which forced the change in the track geometry._x000D_
The change in the track geometry consisted in moving the track axis and increasing the tilt to 70 mm. This remodeling did not cover the change in geometry of the access road, and this caused the deflection in the longitudinal profile of the road, with opposite directions of inclination. This inclination occurs at the joint of external slabs covered with bituminous surface, looking from the left side of the track towards the train’s direction of travel. The deflection of 9.16% emerged because of the inclination of the crossing bridge at a length of 4 meters reaching 4.88%, and in the opposite direction of the road - at a length of 2.8 m, reaching 4.28%. _x000D_
The Regulation of the Minister of Transport and Maritime Economy of 26 February 1996 _x000D_
on the technical conditions to be met by railway crossings with public roads and their location in §25 para 8 and the Regulation of the Minister of Infrastructure and Development of 20 October 2015 on technical conditions to be met by crossings of railway lines and railway sidings with roads and their location in § 29 para 7 also specify that “deflections may emerge on an inclinations of the same sign, with a difference not exceeding 5%”._x000D_
2.	The infrastructure manager (ZOPI - Investment Projects Assessment Team) approved the railway line remodeling project without any reservations to the level crossing in question, despite the discrepancies in the level crossing remodeling project with provisions of the Regulations such as in point 1 (as regards permissible deflections of the roadway surface) and failed to reveal this discrepancy during the commissioning of the level crossing and during the travel monitoring in the course of its exploitation. Failure to undertake any measures that would eliminate or minimize the risk of accident. Approval of the project that did not cover the access road to the level crossing in question. _x000D_
3.	The designer failed to adjust the project documentation despite the changes in the level crossing bridge profile in relation to the access road in the Piotr Kukuczka street in Schodnia in cooperation with the road manager.</t>
  </si>
  <si>
    <t>RO-5323</t>
  </si>
  <si>
    <t>Train derailment, 08-04-17, Merisor - Banita (Romania)</t>
  </si>
  <si>
    <t>the locomotive and 14 wagons from the freight train no.50457 derailed between Banita and Merisor railway stations</t>
  </si>
  <si>
    <t>Merisor - Banita</t>
  </si>
  <si>
    <t>Cauza directa a producerii accidentului feroviar o constituie cresterea puternica a fortelor laterale care actionau la nivelul rotilor locomotivei, fapt ce a condus la depasirea limitei de stabilitate la deraiere. Aceasta s-a produs ca urmare a faptului ca, la circulatia pe o zona situata în curba, viteza trenului (92 km/h) a depasit cu 130% viteza maxima admisa pe sectia de circulatie (40 km/h). _x000D_
Cresterea vitezei trenului s-a produs pe fondul unor erori umane, erori ce au facut ca robinetul de aer de la primul vagon din tren sa se afle pe pozitia „închis”, conducta generala de aer fiind astfel întrerupta, iar frânele automate ale trenului sa nu asigure frânarea acestuia._x000D_
Factori care au contribuit_x000D_
-	starea fizica a personalului de locomotiva afectata de:_x000D_
-	consumul de bauturi alcoolice în timpul desfasurarii activitatii;_x000D_
-	oboseala acumulata în intervalul de timp cuprins între plecarea de la domiciliu si momentul producerii accidentului, oboseala manifestata, în cazul mecanicului de locomotiva, pe fondul vârstei de 67 de ani. 
Direct cause_x000D_
The direct cause of the accident was the very important increase of the lateral forces acting on the locomotive wheels, it leading to the exceeding of the derailment stability limit. It happened because, the running on a curve, the train speed (92 km/h) exceeded with 130% the maximum speed on the track section (40 km/h). _x000D_
The increase of the train speed happened following some human errors, following which the angle cock from the first wagon was on „off”, the general air pipe being interrupted, and the automatic brakings of the train could not ensure its braking._x000D_
Contributing factors_x000D_
?	The physical condition of the locomotive staff was affected by:_x000D_
-	consumption of alcooholic drinks during the working time;_x000D_
-	fatigue cumulated between leaving the home and the accident occurrence, this fatigue present in case of the driver that was 67 years old.</t>
  </si>
  <si>
    <t>Cauze subiacente_x000D_
1.	Nerespectarea prevederilor art.1 din Ordinul MTTc nr.855/1986 referitoare la interzicerea introducerii în unitati si consumului bauturilor alcoolice de catre personalul din domeniul transporturilor, precum si a prevederilor art.12, alin.(1), lit.b), din Instructiunile pentru activitatea personalului de locomotiva în transportul feroviar nr.201/2007, referitoare la interzicerea transportului si/sau consumului în timpul serviciului de bauturi alcoolice care pot diminua capacitatea de conducere de catre personalul de locomotiva._x000D_
2.	Nerespectarea prevederilor art.2 din Normele aprobate prin Ordinul MT nr.256/2013, referitoare la serviciul continuu maxim admis pe locomotiva al personalului ce conduce si/sau deserveste locomotiva în echipa completa._x000D_
3.	Nerespectarea prevederilor art.10 din Normele aprobate prin Ordinul MT nr.256/2013, referitoare la faptul ca operatorul de transport feroviar solicita cu cel putin 60 de minute înainte de expirarea timpului de conducere efectiva a locomotivei, conducerii operative a administratorului sau gestionarului de infrastructura feroviara oprirea trenului în vederea efectuarii schimbului de personal.  _x000D_
4.	Nerespectarea prevederilor art.125, alin.(1) din Instructiunile pentru activitatea personalului de locomotiva în transportul feroviar nr.201/2007 referitoare la respectarea stricta a vitezelor de circulatie._x000D_
5.	Nerespectarea prevederilor art.75, alin.(5) din Regulamentul de remorcare si frânare nr.006/2005 referitoare la modul de folosire a frânelor în cazul frânarii trenurilor pe portiuni de linie cu panta mai mare de 15‰._x000D_
6.	Nerespectarea prevederilor art.70, alin.(14) din Instructiunile pentru activitatea personalului de locomotiva în transportul feroviar nr.201/2007 referitoare la interzicerea blocarii valvei de descarcare a cilindrilor de frâna ai locomotivei._x000D_
Cauze primare _x000D_
Nerespectarea prevederilor pct.5.14, lit.h.2 si pct.5.16 din Procedura Operationala cod: POSF – 37, parte a sistemului de management al sigurantei dezvoltat la nivelul operatorului de transport feroviar SC UNICOM TRANZIT SA, referitoare la:_x000D_
?	limita maxima a duratei rezultate din însumarea timpului de munca în stationarea trenului cu timpul de munca în conducerea efectiva a locomotivei;_x000D_
?	transmiterea dispozitiilor operative de adaptarea a programului de circulatie, astfel încât personalul de locomotiva si de tren aflat în timpul serviciului sau la odihna în afara domiciliului sa respecte conditiile de siguranta impuse de Normele aprobate prin Ordinul MT nr.256/2013. 
Underlying causes_x000D_
1.	Infringement of the provisions of art.1 from the Order of Minister of Transports and Telecommunications no.855/1986 concerning the prohibition for the trasport staff to introduce in the units and to drink alcoholic drinks, as well as of the provisions of art.12, paragraph (1), letter b), from the Instructions for the activity of the locomotive crew no.201/2007, concerning the prohibition to transport and/or drink during the working time alcoholic drinks that can reduce the driving capacity of the locomotive crew._x000D_
2.	Infringement of the provisions of art.2 from Norms approved by Order of Minister of Transports no.256/2013, concerning the maximum continuous working time accepted in the locomotive for the locomotive crew, in complete team._x000D_
3.	Infringement of the provisions of art.10 from the Norms approved by the Order of Minister of Transports no.256/2013, according which the railway undertaking requests, 60 minutes at least before the end of the effective driving time of the locomotive, the operative management of the the infrastructure manager or of the administrator to stop the train for the shift exchange.  _x000D_
4.	Infringement of the provisions of art.125, paragraph (1) from the Instructions for the activity of the locomotive crew no.201/2007 concerning the strict compliance with the running speeds._x000D_
5.	Infringement of the provisions of art.75, paragraph (5) from the Regulations for hauling and braking no.006/2005, with reference to the way to use the train braking on track sections with slope over 15‰._x000D_
6.	Infringement of the provisions of art.70, paragraph (14) from the Instructions for the activity of the locomotive crew no.201/2007 concerning the prohibition to block the release valve of the locomotive brake cylinders._x000D_
Root causes _x000D_
Infringement of the provisions of point 5.14, letter h.2 and of point 5.16 from the Operational procedure code: POSF – 37, part of the safety management system developed by the railway undertaking SC UNICOM TRANZIT SA, concerning:_x000D_
?	the maximum limit of the time resulted from the summing of the working time during the train stop with the working time during the effective locomotive driving;_x000D_
?	sending of operative disposals for the adjustment of the running program, so the train crew on duty or taking rest outside the home to comply with the safety conditions imposed by the Norms approved through the Order of Minister of Transports no.256/2013.</t>
  </si>
  <si>
    <t>CZ-5322</t>
  </si>
  <si>
    <t>Trains collision, 09-04-17, open line between Decín-Prostrední Å½leb station and Dolní Å½leb railway stop (Czech Republic)</t>
  </si>
  <si>
    <t>Collision of a locomotive train No. 43398 with a freight train No. 48378</t>
  </si>
  <si>
    <t>open line between Decín-Prostrední Å½leb station and Dolní Å½leb railway stop</t>
  </si>
  <si>
    <t>Direct causes:_x000D_
• guidance of locomotive train No. 43398 while its movement behind of automatic block main signal device 2-81 with signal “Stop” under condition for running on sight;_x000D_
• exceeding the maximum permitted speed by 30 km·h-1.</t>
  </si>
  <si>
    <t>Underlying causes:_x000D_
• the chosen mode of driving by the train driver of locomotive train, which did not allow to stop the locomotive train before a rolling stocks in a common route with ordered ride of the locomotive train under condition for running on sight;_x000D_
• the locomotive train driver's failure to realize a duty, that he mustn't exceed speed 30 km·h-1, while riding in the border area Decín – Bad Schandau and on a signal repeater is no traffic light (or only blue light)._x000D_
_x000D_
Root cause: none.</t>
  </si>
  <si>
    <t>NO-5327</t>
  </si>
  <si>
    <t>Train derailment, 14-04-17, Loenga station (Norway)</t>
  </si>
  <si>
    <t>On Friday 14 April 2017 at approximately 04:05, a freight wagon that was part of Green Cargo AB’s train 45930 derailed at Loenga station. The train was on its way from Gothenburg to the Alnabru terminal._x000D_
_x000D_
According to the train consist, the length of the train was 580 metres and its total weight was 1,013 tonnes. Because of its weight, the train needed the assistance of a banking locomotive on its way up from Loenga to Alnabru. As the driver headed towards the signal to stop and wait for the locomotive, the train lost its power supply. At the same time, the locomotive driver was informed by the system operator at Loenga that the train had derailed. _x000D_
_x000D_
The container on the derailed freight wagon pulled down a portal structure supporting the overhead catenary system, and came to rest leaning against one of the pillars of Geita bridge. 
Fredag 14. april 2017 ca. kl. 0405 sporet Green Cargo AB sitt godstog 45930 av med en godsvogn på Loenga stasjon. Toget var på vei fra Gøteborg til Alnabruterminalen._x000D_
_x000D_
I følge vognopptaket var togets lengde 580 meter med en totalvekt på 1013 tonn. På grunn av den høye vekten var det  behov for assistanse av et hjelpelokomotiv på veien opp  fra Loenga til Alnabru. I det føreren kjører mot signal for å stanse i påvente av hjelpelokomotivet, mistet toget strømforsyningen. Lokføreren ble samtidig informert av driftsoperatøren på Loenga at toget hadde sporet av. _x000D_
_x000D_
Containeren på den avsporede godsvognen rev med seg et åk som holder kontaktledningen, og ble stående lent  mot en av bropilarene til Geita bru.</t>
  </si>
  <si>
    <t>Loenga station</t>
  </si>
  <si>
    <t>Failed to follow up track twist after construction work before allowing freight trains on track.</t>
  </si>
  <si>
    <t>AT-5329</t>
  </si>
  <si>
    <t>Trains collision, 15-04-17, Station Meidling (Austria)</t>
  </si>
  <si>
    <t>On 15 April 2017, at 16:31 clock, at the entrance into the Bf Vienna Meidling, Train “RJ 631” collided with a shunting movement. Due the collision a derailment of the passenger wagon 4 to 7 of the “RJ 631” occurred. The 4th and the 7th passenger wagon of the train came into oblique position._x000D_
There were eight people, one of them seriously injured._x000D_
There were considerable damage to vehicles, superstructure, signalling systems and overhead line._x000D_
The causation was an unauthorized signal crossing through the shunting device. 
Am 15. April 2017, um 16:31 Uhr kollidierte bei der Einfahrt in den Bf Wien Meidling Zug “RJ 631” mit einer Verschubgarnitur. Durch die Kollision kam es zu einer Entgleisung der Wagen 4 bis 7 des „RJ 631“. Der 4. Und der 7. Wagen des Zuges kamen in Schräglage. _x000D_
Es wurden acht Personen, davon eine schwer verletzt. _x000D_
Es kam es zu erheblichen Schäden an Fahrzeugen, Oberbau, Signalanlagen und Oberleitung._x000D_
Ursache war eine unerlaubte Signalüberfahrung durch die Verschubgarnitur.</t>
  </si>
  <si>
    <t>Station Meidling</t>
  </si>
  <si>
    <t>Ursache war eine Signalüberfahrung des haltzeigenden Verschubsignals „V 282“ durch die Verschubfahrt. 
The causation was the non-observance of a signal indication of the halting stop signal "V 282" due to the shunting movement.</t>
  </si>
  <si>
    <t>RO-5328</t>
  </si>
  <si>
    <t>Train derailment, 15-04-17, Mureni- Beia (Romania)</t>
  </si>
  <si>
    <t>the first bogie from the rail crane type EDK 250tf derailed in open line between Mureni and Beia railway stations. The rail crane was part of the work train no. 28261-2.</t>
  </si>
  <si>
    <t>Mureni- Beia</t>
  </si>
  <si>
    <t>Cauza directa a producerii accidentului a constituit-o escaladarea fe?ei laterale active a  ?inei de pe firul exterior al curbei de catre roata din stânga a primei osii în sensul de mers a macaralei EDK 2000, datorita deforma?iei traversei frontale din fa?a a boghiului deraiat, produsa anterior acestui accident, care a favorizat cre?terea unghiului de atac. _x000D_
Factorii care au contribuit la producerea accidentului au fost:_x000D_
1.	Neefectuarea reviziei tehnice la compunere la trenul nr.28261/28261-2 înainte de îndrumarea din Hm Meri?or, inac?iune favorizata la rândul ei de lipsa reglementarilor (conven?ii, contracte, proceduri) proprii ale CNCF „CFR” SA (administrator de infrastructura ?i nu OTF), pentru efectuarea reviziei tehnice la compunere a trenului de interven?ie înainte de îndrumare la înapoierea dupa interven?ie ?i de nerespectarea prevederilor instruc?ionale ?i din fi?a nr.26 din PTE al Hm Meri?or, de verificare a existen?ei unui revizor tehnic de vagoane pentru efectuarea reviziei tehnice la compunere ?i de punere la dispozi?ie a trenului catre un OTF pentru efectuarea acestei revizii._x000D_
2.	Punerea în mi?care a trenului nr.28261/28261-2 din Hm Meri?or fara confirmarea prin semnatura în formularul „foaia de parcurs” a locomotivei, despre efectuarea reviziei tehnice la compunere ?i a probei de frâna complete de catre cel care a efectuat-o._x000D_
3.	Men?inerea în exploatare a ?inelor din exteriorul curbei cu uzuri laterale ?i zone cu nivelul transversal al caii, cu valori care nu se încadrau în limitele toleran?elor admise. 
Direct cause of the accident was the overclimbing of the lateral gauge face of the exterior rail of the curve by the left wheel of the first axle in the running direction of the crane EDK 2000, because the twist of the headstock of the bogie derailed, happened before the accident, that favoured the increase of the angle of attack. _x000D_
Contributing factors of the accident were:_x000D_
1.	Non-performance of the technical inspection at the composition of the train no.28261/28261-2 before its routing from the railway station Meri?or, the lack of action being favoured by the absence of regulations (conventions, contracts, procedures) CNCF „CFR” SA own (infrastructure manager and not undertaking), for the performance of the technical inspection in the composition of the breakdown train, before its routing at the running back after the intervention and the infringement of the  provisions from the instruction and  from the sheet no.26 from the operational technical plan of the railway station Meri?or, to check the existence of a train examiner for the performance of the technical inspection at the composition and to submit the train to a railway undertaking for the performance of this inspection._x000D_
2.	Putting into running of the train no.28261/28261-2 from the railway station Meri?or without confirming upon signature in the form „route sheet” of the locomotive, the performance of the technical inspection at the composition and of the complete braking test by the person who performed it._x000D_
3.	Keeping in operation of the rails from the curve exterior with lateral wears and areas with the cross level with values outside the accepted tolerance limits.</t>
  </si>
  <si>
    <t>Cauzele subiacente ale producerii accidentului au fost nerespectarea unor prevederi din instruc?iile ?i regulamentele în vigoare:_x000D_
1.	Instruc?ia pentru exploatarea mijloacelor de interven?ie nr.632/2000, pct.1.4, referitor la respectarea instruc?iilor de serviciu, a ordinelor ?i reglementarilor în vigoare, în activitatea mijloacelor de interven?ie ?i a echipelor acestora._x000D_
2.	Regulamentul de Exploatare Tehnica Feroviara nr.002/2001, art.228(1), referitoare la stabilirea condi?iilor impuse starii tehnice a vehiculelor feroviare (macara)._x000D_
3.	Fi?a nr.26 din PTE al Hm Meri?or, referitoare la efectuarea reviziei tehnice la compunere a trenurilor._x000D_
4.	Regulamentul pentru circula?ia trenurilor ?i manevra vehiculelor feroviare nr.005/2005, art.88(1), ?i din Regulamentul de Exploatare Tehnica Feroviara nr.002/2001, art.228(2), referitor la interzicerea introducerii în trenuri a vehiculelor feroviare care prezinta defecte, respectiv pericol pentru siguran?a circula?iei trenurilor._x000D_
5.	Regulamentul pentru circula?ia trenurilor ?i manevra vehiculelor feroviare nr.005/2005, art.88(2), referitoare la interzicerea introducerii în trenuri ?i men?inerea în circula?ie a vehiculelor feroviare neînscrise în parcul unui operator de transport feroviar sau care nu au fost autorizate pentru circula?ie conform reglementarilor specifice._x000D_
6.	Regulamentul de investigare a accidentelor ?i a incidentelor, de dezvoltare ?i îmbunata?ire a siguran?ei feroviare pe caile ferate ?i pe re?eaua de transport cu metroul din România, aprobat prin Hotarârea Guvernului nr.117/2010, Art.16 lit.d), referitoare la masurile ce trebuiau luate pentru prevenirea unei situa?ii de pericol ?i de avizare pe orice cale a conducerii subunita?ii celei mai apropiate._x000D_
7.	Regulamentul de remorcare ?i frânare nr.006/2005, art.56(2), referitoare la semnarea foii de parcurs de catre revizorul tehnic de vagoane pentru confirmarea efectuarii reviziei tehnice ?i a probei de frâna complete a trenului._x000D_
8.	Instruc?ia de norme ?i toleran?e pentru construc?ia ?i între?inerea caii - linii cu ecartament normal - nr.314/1989, art.7.A.1, referitoare la toleran?ele admise fa?a de nivelul transversal prescris._x000D_
9.	Instruc?ia de norme ?i toleran?e pentru construc?ia ?i între?inerea caii - linii cu ecartament normal - nr.314/1989”, art.22 ?i a valorilor prevazute în tabelele 24 ?i 25, precum ?i a art.4 din ”Prescrip?iile tehnice privind masurarea uzurilor verticale ?i laterale ale ?inelor de cale ferata” aprobate prin ordinul nr.30/1298/1987 al DLI Bucure?ti referitoare la men?inerea în cale a ?inelor în func?ie de uzurile verticale ?i laterale._x000D_
Cauzele primare ale producerii accidentului au fost:_x000D_
1. Lipsa unor reglementari pentru stabilirea conditiilor impuse starii tehnice a vehiculelor feroviare (macara) ?i pentru modul de efectuare a reviziilor tehnice ale trenurilor de interven?ie._x000D_
2. Neefectuarea ac?iunii de evaluarea ?i aprecierea riscurilor pentru activitatea trenurilor de interven?ie ?i a echipelor acestora. 
Underlying causes of the accident were the infringement of the provisions from instructions and regulations in force:_x000D_
1.	Instruction for the operation of the intervention means no.632/2000, point 1.4, concerning the meeting with the working instructions, orders and regulations in force, in the activity of the intervention means and of their crews._x000D_
2.	Regulations for Railway Technical Operation no.002/2001, art.228(1), concerning the setting of the conditions imposed to the technical condition of the railway vehicles (crane)._x000D_
3.	Sheet no.26 from the Operation Technical Plan of the railway station Meri?or, concerning the performance of the technical inspection during the train composition._x000D_
4.	Regulations for the train running and shunting of the railway vehicles no.005/2005, art.88(1), and from the Regulations for Railway Technical Operation no.002/2001, art.228(2), concerning the prohibition to couple in train of railway vehicles with failures, respectively danger for the train safety._x000D_
5.	Regulations for the train running and shunting of the railway vehicles no.005/2005, art.88(2), concerning the prohibition to couple at the trains and keeping in traffic of railway vehicles non-matriculated in the stock of a railway undertaking or non-authorized for running according to the specific regulations._x000D_
6.	Regulations for the accident and incident investigation, for the development and improvement of Romanian railway and metro safety, approved through the Government Decision no.117/2010, Art.16 letter d), concerning the measures to be taken in order to prevent a dangerous situation and to notify by any means the management of the nearest subunit._x000D_
7.	Regulations for hauling and braking no.006/2005, art.56(2), concerning the signing of the route sheet by the train examiner in order to confirm the performance of the technical inspection and of the complete braking test of the train._x000D_
8.	Instruction of norms and tolerances for the track construction and maintenance – lines with standard gauge - no.314/1989, art.7.A.1, concerning the accepted tolerances against the prescribed cross level._x000D_
9.	Instructions of norms and tolerances for the track construction and maintenance – lines with standard gauge - no.314/1989”, art.22  and of the values stipulated in the tables 24 and 25, as well as of the art.4 from ”Technical provisions for the measurement of the vertical and lateral wears of the rails” approved through the Order no.30/1298/1987 of the District of Lines Bucure?ti concerning the keeping within the track of the rails in accordance with the vertical and lateral wears._x000D_
Root causes of the accident were:_x000D_
1. Lack of regulations for the setting of the conditions imposed for the technical condition of the railway vehicles (crane) and for the way to perform the technical inspections at the breakdown trains._x000D_
2. Non-performance of the assessment and estimation of the risks for the activity of the breakdown trains and of their crews.</t>
  </si>
  <si>
    <r>
      <t>A</t>
    </r>
    <r>
      <rPr>
        <b/>
        <sz val="11"/>
        <color theme="1"/>
        <rFont val="Calibri"/>
        <family val="2"/>
        <scheme val="minor"/>
      </rPr>
      <t>T-5492</t>
    </r>
  </si>
  <si>
    <t>Train derailment, 18-04-17, Betriebsstelle Schwechat (Austria)</t>
  </si>
  <si>
    <t>On Tuesday, April 18, 2017, a pulled shunting trip from Gs track 507 to KLs track 305 was carried out. In the course of the preparation for the displacement, a drag shoe, which was used as a securing device, was not removed. The drag shoe was under the third axle of the first car (33 84 7933 151 - 8) on the right-hand side in the direction of travel. Subsequently, the drag shoe that was not removed was dragged along in the course of the shunting journey from km 12.500 to km 12.266, where it wedged in the heart of the switch 203. In its wedged position, the brake shoe was exceeded by the third axle of the first carriage and the remaining 65 axles of the shunting drive. As a result, trains Z 698, Z 9046 and Z 24598 ran over the drag shoe in regular operation. Therefore, one shift and three train derailments can be assumed. The locomotive control of the Z 24598 reported an irregularity in the area of ​​switch 205 to the control center. Thereupon the control system informed one: an employee: in the SAE of the IB who: r discovered the wedged obstacle in the heart of the switch 203 during the inspection.</t>
  </si>
  <si>
    <t>Betriebsstelle Schwechat</t>
  </si>
  <si>
    <t>ÖBB Personenverkehr AG, City Air Terminal B.m.b.H, Rail Cargo Austria AG</t>
  </si>
  <si>
    <t>ÖBB Infrastruktur AG</t>
  </si>
  <si>
    <t>There was no damage to the infrastructure</t>
  </si>
  <si>
    <t>The inadequate preparation for shunting meant that a stumbling block under the third axle of the first wagon (33 84 7933 151 - 8) of the shunting journey on the right-hand side in the direction of travel was not removed. In the further course of the shifting movement, this was dragged along and wedged in the turnout heart of turnout 203.</t>
  </si>
  <si>
    <t>The multifunctional shunting line removed a drag and opened a handbrake before the traction unit was coupled. Furthermore, the communication between the multifunctional shunting line and the shunting line was not sufficient with regard to the securing equipment. The above-mentioned factors and the improper execution of the shunting preparations by the shunting management favored this incident.</t>
  </si>
  <si>
    <t>AT-5493</t>
  </si>
  <si>
    <t>Level crossing accident, 20-04-17, Wels Lokalbahn (Austria)</t>
  </si>
  <si>
    <t>On Thursday, April 20th 2017, the train 3247 collided on a technically secured Level crossing at km 1,250 with a pick-up truck coming from the right in the direction of the train. 
Am Donnerstag dem 20. April 2017, ca. 13:32 Uhr kollidierte der aus Richtung Wels Hbf nach Grünau im Almtal verkehrende Zug 3247  auf einer technisch mit LZA gesicherten EK im km 1,250  mit einem in Fahrt-richtung des Zuges von rechts kommendem Kleintransporter.</t>
  </si>
  <si>
    <t>Wels Lokalbahn</t>
  </si>
  <si>
    <t>Die Ursache des Zusammenpralls zwischen Z 3247 und einem Kleintransporter auf der EK km 1,250 war die unerlaubte Signalüberfahrung des in Stellung „HALT“ befindlichen ES „A“._x000D_
Der Vorfall wurde durch die streckenseitig nicht ausgeführte Zugsicherung PZB und dem mangelhaften Schutzweg zum ersten Gefahrenpunkt, in diesem Fall die EK km 1,250, ermöglicht. 
The cause of the collision between the Z 3247 and a van at the EK km 1,250 was the unauthorized stop signal being passed by the ES ‘A’ in a ‘STOP’ position._x000D_
The incident was made possible by the non-executed trackside intermittent automatic train control and the lack of protection from the first danger point, in this case the EK km 1,250.</t>
  </si>
  <si>
    <t>RO-5333</t>
  </si>
  <si>
    <t>Train derailment, 24-04-17, Banita-Petrosani (Romania)</t>
  </si>
  <si>
    <t>the 28th wagon from the freight train no.50494 derailed by the first bogie between railway station Banita and Petrosani</t>
  </si>
  <si>
    <t>Banita-Petrosani</t>
  </si>
  <si>
    <t>Cauza directa a producerii accidentului feroviar o constituie escaladarea umarului activ al ciupercii sinei de pe partea stânga a caii, de catre buza rotii atacante (roata nr.8 - situata pe partea stânga în sensul de mers al trenului) de la vagonul nr.33565423357-6, ca urmare a cresterii raportului dintre fortele laterale aparute la contactul roata - sina si sarcina care actiona pe aceasta roata, depasindu-se astfel limita de stabilitate la deraiere._x000D_
	Cresterea raportului dintre fortele laterale si sarcina ce actionau pe aceasta roata s-a produs în conditiile descarcarii de sarcina a acestei roti si a cresterii fortei laterale (de ghidare) cu care aceasta roata actiona asupra sinei._x000D_
Factori care au contribuit_x000D_
-	ruperea crapodinei superioare de la boghiul nr.2 (primul în sensul de mers) de la vagonul implicat si deformarea sasiului cutiei vagonului, fapt care a condus la marirea rezistentei la frecare, sporind gradul de rigidizare al ansamblului boghiu – cutie vagon, cu incapacitatea boghiului de a revenii la pozitia normala dupa iesirea din curba;_x000D_
-	încarcatura vagonului (vrac), pozitionata în cutia vagonului doar pe partea dreapta în sensul de mers. 
Direct cause  of the accident was the overclimbing of the rail gauge face of the rail  from the left side of the track, by the flange of the guiding wheel (wheel no.8 – on the left side in the train running direction) from the wagon no.33565423357-6, following the increase of the ratio between the lateral forces appeared at the contact wheel-rail and the load acting on this wheel, so exceeding the stability limit at derailment._x000D_
	The increase of the ratio between the lateral forces and the load acting on this wheel happened following the load transfer of this wheel and the increase of the lateral force(guiding one) this wheel acted on the rail._x000D_
Contributing factors_x000D_
-	breakage of the upper centre casting from the bogie no.2 (first in the running direction) of the wagon involved and the distortion of the wagon chassis, it leading to the increase of the friction resitance, rising the stiffener  of the ensemble bogie – wagon body, and the bogie unfit to come back to the normal position after leaving the curve;_x000D_
-	wagon load (bulk), put in the wagon only on the right side in the running direction.</t>
  </si>
  <si>
    <t>Cauze subiacente_x000D_
1.	Nerespectarea prevederilor art.6, alin.(2), lit.c) coroborat cu Tabelul nr.6, pct.9 din Instructiuni privind revizia tehnica si întretinerea vagoanelor în exploatare nr.250/2005 referitoare la obligativitatea revizorului tehnic de vagoane ca în cadrul reviziei tehnice la compunere a trenului sa asigure revizuirea fiecarui vagon în parte pentru a constata daca starea de functionare, deformatiile si uzurile pieselor si subansamblelor componente corespund conditiilor si limitelor prevazute în instructiuni._x000D_
2.	Nerespectarea prevederile punctului 3.3. din Anexa II a Regulamentului pentru utilizarea reciproca a vagoanelor în trafic international RIV, referitoare la repartizarea omogena a încarcaturii în vagoane._x000D_
Cauze primare_x000D_
	Nu au fost identificate cauze primare. 
Underlying causes_x000D_
1.	Infringement of the provisions of art.6, paragraph (2), letter c) corroborated with the Tabel no.6, point 9 from the Instructions for the technical inspection and maintenance of wagons in operation no.250/2005 concerning the compulsoriness of the train examiner that during the technical inspection at the train forming ensure the inspection of each wagon in order to see if the working condition, distortions and wears of the parts and subassemblies correspond to the conditions and limits stipulated in the instructions._x000D_
2.	Infringement of the provisions of point 3.3. from the Annex II of the Regulations for the mutual use of the wagons in the international traffic RIV, concerning the unitary ditribution of the load in the wagons._x000D_
Root causes_x000D_
	None</t>
  </si>
  <si>
    <t>IT-5330</t>
  </si>
  <si>
    <t>Other event, 25-04-17, Section between Bressanone and Fortezza (Italy)</t>
  </si>
  <si>
    <t>Collision between two maintenance vehicles during closure of the line</t>
  </si>
  <si>
    <t>Section between Bressanone and Fortezza</t>
  </si>
  <si>
    <t>insufficient braking action of the train</t>
  </si>
  <si>
    <t>HR-5336</t>
  </si>
  <si>
    <t>Trains collision with an obstacle, 28-04-17, Zagreb (Croatia)</t>
  </si>
  <si>
    <t>During a shunting operation of the EMU series 6111-015 on the Railway station Zagreb Glavni, train 4102, the EMU hit the bumpers on the end of the truck 
Prilikom manevarske vožnje EMG serije 6111-01 VD kolosijeku kolodvora Zagreb Glavni, vlaka 4102, došlo je do naleta iste na prsobran.</t>
  </si>
  <si>
    <t>nije bilo moguce utvrditi, ali se temeljem provedenih analiza može zakljuciti da su nesreci mogli doprinijeti vremenski uvjeti (poglavlja 2.4 i 3.4). 
could not be established but based on the analyzes it was concluded that the incident was contributed to the weather conditions (chapters 2.4 and 3.4).</t>
  </si>
  <si>
    <t>DE-5331</t>
  </si>
  <si>
    <t>Train derailment, 01-05-17, Dortmund Hbf (Germany)</t>
  </si>
  <si>
    <t>ICE 945 entgleist bei der Einfahrt in den Bahnhof Dortmund Hbf auf der Weiche 36. 
ICE 945 derailed during entry into railway station Dortmund Hbf on railway switch 36.</t>
  </si>
  <si>
    <t>Dortmund Hbf</t>
  </si>
  <si>
    <t>Ursache für die Entgleisung war das unbeabsichtigte Anheben eines Rades des vorletzten Wagens im Bereich der linken Weichenzungenvorrichtung der DKW 36 a. Das unbeabsichtigte Anheben des Rades wurde durch einen impulsartigen Stoß in Kombination mit Veränderungen an der Kontaktfläche Rad/Weichenzunge ausgelöst. 
The cause for the derailment was the unintentional lifting of a wheel of the second to last  wagon in the area of the left crossing section switch of the double crossing 36 a. Unintentional lifting of the wheel was triggered by a pulse-like impact combined with changes to the contact surface of the wheel/crossing section.</t>
  </si>
  <si>
    <t>BG-5332</t>
  </si>
  <si>
    <t>Train derailment, 04-05-17, Pirdop Station (Bulgaria)</t>
  </si>
  <si>
    <t>At about 7:05 am on May 4, 2017, when entering Pirdop station with a regular open signal, a freight train No 30690, composed of 3 electric locomotives (2 cold) and 23 empty wagons, derailed with the first axle of the second in the train composition locomotive ? 86018 and stopped after the input signal. As a result of the accident there were no injured personnel, but material damage were caused to 250 m railway and to the derailed locomotive._x000D_
Train traffic was restored at 12:10 hours, with ? speed for passing through the point of derailment limited to 40 km/h.</t>
  </si>
  <si>
    <t>Pirdop Station</t>
  </si>
  <si>
    <t>DB Cargo Bulgaria EOOD</t>
  </si>
  <si>
    <t>The cause having lead to the occurrence is: breaking of the axis of the first wheel axis in the direction of movement of locomotive Nr. 86018.9 in the area of transition to the pap back part of the axis, resulting from fatigue of material and availability of multiple cracks on the external surface of the axis (as evidenced by the technical expertise).</t>
  </si>
  <si>
    <t>DE-5342</t>
  </si>
  <si>
    <t>Train derailment, 5/5/2017, Bf Worms Hbf – Bf Hofheim (Ried)</t>
  </si>
  <si>
    <t>Am 05.05.2017 gegen 20:35 Uhr entgleiste ein Wagen des Güterzugs GA 52789 auf dem Weg von Einsiedlerhof nach Eisenach Gbf zwischen den Bahnhöfen (Bf) Worms und Hof-heim (Ried) in km 1,738.</t>
  </si>
  <si>
    <t>Bf Worms Hbf – Bf Hofheim (Ried)</t>
  </si>
  <si>
    <t>DB Cargo Aktiengesellschaft</t>
  </si>
  <si>
    <t>Bei dem Ereignis wurden keine Personen verletzt oder getötet.</t>
  </si>
  <si>
    <t>Die Entgleisung des Güterzuges GA 52789 wurde durch Gleislagefehler verursacht, die auf ein Tragfähigkeitsproblem des Unterbaues zurückzuführen waren.</t>
  </si>
  <si>
    <t>CZ-5335</t>
  </si>
  <si>
    <t>Accident to persons caused by RS in motion, 08-05-17, Trinec, Trinecké Å¾elezárny siding (Czech Republic)</t>
  </si>
  <si>
    <t>The collision of the shunting operation with the person (the head of shunting operation).</t>
  </si>
  <si>
    <t>Trinec, Trinecké Å¾elezárny siding</t>
  </si>
  <si>
    <t>Trinecké železárny</t>
  </si>
  <si>
    <t>Direct cause:_x000D_
• the head of shunting operation did not fulfill his obligations, especially to take care of his safety, to ensure safe operation of rail transport operation and to abstain from anything what could endanger the rail transport operation.</t>
  </si>
  <si>
    <t>Underlying cause:_x000D_
• entry of the head of shunting operation into the profile of the moving shunting operation._x000D_
Root cause: none.</t>
  </si>
  <si>
    <t>ES-5347</t>
  </si>
  <si>
    <t>Train derailment, 12-05-17, Brazatortas (Spain)</t>
  </si>
  <si>
    <t>One of the wheels of a high speed train derails after passing by a switch at the Brazatortas track switching post. First inspection detects a broken rail at the frog of the switch: a wedge of the rail has been detached due to two fissures. No personal injuries.</t>
  </si>
  <si>
    <t>Brazatortas</t>
  </si>
  <si>
    <t>Infrastructure failure: breaking of the mobile point of the switch's frog. This break was originated in some intern microcracks (caused in fabrication process) that grew because of fatigue processes (caused by working stress).</t>
  </si>
  <si>
    <t>Three underlying causes: 1) maintenance works didn't detect internal failures in the rails, because of an inadequate auscultation procedure; 2) Adif lacked a suitable monitoring plan for switches; 3) SMS' measures for detection of internal failures were not implemented._x000D_
Two root causes: 1) lack of consistency among different criteria for switch monitoring, as established by different normatives and procedures; 2) possible organisational error regarding responsibilities for monitoring and maintenance of switches, as it has been outsourced.</t>
  </si>
  <si>
    <t>EL-5358</t>
  </si>
  <si>
    <t>Train derailment, 13-05-17, Adendro (Greece)</t>
  </si>
  <si>
    <t>At 21:40 local time, on Saturday 13/05/2017, next to the train station of Adendro Salonica, km position 486 Athina-Salonica, the Number 58 INTERCITY train, going from Athina to Salonica derailed and collided to a nearby building 
St?? 21:40 t?p??? ??a t?? 13/05/2017, st?? e?s?d? t?? s?d???d??µ???? sta?µ?? ?d??d??? Tessa???????, ?.T. 486 ??????-Tessa???????, ? ?p' a???µ?? 58 ep?ßat??? aµa??st????a Intercity , p?? e?te???se t? d??µ?????? ????a-Tessa??????, e?t?????st??e ap? t?? p??e?a t?? µe ap?t??esµa ?a e????e? e?????????? ap? t? s?d???d?µ??? ??aµµ? ?a? ?a p??s????se? se pa?a?e?µe?? ????µa, e?s?????ta? µe t? eµp??s??? tµ?µa e?t?? a?t??</t>
  </si>
  <si>
    <t>Adendro</t>
  </si>
  <si>
    <t>DE-5345</t>
  </si>
  <si>
    <t>Level crossing accident, 15-05-17, Neustadt a Rübenberge - Hagen (Han) (Germany)</t>
  </si>
  <si>
    <t>Am 15.05.2017 kam es um ca.10:46 Uhr auf der Strecke 1740 des Eisenbahninfrastrukturunternehmens (EIU) DB Netz AG zwischen den Betriebsstellen Neustadt am Rübenberge (a. Rbge.) und Hagen (Han) zu einem  Bahnübergangsunfall. In km 36,244 am Haltepunkt Eilvese wurde ein Lkw bei dem Befahren des Bahnüberganges (BÜ) von RE-D 4412 erfasst. Zum Zeitpunkt des Ereignisses war die vorhandene technische Sicherung (EBÜT) wegen Bauarbeiten abgeschaltet. Der BÜ wurde durch einen Bahnübergangsposten (BÜP) unter Zuhilfenahme des technischen Hilfsmittel TH BÜP gesichert. 
On 15.05.2017, at about 10:46, on the itinerary 1740 of the railway infrastructure undertaking DB Netz AG between the operational units Neustadt am Rübenberge (a. Rbge.) and Hagen (Han) there has been a level crossing accident. At km 36,244, at stopping place Eilvese, a truck has been recorded by an RE-4412 while driving on the level crossing. At the time of the incident, the existing technical protection had been blocked because of construction works. The level crossing has been secured by a level crossing guard technical aid.</t>
  </si>
  <si>
    <t>Neustadt a Rübenberge - Hagen (Han)</t>
  </si>
  <si>
    <t>Ursache war das unzeitige Aufheben der Postensicherung mit dem technischen Hilfsmittel TH BÜP. 
The cause has been the untimely unlocking of the protection guard with a level crossing guard technical aid.</t>
  </si>
  <si>
    <t>PL-5362</t>
  </si>
  <si>
    <t>Wrong-side signalling failure, 16-05-17, Podstolice (Poland)</t>
  </si>
  <si>
    <t>The freight train No 773074 operated by PKP Cargo during approaching the station Podstolice passed the entrance semaphore of the station that was shownig the signal allowing to go. It turned out that _x000D_
the track on which the way for the train has been prepared is occupied by another train No 773095 operated by PKP Cargo. The train No 773095 was ready to go in opposite direction. The driver of the train No 773074 as a reaction  for _x000D_
dangerous situation stopped tha train approx. 67 m from the head of the train No 773095 preventing head-on collision of trains._x000D_
_x000D_
Train No 773074 (departing from Poznan Franowo PFB, destination: Konin) of carrier PKP CARGO S.A., pulled by locomotive ET22-1154, when entering plain line No 2, having passed the entry semaphore “Z”, stopped at station track No 2 at station Podstolice, on which there already was train No 773095 (departing from Konin, destination Poznan Franowo PFA) of carrier PKP CARGO S.A., pulled by locomotive SM42-1266, which awaited departure in the opposite direction. Train No 773095 stood at station track No 2 as it was planned that it would be overtaken by PKP Intercity S.A. train No 17007. The entry semaphore “Z” of station Podstolice for train No 773074, despite the occupied station track No 2, displayed constant green light and for this train a permitting signal was displayed at exit semaphore “F”, which permitted the train to pass the station Podstolice without stopping. After stopping, the heads of these two trains were 67 m apart from each other. The engine driver of train No 773074 did not use the Radio-Stop system to stop the train.</t>
  </si>
  <si>
    <t>Podstolice</t>
  </si>
  <si>
    <t>Faulty operation of an element of the circuit responsible for track occupancy control, i.e. receiver MER-111401/1, that consisted in a failure to display that track No 2 was occupied by train No 773095.</t>
  </si>
  <si>
    <t>1) Underlying causes: _x000D_
1.	The period of use of receiver MER-111401/1 was exceeded by two years, as according to the recommendation included in the analysis of the Railway Research Institute No 4430/10 of 28.09.2011 entitled Definition of Admissible Levels and Parameters of Distortions for Railway Traffic Control Devices (Okreslenie dopuszczalnych poziomów i parametrów zaklócen dla urzadzen sterowania ruchem kolejowym) the receiver should have been used for not longer than 20 years._x000D_
2.	The signalman of station Podstolice prepared the route and admitted train No 773074 to track No 2, occupied by train No 773095, despite an earlier entry in the Traffic Log that the latter train entered track No 2 and has not left it._x000D_
_x000D_
2) Indirect causes:_x000D_
1.	The Podstolice station signalman failed to comply with the provisions of the Podstolice Station Technical Regulations and with § 39(2) of Instruction Ir-1 as he did not check whether station track No 2 was free from any obstacles to admission of train No 773074._x000D_
2.	The signalman failed to properly follow the entry and halt of train No 773095 on the control panel. When following the entry of train No 773095 until it came to a halt on the control panel, the signalman was bound by the provisions of § 44(1) of Instruction Ir-1 and the provisions of the Station Technical Regulations – plot No 31. When train No 773095 came to a halt, the occupancy of station track No 2 expired and the track was displayed as free on the control panel. Yet at that time, the signalman did not follow the entry and halt of the train on the control panel; if he did, he would be able to notice that the display of occupancy of station track No 2 was erroneous._x000D_
3.	The signalman failed to identify the risk of an accident and failed to take actions aimed at preventing it; in particular, he did not stop train No 773074 – the entry in the Traffic Log unambiguously stated that train No 773095 occupied station track No 2._x000D_
_x000D_
3) Systemic causes:_x000D_
_x000D_
1.	PKP PLK S.A. failed to take adequate actions aimed at elimination or mitigation of the threats resulting from procedure SMS-PR02, i.e. despite the threats identified by the Railway Research Institute, presented in particular in the analysis by the Railway Research Institute No 4430/10 and in Technical and Traffic Documentation No DTR-94/SOT-2, the infrastructure manager failed to take actions aimed at withdrawal from use of receivers MER-111401/1 or the recommended change in the configuration of their fixture, which would result in elimination or mitigation of the threats. _x000D_
2.	Lack of adequate supervision of maintenance of railway traffic control devices at Podstolice station during technical and diagnostic maintenance, which resulted in a failure to take adequate actions by the infrastructure manager, which consisted in particular in:_x000D_
(a)	Failure to withdraw receivers MER111401/1 from use due to their age (over 20 years old) and unfavourable characteristics, which was described in the analysis by the Railway Research Institute No 4430/10 of 28.09.2011 entitled Definition of Admissible Levels and Parameters of Distortions for Railway Traffic Control Devices (Okreslenie dopuszczalnych poziomów i parametrów zaklócen dla urzadzen sterowania ruchem kolejowym)._x000D_
(b)	Failure to withdraw receivers MER111401/1 from use due to their inadmissible fixture in the same case as emitters SOT-22, circuit receivers SOT-1 or SOT-21, which resulted from the provisions of the Technical and Traffic Documentation (DTR) No DTR-94/SOT-2 developed by the manufacturer of Adtranz Zwus devices, kept at the traffic control office of Podstolice station (page 37 – see the note)._x000D_
(c)	Technical and Traffic Documentation (DTR) No DTR-94/SOT-2 available _x000D_
at Podstolice station has not been updated and did not include changes No “e” _x000D_
of 04.09.2002 or No “f” of 23.04.2003._x000D_
(d)	Ineffective inspections of traffic control devices by the manager of the Podstolice station, in particular in the case of devices having use restrictions.</t>
  </si>
  <si>
    <t>BE-5341</t>
  </si>
  <si>
    <t>Train derailment, 19-05-17, Aubange (Belgium)</t>
  </si>
  <si>
    <t>The train leaves the station of Virton (Belgium), destination Mortara (Italy)._x000D_
After several kilometers, the right wheel of the second bogie of the vehicule n° 3368495200729 breaks (before last wagon)._x000D_
The train continues its traject on a distance of ±14 kilometers till Aubange where the the two last wagons (of same type) derail on switches, after damages the track on this distance._x000D_
The train driver stops the train after detecting a light air leak. At the same time, he receives a GSM R alarm from the signalisation cabin.</t>
  </si>
  <si>
    <t>Aubange</t>
  </si>
  <si>
    <t>Le déraillement du 24ème wagon (3368 4952 072-9) est la conséquence du bris de la roue droite de l’essieu 3-3’ du wagon, des suites de fissures et criques thermiques qui se sont propagées dans la roue. 
The derailment of the 24th wagon (3368 4952 072-9) is the result of the breaking of the right wheel of the axle 3-3 'of the wagon, the series of cracks and thermal cracks that have spread over the wheel.</t>
  </si>
  <si>
    <t>Suite à des échauffements importants dans la roue en cours de service :_x000D_
• des dégradations importantes de la peinture au raccordement toile/jante apparaissent;_x000D_
• des fissures se forment dans la bande de roulement de la roue._x000D_
_x000D_
L’expertise externe en laboratoire conclut que :_x000D_
• les phénomènes observés confirment l’élévation importante de la température de la jante au cours du service ;_x000D_
• les échauffements ont touché l’ensemble des roues du bogie ;_x000D_
• les échauffements seraient liés à des cycles de freinage trop intenses et/ou à l’utilisation d’un couple roues/semelles inadapté, malgré que le couple roue/semelle soit conforme aux spécifications reprises dans le document V-BKS (LL) faisant référence à la fiche UIC 541-4 ;_x000D_
• le problème survenu à la roue qui s’est brisée n’est pas tant un problème de hauteur de boudin ou de valeur de conicité équivalente qu’un problème de résistance aux sollicitations thermiques et aux cycles de ces sollicitations imposés à la roue. 
Following a major overheating in the wheel during service:_x000D_
• significant damage to the paint on the fabric/rim connection appears;_x000D_
• cracks are formed in the tread of the wheel._x000D_
The external laboratory expertise concludes that:_x000D_
• the phenomena observed confirm the significant increase in temperature of the rim during service;_x000D_
• the overheating affected all the wheels of the bogie;_x000D_
• the overheating is linked to excessive braking cycles and/or the use of an inappropriate wheel /soles pair, despite the fact that the wheel/sole pair complies with the specifications given in the V-BKS (LL) document reference to UIC Leaflet 541-4;_x000D_
• the problem with the broken wheel is not so much a problem of coil height or the value of equivalent conicity as a problem of resistance to thermal stresses and cycles of these stresses imposed on the wheel.</t>
  </si>
  <si>
    <t>DE-5360</t>
  </si>
  <si>
    <t>Trains collision with an obstacle, 19/5/2017, Papiermühle (Kr Stadtroda) – Stadtroda</t>
  </si>
  <si>
    <t>Am 19.05.2017 gegen 19:23 Uhr kollidierte der Regionalexpress (RE) 3666 der DB Regio AG auf dem Weg von Glauchau (Sachsen) nach Göttingen zwischen den Betriebsstellen Papiermühle (Kr Stadtroda) und Stadtroda mit Geröll in den Gleisanlagen.</t>
  </si>
  <si>
    <t>Papiermühle (Kr Stadtroda) – Stadtroda</t>
  </si>
  <si>
    <t>Auf Grund der Kollision entgleiste der Zug mit allen Drehgestellen des führenden Triebzuges. Es entstanden Sachschäden an der Infrastruktur und an den Fahrzeugen in Höhe von ca. 1.663.700 Euro.</t>
  </si>
  <si>
    <t>Über der Bahnstrecke hatte sich durch ein Starkregenereignis eine Mure gebildet, die in Teilen über einen Abhang auf die Gleisanlage stürzte.</t>
  </si>
  <si>
    <t>RO-5339</t>
  </si>
  <si>
    <t>Train derailment, 20-05-17, Livezeni (Romania)</t>
  </si>
  <si>
    <t>the 33-th wagon from the freight train no. 23815 derailed by the first bogie in the running direction in the railway station Livezeni</t>
  </si>
  <si>
    <t>Livezeni</t>
  </si>
  <si>
    <t>Cauza directa a producerii accidentului feroviar o constituie caderea între firele caii a ro?ii din partea stânga a primei osii în sensul de mers de la vagonului nr.81536651217-7. Acest lucru s-a produs în condi?iile în care starea tehnica a liniei era una necorespunzatoare, iar vagonul implicat era încarcat  peste limitele stabilite prin reglementarile specifice în vigoare.   _x000D_
Factori care au contribuit_x000D_
-	starea tehnica necorespunzatoare a traverselor de lemn existente în cale în zona imediat premergatoare ,,punctului 0” (locului în care s-a produs deraierea); _x000D_
-	neasigurarea bazei materiale a Districtului de linii nr.7 Petro?ani cu traverse normale de lemn;_x000D_
-	alocarea insuficienta a resurselor umane necesare în vederea executarii lucrarilor de mentenan?a a infrastructurii feroviare la nivelul Districtului de linii nr.7 Petro?ani;_x000D_
-	depa?irea sarcinii maxime pe osie, admisa pentru categoria de linie pe care a avut loc deraierea vagonului;_x000D_
-	depa?irea limitei de încarcare a vagonului, peste limita admisa ?i înscrisa pe vagon 
Direct cause of the accident was the fall between the rails of the left wheel of the first axle, in the running direction, from the wagon no.81536651217-7. It happened following the unsuitable condition of the line, and the involved wagon was loaded over the limits established through the specific regulations in force.   _x000D_
Contributing factors_x000D_
-	unsuitable technical condition of the wooden sleepers existing in the area immediately preceding ,,point 0” (derailment site); _x000D_
-	non-provision of the material basis of the Line District no.7 Petro?ani with normal wooden sleepers;_x000D_
-	insuficient appointment of human resources necessary for the performance of the maintenance of the railway infrastructure in the Line District no.7 Petro?ani;_x000D_
-	exceeding of the maximum load on axle, accepted for the line category where the wagon derailed;_x000D_
-	exceeding of the wagon loading limit, over the limit accepted and written down on the wagon.</t>
  </si>
  <si>
    <t>Cauze subiacente_x000D_
1.	Nerespectarea prevederilor art.25, alin.(2) ?i alin.(4) din „Instruc?ia de norme ?i toleran?e pentru construc?ia ?i între?inerea caii – linii cu ecartament normal, nr.314/1989“, referitoare la defectele care impun înlocuirea traverselor de lemn ?i la neadmiterea men?inerii în cale a traverselor necorespunzatoare;_x000D_
2.	Nerespectarea prevederilor pct.4.1, din Cap.4 „Norme de manopera ?i de consum de materiale”, al „Instruc?iei de între?inere a liniilor ferate nr.300/1982” referitoare la asigurarea normei de manopera la între?inerea curenta în execu?ie manuala;_x000D_
3.	Nerespectarea pct.3.1. ?i pct.3.2.din Cap. 3 „Încarcarea vagoanelor” al Anexei II a Regulamentului pentru utilizarea reciproca a vagoanelor în trafic interna?ional RIV, referitoare la sarcina maxima pe osie ?i limitele de încarcare; _x000D_
Cauze primare_x000D_
1.	Neaplicarea prevederilor procedurii opera?ionale cod PO SMS 0-4.07 „Respectarea specifica?iilor tehnice, standardelor ?i cerin?elor relevante pe întreg ciclul de via?a a liniilor în procesul de între?inere”, parte a sistemului de management al siguran?ei al CNCF „CFR” SA, referitoare la dimensionarea personalului subunita?ilor de între?inere linii, în raport cu volumul de lucrari, fapt confirmat de subdimensionarea personalului Districtului de Linii nr.7 Petro?ani din cadrul Sec?iei L9 Simeria._x000D_
2.	Neaplicarea tuturor prevederilor procedurii opera?ionale cod PO 431-SMS „Identificarea ?i evaluarea riscurilor asociate siguran?ei feroviare” Edi?ia 2, Revizia 00 din 2016, parte a sistemului de management al siguran?ei al SNTFM „CFR Marfa” SA, referitoare la identificarea ?i evaluarea riscurilor induse de activitatea de predare - primire a vagoane la/de la clien?i în subunita?ile Centrului Zonal de Marfa Timi?oara. 
Underlying causes_x000D_
1.	infringement of the provisions of art.25, paragraphs (2) and (4) from the „Instrution of norms and tolerances for the track construction and maintenance – lines with standard gauge,  no.314/1989“, concerning the failures that impose the replacement of the wooden sleepers and the non-acceptance of unsuitable sleepers within the track;_x000D_
2.	infringement of the provisions of point 4.1, from Chapter 4 „Norms of manpower and material consumption”, of „Instruction for the line maintenance no.300/1982” concerning the ensuring of norm of manpower for the current hand maintenance;_x000D_
3.	infringement of points 3.1. and 3.2. from Chapter 3 „Wagon loading” of the Annex II from the regulations for the mutual use of the wagons in the international traffic RIV, concerning the maximum load on axle and the loading limits; _x000D_
Root causes_x000D_
1.	infringement of the provisions of the operational procedure code PO SMS 0-4.07 „Compliance with the technical specifications, standards and requirements relevant for the whole life time of the lines in the maintenance process”, part of the safety management system CNCF „CFR” SA, concerning the sizing of the staff from the sub-units for the line maintenance, in relation to the total works, it being confirmed by the under-sizing of the staff from the Line District no.7 Petro?ani, within the Section L9 Simeria._x000D_
2.	non-application of all provisions of the operational procedure code PO 431-SMS „Identification and assessment of the risks associated to the railway safety” Edition 2, Revision 00 from 2016, part of the safety management system of SNTFM „CFR Marfa” SA, concerning the identification and assessment of risks induced by the delivery – reception of the wagons to/from the clients in the sub-units of the Zonal Freight Center Timi?oara.</t>
  </si>
  <si>
    <t>CZ-5340</t>
  </si>
  <si>
    <t>Train derailment, 23-05-17, Louky nad OlÅ¡í, Odvalová kolej siding (Czech Republic)</t>
  </si>
  <si>
    <t>Derailment of 5 rolling stocks of the shunting operation due to change of the track geometric position.</t>
  </si>
  <si>
    <t>Louky nad OlÅ¡í, Odvalová kolej siding</t>
  </si>
  <si>
    <t>Direct cause:_x000D_
• change of the geometric position of the track No. 6b caused by overturning of the road panels of the unloading ramp wall into the pit after extraction of the material from the collection point.</t>
  </si>
  <si>
    <t>Underlying cause:_x000D_
• reducing the level of the collection point of the unloading ramp at the track No. 6b by extraction of the material up to the bottom edge._x000D_
Root cause:_x000D_
• issuing the uniform technological procedures, which allow extraction of the material from the collection point at track No. 6b up to the bottom edge off the unloading ramp wall, differently from the approved project documentation of the construction.</t>
  </si>
  <si>
    <t>ES-5370</t>
  </si>
  <si>
    <t>Train derailment, 23-05-17, Inoso-Lezama (Spain)</t>
  </si>
  <si>
    <t>Derailment of one of the axles of the 5th wagon of a cargo train (belonging to the RU Low Cost Rail). No people injured._x000D_
First reports from IM and RU point to several possible failures: poor track condition, damaged wagon suspension (probably because of loading/unloading manoeuvres), driver's error at a signal...</t>
  </si>
  <si>
    <t>Inoso-Lezama</t>
  </si>
  <si>
    <t>The probable (but not sure) cause of the derailment is a technical failure in rolling stock: it was due to the breaking of the main leaf and one secondary leaf of the left-side leaf spring of the second axle of the fifth wagon (43 71 4 378 118-9).</t>
  </si>
  <si>
    <t>As an underlying cause, these type of wagons, partly exploited in renting regime, could be bearing new traffic conditions and being carried through rail lines with different conditions from the usual ones. Under these circumstances, interventions of current maintenance plan could be uneffective (see recommendations 25/17-1 y 25/17-2).</t>
  </si>
  <si>
    <t>HU-5344</t>
  </si>
  <si>
    <t>Train derailment, 27-05-17, Ács (Hungary)</t>
  </si>
  <si>
    <t>The train has derailed in a station, on plain track. 
2 Locos, and 8 waggonso of Train No. 44288 has derailed.</t>
  </si>
  <si>
    <t>Ács</t>
  </si>
  <si>
    <t>Failure of track</t>
  </si>
  <si>
    <t>RO-5343</t>
  </si>
  <si>
    <t>Fire in RS, 28-05-17, Babeni- Alunu (Romania)</t>
  </si>
  <si>
    <t>the diesel locomotive DA 1503, that hauled the freight train no. 79176 caught fire in open line between Babeni and Alunu railway stations</t>
  </si>
  <si>
    <t>Babeni- Alunu</t>
  </si>
  <si>
    <t>Cauza directa a producerii accidentului o constituie supraîncalzirea locala survenita în canalul de cabluri ale motorului electric de trac?iune nr.4, urmare scaderii în timp a rezistentei de izolatie între cablurile electrice cu potential electric diferit, fapt ce a condus la aprinderea izolatiei acestora precum si a reziduurilor de produse petroliere existente în zona de initiere a incendiului._x000D_
_x000D_
Factori care au contribuit_x000D_
-	starea tehnica necorespunzatoare a motorului electric de tractiune nr.4, care avea bobinajul rotoric deteriorat; _x000D_
-	profilul liniei ce are declivita?i de pâna la 21,5 ‰, rampa în sensul de mers al trenului cumulat cu  tonajul trenului ce reprezenta 99,75% din tonajul maxim admis pe aceasta sec?ie de circula?ie;_x000D_
-	existenta reziduurilor petroliere în zona canalului de cabluri ?i a dozei de legatura a cablurilor de alimentare a motorului de tractiune nr.4. 
Direct cause of the accident was the local overheating into the channel of the cables from the electric traction engine no.4, following the decrease, during the time, of the di-electric strength between the cables with different electric potential, it leading both to the ignition of their insulation and of the oil deposits existing in the area of the fire burst._x000D_
_x000D_
Contributing factors_x000D_
-	unsuitable technical condition of the electric traction engine no.4, with the armature winding deteriorated; _x000D_
-	the lines gradient  that has slopes up to 21,5 ‰, gradient in the train running direction cummulated with the train tonnage was 99,75% from the maximum accepted tonnage on this track section;_x000D_
-	existance of oil deposits into the channel of the cables and into the box for the connection of the cables for the power supply of the traction engine no.4.</t>
  </si>
  <si>
    <t>Cauze subiacente _x000D_
Nerespectarea prevederilor din Instruc?iuni pentru activitatea personalului de locomotiva în transportul feroviar nr.201/2006 aprobate prin Ordinul Ministrului nr.2229/2006, respectiv ale art.44 - (3) lit.b), în sensul ca, în cadrul reviziilor intermediare efectuate la locomotiva DA 1503 nu au fost remediate pierderile de ulei ale motorului diesel._x000D_
_x000D_
Cauze primare_x000D_
Specifica?ia tehnica Revizii intermediare RI, revizii planificate RT, R1, R2, 2R2, R3 ?i repara?ii accidentale la locomotivele diesel electrice de 1250/2100 CP, cod G.4.1-II, ce constituie document de referin?a pentru efectuarea între?inerii, nu con?ine prevederi pentru verificarea bobinajului rotoric la capatul opus colectorului. 
Underlying causes_x000D_
Infringement of the provisions from Instructions for the activity of the locomotive crew no.201/2006, approved through the Minster’s Order no.2229/2006, respectively of the art.44 - (3) letter b), that is, during the intermidiary inspections performed at the locomotive DA 1503, the oil leaks from the diesel engine were not removed._x000D_
 Root causes_x000D_
The technical specification Intermediary inspections RI, planned inspections RT, R1, R2, 2R2, R3 and accidental ones at the diesel electric locomotives of 1250/2100 CP, code G.4.1-II, that is reference document for the performance of the maintenance, does not contain provisions for the checking of the armature winding at the oposite end of the collector.</t>
  </si>
  <si>
    <t>UK-5365</t>
  </si>
  <si>
    <t>Runaway, 28-05-17, Hope (United Kingdom)</t>
  </si>
  <si>
    <t>At 06:30 hrs on Sunday 28 May 2017, a trailer being propelled by a small tractor (known as a ‘gator’) between Edale and Bamford, became detached and ran away for a distance reported to have been around 1.5 miles (2.4 km), before coming to rest at a set of points near Hope. The gator’s machine operator followed in the gator to warn anyone on the track of the approach of the trailer. Afterwards, the draw bolt and locking pin which secured the trailer to the gator was reportedly found to have come out. The trailer was fitted with brakes on two wheels of its four wheels. The brakes are spring applied and, when coupled to the gator, are released hydraulically. However, when the trailer is used independently, the brakes are manually released using demountable handles. The hydraulic hose connecting the trailer’s hydraulic system to the gator reportedly pulled out when the trailer broke away._x000D_
_x000D_
The gator and trailer had been put on the track at Grindleford and driven to Edale to convey four staff from Edale to Cowburn Tunnel where they were to remedy a number of track faults. On the journey, the machine operator reported that the gator and trailer were slow and sluggish and later, between Edale and Cowburn Tunnel, sparks were reported coming from wheels on the trailer. Once inside the tunnel, it was found that the brakes on the trailer were applied and could not be hydraulically released. For the return journey at around 06:00 hrs, the brakes were manually released using the demountable handles which, at some stage, were tied in the release position._x000D_
_x000D_
After dropping the four staff at Edale, the machine operator continued alone towards an access point at Bamford. He reported that he stopped to take a telephone call and then noticed the trailer slowly running away down the gradient. A gang, who had earlier been working on the points where the trolley came to rest, had left the track. There were no level crossings or footpath crossings on the route of the runaway. The machine operator reported receiving an upper body injury when the gator suffered a jolt while following the trailer.</t>
  </si>
  <si>
    <t>Hope</t>
  </si>
  <si>
    <t>The trailer ran away on the gradient because it became uncoupled from the gator while the trailer brakes were disabled (paragraph 51).</t>
  </si>
  <si>
    <t>8 The causal factors were:
a. The trailer became physically separated from the gator (paragraph 54). This causal factor arose due to a combination of the following:
i. the coupling pin at the trailer end of the towbar had fallen out (paragraph 57); and
ii. the hydraulic hose between the gator and the trailer was not correctly connected at the time that the towbar coupling pin fell out (paragraph 64).
b. The operation of the brakes on the trailer had been disabled by the staff to allow its recovery (paragraph 71, Recommendation 1, Learning point 1).
This causal factor arose because of the following:
i. The brakes were stuck on, probably because the hydraulic brake hose between the gator and the trailer was not correctly connected when they were on-tracked (paragraph 75, Learning point 2).
Underlying factor
99 A possible underlying factor was that the records of the safety critical competencies held by the machine operator did not align with the assessments that he had undertaken and the experience that he had accrued (paragraph 83, Recommendation 2)</t>
  </si>
  <si>
    <t>AT-5500</t>
  </si>
  <si>
    <t>Level crossing accident, 31-05-17, Pettenbach (Austria)</t>
  </si>
  <si>
    <t>The train 3206 collided with a car coming from the right side on a passive level crossing in km 15,705. The level crossing was secured by St. Andrews cross, stop sign for road users and acoustically signals by the train. 
Der Zug 3206 kollidierte mit einem von rechts kommenden PKW auf der akustisch gesicherten Eisenbahnkreuzung  im km 15,705.</t>
  </si>
  <si>
    <t>Pettenbach</t>
  </si>
  <si>
    <t>Einfahren des PKW in die nach § 6 EKVO gesicherte EK unmittelbar vor dem herannahenden Z 3206. 
Entry of the car into the secured level crossing according to § 6 EKVO immediately before the approach of the train Z 3206.</t>
  </si>
  <si>
    <t>UK-5366</t>
  </si>
  <si>
    <t>Level crossing accident, 01-06-17, Trenos Footpath Crossing (United Kingdom)</t>
  </si>
  <si>
    <t>At 15:50 hrs on 1 June 2017, a person was struck and fatally injured by a train travelling from Cheltenham Spa to Maesteg, at Trenos footpath crossing, near Llanharan, Rhondda Cynon Taf, South Wales._x000D_
_x000D_
The crossing serves a footpath near Trenos Farm on a footpath linking the villages of Bryncae and Brynna, about 1.6 km (1 mile) west of Llanharan. Two railway tracks cross the footpath at this location.</t>
  </si>
  <si>
    <t>Trenos Footpath Crossing</t>
  </si>
  <si>
    <t>The pedestrian walked onto Trenos crossing as train 2L59 was approaching (paragraph 48)</t>
  </si>
  <si>
    <t>The accident occurred because the pedestrian walked onto the crossing and into the path of an approaching train and did not move clear (paragraph 52)._x000D_
68 The following possible causal factors lead to safety learning for the railway:_x000D_
a. Train 2L59 was not cautioned, and it is possible that cautioning would have avoided the accident (paragraph 54, Learning point 3)._x000D_
b. Graphical information provided on the signaller’s display was out-of-date and misleading (paragraph 57, Recommendation 1)._x000D_
c. It is possible that the signaller’s decision making was influenced by fatigue (paragraph 60, Learning point 1).</t>
  </si>
  <si>
    <t>CZ-5348</t>
  </si>
  <si>
    <t>Trains collision with an obstacle, 05-06-17, Prerov station (Czech Republic)</t>
  </si>
  <si>
    <t>Unauthorized movement of the long distance passenger train No. 1342 behind the main route signal device Sc5 with the consequent collision with the concrete buffer stop at the end of the station track No. 5.</t>
  </si>
  <si>
    <t>LEO Express</t>
  </si>
  <si>
    <t>Direct cause:_x000D_
•the train driver's operational error (he did not respect signal “Stop” of the main route signal device Sc5 at Prerov station)._x000D_
_x000D_
Contributory factor:_x000D_
•absence of technical equipment which prevents a train from passing a signal in case of danger.</t>
  </si>
  <si>
    <t>Underlying cause:_x000D_
•failure of the train driver of the long distance passenger train No. 1342, when he did not act according to the facts on the track at the time when the train moved on the station line no. 5 at the Prerov station._x000D_
_x000D_
Root cause: none.</t>
  </si>
  <si>
    <t>IT-5442</t>
  </si>
  <si>
    <t>Trains collision near miss, 05-06-17, Brindisi (Italy)</t>
  </si>
  <si>
    <t>Trains collision near miss between long distance train and regional train</t>
  </si>
  <si>
    <t>Brindisi</t>
  </si>
  <si>
    <t>Implementation by operators of procedures not complied with Regulations concerning the situation of emergency in traffic train control.</t>
  </si>
  <si>
    <t>RO-5351</t>
  </si>
  <si>
    <t>Train derailment, 07-06-17, Golesti (Romania)</t>
  </si>
  <si>
    <t>the diesel multiple unit AM 2053 that composed the passanger train no.1872 passed on danger the signal YII in  Gole?ti railway station and derailed</t>
  </si>
  <si>
    <t>Golesti</t>
  </si>
  <si>
    <t>Cauza directa a producerii accidentului o constitue imposibilitatea adaptarii vitezei vehiculului de catre operatorul uman în vederea opririi acestuia la linia nr.II, urmare functionarii necorespunzatoare a echipamentului de frâna al automotorului.	_x000D_
Factori care au contribuit_x000D_
•	între?inerea necorespunzatoare a automotorului fapt ce a condus la aparitia unor defecte în functionarea instalatiei de frâna în momentul efectuarii operatiilor de frânare a automotorului Desiro 2053;_x000D_
•	men?inerea în exploatare a automotorului Desiro 2053, dupa realizarea normei de timp pentru efectuarea repara?iilor planificate. 
Direct cause of the accident was the impossibility of the human operator  to adapt the vehicle speed  for its stop on the line no.II, following the unsuitable working of the braking equipment of the DMU.	_x000D_
Contributing factors_x000D_
•	unsuitable maintenance of the DMU, it leading to the appearance of some failures at the working of the braking equipment when the DMU  Desiro 2053 unit brake was applyed;_x000D_
•	keeping in operation of the DMU  Desiro 2053, after achieving the time norm for the performance of the planned repairs.</t>
  </si>
  <si>
    <t>Cauze subiacente_x000D_
         Nu au fost respectate prevederile Capitolului 3 – Norme pentru efectuarea reviziilor ?i repara?iilorplanificate ale vehiculelor feroviare ?i periodicitatea acestora (ciclul) din Normativul Feroviar 67-006:2011 „Vehicule de cale ferata. Tipuri de revizii ?i repara?ii planificate. Normele de timp saunormele de kilometri parcur?i pentru efectuarea reviziilor ?i repara?iilor planificate", aprobat prin Ordinul Ministrului Transporturilor ?i Infrastructurii nr.315/2011 modificat ?i completat prin Ordinul MTI nr.1359/2012, astfel:_x000D_
- subpunctul 3.1, în sensul ca automotorul Desiro 2053 nu a fost retras din circula?ie la realizarea normei de timp prevazuta pentru efectuarea repara?iilor planificate;_x000D_
- tabelul 3.1, lit.A, pozi?ia nr.10, în sensul ca nu a fost respectat ciclul de repara?ii planificate pentru automotorul Desiro 2053._x000D_
_x000D_
Cauza primara_x000D_
        Neîntocmirea caietului de sarcini pentru Serviciul „Revizie tip R9 la automotoarele Desiro SR 20 D – Revizie Capitala”. 
The provisions of the Chapter 3 – Norms for the performance of the inspections and planned repairs of the railway vehicles and their periodicity (cycle), from the Railway norm 67-006:2011 „Railway vehicles. Types of inspections and planned repairs. Norms of time or norms of km run for the prformance of the inspections and planned repairs", approved by the Order of the Minister of Transports and Infrastructure no.315/2011, amended by Order of the Ministry of Transports and Infrastructure no.1359/2012, were not met, as follows:_x000D_
- subpoint 3.1, that is the DMU  Desiro 2053 was not withdrawn from traffic at the achievemnt of the time norm stipulated for the performance of the planned repairs;_x000D_
- table 3.1, letter A, position no.10, that is the cycle of the planned repairs for the DMU Desiro 2053 were not met._x000D_
_x000D_
Root cause_x000D_
        Non-drafting of the specification for the service „Inspection type R9 at the multiple units Desiro SR 20 D – Overhaul inspection”.</t>
  </si>
  <si>
    <t>HU-5356</t>
  </si>
  <si>
    <t>Train derailment, 08-06-17, Ferencváros (Hungary)</t>
  </si>
  <si>
    <t>An engine has derailed.</t>
  </si>
  <si>
    <t>Failure of S&amp;C</t>
  </si>
  <si>
    <t>RO-5357</t>
  </si>
  <si>
    <t>Train derailment, 08-06-17, Milova (Romania)</t>
  </si>
  <si>
    <t>the 37-th wagon from the freight train no. 90901 derailed on the railway station Milova</t>
  </si>
  <si>
    <t>Milova</t>
  </si>
  <si>
    <t>Cauza directa a producerii accidentului o constituie deplasarea axiala a bandajului ro?ii nr.1 pe obada ro?ii, fapt ce a condus la modificarea accidentala a distan?ei dintre fe?ele interioare ale bandajelor ro?ilor osiei montate nr.1-2 a vagonului nr.31537887008-5 ?i deraierea acesteia._x000D_
_x000D_
Factorii care au contribuit_x000D_
-	slabirea bandajului ro?ii nr.1 de la vagonul nr.31537887008-5 datorita scaderii în timp a for?elor de strângere exercitate între bandajul ?i obada ro?ii în urma solicitarilor termice ?i mecanice aparute în exploatarea osiei (elementele componente ale osiei montate aveau o vechime de: osia – 42 ani, roata disc – 50 ani ?i bandajul - 26 ani);_x000D_
-	existen?a unor neconformita?i la marcajele cu vopsea de pe ro?ile vagonului. 
Direct cause of the accident was the axial displacement of the tyre from the wheel no.1 on the wheel centre, it leading to the accidental change of the wheelset gauge for wheels no.1-2 from the wagon no.31537887008-5 and its derailment._x000D_
_x000D_
Contributing factors_x000D_
-	loosening of the tyre of the wheel no.1 from the wagon no.31537887008-5 because the decrease during the time of the fastening forces between the wheel tyre and centre, following the thermic and mechanic stresses appeared in the axle operation (the parts of the wheelset: axle – 42 years old, disc wheel – 50 years old and the tyre - 26 years old);_x000D_
-	existence of some non-conformities at the paint marks from the wagon wheels.</t>
  </si>
  <si>
    <t>Cauze subiacente_x000D_
Nerespectarea prevederilor art.10, pct.(4) din Instruc?iuni privind revizia tehnica ?i între?inerea vagoanelor în exploatare nr.250/2005 referitoare la lucrarile obligatorii care trebuie executate ?i asigurate de catre revizorii tehnici de vagoane în cadrul reviziei tehnice în tranzit. _x000D_
Cauze primare _x000D_
Neaplicarea prevederilor procedurii opera?ionale cod PO-63-01 „Procedura Opera?ionala Revizia tehnica la compunere, în tranzit ?i la sosire a trenurilor” care are ca document asociat Instruc?iuni privind revizia tehnica ?i între?inerea vagoanelor în exploatare nr.250, referitoare la situa?iile în care se efectueaza revizia tehnica la sosire a trenurilor. 
Underlying causes _x000D_
Infringement of the provisions of art.10, point (4) from Instructions for the technical inspection and maintenance of wagons in operation no.250/2005 concerning the compulsory works that have to be performed and ensured by the train examiners within the technical inspection in transit. _x000D_
_x000D_
Root causes _x000D_
Non-application of the provisions from the operational procedure code PO-63-01 „Operational procedure Technical inspection during the train forming, in transit and arrival” that has as associated document Instructions for the technical inspection and maintenance of wagons in operation no.250, concerning the situations of technical inspection at the train arrival.</t>
  </si>
  <si>
    <t>DK-5654</t>
  </si>
  <si>
    <t>Level crossing accident, 09-06-17, Helsinge (Denmark)</t>
  </si>
  <si>
    <t>Person hit by train in crossing 
Person ramt af tog i overkørsel - Helsinge</t>
  </si>
  <si>
    <t>Helsinge</t>
  </si>
  <si>
    <t>CZ-5352</t>
  </si>
  <si>
    <t>Unauthorised train movement other than SPAD, 10-06-17, Ceský Brod (Czech Republic)</t>
  </si>
  <si>
    <t>The uncontrolled movement of the shunting operation from the excluded track to the operated station track and its entry into the train route of the regional passenger train No. 9320 at Ceský Brod station.</t>
  </si>
  <si>
    <t>Ceský Brod</t>
  </si>
  <si>
    <t>Správa železnicní dopravní cesty; 
Ceské dráhy</t>
  </si>
  <si>
    <t>Direct cause:_x000D_
• an unintended movement of the shunting operation through the switch No. 45 switched into the wrong direction.</t>
  </si>
  <si>
    <t>Underlying causes:_x000D_
• unauthorized manual switching of the switch No. 45 into the wrong direction by the workers when performing their work and leaving the switch in this wrong position at the time of the movement of the shunting operation through the switch;_x000D_
• failure to identify the incorrectly switched switch No. 45 at station Ceský Brod (switched into the wrong direction) in the route setting of the shunting operation by a driver of an overhead contact line maintenance vehicle;_x000D_
• failure to report to the leader of the track occupancy works on the disconnection of the electromotive point machine of the switch No. 45 at station Ceský Brod;_x000D_
• unauthorized delegation of negotiating the shunting operation to train drivers by the dispatcher for sequence operation and acceptance of this procedure by a track dispatcher;_x000D_
• absence of technical measure ensuring direct lateral protection of the operated track after disconnection of the electromotive point machine of the switch No. 45 (an ambulatory point lock) and failure to ensure safety of the operation of a track in a substitute way by a professionally competent employee of the management of communication and security technology in case of danger resulting from the nature of the dismantling work on signalling equipment of the switch No. 45 at station Ceský Brod._x000D_
_x000D_
Root cause: none.</t>
  </si>
  <si>
    <t>CZ-5353</t>
  </si>
  <si>
    <t>Unauthorised train movement other than SPAD, 12-06-17, Ceský Brod station (Czech Republic)</t>
  </si>
  <si>
    <t>Unauthorized movement of the regional passenger train No. 8610 to the calling-on signal onto the open line track which was occupied by the long distance train No. 1359.</t>
  </si>
  <si>
    <t>Ceský Brod station</t>
  </si>
  <si>
    <t>Ceské dráhy; 
LEO Express</t>
  </si>
  <si>
    <t>Direct cause:_x000D_
• departure of the regional passenger train No. 8610 to the callingon signal along the train route wrongly set by the dispatcher onto the open line track No. 1 where the long distance passenger train No. 1359 had already stood._x000D_
_x000D_
Contributory factors:_x000D_
• train driver of the regional passenger train No. 8610 was not notified by an order with information on which open line track should the train leave from Ceský Brod;_x000D_
• the emergency point lockings No. 40 and 42 which were set in the direct way after a previous ride of a train were not canceled;_x000D_
• usage an unitary risk side on PC and a confirmation sequence “asdf” for calling-on signal and for all other warning reports without any following warnings about the seriousness of the situation.</t>
  </si>
  <si>
    <t>Underlying cause:_x000D_
• failure to observe the technological procedures of the IM during the setting the train route (the dispatcher set the train route for the regional passenger train No. 8610 from the station track No. 5 to the open line track No. 0 by an entrance-exit control system although he had been alerted to the incorrect position of the switches No. 40 and 42 and to the unestablished block condition “Uv-0T” by the PC, when the existing position of the switches No. 40 and 42 had been under the locking after the previous ride of the train and had not allowed the ride from the station track No. 5 to the open line track No. 0 so the dispatcher entered the confirmation sequence “asdf” thereby the calling-on signal at the departure signal device L5 was turned on and the ride of the train was allowed._x000D_
_x000D_
Root cause: none.</t>
  </si>
  <si>
    <t>IT-5363</t>
  </si>
  <si>
    <t>Trains collision, 13-06-17, Galugnano (Italy)</t>
  </si>
  <si>
    <t>Collision of regional trains at low speed</t>
  </si>
  <si>
    <t>Galugnano</t>
  </si>
  <si>
    <t>Ferrovie del Sud Est</t>
  </si>
  <si>
    <t>Abandonment, by the TVAT 554 train driver, of the driving cab of the motor car Aln 668 1940, operation not permitted (Article 17, paragraph 5, of the Instructions for the Service of Machine Personnel) as in the station of Galugnano crossing was planned with the TVAT 549 train 
Abandonment, by the TVAT 554 train driver, of the driving cab of the locomotive Aln 668 1940, operation not allowed (Article 28 of the Instructions_x000D_
for the Machine Personnel Service) in the absence of the preventive execution of all the operations foreseen in the company regulations for the safe parking of the train (in particular, without having ensured the immobilization with the activation of the handbrake). 
Complete tuning of the TVAT 554 train, achieved by means of a prolonged pull of the brake discharging device ("funicelle") of both the Aln's railcar trolleys_x000D_
668 1940 on the part of the driver and the conductor; operation not allowed by the company regulations (Article 21, paragraph 16 of the Instructions for the Car Personnel Service) if the train is on a sloping section</t>
  </si>
  <si>
    <t xml:space="preserve">Inadequate training of the personnel of conduct, and, in particular, by the lack of knowledge of the methods for the correct use of the braking system of the Aln 668 series 1900 railway car, in relation to the actuation of the valves of brake discharging, the so-called "funicelle", of the carriages of the locomotive Aln 668-1940 
Inadequate process of integration of the skills possessed by the staff of conducted, in the absence of the prior assessment of the integrative training needs, as indicated into the procedures of the Safety Management System - section Management of Skills 
</t>
  </si>
  <si>
    <t>DE-5359</t>
  </si>
  <si>
    <t>Train derailment, 15-06-17, Schwäbisch Hall-Hessental - Gaildorf West (Germany)</t>
  </si>
  <si>
    <t>Am 15.06.2017 entgleiste gegen 16:33 Uhr ein Wagen des Güterzuges EZ 51894 der DB Cargo AG zwischen den Betriebsstellen Gaildorf West und Schwäbisch Hall‐Hessental in km 53,409.</t>
  </si>
  <si>
    <t>Gaildorf West – Schwäbisch Hall‐Hessental</t>
  </si>
  <si>
    <t>DB Schenker Rail</t>
  </si>
  <si>
    <t>Personenschäden waren keine zu verzeichnen. Der entgleiste Wagen wurde im Zugverband ca. 4.500 m mitgezogen und kollidierte in Folge mit einer Schallschutzwand, worauf weitere Wagen entgleisten. Am Oberbau sowie an den signaltechnischen Anlagen entstanden erhebliche Sachschäden. Zudem wurden die entgleisten Wagen des Zuges teilweise schwer beschädigt.</t>
  </si>
  <si>
    <t>HU-5361</t>
  </si>
  <si>
    <t>Train derailment, 17-06-17, Budapest, Közvágóhíd vá. (Hungary)</t>
  </si>
  <si>
    <t>Nr. 24 tramway derailed from the switch. 
A 24 sz. villamos a váltón kisiklott.</t>
  </si>
  <si>
    <t>Budapest, Közvágóhíd vá.</t>
  </si>
  <si>
    <t>A váltó meghibásodását az úgynevezett kulisszatartó lemez törése okozta. A rögzítetlen váltóállító szerkezet nem tudta biztosítani a váltó végállásának a rögzítését._x000D_
A váltóra haladó jármu kerekei alatt a csúcssínek – rögzítés hiányában – egyre jobban szétnyíltak, és a negyedik forgóváz kerekei már a megnyílt csúcssín és a tosín közé tudtak begördülni, ami aztán a jármu kisiklását okozta. 
The transmission failure was caused by the break age of the so-called backstage plate. The unsecured gearbox cannot ensure that the end position of the gearbox is fixed._x000D_
Under the wheels of the vehicle going to the gearbox, the peak rails became more and more open, in the absence of fixing, and the wheels of the fourth bogie were able to roll between the open peak rail and the splint, causing the vehicle to derail.</t>
  </si>
  <si>
    <t>a tabulátorkezelo kézi váltóállítással kapcsolatos ismeretei nem voltak kello mélységuek. A kézzel történo váltóállítás során a kiképzett és gyakorlott váltóállító dolgozónak már éreznie kellett volna a váltó rögzítetlenségét, és a nem megszokott erodinamikai hatások miatt fel kellett volna vetodnie a váltó mechanikai rendellenességének is. Ugyanekkor a kulisszaszerkezet fedelének felnyitását követoen a váltó rögzítésének teljes megszunését is meg lehetett volna állapítani. 
the tab manager's knowledge of manual switching was not sufficiently deep. During manual changeover, the trained and experienced changeover staff should have already felt the unlock of the changeover and the mechanical defects of the changeover should have been caused by unusual force dynamics. At the same time, after opening the lid of the key structure, it would have been possible to determine the total removal of the lock on the change-off.</t>
  </si>
  <si>
    <t>NO-5364</t>
  </si>
  <si>
    <t>Trains collision, 18-06-17, Stavanger shunting yard (Norway)</t>
  </si>
  <si>
    <t>During shunting at the shunting yard in Stavanger the 18th of June 2017, three wagons rolled uncontrolled and collided with parked wagons in track 26. One person onboard the runaway wagons had to jump off the train and suffered severe injuries._x000D_
_x000D_
The shunting yard was part of a large construction site between Ganddal station and Stavanger. The wagons, that rolled away, were two working wagons (MSF100) and a utility wagon. The three wagons were meant for use in a working train with a tamping machine. The Accident Investigation Board of Norway will investigate the circumstances around the accident to clarify the contributing factors. 
Under skifting på driftsbanegården i Stavanger den 18. juni 2017, rullet tre vogner ukontrollert og kolliderte med parkerte vogner i spor 26. En person som stod på vognene måtte hoppe av i fart og skadet seg alvorlig._x000D_
_x000D_
Området var definert som anleggsområde i forbindelse med en større oppgradering mellom Ganddal og Stavanger. Vognene som trillet var to pukkvogner av typen MSF100, samt en mindre hjelpevogn. Disse skulle skiftes sammen for bruk sammen med en pakkmaskin samme dag. Havarikommisjonen vil nå undersøke omstendighetene rundt hendelsen for å klargjøre årsaksfaktorene.</t>
  </si>
  <si>
    <t>Stavanger shunting yard</t>
  </si>
  <si>
    <t>Delays and changes during the process had made the driver's work situation stressful. He was responsible for all couplings during the shunting operation, in addition to the driving. At the same time, the driver felt a strong sense of responsibility for planning the different steps of the shunting operation during the process. At one point, there was a misunderstanding about who was to connect the coupling between two wagons, and this resulted in the task not being carried out.</t>
  </si>
  <si>
    <t>UK-5392</t>
  </si>
  <si>
    <t>Other event, 22-06-17, South Devon Railway (United Kingdom)</t>
  </si>
  <si>
    <t>As the 13:00 hrs train from Totnes Riverside to Buckfastleigh was running between Staverton and Buckfastleigh, at around 20 mph (32 km/h), a passenger and her small child attempted to enter a lavatory compartment in the fourth carriage. On opening the door, they found that the floor of the compartment was missing, exposing the carriage wheels below. The mother was able to catch hold of the child and prevent him from falling. The child reportedly suffered minor bruising and both were shocked._x000D_
_x000D_
The passenger reported the incident to the guard of the train, and the railway took action to secure the lavatory door. The incident was reported to the RAIB on 25 June._x000D_
_x000D_
The carriage, an ex-British Railways Mark 1 Open Second, had been put back into service after repairs to its braking system, which had required the dismantling of the lavatory floor. The floor had not been replaced and staff had placed a notice on the compartment door and attempted to secure it to prevent it being opened. This had not been effective.</t>
  </si>
  <si>
    <t>South Devon Railway</t>
  </si>
  <si>
    <t>The child was able to open the toilet cubicle door, which was not secure.</t>
  </si>
  <si>
    <t>Identification of causal factors_x000D_
87 The accident occurred due to a combination of the following causal factors:_x000D_
a. Carriage 4805 was in service with no toilet floor (paragraphs 30 to 34, Recommendation 1)._x000D_
b. The toilet door was not secure (paragraphs 35 to 37 and 90 (i), (iii) and (iv), 91 and 92, Recommendation 1)._x000D_
c. No-one detected that the door had become unsecured before the accident (paragraphs 38 to 46 and 90 (i), (ii) and (iii), 91 and 92, Recommendation 1)._x000D_
Underlying factors_x000D_
88 The underlying factors were:_x000D_
a. The risk associated with the absence of the floor was not sufficiently appreciated or adequately managed (paragraphs 47 to 53 and 90 (iii), Recommendation 1)._x000D_
b. SDR had no formal competence management assessment for staff involved in carriage maintenance and train preparation (paragraphs 54 to 62 and 90 (i), Recommendation 1 and Learning point 1)</t>
  </si>
  <si>
    <t>NO-5382</t>
  </si>
  <si>
    <t>Level crossing accident, 24-06-17, Opphus (Norway)</t>
  </si>
  <si>
    <t>A car collided with a passenger train at Kroken level crossing, close to Opphus station at Rørosbanen</t>
  </si>
  <si>
    <t>Opphus</t>
  </si>
  <si>
    <t>Unsecured level crossings are mainly found on smaller roads, on private roads and as agricultural crossings between fields and forest properties. Safety at unsecured level crossings is based on road users seeing or hearing the train in time and waiting to cross until it is safe. It is important that road users are informed that they are responsible for deciding whether it is safe to cross. _x000D_
_x000D_
Road users’ behaviour at level crossings is influenced by their surroundings, because people’s perception and understanding of the situation differ. This means, in the AIBN’s view, that a technical barrier is needed that alerts road users of oncoming trains at unsecured level crossings. It is important that sufficient means are made available to allow Bane NOR SF to continue its work on removing, reducing and upgrading level crossings.</t>
  </si>
  <si>
    <t>FI-5386</t>
  </si>
  <si>
    <t>Other, 28-06-17, Ylivieska station (Finland)</t>
  </si>
  <si>
    <t>A track tamping machine which had begun moving by itself and ended up on a track used by traffic.</t>
  </si>
  <si>
    <t>Ylivieska station</t>
  </si>
  <si>
    <t>The maintenance machine started rolling after its pneumatic brakes released, because the parking brake had not been engaged. Furthermore, stop blocks intended to secure the machine in place had not been used</t>
  </si>
  <si>
    <t>There was no clear distribution of critical duties for the machine, and critical operations – such as engaging the parking brake – were not verified when leaving the machine standing. In addition, the linkage of the machine's brake system was worn and poorly adjusted. These deficiencies had not been detected during the traffic worthiness inspection and safety inspection conducted on the machine one month earlier._x000D_
The location chosen for the machine to be left standing in was in conflict with the traffic safety plan of the work site in question. The crew of the machine did not have the knowledge required to intervene in the matter, because their induction had not included a review of the traffic safety plan. The general instructions in the field do not pay attention to locations where rolling stock may be left standing or how it should be secured in place._x000D_
The contractor who owns the machine did not have its own safety management system for trackwork. The Finnish Transport Agency's safety management system for trackwork had been specified to apply on the work site. The contractor's operations had not been audited by the Finnish Transport Agency, although deficiencies had previously been detected in the operations of said contractor, for example during investigation R2013-02 of the Safety Investigation Authority. The monitoring of trackwork safety issues on a practical level was found to be insufficient._x000D_
The traffic control did not have access to an up-to-date track diagram of the place of incident. For this reason, the traffic controller did not realise they should have intervened in the machine left standing on the crossover. The lack of documentation also slowed down clearing up the incident, because the centralised traffic control had no knowledge of theturnouts added to the track section used by traffic. The turnouts added to the track section used by traffic had not been connected to the centralised traffic control system; only their straight-running rails had been connected to be a part of the monitored track section.</t>
  </si>
  <si>
    <t>DE-5378</t>
  </si>
  <si>
    <t>Trains collision, 30-06-17, Leese-Stolzenau (Germany)</t>
  </si>
  <si>
    <t>Am 30.06.17 gegen 14:45 Uhr kollidierte Zug DGS 42597 bei der Einfahrt nach Gleis 1 des Bf. Leese-Stolzenau mit dem in diesem Gleis stehenden DGS 42757. 
On 30.06.17 at 14:45, train DGS 42597 collided, while driving on track 1 into railway station Leese-Stolzenau, with train DGS42757 which was standing on the same track.</t>
  </si>
  <si>
    <t>Leese-Stolzenau</t>
  </si>
  <si>
    <t>Hector Rail AB; 
Germany</t>
  </si>
  <si>
    <t>Die Zugkollision am 30.06.2017 im Bahnhof Leese-Stolzenau wurde durch mehrere Arbeitsfehler des dort verantwortlichen Fdl verursacht. Dieser hatte vor der Zulassung der Zugfahrt des DGS 42597 den Fahrweg auf Freisein von Fahrzeugen nicht geprüft. Bereits zuvor hatte er es versäumt, nach Einfahrt des DSG 42757 in Gleis 1 Hilfssperren an den Fahrstraßenhebeln a1, a11, f1 und f11 anzubringen, um sich so vor der späteren Fehlhandlung zu schützen. Letztendlich hat der Fdl das Esig F für den DGS 42597 auf Fahrt gestellt und dem Zug somit die Einfahrt in das besetzte Gleis 1 erlaubt. 
The train collision at railway station Leese-Stolzenau on 30.06.2017 had been caused by several working errors of the responsible traffic controller. The latter did not check if the train track was free of vehicles before authorizing the travelling of train DGS 42597. Before that, after the entry of DSG 42757 on rail track 1, he did not activate the auxiliary barriers at route levers a1, a11, f1 and f11, in order to protect from subsequently incorrect handling. Finally, the traffic controller gave the entry signal for the DGS 42597 and therefore allowed the train to entry on the occupied track 1.</t>
  </si>
  <si>
    <t>HU-5379</t>
  </si>
  <si>
    <t>Train derailment, 04-07-17, Új köztemeto (Hungary)</t>
  </si>
  <si>
    <t>The tram has derailed with one axle.</t>
  </si>
  <si>
    <t>Új köztemeto</t>
  </si>
  <si>
    <t>Failure of swith and driver.</t>
  </si>
  <si>
    <t>CZ-5380</t>
  </si>
  <si>
    <t>Spad, 05-07-17, Brandýs nad Orlicí station (Czech Republic)</t>
  </si>
  <si>
    <t>The unauthorized movement of the freight train No. 60104 behind the main entrance signal device 2L towards track line, which the regional passenger train No. 5010 left in the same direction.</t>
  </si>
  <si>
    <t>Brandýs nad Orlicí station</t>
  </si>
  <si>
    <t>Direct cause:_x000D_
• train driver's of freight train No. 60104 operational error (he did not respect signal “Stop” of the main entrance signal device 2L at Brandýs nad Orlicí station).</t>
  </si>
  <si>
    <t>Underlying causes:_x000D_
• failure of the human factor – the train driver of freight train No. 60104. The human error was reflected in the reaction of the train driver of the freight train No. 60104 on the part of the communication from the station dispatcher at Chocen station, who contacted train driver through the radio before the incident;_x000D_
• the train driver drove the locomotive of the freight train No. 60104 in a way, which didn't ensure compliance with the obligation to stop the train safely in front of the signal device;_x000D_
• the train driver of the freight train No. 60104 did not act on according to the signals, which have been given by the signal devices and by the train automatic warning system._x000D_
_x000D_
Root cause: none.</t>
  </si>
  <si>
    <t>HU-5590</t>
  </si>
  <si>
    <t>Fire in RS, 06-07-17, Balatonkenese station (Hungary)</t>
  </si>
  <si>
    <t>Balatonkenese állomásom az 1972 sz. vonatot továbbító 92 550418 327-6 psz. mozdonyon tuz keletkezett. 
Fire on locomotives No. 1972, 92 550418 327-6 ps at Balatonkenese's station</t>
  </si>
  <si>
    <t>Balatonkenese station</t>
  </si>
  <si>
    <t>A tuz keletkezésének pontos oka ismeretlen maradt, az valószínusítheto, hogy a géptérbe tömítetlenség miatt beszívott égheto anyagot, vagy hirtelen fellépo meghibásodás miatt a géptérbe jutó valamilyen üzemanyagot (pl.: etilén-glikol hutoközeg) a forró kipufogórendszer meggyújtotta. 
The exact cause of the fire remains unknown, it is likely that combustible material ingested into the engine room due to unsealedness, or fuel released into the engine room due to a sudden failure (e.g.: Ethylene glycol refrigerant) has been ignited by the hot exhaust system.</t>
  </si>
  <si>
    <t>A mozdony korszerusítése folyamán az átépítéskor a padlólemez és a hidraulikus hajtómu közötti rések nem kerültek megszüntetésre, így a hutolevego beáramlása a géptérbe, nem csak a szurorendszeren keresztül történt, ezért idegen anyag is bekerülhetett a géptérbe._x000D_
A mozdony korszerusítésekor az aggregátor és a WEBASTO Thermo futokészülék gázolajellátását biztosító „napi gázolajtartály” beépítése megnövelte a tuzveszély kockázatát. 
During the upgrading of the locomotive, the gaps between the floor plate and the hydraulic drive were not removed during the construction, so the inlet of the cooling air into the engine room was not only made via the filtration system, so foreign matter may have entered the engine room._x000D_
When the locomotive was modernized, the installation of the aggregator and the ‘daily gas oil tank’ to supply gas oil to the WEBASTO Thermo heater increased the risk of fire.</t>
  </si>
  <si>
    <t>IT-5440</t>
  </si>
  <si>
    <t>Runaway, 06-07-17, Bardonecchia - Modane (Italy)</t>
  </si>
  <si>
    <t>Runaway of maintenance vehicle</t>
  </si>
  <si>
    <t>Bardonecchia - Modane</t>
  </si>
  <si>
    <t>the direct cause of the inconvenience is to be found in the failure to observe the Instruction for the Service of the Operators by the two agents involved</t>
  </si>
  <si>
    <t>UK-5398</t>
  </si>
  <si>
    <t>Other event, 07-07-17, Guildford station (United Kingdom)</t>
  </si>
  <si>
    <t>At 14:37 hrs on Friday 7 July, an explosion took place inside an under-floor equipment case on the 14:37 hrs Guildford to London Waterloo service, as the driver applied power to depart from Guildford station._x000D_
_x000D_
There were no reported injuries. However, debris, some quite sizable, was deposited on public platforms and the car park._x000D_
_x000D_
The train comprised two four-car class 455 units coupled together and the explosion took place under the third carriage of the leading unit._x000D_
_x000D_
Class 455 trains are undergoing a programme of retrofitting new traction equipment, which started in May 2016. The traction equipment involved was of the new design and the mechanism which caused the explosion was believed to be understood by the industry parties involved. Similar, smaller explosions, have occurred on at least two previous occasions where debris scatter was much more confined. The previous occurrences had been attributed to a manufacturing defect, leading to a build-up of explosive gas within the traction equipment. Industry parties were in the process of devising possible solutions to the problem at the time of the 7 July accident and are continuing to do so.</t>
  </si>
  <si>
    <t>Guildford station</t>
  </si>
  <si>
    <t>An accumulation of flammable gases exploded and ruptured the traction equipment case (paragraph 45).</t>
  </si>
  <si>
    <t>The causal factors were:_x000D_
a) There was a defect in a capacitor winding which led to the production of flammable gases (paragraph 47)._x000D_
b) The gases produced by the defective capacitor were unable to escape from the traction equipment case (paragraph 66, Recommendation 1)._x000D_
c) There was a source of ignition in the traction equipment case (paragraph 73)._x000D_
d) An earlier investigation of previous capacitor failures did not identify all of the capacitor windings at risk (paragraph 76, Learning point 1)._x000D_
e) The engineering safeguards provided did not adequately mitigate the risks from a capacitor with a manufacturing defect (paragraph 81) Recommendation 1)._x000D_
Underlying factor_x000D_
124 The traction retrofit project did not adequately manage the risk of explosion caused by a capacitor with a manufacturing defect (paragraph 93, Learning points 2, 3, 4, 5 and 6).</t>
  </si>
  <si>
    <t>CZ-5381</t>
  </si>
  <si>
    <t>Trains collision with an obstacle, 08-07-17, open line between Hulín and Ríkovice stations, km 170,440 and open line between Ríkovice and Prerov stations, km 177,0 (Czech Republic)</t>
  </si>
  <si>
    <t>Collisions of the freight trains No. 69101 and No. 52297 with stones, which flew from the freight train No. 60202, which went in opposite way.</t>
  </si>
  <si>
    <t>open line between Hulín and Ríkovice stations, km 170,440 and open line between Ríkovice and Prerov stations, km 177,0</t>
  </si>
  <si>
    <t>IDS CARGO a.s.; 
CD Cargo</t>
  </si>
  <si>
    <t>Direct cause:_x000D_
• fall out of stones from ajar segmental dump flaps while driving of rolling stock Faccs type after previous transportation of gravel._x000D_
Contributory factor:_x000D_
• uncleaning and pickup of uncleared rolling stock of Faccs type for next transport by the holder CD Cargo from previous transporter.</t>
  </si>
  <si>
    <t>Underlying causes:_x000D_
• self-opening segmental dump flaps while movement of the rolling stocks;_x000D_
• incompatible and endangering technical condition of the levers fuses of the segmental dump flaps, which did not correspond with production documentation._x000D_
Root cause: none.</t>
  </si>
  <si>
    <t>CZ-5383</t>
  </si>
  <si>
    <t>Level crossing accident, 12-07-17, open line between Klatovy mesto - Klatovy station (Czech Republic)</t>
  </si>
  <si>
    <t>Collision of the regional passenger train No. 17505 with the obstacle – the car at the active level crossing.</t>
  </si>
  <si>
    <t>open line between Klatovy mesto - Klatovy station</t>
  </si>
  <si>
    <t>Direct cause:_x000D_
• driver's failure to respect the light and acoustic warnings and driving at the level crossing at the time when it was forbidden and visual and acoustic warnings were being given._x000D_
_x000D_
Contributory factor: none.</t>
  </si>
  <si>
    <t>Underlying causes:_x000D_
• driver’s behavior in front of the level crossing, the car driver was not careful enough and did not make sure whether he could safely pass the level crossing;_x000D_
• driver's failure to respect the light and acoustic warnings and driving at the level crossing at the time when it was forbidden._x000D_
_x000D_
Root cause: none</t>
  </si>
  <si>
    <t>ES-5433</t>
  </si>
  <si>
    <t>Train derailment, 13-07-17, Capçanes (Tarragona) (Spain)</t>
  </si>
  <si>
    <t>Three wagons of a freight train of the RU Renfe Mercancías derail between the stations of Els Guiamets and Marçà-Falset. No personal damages and no dangerous goods involved. First information points to a buckling in the track, caused by the hot weather and a probably ill-resolved stressing of rails after recent works in the track.</t>
  </si>
  <si>
    <t>Capçanes (Tarragona)</t>
  </si>
  <si>
    <t>The derailing was caused by an infrastructure failure. More specifically, it was caused by a track deformation resulting from the sum of several possible factors, such us:_x000D_
• Existing tensions after a rail replacement one year before (May-June 2016)._x000D_
• Tension inducted in the rails after masonry reparations (June 2017)._x000D_
• Cease of a previous speed limitation (existing from 2015) three days before the occurrence._x000D_
• High temperature the day before the occurrence (close to the yearly maximum)._x000D_
• Lack of enough ballast in the affected section.</t>
  </si>
  <si>
    <t>An underlying cause of this derailment is the poor condition of the line between Flix and Reus, that has caused a relatively high number of occurrences due to its poor maintenance. _x000D_
_x000D_
A root cause of this is the non-compliance of the SMS of the IM, because of the lack of monitoring of condition and track geometry in this section.</t>
  </si>
  <si>
    <t>RO-5393</t>
  </si>
  <si>
    <t>Train derailment, 15-07-17, Tandarei (Romania)</t>
  </si>
  <si>
    <t>two wagons (29th and 30th) from the freight train no.61733 derailed and overturned in the railway station Tandarei</t>
  </si>
  <si>
    <t>Tandarei</t>
  </si>
  <si>
    <t>Cauza directa a producerii acestui accident feroviar o constituie ruperea fusului de osie de la roata nr.3, a vagonului de marfa nr.31537991154-0 (roata din partea stânga, în sensul de mers, a primei osii a celui de-al doilea boghiu), rupere care a produs descarcarea completa de sarcina a acestei ro?i, fapt ce a avut ca urmare deraierea osiei cu ro?ile nr.3 ?i nr.4 a acestui vagon la circula?ia pe o curba cu devia?ie dreapta fa?a de sensul de mers al trenului._x000D_
_x000D_
Factorii care au contribuit:_x000D_
?	solicitarile de oboseala (eforturi compuse de trac?iune-compresiune ?i încovoiere rotativa) la care este supusa osia în exploatarea vagonului;_x000D_
?	existen?a unor amorse de rupere provenite din concentratori de tensiune plasa?i pe suprafa?a exterioara în zona de racordare dintre sec?iunea cu diametrul de 146 mm a obturatorului  ?i zona de calare a osiei cu diametrul de 185 mm, concentratori de tensiune sub forma de microcrestaturi/ microcavita?i care, în timp, au condus la apari?ia fisurilor transversale de oboseala pe suprafa?a fusului osiei,  zona care nu era vizibila cu ocazia opera?iilor de revizie tehnica fiind acoperita de cutia de osie;_x000D_
?	durata mare de utilizare a osiei (osie fabricata în 1982). 
The direct cause of the accident was the breakage of the axle journal from the wheel no.3 of the wagon no.31537991154-0 (left wheel, in the running direction, of the first axle from the second bogie), it leading to the complete load transfer of that wheel, generating the derailment of the axle with the wheels no.3 and no.4 of that wagon at its running on the curve with left deviation against the train running direction_x000D_
Contributing factors:_x000D_
?	fatigue stresses (stresses composed by traction-compression and rotative bending) to which the axle in the wagon operation is exposed;_x000D_
?	existence of some tendencies to fracture coming from the stress concentrators situated on the exterior surface in the connection area between the section of diameter 146 mm of the shutter and the pressing area of the axle with diameter 185 mm, stress concentrators like micro-grooves/micro-holes that, during the time, led to the appearance of the cross fatigue cracks on the surface of the axle journal, this area could not be seen during the technical inspections, being covered by the axle box;_x000D_
?	long time of the axle use (axle manufactured in 1982).</t>
  </si>
  <si>
    <t>Cauze subiacente:_x000D_
		Nu au fost identificate cauze subiacente. _x000D_
_x000D_
Cauze primare: _x000D_
		Nu au fost identificate cauze primare. 
None</t>
  </si>
  <si>
    <t>CZ-5388</t>
  </si>
  <si>
    <t>Level crossing accident, 17-07-17, open line between Kaznejov and Horní Bríza stations, level crossing No. P1679 (Czech Republic)</t>
  </si>
  <si>
    <t>Collision of the long distance passenger train No. 1081 with the lorry at the level crossing No. P1679, which was switched off from activity.</t>
  </si>
  <si>
    <t>open line between Kaznejov and Horní Bríza stations, level crossing No. P1679</t>
  </si>
  <si>
    <t>Direct causes:_x000D_
• failure to compliance of the prescribed way of driving with measures for train caution in front of the level crossing and in the area of the level crossing by train driver of the long distance passenger train No. 1081;_x000D_
• failure to compliance of the prescribed way of the car driver and driving across the level crossing at the time when it was forbidden.</t>
  </si>
  <si>
    <t>Underlying causes:_x000D_
• failure to respect the signals, which was given to the train driver while driving the train;_x000D_
• behavior of the car driver in front of the level crossing, when he did not convince, if it is possible safely cross over the level crossing._x000D_
Root cause: none.</t>
  </si>
  <si>
    <t>DE-5389</t>
  </si>
  <si>
    <t>Level crossing accident, 17-07-17, Hohenlimburg (Germany)</t>
  </si>
  <si>
    <t>Am 17.07.2017 gegen 21:15 Uhr fuhr der Zug DGV 93590 des Eisenbahnverkehrsunternehmens (EVU) DIE-LEI GmbH im Gleis 043 des Bahnhofs (Bf) Hohenlimburg mit zwei voneinander getrennten Zugteilen ab. Im weiteren Verlauf der Fahrt entfernten sich die beiden Zugteile, des aus dem Wagenzug, einer Zug- und einer nachschiebenden Lokomotive bestehenden Zuges, zunehmend. Auf dem Bahnübergang (BÜ) „Oeger Straße“ in km 17,335 prallte dann der hintere Zugteil noch innerhalb des Bahnhofs mit einem Pkw zusammen. Wenig später kollidierte der hintere Zugteil mit dem im Gleis 1 des Bf Hohenlimburg zwischenzeitlich zum Stillstand gekommenen vorderen Zugteil des DGV 93590. 
On 17.07.2017, at about 21:15, the train DGV 93590 of the railway undertaking DIE-LEI GmbH collided on rail track 043 at railway station Hohenlimburg with two separated train parts. When continuing to drive, the two parts of the train, consisting of a train set, a train and an assisting locomotive of an existing train, became increasingly detached. At the “Oeger Straße” level crossing, at km 17,335, the rear part of the train collided with a passenger car inside the railway station. A little later, the rear part of the train collided with the front part of the DGV 93590, which had come to a standstill in the meantime at railway station Hohenlimburg.</t>
  </si>
  <si>
    <t>Hohenlimburg</t>
  </si>
  <si>
    <t>Die Primärursachen für den Zusammenprall auf dem BÜ „Oeger Straße“ und der anschließenden Zugkollision des hinteren mit dem vorderen Zugteils, sind in gravierenden Mängeln bei der Vorbereitung des Zuges begründet. 
The primary causes of the collision at the ‘’Oeger Straße’’ level crossing and the subsequent train collision of the rear with the front train part were due to serious deficiencies in the preparation of the train.</t>
  </si>
  <si>
    <t>CZ-5387</t>
  </si>
  <si>
    <t>Trains collision, 19-07-17, Cejl street (Czech Republic)</t>
  </si>
  <si>
    <t>Collision of tram No. 4/3 with tram No. 2/21</t>
  </si>
  <si>
    <t>Cejl street</t>
  </si>
  <si>
    <t>Direct cause:_x000D_
• not stopping of the tram No. 4 in front of the standing tram No. 2._x000D_
_x000D_
Contributory factor: none.</t>
  </si>
  <si>
    <t>Underlying cause:_x000D_
• human factor error of tram driver No. 4. Incorrect setting of priorities by the tram driver – failure to evaluate of initiatives during driving;_x000D_
• tram control in such a way, which did not ensure the safe operation of rail transport during the traffic situation at the tram stop;_x000D_
• the tram driver of tram No. 4 did not have full control of the driving of the tram No. 4 at the time when the tram No. 4 approached to the Tkalcovská tram stop._x000D_
_x000D_
Root cause: none.</t>
  </si>
  <si>
    <t>CZ-5394</t>
  </si>
  <si>
    <t>Level crossing accident, 20-07-17, Bystrice pod Hostýnem station, level crossing No. P7272 (Czech Republic)</t>
  </si>
  <si>
    <t>Collision of the regional passenger train No. 3905 with a car at the level crossing.</t>
  </si>
  <si>
    <t>Bystrice pod Hostýnem station, level crossing No. P7272</t>
  </si>
  <si>
    <t>• the driver's failure to respect the light and acoustic warnings and driving at the level crossing at the time when it was forbidden and visual and acoustic warnings were give</t>
  </si>
  <si>
    <t>Underlying cause:_x000D_
• the car driver did not pay attention to driving sufficiently, which resulted in oversight of the traffic signs situated before the level crossing – failure to register the light and acoustic warnings of the level crossing system of the level crossing No. P7272._x000D_
Root cause: none.</t>
  </si>
  <si>
    <t>CZ-5395</t>
  </si>
  <si>
    <t>Level crossing accident, 25-07-17, between VlkoÅ¡ and Bzenec stations (Czech Republic)</t>
  </si>
  <si>
    <t>Collision of the passenger train No. 1723 with a car at the level crossing.</t>
  </si>
  <si>
    <t>between VlkoÅ¡ and Bzenec stations</t>
  </si>
  <si>
    <t>Direct cause:		_x000D_
- driver's failure to respect the light and acoustic warning and driving across the level crossing at the time when it was forbidden and visual and acoustic warnings were being given._x000D_
_x000D_
Contributory factor:	none.</t>
  </si>
  <si>
    <t>Underlying causes:	_x000D_
- driver's failure to respect the light and acoustic warnings and driving at the level crossing at the time when it was forbidden;_x000D_
- driver’s behavior in front of the level crossing, the car driver was not careful enough and did not make sure whether he could safely pass the level crossing._x000D_
_x000D_
Root cause: none.</t>
  </si>
  <si>
    <t>ES-5443</t>
  </si>
  <si>
    <t>Runaway, 25-07-17, Line 200 Madrid-Barcelona, between stations of Torralba and Medinaceli (Soria) (Spain)</t>
  </si>
  <si>
    <t>A locomotive of Ferrovial passes a signal at Torralba station without authorization, and the control centre orders it to stop. After stopping, the driver informs of a braking malfunction. After that, the locomotive begins to run away: the driver is on board and informs that the locomotive has not automatic braking nor traction. The driver manages to stop the locomotive by using the parking brake, 8,2 km away (at Medinaceli station). Nobody gets injured._x000D_
_x000D_
First inquiries detected several failures: the ATP system (ASFA) was off (without any authorization); the parking brake had failed; staff had been working more than 12 hours; after first signs of brake malfunction, and at first stop (before the running away) they didn't secure de locomotive with wedges (as prescribed by operational rules).</t>
  </si>
  <si>
    <t>Line 200 Madrid-Barcelona, between stations of Torralba and Medinaceli (Soria)</t>
  </si>
  <si>
    <t>The passing of entrance signal E1 at Torralba station was caused by lack of attention of driving staff (driver and machinery operator)._x000D_
The runaway of rolling stock was caused by a break in the cardanshaft between diesel engine and brake compressor, making automatic brake inoperative.</t>
  </si>
  <si>
    <t>An underlying factor of the first occurrence (signal passed) was the switching-off of the ASFA system from the beginning of the travel._x000D_
Underlying factors of the second occurrence (runaway locomotive) were the non-use of parking brake for assuring immobilization of the locomotive, and the non-inclusion of the cardanshaft review in the maintenance plan schedule.</t>
  </si>
  <si>
    <t>CZ-5399</t>
  </si>
  <si>
    <t>Level crossing accident, 27-07-17, Starec station, level crossing No. P3652. (Czech Republic)</t>
  </si>
  <si>
    <t>Collision of freight train No. 68250 with a car at active level crossing No. P3652.</t>
  </si>
  <si>
    <t>Starec station, level crossing No. P3652.</t>
  </si>
  <si>
    <t>Direct cause:_x000D_
• driver's failure to respect the light and acoustic warning and driving across the level crossing at the time when it was forbidden and visual and acoustic warnings were being given._x000D_
_x000D_
Contributory factor: none.</t>
  </si>
  <si>
    <t>Underlying cause:_x000D_
• insufficient attention during driving the car, that caused oversight of traffic signs in front of the level crossing and failure to register acoustic and visual warnings of the level crossing safety equipment system._x000D_
_x000D_
Root cause: none.</t>
  </si>
  <si>
    <t>CZ-5401</t>
  </si>
  <si>
    <t>Train derailment, 27-07-17, Novosedly (Czech Republic)</t>
  </si>
  <si>
    <t>The derailment of the freight train No. 68253 at Novosedly station.</t>
  </si>
  <si>
    <t>Novosedly</t>
  </si>
  <si>
    <t>Direct cause:_x000D_
• a ride of the train onto the track which was in an unsatisfactory technical condition when the safety limits of the track gauge were exceeded after the load of the track._x000D_
Contributory factor:_x000D_
• the repeated crossing the maintenance limits and safety limits of the superelevation to significantly negative values at the derailment site and its surroundings where the outer (guide) rail string of the curve was lower than the low-side rail, resulting in the increase of the superelevation and the larger loading of the outer rail string by the centrifugal force acting during a ride of the fully loaded rail vehicles.</t>
  </si>
  <si>
    <t>Underlying causes:_x000D_
• an unsatisfactory technical condition of the wood sleepers (the inner rot) and a consequent deterioration in the holding of the fasteners, which did not ensure the maintenance of the track gauge within specified limits;_x000D_
• repeated failure to identify the problem of crossing the superelevation parameters to the negative values at the derailment site and its surroundings due to the way of measuring and evaluating the superelevation parameters;_x000D_
• failure to adopt the appropriate measures to ensure the safety operation of railway and railway transport – the defects in crossing the maintenance limits and safety limits of the superelevation were not found and eliminated during the control activities._x000D_
Root cause:_x000D_
• failure to ensure the evaluation, respectively failure to determine the real values of the total superelevation when measuring by the track geometry trolley Krab, because the necessary track input data were not entered before measuring.</t>
  </si>
  <si>
    <t>HU-5397</t>
  </si>
  <si>
    <t>Spad, 27-07-17, Tata (Hungary)</t>
  </si>
  <si>
    <t>Goods train Nr.43489 passed a signal at danger, run through a switch and run into a route which was set for an other train coming from the opposite direction at Tata station. The train coming from the opposite direction stopped before the entrance signal of the railway station. 
A 43489 sz. tehervonat Tata állomáson meghaladta a továbbhaladást tiltó jelzést adó kijárati jelzot, majd felvágta a 4810 sz. személyvonat vágányútjának elemét képezo 8. sz. váltót. Az érkezo személyvonat az állomás bejárati jelzoje elott megállt.</t>
  </si>
  <si>
    <t>Tata</t>
  </si>
  <si>
    <t>A mozdonyvezeto az állomásra történo behaladáskor a bejárati jelzovel a behaladásra adott engedélyt nem megfeleloen értékelte ki, ezért nem tudatosult benne a kijárati jelzo elotti megállási kötelezettsége._x000D_
A biztosítóberendezés a mozdonyvezeto tevékenységét az elvárásoknak megfeleloen nem támogatta, a berendezés valószínuleg elöregedésbol adódó muszaki hiba miatt nem érzékelte, hogy a vonat „Megállj!” állású kijárati jelzo felé közeledik, és a megszokott fény- és hangjelzéssel nem hívta fel erre a mozdonyvezeto figyelmét. 
When entering the station, the driver did not properly evaluate the entry permit with the entrance marker and was therefore unaware of his obligation to stop before the exit marker._x000D_
The interlocking equipment did not support the driver's performance as expected, and the equipment could not detect the train "Stop!" possibly due to an aging technical failure, and did not draw the driver's attention to this by the normal light and sound signal.</t>
  </si>
  <si>
    <t>Tata állomás jelfeladási rendszerében fennálló muködési zavar oka nem került feltárásra, és a megbízható muködés az esemény bekövetkezéséig nem került helyreállításra._x000D_
Tata állomás végponti végén található ipari terület jogellenesen létesített vagyonvédelmi fényei megnehezítik a vasúti közlekedés jelzofényeinek kiértékelését._x000D_
Ez a veszélyforrás a pályamuködtetési tevékenység során nem került feltárásra, és nem született intézkedés annak megszuntetésére. 
The cause of the malfunction in the signaling system of the Tata station has not been uncovered and reliable operation has not been restored until the event._x000D_
Illegal security lights on the industrial site at the end of Tata Station make it difficult to evaluate railway traffic lights._x000D_
This source of danger has not been identified in the course of the operation and no action has been taken to eliminate it.</t>
  </si>
  <si>
    <t>DK-5688</t>
  </si>
  <si>
    <t>Level crossing accident, 28-07-17, Bred (Denmark)</t>
  </si>
  <si>
    <t>Person hit by train. A group of young people heading home from Odense left the train at Bred station. Most came across the platform crossing to the opposite platform before the warning system started. A young man hesitated, but continued despite the warning and was hit by train on the way to Odense. 
Bdk:_x000D_
Hændelsesforløbet har været, at RV 2785 (Od-Fa) har afsat en gruppe unge af begge køn, som har været til "Torsdags-koncert" i Eventyrhaven i Odense. Flertallet - også den nu afdøde - er påvirket af alkohol i forskellig grad. Der er divergerende opfattelser af graden af beruselse hos den 17-årige._x000D_
Lkf på IC 1680 (Ab-Od) forklarer til uvagt, at han på afstand ser en gruppe unge, som har passeret "sp 1" i overgangen samt en enkelt, som tilsyneladende er på vej over foran toget, men ombestemmer sig (måske flere gange). Til sidst beslutter han åbenbart at vende tilbage til "perron 2", men for sent. 1680 rammer ham på siden af fronten._x000D_
Den 17-årige kastes imod den østlige stander til varslingsanlægget._x000D_
Bred T ligger - set fra 1680 - i en svag venstrekurve, hvorfor lkf relativt sent har det fulde overblik over trinbrættet._x000D_
Omvendt er der god oversigt fra "perron 2" mod vest, så et kommende tog ses på relativ god afstand._x000D_
Vidner har set og hørt varslingsanlægget tænde for 1680 -med både lys og lyd. Den første gruppe kommer over, inden anlægget går i gang, og de er enige om, at det fungerede efter hensigten. Det bekræftes af, at lkf på 1680 har iagttaget "to grønne" på AM 1506 og forklarer, at han havde "fuld søjle" i førerrumssignalet.</t>
  </si>
  <si>
    <t>Bred</t>
  </si>
  <si>
    <t>The accident occurred because the young man stepped into the platform crossing as he overlooked or ignored the alerts from the warning system and subsequently hesitated for so long that he did not reach safe area (inattention and unknown to the area)</t>
  </si>
  <si>
    <t>The warning system is considered to function in accordance with applicable rules. It is noted that the warning system's signaling "Beware", sound: "Do not cross the track that is trains" are characteristic of warning while the red light indicates a prohibition (as with traffic lights for pedestrians). This inconsistency may, in conjunction with the early lightning of the red light in the passive signals of the crossing, give rise to the fact that passengers who use the crossing may get the impression that, despite the warning, they themselves are able to or must judge whether it is safe to use crossing.</t>
  </si>
  <si>
    <t>ES-5434</t>
  </si>
  <si>
    <t>Trains collision with an obstacle, 28-07-17, França Station (Spain)</t>
  </si>
  <si>
    <t>A commuter train operated by Renfe collides with the buffer at the end of the track #11 of the Barcelona-França station. Driver and 53 passengers injured (one of the passengers with serious injuries). First inquiries reveal that the train entered the station with a fixed speed of 30 km/h, and brakes were not activated.</t>
  </si>
  <si>
    <t>França Station</t>
  </si>
  <si>
    <t>- The direct cause of the accident was the fact that the driver didn’t apply braking when entering track #11. _x000D_
- The collision happened with preset speed activated (at 28 km/h), a fact that is against the operation rules. It was not deactivated because the brake was not applied in any moment. Moreover, it has been detected that the driver had the malpractice of using preset speed when entering stations. _x000D_
- The non-braking and non-deactivation of preset speed by the driver were probably caused by any loss of consciousness after starting from entrance signal. This loss of consciousness was probably due to a drowsiness state._x000D_
- The state and design of the buffer stop was a factor that contributed to the consequences of the accident. The impact was partly absorbed by the buffer stop of track #11, that ended very damaged (as the head of the train). However, the mitigation of the impact could have been less harmful if the buffer had kept its original hydraulic mechanism and had been adapted to the train coupling.</t>
  </si>
  <si>
    <t>- The “Dead man” vigilance device worked correctly, but it couldn’t prevent the accident, as it is not designed to detect drowsiness or semi-consciousness. Considering that the aim of this device is to stop the train in the event of a full loss of consciousness of the driver (or driver’s absence), it could be convenient to study some additional device to detect those drowsiness situations. _x000D_
- There are previous recommendations of the CIAF (NIB) about the installation of proper buffer stops and beacons that could mitigate the consequences of collisions like this one. Up to today there is no evidence about these recommendations having been implemented, although some new features of ASFA system could contribute. An increase of the distance between buffers and stopping points could also reduce risk of collision._x000D_
- The possible state of drowsiness of the driver would have been allegedly caused by a lack of rest, as he would have not slept time enough during the previous night._x000D_
- Some shortcomings have been detected in the documentation and traceability of the assignment of shifts in situations of strike or other service anomalies. This could point to other shortcomings in that assignment process, although there is no evidence of that._x000D_
- Some deficiencies in safety and responsibility culture of the driver have been detected, related to an inadequate perception of the risk of driving without enough rest. Likewise, it has not been possible to exclude the possibility that this risk behaviour could have happened other times.</t>
  </si>
  <si>
    <t>UK-5408</t>
  </si>
  <si>
    <t>Other event, 28-07-17, Abergavenny (United Kingdom)</t>
  </si>
  <si>
    <t>At around 18:05 hrs on 28 July 2017, as a northbound train entered Abergavenny station, a cable hanging from the station footbridge became caught on the roof of the train. The cable had an outside diameter of approximately 25 mm and supplied electrical power to a nearby signal box. It was connected to a local mains supply point, housed in a cabinet adjacent to platform 1, and crossed the railway by attachment to the footbridge._x000D_
The motion of the train dragged the cable and caused it to be pulled from its remaining fixings. Damage was caused to the station buildings, to the train and to other equipment on the station. The cable was pulled by the train until it broke, after which it recoiled back. The recoiling cable caused minor injuries and distress to a number of people at the station.</t>
  </si>
  <si>
    <t>Abergavenny</t>
  </si>
  <si>
    <t>The drooping electrical supply cable became snagged on the train’s roof and was pulled until one end broke free from an electrical distribution cabinet (paragraph 28)</t>
  </si>
  <si>
    <t>The causal factors were:_x000D_
a. The cable snagged on an antenna fixed to the roof of the trailing vehicle in the train (paragraph 32, no recommendation)._x000D_
b. The cable had detached from the cable tray running along the footbridge and was drooping down, foul of the train (paragraph 36). This causal factor arose due to a combination of the following:_x000D_
i. The fixings holding the cable to the cable tray were unsuitable for their intended use and had broken (paragraph 41, Recommendation 1)._x000D_
ii. The cable was not inspected periodically as required for all electrical installations (paragraph 48, Recommendation 3)._x000D_
iii. The drooping cable was not identified by the footbridge inspection regime (paragraph 55, no recommendation)._x000D_
iv. The drooping cable was not identified during routine station safety checks (paragraph 60, Learning point 1)._x000D_
v. The drooping cable was not reported by anyone after it had begun to hang below the bottom of the footbridge (paragraph 63, Learning point 2)._x000D_
Underlying factor_x000D_
78 The underlying factor was that Network Rail had no controls in place for the management of low voltage electrical supply cables that cross operational railway lines via its overline structures (paragraph 66, Recommendation 2).</t>
  </si>
  <si>
    <t>CZ-5400</t>
  </si>
  <si>
    <t>Level crossing accident, 30-07-17, open line between Neumetely - Lochovice stations (Czech Republic)</t>
  </si>
  <si>
    <t>The collision of the regional passenger train No. 27714 with an obstacle – the car at the active level crossing No. P558.</t>
  </si>
  <si>
    <t>open line between Neumetely - Lochovice stations</t>
  </si>
  <si>
    <t>Direct cause:_x000D_
• driver's failure to respect the light and acoustic warnings and driving at the level crossing at the time when it was forbidden and visual and acoustic warnings were being given.</t>
  </si>
  <si>
    <t>Underlying causes:_x000D_
• driver’s behavior in front of the level crossing, the car driver was not careful enough and did not make sure whether he could safely pass the level crossing;_x000D_
• driver's failure to respect the light and acoustic warnings and driving at the level crossing at the time when it was forbidden._x000D_
Root cause: none.</t>
  </si>
  <si>
    <t>CZ-5402</t>
  </si>
  <si>
    <t>Unauthorised train movement other than SPAD, 02-08-17, Kadan-Prunérov station (Czech Republic)</t>
  </si>
  <si>
    <t>The uncontrolled movement of the inactive electric multiple unit.</t>
  </si>
  <si>
    <t>Kadan-Prunérov station</t>
  </si>
  <si>
    <t>Direct cause:_x000D_
• unsecuring of the electric multiple unit against unwanted movement by a train driver._x000D_
_x000D_
Contributory factor: none.</t>
  </si>
  <si>
    <t>Underlying cause:_x000D_
• failure to observe the technological procedures of the railway undertaking and the operating instructions for the electric multiple unit during preparation of a shunting operation by the train driver._x000D_
_x000D_
Root cause: none.</t>
  </si>
  <si>
    <t>CZ-5403</t>
  </si>
  <si>
    <t>Spad, 02-08-17, Praha hl. n. station (Czech Republic)</t>
  </si>
  <si>
    <t>Unauthorized movement of the shunting operation behind the signal device Se20 and its ride onto the train route for the regional passenger train No. 25921.</t>
  </si>
  <si>
    <t>Direct cause:_x000D_
• train driver's of the shunting operation operational error (he did not respect the signal forbidding the shunting operation movement)._x000D_
_x000D_
Contributory factor: none.</t>
  </si>
  <si>
    <t>Underlying causes:_x000D_
• initiation of a shunting operation movement on an unclear request of the shunting operation leader without the consent of the IM by the train driver of the shunting operation when shunting without shunting crew;_x000D_
• initiation of the shunting operation movement without permission to the shunting operation by the train driver of shunting operation when shunting without shunting crew._x000D_
_x000D_
Root cause: none.</t>
  </si>
  <si>
    <t>HU-5414</t>
  </si>
  <si>
    <t>Other event, 03-08-17, Abony (Hungary)</t>
  </si>
  <si>
    <t>A passenger train arriving into station Abony, was travelling at 13 km/h when stopped, because found that the first switch was misaligned and directed the passenger train away from its intended route onto an occupied track. On the station was signaling failure. 
Biztosítóberendezési hiba miatt a Hívójelzéssel bejáró vonat, a részére helytelenül álló elso váltóra ráhaladt és megállt a foglalt vágányra vezeto második váltó elott</t>
  </si>
  <si>
    <t>Abony</t>
  </si>
  <si>
    <t>Az esemény bekövetkezését a Vb a forgalmi szolgálattevovel kapcsolatos emberi tényezokre vezette vissza, aki _x000D_
a)	tévesen azonosította be a zavarjelzés okát,_x000D_
b)	nem hajtotta végre a váltók ellenorzését, és az állítást megakadályozó kisautomata lekapcsolását a „Hívójelzés” kivezérlése elott. 
The occurrence of the incident is due to the human factors associated with the traffic provider, who_x000D_
(a) misidentified the cause of the malfunction indication,_x000D_
(b) did not carry out a check on the shifters and shut down the small automatic device that prevents the assertion before triggering the "call alert".</t>
  </si>
  <si>
    <t>3.1.2	Közvetett okok_x000D_
A forgalmi szolgálattevo fenti tevékenységére hatással volt, hogy:_x000D_
c)	az idojárási körülmények csökkenthették a koncentrációs képességét,_x000D_
d)	stresszt kellett elviselnie, mert:_x000D_
•	többször kellett a vonatforgalom lebonyolítását átterveznie,_x000D_
•	a biztosítóberendezésen több hiba is jelentkezett._x000D_
e)	a biztosítóberendezésen az 1. sz. váltó kitéro irányú, foglaltságot visszajelento szárcsíkjából az izzó hiányzott._x000D_
_x000D_
3.1.3	Gyökérokok_x000D_
Idoben és térben távol lévo okok, amelyek a rendszer muködésével kapcsolatosak a szabályozási környezetben és a biztonságirányítási rendszerben:_x000D_
f)	A forgalmi szolgálattevok nem rendelkeznek olyan ismeretekkel, amelyek felhasználásával a megnövekedett stresszben is alapos, végiggondolt döntéseket tudnának hozni._x000D_
g)	A biztosítóberendezésen jelentkezo zavarok és hibák elhárítására vonatkozóan gyakorlati oktatásra a kiképzés óta nem került sor. 
Indirect Causes_x000D_
The above activities of the traffic service provider were influenced by:_x000D_
(c) weather conditions may have reduced the ability to concentrate,_x000D_
(d) had to withstand stress because:_x000D_
• had to redesign train operations several times,_x000D_
• several faults in the interlocking device._x000D_
(e) the interlocking device shown in Appendix 1; the bulb was missing from its alternate turn-around, busy streak._x000D_
_x000D_
3.1.3 Root Causes_x000D_
Reasons that are far removed from time and space and are related to the operation of the system in the regulatory environment and in the safety management system:_x000D_
(f) Traffic service providers do not have the knowledge to make sound, well-considered decisions in times of increased stress._x000D_
(g) No practical training has been given since the training in how to deal with malfunctions and faults in the restraint system.</t>
  </si>
  <si>
    <t>CZ-5404</t>
  </si>
  <si>
    <t>Train derailment, 08-08-17, Bohumín-Vrbice station (Czech Republic)</t>
  </si>
  <si>
    <t>The derailment of two rolling stocks during movement of the shunting operation, which went to the signal device Lc98a as the freight train No. 49259.</t>
  </si>
  <si>
    <t>Bohumín-Vrbice station</t>
  </si>
  <si>
    <t>Direct cause:_x000D_
• the derailment of the left wheel (a first axle – a front bogie) of the rolling stock CZ-CDC 31 54 5958 849-9 Eas 107.13 due to unequally loaded cargo and defects in track geometry parameters in the switch No. 606 at Bohumín station (Bohumín-Vrbice district).</t>
  </si>
  <si>
    <t>Underlying causes:_x000D_
• the unequally loaded cargo over the entire loading area of the rolling stock CZ-CDC 31 54 5958 849-9 Eas 107.13 which led to excess of the maximum permissible weight ratio between the left and right wheels of the axles;_x000D_
• the defects in superelevation (PK) and change in cross level – operation limit (ZK) in the switch No. 606 at Bohumín station (Bohumín-Vrbice district)._x000D_
Root causes:_x000D_
• selected method of commodities loading – a powdered iron ore concentrate to the rolling stocks type Eas, which did not allow to check the uniform distribution during and after the loading;_x000D_
• poor quality of the track height position within maintenance works in the switch No. 606 at Bohumín station (Bohumín-Vrbice district), which resulted in increase of defects in track geometry parameters.</t>
  </si>
  <si>
    <t>DK-5689</t>
  </si>
  <si>
    <t>Accident to persons caused by RS in motion, 10-08-17, Tjæreborg (Denmark)</t>
  </si>
  <si>
    <t>Young man was hit by train 3353 at the platform crossing between tracks 1 and track 2. The young man should catch the train 5042 in track 2. The young man
died immediately when hit by the train. 
Ung mand rammes af tog 3353 i perronovergangen mellem spor 1 og spor 2. Den unge mand skulle med tog 5042 i spor 2. Den unge mand
omkommer, umiddelbart efter påkørslen.</t>
  </si>
  <si>
    <t>Tjæreborg</t>
  </si>
  <si>
    <t>It was concluded that the impact was caused by the young man ran into the platform crossing, as he was probably focused on reaching the train in track 2, he overlooked or ignored the alerts from the warning system and either_x000D_
did not see the train from Esbjerg</t>
  </si>
  <si>
    <t>CZ-5405</t>
  </si>
  <si>
    <t>Trains collision with an obstacle, 12-08-17, Open line between Mostek and Bílá TremeÅ¡ná stations (Czech Republic)</t>
  </si>
  <si>
    <t>Collision of long distance passenger train No. 1261 with the obstacle – the fallen tree with the consequent derailment.</t>
  </si>
  <si>
    <t>Open line between Mostek and Bílá TremeÅ¡ná stations</t>
  </si>
  <si>
    <t>Direct cause:_x000D_
• interference with the protection zone of the railway by the fallen tree which grew in the impact distance from the axis of the track line._x000D_
_x000D_
Contributory factors:_x000D_
• the weather conditions – a strong wind;_x000D_
• the inner rot of the tree;_x000D_
• a failure to assess the condition of the trees growing in the railway premises and in the railway protective area in the impact distance from the axis of the track line as the sources of danger to the safe rail system operation and rail transport operation.</t>
  </si>
  <si>
    <t>Underlying cause:_x000D_
• a failure to remove the source of danger – the tree which grew in the railway protective area in the impact distance from the axis of the track line._x000D_
_x000D_
Root cause: none.</t>
  </si>
  <si>
    <t>ES-5435</t>
  </si>
  <si>
    <t>Wrong-side signalling failure, 12-08-17, Puebla de Sanabria station (Spain)</t>
  </si>
  <si>
    <t>Earlier in the morning, there was a energy failure at the station, so it was necessary to operate switches in manual mode. After energy recovery, one of the switches in the main track remained in diverted position, although it appeared as 'direct' at the control centre. At 11:55 a passenger train of Renfe entered the station with green lights and a supposed direct path, but the driver sees that the switch is actually diverted and activates emergency brake. The train passes the switch and is diverted before stopping, barely avoiding derailment. No personal injuries nor material damages.</t>
  </si>
  <si>
    <t>Puebla de Sanabria station</t>
  </si>
  <si>
    <t>The direct cause was a malfunction of safety installations at Puebla de Sanabria station: local and central control desks showed switch #17 as “direct”, when it was actually diverted. This failure was caused by a failure of the diodes that protected the relay that confirmed direct position. This happened after the reboot of the installation, once a previous power failure at the station had been fixed. During the power failure the switch had to be changed manually._x000D_
A contributing factor was the lack of tests before enabling the installation after the fixing of the power failure: although maintenance staff was informed about the manual changes of switches #17 and #19 during the power failure, they didn’t move the switches nor verify them to test the concordance between control desk and on-site switches. Moreover, the responsible for circulation didn’t comply with station’s interlocking instructions, as he didn’t test the switches after reparations.</t>
  </si>
  <si>
    <t>An underlying factor is that the station’s Operation Manual doesn’t include checking the concordance between actual switches position and their representation at central and local control desks, after manual switching. Moreover, there is no evidence of failure tests by the company that modified the station interlocking. These works were not correctly supervised._x000D_
A root cause is the faulty design of the control and checking circuits of switch #17, originated in a technological modification of the original interlocking by 2008. Those modification works didn’t comply with procedures.</t>
  </si>
  <si>
    <t>UK-5467</t>
  </si>
  <si>
    <t>Train derailment, 14-08-17, Ely West Junction (United Kingdom)</t>
  </si>
  <si>
    <t>At around 14:20 hrs on 14 August 2017, a freight train derailed at Ely West Junction, near the town of Ely in Cambridgeshire. The train was travelling from the port of Felixstowe to a terminal at Doncaster and consisted of a diesel locomotive hauling 30 container-carrying wagons. The rear 12 wagons became derailed as the train traversed a set of points which formed part of the junction._x000D_
As a result of the derailment, there was extensive damage to the railway infrastructure. The derailed wagons were also damaged. There were no injuries. The railway was closed to all trains until 03:00 hrs on 21 August 2017.</t>
  </si>
  <si>
    <t>Ely West Junction</t>
  </si>
  <si>
    <t>There was insufficient wheel load on the leading right-hand wheel of wagon 630034 to prevent the wheel lifting onto the railhead as it traversed Ely West Junction</t>
  </si>
  <si>
    <t>Causal factors_x000D_
81 The derailment occurred because the damping on the bogies of wagon 630034 was ineffective (paragraph 46, Recommendation 1). This causal factor arose due to a combination of the following:_x000D_
a. the damping components were managed to maintenance limits which did not account for future wear before the next maintenance intervention (paragraph 56, Learning point 1);_x000D_
b. the maintenance interventions between General Repairs did not identify that the damping system had become ineffective (paragraph 60); and_x000D_
c. the damping components were managed to maintenance limits which were not compatible with the design intent of the damping system (paragraph 65)._x000D_
Underlying factor_x000D_
82 In 2009, GBRf did not appropriately validate its General Repair maintenance specification to ensure continued safe operation up to the next General Repair in 2017. It is probable that this factor was linked to the cause of the accident (paragraph 71, Learning point 2).</t>
  </si>
  <si>
    <t>UK-5468</t>
  </si>
  <si>
    <t>Trains collision, 15-08-17, Waterloo (United Kingdom)</t>
  </si>
  <si>
    <t>At around 05:42 hrs on Tuesday 15 August 2017, a passenger train leaving London Waterloo station travelling at about 11 mph (18 km/h) collided with a stationary train of wagons. There were no injuries, but both trains were damaged and there was serious disruption to train services using the station._x000D_
_x000D_
The passenger train was the 05:40 hrs South West Trains service from Waterloo to Guildford and comprised 10 coaches, a combination of class 455 and class 456 electric units. The wagons were standing on a line adjacent to the intended route of the passenger train and had been provided as a safety barrier separating passenger services from an area where construction work was being undertaken as part of the Waterloo station upgrade project._x000D_
_x000D_
The collision occurred because a set of points were misaligned and directed the passenger train away from its intended route. The misalignment was a consequence of a temporary modification to the points control system which also caused the train driver and signaller to receive indications that the points were correctly aligned.</t>
  </si>
  <si>
    <t>Waterloo</t>
  </si>
  <si>
    <t>The train was signalled to run over a set of points which were in the incorrect position</t>
  </si>
  <si>
    <t>Causal factors_x000D_
192 The causal factors were:_x000D_
a) Uncontrolled wiring was added to points detection circuits, such that the position of 1524 points was incorrectly detected (paragraph 87)._x000D_
b) The uncontrolled wiring was added during testing when the test desk was found to no longer simulate the detection of 1524 points correctly, a consequence of an incomplete design process (paragraph 102). In particular:_x000D_
l the test desk design did not allow for later changes to the interlocking design (paragraph 105, Recommendations 1 and 3, Learning point 1);_x000D_
l the temporary spur wires for the test desk were not shown on the interlocking drawings, an omission which probably led to a lack of recognition that the test desk design needed updating (paragraph 116, Recommendations 1 and 3, Learning point 1); and_x000D_
l no risk assessment was prepared for the temporary spur wiring (paragraph 126, Recommendations 1 and 3, Learning point 1)._x000D_
c) The actions taken to make the test desk simulate the operation of 1524 points correctly were not in line with signalling works testing standard, and uncontrolled wiring was not removed before train services restarted across 1524 points (paragraph 130, Recommendations 1 and 2, Learning point 1)._x000D_
d) The actions of the functional tester were inconsistent with the competence expected of testers (paragraph 145, Recommendations 1 and 2, Learning point 1)._x000D_
e) 1524 points had not been secured in the normal position by disconnecting the points electrically and fitting scotches and padlocked clips, as had been required by the test plan (paragraph 152, Recommendations 1 and 2, Learning points 2 and 3)._x000D_
Underlying factor_x000D_
193 An underlying factor was that OSL, MML and Network Rail competence management processes had not addressed the full requirements of the roles undertaken by the staff responsible for the design, commissioning and testing of the signalling works (paragraph 162, Recommendations 1, 2 and 3, Learning point 1)</t>
  </si>
  <si>
    <t>CZ-5407</t>
  </si>
  <si>
    <t>Train derailment, 16-08-17, Praha-Cakovice station (Czech Republic)</t>
  </si>
  <si>
    <t>Derailment of the regional passenger train No. 9522 due to switching of the switch No. 1 closely in front of the moving train.</t>
  </si>
  <si>
    <t>Praha-Cakovice station</t>
  </si>
  <si>
    <t>Direct cause:_x000D_
• unauthorized switching of the switch No. 1 closely in front of the moving regional passenger train No. 9522.</t>
  </si>
  <si>
    <t>Underlying cause:_x000D_
• failure to observe the technological procedures of the IM during manipulation with the switch No. 1._x000D_
Root cause: none.</t>
  </si>
  <si>
    <t>HU-5406</t>
  </si>
  <si>
    <t>Train derailment, 16-08-17, Haller utca (Hungary)</t>
  </si>
  <si>
    <t>The tram has derailed on a temporary s&amp;c.</t>
  </si>
  <si>
    <t>Haller utca</t>
  </si>
  <si>
    <t>Track failure and high speed</t>
  </si>
  <si>
    <t>CZ-5409</t>
  </si>
  <si>
    <t>Level crossing accident, 18-08-17, open line between BaÅ¡ka and Frýdlant nad Ostravicí stations (Czech Republic)</t>
  </si>
  <si>
    <t>Collision of regional passenger train No. 3130 with a car at level crossing No. 7385</t>
  </si>
  <si>
    <t>open line between BaÅ¡ka and Frýdlant nad Ostravicí stations</t>
  </si>
  <si>
    <t>Underlying causes:_x000D_
• driver's failure to respect the light and acoustic warnings and driving at the level crossing at the time when it was forbidden;_x000D_
• driver’s behavior in front of the level crossing, the car driver was not careful enough._x000D_
Root cause: none.</t>
  </si>
  <si>
    <t>CZ-5410</t>
  </si>
  <si>
    <t>Level crossing accident, 18-08-17, Olbramkostel station (Czech Republic)</t>
  </si>
  <si>
    <t>Collision of the passenger train No. 24811 with the car at the level crossing.</t>
  </si>
  <si>
    <t>Olbramkostel station</t>
  </si>
  <si>
    <t>Direct cause:_x000D_
• standing of the car at the dangerous area of the level crossing at the time of movement of the train.</t>
  </si>
  <si>
    <t>Underlying cause: none._x000D_
Root cause: none.</t>
  </si>
  <si>
    <t>FR-5502</t>
  </si>
  <si>
    <t>Wrong-side signalling failure, 18-08-17, Ensues-la-Redonne (France)</t>
  </si>
  <si>
    <t>Catching up of two regional express trains without collision._x000D_
A regional express train was travelling at a speed of 75 km/h. The driver saw a train stopped not fare ahead. He applied an emergency braking. The train stopped closed to the catched up train, avoiding a collision._x000D_
The signalisation, of type partly permissive automatic block, was on "line clear" for the express train. It was in malfunctiun for the previous trains, which were authorised to pass the signal at"danger", with prudent and low speed.</t>
  </si>
  <si>
    <t>Ensues-la-Redonne</t>
  </si>
  <si>
    <t>The cause of this incident is the non-compliance by the traffic controler of the procedure which consists, in a situation of disturbance of the train spacing system, to ensure that the block section is free from all traffic before allowing a_x000D_
train driver to use the reset preparation system of the axles counter and to cross a signal with the indication "semaphore"._x000D_
The failure to comply with the procedure allowed two trains to enter the same block section while the system counted only one of them.</t>
  </si>
  <si>
    <t>Organizational and human factors that have contributed to this error are :_x000D_
- a lack of tool for visualizing the positioning of trains, to obtain the assurance that trains have cleared the block section, and a safety instruction whose terms may be confusing and contradictory ;_x000D_
- a lack of knowledge of the operation of the device for rearm axle counter ;_x000D_
- difficult handling of an incident in a fast sequence configuration of events including the half-hour timing of trains with the same number of axles.</t>
  </si>
  <si>
    <t>ES-5441</t>
  </si>
  <si>
    <t>Spad, 21-08-17, Lleida-Pirineus station (Spain)</t>
  </si>
  <si>
    <t>A freight train of the RU Transitia Rail, that was approaching the station, passes without authorization an entrance signal, invading the itinerary of a departing passenger train. Both trains stop and the first one returns back to the passed signal. No injuries nor material damages.</t>
  </si>
  <si>
    <t>Lleida-Pirineus station</t>
  </si>
  <si>
    <t>Spain; 
RENFE-Operadora</t>
  </si>
  <si>
    <t>The incident was caused because the driver didn’t comply with the entrance signal, that was ordering a stop._x000D_
Contributing factors were: 1, lack of attention; 2, the RU gave to the driver incomplete information about driving conditions; 3, the provisional telephonic block (that was backing-up a block failure) had been established for too long.</t>
  </si>
  <si>
    <t>As underlying cause, the RU had not taken any action with this driver, who had made several SPADs before._x000D_
Following this, there is a root cause in the RU’s SMS, related with a poor tracking of drivers’ performance and a poor communication of working documents by company managers.</t>
  </si>
  <si>
    <t>HU-5419</t>
  </si>
  <si>
    <t>Spad, 21-08-17, Bükkösd (Hungary)</t>
  </si>
  <si>
    <t>The freight tain arriving on the station did not stop at the signal Danger! standind at the and of the track, move away it with about 250 meters 
Az állomsára behaladó tehervonat nem állt meg a megállj!-állású kijárati jelzonél, és azt 250 méterrel meghaladta.</t>
  </si>
  <si>
    <t>Bükkösd</t>
  </si>
  <si>
    <t>a)	A vonat eloírt helyen történo megállításához a fékhatás kevés volt._x000D_
b)	A szerelvény légfék rendszere nem volt összekapcsolva a mozdonyok fékrendszerével._x000D_
c)	A vonatszemélyzet nem észlelte a hibát. 
(a) The braking performance was low in order to stop the train at the required location. _x000D_
(b) The air brake system of the assembly was not connected to the braking system of the locomotives.  _x000D_
(c) The failure has not been detected by the train crew.</t>
  </si>
  <si>
    <t>Közvetett okok_x000D_
Az eseményre ható közvetett okok:_x000D_
a)	A vonatszemélyzet nem tartott fékpróbát;_x000D_
b)	A hasonló munkavégzés rendszeres volt, azt mindenki elfogadta._x000D_
	Gyökérokok_x000D_
Idoben és térben távol lévo okok, amelyek a rendszer muködésével kapcsolatosak a szabályozási környezetben és a biztonságirányítási rendszerben:_x000D_
a)	A vasúti vállalatnál a biztonsági kultúra szintje rendkívül alacsony. 
Indirect causes_x000D_
Indirect causes of the event:_x000D_
(a) The train crew did not carry a brake test;_x000D_
(b) Similar work was regular and accepted by all._x000D_
	Roots_x000D_
Reasons which are remote in time and space and which relate to the operation of the system in the regulatory environment and in the safety management system:_x000D_
a) The level of safety culture in the railway undertaking is extremely low.</t>
  </si>
  <si>
    <t>HU-5427</t>
  </si>
  <si>
    <t>Spad, 21-08-17, Hegyeshalom (Hungary)</t>
  </si>
  <si>
    <t>The freight train No. 44386 arriving to Hegyeshalom did not stopped at the specified point, moved further 67 m, and  switched the point No. 447 by its wheels. 
Hegyeshalom állomás IX számú vágányra bejáró 44386 számú vonat nem állt meg a biztonsági határjelzonél és a vágányról 61 méterrel kihaladva a 447 számú váltót felvágva állt meg.</t>
  </si>
  <si>
    <t>Hegyeshalom</t>
  </si>
  <si>
    <t>a)	az idoben megkezdett fékezéshez kivezérelt fékero nem volt elegendo a vonat megállításához, mert_x000D_
b)	a mozdonyvezeto nem zárta vissza „0”-fokozatba a mozdony menetvezérlojét és az vontatási utasítást adott. 
(a) the braking force applied to the braking commenced in time was not sufficient to stop the train because_x000D_
(b) the driver has not deactivated the train driver to grade '0' and has has given traction instructions.</t>
  </si>
  <si>
    <t>Közvetett okok_x000D_
Az eseményre közvetetten ható tényezo az alábbi volt:_x000D_
c)	a mozdonyvezeto nem ismerte fel a kezeloszervek nem megfelelo állását._x000D_
	Gyökérokok_x000D_
Az esemény gyökéroka az volt, hogy:_x000D_
d)	a mozdonyvezeto fáradtsági szintje, annak ellenére, hogy ezt nem ismerte fel, elérte a hibázási lehetoség szintjét. 
Indirect causes_x000D_
The factor indirectly affecting the event was:_x000D_
(c) the driver has not recognised the incorrect position of the controls._x000D_
	Root causes_x000D_
The root cause of the event was:_x000D_
(d) the driver's level of fatigue, despite not recognising this, has reached the level of error.</t>
  </si>
  <si>
    <t>AT-5425</t>
  </si>
  <si>
    <t>Trains collision, 23-08-17, Linz Verschiebebahnhof (Austria)</t>
  </si>
  <si>
    <t>Z 61004 drove on track 398 in direction Voestalpine Linz. Z 97209 drove in the opposite direction on track 396. The train 97209 passed a stop signal which caused a collision of the two trains on the switch 204. Both Trains deraild. One person was severely injured and four persons were slightly injured. There was considerable material damage to vehicles and infrastructure. 
Z 61004 fuhr auf Gleis 398 in Richtung Voestalpine Linz. Z 97209 fuhr in entgegengesetzter Richtung auf Gleis 396. Der Zug 97209 überfuhr ein haltzeigendes Schutzsignal wodurch es auf der Weiche 204 zu einer Kollision der beiden Züge kam. Beide Züge entgleisten. _x000D_
Es wurden eine Person schwer und vier Personen leicht verletzt. Es entstand erheblicher Sachschaden an Fahrzeugen und Infrastruktur</t>
  </si>
  <si>
    <t>Rail Cargo Austria AG; 
WESTbahn Management GmbH</t>
  </si>
  <si>
    <t>CZ-5412</t>
  </si>
  <si>
    <t>Level crossing accident, 25-08-17, open line between Mackov and Sedlice railway stop, level crossing P1361 (Czech Republic)</t>
  </si>
  <si>
    <t>Collision of the regional passenger train No. 17911 with the tractor with consequent derailment.</t>
  </si>
  <si>
    <t>open line between Mackov and Sedlice railway stop, level crossing P1361</t>
  </si>
  <si>
    <t>Direct cause:_x000D_
• level crossing visibility conditions from the direction of the train ride from Sedlice operation control point and from the direction of road vehicles ride from village Nemcice did not allow for the driver of the tractor to leave the dangerous zone of the level crossing in time._x000D_
Contributory factor:_x000D_
• the train driver of the train No. 17911 did not give the prescribed repeating acoustic signal "Caution", while driving to the level crossing No. P1361 from the warning signal device "Whistle board". This signal was given by the train driver after seeing the tractor at the level crossing.</t>
  </si>
  <si>
    <t>Underlying cause: none._x000D_
Root cause:_x000D_
• internal regulation of the infrastructure manager No. SŽDC (CSD) S 4/3, which allow reduce visibility conditions only to half the prescribed values.</t>
  </si>
  <si>
    <t>HU-5411</t>
  </si>
  <si>
    <t>Spad, 25-08-17, Békéscsaba (Hungary)</t>
  </si>
  <si>
    <t>The train passed the signal at danger.</t>
  </si>
  <si>
    <t>Human factor of driver and signaller</t>
  </si>
  <si>
    <t>CZ-5413</t>
  </si>
  <si>
    <t>Trains collision with an obstacle, 27-08-17, open line between Volyne and Ckyne operational control points, in the area of level crossing No. 964, km 12,623. (Czech Republic)</t>
  </si>
  <si>
    <t>Collision of regional passenger train No. 18110 with an obstacle (alluvial soil) with consequent derailment of the train.</t>
  </si>
  <si>
    <t>open line between Volyne and Ckyne operational control points, in the area of level crossing No. 964, km 12,623.</t>
  </si>
  <si>
    <t>Direct cause:_x000D_
• deposit of soil from an adjacent slope on the running track._x000D_
_x000D_
Contributory factor: none.</t>
  </si>
  <si>
    <t>Underlying cause:_x000D_
• strongly unfavorable climatic conditions – extreme flood rain of the catastrophic drift category._x000D_
_x000D_
Root cause: none.</t>
  </si>
  <si>
    <t>PL-5422</t>
  </si>
  <si>
    <t>Trains collision, 30-08-17, Smetowo (Poland)</t>
  </si>
  <si>
    <t>The freight train No TMS564024 ignored stop signal (SPAD)  displayed for the train at the track No 32 of the station Smetowo and came on the way prepared for the passenger train no MPE54710 as the consequence of which was _x000D_
side collision of the passenger train and the freight train.  The freight train has came on the track No 2 just before the passenger train and it caused the side collision and derailment of the electric locomotive EP07 and 7 passenger wagons.</t>
  </si>
  <si>
    <t>Smetowo</t>
  </si>
  <si>
    <t>STK S.A.; 
PKP Intercity S.A.</t>
  </si>
  <si>
    <t>The freight train TMS 564024 failed to stop before the L2 signposting semaphore, giving the signal S1 "STOP" and entered the intersection No. 24, which was in the way of the train no. MPE 54170.</t>
  </si>
  <si>
    <t>Primary causes_x000D_
Driver's insufficient observation of the route of the TMS 564024 train while driving on the secondary main track No. 32 in the Smetowo station, resulting in driver's lack of reaction to the transmitted "Stop" signal on the L2 semaphore, resulting in entry into gauge track No. 2 at the No. 24 intersection. _x000D_
_x000D_
Indirect causes_x000D_
Switching off the train's SHP and CA alertness devices on the S200-303 locomotive; by closing the pneumatic valves of these devices in the pneumatic cabinet of the locomotive, which significantly contributed to reducing the driver's vigilance while driving the train. _x000D_
_x000D_
Systemic causes_x000D_
Failure to assess and evaluate risk in the Safety Management System_x000D_
in the scope of the safety routes used after the speed increase to 120 km / h through the station on the main primary tracks, in the situation where switches No. 24 and 25 take part_x000D_
in the course of z231 and z232, which are located in sections of the safety road, and are not dependent on these tracks. The internal regulations of the manager do not specify such situations, in particular when using a multi-block automatic line blockade on adjacent routes.</t>
  </si>
  <si>
    <t>CZ-5420</t>
  </si>
  <si>
    <t>Train derailment, 31-08-17, Bludov station, switch No. 2 (Czech Republic)</t>
  </si>
  <si>
    <t>Unauthorized movement of the freight train No. 81300 behind the signal device S90P with consequent derailment of locomotive.</t>
  </si>
  <si>
    <t>Bludov station, switch No. 2</t>
  </si>
  <si>
    <t>Direct cause:_x000D_
•operational error of the freight train No. 81300 driver (he did not respect the signal “Stop” of the route signal SP90 at Bludov station)._x000D_
_x000D_
Contributory factor:_x000D_
•absence of technical equipment which prevents a train from passing a signal in case of danger.</t>
  </si>
  <si>
    <t>Underlying cause:_x000D_
•the way of movement of the train chosen by the train driver, which did not allow to stop the train safely in front of the signal device prohibiting its movement._x000D_
_x000D_
Root cause:none.</t>
  </si>
  <si>
    <t>RO-5421</t>
  </si>
  <si>
    <t>Train derailment, 02-09-17, Baile Tusnad (Romania)</t>
  </si>
  <si>
    <t>the second bogie from the electric locomotive no. EA 078, that hauled the passenger train no. 1366-1 derailed on the switch no.1 from the Baile Tusnad railway station station</t>
  </si>
  <si>
    <t>Baile Tusnad</t>
  </si>
  <si>
    <t>Cauza directa si factorii care au contribuit_x000D_
Cauza directa a producerii accidentului feroviar este eroarea operatorului uman care desfa?oara opera?iuni în legatura cu circula?ia trenurilor, manifestata prin manevrarea macazului nr.1/3, în timp ce peste acesta se desfa?ura un parcurs de circula?ie a trenului de calatori IR nr.1366-1._x000D_
Comisia de investigare a identificat urmatorii factori care au contribuit la producerea accidentului feroviar:_x000D_
-	desfa?urarea activita?ii de exploatare cu ajutorul unui sistem de circula?ie a caror condi?ii de siguran?a a circula?iei au fost preluate de operatorul uman care desfa?oara opera?iuni în legatura cu circula?ia trenurilor („în baza indica?iei de chemare a semnalului de intrare”), ca urmare a necesita?ii schimbarii sistemului normal de circula?ie în exploatarea trenurilor;_x000D_
-	organizarea activita?ii de exploatare la ora de predare a serviciului în sta?ie care nu asigura suficienta rezerva de timp pentru predarea/primirea serviciului ?i plecarea catre domiciliu a operatorilor umani. 
Direct cause and contributing factors_x000D_
The direct cause of the accident is the mistake of the operator in charge with train running operations, consisting in the operation of the switch no.1/3, during the passing over of the passenger train IR no. 1366-1._x000D_
The investigation commission identified the next factors contributing the accident occurrence:_x000D_
-	carrying of the operation activities with the support of a running system whose traffic safety conditions were taken over by the human operator in charge with train running operations („upon the calling-on position of the entry signal”), following the need to change the common running system during the train movement;_x000D_
-	organization of the operation activities at the duty delivery hour in the railway station, that does not assure the necessary time for delivery/taking over the duty and the leaving of the human operators for home_x000D_
Underlying causes _x000D_
?	infringement of the provisions of art.84, paragraph (3) from the manual for the operation  of the interlocking system (Instruction for the operation of the interlocking system type CR2 Domino and of the afferent equipments BLSAR and SAT) from the railway station Baile Tusnad, that prohibits the operation of switches from a train path, made upon the “calling-one” position of the entry signal ;_x000D_
?	infringement of the sheet no.11 from the Operation Technical Plan, that is the human operator did not ensure himself about the train stabling.</t>
  </si>
  <si>
    <t>Cauze subiacente _x000D_
?	nerespectarea prevederilor de la art.84, alin.(3) din manualul de operare a instala?iei sistemului centralizat cu comenzi în bloc (Instructia de manipulare a instalatiei de centralizare electrodinamica de tip CR2 Domino si a instalatiilor BLSAR si SAT aferente) din HM Baile Tusnad, care precizeaza interzicerea manevrarii macazurilor incluse într-un parcurs de circula?ie a unui tren care este efectuat în baza indica?iei „de chemare” a semnalului de intrare;_x000D_
?	nerespectarea fisei nr.11 din Planul Tehnic de Exploatare în sensul ca operatorul uman nu s-a convins personal pe teren referitor la gararea trenului._x000D_
Cauze primare_x000D_
?	nu au fost identificate. 
Underlying causes _x000D_
?	infringement of the provisions of art.84, paragraph (3) from the manual for the operation  of the interlocking system (Instruction for the operation of the interlocking system type CR2 Domino and of the afferent equipments BLSAR and SAT) from the railway station Baile Tusnad, that prohibits the operation of switches from a train path, made upon the “calling-one” position of the entry signal ;_x000D_
?	infringement of the sheet no.11 from the Operation Technical Plan, that is the human operator did not ensure himself about the train stabling._x000D_
Root causes_x000D_
?	none.</t>
  </si>
  <si>
    <t>HU-5560</t>
  </si>
  <si>
    <t>Spad, 05-09-17, Délegyháza (Hungary)</t>
  </si>
  <si>
    <t>Freight train Nr. 45296-1 passed a signal at danger,  Délegyháza station. Train driver did not applied the brake of the train in time and was not able to stop before the sign with his train. 
Délegyháza állomáson a 45295-1 sz. vonat engedély nélkül meghaladta a Megállj! állású kijárati jelzot.</t>
  </si>
  <si>
    <t>a)	a mozdonyvezeto úgy érkezett az állomásra a vonatával, hogy nem készült fel a megállásra,_x000D_
b)	a bejárati jelzon kapott jelzés megfigyelését a napsütés nehezítette, annak jelentése nem tudatosult benne és a menetrendnek megfeleloen próbált áthaladni az állomáson,_x000D_
c)	a kijárati jelzohöz közelítve a vonatbefolyásoló berendezés surített éberségi felhívást adott, a mozdonyvezetoben ekkor tudatosult, hogy Megállj! állású jelzo felé közeledik, de az ekkor alkalmazott gyorsfékezés már nem volt elegendo a vonat idobeni megállítására. 
(a) the driver arrived at the station with his train without being prepared to stop,_x000D_
(b) the observation of the signal on the entrance marker was made difficult by the sun, its meaning was not known and it tried to pass through the station as scheduled,_x000D_
(c) approaching the exit indicator, the train control device issued a compressed call for vigilance, at which point the driver became aware that Stop! signalled, but the quick braking applied at that time was no longer sufficient to stop the train in time.</t>
  </si>
  <si>
    <t>Az állomáson az EVM-120 berendezés megfelelo muködtetéséhez szükséges hosszban nincs kiépítve a jelfeladás, így a berendezés idobeni beavatkozásához szükséges úthossz nem állt rendelkezésre, ezért a vonat eleje a „K3” jelu Megállj!- állású kijárati jelzo mellett 47 km/h sebességgel haladt el úgy, hogy a mozdonyvezeto az elso surített éberségi felhívást követoen gyorsfékezett. 
The station did not have the signal transmission at the length required for proper operation of the EVM-120, so the time required for the timely intervention of the equipment was not available, so the front of the train passed at a speed of 47 km/h next to the stop exit indicator 'K3' so that the driver braked quickly after the first alert call.</t>
  </si>
  <si>
    <t>CZ-5424</t>
  </si>
  <si>
    <t>Accident to persons caused by RS in motion, 06-09-17, open line between Jaromer and Ceská Skalice stations (Czech Republic)</t>
  </si>
  <si>
    <t>The collision of the long distance passenger train No. 925 with the external worker.</t>
  </si>
  <si>
    <t>open line between Jaromer and Ceská Skalice stations</t>
  </si>
  <si>
    <t>Direct cause:_x000D_
• unauthorized entrance of the external worker into the structure gauge of the open line track while the train was moving._x000D_
_x000D_
Contributory factor: none.</t>
  </si>
  <si>
    <t>Underlying cause:_x000D_
• inattention of the external worker when he left a work place due to a phone call._x000D_
_x000D_
Root cause: none.</t>
  </si>
  <si>
    <t>CZ-5423</t>
  </si>
  <si>
    <t>Train derailment, 11-09-17, Vlecka prístav Prosmyky siding (Czech Republic)</t>
  </si>
  <si>
    <t>The runaway of the rolling stocks with their consequent derailment through the sleeper and collision with the crane.</t>
  </si>
  <si>
    <t>Vlecka prístav Prosmyky siding</t>
  </si>
  <si>
    <t>LTE Logistik a transport Czechia s.r.o.</t>
  </si>
  <si>
    <t>Raeder &amp; Falge s.r.o.</t>
  </si>
  <si>
    <t>Direct cause:_x000D_
•insufficient securing of the detached rolling stocks against runaway by the qualified person._x000D_
_x000D_
Contributory factor:_x000D_
•arbitrary execution of the tasks by the person without professional competence</t>
  </si>
  <si>
    <t>Underlying cause:_x000D_
•failure to comply with the specified technological procedures of the IM for securing the detached rolling stocks against runaway._x000D_
_x000D_
Root cause: none.</t>
  </si>
  <si>
    <t>IT-5439</t>
  </si>
  <si>
    <t>Trains collision near miss, 11-09-17, Ceglie Messapica (Italy)</t>
  </si>
  <si>
    <t>Train collision near miss between regional trains</t>
  </si>
  <si>
    <t>Ceglie Messapica</t>
  </si>
  <si>
    <t>(a) the seriousness of the accident or incident; 
in light of Article 19 §2 of SD"</t>
  </si>
  <si>
    <t>Contemporanea occupazione della tratta tra Ceglie Messapica e Francavilla Fontana da parte dei treni TVAT 260 e TVAT 269, dovuta a una non corretta gestione del traffico da parte del regolatore della circolazione. 
Contemporary occupation of the section between Ceglie Messapica and Francavilla Fontana by the TVAT 260 and TVAT 269 trains, due to improper traffic management by the traffic regulator.</t>
  </si>
  <si>
    <t>Condizioni di lavoro del Dirigente Centrale Operativo e influenza del fattore umano sul livello di gestione della sicurezza del regime di blocco, utilizzato in condizioni degradate 
Working conditions of the Central Operating Officer and influence of the human factor on the level of safety management of the blocking regime, used in degraded conditions</t>
  </si>
  <si>
    <t>CZ-5426</t>
  </si>
  <si>
    <t>Other event, 12-09-17, Beroun station (Czech Republic)</t>
  </si>
  <si>
    <t>Overburning of the overhead contact line over the standing rolling stocks at Beroun station</t>
  </si>
  <si>
    <t>Beroun station</t>
  </si>
  <si>
    <t>Direct cause:_x000D_
• overburning of the overhead contact line caused by its heating when the traction current passed in contact with the contact strip of the contact strip collector._x000D_
_x000D_
Contributory factors:_x000D_
• separation of the overhead contact line into more separately switchable section due to construction works at Beroun station and also reducing of load capacity of the overhead contact line over the station lines;_x000D_
• uncompleted current interconnection between the 3rd and 5th station lines of Beroun station;_x000D_
• inadequate (galvanic) interconnection of the newly inserted switches which connect the circuit of the classification yard and the passenger station of Beroun station;_x000D_
• substitute interconnection of the removed rails on the line No. 95s and the station lines No. 213 - 219 made per ropes with insufficient cross-section;_x000D_
• technical defect of the expanding section insulator No. ÚPD 13v in km 38,455.</t>
  </si>
  <si>
    <t>Underlying cause:_x000D_
• reducing of current load capacity of the overhead contact line over the station lines of the odd group of the circuit of the passenger station._x000D_
Root cause: none.</t>
  </si>
  <si>
    <t>HU-5429</t>
  </si>
  <si>
    <t>Train derailment, 13-09-17, Vép (Hungary)</t>
  </si>
  <si>
    <t>A freight train (cargo: diesel fuel) derailed at Vép station, two wagons overturned, a significant amount of diesel fuel spilled. 
Az állomásra behaladó gázolajat szállító tehervonat 5 kocsija kisiklott, ketto felborult, jelentos mennyiségu gázolaj kifolyt.</t>
  </si>
  <si>
    <t>Vép</t>
  </si>
  <si>
    <t>IE-5452</t>
  </si>
  <si>
    <t>Train derailment, 13-09-17, Dun Laoghaire (Ireland)</t>
  </si>
  <si>
    <t>Derailment at Dun Laoghaire 13/09/2017</t>
  </si>
  <si>
    <t>Dun Laoghaire</t>
  </si>
  <si>
    <t>The immediate cause of the derailment was as a result of Train E222 travelling over failed Points DL115 which had been incorrectly secured by the Points Operator by leaving a gap between the stock and switch rails</t>
  </si>
  <si>
    <t>The underlying causes associated with the accident were:_x000D_
•	Deficiencies in the training records, continuous assessment and performance records of points operators resulted in the Points Operator not having sufficient knowledge, competency or practical experience in order to carry out his duties;_x000D_
•	The derogation to extend workplace development events for the assessment of points operators from six months to twelve months resulted in the Points Operator not being re-assessed after being passed competent at the time of the accident._x000D_
_x000D_
A root cause associated with this accident is:_x000D_
•	Standard, IM-SMS-027, ‘Derogation from Safety Management System’ was drafted without following the principles of IM-SMS-014, ‘Safety approval of changes in Plant, Equipment, Infrastructure and Operations (PEIO)’ resulting in a derogation to standard IMO-SMS-  031, ‘Competence Management – Person required to conduct IM operating duties’ being authorised without carrying out a risk assessment or involving all of the stakeholders to assess the effects of any changes.</t>
  </si>
  <si>
    <t>RO-5430</t>
  </si>
  <si>
    <t>Train derailment, 14-09-17, Capu Midia (Romania)</t>
  </si>
  <si>
    <t>the 31 st wagon from the freight train no. 80464 derailed in the railway station Capu Midia</t>
  </si>
  <si>
    <t>Capu Midia</t>
  </si>
  <si>
    <t>Direct cause _x000D_
The direct cause of the accident is the fall between the rails of the right wheels from the second bogie of the wagon no. 33537963303-5, being the 31st wagon of the freight train no.80464. It happened in the conditions of the increase of the gauge value over the maximum accepted value, following the lateral diplacement of the exterior rail of the curve, under the action of the dynamic forcesa transmitted  to the track by the rolling stock in running._x000D_
_x000D_
Contributing factors_x000D_
- unsuitable technical condition of the wooden sleepers in the point „0”, that did not alow the fastening of the coach screws for the fixing of the metallic plates, so under the action of the dynamic forces transmitted to the rails by the wheels of the rolling stock, the gauge value increased over the maximum accepted value of 1470 mm; _x000D_
- unsuitable technical condition of the exterior rails of the curve in the point „0”, that had wears on the lateral active surface of the rail head over the accepted wear limits, so leading to the increase of the track gauge; 
Cauza directa_x000D_
Cauza directa a producerii accidentului feroviar o constituie caderea între firele caii a ro?ilor din partea dreapta a celui de al 2-lea boghiu de la vagonul nr. 33537963303-5, al 31-lea din compunerea trenului de marfa nr.80464. Acest lucru s-a produs în conditiile cre?terii valorii ecartamentului caii peste valoarea maxima admisa ca urmare a deplasarii laterale a ?inei de pe firul exterior al curbei sub ac?iunea for?elor dinamice transmise caii de catre materialul rulant în mi?care._x000D_
Factori care au contribuit_x000D_
- starea tehnica necorespunzatoare a traverselor de lemn din zona punctului „0”, care nu au permis strângerea tirfoanelor pentru fixarea placilor metalice, astfel încât sub ac?iunea for?elor dinamice transmise ?inelor de rotile materialului rulant, valoarea ecartamentului a crescut peste valoarea maxima admisa de 1470 mm; _x000D_
- starea tehnica necorespunzatoare a ?inelor de pe firul exterior al curbei din zona punctului „0”, care prezentau uzuri ale suprafe?ei laterale active a ciupercii ?inelor peste limita uzurilor admise, contribuind astfel, la cre?terea valorii ecartamentului caii;</t>
  </si>
  <si>
    <t>Underlying causes _x000D_
- infringement of the provisions of art.25, paragraphs (2) and (4) from „Instruction of norms and tolerances for the track construction and maintenance, for lines with standard gauge no.314/1989”, concerning the failures that impose the replacement of the wooden sleepers and non-keeping of the unsuitable sleepers; _x000D_
       - infringement of the provisions of art.21.2 from  „Instruction of norms and tolerances for the track construction and maintenance, for lines with standard gauge no.314/1989”, concerning the non-keeping within the track of rails with wears over the maximum accepted ones;_x000D_
_x000D_
Root cause_x000D_
The root cause of the accident is the non-application of the provisions of System Procedure code PS-36 - „Clear definition of the duties afferent to safety and their assignment to the staff with adequate competences”, paragraph  5.3, point 2,  concerning the use for safety jobs only authorized employees, medical and psychological able. This procedure is part of the safety management system S.C. Grup Feroviar Român SA, but when the accident happened, the Line District Navodari used  unauthorized staff  for gang foreman job. 
Cauze subiacente _x000D_
- nerespectarea prevederilor art.25, alin.(2) ?i (4) din „Instruc?ia de norme ?i toleran?e pentru construc?ia ?i între?inerea caii pentru linii cu ecartament normal nr.314/1989”, referitoare la defectele _x000D_
care impun înlocuirea traverselor de lemn ?i la neadmiterea men?inerii în cale a traverselor necorespunzatoare; _x000D_
       - nerespectarea prevederilor art.21.2 din „Instruc?ia de norme ?i toleran?e pentru construc?ia ?i între?inerea caii pentru linii cu ecartament normal nr.314/1989”, referitoare la neadmiterea men?inerii în cale a sinelor care prezinta uzuri mai mari decât cele maxime admise;_x000D_
_x000D_
Cauza primara_x000D_
Cauza primara a accidentului o constituie neaplicarea prevederilor procedurii de sistem cod PS-36 - „Definirea clara a sarcinilor legate de siguran?a ?i delegarea lor personalului cu competen?e adecvate”, paragraful 5.3, alin.2,  referitoare la utilizarea în func?iile cu responsabilita?i în siguran?a pe calea ferata numai a personalului autorizat, apt din punct de vedere medical ?i psihologic. Aceasta procedura este parte a sistemului de management al siguran?ei S.C. Grup Feroviar Român SA, dar la data producerii accidentului, Districtul de Linii Navodari utiliza personal neautorizat pentru exercitarea atribu?iilor de ?ef de echipa.</t>
  </si>
  <si>
    <t>DE-5428</t>
  </si>
  <si>
    <t>Trains collision, 18-09-17, Augsburg Hbf (Germany)</t>
  </si>
  <si>
    <t>Eine Rangierfahrt kollidiert beim Umsetzen von Gleis 7 Nord über Gleis 670 in Richtung Gleis 2 auf der Weiche 659 des Gleises 670 seitlich mit der nach Augsburg_x000D_
Hbf einfahrenden Regionalbahn BRB 86523. 
A shunting movement collided when changing from track 7 North over track 670 in the direction of track 2 on switch 659 of track 670 laterally with regional train BRB 86523 which was entering the main railway station Augsburg.</t>
  </si>
  <si>
    <t>Augsburg Hbf</t>
  </si>
  <si>
    <t>Bayerische Regiobahn GmbH; 
DB Regio AG</t>
  </si>
  <si>
    <t>Das Ereignis ist auf eine unzulässige Fahrt einer Rangiereinheit in die Fahrstraße eines einfahrenden_x000D_
Zuges zurückzuführen._x000D_
Der an der Spitze der Rangierfahrt befindliche Rangierbegleiter (Rb) hat nach einem Fahrtrichtungswechsel_x000D_
das für die Rangierfahrt maßgebliche und haltzeigende Lichtsperrsignal_x000D_
(Ls) 660I von seiner Position im Führerstand des Steuerwagens nicht wahrgenommen._x000D_
Stattdessen hat er das nächstfolgende Ls 659 beobachtet. Nach dem Wechsel des Signalbegriffs_x000D_
des Ls 659 auf Signal Sh1 (Fahrverbot aufgehoben nach Ril 301) für die Zugfahrt_x000D_
BRB 86523 interpretiert der Rb dies fälschlich als Zustimmung des Weichenwärters für die_x000D_
Rangierfahrt. Daraufhin erteilt der Rb dem Tf den Fahrauftrag. 
This incident was due to an unauthorised movement of a shunting unit into the driveway of an incoming passenger train._x000D_
After a change of direction, the shunting supporter at the top of the shunting operation did not respect the relevant and stopping light-lock signal 660I for the shunting operation from his position in the driver’s cab of the driving vehicle._x000D_
Instead, he observed the subsequent Ls 659. After the change of the signal concept of the Ls 659 on signal Sh1 (prohibition lifted based on Directive 301) for the train movement BRB 86523 wrongly interprets this as an agreement of the switchholder for the shunting. The shunting staff then issued a driving order to the traffic controller.</t>
  </si>
  <si>
    <t>CZ-5431</t>
  </si>
  <si>
    <t>Level crossing accident, 20-09-17, open line between Bystrovany - Olomouc hl. n. stations (Czech Republic)</t>
  </si>
  <si>
    <t>Collision of regional passenger train No. 3530 with a lorry at level crossing No. P7519</t>
  </si>
  <si>
    <t>open line between Bystrovany - Olomouc hl. n. stations</t>
  </si>
  <si>
    <t>Underlying causes:_x000D_
• driver's failure to respect of the light and sound warning and ride at the level crossing at the time when it was forbidden;_x000D_
• behavior of the driver in front of the level crossing, the car driver wasn't careful enough._x000D_
Root cause: none.</t>
  </si>
  <si>
    <t>BE-5444</t>
  </si>
  <si>
    <t>Accident to persons caused by RS in motion, 21-09-17, Oostende (Belgium)</t>
  </si>
  <si>
    <t>aanrijding van een werknemer in opleiding van een aannemingsbedrijf in de sporen 
Collision of a trainee of a contracting company in the tracks</t>
  </si>
  <si>
    <t>Oostende</t>
  </si>
  <si>
    <t>De directe oorzaak van het ongeval is het uitvoeren van werkzaamheden door personeel van de aannemer buiten de geplande werkuren, op een spoor in dienst, zonder voorafgaandelijke toelating en de voorziene veiligheidsmaatregelen zijn op dat ogenblik dus nog niet van toepassing. 
The direct cause of the accident is the execution of work by the contractor's staff outside the planned working hours, on a track in service, without prior authorisation and the foreseen security measures were therefore not applied</t>
  </si>
  <si>
    <t>Volgens de weerhouden hypothese is de indirecte factor van het ongeval het onderschatten door de werfleider van het gevaar dat uitgaat van het niet tijdig horen en zien van een aankomende trein en het gevaar dat uitgaat van het niet tijdig gezien worden door de treinbestuurder van een aankomende trein. 
According to the hypothesis put forward, the indirect factor of the accident is the underestimation by the person in charge of the site of the danger represented by the insufficient hearing and vision of a train on arrival and the danger posed by not being seen in time by the train driver of an arriving train.</t>
  </si>
  <si>
    <t>FI-5532</t>
  </si>
  <si>
    <t>Trains collision with an obstacle, 21-09-17, Kouvola marshalling yard (Finland)</t>
  </si>
  <si>
    <t>Collision – A shunting locomotive with 6 wagons collided into 48 wagons loaded with timber</t>
  </si>
  <si>
    <t>Kouvola marshalling yard</t>
  </si>
  <si>
    <t>The root cause of the accident was the failure to notify the change of destination track for the wagons in the shunting unit. The shunting movement that ended in the collision was performed at too high a speed. When it was noticed that the destination track was occupied, nothing could be done to prevent the collision.</t>
  </si>
  <si>
    <t>Upon entering the railway yard, the crew of the shunting unit did not notice that the destination track was occupied. This was partly due to the difficulty in identifying the tracks in the dark railway yard. _x000D_
The shunting foreman acting as an observer in the wagon did not have a radio control unit. With a radio control unit, he might have been able to perform emergency braking a little faster, but this would not have prevented the collision. In addition, braking would have been faster if the shunting foreman on the locomotive had performed emergency braking with the locomotive’s emergency stop button rather than by radio control. The investigation revealed that, in the radio control system used in locomotives of this kind, there is a two-second delay in all commands. In addition, there is no separate emergency stop button on the radio control unit._x000D_
There was a major difference in the level of experience between the shunting foremen working on the shunting unit. They were working in the shunting unit as shunting foremen of the same level, but the shunting foreman with three months of experience would have needed the guidance of a more experienced colleague and advice on the correct and safe way to perform shunting work._x000D_
It was observed that rolling stock training for shunting foremen at the training institution was too focused on rolling stock for passenger transport. In addition, there is currently no way of engaging in supervised practice in using radio control and communication devices at the training institution. Forthis reason, the correct procedures may remain unclear. This can be seen, for example, in the use of incorrect communication tools in shunting work._x000D_
Work guidance forms a major part of the training of shunting foremen. This is mainly done as part of normal work in the railway yard. A single trainee can have several work guidance instructors; in this case, they had nine. Work guidance may be insufficient due to lack of time, and there is no guarantee that all of the issues are covered when there are several occupational instructors. It was observed that the verification of skills at the end of the training, i.e. the documentation of the skills demonstration, was restricted to pass/fail, which gives no indication of the employee's ability to work independently._x000D_
There are no written instructions on performing and reporting track changes. Furthermore, there is no verification that such procedures have been completed. Lack of an operational model and assignment of responsibility pose a serious safety risk in railway yards. Because a number of shunting operators work in the yards, they must have consistent practices._x000D_
Radio-controlled locomotives are involved in collisions and near-miss situations, some of which are not reported to superiors. This is due to the sanction procedure used by the investigated railway operator._x000D_
The investigation revealed that there may be large differences between the practices described in the safety management system and those used in practice. Official supervision is insufficient to ascertain whether an enterprise is operating in the manner described in the safety management system.</t>
  </si>
  <si>
    <t>RO-5432</t>
  </si>
  <si>
    <t>Train derailment, 24-09-17, Dej Calatori (Romania)</t>
  </si>
  <si>
    <t>the locomotive and all 6 vagons of the Inter Regio passenger train no.1765 derailed in the railway station Dej Calatori, on the line 2X</t>
  </si>
  <si>
    <t>Dej Calatori</t>
  </si>
  <si>
    <t>Cauza directa a accidentului feroviar produs pe linia 2 din sta?ia CFR Dej Calatori, o constituie caderea între firele caii a ro?ilor din partea dreapta a locomotivei electrice EA546, ce remorca trenul de calatori nr.1765 (ro?ile care rulau pe ?ina corespunzatoare firului interior al curbei) ?i a celor 6 vagoane din compunerea trenului. _x000D_
Caderea ro?ilor locomotivei între firele caii s-a produs în condi?iile deplasarii laterale a ?inelor, sub ac?iunea for?elor dinamice transmise acestora de catre ro?ile materialului rulant, fapt care a determinat cre?terea valorii ecartamentului caii peste valoarea maxima admisa în exploatare. _x000D_
_x000D_
Factori care au contribuit:_x000D_
-	traversele normale de lemn, care prin starea tehnica necorespunzatoare nu permiteau strângerea tirfoanelor pentru fixarea placilor metalice ?i împiedicarea deplasarii acestora în lungul traverselor, favorizând astfel, cre?terea valorii ecartamentului caii peste valoarea maxima admisa, sub ac?iunea for?elor dinamice transmise ?inelor de catre rotile materialului rulant;_x000D_
-	folosirea, în procesul tehnologic de executare a lucrarilor de consolidare a liniei 2 din sta?ia CFR Dej Calatori, a unor traverse normale de lemn impregnate, care în interior aveau defecte ce nu permiteau folosirea acestora în exploatare;_x000D_
-	neprecizarea, în caietul de sarcini care a stat la baza procedurii de achizi?ie a lucrarii „Consolidare liniile 2, 3 sta?ia Dej Calatori”, a speciei lemnoase agreate la confec?ionarea traverselor, aspect important pentru verificarea adâncimii la care a patruns materialul de impregnare în traversa;_x000D_
-	neurmarirea calita?ii traverselor normale de lemn impregnate, folosite pentru lucrarea de consolidare a liniei 2 din sta?ia CFR Dej Calatori, de catre furnizorul feroviar care a executat aceasta lucrare;_x000D_
-	încadrarea în „Lista produselor, lucrarilor ?i serviciilor feroviare critice ?i încadrarea acestora în clasa de risc” din 04.03.2008 (document al Autorita?ii Feroviare Române-AFER), la clasa de risc 2A, a serviciului feroviar critic „Protec?ia cu substan?e chimice a produselor din lemn (traverse ?i dibluri);_x000D_
-	excluderea de la verificarea prin ac?iuni de inspec?ie tehnica AFER, a procesului de ob?inere a traversei de lemn pentru calea ferata (produs feroviar critic clasa de risc 1 A), ob?inut prin aplicarea unui serviciu feroviar critic clasa de risc 2A, unui produs feroviar critic a carui clasa de risc este 1A;_x000D_
-	furnizarea serviciului feroviar de „impregnare cu antiseptici uleio?i, prin metoda vid-presiune, a traverselor ?i a stâlpilor de lemn pentru calea ferata” în alte condi?ii fa?a de cele prevazute în anexa la agrementul tehnic feroviar de?inut;_x000D_
-	aplicarea vizei AFER pe certificatul de conformitate emis de un furnizor feroviar, pentru produse feroviare critice, care nu se regasesc în Autoriza?ia de Furnizor Feroviar ?i în Certificatul de Omologare Tehnica de?inute de acesta;_x000D_
-	men?inerea în exploatare a unei suprastructuri feroviare a carei forma ?i dimensiuni nu respecta forma ?i dimensiunile prismei de piatra sparta prevazuta în codurile de buna practica, motiv pentru care piatra sparta în exces împiedica vizualizarea defectelor traverselor, în special în zona de fixare a placilor metalice;_x000D_
-	interpretarea neriguroasa a defectelor geometriei caii, înregistrate pe linia 2 din sta?ia CFR Dej Calatori, cu ocazia masuratorilor efectuate cu vagonul de masurat calea;_x000D_
-	neidentificarea traverselor normale de lemn necorespunzatoare, cu ocazia reviziilor periodice ?i a recensamintelor traverselor necorespunzatoare, efectuate în perioada de timp dintre data finalizarii lucrarilor de consolidare a liniei 2 ?i data producerii accidentului. 
The direct cause of the accident happened on the line 2 of the railway station Dej Calatori was the fall between the rails of the right wheels of the electric locomotive EA546, hauling the passenger train no.1765 (wheels running on the rail corresponding to the interior one)  and of those 6 train cars. _x000D_
The fall of the locomotive wheels between the rails happened following the lateral movement of the rails, under the dynamic forces transmitted by the wheels of the rolling stock, generating the increase of the gauge value over the maximum value accepted in operation. _x000D_
_x000D_
Contributing factors:_x000D_
-	common wooden sleepers, that, through their unsuitable condition, did not allow the fastening of the coach screws for the fixing of the metallic plates and the prevention of their movement along the sleepers, so leading to the increase of the gauge value over the maximum accepted one, under the action of the dynamic forces sent to the rails by the wheels of the rolling stock;_x000D_
-	use in the technological process, for the consolidation of the line 2 from the railway station Dej Calatori, of some common impregnated wooden sleepers having inside failures that did not allow their use in operation;_x000D_
-	Non-stipulation, in the technical specification that was basis for the purchasing procedure of the service „Consolidation of the lines 2, 3 from the railway station Dej Calatori”, of the type of wood aceepted in the sleeper manufacturing, issues important for the control of the depth  impregnation material penetration in the sleepers;_x000D_
-	non-monitoring of the quality of the common wooden impregnated sleeper, used for the consolidation of the line 2 from the railway station Dej Calatori, by the railway supplier that performed this work;_x000D_
-	inclusion in the „Liste of railway critical products, works and services and their inclusion in the risk class” from the 4th March 2008 (document of Romanian Railway Authority-AFER), in the risk class 2A, of the railway critical service „Protection with chemical substances of the wooden products (sleepers and plugs);_x000D_
-	exclusion from the control through AFER technical inspections, of the process for the wooden sleeper manufacturing (railway critical product risk class 1 A), got by the application of a railway critical service risk class 2A of a railway critical product risk class 1A;_x000D_
-	performance of the railway service „impregnation with oil antiseptics, through the method vacuum - pressure, of the railway poles and sleepers”in other conditions than those stipulated in the annex of the got railway agreement;_x000D_
-	AFER endorsement on the conformity certificate issued by a railway supplier, for the railway critical products, that are not included in the Railway Supplier Authorization and in the Technical Homologation Certificate got by it;_x000D_
-	keeping in operation of a railway infrastructure wich shape and size did not meet wit the shape and sizes of the broken stone bed, stipulated in the codes of good practice, for this reason the stone broken in excess does not allow the visualisation of the sleeper failures, especially at the fastening of the metallic plates;_x000D_
-	non-strict interpretation of the track geometry failures, recorded on the line 2 of the railway station Dej Calatori, during the measurements performed with the testing and recording car;_x000D_
-	non-identification of the common wooden sleepers during the periodical inspections and census of the unsuitable sleepers, performed during the time between the date of completion of the consolidation works at the line 2 and  the accident occurrence.</t>
  </si>
  <si>
    <t>Cauze subiacente_x000D_
-	nerespectarea prevederilor art.25, alin.(1), alin.(2) ?i alin.(4) din „Instruc?ia de norme ?i toleran?e pentru construc?ia ?i între?inerea caii pentru linii cu ecartament normal nr.314/1989”, privind înlocuirea traverselor de lemn ale caror defecte impun acest lucru. _x000D_
-	nerespectarea prevederilor pct.4.1. din Cap.4 „Norme de manopera ?i de consum de materiale”, al „Instruc?iei de între?inere a liniilor ferate nr.300/2003” referitoare la asigurarea normei de manopera la între?inerea curenta în execu?ie manuala;_x000D_
-	nerespectarea prevederilor Procedurii PO 0-4.11, privind cuprinderea între condi?iile contractuale,  a clauzei privind utilizarea numai a produselor feroviare critice, care trebuie sa fie recep?ionate de personal specializat ?i responsabilizat al CNCF „CFR” SA._x000D_
-	nerespectarea de catre CNCF „CFR” SA a prevederilor procedurii PO 0-4.10, prin faptul ca nu a asigurat urmarirea lucrarii de consolidare a suprastructurii liniilor 2 ?i 3 Dej Calatori, cu personal atestat/autorizat ca diriginte de ?antier;_x000D_
-	furnizarea de catre SC SERVTRANS INVEST SA Bucure?ti a serviciului feroviar critic de impregnare a traverselor de lemn fara respectarea condi?iilor din agrementul tehnic pe care aceasta îl de?inea  la momentul furnizarii serviciului;_x000D_
-	furnizarea de catre SC REACTIV PROD COM SRL Baia Mare a unor produse feroviare critice (traverselor de lemn impregnate) pentru care nu de?inea  autoriza?ie de furnizor feroviar ?i certificat de omologare tehnica feroviara;_x000D_
-	nerespectarea condi?iilor care au stat la baza eliberarii AFF ?i AT stabilite la art. 8 lit. k din Anexa 1 la OMT 290/2000,  de catre furnizorul feroviar care a executat lucrarea „Consolidare liniile 2, 3 sta?ia Dej Calatori”, prin faptul ca nu a respectat normele obligatorii de realizare a serviciului, utilizând în cadrul lucrarilor de repara?ie, traverse de lemn impregnate pe care le-a achizi?ionat de la un producator care nu era autorizat AFER pentru furnizarea acestor produse;_x000D_
-	nerespectarea prevederilor art.10 (3) din Norma privind omologarea tehnica a produselor ?i/sau serviciilor din transportul feroviar ?i cu metroul - ANEXA 3 a OMT 290/2000, prin faptul ca a fost încadrat eronat la clasa de risc 2A serviciul critic impregnare traverse. Acest serviciu este o componenta esen?iala a procesului tehnologic de fabricare a produsului feroviar critic traverse de cale ferata, produs feroviar critic care are implica?ii directe în siguran?a feroviara ?i care în conformitate cu  prevederile art.9, lit.b), alin.4 din ANEXA 3 la OMT 290/2000 este clasificat la clasa de risc 1A;_x000D_
-	vizarea de catre inspec?ia tehnica a certificatului de conformitate emis de SC REACTIV PROD COM SRL Baia Mare în condi?iile în care, produsele furnizate nu corespundeau documenta?iei tehnice de fabrica?ie, încalcându-se astfel prevederile art.6 din Anexa 7 la OMT nr.290/2000; _x000D_
-	nerespectarea prevederilor art.3, alin.(2), lit.o) din Regulamentul de organizare ?i func?ionare al Autorita?ii de Siguran?a Feroviara Româna – ASFR, document al Anexei nr.1 din Anexa nr.1 la HG nr. 626/1998 privind organizarea ?i func?ionarea Autorita?ii Feroviare Române – AFER, referitor la supravegherea de catre ASFR, din punct de vedere al siguran?ei, a furnizorilor feroviari. _x000D_
_x000D_
Cauzele primare_x000D_
-	Ineficien?a Sistemului de Management al Siguran?ei al CNCF „CFR” SA, în a controla riscul legat de utilizarea/contractarea unor produse, care pot pune în pericol siguran?a feroviara;_x000D_
-	Neidentificarea pericolului rezultat din utilizarea în cadrul opera?iunilor de repara?ii a infrastructurii feroviare, a unor produse feroviare critice (traverse de lemn), la care nu se face recep?ie calitativa ?i care nu corespund din punct de vedere tehnic 
Underlying causes_x000D_
-	infringement of the provisions from art.25, paragraphs (1), (2) and (4) from „Instruction of norms and tolerances for the track construction and maintenance, for lines with standard gauge no.314/1989”, concerning the replacement of the wooden sleepers whose failures impose it. _x000D_
-	infringement of the provisions from point 4.1. of Chapter 4 „Norms of manpower and material consumption”, from „Instruction for line maintenance no.300/2003” concerning the ensuring of the manpower norm for the current manual maintenance;_x000D_
-	infringement of the provisions from Procedure PO 0-4.11, concerning the inclusion in the contract provisions of the provision for the use just of railway critical products that have to be received by specialized and responsible staff from CNCF „CFR” SA._x000D_
-	infringement by CNCF „CFR” SA of the provisions from procedure PO 0-4.10, that is the consolidation works at the lines 2 and 3 from the railway station Dej Calatori were not surveilled with certified/authorized staff as site supervisor;_x000D_
-	performance by SC SERVTRANS INVEST SA Bucure?ti of the railway critical service for the impregnation of the wooden sleepers without complying with the conditions of the technical agreement got at the service performance;_x000D_
-	supply by SC REACTIV PROD COM SRL Baia Mare of some railway critical products  (impregnated wooden sleepers) for which it did not get authorization of railway supplier and certificate of railway technical homologation;_x000D_
-	infringement of the conditions upon which the authorization of railway supplier and certificate of railway technical homologation, established at art. 8, letter k from the Annex 1 of the Minister of Transports’Order 290/2000 were issued by the railway supplier that performed the work „Consolidation of the lines 2, 3 from the railway station Dej Calatori”, that is it did not meet with the compulsory norms for the  service performance, using in the repair works impregnated wooden sleepers purchased from a manufacturer that was not authorized  by AFER for the supply of those products;_x000D_
-	infringement of the provisions of art.10 (3) from Norm for the technical homologation of the products and/or services from the railway and metro transports - ANNEX 3 of the Minister of Transports’ Order 290/2000, that is the critical service sleeper impregnation was  wrong classified in the risk class 2A. This service is a very important part of the technological process for the manufacturing of the railway critical product sleepers, railway critical product with direct implications in the railway safety and that, according to the provisions of the art.9, letter b), paragraph 4 from the ANNEX 3 of the Minister of Transports’ Order 290/2000, is classified in the risk class 1A;_x000D_
-	endorsement by the technical inspection of the conformity certificate, issued by SC REACTIV PROD COM SRL Baia Mare, given the fact that, the supplied products did not meet with the technical manufacturing documentation, the provisions of the art.6 from the Annex 7of the Minister of Transports’ Order no.290/2000 being in; _x000D_
-	infringement of the provisions of art.3, paragraph (2), lettert o) from Regulations for the organization and functioning of Romanian Railway Safety Authority – ASFR, ANNEX no. 1 of the Government Decision no. 626/1998 concerning the organization and functioning of Romanian Railway Authority – AFER, for the safety surveillance of the railway suppliers by ASFR. _x000D_
_x000D_
Root causes_x000D_
-	lack of effectiveness of the Safety Management System of CNCF „CFR” SA, for the control of the risk afferent to the use/contracting of some products that can endanger the railway safety;_x000D_
-	non-identification of the hazards resulted from the use in the works for the repair of the railway infrastructure of some railway critical products (wooden sleepers), that are not submitted to the quality reception and  they do not correspond from technically point of view.</t>
  </si>
  <si>
    <t>IT-5481</t>
  </si>
  <si>
    <t>Train derailment, 25-09-17, Novara Boschetto (Italy)</t>
  </si>
  <si>
    <t>Derailment of wagon during manoeuvre of rolling stock coming from freight train</t>
  </si>
  <si>
    <t>Novara Boschetto</t>
  </si>
  <si>
    <t>SBB Cargo Italia</t>
  </si>
  <si>
    <t>rottura per fatica del settimo assile del carro 84854984551.1, avvenuta presumibilmente già in precedenza, lungo la tratta Omegna-Pettenasco. Tale rottura, nell'impegnare  il deviatoio 419 durante la manovra, ha portato al deragliamento del carro. 
breakdown by fatigue of the seventh axle of the cart 84854984551.1, presumably occurred previously, along the Omegna-Pettenasco section. This break, in committing the switch 419 during the manoeuvre, led to the derailment of the wagon.</t>
  </si>
  <si>
    <t>mancanza di controlli NDT sull'assile ad intervalli chilometrici adeguati al diametro delle ruote; tali controlli sono volti ad individuare cricche e difettosità superficiali delle sale montate, sia nella zona di calettamento tra ruota ed asse che lungo  tutto l'asse 
lack of non-destructive testing on the axle at kilometer intervals adapted to the diameter of the wheels; these checks are aimed at identifying cracks and surface defects of the assembled halls, both in the area of fit between wheel and axle and along the whole axis</t>
  </si>
  <si>
    <t>PT-5759</t>
  </si>
  <si>
    <t>Train derailment, 27-09-17, Régua (Portugal)</t>
  </si>
  <si>
    <t>During a shunting movement, when a locomotive was entering a turntable it derailed and overturned into the turntable pit. 
Durante uma manobra, uma locomotiva descarrilou ao entrar numa placa giratória e tombou lateralmente para dentro do fosso.</t>
  </si>
  <si>
    <t>Régua</t>
  </si>
  <si>
    <t>The locomotive entered the turntable without having been detected in a timely manner that the rails were not properly aligned so as to ensure continuity of support and steering of the wheels, which resulted in the side turning of the locomotive._x000D_
The investigation concluded that the turntable at Régua station allowed the interlocking and the consequent opening of signaling for an itinerary where the necessary safety conditions were not met. 
The expectations of the agents involved in the shunting movement, believing that the itinerary would be properly set (an expectation supported by the apparently normal position of the turntable and its signaling), thus not explicitly verifying the path.</t>
  </si>
  <si>
    <t>The investigation found that the turntable had an active possibility of locking and turning the corresponding signal off, when in an unsafe position of non-continuity of the rails, although for some ten years there has been no justification or utility for this, a latent condition never detected by the infrastructure manager or by the railway company that usually operated the turntable. 
The shunting movement was considered by the actors to be "simple", rather than "complex" as it should have been in a backwards movement; for this reason the shunting movement over line X was not accompanied by a support agent. However, given the particular circumstances of the accident, there is no guarantee that the accident would have been avoided had the shunting movement been performed under the prescribed regulatory conditions. In this respect, it is relevant to note that the trainers and the agents who have to apply the regulations everyday have very divergent views on which shunting movements are to be considered "simple" and which are to be considered "complex", especially when it involves series 1400 locos.</t>
  </si>
  <si>
    <t>CZ-5451</t>
  </si>
  <si>
    <t>Level crossing accident, 29-09-17, level crossing No. P1703 between Kryry and Vroutek stations (Czech Republic)</t>
  </si>
  <si>
    <t>Collision of the freight train No. 86651 with a car at the level crossing No. P1703.</t>
  </si>
  <si>
    <t>level crossing No. P1703 between Kryry and Vroutek stations</t>
  </si>
  <si>
    <t>Underlying causes:_x000D_
• driver's failure to respect of the light and acoustic warning of level crossing safety equipment;_x000D_
• behaviour of the driver in front of the level crossing, the driver wasn't careful enough._x000D_
Root cause: none</t>
  </si>
  <si>
    <t>NO-5464</t>
  </si>
  <si>
    <t>Train derailment, 03-10-17, Svorkmo (Norway)</t>
  </si>
  <si>
    <t>On Tuesday 3 October, a train consisting of a locomotive and two passenger carriages derailed at Svorkmo station on the Thamshavn line._x000D_
_x000D_
The train was on its way from Svorkmo to Løkken Verk at a speed of approximately 30 km/h when it derailed. There were 32 passengers on board, including two school classes. The pupils were in the fifth and seventh grade. No one was injured._x000D_
_x000D_
The railway infrastructure was damaged, and the locomotive sustained minor damage. 
Tirsdag 3. oktober sporet et tog bestående av lokomotiv og to personvogner av ved Svorkmo stasjon på Thamshavnbanen._x000D_
_x000D_
Toget var på vei fra Svorkmo til Løkken verk i ca. 30 km/t da det sporet av. Det var 32 passasjerer om bord, inkludert to skoleklasser. Skoleelevene gikk i 5. og 7. klasse. Ingen personer ble skadet._x000D_
_x000D_
Det ble skader på jernbaneinfrastrukturen og mindre skader på lokomotivet.</t>
  </si>
  <si>
    <t>Svorkmo</t>
  </si>
  <si>
    <t>Museene i Sør-Trøndelag AS</t>
  </si>
  <si>
    <t>Poor sleeper condition.</t>
  </si>
  <si>
    <t>Sleeper condition was poor due to lack of criteria for control of infrastructure.</t>
  </si>
  <si>
    <t>AT-5456</t>
  </si>
  <si>
    <t>Accident to persons caused by RS in motion, 04-10-17, Puch bei Hallein (Austria)</t>
  </si>
  <si>
    <t>On October 4, 2017 at 10:41 a.m., when Z 41820 was passing through the station Puch near Hallein a stroller rolling over the edge of the platform from the passing oneTrain captured. The stroller was pushed away from the train. That in the strollerseated toddler was thrown out of the stroller. 
Am 04. Oktober 2017 um 10:41 Uhr wurde bei der Durchfahrt von Z 41820 in der Haltestelle Puch bei Hallein ein über die Bahnsteigkante rollender Kinderwagen vom durchfahrenden Zug erfasst und auf die dem Gleis abgewandte Seite weggestoßen. Das im Kinderwagen sitzende Kleinkind wurde aus dem Kinderwagen geschleudert.</t>
  </si>
  <si>
    <t>Puch bei Hallein</t>
  </si>
  <si>
    <t>Die mögliche Ursache des Unfalles auf dem Bahnsteig war ein unbeabsichtigtes Entrollen des nicht eingebremsten Kinderwagens in Richtung der Bahnsteigkante mit anschließender Kollision mit dem durchfahrenden Z 41820. 
The possible cause of the accident on the platform was an unintentional unrolling of the non-braked stroller in the direction of the platform edge with a subsequent collision with the passing Z 41820.</t>
  </si>
  <si>
    <t>Der auf der Rückseite des Doppelkinderwagens auftreffende Windstoß wurde durch den verspätet durch die Hst Puch bei Hallein durchfahrenden Z 41820 ausgelöst. Die zum selben Zeitpunkt abgelenkte Aufsichtsperson hatte den Kinderwagen kurzzeitig nicht im Blickfeld. Die nicht eingelegte Bremse sowie die ungünstige Sitzposition des Kindes im Kinderwagen ließen ein Wegrollen in Richtung Bahnsteigkante zu. 
The gust of wind striking the rear of the double stroller was triggered by the Z 41820, which passed late through Hst Puch near Hallein. The person, who was distracted at the same time, did not see the stroller for a short time. The brake not engaged and the child's unfavorable seating position in the stroller allowed it to roll away towards the edge of the platform.</t>
  </si>
  <si>
    <t>UK-5470</t>
  </si>
  <si>
    <t>Accident to persons caused by RS in motion, 05-10-17, Egmanton, Nottinghamshire (United Kingdom)</t>
  </si>
  <si>
    <t>Around 11:22 hrs on 5 October 2017, a group of track workers narrowly avoided being struck by train reporting number 1D09, the 10:03 hrs passenger train service from London Kings Cross to Leeds. The incident took place close to Egmanton level crossing, which is situated between Newark North Gate and Retford on the East Coast Main Line._x000D_
The train was approaching the crossing on the down main line at near to the maximum permitted line speed of 125 mph (200 km/h), when the driver saw a group of track workers in the distance. The driver sounded the train’s warning horn, but could see no response from the group. The driver sounded the horn again a few seconds later. He could still see no response, so he initiated an emergency brake application, while continuing to sound the horn._x000D_
As the train approached, the group of track workers became aware of the train’s warning horn and started to move into the cess. However, the last member of the group got clear of the track very shortly before the train passed them. The train was still travelling close to 125 mph (200 km/h) as it passed the point where the group had been working. It subsequently came to a stand around 0.9 miles (1.4 km) after the emergency brake application was made._x000D_
There were no injuries. However, the driver, who believed that the train had struck members of the group, was distressed by the incident.</t>
  </si>
  <si>
    <t>Egmanton, Nottinghamshire</t>
  </si>
  <si>
    <t>5 The group did not move to a position of safety when TOWS was sounding a warning that a train was approaching</t>
  </si>
  <si>
    <t>Causal factors_x000D_
116 The causal factors were:_x000D_
a) the PiC set up a system of work that was neither safe nor compliant with the Rule Book (paragraph 61, Recommendation 1); and_x000D_
b) none of the members of the group effectively challenged the system of work (paragraph 80, Recommendation 2 and paragraph 127, Learning point 1)._x000D_
Underlying factors_x000D_
117 The underlying factors were:_x000D_
a) Network Rail’s training, recertification and management of the PiC had not instilled in him an adequate regard for safety and the importance of following safety rules (paragraph 89, Recommendation 1); and_x000D_
b) the nature of the client/contractor relationship stifled any effective challenge to the unsafe system of work (paragraph 101, Recommendation 2).</t>
  </si>
  <si>
    <t>RO-5455</t>
  </si>
  <si>
    <t>Train derailment, 06-10-17, Brasov Triaj (Romania)</t>
  </si>
  <si>
    <t>the first axle of the bank engine locomotive of the freight train no. 50462 derailed in the railway station Brasov Triaj</t>
  </si>
  <si>
    <t>Brasov Triaj</t>
  </si>
  <si>
    <t>Cauza directa a producerii accidentului o constituie escaladarea fe?ei laterale active a ciupercii ?inei din  exteriorul curbei de catre buza bandajului ro?ii din stânga a primei osii a locomotivei în sensul de mers, ca urmare a cre?terii raportului dintre for?a conducatoare ?i sarcina ce ac?iona  pe aceasta roata, depa?indu-se în circula?ie, limita de stabilitate la deraiere, generata de reducerea marimii razei curbei circulare la valori sub toleran?a minima admisa în exploatare._x000D_
Factorii care au contribuit la producerea accidentului: starea geometriei caii ale carei elemente nu respectau toleran?ele admise pentru liniile de primiri-expedieri de trenuri din sta?ii cât ?i gradul de colmatare al prismei de balast care nu asigura elasticitatea caii. 
Direct cause of the accident was the overclimbing of rail gauge from the exterior of the curve by the flange of left wheel of the first locomotive axle, in the running direction, following the increase of the report between the guiding force and the load acting on this wheel, exceeding within the running the stability limit at derailment, generated by the decrease of the circular radius at values under the minimum tolerance accepted in operation.._x000D_
Contributing factors: both the condition of the track geometry, whose elements were not in compliance with the tolerances accepted for the arriving-departure lines from the railway stations, and the level of choking of the ballast, that did not ensure the elasticity of the trak</t>
  </si>
  <si>
    <t>Cauzele subiacente ale producerii accidentului au fost nerespectarea prevederilor din „Instruc?ia de norme ?i toleran?e pentru construc?ia ?i între?inerea caii - linii cu ecartament normal - nr.314/1989”, Art.7. B.1 cu privire la toleran?ele caii în plan pentru sage?ile curbelor arc de cerc ?i Art.15, pct.2, a) - condi?ii tehnice generale pentru aparatele de cale cu privire la raza minima a curbei liniei aba¬tute pe liniile de primire si expediere a trenurilor. 
Underlying causes  of the accident was the lack of compliance with the provisions of „Instruction of norms and tolerances for the track construction and maintenance – lines with standard gauges - no.314/1989”, art.7. B.1 concerning the tolerances of the plan track  for the versines of the curves arc of circle and art.15, point.2, a) – general technical conditions for the switches concerning the minimum radius of the curve of the deflecting sections for arriving – departures of trains.</t>
  </si>
  <si>
    <t>CZ-5465</t>
  </si>
  <si>
    <t>Spad, 11-10-17, Lipník nad Becvou station (Czech Republic)</t>
  </si>
  <si>
    <t>Unauthorized movement of the locomotive train No. 54204 past the main (departure) signal device S2 with signal “Stop” and ride to train road for freight train No. 54285.</t>
  </si>
  <si>
    <t>Lipník nad Becvou station</t>
  </si>
  <si>
    <t>CER Slovakia a.s.; 
Rail Cargo Carrier - Czech Republic</t>
  </si>
  <si>
    <t>Direct cause:_x000D_
• train driver's of the locomotive train No. 54204 operational error (he did not respect signal “Stop” of the main signal device S2 at Lipník nad Becvou station)._x000D_
Contributory factor:_x000D_
• absence of technical equipment which prevents a train from passing a signal in case of danger.</t>
  </si>
  <si>
    <t>Underlying cause:_x000D_
• train driver took over the calling signal, signaling by the main (departure) signal device S1, which was not intended for the locomotive train No. 54204._x000D_
Root cause: none.</t>
  </si>
  <si>
    <t>BG-5466</t>
  </si>
  <si>
    <t>Fire in RS, 12-10-17, Dimitrovgrad rail station (Bulgaria)</t>
  </si>
  <si>
    <t>On October 12, 2017, electric locomotive ? 44134.2 served fast train ? 8693 in the composition of 4 wagons, 186 tons, on the route Sofia - Plovdiv - Burgas following the Schedule for the Movement of Trains. After its departure from Sofia station at 13:15, an indication of short-circuit to ground (mass) occurrence was activated in the locomotive. The locomotive brigade removed the visualization of the damage several times and signalled of the problem the Master at the Plovdiv depot._x000D_
While moving from Plovdiv to Dimitrovgrad station, several indications of the same damage occurred in the locomotive. After disengaging from the train for a manoeuvre for changing the direction of movement and moving the locomotive to the throat of switches of Dimitrovgrad station at about 16:50, a fire occurred in the engine compartment of the locomotive. It was undertaken a fast stopping and the locomotive brigade started fighting the fire with the available extinguishers. The Fire Safety and Protection of the Population service in Dimitrovgrad were called and with their help the fire was localized and suppressed at around 17:40 local time.</t>
  </si>
  <si>
    <t>Dimitrovgrad rail station</t>
  </si>
  <si>
    <t>The cause having lead to the occurrence of the accident is: an earth circuit, which has grown to a short circuit, with discharge on the surface of an insulation element made from textolite, supporting the bus system of the secondary coil of the traction transformer.</t>
  </si>
  <si>
    <t>The earth circuit occurred as a result from ageing of the surface of the textolite supporting plates, polluted by metal dust and the humidification of their surfaces from temperature differences.</t>
  </si>
  <si>
    <t>HR-5469</t>
  </si>
  <si>
    <t>Train derailment, 12-10-17, kolodvor Zagreb RanÅ¾irni (Croatia)</t>
  </si>
  <si>
    <t>Derailment of one rolling stock of the shunting composition 
Iskliznuce jednog vagona manevarskoga sastava</t>
  </si>
  <si>
    <t>kolodvor Zagreb RanÅ¾irni</t>
  </si>
  <si>
    <t>iskliznuce petog vagona sa dvije osovine u pravcu guranja manevarskoga sastava 
derailment of the fifth wagon with two axle in direction of shunting</t>
  </si>
  <si>
    <t>- dotrajalost dijelova kolosijecne grade kolosijeka S-52 _x000D_
- brzina kretanja manevarskog sastava _x000D_
- nepotpuno ispostavljena listica TV-1_x000D_
- nepravilno odraden postupak kvacenje vagona u manevarskom sastavu 
- the poor condition of parts of track gauge S-52_x000D_
- the speed of shunting_x000D_
- incomplete list TV-1_x000D_
- incorrect procedure done locking the wagon shunting composition</t>
  </si>
  <si>
    <t>SE-5513</t>
  </si>
  <si>
    <t>Train derailment, 12-10-17, Ludvika (Sweden)</t>
  </si>
  <si>
    <t>Twelve carriages and a locomotive in a train of a total of 37 wagons derailed shortly after a level crossing, which resulted in several carriages, including the locomotive, being completely destroyed. No personal injury occurred during the event. 
Tolv vagnar och ett lok i transport som ingick i ett tåg på totalt 37 vagnar spårade ur strax efter en plankorsning. Urspårningen fick till följd att flera av vagnarna, inklusive loket i transport, blev totalförstörda och måste skrotas. Inga personskador uppkom i samband med händelsen.</t>
  </si>
  <si>
    <t>Ludvika</t>
  </si>
  <si>
    <t>The SHK considers it very likely that the derailment was caused by the V5 locomotive’s dynamics in combination with the track errors on site._x000D_
The factor that is most clearly considered to have affected the dynamics is that the locomotive was three-axled with short wheelbase. Another factor is considered to be that the locomotive’s shock absorbers had been angled. Other factors that have been found to have had a minor, but not insignificant, effect on the locomotive’s dynamics, were that the springs and shock absorbers did not meet the applicable requirements and that the wheels were newly turned.</t>
  </si>
  <si>
    <t>One contributing factor to the derailment was that the risk that the new angle of the shock absorbers on the three-axled locomotive in combination with track errors could contribute to an increased risk of flange climbing and derailment was not noticed in the simulations, test runs and risk analyses that were carried out in connection with the reconstruction._x000D_
Another contributing factor was that the risk that track errors in combination with the dynamics of certain types of vehicles could lead to derailment had not been recognized within the framework of the Swedish Transport Administration’s maintenance system._x000D_
One contributing factor to the fact that the springs and shock absorbers did not meet current requirements was that there were no maintenance intervals for these.</t>
  </si>
  <si>
    <t>IT-5482</t>
  </si>
  <si>
    <t>Fire in RS, 13-10-17, Asti, line Torino - Alessandria (Italy)</t>
  </si>
  <si>
    <t>Fire in loco</t>
  </si>
  <si>
    <t>Asti, line Torino - Alessandria</t>
  </si>
  <si>
    <t>1. ritorno di fiamma del bruciatore della caldaia Webasto favorito dalle turbolenze dell’aria sotto cassa (velocità superiore a 100 km/h);_x000D_
2. mancato funzionamento dell’Impianto Antincendio 
1. return of flame of the Webasto boiler burner encouraged by undercrate air turbulence (speed exceeding 100 km/h);_x000D_
2. failure of the fire prevention system</t>
  </si>
  <si>
    <t>1. accensione del dispositivo Webasto del locomotore diesel e suo mantenimento in servizio durante il viaggio (errore umano);_x000D_
2. mancanza di un dispositivo di spegnimento automatico del Webasto in caso di movimento del veicolo;_x000D_
3. mancanza di dispositivi dedicati a convogliare i gas incandescenti espulsi da detto bruciatore 
1. switching on the Webasto device of the diesel locomotive and keeping it in service during the journey (human error);_x000D_
2. lack of an automatic Webasto shutdown device in the event of vehicle movement;_x000D_
3. lack of devices dedicated to conveying the incandescent gases expelled by said burner</t>
  </si>
  <si>
    <t>HR-5475</t>
  </si>
  <si>
    <t>Train derailment, 17-10-17, Duga Resa Station (Croatia)</t>
  </si>
  <si>
    <t>Derailment of passenger train No 4063 in Duga Resa station 
Iskliznuce potnickog vlaka broj 4963 u kolodvoru Duga Resa</t>
  </si>
  <si>
    <t>Duga Resa Station</t>
  </si>
  <si>
    <t>puknuce prijevodnice na skretnici broj 1 u kolodvoru Duga Resa 
The fracture is located in the part of the translator, which is bending during switching operation</t>
  </si>
  <si>
    <t>u Uputi 340 u niti jednom od devet poglavlja nije navedena nikakva barem vizualna kontrola prijevodnickog uredaja po pitanju pukotina 
None of the nine chapters in Guide No. 340 contain procedure for crack inspection of the translator component, at least visual one</t>
  </si>
  <si>
    <t>UK-5487</t>
  </si>
  <si>
    <t>Runaway, 17-10-17, Markinch, Fife (United Kingdom)</t>
  </si>
  <si>
    <t>At around 04:25 hrs on 17 October 2017, a maintenance train ran away for a distance of about 4 miles, from a location north of Markinch station in Fife. The train had struck a tree that had fallen across the track. The resulting damage to the underside of the train had caused the brakes to be irreversibly released._x000D_
Prior to the collision, the train had been water jetting leaf debris from the rails. The driver saw the tree shortly before impact and applied the emergency brake. The train was travelling at around 40 mph (64km/h) when it hit the tree._x000D_
The train continued to slow following the collision, due to the uphill gradient. It came to a rest, but then started to roll backwards. Having made an emergency call on the train radio, the two train crew jumped from the train onto the trackside and suffered minor injuries._x000D_
The train eventually came to a stop on a low point near to Thornton North Junction, after having oscillated up and down the adjacent track gradients several times.</t>
  </si>
  <si>
    <t>Markinch, Fife</t>
  </si>
  <si>
    <t>The train’s brakes were released, and the driver was unable to reapply them, as a result of a collision with a tree that had fallen onto the line.</t>
  </si>
  <si>
    <t>The accident occurred due to a combination of the following causal factors:_x000D_
a. The brakes were released because the brake distributor release mechanisms were operated on both vehicles by the debris from the tree passing underneath the train(paragraph 29)_x000D_
b. The driver was unable to reapply the brakes after the debris from the tree had caused all three brake system pipes to be separated between the vehicles (paragraph 33)_x000D_
Underlying factor_x000D_
The MPV was approved for operation on Network Rail infrastructure with the brake distributor release mechanism vulnerable to operation by obstructions on the track</t>
  </si>
  <si>
    <t>HU-5484</t>
  </si>
  <si>
    <t>Level crossing accident, 20-10-17, Enese - Kóny AS186 (Hungary)</t>
  </si>
  <si>
    <t>Az útátjáróban a vonat egy busszal ütközött, a fény- és félsorompó nem muködött megfeleloen. 
A train collided with a bus at level crossing. The level crossing warning and protection system doesn't work correctly.</t>
  </si>
  <si>
    <t>Enese - Kóny AS186</t>
  </si>
  <si>
    <t>a)	a vasúti átjárót biztosító fénysorompó nem jelzett üzemzavart a közúton közlekedok felé a fények lekapcsolásával, hanem fehéren villogott. A buszvezeto nem észlelte a közeledo vonatot, és a villogó fehér fényt látva behajtott az átjáróba, de a vonat odaérkezéséig az átjárót elhagyni nem tudta;_x000D_
b)	a sorompóberendezés vonatérzékelo elemei a Vb számára ismeretlen okból nem érzékelték a közeledo vonatot, ezért a fénysorompó nem adott villogó piros jelzést a közút felé, azon a villogó fehér fények megmaradtak;_x000D_
c)	a baleset idején suru köd volt, amely jelentosen nehezítette a jármuvezetoket egymás észlelésében; 
(a) The light gate at the level crossing did not indicate a malfunction to the road users by turning off the lights but flashed white. The bus driver did not detect the approaching train and saw the flashing white light drive into the gateway but could not leave the gateway until the train arrived;_x000D_
(b) the train sensing elements of the barrier equipment did not detect the approaching train for a reason unknown to Vb, therefore the barrier did not give a flashing red signal to the road and the flashing white lights remained there;_x000D_
(c) there was heavy fog at the time of the accident which made it difficult for drivers to detect each other;</t>
  </si>
  <si>
    <t>d)	a mozdonyvezetonek a rendszer kialakításából adódóan nincs közvetlen információja a közelített útátjáró lezárt állapotáról; 
d) the driver has no direct knowledge of the closed state of the crossing due to the design of the system;</t>
  </si>
  <si>
    <t>UK-5614</t>
  </si>
  <si>
    <t>Wrong-side signalling failure, 20-10-17, Harlech - Pwllheli Cambrian Line (United Kingdom)</t>
  </si>
  <si>
    <t>During the morning of Friday 20 October 2017, a train driver travelling on the Cambrian coast line in North Wales reported that long standing temporary speed restrictions were not indicated on their in-cab display. As signalling staff at the control centre in Machynlleth investigated this report, they became aware that this failure applied to several trains under their control. The temporary speed restrictions were required on the approach to level crossings so that people crossing the line had sufficient warning of an approaching train._x000D_
The Cambrian lines were equipped in 2011 with a pilot installation of the European Rail Traffic Management System (ERTMS), a form of railway signalling. ERTMS removes the need for signals along the track by transmitting data directly to the train. This data is used to display movement authorities and other information such as temporary and permanent speed restrictions, on a screen in front of the driver._x000D_
Subsequent investigation found that the signalling system stopped transmitting temporary speed restriction data after a routine shutdown and restart at around 23:10 hrs the previous evening. The signallers had no indication of an abnormal condition and signalling control centre displays showed these restrictions as being applied correctly._x000D_
The RAIB has decided to undertake an independent investigation because to date, the signalling system supplier has not identified the cause of the failure. It is possible that finding the cause would have been assisted by downloading of suitable data from the signalling system before it was restarted during correction of the failure.</t>
  </si>
  <si>
    <t>Harlech - Pwllheli Cambrian Line</t>
  </si>
  <si>
    <t>The ERTMS signalling system was returned to service following an RBC software rollover without temporary speed restriction information for transmission to trains (paragraph 44)</t>
  </si>
  <si>
    <t>The causal factors were:_x000D_
a. temporary speed restriction data was not uploaded to the RBC after a software rollover because the GEST sub-system had entered a fault condition, probably due to a corrupted database (paragraph 46, Recommendation 5);_x000D_
b. no indication that the system had failed was provided to signallers (paragraph 51, Recommendation 2);_x000D_
c. the memory used for storing temporary speed restrictions in the RBC was volatile, allowing temporary speed restriction data to be lost during a rollover (paragraph 62, no recommendation);_x000D_
d. the required level of safety integrity for validation of temporary speed restriction data uploaded to the RBC following a rollover was not achieved by the design (paragraph 67, Recommendations 1 and 2);_x000D_
e. GEST server software was unable to detect and manage the corruption of its database (paragraph 75, Recommendation 2); and_x000D_
f. the vulnerability of the system to a single point of failure had neither been detected nor corrected during the design, approval and testing phases of the Cambrian ERTMS project due to a combination of the following:_x000D_
i. the safety related software requirements for the GEST software were insufficiently defined (paragraph 81, Recommendations 1 and 2);_x000D_
ii. the hazard analysis process did not identify, and so did not mitigate against, the GEST software thread failure mode. (paragraph 88, Recommendation 2);_x000D_
iii. the validation process did not ensure that the safety requirement for the correct display of temporary speed restrictions was met (paragraph 94, Recommendations 1 and 2); and_x000D_
iv. GEST was accepted into service without the production of a generic product safety case (or equivalent); had such a process been followed rigorously, it would probably have exposed the shortcomings in the software design (paragraph 99, actions taken paragraph 149,_x000D_
Recommendations 1 and 2, Learning points 2 and 3)._x000D_
Underlying factors_x000D_
144 The underlying factors were:_x000D_
a. Ansaldo STS did not appreciate the latent single point of failure within the GEST sub-system software (paragraph 113, Recommendation 2); and_x000D_
b. Network Rail input did not include effective client role checks to identify the design process shortcomings (paragraph 116, Recommendation 1, Learning point 4).</t>
  </si>
  <si>
    <t>UK-5498</t>
  </si>
  <si>
    <t>Level crossing accident, 23-10-17, Frognal Farm User Worked Crossing, Teynham, Kent (United Kingdom)</t>
  </si>
  <si>
    <t>At around 15:03 hrs on 23 October 2017, train reporting number 1L32, the 14:20 hrs Southeastern service from Ramsgate to London St Pancras, travelling at about 85 mph (137 km/h), struck a delivery van on Frognal Farm user worked level crossing, between Teynham and Sittingbourne stations. The train did not derail, and none of the approximately 80 passengers and crew on board were hurt. The van was badly damaged, and its driver was taken to hospital with head and upper body injuries._x000D_
Frognal Farm level crossing is on a private road giving access to a small number of houses and a farm. Until March 2017, users had to open the gates themselves, having first telephoned the Network Rail signaller to confirm that it was safe to cross the line. In March 2017, Network Rail installed power operated gate opening (POGO) equipment at this crossing. Users should still telephone for permission to cross, but having done so they are now able to press a button to open the gates, without having to cross the line on foot._x000D_
On this occasion there is no evidence that the driver of the delivery van made a telephone call to the signaller. However, the signage provided at the crossing was not, in the RAIB’s view, clear._x000D_
In light of this accident RAIB has issued the following urgent safety advice to Network Rail: ‘Network Rail should urgently review the design and wording of the warning/instruction signs at user worked crossings with POGO equipment, to ensure that the instructions are clear, and alert users to the nature and severity of the risks’.</t>
  </si>
  <si>
    <t>Frognal Farm User Worked Crossing, Teynham, Kent</t>
  </si>
  <si>
    <t>The van driver drove his van onto the level crossing when it was not safe to do so.</t>
  </si>
  <si>
    <t>Causal factors_x000D_
129 The causal factors were:_x000D_
a. The van driver did not telephone the signaller for permission to cross (paragraph 44). This causal factor arose due to a combination of the following:_x000D_
i. the van driver’s lack of experience of a user worked crossing (paragraph 47, Recommendation 1);_x000D_
ii. the van driver had not received prior information about how to use the crossing safely (paragraph 50, Recommendation 4);_x000D_
iii. the crossing signage did not stand out and did not attract the user’s attention (paragraph 56, Recommendation 1); and_x000D_
iv. the van driver was focused on looking for a green button (paragraph 63, Recommendation 1)._x000D_
b. The gate opened when the button was pushed which may have reinforced the van driver’s view that it was safe to cross (paragraph 64, Recommendation 3)._x000D_
c. Network Rail installed POGO equipment at Frognal Farm crossing without detailed consideration of whether the design was suitable for the location (paragraph 69). This causal factor arose in part because:_x000D_
i. Network Rail (Central) did not understand the risks associated with POGO crossings and did not provide the right information to local staff to equip them to make the decisions about the suitability of this type of crossing (paragraph 76, Recommendation 3)._x000D_
Underlying factor_x000D_
130 An underlying factor was that the system in which authorised users are responsible for briefing visitors about the safe way to use private crossings is not reasonable in present day circumstances (paragraph 86, Recommendation 4).</t>
  </si>
  <si>
    <t>FI-5479</t>
  </si>
  <si>
    <t>Level crossing accident, 26-10-17, Raasepori, Skogby level crossing (Finland)</t>
  </si>
  <si>
    <t>Fatal level crossing accidents, Passenger train - Military off-road truck</t>
  </si>
  <si>
    <t>Raasepori, Skogby level crossing</t>
  </si>
  <si>
    <t>The conscripts in the cabin of the high mobility terrain vehicle did not notice the approaching train and did not hear its warning sound._x000D_
There was insufficient time to reduce the speed of the rail bus, despite emergency braking by the train driver.</t>
  </si>
  <si>
    <t>Skogby's level crossing was particularly dangerous due to the angle of the track and road and the lack of warning devices. From the cabin in the high mobility terrain vehicle, it was difficult to see the train approaching at an angle from the rear. The section of line had a speed limit of 120km/h. A lower train speed would give train and vehicle drivers more time to react and take action as they approach a level crossing, and would reduce the damage in possible collisions._x000D_
Because the use of level crossings during the attack exercise had not been identified as a risk in the Uusimaa Brigade's risk assessment for the exercise and the level crossings to be crossed had not been named, the conscripts could not be warned about them. The risk assessment form used did not direct users towards the precise identification and naming of risks in the exercise taking place at the scene. Level crossing safety has not been a criterion affecting the choice of routes in the Uusimaa Brigade, or elsewhere in the Defence Forces.</t>
  </si>
  <si>
    <t>HU-5483</t>
  </si>
  <si>
    <t>Level crossing accident, 26-10-17, Lakitelek - Kecskemét, AS239 (Hungary)</t>
  </si>
  <si>
    <t>A train collided with a vehicle at level crossing. 
Az útátjáróban a vonat oldalának ütközött egy gépkocsi.</t>
  </si>
  <si>
    <t>Lakitelek - Kecskemét, AS239</t>
  </si>
  <si>
    <t>a)	A baleset bekövetkezése elott kb. 1,5 perccel a fénysorompó muszaki hiba miatt zavar állapotba került, és piroshosszabbítás hiányában a közút felé sötét állapotba került._x000D_
b)	Bár a berendezés zavar állapotát azonnal visszajelezte a szomszéd állomás forgalmi szolgálattevojének, de erre vonatkozó eloírás hiányában a forgalmi szolgálattevo meg sem kísérelte tájékoztatni a vonat mozdonyvezetojét a kialakult helyzetrol, így o információ hiányában a vonat sebességét nem csökkentette, hangjelzést nem adott._x000D_
c)	A gépkocsivezeto annak ellenére kezdte meg a vasúti átjáróba való behajtást, hogy a fénysorompó sötét volt, és nem gyozodött meg arról, hogy az átjáró felé közeledik-e vasúti jármu. 
) Around 1.5 minutes before the accident occurred, the light barrier became in a state of disturbance due to a technical defect and, in the absence of a red extension, in a dark condition towards the road. _x000D_
(b) Although the condition of the disturbance was immediately signalled to the traffic servicer at the neighbouring station, in the absence of a specific requirement, the traffic service provider did not attempt to inform the train driver of the situation and therefore, in the absence of such information, did not reduce the speed of the train or give a sound signal.  _x000D_
(c) The driver started driving into the level crossing despite the fact that the light barrier was dark and was not aware that a rail vehicle was approaching the level crossing.</t>
  </si>
  <si>
    <t>NO-5478</t>
  </si>
  <si>
    <t>Train derailment, 26-10-17, Trondheim station (Norway)</t>
  </si>
  <si>
    <t>On Thursday 26 October the first wagon in train 8702 derailed at Skansen bridge in Trondheim. The train was carrying military vehicles, and one of them fell off in the derailment. The train was on its way from Hell station to Rena when it derailed in a pont before Skansen bridge. The speed was approximately 30 km/h. No one was injured, but there were damages to the vehicles, track and catenary. The investigation will focus on clarifying the sequence of events and identifying possible causal factors. Any underlying conditions that may have contributed to the accident will be mapped and analysed. 
Torsdag 26. oktober sporet første vogn i tog 8702 av ved Skansen bru i Trondheim. Toget fraktet militære kjøretøy, og et kjøretøy falt av i avsporingen. Toget var på vei fra Hell til Rena, da det sporet av i en sporveksel før Skansen bru. Hastighet var ca. 30 km/t. Ingen personer ble skadet, men det ble skader på materiellet, sporet og kontaktledningsanlegget. Undersøkelsen vil ha fokus på å klarlegge hendelsesforløpet og peke på mulige årsaksforhold. Eventuelle bakenforliggende forhold som kan ha bidratt til jernbaneulykken vil bli kartlagt og analysert.</t>
  </si>
  <si>
    <t>Trondheim station</t>
  </si>
  <si>
    <t>A brake shoe was overlooked during the departure check, which lead to the derailment.</t>
  </si>
  <si>
    <t>It was dark and raining at the time, and a fence limited the possibility of walking along the side of the carriage. It is described in the railway undertaking’s safety check procedure that it must be checked that there are no brake shoes on the tracks. Internal audits have uncovered cases of failure to comply with the procedure.</t>
  </si>
  <si>
    <t>CZ-5473</t>
  </si>
  <si>
    <t>Trains collision, 27-10-17, tram track between Trebovická and Zahrádky tram stops in Ostrava (Czech Republic)</t>
  </si>
  <si>
    <t>Collision of tram No. 915011 course 105 with standing tram No. 915004 course 104 on the tram track.</t>
  </si>
  <si>
    <t>tram track between Trebovická and Zahrádky tram stops in Ostrava</t>
  </si>
  <si>
    <t>Direct cause:_x000D_
• not stopping of the tram No. 915011 course 105 in front of the standing tram No. 915004 course 104.</t>
  </si>
  <si>
    <t>Underlying causes:_x000D_
• control of the tram No. 915011 course 105 in such a way, which did not ensure the safe operation of rail transport during the traffic situation;_x000D_
• the tram driver of the tram No. 915011 course 105 did not have full control of the driving due to reasons that are not identified and unspecified._x000D_
Root cause: none.</t>
  </si>
  <si>
    <t>HR-5576</t>
  </si>
  <si>
    <t>Level crossing accident, 27-10-17, Gornja Stubica (Croatia)</t>
  </si>
  <si>
    <t>Pokrece se sigurnosna istraga nesrece koja se dogodila dana 27.10.2017. godine u 18:55 sati na željeznicko - cestovnom prijelazu u Gornjoj Stubici gdje je došlo do podlijetanja osobnog vozila pod putnicki vlak broj 3229. 
On 27.10.2017. at 18:55 at the Level Crossing in town of Gornja Stubica there was a collision of a passenger vehicle and passenger train number 3229.</t>
  </si>
  <si>
    <t>Gornja Stubica</t>
  </si>
  <si>
    <t>je prelazak osobnog vozila preko ŽCP-a neposredno prije nailaska putnickog vlaka na isti 
is that a road vehicle came out at the LC just before the passenger train came on the LC</t>
  </si>
  <si>
    <t>- Osobno vozilo nije se zaustavilo ispred ŽCP-a i propustilo putnicki vlak_x000D_
- Smanjena vidljivost zbog mraka i magle 
- The car did not stop in front of the level crossing and the passenger train failed_x000D_
- Reduced visibility for darkness and fog</t>
  </si>
  <si>
    <t>HU-5471</t>
  </si>
  <si>
    <t>Unauthorised train movement other than SPAD, 29-10-17, Vajta (Hungary)</t>
  </si>
  <si>
    <t>Two trains entered into a plain line, from opposite direction.</t>
  </si>
  <si>
    <t>Vajta</t>
  </si>
  <si>
    <t>Other occurrence - not to be submitted to ERA; 
(b) it forms part of a series of accidents or incidents relevant to the system as a whole</t>
  </si>
  <si>
    <t>Communication failure of traffic control staff</t>
  </si>
  <si>
    <t>HU-5476</t>
  </si>
  <si>
    <t>Train derailment, 29-10-17, Budapest, Új köztemeto vá. (Hungary)</t>
  </si>
  <si>
    <t>The tram derailed by 1 axle on a switch.</t>
  </si>
  <si>
    <t>Budapest, Új köztemeto vá.</t>
  </si>
  <si>
    <t>A váltó félállásban maradt, és azt a jármuvezeto nem észlelte. 
The switch remained in a half position and was not detected by the driver.</t>
  </si>
  <si>
    <t>Az utasítás nem ad használható, következetes szabályokat a váltójelzokkel, azok jelzési képeinek komolyan vehetoségével kapcsolatban;_x000D_
A jármuvezetok a tapasztalt hibáknak csak kis részét jelentik be 
The instruction does not provide usable, consistent rules for switchboards , their signal availability seriously;_x000D_
Drivers report only a small percentage of the errors they encounter</t>
  </si>
  <si>
    <t>AT-5612</t>
  </si>
  <si>
    <t>Trains collision, 30-10-17, Haiding (Austria)</t>
  </si>
  <si>
    <t>In the railwaystation Neumarkt-Kallham the Train 5906 was parked, unrolled
in the direction of Wels and collided with the evacuated Train 5968 in the
railwaystation Haiding on track 402. No people were injured. There was
considerable material damage to the vehicles. There was no derailment.</t>
  </si>
  <si>
    <t>Haiding</t>
  </si>
  <si>
    <t>One switch was slightly damaged. Furthermore, considerable material
damage was caused to the rail vehicles involved.</t>
  </si>
  <si>
    <t>article 20.2 of Directive (EU) 2016/798 - (c)</t>
  </si>
  <si>
    <t>With the push-pull train set, neither the handbrake was applied on the vehicle
nor was the train secured against unrolling with the indirect brake. The pushpull train set was not dismantled as planned in the duty roster, but the driver's
cab was changed. During the change from the traction vehicle 1144 to train
8073 in Neumarkt-Kallham station, both the SIFA (safety driving circuit) shutoff valve and the ZuBas (additional brake shut-off valve) on the compressed
air frame of the control wagon 8073 (upgrading the control wagon) were not
opened by the train driver. The direct brake was applied by the train driver on
the traction vehicle 1144, but this was released again after 45 minutes due to
the automatic disconnection of battery circuit A and the associated
disconnection of the remote control between traction vehicle and control
wagon. After releasing the direct brake, the train was no longer braked and
was then able to unwind at Neumarkt-Kallham station due to the gradient of
3.661 ‰. As there was a gusty wind coming from the west on this day, which
acted on the front of the control wagon, it cannot be ruled out that this
contributed favourably to the unrolling. A SIFA forced braking could not take
place due to the blocked SIFA stopcock. A PZB (Punctual train control)
emergency braking of the unrolled push-pull train set could not be triggered
either, as the PZB was also affected by the automatic disconnection of
battery circuit A.</t>
  </si>
  <si>
    <t>RO-5472</t>
  </si>
  <si>
    <t>Train derailment, 30-10-17, Bucuresti Nord (Romania)</t>
  </si>
  <si>
    <t>the  first axle from the locomotive EA 892, that hauled the passenger train no.1741 derailed on the exit from the railway station Bucuresti Nord</t>
  </si>
  <si>
    <t>Bucuresti Nord</t>
  </si>
  <si>
    <t>Cauza directa a producerii accidentului o constituie escaladarea flancului activ al ciupercii ?inei de legatura de pe firul exterior al curbei schimbatorului de cale nr.1 de catre buza ro?ii din partea stânga a osiei nr.1 a locomotivei EA 892, ca urmare a depa?irii limitei de stabilitate la deraiere. Aceasta s-a produs în condi?iile în care ecartamentul caii pe zona inimii de încruci?are simpla a schimbatorului de cale nr.1 avea valori ce nu se încadrau în domeniul admis, iar cota qR a buzei ro?ii din partea stânga a osiei nr.1 depa?ea valoarea maxima admisa. _x000D_
Factorii care au contribuit la producerea accidentului:_x000D_
?	bavurile existente pe zona inimii de încruci?are simpla a schimbatorului de cale nr.1._x000D_
?	punerea în serviciu a locomotivei în condi?iile în care bandajul ro?ii din partea stânga a osiei nr.1 avea un profil necorespunzator._x000D_
Comisia de investigare men?ioneaza faptul ca, accidentul feroviar s-a produs în condi?iile cumularii celor doi factori, producerea acestuia nefiind posibila în absen?a unuia dintre ace?ti factori. 
The direct cause of the accident is the overclimbing of the rail gauge of the exterior connection rail head  of the curve of the switch no.1 by the flange of the left wheel from the axle no. 1 of the locomotive EA 892, following the exceeding of the derailment stability limit. It happened because the track gauge at the common crossing of the switch no.1 had values out of accepted field, and the the flange gradient qR of left wheel from the axle no.1 exceeded the accepted maximum value. _x000D_
Contributing factors:_x000D_
?	burrs existing at the common crossing of the switch no.1._x000D_
?	putting in service of the locomotive under the circumstances the tyre of the left wheel  from the axle no.1 had an unsuitable profile._x000D_
The investigation commission stipulates that the accident happened following the cumulation of those two factors, its occurrence not being possible if one of these two factors was missing.</t>
  </si>
  <si>
    <t>Cauzele subiacente _x000D_
1.	Nerespectarea prevederilor art.19.2 din Instruc?ia de norme ?i toleran?e pentru construc?ia ?i între?inerea caii - linii cu ecartament normal - nr.314/1989, referitoare la toleran?ele admise fa?a de ecartamentul prescris la aparatele de cale. _x000D_
2.	Nerespectarea prevederilor Cap. nr.7 „Condi?ii tehnice de calitate” din specifica?ia tehnica cod ST 21-2008 edi?ia 1, revizia 0 „Reprofilarea bandajelor la osiile vehiculelor feroviare pe strungul subteran tip Hegenscheidt”, referitoare încadrarea cotei qR în limitele admise. _x000D_
_x000D_
Cauze primare_x000D_
1.	Neaplicarea tuturor prevederilor procedurii operationale cod PO SMS 0-4.07 „Respectarea specificatiilor tehnice, standardelor si cerintelor relevante pe întreg ciclul de viata a liniilor în procesul de întretinere”, parte a sistemului de management al sigurantei administratorului de infrastructura feroviara publica CNCF „CFR” SA, referitoare la executarea lucrarilor de între?inere ?i repara?ii periodice a liniilor de cale ferata._x000D_
2.	Necorelarea cerin?ei de la Cap. nr.7 „Condi?ii tehnice de calitate” din specifica?ia tehnica cod ST 21-2008 edi?ia 1, revizia 0 „Reprofilarea bandajelor la osiile vehiculelor feroviare pe strungul subteran tip Hegenscheidt”, referitoare la încadrarea cotei qR în limitele admise, cu prevederile capitolului 6, lit.e  „Masuratori efectuate dupa strunjire” ?i ale capitolului 9 „Lista mijloacelor de masura, a dispozitivelor speciale necesare activita?ii de reprofilare”, din aceea?i specifica?ie tehnica._x000D_
3.	Evaluarea incompleta a pericolului reprezentat de „Neverificarea condi?iilor tehnice pe care trebuie sa le îndeplineasca osiile montate ale vehiculelor feroviare pentru a fi admise în circula?ie”, în sensul ca acestui pericol nu are  asociat la rubrica „Func?ia/Actor responsabil cu masura de siguran?a” din „Fi?a de identificare a pericolelor/ evaluare riscuri generate cod: F-PO-0-8.5.3-05-03” ?i func?ia de strungar. 
Underlying causes _x000D_
1)	infringement of the provisions of art.19.2 from Instruction of norms and tolerances for the track construction and maintenance – lines with standard gauge - no.314/1989, concerning the accepted tolerances against the gauge prescribed for the switches. _x000D_
2)	infringement of the provisions from Chapter no.7 „Quality technical conditions” from the technical specification code ST 21-2008 edition 1, revision 0 „Re-profiling the tyres from the axles of the railway vehicles on the underfloor lathe type Hegenscheidt”, concerning the fell of the flange gradient qR between the accepted limits._x000D_
_x000D_
Root causes_x000D_
1.	Non-application of all provisions of the operational procedure code PO SMS 0-4.07 „Compliance with the technical specifications, standards and requirements relevant for whole life cycle of lines in maintenance process”, part of the safety management system of the public infrastructure manager CNCF „CFR” SA, concerning the performance of the maintenance and periodical repairs of the lines._x000D_
2.	Lack of correlation of the requirement from the Chapter no.7 „Quality technical conditions” from the technical specification code ST 21-2008 edition 1, revision 0 „Re-profiling the tyres from the axles of the railway vehicles on the underfloor lathe type Hegenscheidt”, concerning the fell of the flange gradient qR between the accepted limits, with the provisions of chapter 6, letter e  „Measurements carried out after the turning” and with those of chapter 9 „List of the measuring means, of the special devices necessary for the re-profiling”, from the same technical specification._x000D_
3.	Incomplete assessment of the hazard represented by „Non-checking of the technical conditions that the wheelset of the railway vehicles had to meet with in order to be accepted in traffic” as meaning that for this hazard was not associated with the job ”turner”(in the box „Job/Actor responsible for the safety measure” from „Sheet for the identification of hazards/assessment of generated risks code: F-PO-0-8.5.3-05-03).</t>
  </si>
  <si>
    <t>UK-5507</t>
  </si>
  <si>
    <t>Broken wheels, 30-10-17, Ferryside (United Kingdom)</t>
  </si>
  <si>
    <t>Between about 06:50 hrs and 08:14 hrs on Monday 30 October 2017, train reporting number 6B13, the 05:00 hrs DB Cargo service from Robeston (Milford Haven) to Westerleigh, caused extensive damage to the track that it travelled over on the part of its journey between Ferryside and Llangennech. The train stopped on the approach to Llangyfelach tunnel, about 70 miles after leaving Robeston, when the driver was told of a possible problem. Subsequent examination by Network Rail found at least nine broken rails, and damage to level crossings and signalling equipment._x000D_
The train consisted of a locomotive and 29 loaded tank wagons. Examination of the leading wagon found that the brake rigging on the leading bogie had disintegrated, and that the trailing pair of wheels on that bogie had suffered significant damage (wheel flats). Some of the components of the braking system were hanging down and dragging along the track, and others were missing altogether._x000D_
The leading wagon was loaded with 76 tonnes of diesel fuel. The following 28 wagons, also loaded with petroleum products, passed over each rail break without derailing._x000D_
The RAIB’s preliminary examination has concluded that the brakes of all the wagons in the train were almost certainly properly released when the train left Robeston. It appears at present that one set of wheels ceased to rotate at some point during the journey, leading to the development of the wheel flats, and began to turn again in the Ferryside area. The impacts from the rotating, damaged, wheels gave rise to the broken rails, and may also have caused the disintegration of the brake rigging.</t>
  </si>
  <si>
    <t>Ferryside</t>
  </si>
  <si>
    <t>The damage to the infrastructure was caused by impact loading from rotation of the wheelset with severe wheel flats, and dragging of the master brake beam under the wagon after its left-hand end had broken free.</t>
  </si>
  <si>
    <t>It is probable that the second wheelset of wagon GERS89009 locked up and developed wheel flats because an object became caught between one of the wheels and the adjacent brake block holder. This object was most likely to have been one of the brake blocks when it fell off the bogie (paragraph 69, Learning point 1)._x000D_
113 It is probable that the brake blocks fell off because split pins were not fitted to the block holders on the leading bogie when the blocks were replaced on 27 October (paragraph 72, Learning point 1)</t>
  </si>
  <si>
    <t>RO-5477</t>
  </si>
  <si>
    <t>Other, 31-10-17, Comarnic Campina (Romania)</t>
  </si>
  <si>
    <t>in the running of freight train no.21753-2 (loaded with dangerous goods),  in open line between the railway  stations Comarnic and Campina it was found that the 12th wagon from the train  had leakage of content and smoke release</t>
  </si>
  <si>
    <t>Comarnic Campina</t>
  </si>
  <si>
    <t>Cauza directa, factori care au contribuit_x000D_
Cauza directa a producerii incidentului o constituie aprinderea amestecului de substan?e organice ?i particule de îngra?amânt cu nitrat (azotat) de amoniu, aflate pe partea superioara a tablei parascântei situata deasupra ro?ii nr.4 de la vagonul nr.33872752172-0. Acest lucru s-a produs în condi?iile existen?ei unor deficien?e ale scândurilor podelei în zona ro?ii nr.4, care au facut posibila ajungerea pe tabla parascântei de substan?e organice (hârtie ?i a?chii de lemn produse prin ruperea scândurilor podelei) în amestec cu particule de îngra?amânt cu nitrat (azotat) de amoniu, iar temperatura tablei a crescut foarte puternic sub ac?iunea jerbei de scântei produse la contactul dintre sabo?ii de frâna ?i suprafa?a de rulare a ro?ii._x000D_
Factorii care au contribuit:_x000D_
-	circula?ia vagonului de marfa nr.33872752172-0 cu deficien?e ale podelei în zona ro?ii nr.4 (scânduri rupte);_x000D_
-	prezen?a resturilor de îngra?amânt cu nitrat (azotat) de amoniu pe podeaua vagonului ?i tabla parascântei;_x000D_
-	circula?ia trenului de marfa nr.21753-2 pe o distan?a de peste 36 km în regim de frânare (sec?ia de circula?ie Predeal – Câmpina având panta caracteristica de 20‰, panta în sensul de mers al trenului). 
Direct cause_x000D_
The direct cause of the incident was the ignition of the mixture between the organic substances and particles of fertilizer with ammonium nitrate (nitrate), situated on the upper part of the arrestor plate, being above the wheel no.4 of the wagon no.33872752172-0. It happened following the existence of some deficiencies of the floor boards in the area of the wheel nor.4, that allowed the presence on the arrestor plate of organic substances (papers and wood chips generated by the breakage of the floor boards) mixtured with particles of fertilizer with ammonium nitrate (nitrate), and the temperature of the plate increased seriously under the action of the sparks  flow  generated at the contact between the brake shoes and the wheel running surface._x000D_
Contributing factors:_x000D_
-	running of the wagon no.33872752172-0 with problems at the floor in the area of the wheel no.4 (board broken);_x000D_
-	presence of remains of fertilizer with ammonium nitrate (nitrate) on the floor of the wagon and spark arrestor plate;_x000D_
-	the running of the freight train no.21753-2 on about 36 km in braking condition (track section Predeal – Câmpina having the characteristic gradient 20‰, in the train running direction).</t>
  </si>
  <si>
    <t>Cauze subiacente_x000D_
1.	Nerespectarea prevederilor art.52, alin.(6) din Regulamentul privind transportul pe caile ferate din România  referitoare la cura?irea de orice resturi care provin de la marfa descarcata a mijloacelor de transport, dupa transportul ce a avut ca destina?ie sta?ia CFR Ta?nad. _x000D_
2.	Nerespectarea prevederilor art.88, pct.1, lit.(t) din Regulament pentru circula?ia trenurilor ?i manevra vehiculelor feroviare – nr.005/2005 referitoare la interzicerea introducerii în trenuri a vagoanelor ce nu sunt complet descarcate._x000D_
3.	Nerespectarea prevederilor art.36, alin.(10) din Regulamentul privind transportul pe caile ferate din România referitoare la verificarea de catre expeditor a mijloacelor de transport puse la dispozi?ia sa. _x000D_
_x000D_
Cauze primare _x000D_
Neaplicarea în totalitate a prevederilor din procedurile ?i instruc?iunile de lucru care reglementeaza activitatea de încarcare a vagoanelor de marfa, reglementari interne ce fac parte din sistemul de management al calita?ii aplicat la nivelul expeditorului marfii (SC AZOMURE? SA). 
Underlying causes_x000D_
1.	Infringement of the provisions of art.52, paragraph (6) of the Regulations for Romanian railway transports  concerning the removal of any remains rested from the freight unloaded from the transport means, after the transport having as destination the railway station Ta?nad. _x000D_
2.	Infringement of the provisions of art.88, point 1, letter (t) from the Regulations for the train running and railway vehicles shunting – no.005/2005 concerning the prohibition to couple at trains wagons that are not completely unloaded._x000D_
3.	Infringement of the provisions of art.36, paragraph (10) from the Regulations for Romanian railway transports concerning the checking by the forwarder of the transport means put at his disposal. _x000D_
_x000D_
Root causes _x000D_
Non-application, completely, of the provisions from the procedures and working instructions, regulating the loading of the wagons, internal regulations that are part of the quality management system applied by the freight forwarder (SC AZOMURE? SA).</t>
  </si>
  <si>
    <t>CZ-5480</t>
  </si>
  <si>
    <t>Trains collision, 02-11-17, Open line between Kostomlaty nad Labem and Lysá nad Labem stations (Czech Republic)</t>
  </si>
  <si>
    <t>Collision of the freight train No. 53973 with the freight train No. 66021 with consequent derailment of 1 rolling stock.</t>
  </si>
  <si>
    <t>Open line between Kostomlaty nad Labem and Lysá nad Labem stations</t>
  </si>
  <si>
    <t>Direct cause:_x000D_
• failure to stop of the freight train No. 53973 in front of the freight train No. 66021 at movement under condition for running on sight in occupied block section of the automatic block._x000D_
_x000D_
Contributory factor:_x000D_
• failure to follow the signal repeater by the train driver of the freight train No 53973.</t>
  </si>
  <si>
    <t>Underlying cause:_x000D_
• failure to observe the technological procedures of the IM and the RU for condition for running on sight by train driver of the freight train No. 53973._x000D_
_x000D_
Root cause: none.</t>
  </si>
  <si>
    <t>FR-5503</t>
  </si>
  <si>
    <t>Level crossing accident, 02-11-17, Bonneville-sur-Touques (France)</t>
  </si>
  <si>
    <t>Express regional train hits, at a speed of 136 km/h, a car at a level crossing with no barrier._x000D_
The train derails. The three passagers of the car die.</t>
  </si>
  <si>
    <t>Bonneville-sur-Touques</t>
  </si>
  <si>
    <t>The direct cause of the accident is that the driver of the road vehicle did not perceive the arrival of the train before crossing the level crossing.</t>
  </si>
  <si>
    <t>The underlying cause is that the driver of the road vehicle entered a dead-end road, probably by mistake of orientation. Then, just after crossing the level crossing, the driver found no road surface. He was probably aware of his misdirection and started a turnaround. He again engaged the level crossing upon arrival, on his right, a regional train.</t>
  </si>
  <si>
    <t>PL-5488</t>
  </si>
  <si>
    <t>Level crossing accident, 02-11-17, section Sniadowo - Lapy (Poland)</t>
  </si>
  <si>
    <t>On 2 November 2017, Rob2 track-maintenance car – consisting of a DS10-02 221 type motor draisine No. 99 51 9683 023-7- PL-PLK registered in the European Vehicle Register (EVN) owned by the infrastructure manager PKP Polskie Linie Kolejowe S.A. – was heading towards Lapy station along railway line No. 36 on Sniadowo–Lapy railway route. The front part of the Rob2 car was located in the direction of the longer part of the vehicle, i.e. in the direction of the cargo box with Hds davit. In this case, the driving position in the cabin of the railway vehicle is located in the back of the vehicle to the right in the direction of travel, and the crane was folded, as designed, to the left in the direction of travel and did not obscure the sight of either the railway line or the level crossing infrastructure, including the access roads to the level crossing.  _x000D_
The only person present on board of the railway vehicle was the driver of the motor draisine, which was contrary to §6(2) of Interim rules for managing construction traffic stating that apart from the driver, on board of the railway vehicle another, authorised employee must be present to stop the road traffic at 5 crossings at line no 36 while the railway vehicle is going through the crossing. The obligation to stop the traffic applied also to the level crossing located at the 37.119th km of the above-mentioned railway line. When approaching this crossing, starting at W6a sign located at the 36.670th km (449 m before the crossing) for the crossing of category A at the 37.119th km of the line no 36, the driver of the railway vehicle (based on the hearing of the driver of the railway motor car) repeatedly gave Rp1 “Attention” signal (one long siren signal) and stopped the Rob2 track-maintenance car before the crossing. Having stopped the vehicle, to the left of the crossing, the driver of the railway vehicle saw an approaching car, which began to slow down, and, to the right, a car far away. Next, the driver of the railway vehicle started the railway motor car. When the front part of the Rob2 track-maintenance car was entering the crossing, the driver of the railway vehicle again sounded the “Attention” signal. The railway vehicle was entering the crossing at a very slow pace at about 2–3 km/h (according to the hearing of the driver and based on witness testimony). While the railway vehicle was crossing the axis of road no 68, at 6.49 p.m. a Volkswagen Golf passenger car registration number GD XXXXX heading from Zambrów to Lomza along national road no 63 hit the right-hand side of the railway vehicle (in its direction of travel) where the first wheelset is located; as a result the road vehicle suffered extensive damage and the motor draisine derailed and was pushed along the axis of the road for ca. 2.5 m. This shows that the impact of the road vehicle on the railway vehicle was very strong._x000D_
This is supported by the fact that the longitudinal force of the railway vehicle resulting from its speed was weaker than the lateral force effected by the road vehicle. As a result, the motor draisine lost its direction of travel, derailed and suddenly stopped after moving along the axis of the road. The collision took place on the right lane and the derailed motor draisine did not leave the platform of the crossing. At the moment of the collision, the driver of the motor draisine stopped the Rob2 track-maintenance car (according to the hearing of the motor draisine’s driver). _x000D_
As a result of the road vehicle hitting the front part of the railway motor car, the front part of the road vehicle was completely destroyed and the first wheelset of the railway motor car derailed in the direction of the road to the left.  As the consequence of the collision 3 passengers form the car died and 1 pasenger of the car was seriously injured.</t>
  </si>
  <si>
    <t>section Sniadowo - Lapy</t>
  </si>
  <si>
    <t>A road vehicle – a Volkswagen Golf passenger car – drove at a high speed into the right front side of a Rob2 track-maintenance car in the direction of travel of the train consisting of a Ds10-02-221 railway motor car while passing through a level crossing without the involvement of a road traffic officer.</t>
  </si>
  <si>
    <t>I. Primary cause: _x000D_
1.  failure to implement the interim rules for traffic management at railway line no 36 by the supervision service of the Exploitation Unit of PKP PLK S.A. in Hajnówka; failure to assign an adequate number of personnel with relevant qualification to carry out the tasks at hand, which would allow for the latter to be completed according to applicable law, i.e. in the Rob2 track-maintenance car crew, the infrastructure manager failed to include a person authorised to manage traffic at level crossings at railway line no 36, including at the crossing at the 37.119th km during the time when Rob2 track-maintenance car was going through the crossing, which led to non-compliance with the requirements of § 6(2) of Interim rules for managing construction traffic No IZESa-703-06/2017 of 19 January 2017, as amended. _x000D_
2.  The driver of the motor draisine decided to drive the Rob2 track-maintenance car without a person authorised to manage traffic at level crossings present (as required by “S” written order of the train manager) including at the crossing at the 37.119th km of the railway line no 36._x000D_
_x000D_
II.	Indirect cause:_x000D_
1. The driver of the Volkswagen Golf passenger car was not particularly cautious, especially when entering the crossing at a high speed without first making sure that no railway vehicle was approaching, which was contrary to Article 28(1) and (2) of Road Traffic Law of 20 June 1997 (Dz. U. [Journal of Laws] of 2017, item 128, as amended)._x000D_
2. The driver of Rob2 track-maintenance car did not inform his immediate superior that no employee authorised to manage traffic at level crossings was present. _x000D_
_x000D_
_x000D_
III.	System causes:_x000D_
The infrastructure manager and its implementing units did not implement the Safety Management System procedures, in particular: no relevance analysis of the change resulting from the resumed railway traffic at the closed railway line no 36 was carried out (procedure SMS PR-03); no risk analysis and assessment was carried out nor were any measures taken to mitigate the risk of such an event, which includes failure to ask the road operator to introduce a speed limit for road vehicles passing the level crossing in light of the expected traffic of maintenance vehicles at railway line no 36. The Investment Implementation Centre (CRI) did not supervise the implementation of the procedure for corrective and preventive actions.</t>
  </si>
  <si>
    <t>CZ-5491</t>
  </si>
  <si>
    <t>Trains collision, 05-11-17, crossroad HybeÅ¡ova and Nové Sady streets, Brno (Czech Republic)</t>
  </si>
  <si>
    <t>Frontal collision of the tram No. 1 course 17 with the tram No. 1 course 3. with consequent derailment</t>
  </si>
  <si>
    <t>crossroad HybeÅ¡ova and Nové Sady streets, Brno</t>
  </si>
  <si>
    <t>Direct cause:_x000D_
• movement of the tram No. 1 course 17 over the switch No. 709, which was not switched for required direction._x000D_
Contributory factor for consequences:_x000D_
• driver of the tram No. 1 course 17 did not keep the maximum permitted speed 15 km.h-1 when driving against the tip of point blade of the switch No. 709.</t>
  </si>
  <si>
    <t>Underlying cause:_x000D_
• insufficient check of the position of the switch No. 709, which was switched to direction Nové Sady loop._x000D_
Root cause: none.</t>
  </si>
  <si>
    <t>UK-5528</t>
  </si>
  <si>
    <t>Other, 07-11-17, Peckham Rye (United Kingdom)</t>
  </si>
  <si>
    <t>At 18:46 hrs on Tuesday 7 November, an Arriva Rail London (London Overground) service from Dalston Junction to Battersea Park came to a stand, shortly before reaching Peckham Rye station. A faulty component on the train had caused the brakes to apply, and the driver was unable to release them. There were about 450 passengers on the train._x000D_
The train driver spoke over the train radio system with the service controller, train technicians, and the signaller. Following these conversations he began, with the assistance of staff from Peckham Rye station, to evacuate the passengers from the train via the door at the right-hand side of the driver’s cab at the front of the train. This involved passengers climbing down vertical steps to ground level, very close to the live electric conductor rail (3rd rail) and walking along the side of the line about 30 metres to Peckham Rye station._x000D_
Soon afterwards, an operations manager from GTR (which manages Peckham Rye station) contacted station staff and realised they were at the side of the electrically energised track assisting in the evacuation, and that about 80 passengers had already left the train by this route. The operations manager immediately instructed staff to stop the evacuation, and requested that the train driver contact the signaller and his company’s controller for further instructions._x000D_
The driver, with further advice from train technicians, then isolated various safety systems which enabled him to release the brakes and move the train forward into Peckham Rye station, arriving at about 19:40 hrs. It was then possible for all the passengers to leave the train normally, and it proceeded, empty, to the depot at New Cross Gate. No-one was hurt in the incident.</t>
  </si>
  <si>
    <t>Peckham Rye</t>
  </si>
  <si>
    <t>The passengers were detrained onto a line in close proximity to a live conductor rail because the train driver initiated the detrainment without the traction current being turned off.</t>
  </si>
  <si>
    <t>The causal factors were:_x000D_
a. The train became immobilised due to a technical fault which was not identified, Recommendation 1)._x000D_
b. The train driver initiated the detrainment onto the track because he was given instructions by ARL strategic command who had misunderstood the actual location of the stranded train (paragraphs 78 to 82, Recommendations 1 and 2, Learning point 2, see paragraphs 149(g), (h), (i) and (j))._x000D_
c. The defect on the train and the lack of coordination between ARL and Network Rail resulted in a delay, which caused unrest among the passengers on the train, and contributed to stress and task overload of the train driver, whose experience and skills did not enable him to cope with the situation (paragraphs 83 to 92, Recommendation 1, see paragraphs 149 (a) and (b), Learning point 1)._x000D_
d. The train driver and the signaller did not reach a clear understanding about the actions that were required to safely detrain the passengers. This causal factor arose because the quality of the communications between the driver and the signaller was such that neither driver nor signaller realised that an unsafe detrainment was about to take place (paragraphs 93 to 101, Recommendation 1, see paragraphs 146(a), 149 (a) and (b) and Learning point 2)._x000D_
e. Network Rail did not effectively implement its own procedures for managing an incident involving a stranded train (paragraphs 102 to 105, Recommendation 3, Learning point 3)._x000D_
Underlying factors_x000D_
137 The following underlying factors were identified:_x000D_
a. Network Rail signalling staff were not adequately prepared to manage the incident (paragraphs 107 and 108, Recommendation 3, Learning point 3)._x000D_
b. ARL strategic command were not adequately prepared to manage the incident, which led to prolonged delays, confused response to resolving the situation and a failure to understand that the events were developing into a dangerous incident (paragraphs 109 to 115, Recommendations 2 and 3, see paragraphs 148, 149 (f) and (i))._x000D_
c. The standards and guidance relating to stranded trains place little emphasis on the need for practical training for those involved (paragraph 117, Recommendations 2 and 3, see paragraph 146(b)).</t>
  </si>
  <si>
    <t>IT-5510</t>
  </si>
  <si>
    <t>Train derailment, 09-11-17, Firenze Castello (Italy)</t>
  </si>
  <si>
    <t>Train derailment entering the station of Firenze Castello (no passenger service in this station)</t>
  </si>
  <si>
    <t>Firenze Castello</t>
  </si>
  <si>
    <t>frattura del fusello e la sua conseguente separazione dal corpo dell’assile n. 23 (s.m.t.), identificativo US9580812, appartenente al secondo carrello installato sulla vettura n. 6 
fracture of the fusel and its consequent separation from the body of axle No. 23 (s.m.t.), identification US9580812, belonging to the second cart installed on the car No. 6</t>
  </si>
  <si>
    <t>1. non conforme assemblaggio del dispositivo boccola con disco di bloccaggio sul fusello destro (s.m.t.) dell’assile n. 23_x000D_
2. l’assenza di segnalamento al PdC di probabile avaria dello stato funzionale ed operativo termo-meccanico dei dispositivi boccola 
1. Non-compliant assembly of the bushing device with locking disk on the right fuse (s.m.t.) of axle No. 23_x000D_
2. the absence of signalling to the PdC of probable failure of the functional and operating thermo-mechanical state of the bushing devices</t>
  </si>
  <si>
    <t>PL-5515</t>
  </si>
  <si>
    <t>Unauthorised train movement other than SPAD, 10-11-17, Nysa - Nowy Swietów (Poland)</t>
  </si>
  <si>
    <t>The freight train No 624016 operated by Cargo Przewozy Towarowe Sp. z o. o. Sp. k. has been teared (disconnected) due to the broken pulling device, as a consequence of which 3 freight wagons have run away. _x000D_
On 10 November 2017 at 4:30’00 a.m., the TMS 624016 freight train from Kamieniec Zabkowicki to Szeligi consisting in 45 Faccpp-series self-discharging four-axle loaded wagons, type 9-429.0 in line with the TP LKKV 03/98 specification, indented for crushed stone transportation (based on Czech documents provided by the carrier “Cargo PTT”) departed the station track 2 at Nysa station in the direction of Nowy Swietów on the main track 2. _x000D_
The train of the total length of 463 m, net weight: 1,544 tonnes, gross weight: 2,225 tonnes, brake weight 1,320 tonnes, was double-headed with two diesel locomotives: M62–1154 series(No. EVN 92 51 363 0 343-3 PL-CTPiP) operated by a driver of the carrier “Cargo PTT” in Wroclaw, who was leading the train (hereinafter referred to as “leading driver”), and the second locomotive, series SM42-2444 (No. EVN 92 51 362 0 331-0 PL-ASPWR), running as the second locomotive in double heading, also operated by the carrier “Cargo PTT” driver in Wroclaw (hereinafter referred to as “second locomotive driver”)._x000D_
The owner of the Faccpp Hopper Dozator series self-discharging four-axle loaded wagons is TSS Cargo a. s. – Ostrava, (Czech Republic)._x000D_
While the TMS 624016 train was moving at the Nysa – Nowy Swietów route, at the ascent of about 10.0‰ when reaching Nowy Swietów station on 129.650 km with the speed of 10 km/h and with unreleased brakes of the train, the drawbar got fractured on the 43th wagon from the head of the train (3rd from the back) No. 83 54 683 6 019-2, which caused disconnection of the train set into two parts. Due to the autonomous braking of the train resulted by the loss of air in the main brake pipe, the brakes in three last wagons of the train set did not work effectively. _x000D_
After the first part of the train stopped, wagons No. 83 54 683 6 019-2 (3rd from the back of the train set – 43rd wagon in the train set counting from the head of the train), 83 54 83 6 164-6 (2nd from the back of the train set – 44th wagon in the train set counting from the head of the train) and 83 54 683 6 020-0 (the last one – 45th wagon in the train set counting from the head of the train) started to run through the main track 2 in the direction of Nysa station. _x000D_
There are 6 level crossings on the way of the runaway wagons on the Nysa – Nowy Swietów main track between 127.594 km and 139.841 km (four crossings of “A” category – on 131.987, 136.642, 139.420 and 139.841 km, one level crossing of “C” category – on 133.869 km and one pedestrian crossing of “E” category on 137.341 km)._x000D_
As a result of the runaway of the group of wagons on the above-mentioned railway section, the wagons passed crossings twice, and then the wagons coming from Nowy Swietów (in the third cycle) were stopped on the station track 2 on Nysa station at the control area Ns4 on 139.220 km on the braking skid.</t>
  </si>
  <si>
    <t>Nysa - Nowy Swietów</t>
  </si>
  <si>
    <t>Cargo Przewozy Towarowe</t>
  </si>
  <si>
    <t>The train was disconnected due to a drawback fracture in the 43th wagon behind the locomotive, _x000D_
and a group of three last wagons ran away, as they were not halted after the fall of pressure in the main brake pipe in the air brake of the entire train.</t>
  </si>
  <si>
    <t>I. Primary causes:_x000D_
1)	The traction team did not perform a detailed check of the brake in the brake set at the departing station of the train set._x000D_
2)	The driver of the TMS 624016 train did not apply a proper driving technique when driving a freight train on an ascent of 6.8‰–10,52‰, as he did not appropriately adjust the speed to the profile of the railway section._x000D_
_x000D_
II. Indirect causes:_x000D_
1)	Defective braking system in three wagons: _x000D_
?	wagon No. 83 54 683 6 019-2 (third from the back of the train set) – inappropriate regulation of the SAB brake shoe adjusters, type DA-450 (piston stroke not _x000D_
         compliant with the norm), wagon No. 83 54 683 6 164-6 (second from the back of the train set) – damaged distributor valve, type CV1-D14, _x000D_
?	wagon No. 83 54 683 6 020-0 (the last one from the back of the train set) – damaged distributor valve, type CV1-D14, and brake shoe adjuster (SAB, type DA-450)._x000D_
2)	The driver of the TMS 624016 train who was driving it on 10 November 2017 did not know the railway line section from Kamieniec Zabkowicki station through Nysa _x000D_
         station to Nowy Swietów station. _x000D_
3)	The leading driver did not performed a control braking as provided for in the “Railway Brake Operation and Maintenance Manual of Cargo PTT-12”._x000D_
_x000D_
III. Systemic causes:_x000D_
1)	 Employees responsible for apprenticeship and admission to work of the leading driver of the train were not sufficiently supervised._x000D_
2)	 The maintenance of operating traction units in good technical conditions was not effectively supervised and controlled; the defects indicated by drivers were not repaired on an ongoing basis; there was no supervision and resource control of technical checks performed by the mobile workshop service.</t>
  </si>
  <si>
    <t>CZ-5556</t>
  </si>
  <si>
    <t>Level crossing accident, 13-11-17, open line between Lípa nad Drevnicí and Zlín stred stations (Czech Republic)</t>
  </si>
  <si>
    <t>Collision of the regional passenger train No. 14212 with the lorry at the level crossing.</t>
  </si>
  <si>
    <t>open line between Lípa nad Drevnicí and Zlín stred stations</t>
  </si>
  <si>
    <t>Direct cause:_x000D_
• an unauthorized entry of the lorry at the level crossing No. P8251 at the time when it was forbidden.</t>
  </si>
  <si>
    <t>Underlying causes:_x000D_
• the entry of the lorry at the level crossing No. P8251 at the time when the arriving regional passenger train No. 14212 could be visible and audible;_x000D_
• behavior of the driver in front of the level crossing No. P8251, the lorry driver wasn't careful enough and didn't make sure whether he could safely pass the level crossing._x000D_
_x000D_
Root cause: none.</t>
  </si>
  <si>
    <t>RO-5495</t>
  </si>
  <si>
    <t>Train derailment, 13-11-17, Constan?a Port Mol V (Romania)</t>
  </si>
  <si>
    <t>the locomotive running solo EA 2002 derailed by the second bogie on dispatching to railway station Constanta Port Mol V, on the switch no.Ys</t>
  </si>
  <si>
    <t>Constan?a Port Mol V</t>
  </si>
  <si>
    <t>Cauza directa a producerii accidentului feroviar o constituie caderea între firele caii a ro?ii din partea stânga a primei osii a celui de al 2-lea boghiu, în sensul de mers al locomotivei LE 91530472002-1. Acest lucru s-a produs în conditiile cre?terii valorii ecartamentului caii peste valoarea maxima admisa ca urmare a deplasarii laterale a ?inei de pe firul exterior al curbei sub ac?iunea for?elor dinamice transmise caii de catre materialul rulant în mi?care. _x000D_
_x000D_
_x000D_
Factorii care au contribuit:_x000D_
- starea tehnica necorespunzatoare a traverselor de lemn din zona punctului „0” nu a asigurat fixarea ?inelor de traverse, care sub ac?iunea for?elor dinamice transmise de catre rotile materialului rulant au determinat deplasarea laterala a ?inei de pe firul exterior, astfel încât valoarea ecartamentului a crescut peste valoarea maxima admisa de 1470 mm; _x000D_
- cantita?ile de materiale ?i for?a de munca insuficiente realizarii mentenan?ei infrastructurii feroviare; 
Direct cause  of the railway accident was the fall between the rails of the left wheeel from the first axle of the second bogie, in the running direction of the locomotive LE 91530472002-1. It happened following the increase of the track gauge over the maximum value accepted, following the lateral displacement of the exterior  rail of the curve, under the action of the dynamic forces sent by the rolling stock in movement to the track. _x000D_
Contributing factors:_x000D_
- unsuitable technical condition of the wooden sleepers at the point „0” did not ensure the fastening of the rails on sleepers, that under the action of the dynamic forces sent by the wheels of the rolling stock generated the lateral displacement of the exterior rail, so the value of the gauge increased over the maximum accepted value of 1470 mm; _x000D_
- quantities of materials and  labour were not enough to make the maintenance of the railway infrastructure;</t>
  </si>
  <si>
    <t>Cauze subiacente _x000D_
- nerespectarea prevederilor art.25, alin.(2) ?i alin.(4) din „Instruc?ia de norme ?i toleran?e pentru construc?ia ?i între?inerea caii pentru linii cu ecartament normal nr.314/1989”, referitoare la defectele care impun înlocuirea traverselor de lemn si la mentinerea în cale a traverselor necorespunzatoare;_x000D_
- nerespectarea prevederilor pct.4.1. din Cap.4 „Norme de manopera ?i de consum de materiale”, al „Instruc?iei de între?inere a liniilor ferate nr.300/1982” referitoare la asigurarea normei de manopera la între?inerea curenta în execu?ie manuala._x000D_
Cauza primara a accidentului o constituie neaplicarea prevederilor procedurii opera?ionale cod PO SMS 0-4.07 „Respectarea specificatiilor tehnice, standardelor si cerintelor relevante pe întreg ciclul de via?a a liniilor în procesul de întretinere”, parte a sistemului de management al siguran?ei al CNCF „CFR” SA, referitoare la dimensionarea personalului Districtului de linii nr.6 Mol 5, în raport cu volumul de lucrari. 
Underlying causes _x000D_
- infringement of the provisions of art.25, paragraphs (2) and (4) from „Instruction of norms and tolerances for the track construction and maintenance, for lines with standard gauge no.314/1989”, concerning the failures that impose the replacement of the wooden sleepers and the keeping within the track of unsuitable sleepers;_x000D_
- infringement of the provisions of point 4.1. from Chapter 4 „Norms of manpower and material consumption”, of „Instruction for the line maintenance no.300/1982” concerning the ensuring of the norm of manpower for the current manual maintenance._x000D_
Root cause of the accident was the non-application of the provisions from the operational procedure code PO SMS 0-4.07 „Compliance with the technical specifications, standards and  requirements relevant for the whole life time of the lines in maintenance process”, part of the safety management system of CNCF „CFR” SA, with reference to the sizing of staff from Line District no.6 Mol 5 in relation to the works.</t>
  </si>
  <si>
    <t>DE-5504</t>
  </si>
  <si>
    <t>Train derailment, 14-11-17, Mühlacker (Germany)</t>
  </si>
  <si>
    <t>DPN-L 85229 (Bruchsal - Mühlacker) fuhr am Halt zeigenden Ls W 91 vorbei und entgleiste anschließend auf der Weiche 91 mit einem Drehgestell und beiden Achsen nach rechts. 
DPN-L 85229 (Bruchsal - Mühlacker) drove across the stop sign indicating Ls W 91 and derailed afterwards on rail track 91 with one bogie and both axles to the right.</t>
  </si>
  <si>
    <t>Mühlacker</t>
  </si>
  <si>
    <t>A.V.G. Mirko Mokry e.K. Ascherslebener Verkehrsgesellschaft</t>
  </si>
  <si>
    <t>Germany, DB Netz AG</t>
  </si>
  <si>
    <t>Der Fdl Mühlacker ha?e die Einfahrzugstraße für DPN-L 85229 vorzeiOg aufgelöst und die im Fahrweg befindliche W 91 unter dem sich bewegenden Schienenfahrzeug umgestellt. 
The Mühlacker Fdl dissolves the DPN-L 85229 entry road and converts the W 91 in the track under the moving rail vehicle.</t>
  </si>
  <si>
    <t>DK-10130</t>
  </si>
  <si>
    <t>Train derailment, 14/11/2017, Skodsborg-Klampenborg, Denmark</t>
  </si>
  <si>
    <t>Den 14.11.2017 klokken 07:43 kolliderede tog 2026 med en gravemaskinen på strækningen mellem Skodsborg og Klampenborg</t>
  </si>
  <si>
    <t>Skodsborg-Klampenborg</t>
  </si>
  <si>
    <t>DSB</t>
  </si>
  <si>
    <t>DE-5505</t>
  </si>
  <si>
    <t>Train derailment, 15-11-17, Elmshorn (Germany)</t>
  </si>
  <si>
    <t>Am 15.11.2017 gegen 07:09 Uhr entgleiste der Personenzug RE 11004 des Eisenbahnverkehrsunternehmens DB Regio AG auf der Fahrt von Hamburg-Altona nach Westerland (Sylt) bei der Ausfahrt aus Gleis 101 des Bahnhofs Elmshorn in der Weichenverbindung W113/W114 mit acht Achsen.</t>
  </si>
  <si>
    <t>Elmshorn</t>
  </si>
  <si>
    <t>Todesopfer waren keine zu beklagen. Jedoch wurden eine Person schwer und zwei weitere Personen leicht verletzt. Die Sachschäden setzten sich wie folgt zusammen: Fahrzeuge ca. 500.000 Euro; Gleisanlage ca. 200.000 Euro; Leit- und Sicherungstechnik ca. 5.000 Euro. Der Gesamtschaden kann somit auf ca. 705.000 Euro beziffert werden.</t>
  </si>
  <si>
    <t>Die Ursache für die Entgleisung ist das Nichtbeachten der Betra F 244181 (Betriebs- und Bauanweisung; schriftliche Anweisung für Bauarbeiten bei der DB Netz AG), insbesondere bezüglich der bestehenden Sperrung der Weichenverbindung 113-114.</t>
  </si>
  <si>
    <t>RO-5508</t>
  </si>
  <si>
    <t>Train derailment, 16-11-17, Bucuresti Triaj (Romania)</t>
  </si>
  <si>
    <t>the second wagon from the freight train no. 70966 derailed by the first bogie, on the switch no.17 in the railway station Bucuresti Triaj</t>
  </si>
  <si>
    <t>Train Hungary Maganvasut KFT</t>
  </si>
  <si>
    <t>Cauza directa a producerii accidentului feroviar o constituie escaladarea  ciupercii acului curb de catre roata din partea stânga (în sensul de mers al trenului) a osiei conducatoare de la vagonul nr. 338178500249, al 2-lea din compunerea trenului de marfa nr. 70966. Acest lucru s-a produs în conditiile în care acul curb al schimbatorului de cale nr.23 s-a rupt sub ac?iunea sarcinilor dinamice transmise de materialul rulant, determinând apari?ia unui prag orizontal, între capetele de ?ina nou formate._x000D_
Factorii care au contribuit:_x000D_
 - înlocuirea acului curb ?i al contraacului drept al schimbatorului de cale nr.23 cu un alt tip de ac (ac pentru TJD) care avea alta poza a traverselor ?i care nu era omologat pentru acest tip de schimbator, fapt ce a avut ca rezultat montarea acestuia cu sec?iunea  în care s-a produs ruperea (decupajul realizat prin rabotare)  pozi?ionata pe capatul placii metalice, creându-se o zona concentrator de eforturi, ceea ce a favorizat ruperea;_x000D_
- torsionarea caii peste valoarea admisa pentru circula?ia ?i manevra trenurilor, fapt ce a produs descarcarea de sarcina a rotii din partea stânga (în sensul de mers al trenului) a osiei conducatoare a boghiului deraiat al vagonului; 
The direct cause of the  accident was the overclimbing of the curved pojnt head  by the left wheel (in the running direction of the train) of the guiding axle from the wagon no. 338178500249, the 2nd of the freight no. 70966. It happened because the curved point of the switch no.23 broke under the action of the dynamic loads transmited by the rolling stock, generating a horizontal threshold, between the new rails ends._x000D_
Cantributing factors_x000D_
 - replacement of the curved point and of the right stock rail from the switch no.23 with another point (point for double diamond crossing with slips -TJD) that was having another laying of sleepers and that was not homologated for this type of switch, it leading to its assembling with the section where the breakage happened (the cutting up made by planing) on the end of the metallic plate, generating a stress concentrator, favouring the breakage;_x000D_
- track twist over the value accepted for the train running and shunting, it generating the load transfer of the left wheel from the guiding axle  of the derailed bogie (in the train running direction).</t>
  </si>
  <si>
    <t>Cauze subiacente_x000D_
-	nerespectarea prevederilor art.15, alin.(6) ?i alin.(19) din „Instruc?ia de norme ?i toleran?e pentru construc?ia ?i între?inerea caii pentru linii cu ecartament normal nr.314/1989”, referitoare la fixarea pe traverse a aparatelor de cale, care trebuie sa corespunda planurilor de poza tip ?i la neacceptarea ca la trecerea trenurilor acele sa joace prin saltarea vârfului sau calcâiului._x000D_
-	nerespectarea prevederilor art. 43.-(1) din Cap.4 „Norme de manopera ?i de consum de materiale”, al „Instruc?iei de între?inere a liniilor ferate nr.300/2003” referitoare la asigurarea normei de manopera la între?inerea curenta în execu?ie manuala._x000D_
-	for?a de munca ?i cantita?ile de materiale insuficiente realizarii mentenan?ei infrastructurii feroviare;_x000D_
Cauza primara a accidentului o constituie neaplicarea prevederilor procedurii opera?ionale cod PO SMS 0-4.07 „Respectarea specificatiilor tehnice, standardelor si cerintelor relevante pe întreg ciclul de via?a a liniilor în procesul de întretinere”, parte a sistemului de management al siguran?ei al CNCF „CFR” SA, referitoare la dimensionarea personalului Districtului de linii nr.4 Bucure?ti, în raport cu volumul de lucrari. 
Underlying causes_x000D_
-	infringement of the provisions of art.15, paragraphs (6) and (19) from „Instruction of norms and tolerrances for the track construction and maintenance for lines with standard gauge no.314/1989”, concerning the fastening of the switches on the sleepers, that has to be in accordance with the type laying and the non-acceptance that at the train passing the points clearance through the lifting of the tip or heel;_x000D_
-	infringement of the provisions of art. 43.-(1) from Chapter 4 „Norms of manpower and material consumption”,of the „Instruction for the line maintenance no.300/2003” concerning the assurance of the manpower norm at the current hand maintenance;_x000D_
-	the  workforce and the quantities of materials insufficient for the infrastructure maintenance;_x000D_
Root cause _x000D_
Root cause of the accident was  the non-application of the provisions from the operational procedure code PO SMS 0-4.07 „Compliance with the technical specifications, standards and requirements relevant for the whole life cycle of the lines in the maintenance process”, part of the safety management system of CNCF „CFR” SA, concerning the sizing of the staff from the Line District no.4 Bucure?ti, with the reference to the volume of works.</t>
  </si>
  <si>
    <t>RO-5511</t>
  </si>
  <si>
    <t>Broken wheels, 20-11-17, Ciulnita - Calarasi Nord (Romania)</t>
  </si>
  <si>
    <t>the 31 st wagon from the freight train no. 50451 derailed in open line between Calarasi Nord and Ciulnita railway station due to a broken wheel from the rear axle in the running direction</t>
  </si>
  <si>
    <t>Ciulnita - Calarasi Nord</t>
  </si>
  <si>
    <t>Cauza directa a producerii accidentului o constituie spargerea ro?ii nr.2L de la vagonul nr. 33535303552-0, al 30-lea din compunerea trenului de marfa nr.50451. Spargerea ro?ii a fost una brusca, total fragila, produsa ca urmare a lipsei de tenacitate a materialului din care a fost fabricata roata (?arja de fabrica?ie nr.1383, produsa în luna decembrie 1981)._x000D_
  Factorii care au contribuit la spargerea ro?ii nr.2L:_x000D_
?	neomogenitatea structurala a materialului din care a fost fabricata roata (cauzata de încalziri/raciri neuniforme ale calupurilor, fie înainte de deformarea plastica la cald, fie dupa aceasta);_x000D_
?	con?inutul de carbon din materialul ro?ii care depa?e?te valoarea maxim admisa pentru tipul de o?el (R2N) din care a fost fabricata;_x000D_
?	influen?a termica indusa în materialul ro?ii de cordoanele de sudura aplicate pe suprafata de rulare a obezii, pe suprafa?a laterala exterioara a membranei, precum si la racordarea dintre membrana ?i butuc;_x000D_
?	rezisten?a la rupere care nu se încadra în limitele admise la acest tip de o?el de ro?i;_x000D_
?	valorile energiei de rupere la ?oc prea scazute, valori ce indica un material dur, lipsit de tenacitate. 
The direct cause of the accident is the breakage of the wheel no.2L from the wagon no. 33535303552-0, the 30th one of the freight train no.50451. The breakage of the wheel happened suddendly, completely brittle, following the lack of toughness of the material from which it was made off (manufacturing cast batch no.1383, made in December 1981)._x000D_
_x000D_
	Factors contributing to the breakage of the wheel no.2L:_x000D_
?	lack of structural mixing of the material from which the wheel is made off (generated by irregular heating/cooling of the blocks, either before the plastic distortion in heat conditions, or after it);_x000D_
?	the carbon content of the wheel material exceeds the maximum value accepted for the steel type (R2N) from which it is made off;_x000D_
?	thermic influence induced in the wheel material by the welds applied on the running surface of the wheel centre, on the lateral exterior surface of the web, as well as at the connection between the web and the boss;_x000D_
?	the fracture resistance was not between the limits accepted for this type of steel for wheeels;_x000D_
?	the values of the impact fracture energy to low, these indicate a hard material, without toughness.</t>
  </si>
  <si>
    <t>Cauze subiacente_x000D_
 Nu au fost identificate cauze subiacente ale acestui accident feroviar. _x000D_
 Cauza primara_x000D_
	Nu au fost identificate cauze primare ale acestui accident feroviar. 
. Underlying causes_x000D_
 None. _x000D_
_x000D_
Root cause_x000D_
	None.</t>
  </si>
  <si>
    <t>CZ-5509</t>
  </si>
  <si>
    <t>Level crossing accident, 22-11-17, active level crossing No. P6382 between Obratan and Chýnov stations (Czech Republic)</t>
  </si>
  <si>
    <t>Collision of the regional passenger train No. 18420 with the car with consequent derailment at the level crossing No. P6382.</t>
  </si>
  <si>
    <t>active level crossing No. P6382 between Obratan and Chýnov stations</t>
  </si>
  <si>
    <t>Underlying causes:_x000D_
• driver's failure to respect of the light and sound warning and ride at the level crossing at the time when it was forbidden;_x000D_
• behavior of the driver in front of the level crossing, the car driver wasn't careful enough._x000D_
_x000D_
Root cause: none.</t>
  </si>
  <si>
    <t>NO-5550</t>
  </si>
  <si>
    <t>Railway vehicle movement events, 23-11-17, Finneid bridge close to Fauske on Nordlandsbanen (Norway)</t>
  </si>
  <si>
    <t>There were strong easterly winds in the area, with storm force gusts. CargoNet AS’s southbound freight train 5790 left Fauske station at 10:09 bound for Trondheim. Just before Finneid bridge, a container fell off one of the freight wagons and came to rest between the railway line and the E6 road. The railway line was closed following the incident, but was reopened about two hours later with speed restrictions. The traffic on the E6 road was not affected by the incident until during the removal of the container. _x000D_
_x000D_
The investigation will focus on clarifying the sequence of events and identifying possible causal factors. Any underlying conditions that may have contributed to the incident will be mapped and analysed. 
Det blåste kraftig østlig vind opp i full storm i området. CargoNet AS` sydgående godstog 5790 reiste fra Fauske stasjon kl. 10:09 mot Trondheim. Rett før Finneid bru falt en container av en av godsvognene og ble liggende mellom jernbanelinjen og E6. Jernbanelinjen ble stengt etter hendelsen, men ble åpnet igjen etter ca. to timer med begrensninger i framføringshastigheten. Trafikken på E6 ble ikke berørt av hendelsen før containeren skulle fjernes. _x000D_
_x000D_
Undersøkelsen vil ha fokus på å klarlegge hendelsesforløpet og peke på mulige årsaksforhold. Eventuelle bakenforliggende forhold som kan ha bidratt til hendelsen vil bli kartlagt og analysert.</t>
  </si>
  <si>
    <t>Finneid bridge close to Fauske on Nordlandsbanen</t>
  </si>
  <si>
    <t>Wind calculations carried out in connection with the investigation show that a gust of wind must exceed 33 m/s to tip an empty 25-foot swap body with Lagab legs off a two-axle container freight wagon. The values used in the calculation are conservative, as the analysis did not taken the speed of the train into account. The Accident Investigation Board Norway (AIBN) is of the opinion that Bane NOR SF must review its weather preparedness and consider establishing a system to notify railway undertakings of weather situations when strong winds can be expected.  At the same time the AIBN propose that railway undertakings establish procedures that describe necessary measures for safe train operations when receiving notification from the infrastructure manager of strong wind.</t>
  </si>
  <si>
    <t>PL-5519</t>
  </si>
  <si>
    <t>Trains collision, 24-11-17, section Warlubie - Laskowice Pomorskie (Poland)</t>
  </si>
  <si>
    <t>On 24 November 2017, the TDE 512022 train from Gdynia Port to Stara Wies STTH , operated by LOTOS Kolej Sp. z o.o., departed Warlubie station at 6:26 am on Track 2 and stopped at 6:44 ahead of W1/2 home signal before Laskowice Pomorskie station, with S1 “Stop” indication. The train stopped at the home signal due to the lack of available tracks at Laskowice Pomorskie station._x000D_
At 6:36, a next train departed from Warlubie Station to Laskowice Pomorskie station on Track 2, namely the TME 564000 train from Chrusciel to Wróblin Glogowski, operated by POL-MIEDZ TRANS Sp. z o.o. After passing by the multi-section automatic block signal No. 4266P with W1 sign and S5 “The next signals indicates S1 ‘Stop’” indication (informing that the given section is occupied), the driver of the TME 564000 train did not react to the indication of the 4266P signal. He continued driving and he did not stop at the last multi-section automatic block signal No. 4250P with W18 sign, located on 424.900 km, with S1 “Stop” indication. Due to continuing driving at an occupied section, the driver collided with the end of the stopped TDE 512022 train with Pc 5 end-of-train signs._x000D_
The TDE 512022 train was composed of an E31 181-series locomotive No 088-6 and 25 Sgs-series empty platforms. The brakes in the train set were released, while the locomotive was halted with a parking brake. As a result of the collision, the locomotive of that train was moved forward _x000D_
25 metres. This movement caused that flat stops appeared only on the tread of the wheel set of the halted locomotive._x000D_
The TME 564000 train was composed of an E483-201-series leading locomotive, two idle 111Ed-003 and M62-1199 series locomotives and 32 Eaos- and Eamos-series wagons loaded with coal dust. After the collision with the TDE 512022 train, 4 front bottom shock absorbers of the idle 11Ed-003 locomotive were damaged.</t>
  </si>
  <si>
    <t>section Warlubie - Laskowice Pomorskie</t>
  </si>
  <si>
    <t>Pol-Miedz Trans Spólka z ograniczona odpowiedzialnoscia</t>
  </si>
  <si>
    <t>The TME 564000 train struck the end of the TDE 512022 train standing at W1/2 home signal at the entrance to Laskowice Pomorskie station.</t>
  </si>
  <si>
    <t>I.  Primary causes: _x000D_
The driver of the TME 564000 train did not apply the right driving technique after passing the 4266P signal with S5 indication – one steady orange light – indicating that the next signal has a “Stop” indication, and when approaching the 4250P signal with S1 “Stop” indication – one steady red light – and he did not halted the train ahead of this signal._x000D_
_x000D_
II.   Indirect causes:_x000D_
1.	The driver of the TME 564000 train exceeded his 12-hour working time by 2 hours and 48 minutes._x000D_
2.	The driver was driving at 26.5 km/h with the permitted maximum speed at 20 km/h on an occupied section, after passing the 4250P signal with S1 “Stop” indication. The driver did not efficiently watched the track on which the train was running and he did not ensured whether there were no obstacles for further driving._x000D_
3.	The driver was tired due to a long road to the station where he took over the train, and as a result of driving the train for over 7 hours._x000D_
_x000D_
III.   Systemic causes:_x000D_
Not identified.</t>
  </si>
  <si>
    <t>CZ-5512</t>
  </si>
  <si>
    <t>Trains collision, 25-11-17, Vlecka Trineckých Å¾elezáren, a.s., Trinec siding (Czech Republic)</t>
  </si>
  <si>
    <t>The uncontrolled movement of 9 rolling stocks with the consequent collision with the shunting operation and the derailment of 2 rolling stocks.</t>
  </si>
  <si>
    <t>Vlecka Trineckých Å¾elezáren, a.s., Trinec siding</t>
  </si>
  <si>
    <t>Direct cause:_x000D_
• the spontaneous uncontrolled movement of 9 rolling stocks in the direction of the down gradient of the track.</t>
  </si>
  <si>
    <t>Underlying cause:_x000D_
• insufficient security against uncontrolled movement of 9 rolling stocks in accordance with the uniform technological procedures of the IM and RU._x000D_
Root cause: none.</t>
  </si>
  <si>
    <t>HR-5577</t>
  </si>
  <si>
    <t>Other event, 25-11-17, Moslavacka Gracanica (Croatia)</t>
  </si>
  <si>
    <t>On November 25, 2017, at 7:40 pm, on the open line M103, between Ludin and Kutina stations, during the ride of cargo train number 44501, there was a break between the fourth and fifth wagons. There were no injuries in the accident, but there was material damage to the vehicles. 
Dana 25. studenog 2017. godine u 07:40 sati, na otvorenoj pruzi izmedu kolodvora Ludina i Kutina, tijekom vožnje teretnoga vlaka broj 44501 došlo je do raskinuca istoga izmedu cetvrtoga i petog vagona. U nesreci nije bilo stradalih osoba, ali je nastala materijalna šteta na vozilima.</t>
  </si>
  <si>
    <t>Moslavacka Gracanica</t>
  </si>
  <si>
    <t>BE-5514</t>
  </si>
  <si>
    <t>Accident to persons caused by RS in motion, 27-11-17, Morlanwelz (Belgium)</t>
  </si>
  <si>
    <t>Le 27/11/2017, suite à une collision avec une voiture sur le passage à niveau 1 (PN 1) de la ligne 112 à Morlanwelz, un incendie détruit le poste de conduite de l'automotrice de tête d'un train composé de 2 automotrices électriques._x000D_
Après l'accident, les voies sont mises hors service pour permettre l'évacuation du train en détresse et pour effectuer des réparations à l'infrastructure._x000D_
_x000D_
A 19:43, lors de l'évacuation des 2 automotrices par un train de relevage vers la gare de Piéton, l'automotrice accidentée s'échappe et dévale, en roue libre et sans personnel, la voie en pente direction La Louvière-Sud. _x000D_
_x000D_
Lors de son passage à Morlawelz, l'automotrice heurte des agents Infrabel effectuant les réparations à l'infrastructure à hauteur du PN 1._x000D_
_x000D_
Le même convoi poursuit son échappée, passe divers aiguillages et traverse la gare de La Louvière avant de heurter l'arrière de l'automotrice du train E940, circulant sur la voie A de la ligne 118 à Braquegnies. 
On 27/11/2017, following a collision with a vehicle on level crossing 1 (PN 1) on line 112 in Morlanwelz, a fire destroyed the driving cabin of the railcar at the head of a train made up of 2 electrical railcars._x000D_
After the accident, the rail tracks had been suspended in order to allow the evacuation of the train in distress and to perform repairs to the infrastructure._x000D_
At 19:43, during the evacuation of the 2 railcars by a technical train towards the railway station of Piéton, the damaged railcar escaped and raced, in freewheeling mode and without any staff, on the inclined rail track to the direction of La Louvière-Sud. _x000D_
During its passage through Morlanwelz, the railcar ran on some agents of Infrabel who were performing repairs to the infrastructure at PN 1._x000D_
The same convoy continued its escapade, passing through different points and drove through the railway station of La Louvière before clashing on the rear part of the railcar of train E940, and which was circulating on rail track A of line 118 in Braquegnies.</t>
  </si>
  <si>
    <t>Morlanwelz</t>
  </si>
  <si>
    <t>Other; 
Regional passenger train</t>
  </si>
  <si>
    <t>The intermediary and unstable position of internal parts of the coupler of railcar n°442 lead to a coupling failure : during the journey towards Piéton, the damaged railcar (n°449) at the rear of the convoy became uncoupled from the other railcar (n°442). The damaged railcar (n°449), with no brakes and travelling on a slope, started rolling back towards Morlanwelz, causing 2 accidents (Infrabel agents hit in Morlanwelz, followed by a collision with an SNCB/NMBS-train in Bracquegnies)</t>
  </si>
  <si>
    <t>INDIRECT FACTOR : DESIGN_x000D_
When two of these AM96 railcars are coupled, the rubber diaphragms compress against one another, thereby forming a seal. It is a specificity of this type of railcar that allows passengers and staff to pass from one railcar to the other._x000D_
The disadvantage of the presence of these rubber diaphragms pressed against one another is that they do not allow access to the manual uncoupling mechanism located on the couplers._x000D_
Therefore, AM96 railcars feature a manual uncoupling command system in the driver’s cabin: it is a hand crank used to transmit the effort to the mechanism through a cable and its sheath. This manual uncoupling procedure is a "last resort" procedure (used, e.g. when there is no electrical voltage) and is not part of the practices generally implemented by drivers who, in most cases, use the automatic procedure._x000D_
The procedures require the cranks to be operated simultaneously in both drivers' cabins, to cumulate the forces applied._x000D_
On the day of the accident, a first attempt at manual uncoupling using the crank in the driver’s cabin of the railcar n°442 was performed._x000D_
_x000D_
The presence of rubber diaphragms pressed against one another generates a mechanical strain in the coupling mechanism: during normal operations, the automatic uncoupling procedure is initiated by opening a solenoid valve to slightly deflate the rubber diaphragms. _x000D_
On the day of the accident, without electrical voltage, this automatic deflating was not possible._x000D_
Against the mechanical strain, the foot is used by some train driver to apply greater force on the crank: this inappropriate use of the crank causes irreversible damage to the sheath of the cable connecting the crank to the manual uncoupling system. _x000D_
On the day of the accident, the crank in the driver's cabin of the railcar n°442 was performed either with hands either with foot._x000D_
_x000D_
The damage caused to the cable sheath is only visible during workshop maintenance operations. Once the "sheath + cable" system is damaged, rotating the crank no longer drives the correct motion of the internal parts of the coupler, bringing them to an intermediary and unstable position._x000D_
_x000D_
In normal operating conditions, indicator lights inform on the coupling state of the railcar (coupled/uncoupled). In the absence of electrical voltage powering the railcars after the accident, these indicator lights were non-operational. The driver and the first foreman attempted to confirm this state visually, but the rubber diaphragms forming the connection seal between both railcars did not provide access to the couplers connecting the two railcars. There is no other indicator informing on the coupling state of a railcar._x000D_
_x000D_
_x000D_
INDIRECT FACTOR : PROCEDURES_x000D_
The manual uncoupling procedure is a “last resort” procedure and is not part of the practices generally implemented by drivers who, in most cases, use the automatic procedure. _x000D_
Manual decoupling manoeuvres are explained during training, but according to the documents provided to the IB, it seems that practical exercises are not systematically organised. A sticker next to the crank in the driver’s cabin informs that the crank should only be used manually._x000D_
_x000D_
_x000D_
ROOT FACTOR : COMPETENCE MANAGEMENT_x000D_
In the past, the SNCB/NMBS identified a problem with the manual uncoupling system of the AM96: damages were detected to the sheath of the cable connecting the lever of the coupler to the crank. The analysis that was then carried out by the SNCB/NMBS rightly concluded that damage appears when drivers use their foot to apply greater force on the crank. _x000D_
The risks of improper use of the crank have been identified by the railway undertaking and measures had been taken in the workshop during servicing of the rolling stock. However, it seems that the measures taken by the SNCB/NMBS were insufficient to get the driving personnel to use the crank the procedures: _x000D_
practical exercises on the procedure of manually uncoupling AM96 are not systematically integrated in the drivers' training; _x000D_
the sticker placed next to the crank in the driver’s cabin reminds that the crank must be used manually, but does not mention the simultaneous manoeuvre in both driver's cabins; _x000D_
the SNCB/NMBS documentation did not allow to efficiently draw the attention of the driving personnel on the issue. _x000D_
_x000D_
_x000D_
ROOT FACTOR : RISK ASSESSMENT_x000D_
Several cases of runaway railway vehicles are analysed or have already been the subject of a finalised investigation by the IB. Each time, the circumstances are different and the analyses of these different cases allow to detect that the causes reveal both technical aspects and operational, even organisational, aspects. _x000D_
The risks of a runaway railway vehicle have been analysed, but the measures taken by the railway industry do not appear to be adapted to the present railway situation. _x000D_
The railway geography, the organisation of the sector, the numerous customisation and mod¬ernisation works and the evolution of the rolling stock have brought about important changes with respect to the analyses of the past and it seems right to review these risk analyses, in particular in terms of the elements highlighted in this investigation: _x000D_
a train with a non-braked vehicle at the rear of the convoy is authorised to travel to the closest station, although there is no emergency procedure that enables to stop a runaway vehicle for sure should this occur. _x000D_
certain measures taken to protect personnel working on the tracks (closing of the signals) do not protect from the risk of being hit by a runaway railway vehicle, whether this vehicle ran away from a "technical train" (re-railing train, work train) travelling by regulation on the obstructed track, or it ran away from a train located at the signals giving access to the obstructed section. In the case of such events of a runaway train, maintaining automatic signals giving access to the obstructed section or track closed does not protect the per¬sonnel (of the infrastructure manager and/or of the re-railing train) standing in the tracks.</t>
  </si>
  <si>
    <t>HU-5520</t>
  </si>
  <si>
    <t>Trains collision with an obstacle, 28-11-17, Budaörs (Hungary)</t>
  </si>
  <si>
    <t>Pantographs of three personal trains (Nr. IC912, IC919, 4932) had broken between 08.28 and 08.37. am.</t>
  </si>
  <si>
    <t>Budaörs</t>
  </si>
  <si>
    <t>On 28 November 2017, between 08:22 and 08:37, at Budaörs station, between the railway sections № 190 and № 191, the pantographs of the passenger trains № 919 and № 912 (running through the station) and of the passenger train № 4932 (departing from the station) were damaged due to a mechanical malfunction in the overhead contact line system. The malfunction affected both main tracks of the line at the station.
The locomotive driver of the train № 919, which was first affected by the occurrence, detected and reported the damage to the pantograph at the following station (Kelenföld). The train № 912, which was running in the opposite direction, stopped on the open line between Budaörs and Biatorbágy stations after the damage to its pantograph. At that time the traffic manager was occupied with the departure of the train № 4932 therefore they could not get information on the malfunction of the overhead line system or the damages from the drivers of locomotives of the passenger trains previously affected, and so the train № 4932 also ran under the damaged overhead line and also got damaged.
Due to the layout of the tracks of the station, the traffic manager did not have a sight of the area involved in the occurrence when receiving and dispatching trains. The tracks at the downside end of Budaörs station take a right bend of ca. 15° along a large radius curve, and due to the buildings and vegetation along the curve, the area around the entry signal cannot be seen from the area in front of the traffic control office. The distance between the damaged overhead line section and the traffic control office was 700 metres.
Preliminary investigation found no underlying factors such as organisational or regulatory factors which may have led to these accidents.
Based on evaluation of data and the circumstances, any safety lessons from further investigation are not expected, therefore pursuant to Article 20 of Directive (EU) 2016/798 on railway safety the case requires no investigation or further action by Transportation Safety Bureau, and TSB considers it as closed.</t>
  </si>
  <si>
    <t>CH-5533</t>
  </si>
  <si>
    <t>Train derailment, 29-11-17, Basel (Switzerland)</t>
  </si>
  <si>
    <t>At the entrance into Basel station 3 cars of a ICE train derailed on a switch.</t>
  </si>
  <si>
    <t>Basel</t>
  </si>
  <si>
    <t>Deutsche Bahn AG</t>
  </si>
  <si>
    <t>The derailment of ICE 75 on the approach to Basel SBB station at canted double slip switch 317 was attributable as follows: the tilt of the stock rail in the area of the point blade caused a large gap which resulted in the first left-hand wheel of carriage 9 running on to the head of the point blade approximately 50 cm after the tip of that blade, thereby coming off the track and derailing after two metres.</t>
  </si>
  <si>
    <t>The investigation found that insufficient lubrication on the running edges of the rails and on the point blades may contribute significantly to the risk of derailment.</t>
  </si>
  <si>
    <t>ES-5840</t>
  </si>
  <si>
    <t>Train derailment, 29-11-17, El Arahal (Spain)</t>
  </si>
  <si>
    <t>Derailment of a complete pasenger train (3 coaches) when passing a track buckle. This track buckle had been caused by a flood in previous hours: this flood (caused by heavy rains) dragged the ballast under the track, leading to the buckle. Traffic had been interrupted for hours because of heavy rain and flood danger, but it had been resumed short before the accident, with some speed limitations (in other points than the one of the accident). The point where the accident happened was not classified as a specially risky one, and the train passed with a speed of 143 km/h._x000D_
_x000D_
The accident causes serious injuries to 2 people and minor injuries to 27, and results in serious damage in infrastructure, caused by the flood and the derailment itself. Traffic is interrupted. _x000D_
_x000D_
This accident was not initially notified to the EUAR because the Spanish NIB decided to open a preliminary examination of the facts, before deciding whether to open a full investigation. Findings of this preliminary examination advise to do it, so the opening of the investigation is notified now. Most of the investigation workload has been actually made during the preliminary examination, so the formal investigation process is expected to be short.</t>
  </si>
  <si>
    <t>The direct cause of the accident was the sudden alteration and deformation of the track: previous heavy rains and the overflow of nearby rivers caused a flood that dragged the material of the track, causing deconsolidation and loss of elements of the superstructure._x000D_
_x000D_
The lack of specific drainage or channeling works that could protect the infrastructure from heavy rains or their consequences was a contributing factor.</t>
  </si>
  <si>
    <t>The project of this track section didn’t take into account topographic, hydrologic and hydraulic conditions of the zone, specially the coincidence of three structures at a low point (bridge over Alameda brook, railway and access to road A-394). This fact was an underlying cause._x000D_
_x000D_
As a root cause, it has been detected a lack of methodical identification of floodable zones affecting rail tracks in the network. So, the place of the accident was not included in the list of risk points of the line, and the measures of the IM’s “Occurrence Managing and Prevention Manual” were not applied. This fact had caused several minor floods before. _x000D_
_x000D_
The IM’s Contingency Plan has some shortcomings when approaching meteorological phenomena like the one that led to this accident, so adopted measures are not enough.</t>
  </si>
  <si>
    <t>DE-5518</t>
  </si>
  <si>
    <t>Train derailment, 30-11-17, Bremen Hbf (Germany)</t>
  </si>
  <si>
    <t>Am 30.11.2017 entgleiste gegen 01:16 Uhr der 42. Wagen des Güterzuges DGS 88963 im Gleis 1 des Bahnhofs Bremen Hbf. Der Zug befand sich auf dem Weg von Wilhelmshaven Ölweiche nach Minden (Westfalen). Das transportierende Eisenbahnverkehrsunternehmen (EVU) war die Haevy Haul Power International GmbH (HHPI) aus Erfurt. Der DGS 88963 hatte ausschließlich Wagen der Gattung Falns eingestellt. 
On November 30, 2017, at 01:16 a.m., the 42nd wagon of the DGS 88963 freight train derailed in platform 1 of the Bremen main station. The train was on its way from Wilhelmshaven Ölweiche to Minden (Westphalia). The transporting rail transport company (EVU) was Haevy Haul Power International GmbH (HHPI) from Erfurt. The DGS 88963 only used wagons of the Falns genus.</t>
  </si>
  <si>
    <t>Als primäre Ursache für die Entgleisung konnte ein Heißläufer und ein damit verbundener Achsschenkelbruch am hinteren Drehgestell des 42. Wagens ermittelt werden. Durch die thermische Überbeanspruchung des Radsatzlagers glühte dieses aus und der Achsschenkel wurde abgeschert. Das Radsatzlager fiel dabei ab und wurde wenige Meter nach den ersten Entgleisungsspuren rechts neben dem Gleis aufgefunden. 
A hot runner and a related knuckle fracture on the rear bogie of the 42nd car were identified as the primary cause of the derailment. Due to the thermal overload of the wheelset bearing, it burned out and the steering knuckle was sheared off. The wheelset bearing fell off and was found a few meters after the first signs of derailment to the right of the track.</t>
  </si>
  <si>
    <t>HU-5516</t>
  </si>
  <si>
    <t>Train derailment, 30-11-17, Budapest, Közvágóhíd (Hungary)</t>
  </si>
  <si>
    <t>The tram has derailed on a switch.</t>
  </si>
  <si>
    <t>Budapest, Közvágóhíd</t>
  </si>
  <si>
    <t>Failure of signalman.</t>
  </si>
  <si>
    <t>CZ-5517</t>
  </si>
  <si>
    <t>Train derailment, 01-12-17, open line between Libcice nad Vltavou - Kralupy nad Vltavou stations (Czech Republic)</t>
  </si>
  <si>
    <t>Derailment of one rolling stock of the freight train No. 67260 with consequent disruption of the train into 3 parts.</t>
  </si>
  <si>
    <t>open line between Libcice nad Vltavou - Kralupy nad Vltavou stations</t>
  </si>
  <si>
    <t>Direct cause:_x000D_
• fatigue fracture of the axle No. 018895579 of the freight wagon No. 31 51 5318 167-4 with consequent fall down of an axelbox.</t>
  </si>
  <si>
    <t>Underlying cause:_x000D_
• weakening cross section of axel's pivot due to expansion of old fracture, which could not be detected by the maintenance._x000D_
_x000D_
Root cause: none.</t>
  </si>
  <si>
    <t>CZ-5529</t>
  </si>
  <si>
    <t>Trains collision, 04-12-17, Bylnice station (Czech Republic)</t>
  </si>
  <si>
    <t>Unauthorized movement of the regional passenger train No. 23213 behind the BS signal device with signal “Stop”, a collision with a shunting operation and consequent derailment with one axle of the train.</t>
  </si>
  <si>
    <t>Bylnice station</t>
  </si>
  <si>
    <t>Direct cause:_x000D_
• train driver operation error, he did not respect the signal "Stop" of the signal device BS._x000D_
Contributory factors:_x000D_
• non-reconfiguration of the vehicle radio station by the train driver of the train No. 23213 according to the instructions of the non-variable radio traffic light and its failure to respond to the signal “General stop” transmitted by the base station of the track radio system on the ribbon No. 65, upon receipt of the requirement of the station security device "Warning signal, passing of a signal";_x000D_
• failure to stop the executed shunting operation within a set deadline when the shunting operation was preferred to the train in contrary to the provisions of the technological procedures of the IM even thought the shunting operation was not more urgent.</t>
  </si>
  <si>
    <t>Underlying causes:_x000D_
• controlling the drive train of the train No. 23213 in a way that did not ensure compliance with the obligation to stop the train safely from the signal location;_x000D_
• the train driver of the train No. 23213 did not act according to the facts observed when observing the signal given by the signal variables of the station interlocking station of the railway station Bylnice and the non-variable signal for radio traffic._x000D_
Root cause: none.</t>
  </si>
  <si>
    <t>DE-5526</t>
  </si>
  <si>
    <t>Trains collision, 5/12/2017, Weißenberg (Abzw) – Meerbusch‐Osterath</t>
  </si>
  <si>
    <t>Am 05.12.2017 gegen 19:27 Uhr kollidierte der Personenzug DPN 32547, auf der Fahrt von Rheine nach Krefeld Hbf, zwischen der Abzweigstelle (Abzw) Weißenberg und dem Bahnhof Meerbusch‐Osterath mit dem Güterzug GM 48714:</t>
  </si>
  <si>
    <t>Weißenberg (Abzw) – Meerbusch‐Osterath</t>
  </si>
  <si>
    <t xml:space="preserve"> DB Cargo AG; National Express Rail GmbH als Eisenbahnverkehrsunternehmen</t>
  </si>
  <si>
    <t>Durch die Zugkollision wurden vier Personen schwer und etwa 35 Personen leicht verletzt. Das führende Fahrzeug des DPN 32547 sowie drei Wagen des GM 48714 entgleisten, davon stürzten zwei Güterwagen um. Es entstanden erhebliche Sachschäden sowie Erschwernisse im Eisenbahnbetrieb. Die Strecke Abzw Weißenberg – Meerbusch‐Osterath wurde für mehrere Tage gesperrt.</t>
  </si>
  <si>
    <t>Der Personenzug DPN 32547 wurde unzulässig in den noch durch den Güterzug GM 48714 in identischer Fahrtrichtung beanspruchten Blockabschnitt eingelassen.</t>
  </si>
  <si>
    <t>HU-5568</t>
  </si>
  <si>
    <t>Accident to persons caused by RS in motion, 05-12-17, Balatonszárszó (Hungary)</t>
  </si>
  <si>
    <t>A passenger jumped out of the train, seriously injured. 
Az állomásról induló vonatból egy utas kiugrott, súlyosan sérült.</t>
  </si>
  <si>
    <t>Balatonszárszó</t>
  </si>
  <si>
    <t>a)	az utasok mindkét esetben az elindulást követoen, mozgó vonatról kísérelték meg a leszállást;_x000D_
b)	az XX-55 középszámcsoportú kocsik ajtajai – kialakításukból adódóan – lehetové teszik, hogy ha a reteszelés pillanatában az ajtó nincs teljesen becsukva, akkor a reteszelés nem megy végbe, így azt a reteszelést követoen is ki lehet nyitni, illetve a teljesen kitárt ajtószárnyat nyitott állapotban lehet tartani. 
(a) in both cases, passengers have attempted to disembark from a moving train after departure;_x000D_
(b) the doors of medium-size XX-55 wagons shall, by their design, allow the door to be unlocked when the door is not fully closed at the moment of locking, so that it can be opened after locking or the fully extended door leaf opened. can be maintained.</t>
  </si>
  <si>
    <t>d)	a közel 40 éves konstrukciójú kocsik – bár több korszerusítésen átestek – muszaki tartalma, és biztonsági berendezései nem minden esetben tudják megakadályozni az utasoknak a mozgó jármurol történo leszállását. 
(d) the technical content and safety equipment of wagons, which have been designed for nearly 40 years, although undergoing a number of upgrades, may not always prevent passengers from disembarking from a moving vehicle.</t>
  </si>
  <si>
    <t>RO-5530</t>
  </si>
  <si>
    <t>Fire in RS, 05-12-17, Cata- Rupea (Romania)</t>
  </si>
  <si>
    <t>the locomotive EC 536 that hauled the  freight train no. 90970 caught fire</t>
  </si>
  <si>
    <t>Cata- Rupea</t>
  </si>
  <si>
    <t>Cauza producerii accidentului_x000D_
Comisia de investigare a identificat cauza probabila a accidentului, în producerea unui scurt circuit electric în camera de înalta tensiune, care a condus la un început de incendiu în zona selectorului. Acest fapt a dus la deteriorarea garniturii capacului de la selector ?i implicit la scurgerea ?i aprinderea uleiului din acesta, urmat de extinderea incendiului la toate echipamentele locomotivei._x000D_
Factori care au putut contribui la producerea accidentului_x000D_
-	remorcarea trenului pe sec?ia Sighi?oara – Beia, cu o locomotiva electrica seria 25500 titulara ?i o locomotiva electrica seria 16500 ca împingatoare, mod de remorcare care nu se regase?te în Anexa 1 din Livretul cu mersul trenurilor de marfa de pe Sucursala Regionala de Cai Ferate Bra?ov;_x000D_
-	fenomenul de îmbatrânire al echipamentelor electrice aparut ca urmare a vechimii considerabile a acestei locomotive de respectiv 52 de ani. 
The investigation commission identified the probable cause of the accident, in the occurrence of a short circuit in the high voltage box, it leading to a fire begining at the selector. It generated the damage of the lining from the selector cover and implicitly to the leakage and ignition of its oil, followed by the  fire development in all locomotive equipments._x000D_
Factors that could have contributed _x000D_
-	hauling of the train on the track section Sighi?oara – Beia, with an electric locomotive series 25500, hauling one, and with an electric locomotive series 16500, a banking one, the hauling way is not found in the Annex 1 at the Freight train timetable in the railway county Bra?ov;_x000D_
-	ageing of the electric equipments appeared following the considerable age of this locomotive, that is 52 years.</t>
  </si>
  <si>
    <t>Cauza subiacenta _x000D_
-	nerespectarea prevederilor Anexei 1 din Livretul cu mersul trenurilor de marfa de pe Sucursala Regionala de Cai Ferate Bra?ov, referitoare la tonajele ?i modurile de remorcare ale trenurilor, pe distan?ele Sighi?oara – Vânatori, Vânatori – Mureni, Mureni – Beia._x000D_
_x000D_
Cauza primara _x000D_
-	neidentificarea pericolului de producere a unui incendiu la vehiculele feroviare motoare ?i a pericolului reprezentat de nerespectarea prevederilor din livretul de mers privind modul de remorcare a trenurilor, fapt ce a condus implicit la lipsa unor masuri adecvate pentru ?inerea sub control a riscurilor generate de aceste pericole. 
Underlying cause _x000D_
-	violation of the provisions from the Annex 1 at the freight train timetable in the railway county Bra?ov, concerning the tonnages and hauling ways of the trains, track sections Sighi?oara – Vânatori, Vânatori – Mureni, Mureni – Beia._x000D_
_x000D_
Root cause _x000D_
-	non-identification of the hazard of a fire burst at the motorised vehicles and of the hazard represented by the violation of the provisions from the timetable for the hauling of the trains, it leading implicitly to the lack of some measures proper for keeping under control the risks generated by these hazards.</t>
  </si>
  <si>
    <t>IT-5551</t>
  </si>
  <si>
    <t>Train derailment, 06-12-17, Tunnel "Santomarco" (Italy)</t>
  </si>
  <si>
    <t>Derailment of 3 vehicles of a regional train in a tunnel</t>
  </si>
  <si>
    <t>Tunnel "Santomarco"</t>
  </si>
  <si>
    <t>Rottura in campata di un tratto della rotaia sinistra smt in corrispondenza della progressiva km 5+710 della linea Paola – Castiglione Cosentino, dovuta a corrosione dell’armamento per venute d’acqua dalla volta, ristagno, inquinamento della massicciata e correnti elettrolitiche. 
Breaking in a span of a stretch of the left rail of the train direction at the progressive 5 + 710 km of the Paola - Castiglione Cosentino line, due to corrosion of the equipment of water circulation from the vault, stagnation, pollution of the ballast and electrolytic currents.</t>
  </si>
  <si>
    <t>1. Inefficacia delle visite in linea e delle conseguenti azioni manutentive_x000D_
2. Errata gestione della segnalazione anomalia del 05.12.2017_x000D_
3. Mancata programmazione degli interventi di manutenzione risolutivi_x000D_
4. Mancata effettuazione dei controlli ultrasonici_x000D_
5. Mancata comunicazione dell’anomalia al DCO 
1. Ineffectiveness of online visits and subsequent maintenance actions_x000D_
2. Wrong handling of the anomaly signaling on 05.12.2017_x000D_
3. Failure to schedule decisive maintenance interventions_x000D_
4. Failure to perform ultrasonic checks_x000D_
5. Missing communication of the anomaly to the Central Operations Manager</t>
  </si>
  <si>
    <t>CZ-5531</t>
  </si>
  <si>
    <t>Train derailment, 08-12-17, Plzen hl. n. station (Czech Republic)</t>
  </si>
  <si>
    <t>Unauthorized movement of the shunting operation with consequent derailment.</t>
  </si>
  <si>
    <t>Plzen hl. n. station</t>
  </si>
  <si>
    <t>Direct cause:_x000D_
• failure to positioning of the switch No. 253 to the end position for the intended train route._x000D_
_x000D_
Contributory factor: none.</t>
  </si>
  <si>
    <t>Underlying cause:_x000D_
• failure to observe the technological procedures of the IM by the leader of the shunting operation, who not checked the correct position of the shunting route._x000D_
_x000D_
Root cause: none.</t>
  </si>
  <si>
    <t>RO-5554</t>
  </si>
  <si>
    <t>Train derailment, 12-12-17, Racos - Rupea (Romania)</t>
  </si>
  <si>
    <t>the first axle from the locomotive ED 061 (second in the no.20912 freight train  consist-inactive) -derailed between Racos and Rupea railway station</t>
  </si>
  <si>
    <t>Racos - Rupea</t>
  </si>
  <si>
    <t>Cauza directa _x000D_
Cauza directa a producerii acestui accident o constituie escaladarea fe?ei laterale active a ciu-percii ?inei de pe firul exterior al curbei de catre buza bandajului ro?ii din partea dreapta a primei osii a locomotivei ED 061, ce circula în stare remorcata, inactiva, în sensul de mers al trenului (osia nr.6 a locomotivei), ca urmare a cre?terii raportului dintre for?a conducatoare ?i sarcina care ac?ionau pe roata atacanta (roata din dreapta), depa?indu-se astfel limita de stabilitate la deraiere._x000D_
Factorii care au contribuit_x000D_
 Factorii care au contribuit la producerea acestui accident au fost:_x000D_
–	valorile necorespunzatoare ale lungimii cuplajului transversal, ale unor jocuri orizontale dintre cutie ?i boghiuri precum ?i ale unor jocuri verticale dintre cutiile de osie ?i ramele boghiurilor care nu se încadrau în prevederile regulamentare;_x000D_
–	descarcarea de sarcina a ro?ii din dreapta osiei nr.6 a locomotivei, roata  atacanta a primei osii în sensul de mers al trenului, ca urmare a depa?irii toleran?elor nivelului transversal ?i torsio-narii caii pe zona producerii deraierii. 
Direct cause _x000D_
The direct cause of the accident was the overclimbing of the gauge face of the exterior curve ra-il by the tyre of the right wheel from the first axle of the locomotive ED 061, being hauled, inactive, in the train running direction (axle no.6 of the locomotive), following the increase of the ratio between the guiding force and the load acting on the guiding wheel (right wheel), so exceeding the stability limit at derailment._x000D_
Contributing factors_x000D_
The factors contributing to the accident occurrence were:_x000D_
–	the inadequate values of the length of the transverse coupling, of some horizontal clearances between the body and the bogies, as well as of some vertical clearances between the axle bo-xes and the bogie frames, that were not according the regulation provisions._x000D_
–	load transfer of the right wheel from the axle no.6 of the locomotive, the leading wheel from the first axle in the train running direction, following the exceeding of the transverse level to-lerances and the track twist at the derailment site.</t>
  </si>
  <si>
    <t>Cauzele subiacente ale producerii acestui accident au fost: nerespectarea unor prevederi din caietul de sarcini ?i din instruc?iile ?i regulamentele în vigoare:_x000D_
–	„Instruc?ia de norme ?i toleran?e pentru construc?ia ?i între?inerea caii - linii cu ecartament normal - nr.314/1989”, Art.7. A.1 cu privire la toleran?ele la nivelul transversal prescris al unui fir fa?a de celalalt al caii, atât în aliniament cât ?i în curba;_x000D_
–	Art. 7.A.4, din „Instruc?ia de norme ?i toleran?e pentru construc?ia ?i între?inerea caii - linii cu ecartament normal - nr.314/1989”, referitor la toleran?ele admise în func?ie de vitezele de cir-cula?ie, fa?a de valori ale torsionarii caii masurate în baza de 2,5 m;_x000D_
–	pct. 2.8, b), al.1, din Caietul de sarcini  nr.214/51/2017, referitor la:  _x000D_
   „ b)  Masuri luate de catre beneficiar: masurarea de catre sec?ia de între?inere a caii, cu ca-ruciorul de masurat calea, a por?iunii de linie cu restric?ie de viteza ?i a por?iunii de linie ne-predata acesteia pentru exploatare, cel pu?in o data la 15 zile”;_x000D_
-	Ordinul DGT nr.310/4a/2800/1993 – Condi?ii tehnice de exploatare pentru osiile locomotive-lor electrice – CFR, referitor la valoarea jocurilor orizontale/verticale_x000D_
Cauza primara_x000D_
	Cauza primara a accidentului o constituie neaplicarea prevederilor procedurii opera?ionale cod PO SMS 0-4.07 „Respectarea specificatiilor tehnice, standardelor si cerintelor relevante pe întreg ci-clul de viata a liniilor în procesul de întretinere”, parte a sistemului de management al sigurantei al CNCF „CFR” SA, referitoare la coordonarea activita?ilor de între?inere a liniilor de cale ferata de ca-tre personalul de între?inere a Districtului de Linii L.1 Raco? ?i a celui cu sarcini de îndrumare, verifi-care ?i control din cadrul Sec?iei L.2 Sighi?oara. 
Underlying causes of the accident were: violation of some provisions from the specification and in-structions and regulations in force:_x000D_
–	„Instruction of norms and tolerances for the track construction and maintenance – lines with standard gauge - no.314/1989”, Art.7. A.1 concerning the tolerances for the stipulated tran-sverse level of a track against the another one, both on straight line and on curve;_x000D_
–	Art. 7.A.4, from „Instrution of norms and tolerances for the track construction and maintenan-ce – lines with standard gauge - no.314/1989”, concerning the tolerances accepted in accor-dance with the running speeds, against the values of track twist measured  at each 2,5 m;_x000D_
–	point 2.8, b), paragraph 1, from the Specification no.214/51/2017, concerning:  _x000D_
   „ b)  Measures taken by the beneficiary: measuring, by the Section for track maintenance , with the track trolley, of the track section with speed restriction  and of the track section non-given up to it for operation, at 15 days, at least”;_x000D_
-	Order DGT no.310/4a/2800/1993 – Technical operation conditions for the axles of the electric locomotives – CFR, concerning the values of the horizontal/vertical clearances._x000D_
Root cause_x000D_
	The accident root cause is the non-application of the provisions of the operational procedure code PO SMS 0-4.07 „Compliance with the technical specifications, standards and requirements for the whole life time of the lines in maintenance process”, part of the safety management system of CNCF „CFR” SA, concerning the coordination of the line maintenance by the maintenance staff from Line District L.1 Raco? and of that in charge with the routing, checking and control of the Section L.2 Sighi?oara.</t>
  </si>
  <si>
    <t>RO-5555</t>
  </si>
  <si>
    <t>Train derailment, 13-12-17, Golesti-Bradu de Sus (Romania)</t>
  </si>
  <si>
    <t>the second wagon from the rear of the freight train no.31700 derailed on a level crossing  between Golesti and Bradu de Sus</t>
  </si>
  <si>
    <t>Golesti-Bradu de Sus</t>
  </si>
  <si>
    <t>Cauza directa a producerii acestui accident o constituie escaladarea sinei de pe firul exterior al curbei de catre roata atacanta (situata pe partea dreapta în sensul de mers al trenului) de la vagonul nr. 82537883589-6, ca urmare a maririi raportului dintre forta conducatoare si sarcina ce actionau pe aceasta roata, depasindu-se astfel limita de stabilitate la deraiere. _x000D_
Cresterea raportului dintre forta conducatoare si sarcina ce actionau pe roata atacanta s-a produs în conditiile descarcarii de sarcina a ro?ii din partea dreapta a osiei conducatoare ?i a cre?terii for?ei laterale (de ghidare) pe aceasta roata._x000D_
Factori care au contribuit_x000D_
1.	Factori care au contribuit la descarcarea par?iala de sarcina verticala a rotii atacante:_x000D_
?	amortizor Lenoir ineficace la rotile R7 si R8 (osia atacanta) – palariile resoartelor de suspensie au fost în contact cu sasiul boghiului; _x000D_
?	o diferen?a de 10 mm (punctul intermediar ,,d” mai ridicat) constatata la nivelul transversal dintre cele doua fire ale caii, masurata în punctele notate cu,,0” si ,,d”, aflate la o distanta de 2,00m; aceasta distanta este relativ apropiata de distanta dintre osiile boghiului de atac (1,8m) ale vagonului nr. 82537883589-6, fapt care a dus la cresterea sarcinilor verticale ce actionau pe rotile aflate pe diagonala dreapta spate – stânga fata si la descarcarea partiala a sarcinilor verticale ce actionau pe rotile de pe cealalta diagonala (dreapta fata – stânga spate); _x000D_
?	acceleratiile transversale negative existente pe zona producerii deraierii. _x000D_
_x000D_
2.	Factori care au contribuit la cresterea fortei laterale (de ghidare):_x000D_
?	depa?irea toleran?elor admise la valorile sage?ilor vecine masurate pe curbele arc de cerc, la coarda de 20m ;_x000D_
?	depa?irea toleran?elor admise la varia?iile de ecartament, în exploatare. 
The direct cause of the accident is the overclimbing of the exterior rail of the curve by the guiding wheel (on the right side in the train running direction) from the wagon no. 82537883589-6, following the increase of the ration between the guiding force and the load acting on that wheel, so exceeding the derailment stability limit. _x000D_
The increase of the ratio between the guiding force and the load acting on the guiding wheel happened following the load transfer of the right wheel from the guiding axle and the increase of the lateral force (guiding) on this wheel._x000D_
_x000D_
Contributing factors_x000D_
1.	the factors contributing to the partial vertical transfer of the load of the guiding wheel:_x000D_
?	inefficient Lenoir link friction at the wheels R7 and R8 (guiding axle) – the caps of the suspension springs were in contact with the bogie chassis; _x000D_
a.	a difference of 10 mm (the intermediary point ,,d” higher) found at the cross level between those two rails of the track, measured in the points marked with,,0” and ,,d”, situated at 2,00m; that distance is relatively close to the distance between the axles of the leading bogie (1,8m) of the wagon no. 82537883589-6, it leading to the increase  of the vertical loads acting on the wheels on the cross-over right back-left front and to the partial transfer of the vertical loads acting on the wheels of the another cross-over (right front – left back); _x000D_
?	negative lateral accelerations existing in the derailment area. _x000D_
_x000D_
2.	Factors contributing to the increase of the lateral force (guiding one):_x000D_
?	exceeding of the tolerances accepted for the values of the close track deflections measured on the circular curves  with 20 m chord;_x000D_
?	exceeding of the tolerances accepted at the gauge variations, in operation.</t>
  </si>
  <si>
    <t>Cauze subiacente _x000D_
? nerespectarea prevederilor din Tabelul 3 din „Instruc?iunile privind revizia tehnica ?i între?inerea vagoanelor în exploatare nr. 250/2005” referitoare la amortizoarele Lenoir ineficace;_x000D_
 		 ? nerespectarea prevederilor cap. I, art.7, lit. B, pct. 1 din „Instruc?ia de norme ?i toleran?e pentru construc?ii ?i între?inerea caii pentru linii cu ecartament normal nr.314/1989”, referitoare la toleran?ele admise la sage?ile vecine în curbele arc de cerc, masurate la mijlocul corzii de 20m;_x000D_
               ? nerespectarea prevederilor cap. I, art.7, lit. A, pct. 1 din „Instruc?ia de norme ?i toleran?e pentru construc?ii ?i între?inerea caii pentru linii cu ecartament normal nr.314/1989”, privind toleran?ele admise la nivelul transversal prescris al unui fir fa?a de celalalt._x000D_
_x000D_
D.3. Cauza primara_x000D_
? neaplicarea tuturor prevederilor procedurii operationale cod PO SMS 0-4.07 „Respectarea specificatiilor tehnice, standardelor si cerintelor relevante pe întreg ciclul de viata a liniilor în procesul de întretinere” (inclusiv a anexelor), parte a sistemului de management al sigurantei administratorului de infrastructura feroviara publica CNCF „CFR” SA, referitoare la coordonarea activita?ilor de între?inere a liniilor de cale ferata._x000D_
? nerespectarea unor prevederi din  "Fi?a de masuri de prevenire riscuri SMS", cod F 431-SMS-2, edi?ia 2, revizia 0, parte a sistemului de management al sigurantei operatorului de transport feroviar de marfa  SNTFM "CFR Marfa" SA, referitoare la notificarea vagoanelor cu defecte care pun în pericol siguran?a circula?iei ?i nu pot fi reparate în corpul trenului, în vederea scoaterii lor din tren cu stabilirea condi?iilor de circula?ie. 
. Underlying causes_x000D_
? infringement of the provisions from Table 3 of „Instructions on the technical inspection and maintenance of wagons in operation no. 250/2005” with reference to the inefficient Lenoir friction link;_x000D_
 		 ? infringement of the provisions from chapter I, art.7, letter B, point  1 from „Instruction of norms and tolerances for the track construction and maintenance for lines with standard gauge no.314/1989”, with reference to the tolerances accepted for the close track deflections in the circular curves measured in the middle of 20m chord;_x000D_
               ? infringement of the provisions from chapter  I, art.7, letter  A, point  1 from „Instruction of norms and tolerances for the track construction and maintenance for lines with standard gauge no.314/1989”, with reference to the tolerances accepted for the cross level prescribed for one rail against the another one._x000D_
_x000D_
_x000D_
Root cause_x000D_
? non-application of all provisions of the operational procedure code PO SMS 0-4.07 „Meeting with the technical specifications, standards and requirements relevant for whole life time of the lines in maintenance process” (including the annexes), part of the safety management system of the public railway infrastructure manager CNCF „CFR” SA, concerning the coordination of the line maintenance._x000D_
? infringement of some provisions from "Sheet of measurements for the risk prevention SMS", cod F 431-SMS-2, edition 2, revision 0, part of the safety management system of the railway freight undertaking  SNTFM "CFR Marfa" SA, concerning the notification and removal from the train for wagons  (that cannot be repaired within the train) with failures endanger the traffic</t>
  </si>
  <si>
    <t>FR-5595</t>
  </si>
  <si>
    <t>Level crossing accident, 14-12-17, Millas (France)</t>
  </si>
  <si>
    <t>Express regional train hits, at a speed of 75 km/h, a school coach, at a level crossing with barriers._x000D_
The coach is cut in two by the train._x000D_
6 children on the coach die, and 10 others are severly injuried.</t>
  </si>
  <si>
    <t>Millas</t>
  </si>
  <si>
    <t>The direct cause of the accident is the non-stop of the bus at the level crossing while the signals imposed it.</t>
  </si>
  <si>
    <t>French NIB considers that the most likely scenario of this accident is that at no time did the bus driver perceive the closed state of the level crossing despite the signs in place, including when the bus found itself in front of the barrier lowered after its gyration.</t>
  </si>
  <si>
    <t>CZ-5541</t>
  </si>
  <si>
    <t>Spad, 15-12-17, Kolín station (Czech Republic)</t>
  </si>
  <si>
    <t>The unauthorized movement of the shunting operation behind the route signal device Sc110b and its ride into the train route for the long distance passenger train No. 986.</t>
  </si>
  <si>
    <t>Direct cause:_x000D_
• operational error of the shunting operation driver (he did not respect the signal „Stop” of the route signal device Sc110b)._x000D_
_x000D_
Contributory factors:_x000D_
• an unauthorized lighting of the signal „Shunting allowed” on the signal device Sc110 by the line dispatcher when a previous permission for the shunting operation was not given;_x000D_
• the shunting operation driver unauthorizelly set the shunting operation into the motion when the permission for the shunting operation was not given and the station dispatcher was not informed about the required technology of the shunting operation.</t>
  </si>
  <si>
    <t>Underlying cause:_x000D_
• failure to observe the technological procedures of the RU and IM by the shunting operation driver, who did not follow the signals of the IM._x000D_
Root cause: none.</t>
  </si>
  <si>
    <t>CZ-5552</t>
  </si>
  <si>
    <t>Trains collision with an obstacle, 15-12-17, Praha hlavní nádraÅ¾í station (Czech Republic)</t>
  </si>
  <si>
    <t>Unauthorized movement of the regional passenger train No. 25907 behind the signal „End of the train route” and its collision with the buffer stop.</t>
  </si>
  <si>
    <t>Direct cause:_x000D_
• failure to respect the signal „Stop" of the signal device Lc13a by the train driver and the unauthorized movement of the train behind the signal device with the signal „End of the train route"._x000D_
Contributory factor:_x000D_
• absence of technical equipment which prevents a train from passing a signal in case of danger.</t>
  </si>
  <si>
    <t>Underlying cause:_x000D_
• failure of compliance with the technological procedures of the IM and RU by the train driver, who did not ensure to stop the train in front of the signal device Lc13a with the signal „ End of the train route”, respectively in front of the buffer stop of the station track No. 13a._x000D_
Root cause: none.</t>
  </si>
  <si>
    <t>UK-5581</t>
  </si>
  <si>
    <t>Accident to persons caused by RS in motion, 15-12-17, Radford Road tram stop (United Kingdom)</t>
  </si>
  <si>
    <t>At about 13:34 hrs on Friday 15 December 2017, an empty pushchair became trapped in the doors of a tram at Radford Road tram stop and was then dragged on the outside of the tram until the next tram stop. Nobody was injured during the incident._x000D_
_x000D_
The tram was operated by Nottingham Express Transit and was travelling from Hucknall to Toton Lane. After it arrived at Radford Road tram stop, several people, including a ticket inspector escorting a passenger, got off the tram. Shortly afterwards, another passenger, travelling with the escorted passenger and carrying a child, moved a pushchair out of the tram. As she was doing this, the tram doors began to close. When the doors reached the fully closed position, the pushchair was outside with its plastic weather guard trapped in the doors, and the passenger and child were still inside the tram. The tram then moved off. The pushchair remained attached to the tram until the next stop, Hyson Green Market, where the tram driver first became aware of it. The passenger operated a passenger-to-driver communication device while the tram was travelling between the two stops but no conversation with the driver took place.</t>
  </si>
  <si>
    <t>Radford Road tram stop</t>
  </si>
  <si>
    <t>The tram departed from the tram stop with a pushchair trapped in its doors</t>
  </si>
  <si>
    <t>The causal factors were:_x000D_
a. The mother pushed the pushchair through the closing doors because travel officer 1 did not ensure that the whole family were able to get off the tram before the doors closed (paragraph 35, Recommendations 1 and 2)._x000D_
b. The tram door system allowed the tram to depart while the rain cover remained trapped in the doors (paragraph 43, Recommendation 2). This causal factor arose due to a combination of the following:_x000D_
l the door system did not detect the presence of the pushchair rain cover (paragraphs 45 and 46); and_x000D_
l the trapped pushchair could not be pulled free (paragraphs 48 to 53)._x000D_
c. The driver was unaware of the pushchair, shown on a CCTV monitor in his cab, when deciding to start the tram (paragraph 54). This causal factor arose due to a combination of the following:_x000D_
l the driver did not see that the pushchair, shown on a CCTV monitor in his cab, was in an unsafe position (paragraph 58, Recommendation 1, learning point 1);_x000D_
l the travel officers were aware that the pushchair was trapped but their actions did not prevent the tram departing and travelling to the next tram stop (paragraph 62); and_x000D_
l the tram’s CCTV coverage had been modified in a way that reduced the likelihood of the driver seeing the pushchair (paragraph 65)._x000D_
Underlying factors_x000D_
99 The underlying factors were:_x000D_
a. Nottingham Trams had neither fully understood the risk of trap and drag incidents, nor put in place suitable mitigation measures (paragraph 71, Recommendations 1 and 2)._x000D_
b. Nottingham Trams’ training of travel officers was inadequate (paragraph 77, Recommendation 1) as shown by:_x000D_
l the actions of travel officer 1 when removing the family (paragraphs 38 to 42); and_x000D_
l the actions of the travel officers when responding to the pushchair being dragged away from Radford Road tram stop (paragraphs 77 to 82).</t>
  </si>
  <si>
    <t>NO-5553</t>
  </si>
  <si>
    <t>Trains collision, 16-12-17, Grorud Station (Norway)</t>
  </si>
  <si>
    <t>At 23.29 on Saturday 16 December 2017, the auxiliary pushing locomotive of timber train 8061 ran into the rearmost wagon. The locomotive was operated from the rearmost driver’s cab and was not coupled to the timber wagons. The collision was so powerful that parts of the timber load shifted and fell off the train. Several logs ended up on the platform and in the tracks at Grorud station in Oslo. A local train left Grorud shortly before the accident, and crossed the scene of the accident around 20 seconds before the collision. There were no people on the platform, and therefore the logs did not cause any personal injuries._x000D_
_x000D_
The collision occurred because the driver of the auxiliary locomotive did not have visual control of the distance to the train and lost track of the speed so that it became too high. In order to understand how this accident could occur, the Accident Investigation Board Norway (AINB) has looked more closely at the factors that contributed to the driver’s behaviour deviating in some aspects from the expected behaviour pattern. An increased stress level and disrupted sleep pattern have most likely had a negative impact on the driver’s assessment and behaviour in the situation in question._x000D_
_x000D_
Relevant regulatory frameworks and procedures, the traffic controller’s detection and alarm systems, and cargo securing when transporting short logs are also included in the investigation._x000D_
_x000D_
The AIBN submits one safety recommendation for railway undertakings to establish and comply with guidelines that systematically reduce the risk of a high stress level, drowsiness and fatigue leading to reduced safety in operations. 
Lørdag 16. desember 2017 klokken 2329 kjørte hjelpelokomotivet til tømmertog 8061 inn i den bakerste vognen. Hjelpelokomotivet ble fremført fra bakerste førerrom, og var ikke koblet til tømmervognene. Sammenstøtet var så kraftig at deler av tømmerlasten ble forskjøvet og falt av toget. Flere tømmerstokker havnet på plattformen og i sporene på Grorud stasjon i Oslo. Et lokaltog kjørte fra Grorud kort tid før ulykken, og krysset ulykkesstedet omtrent 20 sekunder før sammenstøtet. Det var ingen personer på plattformen, og tømmerstokkene førte dermed ikke til personskader._x000D_
_x000D_
Sammenstøtet skjedde fordi føreren i hjelpelokomotivet var uten visuell kontroll på avstanden til toget, og mistet oversikten over hastigheten slik at denne ble for høy. For å forstå hvordan denne ulykken kunne inntreffe har Havarikommisjonen sett nærmere på hva som medvirket til at førerens atferd i noen tilfeller avvek fra forventet handlingsmønster. Økt stressnivå og forstyrret søvnmønster, har sannsynligvis virket negativt inn på førerens vurderingsevne og atferd i den aktuelle situasjonen._x000D_
_x000D_
Relevant regelverk og prosedyrer, deteksjon og alarm hos togleder og lastsikring ved transport av korte tømmerstokker inngår også i undersøkelsen._x000D_
_x000D_
Havarikommisjonen fremmer en sikkerhetstilråding som retter seg mot at jernbaneforetak etablerer og følger retningslinjer som systematisk reduserer risikoen for at høyt stressnivå, søvnighet og fatigue medfører redusert sikkerhet i driften.</t>
  </si>
  <si>
    <t>Grorud Station</t>
  </si>
  <si>
    <t>The collision occurred because the driver of the auxiliary locomotive did not have visual control of the distance to the train and lost track of the speed so that it became too high.</t>
  </si>
  <si>
    <t>An increased stress level and disrupted sleep pattern have most likely had a negative impact on the driver’s assessment and behaviour in the situation in question.</t>
  </si>
  <si>
    <t>SK-5608</t>
  </si>
  <si>
    <t>Level crossing accident, 19-12-17, between stations Sládkovicovo and Senec (Slovak Republic)</t>
  </si>
  <si>
    <t>between stations Sládkovicovo and Senec</t>
  </si>
  <si>
    <t>HU-5559</t>
  </si>
  <si>
    <t>Train derailment, 21-12-17, Ferencváros (Hungary)</t>
  </si>
  <si>
    <t>Ferencváros station 1 waggons of the freight trai has derailed on a switch 
Ferencváros állomáson 1 kocsi a váltókon kisiklott.</t>
  </si>
  <si>
    <t>a)	a vonatok közepére sorozott kisiklott kocsik könnyuek voltak;_x000D_
b)	a mozdonyvezetok a behaladás közben intenzív fékezést alkalmaztak;_x000D_
c)	Kelebián a kisiklás helyén a vasúti pálya nyomtávolsága gyorsan, azonnali beavatkozási határértéket meghaladóan csökkent 
(a) derailed wagons in the middle of the trains were light;_x000D_
(b) the drivers have applied intense braking during entry;_x000D_
(c) The track gauge at the derailment site in Celebia was rapidly reduced, above the immediate intervention limit</t>
  </si>
  <si>
    <t>a)	Kelebián a pályafelügyelet során nem azonosították a gyors nyomtávváltozást;_x000D_
b)	Kelebián túlzottan merev ütközok voltak a kocsikon._x000D_
c)	a vonatnem-váltók a szabályoktól eltéroen voltak beállítva, ami fokozta a kedvezotlen hosszirányú erohatásokat 
a) no rapid track gauge change was identified during roadside monitoring in Kelebia;_x000D_
b) Celebia had excessively rigid buffers on the wagons._x000D_
c) the train gears were set differently from the rules which increased the unfavorable longitudinal forces</t>
  </si>
  <si>
    <t>AT-5582</t>
  </si>
  <si>
    <t>Train derailment, 22-12-17, Brenner (Austria)</t>
  </si>
  <si>
    <t>The train 43144 derailed on the Brenner route in km 104,400 with several wagons. The derailed wagons damaged the infrastructure considerably._x000D_
There were no injuries. 
Der Z 43144 entgleiste auf der Brennerstrecke im km 104,400 mit mehreren Wagen. Die entgleisten Wagen beschädigten die Infrastruktur erheblich._x000D_
Es gab keine Verletzten.</t>
  </si>
  <si>
    <t>Brenner</t>
  </si>
  <si>
    <t>TX Logistik Austria</t>
  </si>
  <si>
    <t>Ursache für die Entgleisung waren zu hohe Fliehkräfte durch überhöhte Geschwindigkeit._x000D_
Durch nicht ausreichende Bremsleistung kam es infolge des natürlichen Gefälles zu einem stetigen Geschwindigkeitsanstieg. Die nicht ausreichende Bremsleistung ist auf die von dem/der TfzfIn geschlossenen Luftabsperrhähne zwischen den beiden Triebfahrzeugen zurückzuführen. Aufgrund einer unterlassenen Teilbremsprobe ist nicht aufgefallen, dass die Luftabsperrhähne geschlossen waren.</t>
  </si>
  <si>
    <t>AT-5618</t>
  </si>
  <si>
    <t>Trains collision, 22-12-17, Kritzendorf (Austria)</t>
  </si>
  <si>
    <t>On December 22, 2017, a train coming from Vienna pulled into Kritzendorf station. After completing the turnaround and assigning a new train number, the train was ready to depart on platform 2 at the height of the orientation board “70”. At the scheduled departure time of 5:48 p.m., another train was allowed to pass through Kritzendorf station. The passage was signaled by the protective signal “SCH 2” in the “driving ban lifted” position and the main signal “H 2” in the “FREE” position. This signaling drew the train drivers to themselves and set the train in motion. After approx. 250 m, the driver recognized that the signal “SCH 4” was still signaling the signal term “driving ban” and initiated rapid braking. Almost at the same time, a 2000 Hz influence took place, which was triggered by the 2000 Hz GM at the level of “SCH 4”. The train did not come to a “border-free” stop on switch 6. The driver of the approaching train initiated rapid braking, but was no longer able to prevent the collision seven seconds after the train came to a standstill.</t>
  </si>
  <si>
    <t>Kritzendorf train station, switches 6</t>
  </si>
  <si>
    <t>ÖBB PV</t>
  </si>
  <si>
    <t>Damage to vehicles and infrastructure.</t>
  </si>
  <si>
    <t>Article 20.2 of Directive (EU) 2016/798 - (c)</t>
  </si>
  <si>
    <t>Causal factor
The causal factor for the collision was the simultaneous entry into the level crossing at km 11.771 by the small truck and train 5517.
The cause of the collision was the unauthorized departure of the train with the subsequent crossing of the protective signal “SCH 4” in the “travel ban” position.</t>
  </si>
  <si>
    <t>Does not apply.</t>
  </si>
  <si>
    <t>20/12/2023</t>
  </si>
  <si>
    <t>CZ-5558</t>
  </si>
  <si>
    <t>Accident to persons caused by RS in motion, 23-12-17, Ceská Trebová (Czech Republic)</t>
  </si>
  <si>
    <t>The towing of the passenger who was trapped by the door of the long distance passenger train No. 891 at the time of the train departure from Ceská Trebová station.</t>
  </si>
  <si>
    <t>Ceská Trebová</t>
  </si>
  <si>
    <t>Direct cause:_x000D_
• the attempt of the passenger to get into the rolling stock in motion from a point inaccessible to the public._x000D_
Contributory factor:_x000D_
• ingestion of alcohol by the passenger before his risky behavior.</t>
  </si>
  <si>
    <t>Underlying cause:_x000D_
• risky behavior of the passenger, consisting in his behavior at the time when the train was standing at Ceská Trebová station and at the time of its departure from Ceská Trebová station._x000D_
Root cause: none</t>
  </si>
  <si>
    <t>HU-5878</t>
  </si>
  <si>
    <t>Trains collision with an obstacle, 01-01-18, Gyor (Hungary)</t>
  </si>
  <si>
    <t>Gyor és Gyorszentiván állomások között felsovezeték szakadás miatt az IC 932 sz. vonat mozdonyvezetoje égési sérülést szenvedett. 
Between Gyor and Gyorszentiván stations, the driver of train IC 932 suffered burns due to an overhead contact line break.</t>
  </si>
  <si>
    <t>a)	Gyorszentiván–Gyor állomások között az 1381–1382 szelvények között elszakadt a felsovezeték, és a leszakadt, de még feszültség alatt lévo vezeték a jobb vágány szerkesztési szelvényébe lógott,_x000D_
b)	az elszakadt és belógó felsovezetéknek ütközött az elhaladó mozdony vezetoállásának–villamosan szigetelo anyagból készült–tetoszerkezete,_x000D_
c)	ennek következtében felsovezetéki zárlati ív a vezetoállás szélvédo középso alumínium oszlopán keresztül záródott és az nagyfeszültség alá került,_x000D_
d)	 az ívkisülés következtében megolvadt az alumínium oszlop és a szélvédot tömíto, ragasztó anyag, ez az olvadék szétfröccsenve a mozdonyvezetonek sérülést okozott. 
a) Between stations Gyor-Szentiván-Gyor, the overhead line broke between sections 1381 and 1382 and the detached but still energised line hung in the right track editing section_x000D_
(b) a roof structure of the driving position of the passing locomotive, made of electrically insulating material, struck by a torn and sliding overhead contact line,_x000D_
(c) as a result, the overhead cable circuit has been closed through the middle aluminum column of the driver's cab and is subject to high voltage,_x000D_
(d) aluminum column and glue to seal the windscreen, which splashed into the metal, caused injury to the driver.</t>
  </si>
  <si>
    <t>A balesethez vezeto felsovezeték szakadást nem észlelték, mivel a rendszer zárlat hiányában nem képes érzékelni. 
No breakage of the overhead contact line leading to the accident was detected as the system cannot detect in the absence of a fault.</t>
  </si>
  <si>
    <t>RO-5561</t>
  </si>
  <si>
    <t>Train derailment, 01-01-18, Dej Triaj (Romania)</t>
  </si>
  <si>
    <t>the 3th coach from the passenger train no 4111 derailed in the railway station Dej Triaj</t>
  </si>
  <si>
    <t>Cauza directa a producerii acestui accident a fost escaladarea de catre ro?ile din stânga ale boghiului din spate de la vagonul 50532056008-8, a unui obstacol aflat pe ?ina, urmata de deraierea ro?ilor corespondente din dreapta, obstacolul fiind constituit dintr-o bara de frâna desprinsa de la locomotiva DA 1356 ?i cazuta pe inima de încruci?are a schimbatorului de cale 45 T._x000D_
Caderea barei de frâna, s-a produs în condi?iile ruperii bol?ului de fixare a capatului de bara, fapt care a permis ie?irea barei de frâna din conturul gabaritului de material rulant ?i caderea acesteia  pe inima de încruci?are a schimbatorului de cale 45 T._x000D_
_x000D_
Factori care au contribuit:_x000D_
-	ruperea bol?ului de la capatul de bara, fapt care a permis ie?irea barei de frâna din conturul gabaritului de material rulant;_x000D_
_x000D_
-	mentinerea în serviciu a locomotivei DA 1356, având o stare tehnica ce nu mai asigura condi?iile de siguran?a, dupa depasirea normelor de timp si kilometri impuse pentru efectuarea reparatiilor planificate;_x000D_
-	nealimentarea procesului de monitorizare, cu procedurile/procesele aferente pericolului identificat ” Nerespectarea ciclului de revizii si repara?ii la material rulant” ?i neefectuarea procesului de monitorizare pentru acel pericol;_x000D_
-	neînva?area precum ?i neaplicarea unor masuri corective sau preventive, care trebuiau efectuate ca urmare a unor incidente/accidente deja produse, provocate de caderea pieselor de la locomotive/automotoare. 
Direct cause of the accident was, the left wheels of the rear bogie from the wagon 50532056008-8 climbed onto an obstacle being on the rail, followed by the derailment of the corresponding right wheels , the obstacle being a brake bar detached from the locomotive DA 1356, fallen on the built-up common crossing of the switch 45 T._x000D_
The fall of the brake bar happened following the breakage of the pin for the fastening of the bar end, it leading to the exit of the brake bar from the structure clearance of the rolling stock and its fall on the built-up common crossing of the switch 45 T._x000D_
_x000D_
Contributing factors:_x000D_
-	breakage of the pin from the end of the bar, it leading to the exit of the brake bar from the rolling stock structure clearance;_x000D_
-	keeping in operation of the locomotive DA 1356, in a technical condition that did no more assure the safety conditions, after exceeding the norms of time and km imposed for the performance of the planned repairs;_x000D_
-	the monitoring process had not the procedures/processes afferent to the identified danger ” Non-meeting with the cycle of inspections and repairs at the rolling stock” and the monitoring of that danger was not performed;_x000D_
-	lack of learning as well as of application of some corrective or preventive measures, that had to be done following some incidents/accidents already generated by the fall of the parts from the locomotives/multiple units.</t>
  </si>
  <si>
    <t>Cauze subiacente_x000D_
_x000D_
-	nerespectarea prevederilor Normativului feroviar "Vehicule de cale ferata. Tipuri de revizii si reparatii planificate. Normele de timp sau normele de kilometri parcursi pentru efectuarea reviziilor si reparatiilor planificate", aprobat prin Ordinul ministrului transporturilor si infrastructurii 111.315/2011 modificat si completat prin OMTI nr.1359/2012, pct.3.1., privind retragerea locomotivei din serviciu pentru efectuarea reparatiilor planificate;_x000D_
-	nerespectarea normelor de timp pentru efectuarea reviziilor ?i repara?iilor planificate, stipulate în Normativul feroviar "Vehicule de cale ferata. Tipuri de revizii ?i repara?ii planificate. Normele de timp sau normele de kilometri parcur?i pentru efectuarea reviziilor ?i repara?iilor planificate", aprobat prin Ordinul ministrului transporturilor si infrastructurii nr.315/2011, modificat ?i completat prin OMTI nr.1359/2012, tabelul nr.3.1._x000D_
-	neîndeplinirea în totalitate de catre SMS al SNTFC, a cerin?ei Q3 din Regulamentul 1158/2010 care prevede ca- Exista proceduri care sa asigure ca se înva?a din informa?iile relevante legate de investigarea ?i cauzele accidentelor, incidentelor, incidentelor evitate la limita ?i a altor evenimente periculoase ?i ca pe baza acestora sunt adoptate, daca este necesar, masuri preventive;_x000D_
-	nerespectarea prevederilor punctului 2.4. din Anexa la REGULAMENTUL  (UE) NR. 1078/ 2012, deoarece nu au fost identifica?i in vederea utilizarii, indicatori cantitativi ?i calitativi, care pot transmite avertismente timpurii cu privire la orice abatere de la rezultatele a?teptate sau pot oferi garan?ia ca rezultatele a?teptate vor fi atinse, astfel cum este prevazut;_x000D_
-	nerespectarea prevederilor punctului 1.1. din Anexa ?i a celor din  Apendice  la REGULAMENTUL  (UE) NR. 1078/ 2012, deoarece  procesul de monitorizare în materie de siguran?a nu a fost alimentat de procedurile ?i procesele cu rol de ?inere sub control al riscurilor, rezultate în urma procesului de identificare ?i evaluare a riscurilor proprii de la SNTFC ;_x000D_
-	nerespectarea art.3 din REGULAMENTUL  (UE) NR. 1078/2012, deoarece nu au fost efectuate toate cele 5 activita?i reglementate ale procesului de monitorizare respectiv: _x000D_
o	(1) definirea unor priorita?i ?i a unuia sau a mai multor planuri de monitorizare; _x000D_
o	(2) culegerea ?i analizarea informa?iilor; _x000D_
o	(3) elaborarea unui plan de ac?iune pentru cazurile inacceptabile de nerespectare a cerin?elor prevazute în sistemul de gestionare; _x000D_
o	(4) punerea în aplicare a planului de ac?iune, în cazul în care este elaborat un astfel de plan; _x000D_
o	(5) evaluarea eficacita?ii masurilor cuprinse în planul de ac?iune, în cazul în care este elaborat un astfel de plan._x000D_
_x000D_
Cauzele primare_x000D_
_x000D_
-	ineficien?a Sistemului de Management al Siguran?ei al SC SNTFC “CFR Calatori”, în a ?ine sub control riscurile legate de utilizarea unor locomotive a caror stare tehnica, poate pune în pericol siguran?a feroviara;_x000D_
-	neidentificarea riscului de deraiere a materialului rulant, care poate rezulta din pericolul identificat deja - Nerespectarea ciclului de revizii si repara?ii la material rulant, con?inut în FI?A DE IDENTIFICARE PERICOLE/EVALUARE RISCURI GENERATE;_x000D_
-	lipsa din cadrul procedurilor din SMS al SNTFC, a unor prevederi coerente privind  modalitatea  în care trebuie practicata înva?area din incidentele /accidentele deja produse; _x000D_
-	lipsa din cadrul procedurilor din SMS al SNTFC a unor prevederi coerente, privind  activitatea de revizuire a masurilor de control al riscurilor dupa un accident sau incident, precum si de adoptare a unor masuri preventive sau corective pentru a preveni repetarea acestuia;_x000D_
-	lipsa din cadrul procedurilor din SMS al SNTFC a unor prevederi coerente din care sa rezulte ca procesul de monitorizare este constituit din cele 5 activita?i reglementate; _x000D_
-	lipsa din cadrul Strategiei de monitorizare,  a unor prevederi coerente privind definirea indicatorilor cantitativi ?i calitativi;_x000D_
-	lipsa din cadrul procedurilor din SMS al SNTFC a unor prevederi coerente care sa asigure faptul ca procesul de monitorizare, este alimentat de procedurile ?i procesele în materie de control al riscurilor, rezultate în urma procesului de identificare ?i evaluare a riscurilor;_x000D_
-	lipsa din cadrul procedurilor din SMS al SNTFC, a unor prevederi coerente care sa reglementeze faptul ca procesul de monitorizare se face pe baza unor priorita?i care ?in cont de consecin?ele negative pentru siguran?a, din domeniile care prezinta cele mai mari riscuri;_x000D_
-	lipsa din cadrul procedurilor din SMS al SNTFC, a unor prevederi coerente care sa reglementeze faptul ca, numai pentru neconformita?ile care nu sunt acceptabile, trebuie facuta elaborarea unui plan de ac?iune, punerea în aplicare a planului de ac?iune ?i apoi trebuie facuta evaluarea eficacita?ii masurilor din planul de ac?iune. 
Underlying causes_x000D_
_x000D_
-	violation of the provisions from the Railway Norm "Railway vehicles. Types of planned  inspections and repairs. Norms of time and km run for the performance of the planned inspections and repairs", approved through the Order of Minister of Transports and Infrastructure  111.315/2011, amended through the Order of Minister of Transports and Infrastructure no.1359/2012, point 3.1, concerning the withdrawal of the locomotive from operation for th performance of the planned repairs;_x000D_
-	violation of the norms of time for the performance of the planned inspections and repairs, stipulated in the Railway Norm " Railway vehicles. Types of planned  inspections and repairs. Norms of time and km run for the performance of the planned inspections and repairs", approved through the Order of Minister of Transports and Infrastructure  111.315/2011, amended through the Order of Minister of Transports and Infrastructure no.1359/2012, table 3.1._x000D_
-	SNTFC SMS did not meet completely with the requirement Q3 from the Regulations 1158/2010 that stipulates – There are procedures that assure the learning from the relevant information concerning the investigation and the causes of the accidents, incidents, near miss incidents and of other dangerous events and upon these, if necessary, preventive measures are adopted;_x000D_
-	violation of the provisions from point 2.4. from the Annex of the REGULATIONS (UE) NO. 1078/ 2012, because one did not identify for use, quantitative and qualitative indicators, that can sent early warnings with reference to any deviation from the expected results or can guarantee that the expected results shall be achieved, as it is stipulated;_x000D_
-	violation of the provisions from point 1.1. from the Annex and of those from the Appendix of the REGULATIONS  (UE) NO. 1078/ 2012, because the safety monitoring had no procedures and processes for keeping under control the risks, results following the identification and assessment of SNTFC own risks;_x000D_
-	violation of the art.3 from the REGULATIONS  (EU) NO. 1078/2012,because all those 5 activities for the regulation of the monitoring were not performed, respectively: _x000D_
o	(1) definition of some priorities and of one or more monitoring plans; _x000D_
o	(2) gathering and analysis of the information; _x000D_
o	(3) drafting of an action plan for the unacceptable cases of violation of the requirements stipulated in the management system; _x000D_
o	(4) application of the action plan, if a such plan is drafted; _x000D_
o	(5) assessment of the effectiveness of the measures included in the action plan, if a such plan is drafted._x000D_
Root causes_x000D_
_x000D_
-	ineffective Safety Management System of SC SNTFC “CFR Calatori”, for keeping under control the risks resulted from the use of some locomotives which technical condition can endanger the railway safety;_x000D_
-	non-identification of the derailment risk of rolling stock, that can result from the hazards already identified – Non-compliance with the cycle of inspections and repairs at the rolling stock, in the SHEET FOR THE IDENTIFICATION OF HAZARDS/ASSESSMENT OF THE GENERATED RISKS;_x000D_
-	lack in the procedures of SNTFC Safety Management System of some coherent provisions for the way to learn from incidents/accidents already happened; _x000D_
-	lack in the procedures of SNTFC Safety Management System of some coherent provisions for the inspection of the measures for the control of risks after an accident or incident, as well as for taking some preventive or corrective measures in order to prevent their re-occurrence;_x000D_
-	lack in the procedures of SNTFC Safety Management System of some coherent provisions coherent from which result that the monitoring consists in those 5 regulated activities; _x000D_
-	lack in the Monitoring Strategy of some coherent provisions concerning the definition of the quantitative and qualitative indicators;_x000D_
-	lack in the procedures of SNTFC Safety Management System of some coherent provisions ensuring that for the monitoring there are procedures and processes for the risk control, resulted following the process for the risk identification and assessment;_x000D_
-	lack in the procedures of SNTFC Safety Management System of some coherent provisions regulating that the monitoring is done according to some priorities that take into account the negative consequences for the safety, in the areas with the highest risks;_x000D_
-	lack in the procedures of SNTFC Safety Management System of some coherent provisions regulating that only for the non-conformities that are not acceptable, and action plan must be drafted, implemented and then one must assess the effectiveness of the measures from the action plan;</t>
  </si>
  <si>
    <t>SE-5907</t>
  </si>
  <si>
    <t>Accident to persons caused by RS in motion, 03-01-18, Bastuträsk (Sweden)</t>
  </si>
  <si>
    <t>On the 3 January 2018, a wagon derailed in a switch in Bastuträsk in Västerbotten County. The driver positioned on a shunter's step at the front of the wagon, fell of and in front of the wagon and was run over. The driver sustained extensive, serious internal and external injuries and died at hospital two days later.</t>
  </si>
  <si>
    <t>Bastuträsk</t>
  </si>
  <si>
    <t>Considering the available information, the cause of the derailment cannot be established with absolute certainty. Although, SHK finds it probable that the wagons first axle was raised by the existing deposits of snow and ice in the specific switch, which led to the wheel flange passing over the rail and displacing the axle sideways left to a derailed position.</t>
  </si>
  <si>
    <t>Underlying causes to the deposits of snow and ice in the switch were that the deposits of ice in the switch had not been cleared during the preceding snowy days and that it probably in some parts still contained snow and ice after the previous occasion of removal of snow and ice. _x000D_
_x000D_
Contributing causes were that the entrepreneur had not, due to time constraints, thought it possible to do so with regard to the number of switches that needed to be cleared and other remedial tasks that needed to be performed. Additional contributing causes were that the entrepreneur lacked a systematic plan for the removal of ice and snow and a clear work management during the time period. _x000D_
_x000D_
It is likely that the driver lost his grip on the handrail and his footing on the stand due to the motion that occurred during the derailment and therefore fell of and ended up under the wagon. _x000D_
_x000D_
Contributing causes to the driver falling off the wagon was that the handrail was bent and it was difficult to wrap an arm around it, and also that the shunter’s step was slippery in the lateral direction in the current snowy conditions. It is furthermore likely that the driver operated the remote control transmitter with his right hand and held on to the handrail to the left of him with his left hand, which could be a contributing cause to the driver falling to the left, forward and ending up on the track and under the wagon instead of rotating outwards and away from the track and vehicle.</t>
  </si>
  <si>
    <t>CZ-5565</t>
  </si>
  <si>
    <t>Level crossing accident, 04-01-18, open line between Lochovice and Zdice stations (Czech Republic)</t>
  </si>
  <si>
    <t>Collision of the regional passenger train No. 7907 with the car at the level crossing No. P558 with consequent derailment.</t>
  </si>
  <si>
    <t>open line between Lochovice and Zdice stations</t>
  </si>
  <si>
    <t>CZ-5566</t>
  </si>
  <si>
    <t>Trains collision, 06-01-18, Ceská Lípa hl. n. station (Czech Republic)</t>
  </si>
  <si>
    <t>Unauthorized movement of the shunting operation behind the signal device Se16 and its consequent collision with the train set No. 6095 and derailment.</t>
  </si>
  <si>
    <t>Ceská Lípa hl. n. station</t>
  </si>
  <si>
    <t>Direct cause:_x000D_
• a shunting operation driver's error (he did not respect the signal „Shunting forbidden” of the shunting signal device Se16)._x000D_
Contributory factors:_x000D_
• an unauthorized lighting of the signal „Shunting allowed" at the signal device Se20 by the station dispatcher when the previous shunting permission was not given;_x000D_
• an unauthorized movement of the shunting part made by the shunting operation driver when the shunting permission was not given and the station dispatcher was not informed about the required shunting technology._x000D_
Contributory factor to the collision:_x000D_
• non-use of the function „General stop” of the radio equipment TRS by the station dispatcher.</t>
  </si>
  <si>
    <t>Underlying cause:_x000D_
• failure to comply with the technological procedures of the RU and IM by the shunting operation driver (he did not follow signals from the IM)._x000D_
Root cause: none.</t>
  </si>
  <si>
    <t>CZ-5567</t>
  </si>
  <si>
    <t>Accident to persons caused by RS in motion, 06-01-18, Ostrava, tram stop Zahrádky (Czech Republic)</t>
  </si>
  <si>
    <t>The collision of the tram No. 3 course 105 with the employee of Dopravní podnik Ostrava, a. s., with the consequent collision with the obstacle.</t>
  </si>
  <si>
    <t>Ostrava, tram stop Zahrádky</t>
  </si>
  <si>
    <t>Direct cause:_x000D_
• the tram No. 3 course 105 did not stop in front of the track-side worker._x000D_
_x000D_
Contributory factor:_x000D_
• failure to secure a working place at the track No. 1 at Zahrádky tram stop by a stated signal device.</t>
  </si>
  <si>
    <t>Underlying causes:_x000D_
• a tram driver of the tram No. 3 course 105 did not take full control of driving due to reasons which were not reliably identified;_x000D_
• persons responsible for maintaining the track started working at the place (track No. 1), which was not secured by the stated signal device;_x000D_
• persons responsible for maintaining the track did not take care of their own safety, own health and the safety and health of other people at the track._x000D_
_x000D_
Root cause:_x000D_
• failure to designate a person responsible for identifying a trained, professionally competent person who, if necessary, gives the signals to the tram drivers or the signs to other road users, and who is responsible for security (cover) of the working place by the signal devices.</t>
  </si>
  <si>
    <t>HU-5572</t>
  </si>
  <si>
    <t>Other event, 06-01-18, Szentlorinc (Hungary)</t>
  </si>
  <si>
    <t>No. 85829 train  changed the No. 14 switch after starting by force of wheels._x000D_
Trackway of the train was appointed from 7. track, but the train started from 6. track. 
A 85829 sz. vonat indulás után felvágta a 14. sz. váltót._x000D_
A vonat vágányútja a 7. vágányról volt kiijelölve, miközben a vonat a 6. vágányról indult.</t>
  </si>
  <si>
    <t>Szentlorinc</t>
  </si>
  <si>
    <t>•	A rendelkezo forgalmi szolgálattevo és a váltókezelok nem figyeltek fel a megszokottól eltéro vágányhelyzetre._x000D_
•	Az állomás két végén szolgálatot teljesíto váltókezelok kétség nélkül fogadták el a rendelkezo forgalmi szolgálattevo által a vonat indulása elott fél órával tévesen közölt, majd a vonat közvetlen indulása elott tévesen kijelölt kijelölt vágányutat. _x000D_
A külso forgalmi szolgálattevo és a rendelkezo forgalmi szolgálattevo között a felhatalmazásra történo utasítás kiadása nem volt pontos. 
· The existing traffic service provider and the switchers did not observe a different track position._x000D_
· Changers operating at two terminals of the station accepted without doubt the wrong track signaled by the operating service provider half an hour before the train departs and then erroneously marked before the train departs directly. _x000D_
The authorization was not issued accurately between the external traffic service provider and the operating service provider.</t>
  </si>
  <si>
    <t>HR-5578</t>
  </si>
  <si>
    <t>Electric shock, 08-01-18, Zagreb Zapadni Station (Croatia)</t>
  </si>
  <si>
    <t>Dana 08. sijecnja 2018. godine, oko 18:48, u kolodvoru Zagreb Zapadni došlo do strujnog udara u kojem je smrtno stradao maloljetnik. 
On January 8, 2018, at around 18:48, at the Zagreb Zapadni Station, there was a electric shock in which a minor was killed.</t>
  </si>
  <si>
    <t>Zagreb Zapadni Station</t>
  </si>
  <si>
    <t>penjanje malodobne muške osobe na krov teretnog vagona iznad kojeg se nalazila kontaktna mreža, te je došlo do strujnog udara 
climbing of a juvenile male person on the freight wagon, in which electrical shock occurred</t>
  </si>
  <si>
    <t>- Neovlašteno kretanje malodobne muške osobe po kolodvorskom podrucju kolodvora Zagreb Zapadni putnicki dio,_x000D_
- Smanjena vidljivost zbog mraka i oblaka,_x000D_
- Velicina i konfiguracija kolodvorskog podrucja kolodvora Zagreb Zapadni putnicki dio,_x000D_
- Oštecenje na betonskoj ogradi sa južne strane kolodvorskog podrucja uslijed kojeg postoji „divlji“ ulaz na kolodvorsko podrucje 
- Unauthorized movement of a juvenile male person at the station “ Zagreb Zapadni passenger part",_x000D_
- Reduced visibility due to darkness and clouds,_x000D_
- The size and configuration of the station “ Zagreb Zapadni passenger part”,_x000D_
- Damage on the concrete fence on the south side of the railway station due to the "wild" entrance to the railway area</t>
  </si>
  <si>
    <t>SK-5598</t>
  </si>
  <si>
    <t>Spad, 08-01-18, Krompachy station (Slovak Republic)</t>
  </si>
  <si>
    <t>Krompachy station</t>
  </si>
  <si>
    <t>disregarding the designated stopping point and stay at the station for the arrival and departure of passengers</t>
  </si>
  <si>
    <t>CZ-5569</t>
  </si>
  <si>
    <t>Train derailment, 11-01-18, Králíky operating control point (Czech Republic)</t>
  </si>
  <si>
    <t>The derailment of the regional passenger train No. 5034 at the switch.</t>
  </si>
  <si>
    <t>Králíky operating control point</t>
  </si>
  <si>
    <t>Direct cause:_x000D_
• failure to stop the train No. 5034 in front of the switch rail._x000D_
_x000D_
Contributory factor:_x000D_
• failure to change the traffic direction to backwards when trying to release the switch rail.</t>
  </si>
  <si>
    <t>Underlying cause:_x000D_
• failure to observe the technological procedures of the infrastructure manager by the train driver of the train No. 5034 when driving the train at the switch which was not switched for required traffic direction, respectively behind the track convergence marker between the tracks no. 1 and 3, because of the reasons which could not be ascertained during the investigation._x000D_
_x000D_
Root cause: none.</t>
  </si>
  <si>
    <t>UK-5593</t>
  </si>
  <si>
    <t>Level crossing accident, 11-01-18, Stainforth Road AHB level crossing (United Kingdom)</t>
  </si>
  <si>
    <t>At about 05:45 hrs on Thursday 11 January 2018, a car collided with a freight train which was standing on the down Skellow line with its rear wagon partially blocking Stainforth Road automatic half-barrier (AHB) level crossing. The car driver suffered minor injuries in the collision and their car was severely damaged._x000D_
Despite the presence of the train at the crossing, Stainforth Road AHB level crossing was open to road traffic when the collision occurred. This meant that its road traffic signals were not illuminated and its half-barriers were in the up position. At the time the accident occurred it was dark. The crossing is not illuminated and its rural location means that there are no ambient light sources nearby._x000D_
The design of this crossing results in the requirement for down trains to cover a distance of around 28 metres to clear the road surface after the re-opening sequence has been triggered. For trains travelling close to the maximum permitted line speed of 50 mph (80km/h), the time needed to clear the crossing is well within the approximately seven seconds required for the re-opening sequence to be completed. However, for trains travelling at very slow speeds, or where trains stop with the rear wagon close to the crossing and blocking the road, the crossing can potentially re-open to road users while such a train is still on it.</t>
  </si>
  <si>
    <t>Stainforth Road AHB level crossing</t>
  </si>
  <si>
    <t>A wagon was standing foul of the open northbound carriageway of Stainforth Road Automatic Half-Barrier level crossing when a car approached from the south (paragraph 58)</t>
  </si>
  <si>
    <t>The causal factors were:_x000D_
a. train 6H58 was at a stand on the Down Skellow line, with its rearmost wagon foul of the northbound carriageway of Stainforth Road Automatic Half-Barrier level crossing, following a brake demand from the locomotive’s vigilance device (paragraph 60); and_x000D_
b. the car driver was unaware that the wagon was obstructing the open northbound carriageway of Stainforth Road Automatic Half-Barrier level crossing until she was too close to avoid a collision (paragraph 68)._x000D_
This causal factor arose due to a combination of the following:_x000D_
i. The car driver could not see the wagon at a distance necessary to avoid collision, given her speed of approach (paragraph 71)._x000D_
ii. The car driver was not alerted to the presence of the wagon by the crossing’s warning devices (paragraph 75)._x000D_
iii. The original design of the control circuitry of Stainforth Road Automatic Half-Barrier level crossing had permitted the crossing to re-open while it was still occupied by a train (paragraph 27). _x000D_
iv. The original control circuitry of Stainforth Road Automatic Half-Barrier level crossing was not retrospectively modified to meet later requirements that trains must be proved clear of a crossing before it is re-opened to road traffic. The crossing was also not renewed with a newer design of Automatic Half-Barrier level crossing or replaced with another type of crossing whose control circuits incorporated this principle (paragraph 78, Recommendation 1)._x000D_
Underlying factor_x000D_
99 Network Rail’s processes do not include a mechanism which could identify and address the increased relative risk at existing level crossings that are not provided with modern safety features. This is possibly an underlying factor (paragraph 92, Recommendation 2 of RAIB report 04/2011)</t>
  </si>
  <si>
    <t>CZ-5570</t>
  </si>
  <si>
    <t>Level crossing accident, 14-01-18, open line between Zajecí and Å akvice stations (Czech Republic)</t>
  </si>
  <si>
    <t>Collision of the long distance passenger train No. 810 with a car at the active level crossing No. P6795.</t>
  </si>
  <si>
    <t>open line between Zajecí and Å akvice stations</t>
  </si>
  <si>
    <t>Direct cause:_x000D_
• driver's failure to respect the light and acoustic warning and driving across the level crossing at the time when it was forbidden, visual and acoustic warnings were being given and barriers were in the down position.</t>
  </si>
  <si>
    <t>Underlying cause:_x000D_
• driver's knowingly failure to respect of the light, sound and mechanical warnings and ride at the level crossing at the time when it was forbidden._x000D_
Root cause: none.</t>
  </si>
  <si>
    <t>FR-5596</t>
  </si>
  <si>
    <t>Level crossing accident, 14-01-18, Auxerre (France)</t>
  </si>
  <si>
    <t>Express regional train hits, at a speed of 105 km/h, a car at a level crossing with barriers._x000D_
The two passagers of the car died.</t>
  </si>
  <si>
    <t>Auxerre</t>
  </si>
  <si>
    <t>The direct cause of the accident is the sudden restart of the car in the forward direction when the train arrives, while the vehicle was previously stopped between the railway and the half-barrier without engaging the gauge of the train.</t>
  </si>
  <si>
    <t>two factors probably contributed to the occurrence of the accident :_x000D_
- the phone conversation held by the driver, which may have disrupted her perception of the events and her decision-making ;_x000D_
- the reduced visibility on the railway from the space on which the vehicle was stopped.</t>
  </si>
  <si>
    <t>RO-5579</t>
  </si>
  <si>
    <t>Other event, 15-01-18, Suceava (Romania)</t>
  </si>
  <si>
    <t>the both pantographs of the locomotive EC 126 that hauled the passenger train no. 5454  have broken</t>
  </si>
  <si>
    <t>Cauza directa a producerii incidentului feroviar (EC126 de la trenul de calatori R nr.5454) o constituie desprinderea si ridicarea necomandata a pantografului de la postul B, pantograf care nu era în actiune, iar la impactul cu linia de contact a produs dereglari ale geometriei acesteia, fapt care a avut repercusiuni asupra pantografului de la postul A care era activ;_x000D_
Comisia de investigare a identificat urmatorii factori care au contribuit la producerea incidentului:_x000D_
•	ruperea (sectionarea) izolatorului de tractiune a cilindrului de actionare a pantografului inactiv;_x000D_
•	fisuri vechi existente în corpul izolatorului,  în special în sectiunea de rupere. 
Direct cause of the railway incident (EC126  from the passenger train R no.5454) was the detachment  and lifting non-ordered of the pantograph from the driving cab B, a non-working one, and at its impact with the contact line generated changes of its geometry, it having consequences on the pantograph from the driving cab A which was working;_x000D_
The investigation commission identified the next contributing factors:_x000D_
•	breakage (sectioning) of the traction insulator of the cylinder for the operation of the non-working pantograph;_x000D_
•	old cracks existing in the insulator body, especialy in the breakage section.</t>
  </si>
  <si>
    <t>Cauze subiacente _x000D_
Având în vedere nomenclatorul de lucrari la pantografe si izolatori din Specificatia Tehnica cod ST 5 – 2004, elaborata de SC RL Brasov, puteau fi depistate fisurile existente la izolatorul de tractiune al cilindrului de actionare al pantografului. Comisia apreciaza ca lucrarile de aspectare a suprafetei exterioare a izolatorilor la revizia tip Pth3 (si urmatoarele) si de curatirea suprafetei exterioare a izolatorilor la reviziile tip RT (si urmatoarele) nu au fost executate si implicit verificate prin:  _x000D_
•	nerespectarea în totalitate a continutului lucrarilor obligatorii de executat cu ocazia reviziilor tip Pth3, RT si urmatoarele, prevazute în Specificatia Tehnica cod ST 5 – 2004, cap.5 Nomenclator de lucrari, la partea electrica pct.2. Pantografe si izolatori, fila 9; 
Underlying causes _x000D_
Taking into account the schedule of the works at the pantographs and insulators from the Technical Specification code 3ST 5 – 2004, drafted by SC RL Brasov, one could identify the cracks existing at the traction insulator of the cylinder for the operation of the pantograph. The investigation commission considers that the works for the  view of the exterior surface of the insulators during the inspection type Pth3 (and the next ones) and for the cleaning of the exterior surface of the insulators during the inspections type RT (and the next ones) were not performed and implicitly checked through:  _x000D_
•	non-meeting completely of the content of the works, compulsory to be performed during the inspections type Pth3, RT and the next ones, stipulated in the Technical Specification code ST 5 – 2004, chapter 5 Work schedule, at the electric part point 2. Pantographs and insulators, page 9;_x000D_
_x000D_
Root causes_x000D_
None.</t>
  </si>
  <si>
    <t>DK-5653</t>
  </si>
  <si>
    <t>Level crossing accident, 17-01-18, Holstebro (Denmark)</t>
  </si>
  <si>
    <t>Person walked out at the front of the train, crossing the crossing 361 at Holstebro 
Person gået ud foran tog i overkørsel 361 ved Holstebro</t>
  </si>
  <si>
    <t>Holstebro</t>
  </si>
  <si>
    <t>Inattention from the pedestrian.</t>
  </si>
  <si>
    <t>CZ-5574</t>
  </si>
  <si>
    <t>Trains collision with an obstacle, 18-01-18, SmrÅ¾ovka station (Czech Republic)</t>
  </si>
  <si>
    <t>Unauthorized movement of the regional passenger train No. 26341 behind the signal device Sc3 with the consequent collision with the buffer stop.</t>
  </si>
  <si>
    <t>SmrÅ¾ovka station</t>
  </si>
  <si>
    <t>Direct cause:_x000D_
•reducing the braking effect of the rolling stocks of the regional passenger train No. 26341 due to frozen lumps which were created between wheels and brake blocks._x000D_
_x000D_
Contributory factor:_x000D_
•adverse weather conditions (powder snow).</t>
  </si>
  <si>
    <t>Underlying cause:_x000D_
•failure to observe the RU’s technological procedures by the train driver – insufficient heating of the friction node of the train braking system of the train No. 26341 at the entrance to Smržovka station when the temperature was lower than 2 °C and the powder snow was swirled._x000D_
_x000D_
Root cause: none.</t>
  </si>
  <si>
    <t>CZ-5575</t>
  </si>
  <si>
    <t>Spad, 18-01-18, Beroun station (Czech Republic)</t>
  </si>
  <si>
    <t>Unauthorized movement of the service train No. 269294 behind the route signal device Lc2a and the consequent ride on the station track behind the regional passenger train No. 7716.</t>
  </si>
  <si>
    <t>Direct cause:_x000D_
• an operational error of the train driver of the service train No. 269294 (he did not respect signal “Stop” of the signal device Lc2a at Beroun station)._x000D_
_x000D_
Contributory factor:_x000D_
• absence of technical equipment which prevents a train from passing a signal in case of danger.</t>
  </si>
  <si>
    <t>Underlying cause:_x000D_
• failure to comply with technological procedures of RU and IM by the train driver of the service train No. 269294, due to insufficient attention._x000D_
_x000D_
Root cause: none.</t>
  </si>
  <si>
    <t>HU-5909</t>
  </si>
  <si>
    <t>Train derailment, 21-01-18, Budapest, Török Flóris u. (Hungary)</t>
  </si>
  <si>
    <t>Az 52 sz. villamos elso forgóvázával kisiklott. 
Tram No 52 derailed with its first bogies.</t>
  </si>
  <si>
    <t>Budapest, Török Flóris u.</t>
  </si>
  <si>
    <t>A váltó félállásban maradt, azt a jármuvezeto nem észlelte. 
The switch remained in half-position and was not detected by the driver.</t>
  </si>
  <si>
    <t>A váltójelzo félállású váltó esetén is végállásra utaló jelzési képet adott. 
Even in the case of a half-position switch, the switchboard signal provided a final position indicator image.</t>
  </si>
  <si>
    <t>UK-5594</t>
  </si>
  <si>
    <t>Train derailment, 22-01-18, Loch Eilt (United Kingdom)</t>
  </si>
  <si>
    <t>At 06:47 hrs on Monday 22 January 2018, a passenger train travelling between Mallaig and Glasgow Queen Street struck a landslip. The leading vehicle derailed and tilted to the left. There were no injuries among the five passengers and two crew on board. Passengers were evacuated to the nearest road access by a specialist rail vehicle and then transported by taxi._x000D_
The landslip was on a remote section of track between Lochailort and Glenfinnan where the line runs across sloping ground above the shore of Loch Eilt. The accident happened in darkness following a period when significant snow melt occurred at the same time as moderately heavy rainfall. The landslip originated above the railway boundary. A proportion of the several hundred tonnes of material that slipped was deposited on the railway. This destroyed a section of a fence installed recently to protect the railway from individual loose boulders rolling down the adjacent slope.</t>
  </si>
  <si>
    <t>Loch Eilt</t>
  </si>
  <si>
    <t>Train 1Y42 collided with a landslip while travelling at a speed of around 40 mph (64 km/h)</t>
  </si>
  <si>
    <t>The causal factors were:_x000D_
l Landslip debris obstructed the line as a result of weather conditions that combined to increase the risk of slope instability (paragraph 34); and_x000D_
l Network Rail was not aware of the landslip before train 1Y42 arrived at it (paragraph 59)._x000D_
Factor affecting the severity of consequences_x000D_
74 Action to control the leakage of diesel fuel from the train was delayed (paragraph 62, Learning point 1).</t>
  </si>
  <si>
    <t>NO-5605</t>
  </si>
  <si>
    <t>Level crossing event, 23-01-18, Høium Railrod crossing, Østfoldbanen (Norway)</t>
  </si>
  <si>
    <t>The road scraper was removing ice and snow from Høiumvegen road. When it came to Høium level crossing, the driver lifted the cutting edge in order not to damage the level crossing plates. When the cutting edge was past the level crossing and the driver lowered it again, the scraper stopped and remained standing in the middle of the level crossing. _x000D_
_x000D_
Attempts were made to contact NSB AS to inform the company that there was a vehicle on the level crossing, but before contact was made a passenger train approached and the barriers were lowered. An attempt was then made to signal to the train driver, but because the weather was wet and it was dark, the train driver did not see the obstacle in time to prevent a collision. _x000D_
_x000D_
Three persons on board the train suffered minor injuries. The scraper was a total write-off, and there was considerable damage to the front of the train. _x000D_
 _x000D_
The investigation will clarify the sequence of events and identify possible causal factors. Any underlying conditions that may have contributed to the incident will be mapped and analysed.</t>
  </si>
  <si>
    <t>Høium Railrod crossing, Østfoldbanen</t>
  </si>
  <si>
    <t>The road grader was removing ice and snow from the road when its engine failed. The grader remained standing between the barriers, with the cab, engine and bogie on the level crossing. The driver was unable to restart the engine, and there was no light on the road grader. Neither the marker lights nor the emergency lighting were working. The driver then attempted to warn of the danger, but did not make contact before the train came.</t>
  </si>
  <si>
    <t>CZ-5583</t>
  </si>
  <si>
    <t>Level crossing accident, 24-01-18, level crossing No. P2158 between LeneÅ¡ice and Brvany stations (Czech Republic)</t>
  </si>
  <si>
    <t>Collision of the regional passenger train No. 6707 with the backhoeloader at the level crossing No. P2158.</t>
  </si>
  <si>
    <t>level crossing No. P2158 between LeneÅ¡ice and Brvany stations</t>
  </si>
  <si>
    <t>Direct cause:_x000D_
• standing of the backhoe-loader at the dangerous area of the level crossing at the time of movement of the regional passenger train No. 6707._x000D_
_x000D_
Contributory factor: none.</t>
  </si>
  <si>
    <t>Underlying cause:_x000D_
• the impossibility to leave the dangerous area of the level crossing by the backhoe-loader due to inactive motor because of lack of fuel in the tank._x000D_
_x000D_
Root cause: none.</t>
  </si>
  <si>
    <t>IT-5584</t>
  </si>
  <si>
    <t>Train derailment, 25-01-18, Pioltello (Italy)</t>
  </si>
  <si>
    <t>Regional train derailment. 350 passengers onboard.</t>
  </si>
  <si>
    <t>Pioltello</t>
  </si>
  <si>
    <t>broken rail at the km 13 + 400 of Milan - Brescia line, in the Melzo Scalo - Pioltello Limito section</t>
  </si>
  <si>
    <t>1. on line inspection and related mitigation measures_x000D_
2. inadequate scheduling of decisive maintenance service_x000D_
3. failure to carry out manual ultrasonic checks</t>
  </si>
  <si>
    <t>HU-5585</t>
  </si>
  <si>
    <t>Train derailment, 27-01-18, Ferencváros (Hungary)</t>
  </si>
  <si>
    <t>One empty tank-waggon has derailed.</t>
  </si>
  <si>
    <t>Az esemény bekövetkezésére közvetlenül ható tényezok az alábbiak voltak:_x000D_
a)	 a kocsi menetirány szerinti jobb elso kerekén a 8. csapnál a kerékabroncs lecsúszott, ezáltal a kerékpár vezetetlenné vált és kisiklott (1.3), _x000D_
b)	a kerékabroncs lazulása egy hosszabb folyamat eredménye volt, laza abronccsal hosszabb távot tett meg a kocsi, azonban a kerékösszejelölés hiányában az abroncs lazulása a kocsivizsgálat során rejtve maradt. 
Factors directly affecting the occurrence of the event were as follows:_x000D_
(a) the wheel on the right front wheel of the wagon has slipped off at pin 8, causing the bicycle to become unmounted and derailed (1.3),_x000D_
b) the tire slacking was the result of a longer process, with a loose tire for longer distances, but in the absence of a wheel slip, the tire slip was hidden during the car test.</t>
  </si>
  <si>
    <t>CZ-5587</t>
  </si>
  <si>
    <t>Level crossing accident, 31-01-18, an open line between Skovice operational control point and Cáslav místní nádraÅ¾í station (Czech Republic)</t>
  </si>
  <si>
    <t>The collision of the regional passenger train No. 15900 with the car at the level crossing.</t>
  </si>
  <si>
    <t>an open line between Skovice operational control point and Cáslav místní nádraÅ¾í station</t>
  </si>
  <si>
    <t>Direct cause:_x000D_
• an unauthorized entrance of the car at the level crossing at the time when the train No. 15900 was arriving.</t>
  </si>
  <si>
    <t>Underlying causes:_x000D_
• the entrance of the car at the level crossing at the time when the arriving train could be visible;_x000D_
• driver’s behavior in front of the level crossing, the car driver was not careful enough._x000D_
_x000D_
Root cause: none.</t>
  </si>
  <si>
    <t>UK-5615</t>
  </si>
  <si>
    <t>Accident to persons caused by RS in motion, 31-01-18, Notting Hill Gate (United Kingdom)</t>
  </si>
  <si>
    <t>At about 16:00 hrs on Wednesday 31 January 2018, a passenger’s bag became trapped between the doors of a westbound train at Notting Hill Gate station on the Central line. The passenger was unable to free the bag, despite the assistance of others, nor could she let go of it. As the train began to move she was dragged along the platform and into the running tunnel beyond before the train stopped. The passenger, who was 78 years old, was seriously injured._x000D_
Passengers on the train operated the emergency alarms and the train operator applied the brake. By the time the train came to a stand, six of its eight coaches were in the running tunnel. Emergency services and London Underground’s emergency response unit rescued the passenger from the space between the underside of the train and the tunnel wall and she was taken to hospital, where she is recovering.</t>
  </si>
  <si>
    <t>Notting Hill Gate</t>
  </si>
  <si>
    <t>The train departed with a passenger trapped in the doors.</t>
  </si>
  <si>
    <t>Causal factors_x000D_
97 The causal factors were:_x000D_
a. The passenger’s bag became trapped in the doors as she attempted to board the train (paragraph 44, no recommendation)._x000D_
b. The train was able to depart with a bag trapped in the doors (paragraph 48, Recommendation 1)._x000D_
c. The train operator was not aware of the trapped passenger before initiating the train’s departure (paragraph 53). This is likely to have occurred due to a combination of the following:_x000D_
i. The nature of the train operator’s task had caused him to not consciously process the available information (paragraph 56, Recommendation 2)._x000D_
ii. The view of the person on the in-cab CCTV monitor did not adequately assist the train operator to detect that a passenger was trapped in the doors (paragraph 62, Recommendation 3)._x000D_
iii. The train operator did not conduct an adequate check of the in-cab CCTV monitor (paragraph 68, Recommendation 4)._x000D_
Underlying factor_x000D_
98 The underlying factor was:_x000D_
a. LUL’s training programme for train operators does not adequately prepare them for some of the particular demands associated with train despatch, especially when operating ATO stock. It is probable that this factor was linked to the cause of the accident (paragraph 72, Recommendation 4).</t>
  </si>
  <si>
    <t>RO-5586</t>
  </si>
  <si>
    <t>Train derailment, 01-02-18, Valea Alba - Drobeta Tr. Severin Marfuri (Romania)</t>
  </si>
  <si>
    <t>4 tank wagons (loaded with gasoline and diesel), from the freight train no.80592-1, derailed in open line between Valea Alba and Drobeta tr. Severin Marfuri railway stations. One of this wagons overturned.</t>
  </si>
  <si>
    <t>Valea Alba - Drobeta Tr. Severin Marfuri</t>
  </si>
  <si>
    <t>Cauza directa a producerii accidentului feroviar o constituie caderea între firele caii în cuprinsul unei zone de traseu în curba cu devia?ie dreapta în sensul de mers al trenului, a ro?ii din partea dreapta (roata nr.8) a osiei conducatoare de la vagonul nr. 83537951253-5, al 16-lea din compunerea trenului de marfa nr.80592-1. Acest lucru s-a produs în conditiile în care, alcatuirea suprastructurii caii era necorespunzatoare, permi?ând deplasarea pe direc?ie radiala a ansamblului ?ina - placa metalica pe traversele de lemn, având ca efect cre?terea valorii ecartamentului caii peste limitele toleran?elor admise în exploatare._x000D_
_x000D_
_x000D_
Factorii care au contribuit la producerea accidentului:_x000D_
-	men?inerea în exploatare, în zona producerii deraierii (zona km 349+819), a unor traverse normale de lemn a caror stare tehnica impunea înlocuirea acestora;_x000D_
-	neasigurarea traverselor normale de lemn, necesare realizarii mentenan?ei infrastructurii feroviare, la nivelul sec?iei de între?inere a caii, pentru realizarea circula?iei trenurilor în depline condi?ii de siguran?a. 
The direct cause of the accident was the fall between the rails, within a curve with right deviation, in the train running direction, of the right wheel (wheel no.8) from the guiding axle of the wagon no. 83537951253-5, the 16th one of the freight train no.80592-1. It happened because, the composition of the track superstructure was unsuitable, allowing the radial movement of the ensemble rail-metallic plate on the wooden sleepers, leading to the increase of the gauge value over the tolerance limits accepted in operation._x000D_
_x000D_
Contributing factors:_x000D_
-	keeping in operation, at the derailment site (km 349+819), of some normal wooden sleepers whose technical condition imposed their replacement;_x000D_
-	non-supplying of the normal wooden sleepers, necessary for the performance of the infrastructure maintenance, in the track section for the track maintenance, in order to assure the train running in safety conditions.</t>
  </si>
  <si>
    <t>Cauzele subiacente _x000D_
-	Nerespectarea prevederilor art.14 din Instruc?ia de norme ?i toleran?e pentru construc?ia ?i între?inerea caii - linii cu ecartament normal - nr.314/1989, referitoare la toleran?ele admise pentru ecartamentul prescris al caii._x000D_
-	Nerespectare prevederilor din Instruc?ia pentru folosirea vagoanelor de masurat calea nr.329/1995 referitoare la:_x000D_
?	art.6.5 - întocmirea caietelor care con?in notele cu defectele înregistrate în urma masurarii liniei inclusiv pentru liniile a caror viteza de circula?ie de 30 km/h sau mai mica._x000D_
?	art.6.7 - programarea remedierii defectelor înregistrate de vagonul de masurat calea;_x000D_
  - respectarea termenelor de remediere a defectelor._x000D_
_x000D_
Cauze primare_x000D_
1.	Neaplicarea tuturor prevederilor procedurii operationale cod PO SMS 0-4.07 „Respectarea specificatiilor tehnice, standardelor si cerintelor relevante pe întreg ciclul de viata a liniilor în procesul de întretinere”, parte a sistemului de management al sigurantei administratorului de infrastructura feroviara publica CNCF „CFR” SA, referitoare la executarea lucrarilor de între?inere ?i repara?ii periodice a liniilor de cale ferata._x000D_
2.	Neînregistrarea ca pericol a defectelor geometriei caii identificate în urma verificarii geometriei caii cu automotorul tip TMC._x000D_
3.	Neînregistrarea ca pericole a defectelor de gardul 3 ?i de gradul 4 identificate în urma verificarii geometriei caii cu vagonul de masurat calea, inclusiv pentru zonele cu restric?ii de viteza. 
. Underlying causes _x000D_
-	violation of the provisions from art.14 of the Instruction of norms and tolerances for the track construction and maintenance – lines with standard gauge - no.314/1989, concerning the tolerances accepted for the prescribed track gauge._x000D_
-	violation of the provisions from the Instruction for the use of testing and recording cars no.329/1995 concerning:_x000D_
?	art.6.5 – drafting of the specifications containing the notes with the failures recorded following the measuring of the line, including for the lines with running speed of 30 km/h or less._x000D_
?	art.6.7 – schedule of the removal of the failures recorded by the testing and recording car;_x000D_
  - compliance with the deadlines for the failure removal._x000D_
_x000D_
Root causes_x000D_
1.	non-application of all provisions of the operational procedure code PO SMS 0-4.07 „Compliance with the technical specifications, standards and requirements relevant for the whole life time of the lines in maintenance process”, part of the safety management system of the public infrastructure manager CNCF „CFR” SA, concerning the performance of the maintenance and periodical repairs at the lines._x000D_
2.	non-recording as hazard of the failures from the track geometry identified following the checking of the track geometry with motorised car type TMC._x000D_
3.	non-recording as hazards of the failures level 3 and 4 identified following the checking of the track geometry with the testing and recording car, including for the areas with speed restrictions.</t>
  </si>
  <si>
    <t>SE-5597</t>
  </si>
  <si>
    <t>Level crossing accident, 01-02-18, Hökmora (Sweden)</t>
  </si>
  <si>
    <t>Level crossing accident,  freight train and truck. The truck got stuck on the crossing. Ice on the road. The train driver seriously injured. 
Tåg och lastbil kolliderade. Lokföraren allvarligt skadad. Lastbilen fastnade på korsningen. Halt väglag.</t>
  </si>
  <si>
    <t>Hökmora</t>
  </si>
  <si>
    <t>According to the SHK the cause of the accident was the extremely slippery road surface in combination with the unfavourable road conditions at the intersection, i.e. the gradient of the road in the turn, the sharp turn itself and the following incline of the road directly after the crossing.</t>
  </si>
  <si>
    <t>A contributing cause to the accident was that the protection in the railway crossing had a limited ability to detect the vehicle in the crossing and provide the train with the possibility to stop in time._x000D_
The unfavourable road conditions in combination with the railway level crossing protection, i.e. automatic half barriers, could be considered to be an underlying systemic limitation in the traffic system, which could not be said to in an adequate fashion have been able to handle the arisen conflict between the two vehicles.</t>
  </si>
  <si>
    <t>CZ-5588</t>
  </si>
  <si>
    <t>Trains collision, 03-02-18, Melník station (Czech Republic)</t>
  </si>
  <si>
    <t>The unsecured movement of the shunting operation with the consequent collision with the standing locomotive.</t>
  </si>
  <si>
    <t>Melník station</t>
  </si>
  <si>
    <t>Locomotive running solo; 
Other</t>
  </si>
  <si>
    <t>Direct cause:_x000D_
• failure to stop the shunting operation before the end of the shunting route._x000D_
_x000D_
Contributory factors:_x000D_
• movement of the shunting operation to the shunting district No. 2, without the instruction from the shunting supervisor of reserve Z 2;_x000D_
• failure to ensure timely transference of instructions to stop the shunting operation in front of the switch No. 26 by the shunting supervisor of reserve Z 2 while driving._x000D_
_x000D_
Contributory factors of the collision:_x000D_
• failure to observe condition for running at sight by the driver of the shunting operation;_x000D_
• failure to ensure timely transference of instructions to stop the shunting operation by the shunting supervisor of reserve Z 2 when the shunting operation did not stop before the switch No. 26;_x000D_
• the shunting supervisor’s of reserve Z 1 unclear and incomprehensible message given over the radio, which evoked information about a position of the switch No. 26.</t>
  </si>
  <si>
    <t>Underlying cause:_x000D_
• failure to comply the technological procedures for shunting operation and radio communication, which were stipulated in the internal regulations of the IM, by the employees of the RU._x000D_
_x000D_
Root cause: none.</t>
  </si>
  <si>
    <t>HU-5984</t>
  </si>
  <si>
    <t>Train derailment, 04-02-18, Budapest, Határ út vá. (Hungary)</t>
  </si>
  <si>
    <t>The tram has derailed on a switch. 
Budapest, Határ út végállomáson a kijárati váltón az 50 villamos kisiklott.</t>
  </si>
  <si>
    <t>Budapest, Határ út vá.</t>
  </si>
  <si>
    <t>A váltó meghibásodása, melyet az elso sínszéket és a tosínt összefogó csavarkötés lazulása és a pályaszerkezet avult állapota miatti rendellenes elmozdulásai okozott 
Interchange failure caused by relaxation of the screwed joint between the first rail chair and the steep rail and abnormal movements of the track structure due to its improved condition</t>
  </si>
  <si>
    <t>A pálya nagymértéku leromlott állapota miatt, a karbantartás szintu beavatkozások nem voltak elégségesek ahhoz, hogy a pálya állapotát az eloírásoknak megfelelo szinten tartsák. 
Due to the high degraded state of the track, maintenance-level interventions were not sufficient to keep the track state at the required level.</t>
  </si>
  <si>
    <t>PT-5606</t>
  </si>
  <si>
    <t>Train derailment, 04-02-18, Marco de Canaveses (Portugal)</t>
  </si>
  <si>
    <t>The last three wagons of freight train 51323 derailed while going through a set of points at the entrance of the station. 
Ao entrar na estação de Marco de Canaveses, os três últimos veículos do comboio de mercadorias n.º 51323 descarrilaram.</t>
  </si>
  <si>
    <t>Marco de Canaveses</t>
  </si>
  <si>
    <t>Failure of a threaded connection between the operating lever and the link rods to the tongue rails of switch 5 of Marco de Canaveses station. The resulting disconnection eliminated the stabilizing force exerted by the counterweight lever on the point lock, thus permitting the point blade to open under the action of the forces caused by the passage of the train. The opening of the points resulted in the loss of guidance of the left wheel of the 15th wagon and in its derailment, forcing the aperture of both tongue rails of the switch after which the following wheels of the train followed the diverging route.</t>
  </si>
  <si>
    <t>The connection that failed on switch 5 was a non-standard technical solution on the national railway network, having a design that made inevitable the progressive and slow wear of the threaded screws on the operating lever side, by action of its normal operation and vibrations caused by the passage of the trains._x000D_
The Safety Management System procedures of the infrastructure manager where not effective to identify the risks associated to the deficient design of the connection neither to provide for the detection of the gradual wear that it suffered over a very extended time period.</t>
  </si>
  <si>
    <t>DK-10132</t>
  </si>
  <si>
    <t>Other event, 05/02/2018, Valby Station, Denmark</t>
  </si>
  <si>
    <t>Valby Station</t>
  </si>
  <si>
    <t>HU-5844</t>
  </si>
  <si>
    <t>Trains collision with an obstacle, 06-06-18, Debrecen (Hungary)</t>
  </si>
  <si>
    <t>In town Debrecen the tramway collided with a bus. In the intersection was trafic light, wich operated correctly. 
Debrecen város belterületén a villamos autóbusszal ütközött egy közlekedési lámpával ellátott keresztezodésben</t>
  </si>
  <si>
    <t>Debrecen</t>
  </si>
  <si>
    <t>Debreceni Közlekedési Vállalat</t>
  </si>
  <si>
    <t>a)	A villamosvezeto nem tartotta be a KRESZ-ben és az F.1.-F.2. számú Jelzési és Forgalmi Utasításban eloírt szabályokat, és a keresztezodésbe behaladást megtiltó fényjelzés mellett haladt be. 
(a) The tram driver did not comply with KRESZ and F.1 to F.2.and entered with a light signal prohibiting entry to the crossing.</t>
  </si>
  <si>
    <t>b)	a baleset idején érvényben lévo fázistervben az egymást követo szabad jelzések közötti közbenso ido nem volt a szakirodalomban eloírtaknak megfelelo hosszúságú. 
(b) the intermediate time between consecutive free signals in the phase plan in force at the time of the accident was not as long as prescribed in the literature.</t>
  </si>
  <si>
    <t>BE-5601</t>
  </si>
  <si>
    <t>Train derailment, 07-02-18, Schaerbeek (Belgium)</t>
  </si>
  <si>
    <t>NIB BE</t>
  </si>
  <si>
    <t>Derailment of a Lineas freight train</t>
  </si>
  <si>
    <t>Lineas</t>
  </si>
  <si>
    <t>The locomotive and the first three wagons derail. The locomotive is damaged. There is important damage to the tracks, the catenary and the points. Several parked road vehicles are also damaged (after derailing, the train collided with these road vehicles).</t>
  </si>
  <si>
    <t>According to the retained hypothesis. It is assumed that the direct cause of the derailment is the opening up of the track as a result of the inefficient fastening of the rails to the sleepers at an expansion joint and in a curve.</t>
  </si>
  <si>
    <t>INDIRECT FACTOR: According to the retained hypothesis, the indirect cause of the opening up of the track is the failure to perform the ‘control and maintenance’ process according to the procedures provided by the Infrastructure Manager.  SYSTEMIC FACTOR 1 – Information and communication: The diagnoses resulting from ‘checks’ are ambiguously converted into ‘control and maintenance’ notifications or work instructions, and when diagnosing, no link is made between successive measurement results.  SYSTEMIC FACTOR 2 – Operational planning and control: The follow-up and traceability of the follow-up of a number of ‘control and maintenance’ assignments is not optimal.  SYSTEMIC FACTOR 3 – Performance assessment - monitoring: The PDCA principle, which has been put in place by the Infrastructure Manager to evaluate the ‘control and maintenance’ process by supervision / audit / control, and/or inspection, has not been efficient enough to identify the failure of the ‘control and maintenance’ process in time.</t>
  </si>
  <si>
    <t>HU-5619</t>
  </si>
  <si>
    <t>Trains collision, 07-02-18, Blaha Lujza tér (Hungary)</t>
  </si>
  <si>
    <t>A maintenance train collided with an other (stopped) maintenance train in the undeground-tunnel.</t>
  </si>
  <si>
    <t>Blaha Lujza tér</t>
  </si>
  <si>
    <t>AT-5604</t>
  </si>
  <si>
    <t>Trains collision, 12-02-18, Niklasdorf (Austria)</t>
  </si>
  <si>
    <t>The train 1708 collided with the scheduled passing oncoming train 216 at the level of the switch 7. This derailed several wagons on both trains, with a wagion of the train 216 was torn open at the side._x000D_
In this train accident, one person was killed and another 22 people were injured to an indefinite degree._x000D_
There was considerable material damage to vehicles and infrastructure. 
Der Zug 1708 kollidierte mit dem planmäßig durchfahrenden, entgegenkommenden Zug 216 auf Höhe der Weiche 7. Dabei entgleisten mehrere Wagen bei beiden Zügen, wobei ein Wagen des Zuges 216 seitlich aufgerissen wurde. _x000D_
Bei diesem Zugunglück kam eine Person ums Leben und weitere 22 Personen wurden unbestimmten Grades verletzt._x000D_
Es kam zu erheblichen Sachschaden an Fahrzeugen und Infrastruktur.</t>
  </si>
  <si>
    <t>Niklasdorf</t>
  </si>
  <si>
    <t>Ursache für die Flankenfahrt (ein seitlicher Zusammenstoß zwischen einem Teil eines Zuges_x000D_
und einem Teil eines anderen Zuges) war das Anfahren gegen „Halt“ von Z 1708 mit_x000D_
anschließender Signalüberfahrung. 
Cause of flank travel (a side collision between part of a train_x000D_
and part of another train) was the start against "stop" of Z 1708 with_x000D_
subsequent signal crossing.</t>
  </si>
  <si>
    <t xml:space="preserve">Begünstigt wurde die Signalüberfahrung durch die_x000D_
infrastrukturseitig sicherungstechnische Situation, dass auf Grund des großen Abstandes_x000D_
zwischen Vorsignal (1000 Hz-Magnet) und Hauptsignal (2000 Hz-Magnet) der Zug 1708 ab _x000D_
der Beendigung der 1000 Hz-Geschwindigkeitsüberwachung bis zur Zwangsbremsung am_x000D_
„Halt“ zeigenden AS „H1" ohne technischer Überwachung fuhr, da kein 500 Hz-Magnet_x000D_
vorhanden war. 
</t>
  </si>
  <si>
    <t>CZ-5859</t>
  </si>
  <si>
    <t>Level crossing accident, 02-12-18, open line between Ústí nad Labem-Strekov station and Svádov railway stop (Czech Republic)</t>
  </si>
  <si>
    <t>Collision of the freight train No. 55383 with a car at the level crossing No. P2969.</t>
  </si>
  <si>
    <t>open line between Ústí nad Labem-Strekov station and Svádov railway stop</t>
  </si>
  <si>
    <t>ARRIVA vlaky s.r.o.</t>
  </si>
  <si>
    <t>DE-5603</t>
  </si>
  <si>
    <t>Train derailment, 13-02-18, Duisburg-Wedau (Germany)</t>
  </si>
  <si>
    <t>Güterzug EZ 68115 (EVU: DB Cargo AG) entgleiste am 13.02.18 gegen 19:15 Uhr mit beiden Achsen des letzten, leeren Hbbillns Wagens bei der Durchfahrt im Gleis 24 (km 7,95) des Bfs Duisburg - Wedau auf der Strecke 2324. 
The freight train EZ 68115 (EVU: DB Cargo AG) derailed on 13.02.18 at 19:15 with both axles of the last, empty Hbbillns wagon when driving through on rail track 24 (km 7,95) of railway station Duisburg - Wedau on itinerary 2324.</t>
  </si>
  <si>
    <t>Duisburg-Wedau</t>
  </si>
  <si>
    <t>Ursächlich für die Entgleisung waren periodische und nahezu phasengleiche Gleislagefehler in der Längshöhe, die die Fahrzeuge individuell zu Schwingungen anregten. Bei Übereinstimmung der Anregungsfrequenz mit der Hubeigenfrequenz eines Fahrzeuges können die vertikalen Kräfte durch auftretende Resonanzen so groß werden, dass der Kontakt zwischen Rad und Schiene verloren geht, und der Radsatz entgleist. 
The cause of the derailment were periodic and nearly in-phase track position errors in the longitudinal height, which caused the vehicles individually to oscillate. If the excitation frequency coincides with the natural frequency of a vehicle, the vertical forces resulting from resonances can become so great that contact between the wheel and the rail is lost and the wheelset derailed.</t>
  </si>
  <si>
    <t>RO-5599</t>
  </si>
  <si>
    <t>Train derailment, 13-02-18, Bucuresti Sud-Berceni (Romania)</t>
  </si>
  <si>
    <t>the rear boghie from the 14th wagon from the freight train no 86102 derailed in open line between railway stations Bucuresti Sud and Berceni</t>
  </si>
  <si>
    <t>Bucuresti Sud-Berceni</t>
  </si>
  <si>
    <t>Cauza directa a producerii acestui accident o constituie escaladarea flancului activ al ciupercii ?inei de pe firul exterior al curbei de catre roata atacanta (situata pe partea dreapta în sensul de mers al trenului) de la vagonul nr. 31535482244-9 ca urmare a cre?terii raportului dintre forta conducatoare ?i sarcina ce actiona pe aceasta roata, depasindu-se astfel limita de stabilitate la deraiere._x000D_
Cre?terea raportului dintre forta conducatoare ?i sarcina ce actiona pe roata atacanta s-a produs în condi?iile descarcarii puternice de sarcina a ro?ii din partea dreapta a osiei conducatoare ?i a cre?terii for?ei laterale (de ghidare) pe aceasta roata._x000D_
_x000D_
Factorul care a contribuit:_x000D_
Starea tehnica necorespunzatoare a caii generata de defecte la nivel transversal ?i direc?ia caii în curba. 
Direct cause of the accident was the climbing of the rail gauge by the guiding wheel from the wagon no. 31535482244-9 (situated on the right side in the train running direction), following the increase of the ratio between the guiding force and the load acting on this wheel, so exceeding the derailment stability limit._x000D_
The increase of the ratio between the guiding force and the load acting on the guiding wheel happened following the serious load transfer of the right wheel from the leading axle and the increase of the lateral force (guiding one) on this wheel._x000D_
Contributing factors:_x000D_
Unsuitable technical condition of the track generated by the failures at the transversal level of the track in curve.</t>
  </si>
  <si>
    <t>Cauze subiacente_x000D_
1)	nerespectarea prevederilor art.7.A.1. din „Instruc?ia de norme ?i toleran?e pentru construc?ia ?i între?inerea caii pentru linii cu ecartament normal nr.314/1989”, referitoare la valorile tolerantelor nivelului transversal prescris al unui fir fata de celalalt, atât în aliniament cât si în curba;_x000D_
2)	nerespectarea prevederilor art.7.A.4. referitoare la men?inerea în toleran?e a înclinarii rampei torsionarii caii;_x000D_
3)	nerespectarea prevederilor art.7.B.1. referitoare la tolerantele pozi?iei în plan a caii;_x000D_
4)	nerespectarea prevederilor pct.4.1. din Cap.4 „Norme de manopera ?i de consum de materiale”, al „Instruc?iei de între?inere a liniilor ferate nr.300/1982” referitoare la asigurarea normei de manopera la între?inerea curenta în execu?ie manuala._x000D_
_x000D_
Cauza primara a accidentului o constituie neaplicarea prevederilor procedurii opera?ionale cod PO SMS 0-4.07 „Respectarea specificatiilor tehnice, standardelor si cerintelor relevante pe întreg ciclul de via?a a liniilor în procesul de întretinere”, parte a sistemului de management al siguran?ei al CNCF „CFR” SA, referitoare la dimensionarea personalului Districtului de linii nr.5 Titan, în raport cu volumul de lucrari. 
Underlying cause_x000D_
1)	violation of the provisions of art.7.A.1. from „Instruction of norms and tolerances for the construction and maintenance of the track for lines with standard gauge no.314/1989”, concerning the values of the tolerances of the prescribed transversal level  of a rail against the another one, in a straight line and in curve;_x000D_
2)	violation of the provisions of art.7.A.4. concerning the keeping between the tolerances of the canting of the track twisting gradient;_x000D_
3)	violation of the provisions of art.7.B.1. concerning the tolerances of the track plan position;_x000D_
4)	violation of the provisions from point 4.1. from Chapter 4 „Norms of manpower and material consumption”, and „Instruction for the line maintenance no.300/1982” concerning the provision with the norm of manpower for the current hand maintenance._x000D_
_x000D_
Root cause of the accident was the non-application of the provisions from the operational procedure code PO SMS 0-4.07 „Compliance with the technical specifications, standards and requirements relevant for the whole life time of the lines in maintenance process”, part of the safety management system of CNCF „CFR” SA, concerning the sizing of the staff from the Line District no.5 Titan,  with reference the works.</t>
  </si>
  <si>
    <t>CZ-5600</t>
  </si>
  <si>
    <t>Unauthorised train movement other than SPAD, 15-02-18, Praha-Horní Pocernice station (Czech Republic)</t>
  </si>
  <si>
    <t>The unsecured movement of the regional passenger trains No. 5815 and No. 5810 at Praha-Horní Pocernice station.</t>
  </si>
  <si>
    <t>Praha-Horní Pocernice station</t>
  </si>
  <si>
    <t>Direct cause:_x000D_
• the entrance of the regional passenger train No. 5815 onto a different track than was determined, and its ride against the departing regional passenger train No. 5810.</t>
  </si>
  <si>
    <t>Underlying cause:_x000D_
• failure of compliance of the technological procedures of the IM when preparing a train route, which was caused by:_x000D_
   - an incorrect manipulation with a station interlocking equipment;_x000D_
   - a failure to identify the incorrect train route position, which was indicated by the station interlocking equipment;_x000D_
   - a verbal confirmation of the correct position of the train routes for the regional passenger trains No. 5810 and No. 5815 by the signalwoman, even though the switches were not correctly switched._x000D_
_x000D_
Root cause: none.</t>
  </si>
  <si>
    <t>CZ-5602</t>
  </si>
  <si>
    <t>Level crossing accident, 16-02-18, open line between Ostrava-Svinov and Ostrava-Trebovice stations (Czech Republic)</t>
  </si>
  <si>
    <t>Collision of the regional passenger train No. 3420 with the car at the level crossing.</t>
  </si>
  <si>
    <t>open line between Ostrava-Svinov and Ostrava-Trebovice stations</t>
  </si>
  <si>
    <t>Direct cause:_x000D_
• driver's failure to respect the light and acoustic warning and driving across the level crossing No. P7724 at the time when it was forbidden.</t>
  </si>
  <si>
    <t>Underlying cause:_x000D_
• behavior of the driver in front of the level crossing No. P7724, the car driver wasn't careful enough and didn't make sure whether she could safely pass the level crossing._x000D_
Root cause: none.</t>
  </si>
  <si>
    <t>SK-5679</t>
  </si>
  <si>
    <t>Spad, 16-02-18, Trencín station (Slovak Republic)</t>
  </si>
  <si>
    <t>DE-5607</t>
  </si>
  <si>
    <t>Trains collision, 20-02-18, Cuxhaven (Germany)</t>
  </si>
  <si>
    <t>Am 20.02.2018 gegen 21:00 Uhr kollidierte der aus Richtung Bremerhaven kommende Güterzug DGS 59750 (EVU: RCC-PCT Altmann) bei der Einfahrt nach Gleis 28 im Bahnhof Cuxhaven mit dem führenden Tfz des in Gleis 27 stehenden Güterzuges EK 53681 (EVU: DB Cargo AG). 
On 20.02.2018 towards 21:00, freight train DGS 59750 (EVU: RCC-PCT Altmann) coming from Bremerhaven collided while entering with the leading locomotive of freight train EK 53681 (EVU: DB Cargo AG), which had stopped on rail track 27.</t>
  </si>
  <si>
    <t>Cuxhaven</t>
  </si>
  <si>
    <t>PCT Private Car Train GmbH; 
DB Schenker Rail Deutschland AG</t>
  </si>
  <si>
    <t>Die Zugkollision wurde verursacht durch Arbeitsfehler im Rahmen der Fahrwegprüfung. Die Einfahrt des DGS 59750 wurde zugelassen, obwohl ein im benachbarten Gleis stehendes Tfz über das Grenzzeichen der einmündenden Weiche hinausstand und sich dabei im Einfahrweg des Zuges befand. 
The train collision was caused by work errors during the track inspection. The entrance of the DGS 59750 was admitted, although a vehicle standing in the neighboring track was beyond the border mark of the opening switch and was in the entry way of the train.</t>
  </si>
  <si>
    <t>EE-5609</t>
  </si>
  <si>
    <t>Level crossing event, 20-02-18, Kulna level crossing (Estonia)</t>
  </si>
  <si>
    <t>Semitrailer collided with a passenger train on the Kulna level crossing. Nine people were injured. The train derailed.</t>
  </si>
  <si>
    <t>Kulna level crossing</t>
  </si>
  <si>
    <t>Human error, where the driver, driving carefully had concentrated on winter road conditions and failed in time to turn his attention the approaching train. In order to avoid collision with the train the driver belatedly started to turn to the right, whereas the train had already reached the level crossing. After that took place instant collision with the train.</t>
  </si>
  <si>
    <t>The experience and working habits of the driver of rolling stock unit were copmpetent and by no means contributed to the accident. In the given case there are no underlying causes._x000D_
In the given accident case there are no root causes, i. e. causal realtions between the occasion and application of regulations and safety management system.</t>
  </si>
  <si>
    <t>PT-5629</t>
  </si>
  <si>
    <t>Train derailment, 20-02-18, Mangualde (Portugal)</t>
  </si>
  <si>
    <t>Freight train 42800 operated by MEDWAY derailed the first wheelset of its third wagon, running for over one quilometre before the train stopping. 
O comboio de mercadorias n.º 42800 da empresa de transporte ferroviário MEDWAY ao passar pelo PK 127,476 da linha da Beira Alta, próximo da estação de Mangualde, descarrilou o primeiro rodado de um vagão porta-contentores que ocupava a terceira posição na composição. O vagão circulou descarrilado mais do que um quilómetro até ao comboio parar.</t>
  </si>
  <si>
    <t>Mangualde</t>
  </si>
  <si>
    <t>PT-5610</t>
  </si>
  <si>
    <t>Accident to persons caused by RS in motion, 21-02-18, Leixões (Portugal)</t>
  </si>
  <si>
    <t>Fatal collision with RU worker during shunting movement</t>
  </si>
  <si>
    <t>Leixões</t>
  </si>
  <si>
    <t>The worker, for reasons that it was not possible to determine unequivocally, had no situational awareness as to being walking along the line where the locomotive was approaching.
the lighting conditions of the marshalling yard in the area where the accident took place made it very difficult for the loco driver to be able to see the worker approaching the track.
Additionally, tests carried out by the investigation showed that the 1400 series locomotives have significant sighting limitations, especially in the direction in which 1446 was running when it stroke the worker, which did not allow the driver to see him on the track when the worker entered the area illuminated by a spotlight. Furthermore, the shunting was not considered complex, a situation in which it required the assistance of a shunting operator to observe the path.</t>
  </si>
  <si>
    <t>― Inadequate training on shunting regimes with 1400 series locomotives;
― Ineffective supervision by the RU management regarding the conditions under which work at the
Leixões station and marshalling yard was carried out;
― Ineffective interaction between the IM and the RU in defining the implementation of walkways in the
infrastructure consistent with the work carried out on site;
― The visual and sound environment in the workplace, namely the poor lighting conditions and noise
generated by local industrial activity and road traffic on the overpass of the A28;
― The site lighting did not correspond to what was required for the work carried out;
― Absence of emergency access to the marshalling yard for rescue by public services;
― Lack of a specific emergency plan for the marshalling yard;
― The IM and RU safety management systems were not effective in identifying the undervaluation of
various risks in the activities carried out on site, including those arising from the difficulties for rescue
operations.</t>
  </si>
  <si>
    <t>UK-5636</t>
  </si>
  <si>
    <t>Accident to persons caused by RS in motion, 21-02-18, Pelaw Chord (United Kingdom)</t>
  </si>
  <si>
    <t>At around 10:50 hrs on Wednesday 21 February 2018, two track workers were involved in a near miss incident at a junction to the south of Pelaw station on the Tyne &amp; Wear Metro. The workers were investigating a fault with a track circuit, which is part of the signalling system. They moved onto the track after a train travelling from Newcastle towards South Shields had just passed their location. This put them in the path of a second train approaching Pelaw from South Shields. The driver of the second train, which was travelling at 37 mph (60 km/h) at the time, applied the train’s emergency brake when he saw the workers ahead. The track workers managed to move clear around two seconds before the train passed them. There were no reported injuries.</t>
  </si>
  <si>
    <t>Pelaw Chord</t>
  </si>
  <si>
    <t>Nexus</t>
  </si>
  <si>
    <t>The track workers were unaware of a train approaching on the line which they were on.</t>
  </si>
  <si>
    <t>Causal factors_x000D_
93 The causal factors were:_x000D_
a) The system of work set up by the WSC did not account for all the train sighting hazards present at Pelaw North Junction (paragraph 48, Recommendations 1, 2 and 3)._x000D_
b) The lookout did not, in accordance with the rule book, provide a warning when he lost visibility of the outbound track (paragraph 64, Recommendation 4, Learning point 1)._x000D_
Underlying factor_x000D_
94 There were deficiencies in the procedures used by Nexus Rail to enable staff to establish safe systems of work when required by unplanned inspections or fault rectification (paragraph 71, Recommendation 3).</t>
  </si>
  <si>
    <t>FR-5704</t>
  </si>
  <si>
    <t>Accident to persons caused by RS in motion, 22-02-18, Ecommoy (France)</t>
  </si>
  <si>
    <t>A young person is run over by an empty train at a passage between two platforms in station. Before she got off a regional train, and crossed the tracks, after the train left, on the pedestrian passage. Another train run in the opposite direction.</t>
  </si>
  <si>
    <t>Ecommoy</t>
  </si>
  <si>
    <t>The cause of the accident retained by investigators is a lack of attention of the victim to observe the signals and the passage of a passing train in the opposite direction.</t>
  </si>
  <si>
    <t>The contributing factors are :_x000D_
- the stop configuration of the TER in the station which engages the pass and hides the observation of the signaling and the passing train in the opposite direction ;_x000D_
- the lack of attention of public to safety rules that can be generally observed. Regular campaigns to raise public awareness of railway station risks are limited in their effectiveness in correcting this. There is also no effective defense to cover the risk of collision in case of lack of attention.</t>
  </si>
  <si>
    <t>NO-5625</t>
  </si>
  <si>
    <t>Other event, 22-02-18, Fetsund station, kongsvingerbanen (Norway)</t>
  </si>
  <si>
    <t>On Thursday 22 February 2018, a person died after falling between train 1015 and the platform at Fetsund station._x000D_
_x000D_
When the train had stopped at Fetsund station, the train driver saw the person coming from the waiting room area. _x000D_
Nothing in the person’s behaviour suggested that he intended to board the train. The departure procedure was therefore carried out, and the doors were closed and locked. The person tried to open the door by pressing the button, but fell between the train and the platform when the train started moving. The train driver saw what happened and applied the emergency brake, bringing the train to a stop. 
Torsdag 22. februar 2018 omkom en person da vedkommende falt mellom tog 1015 og plattformen på Fetsund stasjon.   _x000D_
_x000D_
Da toget hadde stoppet på Fetsund stasjon så føreren personen  komme fra området ved venterommet. Det var ingen ting i personens oppførsel som tydet på at vedkommende skulle være med toget. Avgangsprosedyren ble derfor gjennomført og dørene lukket og sperret. _x000D_
_x000D_
Personen forsøkte å åpne døren ved å trykke på døråpneren, men da toget ble satt i bevegelse falt personen mellom toget og plattformen. Føreren observerte hva som skjedde, og tilsatte nødbrems slik at toget stanset.</t>
  </si>
  <si>
    <t>Fetsund station, kongsvingerbanen</t>
  </si>
  <si>
    <t>While the train was standing at the station, the person did not give the impression that he was planning to board the train. The person only approached the train and attempted to open one of the doors after they had been closed and locked. The person leant against the side of the train and fell down between the train and the platform when the train started moving._x000D_
_x000D_
After embarkation and disembarkation, the train crew followed the ordinary departure procedure. After the doors had been closed and locked, the driver checked the main departure signal again and set the train in motion. The train driver saw what was happening and applied the emergency brake. The train quickly came to a stop, but the accident could not be avoided.</t>
  </si>
  <si>
    <t>HU-5708</t>
  </si>
  <si>
    <t>Train derailment, 23-06-18, Iváncsa (Hungary)</t>
  </si>
  <si>
    <t>The freight train deraild on the point No. 9. 
A tehervonat a 9. sz. váltón kisiklott</t>
  </si>
  <si>
    <t>Iváncsa</t>
  </si>
  <si>
    <t>a)	Iváncsa állomás 9. sz. kitérojének csúcssínjei mindkét tosíntol távol voltak, amire ráhaladva a 95817 sz. vonat kisiklott._x000D_
b)	A váltókezelo a váltó használhatóságáról nem gyozodött meg a vágányút beállításakor, így nem ismerte fel a váltó felvágott helyzetét._x000D_
c)	A mozdonyvezeto a haladó vonatból nem észlelhette kello idoben a feles állásban lévo váltót. 
a)  the top rails of turnout No 9 of Iváncsa station were far from both footropes, for which train No 95817 was derailed._x000D_
(b) The changer operator was not satisfied with the usability of the changer when setting the track, so it did not recognize the cut - off position of the changer._x000D_
(c) The driver was not able to detect in due time the switchgear in the neutral position from the train.</t>
  </si>
  <si>
    <t>Közvetett okok:_x000D_
a)	Az MRN-2 sz. vonat az állomásról történo kihaladás közben felvágta a helytelenül álló 9. sz. váltót._x000D_
b)	Az állomási személyzet nem jelzokezeléssel, lezárt vágányúton járatta ki a munkavonatot, így a 9. sz. váltó helytelen állásban maradhatott._x000D_
c)	A váltókezelo úgy engedélyezte a vonat kihaladást tolatások során alkalmazható kézijelzéssel, hogy elotte nem tartott váltóellenorzést._x000D_
d)	A munkavonat vonali tolatásvezetoje nem észlelte a helytelenül álló váltót._x000D_
_x000D_
Gyökérokok:_x000D_
a)	A személyzet nem rendelkezett megfelelo utasításismerettel a munkavonatok közlekedtetésére vonatkozóan._x000D_
b)	A tolt menet elso kocsijának kialakítása nem tette lehetové, hogy a vonali tolatásvezeto olyan helyen tartózkodjon, ahonnan megfelelo távolságból figyelemmel kísérhette volna a vágányutat, akár több kilométeren át tartó úton is. _x000D_
c)	A váltókezelo megszokás miatt nem tartott használhatósági próbát a 9. sz. váltón._x000D_
d)	E rutinalapú hibát az ellenorzések nem tárták fel, illetve nem orvosolták kello hatékonysággal. 
Indirect reasons: _x000D_
(a) train MRN-2 cut out of the station an incorrect switch 9. _x000D_
(b) Station staff did not use signal management to operate the working train on a closed track route, so shift No 9 could remain in an incorrect position. _x000D_
C) The operator of the changeover has authorised the train to pass with a manual signal to be used during shunting without having carried out a check of the changeover beforehand.  _x000D_
D) The shunting guide of the working train’s lines did not detect an incorrect switch.</t>
  </si>
  <si>
    <t>RO-5611</t>
  </si>
  <si>
    <t>Train derailment, 24-02-18, Bucurestii Noi (Romania)</t>
  </si>
  <si>
    <t>the first axle from the locomotive ED 030 that hauled the freight train no.71711-2 derailed in the railway station Bucurestii Noi, on the passing to the switch no. 10 C.</t>
  </si>
  <si>
    <t>Cauza directa a producerii acestui accident o constituie patrunderea buzelor de la ro?ile din partea stânga ale primului boghiu al locomotivei ED 030 în jgheabul situat pe directa inimii de încruci?are a schimbatorului de cale nr.10 C care era manevrat în pozi?ia pe abatuta. Acest fapt s-a produs ca urmare a pierderii capacita?ii de ghidare, generata de starea tehnica necorespunzatoare a traverselor speciale, care nu a permis asigurarea prinderii (?ine-traverse) corespunzatoare. _x000D_
 	Factorii care au contribuit:_x000D_
- starea tehnica necorespunzatoare a traverselor speciale de lemn din zona punctului „0”, care sub ac?iunea for?elor dinamice transmise de rotile materialului rulant, au permis deplasarea contra?inei din partea dreapta (în sensul de mers al trenului), fapt ce a determinat mic?orarea ecartamentului ?i a cotei de protec?ie a inimii de încruci?are a schimbatorului de cale nr.10 C, sub valoarea minima admisa de 1393 mm, astfel încât buza ro?ilor din partea stânga a primului boghiu (în sensul de mers al trenului) a locomotivei ED 030 s-a angajat pe pozi?ia „directa” a inimii de încruci?are. Macazul schimbatorului de cale nr.10C era manipulat pe direc?ia „abatere” ?i a fost atacat pe la vârf;_x000D_
- subdimensionarea numarului de personal muncitor existent la Districtul de linii nr.1 Bucure?tii Noi, personal ce are în reponsabilitate mentenan?a infrastructurii feroviare în zona producerii accidentului;_x000D_
- cantita?i insuficiente de traverse de lemn aprovizionate la Districtul nr.1 Bucure?tii Noi pentru executarea lucrarilor de între?inere ?i reparare a caii. 
Direct cause of this accident was the entrance of the flanges of the left wheels from the first bogie of the locomotive ED 030 into the guiding channel on the direct line of the built-up common crossing of the switch no.10 C, operated on the deflecting section. It happened following the loss of the guiding capacity, generated by the unsuitable condition of the special sleepers, that did not assure the proper fastening (rail-sleepers). _x000D_
 	Contributing factors:_x000D_
- unsuitable technical condition of the special wooden sleepers from the point „0” (point of derailment), that under the action of the dynamic forces of the rolling stock wheels, permitted the movement of the right check rail ( in the train running direction), it leading to the reduction of the gauge and of the protection quota of the built-up common crossing from the switch no.10 C, under the minimum accepted value of 1393 mm, so the flange of the left wheels from the first bogie of the locomotive ED 030  (in the train running direction) ran on the „direct” line of the built-up common crossing. The switch no. 10C was operated  on the „deflecting” section on trailing direction;_x000D_
- under-sizing of the workers existing at the Line District no.1 Bucure?tii Noi, staff in charge with the maintenance of the railway infrastructure at the accident site;_x000D_
- insufficient quantities of wooden sleepers supplied to the District no.1 Bucure?tii Noi for the track maintenance and repair.</t>
  </si>
  <si>
    <t>Cauze subiacente_x000D_
- nerespectarea prevederilor art.25, alin.(2) ?i alin.(4) din „Instruc?ia de norme ?i toleran?e pentru construc?ia ?i între?inerea caii pentru linii cu ecartament normal nr.314/1989”, referitoare la defectele care impun înlocuirea traverselor de lemn si la neadmiterea mentinerii traverselor necorespunzatoare în cuprinsul aparatelor de cale;_x000D_
- nerespectarea prevederilor pct.4.1. din Cap.4 „Norme de manopera ?i consum de materiale”, al „Instruc?iei de între?inere a liniilor ferate nr.300/1982” referitoare la asigurarea normei de manopera la între?inerea curenta în execu?ie manuala._x000D_
Cauza primara a accidentului o constituie neaplicarea prevederilor procedurii opera?ionale cod PO SMS 0-4.07 „Respectarea specificatiilor tehnice, standardelor si cerintelor relevante pe întreg ciclul de via?a a liniilor în procesul de întretinere”, parte a sistemului de management al siguran?ei al CNCF „CFR” SA, referitoare la dimensionarea personalului Districtului nr.1 Bucure?tii Noi, în raport cu volumul de lucrari. 
Underlying causes_x000D_
- violation of the provisions of art.25, paragraphs (2) and (4) from „Instruction of norms and tolerances for the construction and maintenance of lines with standard gauge no.314/1989”, concerning the failures that impose the replacement of the wooden sleepers and the non-acceptance of unsuitable sleepers within switches;_x000D_
- violation of the provisions from point 4.1. of the chapter 4 „Norms of manpower and material consumption”, from „Instruction for line maintenance no.300/1982” concerning the ensuring of manpower norm for the hand maintenance._x000D_
Root cause of the accident was the non-application of the provisions from the operational procedure code PO SMS 0-4.07 „Meeting with the technical specifications, standards and requirements relevant for whole life time of the lines in the maintenance process”, part of the safety management system of CNCF „CFR” SA, concerning the sizing of the staff from the District no.1 Bucure?tii Noi, for the total works.</t>
  </si>
  <si>
    <t>PL-5617</t>
  </si>
  <si>
    <t>Level crossing accident, 27-02-18, section Opole Zachodnie - Szydlów (Poland)</t>
  </si>
  <si>
    <t>On 27 February 2018 at 6:57 p.m. (when it was dark outside) on the D-category level crossing of the district road no. 1766 O in Opole and the Opole Zachodnie – Nysa railway line no 287 ( Opole Zachodnie – Szydlów railway route) at the 1.934th km, a passenger train No. APM 60832, driven by a SA137-004 traction unit, on the Nysa – Opole Glówne route, of the railway undertaking Przewozy Regionalne Sp. z o.o. Oddzial Opolski crashed into a Volkswagen Passat passenger car. When the train was coming from the Szydlów station to Opole Zachodnie station at the scheduled speed of 70 km/h, at the level of the W6a indicator, 490 m before the level crossing, the train driver sent the “attention” signal. He continued to move in accordance with the Annual Timetable. Approaching the level crossing at the 1.934th km, the train driver spotted stopped cars – 2 passenger cars on his right-hand side, and 1 on his left-hand side. According to the explanations of the train driver and the witnesses, the train driver, approaching the level crossing, sent the “attention” signal several times. After a while, the first of the cars which were stopped on the right-hand side suddenly set off and drove onto the crossing directly in front of the running train (railcar). At that time, i.e. at 6:56 24` p.m., emergency braking was applied, as a result of which the speed of the train suddenly decreased from 64.75 km/h to 0 km/h over the distance of 157 m (according to the records of the electronic recorder), and at 6:56 43` p.m. the train stopped. When the train stopped, the head of the train was at the 1.755th km, 179 m behind the level crossing. The car was hit on the diver’s side with the buffers and the front coupling hook, and was pushed to the left side of the track looking in the direction of the train (photos 3 and 4). There were four people in the car, who died on the spot as a result of the collision. According to the research team, the reaction of the train driver was correct – the train driver applied emergency braking at the moment the road vehicle, which had previously stopped at the level of the STOP sign in front of the crossing, suddenly drove onto the level crossing at the same moment the railcar did. However, the operation of the railway air brake after the use of the emergency brake valve was delayed of around 1 second in relation to the application of the brake valve.  The train was operated by Przewozy Regionalne (RU) on the Polskie Linie Kolejowe railway network (IM). The car was moving on the level crossing from the right hand side of the crossing (looking from the train driver perspecyive).  The train hit the left side of the car, as a result of which 4 persons from the car were killed.</t>
  </si>
  <si>
    <t>section Opole Zachodnie - Szydlów</t>
  </si>
  <si>
    <t>VW Passat passenger car crossing the level crossing directly in front of the oncoming train.</t>
  </si>
  <si>
    <t>I. Primary cause: _x000D_
Failure of the driver of the road vehicle to observe the provisions of the Law on Road Traffic, consisting in stopping the car as required by the B20 traffic sign and then setting the vehicle in motion in order to drive onto the crossing despite a train approaching from the driver’s left-hand side, while other stopped vehicles were waiting for this train to pass (Article 28(1) of the Law on Road Traffic of 20 June 1997, Dz. U. (Journal of Laws of the Republic of Poland) of 2017, item 1260, as amended)._x000D_
_x000D_
II.   Indirect cause:_x000D_
Adverse conditions causing difficulties in observing an approaching train. _x000D_
_x000D_
III. System causes: _x000D_
No system causes were found.</t>
  </si>
  <si>
    <t>CZ-5613</t>
  </si>
  <si>
    <t>Train derailment, 28-02-18, Praha-Radotín, Ceskomoravský cement, a.s. siding (Czech Republic)</t>
  </si>
  <si>
    <t>Unauthorized movement of shunting operation behind the signal device Se42, collision with a restraint sleeper and buffer with consequent derailment of two rolling stocks.</t>
  </si>
  <si>
    <t>Praha-Radotín, Ceskomoravský cement, a.s. siding</t>
  </si>
  <si>
    <t>Ceskomoravský cement a. s. nástupnická spolecnost</t>
  </si>
  <si>
    <t>Direct cause:_x000D_
• head of the shunting operation error (he did not respect signal “Shunting forbidden” of the signal device Se42)._x000D_
_x000D_
Contributory factor: none.</t>
  </si>
  <si>
    <t>Underlying cause:_x000D_
• failure to observation of the signal at the signal device Se42 by the head of the shunting operation by the technological procedures of IM._x000D_
_x000D_
Root cause: none</t>
  </si>
  <si>
    <t>NO-5633</t>
  </si>
  <si>
    <t>Accident to persons caused by RS in motion, 02-03-18, Alna holdeplass (Norway)</t>
  </si>
  <si>
    <t>On Friday 2 March 2018, two people died when they were hit by train 2173 approximately 450 metres from the Alna stop in Oslo._x000D_
_x000D_
Train 2173 was on its way from Lillestrøm to Asker station. The train had stopped at the Alna station. In a left curve after the station, the driver observed one person beside the track and two people on the track. The driver applied the emergency brake, but the train was too close to stop._x000D_
_x000D_
Prior to the accident, an oncoming train had stopped because the driver had observed three people on the track near the accident site. The driver of this train applied the emergency brake and made contact with them to try to get them to come on board. Shortly after train 2173 arrives in the opposite track._x000D_
_x000D_
Two people died on the scene._x000D_
_x000D_
The investigation will clarify the sequence of events and identify possible causal factors. Any underlying conditions that may have contributed to the incident will be mapped and analysed. 
Fredag 2. mars 2018 omkom to personer da de ble påkjørt av tog 2173 ca. 450 meter fra Alna holdeplass i Oslo._x000D_
_x000D_
Tog 2173 var på vei fra Lillestrøm til Asker stasjon. Toget hadde stoppet ved Alna holdeplass. I en venstrekurve etter holdeplassen, observerte føreren at det var en person utenfor og to personer i sporet. Fører tilsatte nødbrems, men toget var allerede for nære til at det klarte å stanse._x000D_
_x000D_
I forkant av personulykken hadde motgående tog stanset da føreren observerte tre personer i sporet ved ulykkesstedet. Føreren av dette toget måtte også tilsette nødbrems og kontaktet deretter personene for ta dem om bord. Like etter ankommer tog 2173 i det andre sporet._x000D_
_x000D_
To personer omkom på stedet._x000D_
_x000D_
Undersøkelsen vil klarlegge hendelsesforløpet og peke på mulige årsaksforhold. Eventuelle bakenforliggende forhold som kan ha bidratt til hendelsen vil bli kartlagt og analysert.</t>
  </si>
  <si>
    <t>Alna holdeplass</t>
  </si>
  <si>
    <t>Trespassing</t>
  </si>
  <si>
    <t>UK-5635</t>
  </si>
  <si>
    <t>Accident to persons caused by RS in motion, 02-03-18, Lewisham (United Kingdom)</t>
  </si>
  <si>
    <t>At about 17:30 hrs on Friday 2 March 2018, the delayed 15:56 hrs Southeastern service from London Charing Cross to Dartford encountered difficulty in drawing electric current due to ice on the conductor rail, while attempting to depart from platform 4 at Lewisham station._x000D_
The following train, the delayed 16:26 hrs Southeastern service from London Charing Cross to Dartford, was then held at a red signal on the approach to platform 4 at Lewisham station. This train was held around a coach length from platform 4, because the track section that included that platform was still occupied by the 15:56 hrs service._x000D_
The train behind that, the delayed 17:06 hrs Southeastern service from London Charing Cross to Orpington, was consequently held at a red signal on the incline between Tanners Hill junction and Lewisham Vale junction. This train was 12 coaches long and its rear coaches blocked the fast lines at Tanners Hill junction. A total of four trains heading away from London and two trains heading towards London were stopped on the fast lines as a result of this. Two further trains were held on the slow lines in St Johns and Lewisham stations as a result of the congestion._x000D_
The 15:56 hrs service continued to make insufficient progress out of Lewisham station to clear the track section for the signalling to allow the 16:26 hrs service into platform 4. By 18:30 hrs Network Rail staff had arrived to help clear the ice from the conductor rail ahead of the 15:56 hrs service. The signaller and electrical operators were making preparations to locally isolate the power to allow the de-icing to start._x000D_
In advance of the power being switched off, the signaller was in the process of seeking special permission to allow the 16:26 hrs service to pass the red signal into platform 4. This would allow detrainment of the passengers onto the platform. However, during this discussion, the signaller received an emergency call from the driver of the 16:26 hrs service advising that some passengers had opened the doors and were getting out onto the track. The signaller immediately asked the electrical control operator to switch off the power to the conductor rail in the area._x000D_
The train driver, assisted by Network Rail staff on the track, attempted to persuade passengers to re-board the train or to get clear of the track; they also advised those still on board to remain there. A short time later, British Transport Police, London Fire Service and London Ambulance service staff were called to Lewisham to assist with the passengers who were on the track. However, passengers continued to exit the 16:26 hrs service, and others alighted from the 15:56 and 17:06 hrs services. Passengers also alighted from trains that had stopped near New Cross station._x000D_
A controlled evacuation of the 15:56 and 16:26 hrs services to the Lewisham station platforms took place between about 20:00 hrs and 20:45 hrs. It then took some time for Network Rail and the emergency services to confirm that all passengers and staff were clear of the track in the affected area. Power was restored at 21:36 hrs and most trains were back on the move by about 22:00 hrs.</t>
  </si>
  <si>
    <t>Passengers on train 2M50 became so uncomfortable they were prepared to face the risk of detraining onto the track against advice and in spite of the information provided by the train operator</t>
  </si>
  <si>
    <t>The causal factors were:_x000D_
a. Passengers were trapped on train 2M50 for a prolonged period in circumstances that became increasingly uncomfortable (paragraph 99, Recommendation 5)._x000D_
This causal factor arose due to a combination of the following:_x000D_
i. L445 signal was unable to show a proceed aspect because ice had accumulated on the conductor rail preventing train 2M48 from being able to make sufficient progress to clear the overlap of the next signal (paragraph 105, Recommendation 1)._x000D_
ii. Signalling staff at London Bridge signal box did not implement emergency permissive working to enable train 2M50 to pass L445 signal while it was showing a stop aspect (paragraph 117, Recommendations 2 and 3, Learning points 1 and 2)._x000D_
iii. Train 2M50 was not held at a signal that would have allowed it to be subsequenty diverted onto an alternative line (paragraph 133, Recommendation 1)._x000D_
b. Some passengers’ desire to get out of train 2M50 ultimately outweighed efforts by Southeastern to encourage them to stay on board (paragraph 139, Recommendation 4)._x000D_
Underlying factors_x000D_
176 The underlying factors were:_x000D_
a. Network Rail and Southeastern’s implementation of extreme weather management strategies for train service operation in the Kent Area during the 2017-18 winter season did not effectively manage the conductor rail ice accumulation risk on 2 March 2018 (paragraph 151, Recommendation 1)._x000D_
b. Network Rail provided no guidance to its signallers on the actions they should take when routeing trains during periods of service disruption (paragraph 155, Recommendation 1)._x000D_
c. The rules and processes used by Network Rail and Southeastern did not lead to train 2M50 or train 2M48 being declared as stranded trains. This meant that contingency plans to control the risk of unmanaged passenger detrainment were not established and implemented in a timely fashion (paragraph 161, recommendation 2).</t>
  </si>
  <si>
    <t>CZ-5616</t>
  </si>
  <si>
    <t>Train derailment, 03-03-18, Prerov station (Czech Republic)</t>
  </si>
  <si>
    <t>The derailment of 1 rolling stock during the movement of the freight train No. 45730.</t>
  </si>
  <si>
    <t>Direct cause:_x000D_
• an impact of the left wheel of the third axle of the rolling stock on the damaged switch rail of the switch No. 213 at Prerov station._x000D_
_x000D_
Contributory factor of continue incident action:_x000D_
• an inappropriate shape of the wheel flange of the left wheel of the third axle of the derailed rolling stock, which was moving between the non-adjacent left switch rail to a left stock rail and the left stock rail of the switch No. 213 after the derailment.</t>
  </si>
  <si>
    <t>Underlying cause:_x000D_
• an inconsistent use of the established safety management system of the railway operating which resulted in situation when the switch No. 213 with defects which were immediately endangering the safety operating of the railway and railway transport was kept in operation._x000D_
_x000D_
Root cause: none.</t>
  </si>
  <si>
    <t>PT-5631</t>
  </si>
  <si>
    <t>Trains collision with an obstacle, 04-03-18, Several (Portugal)</t>
  </si>
  <si>
    <t>Several occurrences of derailments and collisions caused by debris in the track after landslides associated with adverse weather conditions. 
Diversas ocorrências de descarrilamentos e colisões com detritos na via provenientes de taludes.</t>
  </si>
  <si>
    <t>Several</t>
  </si>
  <si>
    <t>Interim Statement</t>
  </si>
  <si>
    <t>LT-5621</t>
  </si>
  <si>
    <t>Accident to persons caused by RS in motion, 5/3/2018, Vaidotai train station, track No. LNR, swith No. 4k</t>
  </si>
  <si>
    <t>NIB LT</t>
  </si>
  <si>
    <t xml:space="preserve">After leaving the curve, train No. 3270SV fatally injured two track workers who had worked on the track switch. </t>
  </si>
  <si>
    <t>Vaidotai train station, track No. LNR, swith No. 4k</t>
  </si>
  <si>
    <t>AB "Lithuanian railways"</t>
  </si>
  <si>
    <t>RO-5620</t>
  </si>
  <si>
    <t>Train derailment, 05-03-18, Sfantu Gheorghe (Romania)</t>
  </si>
  <si>
    <t>the locomotive DHC 742 and the first wagon from the freight train no. 99866 derailed in the railway station Sfantu Gheorghe</t>
  </si>
  <si>
    <t>Sfantu Gheorghe</t>
  </si>
  <si>
    <t>Cauza directa a producerii accidentului a fost caderea între firele caii a ro?ilor din partea stânga, de pe firul interior al curbei a primelor doua osii ale primului vagon din compunerea trenului nr.99866. Acest lucru s-a produs în condi?iile cre?terii valorii ecartamentului caii peste valoarea maxima admisa, ca urmare a deplasarii laterale a ?inei sub ac?iunea for?elor dinamice transmise caii de catre materialul rulant în mi?care._x000D_
Factorii care au contribuit la producerea accidentului au fost:_x000D_
- men?inerea în cale a unor traverse cu stare tehnica necorespunzatoare care nu asigurau prinderea ?inelor ?i men?inerea ecartamentului în  limitele toleran?elor admise;_x000D_
- valoarea supraînal?arii firului exterior, peste valoarea teoretica calculata a supraînal?arii;_x000D_
- utilizarea por?iunii de linie pe zona cuprinsa între schimbatorul de cale nr.2, extrem ?i semnalul de intrare YB (zona pe care s-a produs accidentul), pentru manevrarea unor locomotive a caror tonaj nu era permis pe zona respectiva. 
The direct cause of the accident was the fall between the rails of the left wheels, the first two axles of the first wagon of the train no.99866  from the inner rail of the curve. It happened following the increase of the gauge value over the maximum accepted value, because the lateral displacement of the rail under the action of the dynamic forces transmitted  to the track by the rolling stock in movement._x000D_
Contributing factors of the accident:_x000D_
- keeping within the track of some unsuitable sleepers that were not ensuring the fastening of the rails and maintaining of the gauge between the tolerances of the accepted tolerances;_x000D_
- the value of the exterior rail cant over the theoretical value of the cant;_x000D_
- use of the line section between the switch no.2, end-one, and the entry signal YB (the accident site), for the shunting of some locomotives whose tonnage was not allowed on this area.</t>
  </si>
  <si>
    <t>Cauzele subiacente ale producerii accidentului au fost nerespectarea unor prevederi din instruc?iile ?i regulamentele în vigoare: _x000D_
-	art.25, alin.(2) ?i (4) din „Instruc?ia de norme ?i toleran?e pentru construc?ia ?i între?inerea caii pentru linii cu ecartament normal nr.314/1989”, referitoare la defectele care impun înlocuirea traverselor de lemn ?i la neadmiterea men?inerii în cale a traverselor necorespunzatoare; _x000D_
-	art.1, alin.14.1.c din Instruc?ia de norme ?i toleran?e pentru construc?ia ?i între?inerea caii - linii cu ecartament normal - nr.314/1989, referitoare la faptul ca abaterile la ecartament, în exploatare trebuie sa se întinda uniform cu o varia?ie de cel mult 2 mm/m;_x000D_
-	actul Direc?iei de Linii nr.12/1/575/25.08.2008, referitor la interzicea circula?iei locomotivelor diesel electrice 060-DA pe linia 318, între sta?iile Sfântu Gheorghe – Bre?cu, text men?ionat în livretul cu mersul trenurilor de marfa pe Sucursala Regionala de Cai Ferate Bra?ov, valabil din 10.12.2017, pentru anii 2017/2018;_x000D_
-	Partea I, Cap.II, Sec?iunea a 6-a, Art.26-29 din „Regulamentul pentru circula?ia trenurilor ?i manevra vehiculelor feroviare”, referitoare la controlul starii tehnice a aparatelor de cale, a liniilor ?i a instala?iilor de siguran?a circula?iei._x000D_
Nu au fost identificate cauze primare ale producerii acestui accident. 
Underlying causes of the accident was the violation of some provisions from the instructions and regulations in force: _x000D_
-	art.25, paragraphs (2) and (4) from „Instruction of norms and tolerances for the track construction and maintenance, for lines with standard gauge no.314/1989”, concerning the failures that impose the replacement of the wooden sleepers and not allowing within the track of the unsuitable sleepers; _x000D_
-	art.1, paragraph 14.1.c from „Instruction of norms and tolerances for the track construction and maintenance – lines with standard gauge - no.314/1989, concerning the fact that the gauge deviations, in operation, has to  be uniformly connected with a change at most  2 mm/m;_x000D_
-	paper of Line Direction no.12/1/575/25.08.2008, concerning the prohibition of the running of the diesel-electric locomotives 060-DA on the line 318, between the railway stations Sfântu Gheorghe – Bre?cu, text mentioned in the working timetable of the freight trains in the railway county Bra?ov, valid from the 10th December 2017, for the years  2017/2018;_x000D_
-	Part I, Chapter II, Section  6th, Art.26-29 from „Regulations for the train running and shunting of the railway vehicles”, concerning the control of the technical condition of the switches, lines and of the equipment for the traffic safety._x000D_
No root cause was identified.</t>
  </si>
  <si>
    <t>UK-5646</t>
  </si>
  <si>
    <t>Accident to persons caused by RS in motion, 11-03-18, Primrose Hill (United Kingdom)</t>
  </si>
  <si>
    <t>Around 00:40 hrs on 11 March 2018, a group of track workers narrowly avoided being struck by the 22:14 hrs Birmingham New Street to London Euston passenger service. The incident took place between South Hampstead station and Primrose Hill tunnels on one of the lines into London Euston station._x000D_
The train was approaching along the up fast line at around 49 mph (79 km/h) when the driver saw a group of track workers, sounded the train’s warning horn and applied the train’s brakes. The track workers, who believed that they were working on the up slow line, heard shouted warnings from other workers, heard the sound of the train’s warning horn and saw the headlights of the approaching train. They immediately began to get out of the way and removed two trolleys that they had placed on the track. The track workers and trolleys were clear of the approaching train around two seconds before it passed._x000D_
One person injured their knee as they moved out of the way of the approaching train. Several of the people involved in the near miss, and several people who saw it, were very distressed.</t>
  </si>
  <si>
    <t>Primrose Hill</t>
  </si>
  <si>
    <t>The track workers and trolleys were on the up fast line while it was still open to traffic</t>
  </si>
  <si>
    <t>Causal factors_x000D_
98 The causal factors were:_x000D_
a) The safety arrangements on site were not effective (paragraph 63, Recommendation 1). This causal factor probably arose due to a combination of the following:_x000D_
i. There was no ‘Person in Charge’ for the work group (paragraph 65, Recommendation 1)._x000D_
ii. The work group had adopted a number of unofficial working practices (paragraph 71, Recommendation 1)._x000D_
b) The COSS appointed on the night of work believed that the open fast lines were the blocked slow lines (paragraph 72). This causal factor probably arose due to a combination of the following:_x000D_
i. The COSS was not sufficiently familiar with the location (paragraph 74, Recommendation 1)._x000D_
ii. The staff on site had no immediate visual indication of which line was which (paragraph 76, Recommendations 3 and 4)._x000D_
iii. The COSS did not effectively check the identity of the lines when he was challenged about which line was which (paragraph 78, Learning point 1)._x000D_
Underlying factor_x000D_
99 Network Rail’s introduction of the Person in Charge role in NR/L2/OHS/019 issue 9 did not make the responsibilities of the role sufficiently clear (paragraph 82, Recommendations 1, 5 and 6).</t>
  </si>
  <si>
    <t>NO-5634</t>
  </si>
  <si>
    <t>Train derailment, 12-03-18, Blaker station (Norway)</t>
  </si>
  <si>
    <t xml:space="preserve">On Monday 12 March 2018, two wagons of a freight train derailed at Blaker station on the Kongsvinger line.
As the train was passing a set of points located in a right curve approaching Blaker station, the rear axle of wagon 3 derailed. The derailed wagon continued through the station area. When it hit another set of points on its way out of Blaker station, wagons 3 and 4 became buffer-locked, resulting in the front axle of wagon 4 also derailing. The train driver felt the train jerk, and saw that wagons had derailed. The train came to a stop approximately 1.7 km from the point where the first wagon derailed.
The derailment caused moderate damage to the edge of the station platform, the wagons and the infrastructure.
Cause of derailment not possible to conclude.
</t>
  </si>
  <si>
    <t>Blaker station</t>
  </si>
  <si>
    <t>Damage to one wagon.</t>
  </si>
  <si>
    <t>Cause of derailment not concluded.</t>
  </si>
  <si>
    <t>RO-5622</t>
  </si>
  <si>
    <t>Train derailment, 15-03-18, Salva- Viseu de Jos (Romania)</t>
  </si>
  <si>
    <t>the first bogie of the 27 -th wagon from the freight train no. 42564 derailed in open line between Salva and Viseu de Jos railway stations</t>
  </si>
  <si>
    <t>Salva- Viseu de Jos</t>
  </si>
  <si>
    <t>Cauza directa a producerii acestui accident o constituie lovirea ?i escaladarea contrasinei inimii de încruci?are ( de pe partea stânga în sensul de mers) a schimbatorului de cale nr.7 din sta?ia CFR Dealu Stefanitei, de catre ro?ile din partea stânga ale primului boghiu în sensul de mers, al vagonului nr.31535493968-0, al 27-lea din compunerea trenului, ro?i care rulau pe ?ina corespunzatoare firului interior al curbei (sina de legatura a contraacului curb). _x000D_
Aceasta s-a produs în condi?iile cre?terii, în regim dinamic, a valorii ecartamentului caii, cre?tere ce a fost generata de starea necorespunzatoare a traverselor de lemn ?i favorizata de starea tehnica necorespunzatoare a vagonului._x000D_
Factorii care au contribuit:_x000D_
?	starea tehnica necorespunzatoare a traverselor speciale de lemn, care nu permitea strângerea tirfoanelor pentru fixarea placilor metalice ?i împiedicarea deplasarii acestora în lungul traverselor, favorizând astfel, cre?terea valorii ecartamentului caii peste valoarea maxima admisa, sub ac?iunea for?elor dinamice transmise ?inelor de catre rotile materialului rulant;_x000D_
?	fixarea pieselor metalice de traverse, prin intermediul unui sistem de prindere necorespunzator;_x000D_
?	cele doua defecte constatate la boghiul deraiat al vagonului nr.315355493968-0 (deforma?ia existenta la traversa crapodinei superioare în zona buloanelor de fixare a crapodinei dinspre ro?ile nr. 5, 7 ?i 8 ?i uzura accentuata a placilor de poliamida) fapt ce a condus la îngreunarea rotirii acestui boghiu sub vagon ?i implicit, la for?e de conducere (orizontale) mai mari aplicate de roata atacanta (roata nr.8) pe acul curb al schimbatorului de cale nr.7. 
The direct cause of the accident is the left wheels of the first bogie from the wagon no. 31535493968-0 , the 27th one of the train, in its running direction, hit and climbed over the check-rail of the built-up common crossing (left side in the running direction) of the switch no.7 from the railway station Dealu Stefanitei, the wheels that was running on the inner rail of the curve (the connection rail of the curved stock rail). _x000D_
It happened following the increase, in dynamic conditions, of the gauge value, generated by the unsuitable condition of the wooden sleepers and favoured by the unsuitable technical condition of the wagon._x000D_
Contributing factors:_x000D_
?	unsuitable technical condition of the special wooden sleepers, that were not allowing the fastening of the coach screws for fixing the metallic plates and prevention of their movement along the sleepers, favouring in a such way the increase of the gauge value over the maximum accepted value, under the action of the dynamic forces transmited to the rails by the rolling stock wheels;_x000D_
?	fixing of the metallic parts on the sleepers, through the unsuitable fastening system;_x000D_
?	those two failures found out at the derailed bogie of the wagon no.315355493968-0 (the existing distortion at the stock of the upper centre casting, at the bolts for the fastening of the centre casting between the wheels no. 5, 7 and 8 and the serious wear of the polyamide plates) it leading to the difficult turn of this bogie under the wagon and implicitly, at higher guiding forces (horizontal ones) applied by the guiding wheel (wheel no.8) on the curved point of the switch no.7.</t>
  </si>
  <si>
    <t>Cauze subiacente_x000D_
1.	Nerespectarea prevederilor art.25, alin.(1), alin.(2) ?i alin.(4) din „Instruc?ia de norme ?i toleran?e pentru construc?ia ?i între?inerea caii pentru linii cu ecartament normal nr.314/1989”, referitoare la defectele care impun înlocuirea traverselor de lemn si la neadmiterea mentinerii traverselor necorespunzatoare în cuprinsul aparatelor de cale;_x000D_
2.	Nerespectarea specifica?iei tehnice proprii a schimbatorului tip 40 sistem Vogele tg. 1/10, privind tipul ?i dimensiunile componentelor utilizate pentru fixarea pieselor metalice de traverse;_x000D_
3.	Nerespectarea prevederilor pct.4.1. din Cap.4 „Norme de manopera ?i consum de materiale”, al „Instruc?iei de între?inere a liniilor ferate nr.300/1982” referitoare la asigurarea normei de manopera la între?inerea curenta în execu?ie manuala._x000D_
Cauze primare_x000D_
1.	Neaplicarea tuturor prevederilor din procedurile opera?ionale cod PO SMS 0-4.07 „Respectarea specifica?iilor tehnice, standardelor ?i cerin?elor relevante pe întreg ciclul de via?a a liniilor în procesul de între?inere”(inclusiv a anexelor), parte a sistemului de management al sigurantei administratorului de infrastructura feroviara publica CNCF „CFR” SA, referitoare la:_x000D_
?	coordonarea activita?ilor de între?inere ?i repara?ii periodice a liniilor de cale ferata;_x000D_
?	asigurarea bazei materiale ?i a for?ei de munca necesare executarii lucrarilor de între?inere periodica ?i repara?ie curenta._x000D_
2.	Neidentificarea ca pericol ?i ne?inerea sub control a riscurilor legate de  men?inerea în exploatare a traverselor necorespunzatoare în cuprinsul aparatelor de cale._x000D_
3.	Neidentificarea ca pericol ?i ne?inerea sub control a riscurilor legate de utilizarea unui sistem de prindere necorespunzator, pentru fixarea pieselor metalice de traverse la aparatele de cale; _x000D_
4.	Lipsa din Instruc?iunile nr.250/2005 - norma na?ionala prin care se stabile?te modul de revizuire tehnica ?i de între?inere în exploatare a vagoanelor - a unor prevederi referitoare la situatia în care, la vagoanele de marfa dotate cu boghiuri cu glisiere elastice, corpul glisierelor inferioare de pe ambele par?i ale boghiului atinge partea superioara a cadrului de boghiu. Aceasta situatie indica faptul ca fie exista deformatii la vagon, sau exista anumite uzuri la crapodina care determina forte de frecare mai mari, care îngreuneaza rotirea boghiului sub cutia vagonului._x000D_
În lipsa acestor prevederi situa?ia descrisa mai sus nu este considerata un defect, nu este verificata în exploatarea vagoanelor, în timpul efectuarii reviziilor tehnice, iar vagoanele aflate în aceasta situa?ie nu sunt retrase din circula?ie, pentru verificari suplimentare ?i stabilirea lucrarilor de repara?ie necesare eliminarii cauzelor ce conduc la acest defect._x000D_
5.	Neîndeplinirea de catre CNCFR „CFR”SA a tuturor cerintelor Q3 din Regulamentul 1169/2010, prin lipsa unor proceduri ?i activita?i de înva?are, de concepere ?i de aplicare a unor masuri corective sau preventive, ca urmare a producerii unui accident sau incident._x000D_
6.	În cadrul procesului de monitorizare, indicatorii sunt defini?i în mod necorespunzator, iar pentru indicatorii men?iona?i, nu au fost efectuate cele 5 activita?i specifice procesului de monitorizare, reglementate prin art. 3 (2)  din REGULAMENTUL (UE)  NR.1078/ 2012. 
Underlying causes_x000D_
1.	violation of the provisions of art.25, alin.(1), paragraphs (2) and (4) from the „Instruction of norms and tolerances for the track construction and maintenance, for lines with standard gauge no.314/1989”, concerning the failures that impose the replacement of the wooden sleepers and the non-keeping of the unsuitable sleepers within the sitches;_x000D_
2.	violation of the technical specification for the switch type 40 system Vogele tg. 1/10, concerning the type and sizes of the parts used for the fastening of the metallic parts on the sleepers;_x000D_
3.	violation of the provisions from the pct.4.1. of Chapter 4 „Norms of manpower and material consumption”, of „Instruction for the line maintenance no.300/1982” concerning the the provision with the norm of manpower for the usual manual work maintenance._x000D_
Root causes_x000D_
1.	non-application of all provisions from the operational procedures code PO SMS 0-4.07 „Compliance with the technical specifications, standards and requirements relevant for whole life cycle of the lines in the maintenance process” (including the annexes), part of the safety management system of the public railway infrastructure administrator CNCF „CFR” SA, concerning:_x000D_
?	coordination of the maintenance and periodical repairs of the lines;_x000D_
?	provision of the materials and of the workforce necessary for the performance of the periodical maintenance and usual repair._x000D_
2.	non-identification like danger and non-keeping under control of the risks of operation of the unsuitable sleepers within the switches._x000D_
3.	non-identification like danger and non-keeping under control of the risks of the use of an unsuitable fastening system, for the fastening of the metallic parts on the sleepers at the switches; _x000D_
4.	lack in the Instructions no.250/2005 – national norm for setting up of the way of technical inspection and maintenance of the wagons in operation – of some provisions concerning the case the wagons provided with bogies with coil spring side bearer, the body of the lower side bearers from both sides of the bogie comes in contact with the upper side of the bogie frame. It indicates that there are distortions at the wagon, or there are some wears at the centre casting, that lead to higher friction forces, making difficult the turn of the bogie under the wagon body._x000D_
These provisions missing, the above mentioned situation is not considered a failure, it is not checked in the wagon operation, during the performance of the technical inspections, and the wagons in a such situation are not withdrawn from traffic, for additional checking and  establishment of the repairs necessary for the removal of the causes generating this failure._x000D_
5.	non-compliance by CNCFR „CFR”SA with all the requirements Q3 from the Regulations 1169/2010, missing some procedures and learning activities, design and application of some corrective or preventive measures, following the occurrence of an accident or incident._x000D_
6.	during the monitoring process, the indicators are defined properly, and for the mentioned indicators, those  5 activities specific to the monitoring proces, regulated through the art. 3 (2)  of the REGULATIONS (UE)  NO.1078/ 2012, were not run.</t>
  </si>
  <si>
    <t>UK-5647</t>
  </si>
  <si>
    <t>Runaway, 15-03-18, Ramsbottom (United Kingdom)</t>
  </si>
  <si>
    <t>At around 11:15 hours on Thursday 15 March 2018, a group of track workers were working in a possession on the East Lancashire Railway north of Ramsbottom station. They were using an un-braked trolley to transport ballast over the prevailing gradient in that area, which is between 1:264 and 1:140. In order to prevent it running away while being loaded, pieces of ballast were used as improvised scotches._x000D_
After being loaded with approximately 0.5 tonnes of ballast, the improvised scotches were removed and three members of the team began to move the trolley southwards, downhill towards Ramsbottom station. Shortly after this the trolley began to run away and the track workers were unable to stop it._x000D_
The trolley continued south until the level crossing immediately north of the station. The wooden gates at the crossing were closed across the railway allowing road traffic to pass. The trolley struck the gates and derailed, damaging and displacing one of the gates into the road and spilling ballast onto the road. Although the road was open to traffic no one was injured.</t>
  </si>
  <si>
    <t>Ramsbottom</t>
  </si>
  <si>
    <t>A laden unbraked trolley was deployed on a gradient</t>
  </si>
  <si>
    <t>Causal factors_x000D_
75 The causal factors were:_x000D_
a) a trolley without brakes or a push-handle was available for use (paragraph 32), almost certainly due to a combination of:_x000D_
i. the trolley had been donated and ELR’s Safety Management System only recognised purchases as a means of acquiring equipment (paragraph 35), Recommendations 1 and 2); and_x000D_
ii. ELR had no adequate and specific procedures, controls or specifications in place for trolleys (paragraph 39, Recommendation 2)._x000D_
b) the decision was taken to use the unbraked trolley without introducing any other mitigation or safeguard against it running away (paragraph 42), due to a combination of:_x000D_
i. ELR had no rules or constraints on the use of trolleys (paragraph 45, Recommendation 2); and_x000D_
ii. the residual risk of the trolley running away was not adequately managed (paragraph 48, Recommendation 2)._x000D_
Underlying factors_x000D_
76 An underlying factor was that the management systems in the Permanent Way department were inadequate (paragraph 56, Recommendations 2 and 3)._x000D_
77 A probable underlying factor was that ELR was not auditing its compliance with its internal SMS (paragraph 61, Recommendation 3).</t>
  </si>
  <si>
    <t>HU-5839</t>
  </si>
  <si>
    <t>Train derailment, 18-03-18, Soroksári út (Hungary)</t>
  </si>
  <si>
    <t>The locomotive of a freight train was derailed with 1 axle. 
Az állomásra bejáró tehervonat mozdonyának elso tengelye kisiklott.</t>
  </si>
  <si>
    <t>Soroksári út</t>
  </si>
  <si>
    <t>a)	az állomás egész területén a pálya erosen avult állapotban van, a baleset helyén a síneket a mozdony maga alatt szétnyomta;_x000D_
b)	a vonat a megengedett sebességet lényegesen túllépte, ezzel megnövelve a pályára ható eroket. 
(a) throughout the station, the track is in a state of severe breakdown and at the point of the accident the rails have been squeezed by the locomotive itself;  _x000D_
(b) the train has substantially exceeded the permitted speed, thus increasing the forces on the track.</t>
  </si>
  <si>
    <t>Közvetett okok_x000D_
a)	a vonatot csak rövid szakaszon villamosított vágányra fogadták, ezzel sebességtúllépésre késztetve a mozdonyvezetot;_x000D_
b)	a gyenge minoségu pályán rendszeresen közlekednek a megengedettnél nagyobb tengelyterhelésu mozdonyok;_x000D_
c)	a megengedettnél nagyobb tengelyterhelésu mozdonyok rendszeresen a megengedettnél nagyobb sebességgel közlekednek;_x000D_
d)	A rendezopályaudvar teljes pályahálózata erosen avult állapotú, legfeljebb 10 km/h sebességgel járható, a vágányok fele megfelelo karbantartás helyett részben vagy egészben a forgalomból kizárásra került._x000D_
e)	a vágány szennyezettsége miatt nem lehetséges a pályafelügyelet megfelelo minoségu elvégzése. 
Indirect causes_x000D_
(a) the train is only accepted on a short section of electrified track, causing the driver to over-speed;_x000D_
(b) locomotives with axle loads exceeding the permitted axle load are regularly used on poor quality track;_x000D_
(c) locomotives with axle loads greater than the maximum permissible speeds are regularly allowed;_x000D_
(d) The entire runway network is heavily obsolete and can operate at speeds of up to 10 km / h and half of the tracks have been partially or wholly foreclosed rather than properly maintained._x000D_
e) due to the level of contamination of the track, it is not possible to carry out track surveillance of sufficient quality. (</t>
  </si>
  <si>
    <t>RO-5626</t>
  </si>
  <si>
    <t>Train derailment, 18-03-18, Palas-Constanta Marfuri (Romania)</t>
  </si>
  <si>
    <t>The 19th and 20th wagon from the freight train no.89965 derailed in open line between Palas and Constanta marfuri railway stations.</t>
  </si>
  <si>
    <t>Palas-Constanta Marfuri</t>
  </si>
  <si>
    <t>ROMPETROL LOGISTICS</t>
  </si>
  <si>
    <t>Cauza directa a producerii acestui accident o constituie escaladarea flancului activ al ciupercii ?inei de pe firul exterior al curbei de catre roata atacanta (situata pe partea dreapta în sensul de mers al trenului) de la vagonul nr.33877916958-4 ca urmare a cre?terii raportului dintre forta conducatoare ?i sarcina ce actiona pe aceasta roata, depasindu-se astfel limita de stabilitate la deraiere._x000D_
Cre?terea raportului dintre forta conducatoare ?i sarcina ce actiona pe roata atacanta s-a produs în condi?iile descarcarii puternice de sarcina a ro?ii din partea dreapta a osiei conducatoare ?i a cre?terii for?ei laterale (de ghidare) pe aceasta roata._x000D_
Factorii care au contribuit:_x000D_
Starea tehnica necorespunzatoare a caii generata de defecte la ecartament, nivel transversal ?i direc?ia caii în curba. 
Cauze subiacente _x000D_
?	nerespectarea prevederilor art.15, pct. 16 ?i 17 din „Instruc?ia de norme ?i toleran?e pentru construc?ii ?i între?inerea caii pentru linii cu ecartament normal nr.314/1989”, referitoare la luarea de masuri privind eliminarea apei din cuprinsul aparatelor de cale, respectiv la neadmiterea în exploatare a lasaturilor oarbe în cuprinsul aparatelor de cale._x000D_
Cauza primara_x000D_
-	neaplicarea tuturor prevederilor procedurii operationale cod PO SMS 0-4.07 „Respectarea specificatiilor tehnice, standardelor si cerintelor relevante pe întreg ciclul de viata a liniilor în procesul de întretinere”, parte a sistemului de management al sigurantei a administratorului de infrastructura feroviara publica CNCF „CFR” SA, referitoare la executarea lucrarilor de între?inere ?i repara?ii periodice a liniilor de cale ferata.</t>
  </si>
  <si>
    <t>Cauze subiacente_x000D_
 - nerespectarea prevederilor art.1.14.1.c din „Instruc?ia de norme ?i toleran?e pentru construc?ia ?i între?inerea caii pentru linii cu ecartament normal nr.314/1989”, referitoare la „Abaterile de la ecartament, în exploatare trebuie sa se întinda uniform cu o varia?ie de cel mult 2 mm/m”;_x000D_
- nerespectarea prevederilor art.7.A.1. din „Instruc?ia de norme ?i toleran?e pentru construc?ia ?i între?inerea caii pentru linii cu ecartament normal nr.314/1989”, referitoare la respectarea toleran?elor la nivelul transversal prescris al unui fir fata de celalalt, atât în aliniament cât ?i în curba;_x000D_
- nerespectarea prevederilor art.7.A.4. referitoare la men?inerea în toleran?e a înclinarii rampei torsionarii;_x000D_
- nerespectarea prevederilor art.7.B.1. referitoare la tolerantele pozitiei caii în plan;_x000D_
- nerespectarea prevederilor pct.4.1. din Cap.4 „Norme de manopera ?i de consum de materiale”, al „Instruc?iei de între?inere a liniilor ferate nr.300/1982” referitoare la asigurarea normei de manopera la între?inerea curenta în execu?ie manuala._x000D_
- nerespectarea prevederilor Fi?elor nr.3 ?i nr.4 din Instruc?ia 305/1997 „ privind fixarea termenelor ?i a ordinii în care trebuie efectuate reviziile caii” referitoare la modul de efectuare a reviziilor caii._x000D_
_x000D_
Cauza primara a accidentului o constituie neaplicarea prevederilor procedurii de sistem „definirea clara a sarcinilor legate de siguran?a ?i delegarea lor personalului cu competen?e adecvate”, cod PS-36, paragraful 5.3. alin.2: „sa utilizeze în func?iile cu responsabilita?i în siguran?a pe calea ferata numai personal care corespunde din punct de vedere profesional ?i pentru care exista avize medicale ?i avize psihologice, de aptitudine, aflate în termen de valabilitate” parte a sistemului de management al siguran?ei S.C. Grup Feroviar Român SA, referitoare la utilizarea de personal neautorizat pentru practicarea func?iilor de ?ef de district ?i ?ef de echipa, în cazul Districtului de Linii Navodari din cadrul S.C. Grup Feroviar Român SA. 
Underlying causes_x000D_
 - violation of the provisions of art.1.14.1.c from „Instruction of norms and tolerances for the construction and maintenance of the track for lines with standard gauge no.314/1989”, concerning the  „Deviations from the gauge, in operation has to be uniformly with a variation of at most 2 mm/m”;_x000D_
- violation of the provisions of art.7.A.1. from „Instruction of norms and tolerances for the construction and maintenance of the track for lines with standard gauge no.314/1989”, concerning the compliance with the tolerances for the prescribed transversal level of a rail against the another one, both straight line and in curve;_x000D_
- violation of the provisions of art.7.A.4. concerning the keeping between the tolerances of the  twist gradient canting;_x000D_
- violation of the provisions of art.7.B.1. concerning the tolerances of the straight line;_x000D_
- violation of the provisions of point 4.1. from Chapter „Norms of manpower and material consumption”, of „Instruction for the maintenance of the lines no.300/1982” concerning the supplying of the manpower norm for the current hand maintenance._x000D_
- violation of the provisions of the Sheets no.3 and 4 from the Instruction 305/1997 „ concerning the setting of the terms and order for the performance of the track inspections” concerning the way to perform the track inspections._x000D_
_x000D_
Root cause  of the accident is the non-application of the provisions of the system procedure „clear definition of the tasks concerning the safety responsibilities and their entrusting to the staff with adequate competences, code PS-36, section 5.3. paragraph 2: „to use for the railway safety responsibilities only staff suitable from professional point of view and for which there are medical approvals  and psychological , aptitude approvals, valid ones” part of the safety management system of S.C. Grup Feroviar Român SA, concerning the use of the non-authorized staff for the jobs district inspector and foreman ganger, in case of Line District Navodari of S.C. Grup Feroviar Român SA.</t>
  </si>
  <si>
    <t>RO-5627</t>
  </si>
  <si>
    <t>Train derailment, 20-03-18, Turceni (Romania)</t>
  </si>
  <si>
    <t>the 4th and 5th wagon from the freight train no.23633 derailed in the railway station Turceni</t>
  </si>
  <si>
    <t>Turceni</t>
  </si>
  <si>
    <t>Cauza directa si factorii care au contribuit_x000D_
Cauza directa a producerii accidentului o constituie parasirea suprafe?ei de rulare de catre ro?ile din partea stânga ale primului boghiu de la al 5-lea vagon din compunerea trenului ?i caderea acestora în spa?iul dintre contraacul curb ?i acul drept, apar?inând schimbatorului de cale nr. 24, aflat în pozi?ia de "abatere". Parasirea caii de rulare a fost generata de apari?ia, în regim dinamic, a unor deplasari pe verticala ale cadrului ?ina-traverse ?i favorizata de starea tehnica necorespunzatoare a vagonului._x000D_
_x000D_
Factori care au contribuit:_x000D_
-	existen?a lasaturilor oarbe pe zona schimbatorului de cale nr.24, lasaturi ce au condus la deplasarea în plan vertical a cadrului ?ina – traversa al macazului propriu-zis;_x000D_
-	uzura cvasitotala a placii din poliamida montate între crapodina inferioara ?i cea superioara a boghiului corespunzator ro?ilor nr.5÷8 (primul în sensul de mers al trenului) de la vagonul nr.81536650757-3 (aflat al 5-lea în compunerea trenului), uzura ce a condus la îngreunarea rotirii acestui boghiu sub vagon ?i a favorizat escaladarea acului curb de la schimbatorului de cale nr.24 de catre ro?ile din partea dreapta ale acestui boghiu. 
Direct cause and contributing factors_x000D_
The direct cause of the accident was the left wheels of the first bogie from the 5th wagon left the running surface and fell between the curved stock rail and the right point, from the switch no. 24, being on "diverging track". This leaving of the running track happened following the appearance, in dynamic conditions, of some vertical displacements of the frame rail-sleeper and favored by the unsuitable technical condition of the wagon._x000D_
_x000D_
Contributing factors:_x000D_
-	existence of low load bearing subgrades at the switch no.24, these low load bearing subgrades leading to the vertical displacements of the frame rail- sleeper of the switch itself;_x000D_
-	almost complete wear of the polyamide center wear plate fitted between the center pivot plate and the upper one from the bogie corresponding to  the wheels no.5÷8 (first in the train running direction) from the wagon no.81536650757-3 (the 5th one of the train), this wear led to the difficult turn of this bogie under the wagon and favored the climbing over the curved point from the switch no.24 by the right wheels of this bogie.</t>
  </si>
  <si>
    <t>?	nerespectarea prevederilor art.15, pct. 16 ?i 17 din „Instruc?ia de norme ?i toleran?e pentru construc?ii ?i între?inerea caii pentru linii cu ecartament normal nr.314/1989”, referitoare la luarea de masuri privind eliminarea apei din cuprinsul aparatelor de cale, respectiv la neadmiterea în exploatare a lasaturilor oarbe în cuprinsul aparatelor de cale._x000D_
Cauza primara_x000D_
-	neaplicarea tuturor prevederilor procedurii operationale cod PO SMS 0-4.07 „Respectarea specificatiilor tehnice, standardelor si cerintelor relevante pe întreg ciclul de viata a liniilor în procesul de întretinere”, parte a sistemului de management al sigurantei a administratorului de infrastructura feroviara publica CNCF „CFR” SA, referitoare la executarea lucrarilor de între?inere ?i repara?ii periodice a liniilor de cale ferata. 
?	violation of the provisions of art.15, points 16 and 17 from the „Instruction of norms and tolerances for the track construction and maintenance for tracks with standard gauge no.314/1989”, concerning the measures taking for the removal of the water from the switches, respectively the non-acceptance in operation of the low load bearing subgrades of the switches._x000D_
 Root cause_x000D_
-	non-application of all provisions of the operational procedure code PO SMS 0-4.07 „Compliance with the technical specifications, standards and requirements relevant for whole life cycle of the lines in operation process”, part of the safety management system of the public infrastructure administrator CNCF „CFR” SA, concerning the performance of the tracks maintenance and repair.</t>
  </si>
  <si>
    <t>CZ-5628</t>
  </si>
  <si>
    <t>Spad, 22-03-18, Å lapanice station (Czech Republic)</t>
  </si>
  <si>
    <t>The unauthorized movement of the freight train No. 62171 behind the signal device S2 and the consequent trailing of the point no. 3 and the ride of the freight train No. 62171 on the station track no. 2 in direction to Blažkovice station against the regional passenger train No. 4140.</t>
  </si>
  <si>
    <t>Å lapanice station</t>
  </si>
  <si>
    <t>Direct cause:_x000D_
• an operational error of the train driver of the freight train No. 62171 (he did not respect signal “Stop” of the main signal device S2 at Šlapanice station)._x000D_
Contributory factor:_x000D_
• an absence of the technical means of security which will be able to actively intervene in driving and to prevent the unauthorized movement behind the main signal device which prohibits riding in case of the train driver’s failure (an error or a mistake).</t>
  </si>
  <si>
    <t>Underlying cause:_x000D_
• driving the locomotive of the freight train No. 62171 in a way that did not ensure compliance with the obligation to stop the train safely in front of the signal device due to train driver’s misinterpretation of the conversation with the station dispatcher of Šlapanice station._x000D_
Root cause: none.</t>
  </si>
  <si>
    <t>CZ-5632</t>
  </si>
  <si>
    <t>Accident to persons caused by RS in motion, 26-03-18, Rudoltice v Cechách station (Czech Republic)</t>
  </si>
  <si>
    <t>The collision of the long distance passenger train No. 1007 with the external worker.</t>
  </si>
  <si>
    <t>Direct cause:_x000D_
• realization of the maintenance work in the area of the runway track after the moment when the track possession was closed without securing of the workplace._x000D_
_x000D_
Contributory factors:_x000D_
• incomplete work on the column of the contact line No. 35 before the track possession was closed; _x000D_
• exceeding the set time of the track possession by 9 minutes;_x000D_
• improper organization of work by the IM and the external company and also dangerous way of closing of the track possession – the procedures for closing the track possession were in conflict with the established technological procedures.</t>
  </si>
  <si>
    <t>Underlying causes:_x000D_
• entering the false time of finishing the maintenance work in the "B" command and in the Record of Instruction No. 1 to this command and closing of the track possession of the contact line when the maintenance work on the track column which had been doing by the external worker were still in progress;_x000D_
• closing of the track possession without the probative transference of the safety information between the work leader and the responsible deputy of the client of the track possession about its closing;_x000D_
• failure to ensure the industrial safety of the employee who was working individually at the station track at the time when the track possession was closed._x000D_
_x000D_
Root cause:_x000D_
• an ambiguously defined procedure for the obligation to transfer information related to closing of the track possession demonstrably between the work leader and the responsible deputy of the client of the track possession because this procedure does not meet the requirements for the transference of the security information which means that the procedure is inconsistent with the relevant provisions of the IM’s Safety Management System.</t>
  </si>
  <si>
    <t>BG-5637</t>
  </si>
  <si>
    <t>Fire in RS, 30-03-18, Konyovo Station (Bulgaria)</t>
  </si>
  <si>
    <t>On March 30, 2018, a fast train ? 8613 in the composition of 4 wagons, 164 t, towed by electric locomotive ? 43309.1, was moving on schedule in the direction Sofia - Dimitrovgrad - Burgas with about 80 passengers on board. After arriving and stopping at Konyovo station around 8 pm, a fire occurred in the toilet on the third carriage._x000D_
The fire safety of 112 was called and the fire was extinguished at 21:00. There were no injured passengers and staff. Substantial material damage was sustained on two coaches and on the contact network. The baggage of some of the passengers was burned.</t>
  </si>
  <si>
    <t>Konyovo Station</t>
  </si>
  <si>
    <t>The cause of fire in 3rd coach is a short circuit with an arc between the plus conductor feeding the Inverter that is in contact with its housing and at that moment is in contact with the minus supply wire.</t>
  </si>
  <si>
    <t>The plus and minus conductors for powering the 24 V inverter are mechanically abraded by the disconnection of the inverter from the mounting screws to the wall of the electrical panel and its slack on the cables, which has led to a thermal load over the insulation. The reduced dielectric strength and leakage, on one hand between the minus conductor and the inverter housing, and on the other hand  between the plus conductor and the inverter housing, has developed to a short circuit causing the fire.</t>
  </si>
  <si>
    <t>CZ-5638</t>
  </si>
  <si>
    <t>Train derailment, 30-03-18, Celákovice station (Czech Republic)</t>
  </si>
  <si>
    <t>Unauthorized movement of the shunting operation with consequent derailment of one rolling stock.</t>
  </si>
  <si>
    <t>Celákovice station</t>
  </si>
  <si>
    <t>Direct cause:_x000D_
• failure to positioning of the switch No. 19 to the prescribed position for the intended shunting operation route.</t>
  </si>
  <si>
    <t>Underlying cause:_x000D_
• failure to observe the technological procedures of the IM by the station dispatcher, who did not checked the correct position of the shunting route before permission to shunting operation movement._x000D_
Root cause: none.</t>
  </si>
  <si>
    <t>RO-5640</t>
  </si>
  <si>
    <t>Train derailment, 02-04-18, Videle (Romania)</t>
  </si>
  <si>
    <t>the locomotive and the first vagon from the freight train no.21716 derailed on the entrance in the railway station Videle</t>
  </si>
  <si>
    <t>Videle</t>
  </si>
  <si>
    <t>Cauza directa a producerii accidentului o constituie escaladarea flancului activ al ciupercii ?inei-cot de pe direc?ia „abatere” a schimbatorului de cale nr.21 din sta?ia CFR Videle de catre buza ro?ii din partea dreapta a primei osii a locomotivei EA 875, ca urmare a cumularii efectului dat de:_x000D_
-	deplasarea înspre exteriorul caii de rulare a subansamblului inima de încruci?are-„?ine-cot”;_x000D_
-	deplasarea contra?inei din dreptul inimii de pe direc?ia „abatere” urmare a lovirii fe?ei laterale dinspre ?ina de rulare (în zona capatului dinspre joanta de vârf a inimii simple de încruci?are), de catre roata din partea stânga a primei osii a locomotivei EA 875._x000D_
Factorii care au contribuit la producerea accidentului:_x000D_
?	depa?irea valorilor toleran?elor ecartamentului caii pe schimbatorul de cale nr.21;_x000D_
?	starea tehnica necorespunzatoare a traverselor speciale de lemn din cuprinsul sch. nr.21, în special pe zona inimii simple de încruci?are ?i în zona placii metalice speciale de la prima pana de la capatul contra?inei;_x000D_
?	starea inactiva a sistemului de fixare indirecta tip K a placii metalice speciale de la prima pana. 
Causes and contributing factors_x000D_
Direct cause of the accident was the climbing of rail gauge of wing rail head from the „diverging” section of the switch no.21 in Videle railway station by the flange of the right wheel of the first axle from the locomotive EA 875, following the cumulation of the effect generated by:_x000D_
-	movement to exterior side of the track of the part built-up common crossing „wing rail”;_x000D_
-	movement of the check rail from the built-up common crossing of the „diverging” section, following the hit of the lateral side from the running rail (at the end of the joint of the single built-up common crossing), by the left wheel from the first axle of the locomotive EA 875._x000D_
Contributing factors:_x000D_
?	exceeding of the tolerances values of the gauge on the switch no.21;_x000D_
?	unsuitable technical condition of the special wooden sleepers existing within the switch no. 21, especially at the single built-up common crossing and at the special metallic plate from the first support from the check rail end;_x000D_
?	inactive indirect fastening system type K of the special metallic plate from the fist support.</t>
  </si>
  <si>
    <t>Cauzele subiacente _x000D_
1.	Nerespectarea prevederilor art.19.2 din Instruc?ia de norme ?i toleran?e pentru construc?ia ?i între?inerea caii - linii cu ecartament normal - nr.314/1989, referitoare la valorile toleran?elor admise fa?a de ecartamentul prescris al aparatelor de cale._x000D_
2.	Nerespectarea prevederii art.25, pct.4 din Instruc?ia de norme ?i toleran?e pentru construc?ia ?i între?inerea caii - linii cu ecartament normal - nr.314/1989, referitoare la faptul ca nu se admit traverse necorespunzatoare în cuprinsul aparatelor de cale aparatele de cale._x000D_
Cauze primare_x000D_
1.	Neaplicarea tuturor prevederilor procedurii operationale cod PO SMS 0-4.07 „Respectarea specificatiilor tehnice, standardelor si cerintelor relevante pe întreg ciclul de viata a liniilor în procesul de întretinere”, parte a sistemului de management al sigurantei administratorului de infrastructura feroviara publica CNCF „CFR” SA, referitoare la executarea lucrarilor de între?inere ?i repara?ii periodice a liniilor de cale ferata. 
Underlying causes _x000D_
1.	violation of the provisions from art.19.2 of the Instruction of norms and tolerances for the track construction and maintenance – lines with standard gauge- no.314/1989, related to the tolerance values accepted against the gauge prescripted for the switches._x000D_
2.	violation of the provisions of art.25, point 4 from Instruction of norms and tolerances for the track construction and maintenance – lines with standard gauge- no.314/1989, related to the fact that the unsuitable sleepers are not accepted within the switches._x000D_
Root causes_x000D_
1.	Non-application of all provisions of the operational procedure code PO SMS 0-4.07 „Compliance with the technical specifications, standards and relevant requirements within the whole life of the lines in maintenance process”, part of the safety management system of the public railway infrastructure administrator CNCF „CFR” SA, concerning the performance of the maintenance and periodical repairs at lines.</t>
  </si>
  <si>
    <t>FR-5914</t>
  </si>
  <si>
    <t>Level crossing accident, 03-04-18, Coulogne (France)</t>
  </si>
  <si>
    <t>Collision of a light vehicle by a locomotive at a level crossing</t>
  </si>
  <si>
    <t>Coulogne</t>
  </si>
  <si>
    <t>The direct cause of the accident is the non-compliance with the signals by the driver, at the time of arrival of the locomotive. The signals imposed a mandatory stop before the crossing.</t>
  </si>
  <si>
    <t>The testimonies collected and the investigations carried out do not make possible to determine the factors that may have influenced the driver's behaviour._x000D_
Therefore, NIB FR does not issue a recommendation in connection with this accident.</t>
  </si>
  <si>
    <t>RO-5641</t>
  </si>
  <si>
    <t>Train derailment, 04-04-18, Racos - Rupea (Romania)</t>
  </si>
  <si>
    <t>the 33'rd wagon from the freight train no.80311 derailed in open line between Racos  and Rupea railway stations._x000D_
The train was hauled with a locomotive in front of the train and a banking locomotive.</t>
  </si>
  <si>
    <t>Cauza directa _x000D_
Cauza directa a producerii acestui accident o constituie escaladarea fe?ei laterale active a ciu-percii ?inei din exteriorul curbei de catre buza bandajului ro?ii din dreapta a primei osii în sensul de mers a vagonului nr.84537850465-6, în timpul circula?iei pe o por?iune de linie cu valoarea torsionarii caii peste limita admisa de toleran?ele corespunzatoare vitezei de circula?ie. _x000D_
Factorii care au contribuit la producerea acestui accident au fost:_x000D_
–	deformarea caii în plan orizontal la valori ale sage?ilor vecine peste toleran?a admisa. 
The direct cause of the accident was the climbing over the rail gauge of the exterior curve rail by the flange of right wheel,  from the first axle in the running direction of the wagon no.84537850465-6, during the running on a track section with the twist value over the limit accepted by the tolerances corresponding to the running speed. _x000D_
Contributing factors_x000D_
–	horizontal track distortion at values of the neighbour deflections over the accepted tolerance.</t>
  </si>
  <si>
    <t>Cauze subiacente _x000D_
Nerespectarea prevederilor:_x000D_
–	Art. 7.A.4, din „Instruc?ia de norme ?i toleran?e pentru construc?ia ?i între?inerea caii - linii cu ecartament normal - nr.314/1989”, referitor la toleran?ele admise în func?ie de vitezele de cir-cula?ie, fa?a de valori ale torsionarii caii masurate în baza de 2,5 m;_x000D_
–	Art. 7.B. 1, din „Instruc?ia de norme ?i toleran?e pentru construc?ia ?i între?inerea caii - linii cu ecartament normal - nr.314/1989”, referitor la toleran?ele la sage?i admise la curbele arc de cerc în func?ie de razele curbelor ?i vitezele de circula?ie._x000D_
Cauze primare _x000D_
Nu au fost identificate. 
Underlying causes _x000D_
Infringement of the provisions:_x000D_
–	art. 7.A.4, from „Instruction of norms and tolerances for the track construction and mainte-nance – lines with standard gauge - no.314/1989”, concerning the tolerances accepted in ac-cordance with the running speeds, against the values of the track twist for the basis 2,5 m;_x000D_
–	art. 7.B. 1, from „Instruction of norms and tolerances for the track construction and mainte-nance – lines with standard gauge no.314/1989”, concerning the tolerances of the versine ac-cepted for the curves arc of circle, according to the curve radius and running speed.</t>
  </si>
  <si>
    <t>PT-5662</t>
  </si>
  <si>
    <t>Train derailment, 05-04-18, Nelas (Portugal)</t>
  </si>
  <si>
    <t>Derailment of a wheelset of a 2-axle wagon on a freight train. The train ran with the derailed wagon for several kilometers until two other wheelsets also became derailed and the train was stopped by the rupture of the brake pipe. 
Pelas 17h34 do dia 05 de abril de 2018, pouco depois de o comboio de mercadorias n.º 64432 passar a estação de Nelas em direção à Pampilhosa, descarrilou um rodado de um vagão inserido sensivelmente a meio da composição. Na estação de Canas-Felgueiras descarrilaram dois outros rodados, tendo então o comboio parado.</t>
  </si>
  <si>
    <t>Nelas</t>
  </si>
  <si>
    <t>CZ-5639</t>
  </si>
  <si>
    <t>Level crossing accident, 06-04-18, open line between LuÅ¾ná u Rakovníka and Rakovník stations (Czech Republic)</t>
  </si>
  <si>
    <t>Collision of the regional passenger train No. 19709 with a car at the level crossing with consequent derailment.</t>
  </si>
  <si>
    <t>open line between LuÅ¾ná u Rakovníka and Rakovník stations</t>
  </si>
  <si>
    <t>FI-5685</t>
  </si>
  <si>
    <t>Trains collision with an obstacle, 07-04-18, Kinni railway yard, Kouvola-Pieksämäki section of line (Finland)</t>
  </si>
  <si>
    <t>Tank wagons moved accidentally downhill and collided with rail buffer, causing derailment and release of dangerous goods.</t>
  </si>
  <si>
    <t>Kinni railway yard, Kouvola-Pieksämäki section of line</t>
  </si>
  <si>
    <t>The wagons began moving as the weather became warmer, because the number of stop blocks was insufficient given the longitudinal gradient of the track and the weight of the wagons. The significant rise in temperature reduced the rolling resistance of the wagons and meltwater from snow simultaneously weakened the holding power of the stop blocks.</t>
  </si>
  <si>
    <t>The Finnish Transport Agency indicated four locations on the Savo track, one of which was the Kinni railway yard. The locations were identified on the basis of an analysis by the Finnish Transport Agency, which examined decommissioned rolling stock storage locations. It took no account of the requirements for the temporary storage of RID wagons, or of the longitudinal gradient of the track._x000D_
The wagons were on their way from Russia, via the Vainikkala border crossing, to the Port of Mussalo from which the MTBE was to be shipped to a third country.  In the late winter of 2018, congestion amongst dangerous goods traffic (RID traffic) had reached the stage where wagons had to be temporarily stored outside RID railway yards.</t>
  </si>
  <si>
    <t>DE-5798</t>
  </si>
  <si>
    <t>Train derailment, 04-10-18, Neuss Gbf (Germany)</t>
  </si>
  <si>
    <t>Am 04.10.2018 gegen 14:00 Uhr auf der Fahrt von Hegyeshalom nach Neuss Gbf entgleiste der Güterzug 47182 auf der Weiche 74 des Bahnhofs Neuss Gbf mit dem letzten Fahrzeug. Der letzte Wagen des Güterzuges 47182 kippte um und das Ladegut (Getreide Saatgut) wurde freigesetzt. 
On 04.10.2018 at around 14:00 on its way from Hegyeshalom to rail freight depot Neuss, the freight train 47182 derailed on switch 74 of the rail freight depot Neuss with the last vehicle. The last wagon of freight train 47182 overturned and the load (grain seeds) was released.</t>
  </si>
  <si>
    <t>Neuss Gbf</t>
  </si>
  <si>
    <t>Der Fahrdienstleiter (Fdl) des Stellwerkes Ngf bediente die Weiche 74 nach einer fehlerhaften Fahrwegsicherung zur Unzeit, und stellte diese um, obwohl der Güterzug GB 47182 diese noch nicht geräumt hatte. 
The dispatcher (Fdl) of the signal box Ngf operated the switch 74 at the wrong time after a faulty securing of the track, and changed it, although the freight train GB 47182 had not yet cleared it.</t>
  </si>
  <si>
    <t>HU-5656</t>
  </si>
  <si>
    <t>Train derailment, 10-04-18, Szépjuhászné (Hungary)</t>
  </si>
  <si>
    <t>The train has derailed on a switch.</t>
  </si>
  <si>
    <t>Szépjuhászné</t>
  </si>
  <si>
    <t>CZ-5652</t>
  </si>
  <si>
    <t>Level crossing accident, 17-04-18, open line between Lochovice and Zdice stations (Czech Republic)</t>
  </si>
  <si>
    <t>Collision of the long distance passenger train No. 1246 with the car at the level crossing.</t>
  </si>
  <si>
    <t>Underlying causes:_x000D_
• driver's failure to respect the light and acoustic warning and his ride at the level crossing at the time when it was forbidden;_x000D_
• behavior of the driver in front of the level crossing, the car driver wasn't careful enough._x000D_
_x000D_
Root cause: none.</t>
  </si>
  <si>
    <t>IE-5667</t>
  </si>
  <si>
    <t>Trains collision near miss, 18-04-18, Various locations in Republic of Ireland (Ireland)</t>
  </si>
  <si>
    <t>Trend Investigation into Road Rail Vehicle Incidents between 2015 and 2018</t>
  </si>
  <si>
    <t>Various locations in Republic of Ireland</t>
  </si>
  <si>
    <t>•	Loss of control of RRV – resulting in RRVs collisions with other RRVs; _x000D_
•	Collisions – RRV collisions with infrastructure, on-track machinery (OTM) and rolling stock;_x000D_
•	Points run-through by RRV – resulting to damage to points (and in one case derailment).</t>
  </si>
  <si>
    <t>•	Inadequate training requirements of RRVOs/RRVCs, as set out in IÉ-IM CCE Plant and Machinery Standard (I-PLM-5001), in the operation of the RRVs;_x000D_
•	Inadequate training of RRVOs in relation to infrastructure on the railway network (e.g. OHLE) and in relation to the operation of RRVs on the railway network (e.g. confined spaces);_x000D_
•	There is some doubt as to the requirements, inspection and maintenance of RRV plant, as set out in I-PLM-5001; in particular, the braking performance in an emergency situation.</t>
  </si>
  <si>
    <t>AT-5670</t>
  </si>
  <si>
    <t>Trains collision, 20-04-18, Salzburg (Austria)</t>
  </si>
  <si>
    <t>At approx. 04:46, the Nightjet 467 (coming from Zurich to Vienna) was reassembled on track 4 in Salzburg main station. In the shunting movement there was a collision of the pushed group of wagons with the standing group of wagons. 57 persons were injured and two persons seriously injured. 
Um ca. 04:46 Uhr wurde der Nightjet 467 (aus Zürich kommend Richtung Wien) auf Gleis 4 im Hauptbahnhof Salzburg neu zusammengestellt. Bei der Verschubbewegung kam es zu einer Kollision der geschobenen Wagengruppe mit der stehenden Wagengruppe. Hierbei wurden 57 Personen leicht und zwei Personen schwer verletzt.</t>
  </si>
  <si>
    <t>Salzburg</t>
  </si>
  <si>
    <t>Da bei der Annäherung der geschobenen Verschubfahrt an die stehende Wagengruppe keine Bremsung eingeleitet wurde, kollidierten die beiden Wagengruppen mit unveränderter Geschwindigkeit._x000D_
Auf Grund einer Ohnmacht des/der Tfzf konnte keine Bremsung eingeleitet werden._x000D_
Die/Der VL hatte keine Möglichkeit mittels Bremseinrichtung kurzfristig zu reagieren. 
Since no braking had been applied during the approaching shunting movement to the standing group of wagons, the two groups of wagons collided at unchanged speed._x000D_
Due to the fainting of the train driver, no brakes could be applied._x000D_
The traffic controller did not have any possibility to react in the short term using the stopping device.</t>
  </si>
  <si>
    <t>CZ-5655</t>
  </si>
  <si>
    <t>Level crossing accident, 23-04-18, level crossing No. P552 between Lochovice and Jince stations (Czech Republic)</t>
  </si>
  <si>
    <t>Collision of the regional passenger train No. 7908 with a car at the level crossing with consequent derailment.</t>
  </si>
  <si>
    <t>level crossing No. P552 between Lochovice and Jince stations</t>
  </si>
  <si>
    <t>Direct cause:_x000D_
• standing of the car at the dangerous area of the level crossing at the time of the train movement.</t>
  </si>
  <si>
    <t>Underlying cause:_x000D_
• the impossibility to leave the dangerous area of the level crossing by the car due to deadlock of left front wheel between stretch of rails outside of level crossing roadway._x000D_
Root cause: none.</t>
  </si>
  <si>
    <t>BE-5775</t>
  </si>
  <si>
    <t>Trains collision, 24-04-18, Bruxelles-Nord (Belgium)</t>
  </si>
  <si>
    <t>Echappement de 2 automotrices vides suite à une manoeuvre de désaccouplement exécutée en gare de Bruxelles-Nord, suivi d’une légère prise en écharpe d’un train technique par les 2 automotrices qui dérivaient. 
Escape of two empty railcars after a decoupling maneuver performed at Brussels-North station, followed by a slight catch in a sling of a technical train by the two railcars that were rolling uncontrolled.</t>
  </si>
  <si>
    <t>Bruxelles-Nord</t>
  </si>
  <si>
    <t>The fact that the parking brake was not engaged on these two railcars was the direct cause of the uncoupling and drifting.</t>
  </si>
  <si>
    <t>- Communication : According  to  information  collected  by  the  IB,  this  driver  sent  to  Brussels-North  was  not  informed  of  the  situation,  i.e.  that  2  of  the  5  railcars  were in "vehicle" mode._x000D_
- Procedures : The decoupling procedure stipulated in the SNCB/NMBS regulations (HLT) was not correctly applied._x000D_
- Technical availability : Neither  of  the  two  safety  features,  provided  by  both  the  parking  brake  and the automatic braking generated by the anti-drifting system, was op-erational at the time of decoupling, and could not stop the drifting._x000D_
- Procedures (mitigation) : The voice message communicated during the GSM-R alarm ordered all traffic in Brussels-North to stop. In such cases, drivers should have no margin for interpretation.</t>
  </si>
  <si>
    <t>RO-5657</t>
  </si>
  <si>
    <t>Train derailment, 25-04-18, Dej Triaj (Romania)</t>
  </si>
  <si>
    <t>the first bogie of the 5th wagon from the freight train no.42695-2 derailed on the switch no.15 T, in the railway station Dej Triaj gr. A</t>
  </si>
  <si>
    <t>Cauza directa, factori care au contribuit_x000D_
Cauza directa a producerii acestui accident o constituie escaladarea ?inei de legatura (firul interior al curbei) a schimbatorului de cale nr.15A de catre buza ro?ii din partea dreapta a primei osii (în sensul de mers) a vagonului nr.31530670031-3. Escaladarea a fost posibila, din cauza existen?ei în cuprinsul ?inelor de legatura, a unei joante izolante nelipite alcatuita neinstruc?ional (prag lateral, prag vertical ?i traverse neburate).  _x000D_
Factorii care au contribuit: _x000D_
?	între?inerea necorespunzatoare a joantei izolante nelipite din cadrul ?inei de legatura a contraacului curb, în cuprinsul careia s-au constatat, traverse neburate (lasaturi oarbe), prindere incompleta ?i eclisa de lignofoliu rupta. Aceasta stare a condus la formarea unui prag lateral pe flancul activ al ciupercii ?inei ?i a unui prag vertical._x000D_
?	neaplicarea unor masuri suficiente de control al riscurilor, în cadrul carora ar fi trebuit sa se efectueze activita?i de identificarea pericolului produs de pragul lateral ?i/sau vertical la joanta, a riscurilor asociate  ?i a masurilor de siguran?a aferente. 
Direct cause of this accident was the climbing over the closure rail (interior rail of the curve) of the switch no.15A by the flange of right wheel from the first axle (in the running direction) of the wagon no.31530670031-3. The climbing happened following the presence within the closure rails of a non-glued insulated joint, composed without complying the instruction (lateral rail misalignment, vertical rail misalignment and non-packed sleepers).  _x000D_
Contributing factors: _x000D_
?	unsuitable maintenance of the non-glued insulated joint from the closure rail of the curved stock-rail, within that one found out non-packed sleepers (gaps under the base of the sleepers), partial fastening and lignofolium fish plate broken. It led to the appearance of a lateral rail misalignment on the gauge face of the rail and a vertical rail misalignment._x000D_
?	Non enforcement of some sufficient measures for the risk control, according what one should perform activities for the identification of the danger generated by the lateral and/or vertical rail misalignment at the joint, of the associated risks and of the afferent safety measures.</t>
  </si>
  <si>
    <t>Cauze subiacente_x000D_
1.	Nerespectarea prevederilor din „Instruc?ia de norme ?i toleran?e pentru construc?ia ?i între?inerea caii pentru linii cu ecartament normal nr.314/1989” dupa cum urmeaza:_x000D_
?	art.25, alin.(2) ?i alin.(4), referitoare la defectele care impun înlocuirea traverselor de lemn si la neadmiterea mentinerii traverselor necorespunzatoare în cuprinsul aparatelor de cale;_x000D_
?	art.21, alin.(5) ?i alin.(7), referitoare la pragurile laterale la joante ?i la diferen?a de nivel a suprafe?elor de rulare a ?inelor alaturate;_x000D_
?	art.15, alin.(17), referitoare la lasaturile oarbe în cuprinsul aparatelor de cale;_x000D_
?	art.10.A.6, referitoare la marimea rosturilor de la joantele izolante;_x000D_
?	art.15.8, referitoare la modul de alcatuire a prismei de balast în cuprinsul unui schimbator de cale;  _x000D_
2.	Nerespectarea prevederilor Ordinului MTI nr.815/2010 din 12 octombrie 2010 pentru aprobarea Normelor privind implementarea ?i dezvoltarea sistemului de men?inere a competen?elor profesionale pentru personalul cu responsabilita?i în siguran?a circula?iei ?i pentru alte categorii de personal care desfa?oara activita?i specifice în opera?iunile de transport pe caile ferate din România, referitoare la utilizarea în activitatea de revizie tehnica a caii, conducerea echipei de muncitori ?i a districtului de linii, a personalului autorizat (?colarizat, având certificate cu aptitudini medicale ?i psihologice) pentru aceasta activitate;_x000D_
3.	Nerespectarea prevederilor pct.4.1. din Cap.4 „Norme de manopera ?i consum de materiale”, al „Instruc?iei de între?inere a liniilor ferate nr.300/2003” referitoare la asigurarea normei de manopera la între?inerea curenta în execu?ie manuala._x000D_
Cauze primare_x000D_
1.	Nerespectarea prevederilor din Procedura opera?ionala cod: PO SMS 0-4.07 „Respectarea specifica?iilor tehnice, standardelor ?i cerin?elor relevante pe întreg ciclul de via?a a liniilor în procesele de între?inere”, referitoare la aprovizionarea ritmica a cantita?ilor de materiale necesare între?inerii._x000D_
2.	Neaplicarea prevederilor din Instruc?ia de între?inere a caii – aprobata prin Ordinul  nr.519/03.04.2003 document asociat al procedurii operationale cod PO SMS 0-4.07 „Respectarea specificatiilor tehnice, standardelor si cerintelor relevante pe întreg ciclul de viata a liniilor în procesul de întretinere”, parte a sistemului de management al sigurantei al CNCF „CFR” SA, referitoare la dimensionarea personalului subunita?ilor de între?inere linii, în raport cu volumul de lucrari, fapt confirmat de subdimensionarea personalului districtului de linii nr.4 Dej Triaj din cadrul Sectiei L7 Dej._x000D_
3.	Neaplicarea prevederilor procedurii opera?ionale cod PO SMS 0-4.07 „Respectarea specificatiilor tehnice, standardelor si cerintelor relevante pe întreg ciclul de viata a liniilor în procesul de întretinere”, parte a sistemului de management al sigurantei al CNCF „CFR” SA, referitoare la identificarea ?i programarea executarii lucrarilor de mentenan?a. 
Underlying causes_x000D_
1.	Violation of the provisions from the „Instruction of norms and tolerances for the track construction and maintenance for lines with standard gauge no.314/1989” as follows:_x000D_
?	art.25, paragraphs (2) and (4), concerning the failures that impose the replacement of the wooden sleepers and the non-acceptance of unsuitable sleepers within the switches;_x000D_
?	art.21, paragraphs (5) and (7), concerning the lateral rail misalignment at the joints and the level differences at the running surfaces of the joined rails;_x000D_
?	art.15, paragraph (17), concerning the gaps under the sleeper base existing within the switches;_x000D_
?	art.10.A.6, concerning the size of the insulated joint gaps;_x000D_
?	art.15.8, concerning the composition way of the ballast track bed within the switches;  _x000D_
2.	violation of the provisions of the Minister of Transports’ Order no.815/2010 from the 12th October 2010 for the approval of the Norms for the implementation and development of the system for keeping the professional competences of the staff with responsibilities in the traffic safety and for other staff categories carrying out specific activities in Romanian railway transports,  concerning the use in  the technical inspection of the track, the management of the worker team and of the line district, of authorized staff (trained, getting certificates of medical and psychological aptitudes) for this activity;_x000D_
3.	violation of the provisions from point 4.1. of Chapter 4 „Norms of manpower and material consumption”, of „Instruction for track maintenance no.300/2003” concerning the provision with the manpower norm for the current manual work maintenance._x000D_
Root causes_x000D_
1.	violation of the provisions of the Operational Procedure code: PO SMS 0-4.07 „Compliance with the technical specifications, standards and requirements relevant for the whole life cycle of the lines in the maintenance processes”, concerning the rhythmic provision with the material quantities necessary for the maintenance._x000D_
2.	Non-enforcement of the provisions from the Instruction for the track maintenance – approved through the Order no.519/03.04.2003, document associated  to the operational procedure code PO SMS 0-4.07 „Compliance with the technical specifications, standards and requirements relevant for the whole life cycle of the tracks in the maintenance process”, part of the safety management system of CNCF „CFR” SA, concerning the sizing of the staff from the sub-units for the track maintenance, in relation to the total works, it being confirmed by the under sizing of the staff from the line district no.4 Dej Triaj  within the Track Section L7 Dej._x000D_
3.	Non-application of the provisions from the operational procedure code PO SMS 0-4.07 „Compliance with the technical specifications, standards and requirements relevant for the whole life cycle of the lines in the maintenance process”, part of the safety management system of CNCF „CFR” SA, concerning the identification and schedule of the maintenance performance</t>
  </si>
  <si>
    <t>PT-5669</t>
  </si>
  <si>
    <t>Train derailment, 26-04-18, Abrunhosa (Portugal)</t>
  </si>
  <si>
    <t>Partial derailment of a double container wagon of type Laagrss series 43 71 437 8 xxx, occupying the 9th position on a freight train. 
Descarrilamento parcial de um vagão duplo tipo Laagrss série 43 71 437 8 xxx, ocupando a 9.ª posição num comboio de mercadorias.</t>
  </si>
  <si>
    <t>Abrunhosa</t>
  </si>
  <si>
    <t>DE-5659</t>
  </si>
  <si>
    <t>Train derailment, 27-04-18, Freiburg (Breisgau) Gbf (Germany)</t>
  </si>
  <si>
    <t>Bei der Einfahrt des DGS 43638 (Laufweg: Navara – Freiburg Gbf) nach Gleis 2 des Gbf Freiburg (Breisgau) entgleist der Zug auf der Einfahrweiche 67 mit 3 Wagen. 
During the entry of DGS 43638 (itinerary: Navara – Freiburg Gbf) after rail track 2 of rail freight depot Freiburg (Breisgau), the train derailed on the  entry track 67 with 3 wagons.</t>
  </si>
  <si>
    <t>Freiburg (Breisgau) Gbf</t>
  </si>
  <si>
    <t>Die Zugentgleisung ist auf das unzeitige Auflösen einer Zugfahrstraße während einer Zugfahrt in Verbindung mit dem Umstellen einer Weiche unter Fahrzeugen zurückzuführen. 
The derailment of the train is due to the untimely disconnection of a train path during a train journey combined with the switch-over of a switch under vehicles</t>
  </si>
  <si>
    <t>DE-5660</t>
  </si>
  <si>
    <t>Trains collision with an obstacle, 27-04-18, München-Riem (Germany)</t>
  </si>
  <si>
    <t>Am 27.04.2018 gegen 23:50 Uhr kollidierte die Zugfahrt DGS 69150 auf der Fahrt von München-Riem Ubf nach Bremerhaven Weddewarder Tief bei der Ausfahrt aus dem Bahnhofsteil München-Riem Ubf mit einem Hemmschuh und entgleiste infolgedessen im Verlauf der Weiterfahrt.</t>
  </si>
  <si>
    <t>München-Riem</t>
  </si>
  <si>
    <t>BoxXpress.de GmbH</t>
  </si>
  <si>
    <t>1 staff lightly injured. Heavy damages on vehicles. Heavy damages on infrastructure with unvailabilities of high-frequented lines and the intermodal terminal for one week.</t>
  </si>
  <si>
    <t>Ursächlich für das Ereignis war eine mangelhafte Zugvorbereitung. Zur Sicherung gegen unbeabsichtigtes Bewegen wurden zwei Hemmschuhe eingesetzt. Diese wurden vor der Abfahrt des betroffenen Zuges nicht ordnungsgemäß entfernt.</t>
  </si>
  <si>
    <t>Local principles of vehicle securing while parking under RU's coordination of a supplier.</t>
  </si>
  <si>
    <t>CZ-5658</t>
  </si>
  <si>
    <t>Train derailment, 29-04-18, Lhotka u Melníka control point (Czech Republic)</t>
  </si>
  <si>
    <t>Unsecured ride with the consequent derailment of the regional passenger train No. 8532 at the switch No. 1sv, which was not correctly switched in the preferred position.</t>
  </si>
  <si>
    <t>Lhotka u Melníka control point</t>
  </si>
  <si>
    <t>Direct cause:_x000D_
• the train driver’s failure to obey the instruction of the IM given by the signal device Sv1 before his entering at the self-returning switch No. 1sv.</t>
  </si>
  <si>
    <t>Underlying cause:_x000D_
• the train driver’s failure to comply the technological procedures of the RU/IM when the train driver did not observe the signal at the signal device Sv1 and he did not stop before the self-returning switch No. 1sv and also his failure to check the correct position of the switch._x000D_
_x000D_
Root cause: none.</t>
  </si>
  <si>
    <t>CZ-5661</t>
  </si>
  <si>
    <t>Trains collision, 03-05-18, open line between KremÅ¾e and BorÅ¡ov nad Vltavou stations (Czech Republic)</t>
  </si>
  <si>
    <t>The unauthorized movement of the regional passenger train No. 8102 behind the signal device L1 and the consequent collision with the regional passenger train No. 8103 and its derailment.</t>
  </si>
  <si>
    <t>open line between KremÅ¾e and BorÅ¡ov nad Vltavou stations</t>
  </si>
  <si>
    <t>Direct cause:_x000D_
• an operational error of the train driver of the regional passenger train No. 8102, he did not respect the signal „STOP" of the signal device L1 at Kremže station._x000D_
_x000D_
Contributory factors of the trains collision:_x000D_
• operating the rolling stocks without a radio terminal which is fully compatible and cooperating in all functions with the infrastructure part of the used train radio equipment (on the basis of an exception granted by the Czech legislation);_x000D_
• failure to send the „GENERAL STOP" command of the TRS radio system to the entire area controlled by the station dispatchers of the remotely operated station interlocking equipment of Kájov station when the train collision threatened, this command would have had a guaranteed reach on the regional passenger train No. 8103.</t>
  </si>
  <si>
    <t>Underlying cause:_x000D_
• failure to comply the technological procedures of the IM and RU by the train driver of the regional passenger train No. 8102._x000D_
_x000D_
Root cause: none.</t>
  </si>
  <si>
    <t>BG-5666</t>
  </si>
  <si>
    <t>Fire in RS, 04-05-18, Druzhba - Dolno Ezerovo railway stations intersection (Bulgaria)</t>
  </si>
  <si>
    <t>On 04.05.2018, FT No  8613 consisting of 5 wagons, 208 tons, towed by electric locomotive No 44121.2, run on a schedule in Sofia-Plovdiv-Dimitrovgrad-Burgas direction. Around 21:25, about 300 meters away from Druzhba station on 60 km / h, the locomotive brigade sensed a smell of burned electric insulation. Iron smoke started to come out of the engine compartment and the underfloor fans. The locomotive brigade moved the train to the next Dolno Ezerovo station where they began fighting the fire with the extinguishers available at 21:35. Due to its expansion, the driver signalled the fire on 112. After being located, the fire was suppressed by the Regional Fire Brigade - Burgas at 01:00 on 05.05.2018. _x000D_
The passengers were evacuated timely and nobody was injured as a result of the accident. Major material damage was caused to the electrical locomotive.</t>
  </si>
  <si>
    <t>Druzhba - Dolno Ezerovo railway stations intersection</t>
  </si>
  <si>
    <t>The reason for fire in electric locomotive ? 44121.2 is a locomotive long-term operation at a low voltage regime due to a transient short circuit between the insulated conductors and the locomotive body and the registered low voltage in the contact network.</t>
  </si>
  <si>
    <t>The main causes of the accident are the long-term operation of the locomotive at a low voltage in the auxiliary machinery power circuits and high value currents in the two rectifying blocks due to the transient short circuit between the insulated wires and the locomotive body. For this reason, in some of the elements (thyristors, diodes, etc. – Fig. 21, 22) that have been working with high value current and without cooling breaks have happened. As a result of the increased temperature in the overvoltage protection capacitors, the temperature of their electrolyte has increased. This has led to depressurisation of the metal housings and to spray the electrolyte on the heated components of the two rectifier units, which led to a simultaneous ignition and expansion of the fire</t>
  </si>
  <si>
    <t>CH-5783</t>
  </si>
  <si>
    <t>Train derailment, 05-07-18, Eglisau (Switzerland)</t>
  </si>
  <si>
    <t>NIB CH</t>
  </si>
  <si>
    <t>On 5 July 2018 at around 20:20, the front bogie of the fifth wagon of a train with tank wagon derailed between Glattfelden and Eglisau in the direction of travel to the right. About 1.5 km after the derailment, the driver stopped the train in front of the first switch in Eglisau. 
The tank wagons were used to transport oil shale and were empty according to the train list. There was major damage to the track and the bogie of the tank wagon. No persons were injured.</t>
  </si>
  <si>
    <t>Eglisau (ZH)</t>
  </si>
  <si>
    <t>SBB Cargo AG, Switzerland</t>
  </si>
  <si>
    <t>SBB AG, Infrastruktur, Switzerland</t>
  </si>
  <si>
    <t>Extensive damage to rolling stock and infrastructure</t>
  </si>
  <si>
    <t xml:space="preserve">The derailment of the fifth tank wagon of goods train 47044 between Bülach and Eglisau in a slight left-hand curve was caused by an asymmetric wheel load. 
Eglisau in a slight left-hand bend is due to the fact that, as a result of an asymmetrical wheel load due to incomplete emptying of the goods being transported, the right wheel of the front bogie was unloaded, lifted as a result and subsequently derailed.
</t>
  </si>
  <si>
    <t>Contributing factors to the accident were:
- The failure to recognise unevenly distributed residual amounts of oil shale after unloading.
- The increased unscrewing resistance of the front bogie due to damage to the pivot and the bogie pan.</t>
  </si>
  <si>
    <t>DE-5664</t>
  </si>
  <si>
    <t>Trains collision, 07-05-18, Aichach (Germany)</t>
  </si>
  <si>
    <t>Am 07.05.2018 kollidiert der Zug RB 86696 (EVU: Bayerische Regiobahn) auf der Fahrt von Augsburg Hbf in Fahrtrichtung Ingolstadt bei der Einfahrt in den Bahnhof Aichach mit dem in Gleis 2 wartenden Güterzug 98907 (EVU: Kube Con für SETG). 
On 07.05.2018, while driving from Augsburg Hbf and in the direction of Ingolstadt, the train RB 86696 (railway undertaking: Bayerische Regiobahn) collided during the entry into railway station Aichach with freight train 98907 (railway undertaking: Kube Con für SETG), which was waiting on rail track 2.</t>
  </si>
  <si>
    <t>Aichach</t>
  </si>
  <si>
    <t>Bayerische Regiobahn GmbH; 
Kube Con Logistics GmbH</t>
  </si>
  <si>
    <t>Die Kollision der Züge ist auf eine mangelhaft durchgeführte Fahrwegprüfung des Fahrdienstleiters (Fdl) Aichach zurückzuführen. Außerdem versäumte der Fdl es, die erforderlichen Hilfssperren an den Fahrstraßenhebeln anzubringen, nachdem der Güterzug das Gleis 2 besetzt hatte und eine Weiterfahrt vorerst ausgeschlossen war. 
The collision of the trains is due to a poorly performed infrastructure test by the Aichach dispatcher (Fdl). In addition, the Fdl failed to install the necessary auxiliary barriers on the road levers after the freight train had occupied track 2 and a continuation of the journey was excluded for the time being.</t>
  </si>
  <si>
    <t>CZ-5668</t>
  </si>
  <si>
    <t>Level crossing accident, 08-05-18, open line between Cejrov passing point and Chrast u Chrudimi station (Czech Republic)</t>
  </si>
  <si>
    <t>Collision of the regional passenger train No. 5340 with a trailer (agricultural machine) at the level crossing No. P5321.</t>
  </si>
  <si>
    <t>open line between Cejrov passing point and Chrast u Chrudimi station</t>
  </si>
  <si>
    <t>Direct cause:_x000D_
• deadlock of a trailer (agricultural machine) at the level crossing No. 5321 after its previous disengagement from the tractor and its spontaneous ride into the area of the level crossing.</t>
  </si>
  <si>
    <t>Underlying cause:_x000D_
• movement of the technically incompetent vehicle on the road._x000D_
Root cause: none.</t>
  </si>
  <si>
    <t>RO-5663</t>
  </si>
  <si>
    <t>Train derailment, 08-05-18, Simeria (Romania)</t>
  </si>
  <si>
    <t>20th an 21st wagons from the freight train no 80432 derailed on the entrance in the railway station Simeria</t>
  </si>
  <si>
    <t>Simeria</t>
  </si>
  <si>
    <t>Cauza directa _x000D_
Cauza directa a producerii acestui accident o constituie supraîncalzirea, urmata de ruperea fusului de osie aferent rotii nr.1 de la vagonul nr.33537883273-7 (aflat al 20-lea în compunerea trenului) si de pierderea capacitatii de ghidare a osiei corespunzatoare rotilor 1-2._x000D_
Factorul care a contribuit:_x000D_
Vechimea rulmentilor montati în cutia de osie aferenta rotii nr.1 de la acest vagon (rulmentul WJ - 48 de ani de la data fabricatiei, iar rulmentul WJP - 43 de ani de la data fabricatiei). 
Direct cause _x000D_
The direct cause of the accident was the over-heating, followed by the breakage of the axle journal afferent to the wheel no.1 from the wagon no.33537883273-7 (the 20th one of the train) and the loose of the guiding capacity of the axle corresponding to the wheels 1-2._x000D_
Contributing factors:_x000D_
The old of the roller bearings fitted in the axle box afferent to the wheel no. 1 of this wagon (roller bearing WJ - 48 years old from its manufaturing, and the roller bearing WJP - 43 years old from its manufacturing).</t>
  </si>
  <si>
    <t>Cauze subiacente _x000D_
	Nu au fost identificate cauze subiacente._x000D_
Cauza primara_x000D_
Cauza primara o constituie lipsa din norma tehnica feroviara, referitoare la repararea cutiilor de osii cu rulmenti, a unor prevederi prin care sa fie stabilita durata maxima de serviciu pentru rulmentii cu role cilindrice ce echipeaza vagoanele de marfa (exprimata în kilometri parcursi sau ani). 
Underlying causes _x000D_
	None._x000D_
Root cause_x000D_
The root cause is the lack from the railway technical norm for the repair of the axle boxes with roller bearings of some provisions for the establishment of the maximum working time for the cylindrical roller bearings, that provide the freight wagons (expressed in km run or years).</t>
  </si>
  <si>
    <t>PL-5665</t>
  </si>
  <si>
    <t>Train derailment, 10-05-18, Wronki (Poland)</t>
  </si>
  <si>
    <t>After depurture form the Wronki station, the freight train No TME 48402/9, consisted of 1 electric locomotive series ET22 and 29 freight wagons, derailed at the track No 1 of the station. _x000D_
There was derialment of 12 wagons being at the positions from 8th to 19th after the locomotive. _x000D_
_x000D_
_x000D_
Detailed description:_x000D_
On 10 May 2018, Laziska Srednie – Police Chemia freight train No. TME 484028/9 driven by ET22-408 locomotive owned by CTL Logistics Sp. z o.o. railway undertaking was passing through Wronki railway station. At 4.12 pm, during entry from plain line No. 1 on the Peckowo–Wronki route onto station track No. 1 at the Wronki railway station before the turnout No. 13 at the 50.474 km, the second axis of the first truck of the eighth carriage in the train set derailed due to the axle-box falling off as a result of the right axle pin twisting off. The train travelled 25 metres with derailed second axis of the first truck of the eighth carriage, lost the pin with the axle-box and after covering additional 8 metres without the axle being attached, the wheelset entered the rails at the frog of turnout No. 13 (rerailing of the carriage). Train No. TME 484028/9 continued to travel without the axle being attached in a non-derailed state for 1,523 metres. When exiting the arc at 4.14 pm, at the 52.030 km the second axis of the eight carriage de-railed once again, and the train set covered 220 metres in a derailed state. The damaged truck of the eighth carriage which jutted out of the vehicle gauge caught on the bearing element of an overpass running over voivodeship road No. 182. As a result, the first truck of the eighth carriage was blocked on the overpass and the train set was severed at 52.250 km. After the eighth carriage got chocked and stopped, the accumulated energy of the moving set led to the derailing and crushing of another 11 carriages. 7 carriages situated directly behind the locomotive and 10 last carriages (carriages numbered 20–29) were not derailed. As a result of severing the train set, the front of locomotive ET22-408 along with the seven carriages stopped at 52.460 km after covering 210 m. The train set consisted of 29 carriages – coal cars of Ea series loaded with fine coal. Gross weight of the train was 2,271.250 tonnes. Its net weight amounted to 1,679.05 tonnes, and its length was 407 m. _x000D_
At the time of the crash, the train travelled with the speed of ca. 52 km/h, while the permitted maximum speed was 50 km/h. The restriction of the permissible speed to 50 km/h stemmed from poor condition of tracks No. 1 and No. 2 at the section from 50.200 km to 52.600 km and was covered in “Appendix 2 to the internal train time-table including the LIST OF PERMANENT WARNINGS and permissible travelling speeds at the main tracks of the principal junction stations situated on the premises of the Ostrów Wielkopolski Railways, Poznan, Zielona Góra”, valid from 11 March 2018 until 9 June 2018.</t>
  </si>
  <si>
    <t>Wronki</t>
  </si>
  <si>
    <t>CTL Logistics Sp. z o.o.</t>
  </si>
  <si>
    <t>Twisting off of the right axle pin of the second wheelset in the first truck, eighth wagon No. 84515331491-7 of the train set in the direction of travel.</t>
  </si>
  <si>
    <t>Primary causes: _x000D_
1.	Blocking of the rolling bearings of the right axle-box in the second wheelset of the first truck of the eight carriage in the train set in the direction of travel._x000D_
2.	Incorrect execution of the level P5 maintenance (main repairs) of the carriage consisting in using second-hand elements of the bearing, manufactured by different producers in different years._x000D_
_x000D_
Indirect cause:_x000D_
Exceeding the clearance limit values in the bearing inner ring of the inner rolling bearing._x000D_
_x000D_
Systemic causes:_x000D_
1.	Insufficient supervision over the maintenance-related activities by the entity in charge of maintenance (ECM), consisting in failure to establish in the Maintenance Management System (MMS) the procedures imposing an obligation to document the performance of partial (inter-operational) acceptances by a representative of the ordering party (accepting inspector) _x000D_
during the performance of maintenance-related activities at level P4 and P5._x000D_
2.	Lack of description of the accepting inspector’s tasks in the Maintenance Management System (MMS) of freight wagons under the MMS-02 Procedure: Rolling Stock Maintenance Management and in the related processes, as well as under the MMS-03 Procedure: Carrying out maintenance-related activities._x000D_
3.	Failure to impose any requirements related to maintenance at level P4 and P5 on the contractor in the Maintenance Management System (MMS) of freight wagons. _x000D_
4.	Lack of internal regulations specifying i.a. the specific tasks of the accepting inspector representing the Carrier.</t>
  </si>
  <si>
    <t>CZ-5671</t>
  </si>
  <si>
    <t>Level crossing accident, 22-05-18, open line between Kralupy nad Vltavou predmestí and Olovnice railway stops (Czech Republic)</t>
  </si>
  <si>
    <t>Collision of the regional passenger train No. 20323 with a motorcycle at the level crossing.</t>
  </si>
  <si>
    <t>open line between Kralupy nad Vltavou predmestí and Olovnice railway stops</t>
  </si>
  <si>
    <t>Direct cause:_x000D_
• driver's failure to respect the light and acoustic warning and driving across the level crossing at the time when it was forbidden and the visual and acoustic warnings were being given._x000D_
_x000D_
Contributory factor: none.</t>
  </si>
  <si>
    <t>Underlying causes:_x000D_
• driver's failure to respect the light and acoustic warning of the level crossing safety equipment;_x000D_
• driver’s behavior in front of the level crossing, the driver was not careful enough._x000D_
_x000D_
Root cause: none.</t>
  </si>
  <si>
    <t>CZ-5672</t>
  </si>
  <si>
    <t>Level crossing accident, 23-05-18, level crossing No. P5588 between Nová Ves nad LuÅ¾nicí station and Dvory nad LuÅ¾nicí railway stop (Czech Republic)</t>
  </si>
  <si>
    <t>Collision of the regional passenger train No. 8709 with a lorry at level crossing.</t>
  </si>
  <si>
    <t>level crossing No. P5588 between Nová Ves nad LuÅ¾nicí station and Dvory nad LuÅ¾nicí railway stop</t>
  </si>
  <si>
    <t>CZ-5674</t>
  </si>
  <si>
    <t>Train derailment, 23-05-18, open line between Panský operating control point and MikuláÅ¡ovice dolní nádraÅ¾í station (Czech Republic)</t>
  </si>
  <si>
    <t>The derailment of the rail-mounted crane with its rollover and fall from the railway embankment.</t>
  </si>
  <si>
    <t>open line between Panský operating control point and MikuláÅ¡ovice dolní nádraÅ¾í station</t>
  </si>
  <si>
    <t>GJW  Praha spol. s r.o.</t>
  </si>
  <si>
    <t>Direct cause:_x000D_
• more than doubled excess of the permissible load on the track during transport of a bridge structure suspended on a jib of the rail-mounted crane which resulted in the right track level fall and the rail-mounted crane rollover._x000D_
_x000D_
Contributory factor: none.</t>
  </si>
  <si>
    <t>Underlying causes:_x000D_
• failure to comply with the conditions for transport of the bridge structure which were determined in the IM’s Transport Order (URMIZA) by the employees of one of the producer of the construction and RU;_x000D_
• failure to comply with the conditions for transport of the bridge structure which were determined in the Technological Regulation for transport and insertion of the bridge structure by the employees of one of the producer of the construction and RU;_x000D_
• failure to comply with the technological processes of the IM by the supervisor of works on track possession;_x000D_
• failure to comply with the technological processes of the IM and RU by the train driver (the crane operator)._x000D_
_x000D_
Root cause: none.</t>
  </si>
  <si>
    <t>IT-5700</t>
  </si>
  <si>
    <t>Level crossing accident, 23-05-18, Section Rodallo-Caluso, line Chivasso-Aosta, LC km 12+143 (Italy)</t>
  </si>
  <si>
    <t>the regional train 10027, near the semi-barriers LC km 12 + 143 , struck with a truck (tractor and a semi-trailer) crossing the LC</t>
  </si>
  <si>
    <t>Section Rodallo-Caluso, line Chivasso-Aosta, LC km 12+143</t>
  </si>
  <si>
    <t>Presence of the semi trailer within the PL at 12 + 413 km:_x000D_
a.  time period required too short for the crossing manoeuvre of the level crossing by the semi trailer, considering the time between the beginning of the luminous and acoustic signals and the arrival of the train on the PL;_x000D_
b. human error by the road users (drivers and technical escort of transport) to not comply with the regulatory provisions for a safe crossing of the LC (ref. art. 147 "Behaviour at level crossing" - Road Code);_x000D_
c. incorrect assessment by road users, with particular reference to the exact evaluation between the time required to cross the LC and the arrival of the train near the PL</t>
  </si>
  <si>
    <t>Incorrect checking procedure, by the applicant of the authorization for exceptional transport, regarding the feasibility of the requested routes, with particular reference to the railway crossing of the national road n. 26 (PL km 12 + 413)._x000D_
Complexity of the authorization process and lack of a "single" management of the same process or of a coordination of the various competent authorities to issue authorizations for exceptional transport.</t>
  </si>
  <si>
    <t>RO-5677</t>
  </si>
  <si>
    <t>Train derailment, 23-05-18, Valu lui Traian (Romania)</t>
  </si>
  <si>
    <t>The 9th wagon from the freight train no. 80506 derailed in Valu lui Traian railway station</t>
  </si>
  <si>
    <t>Valu lui Traian</t>
  </si>
  <si>
    <t>Cauza directa, factori care au contribuit_x000D_
Deplasarea bandajului pe obada ro?ii nr.1, fapt ce a condus la modificarea ecartamentului osiei montate cu ro?ile 1-2  ?i deraierea acesteia._x000D_
_x000D_
Factorii care au contribuit:_x000D_
-	slabirea bandajului ro?ii nr.1 de la vagonul nr.33536654241-3, datorita scaderii în timp a for?elor de strângere dintre bandaj ?i obada ro?ii ca urmare a solicitarilor aparute de la data montarii bandajului pe obada ro?ii;_x000D_
-	inexisten?a marcajelor cu vopsea de pe bandajul ro?ii, fapt ce a îngreunat detectarea rotirii bandajului pe obada ro?ii;_x000D_
-	executarea reviziei tehnice la compunere în conditii improprii, la o linie pe care exista vegeta?ie abundenta ?i într-o zona în care nu exista sursa de lumina. 
Direct cause _x000D_
The displacement of the tyre of the wheel from the steel wheel centre no.1, it leading to the change of the gauge of the wheelset with the wheels 1-2 and its derailment._x000D_
_x000D_
Contributing factors:_x000D_
-	unfastening of the tyre from the wheel no.1 of the wagon no.33536654241-3, following the decrease, during the time, of the fastening forces between the tyre and the wheel centre, generated by the stresses appeared from the moment of the tyre assembly on the wheel centre;_x000D_
-	lack of paint marks on the tyre of the wheel, it making dificult the detection of the tyre turn on the wheel centre;_x000D_
-	performance of the technical inspection during the composition, in unsuitable conditions, on a line with abundant vegetation and on a track section without any light source</t>
  </si>
  <si>
    <t>Cauze subiacente_x000D_
Nu au fost identificate cauze subiacente._x000D_
_x000D_
_x000D_
Cauza primara_x000D_
Lipsa unei trasabilita?i a verificarilor facute la osiile montate ale materialului rulant, cu ocazia repara?iilor accidentale, determinate de lipsa unor înregistrari privind starea osiilor montate._x000D_
Cauze subiacente_x000D_
Nu au fost identificate cauze subiacente._x000D_
_x000D_
_x000D_
Cauza primara_x000D_
Lipsa unei trasabilita?i a verificarilor facute la osiile montate ale materialului rulant, cu ocazia repara?iilor accidentale, determinate de lipsa unor înregistrari privind starea osiilor montate._x000D_
Cauze subiacente_x000D_
Nu au fost identificate cauze subiacente._x000D_
_x000D_
_x000D_
Cauza primara_x000D_
Lipsa unei trasabilita?i a verificarilor facute la osiile montate ale materialului rulant, cu ocazia repara?iilor accidentale, determinate de lipsa unor înregistrari privind starea osiilor montate. 
Underlying causes_x000D_
None._x000D_
_x000D_
Root cause_x000D_
Lack of tracking of the inspections performed at the wheelsets of the rolling stock, during the accidental repairs, generated by the lack of some records about the wheelsets condition.</t>
  </si>
  <si>
    <t>HU-5673</t>
  </si>
  <si>
    <t>Train derailment, 24-05-18, Orczy tér (Hungary)</t>
  </si>
  <si>
    <t>The tram has derailed with 2 axles.</t>
  </si>
  <si>
    <t>Orczy tér</t>
  </si>
  <si>
    <t>Ballast above the track.</t>
  </si>
  <si>
    <t>RO-5680</t>
  </si>
  <si>
    <t>Runaway, 24-05-18, Predeal - Busteni (Romania)</t>
  </si>
  <si>
    <t>a group of 9 wagons shunted with the locomotive to compose a freight train  in Predeal railway station ran away in open line in the direction of Azuga railway station</t>
  </si>
  <si>
    <t>Predeal - Busteni</t>
  </si>
  <si>
    <t>Cauza directa a producerii incidentului o constituie neasigurarea procentului de frânare necesar pentru efectuarea manevrei în sta?ia CFR Predeal în condi?iile în care robinetele frontale de aer dintre locomotiva ?i primul vagon au fost în pozi?ia ”închis”._x000D_
_x000D_
_x000D_
_x000D_
_x000D_
Factorii care au contribuit _x000D_
-	neverificarea pozi?iei robinetelor frontale de aer;_x000D_
-	neefectuarea probei complete a frânei dupa cuplarea locomotivei EA 386 la grupul vagoanelor aflate la linia nr.2;_x000D_
-	starea de oboseala a personalului din partida de manevra. 
Direct cause of the incident is the non-ensuring of the braked weight percentage necessary for the shunting in the railway station Predeal considering that the angle cocks between the locomotive and the first wagon were on ”closed” position._x000D_
Contributing factors _x000D_
-	failure to check the position of the angle cocks;_x000D_
-	failure to perform the full brake test after coupling the locomotive EA 386 with the set of wagons from the line no.2;_x000D_
-	fatigue condition of the staff from the shunting crew.</t>
  </si>
  <si>
    <t>Cauze subiacente _x000D_
-	nerespectarea prevederilor art.47. - (6) din Regulamentul de remorcare ?i frânare nr.006/2005 aprobat prin Ordinul MTCT nr.1815/2005, în sensul ca agentul autorizat al OTF nu deschis robinetele frontale de aer dintre locomotiva EA 386 ?i primul vehicul feroviar remorcat;_x000D_
-	nerespectarea prevederilor art.40. - (6) din Regulamentul de remorcare ?i frânare nr.006/2005 aprobat prin Ordinul MTCT nr.1815/2005, în sensul ca mecanicul de locomotiva nu a verificat daca tuburile de aer sunt cuplate etan? ?i robinetele frontale de aer deschise;_x000D_
-	nerespectarea prevederilor pct.4 din Fi?a nr.18 din PTE-ul sta?iei CFR Predeal în sensul ca manevra s-a efectuat fara introducerea în aer a întregului grup de vagoane ?i fara efectuarea probei complete de frâna;_x000D_
-	nerespectarea prevederilor TITLULUI III - Timpul de munca ?i timpul de odihna din Legea 53/2003 – Codul Muncii cu modificarile ?i completarile ulterioare în sensul ca nu a fost respectata durata normala a timpului de munca ?i respectiv a repausului zilnic._x000D_
Cauze primare_x000D_
Absen?a din cadrul Procedurii Opera?ionale ”Pentru comandarea, asigurarea, urmarirea personalului de tren ?i monitorizarea respectarii normelor aprobate cu OMT 256/29.03.2013, privind serviciul maxim admis pe locomotiva, efectuat de personalul UNICOM TRANZIT care conduce ?i/sau deserve?te trenurile în sistemul feroviar din România” cod POSF – 37 Revizia 1 intrata în vigoare la data de 01.04.2017 valabila la data producerii incidentului a unor prevederi concrete care sa asigure urmarirea eficienta a presta?iei personalului partidelor de tren pentru încadrarea acestora în durata normala a timpului de munca ?i respectiv a repausului zilnic. 
Underlying causes _x000D_
-	violation of the provisions from art.47. - (6) of the Regulations for hauling and braking no.006/2005, approved through the Order of Minister of Transports, Constructions and Tourism no.1815/2005, that is the authorized agent of the railway undertaking did not open the angle cocks between the locomotive EA 386 and the first hauled vehicle;_x000D_
-	violation of the provisions of art.40. - (6) of the Regulations for hauling and braking no.006/2005, approved through the Order of Minister of Transports, Constructions and Tourism no.1815/2005,that is the driver did not check if the air pipes were tightly coupled and the angle cock open;_x000D_
-	violation of the provisions from the point.4 of the Sheet no.18 from the Operation Technical Plan – PTE of the railway station Predeal, that is the shunting was carried without filing with air the whole set of wagons and without carrying the full brake test;_x000D_
-	violation of the provisions of TITLE III – The working and rest time from the Law 53/2003 – Labour Code with further amendments, that the normal working time  and the daily rest were not met with._x000D_
Root causes_x000D_
Missing from the Operational Procedure ”For the appointment, ensuring and tracking of the train crew and monitoring of the compliance with the norms approved through the Order of Minister of Transports OMT 256/29.03.2013, concerning the maximum duty accepted for the locomotive, for the train crew of UNICOM TRANZIT in Romanian railway system” code POSF – 37 Revision 1, in force from the 1st April 2017,  valid when the incident happened, of some real provisions that ensure the effective tracking of the train crew activity, so these meet with the normal working time and the daily rest.</t>
  </si>
  <si>
    <t>DE-5713</t>
  </si>
  <si>
    <t>Level crossing accident, 22-05-18, Reiskirchen â€“ Großen Buseck (Germany)</t>
  </si>
  <si>
    <t>Am 22.5.18 um 8:30 Uhr befährt der Zug 24796 das Gleis von Reiskirchen nach Großen-Buseck und kollidiert am Bahnübergang in km 11,138 mit dem dort befindlichen LKW. 
On 22.5.18 at 8:30, the train 24796 drove on the rail track from Reiskirchen to Großen-Buseck and collided at level crossing at km 11,138 with a truck which was there.</t>
  </si>
  <si>
    <t>Reiskirchen â€“ Großen Buseck</t>
  </si>
  <si>
    <t>HLB Hessenbahn GmbH</t>
  </si>
  <si>
    <t>Ursächlich für das Ereignis war das Fehlverhalten des Lkw-Fahrers. Er kam mit seinem Lkw wegen eines Rückstaus auf dem BÜ zum Stehen. Gemäß § 19 Abs. 3 Straßenverkehrs-Ordnung (StVO) ist vor dem Andreaskreuz zu warten, wenn der BÜ wegen des Straßenverkehrs nicht zügig und ohne Aufenthalt überquert werden kann. 
The incident was caused by an error of the truck driver. He stopped with his truck at the level crossing due to a traffic backlog. In accordance with article 19(3) of the German road traffic regulations (StVO), vehicles should stop at the ‘’Andreaskreuz’’, because of the road traffic it is not possible to get over the level crossing without any delay and without stopping.</t>
  </si>
  <si>
    <t>CZ-5676</t>
  </si>
  <si>
    <t>Spad, 27-05-18, Praha-VrÅ¡ovice station (Czech Republic)</t>
  </si>
  <si>
    <t>The unauthorized movement of the shunting operation behind the departure signal device L1 at the railway station Praha-Vršovice classification yard and its entery into train route of the train set No. 29977.</t>
  </si>
  <si>
    <t>Praha-VrÅ¡ovice station</t>
  </si>
  <si>
    <t>Shunting operation; 
Commuter train</t>
  </si>
  <si>
    <t>Direct cause:_x000D_
• failure to respect the signal "Stop" of the main (departure) signal device L1 at the railway station Praha-Vršovice classification yard, a departure station, by the shifter in front of the sliding shunting part.</t>
  </si>
  <si>
    <t>Underlying cause:_x000D_
• the shifter in front of the sliding shunting part issued an instruction to initiate a shunting operation, after his previous incorrect assumption of a light signal which was invalid by its meaning for shunting and which was given by a static variable signal which was invalid for a track where the shunting part was standing._x000D_
_x000D_
Root cause: none.</t>
  </si>
  <si>
    <t>CZ-5675</t>
  </si>
  <si>
    <t>Spad, 28-05-18, Ústí nad Labem hl. n. station (Czech Republic)</t>
  </si>
  <si>
    <t>Unauthorized movement of the freight train No. 43333 behind the main (route) signal device Sc1 with the consequent movement into the train route of the regional passenger train No. 6905.</t>
  </si>
  <si>
    <t>Ústí nad Labem hl. n. station</t>
  </si>
  <si>
    <t>METRANS; 
Ceské dráhy</t>
  </si>
  <si>
    <t>Direct cause:_x000D_
• the train driver's of the freight train No. 43333 operational error (he did not respect the signal „Stop” of the main route signal Sc1 at Ústí nad Labem hlavní nádraží station)._x000D_
_x000D_
Contributory factor:_x000D_
• an absence of the technical equipment which prevents a train from passing a signal in case of danger.</t>
  </si>
  <si>
    <t>Underlying cause:_x000D_
• a mistake of the train driver of the freight train No. 43333 who mistook the signal at the main (route) signal device Sc3 which was not for the track line No. 1 for the signal at the main (route) signal device Sc1._x000D_
_x000D_
Root cause: none.</t>
  </si>
  <si>
    <t>HU-5691</t>
  </si>
  <si>
    <t>Trains collision near miss, 29-05-18, Gyál (Hungary)</t>
  </si>
  <si>
    <t>Passanger train Nr. 2923 moved on same rails in the direction of  passanger train Nr. 2936. 
A 2923 sz. vonat ugyanazon a vágányon szembe közlekedett a 2936 sz. vonattal.</t>
  </si>
  <si>
    <t>Gyál</t>
  </si>
  <si>
    <t>a)	Gyál állomás forgalmi szolgálattevoje az elozetes egyeztetés ellenére Pestszentimre állomás irányába elküldte a 2923 sz. vonatot. 
(a) despite the prior agreement, the traffic manager at Gyál station sent train number 2923 to Pestszentimre station.</t>
  </si>
  <si>
    <t>b)	Az eseményt megelozo idoszakban a 142 sz. vasútvonalon biztosítóberendezési problémák miatt a vonatközlekedés menetrendszeruségében zavarok keletkeztek. _x000D_
c)	A forgalmi vonalirányító nem vette át a kezdeményezést a vonatok találkozási pontjának kijelölésére vonatkozóan, így a vonatkeresztezések a forgalmi szolgálattevok egyeztetésének alapján lettek lebonyolítva._x000D_
d)	A vonalon gyakran eloforduló vonatkéséseket az utasok nem tolerálják, és az elégedetlenségük okozta indulatukat gyakran a helyszínen lévo vasutason, a forgalmi szolgálattevon vezetik le. A gyáli forgalmi szolgálattevo elmondása szerint ebben az esetben is történt hasonló jelenet, ami nagymértékben emeli az érintett stressz szintjét, rontva ezzel koncentrációját. 
(b) During the period prior to the event, problems with securing equipment on railway line No 142 caused disturbances in the scheduling of train movements. _x000D_
(c) The traffic manager did not take over the initiative to designate the train meeting point, so the train crossings were carried out on the basis of a consultation of the operators. _x000D_
(d) frequent train delays on the line are not tolerated by passengers and their dissatisfaction is often carried by the on-site railway operator. According to the traffic service provider in Gyál, a similar scene occurred in this case, which greatly increases the level of stress involved, thus reducing its concentration.</t>
  </si>
  <si>
    <t>NO-5697</t>
  </si>
  <si>
    <t>Fire in RS, 29-05-18, Oslo s (Norway)</t>
  </si>
  <si>
    <t>At 08.55 on Tuesday 29 May 2018, an explosion and subsequent fire occurred in the locomotive of train 5301 at the main entry signal to Oslo Central Station._x000D_
_x000D_
The train was en route from Alnabru to Drammen and consisted of locomotive El14 and four empty car transporter wagons. The train was stationary and waiting for clearance to enter Oslo Central Station when the fire started._x000D_
No one was injured in this incident, but the locomotive sustained significant damage. The affected line section was closed for some hours until the fire had been extinguished and the rolling stock moved. 
Tirsdag 29. mai 2018 kl. 0855 oppstod en eksplosjon med påfølgende brann i lokomotivet til tog 5301 ved Oslo s.  _x000D_
_x000D_
Toget var på vei fra Alnabru til Drammen, og bestod av lokomotiv El14 og fire tomme bilvogner.  Det sto stille og ventet på kjøretillatelse inn til Oslo S da brannen startet._x000D_
Ingen personer ble skadet i hendelsen, men det oppsto betydelige skader på lokomotivet. Strekningen ble stengt i noen timer inntil slukkearbeidet var ferdig og_x000D_
materiellet flyttet.</t>
  </si>
  <si>
    <t>Oslo s</t>
  </si>
  <si>
    <t>Creep currents may have occurred, the coupling between steps in the voltage regulator may have occurred without the current having been delimited in the coupling furnace flash, or the arm may have been standing between steps so that the observed burns have occurred.</t>
  </si>
  <si>
    <t>HU-5709</t>
  </si>
  <si>
    <t>Train derailment, 30-05-18, Hegyeshalom (Hungary)</t>
  </si>
  <si>
    <t>Az egyenetlen fékhatásnak köszönhetoen a vonat elejében lévo jármuvek hamarabb befékeztek, mint a hátrébb besorozott jármuvek, ezért a vonat elejére besorozott ketto kéttengelyes könnyu kocsira rátorlódtak a mögöttük elhelyezkedo, nehezebb, négytengelyes kocsik. 
Thanks to the uneven braking effect, the vehicles at the front of the train braked faster than the vehicles conscripted at the back, so the two light wagons with two axles enlisted at the front of the train were pushed into the heavier four-axle Cars.</t>
  </si>
  <si>
    <t>DE-5860</t>
  </si>
  <si>
    <t>Trains collision with an obstacle, 01-06-18, Bitburg-Erdorf - Kyllburg (Germany)</t>
  </si>
  <si>
    <t>Am 01.06.2018 gegen 05:13 Uhr entgleiste der Zug RB‐G 11301 auf der Strecke 2631 zwischen den Bahnhöfen (Bf) Kyllburg und Bitburg‐Erdorf nach der Kollision mit einem Murgang am Südportal des Wilsecker Tunnels in km 128,267.</t>
  </si>
  <si>
    <t>Bf Bitburg‐Erdorf – Bf Kyllburg</t>
  </si>
  <si>
    <t>Der Verbrennungstriebwagen (VT) entgleiste mit vier Achsen und wurde stark beschädigt. Erhebliche Sachschäden entstanden auch an der Infrastruktur und den angrenzenden Hangabschnitten.</t>
  </si>
  <si>
    <t>Ursächlich für die Zugkollision war ein Murgang, der in Folge eines Unwetters mit zum Teil sehr starkem Niederschlag entstand und das Gleisbett am Südportal des Wilsecker Tunnels während der Nachtbetriebsruhe mit Erd‐ und Geröllmassen bedeckte.</t>
  </si>
  <si>
    <t>HR-5686</t>
  </si>
  <si>
    <t>Unauthorised train movement other than SPAD, 02-06-18, Kutina teretni park (Croatia)</t>
  </si>
  <si>
    <t>At the train station Kutina, on June 02, 2018, at 13:56, departure of train 69327 from the railway station, for which no exit from the Kutina car park was set up. 
U kolodvoru Kutina teretni park dana 02. lipnja 2018. godine u 13:56 sati došlo je do odlaska vlaka 69327 iz kolodvora, a za koji nije bio postavljen izlaz iz kolodvora Kutina teretni park.</t>
  </si>
  <si>
    <t>Kutina teretni park</t>
  </si>
  <si>
    <t>neovlašteni odlazak lokomotivskog vlaka broj 69327 iz kolodvora Kutina TP (poglavlje 4.1.). 
S.P.A.D. of train 69327 from the Kutina TP station (chapter 4.1.).</t>
  </si>
  <si>
    <t>-	Zvukovi u upravljacnici lokomotive vlaka 69327 uslijed rada ventilatora (poglavlje 3.1.),_x000D_
-	Buka uslijed rada proizvodnih pogona tvrtke Petrokemija d.d. (poglavlje 4.2.6.),_x000D_
-	Smanjena vidljivost podrucja oko skretnica uslijed ostavljene kemijski tretirane vegetacije (poglavlje 4.2.6.), _x000D_
-	Postupci strojovode lokomotivskog vlaka broj 69327 nisu bili ispravni obzirom na propisane radne postupke (poglavlja 4.2.1. i 4.2.4.)._x000D_
-	Grupni izlazni signal CT 6-9 pokriva sa svjetlosnim signalima vozne putove izlaza sa  6, 7, 8 i 9 kolosijeka (poglavlja 4.2.3.), _x000D_
-	Ukljuceni prijevoznik društvo HŽ Cargo d.o.o. unutar usvojenog Plana i programa redovitog poucavanja strojovoda posvecuje vrlo malu pozornost na sadržaje vezane za poslovne specificnosti u okviru tehnološkog procesa rada po pojedinim kolodvorima ili pružnim dionicama (poglavlje 4.2.5.). 
-	Sounds in the train locomotive cabin 69327 due to fan operation (chapter 3.1),_x000D_
-	Noise due to operation of production plants Petrokemija ltd. (chapter 4.2.6.),_x000D_
-	Reduced visibility of the area around the crossings due to the leaves of the chemically treated vegetation (chapter 4.2.6),_x000D_
-	The procedures of locomotive train driver number 69327 were not correct due to the prescribed working procedures (chapters 4.2.1 and 4.2.4)._x000D_
-	The group output signal CT 6-9 covers the light signals of the driving paths with 6, 7, 8 and 9 tracks (chapters 4.2.3)_x000D_
-	Railway undertaker company HŽ Cargo in the Plan and regular teaching program, the caretaker pays very little attention to the content related to business specificities within the technological process of operation at individual stations or stretch sections (Chapter 4.2.5).</t>
  </si>
  <si>
    <t>CZ-5684</t>
  </si>
  <si>
    <t>Level crossing accident, 04-06-18, active level crossing No. P448 between Chrást u Plzne station and Stupno control point (Czech Republic)</t>
  </si>
  <si>
    <t>Collision of the regional passenger train No. 17803 with the car at the level crossing.</t>
  </si>
  <si>
    <t>active level crossing No. P448 between Chrást u Plzne station and Stupno control point</t>
  </si>
  <si>
    <t>HU-5701</t>
  </si>
  <si>
    <t>Train derailment, 05-06-18, Budapest, Újbuda központ vá. (Hungary)</t>
  </si>
  <si>
    <t>The tram derailed on a switch.</t>
  </si>
  <si>
    <t>Budapest, Újbuda központ vá.</t>
  </si>
  <si>
    <t>a)	A villamos kisiklását a K 1032 sz. váltó rövid vonórúdjának áthaladás közbeni hirtelen törése okozta,_x000D_
b)	a vonórúd törése következtében a váltó csúcssín rögzítése megszunt,_x000D_
c)	a villamos kihaladása közben a második és harmadik forgóváz között, a rezgések hatására a már rögzítetlen csúcssín a tosíntol eltávolodott, megnyílt, így a villamos harmadik forgóváza a korábbiakkal ellentétben egyenes irányba haladt, a jármu megfeszült és kisiklott. 
(a) The derailment of the tram is governed by Decree No K 1032 due to a sudden break in the short drawbar of the changer during transit,_x000D_
(b) the locking of the change - peak rail is stopped as a result of the breaking of the drawbar,_x000D_
(c) during the passage of the electric tram between the second and third bogies, the vibrations made it possible to move the unfixed peak rail away from the capital rail and to open it, so that the third bogie of the tram, unlike the previous ones, moved in a straight direction, the vehicle tightened and slipped.</t>
  </si>
  <si>
    <t>d)	A váltóellenorzés során a mechanikai alkatrészeket szemrevételezéssel ellenorzik, ez a vizsgálat azonban nem alkalmas a vonórúdban megindult fáradásos törési folyamat feltárására. _x000D_
e)	A vonórúd ellenorzésére vonatkozó más technológiai eloírás nincs._x000D_
f)	A megindult fáradásos törés az alkalmazott vizsgálati módszerekkel nem tárható fel, csak az alkatrész megfelelo idoközönkénti cseréjével, esetleg kiszerelést követo repedésvizsgálattal elozheto meg. 
(d) During the interchange check, the mechanical components are visually inspected, but this test is not suitable for detecting the fatigue break process in the drawbar. _x000D_
(e) There are no other technical requirements for the control of the drawbar._x000D_
(f) The beginning of the fatigue break cannot be detected by the test methods used, but only by replacement of the component at appropriate intervals or by a cracking test after packing.</t>
  </si>
  <si>
    <t>PT-5681</t>
  </si>
  <si>
    <t>Accident to persons caused by RS in motion, 05-06-18, Lisboa - Santa Apolónia (Portugal)</t>
  </si>
  <si>
    <t>Worker was struck by maneuvering train. 
Colhida de trabalhador por comboio em manobras.</t>
  </si>
  <si>
    <t>Lisboa - Santa Apolónia</t>
  </si>
  <si>
    <t>The presence of the worker on the track, walking with his back to the railway vehicle during its approach._x000D_
The causal factors related to the accident were:_x000D_
- The guard was not aware of the approaching railway vehicle;_x000D_
- The guard did not consider the risk of walking on the railway, aggravated by the fact that he was walking with his back turned to the manoeuvring vehicle;_x000D_
- The driver was not able to see the guard from his driving position;_x000D_
- The manoeuvre of the d.m.u. was not performed under the conditions ruled for complex manoeuvres, nor was it converted into a simple manoeuvre by changing driving cabs._x000D_
The contributing factors that increased the likelihood of the accident or the severity of its consequences were as follows:_x000D_
- The location of the two checkpoints, that forced the crossing of the lines by the worker;_x000D_
- The lack of a predefined path for circulation between the two points;_x000D_
- The guard was not wearing his high-visibility vest.</t>
  </si>
  <si>
    <t>As underlying causes, ie factors related to the competencies of the actors and procedures, the investigation determined:_x000D_
- The guard had not received specific safety training for work in the railway environment from the service provider;_x000D_
- The existence of a common routine transgression in the manoeuvre performed by the d.m.u.._x000D_
As root causes, ie factors related to safety management system (SMS), organizational procedures or regulatory framework, the investigation determined that:_x000D_
- The railway undertaking's SMS related to the control of service providers did not identify the gaps in the service provider's risk management in relation to the location of the guard’s checkpoints and the absence of specific training for them in relation to safety in the railway environment;_x000D_
- The railway company's SMS regarding compliance control at management level has not identified the common routine breach in the performing of such manoeuvres.</t>
  </si>
  <si>
    <t>RO-5682</t>
  </si>
  <si>
    <t>Fire in RS, 05-06-18, Bartolomeu - Cristian (Romania)</t>
  </si>
  <si>
    <t>the DMU no.289 that consisted the passenger train no.16331 caught fire</t>
  </si>
  <si>
    <t>Bartolomeu - Cristian</t>
  </si>
  <si>
    <t>Cauza directa_x000D_
Având în vedere ca în cursul investiga?iei, zona cea mai afectata de incendiu a fost identificata în zona filtrului epurator ?i în partea superioara a motorului Diesel (capac chiulasa), comisia de investigare considera drept cauza probabila a accidentului, aprinderea reziduurilor petroliere provenite de la filtrul epurator ?i furtunul de legatura cu carterul motorului, urmare încalzirii elementelor componente ale motorului în timpul func?ionarii acestuia.  _x000D_
Factorul care a putut contribuit la producerea accidentului a fost prezen?a reziduurilor de natura petroliera în zona filtrului epurator ?i zona superioara a motorului Diesel. 
Direct cause_x000D_
Taking into account that during the investigation, the most affected areas by the fire were the oil catch can and the upper part of Diesel engine (valve cover), the investigation commission considers like probable cause of the accident the ignition of the oil deposits resulting from the oil catch can and the hose for the joint with the engine block, following the heating of the engine parts during its operation.  _x000D_
The factor that could contribute at the accident occurrence was the presence of the oil deposits at the purging filter and the upper part of the Diesel engine.</t>
  </si>
  <si>
    <t>Nu au fost identificate cauze subiacente ale producerii acestui accident._x000D_
_x000D_
Cauzele primare ale producerii accidentului au fost:_x000D_
-	absen?a din Specifica?ia tehnica cod ST 1.019/2011 a unor prevederi referitoare la efectuarea respectiv la men?inerea starii de cura?enie a motorului Diesel ?i a echipamentelor auxiliare ale acestuia;_x000D_
-	efectuarea de catre operatorul feroviar implicat în accident, a ac?iunii de control a riscurilor cu deficien?e, în sensul ca nu au fost identificate toate pericolele ce puteau fi rezonabil identificate (apari?ia unui incendiu cauzat unei stari de cura?enie necorespunzatoare), iar pentru cele identificate cu consecin?a producerii unui incendiu, masura de siguran?a pentru ?inerea sub control a riscului respectiv, nu a fost verificata corespunzator, din punct de vedere al eficien?ei acesteia. 
No undelying cause was identified._x000D_
_x000D_
C.7.3. Root causes_x000D_
Root causes of the accident:_x000D_
-	lack in the Technical specification code ST 1.019/2011 of some provisions for the performance and the maintenance of the Diesel engine cleaning and of its auxiliary parts;_x000D_
-	performance by the railway undertaking involved in the accident of risks and  deficiency control, that is it did not identify all the dangers that could be reasonably identified (triggering of a fire caused by the unsuitable cleaning), and for those identified that could have led to a fire, the safety measure for keeping under control the respective risk was not properly controlled, in terms of effectiveness</t>
  </si>
  <si>
    <t>RO-5683</t>
  </si>
  <si>
    <t>Train derailment, 06-06-18, Dej Triaj (Romania)</t>
  </si>
  <si>
    <t>the 29th wagon from the freight train no.41722 derailed in the railway station Dej Triaj</t>
  </si>
  <si>
    <t>Cauza directa_x000D_
Cauza directa a producerii acestui accident o constituie escaladarea flancului activ al ciupercii ?inei care formeaza cu contraacul drept, prima joanta a schimbatorului de cale nr.21A, de catre roata din partea stânga a primei osii de la ultimul boghiu în sensul de mers, a vagonuluinr.31533555642-1. Escaladarea a fost posibila, din cauza existen?ei la joanta izolanta, a unui prag lateral pe flancul activ al ciupercii ?inei ?i a unor defecte la vagon._x000D_
Factorii care au contribuit:_x000D_
?	între?inerea necorespunzatoare a joantei izolante nelipite de la prima joanta a schimbatorului de cale nr.21A, în cuprinsul careia s-au constatat, traverse neburate (lasaturi oarbe), prindere incompleta, eclisa de lignofoliu rupta. Aceasta stare a condus la formarea unui prag lateral pe flancul activ al ciupercii ?inei ?i a unui prag vertical._x000D_
?	men?inerea în exploatare, în zona producerii deraierii, a unor traverse de lemn a caror stare tehnica impunea înlocuirea acestora;_x000D_
?	deficien?e la pietrele de frecare ?i garnitura de poliamida de la boghiul corespunzator ro?ilor nr.5÷8 (al 2-lea în sensul de mers al trenului), de la vagonul nr.31533555642-1;_x000D_
?	lipsa suportului ?i a pietrei de frecare inferioare de pe partea dreapta a primului boghiu al vagonului nr.31533555642-1. 
Direct cause_x000D_
The direct cause of the accident is the climbing of the active shoulder of the rail head, that makes together the right stock rail, the first joint of the switch no.21A, by the left wheel of the first axle from the first bogie of the wagon no. 31533555642-1, in the running direction. The climbing happened following the existence at the insulated joint of a lateral shoulder on the active shoulder of the rail head and following some failures at the wagon_x000D_
_x000D_
Contributing factors:_x000D_
?	unsuitable maintenance of the not-gluded insulated joint from from the first joint of the switch no.21A, where one found out non-packed sleepers (gaps under the base of the sleepers),  partial fastening, lingnofolium fish of plate broken. This condition led to the appearance of the lateral shoulder on the active shoulder of the rail head and of a vertical shoulder._x000D_
?	keeping in operation, at the derailment site, of some wooden sleepers whose technical condition imposes their replacement;_x000D_
?	deficiencies at the friction blocks and the polyamide lining from the bogie corresponding to the wheels no.5÷8 (the second in the running direction of the train), of the wagon no.31533555642-1;_x000D_
?	missing of the support and of the low friction block on the right side of the bogie from the wagon no.31533555642-1.</t>
  </si>
  <si>
    <t>Cauze subiacente_x000D_
1.	Nerespectarea prevederilor din „Instruc?ia de norme ?i toleran?e pentru construc?ia ?i între?inerea caii pentru linii cu ecartament normal nr.314/1989” dupa cum urmeaza:_x000D_
?	art.25, alin.(2) ?i alin.(4), referitoare la defectele care impun înlocuirea traverselor de lemn ?i la neadmiterea men?inerii traverselor necorespunzatoare în cuprinsul aparatelor de cale;_x000D_
?	art.21, alin.(5) ?i alin.(7), referitoare la diferen?a de nivel a suprafe?elor de rulare a ?inelor alaturate ?i la pragul lateral la joanta, pe suprafa?a activa a ?inei._x000D_
?	art.15, alin.(17), referitoare la lasaturile oarbe în cuprinsul aparatelor de cale;_x000D_
?	art.15, alin.(8) ?i alin.(16), referitoare la modul de alcatuire a prismei de balast în cuprinsul unui schimbator de cale ?i eliminarea apei din cuprinsul aparatelor de cale._x000D_
2.	Nerespectarea prevederilor Ordinului MTI nr.815/2010 din 12 octombrie 2010 pentru aprobarea Normelor privind implementarea ?i dezvoltarea sistemului de men?inere a competen?elor profesionale pentru personalul cu responsabilita?i în siguran?a circula?iei ?i pentru alte categorii de personal care desfa?oara activita?i specifice în opera?iunile de transport pe caile ferate din România, referitoare la utilizarea în activitatea de revizie tehnica a caii, conducerea echipei de muncitori ?i a districtului de linii, a personalului autorizat (?colarizat, având certificate cu aptitudini medicale ?i psihologice) pentru aceasta activitate;_x000D_
3.	Nerespectarea prevederilor din „Instruc?ia 305 privind fixarea termenelor ?i a ordinei în care trebuie efectuate reviziile caii” edi?ia 1997, fi?a nr.3, art.2; fi?a nr.4, art.3; fi?a nr.12, art.2; referitoare la termenele la care se masoara aparatele de cale cu consemnarea valorilor masurate în carnetul de revizie al aparatelor de cale._x000D_
4.	Nerespectarea prevederilor art.43, din Cap.IV „Manopera ?i consumul de materiale la lucrarile de între?inere a suprastructurii caii ferate”, al „Instruc?iei de între?inere a liniilor ferate nr.300” referitoare la asigurarea normei de manopera si a bazei materiale la între?inerea curenta în execu?ie manuala._x000D_
5.	Nerespectarea prevederilor din Tabelul 6 – Defecte ?i uzuri la ?asiu ?i boghiuri/Mod de tratare din Instruc?iuni privind revizia tehnica ?i între?inerea vagoanelor în exploatare nr.250/2005 referitoare la scoaterea din circula?ie a unui vagon cu defecte la supor?ii pietrelor de frecare sau la pietrele de frecare._x000D_
_x000D_
Cauze primare_x000D_
1.	Neaplicarea tuturor prevederilor din procedurile opera?ionale cod PO SMS 0-4.07 „Respectarea specifica?iilor tehnice, standardelor ?i cerin?elor relevante pe întreg ciclul de via?a a liniilor în procesul de între?inere”(inclusiv a anexelor), parte a sistemului de management al siguran?ei administratorului de infrastructura feroviara publica CNCF „CFR” SA, referitoare la:_x000D_
?	coordonarea activita?ilor de între?inere ?i repara?ii periodice a liniilor de cale ferata;_x000D_
?	asigurarea bazei materiale ?i a for?ei de munca necesare executarii lucrarilor de între?inere periodica ?i repara?ie curenta._x000D_
2.	Neidentificarea ca pericol ?i ne?inerea sub control a riscurilor legate de  men?inerea în exploatare a traverselor necorespunzatoare, a ecliselor de lignofoliu rupte la joante, a lasaturilor oarbe, în cuprinsul aparatelor de cale._x000D_
3.	neaplicarea unor masuri suficiente de control al riscurilor, în cadrul carora ar fi trebuit sa se efectueze activita?i de identificarea pericolului produs de pragul lateral ?i/sau vertical la joanta, a riscurilor asociate  ?i a masurilor de siguran?a aferente._x000D_
4.	Neefectuarea  de catre administratorul de infrastructura, a unor activita?i eficace de înva?are, ca urmare a producerii unui accident sau incident, respectiv de concepere ?i de aplicare a unor masuri corective sau preventive adecvate; _x000D_
5.	Neefectuarea de catre administratorul de infrastructura, a tuturor activita?ilor din cadrul procesului de monitorizare, reglementate de catre REGULAMENTUL  (UE ) nr.1078/2012._x000D_
6.	Lipsa din Dispozi?ia nr.235/2016 (nominalizata de catre CNCF „CFR” SA sa îndeplineasca cerin?a Q3 din Anexa II la Regulamentul UE nr.1169/2010) a  unor prevederi coerente privind modul în care se practica înva?area, precum ?i modul în care trebuie concepute ?i aplicate masuri corective sau preventive, ca urmare a producerii unui accident sau incident;_x000D_
7.	Lipsa din Procedura Cod PO SMS 0-4.1.3 (nominalizata de catre CNCF „CFR” SA sa îndeplineasca cerin?a A3 din Anexa II la Regulamentul UE nr.1169/2010)  a  unor prevederi coerente privind modul în care trebuie practicata monitorizarea eficacita?ii masurilor de control al riscurilor;_x000D_
8.	Lipsa, la nivelul operatorului de transport feroviar SNTFM „CFR Marfa” SA, a unor proceduri/reglementari care sa stabileasca competen?ele necesare personalului implicat în activitatea de verificare a condi?iilor tehnice la introducerea/scoaterea vagoanelor în/din trenurile în tranzit ?i modul de efectuare a acestei activita?i. 
Underlying causes_x000D_
1.	Violation of the provisions from „Instruction of norms and tolerances for the track construction and maintenance for lines with standard gauge no.314/1989” as follows:_x000D_
?	art.25, paragraphs (2) and (4), concerning the failures that impose the replacement of the wooden sleepers and the non-acceptace of unsuitable sleepers within the switches;_x000D_
?	art.21, paragraphs (5) and (7), concerning the level difference at the running surfaces of the joined rails and the lateral shoulders at the joints, on the active surface of the rail;_x000D_
?	art.15, paragraph (17), concerning the gaps under the sleeper base existing within the switches;_x000D_
?	art.15, paragraphs (8) and (16), concerning the composition of the track bed within the switch  and the removal of the water from their content._x000D_
2.	violation of the provisions of the Minister of Transports’ Order no.815/2010 from the 12th October 2010 for the approval of the Norms for the implementation and development of the system for keeping the profesional competences of the staff with responsibilities in the traffic safety and for other staff categories carrying out specific activities in Romanian railway transports,  concerning the use in  the technical inspection of the track, the management of the worker gang and of the management of the line district, of authorized staff (trained, getting certificates of medical and psychological aptitudes) for this activity;_x000D_
3.	violation of the provisions from „Instruction 305 for the establishment of the terms and order of the track inspections” edition 1997, sheet no.3, art.2; sheet no.4, art.3; sheet no.12, art.2; concerning the terms for the measurement of the switches with the recording of the measured values in the switch inspection book._x000D_
4.	violation of the provisions  from art.43, Cap.IV „Manpower and material consumption for the track maintenance”, of „Instruction for line maintenance no.300” concerning the assurance of the norm of manpower and material basis for the current hand maintenance._x000D_
5.	violation of the provisions from Table 6 – Failures and wears at the chassis and bogies/Handling way from Instructions for the technical inspection and the maintenance of the wagons in operation no.250/2005 concerning the withrawal from traffic of a wagon with failures at the supports of the friction blocks or at the friction blocks._x000D_
_x000D_
C.7.3. Root causes_x000D_
1.	non-application of all provisions of the Operational Procedure code: PO SMS 0-4.07 „Compliance with the technical specifications, standards and requirements relevant for the whole life cycle of the lines in the maintenance process” (including the annexes), part of the safety management system of the public railway infrastructure administrator CNCF „CFR” SA concerning:_x000D_
•	coordination of the periodical  maintenance and repairs of the lines;_x000D_
•	 provision with the material basis and working force necessary for the periodical maintenance and current repair._x000D_
2.	non-identification like danger and not-keeping under control of the risks related to the keeping  in operation of unsuitable sleepers, lignofolium fish plates broken, gaps under the base of sleepers, within the switches;_x000D_
3.	non-application of some sufficient measures for the risk control, that should have consisted in the identification of the danger generated by the lateral and/or  vertical shoulder at the joint, of the associate risks and afferent safety measures;_x000D_
4.	Non-performance by the infrastructure administrator of some efficient activities of learning, following the occurrence of an accident or incident, respectively of design and application of some corrective or preventive adequate measures;_x000D_
5.	non-performance by the infrastructure administrator of all activities within the monitoring process, regulated by the REGULATIONS (EU) no. 1078/2012;_x000D_
6.	Missing from the Disposal no. 235/2016 ( assigned by CNCF„CFR” SA to meet with the requirement  Q3 from the Annex II of the Regulations EU no. 1169/2010) of some coherent provisions  on the learning practice, as well as the way to establish and apply corrective or preventive measures, following the occurrence of an accident or incident;_x000D_
7.	missing in the Procedure code PO SMS 0-4.1.3 (assigned by CNCF „CFR” SA to meet with the requirement  A3 from the Annex II of the Regulations EU no. 1169/2010)  of some coherent provisions for the way to run the monitoring of the effectiveness of the measures for the risk control;_x000D_
8.	the railway undertaking SNTFM „CFR Marfa” SA does not get some procedures/regulations that establish the competences necessary for the staff involved in the checking of the technical conditions for the coupling/uncoupling of wagons in/from the trains in transit  and the performance way of these activities.</t>
  </si>
  <si>
    <t>NO-5698</t>
  </si>
  <si>
    <t>Runaway, 07-06-18, Ensjø metro station (Norway)</t>
  </si>
  <si>
    <t>At 16:20 on Thursday 7 June 2018, a mobile elevating work platform (MEWP) collided and derailed on tunnel track 1 between Ensjø and Carl Berners plass. During on-tracking at a gradient of 40‰, the MEWP started to run away, and shortly after the operator jumped off. Nobody was injured in the accident, but it caused major material damage. The MEWP operator had not received adequate instruction in how the brake system worked, and operated the machine in a way that caused the parking brakes to be deactivated during on-tracking. Examination of the MEWP showed that it lacked technical barriers against incorrect operation, which meant that it was possible to deactivate the parking brakes. In the course of the investigation, the MEWP supplier has introduced technical barriers against incorrect operation, and it is claimed that this will prevent future recurrence of similar incidents. The AIBN has found weaknesses in Oslo Metro AS's control mechanisms relating to supplier management, with inadequate control of operators' level of competence and the condition of hired vehicles._x000D_
The AIBN submits one safety recommendation for more extensive verification by infrastructure owners that hired personnel have the correct training and qualifications. 
Undersøkelse av alvorlig jernbanehendelse ved Ensjø T-banestasjon _x000D_
_x000D_
Torsdag 7. juni 2018 rullet en skinnegående lift ukontrollert på T-banen mellom Ensjø og Carl Berner stasjoner. _x000D_
Føreren rakk å hoppe av maskinen før den etter ca. 150 meter kolliderte med en parkert arbeidsmaskin og sporet av. Ingen personer ble skadet i hendelsen, men det oppsto betydelige materielle skader. _x000D_
Undersøkelsen vil klarlegge hendelsesforløpet og peke på mulige årsaksforhold. Eventuelle bakenforliggende forhold som kan ha bidratt til hendelsen vil bli kartlagt og analysert.</t>
  </si>
  <si>
    <t>Ensjø metro station</t>
  </si>
  <si>
    <t>The MEWP operator had not received adequate instruction in how the brake system worked, and operated the machine in a way that caused the parking brakes to be deactivated during on-tracking. Examination of the MEWP showed that it lacked technical barriers against incorrect operation, which meant that it was possible to deactivate the parking brakes.</t>
  </si>
  <si>
    <t>BE-5695</t>
  </si>
  <si>
    <t>Train derailment, 08-06-18, Neufvilles (Belgium)</t>
  </si>
  <si>
    <t>Un peu avant 10h30 le vendredi 8 juin 2018, le train de voyageurs E15809, un train à vide composé de 2 rames automotrices "Desiro", se dirige depuis Braine-le-Comte vers la gare de Mons-Aviation sur la ligne 96. _x000D_
_x000D_
A hauteur de Neufvilles-Garage, l'itinéraire du train E15809 passe par la voie accessoire, empruntant les aiguillages 08AE et 09AE. _x000D_
La vitesse maximale pour emprunter les aiguillages est de 40km/h._x000D_
_x000D_
Vers 10h33, le train déraille sur la voie de garage, causant d'importants dégâts à l'infrastructure et au matériel roulant. Le conducteur du train est légèrement blessé (selon la définition dans la loi). _x000D_
_x000D_
Selon les premières analyses des données enregistrées à bord du train, la cause directe du déraillement est la vitesse excessive du train à hauteur des aiguillages._x000D_
L'enquête se poursuit afin de déterminer les facteurs indirects. 
Shortly before 10h30 on Friday 8 June 2018, the E15809 passenger train, a vacuum train consisting of two self-propelled "Desiro" trains is headed from Braine-le-Comte to the Mons-Aviation station on line 96._x000D_
_x000D_
At the Neufvilles-Garage, the E15809 train route goes through the accessory route, using the 08AE and 09AE switches._x000D_
_x000D_
The maximum speed to use the switches is 40km / h._x000D_
_x000D_
Around 10:33, the train derailed on the siding, causing significant damage to infrastructure and rolling stock. The train driver is slightly injured (as defined in the law)._x000D_
_x000D_
According to the initial analyzes of the data recorded on the train, the direct cause of the derailment is the excessive speed of the train at the level of the switches._x000D_
_x000D_
The investigation is continuing to determine the indirect factors.</t>
  </si>
  <si>
    <t>Neufvilles</t>
  </si>
  <si>
    <t>The direct cause of the derailment of the E15809 train is its excess speed at the points directing the train from the main track to the Neufvilles secondary track.</t>
  </si>
  <si>
    <t>- Personal related condition : Lack of attention by the driver : When the train passed the signal (A378) showing a Green Yellow Horizontal aspect, the driver noticed it but did not apply the expected rules of his profession, namely braking to reduce the speed of the train to 40 km/hour imposed by the following signal. The train reached the points at a speed of 128 km/hour. According to our most likely scenario, a lack of attention is an indirect factor._x000D_
_x000D_
- Technical availability : Absence of effective recovery system (TBL1+ and ETCS systems) : The rolling stock was equipped with the level 1 ETCS system: because of the absence of the ETCS system on this portion of the line (equipped with TBL1+), the rolling stock was in TBL1+ mode. The TBL1+ driving support system turns on the yellow memory lamp on the operating console in the driving cab when passing a signal presenting a Green Yellow Horizontal aspect. But not being designed to control the speed of trains when passing a signal presenting such an aspect, the TBL1+ system did not trigger any braking and control of the train. If the ETCS system had been active, the system on board the train would have received the profile of the speed curve from the equipment in the track. In the absence of braking by the driver, the system would have taken control of the train and warned the driver; in the absence of a reaction from the driver, the system would have triggered braking thus allowing an accident to be avoided. The absence of an effective recovery system is an indirect factor._x000D_
_x000D_
- Monitoring : Monitoring of excess speeds : SNCB/NMBS is making many efforts to control data recorded aboard trains. The analysis of all cases of excess speeds after passing a Green Yellow Horizontal signal should help the railway undertaking to identify their causes (lack of systematic acquisition of automatic reflexes when driving, tendency for certain drivers to not pay enough attention, etc.), all preliminary signs of an accident. But, currently, the work on the analysis of data recorded aboard trains concerns a sample of this data, which creates bias in the analysis. This does not allow the railway undertaking to assess the true scale of certain categories of incidents, including cases of excess speed, or cases of non-conform speed curves after a signal showing a Green Yellow Horizontal aspect. With the purpose of inter alia increasing safety and improving the analysis process of driving events by representative surveys, the SNCB/NMBS has launched an automation project for the analysis of data recorded aboard trains. The culmination of this project named “AMELIE” is expected in the course of the year 2020.</t>
  </si>
  <si>
    <t>UK-5707</t>
  </si>
  <si>
    <t>Runaway, 08-06-18, Bradford Interchange (United Kingdom)</t>
  </si>
  <si>
    <t>On Friday 8 June 2018, a road-rail maintenance vehicle ran away towards Bradford Interchange terminal station._x000D_
The maintenance vehicle was a mobile elevating working platform (MEWP) that was equipped with both rubber wheels for road running and steel rail wheels for operation on the railway. That night, it was intended to be used for examination work on a section of track which was under possession (temporarily closed to normal train services)._x000D_
The runaway started at the Britannia Street road-rail access point, which provides a flat surface allowing road-rail vehicles to be manoeuvred on to the track. This access point is on a section of railway which slopes downwards at a declared gradient of 1 in 50 towards the station before running onto level track as it enters the platforms._x000D_
Shortly after 01:30 hrs the MEWP was being transferred from its rubber-tyred road wheels onto its rail wheels. During this manoeuvre, known as on-tracking, the machine operator was controlling the machine using a remote control unit which was connected to the machine by a cable. As the rail wheels were lowered onto the track the MEWP started to run down the gradient towards the station where it stopped about 340 metres from the access point (and before reaching the buffers at the end of the platform)._x000D_
No-one was on board the MEWP as it started to run away. The machine operator and machine controller attempted to stop the runaway. They were unable to do so, but they kept up with the machine during its travel to warn other staff working in the vicinity._x000D_
Initial evidence suggests that the runaway occurred because the on-tracking was not carried out correctly and the rail wheel brakes, intended to hold the vehicle on the gradient, provided insufficient brake force to do so.</t>
  </si>
  <si>
    <t>Amey Rail Ltd</t>
  </si>
  <si>
    <t>The MEWP ran away on a gradient because only the rail wheel brakes were acting to prevent movement and these were unable to do so.</t>
  </si>
  <si>
    <t>The causal factors were:_x000D_
a. The MEWP was placed in a configuration where only its rail wheel brakes were acting to prevent movement (paragraph 41). This arose due to a combination of the following:_x000D_
i. The machine operator did not follow the correct on-tracking procedure (paragraph 44, paragraphs 130a and 131, no recommendation)._x000D_
ii. Readypower had not previously identified that the machine operator was routinely not following the on-tracking procedure (paragraph 50, paragraph 130f). This happened due to one or both of the following:_x000D_
l Readypower did not follow its own recruitment process (paragraph 52, Recommendation 2)._x000D_
l Once in employment with Readypower, the ongoing competence of the machine operator was not checked (paragraph 57, Recommendation 2)._x000D_
b. The MEWP direct rail wheel braking system was unable to provide enough brake force to prevent a runaway on a 1 in 46 gradient (paragraph 63). This arose due to a combination of the following:_x000D_
i. The brake pads were worn (paragraph 67, a normal condition)._x000D_
ii. The brake callipers had not been adjusted to compensate for brake pad wear (paragraph 71). This happened because:_x000D_
l The fitters were not following Hargreaves’ instructions probably because of the poor design of Readypower’s inspection form and possibly because of a lack of associated training (paragraph 76, paragraph 130d, Recommendation 3)._x000D_
Other possible reasons were:_x000D_
l The work of the fitters on site was not supervised or audited (paragraph 81, paragraph 130e, Recommendation 2)._x000D_
l The tests carried out during the 12-month inspection in October 2017 may have failed to reveal the poor performance of the DRWB system (paragraph 89, paragraph 131, no recommendation)._x000D_
l Readypower was not using the latest version of Hargreaves’ instruction AJH077 (paragraph 94, paragraph 130e, Recommendation 3, Learning point 4). _x000D_
c. The crew was unable to recover the developing situation (paragraph 98, no recommendation, Learning point 1)._x000D_
Underlying factors_x000D_
122 The competence management system for machine operators across the industry focuses on the renewal of qualifications, rather than demonstrating ongoing competence (paragraph 101, Recommendation 1)._x000D_
123 A possible underlying factor was that the implementation of the Direct Rail Wheel Braking project by Network Rail and Readypower did not cover all of the necessary elements (paragraph 106, Learning point 3)</t>
  </si>
  <si>
    <t>CZ-5690</t>
  </si>
  <si>
    <t>Level crossing accident, 11-06-18, open line between Lochovice and Jince stations (Czech Republic)</t>
  </si>
  <si>
    <t>Collision of the regional passenger train No. 7909 with a car at the level crossing.</t>
  </si>
  <si>
    <t>open line between Lochovice and Jince stations</t>
  </si>
  <si>
    <t>HU-5687</t>
  </si>
  <si>
    <t>Runaway, 11-06-18, Miskolc (Hungary)</t>
  </si>
  <si>
    <t>Two waggons ran away from Majláth station on 2,4 km, derailed and crashed a tramway.</t>
  </si>
  <si>
    <t>Miskolc</t>
  </si>
  <si>
    <t>Other; 
Tramway / Light rail</t>
  </si>
  <si>
    <t>Lillafüredi ÁEV (Északerdo Zrt.); 
Miskolci Városi Közlekedési Zrt.</t>
  </si>
  <si>
    <t>The wagons was not protected against runaway.</t>
  </si>
  <si>
    <t>PL-5692</t>
  </si>
  <si>
    <t>Level crossing accident, 13-06-18, section Szczecin Podjuchy - Dalszewo (Poland)</t>
  </si>
  <si>
    <t>On the level crossing D category (with no protection), before the passenger train operated by Przewozy Regionalne the lorry loaded with wooden parts was passing, as a consequence of which the train colided with the lorry. The train derailed with 4 bogies. The level crossing was signed with "STOP" and the Saint Andrew cross. The driver of the lorry was the fatality of the accident and there were several seriously injured and injured people among the passengers and train staff.</t>
  </si>
  <si>
    <t>section Szczecin Podjuchy - Dalszewo</t>
  </si>
  <si>
    <t>Entry of the heavy goods vehicle (lory) on the level crossing directly in front of the approaching Szczecin Glówny – Zielona Góra train No. MOJ 87502.</t>
  </si>
  <si>
    <t>Primary cause:_x000D_
When approaching the crossing, the driver of the heavy goods vehicle ignored both the B-20 “STOP” sign and the P-12 absolute stop line, i.e. failed to stop the road vehicle in the designated place and entered the level crossing directly in front of the moving Szczecin Glówny – Zielona Góra train No. MOJ 87502._x000D_
_x000D_
Indirect causes:_x000D_
1.	Failure of the driver of the road vehicle to make sure that there is no train approaching when moving close to the level crossing and continuing to enter the level crossing without stopping._x000D_
2.	Limited visibility of the head of the train due to the lack of continuous visibility from the distance of 5 m due to the fact that concrete contact poles were situated within the driver’s field of vision.</t>
  </si>
  <si>
    <t>RO-5693</t>
  </si>
  <si>
    <t>Train derailment, 14-06-18, Craiova (Romania)</t>
  </si>
  <si>
    <t>the 15th wagon from the freight train no60524 derailed in the railway station Craiova</t>
  </si>
  <si>
    <t>S.C. GRUP TRANSPORT FEROVIAR S.A.</t>
  </si>
  <si>
    <t>Cauza directa _x000D_
Cauza directa a producerii accidentului o constituie slabirea bandajului ro?ii nr.4, urmata de rotirea ?i de deplasarea transversala a acestuia pe obada ro?ii, fapt ce a condus la modificarea accidentala a distan?ei dintre fe?ele interioare ale bandajelor ro?ilor (ecartamentul) osiei montate corespunzatoare ro?ilor 3÷4 de la vagonul nr.84535304149-2. _x000D_
Slabirea acestui bandaj s-a produs în condi?iile scaderii în timp a for?elor de strângere exercitate între bandaj ?i obada ro?ii, în urma solicitarilor termice si mecanice aparute în exploatarea osiei montate._x000D_
Factori care au contribuit_x000D_
?	inexisten?a marcajelor cu vopsea situate la 900 unul fa?a de altul pe bandajul ro?ii nr.4, fapt ce a îngreunat detectarea rotirii acestuia pe obada ro?ii, cu ocazia efectuarii reviziilor tehnice ?i a probelor frânelor;_x000D_
?	nivelul de oboseala acumulat de revizorul tehnic de vagoane care a efectuat reviziile tehnice ?i probele frânelor la trenul de marfa nr.60524 în perioada 13÷14.06.2018. 
Direct cause of the accident was the unfastening of the tyre of the wheel no. 4, followed by its turn and cross displacement on the wheelset, it leading to the accidental change of the distance between the inner faces of the wheel tyres (gauge) of the wheelset corresponding to the wheels 3÷4 of the wagon no.84535304149-2. _x000D_
The unfastening of this tyre happened in the conditions of the decrease during the time of the fastening forces between the tyre and the wheel centre, detrmined by the thermic and mechanic stresses appeared in the operation of the wheelset._x000D_
Contributing factors_x000D_
?	missing of the paint marks situated at 900 one to another on the tyre of the wheel no.4, it making difficult the detection of its turn on the wheel centre, at the performance of the technical inspections and brake tests;_x000D_
?	the fatigue cummulated by the examiner that performed the technical inspections and brake tests for the freight train no.60524, between the 13th÷14th June 2018.</t>
  </si>
  <si>
    <t>Cauza subiacenta _x000D_
	Nerespectarea prevederilor art.6, alin.(2), lit.c), coroborat cu cele de la pct.20 din Tabelul 1 din Instruc?iunile privind revizia tehnica ?i între?inerea vagoanelor în exploatare nr.250/2005, referitoare la modul de tratare a unui vagon la care se constata inexisten?a marcajelor cu vopsea situate la 900 unul fa?a de altul pe bandajele ro?ilor._x000D_
Cauza primara_x000D_
Neidentificarea, ca pericol, de catre operatorul de transport feroviar, a starii de oboseala acumulate de salaria?ii cu responsabilita?i în verificarea tehnica a vagoanelor, în situa?ia în care ace?tia presteaza activita?i specifice func?iei un interval mare de timp, fara a avea asigurate condi?ii de odihna. 
Underlying cause _x000D_
	Violation of the provisions of art.6, paragraph (2), letter c), corroborated with those from the point 20 of the Table 1 from the Instructions for the technical inspection and maintenance of the wagons in operation no.250/2005, with reference to the dealing with a wagon at which the paint marks situated at 900  one to another on the tyres of the wheels are missing._x000D_
_x000D_
Root cause_x000D_
Non-identification, like danger, by the railway undertaking, of the fatigue of the employees with responsibilities in the technical inspection of the wagons, when these run activities specific to the job for a long time, without having ensured the rest conditions.</t>
  </si>
  <si>
    <t>DK-5694</t>
  </si>
  <si>
    <t>Level crossing accident, 19-06-18, Sig (Denmark)</t>
  </si>
  <si>
    <t>In level crossing no. 163 at Sig (km 82,5, some 8 km north from Varde) a minibus from Flextrafik drove in front of train 5147. The train speed was approx. 60 km / h. Both persons in the car died. 
I usikret overkørsel 163 ved Sig (km 82,5, ca. 8 km fra Varde) kørte en minibus fra Flextrafik ud foran tog 5147. Toget kørte ca. 60 km/t. Begge passagerer i bil afgår ved døden. Lokofører er fysisk ok. 2 passagerer i toget har efterfølgende symptomer på piskesmæld.</t>
  </si>
  <si>
    <t>Sig</t>
  </si>
  <si>
    <t>Inattention of the driver of the car.</t>
  </si>
  <si>
    <t>RO-5696</t>
  </si>
  <si>
    <t>Train derailment, 20-06-18, Dej Triaj (Romania)</t>
  </si>
  <si>
    <t>the third wagon from the freight train no. 42695 derailed on the switch no.15 in Dej Triaj railway station</t>
  </si>
  <si>
    <t>Cauza directa a producerii accidentului o constituie escaladarea flancului activ al ciupercii ?inei de legatura de pe firul exterior al curbei schimbatorului de cale nr.15A de catre buza ro?ii din partea stânga (roata nr.7) a osiei conducatoare de la vagonul nr.31530670031-3, ca urmare a depa?irii limitei de stabilitate la deraiere. Aceasta s-a produs în condi?iile în care, torsionarea caii pe zona acestui schimbator de cale depa?ea limita admisa, iar cadrul boghiului implicat (cel corespunzator ro?ilor nr5÷8) era deformat._x000D_
_x000D_
_x000D_
Factorii care au contribuit:_x000D_
?	între?inerea necorespunzatoare a schimbatorului de cale nr.15A; _x000D_
?	numarului redus de personal al Districtului de linii Dej Triaj, folosit la mentenan?a caii, coroborat cu lipsa unei dotari tehnice adecvate;_x000D_
?	cantita?ile insuficiente de materiale furnizate catre Districtul de linii Dej Triaj pentru executarea lucrarilor de între?inere ?i reparare a caii; _x000D_
?	torsionarea cadrului boghiului, torsionare ce a fost determinata de coroziunea puternica a acestui subansamblu ?i de ?ocurile puternice transmise catre cadrul de boghiu implicat în timpul rularii vagonului în stare deraiata, în urma deraierii anterioare, produse la data de 25.04.2018. 
The direct cause of the accident was the flange of the left wheel (no. 7) from the guiding axle of the wagon no. 31530670031-3 climbed over the gauge face of the exterior closure rail   of the curve of the switch no.15A, following the exceeding of the derailment stability limit. It happened because the track twist in the area of the switch was exceeding the accepted limit, and the frame of the bogie involved (corresponding to the wheels no 5÷8) was distorted._x000D_
_x000D_
_x000D_
Contributing factors:_x000D_
?	unsuitable maintenance of the switch no.15A; _x000D_
?	reduced number of the staff from the Line District Dej Triaj, used for the track maintenance, corroborated with the lack of the adequate technical endowments;_x000D_
?	insufficient quantities of materials supplied to the Line District  Dej Triaj for the track maintenance and repair; _x000D_
?	twist of the bogie frame, determined by the serious corrosion of this part and by the strong shocks transmitted by the frame of the bogie involved during the running of the wagon in derailed condition, following the previous derailment, happened on the 25th April 2018.</t>
  </si>
  <si>
    <t>Cauze subiacente_x000D_
1.	Nerespectarea prevederilor art.19.6. din Instruc?ia de norme ?i toleran?e pentru construc?ia ?i între?inerea caii-linii cu ecartament normal nr.314/1989 referitoare la toleran?ele admise la nivel în profilul transversal;_x000D_
2.	Nerespectarea prevederilor art.7.A.4. din Instruc?ia de norme ?i toleran?e pentru construc?ia ?i între?inerea caii-linii cu ecartament normal nr.314/1989 referitoare la men?inerea în toleran?e a înclinarii rampei la torsionarea caii);_x000D_
3.	Nerespectarea prevederilor pct.4.1. din Cap.4 „Norme de manopera ?i de consum de materiale”, al Instruc?iei de între?inere a liniilor ferate nr.300 - edi?ia în vigoare referitoare la asigurarea normei de manopera la între?inerea curenta în execu?ie manuala._x000D_
Cauza primara_x000D_
1.	Neaplicarea prevederilor din Instruc?iei de între?inere a liniilor ferate nr.300 - edi?ia în vigoare document asociat al a procedurii operationale cod PO SMS 0-4.07 „Respectarea specificatiilor tehnice, standardelor si cerintelor relevante pe întreg ciclul de viata a liniilor în procesul de întretinere”, parte a sistemului de management al sigurantei al CNCF „CFR” SA, referitoare la dimensionarea personalului subunita?ilor de între?inere linii, în raport cu volumul de lucrari, fapt confirmat de subdimensionarea personalului Districtului de linii Dej Triaj din cadrul Sectiei L7 Dej._x000D_
2.	Nerespectarea prevederilor din aceia?i procedura opera?ionala cod PO SMS 0-4.07, referitoare la aprovizionarea ritmica a cantita?ilor de materiale necesare între?inerii._x000D_
3.	Neidentificarea, ca pericol, a deformarii (torsionarii) accentuate a cadrelor de boghiu, în intervalul cuprins între doua revizii de tip RP, deformare generata de cumularea urmatorilor factori:_x000D_
?	folosirea pe timp îndelungat, al vagoanelor neprotejate împotriva coroziunii, la transportul în vrac al sarii (marfa puternic coroziva);_x000D_
?	?ocurile puternice transmise catre cadrul de boghiu implicat, în timpul rularii vagoanelor în stare deraiata. 
Underlying causes_x000D_
1.	violation of the provisions of art.19.6. from Instruction of norms and tolerances for the track construction and maintenance-lines with standard gauge no.314/1989 concerning the tolerances accepted for the cross level;_x000D_
2.	violation of the provisions of art.7.A.4. from Instruction of norms and tolerances for the track construction and maintenance-lines with standard gauge no.314/1989 concerning the keeping between the tolerances of the inclination of the gradient at the track twist;_x000D_
3.	violation of the provisions of point 4.1. from Chapter 4 „Norms of manpower and material consumption”, of Instruction for the line maintenance no.300 – edition in force concerning the provision with the norm of manpower for the current manual maintenance._x000D_
Root cause_x000D_
1.	Non-application of the provisions from Instruction for the line maintenance no.300 – edition in force document associated to the operational procedure code PO SMS 0-4.07 „Compliance with the technical specifications, standards and requirements relevant for the whole life time of the lines in the maintenance process”, part of the safety management system of CNCF „CFR” SA, concerning the sizing of the staff from the subunits in charge with the line maintenance, in relation to the total works, it being confirmed by the sub-sizing of the staff from the Line District Dej Triaj of the Track Section L7 Dej._x000D_
2.	Violation of the provisions from the same operational procedure code PO SMS 0-4.07, concerning the rhythmic provision with the quantities of materials necessary for the maintenance._x000D_
3.	Non-identification, like danger, of the serious twist of the bogie frames, between two inspections type RP, it being generated by the cumulation of the next factors:_x000D_
?	long term use of the wagons without protection against the corrosion, for the bulk transport of the salt (a freight very corrosive);_x000D_
?	strong shocks transmitted by the frame of the bogie involved, during the running of the wagons in derailed condition.</t>
  </si>
  <si>
    <t>RO-5699</t>
  </si>
  <si>
    <t>Train derailment, 23-06-18, Turceni (Romania)</t>
  </si>
  <si>
    <t>three wagons from the freight train no.23462 derailed in Turceni railway station</t>
  </si>
  <si>
    <t>Cauza directa ?i factorii care au contribuit_x000D_
Cauza directa a producerii accidentului o constituie parasirea suprafe?ei de rulare a ciupercii ?inei de pe firul exterior al curbei, în sensul deplasarii trenului, de catre roata din partea dreapta a primei osii a celui de-al doilea boghiu (roata nr.5) de la al 37-lea vagon din compunerea trenului ?i caderea acesteia în interiorul caii. Acest lucru s-a produs în condi?iile în care starea tehnica a suprastructurii caii era necorespunzatoare, permi?ând cre?terea ecartamentului caii peste valoarea maxima admisa, în regim dinamic, sub ac?iunea for?elor induse de vagonul nr.81536654073-1, vagon cu neconformita?i tehnice ?i de încarcare.  _x000D_
Factori care au contribuit:_x000D_
-	existen?a unor traverse necorespunzatoare la rând, pe zona producerii deraierii, care nu mai asigurau prinderea placilor metalice la exteriorul curbei, permi?ând deplasarea acestora în sensul cre?terii ecartamentului;_x000D_
-	depa?irea limitei de încarcare ?i implicit a sarcinii pe osie admise la vagoanele implicate în accident cât ?i la un numar de 26 vagoane din compunerea trenului aflate înaintea acestora, în sensul de mers;_x000D_
-	distrugerea placii din poliamida montate între crapodina inferioara ?i cea superioara ale boghiului corespunzator ro?ilor nr.5÷8 (al 2-lea în sensul de mers al trenului) de la vagonul nr.81536654073-1 (aflat al 37-lea în compunerea trenului). 
Direct cause and contributing factors_x000D_
The direct cause of the accident is the right wheel of the first axle from the second bogie (wheel no. 5) of the 37th wagon left the running surface of the exterior rail of the curve and fell inside the track. It happened following the unsuitable technical condition of the track superstructure, allowing the increase of the track gauge over the maximum accepted value, dynamically, under the action of the forces generated by the wagon no.81536654073-1, the wagon having technical and loading nonconformities.  _x000D_
Contributing factors:_x000D_
-	existence of some unsuitable sleepers, one after another, at the derailment site, that was not ensuring the fastening of the metallic plates on the exterior of the curve, allowing their displacement in the direction of the gauge increase;_x000D_
-	exceeding of the loading limit and of the axle load accepted for the wagons involved in the accident and for 26 wagons in front of those ones, in the running direction;_x000D_
-	the destruction of the centre pivot liner fitted between the lower centre casting  and the upper one of the bogie corresponding to the wheels no.5÷8 (the second in the train running direction) from the wagon no.81536654073-1 (the 37th one of the train).</t>
  </si>
  <si>
    <t>Cauze subiacente _x000D_
?	nerespectarea prevederilor art.25, pct. 3 ?i 4 din „Instruc?ia de norme ?i toleran?e pentru construc?ii ?i între?inerea caii pentru linii cu ecartament normal nr.314/1989”, referitoare la defectele care impun înlocuirea traverselor de beton armat, respectiv la neadmiterea men?inerii în cale a unor traverse necorespunzatoare;_x000D_
?	încarcarea vagoanelor din compunerea trenului de marfa nr.23642, fara a fi respectate prevederile punctelor 3.1 ?i 3.2 din Anexa II RIV, referitoare la sarcina maxima pe osie ?i limitele de încarcare;_x000D_
?	utilizarea, contrar prevederilor OMT 290/2000, Anexa I, art.1, în procesul de mentenan?a a vagoanelor de produse feroviare critice realizate de agen?i economici care nu de?ineau autoriza?ie de furnizor feroviar. _x000D_
Cauze primare_x000D_
-	neaplicarea tuturor prevederilor procedurii opera?ionale cod PO SMS 0-4.07 „Respectarea specifica?iilor tehnice, standardelor ?i cerin?elor relevante pe întreg ciclul de via?a a liniilor în procesul de între?inere”, parte a sistemului de management al siguran?ei a administratorului de infrastructura feroviara publica CNCF „CFR” SA, referitoare la executarea lucrarilor de între?inere ?i repara?ii periodice a liniilor de cale ferata;_x000D_
-	neaplicarea tuturor prevederilor procedurii opera?ionale cod PO 75.2 – ed.3/00 „Punerea la dispozi?ie a vagoanelor în sta?ia de expediere”, parte a sistemului de management al siguran?ei al SNTFM „CFR Marfa” SA ?i ale Conven?iei comuna de lucru, nr.C.S/4095/ 41593, referitoare la verificarea modului de încarcare a marfii. 
Underlying causes _x000D_
?	violation of the provisions of art.25, points 3 and 4 from „Instruction of norms and tolerances for track construction and maintenance for lines with standard gauge no.314/1989”, concerning the failures that impose the replacement of the reinforced concrete sleepers, respectively the non-keeping within the track of some unsuitable sleepers;_x000D_
?	loading of the wagons of the freight train no.23642, without meeting with the provisions from the points 3.1 and 3.2 of the Annex II RIV, concerning the maximum load on axle and the loading limits;_x000D_
?	use, against the provisions of the Ministry of Transports’ Order 290/2000, Annex I, art.1, in the maintenance of the wagons, of critical railway products manufactured by economic agents that do not get railway supplier authorization. _x000D_
Root causes_x000D_
-	non application of all provisions of the operational procedures code PO SMS 0-4.07 „Compliance with the technical specifications, standards and requirements relevant for whole life time of the lines in the maintenance process”, part of the safety management system of the railway public infrastructure administrator CNCF „CFR” SA, concerning the performance of the maintenance and periodical repairs at the lines;_x000D_
-	non-application of all provisions of the operational procedure code PO 75.2 – edition 3/00 „Delivery of the wagons in the dispatching railway station”, part of the safety management system - SMS of SNTFM „CFR Marfa” SA, and of the Common working agreement, no. C.S/4095/ 41593, concerning the checking of the freight loading.</t>
  </si>
  <si>
    <t>DE-5705</t>
  </si>
  <si>
    <t>Trains collision with an obstacle, 24-06-18, Oberhausen West (Germany)</t>
  </si>
  <si>
    <t>Am 24.06.2018 gegen 12:58 Uhr kollidierte der Güterzug GM 41590 auf der Fahrt von Oberhausen West nach Amsterdam-Westhaven bei der Ausfahrt aus dem Bahnhof Oberhausen West mit einem Hemmschuh und entgleiste.</t>
  </si>
  <si>
    <t>Oberhausen West</t>
  </si>
  <si>
    <t>Zum Unfall führte eine fehlerhafte Zugvorbereitung. Vor der Abfahrt des Zuges wurde ein Hemmschuh, der zur Sicherung gegen unbeabsichtigtes Bewegen verwendet wurde, nicht ordnungsgemäß entfernt.</t>
  </si>
  <si>
    <t>AT-5746</t>
  </si>
  <si>
    <t>Train derailment, 26-06-18, Völlerndorf (Austria)</t>
  </si>
  <si>
    <t>On June 26, 2018, the Train 6856 derailed between Völlerndorf and Ober Grafendorf. The Train was consisted of six Wagons. The first three Wagons were the ET 5 and the last three the ET 6. The Train derailed in a left arch and tipped on the right side next to the track. The ET 6 didn’t derail but collided with the ET 5 and stoppt after a few meters behind the Train separation. 
Am 26. Juni 2018, entgleiste auf der Mariazellerbahn der Z 6856 im km 9,200. Der als Doppelttraktion geführte Z 6856, bestehend aus dem ET 5 (führend) und dem ET 6 (nachlaufend), zwischen Völlerndorf und Ober Grafendorf in einem Linksbogen kurz nach der Pilacherbrücke. Der ET 5 entgleiste und kippte auf die rechte Seite neben das Gleis. Der nachlaufende ET 6 kollidierte rechts mit dem auf der Seite liegendem ET 5, verblieb jedoch im Gleis bis er einige Meter später aufgrund der Zugtrennung zum Stehen kam.</t>
  </si>
  <si>
    <t>Völlerndorf</t>
  </si>
  <si>
    <t>Das Einfahren in den Linksbogen mit überhöhter Geschwindigkeit führte durch die hohen Fliehkräfte zur Entgleisung und in weiterer Folge zum Umkippen der führenden Garnitur. 
The entry into the left-hand bend at excessive speed led to derailment due to the high centrifugal forces and, subsequently, to the tipping over of the leading clothing.</t>
  </si>
  <si>
    <t>Durch das Aufschalten der Leistung (Fahr-/Bremshebel nach vorne) beschleunigte Z 6856 selbstständig auf die von dem / der Tfzf voreingestellten 70 km/h. Diese Bedienhandlung zählt als Sifa-Impuls. Laut eigener Aussage hat der / die Tfzf durch ein gesundheitliches Problem die Kontrolle über Z 6856 verloren. Dadurch wurde die Geschwindigkeit vor dem Linksbogen nicht auf die vorgeschriebenen 35 km/h verringert._x000D_
Vom Aufschalten der Leistung bis zum Ertönen des Sifa-Horns wurden keine weiteren Bedienhandlungen getätigt. Ein technisches Eingreifen durch das RTMS-System war nicht möglich, da eine technische Bremskurvenüberwachung vor Geschwindigkeitsbrüchen nicht Bestandteil des ausgeführten Systems war. 
By switching on the power (drive / brake lever forward) accelerated Z 6856 independently to the preset by the / Tfzf 70 km / h. This operator action counts as a Sifa impulse. According to his own statement, the Tfzf lost control of Z 6856 due to a health problem. As a result, the speed before the left bend was not reduced to the prescribed 35 km / h._x000D_
From switching on the power to the sound of the Sifa horn no further operations were made. Technical intervention by the RTMS system was not possible, as a technical brake curve monitoring against speed drops was not part of the running system.</t>
  </si>
  <si>
    <t>HR-5706</t>
  </si>
  <si>
    <t>Runaway, 27-06-18, Slavonski Brod (Croatia)</t>
  </si>
  <si>
    <t>On 27.6.2018. at 8:00 am in the Slavonski Brod railway on 35th track Cargo train maneuvering by pushing a group of wagons on a closed track hit the chest, causing a Taad wagon to jump 
Dana 27.6.2018. u  8:00 sati u kolodvoru Slavonski Brod na 35. kolosijeku Cargo manevarski sastav gurajuci grupu vagona na zatvoreni kolosijek udario u grudobran uslijed cega je iskocio jedan Taad vagon.</t>
  </si>
  <si>
    <t>Slavonski Brod</t>
  </si>
  <si>
    <t>je nepravilno kvacenje predzadnjeg teretnog vagona u smjeru guranja manevarskog sastava, uslijed cega je došlo do naleta zadnja dva vagona na prsobran 35. kolosijeka 
improper connection of the penultimate freight wagon in the direction of pushing the coupling and hit the obstacle on the end of the track</t>
  </si>
  <si>
    <t>Cimbenici koji su pridonijeli ovoj nesreci: _x000D_
-	nepridržavanje planiranog puta manevarske vožnje,_x000D_
-	nepravilno odraden postupak kvacenje vagona u manevarskom sastavu._x000D_
Organizacijski cimbenici: _x000D_
-	razmjena  informacija izmedu rukovatelja manevre i manevriste 
Contributing factors:_x000D_
-	the failure to adhere to the planned maneuver route,_x000D_
-	improper coupling connection of the wagons maneuver composition._x000D_
Organizational factors: _x000D_
-	exchange of information between maneuver operator and maneuvrer</t>
  </si>
  <si>
    <t>CZ-5703</t>
  </si>
  <si>
    <t>Trains collision, 29-06-18, Praha, between Å tepánská and Karlovo námestí tram stops (Czech Republic)</t>
  </si>
  <si>
    <t>Collision of the tram No. 16 with standing tram No. 22.</t>
  </si>
  <si>
    <t>Praha, between Å tepánská and Karlovo námestí tram stops</t>
  </si>
  <si>
    <t>Direct cause:_x000D_
• failure to adjust the driving conditions for running on sight, weight, driving and braking attributes of the tram No. 16 by the tram driver._x000D_
_x000D_
Contributory factor: none.</t>
  </si>
  <si>
    <t>Underlying cause:_x000D_
• failure to compliance of the technological procedures of the IM/RU for driving between two consecutive tram trains, eventually for driving behind non-rail vehicles._x000D_
_x000D_
Root cause: none.</t>
  </si>
  <si>
    <t>RO-5937</t>
  </si>
  <si>
    <t>Train derailment, 30-06-18, Rosiori N (Romania)</t>
  </si>
  <si>
    <t>on the entrance in Rosiori Nord railway station, four wagons of the freight train no.60250 derailed</t>
  </si>
  <si>
    <t>Rosiori N</t>
  </si>
  <si>
    <t>LTE Rail Eomania SRL</t>
  </si>
  <si>
    <t>Cauza directa ?i factorii care au contribuit_x000D_
Cauza directa a producerii accidentului o constituie parasirea suprafe?ei de rulare a ciupercii ?inei de pe firul interior al curbei schimbatorului de cale numarul 16, de catre prima roata din partea dreapta a boghiului I (în sensul deplasarii trenului) al celui de-al 16-lea vagon din compunerea trenului ?i caderea acesteia în interiorul caii. Acest lucru s-a produs în condi?iile în care starea tehnica a suprastructurii caii era necorespunzatoare, permi?ând cre?terea ecartamentului caii peste valoarea maxima admisa, în regim dinamic, sub ac?iunea for?elor transmise de materialul rulant.  _x000D_
Factori care au contribuit:_x000D_
-	existen?a unor traverse necorespunzatoare la rând, pe zona producerii deraierii, care nu mai asigurau prinderea corespunzatoare a placilor metalice la interiorul curbei, permi?ând deplasarea acestora în sensul cre?terii ecartamentului 
Direct cause and contributing factors_x000D_
The direct cause of the accident is the first right wheel of the bogie I (in the running direction of the train) from the 16th wagon left the running surface of the head of the inner rail of the curve of the switch no.16 and it fell inside the track. It happened following the unsuitable condition of the track superstructure, it allowing the increase of the gauge over the maximum accepted value, in dynamic conditions, under the action of the forces transmitted by the rolling stock.  _x000D_
_x000D_
Contributing factors:_x000D_
-	existence of some unsuitable sleepers one after another, at the derailment site, that did not ensure the right fastening of the metallic plates at the interior of the curve, allowing their displacement in the direction of the gauge increase.</t>
  </si>
  <si>
    <t>Cauze subiacente _x000D_
?	nerespectarea prevederilor art.25, pct. 2 ?i 4 din „Instruc?ia de norme ?i toleran?e pentru construc?ii ?i între?inerea caii pentru linii cu ecartament normal nr.314/1989”, referitoare la defectele care impun înlocuirea traverselor de lemn, respectiv la neacceptarea men?inerii în cale a unor traverse necorespunzatoare în cuprinsul aparatelor de cale._x000D_
Cauze primare_x000D_
-	neaplicarea tuturor prevederilor procedurii opera?ionale cod PO SMS 0-4.07 „Respectarea specifica?iilor tehnice, standardelor ?i cerin?elor relevante pe întreg ciclul de via?a a liniilor în procesul de între?inere”, parte a sistemului de management al siguran?ei al administratorului de infrastructura feroviara publica CNCF „CFR” SA, referitoare la executarea lucrarilor de între?inere ?i repara?ii periodice a liniilor de cale ferata. 
Underlying causes _x000D_
?	violation of the provisions of art.25, points 2 and 4 from „Instruction of norms and tolerances for the track construction and maintenance for lines with standard gauge no.314/1989”, concerning the failures that impose the replacement of the wooden sleepers, respectively the non-acceptance within the track of some unsuitable sleepers within the switches._x000D_
_x000D_
 Root causes_x000D_
-	non-application of all provisions of the operational procedure code PO SMS 0-4.07 „Compliance with the technical specifications, standards and requirements relevant for whole life time of the lines in maintenance process”, part of the safety management system of the railway public infrastructure</t>
  </si>
  <si>
    <t>CZ-5702</t>
  </si>
  <si>
    <t>Unauthorised train movement other than SPAD, 01-07-18, Veselí nad Moravou station (Czech Republic)</t>
  </si>
  <si>
    <t>Unsecured movement of the regional passenger train No. 1724 with the consequent ride into the train route of the regional passenger train No. 1721.</t>
  </si>
  <si>
    <t>Veselí nad Moravou station</t>
  </si>
  <si>
    <t>Direct cause:_x000D_
• the incorrectly made train route for the regional passenger train No. 1724.</t>
  </si>
  <si>
    <t>Underlying cause:_x000D_
• inattention and the incorrect procedure of the signalman during making the train route for the regional passenger train No. 1724._x000D_
_x000D_
Root cause: none.</t>
  </si>
  <si>
    <t>ES-5752</t>
  </si>
  <si>
    <t>Wrong-side signalling failure, 01-07-18, Pedralba de la Pradería (Spain)</t>
  </si>
  <si>
    <t xml:space="preserve">Havarikommissionen modtog først den 29.08.2016 underretning om ulykken, idet ulykken i første omgang blev vurderet som ikke-jernbanerelateret. Efterfølgende gennemgang af videooptagelser viste imidlertid, at personen blev kvæstet i forbindelse med fald på perronen og derunder berøring med kørende tog. </t>
  </si>
  <si>
    <t>Pedralba de la Pradería</t>
  </si>
  <si>
    <t>The direct cause of the incident was a malfunction of the interlocking, caused by an electrical fault insulation in the wiring that connect the relay room of the station to the signal cabinet. This electrical fault insulation powered the entrance signal 2N and turned on its green light bulb, despite its protecting fuses had been blown by a electrical overload during the previous storm. The train driver stopped train 258 as he noticed contradictions in the 2N signal aspect: the signal had green light on, but the corresponding beacon ordered to stop, and previous signal announced a stop ahead._x000D_
_x000D_
As contributing factors, it is worth mentioning the adverse weather conditions during the previous days and on the day of the event, which could have caused the blown of the F2 fuse protecting the 2N signal, as well as the electrical fault insulation between wires of the existing cable connecting the interlocking technical room to the signal cabinet._x000D_
_x000D_
According to the existing documentation in the station related to the type of wiring used in the facilities, it’s worth noting that the only cable connecting the apparatus case 2 to the relay room was a 52x1 mm2, of which 12 wires were used for carrying energy, which could possibly lead to an electrical fault insulation that, together with the age of the cable, powered the green light bulb of the 2N signal and made it glow</t>
  </si>
  <si>
    <t>There is no evidence that the signalling wiring had been inspected at Pedralba station in compliance with the provisions of Specific Procedure MIN-PE-IS-013: "Signalling wiring maintenance"._x000D_
This procedure establishes that inspections of the signalling system wires condition in terms of the evolution of their electrical properties over time shall be carried out by sampling 10% of those installed, with a periodicity of no more than 5 years. It also details the measurements of the specific parameters for each cable, considering they keep the properties defined in their commissioning for 10 years._x000D_
_x000D_
However, the procedure does not expressly mention the special attention that should be paid to inspections of older cables. In this sense, and given the nature of tests by sampling, potential and punctual damage in the wiring could not be previously detected, being this case more critical, as these wires had been in service for a long time.</t>
  </si>
  <si>
    <t>NO-5719</t>
  </si>
  <si>
    <t>Other, 01-07-18, Gjøvikbanen (Norway)</t>
  </si>
  <si>
    <t>On Sunday, July 1, 2018, a fire occurred several places along Gjøvikbanen. _x000D_
Prolonged drought had led to a high level of forest fire hazard in the area. Failure of the brakes on a freight train led to overheating which again ignited the fire. _x000D_
Large resources from the fire department were required to extinguish and the track was closed for more than 6 hours. 
Søndag 1. juli 2018 oppsto det  brann flere steder langs Gjøvikbanen._x000D_
_x000D_
Langvarig tørke hadde førte til stor skogbrannfare i området. Feil på bremsene i et godstog førte til varmgang som igjen antente brannen. _x000D_
Store ressurser fra brannvesenet måtte til for å slukke, og banen var derfor stengt i over 6 timer.</t>
  </si>
  <si>
    <t>Brake failure on one of the wagons in the train</t>
  </si>
  <si>
    <t>IT-5723</t>
  </si>
  <si>
    <t>Train derailment, 02-07-18, Portomaggiore (Italy)</t>
  </si>
  <si>
    <t>Il giorno 2 luglio, alle ore 5.44 il treno 63887 (partito da Tarvisio e diretto a Fossacesia, trainato da locomotiva del gruppo E652 e composto da 15 carri Laadrs vuoti; massa rimorchiata 427 t; lunghezza 501 m)_x000D_
durante il transito a 90 km/h dalla stazione di Montesanto, in un tratto rettilineo poco dopo il fabbricato viaggiatori, sviava con un asse (presumibilmente il quarto senso marcia treno, come si desume dai segni sul_x000D_
circolo di rotolamento e dai segni di urto sulla fiancata sinistra contro materiale compatibile con un marciapiede di stazione) del primo carro in composizione (NEV 278043540055)._x000D_
Il treno non arrestava la marcia e alle ore 5:49, mentre percorreva alla velocità di 85 km/h il binario n° 2 di corretto tracciato in ingresso nella stazione di Portomaggiore incontrava il deviatoio 3b; da quanto rilevato_x000D_
si presume che il primo ed il secondo (NEV 278043541079) carro si siano instradati sul binario n°3, percorrendo successivamente l’interbinario 2-3. 
On 2nd July at 5:44, train 63887 (departing from Tarvisio and directed to Fossacesia, hauled by a group E652 locomotive and composed of 15 empty Laadrs wagons; towed mass 427 t; a length of 501 m) during the transit at 90 km/h from the Montesanto station, along a straight section shortly after the building for passengers, diverted with an axis (presumably the fourth route in the train, as can be seen from the marks on the running circle and the marks of impact on the left side of a station platform) of the first wagon in composition (NEV 278043540055)._x000D_
The train did not stop driving and at 5:49, while travelling at 85 km/h, the rail track n°2 corrected route to Portomaggiore met point 3b. It is assumed that the first and second (NEV 278043541079) wagons were arranged on track n° 3, followed by the intertrack 2-3.</t>
  </si>
  <si>
    <t>Portomaggiore</t>
  </si>
  <si>
    <t>irregolare moto di oscillazione verticale e di serpeggio del quarto assile (“asse n.1”) appartenente al secondo semi-carro del primo carro smt in composizione al convoglio MIR n. 63887 
irregular vertical oscillation and meandering motion of the fourth axle ("axis n.1") belonging to the second semi-wagon of the first smt wagon in composition in the MIR train n. 63887</t>
  </si>
  <si>
    <t>1. degrado delle caratteristiche di sostentamento verticale e trasversale (rigidezza e compattazione) della sede ferroviaria (massicciata) incrementato dall'esercizio ferroviario; carenza nella definizione delle tempistiche di intervento di manutenzione e conseguentemente nella formazione del personale del GI impegnato su tale attività, perché fondamentale nell’attribuzione del livello di rischio di inquinamento idrogeologico della sede ferroviaria anche in funzione delle individuate zone di pericolo;_x000D_
2. carenza di formazione al personale di condotta sui possibili eventi che dovrebbero essere controllati nel caso di accadimento di circostanze anomale nelle condizioni di marcia comandate e non modificate 
1. degradation of the vertical and transverse livelihood characteristics (stiffness and compaction) of the railway base (ballast) increased by railway operation; deficiency in the definition of the maintenance intervention times and consequently in the training of the staff of the GI engaged in this activity, because it is fundamental in attributing the level of risk of hydrogeological pollution of the railway headquarters also in function of the identified danger areas;_x000D_
2. lack of training for drivers on possible events that should be controlled in the event of anomalous circumstances occurring in commanded and unmodified running conditions</t>
  </si>
  <si>
    <t>HU-5724</t>
  </si>
  <si>
    <t>Trains collision with an obstacle, 06-07-18, Gödöllo (Hungary)</t>
  </si>
  <si>
    <t>On the railway station nr. 862 Intercity train collided with a working machinery. 
Az állomásról kihaladó 682 sz. Intercity vonat ütközött egy dolgozó munkagéppel.</t>
  </si>
  <si>
    <t>Gödöllo</t>
  </si>
  <si>
    <t>Human factor of excavator driver</t>
  </si>
  <si>
    <t>HU-5710</t>
  </si>
  <si>
    <t>Train derailment, 08-07-18, Erdei iskola (Hungary)</t>
  </si>
  <si>
    <t>The driver of the cogwheel train passed the signal on danger. On the next station, the tran has derailed on a switch.</t>
  </si>
  <si>
    <t>Erdei iskola</t>
  </si>
  <si>
    <t>Human factor of driver.</t>
  </si>
  <si>
    <t>DE-5712</t>
  </si>
  <si>
    <t>Level crossing accident, 09-07-18, Bf Schwaigen â€“ Bf Landau (Isar) (Germany)</t>
  </si>
  <si>
    <t>Am 09.07.2018 gegen 09:48 Uhr prallte die Zugfahrt RE 4062 zwischen Schwaigen und Landau (Isar) auf dem BÜ km 43,149 mit einem Kleintransporter, der nach unzeitigem Öffnen der Halbschranken den BÜ von links der Bahn befährt. 
On 09.07.2018, at about 09:48, the train RE 4062 between Schwaigen and Landau (Isar) collided with a van, which drove from the left towards the level crossing after an unscheduled opening of the half-barriers, on a level crossing at km 43,149.</t>
  </si>
  <si>
    <t>Bf Schwaigen â€“ Bf Landau (Isar)</t>
  </si>
  <si>
    <t>Das Ereignis ist auf eine unzureichende Aufgabenzuteilung des Instandhaltungspersonals sowie auf eine fehlerhafte Kommunikation zwischen den Fachkräften der Leit- und Siche-rungstechnik (LST) und dem zuständigen Fahrdienstleiter (Fdl) zurückzuführen.</t>
  </si>
  <si>
    <t>CZ-5711</t>
  </si>
  <si>
    <t>Level crossing accident, 11-07-18, level crossing No. P619 at Stankov station (Czech Republic)</t>
  </si>
  <si>
    <t>Collision of the long distance passenger No. 352 with a car at the level crossing.</t>
  </si>
  <si>
    <t>level crossing No. P619 at Stankov station</t>
  </si>
  <si>
    <t>HR-5935</t>
  </si>
  <si>
    <t>Train derailment, 11-07-18, Dugo Selo (Croatia)</t>
  </si>
  <si>
    <t>Derailment of cargo wagons on switch 5. in station Dugo Selo 
Iskliznuce teretnih vagona na skretnici 5 u kolodvoru Dugo Selo</t>
  </si>
  <si>
    <t>iskliznuce desetog vagona sa drugog osovinskog sklopa iz prvog okretnog postolja neposredno nakon prelaska preko skretnice broj 5. u kolodvoru Dugo Selo 
derailment of the tenth wagon with the second axle from the first bogie immediately after crossing the switch number 5 at Dugo Selo railway station</t>
  </si>
  <si>
    <t>-	Izmjerene vrijednosti iskliznulog osovinskog sklopa granice sa dozvoljenim granicnim vrijednostima_x000D_
-	Stanje kolosijecne grade skretnice broj 5. _x000D_
-	Oštecenje vrha prijevodnice i istrošenost materijala same prijevodnice ,_x000D_
-	Brzina kretanja vlaka preko skretnica, neznatno iznad maksimalne vrijednosti 
-	the measured values of the derailment axle assembly limit the permitted limit values,_x000D_
-	the  track condition of switch number 5,_x000D_
-	damage to the tip of the translator and material wear of the translator itself,_x000D_
-	train speed on the switch, slightly above maximum value,</t>
  </si>
  <si>
    <t>HU-5846</t>
  </si>
  <si>
    <t>Spad, 15-07-18, Göd (Hungary)</t>
  </si>
  <si>
    <t>The train No EC272 passed the signal with red aspect. Stopped on the switch-area of the station. 
Az EC272 sz. vonat a kijárati jelzot engedély nélkül meghaladta.</t>
  </si>
  <si>
    <t>Göd</t>
  </si>
  <si>
    <t>A mozdonyvezeto nem figyelte meg a kijárati jelzo jelzését elindulás elott és a jelzohöz való közeledés során. 
The driver did not observe the exit signal before departure and when approaching the signal.</t>
  </si>
  <si>
    <t>- A visszapillantó kamera meghibásodása miatt az ajtóban állva kellett a vezeto-jegyvizsgáló jelzését megfigyelnie, és gyorsítás közben elterelte a figyelmét az ajtó bezárása és a székbe való visszaülés._x000D_
- A vezeto jegyvizsgáló a kijárati jelzot nem figyelte meg, és úgy adott felhatalmazást az indításra. 
-Due to the failure of the rear-view camera, it was necessary to observe the driver-ticket examiner’s signal in the door standing and to divert its attention during acceleration by closing the door and returning it to the chair.  _x000D_
-The driver ticket examiner did not observe the exit mark and gave permission to start.</t>
  </si>
  <si>
    <t>CZ-5714</t>
  </si>
  <si>
    <t>Level crossing accident, 16-07-18, open line between Kamenný Újezd u Ceských Budejovic and Vcelná stations (Czech Republic)</t>
  </si>
  <si>
    <t>Collision of the regional passenger train No. 3800 with a van at the level crossing.</t>
  </si>
  <si>
    <t>open line between Kamenný Újezd u Ceských Budejovic and Vcelná stations</t>
  </si>
  <si>
    <t>Underlying causes:_x000D_
• driver's failure to respect of the light and sound warning and ride at the level crossing at the time when it was forbidden;_x000D_
• behavior of the driver in front of the level crossing, the van driver wasn't careful enough._x000D_
_x000D_
Root cause: none.</t>
  </si>
  <si>
    <t>IE-5730</t>
  </si>
  <si>
    <t>Trains collision, 17-07-18, Portlaoise (Ireland)</t>
  </si>
  <si>
    <t>Collision with a Buffer Stop in Portlaoise - 17th July 2018</t>
  </si>
  <si>
    <t>Portlaoise</t>
  </si>
  <si>
    <t>The immediate cause of ICR 16 colliding with the buffer stop at LTCD was as a result of ICR 16 been driven with no operational brake on the train</t>
  </si>
  <si>
    <t>CZ-5715</t>
  </si>
  <si>
    <t>Unauthorised train movement other than SPAD, 18-07-18, Svor station (Czech Republic)</t>
  </si>
  <si>
    <t>Unsecured movement of the long distance passenger train No. 1101 to station track No. 1, which was occupied by the regional passenger train No. 6000.</t>
  </si>
  <si>
    <t>Svor station</t>
  </si>
  <si>
    <t>Direct cause:_x000D_
• allow to entrance of the long distance passenger train No. 1101 by incorrectly made train route to station track No. 1, which was occupied by the regional passenger train No. 6000._x000D_
_x000D_
Contributory factor:_x000D_
• absence of a mechanism or other person, who prevents or reduces the human factor failure of the individual during preparation of the train route.</t>
  </si>
  <si>
    <t>Underlying cause:_x000D_
• human factor failure, non-compliance of technological procedures of the IM, failure to putting the station interlocking equipment to basic state after the traffic closure and subsequent routine adjustment of the entry signal device to the signal allowing the ride, even though the train route was made to incorrect station track._x000D_
_x000D_
Root cause: none.</t>
  </si>
  <si>
    <t>CZ-5717</t>
  </si>
  <si>
    <t>Trains collision, 20-07-18, Brno hl. n. station (Czech Republic)</t>
  </si>
  <si>
    <t>Collision of the shunting operation with the regional passenger train No. 4615.</t>
  </si>
  <si>
    <t>Direct cause:_x000D_
• failure to comply with conditions for running on sight during the shunting operation._x000D_
Contributory factor:_x000D_
• insufficient instructions for ensure safety the shunting operation by the supervisor of shunting operation.</t>
  </si>
  <si>
    <t>Underlying cause:_x000D_
• failure to comply with the technological procedures of the IM/RU for shunting operation by the supervisor of shunting operation.</t>
  </si>
  <si>
    <t>CZ-5718</t>
  </si>
  <si>
    <t>Trains collision, 20-07-18, open line between Chrást u Plzne and Plzen hlavní nádraÅ¾í stations (Czech Republic)</t>
  </si>
  <si>
    <t>Collision of the set train No. 21920 with the freight train No. 61400.</t>
  </si>
  <si>
    <t>open line between Chrást u Plzne and Plzen hlavní nádraÅ¾í stations</t>
  </si>
  <si>
    <t>Other; 
Freight train</t>
  </si>
  <si>
    <t>Direct cause:_x000D_
• failure to stop of the set train No. 21920 in front of the freight train No. 61400 at movement under condition for running on sight in occupied block section of the automatic block.</t>
  </si>
  <si>
    <t>Underlying cause:_x000D_
• failure to observe the technological procedures of the IM for condition for running on sight by train driver of the set train No. 21920._x000D_
_x000D_
Root cause: none.</t>
  </si>
  <si>
    <t>UK-5748</t>
  </si>
  <si>
    <t>Accident to persons caused by RS in motion, 20-07-18, Peterborough (United Kingdom)</t>
  </si>
  <si>
    <t>At around 10:52 hrs on 20 July 2018, a track worker, acting as a site lookout for another track worker, narrowly avoided being struck by the 09:16 hrs Leeds to King’s Cross passenger service, just to the south of Peterborough station._x000D_
The train was approaching along the up fast line at around 102 mph (164 km/h) when the driver saw the site lookout, sounded the train’s warning horn, and applied the train’s brakes._x000D_
The site lookout moved out of the path of the approaching train about three seconds before the train passed him._x000D_
Because of the layout around Peterborough station and the speed of non-stopping trains, a distant lookout was needed to warn the site lookout when trains were approaching from the north, so he had enough time to warn the track worker and move off the track and into a position of safety until trains had passed. On this occasion, the site lookout was not warned of the approaching train because the distant lookout was not in place._x000D_
A distant lookout had been posted near the south end of Peterborough station, but believed he had been stood down. Another distant lookout, for a group of track workers working north of Peterborough station, was working from this position but looking for trains approaching from the south. As a result, this distant lookout did not see the train approaching from the north nor provide a warning.</t>
  </si>
  <si>
    <t>Peterborough</t>
  </si>
  <si>
    <t>Track worker A was unaware of the train approaching along the line on which he was standing</t>
  </si>
  <si>
    <t>The causal factors were:_x000D_
a. track worker A, in his role of site lookout, was distracted and not adequately observing the distant lookout or looking out for trains (paragraph 42, Learning point 1);_x000D_
b. track worker A stood on the up fast line when it was not necessary to do so (paragraph 49, Recommendation 1 and Learning point 2);_x000D_
c. the team leader, in his role as COSS, was not observing and correcting the unsafe actions of track worker A (paragraph 58, Learning point 3); and_x000D_
d. the distant lookout visible to track worker A at the time of the incident was providing warnings for another work group and so did not give a warning to track worker A when the train approached (paragraph 67). This causal factor arose due to a combination of the following:_x000D_
i. track worker B, who was the distant lookout for the lubrication team, had left his position prior to the arrival of train 1A19, because he thought he had been stood down (paragraph 69, Recommendation 2); and_x000D_
ii. the distant lookout visible to track worker A was from a different maintenance team and was looking out for trains approaching from the opposite direction (paragraph 78, Recommendation 3)._x000D_
Underlying factors_x000D_
120 The underlying factors were:_x000D_
a. the planning of routine inspection work by the rail testing and lubrication section at Peterborough depot had defaulted to using the least preferred ‘safe system of work’ in the hierarchy defined within Network Rail’s company standard NR/L2/OHS/019 (paragraph 86, Recommendations 4 and 5); and_x000D_
b. the current rules for communication between the COSS, and his/her intermediate or distant lookouts are impractical, leading to a disregard for the rules and the use of unofficial and uncontrolled practices (paragraph 104, Recommendation 2)</t>
  </si>
  <si>
    <t>HU-5716</t>
  </si>
  <si>
    <t>Train derailment, 21-07-18, Kunszentmárton (Hungary)</t>
  </si>
  <si>
    <t>Nr. 7224 passenger train  derailed on Nr 2. switch. 
A 7224 sz. vonat a 2. sz. váltón kisiklott</t>
  </si>
  <si>
    <t>Kunszentmárton</t>
  </si>
  <si>
    <t>a)	az egyenes csúcssín és a csúcssínfül kapcsolat megszakadt (szétesett) a csavarkötések tönkremenetele miatt,_x000D_
b)	a váltókezelo – a váltó átállítása után - nem gyozodött meg arról, hogy az egyenes csúcssín kello távolságra van-e a tosíntol. 
a) the connection between the straight top rail and the top rail is broken (broken) due to the failure of the screw connections,_x000D_
(b) the shift manager, after adjusting the shift, was not satisfied that the straight top rail was at a sufficient distance from the main rail.</t>
  </si>
  <si>
    <t>Közvetett okok_x000D_
a)	az egyenes csúcssín és a csúcssínfül kapcsolat helytelen szerelés miatt meglazulhatott,_x000D_
b)	a pályafelügyeleti ellenorzések során a csavarok lazultságát, kopottságát nem ismerték fel._x000D_
Gyökérokok_x000D_
a)	a váltók muszaki ellenorzési folyamatába ezeknek az alkatrészeknek a siklást eloidézo meghibásodásának az ellenorzése nincs beillesztve. 
Indirect causes_x000D_
(a) the straight top rail and the top rail connection may have become loose due to improper installation,_x000D_
b) loosening and wear of bolts was not detected during the course of track supervision inspections._x000D_
root Causes_x000D_
(a) the slip failure of these components is not included in the technical inspection of the transmission.</t>
  </si>
  <si>
    <t>CZ-5720</t>
  </si>
  <si>
    <t>Accident to persons caused by RS in motion, 26-07-18, Brno hlavní nádraÅ¾í station (Czech Republic)</t>
  </si>
  <si>
    <t>The injury of the train driver of the train No. 476 - electric shock from the train heating socket.</t>
  </si>
  <si>
    <t>Brno hlavní nádraÅ¾í station</t>
  </si>
  <si>
    <t>Direct cause:_x000D_
• the train driver of the train No. 476 unauthorizedly manipulated with the train heating socket of the locomotive 380.013-3 which was in “active shutdown” mode.</t>
  </si>
  <si>
    <t>Underlying cause:_x000D_
• the train driver's negligence during inspecting the locomotive when boarding a train No. 476._x000D_
_x000D_
Root cause: none.</t>
  </si>
  <si>
    <t>HU-5847</t>
  </si>
  <si>
    <t>Spad, 26-07-18, Debrecen (Hungary)</t>
  </si>
  <si>
    <t>The freight train No. 45481 passed the entry signal with red aspect. 
A 45481 sz. tehervonat meghaladta a Megállj-állású bejárati jelzot.</t>
  </si>
  <si>
    <t>a)	a mozdonyvezeto figyelmen kívül hagyta a „Megállj!”-jelzést adó második bejárati jelzot, és ezért nem muködtette idoben a fékberendezést, 
(a) the driver has ignored the second entry indicator giving the ‘Stop!’ signal and has therefore not operated the braking device in time,</t>
  </si>
  <si>
    <t>a)	a vonatbefolyásoló berendezés pályaoldali része nem muködött és nem figyelmeztette a mozdonyvezetot, hogy „Megállj!”-állású jelzohöz közeledik_x000D_
b)	a mozdonyvezeto nem is merte fel, hogy második bejárati jelzohöz közeledik 
(a) the trackside part of the train control device did not operate and did not warn the driver that he is approaching the signal at “Stop!” (b) the driver has not even realized that he was approaching a second entry indicator</t>
  </si>
  <si>
    <t>DE-5721</t>
  </si>
  <si>
    <t>Train derailment, 30-07-18, Groß Rohrheim (Germany)</t>
  </si>
  <si>
    <t>Am 30.07.2018 gegen 5:11 Uhr entgleiste RE 4550 (Laufweg: Mannheim Hbf – Frankfurt/M) bei der Einfahrt in den Bahnhof Groß-Rohrheim; Gleis 303 in der Weiche 303 mit 3 Drehgestellen. Die Zustimmung zur Einfahrt erfolgte am Einfahrsignal 328 auf Befehl. 
On 30.07.2018 at about 5:11, RE 4550 (itinerary: Mannheim Hbf – Frankfurt/M) derailed during the entry into the railway station Groß-Rohrheim; rail track 303 on switch 303 with 3 bogies. The approval for the entry followed at entry signal 328 by order.</t>
  </si>
  <si>
    <t>Groß Rohrheim</t>
  </si>
  <si>
    <t>Die Entgleisung des RE 4550 war auf eine betriebliche Fehlhandlung der zuständigen Fahrdienstleiterin (Fdl-in) in Biblis zurückzuführen. Die Zugfahrt RE 4550 wurde auf Befehl zugelassen, obwohl die spitz befahrene Weiche 303 als gestört zu betrachten war und nach den Bestimmungen der Richtlinie (Ril) 408 und Ril 482 nicht befahren werden durfte. 
The derailment of RE 4550 was due to an operational error on the part of the responsible traffic controller in Biblis. The train movement RE 4550 was authorised by order, although the sharp switch in 303 had to be considered as disturbed and could not be driven on in accordance with the provisions of the Directive 408 and the Directive 482.</t>
  </si>
  <si>
    <t>CZ-5725</t>
  </si>
  <si>
    <t>Level crossing accident, 31-07-18, open line between Písek and Putim stations (Czech Republic)</t>
  </si>
  <si>
    <t>Collision of the regional passenger train No. 8409 with the tractor with trailer and consequent derailment.</t>
  </si>
  <si>
    <t>open line between Písek and Putim stations</t>
  </si>
  <si>
    <t>Direct cause:_x000D_
• standing of the tractor at the railway loading gauge and the dangerous area of the level crossing No. P483 at the time of movement of the regional passenger train No. 8409 and visual and acoustic warnings were being given._x000D_
_x000D_
Contributory factor: none.</t>
  </si>
  <si>
    <t>Underlying cause:_x000D_
• behavior of the tractor driver in front of the level crossing – he wasn't careful enough._x000D_
_x000D_
Root cause: none.</t>
  </si>
  <si>
    <t>CZ-5726</t>
  </si>
  <si>
    <t>Level crossing accident, 01-08-18, open line between Kamenný Újezd u Ceských Budejovic station and Kamenný Újezd u Ceských Budejovic railway stop (Czech Republic)</t>
  </si>
  <si>
    <t>Collision of the long distance passenger train No. 1540 with a car at the level crossing.</t>
  </si>
  <si>
    <t>open line between Kamenný Újezd u Ceských Budejovic station and Kamenný Újezd u Ceských Budejovic railway stop</t>
  </si>
  <si>
    <t>PL-5737</t>
  </si>
  <si>
    <t>Level crossing accident, 02-08-18, Gniezno (Poland)</t>
  </si>
  <si>
    <t>On 02.08.2018 at 16:30, passenger train No. ECE 71005 running from Berlin Hbf to Warszawa Wschodnia, serviced by the locomotive series EU44-003 belonging to the railway carrier „PKP Intercity” S.A., at the category „A” level crossing, located along the poviat road no. 2152P ul. Gajowa in the city of Gniezno, serviced by the crossing guard at checkpoint No. 43 on line No. 353 Poznan Wsch. - Skandawa, trail Pierzyska - Gniezno, track No. 1, km 43.141 hit a cyclist who entered the railway-road level crossing directly in front of the approaching train, while barrier ramps were open. _x000D_
The cyclist entered the above-mentioned crossing from the right side in the direction of train movement and was hit by the left part of the locomotive's front. As a result of the impact, the cyclist was thrown away at a distance of 25 meters from the axis of the passage towards track No. 2 and died on the spot. After the incident, the front of the locomotive stopped at km. 43,787 i.e. 646 meters from the place of the event.</t>
  </si>
  <si>
    <t>Gniezno</t>
  </si>
  <si>
    <t>Railway vehicle run into a cyclist who entered the category „A” level crossing when the barrier ramps opened prematurely, directly in front of a coming train No. ECE 71005 running from Berlin Hbf. to Warszawa Wschodnia, operated by the „PKP Intercity” S.A. railway carrier.</t>
  </si>
  <si>
    <t>Primary causes:_x000D_
•	Crossing guard opened barrier ramps of checkpoint No. 43 after the train No. 57314 passed the crossing, despite having received notification of the incoming ECE 71005 train._x000D_
•	The cyclist failed to exercise sufficient caution, entering the level crossing without making sure that no railway vehicle is approaching, contrary to the provisions of art. 28 para. 1 and 2 of the Act of 20 June 1997 - Road Traffic Code (Journal of Laws of 2017, item 1260, as amended)._x000D_
_x000D_
Indirect causes:_x000D_
•	No reaction of the cyclist to the audible signals given by the locomotive of the ECE 71005 train, as well as gestures and screams of other road users, warning the cyclist of the approaching train. _x000D_
•	The driver of the locomotive of the ECE 71005 train applied the emergency braking procedure too late, only after the cyclist entered the crossing._x000D_
•	The crossing guard failed to react appropriately and used the switches for normal closing of the barrier instead of emergency closing switches._x000D_
•	The driver's assistant failed to apply the emergency brake (so-called emergency brake button)._x000D_
_x000D_
Systemic causes:_x000D_
Obligatory use of the pre-warning time for closing the crossing barier posts, consisting of displaying a light signal in accordance with the current regulation for all category A crossings services locally.</t>
  </si>
  <si>
    <t>RO-5727</t>
  </si>
  <si>
    <t>Train derailment, 05-08-18, Alesd (Romania)</t>
  </si>
  <si>
    <t>the first and the second wagon from the freight train no.32101 (empty wagons) derailed in Alesd railway station, on the switch no.R46</t>
  </si>
  <si>
    <t>Alesd</t>
  </si>
  <si>
    <t>Cauza directa_x000D_
Cauza directa a producerii accidentului o constituie escladarea sabotului de mâna, de catre prima roata din dreapta în raport cu sensul de mers de la vagonul nr.81536655251-2, urmata de caderea ro?ii în interiorul caii._x000D_
Escaladarea sabotului de mîna de catre roata, s-a produs în condi?iile în care trenul a fost expediat în timp ce sabotul era amplasat sub roata. _x000D_
Factori care au contribuit:_x000D_
•	neridicarea sabotului de mâna de la roata primului vagon din compunerea trenului nr. 32101, înainte de expedierea trenului;_x000D_
•	nedepistarea la supravegherea prin defilarea trenului, a rotilor blocate si/sau a mersului frânat necomandat;_x000D_
•	înscrierea în registrul unificat de cai libere, comenzi si miscare al statiei, a unui înscris neconform cu realitatea, privitor la faptul ca a fost ridicat sabotul de mâna de la primul vagon din compunerea trenului nr. 32101;_x000D_
•	acceptarea ?i confirmarea prin semnatura a unui înscris neconform cu realitatea, în registrul unificat de cai libere, comenzi si miscare, privitor la faptul ca a fost ridicat sabotul de mâna de la primul vagon din compunerea trenului nr. 32101;_x000D_
•	neverificarea faptica a existen?ei sau lipsei de pe rastel a sabotului de mâna, care trebuia ridicat de la roata primului vagon din compunerea trenului nr. 32101; 
Direct cause_x000D_
The direct cause of the accident is the first right wheel from the wagon no. 81536655251-2 climbed the drag shoe, in the running direction, then it fell inside the track._x000D_
The climbing of the drag shoe by the wheel happened in the conditions of the train dispatching with the shoe put under the wheel. _x000D_
Contributing factors:_x000D_
•	the drag shoe from the wheel of the first wagon of the train no. 32101 was not removed before the train dispatch;_x000D_
•	one did not see during the visual inspection made as the train passed of wheel blocked and/or of the non-ordered braked running;_x000D_
•	recording in the unified register for free routes, orders and movement of the railway station of a document that did not meet with the reality, concerning the fact that the drag shoe from the first wagon of the train no. 32101 was removed;_x000D_
•	acceptance and confirmation upon signature of a document not in accordance with the reality, in the unified register for free routes, orders and movement, about the fact that the drag shoe was removed from the first wagon of the train no. 32101;_x000D_
•	not-checking of the existence or of the missing from the rack of the drag shoe, that had to be removed from the first wagon of the train no. 32101;</t>
  </si>
  <si>
    <t>Cauze subiacente_x000D_
1.	Nerespectarea prevederilor art. 75. – (1) din Regulament pentru circula?ia trenurilor ?i manevra vehiculelor feroviare – nr.005/2005, referitor la raspunderea pentru ridicarea sabotilor de mâna;_x000D_
2.	Nerespectarea prevederilor fisei 24 PTE al statiei Alesd, privitor la amplasarea rastelui pentru sabotii de mâna în biroul de miscare;_x000D_
3.	Nerespectarea prevederilor art. 15. – (1) din Instructiuni privind revizia tehnica si întretinerea vagoanelor în exploatare, nr 250/2005 privitor la depistarea defectelor  ce se pot auzi sau observa numai în timpul mersului, respectiv roti blocate sau mers frânat necomandat;_x000D_
_x000D_
Cauze primare _x000D_
-	Neidentificarea pericolului rezultat din manipularea necorespunzatoare a sabotului de mâna, în cadrul procesului tehnologic de formare, compunere si expediere a trenurilor în statiile de formare. 
Root causes _x000D_
-	Non-identification of the danger resulted from the unsuitable operation of the drag shoe  during the technologic process of forming, composing and dispatching of the trains in the forming stations.</t>
  </si>
  <si>
    <t>NO-5733</t>
  </si>
  <si>
    <t>Other event, 08-08-18, Bjørnfjell (Norway)</t>
  </si>
  <si>
    <t>On Wednesday August 8, 2018, a fire occurred in a building (snow cover tunnel) at the Ofotbanen line. The fire was notified to the fire department a little before 11 o'clock on Wednesday morning, and when they arrived there was a full fire in the building. There were several gas bottles that exploded in the fire, which made it challenging to extinguish the fire. Some of the wood was deposited with creosote, which caused toxic smoke. The line was closed for several days after the fire. 
Onsdag 8. august 2018 oppstod brann i et snøoverbygg på Ofotbanen. Brannen ble varslet til brannvesenet litt før klokken 11 onsdag formiddag, og da de ankom var det full fyr i bygget. Det var flere gassflasker som eksploderte i brannen, og dette gjorde slukkearbeidet utfordrende. Noe av treverket var innsatt med kreosot, og dette medførte giftig røyk. Strekningen var stengt i flere dager etter brannen.</t>
  </si>
  <si>
    <t>Bjørnfjell</t>
  </si>
  <si>
    <t>In the morning of 8 August 2018, a snow shed near Bjørnfjell station on the Ofotbanen line burnt to
the ground. Before the fire, a work team from Taraldsvik Maskin AS had carried out maintenance
work on the tracks in the snow shed. The work was part of a major maintenance project carried out
in summer 2018. Bane NOR SF was the client. Three days of work on the section between
Bjørnfjell and Narvik remained to complete the project.
The safe job analysis carried out by the contractor immediately before the work began did not
include hot work in the snow shed. No extra fire safety measures were implemented inside the snow
shed, and nor was a fire watch posted for one hour after the completion of the last of the hot work as
required by Bane NOR SF.
The last of the two welding jobs inside the snow shed was done at around 09:20. The last member
of the work team left the snow shed at around 10:10, when the construction site restrictions were
lifted. The work team had left Bjørnfjell by 10:30. At 10:40, an ore train from LKAB passed the site
and the driver claims to have smelled smoke in the snow shed. Witnesses notified the police of the
fire at 10:53. It took 48 minutes from the fire service was notified until they arrived on the scene. Gas cylinders left in the snow shed delayed the fire-extinguishing efforts. The structure was
reported to be completely burnt down at 13:16.
The AIBN's investigation of the incident has identified several factors of importance to safety. The
AIBN is of the opinion that the most probable cause of the fire was the hot work carried out in the
snow shed. The incipient fire was not discovered in time because of the failure to keep watch after
the hot work was completed. The risk of fire in the wooden snow shed had not been sufficiently
managed during the preparations for the work. Bane NOR had little focus on the contractor’s
compliance with fire safety requirements. The safe job analysis (SJA) did not cover hot work in the
snow shed. The AIBN is of the opinion that Bane NOR SF, as the client and the party defining the
requirements, should to a greater extent follow up when a SJA is to be used, how to carry out a SJA
and why.
The AIBN submits two safety recommendations to Bane NOR SF in connection with this case. One
concerns Bane NOR SF’s fire safety requirements. The other concerns the quality of suppliers’ safe
job analyses work.</t>
  </si>
  <si>
    <t>RO-5731</t>
  </si>
  <si>
    <t>Runaway, 09-08-18, Rapa de Jos - Deda (Romania)</t>
  </si>
  <si>
    <t>the freight train no. 80609 that running between Rapa de Jos and Deda railway stations overran the maximum speed admitted for that section, and the engine driver stated that the brake didn't work properly.</t>
  </si>
  <si>
    <t>Rapa de Jos - Deda</t>
  </si>
  <si>
    <t>Cauza directa a producerii incidentului o constituie efectul necorespunzator al masurilor de frânare luate în timpul circula?iei trenului pe o por?iune de linie în panta. _x000D_
Factorii care au contribuit la producerea incidentului au fost:_x000D_
-	neefectuarea probei de continuitate a frânei automate, înainte de plecarea trenului din sta?ia CFR Beclean pe Some?;_x000D_
-	nesesizarea efectului nesatisfacator de frânare, dupa efectuarea verificarii eficacita?ii frânei automate ?i neluarea masurilor ce se impuneau; _x000D_
-	manipularea frânei automate prin efectuarea de frânari ?i defrânari repetate sau ac?ionarea concomitenta, atât a robinetului mecanicului KD2 (frâna automata a trenului) cât ?i a robinetului FD1 (frâna directa a locomotivei); _x000D_
-	neutilizarea frânei electrice a locomotivei în timpul circula?iei pe panta, pe distan?a Monor Gledin - Deda. 
The direct cause of the incident was the inadequate effect of the braking measures taken during the train running on a slope track section._x000D_
Contributing factors:_x000D_
-	nonperformance of the continuity test of the automatic brake, before the train leave Beclean pe Some? railway station;_x000D_
-	not-remarking of the unsatisfactory braking effect, after checking the effectiveness of the automatic brake and not taking of the necessary measures; _x000D_
-	operation of the automatic brake, applying and releasing the brake repeatedly or the simultaneous operation both of driver’s automatic brake valve KD2 (train automatic brake) and  of the valve FD1 (straight air brake); _x000D_
-	non-use of the locomotive electric brake during the running on slope, between Monor Gledin - Deda</t>
  </si>
  <si>
    <t>Cauzele subiacente ale producerii incidentului au fost nerespectarea unor prevederi din urmatoarele instruc?ii ?i regulamente în vigoare:_x000D_
1.	Îndrumatorul de exploatare pentru LE 060 EA de 5100 kW , Editura ASAB – 2007,  referitor la probele ?i verificarile care trebuie efectuate la luarea locomotivei în primire ?i pregatirea acesteia pentru un nou serviciu._x000D_
2.	 Regulamentul de remorcare ?i frânare Nr.006/2005, referitor la: efectuarea probelor de frâna, verificarea eficacita?ii frânei automate, modul de  efectuare a frânarilor de serviciu, totale ?i rapide  precum ?i utilizarea frânei electrice la circula?ia pe pante._x000D_
_x000D_
Nu au fost identificate cauze primare ale producerii acestui incident. 
Underlying causes of the incident were the non-compliance with some provisions from the next instructions and regulations in force:_x000D_
1.	The operation guide for LE 060 EA of 5100 kW , Edition ASAB – 2007,  concerning the tests and checking that have to be performed for taking over and prepare of the locomotive for a new service._x000D_
2.	 Regulations for hauling and braking No.006/2005, concerning: performance of the braking tests, checking of the automatic brake effectiveness, way to perform the service brakes, emergency and full service application, as well as the use of the electric brake for the running on slopes.</t>
  </si>
  <si>
    <t>AT-5857</t>
  </si>
  <si>
    <t>Train derailment, 08-11-18, Bf Neubau-Kreuzstetten (Austria)</t>
  </si>
  <si>
    <t>On November 8, 2018, at approx. 7:33 p.m. Z 47395 derailed when leaving the station Neubau-Kreuzstetten in the area of the switch heart of switch 2._x000D_
The derailment was not noticed during the journey. For this reason, the journey between the station Neubau-Kreuzstetten and the station Schleinbach continued in the derailed state for approx. 10 km before the train came to a standstill with an emergency stop in the station Schleinbach._x000D_
_x000D_
As a result, the infrastructure was damaged over 10 kilometers, until it came to an emergency stop. 
Am 08. November 2018, um ca. 19:33 Uhr entgleiste Z 47395 bei der Ausfahrt aus dem Bf Neubau Kreuzstetten im Bereich des Weichenherzes der Weiche 2._x000D_
Die Entgleisung wurde während der Fahrt nicht bemerkt, weshalb die Fahrt zwischen dem Bf Neubau-Kreuzstetten und Bf Schleinbach im entgleisten Zustand ca. 10 km fortgesetzt wurde, ehe der Zug auf Grund einer Zwangsbremsung im Bf Schleinbach zum Stillstand kam._x000D_
_x000D_
In der Folge wurde die Infrastruktur über 10 Kilometer beschädigt, bis es zu einer Zwangsbremsung kam.</t>
  </si>
  <si>
    <t>Bf Neubau-Kreuzstetten</t>
  </si>
  <si>
    <t>Ursache für die Zugentgleisung von Z 47395 am 08. November 2018 waren zwei, vor der Zugfahrt nicht entfernte Hemmschuhe. Diese Hemmschuhe waren am ersten und zweiten Drehgestell von Wagen 1 in Fahrtrichtung rechts unterlegt. Bei der Abfahrt des Zuges wurden beide Hemmschuhe mitgeschleift und brachten die Wagen 1 und 2 im Bereich des Weichenherzes der Weiche 2 im Bf Neubau-Kreuzstetten zum Entgleisen. 
The train derailment of Z 47395 on 08 November 2018 was caused by two obstruction shoes which had not been removed before the train movement. These inhibitor shoes were placed on the first and second bogies of wagon 1 in the right-hand direction. When the train departed, both inhibitor shoes were cut and wagons 1 and 2 were taken to derail at the point of switch 2 in the Neubau-Creuzstetten station.</t>
  </si>
  <si>
    <t>Am 07. November 2018 wurde der Zug im Bf Neubau-Kreuzstetten, für die Weiterfahrt am 08. November 2018, hinterstellt. Der Zug wurde dabei mit der Federspeicherbremse des Tfz und zusätzlich mit zwei Hemmschuhen gesichert. Die Sicherungsart wurde nicht in der Wagenliste vermerkt, weshalb der/die Tfzf des Z 47395 bei der Übernahme keine Information über die Sicherungsart hatte. Die Sicherung des Zuges mittels Federspeicherbremse des Tfz hätte ausgereicht._x000D_
Vor der Abfahrt von Z 47395 hätten im Zuge der Zugvorbereitung die Hemmschuhe festgestellt und entfernt werden müssen. 
On 07 November 2018, the train was posted to the Neubau-Kreuzstetten station for the onward journey on 08 November 2018. The train was secured with the spring storage brake of the Tfz and in addition with two inhibitors. The type of fuse was not mentioned in the wagon list, which is why the vehicle of the Z 47 395 did not have information about the type of fuse when it was taken over. The securing of the train by means of the spring storage brake of the Tfz would have been sufficient. Before leaving Z 47395, the inhibition shoes should have been detected and removed during the preparation of the train.</t>
  </si>
  <si>
    <t>IE-5739</t>
  </si>
  <si>
    <t>Other event, 12-08-18, Ashtown Station Dublin 7 (Ireland)</t>
  </si>
  <si>
    <t>Wrongside Door Failure on 29000 DMU at Ashtown Station, Dublin 7</t>
  </si>
  <si>
    <t>Ashtown Station Dublin 7</t>
  </si>
  <si>
    <t>The immediate cause of the wrongside door failure was as a result of unwanted contact of the Door Interlock Loop crimp with the battery positive spade, resulting in the Door Interlock Loop circuit completing, when a door was opened by a passenger on the front set and the doors of the rear set remained closed</t>
  </si>
  <si>
    <t>Underlying cause (UC) associated with the incident was:_x000D_
•	UC-01 – Vehicle Maintenance Instruction (VMI) Z1C29A0001 did not require a thorough examination of all parts of the autocoupler after the collision on the 6th June 2018, despite the examination identifying damage to the exterior of the autocoupler;_x000D_
•	UC-02 – Scheduled maintenance did not detect that Crimps 38 and 39 had detached from their associated spades._x000D_
A root causes (RC) associated with the incident was:_x000D_
•	RC-01 – CME-SMS-006, Hazards &amp; Risk Assessments, was not robust in identifying the risks associated with lack of insulation on the crimp and the risks of not carrying out a thorough examination of all parts of the autocoupler after an accident</t>
  </si>
  <si>
    <t>RO-5732</t>
  </si>
  <si>
    <t>Train derailment, 12-08-18, Malu Mare - Banu Maracine (Romania)</t>
  </si>
  <si>
    <t>the freight train no.80315 composed of 23 tank wagons loaded with biodiesel fuel, overpassed the exit signal of the railway station  Malu Mare and derailed on the track 1 of the Carcea viaduct</t>
  </si>
  <si>
    <t>Malu Mare - Banu Maracine</t>
  </si>
  <si>
    <t>Cauza directa a producerii accidentului grav o constituie eroarea umana aparuta în procesul de conducere al trenului, ce a constat în nerespectarea de catre personalul de locomotiva a indica?iei semnalului luminos de ie?ire X II al h.m. Malu Mare, respectiv „Opre?te fara a depa?i semnalul”, ceea ce a avut drept consecin?e: deraierea locomotivei, a primelor 10 vagoane ?i caderea primului tablier al viaductului Cârcea împreuna cu vagoanele aflate pe acesta._x000D_
_x000D_
Factori care au contribuit:_x000D_
?	neurmarirea semnalului luminos de intrare X al h.m. Malu Mare ce a avut indica?ia „LIBER cu viteza stabilita. ATENTIE! Semnalul urmator ordona oprirea”;_x000D_
?	conducerea ?i deservirea locomotivei cu instala?ia INDUSI izolata din punct de vedere pneumatic;_x000D_
?	conducerea ?i deservirea locomotivei de remorcare a trenului de marfa nr.80315 de catre personal a carei stare fizica era afectata de:_x000D_
-	consumul de bauturi alcoolice;_x000D_
-	oboseala acumulata ca urmare a depa?irii duratei serviciului continuu maxim admis pe locomotiva;_x000D_
?	tolerarea, de ?eful de tren, a consumului de bauturi alcoolice de catre mecanic în timpul serviciului. 
The direct cause of the serious accident is the human error appeared in the train driving, that is the locomotive staff did not meet with the position of the light exit signal X II of the railway station Malu Mare, respectively  „Stop without passing the signal in stop position”, leading to : the derailment of the locomotive, of the first 10 wagons and the fall of the deck bridge of the viaduct Cârcea together with the wagons being on it._x000D_
_x000D_
Contributing factors:_x000D_
?	not paying attention to the entry light signal X of the railway station Malu Mare with the position „FREE with the speed established. CAUTION! The next signal orders stop”;_x000D_
?	the locomotive driving and operation with INDUSI equipment isolated, from pneumatic point of view;_x000D_
?	the driving and operation of the locomotive, hauling the freight train no.80315 by staff with a physical condition affected by:_x000D_
-	alcoholic drinks consumption;_x000D_
-	fatigue cumulated following the exceeding of the limit of the maximum continuous duty accepted for the locomotive;_x000D_
?	tolerance by the train guard, of the consumption of alcoholic drinks of the driver during the duty.</t>
  </si>
  <si>
    <t>Cauze subiacente_x000D_
?	nerespectarea prevederilor:_x000D_
-	art.59-(4) din Regulamentul de exploatare tehnica feroviara nr.002/2001, care interzic depa?irea unui semnal care ordona oprirea; _x000D_
-	art.23, alin.(2), coroborat cu art.21 din Regulamentul de semnalizare nr.004/2006, referitoare la respectarea indica?iei semnalului luminos de ie?ire, care avea indica?ia ,,OPRESTE fara a depa?i semnalul” (o unitate luminoasa de culoare ro?ie, spre tren);_x000D_
?	nerespectarea prevederilor art.127, alin.(1), lit.a), g) si art.127, alin.(2) din Instruc?iuni pentru activitatea personalului de locomotiva în transportul feroviar nr.201/2007, cu privire la obliga?ia personalului de locomotiva ca, în remorcarea trenului, sa urmareasca cu aten?ie indica?ia semnalelor fixe ?i sa ia masurile impuse de observa?iile efectuate în timpul parcursului;_x000D_
?	nerespectarea prevederilor Anexei 2, art.2(2), din Instruc?iunile pentru activitatea personalului de locomotiva în transportul feroviar nr.201/2007, unde se men?ioneaza ca este interzisa scoaterea  din func?ie a sistemului pneumatic de descarcare a conductei generale de frâna, astfel încât, de?i instala?iile de siguran?a, vigilen?a ?i control al vitezei trenurilor comanda frânarea trenului, descarcarea conductei generale de frâna a trenului sa fie împiedicata;_x000D_
?	nerespectarea prevederilor art.9, alin.(1), lit.o) din Instruc?iunile pentru activitatea personalului de locomotiva în transportul feroviar nr.201/2007, referitoare la obliga?ia personalului de locomotiva de a efectua opera?iile prevazute în instruc?iunile specifice, pentru sistemele de siguranta circulatiei instalate pe locomotiva; _x000D_
?	nerespectarea prevederilor art.37, alin.(3), lit.j), din Instruc?iunile pentru activitatea personalului de locomotiva în transportul feroviar nr.201/2007, unde se men?ioneaza ca, la punerea în serviciu a locomotivei personalul de locomotiva trebuie sa efectueze verificarea func?ionarii corecte a instala?iilor de siguran?a, vigilen?a, controlul vitezei trenului ?i înregistrare a parametrilor locomotivei precum ?i a sigiliilor aplicate la acestea._x000D_
?	nerespectarea prevederilor art.1din OMTTc nr.855 din 24 februarie 1986 privind unele masuri pentru întarirea disciplinei în unita?ile Ministerului Transporturilor ?i Telecomunica?iilor, ?i ale art.12, alin.(1), lit.b) din Instruc?iunile pentru activitatea personalului de locomotiva în transportul feroviar nr.201/2007 ?i fi?ei postului, care interzic personalului de locomotiva sa consume în timpul serviciului bauturilor alcoolice;_x000D_
?	nerespectarea prevederilor art.3 lit.b) din Normele privind serviciul continuu maxim admis pe locomotiva, efectuat de personalul care conduce ?i/sau deserve?te locomotive în sistemul feroviar din România, aprobate prin Ordinul MT nr.256/2013, referitoare la durata serviciului continuu maxim admis pe locomotiva în cazul conducerii/deservirii locomotivei în sistem simplificat - fara mecanic ajutor;_x000D_
?	nerespectarea prevederilor art.16, din Regulamentul de investigare a accidentelor ?i a incidentelor, de dezvoltare ?i îmbunata?ire a siguran?ei feroviare pe caile ferate ?i pe re?eaua de transport cu metroul din România, aprobat prin Hotarârea de guvern nr.117/2010, referitoare la  obliga?iile ?i raspunderilor personalului operatorilor economici care desfa?oara opera?iuni de transport pe calea ferata;_x000D_
?	nerespectarea prevederilor din Reglementari interne privind verificarea personalului GFR din punct de vedere al consumului de bauturi alcoolice ?i stupefiante referitoare la „obliga?ia de a sesiza de îndata ?efului sau ierarhic sau conducatorul unita?ii, cazurile în care unele persoane sub influen?a alcoolului sau substan?elor stupefiante urmeaza sa intre în serviciu sau sa continue serviciul”._x000D_
_x000D_
Cauze primare_x000D_
?	lipsa unor prevederi concrete, din „Reglementarile interne privind verificarea personalului GFR din punct de vedere al consumului de bauturi alcoolice ?i substan?elor stupefiante”, referitoare la modul de efectuare ?i consemnare a rezultatelor verificarii personalului la intrarea în serviciu, fapt ce a condus la o serie de nereguli în aceasta activitate; _x000D_
?	nerespectarea prevederilor art.4.2. din dispozi?ia nr.7 a Directorului General al SC GFR SA, conform carora, în cazul trenurilor de marfa care circula pe distan?e mai mari de 50 km, durata serviciului continuu maxim pe locomotiva se reduce cu o ora fa?a de prevederile Ordinului 256/2013. 
. Underlying causes_x000D_
?	violation of the provisions:_x000D_
-	art.59-(4) from the Regulations for the railway technical operation no.002/2001, that prohibits the passing of the signal in stop position; _x000D_
-	art.23, paragraph (2), corroborated with art.21 from the Signalling Regulations no.004/2006, regarding the compliance with the position of the light exit signal, having the position ,STOP without passing the signal in stop position” (a light unit of red colour, to the train);_x000D_
?	violation of the provisions of art.127, paragraph (1), letters a), g) and of art.127, paragraph (2) from Instructions for the activity of the locomotive crew no.201/2007, regarding the obligation of the locomotive crew that, during the train hauling, pay attention to the position of the fixed signals and take the measures imposed by the remarks done along the route;_x000D_
?	violation of the provisions from the Annex 2, art.2(2), from the Instructions for the activity of the locomotive crew no.201/2007, where it is stipulated  that  it is prohibited to take out of service the pneumatic system for the evacuation of the general brake pipe, so, although the installations for safety, vigilance and control of the train speed order the train braking, the evacuation of the general brake pipe shall be prevented;_x000D_
?	violation of the provisions from art.9, paragraph (1), letter o) from the Instructions for the activity of the locomotive crew no.201/2007, regarding the obligation of the locomotive staff to run the operations stipulated in the specific instructions, for the systems of traffic safety, fitted up in the locomotive; _x000D_
?	violation of the provisions of art.37, paragraph (3), letter j), from the Instructions for the activity of the locomotive crew no.201/2007, where it is stipulated that, at the taking into operation of the locomotive, the locomotive crew has to check the right working of the installations of safety, vigilance, control of the train speed and the recording of the locomotive parameters and of the seals applied them._x000D_
?	violation of the provisions  of art.1 from the Order of Minister of Transports and Telecommunications no.855 from the 24th February 1986 regarding some measures for the strengthening of the discipline in the units of the Ministry of Transports and Telecommunications, and of art.12, paragraph (1), letter b) from the Instructions for the activity of the locomotive crew no.201/2007 and the Job descriptions, that prohibits the locomotive staff to drink alcoholic drinks during the duty;_x000D_
?	violation of the provisions of  art.3 letter b) from Norms for the maximum continuous duty in the locomotive, done by the staff in charge with the driving and/or operation of the locomotive in Romania, approved by the Minister of Transports’ Order no.256/2013, regarding the time of the maximum continuous service accepted for the locomotive, in case of driving/operation of the locomotive by the driver – without the driver’s assistant;_x000D_
?	violation of the provisions of art.16, from the Regulations for the investigation of the accidents and incidents, for the development and improvement of Romanian railway and metro safety, approved by the Government Decision no.117/2010, regarding the obligations and responsibilities of the economic operators staff that performs railway transports;_x000D_
?	violation of the provisions from Internal regulations for the checking of GFR staff, regarding the consumption of the alcoholic drinks and drugs, with reference to „obligation to notify the hierarchical head or the unit manager, about the cases of persons under the influence of the alcohol or drugs that have to begin the duty or to continue it”._x000D_
_x000D_
Root causes _x000D_
?	absence of some concrete provisions, from „Internal regulations for the checking of GFR staff regarding the consumption of the alcoholic drinks and drugs „ regarding the way to perform the check and record the results of it for the staff when he begins the duty, it leading to a series of irregularities in this activity; _x000D_
?	violation of the provisions of art.4.2. from the disposal no.7 of SC GFR SA general manager, according that, in case of freight trains running over 50 km, the length of the maximum continuous duty for the locomotive is reduced with one hour as against the provisions of Order 256/2013.</t>
  </si>
  <si>
    <t>CZ-5734</t>
  </si>
  <si>
    <t>Train derailment, 15-08-18, Praha-VrÅ¡ovice station (Czech Republic)</t>
  </si>
  <si>
    <t>The derailment of four rolling stocks of the freight train No. 56118.</t>
  </si>
  <si>
    <t>Direct cause:_x000D_
• break of the main leaf spring of the left wheel of the 1 st axle of the rolling stock No. CZ-COAL 84 54 6680 739-1, which was resulting in the loss of the vertical wheel force of the respective wheel.</t>
  </si>
  <si>
    <t>Underlying cause:_x000D_
• failure to secure maintenance in the range, that ensures the appropriate technical condition of the rolling stock No. CZ-COAL 84 54 6680 739-1 all the time when it is used in the rail transport operation._x000D_
Root cause: none.</t>
  </si>
  <si>
    <t>CH-5750</t>
  </si>
  <si>
    <t>Train derailment, 16-08-18, Basel freight station (Switzerland)</t>
  </si>
  <si>
    <t>Five freight wagons loaded with cement derailed at the Basel freight station. Some wagons fell to one side. A derailed freight wagon collided with another freight wagon on the neighboring track.
The right-hand rail has been broken up into several pieces and the track has been heavily damaged over some 40 m.</t>
  </si>
  <si>
    <t>Basel freight station</t>
  </si>
  <si>
    <t>Rheinland Cargo Schweiz GmbH, Basel</t>
  </si>
  <si>
    <t>SBB- Infrastruktur, Bern</t>
  </si>
  <si>
    <t>The derailment of a freight train while passing through Basel SBB RB in the on track D63 in the direction of Pratteln is due to the fact that the outer rail of the curve broke during the journey due to material fatigue inside the rail head. As a result, the rail broke in the vicinity of the first fracture. The rail subsequently broke at seven other points near the first break</t>
  </si>
  <si>
    <t xml:space="preserve">• No ultrasonic testing has been carried out since the rails were installed.
• The IM did not recognize that ultrasonic testing had not been carried out for individual tracks.
• Maintenance measures such as grinding and tamping, which are necessary during the service life of a roadway, were not carried out.
• The dates for planned maintenance measures were postponed several times.
</t>
  </si>
  <si>
    <t>CZ-5735</t>
  </si>
  <si>
    <t>Level crossing accident, 16-08-18, CíÅ¾ová station (Czech Republic)</t>
  </si>
  <si>
    <t>Collision of the regional passenger train No. 7912 with the tractor with the trailer and consequent derailment at level crossing</t>
  </si>
  <si>
    <t>CíÅ¾ová station</t>
  </si>
  <si>
    <t>Underlying cause:_x000D_
• driver's failure to respect of the light and sound warning and ride at the level crossing at the time when it was forbidden;_x000D_
• behavior of the driver in front of the level crossing, the tractor driver wasn't careful enough._x000D_
_x000D_
Root cause: none.</t>
  </si>
  <si>
    <t>CZ-5736</t>
  </si>
  <si>
    <t>Train derailment, 17-08-18, Rýmarov operation control point (Czech Republic)</t>
  </si>
  <si>
    <t>Unsecured movement of the freight train No. 81013 with consequent derailment of one rolling stock.</t>
  </si>
  <si>
    <t>Rýmarov operation control point</t>
  </si>
  <si>
    <t>Direct cause:_x000D_
• movement of the freight train No. 81013 through the switch No. 8, which was not properly set at the departure time of the train._x000D_
_x000D_
Contributory factor:_x000D_
• failure to detect the actual position of the last rolling stock of the freight train No. 81013 which stood in the area of the switch No. 8 and in front of its beginning.</t>
  </si>
  <si>
    <t>Underlying cause:_x000D_
• movement of the freight train No. 81013 through the unsecured switch No. 8 which was not equipped with a mechanical lock to cover it and therefore it mustn't be traveled by the train._x000D_
_x000D_
Root cause: none.</t>
  </si>
  <si>
    <t>IE-5740</t>
  </si>
  <si>
    <t>Level crossing accident, 17-08-18, Level Crossing XM 220 Claremorris, Co Mayo (Ireland)</t>
  </si>
  <si>
    <t>Collision at Level Crossing XM220, Claremorris Co Mayo</t>
  </si>
  <si>
    <t>Level Crossing XM 220 Claremorris, Co Mayo</t>
  </si>
  <si>
    <t>The immediate cause of the accident was that the Truck Driver did not stop at LC XM220 to look for approaching trains, as required; but instead drove onto LC XM220, into the path of the oncoming train.</t>
  </si>
  <si>
    <t>The gates at LC XM220 were left open by the previous user (which was normal at this level crossing), allowing the truck to drive onto the track without stopping to look for approaching trains;_x000D_
The Truck Driver may have been distracted due to the driving manoeuvre and works he was about to undertake and the weather conditions at the time;_x000D_
On the approach to LC XM220, the Truck Driver was not thinking about approaching trains; the traffic calming measures on site (such as the advance warning signs) may not be adequate at communicating to the users that they are approaching a railway line;_x000D_
IÉ-IM have not taken sufficient actions at LC XM220 to prevent its regular misuse</t>
  </si>
  <si>
    <t>UK-5760</t>
  </si>
  <si>
    <t>Level crossing near miss, 17-08-18, Bagillt UWC (United Kingdom)</t>
  </si>
  <si>
    <t>At around 12:56 hrs on Friday 17 August, a passenger train passed over a user worked level crossing, near Bagillt, North Wales, shortly after a user with a heavy good vehicle had completed using the crossing. The train, the 09:53 Manchester Piccadilly to Holyhead service, was travelling at around 75 mph (121 km/h). The private level crossing, which gives access to industrial premises, is only used by vehicles which are too tall to pass under a nearby bridge. The route over the crossing goes over two widely spaced tracks, and the crossing gates are 25 metres apart. The gates are kept locked. The crossing is fitted with telephones for users to contact the signaller and request permission to cross. To use this crossing, vehicle drivers must unlock and open both gates on foot, drive their vehicle over and reclose and lock both gates on foot._x000D_
The user requested permission to cross the railway with a ‘wagon’, and the signaller, based at the Wales Railway Operations Centre in Cardiff, granted it._x000D_
There had been similar previous occurrences at this crossing, on 31 October 2017 and 10 December 2014. At those times the level crossing was supervised by signallers based locally at Holywell Junction signal box.</t>
  </si>
  <si>
    <t>Bagillt UWC</t>
  </si>
  <si>
    <t>An abnormally heavy vehicle was permitted to use Bagillt level crossing without signal protection.</t>
  </si>
  <si>
    <t>Causal factors_x000D_
144 The causal factors were:_x000D_
a. the crossing user did not describe the road vehicle as large when speaking with the signaller (paragraph 50, Recommendation 1, Learning point 1);_x000D_
b. the signaller did not establish the size of the road vehicle during his conversation with the user (paragraph 60, Recommendation 1, Learning points 2 and 3); and_x000D_
c. information provided to the signaller before the incident did not identify the high probability that users of Bagillt UWC-T would be crossing with large vehicles, in part because only some of the relevant information had been obtained by level crossing managers (paragraph 68, Recommendation 1)._x000D_
Underlying factors_x000D_
145 The underlying factors were:_x000D_
a. Network Rail’s level crossing risk management process does not provide signallers, other railway staff or crossing users with a coherent and consistent process for deciding whether a vehicle should be treated as large, low or slowmoving when using a UWC-T (paragraph 79, Recommendation 1); and_x000D_
b. Network Rail’s level crossing management processes do not provide an effective interface between signallers and UWC-T users (paragraph 99, Recommendation 1).</t>
  </si>
  <si>
    <t>PL-5751</t>
  </si>
  <si>
    <t>Level crossing accident, 23-08-18, Nowy Targ - Szaflary (Poland)</t>
  </si>
  <si>
    <t>On 23 August 2018 at 11:17, after passing the B20 "STOP" warning sign, a red car with a blue "L" sign (a driving instruction vehicle of the Malopolska Road Traffic Center in Nowy Targ) entered the "D" category rail-road level crossing constituting the intersection of the internal road (managed by the Mayor of Nowy Targ) which is an extension of Kolorowa Street and the railway line No. 99 Chabówka - Zakopane at km 25,749 (Szaflary railway station). The driving instruction vehicle driven by the person undergoing the examination stopped at the crossing platform centrally on the track axis. After a dozen or so seconds the examiner got out of the said car and hurried away from the track towards Kolorowa Street. The car moved forward covering a distance of about 0.5 meters, and immediately thereafter was hit by a passenger train No. ROJ 33397 composed of the Electric Traction Unit EZT EN99-004 and EN63-003 of the carrier Przewozy Regionalne Sp. z o. o. Malopolska Branch running the route Chabówka - Zakopane._x000D_
The car was hit by the electric traction unit of the EZT EN99-004 railway vehicle on the right side, i.e. from the passenger side. The coupler sank deep into the body of the car (passenger space) causing its destruction (significant crushing of the car body) and displacement (pushing) of the car at a distance of 112 meters from the crossing, where the front of the train stopped. At the time of the collision, there was a person in the car (examinee driving the car). The driver suffered serious injury as a result of the accident. This person was transported in serious condition to the hospital in Nowy Targ, where, despite immediate intensive rescue attempts, she died.</t>
  </si>
  <si>
    <t>Nowy Targ - Szaflary</t>
  </si>
  <si>
    <t>Railway vehicle drove onto an examination vehicle (passenger car) standing on the track axis, creating an obstacle for the train at the category "D" rail - road level crossing.</t>
  </si>
  <si>
    <t>Primary cause: _x000D_
The driver of the examination vehicle and the examiner failed to exercise proper caution when approaching and continuing the drive through the level crossing despite the approach of the train from the passenger (examiner) side._x000D_
_x000D_
Indirect causes:_x000D_
-	Failure to stop the test vehicle by the driver and failure by the examiner to take steps to stop the vehicle before the level crossing, despite the B20 "Stop" sign and "Attention" signals given by the train driver._x000D_
-	The examiner's failure to attempt to free the driver from the safety belt and to issue a firm command to evacuate when placed in the event of an inevitable collision with an incoming train, posing a direct threat to the life of the driver._x000D_
-	Implementation of emergency braking by the train driver candidate using the "drive and brake switch", while it was possible to use the "emergency brake", which resulted in the extension of the train braking distance._x000D_
-	Failure by the supervising driver to implement emergency braking by using the driver's "emergency brake"._x000D_
_x000D_
Systemic causes:_x000D_
-	There are no provisions regarding the functioning of category "D" rail-road level crossings within the boundaries of a railway station in the aspect of the preparation of the train path according to § 40 para. 2 item 5 of the Ir-1 Instruction (Preparation of the route, ... after receiving the command to prepare the route, please: make sure in the manner indicated in the technical regulations about securing the rail-road level crossings and operated crossings within the serviced and supervised district)._x000D_
-	Determination of visibility triangles from a distance of 10 and 20 meters, as specified in the Ordinance of the Minister of Infrastructure and Development of 20 October 2015 on technical and organizational conditions which need to be met by intersections of railway lines and railway sidings with roads and their location (Journal of Laws item 1744 of as amended), being mandatory only conditionally, fails to provide an acceptable level of safety at rail-road level crossings, as it is obligatory for the train to remain visible from a distance of only 5 meters.</t>
  </si>
  <si>
    <t>FR-5915</t>
  </si>
  <si>
    <t>Train derailment, 24-08-18, Marseille (France)</t>
  </si>
  <si>
    <t>Derailment of a high speed train at the entrance of Marseille-Saint-Charles station</t>
  </si>
  <si>
    <t>Marseille</t>
  </si>
  <si>
    <t>The original cause of the derailment was the rupture of a rail in a switch at the station entrance, during the passage of the train.</t>
  </si>
  <si>
    <t>Three factors have combined to cause the rail to rupture :_x000D_
- the intensity of the guide forces of the wheels applied to the rail with a slight curve ;_x000D_
- the lateral mobility of the rail resulting from the development of a loose in the fastening system over time ;_x000D_
- the decrease in rail resistance due to the initiation of a crack which occurred during a rail injury resulting from an old tamping operation._x000D_
The various signs of deterioration of the switch that could be observed had not been identified as at risk during maintenance operations. The infrastructure manager's prescriptions did not explicitly state these signs as critical.</t>
  </si>
  <si>
    <t>HU-5993</t>
  </si>
  <si>
    <t>Spad, 24-08-18, Dömsöd (Hungary)</t>
  </si>
  <si>
    <t>The train passed the exit-signal at danger. 
A vonat meghaladta a "Megállj!" jelzést adó jelzot.</t>
  </si>
  <si>
    <t>Dömsöd</t>
  </si>
  <si>
    <t>RO-5747</t>
  </si>
  <si>
    <t>Fire in RS, 25-08-18, Valea Calugareasca (Romania)</t>
  </si>
  <si>
    <t>the hauling locomotive of the freight train no.83355 caught fire</t>
  </si>
  <si>
    <t>Valea Calugareasca</t>
  </si>
  <si>
    <t>Cauza directa_x000D_
Cauza directa a producerii incendiului a fost supraîncalzirea cablurilor din circuitul de alimentare al motorului de trac?iune nr.3, ca urmare a cre?terii intensita?ii curentului electric din cauza strapungerii jonc?iunii diodelor din redresorul blocului S3 în timpul func?ionarii locomotivei în regim de trac?iune, fapt ce a condus la aprinderea izola?iei acestora ?i ulterior la extinderea incendiului la celelalte componente._x000D_
Factorii care au contribuit_x000D_
-	cre?terea rezisten?ei de contact între diode ?i radiatorul acestora, ca urmare a slabirii în timp a îmbinarii filetate dintre acestea;_x000D_
-	existenta pe podeaua locomotivei a reziduurilor de produse petroliere provenite din pierderile de ulei de la compresoare. 
The direct cause of the accident was the over-heating of the cables from the power supply circuit of the traction engine no.3, following the increase of the current intensity, because the perforation of the diodes junction of the rectifier of the section block S3 during the working of the locomotive in traction condition, it leading to the ignition of their insulation  and then the fire development at the other parts._x000D_
_x000D_
Contributing factors_x000D_
-	increase of the contact resistance between the diodes and their radiators, following the unfastening in time of the threaded joint between them;_x000D_
-	existence on the locomotive floor of oil residues resulting from the oil losses from the compressors.</t>
  </si>
  <si>
    <t>Cauze subiacente_x000D_
-	nerespectarea prevederilor din Instruc?iuni pentru activitatea personalului de locomotiva în transportul feroviar nr.201/2006 aprobate prin Ordinul Ministrului nr.2229/2006, respectiv ale art.44.- (3) lit,b),  cu privire la obliga?ia remedierii, în cadrul reviziilor intermediare, a defec?iunilor la piesele, instala?iile ?i agregatele la care au aparut probleme în exploatarea locomotivei, semnalate de catre mecanic în carnetul de bord al locomotivei;_x000D_
-	nerespectarea prevederilor Specifica?iei tehnice Revizii planificate tip PTAE (PTh), RAC, R1, RT, R1, R2 ?i repara?ii accidentale tip RIT, RIR, RAD, RA la locomotivele electrice de 5100 kW Cod: ST -  LE 5100kW-Rev., edi?ia: 2, revizia: 0  din 2016, pct.20.3, referitor la obliga?ia remedierii pierderilor de ulei provenite de la compresoare, în cadrul reviziilor._x000D_
Cauze primare_x000D_
-	absen?a unor prevederi din Specifica?ia tehnica Revizii planificate tip PTAE (PTh), RAC, R1, RT, R1, R2 ?i repara?ii accidentale tip RIT, RIR, RAD, RA la locomotivele electrice de 5100 kW Cod: ST -  LE 5100kW-Rev., edi?ia:2, revizia:0  din 2016, prin care sa se impuna verificarea strângerii îmbinarii filetate dintre diode ?i radiatoarele acestora. 
. Underlying causes_x000D_
-	violation of the provisions from the Instructions for the activity of the locomotive crew in the railway traffic no.201/2006 approved by the Order of Minister no.2229/2006, respectively of art.44.- (3) letter b),  regarding the obligation of fixing, within the intermediate inspections, of the failures at the parts, equipments and aggregates at which some problems appeared in the operation of the locomotive, written down by the driver in the on-board book;_x000D_
-	violation of the provisions from the Technical specification Planned inspections type PTAE (PTh), RAC, R1, RT, R1, R2 and accidental repairs type RIT, RIR, RAD, RA at the electric locomotives of 5100 kW Code: ST -  LE 5100kW-Rev., edition: 2, revision: 0  from 2016, point 20.3,regarding the obligation to remove the oil losses coming from the compressor, within the inspections._x000D_
Root causes_x000D_
-	absence of some provisions in the Technical specification Planned inspections type PTAE (PTh), RAC, R1, RT, R1, R2 and accidental repairs type RIT, RIR, RAD, RA at the electric locomotives of 5100 kW Code: ST -  LE 5100kW-Rev., edition: 2, revision: 0  from 2016, that impose the checking of the fastening of the threaded joint between the diodes and their radiators.</t>
  </si>
  <si>
    <t>UK-5772</t>
  </si>
  <si>
    <t>Other event, 01-09-18, Finchley Road (United Kingdom)</t>
  </si>
  <si>
    <t>Shortly after 09:00 hrs on 1 September 2018, a London Underground train travelled on the Jubilee line between Finchley Road and West Hampstead stations with eleven passenger doors open. No one fell out of the train, and there were no reported injuries or damage._x000D_
Just before arriving at Finchley Road station, a fault developed in the computerised train control system. This meant that, when the train arrived at Finchley Road and the train operator used the cab control provided to open all doors adjacent to the platform, these doors would only open if passengers operated the local push-button located at each doorway. Because some of these push-buttons were defective, some train doors were not able to be opened._x000D_
While attempting to open the closed doors, the train operator mistakenly used a cut-out switch that bypassed a circuit designed to prevent the train from being driven with any door open. Having not been able to remedy the problem of some doors remaining closed, the train operator made a public address announcement to tell passengers that he would try to fix the problem at the next station._x000D_
A short time later, the train left Finchley Road station with the train operator unaware that some doors were still open._x000D_
When the train arrived at West Hampstead station, the train operator was contacted by a passenger on the train and told that the train had travelled from Finchley Road station with a door open. The train operator went to investigate and found ten other doors had also been open. He reported this to control room staff and the train was taken out of passenger service at West Hampstead station.</t>
  </si>
  <si>
    <t>Finchley Road</t>
  </si>
  <si>
    <t>The train departed and then subsequently travelled between two stations with passenger doors open at 10 of the 28 doorways (paragraph 47)</t>
  </si>
  <si>
    <t>The causal factors were:_x000D_
a. some doors opened at Finchley Road station without being commanded by the train operator and none subsequently responded to him using the door open and close controls in the driving cab (paragraph 49, Recommendation 3);_x000D_
b. the train operator did not follow LUL procedures, and bypassed the door interlock circuit that was intended to prevent trains departing with some doors open and passengers on board (paragraph 53, Recommendation 2);_x000D_
c. the train operator was unaware that some doors remained open when he started the train and as it travelled to West Hampstead (paragraph 65, Recommendations 1 and 2, existing recommendation at paragraph 123); and_x000D_
d. it is probable that the train operator’s actions were influenced by a sudden increase in his workload, by fatigue and/or low blood sugar levels_x000D_
(paragraph 78, Recommendations 2 and 4, existing recommendation at paragraph 123)._x000D_
Underlying factors_x000D_
121 The underlying factors were:_x000D_
a. LUL had not identified that 1996 stock trains did not comply with LUL requirements for warnings related to use of the TDIC switch (paragraph 93,_x000D_
Recommendation 1); and_x000D_
b. LUL’s training of train operators did not adequately prepare them for dealing with train faults under time pressure when operating in ATO mode, a factor possibly linked to the cause of the incident (paragraph 103, Recommendation 2 and existing recommendation at paragraph 123).</t>
  </si>
  <si>
    <t>FR-5916</t>
  </si>
  <si>
    <t>Level crossing accident, 03-09-18, Nouan-le-Fuzelier (France)</t>
  </si>
  <si>
    <t>Collision with a pedestrian at a level crossing</t>
  </si>
  <si>
    <t>Nouan-le-Fuzelier</t>
  </si>
  <si>
    <t>The teenager's collision with the train was caused by the use of a route prohibited to travelers, combined with the lack of attention of the victim, young and little aware of the risk, moreover distracted by the use of his smartphone and headphones.</t>
  </si>
  <si>
    <t>The route used is shorter than the prescribed route. The forbidden character appears late, forcing you to turn back and waste time. The forbidden zone is particularly small. The use of the prohibited passage deprived the teenager of the observation of the closed gates of the level crossing which announced the arrival of a crossing train.</t>
  </si>
  <si>
    <t>UK-5766</t>
  </si>
  <si>
    <t>Accident to persons caused by RS in motion, 04-09-18, Dollands Moor yard (United Kingdom)</t>
  </si>
  <si>
    <t>At about 03:39 hrs on Tuesday 4 September 2018, a freight train travelling towards the Channel Tunnel struck a utility vehicle on a level crossing at the west end of Dollands Moor yard near Folkestone. The train was due to stop in the yard for an inspection and to change locomotive before entering the tunnel._x000D_
The train was travelling at 22 mph (35 km/h) and braking, when it struck the stationary utility vehicle. This was driven by a shunter who had been sent to undertake a routine check of the incoming train. The shunter jumped or was thrown from the vehicle and was seriously injured. The train came to a halt after travelling about 100 metres, and petrol from the utility vehicle ignited causing a fire. The train driver had already left the train and was not injured, but the locomotive cab was extensively damaged.</t>
  </si>
  <si>
    <t>Dollands Moor yard</t>
  </si>
  <si>
    <t>The immediate cause of the accident was that the buggy was in an unsafe position on the level crossing as the train approached</t>
  </si>
  <si>
    <t>The causal factors were:_x000D_
l The buggy driver was not aware that he was in the path of the approaching train until it was too late to avoid injury (paragraph 57);_x000D_
l Custom and practice at Dollands Moor yard resulted in buggies using level crossings when not protected by signals, rather than the east end subway, with one likely consequence being that radios were being used to inform safety critical decisions (paragraph 64, Recommendation 1);_x000D_
l The train driver could not see the buggy until it was too late to take action to avoid the accident because DB Cargo did not ensure that the buggies were conspicuous when allowing them to operate near the railway (paragraph 78, Recommendation 1)._x000D_
Underlying factor_x000D_
110 DB Cargo’s management of the use of buggies, subways and level crossings at Dollands Moor yard was inadequate (paragraph 87, Recommendations 1 and 2).</t>
  </si>
  <si>
    <t>NO-5773</t>
  </si>
  <si>
    <t>Broken rails and track buckles, 05-09-18, Drammen station (Norway)</t>
  </si>
  <si>
    <t>Broken rails and track buckles</t>
  </si>
  <si>
    <t>The 5th of September 2018 a track collapsed due to construction work near Drammen station. As part of a construction project at Drammen station, problems occured when establishing a stormwater pipe under three tracks. As a consequence, one of the tracks collapsed. The work was conducted while there was normal train traffic on the line. The movements in the track were discovered, and the traffic was stopped immediately. The train traffic to and from Drammen station was affected for almost two days. The investigation will clarify the sequence of events and identify possible causal factors. Any underlying factors that may have contributed to the incident will be analysed. 
Den 5.9.2018 raste et spor sammen i forbindelse med byggearbeider ved Drammen stasjon. I et byggeprosjekt nær Drammen stasjon oppstod det problemer med gjennomføring av en overvannsledning under et sidespor og to hovedspor. Som følge av dette raste grunnen sammen under sidesporet. Arbeidet ble utført samtidig som det var togtrafikk på stedet. Bevegelsene i sporet ble oppdaget og varslet til togleder som stanset trafikken i området. Tog til og fra Drammen stasjon ble berørt i nesten to døgn. _x000D_
_x000D_
Undersøkelsen vil ha fokus på å klarlegge hendelsesforløpet og peke på mulige årsaksforhold. Eventuelle bakenforliggende forhold som kan ha bidratt til hendelsen vil bli kartlagt og analysert.</t>
  </si>
  <si>
    <t>Drammen station</t>
  </si>
  <si>
    <t>On 5 September 2018, work on a stormwater drainage pipe was being carried out underneath the_x000D_
railway tracks by Drammen station. The work was being carried out in connection with a_x000D_
construction project next to the station area. A passage was being drilled several metres below the_x000D_
tracks using the ‘directional drilling’ method, with a diameter of 1,000 mm. Neither the main_x000D_
contractor, including its subcontractor and hired specialist, nor Bane NOR Infrastruktur expected_x000D_
the work to impact the tracks. The work was therefore carried out while normal train traffic_x000D_
continued in the area. In the afternoon, it was discovered that the tracks were moving when trains_x000D_
passed. Both the train traffic and the drilling work were suspended. Within a short period of time,_x000D_
parts of the passage collapsed, affecting two main tracks and the Tangensporet side track. The_x000D_
station was closed to traffic in the direction of Oslo for almost two days due to the repair work._x000D_
In the Accident Investigation Board Norway’s view, the parties involved have expertise in their_x000D_
own disciplines, but challenges may arise when they have to familiarise themselves with other_x000D_
parties’ work methods, rules and practices. It can be particularly challenging if they expect the other_x000D_
party to also identify defects or deficiencies in technical assessments carried out by others. In some_x000D_
cases, these expectations are unrealistic, with the result that no one has a complete overview of the_x000D_
total risks involved._x000D_
The Accident Investigation Board Norway does not propose any safety recommendations as a result_x000D_
of this incident.</t>
  </si>
  <si>
    <t>BE-5774</t>
  </si>
  <si>
    <t>Wrong-side signalling failure, 06-09-18, Comblain-la-Tour (Belgium)</t>
  </si>
  <si>
    <t>Panne de signalisation contraire à la sécurité à hauteur de Comblain-la-Tour ayant entraîné un risque de collision par rattrapage d’un train de marchandise par un train de voyageur. 
Signal failure against security rules at Comblain-la-Tour resulting in the risk of collision by catching up a freight train by a passenger train.</t>
  </si>
  <si>
    <t>Comblain-la-Tour</t>
  </si>
  <si>
    <t>The signalling displayed a less restrictive aspect than expected: the signal B249 displayed a Green aspect (line-clear) while the section in advance was occupied by a train. The signal B249 is an automatic signal: it is not controlled by a signal box operator but by the_x000D_
train detection system consisting of track circuits. The section between signals B249 and O-H.45 is covered by 4 track circuits. If at least one of the track circuits in the section is occupied, then:_x000D_
• the entire section is to be considered as occupied;_x000D_
• the section access signal (signal B249) must display a Red aspect (at danger)._x000D_
The investigation revealed that, on the day of the incident, when the passenger train passed at the foot of the signal B249, the signal was displaying a Green aspect, while the freight train occupied the last track circuit of the section._x000D_
On the day of the incident, the occupation of the last track circuit in the section did not result in the display of a Red aspect (at danger) for the signal B249._x000D_
The investigation also revealed that the occupation of the last track circuit was well reflected in the EBP image of the zone._x000D_
The IU therefore undertook an analysis of the operational and organizational conditions that resulted in the omission of the detection information from the last track circuit under the conditions governing the aspect of the signal B249.</t>
  </si>
  <si>
    <t>The analysis of the information collected from the Infrastructure Manager reveals that works were carried out on the signalling of the Rivage station as part of the signal box concentration project. During these works, several teams were involved. A first study was drafted by an Infrabel team (Team 1). Due to an increased workload caused in particular by recurring cable thefts, it was decided:_x000D_
• to move Team 1 to another project, and_x000D_
• to call in a second team as reinforcement (= "Team 2"), consisting of an engineer and a technical sector chief from another area._x000D_
Team 2 takes over the project and a consultation is organized between both teams for the transmission of the necessary information._x000D_
During the project management by Team 2:_x000D_
• meetings were held between the person in charge of the external installation and the_x000D_
person in charge of the computer parameterization (person in charge of the internal_x000D_
installation);_x000D_
• plans were modified manually on several occasions and by various team members._x000D_
Information got lost between different versions of the wiring plan regarding the sum of the track circuits in the PLP parameterisation. This loss of information was detected neither by the engineer nor by the team responsible for the project. The lack of meeting reports made it impossible to keep track of the major decisions having an impact on the safety of the project. Given the absence of version and date information on the plans, there is a lack of information traceability._x000D_
_x000D_
_x000D_
These deviations from Notice 22 are part of the elements that an audit as described in the Safety Management System of the Infrastructure Manager must monitor. Audits concerning the application of Notice 22 in different areas, but were not conducted in the South-East area, which is responsible for the project to put the Rivage station into service. Moreover, these audits have not been repeated on an annual basis._x000D_
_x000D_
_x000D_
Notice 22 specifies that the staff in charge of the projects must be qualified. The staff of the team that managed the project aiming at adapting the signalling installation of Rivage station on line 43 was qualified, but in a different area of expertise than that required for the project concerned._x000D_
_x000D_
_x000D_
The independence between the engineer who listed all items to be tested and the technical sector chief who validated the scope of the tests did not make it possible to limit the risk of misinterpreting the zone to be tested or to detect the absence of the signal B249 in the list of items to be tested.</t>
  </si>
  <si>
    <t>CZ-5753</t>
  </si>
  <si>
    <t>Train derailment, 07-09-18, Kolín station (Czech Republic)</t>
  </si>
  <si>
    <t>Derailment of the last five rolling stocks of the train set No. 10220.</t>
  </si>
  <si>
    <t>Direct cause:_x000D_
• a fracture of the locking hook and opening of the unheld switch tongue of the switch No. 169 part „a“ from the stock rail while the train No. 10220 was moving over the switch.</t>
  </si>
  <si>
    <t>Underlying causes:_x000D_
• the creation and gradual development of the partial fatigue cracks at the point of the reduction of the bearing cross-section of the locking hook of the jaw point lock, caused by the structural notches and structural inhomogeneities leading to a total fracture under long-term non-standard and variable external forces application on the locking hook of the jaw point lock;_x000D_
• long-term, non-standard and variable application of the switch components on the jaw point lock elements of the switch No. 169 part „a“, under heavy traffic load by the railway vehicles were moving over the switch;_x000D_
• failure to detect the fatigue cracks when exercising controls in accordance with the procedures of the IM._x000D_
_x000D_
Root cause: none.</t>
  </si>
  <si>
    <t>UK-5771</t>
  </si>
  <si>
    <t>Accident to persons caused by RS in motion, 07-09-18, Elstree &amp; Borehamwood station (United Kingdom)</t>
  </si>
  <si>
    <t>At around 14:00 hrs on Friday 7 September 2018, a Thameslink train service, travelling from St Albans City to Sutton, made its scheduled stop at Elstree &amp; Borehamwood station. The doors opened and a female passenger, with a walking frame and luggage, started to board the train; the passenger was accompanied by her dog. While the passenger was boarding the train, and having placed her luggage on it, the doors closed and the train departed. The passenger and her dog were left on the platform, but the dog’s lead was trapped in the train doors. The dog was dragged by the lead, onto the track and was subsequently found, deceased, in a tunnel a short distance from the station._x000D_
The passenger was uninjured, although the accident caused her very considerable distress.</t>
  </si>
  <si>
    <t>Elstree &amp; Borehamwood station</t>
  </si>
  <si>
    <t>The train departed while the passenger was attempting to board with her dog and walking aid</t>
  </si>
  <si>
    <t>The causal factors were:_x000D_
a) the train driver was unaware of the passenger and her dog when he closed the doors and dispatched the train (paragraph 48, Recommendations 1 and 2)._x000D_
b) The train’s traction interlock system allowed it to depart with the dog’s lead trapped in the doors (paragraph 69, Recommendation 2)._x000D_
Underlying factor_x000D_
93 GTR’s driver competence management system did not include monitoring whether the time taken by drivers for the final train safety checks was sufficient (paragraph 76, Recommendation 1)</t>
  </si>
  <si>
    <t>RO-5757</t>
  </si>
  <si>
    <t>Spad, 09-09-18, Barlad (Romania)</t>
  </si>
  <si>
    <t>The passenger train no.1661  didn't stop in the Barlad railway station (scheduled stop) and passed on danger the exit signal XII</t>
  </si>
  <si>
    <t>Barlad</t>
  </si>
  <si>
    <t>The direct cause of the incident was a human error generated in the locomotive driving, that is the red position of the exit signal X II was not tracked, having the meaning Stop without passing the signal in stop position, leading to its passing in stop position, without having this right._x000D_
Contributing factors_x000D_
The driver did not pay attention to the signals, it leading to the delay braking of the train for its stop. 
Cauza directa a producerii incidentului feroviar o constituie eroarea umana produsa în procesul de conducere al locomotivei trenului, eroare care a constat în neurmarirea indicatiei data de unitatea luminoasa de culoare rosie a semnalului de iesire X II, cu semnificatia OPRESTE fara a depasi semnalul! având drept urmare depa?irea acestuia, fara a avea acest drept._x000D_
Factori care au contribuit_x000D_
Lipsa de atentie a mecanicului de locomotiva în urmarirea semnalelor de circulatie, ceea ce a dus la luarea cu întârziere a masurilor de frânare a trenului în vederea opririi.</t>
  </si>
  <si>
    <t>?	violation of the provisions from the Regulations for the railway technical operation no.002/2001, art.59-(4), regarding the passing of the signal in stop position;_x000D_
?	violation of the provisions from the Regulations for signalling no.004/2006, art.23 paragraph (2) corroborated with art.21, regarding the compliance with the position of the exit signal, being on the position Stop without passing the signal in stop position! (a light red position to the train);_x000D_
?	violation of the provisions of the Instructions  for the activity of the locomotive crew no.201/2007 art.127 paragraph (1) letter a) and art.127 paragraph (2) regarding the obligation of the locomotive crew that, in the train hauling, shall pay attention to the position of the fixed signal and  shall take the measures imposed by the remarks made within the route;_x000D_
?	violation of the provisions of the Instructions for the activity of the locomotive crew no.201/2007 art.135 paragraph (1) regarding the obligation of the locomotive crew at the entry in the railway station, relating to the measures that have to be taken in order to stop safely the train;_x000D_
?	violation of the provisions of the Regulations for the railway technical operation no.002/2001 art. 102.-(1) letters b) and c) regarding the supplement of the signalling installations with systems for the automatic control of the trains speed (INDUSI) and for automatic stop, if in the point and moment controlled, the driver did not show his vigilance or the real speed is over that  established for the respective situations._x000D_
  Root cause:  _x000D_
None. 
Cauze subiacente_x000D_
?	nerespectarea prevederilor din Regulamentul de exploatare tehnica feroviara nr.002/2001, art.59-(4), referitoare la depasirea unui semnal care ordona oprirea;_x000D_
?	nerespectarea prevederilor din Regulamentul de semnalizare nr.004/2006, art.23 alin.(2) coroborat cu art.21, referitor la respectarea indicatiei semnalului luminos de iesire, care avea indicatia OPRESTE fara a depasi semnalul! (o unitate luminoasa de culoare rosie spre tren);_x000D_
?	nerespectarea prevederilor din Instruc?iuni pentru activitatea personalului de locomotiva în transportul feroviar nr.201/2007 art.127 alin.(1) litera a) si art.127 alin.(2) cu privire la obligatia personalului de locomotiva ca, în remorcarea trenului, sa urmareasca cu atentie indicatia semnalelor fixe si sa ia masurile impuse de observatiile efectuate în timpul parcursului;_x000D_
?	nerespectarea prevederilor din Instruc?iuni pentru activitatea personalului de locomotiva în transportul feroviar nr.201/2007 art.135 alin.(1) cu privire la obligatia personalului de locomotiva la intrarea  în statie, referitoare la masurile ce trebuie luate în vederea opririi trenului în siguranta;_x000D_
?	nerespectarea prevederilor din Regulamentul de Exploatare Tehnica Feroviara nr.002/2001 art. 102.-(1) lit.b) si c) cu privire la completarea instalatiilor de semnalizare cu sisteme de control automat al vitezei trenurilor (INDUSI) si de oprire automata, daca în punctul si momentul controlat, mecanicul nu-si manifesta vigilenta sau viteza reala este mai mare decât viteza stabilita pentru situatia respectiva._x000D_
Cauze primare:  _x000D_
Nu au fost identificate cauze primare în producerea acestui incident.</t>
  </si>
  <si>
    <t>RO-5758</t>
  </si>
  <si>
    <t>Other event, 11-09-18, Glogovat (Romania)</t>
  </si>
  <si>
    <t>the freight train no. 46841-2 got by DB Cargo Romania, passed on the switch no.1 from the railway station Glogovat, that was misplaced and changed the switch position</t>
  </si>
  <si>
    <t>Glogovat</t>
  </si>
  <si>
    <t>Deutsche Bahn Cargo România SRL</t>
  </si>
  <si>
    <t>. Cauza directa_x000D_
Cauza directa a producerii incidentului o constituie manevrarea macazului într-o pozitie incompatibila cu parcursul, dupa efectuarea parcursului centralizat. _x000D_
Factorii care au contribuit:_x000D_
1.	Existen?a a unei stari de defectare intermitente la macazul nr.1 de la punerea în exploatare a instala?iei interlocking care a condus la crearea unui mod incorect în activitatea de exploatare ?i mentenan?a de catre operatorul uman;_x000D_
2.	Inexisten?a stabilirii ?i repartizarii de catre administratorul de infrastructura a competen?elor ?i responsabilita?ilor personalului propriu pentru exploatarea, interven?ia ?i mentenan?a schimbatorul de cale de tip HYDROSTAR COMBI;_x000D_
3.	Aplicarea eronata a procedurii dispozitorii de conformitate referitoare la avizare, interven?ia ?i înlaturarea deranjamentelor aparute în func?ionarea instala?iilor interlocking din sta?ia Glogova?, de catre personalul de execu?ie ?i mentenan?a aflat în serviciu;_x000D_
4.	Lipsa unui mediu tehnic adecvat necesar comunica?iilor externe dintre EM ?i IDM, alocate pentru activitatea de între?inere. 
Direct cause_x000D_
The direct cause of the incident is the operation of the switch on a position incompatible with the route, after the setting up of the centralised route.  _x000D_
Contributing factors:_x000D_
1.	existence of an intermittent failure at the switch no.1 from the putting into operation of the interlocking system, that led to wrong way of the human factors in the operation and maintenance activity;_x000D_
2.	the infrastructure manager did not establish and appoint the competences and responsibilities to its staff for operation, intervention and maintenance of the switch type HYDROSTAR COMBI;_x000D_
3.	wrong application of the procedure for the conformity concerning the notification, intervention and removal of the interruptions appeared in the working of the interlocking systems in Glogova? railway station, by the workers and maintenance staff on duty;_x000D_
4.	lack of an adequate technical condition necessary for the external communications between the electromechanical worker and the movements inspector, allocated for the maintenance.</t>
  </si>
  <si>
    <t>Cauze subiacente_x000D_
1. Nerespectarea prevederilor art 8.3. din Instructia de manipulare a instalatiei de centralizare electronica din statia CFR Glogovat._x000D_
Cauze primare_x000D_
_x000D_
1.	Personalul de mentenan?a care a intervenit pentru înlaturarea deranjamentului la macazul centralizat nr.1 nu avea competen?a necesara pentru înlaturarea defectului de la sistemul de deplasare al acelor ?i de zavorâre integrat (de tip HTDROSTAR COMBI);_x000D_
2.	Administratorul de infrastructura nu are procedura opera?ionala în care sa descrie opera?iunile de între?inere, interven?ia ?i responsabilita?ile pentru aparatul de manevra al schimbatorului de cale nr.1, care are un sistem de deplasare a acelor ?i zavorâre integrat; 
D.2.2. Underlying causes_x000D_
1. Violation of the provisions of art 8.3. from the Instruction for the operation of the interlocking system of the Glogovat railway station._x000D_
_x000D_
	_x000D_
Root causes_x000D_
_x000D_
1.	The staff in charge with the maintenance, which move for the removal of the interruption from the centralised switch nr.1 has no competences necessary for the removal of the failure at the integrated system for the movement of the points and locking (type HTDROSTAR COMBI);_x000D_
2.	The infrastructure administrator has not an operational procedure where be presented the operations of maintenance, intervention and the responsibilities for the equipment for the operation of the switch no.1, which has an integrated system for the movement of the points and locking.</t>
  </si>
  <si>
    <t>UK-5781</t>
  </si>
  <si>
    <t>Accident to persons caused by RS in motion, 11-09-18, Saughton (United Kingdom)</t>
  </si>
  <si>
    <t>At about 12:10 hrs on 11 September 2018, a pedestrian who was using a footpath crossing located between Balgreen and Saughton tram stops, was struck and fatally injured by an outbound tram travelling from Edinburgh city centre towards Edinburgh Airport. The crossing, over two tram tracks, provides a pathway between Stenhouse Drive and Saughton Mains Street.</t>
  </si>
  <si>
    <t>Saughton</t>
  </si>
  <si>
    <t>The pedestrian moved into the path of the tram as it approached the crossing.</t>
  </si>
  <si>
    <t>The causal factors were:_x000D_
a) The pedestrian was seemingly unaware of the approaching tram until he was in its path (paragraph 38). This causal factor arose due to a combination of the following:_x000D_
i. The pedestrian did not appear to look out for trams during the time the tram was visible, prior to him stepping onto the crossing (paragraph 41, no recommendation); and_x000D_
ii. The tram’s bell was not sufficiently audible when it was sounded as a warning (paragraph 55, Recommendation 1)._x000D_
b) The driver was unable to stop the tram before it reached the crossing when it became clear that the pedestrian was going to walk onto the crossing (paragraph 66)._x000D_
Underlying factors_x000D_
124 The underlying factors were:_x000D_
a) During both the tramway’s design and operation, the risks associated with the crossing’s layout, mutual visibility, tram audibility, line speed and braking distance, had not been adequately assessed (paragraph 75, Recommendations 2 and 4)_x000D_
b) There was an absence of clear guidance on the audibility requirements for tram warning devices (paragraph 85, Recommendation 3);_x000D_
c) The modifications to tram horns at West Midland Metro did not result in a change to the horns on the Edinburgh trams (paragraph 98, no recommendation. See paragraph 134); and_x000D_
d) The project’s safety verification process did not robustly capture and manage the issue of tram warning audibility (paragraph 105, Learning point 1)</t>
  </si>
  <si>
    <t>AT-5769</t>
  </si>
  <si>
    <t>Level crossing event, 18-09-18, EK km 3,296 (Austria)</t>
  </si>
  <si>
    <t>On 18.09.2018 at about 08:06 there was a railway crossing collision between Graz-Straßgang and Graz-Wetzelsdorf with a public bus._x000D_
One person was killed, 7 people were severely injured and about 8 people were injured. There was considerable material damage to vehicles and infrastructure. 
Am 18.09.2018 kam es um ca. 08:06 zu einem Eisenbahnkreuzungszusammenprall zwischen Graz-Straßgang und Graz-Wetzelsdorf mit einem Linienbus._x000D_
Dabei wurde eine Person getötet, 7 Personen schwer und ca. 8 Personen leicht verletzt. Es kam zu erheblichen Sachschaden an Fahrzeugen und Infrastruktur.</t>
  </si>
  <si>
    <t>EK km 3,296</t>
  </si>
  <si>
    <t>Steiermärkische Landesbahnan</t>
  </si>
  <si>
    <t>Laut EK-Stellungsschreiber war die LZA der EK km 3,296 zum Unfallzeitpunkt störungsfrei in Betrieb und signalisierte Rotlicht. Die Ursache des Zusammenpralls war das Einfahren des Busses in den Gefahrenraum der EK unmittelbar vor dem Eintreffen von Z 8502. 
According to the EK position recorder, the EK km 3.296 LZA was in operation without any problems at the time of the accident and indicated a red light. The cause of the collision was the entry of the bus into the EK danger area immediately before Z 8502 arrived.</t>
  </si>
  <si>
    <t>Vorläufer und Einflussfaktoren der Ursache, die zum Einfahren des Linienbusses in den Gefahrenraum der EK km 3,296 bei aktivierten Rotlicht geführt haben, konnten von der SUB nicht festgestellt werden. 
It was not possible to find any precursors and influence factors which led to the introduction of the scheduled bus into the danger area of the EK km 3,296 when the red light was activated.</t>
  </si>
  <si>
    <t>CZ-5761</t>
  </si>
  <si>
    <t>Level crossing accident, 18-09-18, Kralupy nad Vltavou predmestí station (Czech Republic)</t>
  </si>
  <si>
    <t>Collision of the regional passenger train No. 9705 with a lorry at the level crossing No. P2114.</t>
  </si>
  <si>
    <t>Kralupy nad Vltavou predmestí station</t>
  </si>
  <si>
    <t>Direct cause:_x000D_
• a deadlock of the lorry in a structure gauge at the level crossing No. P2114, its failure to remove before arrival of the train and failure to warning of the train driver and IM from danger._x000D_
_x000D_
Contributory factor:_x000D_
• failure to observe the track by the train driver and failure to stop the train in front of an obstacle in the structure gauge which was visible in time due to the train speed.</t>
  </si>
  <si>
    <t>Underlying cause:_x000D_
• a sudden and unexpected defect at braking system of the lorry._x000D_
_x000D_
Root cause: none.</t>
  </si>
  <si>
    <t>HU-5848</t>
  </si>
  <si>
    <t>Other event, 18-09-18, Berettyóújfalu (Hungary)</t>
  </si>
  <si>
    <t>The passenger train No. 6433 has been arrived onto an track which was occupied with a freight train. The staff did not report the occurence. 
A 6433 sz. vonat foglalt vágányra érkeztették elozetes értesítés nélkül. A személyzet az eseményt nem jelentette.</t>
  </si>
  <si>
    <t>Berettyóújfalu</t>
  </si>
  <si>
    <t>a)	a váltókezelo nem tartott vágányút ellenorzést_x000D_
b)	a forgalmi szolgálattevo tévesen jelölte ki a biztosítóberendezésen a bejárati vágányt. 
a) the changer operator did not hold track control _x000D_
b) the operator erroneously designated the entrance track on the interlocking device.</t>
  </si>
  <si>
    <t>Közvetett okok_x000D_
_x000D_
a)	a csapatmunka során hiányos volt a pontos kommunikáció_x000D_
b)	a csapat nem volt összeszokott, ezért váltókezelo nem kérdezett vissza, amikor nem oda csengette ki a bejáratot a forgalmi szolgálattevo, ahová eloször elrendelte azt._x000D_
_x000D_
Gyökérokok_x000D_
_x000D_
a)	a biztonsági kultúra gyenge, nem bátorítja a rendkívüli események bejelentését. 
Indirect causes_x000D_
_x000D_
(a) there was a lack of accurate communication during the teamwork_x000D_
b) the team was not used to it, so the changer manager did not ask back when the traffic servicer did not ring the entrance where he first ordered it._x000D_
_x000D_
Root causes_x000D_
_x000D_
(a) the security culture is weak and does not encourage the reporting of incidents.</t>
  </si>
  <si>
    <t>CH-5782</t>
  </si>
  <si>
    <t>Other event, 19-09-18, Claro (Switzerland)</t>
  </si>
  <si>
    <t>During the journey, some sheet metal formwork detached from a tank container and jutted out laterally into the structure clearance. As a result, several infrastructure components between Claro and Bellinzona San Paolo were damaged.</t>
  </si>
  <si>
    <t>Claro</t>
  </si>
  <si>
    <t>SBB Cargo International AG</t>
  </si>
  <si>
    <t>Sheet metal formwork detached from a tank container and jutted out laterally into the structure clearance. As a result, several infrastructure components between Claro and Bellinzona San Paolo were damaged.</t>
  </si>
  <si>
    <t>UK-5800</t>
  </si>
  <si>
    <t>Trains collision, 19-09-18, Cholmondeston (United Kingdom)</t>
  </si>
  <si>
    <t>On Wednesday 19 September 2018, a road-rail ballast distributor collided with a road-rail personnel carrier near Cholmondeston, on the line between Crewe and Chester._x000D_
The ballast distributor included a hopper fed conveyor system that is used to distribute ballast onto the track. It was equipped with both rubber wheels for road running and steel rail wheels for operation on the railway. That night, it was intended to be used to distribute fresh ballast onto a section of track which was under possession (temporarily closed to normal train services)._x000D_
The personnel carrier vehicle was an off-road utility vehicle that had been converted for use on and off the railway. It was fitted with tip-up seats at the back to allow the transport of personnel and/or materials. That night, it was transporting personnel involved in track repairs within the possession._x000D_
The ballast distributor vehicle had on-tracked at Calveley road-rail access point, which provides a flat surface allowing road-rail vehicles to be manoeuvred on to the track. It then started travelling, with the conveyor belt end leading, towards the location where ballast was required, approximately 3.5 miles (5.6 km) away._x000D_
Just before 02:35 hrs the conveyor belt end of the ballast regulator collided with the rear of the personnel carrier, which had been stationary prior to the collision._x000D_
Two trackworkers who were on the personnel carrier were injured, one of them sustaining serious leg and back injuries. The other staff on the personnel carrier and the ballast regulator were uninjured.</t>
  </si>
  <si>
    <t>Cholmondeston</t>
  </si>
  <si>
    <t>The ballast distributor did not stop before it collided with the stationary kubota on the down line (paragraph 51).</t>
  </si>
  <si>
    <t>The causal factors were:_x000D_
a. The ballast distributor was being driven with neither the machine operator nor the machine controller having sight of the line ahead (paragraph 54). This causal factor arose due to a combination of the following:_x000D_
i. Personnel seated in the cab of the ballast distributor have a very restricted view of the line ahead when driving in reverse (paragraph 58, Recommendations 1 and 2 and Learning point 2)._x000D_
ii. The machine controller for the ballast distributor was not controlling movements from the ground when it was being driven in reverse, in contravention of the requirements of the Rule Book and the limitations in the ECC (paragraph 72, Learning point 5)._x000D_
b. The track workers in the tamping track gang were not where the machine controller for the ballast distributor expected them to be (paragraph 96). This causal factor arose due to a combination of the following:_x000D_
i. There was no common understanding of where the track repairs were supposed to be carried out (paragraph 99, Learning point 4)._x000D_
ii. Communications between the machine controller for the ballast distributor and the tamping track gang were casual in nature and did not lead to a common understanding of the location the ballast distributor was heading to (paragraph 114, Learning point 1)._x000D_
Underlying factors_x000D_
142 The underlying factors were:_x000D_
a. Neither Network Rail’s local management at Chester depot nor regional OTP monitoring had identified and addressed the routine non-compliance with the Rule Book and ECC requirements for driving machines with restricted reverse visibility (paragraph 118, Learning point 2)._x000D_
b. The machine was accepted for use on Network Rail infrastructure without recognising, or adequately mitigating, the potential for operational misuse when travelling in reverse (paragraph 122, Recommendation 1 and Learning point 3).</t>
  </si>
  <si>
    <t>CZ-5763</t>
  </si>
  <si>
    <t>Unauthorised train movement other than SPAD, 21-09-18, Å tepánov station (Czech Republic)</t>
  </si>
  <si>
    <t>The unauthorized movement of the long distance passenger train No. 883 behind the main signal device 1S with the consequent ride on the station line which was occupied by the freight train No. 57039.</t>
  </si>
  <si>
    <t>Å tepánov station</t>
  </si>
  <si>
    <t>Direct cause:_x000D_
• an operational error of the train driver of the long distance passenger train No. 883 – he did not respect signal „Stop” of the main (entrance) signal device 1S at Štepánov station._x000D_
_x000D_
Contributory factor:_x000D_
• absence of technical equipment which prevent a train from passing a signal in case of danger.</t>
  </si>
  <si>
    <t>Underlying cause:_x000D_
• mistakes of the train driver of the long distance passenger train No. 883 who because of impaired visibility (mist):_x000D_
  - mistook the signal at the signal device of the automatic block 1-746 with the signal „Caution” for the main (entrance) signal device 1S;_x000D_
  - lost orientation in space and consequently failed to ascertain the signal „Stop" at the main (entrance) signal device 1S of Štepánov station._x000D_
_x000D_
Root cause: none.</t>
  </si>
  <si>
    <t>CZ-5764</t>
  </si>
  <si>
    <t>Trains collision with an obstacle, 21-09-18, open line between HolýÅ¡ov and Stankov stations (Czech Republic)</t>
  </si>
  <si>
    <t>Collision of the regional passenger train No. 7424 with an obstacle – the fallen trees.</t>
  </si>
  <si>
    <t>open line between HolýÅ¡ov and Stankov stations</t>
  </si>
  <si>
    <t>Direct cause:_x000D_
• interference with the protection zone of the railway by the fallen trees which grew in the railway protective area in the impact distance from the protection zone of the railway._x000D_
_x000D_
Contributory factor:_x000D_
• the weather conditions – a strong wind and heavy rain.</t>
  </si>
  <si>
    <t>CZ-5765</t>
  </si>
  <si>
    <t>Trains collision, 21-09-18, Ceské Budejovice station (Czech Republic)</t>
  </si>
  <si>
    <t>Collision of shunting operation (locomotive runing solo) with standing rolling stocks with consequent derailment.</t>
  </si>
  <si>
    <t>Ceské Budejovice station</t>
  </si>
  <si>
    <t>Shunting operation; 
Other</t>
  </si>
  <si>
    <t>Direct cause:_x000D_
• failure to comply with condition for running on sight by train driver of the shunting operation._x000D_
_x000D_
Contributory factor: none.</t>
  </si>
  <si>
    <t>Underlying cause:_x000D_
• failure to compliance of technological processes of IM and RU for driving a locomotive by the train driver during a shunting operation._x000D_
_x000D_
Root cause: none.</t>
  </si>
  <si>
    <t>RO-5767</t>
  </si>
  <si>
    <t>Train derailment, 21-09-18, Chitila-Chiajna (Romania)</t>
  </si>
  <si>
    <t>the locomotive of the fright train 30310-1 and the first wagon in the running direction derailed in open line between Chitila and Chiajna railway stations</t>
  </si>
  <si>
    <t>Chitila-Chiajna</t>
  </si>
  <si>
    <t>Cauza directa a acestui accident o constituie caderea între firele caii a ro?ilor din partea dreapta a primelor cinci osii (ro?ile care rulau pe ?ina corespunzatoare firului interior al curbei) de la locomotiva electrica EA 2002, care remorca trenul de marfa nr.30610-1. Deraierea locomotivei a condus ?i la deraierea primei osii a primului vagon de dupa locomotiva (vagonul nr. 31804726021-7). _x000D_
Caderea ro?ilor locomotivei între firele caii s-a produs în condi?iile deplasarii laterale a ?inelor,    sub ac?iunea for?elor dinamice transmise acestora de catre ro?ile locomotivei, fapt care a determinat cre?terea valorii ecartamentului caii peste valoarea maxima admisa în exploatare. _x000D_
Factori care au contribuit:_x000D_
-	existen?a în cale a unor traverse normale de lemn, care prin starea tehnica necorespunzatoare nu permiteau împiedicarea deplasarii în lungul traversei a placilor metalice prin strângerea tirfoanelor, permi?ând astfel cre?terea valorii ecartamentului caii peste valoarea maxima admisa, sub ac?iunea for?elor dinamice transmise ?inelor de catre rotile materialului rulant;_x000D_
-	folosirea, în procesul tehnologic de executare a lucrarilor de repara?ie a liniei curente, firul II, între sta?ia CFR Chitila ?i Ramifica?ia Rudeni a unor traverse normale de lemn impregnate, care în interior aveau defecte ce nu permiteau folosirea acestora în exploatare;_x000D_
-	neurmarirea calita?ii traverselor de lemn normale impregnate, folosite pentru lucrarea de repara?ie a liniei curente, firul II, între sta?ia CFR Chitila ?i Ramifica?ia Rudeni de catre furnizorul feroviar care a executat aceasta lucrare;_x000D_
-	furnizarea serviciului feroviar de impregnare cu antiseptici uleio?i a traverselor lemn pentru calea ferata” de catre o societate care nu de?inea Agrement pentru acest serviciu;_x000D_
-	aplicarea vizei AFER pe Declara?ia de Conformitate emisa de un furnizor feroviar, care nu de?inea Certificat de Omologare Tehnica Feroviara ?i Agrement Tehnic Feroviar; 
The direct cause of this accident is the fall between the rails of the first five axles of the right wheels (wheels that ran on the rail corresponding to the inner rail of the curve) from the electric locomotive EA 2002, hauling the freight train no.30610-1. The derailment of the locomotive led to the derailment of the first axle of the first wagon after the locomotive (wagon no. 31804726021-7). _x000D_
The fall of the locomotive wheels between the rails happened following the lateral movement of the rails, under the action of the dynamic forces transmitted to them by the locomotive wheels, it generating the increase of the track gauge over the maximum value accepted in operation._x000D_
Contributing factors:_x000D_
-	existence of some normal wooden sleepers, whose unsuitable condition, was not allowing the movement of the metallic plates along the sleeper, through the screws fastening, allowing in a such way the increase of the track gauge over the maximum accepted value, under the dynamic forces transmitted to the rails by the wheels of the rolling stock;_x000D_
-	use, in the technological process for the performance of the repairs at the running line, track II, between the railway station Chitila and the branch line Rudeni of some normal impregnated wooden sleepers, that inside had failures that were not allowing their use in operation;_x000D_
-	not-tracking of the quality of the normal impregnated wooden sleepers, used for repairs at the running line, track II, between the railway station Chitila and the branch line Rudeni by the railway supplier that performed this work;_x000D_
-	the supplier of the railway service of impregnation with oily antiseptics of the wooden sleepers by” a company that did not get Agreement for this type of service;_x000D_
-	application of AGIFER visa on the Conformity Statement issued by a railway supplier, that did not get Certification of Railway Technical Homologation and Railway Technical Agreement;</t>
  </si>
  <si>
    <t>Cauze subiacente_x000D_
-	nerespectarea prevederilor art.25, alin.(1), alin.(2) ?i alin.(4) din „Instruc?ia de norme ?i toleran?e pentru construc?ia ?i între?inerea caii pentru linii cu ecartament normal nr.314/1989”, privind înlocuirea traverselor de lemn ale caror defecte impun acest lucru. _x000D_
-	nerespectarea prevederilor pct.4.1. din Cap.4 „Norme de manopera ?i de consum de materiale”, al „Instruc?iei de între?inere a liniilor ferate nr.300-edi?ia în vigoare” referitoare la asigurarea normei de manopera la între?inerea curenta în execu?ie manuala;_x000D_
-	nerespectarea prevederilor Procedurii opera?ionale „Verificarea produselor utilizate în regim propriu sau de par?i ter?e pentru între?inerea ?i repara?ia infrastructurii feroviare” cod PO SMS 0-4.11, privind cuprinderea între condi?iile contractuale,  a clauzei privind utilizarea numai a produselor feroviare critice, care trebuie sa fie recep?ionate de personal specializat ?i responsabilizat al CNCF „CFR” SA._x000D_
-	nerespectarea de catre CNCF „CFR” SA a prevederilor Procedurii Opera?ionale „Verificarea ?i controlul rezultatelor la reviziile, între?inerea ?i repara?iile efectuate de par?i ter?e, pentru a constata daca sunt conforme cu standardele în vigoare”, cod PO SMS 0-4.10, prin faptul ca nu a asigurat urmarirea lucrarii de consolidare a suprastructurii liniei curente, firul II, cu personal autorizat ca inspector de ?antier;_x000D_
-	furnizarea de catre CRISTAN PRODEXIM SRL a produsului traverse de lemn normale impregnate fara a de?ine Certificat de Omologare Tehnica Feroviara ?i Agrement Tehnic Feroviar; _x000D_
-	nerespectarea condi?iilor care au stat la baza eliberarii AFF ?i AT stabilite la art. 8 lit. k din Anexa 1 la OMT 290/2000,  de catre furnizorul feroviar care a executat lucrarile de repara?ie a liniei, prin faptul ca nu a respectat normele obligatorii de realizare a serviciului, utilizând în cadrul lucrarilor de repara?ie, traverse de lemn impregnate pe care le-a achizi?ionat de la un producator care nu era autorizat AFER pentru furnizarea acestor produse;_x000D_
-	nerespectarea prevederilor art.6 din Anexa 7 la OMT nr.290/2000, referitor la vizarea de catre inspec?ia tehnica AFER a declara?iei de conformitate emisa de CRISTAN PRODEXIM SRL în condi?iile în care, acesta nu de?inea Certificat de Omologare Tehnica Feroviara ?i Agrement Tehnic Feroviar._x000D_
Cauzele primare_x000D_
-	E?ecul Sistemului de Management al Siguran?ei al CNCF „CFR” SA, în a controla riscul legat de utilizarea/contractarea unor produse, care pot pune în pericol siguran?a feroviara;_x000D_
-	Neidentificarea pericolului rezultat din utilizarea în cadrul opera?iunilor de repara?ii a infrastructurii feroviare, a unor produse feroviare critice (traverse de lemn), la care nu se face recep?ie calitativa ?i care nu corespund din punct de vedere tehnic. 
Underlying causes_x000D_
-	violation of the provisions of art.25, paragraphs (1), (2) and (4) from the „Instruction of norms and tolerances for the track construction and maintenance for lines with standard gauge no.314/1989”, regarding the replacement of the wooden sleepers whose failures impose it. _x000D_
-	violation of the provisions of pct.4.1. from chapter.4 „Norms of manpower and materials consumption”, from Instruction for the line maintenance no.300- edition in force”, regarding the provision with the norm of manpower for the current manual work maintenance;_x000D_
-	violation of the provisions of the Operational Procedure „Checking of the products used in its own regime or by thirds for the maintenance and repair of the railway infrastructure” code PO SMS 0-4.11, regarding the inclusion in the contract provisions, of a provision for the use of the railway critical product, that have to the taken over by staff specialized and responsible from CNCF „CFR” SA._x000D_
-	violation by CNCF „CFR” SA of the provisions from the Operational Procedure  „Checking and control of the results of the inspections, maintenance and repairs performed by thirds, in order to find out if they are in accordance with the standards in force”, code PO SMS 0-4.10, that is it did not track the works for the consolidation of the running line superstructure, track II, with authorized staff like site inspector;_x000D_
-	supplying by CRISTAN PRODEXIM SRL of the product normal wooden sleepers impregnated, without getting Certification of Railway Technical Homologation and Railway Technical Agreement; _x000D_
-	violation of the conditions that were basis for the granting of the Railway Supplier Authorization and of the Technical Agreement, established at art. 8 letter  k from the Annex 1 at the Minister of Transports’ Order 290/2000,  by the railway supplier that performed the line repairs, that is the norms compulsory for the performance of the service were not met, using, for the repairs, impregnated wooden sleepers purchased from a manufacturer that had no AFER authorization  for the supplying of these products;_x000D_
-	violation of the provisions of art.6 from the Annex 7 of the Minister of Transports’ Order no.290/2000, regarding the application by AFER technical inspection of the visa on the Conformity Statement issued by CRISTAN PRODEXIM SRL, giving that it was not getting Certification of Railway Technical Homologation and Railway Technical Agreement; _x000D_
  Root causes_x000D_
-	failure of the Safety Management System of CNCF „CFR” SA, in the control of the risk of use/contract of some products, that can endanger the railway safety;_x000D_
-	non identification of the danger, resulted from the use in the repairs of the railway infrastructure, of some railway critical products (wooden sleepers), without their quality reception and that do not correspond technically.</t>
  </si>
  <si>
    <t>CZ-5768</t>
  </si>
  <si>
    <t>Train derailment, 24-09-18, open line between Chvateruby and ÚÅ¾ice stations (Czech Republic)</t>
  </si>
  <si>
    <t>The derailment of the freight train No. 89551 due to incorrectly performed rail joint.</t>
  </si>
  <si>
    <t>open line between Chvateruby and ÚÅ¾ice stations</t>
  </si>
  <si>
    <t>Direct cause:_x000D_
• movement of the train through the incorrectly performed rail joint of the used rail and the newly inserted rail._x000D_
_x000D_
Contributory factor: none.</t>
  </si>
  <si>
    <t>Underlying cause:_x000D_
• failure to comply the specified technological procedures of the IM, legislation and the reference technical standards for track line maintenance;_x000D_
• failure to identify the incorrectly performed rail joint which did not guarantee safety and continuity of the running rail edges._x000D_
_x000D_
Root cause: none.</t>
  </si>
  <si>
    <t>RO-5776</t>
  </si>
  <si>
    <t>Train derailment, 27-09-18, Dej Triaj (Romania)</t>
  </si>
  <si>
    <t>The first bogie of the 13th wagon from the freight train no.42695 derailed in the railway station Dej Triaj on passing over the switch no.37</t>
  </si>
  <si>
    <t>Cauza directa a producerii accidentului o constituie escaladarea flancului activ al ciupercii ?inei de legatura de dupa acul drept al schimbatorului de cale nr.37A, de catre buza ro?ii din partea stânga (roata nr.7) a osiei conducatoare de la vagonul nr.31530670097-4, ca urmare a depa?irii limitei de stabilitate la deraiere. Aceasta s-a produs ca urmare a efectului generat de valoarea peste toleran?a admisa a torsiunii caii existenta pe zona ?inelor de legatura de pe pozi?ia „directa” a schimbatorului de cale peste care s-a suprapus efectul generat de defectele existente la vagon (amortizorul de la roata nr.7 era ineficace, palaria arcului era în contact cu cadrul boghiului; placu?a de uzura manganoasa era rupta din sudura la roata nr.5) _x000D_
_x000D_
_x000D_
_x000D_
Factorii care au contribuit:_x000D_
_x000D_
•	între?inerea necorespunzatoare a schimbatorului de cale nr.37A;_x000D_
•	cantita?ile insuficiente de materiale furnizate catre districtul de linii pentru executarea lucrarilor de între?inere ?i reparare a caii;_x000D_
•	defectele de la boghiul deraiat al vagonului nr.31530670097-4 (amortizorul ineficace de la roata nr.7 si placu?a de uzura manganoasa cu ruptura noua din sudura la roata nr.5); 
The direct cause of the accident is the flange to the left wheel (no. 7) from the leading axle of the wagon no.31530670097-4 climbed the gauge face of the straight closure rail of the switch no.37A, following the exceeding of the derailment stability limit. It happened following the effect generated by the value over the accepted tolerance of the track twist  existing in the area of the straight closure and straight main rails from the „straight” position of the switch, on which overlapped the effect generated by the failures existing at the wagon (lenoir link suspension from the wheel no.7 was inefficient, the spring cover was in contact with the bogie frame; the manganese wear plate of the wheel no. 5 was broken in the welding area) ._x000D_
_x000D_
Contributing factors:_x000D_
•	unsuitable maintenance of the switch no.37A;_x000D_
•	insufficient material supplied to the line district for the track maintenance and repair;_x000D_
•	failures at the derailed bogie of the wagon no.31530670097-4 (inefficient lenoir link suspension at the wheel no.7 and the manganese wear plate of the wheel no. 5 with new breakage at the welding area);</t>
  </si>
  <si>
    <t>Cauze subiacente_x000D_
_x000D_
1. Depa?irea toleran?elor admise la nivel în profilul transversal, contrar prevederilor art.19.6. din „Instruc?ia de norme ?i toleran?e pentru construc?ia ?i între?inerea caii pentru linii cu ecartament normal nr.314/1989”;_x000D_
2.Depa?irea toleran?elor admise la înclinarea rampei la torsionarea caii, contrar prevederilor art.7.A.4. din „Instruc?ia de norme ?i toleran?e pentru construc?ia ?i între?inerea caii pentru linii cu ecartament normal nr.314/1989”;_x000D_
 3. Depa?irea toleran?elor admise în cazul denivelarilor încruci?ate, contrar prevederilor art.7.A.3. din „Instruc?ia de norme ?i toleran?e pentru construc?ia ?i între?inerea caii pentru linii cu ecartament normal nr.314/1989”;_x000D_
4. Men?inerea în cale a traverselor de lemn necorespunzatoare în cuprinsul aparatelor de cale, contrar prevederilor art.25, alin.(1), alin.(2) ?i alin.(4) din „Instruc?ia de norme ?i toleran?e pentru construc?ia ?i între?inerea caii pentru linii cu ecartament normal nr.314/1989”._x000D_
5. Alcatuirea necorespunzatoarea prismei de balast în cuprinsul unui schimbator de cale, contrar prevederilor art.15, alin.(8), din „Instruc?ia de norme ?i toleran?e pentru construc?ia ?i între?inerea caii pentru linii cu ecartament normal nr.314/1989”;_x000D_
6. Nerespectarea termenelor la care se masoara aparatele de cale cu consemnarea valorilor masurate în carnetul de revizie al aparatelor de cale, contrar prevederilor din „Instruc?ia 305 privind fixarea termenelor ?i a ordinei în care trebuie efectuate reviziile caii” edi?ia 1997, fi?a nr.3, art.2; fi?a nr.4, art.3; fi?a nr.12, art.2, pct.b);_x000D_
7. Neefectuarea monitorizarii  Deciziei nr.42/E/41/2010 a Diviziei Linii Cluj, contrar celor stabilite la pct.1.1 din Anexa la REGULAMENTUL  (UE)  nr.1078/2012 ;_x000D_
_x000D_
_x000D_
Cauze primare_x000D_
_x000D_
•	Neaplicarea prevederilor din procedurile opera?ionale cod PO SMS 0-4.07„Respectarea specifica?iilor tehnice, standardelor ?i cerin?elor relevante pe întreg ciclul de via?a a liniilor în procesul de între?inere”(inclusiv a anexelor), referitoare la:_x000D_
-	remedierea deranjamentelor aparute la linie, mentinerea nivelului transversal si a pozitiei caii în plan, conform prevederilor din Anexa nr.2, „Tipuri de lucrari de întretinere (reparatii curente)” a PO SMS 0-4.07;_x000D_
-	asigurarea bazei materiale necesare executarii lucrarilor de între?inere periodica ?i repara?ie curenta prin aprovizionarea cu traverse în cantitati suficiente, conform prevederilor pct. III.2 „Asigurare baza materiala” din diagrama de flux a procesului de între?inere Anexa nr.1 a PO SMS 0-4.07, fapt care a avut consecin?a neefectuarea  la timp a lucrarilor curente privind înlocuirea traverselor necorespunzatoare din cale;_x000D_
_x000D_
•	Neaplicarea prevederilor din procedura opera?ionala cod PO SMS 0-4.28„Verificarea si controlul rezultatelor operatiunilor de întretinere”, referitoare la responsabilitati ale personalului de întretinere, fapt care a avut consecin?a neefectuarea  la termenele stabilite prin Instruc?ia 305 „privind fixarea termenilor ?i a ordinei în care trebuie efectuate reviziile caii” edi?ia 1997, a reviziei schimbatorului de cale nr.37A. de catre personalul cu atribu?ii de conducere din cadrul sec?iei de între?inere ?i de catre personalul cu atribu?ii de revizie din cadrul districtului de linii la termenele stabilite _x000D_
_x000D_
•	Neîndeplinirea cerin?ei A3 din Anexa II la Regulamentul UE nr.1169/2010,  respectiv cerin?a sa existe proceduri pentru monitorizarea eficacita?ii masurilor de control al riscurilor, deoarece lipsesc din Procedura Cod PO SMS 0-4.1.3, prevederi referitoare la faptul ca procesul de monitorizare cuprinde activita?ile obligatorii, respectiv - definirea unei strategii, culegerea ?i analizarea informa?iilor, elaborarea unui plan de ac?iune pentru cazurile inacceptabile, punerea în aplicare a planului de ac?iune ?i evaluarea eficacita?ii masurilor cuprinse în planul de ac?iune- conform celor prevazute la pct.1.1 din Anexa ?i în Apendice la REGULAMENTUL (UE) nr.1078/2012; 
Underlying causes_x000D_
1. Exceeding of the tolerances accepted for the cross level, against the provisions of art.19.6. from „Instruction of norms and tolerances for the track construction and maintenance, for lines with standard gauge no.314/1989”;_x000D_
2 Exceeding of the tolerances accepted for the gradient reclining at the track twist, against the provisions of art.7.A.4  from „Instruction of norms and tolerances for the track construction and maintenance, for lines with standard gauge no.314/1989”;_x000D_
 3. Exceeding of the tolerances accepted for the counter-cants of the outer rail, against the provisions of art.7.A.3 from „Instruction of norms and tolerances for the track construction and maintenance, for lines with standard gauge no.314/1989”;_x000D_
4. Keeping within the track switches of the unsuitable wooden sleepers, against the provisions of art.25, paragraphs (1), (2) and (4) from „Instruction of norms and tolerances for the track construction and maintenance, for lines with standard gauge no.314/1989”;_x000D_
5. Unsuitable composition of the switch track bed, against the provisions of art.15, paragraph (8), from „Instruction of norms and tolerances for the track construction and maintenance, for lines with standard gauge no.314/1989”;_x000D_
6. Violation of the deadlines for the measurement of the switches, the measured values being written down in the book for the switch inspection, against the provisions from „Instruction 305 for the establishment of the deadlines and order for the performance of the track inspections” edition 1997, sheet no.3, art.2; sheet no.4, art.3; sheet no.12, art.2, point b);_x000D_
7. Lack of monitoring of the Decision no.42/E/41/2010 of the Line Division Cluj, against those established at point 1.1 from the Annex of REGULATION (EU)  no.1078/2012 ;_x000D_
_x000D_
 Root cause_x000D_
•	Non-application of the provisions from the operational procedures code PO SMS 0-4.07„Compliance with the technical specifications, standards and relevant requirements during the complete lifetime of the lines in the maintenance process” (including the annexes), concerning:_x000D_
-	removal of the track failures, keeping of the cross level and the track laying, according to the provisions of Annex no.2, „Types of maintenances (current repairs)” of PO SMS 0-4.07;_x000D_
-	providing of the material basis necessary for the performance of periodical maintenance and current repair, supplying the sufficient quantities of sleepers, according to the provisions of point. III.2 „Supplying of the material basis” from the flow diagram of the maintenance process Annex no.1 of PO SMS 0-4.07, it leading to the non-performance in due time of the current works for the replacement for the unsuitable sleepers;_x000D_
_x000D_
•	Non-application of the provisions from the operational procedure code PO SMS 0-4.28„Checking and control of the maintenance results”, concerning the duties of the staff in charge with maintenance, it leading to the non-performance at the deadlines established in the Instruction 305 „concerning the setting of the deadlines and order for the performance of the track inspections” edition 1997, of the inspection of the switch no.37A. by the staff with management responsibilities within the maintenance section and by the staff with inspection duties within the line district at the deadlines established; _x000D_
_x000D_
•	Violation of the requirement A3 from the Annex II of the EU Regulation no.1169/2010,  respectively the requirement to have procedures for the monitoring of the effectiveness of the measures for the risk control, because in the Procedure Code PO SMS 0-4.1.3, there are not provisions according which the monitoring includes compulsory activities, respectively – definition of a strategy, gathering and analysis of information, working out of an action plan for the unacceptable cases, implementation of the action plan and the assessment of the effectiveness of the measures included in the action plan – according to those stipulated at point 1.1 from the Annex and in the Appendix at the REGULATION (EU) no.1078/2012;</t>
  </si>
  <si>
    <t>HU-5770</t>
  </si>
  <si>
    <t>Level crossing accident, 28-09-18, Rákosliget - Pécel AS152 (Hungary)</t>
  </si>
  <si>
    <t>train collided with a car</t>
  </si>
  <si>
    <t>Rákosliget - Pécel AS152</t>
  </si>
  <si>
    <t>a)	A baleset bekövetkezése elott az AS 152 sz. útsorompó „zavar” állapotba került, melyrol az IC 514 sz. vonat mozdonyvezetojének nem volt tudomása, ezért a vonat a sebességét nem csökkentette, és kb. 87 km/h-s sebességgel közelítette meg az útátjárót._x000D_
b)	A személygépkocsi vezetoje megállás, és az áthaladás veszélytelenségérol való meggyozodés nélkül hajtott be az útátjáróba. 
(a) Before the accident occurs, the number ASF 152 barrier has entered the state of “disturbance”, from which IC nr. 514. train driver was not aware, so the train did not reduce its speed, and It was approaching the intersection at 87 km/h._x000D_
(b) The driver of the car entered the access ramp without stopping and without being convinced that there is no danger of passage.</t>
  </si>
  <si>
    <t>a)	Az esemény helyszínén üzemelo útsorompó muködése nem felel meg az OVSZ eloírásainak, mert a lezárás megkezdését követoen kialakuló „zavar” állapot esetén a fénysorompók elsötétülnek, ennek következtében jelzésüket nem a vonat elhaladásáig adják._x000D_
b)	A jelenleg érvényes szabályok (OVSZ, FMSZ, Országos Pályahálózat Utasításrendszere, KRESZ) olyan esetekben, amikor az útsorompó „zavar” állapotba kerül, az elso, már nem értesítheto vonatok áthaladásakor az áthaladás felelosségét kizárólag a közúti jármu vezetojére hárítja annak ellenére, hogy az áthaladás veszélytelenségrol a közúti jármuvezeto nem minden esetben tud meggyozodni._x000D_
c)	A fénysorompó jelzésének és a vasúti pályának a megfigyelhetoségét kis mértékben nehezítette a kedvezotlen irányból, erosen süto Nap, és az útátjáróban áthaladó kerékpáros látványa egy hamis biztonság érzetett támaszthatott a gépjármu vezetojében. 
) The operation of the barrier on the site of the event does not comply with the requirements of the OVSZ, because in the case of "disturbance" occurring after the start of the closure, the light barriers are darkened and consequently their signal is not given until the train passes._x000D_
b) The current rules (OVSZ, FMSZ, National Rail Network Instruction System, Highway Code), in cases where the barrier is in a "disorder", transfer the responsibility for the passage of the first unannounced trains only to the driver of the road, the driver is not always convinced of the safety of the passage._x000D_
(c) The visibility of the light barrier signal and the railway track was slightly impaired by the unfavorable sunshine and the sight of the cyclist passing through the crossing, a false sense of security in the driver.</t>
  </si>
  <si>
    <t>DE-5797</t>
  </si>
  <si>
    <t>Train derailment, 01-10-18, Duisburg-Wedau (Germany)</t>
  </si>
  <si>
    <t xml:space="preserve">Am 01.10.2018 gegen 16:35 Uhr entgleiste auf dem Weg von Duisburg‐Wedau nach Kinkem‐
pois(Belgien) der Güterzug DGS 48502 des Eisenbahnverkehrsunternehmens Lineas N. V. (Belgien) im Bahnhof (Bf) Duisburg‐Wedau auf der Weiche 05W12 mit dem Triebfahrzeug (Tfz) und den ersten vier Wagen. Die Eisenbahninfrastruktur wird durch die DB Netz AG betrieben.
</t>
  </si>
  <si>
    <t>Bf Duisburg‐Wedau</t>
  </si>
  <si>
    <t>Lineas N.V.</t>
  </si>
  <si>
    <t xml:space="preserve"> Die geschätzte Höhe der Sachschäden beläuŌ sich auf ca. 380.000 Euro.</t>
  </si>
  <si>
    <t>Fahrstraße wurde vorzeitig aufgelöst. Die Weiche wurde unter dem Eisenbahnfahrzeug umgestellt.</t>
  </si>
  <si>
    <t>RO-5777</t>
  </si>
  <si>
    <t>Other, 01-10-18, Mihaesti (Romania)</t>
  </si>
  <si>
    <t>wrong operating of the route for the exit of passenger train no.9006 from the railway station Maldaieni</t>
  </si>
  <si>
    <t>Mihaesti</t>
  </si>
  <si>
    <t>Cauza directa_x000D_
Cauza directa a producerii incidentului o constituie eroarea umana manifestata prin solicitarea si acordarea incorecta a închiderii programate, corelata cu stabilirea incorecta a firului pe care sunt amplasate schimbatoarele de cale la care s-a solicitat lucrarea de mentenanta._x000D_
_x000D_
_x000D_
Cauze subiacente_x000D_
1.	nerespectarea prevederilor art. 32(8) din Regulamentul pentru circulatia trenurilor si manevra vehiculelor feroviare nr.005, aprobat  prin ordinul ministrului transporturilor, constructiilor si turismului nr.1816 din 26.10.2005;_x000D_
2.	nerespectarea Prescriptiilor privind modul de efectuare a lucrarilor bianuale si verificare parti ascunse la schimbatoarele de cale, edi?ia în vigoare. 
Direct cause_x000D_
The direct cause of the incident is the human error consisting in the request and the wrong establishment of the scheduled closing, correlated with the wrong setting of the track on which there are the switches submitted to maintenance.</t>
  </si>
  <si>
    <t>Cauza primara_x000D_
1.	Cauza primara care a stat la baza producerii incidentului feroviar a constat în aplicarea ineficienta pentru atingerea scopului propus în activitatea de gestionare a siguran?ei feroviare, a procedurilor de monitorizare a activita?ilor de mentenan?a pentru reviziile bianuale a electromecanismelor de macaz ?i verificarea par?ilor ascunse a schimbatoarelor de cale, parte a SMS a administratorului de infrastructura. 
Underlying causes_x000D_
1.	violation of the provisions of art. 32(8) from the Regulations for the train running and railway vehicles shunting no.005, approved through Order of Minister of Transports, Constructions and Tourism no.1816 from the 26th October 2005;_x000D_
2.	violation of the provisions for the performance way of the biannual works and inspection of the hidden parts of the switches, edition in force._x000D_
_x000D_
 Root cause_x000D_
1.The root cause of the incident was the ineffective application for the achievement of the proposed scope in the railway safety management, of the procedures for the monitoring of the maintenance for the biannual inspections of the switch point machines and checking of the hidden parts of the switches, part of the infrastructure administrator SMS.</t>
  </si>
  <si>
    <t>RO-5778</t>
  </si>
  <si>
    <t>Other, 04-10-18, Plopsoru (Romania)</t>
  </si>
  <si>
    <t>wrong route has set for the passenger train no.2855 on the exit from Plopsoru railway station</t>
  </si>
  <si>
    <t>Plopsoru</t>
  </si>
  <si>
    <t>Cauza directa_x000D_
1.	Cauza directa a producerii incidentului o constituie executarea eronata a parcursului de iesire._x000D_
_x000D_
Factorii care au contribuit:_x000D_
1. Lipsa unor reglementari în instructia de manipulare a instalatiei CED, tip CR 3, din statia CFR Plopsoru, care sa contina modul de efectuare a parcursului de iesire pe linie falsa;_x000D_
2. Permanentizarea unui mod de lucru (circulatia pe linie falsa) care ar trebui sa fie ocazional, fara efectuarea unei analize de risc în acest sens. 
Direct cause_x000D_
1.	The direct cause of the incident is the wrong setting of the exit route of the train.._x000D_
_x000D_
Contributing factors:_x000D_
1.	absence of a provision, in the instruction, for the operation of the equipment CED, type CR 3, from the railway station Plopsoru, that should contain the way of setting the  exit route in case of the exit of  train on the left track instead of right track (on the double track usually the right track is used for the train running);;_x000D_
2.	making permanent a working way (running on a right track) that should be occasional, without performing a risk analysis in this respect.</t>
  </si>
  <si>
    <t xml:space="preserve"> 
Underlying cause_x000D_
1. Violation of the provisions of art. 125 (1) letter c) from the Regulations for the train running and shunting of the railway vehicles no. 005, approved through Order of Minister of Transports, Constructions and Tourism no. 1816 from the 26th October 2005._x000D_
_x000D_
 _x000D_
 Root cause_x000D_
1.	Monitoring, made at central and regional levels, did not identify and did not managed the risks generated by the absence of regulation for setting the routes of trains in case of their running on the right track (on the double track lines), in order to dispose consequently solutions and measures viable for keeping under control the dangers generated by it.</t>
  </si>
  <si>
    <t>HU-5784</t>
  </si>
  <si>
    <t>Accident to persons caused by RS in motion, 05-10-18, Ózd (Hungary)</t>
  </si>
  <si>
    <t>the train has pull a passenger  on the platform</t>
  </si>
  <si>
    <t>Ózd</t>
  </si>
  <si>
    <t>Az esemény bekövetkezésére közvetlenül ható tényezok az alábbiak voltak:_x000D_
a)	A leszálló utas teste és a hátizsákja közé odazáródott a jármu bezáródó ajtaja és az utast a vonat magával vonszolta kb. 13,5 m távon._x000D_
b)	Mivel a vonat személyzete nem vette észre a balesetet, ezért a mentoszolgálat értesítése az esemény bekövetkezése után kb. 23 perccel történt meg, így a sérült ellátásának megkezdése késedelmet szenvedett. 
The factors directly affecting the occurrence of the event were: _x000D_
a) The vehicle door closed between the body of the passenger disembarking and his backpack and the passenger was attracted by the train in a distance of approximately 13,5 m.  _x000D_
(b) Since the train crew did not notice the accident, the rescue service was notified about 23 minutes after the occurrence of the incident and the starting of care for the injured person was delayed.</t>
  </si>
  <si>
    <t>DE-5886</t>
  </si>
  <si>
    <t>Fire in RS, 12-10-18, Üst Willroth - Montabaur (Germany)</t>
  </si>
  <si>
    <t>Am Freitag den 12.10.2018 verkehrte ICE 511 von Köln Hbf nach München Hbf. Während der Fahrt des ICE 511 zwischen den Betriebsstellen Willroth (Üst) und Montabaur kam es gegen 6:21 Uhr zu einem Kurzschluss in der Oberleitungsanlage. Zu diesem Zeitpunkt befand sich der Zug ca. in km 62,600 bei einer Geschwindigkeit von ca. 270 km/h. Zeitgleich fielen alle Hauptschalter des gesamten Zuges aus. Im weiteren Fahrverlauf fing der vorletzte Wagen 403 626 an zu brennen. Auf dem Streckengleis werden ab der Üst Willroth Aluminiumabschmelzungen sowie größere Blechteile des Zuges und ein durchtrenntes LZB-Kabel vorgefunden. ICE 511 wurde auf Anforderung des Zugbegleitpersonals durch den Triebfahrzeugführer mit einer Schnellbremsung in km 72,380 um ca. 6:24 Uhr zum Halten gebracht. Zwischenzeitlich dehnte sich der Brand auf die beiden letzten Fahrzeuge der hinteren Zugeinheit aus. Im Inneren des Zuges begannen noch vor dem Stillstand in beiden Triebzugteilen die ersten Evakuierungsvorbereitungen. Auf Antrag des zuständigen özF in der BZ Frankfurt/M wurde durch die ZES Borken die Oberleitung zwischen Willroth (Üst) und Montabaur für beide Streckengleise um 6:29:15 Uhr abgeschaltet.. Unter Mithilfe eines als Fahrgast anwesenden Polizeibeamten und dem Zugbegleitpersonal wurden alle Reisenden über Notstege aus dem Zug evakuiert und zu einer Straßenunterführung in km 72,400 in Höhe der Zugspitze geführt. 
On Friday 12th October 2018, the ICE 511 was travelling from Cologne central station to Munich central station. During the journey of the ICE 511 between the operational unit Willroth (Üst) and Montabaur, at approximately 6:21 a.m., a court-circuiting happened at the overhead contact line. At this moment, the train was at km 62,600 at a speed of about 270 km/h. At the same time, all main switches of the entire train failed. As the drive progressed, the penultimate car 403 626 started to burn. On the rail track Ust Willroth, aluminum abatements as well as larger sheet metal parts of the train and a damaged continuous automatic train control cable have been found. _x000D_
At the request of the train crew, the ICE 511 was stopped by the driver with emergency braking at km 72.380 at approx. 6:24 a.m.. In the meantime, the fire spread to the last two vehicles of the rear train unit. Inside the train, the first evacuation preparations began before the stopping of both railcar parts. At the request of the responsible local train dispatcher at the operations centre Frankfurt/M, the overhead line between Willroth (Ust) and Montabaur was shut down by the central point of control Borken at 6:29:15 a.m. for both lines. With the assistance of a police officer present as a passenger and the train attendants, all passengers were evacuated via the emergency bridge from the train and led to a street underpass in km 72,400 at the height of the Zugspitze.</t>
  </si>
  <si>
    <t>Üst Willroth - Montabaur</t>
  </si>
  <si>
    <t>Das Ereignis wurde wahrscheinlich durch den Bruch einer Zugstange ausgelöst. Durch die Herabsetzung der Einspannkraft kam es zu Relativbewegungen im Aktivteil des Haupttransformators_x000D_
und Beschädigungen von Leiterisolierungen. Diese führten zu einem Windungskurzschluss. Durch den damit verbundenen schlagartigen Druckanstieg im Trafokessel kam es zum Bruch der Durchführungsbuchse des Überspannungsableiters. Das an dieser Stelle ausströmende Trafoöl bildete ein entzündliches Aerosol, welches sich an einem kurzschlussbedingten Lichtbogen bzw. den sehr stark erhitzen Bauteilen im Bereich der beschädigten Durchführungsbuchse des Überspannungsableiters entzündete. Die in der Folge anstehende Wärmeenergie führte zum Fahrzeugbrand. 
The event was probably triggered by the breakage of a drawbar. The reduction of the clamping force resulted in relative movements in the active part of the main transformer and damage to conductor insulation. These led to a winding short circuit. Due to the sudden pressure increase in the transformer boiler, the bushings of the surge arrester broke. The transformer oil flowing out at this point formed an inflammable aerosol, which formed at a short-circuit arc or ignited the very hot components in the area of the damaged feedthrough socket of the surge arrester. The resulting thermal energy led to the vehicle fire.</t>
  </si>
  <si>
    <t>HR-5786</t>
  </si>
  <si>
    <t>Level crossing event, 13-10-18, LC Vernalska (Croatia)</t>
  </si>
  <si>
    <t>The accident at LC Vernalska on the line Vodnjan - Pula on 13.10.2018. at 14:40 hours when a personal vehicle under the passenger train set 4708 was under way. 
Nesreca na ŽCP Vernalska na pruzi Vodnjan – Pula dana 13.10.2018. u 14:40 sati kada je došlo do podlijetanja osobnog vozila pod putnicku garnituru vlaka 4708.</t>
  </si>
  <si>
    <t>LC Vernalska</t>
  </si>
  <si>
    <t>prelazak osobnog vozila preko ŽCP-a neposredno prije nailaska putnickog vlaka  broj 4708 na isti 
that a road vehicle came out at the LC just before the passenger train came on the LC</t>
  </si>
  <si>
    <t>Cimbenici koji su pridonijeli ovoj nesreci:._x000D_
-	Osobno vozilo proklizalo na ŽCP,_x000D_
-	Stanje kolnika,_x000D_
-	Smanjena vidljivost uslijed položaja sunca,_x000D_
-	Ne postojanje horizontalne prometne signalizacije na kolniku._x000D_
Organizacijski cimbenici koji su pridonijeli ovoj nesreci_x000D_
-	ŽCP je pasivno osiguran,_x000D_
-	Redovitost kontrole trokuta preglednosti od strane nadležnih službi Grada Pula i Grada Vodnjana ,_x000D_
-	Konfiguracija terena (usjek). 
Contributing factors: _x000D_
-	Passenger car slipped on LC ,_x000D_
-	Road condition, _x000D_
-	Reduced visibiliy due to the position of the sun,_x000D_
-	Absence of horizontal traffic signs on the road surface._x000D_
Organizational factors:_x000D_
-	LC is passively secured,_x000D_
-	The regularity of visibility triangle control by compentent service of the city Pula and Vodnjan,_x000D_
-	Construction of the road in front of LC (notch).</t>
  </si>
  <si>
    <t>IT-5970</t>
  </si>
  <si>
    <t>Fire in RS, 17-10-18, Lomello, line Pavia - Torreberetti (Italy)</t>
  </si>
  <si>
    <t>Fire in locomotive</t>
  </si>
  <si>
    <t>Lomello, line Pavia - Torreberetti</t>
  </si>
  <si>
    <t>1. Surriscaldamento della turbina gas di scarico e rottura del giunto di dilatazione provocata dal cedimento del cordone di saldatura presente sul condotto di immissione dell’aria surriscaldata nell’Intercooler, con conseguente fuoriuscita di gas di scarico incandescenti che hanno lambito le parti in gomma dei cavi elettrici, altre parti in plastica e vernici che si trovavano nelle immediate vicinanze di dette apparecchiature, innescando l’incendio._x000D_
2. Mancato funzionamento dell’impianto A.I. 
1. Overheating of the exhaust gas turbine and rupture of the dilation joint caused by the failure of the welding cord on the duct of the injection of overheated air into the Intercooler, resulting in the leakage of exhaust gas incandescents that have the rubber parts of the electrical cables, other plastic parts and paints that were in the immediate vicinity of such equipment, triggering the fire._x000D_
2. Failure to operate the A.I. system</t>
  </si>
  <si>
    <t>Cause indirette_x000D_
1. Difettosità nella strumentazione di bordo: le sonde termorilevatrici, che sarebbero dovute intervenire per segnalare l’eccessivo aumento della temperatura dell’acqua di raffreddamento, non sono intervenute alla temperatura di taratura prescritta dal progettista e non hanno segnalato all’AdC alcuna anomalia._x000D_
2. Problemi di progettazione o di dimensionamento di alcuni componenti o materiali inadeguati per quanto riguarda in particolare il giunto di dilatazione._x000D_
3. Presenza di gomma, vernice fusa e dei colaticci di olio e gasolio nella vasca di raccolta residui che hanno favorito la propagazione dell’incendio fino a raggiungere la verniciatura e la pellicolatura esterna._x000D_
4. Controlli e manutenzioni svolte in modo non efficace e che non hanno consentito di scartare cautelativamente il locomotore dal servizio e/o di accorgersi per tempo che si stavano creando condizioni favorevoli a potenziali rischi incendio._x000D_
_x000D_
Causa a monte_x000D_
1. Mancata presa in carico delle raccomandazioni emesse dalla Digifema in occasione di un analogo incendio avvenuto nel 2013 e delle relative prescrizioni dell’ANSF, che ha determinato condizioni favorevoli alla ripetizione dell’evento, verificatosi per ben tre volte in pochi anni. 
Indirect causes_x000D_
1. Defectiveness in on-board instrumentation: the thermal air probes, which should have intervened to signal the excessive increase in the temperature of the cooling water, did not intervene at the calibration temperature prescribed by the designer and did not report any anomaly to the AdC._x000D_
2. Problems designing or sizing some components or materials that are not adequate with regard to the expansion joint in particular._x000D_
3. Presence of rubber, melted paint and oil and diesel oil in the waste collection tank that facilitated the spread of the fire until it reached the painting and filming outside._x000D_
4. Checks and maintenance carried out in an ineffective manner and which did not allow the locomotive to be cautiously discarded from the service and/or to realize in time that conditions were being created conducive to potential fire hazards._x000D_
_x000D_
Root cause_x000D_
1. Failure to take charge of the recommendations issued by Digifema during a similar fire in 2013 and the relevant requirements of the ANSF, which resulted in favourable conditions for the repetition of the event, which occurred three times in a few years.</t>
  </si>
  <si>
    <t>UK-5864</t>
  </si>
  <si>
    <t>Unauthorised train movement other than SPAD, 19-10-18, Sandy Hill Junction (United Kingdom)</t>
  </si>
  <si>
    <t>At around 14:32 hrs on 19 October 2018, an LNER service from Aberdeen to London’s King’s Cross passed through an emergency speed restriction of 20 mph at approximately 120 mph (193 km/h)._x000D_
The emergency speed restriction had been applied at around 13:50 hrs on the previous day because track maintenance staff had found a defect (a crack) in a crossing, part of a set of points. Marker boards and associated automatic warning system (AWS) magnets were in place to provide warning of the emergency speed restriction and denote where the restriction commenced and terminated. The driver of the train had not received any notification of the existence of the emergency speed restriction prior to the journey._x000D_
No injuries were caused and no damage was recorded to the train, which continued to London King’s Cross.</t>
  </si>
  <si>
    <t>Sandy Hill Junction</t>
  </si>
  <si>
    <t>The driver did not reduce the train’s speed to 20 mph (32 km/h) in response to the emergency speed restriction.</t>
  </si>
  <si>
    <t>The causal factors were:_x000D_
a. The driver was distracted due to both a medical condition and searching for paracetamol in his bag, so was not paying full attention to the line (paragraphs 53 and 63, Recommendations 4 and 5)._x000D_
b. The driver did not respond to the ESI board, and then mis-interpreted the warning board (paragraph 64, Recommendation 3)._x000D_
c. LNER did not provide drivers with notification of any emergency speed restrictions prior to them starting their journeys, following a change to the rule book in June 2008 (paragraph 78, Recommendations 1 and 2, Actions already taken, paragraph 99)._x000D_
Underlying factor_x000D_
97 The underlying factor was:_x000D_
a. The requirement to provide drivers with details of emergency speed restrictions before the beginning of a journey was removed from the rule book without adequate consideration of the risk associated with this change, and this led to inconsistency between operating companies in the information they provide to drivers (paragraph 85, Recommendations 1, 2 and 5).</t>
  </si>
  <si>
    <t>HR-5799</t>
  </si>
  <si>
    <t>Train derailment, 21-10-18, Lonjica (Croatia)</t>
  </si>
  <si>
    <t>On the line between Dugo Selo and Vrbovec on 21.10.2018. at 7:20 am there was a ramp on the track and derailment of the fast passenger train number 783. 
Na pruzi izmedu kolodvora Dugo Selo i Vrbovec dana 21.10.2018. godine u 7:20 sati došlo je do naleta na tracnicu i iskliznuca brzog putnickog vlaka broj 783.</t>
  </si>
  <si>
    <t>Lonjica</t>
  </si>
  <si>
    <t>Izravni uzrok nesrece je iskliznuce vlaka uslijed naleta na tracnicu koju je prilikom radova na istovaru tracnica ostavio izvodac radova. 
The direct cause of the accident was the derailment of train number 783 due to a collision with a rail left by the contractor during the work on unloading the rails.</t>
  </si>
  <si>
    <t>Cimbenici koji su pridonijeli ovoj nesreci:  _x000D_
- vremenski uvjeti, slaba magla i kiša, _x000D_
- ne pridržavanje zakonske regulative, _x000D_
- nedovoljno detaljno opisani radni postupci u dokumentaciji Izvodaca. _x000D_
_x000D_
Organizacijski cimbenici:  _x000D_
- neosiguran put vožnje, _x000D_
- neadekvatna organizacija rada. _x000D_
- nepridržavanje odredbi Plana izvodenja radova, _x000D_
- nepridržavanje Detaljnog plana rada na dan nesrece. 
Factors contributing to this accident: _x000D_
- weather conditions, light fog and rain, _x000D_
- non-compliance with legislation, _x000D_
- insufficiently described working procedures in the Contractor's documentation. _x000D_
_x000D_
Organizational factors: _x000D_
- unsecured driving route, _x000D_
- inadequate organization of work, _x000D_
- non-compliance with the provisions of the Work Plan, _x000D_
- non-compliance with the Detailed Work Plan on the day of the accident.</t>
  </si>
  <si>
    <t>NO-5837</t>
  </si>
  <si>
    <t>Runaway, 21-10-18, Auma siding, Rørosbanen (Norway)</t>
  </si>
  <si>
    <t>On Sunday 21 October 2018, four special freight cars used to transport military material rolled out from the Auma branch line and onto the Rørosbanen line._x000D_
_x000D_
In connection with the NATO drill Trident Juncture, freight cars for transporting military vehicles are parked on available branch lines, including on the Rørosbanen line. _x000D_
_x000D_
On Friday 19 October, several freight car sets were parked on the Auma branch line. Two days later, one of these was set in motion and rolled through a derailer and onto the Rørosbanen line. _x000D_
This triggered indication of a fault on the Auma branch line, and the traffic controller therefore gave a southbound passenger train an order to proceed with speed restrictions from Tynset station. _x000D_
A critical situation was thereby avoided in this incident. 
Søndag 21. oktober 2018 rullet 4 spesialvogner for transport av militært materiell ut fra Auma sidespor og inn på Rørosbanen._x000D_
_x000D_
I forbindelse med Nato-øvelsen Trident Juncture er vogner for transport av militære kjøretøy hensatt på tilgjengelige sidespor på blant annet Rørosbanen. _x000D_
_x000D_
Fredag 19. oktober ble flere vognstammer hensatt på Auma sidespor. To dager  senere kom en av disse i bevegelse og rullet over en sporsperre og ut på Rørosbanen. _x000D_
Dette ble indikert som en feil ved Auma sidespor hos togleder, og et sydgående passasjertog fikk derfor en restriktiv kjøreordre fra Tynset stasjon._x000D_
Det oppstod dermed ingen kritisk situasjon ved denne hendelsen.</t>
  </si>
  <si>
    <t>Auma siding, Rørosbanen</t>
  </si>
  <si>
    <t>Shunting operation; 
Passenger train</t>
  </si>
  <si>
    <t>Grenland Rail AS; 
NSB AS</t>
  </si>
  <si>
    <t>The wagons were not properly secured when they were parked</t>
  </si>
  <si>
    <t>CZ-5787</t>
  </si>
  <si>
    <t>Spad, 23-10-18, Studenec station (Czech Republic)</t>
  </si>
  <si>
    <t>Unauthorized movement of the regional passenger train No. 4807 behind the signal device S with consequent entry to the station track occupied by the regional passenger train No. 4806.</t>
  </si>
  <si>
    <t>Studenec station</t>
  </si>
  <si>
    <t>Direct cause:_x000D_
•failure to respect the signal „Stop" of the main (entry) signal device „S” to the Studenec station by the train driver of the regional passenger train No. 4807._x000D_
_x000D_
Contributory factor:_x000D_
•absence of technical equipment which prevents a train from passing a signal in case of danger.</t>
  </si>
  <si>
    <t>Underlying cause:_x000D_
•inattention of the train driver of the regional passenger train No. 4807 while driving the locomotive and insufficient follow-up of guidance given to him by the IM through the independent warning signal „PrS” and the main signal device „S”, due to probable manipulation with the service tablet while driving around the signal devices, as the train driver said in explanation._x000D_
_x000D_
Root cause:none.</t>
  </si>
  <si>
    <t>HU-5788</t>
  </si>
  <si>
    <t>Level crossing accident, 25-10-18, Orosháza (Hungary)</t>
  </si>
  <si>
    <t>The train crashed with a car</t>
  </si>
  <si>
    <t>Orosháza</t>
  </si>
  <si>
    <t>A személyautó vezetoje a felváltva villogó piros jelzést adó fénysorompó ellenére, a leeresztett állapotú félsorompót kikerülve hajtott be az útátjáróba. 
Despite the alternating flashing red light barrier, the driver of the car drove into the crossing bypassing the lowered barrier.</t>
  </si>
  <si>
    <t>RO-5790</t>
  </si>
  <si>
    <t>Train derailment, 25-10-18, Toplet (Romania)</t>
  </si>
  <si>
    <t>The first bogie from the wagon no.33530823236-2, has derailed in the end Y of Toplet railway station, as a result of brake shoe falling</t>
  </si>
  <si>
    <t>Toplet</t>
  </si>
  <si>
    <t>Penele de fixare ale portsabo?ilor au putut ajunge în aceasta pozi?ie doar ca urmarea a interven?iei unor persoane neidentificate care, în scopul demontarii, probabil în vederea sustragerii acestor sabo?i de frâna, au extras penele de fixare din pozi?ia normala încercând utilizarea acestora drept pârghie prin introducerea între sabot ?i portsabot pentru departarea sabo?ilor de frâna de portsabo?i în vederea dislocarii sabo?ilor. În timpul efectuarii acestei opera?ii, pe durata sta?ionarii trenului, frâna automata a trenului a fost strânsa sabo?ii de frâna fiind presa?i între suprafe?ele de rulare a ro?ilor ?i portsabo?i, ca urmare sabo?ii de frâna nu au putut fi disloca?i, acest lucru putând fi realizat doar dupa slabirea frânei automate a trenului, opera?ie realizata doar înainte de punerea în mi?care a trenului din halta de mi?care Tople? . _x000D_
Modul în care a fost identificata prima urma de deraiere (doar urma de cadere a ro?ii) ?i caderea simultana a ambelor ro?i ale acelea?i osii, în aceea?i sec?iune a caii, arata faptul ca, deraierea ro?ii s-a produs în urma unui ?oc mecanic generat de un corp contondent interpus între suprafa?a de rulare a ro?ii ?i ciuperca ?inei. Având în vedere identificarea unui sabot de frâna ?i pana de asigurare a acestuia, în apropierea punctului de producere a deraierii, se poate concluziona ca deraierea a fost provocata de caderea sabotului de frâna de la vagonul nr.33530823236-2, care în cadere s-a interpus între suprafa?a de rulare a ro?ii ?i ciuperca ?inei. _x000D_
Având în vedere cele prezentate, comisia de investigare considera ca, deraierea vagonului nr.33530823236-2 a fost generata de caderea unui sabot de frâna de la vagon, sabot care în cadere s-a interpus între suprafa?a de rulare a ro?ii ?i ciuperca ?inei. Caderea sabotului de frâna, concomitent cu pana de fixare a acestuia, a fost posibila prin interven?ia unor persoane neidentificate, care pe timpul sta?ionarii trenului nr.30626-1 în halta de mi?care Tople?, probabil cu inten?ia de sustragere a sabo?ilor de frâna, au scos penele de fixare încercând sa se ajute cu acestea pentru dislocarea sabo?ilor din portsaboti. Opera?iunea nu a putut fi finalizata deoarece frâna automata a trenului pe timpul sta?ionarii era strânsa. Aceasta interven?ie externa a generat posibilitatea caderii, în circula?ia trenului, a sabo?ilor neasigura?i ?i implicit a penelor de fixare a acestora lasate între sabo?i ?i portsaboti. 
The keys of the brake shoe holders could reach a such position only following the intervention of some non-identified persons which, for their removal, maybe for the theft of those brake shoes, they took out the keys  from the normal position, trying their use like lever through their introduction between the brake shoe and their holder, in order to remove the brake shoes from their holders and the brake shoe dislocation. During these operations, when the train was stopped, the automatic brake was applied, the brake shoes being pressed between the running surfaces of the wheels and the brake shoe holders, so the brake shoes could not be removed, it being possible only after the release of the train automatic brake, this operation being performed before the train start from Tople? railway station . _x000D_
The keys of the brake shoe holders could reach a such position only following the intervention of some non-identified persons which, for their removal, maybe for the theft of those brake shoes, they took out the keys  from the normal position, trying their use like lever through their introduction between the brake shoe and their holder, in order to remove the brake shoes from their holders and the brake shoe dislocation. During these operations, when the train was stopped, the automatic brake was applied, the brake shoes being pressed between the running surfaces of the wheels and the brake shoe holders, so the brake shoes could not be removed, it being possible only after the release of the train automatic brake, this operation being performed before the train start from Tople? railway station ._x000D_
The way the first derailment mark was identified  (just the mark of wheel fall) and the simultaneous fall of both wheels from the same axle, on the same track section, shows that the wheel derailment happened following a mechanic shock generated by a hard object interposed between the running surface of the wheel and the rail head. Taking into account the identification of a brake shoe  and its key, close to the derailment point, one can conclude that the derailment was generated by the fall of the brake shoe from the wagon no.33530823236-2, that falling interposed between the running surface of the wheel and the rail head. _x000D_
Taking into account these presented, the investigation commission considers that the derailment of the wagon no.33530823236-2 was generated by the fall of a brake shoe from the wagon, in its falling it interposed between the running surface of the wheel and the rail head. The fall of the brake shoe, in the same time with its key happened following the intervention of some non-identified persons, that during the stop of the train no.30626-1 in the railway station Tople?, maybe with the intention to steal the brake shoes, they took out the keys trying to use them to remove the brake shoes from their holders. It could not be finished because the train automatic brake was applied during the stop. This external intervention generated the possibility of fall, during the train running, of the improperly fitted and implicitly of their keys left between the brake shoes and their holders.</t>
  </si>
  <si>
    <t>CZ-5789</t>
  </si>
  <si>
    <t>Level crossing accident, 28-10-18, open line between Brandýs nad Labem and Neratovice stations (Czech Republic)</t>
  </si>
  <si>
    <t>Collision of the regional passenger train No. 19418 with the car at the level crossing.</t>
  </si>
  <si>
    <t>open line between Brandýs nad Labem and Neratovice stations</t>
  </si>
  <si>
    <t>Direct cause:_x000D_
• an unauthorized entrance of the car at the level crossing at the time when the train No. 19418 was arriving.</t>
  </si>
  <si>
    <t>Underlying causes:_x000D_
• the entrance of the car at the level crossing at the time when the arriving train could be visible and hear its hooting or whistling;_x000D_
• behavior of the driver in front of the level crossing, the car driver was not careful enough and didn't make sure whether he can safely pass the level crossing._x000D_
_x000D_
Root cause: none.</t>
  </si>
  <si>
    <t>CZ-5838</t>
  </si>
  <si>
    <t>Level crossing accident, 05-11-18, Open line between Turnov station and Doubí u Turnova railway stop (Czech Republic)</t>
  </si>
  <si>
    <t>Collision of the regional passenger train No. 5432 with a car at the level crossing No. P3096</t>
  </si>
  <si>
    <t>Open line between Turnov station and Doubí u Turnova railway stop</t>
  </si>
  <si>
    <t>Underlying causes:_x000D_
• driver's failure to respect the light and acoustic warning of the level crossing safety equipment;_x000D_
_x000D_
• driver’s behavior in front of the level crossing, the driver was not careful enough._x000D_
_x000D_
Root cause: none.</t>
  </si>
  <si>
    <t>UK-5853</t>
  </si>
  <si>
    <t>Accident to persons caused by RS in motion, 06-11-18, Stoats Nest Junction (United Kingdom)</t>
  </si>
  <si>
    <t>In the early hours of Tuesday 6 November 2018, a member of railway staff died when he was struck by a train at Stoats Nest Junction, between Purley and Coulsdon South stations on the main line from London to Brighton._x000D_
The member of staff had been contracted to carry out protection duties in connection with engineering work on the railway. This involved placing red lamps and detonators (explosive audible warning devices) on two tracks (the up and down slow lines). After completing this duty, at around 00:27 hrs, the staff member was walking south along the down slow line when he was struck by a passenger train which had crossed over from the down fast line to the down slow/Redhill line at Stoats Nest Junction, and was travelling at about 70 mph (113 km/h).</t>
  </si>
  <si>
    <t>Stoats Nest Junction</t>
  </si>
  <si>
    <t>The COSS was walking with his back to traffic on an open line, as the train approached.</t>
  </si>
  <si>
    <t>The evidence available to the RAIB was insufficient to provide a certain_x000D_
explanation of the actions of the COSS. However, taken together it suggests that_x000D_
the accident occurred due to one or more of the following causal factors:_x000D_
i. the COSS probably believed that no trains would approach on the line he was_x000D_
walking along (paragraph 68(a));_x000D_
ii. the COSS was probably fatigued and possibly distracted by personal and_x000D_
financial issues (paragraph 68(b), Recommendations 1 and 2);_x000D_
iii. the COSS was probably distracted by going to look at the traction isolation_x000D_
switch equipment (paragraph 68(c), Recommendation 1); and_x000D_
iv. the PSA did not attend the site of work: this was possibly causal_x000D_
(paragraph 68(d), Recommendations 1 and 2, see paragraphs 128 to 142)._x000D_
Underlying factors_x000D_
124 Underlying factors were:_x000D_
i. Vital had not effectively identified and addressed the fatigue levels of its_x000D_
contracted staff (paragraphs 92 to 96, Recommendations 1 and 2);_x000D_
ii. Vital’s management processes had not effectively identified and dealt with the_x000D_
practice of ‘ghosting’ (paragraphs 97 to 102, Recommendations 1 and 2);_x000D_
iii. the processes for setting up possessions still require people to place_x000D_
protection on the track, exposing those people to risk in the transition period_x000D_
before the possession is taken (paragraphs 104 to 109, no recommendation,_x000D_
see paragraphs 128 to 142); and_x000D_
iv. the railway industry’s use of staff on zero hours contracts for night work_x000D_
creates conditions in which it is difficult to manage fatigu</t>
  </si>
  <si>
    <t>RO-5841</t>
  </si>
  <si>
    <t>Train derailment, 07-11-18, Rosiori Nord (Romania)</t>
  </si>
  <si>
    <t>the first bogie of the second double decker passenger car which was part of the passenger train no.1597 derailed in Rosiori Nord railway station</t>
  </si>
  <si>
    <t>Cauza directa ?i factorii care au contribuit_x000D_
Cauza directa a producerii accidentului o constituie parasirea suprafe?ei de rulare a ciupercii ?inei de pe firul interior al curbei schimbatorului de cale numarul 31, de catre prima roata din partea stânga a boghiului de atac al celui de-al 2-lea vagon din compunerea trenului ?i caderea acesteia în interiorul caii. Acest lucru s-a produs în condi?iile în care starea tehnica a suprastructurii caii era necorespunzatoare, permi?ând cre?terea ecartamentului caii peste valoarea maxima admisa, în regim dinamic, sub ac?iunea for?elor transmise de materialul rulant.  _x000D_
Factori care au contribuit:_x000D_
-	existen?a unor traverse necorespunzatoare la rând, pe zona producerii deraierii, care nu mai asigurau prinderea placilor metalice la interiorul curbei, permi?ând deplasarea acestora în sensul cre?terii ecartamentului. 
Direct cause and contributing factors_x000D_
The direct cause of the accident is the first left wheel of the first bogie from the second car of the train left the running surface of the rail head, on the inner rail of the curve of the switch no. 31 and fell inside the track. It happened following the unsuitable technical condition of the superstructure, allowing the increase of the track gauge over the maximum accepted value, in dynamic conditions, under the action of the forces generated by the rolling stock.  _x000D_
Contributing factors:_x000D_
-	presence of some unsuitable sleepers consecutively, at the derailment site, that did not ensure the fastening of the metallic plates inside the curve, allowing their movement in the direction of the gauge increase.</t>
  </si>
  <si>
    <t>Cauze subiacente _x000D_
?	nerespectarea prevederilor art.25, pct. 2 ?i 4 din „Instruc?ia de norme ?i toleran?e pentru construc?ii ?i între?inerea caii pentru linii cu ecartament normal nr.314/1989”, referitoare la defectele care impun înlocuirea traverselor de lemn, respectiv la neacceptarea men?inerii în cale a unor traverse necorespunzatoare în cuprinsul aparatelor de cale._x000D_
Cauze primare_x000D_
-	neaplicarea tuturor prevederilor procedurii opera?ionale cod PO SMS 0-4.07 „Respectarea specifica?iilor tehnice, standardelor ?i cerin?elor relevante pe întreg ciclul de via?a a liniilor în procesul de între?inere”, parte a sistemului de management al siguran?ei al administratorului de infrastructura feroviara publica CNCF „CFR” SA, referitoare la executarea lucrarilor de între?inere ?i repara?ii periodice a liniilor de cale ferata. 
. Underlying causes _x000D_
?	violation of the provisions of art.25, points 2 and 4 from the „Instruction of norms and tolerances for the track construction and maintenance, for lines with standard gauge no.314/1989”, with reference to the failures that impose the replacement of the wooden sleepers, respectively the refuse to keep unsuitable sleepers within the switches._x000D_
_x000D_
Root causes_x000D_
-	non application of all provisions of the operational procedure code PO SMS 0-4.07 „Compliance with the technical specifications, standards and requirements relevant within the whole life cycle of the lines in maintenance process”, part of the safety management system of the railway public infrastructure administrator CNCF „CFR” SA, with reference to the performance of the maintenance and periodical repairs at the lines.</t>
  </si>
  <si>
    <t>PT-5862</t>
  </si>
  <si>
    <t>Broken axles, 11-09-18, Contumil (Portugal)</t>
  </si>
  <si>
    <t>Hotbox detected during running, the journal breaking while arriving at the workshop. 
Avaria em caixa de eixo detetada no decurso de viagem, com perda de funcionalidade do rodado à chegada à oficina.</t>
  </si>
  <si>
    <t>Contumil</t>
  </si>
  <si>
    <t>RO-5842</t>
  </si>
  <si>
    <t>Other, 11-11-18, Ilteu - Zam (Romania)</t>
  </si>
  <si>
    <t>in open line between Ilteu and Zam railway station some parts from the wagon no 31817853504-7 have fell and the wagon derailed. The wagon was the 13-th in the  freight train consist.</t>
  </si>
  <si>
    <t>Ilteu - Zam</t>
  </si>
  <si>
    <t>MMV Rail Romania SA</t>
  </si>
  <si>
    <t>Având în vedere cele prezentate, comisia de investigare concluzioneaza ca, deraierea vagonului nr.33817853504-7 a fost generata de caderea unui sabot de frâna de la vagon, sabot care în cadere s-a interpus între suprafata de rulare a rotii si ciuperca sinei. Caderea sabotului de frâna, urmata de caderea penei de fixare a acestuia, a fost posibila prin interventia unor persoane neidentificate, care pe timpul stationarii trenului de marfa nr.70926 în statia CFR Milova, cu intentia de sustragere a sabotilor de frâna, au scos penele de fixare încercând sa se ajute cu acestea pentru dislocarea sabotilor din portsaboti. Operatiunea nu a putut fi finalizata deoarece frâna automata a trenului pe timpul stationarii era strânsa. Aceasta interventie externa a generat, dupa slabirea frânei automate a trenului si plecarea trenului din statie, în circulatia trenului, posibilitatea caderii sabotilor neasigurati si implicit a penelor de fixare a acestora, lasate între saboti si portsaboti. 
Taking into account these mentioned, the investigation commission concludes that the derailment of the wagon no.33817853504-7 was generated by the fall of a brake shoe from the wagon, that falling interposed between the running surface of the wheel and the rail head. The fall of the brake shoe followed by the fall of its key happened through the intervention of some nonidentified persons, that during the stop of the freight train no.70926 in the railway station Milova, having the intention of  stealing the brake shoes, they removed the keys, trying to use them for the dislocation of the brake shoes from their heads. The operation could not be ended because the automatic brake of the train during the stop is applied. This external intervention generated, after the release of the automatic brake of the train and the departure of the train from the railway station, in its running, the possibility of the fall of the brake shoes non-ensured, and implicitly of their keys, left between the brake shoes and their holders.</t>
  </si>
  <si>
    <t>SK-5921</t>
  </si>
  <si>
    <t>Spad, 14-11-18, Bratislava-Raca station (Slovak Republic)</t>
  </si>
  <si>
    <t>Bratislava-Raca station</t>
  </si>
  <si>
    <t>CZ-5911</t>
  </si>
  <si>
    <t>Trains collision, 15-11-18, Testing railway "Å½eleznicní zkuÅ¡ební okruh Cerhenice" (Czech Republic)</t>
  </si>
  <si>
    <t>Uncontrolled (spontaneous) movement of the detached electric multiple-unit train ETR521 „HITACHI Caravaggio“ with consequent collision with an oncoming shunting operation.</t>
  </si>
  <si>
    <t>Testing railway "Å½eleznicní zkuÅ¡ební okruh Cerhenice"</t>
  </si>
  <si>
    <t>Other; 
Locomotive running solo</t>
  </si>
  <si>
    <t>Výzkumný ústav železnicní</t>
  </si>
  <si>
    <t>Direct cause:_x000D_
• unsecuring of the electric multiple-unit train ETR521 „HITACHI Caravaggio“ against unwanted movement.</t>
  </si>
  <si>
    <t>Underlying cause:_x000D_
• inattention during detachment of the electric multiple-unit train ETR521 „HITACHI Caravaggio“ by the shunting supervisor._x000D_
_x000D_
Root cause: none.</t>
  </si>
  <si>
    <t>RO-5850</t>
  </si>
  <si>
    <t>Train derailment, 16-11-18, Mureni - Beia (Romania)</t>
  </si>
  <si>
    <t>the first two axles of the rail crane that was part of the breakdown train no. 38321 derailed in open line between Mureni and Beia railway stations</t>
  </si>
  <si>
    <t>Mureni - Beia</t>
  </si>
  <si>
    <t>Cauza directa a producerii accidentului a constituit-o escaladarea fe?ei laterale active a ciupercii ?inei din exteriorul curbei circulare de catre ro?ile din dreapta osiilor nr.1 ?i 2 ale boghiului nr. 1 al macaralei EDK 1000/1, primul în sensul de mers._x000D_
Factorii care au contribuit la producerea accidentului au fost:_x000D_
1.	Varia?ia necorespunzatoare a ecartamentului, peste toleran?ele admise, în zona punctului de escalada-re._x000D_
2.	 Mentenan?a necorespunzatoare a macaralei care a condus la lipsa lubrifierii crapodinei de la boghiul nr.1 a macaralei EDK 1000/1. 
The direct cause of the accident was the right wheels of the axles no. 1 and 2 from the bogie no. 1 of the crane EDK 1000/1, first in the running direction, climbed the gauge face of the exterior rail of the constant radius curve._x000D_
Contributing factors:_x000D_
1.	The improper variation of  the gauge, over the tolerances accepted, in the area of the climbing point._x000D_
2.	Improper maintenance of the crane, that led to the lack of greasing of the centre casting from the bogie no. 1 of the crane EDK 1000/1.</t>
  </si>
  <si>
    <t>Cauzele subiacente ale producerii accidentului au fost nerespectarea unor prevederi din instruc?iile ?i regulamentele în vigoare:_x000D_
1.	Instruc?ia de norme ?i toleran?e pentru construc?ia ?i între?inerea caii - linii cu ecartament normal - nr.314/1989, Art.1, pct.14.1.c, referitoare la toleran?ele admise fa?a de abaterile de la ecartament, în exploatare._x000D_
2.	Instruc?ia pentru exploatarea mijloacelor de interven?ie nr.632/2000, pct.1.4, referitor la respectarea instruc?iilor de serviciu, a ordinelor ?i reglementarilor în vigoare, în activitatea mijloacelor de interven?ie ?i a echipelor acestora._x000D_
3.	Regulamentul de Exploatare Tehnica Feroviara nr.002/2001, art.228(1), referitoare la stabilirea condi?iilor impuse starii tehnice a vehiculelor feroviare (macara)._x000D_
4.	Regulamentul pentru circula?ia trenurilor ?i manevra vehiculelor feroviare nr.005/2005, art.88(2), referitoare la interzicerea introducerii în trenuri ?i men?inerea în circula?ie a vehiculelor feroviare neînscrise în parcul unui operator de transport feroviar sau care nu au fost autorizate pentru circula?ie conform reglementarilor specifice._x000D_
Cauza primara a producerii accidentului a fost neidentificarea pericolelor ?i neevaluarea riscurilor asociate pentru activitatea trenurilor de interven?ie ?i a echipelor acestora. 
The underlying causes  of the accident was the violation of some provisions from the instructions and regulations in force:_x000D_
1.	Instruction of norms and tolerances for the track construction and maintenance – lines with standard gauge - no.314/1989, Art.1, point 14.1.c, with reference to the tolerances accepted against the deviations from the gauge, in operation._x000D_
2.	Instruction for the operation of the intervention vehicles no.632/2000, point 1.4, with reference to the compliance with the job instructions, with the orders and regulations in force, in the activity of the intervention vehicles and their crews._x000D_
3.	Regulations for Railway Technical Operation no.002/2001, art.228(1), with reference to the establishment of the conditions imposed for the technical condition of the railway vehicles (crane)._x000D_
4.	Regulations for the train running and shunting of the railway vehicles no.005/2005, art.88(2), with reference to the prohibition to couple within the trains and keeping in traffic of railway vehicles not-matriculated in the fleet of a railway undertaking or not-authorized for running in accordance with the specific regulations._x000D_
Root cause of the accident was the non-identification of the dangers and non-assessment of the risks associated for the activity of the breakdown trains and of their crews.</t>
  </si>
  <si>
    <t>PL-5852</t>
  </si>
  <si>
    <t>Level crossing accident, 17-11-18, Dobrzechów - Frysztak (Poland)</t>
  </si>
  <si>
    <t>On 17.11.2018, at a D category railroad crossing of poviat road no. 1922 R and railway no. 106 in Wisniowa, a Ford Focus passenger car drove directly in front of an approaching passenger train no. 33110. The first car of the multiple-unit diesel train (from Zagórz to Rzeszów Glówny) VT 614 SN84-002 of the operator SKPKL Cargo sp. z o.o. collided with the central part of the road vehicle, i.e. its right side from the passenger’s seat, at 96 km per hour. As a result of the collision of the bumpers and the front end of the train, the car’s cabin was crushed and the car was pushed to a distance of 29 m from the axis of the railroad crossing and thrown to the right side of the tracks towards the direction of the train. After colliding with the car, the train drove for another 360 m from the axis of the crossing and stopped (front end) at 42.242 km. As a result of the collision, the driver and the passenger of the road vehicle were pronounced dead at the scene.</t>
  </si>
  <si>
    <t>Dobrzechów - Frysztak</t>
  </si>
  <si>
    <t>Poland, PKP Polskie Linie Kolejowe S.A.</t>
  </si>
  <si>
    <t>The passenger car had drove into the railroad crossing directly in front of the approaching MPM passenger train no. 33110 from Zagórz to Rzeszów Glówny.</t>
  </si>
  <si>
    <t>1) Root cause:_x000D_
When approaching the crossing, the driver of the passenger car had failed to follow the B-20 “STOP” and G3 signs and the line of absolute stop P-12, i.e. the driver had failed to stop the road vehicle at a place convenient for observing the approaching train, and had entered the railroad crossing right in front of the front end of the approaching train._x000D_
2) Indirect cause:_x000D_
When approaching the railroad crossing, the driver of the road vehicle had failed to ascertain whether there had been a train approaching and had driven into the raid-road intersection without stopping at a required place, i.e. the driver of the road vehicle had failed to follow the provisions of Article 28(1) of the Act of 20 June 1997 – Traffic Law (Polish Journal of Laws of 2018, item 1990, as amended). _x000D_
3) Systemic cause:_x000D_
The applicable provisions provide for discretion in placing the B-20 “STOP” traffic sign (within 25 m from the outermost rail of the track), which may be a suggestion to drivers of an obligation to stop the vehicle by the B-20 “STOP” sign and to observe the railroad from that place – if no train is approaching, the driver of a road vehicle may continue without stopping at a place indicated by the signs (P12, G3 or G4), enabling an appropriate sight of an approaching train.</t>
  </si>
  <si>
    <t>CZ-5849</t>
  </si>
  <si>
    <t>Train derailment, 18-11-18, Studénka station (Czech Republic)</t>
  </si>
  <si>
    <t>The derailment of one rolling stock of the freight train No. 52918 at Studénka station.</t>
  </si>
  <si>
    <t>Direct cause:_x000D_
• releasing the connection between the left wheel tyre and the wheel rim of the 1 st axle of the rolling stock No. CZ-AWT 88 54 9200 105-6 with simultaneous destruction of the buckling ring and the tyre part.</t>
  </si>
  <si>
    <t>Underlying cause:_x000D_
• gradual deformation of the contact surface of the left wheel tyre of the 1st axle during using the rolling stock No. CZ-AWT 88 54 9200 105-6 caused by the tyre material which did not meet the specified parameters._x000D_
_x000D_
Root cause: none.</t>
  </si>
  <si>
    <t>RO-5851</t>
  </si>
  <si>
    <t>Fire in RS, 18-11-18, Dumbravioara-Targu Mures Nord (Romania)</t>
  </si>
  <si>
    <t>the locomotive DA 759 that hauled the passenger train no. 4511 caught fire in open line between railway stations Dumbravioara and Targu Mures Nord</t>
  </si>
  <si>
    <t>Dumbravioara-Targu Mures Nord</t>
  </si>
  <si>
    <t>Cauza directa a producerii accidentului a fost aprinderea reziduurilor petroliere amestecate cu praf, depuse în timp pe partea inferioara a cutiei locomotivei DA nr.759 ?i pe subansamblele boghiurilor, de catre scânteile provenite de la contactul dintre sabo?i ?i bandajele ro?ilor locomotivei în cadrul procesului de frânarea al trenului._x000D_
_x000D_
Factorii care au contribuit la producerea accidentului au fost:_x000D_
-	existen?a reziduurilor petroliere provenite de la pierderile de ulei de la motorul diesel;_x000D_
-	men?inerea în serviciu a locomotivei DA nr.759, dupa atingerea normei de timp pentru efectuarea repara?iilor planificate;_x000D_
-	men?inerea în func?ie a locomotivei DA nr.759, dupa atingerea duratei normale de func?ionare, fara de?inerea unui aviz pentru prelungirea acesteia;_x000D_
-	înscrierea în certificatul de siguran?a valabil la data producerii accidentului a locomotivei DA nr.759, fara ca aceasta sa de?ina un raport de evaluare tehnica emis de ONFR. 
The direct cause of the accident was the ignition of the petroleum residuals mixed with dust, deposited along the time on the inferior side of the locomotive body DA no.759 and on the sub-parts of the bogies, in contact with the sparks resulted from the contact betwen the brake shoes and the locomotive wheel tyres, within the braking process._x000D_
Contributing factors:_x000D_
-	existence of petroleum residuals resulted from the oil losses of the diesel engine;_x000D_
-	keeping in operation of the locomotive DA no.759, after it reached the time limit for the planned repairs performance;_x000D_
-	keeping in service of the locomotive DA no.759, after reaching the normal time of working, without having a notice for it extension;_x000D_
-	writing down in the safety certificate valid of the locomotive DA no.759, when the accident happened, it having no report of technical inspection issued by Romanian Railway Notified Body - ONFR.</t>
  </si>
  <si>
    <t>Cauzele subiacente ale producerii accidentului au fost nerespectarea unor prevederi din instruc?iile ?i regulamentele în vigoare, respectiv:_x000D_
1.	Instruc?iuni pentru activitatea personalului de locomotiva în transportul feroviar nr.201/2006 art.44.- (3) lit,b) referitor la obliga?ia remedierii, în cadrul reviziilor intermediare, a defec?iunilor la piesele, instala?iile ?i agregatele la care au aparut probleme în exploatarea locomotivei, semnalate de catre mecanic în carnetul de bord al locomotivei._x000D_
2.	Normativul feroviar  67-006:2011 "Vehicule de cale ferata. Tipuri de revizii ?i repara?ii planificate.  Normele de timp sau normele de kilometri parcur?i pentru efectuarea reviziilor ?i repara?iilor planificate”, aprobat prin Ordinul Ministrului Transporturilor ?i Infrastructurii nr.315/2011 modificat ?i completat prin Ordinul MTI nr.1359/2012, capitolul 3, referitor la:_x000D_
• retragerea din circula?ie a locomotivei DA nr.759 la atingerea normei de timp prevazuta pentru efectuarea repara?iilor planificate;_x000D_
• respectarea ciclului de repara?ii planificate pentru locomotiva DA nr.759._x000D_
3.	Procedura opera?ionala cod PO-0-7.1-14 de?inuta de SNTFC „CFR Calatori” SA, pct.4.7.5 ?i Anexa nr.4, referitor la periodicitatea efectuarii repara?iilor planificate. _x000D_
4.	Ordinul MT nr.1484/2008 pentru aprobarea Normelor privind acordarea avizului tehnic vehiculelor feroviare care au depa?it durata normala de func?ionare/durata de serviciu, Art.3 (6) referitor la evaluarea starii tehnice a vehiculelor feroviare în vederea men?inerii în func?iune dupa depa?irea duratei normale de func?ionare._x000D_
Cauzele primare ale producerii accidentului au fost:_x000D_
-	absen?a din Specifica?ia tehnica cod ST 6-2004 a unor prevederi referitoare la efectuarea de lucrari  pentru men?inerea starii de cura?enie în sala ma?inilor ?i la subansamblelor boghiurilor ca urmare a pierderilor de produse petroliere provenite din exploatarea locomotivelor;_x000D_
-	întocmirea necorespunzatoare a procedurii opera?ionale cod PO-0-7.1-14, în sensul ca, aceasta nu con?ine prevederi concrete referitoare la masurile ce trebuie luate în cazul în care materialul rulant atinge norma de timp/kilometri pentru efectuarea repara?iilor planificate;_x000D_
-	în cadrul ac?iunii de identificarea ?i evaluarea riscurilor asociate siguran?ei feroviare, efectuata de operatorul de transport, pentru riscul generat „incendii la vehiculele feroviare din compunerea trenurilor în circula?ie”, nu a fost identificat pericolul „nerespectarea ciclului de revizii ?i repara?ii material rulant”;_x000D_
-	locomotiva implicata în accident a fost înscrisa în Certificatul de siguran?a, fara respectarea prevederilor Ordinului MT nr.535/2007 (cu completarile ?i modificarile ulterioare) privind aprobarea normelor pentru acordarea certificatelor de siguran?a în vederea efectuarii serviciilor de transport feroviar pe caile ferate din România, Anexa – NORME pentru acordarea certificatelor de siguran?a Art.19(3), Art.15(4), pct.12 - documentele justificative necesare în vederea reînnoirii certificatelor de siguran?a. 
Underlying causes_x000D_
Underlying causes of the accident were the violation of some provisions from the instructions and regulations in force, that is:_x000D_
1.	Instructions for the activity of the locomotive crew no.201/2006 art.44.- (3) letter b, regarding the obligation to remove, within the intermediary inspections, the failures from the parts, equipments and aggregates to which some problems appeared in the locomotive operation, written down by the driver in the on-board book of the locomotive._x000D_
2.	Railway Norm 67-006:2011 "Railway vehicles. Types of planned inspections and repairs.  Norms of time or norms of km run for the performance of the planned inspections and repairs”, approved through the Order of Minister of Transports and Infrastructure no.315/2011, amended through the Order of Minister of Transports and Infrastructure no.1359/2012, chapter 3, regarding:_x000D_
• withdrawal of the locomotive DA no.759 when it reaches the time norm stipulated for the performance of the planned repairs;_x000D_
• compliance with the cycle of planned repairs for the locomotive DA no.759._x000D_
3.	Operational procedure code PO-0-7.1-14 got by SNTFC „CFR Calatori” SA, point 4.7.5 and Annex no.4, regarding the periodicity for the performance of the planned repairs. _x000D_
4.	Order of Minister of Transports no.1484/2008 for the approval of the Norms for the granting of the technical approval for the railway vehicles that exceeded the normal time of working/service time, Art.3 (6) regarding the assessment of the technical condition of the railway vehicles for keeping them in operation after exceeding the normal time of operation._x000D_
Root causes:_x000D_
-		lack in the Technical specification code ST 6-2004 of some provisions for the performance of the works for keeping clean the engine room and the sub-parts of bogies, following the losses of petroleum resulted from the locomotive operation;_x000D_
-	improper drafting of the operational procedure code PO-0-7.1-14, that is, it does not have real provisions about the measures that have to be taken in case the rolling stock reaches the norm of time/km for the performance of the planned repairs;_x000D_
-	during the action for the identification and assessment of the risks associated to the railway safety, run by the railway undertaking, for the generated risk „fires in the railway vehicles from the composition of the trains in running”, the danger „non-compliance with the cycle of inspections and repairs at the rolling stock” was not identified;_x000D_
-	the locomotive involved in the accident was written down in the Safety certificate, without meeting with the provisions of the Minister of Transports’ Order no.535/2007 (with further amendments) regarding the approval of norms for the granting of the safety certificates, for carrying out transports on Romanian railways, Annex – NORMS  for the granting of the safety certificates Art.19(3), Art.15(4), point 12 – relevant documents necessary for the renewal of the safety certificates.</t>
  </si>
  <si>
    <t>CZ-5843</t>
  </si>
  <si>
    <t>Trains collision, 20-11-18, open line between Chotebuz junction point and Ceský TeÅ¡ín station (Czech Republic)</t>
  </si>
  <si>
    <t>Unauthorized movement of the freight train No. 49745 behind the main (automatic block section) signal device 1-3218 with consequent collision with the freight train No. 49735.</t>
  </si>
  <si>
    <t>open line between Chotebuz junction point and Ceský TeÅ¡ín station</t>
  </si>
  <si>
    <t>Direct cause:_x000D_
• operational error of the freight train No. 49745 train driver – he did not respect the signal “Stop” of the main (automatic block section) signal device 1-3218._x000D_
_x000D_
Contributory factor:_x000D_
• absence of technical equipment which prevents a train from passing a signal in case of danger.</t>
  </si>
  <si>
    <t>Underlying cause:_x000D_
• a mistake (error) of the train driver of the freight train No. 49745 who thought that he should go on track line No. 1, in the open line section Louky nad Olší – Ceský Tešín, i.e. also in the block section Chotebuz junction point – Ceský Tešín, although the written order (which he received) did not contain any such instruction (information)._x000D_
_x000D_
Root cause: none.</t>
  </si>
  <si>
    <t>ES-5858</t>
  </si>
  <si>
    <t>Train derailment, 20-11-18, Vacarisses (Spain)</t>
  </si>
  <si>
    <t>Commuter train 25000 derails while passing through a trench. One side stone wall of the trench had collapsed previously (presumedly at night because of heavy rain in previous days), and its debris had invaded the track, leading to the derailment. One passenger deceased, five seriously injured and 44 with minor injuries. Serious damages in the track because of the wall crumbling.</t>
  </si>
  <si>
    <t>Vacarisses</t>
  </si>
  <si>
    <t>The direct cause of the collision with an obstacle (stones) was an infrastructure failing, because of the crumbling of part (20 m) of the left side wall (considering the direction of the train). This masonry wall protected the left slope form weathering, and its crumbled stones totally invaded track #1 and partly track #2 (the one where the train was)._x000D_
_x000D_
The overflow of the drainage of the road C-58 (that passes above the tracks) diverted water to the slopes of the railway corridor and accumulated water in the backside of the wall, contributing to its crumbling._x000D_
_x000D_
The probable weathering of the mortar of the wall and the probable reduction of the friction among their stones could have contributed to the collapse, as well.</t>
  </si>
  <si>
    <t>The considered root causes are:_x000D_
•	The poor application of legislation on railway protection, regarding to authorization, control and inspection of nearby works: this allowed that the drainage of the road C-58 was diverted to the railway infrastructure._x000D_
•	The insufficiency of the IM’s contingency procedure for heavy rains, considering the inconsistency with meteorological data and the inadequacy of the taken actions._x000D_
•	The insufficiency of the IM’s SMS with regard to infrastructure monitoring and maintenance, considering the lack of response to contrasted facts (such as the accumulation of drainage water in the backside of the wall, as viewed in previous videos).</t>
  </si>
  <si>
    <t>CZ-5854</t>
  </si>
  <si>
    <t>Trains collision, 22-11-18, Prague, between Palackého námestí and Jiráskovo námestí tram stops (Czech Republic)</t>
  </si>
  <si>
    <t>Collision of the tram No. 17/29 with the tram No. 17/3.</t>
  </si>
  <si>
    <t>Prague, between Palackého námestí and Jiráskovo námestí tram stops</t>
  </si>
  <si>
    <t>Direct cause:_x000D_
• failure to adjust the driving to conditions for running on sight and failure to comply a safe distance between two trams._x000D_
_x000D_
Contributory factor:_x000D_
• incorrect evaluation or non-evaluation of mental or physical fatigue and failure to take measures to ensure of safety.</t>
  </si>
  <si>
    <t>Underlying cause:_x000D_
• failure to comply of technological procedures of the IM/RU for driving between two consecutive trams, eventually for driving behind non-rail vehicles._x000D_
_x000D_
Root cause: none.</t>
  </si>
  <si>
    <t>CZ-5855</t>
  </si>
  <si>
    <t>Train derailment, 21-11-18, Strakonice station (Czech Republic)</t>
  </si>
  <si>
    <t>The derailment of the shunting operation.</t>
  </si>
  <si>
    <t>Strakonice station</t>
  </si>
  <si>
    <t>Direct cause:_x000D_
• one-sided dip of the tractive effort transmission equipment below the top of the rail head.</t>
  </si>
  <si>
    <t>Underlying cause:_x000D_
• broken front connecting rod of the tractive effort transmission equipment in the weld between the eye and the connecting rod body._x000D_
_x000D_
Root cause: none.</t>
  </si>
  <si>
    <t>RO-5856</t>
  </si>
  <si>
    <t>Train derailment, 23-11-18, Itesti- Bacau (Romania)</t>
  </si>
  <si>
    <t>the 34 th wagon from the fright train no. 61716 derailed in open line between Itesti and Bacau railway stations</t>
  </si>
  <si>
    <t>Itesti- Bacau</t>
  </si>
  <si>
    <t>Cauza directa a producerii acestui accident feroviar o constituie ruperea foii principale a arcului de suspensie în foi aferent ro?ii atacante (roata nr.7) de la vagonul de marfa nr.82537855489-3 în zona ochiului de arc situat în partea din fa?a, în sensul de mers, rupere care a condus la cre?terea brusca a unghiului de atac al acestei roti ?i, implicit, la cre?terea puternica for?ei de ghidare aplicata pe aceasta roata._x000D_
În aceste condi?ii raportului dintre for?a de ghidare si sarcina ce ac?ionau pe roata atacanta a crescut puternic, a condus la depasirea limitei de stabilitate la deraiere ?i, în final, la escaladarea ?inei de pe partea dreapta a caii de catre roata nr.7. _x000D_
Factorii care au contribuit:_x000D_
?	starea de oboseala a materialului, care la eforturile periodice de încovoiere la care a fost supusa foaia principala de arc în prezen?a concentratorilor de tensiuni genera?i de forma foii în zona de început a ochiului de arc, a dus la apari?ia fisurilor ?i în final la rupere;_x000D_
?	existen?a unor fisuri vechi (60% din sec?iunea foii principale de arc) în zona ochiului de arc, fisuri care sunt imposibil de depistat cu ocazia efectuarii reviziilor tehnice la trenuri, întrucât zona este acoperita de piesele atelajului de suspensie (suportul inelului de suspensie, inelul de suspensie ?i siguran?a furcata). 
The direct cause of the accident was the breakage of the main leaf from the leaf spring suspension, afferent to the guiding wheel (wheel no.7) from the wagon no.82537855489-3 in the area of the spring eye situated in the front part, running direction, this breakage led to the sudden rise of the wheel angle of attack and, implicitly, to the serious rise of the guiding force applied on this wheel._x000D_
In these conditions, the ratio between the guiding force and the load acting on the guiding wheel raised seriously, leading to the exceeding of the derailment stability limit and, finally, to the climbing of the right rail by the wheel no.7. _x000D_
Contributing factors:_x000D_
?	the fatigue of the material, that under the periodical bending efforts to which the main leaf was transmitted, in the presence of the stress concentrators, generated by the shape of the leaf at the beginning of the spring eye, led to the cracks appearance and finally to the breakage_x000D_
?	existence of some old cracks (60% from the section of the main leaf of the spring) in the area of the spring eye, cracks that cannot be identified during the technical inspections of the trains, because the area is covered by the parts of the suspension rings (support of the suspension ring, the suspension ring and  bolt locking).</t>
  </si>
  <si>
    <t>Cauze subiacente_x000D_
		Nu au fost identificate cauze subiacente. _x000D_
Cauze primare_x000D_
		Lipsa, din sistemului de management al siguran?ei de la nivelul operatorului de transport, a unor reglementari (proceduri) referitoare la efectuarea de verificari, între reviziile planificate, în scopul identificarii unor defecte ascunse (ce nu pot fi observate în cadrul reviziilor tehnice la trenuri) la suspensia vagoanelor de marfa echipate cu boghiuri tip „H”. 
. Underlying causes_x000D_
		None. _x000D_
 Root causes_x000D_
		In the safety management system of the railway undertaking there are missing some regulations (procedures) concerning the performance of the checking, between the planned inspections, for the identification of some hidden failures (that cannot be observed during the technical inspections of the trains) at the suspension of the wagons provided with bogies type „H”.</t>
  </si>
  <si>
    <t>NO-5868</t>
  </si>
  <si>
    <t>Level crossing accident, 29-11-18, Bjøråneset level crossing (Norway)</t>
  </si>
  <si>
    <t>On 29 November 2018, one person was killed in a collision between train 2384 and a lorry at Bjøråneset level crossing._x000D_
_x000D_
The southbound train 2384 was en route from Røros to Hamar when the accident took place. The lorry crossed the unprotected level crossing to collect cargo on the western side of the Røros line._x000D_
_x000D_
The train hit the lorry near the drive shaft, and the lorry rotated as a result of the impact. The driver of the lorry died in the accident. Three passengers on board the train also received minor injuries._x000D_
_x000D_
The investigation will clarify the sequence of events and identify possible causal factors. Any underlying conditions that may have contributed to the incident will be mapped and analysed. 
Torsdag 29. november 2018 omkom en person i sammenstøt mellom tog 2384 og lastebil på Bjøråneset planovergang._x000D_
_x000D_
Sørgående tog 2384 var på vei fra Røros til Hamar da ulykken skjedde. Lastebilen krysset over den usikrede planovergangen for å hente last på vestsiden av Rørosbanen._x000D_
_x000D_
Lastebilen ble truffet av toget i området ved drivakslingen, og roterte i sammenstøtet. Føreren av lastebilen omkom i ulykken. Det ble i tillegg registrert tre lettere skadde passasjerer ombord toget._x000D_
_x000D_
Undersøkelsen vil klarlegge hendelsesforløpet og peke på mulige årsaksforhold. Eventuelle bakenforliggende forhold som kan ha bidratt til ulykken vil bli kartlagt og analysert.</t>
  </si>
  <si>
    <t>Bjøråneset level crossing</t>
  </si>
  <si>
    <t>On Thursday 29 November 2018, a lorry driver died in a collision with a passenger train on an unsecured level crossing on the Rørosbanen line. _x000D_
Bjøråneset level crossing was located between Atna and Koppang, on a private road near Atnaveien road that was open to public traffic. It was one of three crossings located a short distance from one another. Bane NOR SF had started planning to replace these three crossings with one crossing in a culvert, but the work had not yet commenced at the time of the accident._x000D_
The level crossing is visible to the train driver at a distance of approx. 340 metres, but there is reason to believe that the train would be visible to the lorry driver leaning forward in a sitting position at a distance of 25 metres. The train sounded its sound signal more than 500 metres before the crossing, and it is uncertain whether the lorry driver could hear it. To the train driver, the lorry appeared to be standing still before the level crossing, but the investigation has shown that it was in fact driving at a very low speed._x000D_
The AIBN would like to draw attention to several important factors relating to safety at unsecured level crossings in this investigation._x000D_
•	Ideally, the angle between the road and the railway should be 90° to ensure optimal visibility to both sides. _x000D_
•	Bane NOR SF’s regulations concerning visibility requirements and design vehicles should place more emphasis on visibility from heavy vehicles. _x000D_
•	Bane NOR SF should set visibility requirements for level crossings based on what is assumed to be representative of their daily traffic. _x000D_
The AIBN is of the opinion that particular attention should be paid to ensuring that the road leading up to a level crossing is sufficiently wide for a vehicle larger than the design requirement to be able to turn into an optimal position. If this is not possible, compensatory measures should be considered.</t>
  </si>
  <si>
    <t>UK-5891</t>
  </si>
  <si>
    <t>Accident to persons caused by RS in motion, 01-12-18, Twerton (United Kingdom)</t>
  </si>
  <si>
    <t>At around 22:04 hrs on 1 December 2018, a passenger travelling on a train from Bath to Bristol struck her head on a tree branch near to Twerton, about 1.5 miles (2.4 km) west of Bath Spa station. The train was travelling at about 85 mph (137 km/h) and the passenger sustained fatal injuries._x000D_
The train was the 20:30 Paddington to Exeter service formed of a GWR High Speed Train (HST). Witness evidence indicates that the passenger was standing at a door on the side facing away from the other track. The door was fitted with an opening droplight window, which is used to access the door handle fitted to the outside of the door. A yellow ‘Caution’ label above the door states ‘Do not lean out of window when train is moving’. The window was reported to have been opened and the passenger had her head out of the window.</t>
  </si>
  <si>
    <t>Twerton</t>
  </si>
  <si>
    <t>The passenger leant out of a window while the train was moving and her head came into contact with a lineside tree branch</t>
  </si>
  <si>
    <t>Causal factors_x000D_
95 The causal factors were:_x000D_
a. The passenger leant out of a droplight window while the train was moving (paragraph 36)._x000D_
b. The risk to passengers from leaning out of droplight windows had not been adequately mitigated. This causal factor probably arose due to a combination of the following:_x000D_
i. The warning signs provided and their arrangement did not deter the passenger from leaning out of the window while the train was moving._x000D_
Their design and content, although in accordance with industry guidance, reduced the chances of passengers being fully informed about the risk_x000D_
(paragraph 42, Recommendations 1 and 4)._x000D_
ii. There were no other measures in place to mitigate the risk to persons from leaning out of windows on moving trains (paragraph 50, Recommendation 1)._x000D_
c. A tree branch was close enough to the train for a passenger who was leaning out of a window, to come into contact with it, possibly because Network Rail had not undertaken a tree inspection in the area of the accident since 2009 (paragraph 60, Learning point 1)._x000D_
Underlying factors_x000D_
96 A possible underlying factor was that GWR’s risk identification process had not historically identified the risk of passengers (and staff) being injured by leaning out  of windows on moving trains (paragraph 78, Recommendation 3).</t>
  </si>
  <si>
    <t>UK-5890</t>
  </si>
  <si>
    <t>Accident to persons caused by RS in motion, 12-2-2018, Gatwick Airport (United Kingdom)</t>
  </si>
  <si>
    <t>At around 23:25 hrs on 2 December 2018, a track worker moved out of the way of an approaching passenger train less than two seconds before the train passed him travelling at 51 mph (82 km/h). He did not suffer any injuries._x000D_
The track worker was removing cables (short circuiting straps) which had been temporarily attached to rails near Gatwick Airport station in connection with engineering work on the railway.</t>
  </si>
  <si>
    <t>Gatwick Airport</t>
  </si>
  <si>
    <t>COSS1 was in an unsafe position when the train approached (paragraph 46).</t>
  </si>
  <si>
    <t>Causal factors_x000D_
89 The causal factors were:_x000D_
l the SSOW planners did not identify a safe system of work because they lacked the skills and experience needed to appreciate they had not been provided with the information they needed to do so (paragraph 49, Recommendations 1 and 2, Learning point 3);_x000D_
l COSS1 did not implement a SSOW (paragraph 64, Learning points 1 and 2);_x000D_
and_x000D_
l the strapping operative did not challenge the method of working (paragraph 75, Learning point 2)._x000D_
Underlying factor_x000D_
90 Network Rail’s processes for isolating conductor rails did not provide SSOW planners outside Network Rail with sufficient information for them to prepare a SSOW pack (paragraph 79, Recommendation 1).</t>
  </si>
  <si>
    <t>IT-5977</t>
  </si>
  <si>
    <t>Trains collision with an obstacle, 07-12-18, Firenze Statuto (Italy)</t>
  </si>
  <si>
    <t>Freight train collides with a turning scale of a maintenance company located on the broken track between the Firenze Statuto and Firenze CM stations</t>
  </si>
  <si>
    <t>Firenze Statuto</t>
  </si>
  <si>
    <t>HR-5785</t>
  </si>
  <si>
    <t>Train derailment, 12-10-18, Station PlaÅ¡ki (Croatia)</t>
  </si>
  <si>
    <t>When entering a freight train number 61153 in the station Plaski at the switch No. 2 there was a derailment last wagon in the composition of the train and colision of a stationary locomotive train number 61100. 
Prilikom ulaska teretnog vlaka broj 61153 u kolodvor Plaški na skretnici broj 2. došlo je do iskliznuca zadnjeg teretnog vagona u sastavu vlaka i naleta na zaustavljenu lokomotivu vlaka broj 61100.</t>
  </si>
  <si>
    <t>Station PlaÅ¡ki</t>
  </si>
  <si>
    <t>je iskliznuce posljednjeg vagona u vlaku 61153 sa zadnjom osovinom u smjeru kretanja vlaka, uslijed prijevremenog prebacivanja skretnice broj 2. 
derailment of the last wagon in train 61153 with last bogie two axle in the moment when last wagon passes between two bogies.</t>
  </si>
  <si>
    <t>Cimbenici koji su pridonijeli ovoj nesreci: _x000D_
-	vremenski uvjeti gusta magla, _x000D_
-	smanjena vidljivost uslijed noci i guste magle,_x000D_
-	ne pridržavanje propisanih radnih procesa skretnicara bloka I,_x000D_
-	ne pridržavanje propisanih radnih procesa službujuceg prometnika,_x000D_
-	ne pridržavanje propisanih radnih procesa prometnika._x000D_
Organizacijski cimbenici: _x000D_
-	2. kolosijek glavni prolazni kolosijek zatvoren za promet,_x000D_
-	razmjena  informacija izmedu službujuceg prometnika vlakova i prometnika vlakova, _x000D_
-	razmjena  informacija izmedu službujuceg prometnika vlakova i skretnicara bloka I,_x000D_
-	razmjena  informacija izmedu prometnika vlakova i skretnicara bloka. 
Contributing factors :_x000D_
-	weather conditions heavy fog,_x000D_
-	reduced visibility due to night and heavy fog,_x000D_
-	Failure to adhere to the prescribed work processes switch man of the Block I turn,_x000D_
-	Failure to adhere to the prescribed work processes of the official traffic operator,_x000D_
-	Failure to adhere to the prescribed work processes of the traffic operator._x000D_
Organizational factors: _x000D_
-	Track 2 the main through track closed for traffic,_x000D_
-	exchange of information between official traffic operator and traffic operator, _x000D_
-	exchange of information between official traffic operator and switch man of the Block I,_x000D_
-	exchange of information between traffic operator and switch man of the Block I.</t>
  </si>
  <si>
    <t>CZ-5865</t>
  </si>
  <si>
    <t>Trains collision, 11-12-18, Karlovy Vary dolní nádraÅ¾í station (Czech Republic)</t>
  </si>
  <si>
    <t>Collision of the regional passenger train No. 7023 with the freight train No. 87001.</t>
  </si>
  <si>
    <t>Karlovy Vary dolní nádraÅ¾í station</t>
  </si>
  <si>
    <t>Direct causes:_x000D_
• annulment of train route of the freight train No. 87001 by train dispatcher previously than it was release all switches and rear fouling point indicator at train route;_x000D_
• allow to entrance of the regional passenger train No. 7023 by train dispatcher although train route was not free._x000D_
Contributory factor:_x000D_
• unauthorized switching of the switch No. 23, occupied of rolling stock, by switch-woman/signal-woman.</t>
  </si>
  <si>
    <t>Underlying cause:_x000D_
• failure to comply the technological procedures of IM during finding out of unoccupied and setting train route for the regional passenger train No. 7023._x000D_
Root cause: none.</t>
  </si>
  <si>
    <t>RO-5866</t>
  </si>
  <si>
    <t>Operational event, 11-12-18, Vadeni (Romania)</t>
  </si>
  <si>
    <t>The passenger train no. 1573 that had to stable to the line no.4 in Vadeni railway station, based on the indication of the calling signal, has entered on the line no. 5 where was stabled the passenger train no. 1772.</t>
  </si>
  <si>
    <t>Vadeni</t>
  </si>
  <si>
    <t>. Cauza directa_x000D_
 	Cauza directa a producerii incidentului feroviar o constituie executarea eronata a parcursului, pentru intrarea trenului la linia 4 din halta de mi?care Vadeni._x000D_
          Factori care au contribuit: _x000D_
1.	Imixtiunea personalului neautorizat în activitatea de miscare prin efectuarea parcursului, în prezenta IDM;_x000D_
2.	Neverificarea parcursului de intrare a trenului;_x000D_
3. Nerespectarea procedurii privind constatarea si înlaturarea deranjamentelor produse la instalatiile SCB. 
The direct cause of the railway incident was the wrong set of the route, for the entry of the train on the line 4 of the railway station Vadeni._x000D_
          Contributing factors: _x000D_
1.	Interference of the not-authorized staff in the movements activity, setting the train route, in the presence of the movements inspector;_x000D_
2.	Not-checking of the train entry route;_x000D_
3.	Violation of the procedure for the finding and removal of the failures happened at SCB (interlocking ) equipments.</t>
  </si>
  <si>
    <t>Cauze subiacente:  _x000D_
1. Nerespectarea prevederilor art. 94. din Instructia de manipulare a instala?iilor S.C.B. din sta?ia Vadeni;_x000D_
2. Nerespectarea prevederilor art. 31  din „Regulamentul pentru circula?ia trenurilor ?i manevra vehiculelor feroviare” Nr. 005/2005.   _x000D_
 Cauze primare:_x000D_
	Nu au fost identificate cauze primare. 
Underlying causes:  _x000D_
_x000D_
1. violation of the provisions of art. 94. From the Instruction for the operation of SCB equipments  from the railway station Vadeni;_x000D_
2. violation of the provisions of art. 31 from „Regulations for the train running and shunting of the railway vehicles” No. 005/2005 _x000D_
. _x000D_
Root causes:_x000D_
	None.</t>
  </si>
  <si>
    <t>FI-5869</t>
  </si>
  <si>
    <t>Level crossing accident, 12-12-18, Kemijärvi, Palojärvi level crossing (Finland)</t>
  </si>
  <si>
    <t>Level crossing accident, a freight train and a truck</t>
  </si>
  <si>
    <t>Kemijärvi, Palojärvi level crossing</t>
  </si>
  <si>
    <t>The truck driver's situational speed was too high for the conditions. The road had a speed limit of 80 km/h at the level crossing instead of the 50 km/h specified in the guidelines. After noticing the train, it was no longer possible for the driver to stop the truck. Visibility to the direction from which the train was coming was decreased by the inadequate sight line. The truck driver's attention may have also been on the terminal of the waste collection control system, and making an entry for the previous collection location.</t>
  </si>
  <si>
    <t>The conditions at the level crossing were inadequate with respect to sight lines and wait platforms. This was commonly known by people moving around the area and affected the driving speeds used. Level crossings had been identified as risks during the superstucture replacement project implemented on the track section, but they were transferred into residual risks although the raising of the track during the project deteriorated the already poor conditions. The legislation does not require the correction of level crossings during track projects, and the road keepers in the area were not aware of the effect the track project would have on the roads.</t>
  </si>
  <si>
    <t>CZ-5867</t>
  </si>
  <si>
    <t>Accident to persons caused by RS in motion, 13-12-18, open line between Trebovice v Cechách and Ceská Trebová stations (Czech Republic)</t>
  </si>
  <si>
    <t>Jumping out of a passenger from the moving long distance passenger train No. 888.</t>
  </si>
  <si>
    <t>open line between Trebovice v Cechách and Ceská Trebová stations</t>
  </si>
  <si>
    <t>Direct cause:_x000D_
•the passenger jumped out from the moving long distance passenger train No. 888._x000D_
_x000D_
Contributory factor:_x000D_
•psychic strain of the passenger due to conflict with other passengers and subsequent activation of the Police of the Czech Republic to solve the situation.</t>
  </si>
  <si>
    <t>Underlying cause:_x000D_
•risky behavior of the passenger, consisting in intentional manipulation with the controls for the emergency door opening while movement of the long distance passenger train No. 888._x000D_
_x000D_
Root cause:none.</t>
  </si>
  <si>
    <t>CZ-5870</t>
  </si>
  <si>
    <t>Train derailment, 14-12-18, Nymburk hl.n. (Czech Republic)</t>
  </si>
  <si>
    <t>Unauthorized movement of freight train No. 62228 to excluded track and consequent derailment of locomotive and 1 rolling stock.</t>
  </si>
  <si>
    <t>Nymburk hl.n.</t>
  </si>
  <si>
    <t>NO-5871</t>
  </si>
  <si>
    <t>Fire in RS, 17-12-18, Oslo (Norway)</t>
  </si>
  <si>
    <t>Investigation of railway accident at the Metro in Oslo_x000D_
_x000D_
On Monday 17 December 2018, a fire with subsequent explosion occurred in a welding car in the tunnel between Ensjø and Helsfyr Metro stations. The welding car was connected to a work machine and transported necessary equipment for repair and maintenance of the rails. This type of work is usually done during night hours when there is no ordinary traffic and the stations are closed. No one was injured in the accident, but there was considerable damage to the welding car and several windows at Helsfyr Metro Station were damaged. The Metro line was closed for several hours. The investigation will clarify the sequence of events and identify possible causal factors. Any underlying factors that may have contributed to the incident will be mapped and analysed. 
Undersøkelse av jernbaneulykke på T-banen mellom Ensjø og Helsfyr_x000D_
_x000D_
Mandag 17. desember 2018 oppstod det brann med påfølgende eksplosjon i en sveisevogn i tunnelen mellom Ensjø og Helsfyr T-banestasjoner. Sveisevognen var tilkoblet en arbeidsmaskin og fraktet nødvendig utstyr til reparasjon og vedlikehold av skinnegangen. Denne typen arbeid forgår normalt om natten når det ikke er trafikk og stasjonene er stengt. Ingen personer ble skadet i hendelsen, men det oppsto betydelige skader på sveisevognen og flere vinduer i Helsfyr T-banestasjon ble skadet i eksplosjonen. Strekningen ble stengt i flere timer. Undersøkelsen vil klarlegge hendelsesforløpet og peke på mulige årsaksforhold. Eventuelle bakenforliggende forhold som kan ha bidratt til hendelsen vil bli kartlagt og analysert.</t>
  </si>
  <si>
    <t>Oslo</t>
  </si>
  <si>
    <t>The investigation has found the likely cause of the fire to be an electrical short circuit in the vehicle’s diesel generator. A storage cage that contained cylinders of acetylene, propane and oxygen was placed next to the diesel generator. The fire service arrived within minutes of being notified, but since there was no danger to human life firefighters were not deployed to the scene due to the risk of explosion. About 40 minutes after the fire started, an acetylene cylinder ruptured and caused a strong blast wave</t>
  </si>
  <si>
    <t>Risk assessments carried out by Sporveien T-banen AS had not identified the risk of fire and explosion associated with placing gas cylinders near the welding car’s diesel generator.</t>
  </si>
  <si>
    <t>RO-5876</t>
  </si>
  <si>
    <t>Level crossing event, 18-12-18, Utvinisu Nou- Santana (Romania)</t>
  </si>
  <si>
    <t>colission at level crossing situated between Utvinisu Nou and Sanatana railway stations, where the freight train no. L79706 has hit a microbus</t>
  </si>
  <si>
    <t>Utvinisu Nou- Santana</t>
  </si>
  <si>
    <t>Cauza directa a producerii accidentului o constituie eroarea umana manifestata prin neînchiderea barierei mecanice pentru trecerea trenului. 
The direct cause of the accident is a human error consisting in not closing of the mechanical barrier for the train passing by.</t>
  </si>
  <si>
    <t>Cauze subiacente_x000D_
1.	Nerespectarea prevederilor art. 16(5) din Regulamentul pentru circulatia trenurilor si manevra vehiculelor feroviare._x000D_
2.	Nerespectarea anexei 4 PTE statia CFR Utvinisu Nou - Reglementari privind functionarea barierelor aflate în linie curenta, deservite de pazitori de bariera, R 005 art 16 alin (4)._x000D_
_x000D_
Cauze primare _x000D_
1. Intensitatea mare a traficului rutier care conduce la fortarea barierei de catre conducatorii auto la orele de vârf, corelata cu neluarea unor masuri care sa conduca la reducerea timpului de închidere a barierei pentru circulatia trenurilor din directia Sîntana. 
Underlying causes_x000D_
1.	Violation of the provisions of art. 16(5) from the Regulations for the train running and shunting of the railway vehicles._x000D_
2.	Violation of the annex 4 of the Operation Technical Plan PTE from the railway station Utvinisu Nou – Regulations for the working of the barriers providing the running line, operated by barrier guards, R 005 art 16 paragraph (4)._x000D_
_x000D_
Root causes _x000D_
1. High frequency of the road traffic that leads to the barrier forcing by the road drivers at the rush hours, correlated  with the lack of some measures that lead to the decrease of the time for barrier closing for the trains coming from the direction Sîntana._x000D_
2. Lack of an overpass/subway at the crossing, from the km 12+547,of  the line Sântana – Utvinisu Nou, with the national road DN 79, technical class III, Arad – Oradea, in accordance with the provisions of art.2.4 from the SR 1244-1 issued by IRS in February 1996, and of art.11 from the Instruction no.314/1989.</t>
  </si>
  <si>
    <t>PL-5879</t>
  </si>
  <si>
    <t>Level crossing accident, 19-12-18, Glogów Malopolski - Rzeszów (Poland)</t>
  </si>
  <si>
    <t>On 19 December 2018 at 14:33, at a category C level crossing, where Borowa Street crosses railway line no. 71 Ocice – Rzeszów Glówny (Glogów Malopolski – Rzeszów Glówny route), at 63.130 km, a Volkswagen Passat passenger car drove directly in front of incoming APM train no. 32432 travelling from Rzeszów Glówny to Stalowa Wola, with a functioning light and sound signalling of the automatic crossing system (Polish: samoczynny system przejazdowy – SSP)._x000D_
When approaching the crossing, at the W6a sign at 63.859 km, the train driver of APM train 32432 travelling from Rzeszów Glówny to Stalowa Wola gave the “attention” signal at 760 meters from the crossing and repeated the signal at 350 and 165 meters from the crossing, according to the train event recorder. This action might have been caused by high traffic of road vehicles in the vicinity of the crossing. The above was ascertained by analysing records of a CCTV camera at a nearby warehouse._x000D_
Automatic crossing devices at the crossing activated correctly (compliance is confirmed by a remote control device recorder) at 14:32:27 after the train entered the activation area. Meanwhile, the WV Passat (station wagon) passenger car arrived via Warszawska Street from the direction of Rzeszów city centre, intending to enter the level crossing and continue to Borowa Street. Due to high traffic on Warszawska Street in the direction of Rzeszów city centre, the driver was forced to stop the vehicle (on a lane linking one-way lanes, used for turning around) in order to give the right of way to vehicles on the driver’s right, going in the direction of Rzeszów city centre._x000D_
At 14:33:04, the driver quickly resumed their movement towards the crossing.  The car was moving towards the crossing, where a road signalling device was displaying a signal prohibiting traffic (two red lights, blinking alternately). The road vehicle was moving on a slight rise, against blinding sunlight (elevation 11.56°, azimuth 208.81° – source: Sun Earth Tools.com). At 14:33:10, the train driver noticed the passenger car entering the crossing from the right, which emerged from behind a van waiting to enter Warszawska Street, gave the “attention” signal and activated the emergency brake._x000D_
The car was hit by the front wall of the diesel multiple unit (DMU) on the left from the driver side, and trapped under the train. After the road vehicle was pushed for 12 meters from the crossing, the front of its body hit a railway rail, which was fixed vertically in the cess and which was a remainder of the mast of a W6a sign. Due to the collision, the DMU pushed the car for 382 meters from the axis of the crossing. The head of the train stopped in the 62.748 km at 14:33:35. At the moment of the collision, the train was moving at the speed of 100.5 km/h. Two people died on the site of the accident (the driver of the car and a passenger), and the third person (the second passenger) died in the hospital due to their injuries.</t>
  </si>
  <si>
    <t>Glogów Malopolski - Rzeszów</t>
  </si>
  <si>
    <t>The driver of the Volkswagen Passat vehicle entered the category C level crossing directly in front of the incoming APM train no. 32432, with a correctly functioning light and sound signalling system (SSP), activated by the train.</t>
  </si>
  <si>
    <t>Root cause:_x000D_
Failure of the driver of the road vehicle to exercise special care (Article 28(1) and (2) of the Polish Traffic Law, Act of 20 June 1997 – Dz. U. of 2018, item 1990, as amended), including failure to stop the car in front of a road signal prohibiting traffic (two red lights, blinking alternately, § 98(5) of the Regulation of the Ministers for Infrastructure and Interior and Administration of 31 July 2002 on road signs and signals – item 1393, as amended)._x000D_
_x000D_
Indirect cause: _x000D_
Lack of visibility of the train approaching the crossing due to obstruction of the visibility triangle by a van (Ford Transit 4.80 m long) waiting to drive into Warszawska Street._x000D_
Systemic causes:_x000D_
1.	Permitting the use of the level crossing despite abandoning the 2nd stage of the reconstruction project, without introducing limits on road and railway traffic._x000D_
2.	Failure of the infrastructure manager to take corrective and preventive actions under the safety management system after a B20 category accident on 04.05.2018. Internal inspections of the crossing carried out by infrastructure and road managers did not revealed any safety risk.</t>
  </si>
  <si>
    <t>RO-5880</t>
  </si>
  <si>
    <t>Train derailment, 22-12-18, Gradinari Caras - Berzovia (Romania)</t>
  </si>
  <si>
    <t>the rear four wagons from the freight train no. 69498S derailed in open line between Gradinari Caras and Berzovia railway stations</t>
  </si>
  <si>
    <t>Gradinari Caras - Berzovia</t>
  </si>
  <si>
    <t>Tim Rail Cargo SRL</t>
  </si>
  <si>
    <t>Generat de cauze naturale 
The derailment was generated by natural causes.</t>
  </si>
  <si>
    <t>HU-5929</t>
  </si>
  <si>
    <t>Train derailment, 23-12-18, Budapest, Török Flóris u. (Hungary)</t>
  </si>
  <si>
    <t>the tram was derailed</t>
  </si>
  <si>
    <t>A váltó félállásban maradt, azt a jármuvezeto nem észlelte. 
The switch remained in halfway position and was not detected by the driver.</t>
  </si>
  <si>
    <t>A jármuvezetok által tapasztalt hibáknak csak kis részét jelentik be._x000D_
Az utasítás nem ad használható, következetes szabályokat a váltójelzokkel, azok jelzési képeinek komolyan vehetoségével kapcsolatban. 
Only a small proportion of the errors experienced by drivers are reported._x000D_
The instruction does not provide for workable, consistent rules on switchboards and the possibility of their signal images being taken seriously.</t>
  </si>
  <si>
    <t>RO-5881</t>
  </si>
  <si>
    <t>Train derailment, 23-12-18, Subcetate- Baiesti (Romania)</t>
  </si>
  <si>
    <t>the rear 3 wagons from the inter regio passenger train no.1821 derailed in open line between Subcetate and Baiesti railway stations</t>
  </si>
  <si>
    <t>Subcetate- Baiesti</t>
  </si>
  <si>
    <t>Cauza directa_x000D_
Cauza directa a producerii accidentului feroviar o constituie pierderea capacita?ii de sustenta?ie ?i ghidare a ?inei de la firul exterior al curbei, datorita ruperii acesteia ?i crearea  unui rost de 460 mm (sub efectul dinamic al materialului rulant din corpul trenului). _x000D_
_x000D_
Factori care au contribuit_x000D_
?	modul neconform de alcatuire a ansamblului „joanta”, de la  km 34+993 (firul I de circula?ie a liniei curente Bae?ti - Subcetate situat la ?ina de la firul exterior al curbei cu raza R = 280 m), realizat cu ocazia interven?iei efectuate la ?ina rupta  înregistrata la data de 10.12.2018 (cu 13 zile înainte de data producerii accidentului feroviar), ?i neluarea masurii necesare pentru asigurarea siguran?ei circula?iei feroviare (reducere a vitezei de circula?ie peste aceasta por?iune de linie slabita);_x000D_
?	depa?irea valorii maxime admise ale uzurilor laterale ale ?inei de la firul exterior al curbei, fapt care a generat marirea unghiului de flanc (?);_x000D_
?	depa?irea valorii maxime admise a torsionarii caii, pentru viteza de circula?ie stabilita (65 km/h), în zona producerii accidentului feroviar; _x000D_
?	depa?irea valorii maxime admise pentru ecartamentul caii în curbele cu raza de 280 m, în zona producerii accidentului feroviar; _x000D_
?	neefectuarea reviziilor tehnice periodice a caii în zilele de 17, 19 ?i 21 decembrie 2018, pe por?iuni de linie care cuprindeau ?i zona producerii accidentului feroviar; _x000D_
?	nedepistarea ?i neînlocuirea la termen a ?inei defecte de categoria I, existente în cale în zona producerii accidentului.  _x000D_
?	depa?irea valorii maxime admise pentru capacitatea de transport a ?inelor existente în cale, la data ?i locul producerii accidentului feroviar (?ine tip 49, cale cu joante). 
The direct cause of the accident was the loss of the bearing capacity and of the guiding capacity of the outside rail of the curve, following its breakage and creation of a gap of 460 mm (under the dynamic effect of the train rolling stock). _x000D_
_x000D_
Contributing factors_x000D_
?	unsuitable making of the unit „joint”, from  km 34+993 (track I of the running line Bae?ti - Subcetate being at the outside rail of the curve with the radius R = 280 m), made during the intervention at the broken rail, recorded on the 10th December 2018 (13 days before the accident), and lack of measures necessary for ensuring the safety of the railway traffic (decrease of the traffic speed on this track section unconsolidated);_x000D_
?	exceeding of the maximum value accepted for the lateral wears of the outside rail of the curve, it leading to the increase of the wheel ange angle at plane of contact (?);_x000D_
?	exceeding of the maximum value accepted for the track twist, for the traffic speed established (65 km/h), at the accident site; _x000D_
?	exceeding of the maximum value accepted for the track gauge of curves with radius of 280 m, at the accident site; _x000D_
?	lack of periodical technical inspections at the track on the 17th, 19th and 21st December 2018, on track sections including the accident site; _x000D_
?	non-identification and non-replacement at the deadline of the rail with failure, category I, existing at the accident site.  _x000D_
?	exceeding of the maximum value accepted for the transport capacity of the rails existing within the track, when the accident happened (rail type 49, non-welded track).</t>
  </si>
  <si>
    <t>Cauze subiacente_x000D_
1.	Nerespectarea prevederilor art.21, punctul 10 din Instruc?ia nr.314/1989 referitoare la interzicerea admiterii în linii curente ?i directe din sta?ii, a cupoanelor de sine cu lungimea mai mica de 6 m, pe linii cu viteza de 51 – 120 km/h”._x000D_
2.	Nerespectarea prevederilor art. 21, punctul 1 din Instruc?ia nr.314/1989 referitoare la men?inerea în cale a ?inelor defecte de categoria I. _x000D_
3.	Nerespectarea prevederilor art. 23 din Instruc?ia nr.314/1989 referitoare la obligativitatea luarii masurilor de restric?ionare a vitezei de circula?ie, pâna la înlocuirea ?inelor defecte de categoria I existente în cale. _x000D_
4.	Nerespectarea prevederilor art. 21-punctul 2 din Instruc?ia nr.314/1989 referitoare la men?inerea în cale a ?inelor care prezinta uzuri mai mari decât cele maxim admise de reglementarile în vigoare._x000D_
5.	Nerespectarea prevederilor art.1 din Instruc?ia nr.314/1989 referitoare la toleran?ele  ecartamentului caii în curbele cu raza de 280 m, adica 1455 mm (ecartamentul nominal 1435 mm + supralargirea de 10 mm + toleran?a de 10 mm). Precizam faptul ca, ecartamentul în aceste puncte a fost influen?at ?i de uzura laterala pronun?ata a ?inei de la firul exterior al curbei._x000D_
6.	Nerespectarea prevederilor de la art. 7, punctul 4, din Instruc?ia nr.314/1989 referitoare la valorile maxim admise ale torsionarii caii, în func?ie de viteza maxima de circula?ie a trenurilor._x000D_
7.	Nerespectarea prevederilor de la art.1 ?i art.2 , Fi?a Nr. 2 din Instruc?ia nr.305/1997 referitoare la modul de efectuare a reviziei tehnice periodice a caii._x000D_
Cauze primare_x000D_
1.	Neaplicarea prevederilor procedurii opera?ionale cod PO SMS 0-4.07 „Respectarea specifica?iilor tehnice, standardelor ?i cerin?elor relevante pe întreg ciclul de via?a a liniilor în procesul de între?inere”, parte a sistemului de management al siguran?ei a administratorului de infrastructura feroviara publica CNCF „CFR” SA, referitoare la executarea lucrarilor de între?inere ?i repara?ie a liniilor de cale ferata._x000D_
2.	Neaplicarea prevederilor procedurii opera?ionale cod PO SMS 0-4.28 „Verificarea ?i controlul rezultatelor opera?iunilor de între?inere", parte a sistemului de management al siguran?ei a administratorului de infrastructura feroviara publica CNCF „CFR” SA, referitoare la atribu?iile personalului cu sarcini de control._x000D_
3.	Neaplicarea prevederilor procedurii opera?ionale cod PO 0-10.2.-1 ,,Tratarea disfunc?ionalita?ilor ?i defec?iunilor care rezulta din opera?iunile curente la instala?iile de semnalizare, centralizare ?i bloc (SCB)”, parte integranta a sistemului de management integrat calitate - mediu -  siguran?a feroviara (SMCM – SMS) a  CNCF „CFR” SA”, Anexa 1 referitoare la diagrama procesului de avizare a deranjamentelor. 
Underlying causes_x000D_
1.	violation of the provisions art.21, point 10 from Instruction no.314/1989 regarding the prohibition to accept within the running and direct lines from the railway stations, rail sections with length under 6 m, for lines with speeds of 51 – 120 km/h”._x000D_
2.	violation of the provisions of art. 21, point 1 from Instruction no.314/1989 regarding the maintaining within the track of rails with failures, category I. _x000D_
3.	violation of the provisions of art. 23 from Instruction no.314/1989 regarding the compulsoriness to take measures for speed limitation, until the replacement of the rails with failures, category I existing within the track. _x000D_
4.	violation of the provisions of art. 21-point 2 from the Instruction no.314/1989 regarding the maintaining within the track of the rails with wears over the maximum ones accepted by the regulations in force._x000D_
5.	violation of the provisions of art.1 from the Instruction no.314/1989 regarding the tolerances of the track gauge for the curves with radius of 280 m, that is 1455 mm (standard gauge 1435 mm + over-widening of 10 mm + tolerance of 10 mm). We point out that the gauge in these points was influenced also by the lateral serious wear at the outside rail of the curve._x000D_
6.	violation of the provisions of art. 7, point 4, from the Instruction no.314/1989 regarding the maximum values accepted for the track twist, in accordance with the train maximum speed._x000D_
7.	violation of the provisions of art.1 and art.2, Sheet no. 2 from the Instruction no.305/1997 regarding the performance way of the periodical technical inspection at the track._x000D_
Root cause_x000D_
1.	Non-application of the provisions of the operational procedure code PO SMS 0-4.07 „Compliance with the technical specifications, standards and relevant requirements for the whole life time of the lines in maintenance process”, part of the safety management system of the public railway infrastructure administrator CNCF „CFR” SA, regarding the performance of the maintenance and repair at the lines._x000D_
2.	Non-application of the provisions of the operational procedure code PO SMS 0-4.28 „Checking and control of the maintenance results", part of the safety management system of the public railway infrastructure administrator CNCF „CFR” SA, regarding the tasks of the staff in charge with control._x000D_
3.	Non-application of the provisions of the operational procedure code PO 0-10.2.-1 ,,Treatment of the malfunctions and failures resulting from the current operations at the interlocking system (SCB)”, part of the integrated management system quality - environment -  railway safety (SMCM – SMS) of CNCF „CFR” SA”, Annex 1  regarding the diagram of the process for the notification of the inconveniences.</t>
  </si>
  <si>
    <t>RO-5882</t>
  </si>
  <si>
    <t>Train derailment, 26-12-18, Rapa de Jos - Monor Gledin (Romania)</t>
  </si>
  <si>
    <t>the locomotive no. EA 563 that hauled the freight train no.44505 consist of unloaded tank wagons derailed between Rapa de Jos and Monor Gledin railway stations</t>
  </si>
  <si>
    <t>Rapa de Jos - Monor Gledin</t>
  </si>
  <si>
    <t>Cauza directa a producerii acestui accident o constituie escaladarea flancului activ al ciupercii ?inei de pe firul exterior al curbei de catre roata atacanta (roata din partea dreapta în sensul de mers al trenului) de la locomotiva EA563 ca urmare a cre?terii raportului dintre forta conducatoare ?i sarcina ce actiona pe aceasta roata, depasindu-se astfel limita de stabilitate la deraiere. Cre?terea raportului dintre forta conducatoare ?i sarcina ce actiona pe roata atacanta s-a produs în condi?iile descarcarii puternice de sarcina a ro?ii din partea dreapta a osiei conducatoare ?i a cre?terii for?ei laterale (de ghidare) pe aceasta roata._x000D_
_x000D_
Factorii  care au contribuit la producerea accidentului:_x000D_
-	starea tehnica necorespunzatoare a caii generata de defecte la nivel transversal ?i ecartament, datorita men?inerii în exploatare, în zona producerii deraierii (zona km 36+727), a unor traverse de lemn normale a caror stare tehnica impunea înlocuirea acestora;_x000D_
-	func?ionarea necorespunzatoare a amortizorului hidraulic aferent osiei nr.6 partea stânga a locomotivei, osie care a deraiat; 
Direct cause of the accident is the leading wheel (right wheel in the train running direction)  of the locomotive EA563 climbed the gauge face of the exterior rail of the curve, following the increase of the ratio between the lateral (guiding) force and the load acting on this wheel, so exceeding the derailment stability limit. The increase of the ratio between the guiding force and the load acting on the leading wheel happened following the serious load transfer of the right wheel of the leading axle and increase of the lateral force (guiding) on this wheel._x000D_
_x000D_
Contributing factors:_x000D_
-	unsuitable technical condition of the track, generated by the failures at the cross level and gauge, following the keeping in operation, at the derailment site (km 36+727), of some normal wooden sleepers whose technical condition was imposing their replacement;_x000D_
-	unsuitable working of the hydraulic damper afferent to the axle no.6, locomotive left side, the axle derailing;</t>
  </si>
  <si>
    <t>Cauze subiacente_x000D_
1)	nerespectarea prevederilor art.7.A.1. din „Instruc?ia de norme ?i toleran?e pentru construc?ia ?i între?inerea caii pentru linii cu ecartament normal nr.314/1989”, referitoare la valorile tolerantelor nivelului transversal prescris al unui fir fata de celalalt;_x000D_
2)	nerespectarea prevederilor art.7.A.4. referitoare la men?inerea în toleran?e a înclinarii rampei torsionarii caii;_x000D_
3)	nerespectarea prevederilor art.25, alin.(2) ?i alin.(4) din „Instruc?ia de norme ?i toleran?e pentru construc?ia ?i între?inerea caii pentru linii cu ecartament normal nr.314/1989”, referitoare la defectele care impun înlocuirea traverselor de lemn si la neadmiterea men?inerii în cale a traverselor necorespunzatoare;_x000D_
4)	nerespectarea prevederilor art.14.1, alin.(c) „Instruc?ia de norme ?i toleran?e pentru construc?ia ?i între?inerea caii pentru linii cu ecartament normal nr.314/1989”, referitoare la neadmiterea varia?iei ecartamentului în exploatare peste valoarea maxima de 2 mm/m;_x000D_
5)	nerespectarea termenului stabilit în Tabelul 3.1 din Normativul feroviar NF 67-006:2011, pentru efectuarea reviziei planificate de tip R2 la locomotiva EA 563, fapt care a dus la nedepistarea ?i neremedierea rupturii de la sudura suportului inferior al amortizorului hidraulic aferent osiei 6 stînga, cu ocazia reviziei ;_x000D_
Cauza primara a accidentului o constituie:_x000D_
- neaplicarea tuturor prevederilor procedurii operationale cod PO SMS 0-4.07 „Respectarea specificatiilor tehnice, standardelor si cerintelor relevante pe întreg ciclul de viata a liniilor în procesul de întretinere”, parte a sistemului de management al sigurantei administratorului de infrastructura feroviara publica CNCF „CFR” SA, referitoare la executarea lucrarilor de între?inere ?i repara?ii periodice a liniilor de cale ferata._x000D_
-neidentificarea pericolului ?i ne?inerea sub control a riscurilor provenite din neremedierea în termenii prevazu?i de reglementarile în vigoare, a defectelor de gradul 3,4,5 ?i 6 depistate la verificarea liniilor curente ?i directe cu vagonul de masurat calea;_x000D_
- neidentificarea pericolului ?i ne?inerea sub control a riscurilor provenite din nerespectarea toleran?elor admise în exploatare pentru nivelul si ecartamentul caii ferate;_x000D_
- neidentificarea pericolului ?i ne?inerea sub control a riscurilor provenite din men?inerea în cale a traverselor de lemn necorespunzatoare;_x000D_
- neaplicarea tuturor prevederilor procedurii operationale cod  PO 74.3 „Între?inere ?i Repara?ii material rulant de trac?iune”, parte a sistemului de management al sigurantei al operatorului de transport SNTFM „CFR Marfa” SA, referitoare la executarea lucrarilor de între?inere ?i repara?ii la locomotive; 
Underlying causes_x000D_
1)	violation of the provisions of art.7.A.1. from „Instruction of norms and tolerances for the track construction and maintenance for lines with standard gauge no.314/1989”, with reference to the tolerance values for the stipulated cross level of a rail against the another one;_x000D_
2)	violation of the provision of art.7.A.4. with reverence to the keeping between tolerances of the track twist gradient;_x000D_
3)	violation of the provisions of art.25, paragraphs (2) and (4) from the „Instruction of norms and tolerances for the track construction and maintenance, for lines with standard gauge no.314/1989”, concerning the failures that impose the replacement of the wooden sleepers and inadmissibility non-keeping within the track of unsuitable sleepers;_x000D_
4)	violation of the provisions of art.14.1, paragraph (c) „Instruction of norms and tolerances for the track construction and maintenance, for lines with standard gauge no.314/1989”, regarding the inadmissibility of a gauge variation in operation over the maximum value of 2 mm/m;_x000D_
5)	not meeting with the deadline established in the Table 3.1 from the Railway norm NF 67-006:2011, for the performance of the planned inspection type R2 at the locomotive EA 563, it leading to the non identification and non repair of the breakage at the welding of the lower support from the hydraulic damper afferent to the left axle 6, during the inspection;_x000D_
 Root cause of the accident:_x000D_
non application of all provisions of the operational procedure code PO SMS 0-4.07 „Compliance with the technical specifications, standards and requirements relevant for the whole life time of the lines in maintenance process”, part of the safety management system of the public railway infrastructure administrator CNCF „CFR” SA, regarding the performance of the periodical maintenance and repair at the lines._x000D_
-non identification of danger and not keeping under control of risks resulted from the non removal, according to the deadlines stipulated by the regulations in force, of the failures of level 3,4,5 and 6, found during the checking of the current and direct lines with the testing and recording car;_x000D_
- non identification of the danger and not keeping under control of the risks resulted from the not meeting with the tolerances accepted in operation for the track cant and gauge;_x000D_
- non identification of the danger and not keeping under control of the risks resulted from the keeping within the track of the unsuitable wooden sleepers;_x000D_
- non application of all provisions of the operational procedure code  PO 74.3 „Maintenance and repair of the traction rolling stock”, part of the safety management system of the railway undertaking SNTFM „CFR Marfa” SA, concerning the performance of the maintenance and repairs at the locomotives;</t>
  </si>
  <si>
    <t>DK-5889</t>
  </si>
  <si>
    <t>Other event, 02-01-19, Storebæltsbroen - Greater Belt Bridge (Denmark)</t>
  </si>
  <si>
    <t>Wednesday morning (02 January 2019) at 7:30 AM, a passenger train on the Greater Belt Bridge collided with an empty semi-trailer (curtain sider trailer) that fell from a pocket wagon (Taschenwagen) – Sdggmrs - on a passing freight train. 
Et lyntog bestående af to togsæt ramte en tom lastvognstrailer, der faldt af forreste vogn på et modkøende godstog. Traileren trængte ind i forreste del af lyntoget, hvor 8 personer omkom.</t>
  </si>
  <si>
    <t>Storebæltsbroen - Greater Belt Bridge</t>
  </si>
  <si>
    <t>Denmark; 
DB Schenker Rail Scandinavia A/S</t>
  </si>
  <si>
    <t>Sættevognstraileren (King Pin) var ikke låst fast til lommevognen, og kombinationen af dette, en tom (og dermed relativ let) sættevognstrailer og kraftig vind direkte på siden af traileren, medførte at sættevognstraileren blev blæst af lommevognen og ud i sporet foran passagertoget. 
The semi-trailer (King Pin) was not locked to the pocket, and the combination of this, an empty (and thus relatively light) semi-trailer and strong wind directly on the side of the trailer, caused the semi-trailer to be blown out of the pocket and into the track in front of the passenger train.</t>
  </si>
  <si>
    <t xml:space="preserve">Manglende vedligehold af lommevognens skammel (lås). Sikkerhedsmæssig vedligehold af skamlen var ikke indarbejdet i vedligeholdelsesprogrammet for lommevognen. Dette var gældende generelt, og dermed også i resten af Europa. Der blev inden ulykken ikke gennemført kontrol af hvorvidt låsen konkret var funktionsdygtig. 
</t>
  </si>
  <si>
    <t>RO-5885</t>
  </si>
  <si>
    <t>Train derailment, 03-01-19, Fetesti (Romania)</t>
  </si>
  <si>
    <t>the locomotive EA 916, the second in the consist of freight train no.87937 derailed on the entrance in Fetesti railway station</t>
  </si>
  <si>
    <t>Cauza directa_x000D_
Cauza directa a producerii accidentului o constituie escaladarea flancului activ al ciupercii ?inei acului curb al schimbatorului de cale nr.99 de catre buza bandajului ro?ii din partea stânga a primei osii a locomotivei în sensul de mers, ca urmare a cre?terii raportului dintre for?a conducatoare ?i sarcina ce ac?iona  pe aceasta roata, depa?indu-se astfel limita de stabilitate la deraiere._x000D_
Factorii care a contribuit  la producerea accidentului _x000D_
Factorii care au contribuit la producerea accidentului au fost:_x000D_
-	 suspendarea osiei nr.IV, care era blocata, prin introducerea de cale (adaosuri metalice – pinioane compresor) între cutiile de osie ale acesteia ?i legaturile de garda, cât ?i introducerea de cale (adaosuri – profile metalice) între rama boghiului nr.II ?i cutiile de osie, de pe ambele par?i, la osia nr.V pentru preluarea sarcinilor pe boghiul nr.II; _x000D_
-	depa?irea domeniului maxim admis al greutatii medii pe ro?ile osiei nr.V fapt ce a dus la descar-carea de sarcina a ro?ii din partea stânga a osiei nr.VI si la escaladarea flancului activ al ciupercii sinei. _x000D_
-	men?inerea în serviciu dupa atingerea normelor de timp/kilometri pentru efectuarea repara?iilor planificate de tip RR, RG, contrar prevederilor Ordinului MTI nr.1359/2012 pentru modificarea ?i completarea Normativului feroviar "Vehicule de cale ferata. Tipuri de revizii ?i repara?ii planificate. Normele de timp sau normele de kilometri parcur?i pentru efectuarea reviziilor ?i repara?iilor planifi-cate", aprobat prin Ordinul ministrului transporturilor si infrastructurii nr. 315/2011 
Direct cause_x000D_
The direct cause of the accident is the climbing of the gauge face of the rail from the curved toe of the switch no.99 by the flange of the left wheel of the locomotive first axle in the running direction, following the increase of the ratio between the guiding force and the load acting on this wheel, exceeding in a such way the stability limit at derailment._x000D_
Contributing factors _x000D_
The factors contributing at the accident occurrence were:_x000D_
-	 suspension of the axle no. IV, that was blocked, introducing holds (metallic additions – compres-sor pinions) between its axle boxes and the guard connections, and introducing holds (additions – me-tallic profiles) between the frame of the bogie no.II and the axle boxes, from both sides, at the axle no.V for the load transfer on the bogie no.II; _x000D_
-	exceeding of the maximum accepted load on the wheels of the axle no.V, it leading to the load transfer of the left wheel of the axle no.VI and climbing of the gauge face  of the rail. _x000D_
-	keeping in service, after reaching the norms of time/km for the performance of the planned re-pairs type RR, RG, against the provisions of Order of Minister of Transports and Infrastructure no.1359/2012 for the amendment of the Railway Norm "Railway vehicles, Types of planned inspec-tions and repairs. Norms of time or of km run for the performance of planned inspections and repairs", approved by Order of Minister of Transports and Infrastructure no. 315/2011</t>
  </si>
  <si>
    <t>Cauzele subiacente _x000D_
Cauzele subiacente ale producerii accidentului au fost:_x000D_
1) 	Nerespectarea prevederilor din „Regulamentul de remorcare ?i frânare nr.006/2005”, Art.3(1) pct. a) - Anexa 4 (Date caracteristice ale locomotivei electrice tip 060-EA), în sensul ca a fost depa?ita sarcina maxima pe osia nr.V la locomotiva EA 816._x000D_
2)	Nerespectarea prevederilor Normativului feroviar  67-006:2011 "Vehicule de cale ferata. Tipuri de revizii ?i repara?ii planificate. Normele de timp sau normele de kilometri parcur?i pentru efectuarea reviziilor ?i repara?iilor planificate", aprobat prin Ordinul Ministrului Transporturilor ?i Infrastructurii nr.315/2011 modificat ?i completat prin Ordinul MTI nr.1359/2012, respectiv:_x000D_
-	capitolul 3 – Norme pentru efectuarea reviziilor ?i repara?iilor planificate ale vehiculelor feroviare ?i periodicitatea acestora (ciclul),  subpunctul 3.1, în sensul ca locomotiva EA 816 nu a fost retrasa din circula?ie la atingerea normei de timp sau kilometri prevazu?i pentru efectuarea repara?iilor planificate de tip RR,RG;_x000D_
-	capitolul 3 – Norme pentru efectuarea reviziilor ?i repara?iilor planificate ale vehiculelor feroviare ?i periodicitatea acestora (ciclul), Tabelul 3.1,  lit. A,  pozi?ia nr.1, în sensul ca nu a fost res-pectat ciclul de repara?ii planificate tip RR,RG pentru locomotiva EA 816;_x000D_
3)	Nerespectarea prevederilor din Instruc?iuni pentru activitatea personalului de locomotiva în transportul feroviar nr.201/2006 aprobate prin Ordinul Ministrului nr.2229/2006, respectiv ale art.44.- (3) lit.b),  cu privire la obliga?ia remedierii, în cadrul reviziilor intermediare, a defec?iunilor la piesele, instala?iile ?i agregatele la care au aparut probleme în exploatarea locomotivei, semnalate de catre mecanic în carnetul de bord al locomotivei;_x000D_
Cauza primara a producerii acestui accident a fost lipsa unor prescrip?ii tehnice (specifica?ii tehnice) care sa reglementeze modul lucru la remorcarea ?i deplasarea,  catre societa?ile reparatoare, a locomotivelor electrice care prezinta defectul „osie blocata”, cu ajutorul dispozitivului special de suspendare -  Diplory; 
Underlying causes _x000D_
The underlying causes of the accident were:_x000D_
1) 	violation of the provisions from „Regulations for hauling and braking no.006/2005”, Art.3(1) point a) - Annex 4 (Characteristic data of the electric locomotive type 060-EA), that is the maximum accepted load on the axle no.V at the locomotive EA 816 was exceeded._x000D_
4)	violation of the provisions of the Railway Norm  67-006:2011 "Railway vehicles. Types of planned inspections and repairs. Norms of time or of km run for the performance of planned inspections and repairs", approved by Order of Minister of Transports and Infrastructure no. 315/2011, amended by Order of Minister of Transports and Infrastructure no.1359/2012 respectively:_x000D_
-	chapter 3 – Norms for the performance of the planned inspections and repairs of the rail-way vehicles and their periodicity (cycle), subpoint 3.1, that is the locomotive EA 816 was not with-drawn when it reached the norm of time or km stipulated for the performance of the planned repairs type RR, RG;_x000D_
-	chapter3 – Norms for the performance of the planned inspections and repairs of the railway vehicle and their periodicity (cycle),  Table 3.1, letter A, position no. 1, that is the cycle of planned repairs type RR, RG, at the locomotive EA 816, was not met;_x000D_
5)	violation of the provisions from the Instructions for the activity of the locomotive crew no.201/2006 approved by the Minister’s Order no.2229/2006, respectively of art.44.- (3) letter b),  concerning the obligation to remove , within the intermediate revisions, the failures at the parts, equipments and aggregates, to which some problems appeared during the locomotive operation, rec-orded by the driver in the locomotive book;_x000D_
_x000D_
 Root cause of this accident was the absence of some technical provisions (technical specifications) that regulate the working way, in case of hauling and movement to the repairing companies of the electric locomotives that have the failure „blocked axle”, with the rollbocks - diplory;</t>
  </si>
  <si>
    <t>HU-5899</t>
  </si>
  <si>
    <t>Trains collision with an obstacle, 04-01-19, Sárvár (Hungary)</t>
  </si>
  <si>
    <t>The train collided with an maintenance platform, one worker has injured.</t>
  </si>
  <si>
    <t>Sárvár</t>
  </si>
  <si>
    <t>Failure of signalman &amp; maintenance staff</t>
  </si>
  <si>
    <t>RO-5893</t>
  </si>
  <si>
    <t>Level crossing near miss, 08-01-19, Lugoj (Romania)</t>
  </si>
  <si>
    <t>on passing of the passenger train no. 1699 through the level crossing from Lugoj railway station the level crossing instalation was improper handled: That fact could led to the occurring of a railway accident. On the same level crossing on 09th of October 2018 has occurred an accident.</t>
  </si>
  <si>
    <t>Lugoj</t>
  </si>
  <si>
    <t>Cauza directa_x000D_
_x000D_
Cauza directa a producerii incidentului o constituie neexecutarea corecta a comenzilor pentru închiderea barierei de la trecerea la nivel SAT km 514+580, în caz de deranjament. _x000D_
Factorii care au contribuit:_x000D_
1.	Lipsa contactului (11-13) 1ASR din schema de ac?ionare a dispozitivului acustic ?i optic de semnalizare ( DAOS);_x000D_
2.	Existen?a unui deranjament la sec?iunea XIAD a sta?iei Lugoj (JIL defect la km 513+780);_x000D_
3.	Nereglementarea modului de închidere a barierei în caz de deranjament ;_x000D_
4.	Neanularea comenzii TCAF. 
Direct cause_x000D_
_x000D_
The direct cause of the incident is the incorrect application of the commands for the closing of the barrier from the level crossing SAT, km 514+580, in case of failure. _x000D_
Contributing factors:_x000D_
1.	Lack of the contact (11-13) 1ASR (cancelling of the road signalling) from the scheme for the operation of the acoustic and optical signalling device (DAOS);_x000D_
2.	Existence of a failure at the section XIAD of the railway station Lugoj (JIL -insulated rail joint  failure at km 513+780);_x000D_
3.	Lack of regulations for the closing of the barrier in case of failure ;_x000D_
4.	Lack of cancellation of the command TCAF (button for the working cancellation).</t>
  </si>
  <si>
    <t>Cauze subiacente_x000D_
_x000D_
1. Nerespectarea prevederilor art. 104 din Regulamentul de exploatare tehnica feroviara (RET) nr. 002/2001._x000D_
2. Nerespectarea prevederilor anexei 3(Reglementari privind func?ionarea instala?iilor CT, SCB, IFTE ?i TC din sta?ie ?i privind modul de ac?ionare ?i func?ionare a barierelor de tip BAT ?i SAT amplasate în linie curenta, pe distan?a pâna la sta?iile vecine) din Îndrumatorul pentru întocmirea planului tehnic de exploatare a sta?iei/ haltei de mi?care CFR._x000D_
_x000D_
 Cauze primare_x000D_
1. Monitorizarea efectuata la nivel central ?i regional nu a identificat si nu a gestionat pericolele si riscurile asociate  generate de lipsa de reglementare a modului de închidere a barierei în caz de deranjament. 
Underlying causes_x000D_
_x000D_
1. violation of the provisions from art. 104 of the Regulations for the railway technical operation (RET) no. 002/2001._x000D_
2. violation of the provisions from the annex 3(Regulations for the working of the equipments CT, SCB, IFTE and TC of the railway station and regarding the operation and working of the barriers type BAT and SAT put on the running line, between the neighbouring stations) from the Guide for the drafting of the operational technical plan of the railway station._x000D_
_x000D_
 Root cause_x000D_
1. Monitoring at regional and central level did neither identify nor manage the dangers and associated risks generated by the lack of regulations for the barrier closing in case of interruption to train movements.</t>
  </si>
  <si>
    <t>CZ-5887</t>
  </si>
  <si>
    <t>Unauthorised train movement other than SPAD, 09-01-19, LeÅ¡tina u Svetlé station (Czech Republic)</t>
  </si>
  <si>
    <t>Unsecured ride of the regional passenger train No. 5935 from Leština u Svetlé station and its consequent unauthorized movement behind the signal “Stop” onto the excluded first track line in the direction to Svetlá nad Sázavou station and through the open level crossing No. P3696.</t>
  </si>
  <si>
    <t>LeÅ¡tina u Svetlé station</t>
  </si>
  <si>
    <t>Direct cause:_x000D_
• the train route for the train No. 5935 was made from Leština u Svetlé station towards to Svetlá nad Sázavou station onto the excluded first track line._x000D_
_x000D_
Contributory factor:_x000D_
• non-use of the prescribed mechanical tool which ensures impossibility of the improper operation (unwilling or erroneous pressing or pulling up) of the button on the control desk of the station interlocking equipment by the dispatcher of Leština u Svetlé station at the time of the track possession._x000D_
_x000D_
Contributory factor of the continue incident action:_x000D_
• failure of the train driver of the train No. 5935 to respond to the signal “Stop” given by the portable protection signal and the following continuous ride of the train No. 5935 onto the excluded first track line through the open level crossing No. P3696.</t>
  </si>
  <si>
    <t>Underlying cause:_x000D_
• failure to comply with the technological procedures of the IM by the station dispatcher of Leština u Svetlé station, which determine the obligation to ensure the controlling elements by the mechanical tool (covering up the buttons of the route setting and manual point switch by the red cups), so that the ride of the rolling stocks could not be allowed onto the excluded track, during the track possession._x000D_
_x000D_
Root cause: none.</t>
  </si>
  <si>
    <t>CZ-5894</t>
  </si>
  <si>
    <t>Trains collision with an obstacle, 10-01-19, Liberec station (Czech Republic)</t>
  </si>
  <si>
    <t>Unauthorized movement of the regional passenger train No. 1997 behind the main (route) signal device Lc 102, consequent collision with a buffer stop, derailment and collision with an equipment of the station.</t>
  </si>
  <si>
    <t>Liberec station</t>
  </si>
  <si>
    <t>Direct cause:_x000D_
• failure to respect the signal „Stop" of the main (route) signal device Lc102 at Liberec station by the train driver of the regional passenger train No. 1997._x000D_
_x000D_
Contributory factor:_x000D_
• absence of technical equipment which prevents a train from passing a signal in case of danger.</t>
  </si>
  <si>
    <t>Underlying causes:_x000D_
• inappropriate driving style and inattention of the train driver of the regional passenger train No. 1997, who:_x000D_
 - did not implement the operating braking at the latest at the area of the main (route) signal device Lc2 at Liberec station so that he did not have to use the train's maximum braking power to stop the train in degraded weather conditions;_x000D_
 - did not implement the train braking in time for the train to stop safely at the end of the train route, at the time of the movement along the station track No. 102 at Liberec station._x000D_
_x000D_
Root cause: none.</t>
  </si>
  <si>
    <t>RO-5892</t>
  </si>
  <si>
    <t>Fire in RS, 10-01-19, Cernavoda Pod (Romania)</t>
  </si>
  <si>
    <t>the diesel locomotive DA 727 caught fire in Cernavoda Pod railway station</t>
  </si>
  <si>
    <t>Cernavoda Pod</t>
  </si>
  <si>
    <t>Cauza directa _x000D_
Cauza directa a producerii accidentului a fost aprinderea vaporilor de ulei din carterul motorului diesel ca urmarea a patrunderii flacarii din camera de ardere în carterul motorului, fapt ce a condus la producerea unei explozii în incinta acestuia._x000D_
_x000D_
Factorul care a contribuit _x000D_
Depunerile de calcar pe suprafe?ele exterioare ale cilindrilor, precum ?i în interiorul garniturilor de etan?are al chiulaselor, fapt care a condus la diminuarea capacita?ii de racire a pistoanelor. 
Direct cause _x000D_
The direct cause of the accident was the ignition of the oil steams into the diesel engine crankcase, following the entrance of the flame from the combustion chamber, it leading to the explosion into it._x000D_
_x000D_
Contributing factors _x000D_
Limestone deposits on the exterior surfaces of the cylinders, as well as inside the packings of the cylinder heads, it leading to the decrease of the cooling capacity of the pistons.</t>
  </si>
  <si>
    <t>Cauze subiacente _x000D_
În cazul acestui accident, nu au fost identificate cauze subiacente. _x000D_
_x000D_
Cauza primara_x000D_
În cazul acestui accident, nu au fost identificate cauze primare. 
Underlying causes _x000D_
None. _x000D_
_x000D_
Root cause_x000D_
None.</t>
  </si>
  <si>
    <t>NO-5898</t>
  </si>
  <si>
    <t>Runaway, 16-01-19, Roa station (Norway)</t>
  </si>
  <si>
    <t>On 16 January 2019, the driver of a light locomotive experienced brake force failure while
approaching Roa station along a section of track with a steep downward gradient. As a result of the
failure, the locomotive passed a stop signal at main approach signal D672 at Roa station at a speed
of approx. 75 km/h. The brakes only started to take effect after the locomotive had entered the
station area, and it came to a stop just before main departure signal M674 after having passed out of
control through the station area.
The AIBN believes that the incident occurred as a result of the locomotive’s snow brake function,
the purpose of which is to clear snow and ice from the brakes during the journey, being set at too
low a frequency. The snowy weather on the day of the incident, in combination with the fact that
manual braking was neither needed nor used on this stretch, probably contributed to a layer of ice
gradually forming between the brake pads and the brake discs. This resulted in minimal friction
when the train driver started braking. After the driver had applied the emergency brake, the
locomotive travelled nearly two kilometres before stopping.
Winter problems related to rolling stock with disc brakes, and the importance of manual braking to
prevent ice from building up, are well known in the industry and covered in the train drivers’
training. In the AIBN’s opinion, many drivers will trust the snow brake feature to prevent the buildup
of ice, and it is therefore vital that it functions as intended. At the same time, the presence of
such a brake feature cannot replace the need to check brake effect during a journey, particularly in
unfavourable snow conditions.
In the AIBN’s opinion, this incident shows that a great responsibility for ensuring that the functions
of rolling stock are appropriately set rests with the user. The Accident Investigation Board Norway
therefore submits a safety recommendation concerning this issue to all railway undertakings that
use rolling stock with some form of snow brake function controlled by a time mechanism. 
Den 16.01.2019 kl 1157 opplevde føreren av løslok 21318 fra CargoNet AS sviktende bremsekraft inn mot Roa stasjon.
Løsloket kom fra Hønefoss og skulle til Oslo. Mellom Grindvoll og Roa registrerte føreren sviktende bremsekraft. På det aktuelle stedet har linjen 20 ‰ fall inn mot Roa stasjon. Det passerte innkjør hovedsignal for Roa i stopp, og fortsatte ca. 1 km til sporvekselen i den andre enden av stasjonen før det stanset.
Et persontog på vei nordover kjørte inn på Roa stasjon rett før hendelsen fant sted.
Ingen personer ble skadet i hendelsen.
Undersøkelsen vil klarlegge hendelsesforløpet og peke på mulige årsaksforhold. Eventuelle bakenforliggende forhold som kan ha bidratt til ulykken vil bli kartlagt og analysert.</t>
  </si>
  <si>
    <t>Roa station</t>
  </si>
  <si>
    <t>On 16 January 2019, the driver of a light locomotive experienced brake force failure while_x000D_
approaching Roa station along a section of track with a steep downward gradient. As a result of the_x000D_
failure, the locomotive passed a stop signal at main approach signal D672 at Roa station at a speed_x000D_
of approx. 75 km/h. The brakes only started to take effect after the locomotive had entered the_x000D_
station area, and it came to a stop just before main departure signal M674 after having passed out of_x000D_
control through the station area._x000D_
The AIBN believes that the incident occurred as a result of the locomotive’s snow brake function,_x000D_
the purpose of which is to clear snow and ice from the brakes during the journey, being set at too_x000D_
low a frequency. The snowy weather on the day of the incident, in combination with the fact that_x000D_
manual braking was neither needed nor used on this stretch, probably contributed to a layer of ice_x000D_
gradually forming between the brake pads and the brake discs. This resulted in minimal friction_x000D_
when the train driver started braking. After the driver had applied the emergency brake, the_x000D_
locomotive travelled nearly two kilometres before stopping._x000D_
Winter problems related to rolling stock with disc brakes, and the importance of manual braking to_x000D_
prevent ice from building up, are well known in the industry and covered in the train drivers’_x000D_
training. In the AIBN’s opinion, many drivers will trust the snow brake feature to prevent the buildup_x000D_
of ice, and it is therefore vital that it functions as intended. At the same time, the presence of_x000D_
such a brake feature cannot replace the need to check brake effect during a journey, particularly in_x000D_
unfavourable snow conditions._x000D_
In the AIBN’s opinion, this incident shows that a great responsibility for ensuring that the functions_x000D_
of rolling stock are appropriately set rests with the user. The Accident Investigation Board Norway_x000D_
therefore submits a safety recommendation concerning this issue to all railway undertakings that_x000D_
use rolling stock with some form of snow brake function controlled by a time mechanism.</t>
  </si>
  <si>
    <t>CZ-5895</t>
  </si>
  <si>
    <t>Unauthorised train movement other than SPAD, 18-01-19, Chodov station (Czech Republic)</t>
  </si>
  <si>
    <t>Uncontrolled movement of two detached freight rolling stocks from station track to railway track to Karlovy Vary station.</t>
  </si>
  <si>
    <t>Chodov station</t>
  </si>
  <si>
    <t>Direct cause:_x000D_
•insufficient securing of detached rolling stocks against uncontrolled movement._x000D_
_x000D_
Contributory factor: none.</t>
  </si>
  <si>
    <t>Underlying cause:_x000D_
•failure to comply of the technological procedures of the IM and RU during detaching of the rolling stocks._x000D_
_x000D_
Root cause: none.</t>
  </si>
  <si>
    <t>HR-5904</t>
  </si>
  <si>
    <t>Train derailment, 18-01-19, Zagreb Glavni (Croatia)</t>
  </si>
  <si>
    <t>Dana 18.01.2019. godine u kolodvoru Zagreb Glavni došlo je do iskliznuca manevarske lokomotive na skretnici broj 43 
On 18.01.2019. at the Zagreb Main station there was a derailment of maneuvering locomotives at the switchboard number 43</t>
  </si>
  <si>
    <t>Zagreb Glavni</t>
  </si>
  <si>
    <t>Izravni uzrok predmetne nesrece je iskliznuce manevarske lokomotive sa jednom osovinom prilikom vožnje preko skretnice broj 43. 
The direct cause of the accident in question is the slipping of a single-axle maneuver locomotive when driving over switch 43.</t>
  </si>
  <si>
    <t>Cimbenici koji su pridonijeli ovoj nesreci: _x000D_
-	smanjena vidljivost uslijed noci _x000D_
Organizacijski cimbenici: _x000D_
-	razmjena  informacija izmedu prometnika manevre B i strojovode _x000D_
-	vrijeme izmedu postave skretnice i davanja naredbe za pocetak vožnje 
Factors contributing to this accident:_x000D_
- reduced visibility due to night _x000D_
Organizational factors:_x000D_
- exchange of information between maneuver operator B and driver _x000D_
- time of switching</t>
  </si>
  <si>
    <t>RO-5896</t>
  </si>
  <si>
    <t>Train derailment, 19-01-19, Jibou - Mirsid (Romania)</t>
  </si>
  <si>
    <t>the second bogie from the diesel multiple unit ADH no. 1420 derailed between Jibou and Mirsid railway stations</t>
  </si>
  <si>
    <t>Jibou - Mirsid</t>
  </si>
  <si>
    <t>Cauza directa a producerii acestui accident o constituie escaladarea flancului activ al ciupercii ?inei de pe firul exterior al curbei de catre roata din partea dreapta a primei osii, a celui de al treilea boghiu (în sensul de mers al trenului), de la automotorul ADH 1420, ca urmare a cre?terii raportului dintre forta conducatoare ?i sarcina ce actiona pe aceasta roata, depasindu-se astfel limita de stabilitate la deraiere._x000D_
Cre?terea raportului dintre forta conducatoare ?i sarcina ce actiona pe aceasta roata s-a produs în condi?iile descarcarii puternice de sarcina a ro?ii din partea dreapta a primei osii de la boghiul nr.3 (în sensul de mers) ?i a cre?terii for?ei laterale (de ghidare) pe aceasta roata. _x000D_
Factorii care au contribuit la producerea accidentului:_x000D_
_x000D_
- descarcarea de sarcina a ro?ii din partea dreapta a osiei, care s-a produs din cauza înal?imii pernelor de aer, peste cotele admise ?i a jocurilor mecanice cu valori peste limitele admise;_x000D_
- starea tehnica necorespunzatoare a caii generata de defecte peste toleran?ele admise la nivel transversal. 
The direct cause of the accident was the climbing of gauge face of the curve exterior rail by the right wheel of the first axle, from the third bogie (in the train running direction), of the DMU ADH 1420, following the increase of the ratio between the guiding force and the load acting on this wheel, so exceeding the derailment stability limit._x000D_
The increase of the ratio between the guiding force and the load acting on this wheel happened following the serious load transfer of the right wheel from the first axle from the bogie no.3 (in the running direction) and the increase of the lateral force (guiding one) on this wheel. _x000D_
Contributing factors:_x000D_
_x000D_
- load transfer of the right wheel of the axle, that happened following the height of the air cushions, over the accepted quotas and of the mechanical clearances with values over the accepted limits;_x000D_
- unsuitable technical condition of the track generated by the failures over the tolerances accepted for the cross level. _x000D_
- unsuitable technical condition of the track generated by the failures at the cross level.</t>
  </si>
  <si>
    <t>Cauzele subiacente _x000D_
1) nerespectarea Art.30 din Îndrumatorul mecanicului pentru exploatarea automotorului ADH11 , privitor la verificarea încadrarii înal?imii pernelor de aer în limitele admise ?i reglajul acestora;_x000D_
2) nerespectarea Art.50  din Îndrumatorul mecanicului pentru exploatarea automotorului ADH11 , privitor la circulatia în regim de avarie la suspensia secundara cu perne de aer, în situa?ia de imposibilitate a reglarii în cotele nominale a pernelor de aer;_x000D_
3) nerespectarea prevederilor pct.3.1.din Normativul feroviar NF 67-006:2011, aprobat prin Ordinul ministrului transporturilor si infrastructurii 315/2011 actualizat, privind retragerea automotorului din serviciu pentru efectuarea reparatiilor planificate, fapt care a dus la nedepistarea jocurilor mecanice cu valori peste limitele admise ?i a pernelor de aer cu înal?ime peste cotele nominale admise;_x000D_
4) nerespectarea prevederilor art.7.A.1. din „Instruc?ia de norme ?i toleran?e pentru construc?ia ?i între?inerea caii pentru linii cu ecartament normal nr.314/1989”, referitoare la valorile tolerantelor nivelului transversal prescris al unui fir fata de celalalt;_x000D_
5) nerespectarea prevederilor art.7.A.4. referitoare la men?inerea în toleran?e a rampei torsionarii caii;_x000D_
6) nerespectarea prevederilor pct.4.1. din Cap.4 „Norme de manopera ?i de consum de materiale”, al „Instruc?iei de între?inere a liniilor ferate nr.300/1982” referitoare la asigurarea normei de manopera la între?inerea curenta în execu?ie manuala;_x000D_
7) neaplicarea tuturor prevederilor procedurii opera?ionale cod PO SMS 0-4.07 „Respectarea specificatiilor tehnice, standardelor si cerintelor relevante pe întreg ciclul de via?a a liniilor în procesul de întretinere”, parte a sistemului de management al siguran?ei al CNCF „CFR” SA, referitoare la dimensionarea personalului districtului de linii, în raport cu volumul de lucrari._x000D_
_x000D_
Cauze primare _x000D_
- neîndeplinirea cerin?ei L.1 din Regulamentul 1158/2010 care prevede ca ar trebui sa existe, în ceea ce prive?te cerin?ele de siguran?a relevante pentru tipul ?i amploarea opera?iunilor, proceduri în cadrul SMS al operatorului de transport: _x000D_
(a) de identificare a acestor cerin?e ?i de actualizare a procedurilor relevante pentru a reflecta schimbarile care le sunt aduse (managementul controlului schimbarilor);_x000D_
(b) de implementare a acestor cerin?e;_x000D_
(c) de monitorizare a respectarii lor;_x000D_
(d) pentru luarea de masuri în cazul în care se observa nerespectarea acestor cerin?e. _x000D_
pentru a garanta identificarea, colectarea ?i listarea rapida a cerintelor relevante incluse în normele tehnice pentru fiecare tip de material rulant ?i echipament de siguranta, în vederea actualizarii procedurilor si proceselor de siguranta._x000D_
- neîndeplinirea în totalitate a cerin?ei L.2 din Regulamentul 1158/2010 care prevede ca ar trebui sa existe în cadrul SMS al operatorului de transport proceduri pentru a garanta ca se utilizeaza documentele specifice adecvate, în scopurile prevazute;_x000D_
- neîndeplinirea cerin?ei P1 din Regulamentul 1158/2010 care prevede ca ar trebui sa existe în cadrul SMS al operatorului de transport,  proceduri pentru a garanta ca toate informa?iile pertinente sunt precise, complete, coerente, u?or de în?eles, actualizate în mod adecvat ?i documentate în mod corespunzator;_x000D_
- lipsa din nomenclatorul de lucrari la revizie Rz ?i R7 a automotorului ADH11, a opera?iunii de verificare ?i reglare a cotelor referitoare la pernele de aer;_x000D_
- lipsa din nomenclatorul de lucrari la revizie a automotorului ADH11, a opera?iunii de cântarire ?i reglare a sarcinilor pe ro?i;_x000D_
- lipsa din nomenclatorul de lucrari la revizia automotorului ADH11, a opera?iunii de verificare ?i reglare a jocurilor mecanice care pot influen?a transferurile de sarcini între ro?i;_x000D_
- lipsa din specifica?ia tehnica de repara?ie accidentala a prevederilor privind efectuarea dupa repara?iile accidentale cu ridicare la automotorului ADH11, a opera?iunii de cântarire ?i reglare a jocurilor mecanice;_x000D_
- neidentificarea pericolului ?i ne?inerea sub control a riscurilor provenite din nerespectarea toleran?elor admise în exploatare pentru nivelul transversal al caii ferate; 
. Underlying causes _x000D_
1) violation of the art.30 from the Guide of driver for the operation of the diesel multiple unit  ADH11, regarding the checking of the control of the height of the air cushions between the accepted limits and their adjustment;_x000D_
2) violation of the art.50 from the Guide of driver for the operation of the diesel multiple unit  ADH11, regarding the running with the secondary suspension with air cushions damaged, being impossible the adjustment in the nominal quotas of the air cushions;_x000D_
3) violation of the provisions of point 3.1.from the Railway Norm NF 67-006:2011, approved by Order of Ministry of Transports and Infrastructure 315/2011, updated, regarding the withdrawal of the diesel multiple unit from service for its submission to planned repairs, it leading to the non-identification of the mechanical clearances with values over the accepted limits and of the air cushions with height over the accepted nominal quotas;_x000D_
4) violation of the provisions of art.7.A.1. from „Instruction of norms and tolerances for the construction and maintenance of the track for lines with standard gauge no.314/1989”,regarding the values of tolerances of the prescribed cross level of a rail against the another one;_x000D_
5) violation of the provisions of art.7.A.4. regarding the keeping between the tolerances of the track twist gradient;_x000D_
6) violation of the provisions of point 4.1. from Chapter 4 „Norms of manpower and material consumption”, of „Instruction for the lines maintenance no.300/1982” regarding the provision with the norm of manpower for the manual current maintenance;_x000D_
7) non-application of all provisions of the operational procedure code PO SMS 0-4.07 „Compliance with the technical specifications, standards and relevant requirements  for whole life time of the lines in maintenance process”, part of the safety management system of CNCF „CFR” SA, regarding the sizing of the staff from the line district, in relation to the total works._x000D_
_x000D_
C.7.3. Root cause _x000D_
- non-compliance with the requirement L.1 from the Regulations 1158/2010 that stipulates that, with reference to the relevant safety requirements for the type and amplitude of the operation, it should be procedures within the SMS of the railway undertaking for: _x000D_
(a) identifying these requirements and updating relevant procedures to reflect changes made to them (change control_x000D_
management);_x000D_
(b) implementing them;_x000D_
(c) monitoring compliance with them;_x000D_
(d) taking actions when non-compliance is identified._x000D_
in order to guarantee the identification, collection and quick listing of the relevant requirements included in the technical norms for each type of rolling stock and safety equipment, for the updating of the safety procedures and processes._x000D_
- non-meeting completely with the requirement L.2 from the Regulations 1158/2010 that stipulates that some procedures for the guarantee of the use of proper specific documents for the stipulated purposes should be in the SMS of the railway undertaking;_x000D_
- non-meeting with the requirement P1 from the Regulations 1158/2010 that stipulates that some procedures, for the guarantee that all the pertinent information are accurate, complete and coherent, easy to understand, updated properly and documented suitably, should be within the SMS of the railway undertaking;_x000D_
- lack, from the schedule of works of inspections Rz and R7 at the diesel multiple unit ADH11, of the checking and adjustment of the quotas regarding the air cushions;_x000D_
- lack, from the schedule of works of inspection at the diesel multiple unit ADH11, of the weighing and adjustment of the wheels loads;_x000D_
- lack, from the schedule of works of inspection at the diesel multiple unit ADH11, of the checking and adjustment of the mechanical clearances that can influence the load transfers between the wheels;_x000D_
- lack, from the technical specification for accidental repair, of the provisions regarding the performance after the accidental repairs with the lifting of the multiple unit ADH11, of the weighing and adjustment of the mechanical clearances;_x000D_
- non-identification of the danger and non-keeping under control of the risks resulted from the non-meeting with the tolerances accepted in operation for the track level crossing;</t>
  </si>
  <si>
    <t>CZ-5897</t>
  </si>
  <si>
    <t>Level crossing accident, 22-01-19, open line between Vratislavice nad Nisou and Prosec nad Nisou stations (Czech Republic)</t>
  </si>
  <si>
    <t>Collision of the regional passenger train No. 2652 with a lorry at the level crossing P5508</t>
  </si>
  <si>
    <t>open line between Vratislavice nad Nisou and Prosec nad Nisou stations</t>
  </si>
  <si>
    <t>BG-5908</t>
  </si>
  <si>
    <t>Train derailment, 26-01-19, Shivachevo station (Bulgaria)</t>
  </si>
  <si>
    <t>Freight train No 30560 of DB Cargo Bulgaria ltd. railway undertaking hauled by el. Locomotive 86-018, while moving on schedule with 36 empty wagons, 1068 t, derailed in the railroad  intersections Gavrailovo – Shivachevo – Tvarditsa at approx 18:35 hrs on 26.01.2019.  _x000D_
While passing transit through Shivachevo station, the manager movement found out that two wagons of the composition had derailed. The train was stopped through suspension of the contact network power supply at km. 262+720. It was established that 20-th and 21-st wagons had derailed with their 1-st gear and 1-st axel of the 2-nd gear and that the derailment had started at km. 268+940 in the Gavrilovo-Shivachevo intersection. _x000D_
There were caused 5800 m of damage to the railway and equipment. _x000D_
The movement through Gavrailovo – Shivachevo – Tvarditsa intersections was stopped from 18:35 hrs on._x000D_
No staff members were injured.</t>
  </si>
  <si>
    <t>Shivachevo station</t>
  </si>
  <si>
    <t>Direct causes for the derailment of the wagon is the tearing of the front hinged bolt of wagon ? 33 52 080 6 189-5 left spring leaf of the first bogie first wheel axis in the train movement direction . Upon this, the left-hand wheel of the first wheel axis in the train movement direction  has been released, moves upwards, bounces off the head on the left-hand rail of the track, slides from the inside of the wheel and falls on the sleepers. The released front part of the spring leaf  in turn bends into the ballast prism, as the lowermost spring leaf has bent on one side, and on the other side a piece of it has broken off.</t>
  </si>
  <si>
    <t>The derailment of a wagon ? 33 52 080 6189-5 occurrs during the movement caused after breaking the bolt holding the leaf springs to the bogie from the left of the movement direction.</t>
  </si>
  <si>
    <t>RO-5900</t>
  </si>
  <si>
    <t>Trains collision, 26-01-19, Berceni (Romania)</t>
  </si>
  <si>
    <t>on the shunting with the locomotive LDH 001, of the electric metro  train no.1322, that has to stable in Berceni depot, the metro train set  has struck the buffer stop from the line no.8 and derailed</t>
  </si>
  <si>
    <t>Berceni</t>
  </si>
  <si>
    <t>Cauza directa si factorii care au contribuit_x000D_
Cauza directa a incidentului o constituie cre?terea necomandata a vitezei vehiculului TEM nr.1322-2322, generata de aplicarea unui efort electric de trac?iune pe electromotoarele trenului, fapt care a avut ca efect imposibilitatea adaptarii vitezei convoiului la spa?iul rezervat manevrei._x000D_
Factorul care a contribuit la producerea incidentului a fost prelucrarea inadecvata în logica software a urmatoarelor informa?ii: _x000D_
?	utilizarea ca referin?a doar a sensului impus de cabina activa R2 a TEM. Logica software-ului prin care referin?a cabinei active a fost prioritara sensului citit de la senzorii boghiurilor a condus la interpretarea în mod fals a sensului real de deplasarea al TEM._x000D_
?	func?ionarea eronata a dispozitivului om mort în regim de remorcare, prin lipsa emiterii unei avertizari sonore anterioare producerii frânarii de urgen?a, mod care nu corespunde schemei logice de func?ionare prezentata în Manualul Mecanicului la capitolul 4.4.6 Operarea Dispozitivului de Supraveghere a Mecanicului;_x000D_
?	men?inerea activa a frânei electrodinamice în conditiile în care a frâna de serviciu a fost izolata din panou TCMS. Odata cu izolarea de pe TCMS de catre operatorul uman a frânei de serviciu (compusa din frâna pneumatica ?i electrodinamica), nu s-a realizat ?i izolarea frânarii electrodinamice. 
The direct cause of the incident was the un-controlled increase of the speed of TEM no.1322-2322, generated by the application of an electric traction effort on the train electromotors, it generating the impossibility to adapt the speed of the rake of vehicles at the distance line for shunting._x000D_
The contributing factors was the improper processing in the software logic of the next information: _x000D_
?	use like reference only of the sense imposed by the active driving cabin R2 of TEM. The software logic according which the reference of the active driving cab was priority for the reading sense from the bogie sensors led to the wrong interpretation of the real moving sense of TEM._x000D_
?	wrong working of the device dead man in hauling condition, missing a sound warning before an emergency brake application, it being not in accordance with the digram of operation in the Driver Manual at chapter 4.4.6 Operation of the Driver Surveillance Device;_x000D_
?	keeping in operation of the electric brake, when the service brake being off from the panel TCMS. With the isolation from TCMS of the service brake (consisting in the electric brake and the pneumatic one), made by the human operator, the electric brake was not isolated.</t>
  </si>
  <si>
    <t>Cauze subiacente_x000D_
În cazul acestui incident, nu au fost identificate cauze subiacente. _x000D_
Cauza primara o constituie absen?a din Manualul Mecanicului a unor reglementari adecvate,  referitoare la modul în care se face operarea în regimul de remorcare cu o garnitura cuplata de tip BM3-CAF cu locomotiva de manevra. 
Underlying causes_x000D_
None. _x000D_
 _x000D_
Root cause was the lack in the Driver Manual of some proper regulations regarding the working in hauling conditions of a rake of vehicles type BM3-CAF with a shunting locomotive.</t>
  </si>
  <si>
    <t>CZ-5905</t>
  </si>
  <si>
    <t>Train derailment, 27-01-19, Lovetín operating control point (Czech Republic)</t>
  </si>
  <si>
    <t>Collision of the regional passenger train No. 21240 with a broken tree branch with consequent derailment while driving back through the switch Sv7.</t>
  </si>
  <si>
    <t>Lovetín operating control point</t>
  </si>
  <si>
    <t>Direct cause:_x000D_
•unauthorized change of direction of the regional passenger train No. 21240 movement after a previous stop in the area of the switch Sv 7 with turned on self-returning activity._x000D_
_x000D_
Contributory factor:_x000D_
•failure to completion of the regional passenger train No. 21240 ride through the switch Sv 7 with turned on self-returning activity from the track on which is not the switch rebuilt in the preferred position, due to an obstacle in the traffic route – broken tree branch, which it not allowed ride of train in original direction.</t>
  </si>
  <si>
    <t>Underlying cause:_x000D_
•failure to compliance of the technological procedures of the IM and RU by the train driver related with wrongly evaluation incurred situation after collision of the regional passenger train No. 21240 with a broken tree branch._x000D_
_x000D_
Root cause:none.</t>
  </si>
  <si>
    <t>RO-5903</t>
  </si>
  <si>
    <t>Train derailment, 27-01-19, Ludus-Sarmasel (Romania)</t>
  </si>
  <si>
    <t>the third bogie of the diesel multiple unit AMX 1704 that composed the passenger train no.16300 derailed in open line between Ludus and Sarmasel railway stations</t>
  </si>
  <si>
    <t>Ludus-Sarmasel</t>
  </si>
  <si>
    <t>Regio Calatori</t>
  </si>
  <si>
    <t>Cauza directa a producerii acestui accident o constituie escaladarea flancului activ al ciupercii ?inei de pe firul exterior al curbei de catre roata atacanta a boghiului nr.3  (boghiul numarul 1 al vagonului remorca), situata pe partea dreapta în sensul de mers al automotorului  AMX nr.1704, ca urmare a cre?terii raportului dintre forta conducatoare ?i sarcina ce actiona pe aceasta roata, depasindu-se astfel limita de stabilitate la deraiere._x000D_
Cre?terea raportului dintre forta conducatoare ?i sarcina ce actiona pe roata atacanta s-a produs în condi?iile descarcarii puternice de sarcina a ro?ii din partea dreapta a osiei conducatoare ?i a cre?terii for?ei laterale (de ghidare) pe aceasta roata._x000D_
Factorii care au contribuit_x000D_
Starea tehnica necorespunzatoare a caii generata de defecte la ecartament, nivel transversal ?i direc?ia caii în curba. 
The direct cause of the accident was the climbing of the gauge face of the exterior curve rail by the leading wheel of the bogie no.3 (the bogie no. 1 of the trailer vehicle), situated on the right running site of the diesel multiple unit  AMX no.1704, following the increase of the ratio between the guiding force and the load acting on this wheel, so exceeding the derailment stability limit._x000D_
The increase of the ratio between the guiding force and the load acting on the leading axle hap-pened following the serious load transfer of the right wheel from the leading axle and following the increase of the lateral force (guiding one) on this wheel._x000D_
Contributing factors_x000D_
Unsuitable technical condition of the track generated by failures at the gauge, cross level and track direction into the curve.</t>
  </si>
  <si>
    <t>Cauzele subiacente _x000D_
Cauzele subiacente ale producerii acestui accident au fost: nerespectarea unor prevederi din instruc?iile ?i regulamentele în vigoare cu privire la mentenan?a caii:_x000D_
–	Instruc?ia de norme ?i toleran?e pentru construc?ia ?i între?inerea caii - linii cu ecartament normal - nr.314/1989”, Art.1,al. 14.2,  referitor la toleran?ele admise la ecartament ?i varia?ia acestuia;_x000D_
–	„Instruc?ia de norme ?i toleran?e pentru construc?ia ?i între?inerea caii - linii cu ecartament normal - nr.314/1989”, Art.7. A.1 referitor la toleran?ele admise la nivelul transversal prescris al unui fir fa?a de celalalt al caii, atât în aliniament cât ?i în curba;_x000D_
–	Art. 7.A.4, din „Instruc?ia de norme ?i toleran?e pentru construc?ia ?i între?inerea caii - linii cu ecartament normal - nr.314/1989”, referitor la toleran?ele admise pentru torsionarea caii masurate în baza de 2,5 m în func?ie de vitezele de circula?ie;_x000D_
–	„Instruc?ia de norme ?i toleran?e pentru construc?ia ?i între?inerea caii - linii cu ecartament normal - nr.314/1989”, Art.B.4,  referitor la toleran?ele admise la pozi?ia caii în plan, respectiv sage?ile prescrise în curbele de racordare;_x000D_
–	art.25, alin.(2) ?i (4) din „Instruc?ia de norme ?i toleran?e pentru construc?ia ?i între?inerea caii pentru linii cu ecartament normal nr.314/1989”, referitoare la defectele care impun înlocuirea traverselor de lemn ?i la neadmiterea men?inerii în cale a traverselor necorespunzatoare;_x000D_
–	Anexa IV din Instruc?ia de între?inere a cailor ferate – Nr. 300/1982, referitoare la respectarea ciclurilor de repara?ie periodica ?i între?inere curenta;_x000D_
–	Cap. I, Art. 3, a) din „Instruc?iuni pentru lucrarile de repara?ie capitala a liniilor de cale ferata-Nr. 303, Ed. 2003._x000D_
Cauze primare_x000D_
Nu au fost identificate cauze primare. 
Underlying causes _x000D_
The underlying causes of this accident were: violation of some provisions from the instructions and regulations in force regarding the track maintenance:_x000D_
–	„Instruction of norms and tolerances for the track construction and maintenance – lines with standard gauge - no.314/1989”, art.1, paragraph 14.2, regarding the tolerances accepted for the gauge and its variation;_x000D_
–	„Instruction of norms and tolerances for the track construction and maintenance – lines with standard gauge - no.314/1989”, art.7, A.1 regarding the tolerances accepted for the prescribed cross level of a rail against the another one of the line, both for the straight line and for the curved ones;_x000D_
–	Art. 7.A.4, from „Instruction of norms and tolerances for the track construction and maintenance – lines with standard gauge - no.314/1989” regarding the tolerances accepted for the track twist measured every 2,5 m, according to the running speeds;_x000D_
–	“Instruction of norms and tolerances for the track construction and maintenance – lines with standard gauge - no.314/1989”, art.B.4, regarding the tolerances accepted for the plane track position, respectively the prescribed versine in the connection curves;_x000D_
–	art.25, paragraphs (2) and (4) from „Instruction of norms and tolerances for the track construc-tion and maintenance – lines with standard gauge - no.314/1989”, regarding the failures that impose the replacement of the wooden sleepers and non-keeping within the track of unsuitable sleepers;_x000D_
–	Annexes IV from the Instruction for the line maintenance – No. 300/1982, regarding the meeting with the cycles of periodical repair and current maintenance;_x000D_
–	Chapter I, art. 3, a) from the „Instruction for line overhauls - no. 303, edition 2003._x000D_
Root causes_x000D_
None.</t>
  </si>
  <si>
    <t>PT-5954</t>
  </si>
  <si>
    <t>Rolling stock events, 31-01-19, Near Afife halt (Portugal)</t>
  </si>
  <si>
    <t>While a 592 series d.m.u. was travelling, there was a malfunction on the torque transmission and the diesel engine fell to the track. 
Avaria na cadeia cinemática da UTD 592.060 resultando no desprendimento e queda de componentes à via.</t>
  </si>
  <si>
    <t>Near Afife halt</t>
  </si>
  <si>
    <t>The most probable direct cause of the accident was the complete fracture of the cardan shaft that transmits the torque of the diesel engine to the hydraulic gearbox._x000D_
This fracture caused the diesel engine to run unbalanced, with high and alternating eccentric forces on its output shaft, which resulted in the failure of the motor support on that side and in the inevitable partial fall of the engine to the track.</t>
  </si>
  <si>
    <t>It was concluded that the fracture of the cardan shaft resulted from the propagation of a fatigue crack in the steel, caused by the incorrect repair of an older crack during a regular reconditioning operation on that component._x000D_
As the crack that gave rise to the fracture was hidden under a dynamic balancing counterweight, the procedure used by the ECM in the regularly performed magnetic particle inspection of the shaft did not allow detection of that anomaly, revealing that it was not appropriate to ensure the proper identification of cracks under the counterweight plates._x000D_
The ECM contracts the reconditioning and balancing operations of the cardan shafts to service providers, which leads to the conclusion that its quality control processes for work performed by these service providers had shortcomings which resulted in insufficient assurance that inadequate working methods were not used on welding and cracks repairs._x000D_
Finally, the ECM procedures for tracking cardan shaft history and analysing recorded failures also did not allow for the exploration of symptoms resulting from previous similar failures.</t>
  </si>
  <si>
    <t>RO-5906</t>
  </si>
  <si>
    <t>Other event, 31-01-19, Valea Viseului- Leordina (Romania)</t>
  </si>
  <si>
    <t>The passenger train no.4111 derailed between Valea Viseului and Leordina railway station after it has hit rocks that has fallen on the track</t>
  </si>
  <si>
    <t>Valea Viseului- Leordina</t>
  </si>
  <si>
    <t>Cauza directa a producerii evenimentului feroviar o constituie impactul dintre o bucata de stânca desprinsa din versantul stâncos din zona km 10+100-10+475 aflat pe partea dreapta a liniei curente dintre sta?ia CFR Valea Vi?eului ?i halta de mi?care Leordina, care rostogolindu-se înspre calea ferata a patruns în gabaritul de libera trecere ?i a intrat în coliziune, aproximativ la km 10+342, cu locomotiva de remorcare, locomotiva rota?a ?i primele doua vagoane din compunerea trenului de calatori nr.4111-2._x000D_
În urma impactului locomotivele trenului au fost avariate, iar primele doua vagoane au fost avariate ?i au deraiat._x000D_
_x000D_
Factorii care au contribuit la producerea evenimentului:_x000D_
-	neexecutarea lucrarilor de îndepartare a buca?ilor de stânci ?i pietre din spa?iul delimitat de versantul stâncos ?i cavalierul de protec?ie. 
The direct cause of the railway event was the impact between  a piece of rock detached from the rocky slope at km 10+100-10+475, on the right side of the running line, between Valea Vi?eului and Leordina railway stations, which  rolling towards the line, entered the structure clearance and hit, at about km 10+342, the hauling locomotive, the inactive locomotive and first two wagons of the  passenger train no. 4111-2. _x000D_
After the impact, the locomotives were damaged, also first two wagons were damaged and derailed. _x000D_
After the impact, the locomotives were damaged, also first two wagons were then derailed. _x000D_
Contributing factors:_x000D_
- lack of works of removing the pieces of rocks and stones from the space delimited by the rocky slope and the protection berm.</t>
  </si>
  <si>
    <t>Cauza subiacenta_x000D_
-	Nerespectarea prevederilor art.9 din Instruc?iuni pentru preîntâmpinarea ?i combaterea inunda?iilor ?i apararea împotriva ac?iunii ghe?urilor nr.312/2001, referitoare la stabilirea de catre comisia din cadrul Sucursalei Regionale CF Cluj a lucrarilor de între?inere care se pot executa pentru îmbunata?irea situa?iei locale existenta la punctul periculos de categoria a II-a aflat pe partea dreapta a liniei curente dintre sta?ia CFR Valea Vi?eului ?i halta de mi?care Leordina, în zona km 10+100-10+475._x000D_
_x000D_
Cauza primara_x000D_
1.	Neaplicarea în integralitatea ei, de catre administratorul infrastructurii feroviare publice, a cerin?ei F.2 din Regulamentul (UE) nr.1169/2010 privind o metoda de siguran?a comuna pentru evaluarea conformita?ii cu cerin?ele pentru ob?inerea autoriza?iei de siguran?a feroviara, prin care administratorul de infrastructura trebuie sa garanteze, ca personalul caruia i s-au dat responsabilita?i în cadrul organiza?iei de?ine ?i resursele adecvate pentru îndeplinirea sarcinilor. 
Violation of the provisions of the art.9 of the Instructions for prevention and fighting of floods and protection against the frost action no.312/2001, regarding the establishment by the commission within the Railway County Cluj of the maintenance works that can be performed to improve the existing local situation at the dangerous point,  category II,  which was located on the right side of the current line between the railway stations  Valea Vi?eului and  Leordina, km 10 + 100-10 + 475._x000D_
_x000D_
Root causes_x000D_
1.Non-application, completely, by the public railway infrastructure manager, of the requirement F.2 of Regulations (EU) no. 1169/2010, regarding a common safety method for assessing the compliance with the requirements for obtaining the railway safety authorization, through which the infrastructure administrator must guarantee that the staff entrusted with responsibilities within the organization also have the adequate resources for carrying out the tasks.</t>
  </si>
  <si>
    <t>RO-5939</t>
  </si>
  <si>
    <t>Train derailment, 02-03-19, Augustin - Racos (Romania)</t>
  </si>
  <si>
    <t>the locomotive EA 014 that hauled the passenger train no.3501 derailed  by the first bogie, in open line between railway stations Augustin and Racos</t>
  </si>
  <si>
    <t>Augustin - Racos</t>
  </si>
  <si>
    <t>Cauza directa a producerii acestui accident o constituie caderea ro?ii din partea stânga a osiei nr.6 a locomotivei, în interiorul caii, ca urmare a cre?terii ecartamentului peste valoarea maxima admisa._x000D_
Factorii care au contribuit la producerea acestui accident au fost:_x000D_
Starea necorespunzatoarea a traverselor de lemn care nu asigurau prinderile ?ina-traversa 
The direct cause of the accident was the fall of the left wheel from the axle no.6 of the locomotive, inside the track, following the increase of the gauge over the maximum accepted value._x000D_
	Contributing factors:_x000D_
Unsuitable condition of the wooden sleepers that did not ensure the fastening rail-sleeper.</t>
  </si>
  <si>
    <t>Cauze subiacente _x000D_
Cauzele subiacente ale producerii acestui accident au fost: nerespectarea unor prevederi din instruc?iile ?i regulamentele în vigoare cu privire la mentenan?a caii:_x000D_
–	Art.25, alin.(2) ?i (4) din „Instruc?ia de norme ?i toleran?e pentru construc?ia ?i între?inerea caii pentru linii cu ecartament normal nr.314/1989”, referitoare la defectele care impun înlocuirea traverselor de lemn ?i la neadmiterea men?inerii în cale a traverselor necorespunzatoare;_x000D_
–	Art.1,al. 14.2, din „Instruc?ia de norme ?i toleran?e pentru construc?ia ?i între?inerea caii - linii cu ecartament normal - nr.314/1989”, referitor la toleran?ele admise la ecartament ?i varia?ia acestuia;_x000D_
Cauza primara _x000D_
Nu a fost identificata cauza primara. 
Underlying causes _x000D_
The underlying causes of the accident were: violation of some provisions from the instructions and regulations in force regarding the track maintenance:_x000D_
–	art.25, paragraphs (2) and (4) from „Instruction of norms and tolerances for the construction and maintenance of the track for lines with standard gauge no.314/1989”, regarding the failures that impose the replacement of the wooden sleepers and non-acceptance within the track of unsuitable sleepers;_x000D_
–	art.1, point 14.2, from „Instruction of norms and tolerances for the construction and maintenance of the track for lines with standard gauge no.314/1989”, regarding the tolerances accepted for the gauge and its variation;_x000D_
_x000D_
Root cause _x000D_
None.</t>
  </si>
  <si>
    <t>RO-5940</t>
  </si>
  <si>
    <t>Train derailment, 02-03-19, Savarsin (Romania)</t>
  </si>
  <si>
    <t>the first axle of the locomotive EA 689 that hauled the passenger train 74-1 derailed in Savarsin railway station, on passing to the switch no.18 from the railway station</t>
  </si>
  <si>
    <t>Savarsin</t>
  </si>
  <si>
    <t>Cauza directa a producerii accidentului o constituie escaladarea flancului activ al ciupercii ?inei de legatura de pe firul exterior al curbei schimbatorului de cale nr. 18 din sta?ia Savâr?in dupa expedierea trenului 74-1 ca urmare a depa?irii valorii limitei de stabilitate la deraiere Y/Q concomitent cu cre?terea unghiului de atac la ro?ile din partea dreapta a primului boghiu în sensul de mers a locomotivei EA689 la calcâiul macazului nr. 18 din sta?ia Savâr?in dupa expedierea trenului 74-1._x000D_
Depa?irea valorii limitei de stabilitate la deraiere Y/Q s-a produs în condi?iile depa?irii valorii maxime admise a nivelului în profil transversal pentru aparatele de cale pentru liniile de primiri-expedieri ceea ce a dus la descarcarea par?iala de sarcina a ro?ilor din partea dreapta a ale primului boghiu în sensul de mers favorizând ca?ararea buzei ro?ilor pe flancul interior al ?inei din partea dreapta; _x000D_
Cre?terea unghiului de atac la ro?ile din partea dreapta a primului boghiu în sensul de mers a locomotivei EA689 s-a produs ca urmare a varia?iei neconforme a ecartamentului peste limita maxima admisa._x000D_
Factori care au contribuit_x000D_
?	descarcarea de sarcina a ro?ilor din partea dreapta ale primelor doua osii sub limita admisa ca urmare a depa?irii valorii maxime admise a nivelului în profil transversal pentru aparatele de cale pentru liniile de primiri-expedieri;_x000D_
?	varia?ia neconforma a ecartamentului pe zona macazului nr. 18 din sta?ia CFR Savâr?in, fapt care a generat marirea unghiului de atac a ro?ii atacante a locomotivei EA689. 
The direct cause of the accident is the climbing of the gauge face of exterior closure rail  from the curve of the switch no. 18 from the railway station Savâr?in after dispatching the train  74-1, following the exceeding of the  derailment stability limit Y/ Q simultaneously the  increase of the attack angle  at the right wheels from the first bogie in the running direction of the locomotive EA689 at the heel of switch  no. 18 from the railway station Savâr?in  after dispatching the train 74-1._x000D_
              The exceeding of the value of the stability limit at derailment Y/ Q occurred under the conditions of exceeding the maximum permissible value of the level in cross section for the railway turnouts for the receiving-dispatch lines, which led to the partial load discharging  of the wheels on the right side of the first bogie in the direction of running, favouring the climbing of the wheels  flange on the gauge face of the rail on the right side;_x000D_
_x000D_
              The increase of the attack angle at the right wheels of the first bogie in the running direction of the locomotive EA689 occurred as a result of the non-conforming variation of the track gauge over the maximum accepted limit._x000D_
_x000D_
Contributing factors_x000D_
?	the load transfer of the right wheels from first two axles under the permissible limit, as a result of exceeding the maximum permissible value of the cross level of the railway turnouts for the reception-dispatching lines;_x000D_
?	the non-conforming variation of the track gauge on the switch no. 18 from the railway station Savâr?in, which resulted in an increase of the attack angle of the leading wheel from the locomotive EA689.</t>
  </si>
  <si>
    <t>.    Neaplicarea prevederilor procedurii opera?ionale cod PO SMS 0-4.07 „Respectarea specifica?iilor tehnice, standardelor ?i cerin?elor relevante pe întreg ciclul de via?a a liniilor în procesul de între?inere”, parte a sistemului de management al siguran?ei a administratorului de infrastructura feroviara publica CNCF „CFR” SA, referitoare la:_x000D_
- executarea lucrarilor de între?inere ?i repara?ie a liniilor de cale ferata;_x000D_
- dimensionarea personalului Districtului de linii nr.6 Savâr?in, în raport cu volumul de lucrari necesare de executat în cadrul activita?ii de între?inere curenta a infrastructurii feroviare; 
Underlying causes_x000D_
Violation of the provisions of art.1, point 14.1 from the Instruction no.314 / 1989 regarding the variation of the deviations from the nominal prescribed gauge_x000D_
Root causes _x000D_
Violation of the provisions of art.1, point 14.1 from the Instruction no.314 /1989 regarding the variation of the deviations from the nominal prescribed gauge</t>
  </si>
  <si>
    <t>RO-5912</t>
  </si>
  <si>
    <t>Train derailment, 05-02-19, Toplet (Romania)</t>
  </si>
  <si>
    <t>the second bogie from the 7th wagon of the freight train no.80676-1 derailed in Toplet railway station</t>
  </si>
  <si>
    <t>Cauza directa ?i factorii care au contribuit_x000D_
Cauza directa a producerii accidentului o constituie parasirea suprafe?ei de rulare a ?inei de pe firul interior al curbei aflate pe linia 3 de catre prima roata din partea dreapta  a celui de-al 2-lea boghiu al celui de-al 7-lea vagon din compunerea trenului ?i caderea acesteia în interiorul caii. Acest lucru s-a produs în condi?iile în care starea tehnica a traverselor de lemn din zona accidentului era necorespunzatoare, permi?ând cre?terea ecartamentului caii peste valoarea maxima admisa, sub ac?iunea for?elor transmise de materialul rulant în mi?care.  _x000D_
Factori care au contribuit:_x000D_
-	existen?a a 6 traverse de lemn necorespunzatoare la rând, pe zona producerii deraierii, care nu mai asigurau prinderea placilor metalice la exteriorul curbei, permi?ând deplasarea acestora în sensul cre?terii ecartamentului. 
Direct cause, contributing factors_x000D_
The direct cause of this railway accident consists of the leaving of the running surface of the inner rail of the curve from the track 3 by the first right wheel from the second bogie of the 7th wagon and its fall inside the track. This occurred because the unsuitable technical condition of the wooden sleepers at the accident site, allowing the increase of the track gauge over the maximum accepted value, under the action of the forces transmitted by rolling stock in movement. _x000D_
Contributing factors:_x000D_
-the existence of 6 unsuitable wooden sleepers, one after another, in the derailment area, which no longer ensured the fastening of the metallic plates outside the curve, allowing their movement in the direction of the track gauge increase.</t>
  </si>
  <si>
    <t>Cauze subiacente _x000D_
?	nerespectarea prevederilor art.25, pct. 2 ?i 4 din „Instruc?ia de norme ?i toleran?e pentru construc?ii ?i între?inerea caii pentru linii cu ecartament normal” - nr.314/1989, referitoare la defectele care impun înlocuirea traverselor de lemn, respectiv la neacceptarea men?inerii în cale a unor traverse necorespunzatoare, în anumite condi?ii._x000D_
Cauze primare_x000D_
-	neaplicarea tuturor prevederilor procedurii opera?ionale cod PO SMS 0-4.07 „Respectarea specifica?iilor tehnice, standardelor ?i cerin?elor relevante pe întreg ciclul de via?a a liniilor în procesul de între?inere”, parte a sistemului de management al siguran?ei al administratorului de infrastructura feroviara publica CNCF „CFR” SA, referitoare la executarea lucrarilor de între?inere ?i repara?ii periodice ale liniilor de cale ferata. 
Underlying causes_x000D_
-violation of the provisions of art. 25, points 2 and 4, from  the “Instruction of norms and tolerances for construction and maintenance lines with standard gauge” - no.314 / 1989, regarding the failures which impose the replacement of the wooden sleepers, respectively the non-keeping within the track of some inappropriate sleepers, under certain conditions._x000D_
Root causes_x000D_
-non-application of all the provisions of the operational procedure code PO SMS 0-4.07 "Compliance with the relevant technical specifications, standards and requirements throughout the life time of the lines in the maintenance process", part of the safety management system of the public railway infrastructure administrator CNCF "CFR ”SA, regarding the execution of the maintenance and periodic repairs of the lines.</t>
  </si>
  <si>
    <t>DE-5910</t>
  </si>
  <si>
    <t>Fire in RS, 06-02-19, Unkel (Germany)</t>
  </si>
  <si>
    <t>Am 06.02.19 um ca. 23:30 Uhr wird von einem Gegenzug ein Brand am DGS 59970 der Notfallleitstelle gemeldet. Der DGS 59970 wird auf Gleis 2 im Bf Unkel angehalten. DGS 59970 war in Süd-Nord-Richtung unterwegs, von Gunzenhausen nach Langenfeld, VzG 2324 (Köln – Wiesbaden), Fahrzeuge stehen im Gleis 2 im Bf Unkel.
Ende der Löscharbeiten erst um ca. 7:30 Uhr. 
On 06.02.19, at about 23:30, a fire at DGS 59970 has been reported from an opposite train to the emergency control center. The DGS 59970 had been stopped on rail track 2 at the railway station Unkel. The DGS 59970 was travelling in south-north direction, from Gunzenhausen to Langenfeld, Register of authorized speed 2324 (Köln – Wiesbaden), the vehicles were standing on rail track 2 at the railway station Unkel.
End of extinguishing work at about 7:30.</t>
  </si>
  <si>
    <t>Unkel</t>
  </si>
  <si>
    <t>BayernBahn Betriebsgesellschaft mbH</t>
  </si>
  <si>
    <t>Es entstand erheblicher Sachschaden an mehreren Schienenfahrzeugen und deren Ladung sowie an den Infrastrukturanlagen. Zwei Wagenteile und deren Ladung wurden durch den Brand völlig zerstört bzw. stark beschädigt. Infolge des Ereignisses kam es zu massiven Beschädigungen an Anlagen der Leit- und Sicherungstechnik und der bautechnischen Infrastruktur.</t>
  </si>
  <si>
    <t>Ereignisursächlich war eine feste Bremse am 13. Wagen des DGS 59970. Durch diese kam es zum Funkenflug in Richtung des Bodenbleches des Güterwagens, wodurch dieses stark erhitzt wurde. Durch die Wärmeleitung über das Bodenblech erfolgte anschließend eine Erhitzung der auf diesem Wagen transpor􀆟erten Pale􀆩en mit Hygienear􀆟keln, bis sich diese entzünde-ten.</t>
  </si>
  <si>
    <t>UK-5926</t>
  </si>
  <si>
    <t>Level crossing accident, 06-02-19, Tibberton No:8 Footpath Crossing (United Kingdom)</t>
  </si>
  <si>
    <t>At around 09:55 hrs on 6 February 2019, a member of the public crossing the railway lines at Tibberton No. 8 footpath crossing near Worcester was hit by an approaching train travelling from Nottingham to Cardiff. The train was travelling at 99 mph (158 km/h) and the member of the public sustained fatal injuries._x000D_
Evidence indicates that another train travelling in the opposite direction had passed the crossing shortly before. The member of the public had been waiting at the crossing for the passage of that train. He then started to cross seemingly unaware that another train was approaching. The weather at the time of the accident was foggy.</t>
  </si>
  <si>
    <t>Tibberton No:8 Footpath Crossing</t>
  </si>
  <si>
    <t>3 The pedestrian, unaware of the approaching train, started to cross the railway when there was insufficient time for him to get to a position of safety on the other side (paragraph 58).</t>
  </si>
  <si>
    <t>Causal factors_x000D_
114 The causal factors were:_x000D_
a) Because of the fog, the approaching train was not visible until it was three to four seconds away from the crossing (paragraph 62, no recommendation)._x000D_
b) Regardless of the weather conditions, the approaching train could not be heard until it was three to four seconds away from the crossing (paragraph 68, no recommendation)._x000D_
c) The risk associated with foggy weather conditions had not been mitigated at this crossing (paragraph 83, Recommendation 1)._x000D_
Underlying factor_x000D_
115 Network Rail was not actively managing the risk associated with fog at its passive crossings (paragraph 95, Recommendation 1).</t>
  </si>
  <si>
    <t>SE-5922</t>
  </si>
  <si>
    <t>Trains collision, 07-02-19, Helsingborg (Sweden)</t>
  </si>
  <si>
    <t>Collision between railway vehicles._x000D_
_x000D_
A train would be shunted from one track to another. The train driver called the signallerand was told that the shunting signal would be set in "movement authorised". The driver started driving and he perceived that the shunting signal to the main signal and the following signal 116 showed " movement authorised ". Once he had passed the main signal, he discovered that the signal 116 showed "stop" and that the switch was in the wrong direction. He then stopped and called the signaller. The shunting train had already passed the main signal and reached the train path for an arriving commuter train. The commuter train and the shunting train collided with the right part of the fronts against each other, including damage to both trains. on windows, brakes and shafts. 103passengers were evacuated. Some of the passengers suffered minor injuries</t>
  </si>
  <si>
    <t>Helsingborg</t>
  </si>
  <si>
    <t>ISS Facility Services AB</t>
  </si>
  <si>
    <t>According to the SHK the accident was caused by the fact that the shunter had perceived that he had been given permission to start the shunting in shunting signal 110, which led to the fact that the shunting movement passed the shunting signal and consequently intruded on the train route of the passenger train.</t>
  </si>
  <si>
    <t>A contributing cause to the shunter’s perception was an ambiguous communication between the shunter and the signaller. An additional contributing cause was deficiencies in the shunter’s attention due to the performing of distracting tasks.  An underlying deficiency at a systemic level is that shunting is performed without any physical or technical safety system. Furthermore, the investigation shows that there is a potential for improvement in the Swedish Transport Administration’s application of the process of handling accidents, incidents or discrepancies.</t>
  </si>
  <si>
    <t>ES-5925</t>
  </si>
  <si>
    <t>Trains collision, 08-02-19, Castellgalí (Spain)</t>
  </si>
  <si>
    <t>Frontal collision of a commuter train and a regional train. The regional train had been dispatched through a wrong track, in the opposite direction, from Manresa station.</t>
  </si>
  <si>
    <t>Castellgalí</t>
  </si>
  <si>
    <t>Serious damages in both trains, minor damages on tracks</t>
  </si>
  <si>
    <t>1. The direct cause of the collision was the entrance of train 15624 into the block section #3019 of track #1. Train 15624 was incorrectly running against the normal direction of travel for track #1, and it entered the block section #3091 already occupied by train 28043 running in the right direction.
2. Train 15624 was incorrectly running in the wrong direction as it was unexpectedly routed at Manresa Station onto track #1, because the crossover 21&amp;23 was wrongly set in diverted position.
3. The crossover 21&amp;23 was wrongly set in diverted position since the change of position (from diverted to normal) ordered from the control panel at Manresa station did not actually happen, because the button was not held long enough to trigger the movement. This also resulted in a loss of the electrical detection both at Manresa Station and the CTC [SEE RECOMMENDATION # 1.1].
4. The local signaller at Manresa station was not aware that the crossover 21&amp;23 was wrongly set in diverted position, as he neither checked whether the exit signals on the same side were clear, nor double-checked the exit route, as prescribed by Spain’s Railway Traffic Regulations (Reglamento de Circulación Ferroviaria, hereafter referred as RCF; article 4.2.1.3, point 2, paragraphs a and b) for the dispatching of trains from platforms lacking an exit signal [SEE RECOMMENDATION # 1.2].
5. When the “approaching train” alarm and the track occupancy lights of the control panel were triggered, the CTC dispatcher did not realize they were actually caused by train 15624 running incorrectly on track #1 against the normal direction of travel.
6. At Manresa station, the train 15624 was routed onto track #1 and continued its journey in the wrong direction, unprotected by the track blocking system, and without the required authorization (L.4.32), according to the RCF (article 4.4.3.5) and Renfe (RU) Driver’s Rule Book (article 4.5.3.2).
7. Despite the fact the train driver did not get authorization (as required by the driving rules) for a wrong-direction movement (L.4.32), he did not seem to understand the associated risks of that, so he neither stopped the train immediately nor contacted the Control Centre (CTC), as prescribed by article 3.2.1.3, point 2 of Renfe (RU) Driver’s Rule Book [SEE RECOMMENDATION # 4].
8. The CTC dispatcher responsible for Manresa section failed to realize that occupancy changes in track #1 (against the normal direction) were caused by the train 15624 running in the wrong direction on that track. The CTC dispatcher tried to figure out what was causing that occupancy, but failed to check properly the movement of trains within the area under her responsibility (as prescribed by point 2.a, article 4.1.3.1 of RCF).
9. Neither the departure of train 15624 nor the changes in the departure schedule for trains 25056 and 15624 were reported to the CTC by the local signaller at Manresa, as prescribed by the rules of IM (Adif NAR no. 6/18 Standard), until some minutes after the departure of train 15624 [SEE SAFETY RECOMMENDATION # 3].</t>
  </si>
  <si>
    <t>10. The signaller at Manresa did not check that the exit route was correctly set and clear, by opening an exit signal on the same side as prescribed by procedures. This shows he underestimated the risks of such action, given that the interlocking requirements for the dispatch of trains in the normal direction of traffic cannot be guaranteed if there is not a clear signal. That means that prescriptions in article 4.2.1.3, point 2, paragraph a) of the RCF were not observed [SEE RECOMMENDATION # 6.1].
11. The local signaller at Manresa station did not fully check the outbound route, which shows an occasional carelessness in the application of the procedure for the dispatch of trains from tracks without an exit signal [SEE RECOMMENDATIONS # 1.1 and 1.2].
12. The driving of driver of the train 15624 when running on track #1 against its normal direction of travel might indicate an insufficient knowledge and experience on the procedures for opposite-direction movements [SEE RECOMMENDATIONS # 4 and 6.2].
13. Both traffic operators (the CTC dispatcher and the local signaller) were quite convinced that the observed track occupancy (caused by train 15624, actually) was a false occupancy of the track circuit, as it seemed to be the most likely explanation (much more likely than the routing of a train in the wrong direction by mistake). Neither train ID numbers nor the GUI (Graphic User Interface) of the CTC are valid for making safety-related decisions in those cases, where a train ID number is missing, or an unexpected track occupancy occurs.
Therefore, it is necessary to implement specific procedures for these situations [SEE RECOMMENDATION # 7].
14. The omission of the checking of the exit signal (see conclusion #10) had become an usual practice at Manresa station (thus non complying article 4.2.1.3, point 2, paragraph a) in the RCF). It seems that the risks associated with this practice were neither identified nor corrected by the SMS Monitoring and Surveillance procedures [SEE RECOMMENDATIONS # 6.1 and 6.2].
15. At Manresa station, it was necessary a special dispatching procedure for the departure of trains from track #1 (checking the signalling, issuing phone orders...) because the end of that track did not have an exit signal (direction Barcelona), despite the fact that Manresa is a transit station for intercity services and a terminus of the R4-line of Barcelona commuter rail network. In these circumstances, a procedure that should be exceptional was being applied on a daily basis [SEE RECOMMENDATIONS # 5 and 6.1].
16. Such special dispatching procedure (for trains departing from tracks without an exit signal) was difficultly applicable at Manresa station, because of its particular layout, that prevents the signaller from seeing the exit of the station. Instead, the procedure had been replaced by a different method, consisting of setting the route and clearing the signal R1 from the local panel. By doing this, it was possible to lock the exit route (ensuring the interlocking requirements), but it does not ensure the requirements for the release of the next block nor for the clearance of the first intermediate signal, as both conditions are necessary for the dispatching of trains under normal conditions [SEE RECOMMENDATION # 5].
17. The CTC interface allows the user to manually number trains with an ID number that had been already given to another train (previous cancellation of the existing number). This could be the reason why the CTC dispatcher gave number 28043 to train 15624 by mistake, not noticing it until she contacted the train 28043 driver [See RECOMMENDATION # 7]
18. In some cases, the track assignment at Manresa station was different from the planned track assignment, established in 2017. Therefore, trains that had to stay at the station for a long time were parked on track #4 instead of track #3 (as planned). Thus, on the day of the accident, track #4 was occupied by a train, as set by the signaller of the previous shift. This train had been parked there for a long time, which made necessary to route train 15624 onto track #1, with no exit signal.
19. The chain of errors shows that some aspects of the SMS need to be addressed (both in the IM and the RU):
• Training programs for traffic operators and train drivers [SEE RECOMMENDATIONS # 1.1, 1.2, 2, and 4].
• The supervision of staff involved in interlocking, locking, and driving activities [SEE RECOMMENDATIONS # 6.1 and 6.2].
• The upgrading of the equipment to meet the operational requirements and improve the safety conditions [SEE RECOMMENDATIONS # 5 and 7].
• The lack of formal procedures that define in a concrete way the duties of the local signallers and the CTC dispatchers [SEE RECOMMENDATION # 3].</t>
  </si>
  <si>
    <t>LV-5920</t>
  </si>
  <si>
    <t>Accident to persons caused by RS in motion, 08-02-19, Riga, Republic of Latvia (Latvia)</t>
  </si>
  <si>
    <t>The accident occured at 07:09 hrs on 08 february 2019. The railway security officer was struck by a regional train Nr 6504M and sufferred fatal injures.</t>
  </si>
  <si>
    <t>Riga, Republic of Latvia</t>
  </si>
  <si>
    <t>Joint-stock company "Pasažieru vilciens"</t>
  </si>
  <si>
    <t>Presence of bridge guard on the technological walk way close to railway during the movement of electric train</t>
  </si>
  <si>
    <t>Labor safety instruction for security employees No.6 (dated June 11, 2011) of “LDZ apsardze” Ltd. did not contain an action of bridge guards in the area of labor safety in cases, when, conducting a bridge inspection, movement of trains is going on simultaneously on the both ways of bridge the same direction and opposite direction; _x000D_
_x000D_
A dazzle from lightning elements of technological bridge walk ways and railway tracks, which disturbed train driver to see guard on the bridge.</t>
  </si>
  <si>
    <t>RO-5917</t>
  </si>
  <si>
    <t>Train derailment, 10-02-19, Saratel - Mariselu (Romania)</t>
  </si>
  <si>
    <t>the first two axles of the diesel multiple unit ADH 1421, that composed the passenger train no.13462 became derailed between Saratel and Mariselu railway stations.</t>
  </si>
  <si>
    <t>Saratel - Mariselu</t>
  </si>
  <si>
    <t>Cauza directa a producerii acestui accident o constituie escaladarea flancului activ al ciupercii ?inei de pe firul exterior al curbei de catre roata din partea dreapta a celei de-a doua osii, a celui de al treilea boghiu (în sensul de mers al trenului), de la rama diesel ADH 1421, ca urmare a cre?terii raportului dintre forta conducatoare ?i sarcina ce actiona pe aceasta roata, depasindu-se astfel limita de stabilitate la deraiere._x000D_
Cre?terea raportului dintre forta conducatoare ?i sarcina ce actiona pe aceasta roata s-a produs în condi?iile descarcarii puternice de sarcina a ro?ii din partea dreapta, a celei de-a doua osii (osia nr.6) de la boghiul nr.3 (în sensul de mers) ?i a cre?terii for?ei laterale (de ghidare) pe aceasta roata. _x000D_
Factorii care au contribuit la producerea accidentului:_x000D_
-	starea tehnica necorespunzatoare a caii datorata defectelor la nivel transversal ale caror valori depasesc toleran?ele admise;_x000D_
-	înal?imea pernelor de aer sub cotele admise;_x000D_
-	jocurile mecanice cu valori peste limitele admise la osia nr.6. 
The direct cause of the accident was the climbing of the gauge face of the curve exterior rail by the right wheel of the second axle from the third bogie (in the running direction of the train), from the diesel multiple unit ADH 1421, following the increase of the ratio between the guiding force and the load acting on this wheel, so exceeding the derailment stability limit._x000D_
The increase of the ratio between the guiding force and the load acting on this wheel happened following the serious load transfer of the right wheel, from the second axle (axle no.6) of the bogie no.3 (in the running direction) and following the increase of the lateral force (guiding one) on this wheel. _x000D_
Contributing factors:_x000D_
-	unsuitable technical condition of the track generated by the failures at the cross level, whose values exceed the accepted tolerances;_x000D_
-	height of the air cushions under the accepted quotas;_x000D_
-	mechanical clearances with values over the limits accepted at the axle no.6.</t>
  </si>
  <si>
    <t>Cauzele subiacente_x000D_
1) nerespectarea prevederilor art.7.A.1. din „Instruc?ia de norme ?i toleran?e pentru construc?ia ?i între?inerea caii pentru linii cu ecartament normal nr.314/1989”, referitoare la valorile tolerantelor nivelului transversal prescris al unui fir fata de celalalt;_x000D_
2) nerespectarea prevederilor art.7.A.4. referitoare la men?inerea în toleran?e a rampei torsionarii caii;_x000D_
3) nerespectarea prevederilor din „Instruc?ia 305 privind fixarea termenelor ?i a ordinei în care trebuie efectuate reviziile caii” edi?ia 1997, fisa nr.2, art.2; fi?a nr.3, art.2; fi?a nr.4, art.3;  referitoare la termenele la care se face revizia caii;_x000D_
4) nerespectarea Art.30  din Îndrumatorul mecanicului pentru exploatarea automotorului ADH11, privitor la verificarea încadrarii înal?imii pernelor de aer în limitele admise ?i reglajul acestora;_x000D_
5) nerespectarea prevederilor pct.3.1.din Normativul feroviar NF 67-006:2011, aprobat prin Ordinul ministrului transporturilor si infrastructurii 315/2011 actualizat, privind retragerea ramei diesel din serviciu pentru efectuarea reparatiilor planificate, fapt care a dus la nedepistarea jocurilor mecanice cu valori peste limitele admise ?i a pernelor de aer cu înal?ime în afara cotelor nominale admise;_x000D_
_x000D_
Cauze primare_x000D_
_x000D_
-	neîndeplinirea de catre operatorul de transport, a criteriului cu codul F.2 din Regulamentul (UE) nr.1158/2010, întrucât nu de?ine proceduri care sa garanteze, ca personalul caruia i s-au delegat responsabilita?i în cadrul organiza?iei de?ine resursele adecvate pentru îndeplinirea sarcinilor;_x000D_
-	neidentificarea riscurilor ?i a poten?ialelor consecin?e rezultate din ne?inerea sub control a pericolului rezultat din nerespectarea toleran?elor admise în exploatare pentru nivelul transversal al caii ferate;_x000D_
-	neidentificarea pericolului rezultat din neremedierea defectelor geometriei caii de gradul 3 ?i 4 înregistrate în urma verificarii liniilor cu vagonul de masurat calea;_x000D_
-	neidentificarea pericolului rezultat din mentenan?a necorespunzatoare a punctelor periculoase;_x000D_
-	neîndeplinirea criteriului cu codul L.1din Regulamentul 1158/2010 care prevede ca ar trebui sa existe proceduri în cadrul SMS al operatorului de transport, privitoare la cerin?ele de siguran?a relevante rezultate din condi?iile prescriptive:_x000D_
 (a) de identificare a cerin?elor de siguran?a relevante ?i de actualizare a procedurilor relevante pentru a reflecta schimbarile care le sunt aduse (managementul controlului schimbarilor);_x000D_
(b) de implementare a cerin?elor de siguran?a relevante;_x000D_
(c) de monitorizare a respectarii cerin?elor de siguran?a relevante;_x000D_
(d) pentru luarea de masuri în cazul în care se observa nerespectarea cerin?elor de siguran?a relevante._x000D_
pentru a garanta identificarea, colectarea ?i listarea rapida a cerintelor relevante incluse în normele tehnice pentru fiecare tip de material rulant ?i echipament de siguranta, în vederea actualizarii procedurilor si proceselor de siguranta._x000D_
- neîndeplinirea în totalitate a criteriului cu codul L.2 din Regulamentul 1158/2010 care prevede ca ar trebui sa existe în cadrul SMS al operatorului de transport proceduri pentru a garanta ca se utilizeaza documentele specifice adecvate, în scopurile prevazute;_x000D_
- neîndeplinirea criteriului cu codul P1 din Regulamentul 1158/2010 care prevede ca ar trebui sa existe în cadrul SMS al operatorului de transport, proceduri pentru a garanta ca toate informa?iile pertinente sunt precise, complete, coerente, u?or de în?eles, actualizate în mod adecvat ?i documentate în mod corespunzator;_x000D_
- lipsa din nomenclatorul de lucrari la revizia Rz ?i R7 a automotorului ADH11, a opera?iunii de verificare ?i reglare a cotelor referitoare la pernele de aer;_x000D_
- lipsa din nomenclatorul de lucrari la revizie a automotorului ADH11, a opera?iunii de cântarire ?i reglare a sarcinilor pe ro?i;_x000D_
- lipsa din nomenclatorul de lucrari la revizia automotorului ADH11, a opera?iunii de verificare ?i reglare a jocurilor mecanice care pot influen?a transferurile de sarcini între ro?i;_x000D_
- lipsa din specifica?ia tehnica de repara?ie accidentala a prevederilor privind efectuarea dupa repara?iile accidentale cu ridicare la automotorului ADH11, a opera?iunii de cântarire ?i reglare a jocurilor mecanice; 
Underlying causes_x000D_
1) violation of the provisions of art.7.A.1. from „Instruction of norms and tolerances for the track construction and maintenance for lines with standard gauge no.314/1989”, regarding the values of the tolerances of the cross level prescribed for a rail against the another one;_x000D_
2) violation of the provisions of art.7.A.4. regarding the keeping between the tolerances of the track twist gradient;_x000D_
3) violation of the provisions from „Instruction 305 regarding the setting of deadlines and order for the track inspection performance” edition 1997, sheet no.2, art.2; sheet no.3, art.2; sheet no.4, art.3;  regarding the deadlines for the performance of the track inspection;_x000D_
4) violation of Art.30 from the Driver guide for the operation of the multiple unit ADH11, regarding the checking of the air cushion height fall between the limits accepted and their adjustment;_x000D_
5) violation of the provisions of pct.3.1 from the Railway Norm NF 67-006:2011, approved by Order of Ministry of Transports and Infrastructure 315/2011 updated, regarding the withdrawal of the diesel multiple unit from service for the performance of the planned repairs, it leading to the failure of identification of the mechanical clearances with values over the limits accepted and of the air cushions with height out the nominal quotas accepted;_x000D_
_x000D_
Root cause_x000D_
-	the railway undertaking did not meet with the criterium code F.2 from the Regulations (UE) no.1158/2010, because it does not get procedures to guarantee that the staff, appointed with responsibilities within the organization, has the adequate resources for complying with the tasks;_x000D_
-	non-identification of the risks and of the possible consequences resulted from the failure of keeping under control the danger resulted from the not meeting with the tolerances accepted in operation for the track cross level;_x000D_
-	non-identification of the danger resulted from the non-settlement of the failures of the track geometry, level 3 and 4, recorded following the checking with the track geometry car;_x000D_
-	non-identification of the danger resulted from the improper maintenance of the dangerous points;_x000D_
-	not meeting with the criterium code L.1 from the Regulation 1158/2010 that stipulates that it ought to be procedures within the SMS of the railway undertaking, regarding the safety requirements relevant, resulted from the prescriptive conditions for:_x000D_
 (a) identification of the safety requirements relevant and updating relevant procedures to reflect changes made to them (change control management);_x000D_
(b) implementation of the safety requirements relevant;_x000D_
(c) monitoring of the compliance with the safety requirements relevant;_x000D_
(d) taking actions when non-compliance of the safety requirements relevant is identified. in order to guarantee the identification, collection and quick listing of the relevant requirements, included in the technical norms for each type of rolling stock and safety equipment, for the updating  the safety procedures and processes._x000D_
- partial meeting with the criterium code L.2 from the Regulations 1158/2010 that stipulates that it ought to be within the SMS of the railway undertaking procedures to guarantee that one use specific documents adequate, for the aims stipulated;_x000D_
- not meeting with the criterium code P1 from Regulations 1158/2010 that stipulates that it ougt to be, within SMS of the railway undertaking, procedures to guarantee that all information are pertinent, complete, coherent and easy to understand, updated properly and documented suitably;_x000D_
- lack in the work schedule of the inspections Rz and R7 at the diesel multiple unit ADH11, of the operation for the checking and adjustment of the air cushion quotas;_x000D_
- lack in the inspection schedule at the multiple unit ADH11, of the operation of weighing and adjusting of the loads on wheels;_x000D_
- lack in the inspection work schedule at the multiple unit ADH11, of the operation of checking and adjusting of the mechanical clearances that can influence the load transfer between the wheels;_x000D_
- lack in the technical specification for accidental repair of provisions for the performance of accidental repairs by lifting of the multiple unit ADH11, of the operation of weighing and adjusting of the mechanical clearances;</t>
  </si>
  <si>
    <t>BE-5965</t>
  </si>
  <si>
    <t>SPAD, 11/2/2019, Noorderkempen</t>
  </si>
  <si>
    <t>Signal C-W.12 passed at danger by train E15214.</t>
  </si>
  <si>
    <t>Noorderkempen</t>
  </si>
  <si>
    <t>SNCB/NMBS</t>
  </si>
  <si>
    <t>Switch 02W was run through and damaged.  No damages to rolling stock.</t>
  </si>
  <si>
    <t>The direct cause of the train running through switch 02W in Noorderkempen is the inability to stop train E15214 (ETCS 1) in time in rear of stop marker board C-W.12 on HSL 4 (ETCS 2 with fallback in ETCS 1), due to a combination of 3 factors:_x000D_
• Operating the help function SDG after the passage of the train at a balise. As a result, a new, more restrictive, MA is not imposed, and the braking curve is not modified;_x000D_
• Operating the help function NT before the conditions laid down for this purpose are met;_x000D_
• Failure of the train driver to react to an information from the movement agent (he follows the instructions on his DMI screen).</t>
  </si>
  <si>
    <t>The first indirect factor is the non-compliance with rules and instructions for operating the help functions SDG and NT by the movement agent:
• Operating the SDG for operational reasons;
• Not checking whether the train has come to a standstill;
• Entering incorrect data when operating the NT.
Because the help function NT is operated, it is possible to run through the switch. 
The second indirect factor is the train driver's failure to identify a doubtful situation in time.
Train drivers cannot be expected to react reflexively to situations that have not been experienced before and for which there are no instructions. 
The third indirect factor are the rash actions of the movement agent of the morning shift without the intervention of a supervisor during the shift change. 
The first system factor is the lack of clear and non-contradictory guidelines on 'urgently closing a signal’ for 'non-urgent reasons'.
The second system factor is the lack of clear guidelines on standardised conversations between movement agents and train drivers for closing a signal at the verbal request of the movement agent.
The third system factor is the fact that the RSEIF/VVESI and the RGE/ARE assume that train drivers and movement agents can determine the position of a train in a long section with sufficient accuracy. In the VVESI and ARE, as regards the HSL4, insufficient attention is drawn to the consequences of an 'early signal closing', taking into account the length of the 'long sections' specific to HSL4.
The fourth system factor is that for journeys to Noorderkempen station numerous early departures and numerous improper operations of the help functions SDG and NT are identified, without any measures being taken by the Infrastructure Manager.
The fifth system factor is that the audit, monitoring, and supervision processes provided by the Infrastructure Manager and by the supervisory authorities did not lead to the finding that operation in nominal mode ETCS1 was never regularised. 
The sixth system factor is a lack of traceability in the decision taken. Due to a lack of traceability, it is no longer possible to verify until when the ‘conditions’ were complied with and why they were no longer complied with. Due to a lack of traceability, it is also no longer possible to verify why the reference to ‘conditions laid down by the Infrastructure Manager’ as stated in the Ministerial Decree of 2008 was no longer mentioned.</t>
  </si>
  <si>
    <t>CZ-5918</t>
  </si>
  <si>
    <t>Train derailment, 15-02-19, Kamenice nad Lipou operating control point (Czech Republic)</t>
  </si>
  <si>
    <t>Derailment of one rolling stock of the regional passenger train No. 21221.</t>
  </si>
  <si>
    <t>Kamenice nad Lipou operating control point</t>
  </si>
  <si>
    <t>Direct cause:_x000D_
• not remove of device for securing the rolling stock against uncontrolled movement – the rail skate from the rail before the movement of the rolling stocks of the regional passenger train No. 21221._x000D_
_x000D_
Contributory factor: none.</t>
  </si>
  <si>
    <t>Underlying cause:_x000D_
• failure to technological procedures of the IM and RU._x000D_
_x000D_
Root cause: none.</t>
  </si>
  <si>
    <t>DE-5973</t>
  </si>
  <si>
    <t>Trains collision with an obstacle, 15-02-19, Augsburg Hbf (Germany)</t>
  </si>
  <si>
    <t>Am 15.02.2019 gegen 01:32 Uhr kollidierte der Güterzug DGS 44506 auf der Fahrt von Augs-burg Rbf Nord nach Antwerpen-Noord im Bahnhofsteil (B􀅌) Augsburg Rbf Nord mit einem Hemmschuh.</t>
  </si>
  <si>
    <t>CrossRail Benelux NV, DB Cargo AG</t>
  </si>
  <si>
    <t>Durch das Ereignis wurden keine Personen verletzt oder getötet. In der Folge entgleisten die letzten drei Wagen des Güterzuges. Hierdurch kam es zu erheblichen Beschädigungen an den Fahrzeugen und der gesamten Infrastruktur, wodurch Sachschäden in Höhe von ca. 3.130.000 € entstanden.</t>
  </si>
  <si>
    <t>Ursächlich für die Zugkollision war eine mangelhafte Zugvorbereitung. Der zur Sicherung der Fahrzeuge gegen unbeabsichtigte Bewegung untergelegte Hemmschuh wurde vor der Abfahrt des Zuges nicht ordnungsgemäß entfernt.</t>
  </si>
  <si>
    <t>Hemmschuh nicht entfernt.</t>
  </si>
  <si>
    <t>BG-5923</t>
  </si>
  <si>
    <t>Train derailment, 16-02-19, Plovdiv Station (Bulgaria)</t>
  </si>
  <si>
    <t>On 16.02.2019 International Freight Train ?48009 of Bulmarket Rail Cargo EOOD composed of two electric locomotives of  86 series, towing two empty and 25 LPG wagon-tanks filled with LPG with a gross mass of 1895 tons was running the route from the Serbian railway station Dimitrovgrad to Plovdiv-razpredelitelna station. At 04:15, while entering Plovdiv station on an ordered and locked route for the second track, the left tongue of switch ? 74 broke when the first locomotive was passing. As a result, the two locomotives and the following three wago-ntanks (one empty and two LPG-filled) derailed with all axles on the left. 
There was no breakthrough and/or leakage of gas. Immediately arrived duty teams of the Fire Safety &amp; Protection of the Population and the Ministry of Interior. The area at the station was cordoned off and the access to the derailed train was limited. The movement was partially suspended from 04:30 to 12:45 hours in the direction towards Karlovo Station. 
There were no injuries. Damages were caused to the rail infrastructure and rolling stock.</t>
  </si>
  <si>
    <t>Plovdiv Station</t>
  </si>
  <si>
    <t>Upon train's leading locomotive ? 86003 entering the area of the tongue part of railroad switch ? 74 at Plovdiv station,a  vertical fracture of the left curved tongue followed, just before the passage of the first wheel pair axle of the leading locomotive. The breaking was realized between the 13th and 14th traverses in the transition of the tongue from normal rail to tongue profile, where the shape and cross section of the curved tongue are changed.</t>
  </si>
  <si>
    <t>HU-5941</t>
  </si>
  <si>
    <t>Train derailment, 16-02-19, Budapest, Török flóris u. (Hungary)</t>
  </si>
  <si>
    <t>The tram was derailed</t>
  </si>
  <si>
    <t>Budapest, Török flóris u.</t>
  </si>
  <si>
    <t>A váltó félállásban maradt, azt a jármuvezeto nem észlelte. 
The switch was left in halfway position and not detected by the driver.</t>
  </si>
  <si>
    <t>HU-5986</t>
  </si>
  <si>
    <t>Train derailment, 16-02-19, Budapest (Hungary)</t>
  </si>
  <si>
    <t xml:space="preserve">the tram was derailed 
</t>
  </si>
  <si>
    <t>Direct causes: 
The direct causes of the occurrence were as follows: 
a) the switch was left in an intermediate position, 
b) which the tram driver did not realise.
Indirect Causes: 
Those findings relating to competences, procedures and maintenance which are related to the factors enumerated above:
c) the switchpoint light displayed a pattern which hinted at end-point position even when the switch was in an intermediate position.</t>
  </si>
  <si>
    <t>Root causes:
Causes that are distant in time and space from one another but which are related to system operation within the regulatory environment and in the safety management system: 
c) the tram drivers report only a few of the malfunctions they detect (2.2.4),
d) the Instruction provides no useful, consistent rules relating to the switchpoint lights or the reliability of the information they display (2.2.3).</t>
  </si>
  <si>
    <t>SK-6276</t>
  </si>
  <si>
    <t>Train derailment, 16-02-19, Krompachy station (Slovak Republic)</t>
  </si>
  <si>
    <t>LOKORAIL</t>
  </si>
  <si>
    <t>technical failure of rolling stock</t>
  </si>
  <si>
    <t>CZ-5924</t>
  </si>
  <si>
    <t>Unauthorised train movement other than SPAD, 19-02-19, open line between Martinice u Velkého Mezirící railway stop and Velké Mezirící station (Czech Republic)</t>
  </si>
  <si>
    <t>The unsecured movement of the regional passenger train No. 24948 without the train driver.</t>
  </si>
  <si>
    <t>open line between Martinice u Velkého Mezirící railway stop and Velké Mezirící station</t>
  </si>
  <si>
    <t>Direct cause:_x000D_
• improper handling with the air valves of the brake system while removal of defect of the accumulator switching brake.</t>
  </si>
  <si>
    <t>Underlying cause:_x000D_
• failure to observe the technological procedures by the train driver of the regional passenger train No. 24948 when removing the defect of the accumulator switching brake._x000D_
_x000D_
Root cause: none.</t>
  </si>
  <si>
    <t>CZ-5927</t>
  </si>
  <si>
    <t>Spad, 22-02-19, Ejpovice station (Czech Republic)</t>
  </si>
  <si>
    <t>The unauthorized movement of the long distance passenger train No. 350 behind the main departure signal device L2 and its ride into the train route of the regional passenger train No. 17816.</t>
  </si>
  <si>
    <t>Ejpovice station</t>
  </si>
  <si>
    <t>Direct cause:_x000D_
• a departure of the long distance passenger train No. 350 without regular dispatching of the train._x000D_
Contributory factor:_x000D_
• an absence of the technical equipment which prevents a train from passing a signal in case of danger.</t>
  </si>
  <si>
    <t>Underlying cause:_x000D_
• failure to comply with the technological procedures of the IM for departure of the train from the operating point – failure to request dispatching of the train in other way than by the signal of the main departure signal device in case when the signal of the main departure signal device is not visible from the place where the train stopped._x000D_
Root cause: none.</t>
  </si>
  <si>
    <t>CZ-5928</t>
  </si>
  <si>
    <t>Trains collision, 23-02-19, Ceské Budejovice station (Czech Republic)</t>
  </si>
  <si>
    <t>The collision of two locomotives during the shunting operation.</t>
  </si>
  <si>
    <t>(a) the seriousness of the accident or incident; 
in light of Article 19 §1 of SD"</t>
  </si>
  <si>
    <t>Direct cause:_x000D_
• failure of the brake system of the locomotive No. 91 54 7 362 055-6 due to technical fault (air leakage) of the brake units._x000D_
_x000D_
Contributory factors:_x000D_
• effect of the climatic conditions on incorrect technical condition of the brake system of the locomotive No. 91 54 7 362 055-6 - frost at the ground - 10 °C;_x000D_
• failure to obey the specified technological procedure by the train driver of the locomotive No. 91 54 7 362 055-6 when performing the locomotive brake test – failure to find the proper function of the brake system before departure of the shunting operation from the place of detachment.</t>
  </si>
  <si>
    <t>Underlying cause:_x000D_
• installation of the incorrect rubber cuffs of the pistons of the break cylinders of the brake units of the locomotive No. 91 54 7 362 055-6, the changes of their properties due to frost (solidification and reduction the diameter below the  required limit) when interacting with wear – cavitation (corrosion attack of ferritic-pearlitic carbon steel) of the working wall of the brake cylinders and thus the essential release of compressed air from the brake cylinders into the atmosphere, at least from the brake unit 1P of the locomotive._x000D_
_x000D_
Root cause: none.</t>
  </si>
  <si>
    <t>NO-5945</t>
  </si>
  <si>
    <t>Electric shock, 24-02-19, Filipstad (Norway)</t>
  </si>
  <si>
    <t>At 16.45 on Sunday 24 February 2019, one person died after coming into contact with the overhead contact line system inside Filipstad train formation yard. Two other persons present were also exposed to electricity and were critically injured in the accident._x000D_
_x000D_
Three persons climbed over a fence and entered Filipstad train formation yard. From there, they continued into the tunnel/culvert, where two train sets were parked. It was in this area that the persons came into contact with the overhead contact line system. 
Søndag 24. februar 2019 kl 1645 omkom en person da vedkommende kom i berøring med kontaktledningsanlegget inne på Filipstad driftsbanegård. To personer som var sammen med vedkommende ble også eksponert for strøm og ble kritisk skadet i ulykken._x000D_
_x000D_
Tre personer klatret over et gjerde og tok seg inn på Filipstad driftsbanegård. De fortsatte derfra inn i tunnelen/kulverten hvor det stod hensatt 2 togsett. I dette området kom personene i kontakt med kontaktledningsanlegget.</t>
  </si>
  <si>
    <t>Filipstad</t>
  </si>
  <si>
    <t>Three adolescents had made their way into the track area and into a culvert in the area called ‘Strupen’, where two train sets were parked. The adolescents climbed onto the roof of one of the train sets, and moved in a way that caused one of them to come into contact with the overhead contact line.</t>
  </si>
  <si>
    <t>DE-5932</t>
  </si>
  <si>
    <t>Train derailment, 25-02-19, Moers Gbf (Germany)</t>
  </si>
  <si>
    <t>Am 25.02.2019 gegen 07:32 Uhr entgleisten die ersten drei Wagen des Güterzuges DGS 52760 (EVU: Hafen Krefeld GmbH &amp; Co KG) während der Einfahrt in den Bahnhof Moers Gbf. 
On 25.02.19 at about 07:30, the train DGS 52760 (railway undertaking: Hafen Krefeld GmbH) derailed on rail switch 001 at the freight station of railway station Moers towards rail track 102 during the entry.</t>
  </si>
  <si>
    <t>Moers Gbf</t>
  </si>
  <si>
    <t>Hafen Krefeld GmbH &amp; Co. KG</t>
  </si>
  <si>
    <t>Die Entgleisung des Zuges 52760 wurde durch einen Arbeitsfehler des Fahrdienstleiters (Fdl) des Bahnhofs Moers verursacht. 
The derailment of train 52760 has been caused by a working error of the train dispatcher at railway station Moers.</t>
  </si>
  <si>
    <t>CZ-5930</t>
  </si>
  <si>
    <t>Trains collision, 26-02-19, Jihlava station (Czech Republic)</t>
  </si>
  <si>
    <t>Collision of a shunting operation with the regional passenger train No. 8353 standing on station track No. 5b.</t>
  </si>
  <si>
    <t>Jihlava station</t>
  </si>
  <si>
    <t>Direct cause: failure to detect loss of communication with the shunting supervisor by the train driver of the shunting operation and consequently the shunting operation did not stop immediate._x000D_
_x000D_
Contributory factor: none.</t>
  </si>
  <si>
    <t>Underlying cause: failure to comply of the technological procedures by the train driver of the shunting operation in the case of an interruption of the radio connection at shunting operation._x000D_
_x000D_
Root cause: none.</t>
  </si>
  <si>
    <t>CZ-5931</t>
  </si>
  <si>
    <t>Trains collision, 27-02-19, Havlíckuv Brod station (Czech Republic)</t>
  </si>
  <si>
    <t>Unauthorized movement of the shunting operation behind the marshalling signal device Se7 with its consequent entry into the train route and collision with the freight train No. 45306.</t>
  </si>
  <si>
    <t>LOKORAIL; 
CD Cargo</t>
  </si>
  <si>
    <t>Direct cause:_x000D_
• failure to respect the signal „Shunting forbiden” of the signal device Se7 by the train driver of the shunting operation._x000D_
_x000D_
Contributory factor:_x000D_
_x000D_
• incorrect assessment of the radio communication content between the train driver of the shunting operation and the station dispatcher immediately before the incident, when the train driver asked through the radio station for consent to shunt, even though it has always been generally given by the light signal on the relevant signal devices for all previous shunting movements at the station perimeter.</t>
  </si>
  <si>
    <t>Underlying cause:_x000D_
• failure to comply with the obligation of the train driver of the shunting operation to determine by sight or a query whether the fixed signal devices – which are valid for a shunting operation – allow the shunting operation for each intended movement of the shunting operation._x000D_
_x000D_
Root cause: none.</t>
  </si>
  <si>
    <t>HU-6114</t>
  </si>
  <si>
    <t>Spad, 01-03-19, Miskolc (Hungary)</t>
  </si>
  <si>
    <t>No. 35425. personaltrain did not stop at the entry signal of Miskolc - Airport train station.</t>
  </si>
  <si>
    <t>Direct cause:
The direct cause of the occurrence was that the locomotive driver had not start to brake his train in due time for stopping the train at the entry signal “L”.
Indirect causes:
Those findings relating to competences, procedures and maintenance which are related to the factors enumerated above:
a)	the locomotive driver forgot that he had been given a distant signal for a main signal at danger;
b)	the locomotive driver erroneously supposed that the entry signal was “Clear“;
c)	he did not focus his attention on the task.</t>
  </si>
  <si>
    <t>1.3	Root cause
The locomotive driver’s low workload and monotonous work led to his inattention mentioned in the section above.
1.4	Other risk factors
A factor which cannot be related to the occurrence but increases risk is that the rules relating to forbidden simultaneous train movements do not specify the availability of a suitable train control system, which may lead to occurrences with more serious outcome.</t>
  </si>
  <si>
    <t>CZ-5933</t>
  </si>
  <si>
    <t>Spad, 02-03-19, Praha-Smíchov station (Czech Republic)</t>
  </si>
  <si>
    <t>Unauthorized movement of the train set No. 1042 behind the entry signal device 2L with its consequent entrance into the train route of the service train No. 171181.</t>
  </si>
  <si>
    <t>Praha-Smíchov station</t>
  </si>
  <si>
    <t>Other; 
Infrastructure works train</t>
  </si>
  <si>
    <t>RegioJet a.s.; 
Správa železnicní dopravní cesty</t>
  </si>
  <si>
    <t>Direct cause:_x000D_
• failure to detect the signal Stop given by the entry signal device of Praha-Smíchov station by the train driver in training, respectively by the train driver of the train set No. 1042._x000D_
Contributory factor:_x000D_
• absence of technical equipment which prevent a train from passing a signal in case of danger.</t>
  </si>
  <si>
    <t>Underlying causes:_x000D_
• failure to observe the railway line and signals by the train driver in training, respectively by the train driver of the train set No. 1042 from the leading rolling stock;_x000D_
• prioritizing the activities which are not related to driving of the rolling stock over the observation of the railway line by the train driver;_x000D_
• ignorance of the local conditions by the train driver in training._x000D_
Root cause: none.</t>
  </si>
  <si>
    <t>CZ-5934</t>
  </si>
  <si>
    <t>Trains collision, 04-03-19, open line between Ronov nad Doubravou and Å½leby operatin control points (Czech Republic)</t>
  </si>
  <si>
    <t>Unauthorized departure of the regional passenger train No. 15912 from Ronov nad Doubravou operating control point and its consequent collision with the freight train No. 84261.</t>
  </si>
  <si>
    <t>open line between Ronov nad Doubravou and Å½leby operatin control points</t>
  </si>
  <si>
    <t>Direct cause:_x000D_
• failure to accomplish the announcement obligation at Ronov nad Doubravou operating control point by the train driver of the regional passenger train No. 15912 and the unauthorized departure to the block section which was occupied by the freight train No. 84261.</t>
  </si>
  <si>
    <t>Underlying cause:_x000D_
• failure to comply the technological procedures by the train driver of the regional passenger train No. 15912 who did not respect the instruction of the IM._x000D_
Root cause: none.</t>
  </si>
  <si>
    <t>CZ-5936</t>
  </si>
  <si>
    <t>Trains collision, 05-03-19, Brno hlavní nádraÅ¾í station (Czech Republic)</t>
  </si>
  <si>
    <t>Unauthorized movement of the regional passenger train No. 4708 behind the signal device Lc4 with consequent collision with oncoming the regional passenger train No. 4711.</t>
  </si>
  <si>
    <t>Direct cause:_x000D_
• operational error of the train driver of the regional passenger train No. 4708 (he did not respect the signal „Stop” of the main route signal device Lc4)._x000D_
_x000D_
Contributory factor:_x000D_
• absence of technical equipment which prevents a train from passing a signal in case of danger.</t>
  </si>
  <si>
    <t>Underlying cause:_x000D_
• failure to observe the technological procedures of the IM by the train driver of the regional passenger train No. 4708 while driving the train._x000D_
_x000D_
Root cause: none.</t>
  </si>
  <si>
    <t>PL-6014</t>
  </si>
  <si>
    <t>Level crossing accident, 03-07-19, Zlotniki - Wargowo (Poland)</t>
  </si>
  <si>
    <t>On 03.07.2019, a Rob.2 track-maintenance car consisting of WM-15A 311 railway motor car No. EVN PL-PLK 99 51 9 483 127-8 was moving on the closed track No. 2 on Wargowo–Zlotniki railway route along railway line No. 354 towards Zlotniki station. The aim of the travel was to conduct an operational test in relation with the acceptance of the railway traffic control devices after track No. 2 modernisation. The railway motor car was moving with a cargo box with a hydraulic crane in the front. The WM-15A 311 railway motor car driver was in the rail vehicle. The Rob.2 car speed was (based on the hearing) around 50 km/h. While approaching crossing warning signal Top140 situated at 14.626 km and referring to the level crossing at 13.916 km, the driver noticed that the signal was dark. He continued, reducing the speed. When passing the W6a sign located at 14.450 km (534 m before the level crossing) for that crossing, the driver gave the Rp1 “attention” signal (one long siren signal). When the Rob.2 track-maintenance car was directly before the crossing, a Ford Fusion passenger car entered the crossing from the direction of Goleczewo, moving at a moderate speed (built-up area), whose driver was looking straight ahead, without making sure if any rail vehicle was coming (based on the recording from the monitoring at the crossing) The Rob.2 car entered the crossing at the speed of 27 km/h (without the involvement of a road traffic officer). The visibility at the crossing was limited by the automatic crossing system box, which made it difficult for vehicles to see each other in advance. In spite of the sudden braking, the rail vehicle hit the left side of the passenger car. The passenger car was hit by the railway motor car’s bumpers. The left bumper hit the passenger car at the driver’s window level and was pushed inside the car, while the right bumper hit the back of the car. The passenger car, caught on the bumper and rolled to the left side of the railway motor car, was then pushed by the railway motor car until it stopped, which took place after driving about 26 m. If the railway motor car had been driving within the allowed speed limit not exceeding 20km/h, the accident results could have been less serious, as the passenger car would have managed to pass track No. 2 or the railway motor car would have hit the back side of the passenger car increasing the passenger’s chance to survive the accident._x000D_
As a result of the event, the passenger car driver died after being driven to the hospital._x000D_
The passenger car was completely damaged and the railway motor car had its front wall steps damaged.</t>
  </si>
  <si>
    <t>Zlotniki - Wargowo</t>
  </si>
  <si>
    <t>Rob.2 track-maintenance car moving on closed track No. 2 drove into the Ford Fusion passenger car crossing the B-category level crossing with half barriers open and light and sound signalling system turned off for this track (automatic crossing system working only for two-way train movement on track No. 1).</t>
  </si>
  <si>
    <t>Primary cause: _x000D_
An infrastructure manager, upon an investor’s request (CRI Western Region), allowed a track-maintenance car without ensuring the necessary staff and organisation of the car’s travel on the contractor side (track-maintenance car manager had not been appointed)._x000D_
Indirect causes:_x000D_
1.	The driver of the Ford Fusion passenger car was not particularly cautious and entered the level crossing without first making sure that no railway vehicle was approaching._x000D_
2.	The contractor did not appoint any employee authorised to manage traffic at the level crossing at 13.916 km._x000D_
3.	The WM-15A railway motor car driver reacted incorrectly after passing dark crossing warning signal Top140, i.e._x000D_
•	he was passing the level crossing at 13.916 km at the speed of 27 km/h, while the speed limit was 20 km/h, which made it impossible to stop the rail vehicle when the obstacle in the form of the road vehicle appeared at the level crossing;_x000D_
•	failure to give the Rp1 “attention” signal several times from the spot where the W 6a sign was located._x000D_
_x000D_
Systemic causes:_x000D_
Long lasting use (since 26 March 2019) of two different ways of securing the traffic at the level crossing at 13.916 km, i.e.:_x000D_
1)	automatic crossing system on the working track No. 1 without introducing a speed limit,_x000D_
2)	managing the traffic at the level crossing by the authorised contractor’s employees when the track-maintenance cars were moving on the closed track No. 2, with the automatic crossing system off, without proper signs informing road users about the lack of working automatic crossing system devices and about the method of traffic management.</t>
  </si>
  <si>
    <t>RO-5942</t>
  </si>
  <si>
    <t>Train derailment, 08-03-19, Cosbuc (Romania)</t>
  </si>
  <si>
    <t>the second bogie of the second car that was in the consist of the passenger train no.4136 derailed in the railway station Cosbuc by the leading axle.</t>
  </si>
  <si>
    <t>Cosbuc</t>
  </si>
  <si>
    <t>Cauza directa a producerii accidentului feroviar o constituie caderea între firele caii în cuprinsul unei zone de traseu în curba cu devia?ie dreapta în sensul de mers al trenului, a ro?ii din partea dreapta care rula pe firul interior al curbei (roata nr.6) de la vagonul nr.50537131042- 4, al 5-lea din compunerea trenului de calatori nr.4136. Acest lucru s-a produs în conditiile în care, starea tehnica a suprastructurii caii era necorespunzatoare, permi?ând deplasarea pe direc?ie radiala a ansamblului ?ina - placa metalica pe traversele de lemn, având ca efect cre?terea valorii ecartamentului caii peste limitele toleran?elor admise în exploatare._x000D_
_x000D_
Factorii care au contribuit:_x000D_
_x000D_
1.	men?inerea în exploatare, în zona producerii deraierii (zona km 10+718), a unor traverse normale de lemn a caror stare tehnica impunea înlocuirea acestora;_x000D_
_x000D_
2.	neremedierea defectelor geometriei caii, înregistrate pe linia Telciu-Co?buc cu ocazia masuratorilor efectuate cu automotorul de „Diagnoza a Caii ?i a Liniei de Contact-TMC, tip EM130-nr.146”;_x000D_
_x000D_
3.	utilizarea în cadrul lucrarilor de înlocuire a traverselor, a unor traverse de lemn impregnate, produse dupa alte cerin?e decât cerin?ele de siguran?a rezultate din standardul pentru traverse  SR EN 13145+A1:2012, fapt care a favorizat apari?ia unor defecte în interiorul traverselor, ce nu permiteau folosirea acestora în exploatare;_x000D_
_x000D_
4.	utilizarea  în cadrul lucrarilor de înlocuire a traverselor, a unor traverse de lemn impregnate care proveneau de la producatori care nu de?ineau Declara?ie de Conformitate EC ?i Certificat de conformitate EC eliberat de catre un Organism de certificare notificat; 
Direct cause_x000D_
The direct cause of the accident is the fall of the right wheel (the 6th one), from the car no. 50537131042- 4 (the 5th one in the passenger train  no.4136 consist), between the rails, within a curve with right deviation in the train running direction (this wheel running on the interior rail of the curve). It happened following the improper condition of the track superstructure, allowing the radial displacement of the assemble rail-metallic plate on the wooden sleepers, leading to the increase of the track gauge over the limits of the tolerances accepted in operation._x000D_
_x000D_
Contributing factors:_x000D_
_x000D_
1.	Keeping in operation, at the derailment site (km 10+718), of some normal wooden sleepers whose technical condition was imposing their replacement;_x000D_
_x000D_
2.	Non-removal of the track geometry failures, registered on the line Telciu-Co?buc during the measurements performed with the multiple unit ”Track recording car for track and contact wire surveying - type  EM130 - nr.146”;_x000D_
_x000D_
3.	Use, for the sleepers  replacement, of some impregnated wooden sleepers, made in accordance with other requirements than the safety requirements resulted from the standard for sleepers SR EN 13145+A1:2012, it favouring the appearance of some failures inside the sleepers, that did not allow their use in operation;_x000D_
_x000D_
4.	Use, for the replacement of the sleepers, of some impregnated wooden sleepers made by manufacturers that did not get EC Conformity Statement and EC Conformity Certificate granted by the Notified Certification Body;</t>
  </si>
  <si>
    <t>Cauze subiacente_x000D_
1.	nerespectarea prevederilor art.25, alin.(1), alin.(2) ?i alin.(4)din „Instruc?ia de norme ?i toleran?e pentru construc?ii ?i între?inerea caii pentru linii cu ecartament normal” - nr.314/1989, privind înlocuirea traverselor de lemn ale caror defecte impun acest lucru;_x000D_
_x000D_
2.	nerespectarea prevederilor art.14 din Instruc?ia de norme ?i toleran?e pentru construc?ia ?i între?inerea caii - linii cu ecartament normal - nr.314/1989, referitoare la toleran?ele admise pentru ecartamentul prescris al caii; _x000D_
_x000D_
3.	nerespectarea prevederilor din Instruc?ia pentru folosirea vagoanelor de masurat calea nr.329/1995 referitoare la art.6.7 - programarea remedierii defectelor înregistrate de automotorul TMC si respectarea termenelor de remediere a defectelor;_x000D_
_x000D_
4.	neaplicarea tuturor prevederilor procedurii operationale cod PO SMS 0-4.07 „Respectarea specificatiilor tehnice, standardelor si cerintelor relevante pe întreg ciclul de viata a liniilor în procesul de întretinere”, parte a sistemului de management al sigurantei administratorului de infrastructura feroviara publica CNCF „CFR” SA, referitoare la executarea lucrarilor de între?inere ?i repara?ii periodice a liniilor de cale ferata;_x000D_
_x000D_
5.	nerespectarea prevederilor din Anexa I la procedura PO SMS 0-4.11,  referitor la atestarea conformita?ii produsului traversa de lemn, prin intermediul certificatelor de conformitate eliberate de organisme de certificare, potrivit reglementarilor tehnice aplicabile;_x000D_
_x000D_
6.	nerespectarea prevederilor pct.5 din Dispozi?ia 102/2008 a Directorului General al CNCFR, referitor la atestarea conformita?ii produsului traversa de lemn, prin intermediul certificatelor de conformitate eliberate de organisme de certificare, potrivit reglementarilor tehnice;_x000D_
_x000D_
7.	nerespectarea prevederilor art.4 din Regulamentul aprobat prin OMTCT 1558/2004, deoarece fabrica?ia traverselor de lemn,  nu a respectat obliga?ia potrivit careia, conformitatea cu specifica?ia tehnica trebuia sa fie atestata printr-o procedura în care, un organism de certificare notificat este implicat în evaluarea ?i supravegherea controlului produc?iei sau a produsului însu?i;_x000D_
_x000D_
8.	nerespectarea obliga?iei de a defini specifica?iile tehnice pentru traverse, prin referire la standardul în vigoare SR EN 13145+A1:2012, potrivit dispozi?iilor  art. 35 alin.(6) lit. a) din OUG 34/2006;_x000D_
_x000D_
9.	nerespectarea obliga?iilor care rezulta de la  pct.2 lit. c din Anexa III la Directiva 49/2004 (transpusa prin Legea 55/2006) coroborat cu punctele L ?i L1 din Anexa II la Regulamentul 1169/2010, de a identifica ?i a implementa cerin?ele de siguran?a stabilite prin standarde tehnice în vigoare,  deoarece au fost utilizate traverse de lemn care nu îndeplineau cerin?ele de siguran?a con?inute de standardul tehnic SR EN 13145+A1:2012;_x000D_
_x000D_
10.	nerespectarea prevederilor din Anexa  III din Decizia 97/176/CE, deoarece au fost  utilizate traverse de lemn, a caror fabrica?ie nu a respectat obliga?ia potrivit careia, traversa de lemn pentru calea ferata este supusa sistemului de atestare a conformita?ii 2+ ;_x000D_
_x000D_
11.	nerespectarea prevederilor art.3(3) din REGULAMENTUL (UE) NR. 1169/2010 potrivit carora furnizorii trebuie sa fie certifica?i în conformitate cu sistemele de certificare stabilite în temeiul legisla?iei Uniunii, deoarece traversele au fost produse de furnizori care nu îndeplineau condi?iile de certificare men?ionate;_x000D_
_x000D_
12.	nerespectarea  prevederilor art. 12 (11) din HG 622/2004, potrivit carora traversa de lemn pentru calea ferata trebuia supusa unei proceduri de atestare a conformita?ii de catre organisme pentru atestarea conformita?ii produselor cu standardul na?ional aplicabil, întrucât a lipsit procedura de  atestare men?ionata, în cadrul procesului de fabrica?ie al traverselor;_x000D_
_x000D_
13.	nerespectarea art. 42 (1) din HG 622/2004 potrivit caruia traversele de lemn puteau fi introduse pe pia?a sau utilizate fara alte restric?ii legale, numai daca satisfaceau prevederile din HG 622/2004;_x000D_
_x000D_
14.	nerespectarea prevederilor art. 22(1) ?i art.22(1), lit.c) din HG 622/2004, privitor la întocmirea pentru traversele de lemn, a Declara?iei de  conformitate EC  pe baza unui Certificat de conformitate EC eliberat de catre un organism de certificare notificat;_x000D_
_x000D_
15.	nerespectarea procedurii PO SMS 0-4.40, deoarece nu au fost facute activita?ile de identificare, implementare ?i monitorizare a cerin?elor de siguran?a relevante cuprinse în standardul SR EN 13145+A1:2012;_x000D_
_x000D_
_x000D_
_x000D_
Cauze primare_x000D_
-	e?ecul manifestat în cadrul Sistemului de Management al Siguran?ei al CNCF „CFR” SA, de a controla riscul legat de utilizarea/achizi?ionarea unor produse care nu îndeplinesc cerin?ele de siguran?a ?i care pot pune în pericol siguran?a feroviara; _x000D_
_x000D_
-	neidentificarea pericolului rezultat din utilizarea în cadrul opera?iunilor de repara?ii a infrastructurii feroviare, a produselor feroviare (traverse de lemn), a caror fabrica?ie nu respecta cerin?ele de siguran?a relevante con?inute în standarde tehnice;_x000D_
_x000D_
-	neidentificarea pericolului rezultat din utilizarea în cadrul opera?iunilor de repara?ii a infrastructurii feroviare, a produselor feroviare (traverse de lemn), a caror fabrica?ie nu respecta condi?iile privind certificarea conformita?ii cu specifica?iile tehnice; 
Underlying causes_x000D_
1.	Violation of the provisions of art.25, paragraphs (1), (2) and (4) from „Instruction of norms and tolerances for the construction and maintenance of the track for lines with standard gauge” - no.314/1989, regarding the replacement of the wooden sleepers whose failures impose it;_x000D_
_x000D_
2.	Violation of the provisions of art.14 from „Instruction of norms and tolerances for the construction and maintenance of the track for lines with standard gauge” - no.314/1989, regarding the tolerances accepted for the prescribed track gauge; _x000D_
_x000D_
3.	Violation of the provisions from Instruction for the use of testing and recording cars no.329/1995 regarding the art.6.7 – the schedule for the removal of the failures recorded by the track recording car TMC and compliance with the deadlines for the failure removal;_x000D_
_x000D_
4.	Nonapplication of all provisions of the operational procedure code PO SMS 0-4.07 „Compliance with the technical specifications, standards and requirements relevant for the whole useful life  of the lines in maintenance process”, part of the safety management system of the public railway infrastructure administrator CNCF „CFR” SA, regarding the performance of the maintenance and periodical repairs at the lines;_x000D_
_x000D_
5.	Violation of the provisions from Annex I of the procedure PO SMS 0-4.11, regarding the certification of the conformity of the product wooden sleepers, through the conformity certificates granted by the  certification bodies, according to the technical regulations applicable;_x000D_
_x000D_
6.	Violation of the provisions of point 5 from Disposal 102/2008 of CNCFR General Manager, regarding the conformity certification of the product wooden sleepers, by the conformity certificates granted by certification bodies, in accordance with the technical regulations;_x000D_
_x000D_
7.	Violation of the provisions of art.4 from the Regulations approved by the Order of Minister of Transports, Constructions and Tourism OMTCT 1558/2004, because the manufacturing of the wooden sleepers did not meet with the obligation according which, the conformity with the technical specification had to be certified through a procedure where, a certification body is involved in the assessment and the monitoring of the control of the production or of the product;_x000D_
_x000D_
8.	Violation of the obligation to define the technical specifications for sleepers, by reference to the standard in force SR EN 13145+A1:2012, according to the provisions of  art. 35 paragraph (6) letter a) from the Emergency Government Decision - OUG 34/2006;_x000D_
_x000D_
9.	Violation of the obligations resulting from  point 2 letter c from the Annex III of the Directive 49/2004 (transposed by the Law 55/2006) corroborated with the points L and L1 from the Annex II from Regulations 1169/2010, to identify and to implement the safety requirements established by the technical standards in force, because one used wooden sleepers that did not comply with the safety requirements included in the technical standard SR EN 13145+A1:2012;_x000D_
_x000D_
10.	Violation of the provisions from the Annex III of the Decision 97/176/CE, because one used wooden sleepers, whose manufacturing did not comply with the obligation according which, the wooden sleeper for railways is subject of the system for the conformity certification2+ ;_x000D_
_x000D_
11.	Violation of the provisions of art.3(3) of the REGULATIONS (EU) NO. 1169/2010 according which the suppliers have to be certified in accordance with the certification systems upon European Union legislation, because the sleepers were manufactured by suppliers that were not met the certification conditions above mentioned;_x000D_
_x000D_
12.	Violation of the provisions of art. 12 (11) from the Government Decision 622/2004, according which the wooden sleeper for railways have been subjected to a procedure of conformity certification by bodies for the certification of the product conformity with the national standard applicable, because the procedure for the certification above mentioned was missing, within the process for the sleeper manufacturing;_x000D_
_x000D_
13.	Violation of art. 42 (1) from the Government Decision 622/2004 according which the wooden sleepers could be put on the market or used without other legal limitations, only if they met with the provisions from the Government Decision 622/2004;_x000D_
_x000D_
14.	Violation of the provisions of art. 22(1) and art.22(1), letter c) from the Government Decision 622/2004, regarding the working out, for the wooden sleepers, of EC Conformity Certification  upon an EC Conformity Certificate granted by a notified certification body;_x000D_
_x000D_
15.	Violation of the procedures PO SMS 0-4.40, because the identification, implementation and monitoring of the relevant safety requirements, included in the standard SR EN 13145+A1:2012 were not performed;_x000D_
_x000D_
 Root causes_x000D_
-	failure appeared within the Safety Management System of CNCF „CFR” SA, to control the risk linked to the use/purchase of products that do not meet with the safety requirements and that can endanger the railway safety; _x000D_
_x000D_
-	non-identification of the danger resulted from the use within the repairs at the railway infrastructure, of the railway products (wooden sleepers), whose manufacturing does not meet with the safety requirements relevant, existing in the technical standards;_x000D_
_x000D_
-	non-identification of the danger resulted from the use within the repairs of the railway infrastructure, of the railway products (wooden sleepers), whose manufacturing does not comply with the conditions regarding the certification of the conformity with the technical specifications;</t>
  </si>
  <si>
    <t>CZ-5943</t>
  </si>
  <si>
    <t>Unauthorised train movement other than SPAD, 11-03-19, Most nové nádraÅ¾í station (Czech Republic)</t>
  </si>
  <si>
    <t>Unsecured movement of the freight train No. 62502 to station track No. 37, which was occupied by shunting operation.</t>
  </si>
  <si>
    <t>Most nové nádraÅ¾í station</t>
  </si>
  <si>
    <t>Direct cause:_x000D_
• not ended of interferring shunting and failure to detection of unoccupied train route for ride of the freight train No. 62502._x000D_
_x000D_
Contributory factor:_x000D_
• cancellation of authority for shunting from interlocking plant No. 5 on station track No. 37 to interlocking plant No. 1 by the station dispatcher of interlocking plant No. 1 through signalling plant control without telephone communication with station dispatcher of interlocking plant No. 5.</t>
  </si>
  <si>
    <t>Underlying cause:_x000D_
• failure to comply of technological procedures of IM by the station dispatcher of interlocking plant No. 5 during detection of unoccupied train route._x000D_
_x000D_
Root cause:none.</t>
  </si>
  <si>
    <t>UK-5966</t>
  </si>
  <si>
    <t>Accident to persons caused by RS in motion, 12-03-19, Ashton-under-Lyne (United Kingdom)</t>
  </si>
  <si>
    <t>At about 22:55 hrs on Tuesday 12 March 2019, a passenger fell onto the track at Ashton-under-Lyne terminus tram stop on the Manchester Metrolink system. The passenger, who was in a vulnerable condition, had alighted from a tram that had arrived at the stop. He then leant on the side of the tram as it subsequently departed. Once the tram had left, he was no longer supported by it. He fell from the tram stop platform and landed on the track. He remained there until he was seen by the driver of the next tram to arrive at Ashton-under-Lyne. The driver of that tram stopped short of the passenger and summoned the emergency services. The passenger was taken to hospital.</t>
  </si>
  <si>
    <t>Ashton-under-Lyne</t>
  </si>
  <si>
    <t>The passenger fell from the platform onto the track when the tram on which he was leaning departed from the tram stop (paragraph 39).</t>
  </si>
  <si>
    <t>The causal factors were:_x000D_
a) the passenger leaned on the tram for support after he alighted from it (paragraph 41, Recommendation 3); and_x000D_
b) the tram departed from the stop whilst the passenger was in contact with it. This causal factor arose due to one or more of the following:_x000D_
i. the driver felt under time pressure (paragraph 51);_x000D_
ii. the dark clothing worn by the passenger made him difficult to see (paragraph 54, Recommendation 2, Learning point 1);_x000D_
iii. the positioning of the tram signal at Ashton-under-Lyne meant that the driver had to divide his attention between the signal and the side-view CCTV screen (paragraph 60); and_x000D_
iv. the tram driver did not check the side-view CCTV once the tram had started moving (paragraph 67, Recommendation 1)._x000D_
Underlying factors_x000D_
100 An underlying factor is that KAM does not provide any guidance to its staff on appropriate actions to be taken if they encounter an impaired passenger on a tram (paragraph 72, Recommendation 3)._x000D_
101 A possible underlying factor is that KAM’s rule book and driver competence management system do not include instructions on the use of the side-?view CCTV monitors as a tram is departing from a tram stop (paragraph 75, Recommendation 1)</t>
  </si>
  <si>
    <t>UK-5967</t>
  </si>
  <si>
    <t>Level crossing near miss, 13-03-19, Mucking, Essex (United Kingdom)</t>
  </si>
  <si>
    <t>At about 11:58 hrs on Wednesday 13 March 2019, a concrete delivery lorry became temporarily trapped by a lowering barrier on an automatic half barrier level crossing at Mucking, Essex. Shortly afterwards, the lorry reversed off the crossing about six seconds before a passenger train crossed it._x000D_
_x000D_
The train formed the 11:11 hrs London Fenchurch Street to Southend Central service and was travelling at about 56 mph (90 km/h) around the curved approach to the level crossing when the driver saw the lorry reversing away from the railway. The train driver did not apply the brake. The maximum permitted speed at this location is 60 mph (97 km/h)._x000D_
_x000D_
The lorry drove onto the crossing just before the barriers began to lower and then stopped on the crossing, before reversing in order to enter a nearby construction site. It stopped reversing after a barrier lowered onto it, and then remained stationary for about eight seconds until construction site staff manually lifted the barrier. The lorry then continued to reverse off the crossing. Work at the construction site was being undertaken by contractors working for Network Rail on a project to upgrade the railway power supply between London and Southend.</t>
  </si>
  <si>
    <t>Mucking, Essex</t>
  </si>
  <si>
    <t>C2C Rail Limited</t>
  </si>
  <si>
    <t>The lorry was manoeuvring on the level crossing when a train was approaching (paragraph 45).</t>
  </si>
  <si>
    <t>The causal factors were:_x000D_
a. The lorry driver drove onto, stopped and reversed on the level crossing (paragraph 48, Learning point 1)._x000D_
b. Site staff did not recognise the need to take account of the level crossing when managing the large road vehicle at the site entrance (paragraph 56, Learning points 2 and 3)._x000D_
Underlying factors_x000D_
87 The probable underlying factors were:_x000D_
a. AmeyInabensa JV’s management of site activities was inadequate (paragraph 64, Learning points 3 and 4)._x000D_
b. Network Rail processes and oversight of construction activities did not recognise the risk presented by the level crossing (paragraph 76, action taken paragraph 90, Learning points 3 and 4).</t>
  </si>
  <si>
    <t>CZ-5944</t>
  </si>
  <si>
    <t>Accident to persons caused by RS in motion, 14-03-19, Rájec-Jestrebí station (Czech Republic)</t>
  </si>
  <si>
    <t>The aggravated bodily harm of the shunter who was at the head of the shunting operation during the collision with the stored wooden logs which interfered in the structure gauge of the shunting operation.</t>
  </si>
  <si>
    <t>Rájec-Jestrebí station</t>
  </si>
  <si>
    <t>Direct cause:_x000D_
• movement of the shunting operation onto the track with the insufficient walking and handling clearance._x000D_
Contributory factors:_x000D_
• a lorry with a timber trailer, which was detached on the inside of the arch and partially interfering in the walking and handling clearance which was partially obstructing the view of the shunting gang;_x000D_
• wooden logs unloaded at the structure gauge area and interfering in the maximum loading gauge.</t>
  </si>
  <si>
    <t>Underlying cause:_x000D_
• failure to comply with the Contractual Carriage Terms and Conditions of the railway undertaking CD Cargo and the Operating Rules for the loading point by the sender or other entities, which were hired by the sender._x000D_
Root cause: none.</t>
  </si>
  <si>
    <t>RO-5946</t>
  </si>
  <si>
    <t>Train derailment, 14-03-19, Zam (Romania)</t>
  </si>
  <si>
    <t>5 wagons of the freight train no.30864 derailed in Zam railway station on the crossover S9- S5</t>
  </si>
  <si>
    <t>Zam</t>
  </si>
  <si>
    <t>Cauza directa a producerii accidentului feroviar o constituie caderea între firele caii a ro?ii din partea stânga (fir interior al curbei - contraacul curb al macazului schimbatorului de cale nr.5) a osiei conducatoare de la vagonul nr.21802475003-4, al 10-lea din compunerea trenului de marfa nr.30684. Acest lucru s-a produs în conditiile cre?terii sub sarcina a valorii ecartamentului caii, peste valoarea maxima admisa ca urmare a deplasarii laterale a acului curb ?i contraacului drept de pe firul exterior al curbei (direc?ia „abatere” a macazului) sub ac?iunea for?elor dinamice transmise caii de catre materialul rulant în circula?ie._x000D_
_x000D_
Factorii care au contribuit:_x000D_
- starea tehnica necorespunzatoare a traverselor de lemn din zona punctului „0”, care nu a permis strângerea tirfoanelor pentru fixarea placilor metalice (alunecatorilor), astfel încât valoarea ecartamentului a crescut peste valoarea maxima admisa de 1470 mm sub ac?iunea for?elor dinamice transmise de rotile materialului rulant; 
Direct cause of the accident was the fall between the rails of the left wheel (inner rail of the curve – curved stock rail of the switch no.5) of the leading axle from the wagon no.21802475003-4, being the 10th one in the composition of the freight train no.30684. It happened following the increase of the gauge value under the load, over the maximum accepted value, given the lateral displacement of the curved stock rail from the exterior rail of the curve (direction „diverging track” of the switch) under the action of the dynamic forces transmitted to the track by the rolling stock in running._x000D_
_x000D_
Contributing factors:_x000D_
- unsuitable technical condition of the wooden sleepers in the point „0”(point of derailment), that did not allow the fastening of the coach screws for the fastening of the metallic plates (slide base plate), so the value of the gauge increased over the maximum accepted value of 1470 mm under the action of the dynamic forces transmitted by the wheels of the rolling stock;</t>
  </si>
  <si>
    <t>Cauze subiacente_x000D_
-  nerespectarea prevederilor art.25, alin.(2) ?i alin.(4) din „Instruc?ia de norme ?i toleran?e pentru construc?ia ?i între?inerea caii pentru linii cu ecartament normal nr.314/1989”, referitoare la defectele care impun înlocuirea traverselor de lemn si la neacceptarea mentinerii traverselor necorespunzatoare în cuprinsul aparatelor de cale;_x000D_
-	nerespectarea prevederilor 43.-(2) din Cap.4 „Norme de manopera ?i de consum de materiale”, al „Instruc?iei de între?inere a liniilor ferate nr.300-edi?ia în vigoare” referitoare la asigurarea normei de manopera la între?inerea curenta în execu?ie manuala;_x000D_
_x000D_
Cauza primara_x000D_
Cauza primara a accidentului o constituie neaplicarea prevederilor procedurii opera?ionale cod PO SMS 0-4.07 „Respectarea specificatiilor tehnice, standardelor si cerintelor relevante pe întreg ciclul de via?a a liniilor în procesul de întretinere”, parte a sistemului de management al siguran?ei al CNCF „CFR” SA, referitoare la dimensionarea personalului Districtului de linii nr.5 Zam, în raport cu volumul de lucrari. 
Underlying causes_x000D_
-  violation of the provisions of art.25, paragraphs (2) and (4) from „Instruction of norms and tolerances for the track construction and maintenance, for tracks with standard gauge no.314/1989”, regarding the failures that impose the replacement of the wooden sleepers and non-acceptance of the improper sleepers within the switches;_x000D_
-	violation of the provisions 43.-(2) from Chapter 4 „Norms of manpower and material consumption”, of „Instruction for the tracks maintenance no.300-edition in force” regarding the provision with the norm of manpower for the current manual work maintenance;_x000D_
_x000D_
C.7.3. Root cause_x000D_
The root cause  of the accident is the non-application of the provisions from the operational procedure code PO SMS 0-4.07 „Compliance with the technical specifications, standards and requirements relevant for the whole useful life of the tracks in the maintenance process”, part of the safety management system of CNCF „CFR” SA, regarding the sizing of the staff from Line District no.5 Zam, in relation to the total works._x000D_
Underlying causes_x000D_
-  violation of the provisions of art.25, paragraphs (2) and (4) from „Instruction of norms and tolerances for the track construction and maintenance, for tracks with standard gauge no.314/1989”, regarding the failures that impose the replacement of the wooden sleepers and non-acceptance of the improper sleepers within the switches;_x000D_
-	violation of the provisions 43.-(2) from Chapter 4 „Norms of manpower and material consumption”, of „Instruction for the tracks maintenance no.300-edition in force” regarding the provision with the norm of manpower for the current manual work maintenance;_x000D_
_x000D_
 Root cause_x000D_
The root cause  of the accident is the non-application of the provisions from the operational procedure code PO SMS 0-4.07 „Compliance with the technical specifications, standards and requirements relevant for the whole useful life of the tracks in the maintenance process”, part of the safety management system of CNCF „CFR” SA, regarding the sizing of the staff from Line District no.5 Zam, in relation to the total works.</t>
  </si>
  <si>
    <t>PL-5947</t>
  </si>
  <si>
    <t>Train derailment, 17-03-19, Taczanów - Pleszew (Poland)</t>
  </si>
  <si>
    <t>On 17.03.2019 at 21:00, for a train with TMS no. 654035 (railway undertaking: Przedsiebiorstwo Obrotu Surowcami Wtórnymi DEPOL Sp. z o.o.), driven with a BR232-15-05 locomotive, the traffic manager from the Taczanów junction signal box displayed a permission signal on an entry semaphore for track no. 1 (the Taczanów junction signal box is not equipped with exit semaphores), allowing the train to enter the Taczanów – Pleszew route. At 107.985 km, the first axle of the 20th wagon no. 84 51 5945 940-1, counting from the head of the train, fractured and derailed. Consequently, the SB4 clips on the inside of the left side of the rail were hit. At 109.257 km, a trackside magnet of the SHP system (a train protection system) located on the right side of the track – was damaged. While driving through the category A level crossing at 109.317 km, a level crossing attendant noticed sparking and thinking that it is a braking wagon, reported the situation to the Taczanów junction signal box traffic manager. The level crossing attendant recorded the irregularity report in the Level Crossing Attendant Log – R49. The traffic manager informed the driver of train no. TMS 654035 of the wagon sparking via a radiophone. The train driver confirmed reception of the fault report, which was confirmed by a voice recorder, and continued the journey. On the level crossing at 109.317 km, the derailed bogie of the wagon hit the first inner guiding crossing slab (“Miroslaw Ujski” type) at the left side of the track. At 109.332 km, three springs from the first bogie were found in the space between tracks. Further movement of the train also damaged prestressed concrete railway sleepers with a SB4 clip fastening. When the train passed another category A level crossing at 109.782, it damaged an inner CBP slab, which caused further damage to the wagon bogie with broken axle and more damage to prestressed concrete railway sleepers, clips and damage to traction return system (strings between rails and rail bonding of traction poles). At a category D level crossing at 111.731 km, the derailed wagon, due to bogie damage, caught an inner crossing CBP slab, which got stuck between a skid rail and the wagon bogie. Furthermore, the damaged wagon hit two outer slabs and displaced them to 111.750 km. The slab stuck under the wagon along with the fractured axle was destroying rail fastening and prestressed concrete railway sleepers. At the next level crossing at 112.194 km, category D, the ongoing movement caused two more inner crossing slabs to stick and two outer slabs at the right rail were thrown into the cess of track no 1. Train no. TMS 654035, with damaged wagon and stuck slabs, continued moving to Pleszew station, while constantly damaging sleepers, fastenings, train traffic control devices and traction return system strings. Its entry onto track no. 1 to Pleszew station resulted in breaking rails at the right rail at 113.660 km; at 113.682 km; at 113.700 km and at the left rail at 113.682; at 113.700 km and damage to crossing slabs of the “Miroslaw Ujski” type at level crossing at 113.700 km (7 inner and 2 outer). The train with derailed wagon entered turnout no. 1 and destroyed: a Tm3 shunting signal, turnout no. 1 motor, turnout point lock, turnout wing rail; and the separated directly in front of the damaged wagon. Due to train separation, the brake hose was broken and the train immediately braked. The head of the train stopped at 113.740 km, while the separated part of the train stopped at a level crossing within the Pleszew station at 113.705 km. From the point where the axle was fractured to the point where the train separated and stopped, the train covered 5720 m. _x000D_
At the instruction of the railway commission president on 18.03.2019, at around 3:00, the train driver, using a TEM2-065 diesel locomotive located at the end of train no. TMS 654035, moved the part of the train that was blocking the level crossing at 113.705 km back in the direction of Taczanów station.</t>
  </si>
  <si>
    <t>Taczanów - Pleszew</t>
  </si>
  <si>
    <t>Derailment of a freight wagon (no. 84 51 5945 940-), position 20 after the lead locomotive during movement of train no. TMS 654035 due to fracturing of the first axle of the first bogie wheelset.</t>
  </si>
  <si>
    <t>I. Root cause: _x000D_
Fracturing of the first axle of the first bogie wheelset of freight wagon no. 84 51 5945 940-1 due to incorrect structure of the axle material at the fracture._x000D_
_x000D_
II. Indirect causes: _x000D_
1.	Failure of the train driver to stop train no. TMS 654035 to inspect the train despite receiving information from the signalman of the Taczanów junction signal box that there are sparks under the fifteenth wagon from the end of the train._x000D_
2.	Failure of the auditor to check the schedule of periodic repairs._x000D_
3.	Use of the wagon even though the required periodic repair was not carried out on schedule._x000D_
_x000D_
III. Systemic causes:_x000D_
1.	Inadequate supervision over freight wagon maintenance by the entity in charge of maintenance (ECM). _x000D_
2.	Failure of the railway undertaking to carry out actions under the SMS after the category B11 event, wagon derailment, on 16.02.2019 at the Luban Slaski station caused by a fractured axle, in particular failure to check whether axles in other wagons operated by the railway undertaking are in working order.</t>
  </si>
  <si>
    <t>HU-5949</t>
  </si>
  <si>
    <t>Train derailment, 21-03-19, Soroksári úti rendezo (Hungary)</t>
  </si>
  <si>
    <t>The freight train derailed on a switch with 2 axles.</t>
  </si>
  <si>
    <t>Soroksári úti rendezo</t>
  </si>
  <si>
    <t>RO-5948</t>
  </si>
  <si>
    <t>Train derailment, 23-03-19, Feldioara-Bod (Romania)</t>
  </si>
  <si>
    <t>the last but one wagon from the freight train no.20285 derailed in open line between Feldioara and Bod railway stations</t>
  </si>
  <si>
    <t>Feldioara-Bod</t>
  </si>
  <si>
    <t>Rail Cargo Carrier - România SRL</t>
  </si>
  <si>
    <t>Cauza directa _x000D_
Cauza directa a producerii acestui accident o constituie ruperea multipla ?i completa a ?inei, produsa în plan transversal prin ciuperca, inima ?i talpa, de pe firul de ?ina din partea dreapta a caii în sensul de mers a trenului ._x000D_
Factorul care a contribuit la producerea acestui accident a fost:_x000D_
Existen?a defectelor generate de starea avansata de  oboseala de contact a ?inei de cale ferata. 
Direct cause _x000D_
The direct cause of the accident is the multiple and complete breakage of the rail, happened crossly through the rail head, web and foot, from the right rail in the train running direction._x000D_
Contributing factors were:_x000D_
Existence of failures generated by the advanced rolling contact fatigue of the rail.</t>
  </si>
  <si>
    <t>Cauze subiacente _x000D_
Cauzele subiacente ale producerii acestui accident au fost: nerespectarea unor prevederi din instruc?iile ?i regulamentele în vigoare cu privire la mentenan?a caii:_x000D_
–	Art.3, a) din „Instruc?iuni pentru lucrarile de repara?ie capitala a liniilor de cale ferata – nr.303/2003”, referitor la programarea ?i execu?ia lucrarilor de repara?ie capitala atunci când: „numarul elementelor componente- ?ine, traverse, prinderi, prisma caii – uzate, defecte sau depreciate datorita traficului suportat de la introducerea în cale, depa?e?te capacitatea de in-terven?ie în puncte în cadrul lucrarilor de între?inere”;_x000D_
–	Anexa 4 din „Instruc?ia pentru între?inerea liniilor ferate nr.300/1982”, referitoare la ciclul de repara?ie periodica ?i între?inere curenta cu sau fara burajul ?i riparea intermediara;_x000D_
–	Art. 3.9, al.6 din „Instruc?ia pentru între?inerea liniilor ferate nr.300/1982”, referitor la:_x000D_
În cadrul repara?iei periodice se executa urmatoarele lucrari: ............._x000D_
 „ - repararea sau înlocuirea tuturor ?inelor defecte (încarcarea cu sudura a ?inelor patina-te, a ?inelor cu capete batute, taierea ?i polizarea bavurilor la ?ine, ?anfrenarea gaurilor de eclisare, etc)”._x000D_
 Cauze primare _x000D_
Nu a fost identificata cauza primara. 
Underlying causes _x000D_
The underlying cause of the accident was the violation of some provisions from the instructi-ons and regulations, in force, for the track maintenance:_x000D_
–	Art.3, a) from „Instruction for the overhauls at the lines – no.303/2003”, regarding the sche-dule and performance of the overhauls when: „the number of the components- rails, sleepers, fastenings, track bed –with wears, defective or deteriorated following the traffic from their put into the line, it exceeds the capacity of intervention in points within the maintenance works”;_x000D_
–	Annex 4 from „Instruction for the line maintenance no.300/1982”, regarding the cycle of pe-riodical repair and current maintenance with or without packing of sleepers and intermediary lateral displacement;_x000D_
–	Art. 3.9, paragraph 6 from „Instruction for the line maintenance no.300/1982”, regarding:_x000D_
Within the periodical repair the next works are performed: ............._x000D_
 „ – repair or replacement of the rails out of service (loading with welding of the rail dama-ged by wheel slip ,of the butt-end rails, cutting and grinding of the rail, chamfering of holes for fishplates, etc)”._x000D_
C.7.3. Root causes _x000D_
None</t>
  </si>
  <si>
    <t>NO-5955</t>
  </si>
  <si>
    <t>Other, 26-03-19, Bergensbanen, Bergeheim-Flå (Norway)</t>
  </si>
  <si>
    <t>There have been several incidents recently where lumps of ice have smashed into the sides of trains, causing windows to be broken._x000D_
_x000D_
On Wednesday 17 March, several windows on a train were broken as the train was passing through the Finse Tunnel. No passengers were injured._x000D_
_x000D_
On Tuesday 26 March, several windows on a train were broken as the train was en route from Flå to Bergheim. Several passengers were injured in this incident. 
Det har i den senere tid vært flere hendelser, hvor isklumper har slått inn i sidene på togene og forårsaket at vinduer ble knust.  _x000D_
_x000D_
Onsdag 17. mars ble flere vinduer knust i et tog mens det var inne i Finsetunnelen. Ingen passasjerer ble skadet. _x000D_
_x000D_
Tirsdag 26. mars ble flere vinduer knust i et tog mens det var på vei mellom mellom Flå og Bergheim. Flere passasjerer ble skadet i denne hendelsen.</t>
  </si>
  <si>
    <t>Bergensbanen, Bergeheim-Flå</t>
  </si>
  <si>
    <t>In two cases, on March 17 and 26, 2019, both the outer and inner glass of several windows were smashed by ice and crushed in two passenger trains on the Bergen line.</t>
  </si>
  <si>
    <t>IT-5988</t>
  </si>
  <si>
    <t>Trains collision, 28-03-19, Inverigo, line Milano Nord Cadorna - Canzo Asso (Italy)</t>
  </si>
  <si>
    <t>Collision between trains</t>
  </si>
  <si>
    <t>Inverigo, line Milano Nord Cadorna - Canzo Asso</t>
  </si>
  <si>
    <t>Simultaneous occupation of the section between Inverigo and Lambrugo-Lurago by regional trains R 1665 and R 1670</t>
  </si>
  <si>
    <t>Underlying causes_x000D_
_x000D_
1.	Critical issues relating to personnel with safety duties on board the R 1665 train_x000D_
2.	Inadequate communication to staff by the RU concerning the coaching of drivers during the training on board _x000D_
3.	Influence by the human factor on the safety level of the traffic regime in the absence of automatic train protection system (TPS) _x000D_
4.	Presence of line sections with different characteristics_x000D_
5.	Failure to align regulations, instructions and provisions concerning the procedures to be carried out by the driver and conductor for the departure of a train from a station protected by a signal._x000D_
_x000D_
Root cause_x000D_
Shortcomings in the training process provided by RU for personnel who carry out safety activities within the railway operational process</t>
  </si>
  <si>
    <t>CZ-5951</t>
  </si>
  <si>
    <t>Train derailment, 29-03-19, Kostelec u Hermanova Mestce station (Czech Republic)</t>
  </si>
  <si>
    <t>The derailment of the freight train No. 83306 (the solo running locomotive).</t>
  </si>
  <si>
    <t>Kostelec u Hermanova Mestce station</t>
  </si>
  <si>
    <t>Direct cause:_x000D_
• movement of the freight train No. 83306 through the switch No. 2; the right point blade of this switch was in unsatisfactory technical condition after repair works._x000D_
_x000D_
Contributory factor: none.</t>
  </si>
  <si>
    <t>Underlying causes:_x000D_
• improperly performed repair (grinding) of the point blade of the switch No. 2 after its welding by the contractor;_x000D_
• failure to comply with the technological procedures connected to the control activities by the employee of the IM when taking over repair works from the contractor - failure to detect the unsatisfactory condition of the point blade of the switch No. 2 after its grinding and failure to adopt safety measures._x000D_
_x000D_
Root cause:_x000D_
• absence of a clear and simple technological procedure, which would summarized a clear procedure and requirements for the parameters of the point blade takeover after its welding and grinding.</t>
  </si>
  <si>
    <t>CZ-5952</t>
  </si>
  <si>
    <t>Train derailment, 29-03-19, Veselí nad Moravou station (Czech Republic)</t>
  </si>
  <si>
    <t>The uncontrolled movement of the detached steam locomotive from the private siding track, its consequent collision with the buffer stop and derailment.</t>
  </si>
  <si>
    <t>Správa železnic; 
Ceske drahy a. s.</t>
  </si>
  <si>
    <t>Direct cause:_x000D_
• collapse of the inflow pipe (supplying steam to the locomotive steam engine) caused by external overpressure and rupture of the wall in the place of its thinning._x000D_
Contributory factor:_x000D_
• absence of the medium necessary to control the locomotive servomotor return device CKD and the pressure brake on the locomotive.</t>
  </si>
  <si>
    <t>Underlying causes:_x000D_
• local and considerably uneven corrosive thinning of the inflow pipe wall thickness (the inflow pipe supplies steam to the locomotive steam engine);_x000D_
• failure to detect critical thinning of the inflow pipe wall thickness (the inflow pipe supplies steam to the locomotive steam engine) and the incipient gradual elastic collapse of the pipe.</t>
  </si>
  <si>
    <t>RO-5950</t>
  </si>
  <si>
    <t>Train derailment, 29-03-19, Darste (Romania)</t>
  </si>
  <si>
    <t>the locomotive EA 268 that hauled the passenger train no.12392 derailed in Darste railway station, on the end Y of the station, on passing trough the crossover no.4-8</t>
  </si>
  <si>
    <t>Darste</t>
  </si>
  <si>
    <t>Cauza directa a producerii accidentului o constituie escaladarea flancului interior al ?inei de catre roata conducatoare a vehicului feroviar motor, ca urmare a unei cumulari de factori contributori._x000D_
Factorii care au contribuit la producerea accidentului au fost:_x000D_
-  diferen?a de nivel între liniile directe ale diagonalei 4-8;_x000D_
- diferen?a între valorile ordonatei curbei schimbatorului de cale nr.4 în raport cu valorile  ordonatelor teoretice; _x000D_
- nerespectarea distan?ei minime admise între axele liniilor directe II ?i III în capatul Y al sta?iei CFR Dârste;_x000D_
- lungimea inadecvata (mai scurta) a panoului de cale dintre schimbatoarele de cale nr.4 ?i nr.8;_x000D_
- varia?ii ale valorilor ecartamentului caii în cuprinsul schimbatoarelor de cale nr.4 ?i nr.8 ?i a panoului dintre ele, peste valoarea admisa;_x000D_
- starea tehnica necorespunzatoare a unor traverse din cuprinsul schimbatoarelor de cale nr.4 ?i nr.8 ?i a panoului dintre ele (dintre care la rând patru buca?i în zona inimii de încruci?are a schimbatorului de cale nr.4),  în zona de fixare a placilor metalice, cu afectarea starii prinderilor placilor metalice de traverse;_x000D_
- absen?a lubrifierii suprafe?ei de contact dintre roata ?i ?ina ca urmare a nefunc?ionarii instala?iei de uns buza bandajului a locomotivei coroborat cu absen?a ungatoarelor de ?ina care au avut ca efect cre?terea coeficientului de frecare dintre cele doua suprafe?e de contact ?i implicit cre?terea for?ei de ghidare;_x000D_
- func?ionarea necorespunzatoare a amortizoarelor hidraulice, ale locomotivei EA nr.268, fapt ce a    avut ca efect cre?terea oscila?iilor neamortizate datorate neregularita?ilor caii. 
The direct cause of the accident was the climbing of the gauge face of the rail by the leading wheel of the hauling vehicle, following a cumulation of contributing factors._x000D_
Contributing factors were:_x000D_
- the level difference between the direct lines of the cross over 4-8;_x000D_
- the difference between the values of the ordinate of the curve of the switch no.4 in comparison with the values of the theoretical ordinates; _x000D_
- non meeting with the minimum accepted distance between the centres of the direct lines II and III, at the end Y of the railway station Dârste;_x000D_
- improper length (shorter) of the track panel between switches no.4 and no.8;_x000D_
- variations of the gauge values within the switches no.4 and no.8 and of the track panel between them, over the accepted value;_x000D_
- improper technical condition of some sleepers within the switches no.4 and no.8 and of the track panel between them (from which 4 consecutive sleepers within the common crossing of the switch no.4), in the area of the metallic plate fastening, affecting the condition of the fastening of the metallic plates on the sleepers;_x000D_
- lack of lubrication on the contact surface between the wheel and the rail, following the not-working of the equipment for the lubrication of the wheel flange of the locomotive, corroborated with the lack of the lubrication equipments  for rail that lead to the increase of the friction rate between those two contact surfaces and implicitly the increase of the guiding force;_x000D_
- improper working of the hydraulic damper of the locomotive EA no.268, it leading to the increase of the undamped oscillations generated by the track irregularities.</t>
  </si>
  <si>
    <t>Cauzele subiacente ale producerii accidentului au fost nerespectarea unor prevederi din instruc?iile ?i regulamentele în vigoare, respectiv:_x000D_
1.	Instruc?ia de norme ?i toleran?e pentru construc?ia ?i între?inerea caii - linii cu ecartament normal - nr.314/1989, Art.15, pct.18, referitor la condi?iile tehnice generale pentru aparatele de cale, Art.15.4.d referitor la amplasarea aparatelor de cale, Art.19.2, referitor la dimensiuni ?i toleran?e la aparatele de cale ?i Art.20 (g), referitor la defecte care impun scoaterea aparatelor de cale din func?ie._x000D_
2.	Regulamentul de Exploatare Tehnica Feroviara - RET - nr.002-2001 Art. 29-(3), referitor la, distan?a între axele liniilor vecine în aliniament în sta?ii._x000D_
3.	Catalogul de „Aparate de cale APCAROM, edi?ia I – 1983 referitor la valorile prescrise pentru ordonatele ?inei de legatura exterioara a curbei liniei deviate a aparatului de cale nr.47._x000D_
4.	Specifica?ia tehnica cod ST 31-2016, partea B, pct.14, referitor la verificarea func?ionarii instala?iei de uns buza bandajului ro?ilor locomotivei EA nr.268;_x000D_
5.	Normativul feroviar  67-006:2011 "Vehicule de cale ferata. Tipuri de revizii ?i repara?ii planificate.  Normele de timp sau normele de kilometri parcur?i pentru efectuarea reviziilor ?i repara?iilor planificate”, aprobat prin Ordinul Ministrului Transporturilor ?i Infrastructurii nr.315/2011 modificat ?i completat prin Ordinul MTI nr.1359/2012, capitolul 3, referitor la:_x000D_
• retragerea din serviciu a locomotivei EA nr.268 la atingerea normei de timp prevazuta pentru efectuarea repara?iilor planificate;_x000D_
• respectarea ciclului de repara?ii planificate pentru locomotiva EA nr.268._x000D_
6.	Procedura opera?ionala cod PO-0-7.1-14 de?inuta de SNTFC „CFR Calatori” SA, pct.4.7.5 ?i Anexa nr.4, referitor la periodicitatea efectuarii repara?iilor planificate. _x000D_
Cauzele primare ale producerii accidentului au fost:_x000D_
-	absen?a unor prevederi referitoare la verificarea pozi?ionarii duzelor/pulverizatoarelor de vaselina/ulei ale instala?iei de uns buza bandajului ?i la necesitatea func?ionarii acestei instala?ii dupa finalizarea ac?iunii de reprofilare; _x000D_
-	întocmirea necorespunzatoare a procedurii opera?ionale cod PO-0-7.1-14, în sensul ca, aceasta nu con?ine prevederi concrete referitoare la masurile ce trebuie luate în cazul în care materialul rulant atinge norma de timp/kilometri pentru efectuarea repara?iilor planificate;_x000D_
-	neefectuarea ac?iunii de apreciere a riscurilor pentru activitatea de reprofilare a suprafe?elor de rulare a osiilor montate de catre proprietarul strungului subteran;_x000D_
- neidentificarea de catre administratorul de infrastructura feroviara publica a pericolului existen?ei unui coeficient mare de frecare între ?ina ?i suprafe?ele de rulare reprofilate pe  strungul subteran al unita?ii de trac?iune aflata în zona;_x000D_
- nerespectarea prevederilor Ordinului MT nr.535/2007 (cu completarile ?i modificarile ulterioare) privind aprobarea normelor pentru acordarea certificatelor de siguran?a în vederea efectuarii serviciilor de transport feroviar pe caile ferate din România, Anexa – NORME pentru acordarea certificatelor de siguran?a Art.19(3), Art.15(4), pct.12 – referitor la documentele justificative necesare în vederea reînnoirii certificatelor de siguran?a. 
Underlying causes of the accident were the violations of the provisions from the instructions and regulations in force, respectively:_x000D_
1.	Instruction of norms an tolerances for the track construction and maintenance - tracks with standard gauge - no.314/1989, Art.15, point 18, regarding the general technical conditions for the switches, Art.15.4.d regarding the lay out of the turnouts, Art.19.2, regarding the sizes and tolerances of the turnouts and Art.20 (g), regarding the failures that impose the taking out of service of the turnouts._x000D_
2.	Regulations for the Railway Technical Operation - RET - no.002-2001 Art. 29-(3), regarding the distance between the centerlines of the close tracks in the railway stations._x000D_
3.	Catalogue „Turnouts APCAROM, edition I – 1983 regarding the values established for the ordinates of the closure rail of the diverging track curve of the turnout no.47._x000D_
4.	Technical Specification code ST 31-2016, part B, point 14, regarding the checking of the working of the equipment for the wheel flange lubrication from the locomotive EA no.268;_x000D_
5.	Technical Norm 67-006:2011 "Railway vehicles. Types of planned inspections and repairs.  Norms of time or norm of km ran for the performance of the planned inspections and repairs”, approved by the Order of the Minister of Transports and Infrastructure no.315/2011, amended by the Order of Minister of Transports and Infrastructure no.1359/2012, chapter 3, regarding:_x000D_
• withdrawal from service of the locomotive EA no.268 when it reaches the norm of time stipulated for the performance of the planned repairs;_x000D_
• compliance with the cycle of planned repairs for the locomotive EA nr.268._x000D_
6.	Operational procedure code PO-0-7.1-14 got by SNTFC „CFR Calatori” SA, point 4.7.5 and Annex no.4, regarding the periodicity for the performance of the planned repairs. _x000D_
 Root causes_x000D_
Root causes of the accident:_x000D_
-	lack of some provisions regarding the checking of the position of the nozzles/grease spray nozzles/oil of the equipment for lubricating the flange of wheel and the need of working of this equipment after the reprofiling; _x000D_
-	improperly working out of the operational procedure code PO-0-7.1-14, that is, it does not contain concrete provisions regarding the measures that have to be taken in case the rolling stock reaches the norm of time/km for the performance of the planned repairs;_x000D_
-	lack of action for the assessment of the risks for the reprofiling of the running surfaces of the wheelset by the owner of the underground lathe;_x000D_
-non-identification by the administrator of the public railway infrastructure of the existence danger of a high rate of friction between the rail and the running surfaces reprofiled in the underground lathe of the traction unit existing in that area;_x000D_
- violation of the provisions of the Order of Minister of Transports no.535/2007 (with further amendments) regarding the approval of the norms for granting the safety certificates for the performance of railway transports in Romania, Annex – Norms for granting the safety certificates  Art.19(3), Art.15(4), pct.12 – regarding the supporting documents necessary for the renewal of the safety certificates.</t>
  </si>
  <si>
    <t>CZ-5953</t>
  </si>
  <si>
    <t>Trains collision, 01-04-19, Brno, Masná tram stop (Czech Republic)</t>
  </si>
  <si>
    <t>Collision of the trolleybus No. 33 with the oncoming tram (service ride) in Brno, in
the area of the road crossing Masná, Křenová and Koželužská streets</t>
  </si>
  <si>
    <t>Brno, Masná tram stop</t>
  </si>
  <si>
    <t>Tramway / Light rail; 
Other</t>
  </si>
  <si>
    <t>Dopravní podnik města Brna, a. s.</t>
  </si>
  <si>
    <t>Total damage CZK 2 056 505,- (EUR 81 029,-)</t>
  </si>
  <si>
    <t>Article 20.2 of Directive (EU) 2016/798 – (a)</t>
  </si>
  <si>
    <t>• sudden deflection of the trolleybus into the route of the tram moving in the opposite direction, due to immediate loss control of the front axle of the trolleybus because of a technical fault – break of part of the stud bolt in the attachment of the lower beam of the right front wheel.</t>
  </si>
  <si>
    <t>Underlying cause:
• use of the rolling stock in a technical condition which did not correspond to the approved competence – application of the stud bolts to attach the front axle arms to the trolleybus frame, which were not correspond their parameters to the production documentation and it had a production defect.
Root cause: none.</t>
  </si>
  <si>
    <t>DE-5962</t>
  </si>
  <si>
    <t>Train derailment, 02-04-19, Birkenwerder (Germany)</t>
  </si>
  <si>
    <t>Am 02.04.2019 gegen 19:26 Uhr entgleiste die Zugfahrt RB 18479 des Eisenbahnverkehrsunternehmens DB Regio AG auf der Fahrt von Oranienburg nach Potsdam Hauptbahnhof bei der Einfahrt in den Bahnhof (Bf) Birkenwerder (b. Berlin) in der Weiche 28 mit allen Radsätzen des vorderen Drehgestells.</t>
  </si>
  <si>
    <t>Bf Birkenwerder (b. Berlin)</t>
  </si>
  <si>
    <t>Es wurden keine Personen getötet oder verletzt. Es entstanden Schäden an der Infrastruktur und am entgleisten Fahrzeug,</t>
  </si>
  <si>
    <t>Die Ursache für die Zugentgleisung war ein Arbeitsfehler der Fdl, die eine Zugfahrt auf Befehl zuließ, obwohl die Fahrstraße nicht gesichert war.</t>
  </si>
  <si>
    <t>DE-5959</t>
  </si>
  <si>
    <t>Trains collision, 05-04-19, Emden Rbf (Germany)</t>
  </si>
  <si>
    <t>EZ 50783 (DB Cargo AG) von Emden Hbf VW nach Seelze Rbf kollidierte bei der Abfahrt aus Gleis 145 durch Rückwärtsfahrt mit einem im rückwärtigen Stumpfgleis 179 stehenden Tfz  der Baureihe 294 (DB Cargo AG). 
EZ 50783 (DB Cargo AG) from Emden Hbf VW to Seelze Rbf collided during departure from track 145 by reversing with a class 294 vehicle (DB Cargo AG) standing in the rear stub track 179.</t>
  </si>
  <si>
    <t>Die Kollision des Güterzuges mit dem stehenden Tfz wurde durch einen Arbeitsfehler des Tf des Zuges 50783 verursacht. Dieser ha?e den Zug rückwärts in Bewegung gesetzt. 
The collision of the freight train with the standing TF was caused by a working fault of the TF of train 50783. This one set the train backwards in motion.</t>
  </si>
  <si>
    <t>RO-5956</t>
  </si>
  <si>
    <t>Fire in RS, 06-04-19, Sangeorgiu Nou (Romania)</t>
  </si>
  <si>
    <t>the Diesel Multiple Unit AMX 1602 that has composed the passenger train no.16013 caught fire in Sangeorgiu Nou railway station</t>
  </si>
  <si>
    <t>Sangeorgiu Nou</t>
  </si>
  <si>
    <t>Cauza directa a producerii accidentului feroviar o constituie aprinderea materialului filtrant din bateria de filtre de aer al circuitului turbosuflantei motorului diesel. _x000D_
Factorul care a contribuit la producerea accidentului a fost propagarea, sub efectul vântului, a scânteilor provenite de la incendiul de vegetatie din imediata apropiere a firelor caii ferate. 
Direct cause of the railway accident was the ignition of the filter material from the set of air filters of the of the turbo compressor circuit from the diesel engine. _x000D_
Factors contributing the accident was the extension, under the wind conditions, of the sparks resulting from the vegetation fire close to the rails.</t>
  </si>
  <si>
    <t xml:space="preserve">Cauze subiacente_x000D_
Nu au fost identificate cauze subiacente ale producerii acestui accident._x000D_
Cauze primare_x000D_
Nu au fost identificate cauze primare ale producerii accidentului. 
</t>
  </si>
  <si>
    <t>BG-5957</t>
  </si>
  <si>
    <t>Fire in RS, 09-04-19, Rail section Svoboda - Chirpan (Bulgaria)</t>
  </si>
  <si>
    <t>On April 9, 2019, FT 8602, consisting of 5 wagons, 20 axles, mass 237 tons, serviced by electric locomotive ? 46221.8, run on a schedule in the direction of Bourgas - Plovdiv - Sofia. At 19:00 in the rail section Svoboda - Chirpan a fast stop action of the train was taken due to the sharp smell of the smoke in the locomotive sensed. It was figured out that a fire had occurred in the engine compartment within the compressor area. Two fire extinguishers with carbon dioxide were used, but the fire continued to grow. The locomotive was separated from the wagons at a safe distance and at 20:30 the fire was quenched by a team of ?he Fire Safety And Protection of the Population Service. Movement of the trains was stopped from 19:00 to 23:20 hrs. No passengers and staff were injured. Limited material damage was caused to the engine room of the electric locomotive.</t>
  </si>
  <si>
    <t>Rail section Svoboda - Chirpan</t>
  </si>
  <si>
    <t>the cause of fire in the locomotive was due to a loosening and displacement of the cooling turbine from the shaft of the main compressor engine which has led to a friction of its rear part  into the wall of the air outlet camera. The friction between the two surfaces (steel in steel) has created sparks, resulting in a flame and the temperature in the cameras has risen.</t>
  </si>
  <si>
    <t>This has led to the ignition of the greased dust layered on the noise insulation of the inside walls of the compressor's cameras. The ignited insulation has further increased the temperature which has led to the ignition of the power cable insulation supplying the compressor unit that passes through the base of the duct cameras.</t>
  </si>
  <si>
    <t>FR-5989</t>
  </si>
  <si>
    <t>Level crossing accident, 11-04-19, Pavilly (France)</t>
  </si>
  <si>
    <t>NIB FR</t>
  </si>
  <si>
    <t>Express regional train hits, at a speed of 110 km/h, a car at a level crossing with barriers.
The two passagers of the car are severly injuried.</t>
  </si>
  <si>
    <t>Pavilly</t>
  </si>
  <si>
    <t>SNCF Voyageurs</t>
  </si>
  <si>
    <t>SNCF Réseau</t>
  </si>
  <si>
    <t>The light vehicle was reduced to a wreck. The train suffered damage to the locomotive and the first four coaches.</t>
  </si>
  <si>
    <t>entry of the car onto the crossing at the time of its activation in the context of normal operation of the crossing facilities, and its crossing at very low speed</t>
  </si>
  <si>
    <t>DE-5963</t>
  </si>
  <si>
    <t>Train derailment, 12-04-19, Joachimsthal (Germany)</t>
  </si>
  <si>
    <t>Am 12.04.2019 gegen 08:38 Uhr entgleiste der Reisezug DPN 61357 des Eisenbahnverkehrsunternehmens Niederbarnimer Eisenbahn Betriebsgesellschaft mbH auf der Fahrt von Eberswalde nach Templin im Bahnhof (Bf) Joachimsthal auf der Weiche 1.</t>
  </si>
  <si>
    <t>Joachimsthal</t>
  </si>
  <si>
    <t>Personen wurden weder getötet noch verletzt. Es entstanden Sachschäden an der Infrastruktur und am beteiligten Fahrzeug.</t>
  </si>
  <si>
    <t>Die ursprüngliche Ursache für die Zugentgleisung war die nicht erfolgte Festlegung der Fahrstraße a². Aufgrund dessen ging das Esig A nicht in Fahrtstellung. Die Fdl-in erkannte die Ursache nicht und erteilte dem Triebfahrzeugführer des Zuges DPN 61357 den Befehl Nr. 2. Danach führte sie die Zugbeobachtung fehlerhaft durch und löste die Fahrstraße auf, bevor der Zug zum Halten gekommen war. Anschließend stellte sie die Weiche 1 um, während der Zug diese befuhr.</t>
  </si>
  <si>
    <t>CZ-5958</t>
  </si>
  <si>
    <t>Trains collision, 13-04-19, Vlecka - prístav Melník siding (Czech Republic)</t>
  </si>
  <si>
    <t>Unsecured movement of the shunting operation with consequent collision with detached rolling stocks, derailment of four rolling stocks and fire.</t>
  </si>
  <si>
    <t>Vlecka - prístav Melník siding</t>
  </si>
  <si>
    <t>Ceské prístavy</t>
  </si>
  <si>
    <t>Direct cause:_x000D_
• incorrectly setting of shunting route._x000D_
_x000D_
Contributory factors:_x000D_
• failure to comply running at sight among others by not adjusting the speed of the shunting operation;_x000D_
• failure to tracking of the signals and failure to acting on the basis of finding facts.</t>
  </si>
  <si>
    <t>Underlying causes:_x000D_
• failure to comply of technological procedures – unchecked the right route setting by the supervisor of the shunting operation;_x000D_
• failure to comply of technological procedures for steering of locomotive by the train driver.</t>
  </si>
  <si>
    <t>DE-6083</t>
  </si>
  <si>
    <t>Trains collision, 13-04-19, Düsseldorf Abstellbahnhof (Germany)</t>
  </si>
  <si>
    <t>Am 13.04.2019 gegen ca. 13:23 Uhr kollidierte der Leerreisezug RE-D 5106 während der Aus-fahrt aus dem Bahnhof (Bf) Düsseldorf Abstellbahnhof in Richtung Düsseldorf Hbf, auf der Weiche 17, mit dem zur gleichen Zeit ausfahrenden Zug DLr 92365. 
On 13. 04. 2019 against approx. At 13:23 pm the empty train RE-D 5106 collided with the train DLr 92365 leaving the station (Bf) Düsseldorf Abstellbahnhof in direction Düsseldorf Hbf, on the turnout 17, while leaving the station at the same time.</t>
  </si>
  <si>
    <t>Düsseldorf Abstellbahnhof</t>
  </si>
  <si>
    <t>Abellio Rail NRW GmbH; 
DB Regio AG</t>
  </si>
  <si>
    <t>Ursächlich für das Ereignis war die Abfahrt des Zuges RE-D 5106 aus Gleis 17 ohne Zustimmung des Fahrdienstleiters. 
The cause of the incident was the departure of the train RE-D 5106 from track 17 without the approval of the dispatcher.</t>
  </si>
  <si>
    <t>UK-5968</t>
  </si>
  <si>
    <t>Runaway, 16-04-19, Beddgelert (United Kingdom)</t>
  </si>
  <si>
    <t>At around 09:15 hrs on Tuesday 16 April 2019, a light diesel locomotive which was descending a 1 in 40 gradient towards Beddgelert station on the Ffestiniog and Welsh Highland Railway, was unable to slow down._x000D_
The locomotive was travelling at around 10 mph (16 km/h) for 1.25 miles (2 km) without the driver being able to reduce its speed. It passed over a number of open level crossings, through Beddgelert station, past a signal placed at danger and into a single line section without authorisation. The locomotive stopped when the gradient levelled out 0.6 miles (1 km) after the station. There were no injuries.</t>
  </si>
  <si>
    <t>Beddgelert</t>
  </si>
  <si>
    <t>The locomotive’s brakes could not apply sufficient brake force to stop on a 1 in 40 gradient (paragraph 47).</t>
  </si>
  <si>
    <t>The causal factors were:_x000D_
a) there was a mechanical foul in all four brake mechanisms which limited the movement of the brake blocks and thus the force between the brake blocks and the wheels when the brakes were applied (paragraph 50), which occurred due to a combination of the following factors;_x000D_
i. FRC had modified the locomotive’s brake system, unintentionally reducing the clearance between the outboard brake linkages and brake hangers (paragraph 54, Recommendation 1, Learning point 1);_x000D_
ii. the brake blocks and wheels were partly worn (paragraph 60); and_x000D_
iii. the issue of the reduced clearance has not been previously detected by the railway (paragraph 64)._x000D_
b) the locomotive was being driven light and therefore was reliant solely on the capability of its own brakes (paragraph 72); and_x000D_
c) there was lowered friction between the brake blocks and wheels due to the wet conditions (paragraph 69)._x000D_
Underlying factor_x000D_
97 FRC did not have a robust engineering change management process in place when modifications to the braking system were made (paragraph 75, Recommendations 1 and 4, Learning points 1 and 2).</t>
  </si>
  <si>
    <t>CZ-5964</t>
  </si>
  <si>
    <t>Accident to persons caused by RS in motion, 19-04-19, Ústí nad Orlicí station (Czech Republic)</t>
  </si>
  <si>
    <t>The disembarkation of the passenger from the moving regional passenger train No. 5021, his fall into the track and the consequent collision with the freight train No. 59099.</t>
  </si>
  <si>
    <t>Ceské dráhy; 
UNIPETROL DOPRAVA</t>
  </si>
  <si>
    <t>Direct causes:_x000D_
• the passenger’s effort to get off the moving regional passenger train No. 5021 at the platform area;_x000D_
• behavior of the train conductor who permitted departure of the regional passenger train No. 5021 with the unclosed boarding door._x000D_
Contributory factor:_x000D_
• the effect of alcohol on behavior of the passenger.</t>
  </si>
  <si>
    <t>Underlying causes:_x000D_
• the risky behavior of the passenger who did not follow the legal regulations and the contractual conditions of carriage of the RU;_x000D_
• failure to ensure the technological procedures of the RU by the train conductor of the regional passenger train No. 5021 when performing the procedures for the train departure from Ústí nad Orlicí station._x000D_
Root cause: none.</t>
  </si>
  <si>
    <t>PT-5990</t>
  </si>
  <si>
    <t>Runaway, 19-04-19, Albergaria dos Doze (Portugal)</t>
  </si>
  <si>
    <t>A road-rail excavator from a track maintenance service provider, working at Albergaria dos Doze station for the IM, ran away towards north, taking advantage of the track gradient._x000D_
_x000D_
The runaway was quickly detected by the IM's Operational Command Center, which took the necessary measures to protect the route and to direct the vehicle to a headshunt at Pombal-Resguardo, where it derailed after traveling alone for about 19 km, six of which on track open for operation._x000D_
The road-rail vehicle operator suffered minor injuries and there was minor damage to the vehicle. 
Uma escavadora giratória rail-route de um prestador de serviços de manutenção de via, que realizava trabalhos na estação de Albergaria dos Doze por conta do gestor da infraestrutura, ficou desgovernada e prosseguiu à deriva para linha aberta a exploração em direção a Norte, tirando partido da pendente da via. _x000D_
A situação foi rapidamente detetada pelo CCO, que tomou as medidas necessárias para proteger o trajeto e encaminhar o veículo para uma linha de topo na dependência de Pombal-Resguardo, onde descarrilou após ter percorrido sozinho cerca de 19 km em via aberta à exploração. _x000D_
Do acidente não resultaram vítimas nem danos importantes.</t>
  </si>
  <si>
    <t>Albergaria dos Doze</t>
  </si>
  <si>
    <t>ES-6255</t>
  </si>
  <si>
    <t>Unauthorised train movement other than SPAD, 20-04-19, Mataró (Spain)</t>
  </si>
  <si>
    <t>The incident occurred in a seaside line, where waves can reach the tracks quite often and cause a false occupation of track circuits. In this circumstances block system doesn't allow movements (as it considers "occupied tracks"), so signallers have to manually give authorisation to trains, by phone messages. The day of the incident, the signaller on duty wrongly authorised an exit itinerary to a track that was actually occupied by a real train (not a false occupation)._x000D_
The Spanish NIB decided to conduct a preliminary enquiry on this occurrence before deciding whether to make an investigation report or not. Preliminary enquiry has concluded and the NIB has decided to do a complete investigation report on this incident, so it is notified now to EUAR.</t>
  </si>
  <si>
    <t>Mataró</t>
  </si>
  <si>
    <t>RO-5960</t>
  </si>
  <si>
    <t>Train derailment, 20-04-19, Navodari - Constanta Marfuri (Romania)</t>
  </si>
  <si>
    <t>the 4th wagon of the freight train no 89970 derailed in open line between Navodari and Constanta Marfuri railway stations</t>
  </si>
  <si>
    <t>Navodari - Constanta Marfuri</t>
  </si>
  <si>
    <t>Cauza directa _x000D_
Cauza directa a producerii accidentului feroviar o constituie caderea primei roti de pe partea stânga sens de mers de la al doilea boghiu, între firele caii, de pe firul interior al curbei datorita depasirii valorii maxime admise a ecartamentului caii peste limita toleran?ei admise în exploatare. _x000D_
_x000D_
Factori care au contribuit_x000D_
Starea tehnica necorespunzatoare a caii determinata de men?inerea în exploatare, în zona producerii deraierii, a unor traverse normale de lemn a caror stare tehnica impunea înlocuirea acestora ?i prisma de piatra sparta era colmatata. 
Direct cause _x000D_
The direct cause of the accident was the fall of the left wheel of the second bogie, in the running direction, between the rails, from the inner rail of the curve, following the exceeding of the maximum accepted value of the gauge over the tolerance limit accepted in operation. _x000D_
_x000D_
Contributing factors_x000D_
Unsuitable technical condition of the track, generated by keeping in operation, at the derailment site, of some wooden sleepers, whose technical condition was imposing their replacement and the track bed was choked.</t>
  </si>
  <si>
    <t>Cauze subiacente _x000D_
- nerespectarea prevederilor art.25, pct.4 din „Instructia de norme si tolerante pentru constructia caii, linii cu ecartament normal nr.314/1989” prin care sunt stabilite conditiile pentru mentinerea în exploatare a traverselor de lemn._x000D_
- nerespectarea prevederilor art.1.13 din „Instructia de norme si tolerante pentru constructia caii ,linii cu ecartament normal nr.314/1989”,referitoare la faptul ca „Ecartamentul caii nu trebuie sa fie în nici un caz mai mare de 1470mm sau mai mic de 1432mm._x000D_
-  nerespectarea prevederilor Fi?elor nr.3 ?i nr.4 din Instruc?ia 305/1997 „ privind fixarea termenelor ?i a ordinii în care trebuie efectuate reviziile caii” referitoare la modul de efectuare a reviziilor caii;_x000D_
- nu sunt respectate regulile ?i atribu?iile de baza cuprinse în ROF în capitolul B.2 subcapitolul B.2.1. punctele a)1,2,3 deoarece toate documentele prezentate nu sunt corect completate în spiritul instruc?iilor care le guverneaza;_x000D_
- nu au fost respectate prevederile „Instructiei pentru picherul sef de district de întretinere a caii” nr.323 din 1965 în sensul neîntocmirii sau completarea în mod eronat a documentelor primare care stau la baza tuturor lucrarilor ce trebuiesc programate,  executate si supravegheate de catre picher._x000D_
_x000D_
Cauza primara _x000D_
Nu au fost constatate cauze primare. 
Underlying causes _x000D_
- violation of the provisions of art.25, point 4 from „Instruction of norms and tolerances for the track construction, lines with standard gauge no.314/1989” that establishes the conditions for keeping the wooden sleepers in operation._x000D_
- violation of the provisions of art.1.13 from „Instruction of norms and tolerances for the track construction, lines with standard gauge no.314/1989”, with reference to „The track gauge has not to be no way over 1470 mm or under 1432 mm._x000D_
-  violation of the provisions of Sheets no.3 and no.4 from the Instruction 305/1997 „ regarding the establishing of deadlines and order for the performance of the track inspections” concerning the performance of the track inspection;_x000D_
- the rules and the basic tasks included in ROF, chapter B.2, subchapter B.2.1, points a)1,2,3 were not met with, because all the submitted documents are not properly filled in, in accordance with the instructions regulating them;_x000D_
- the provisions of „Instruction for the lineman, head of district in charge with the track maintenance” no.323 from 1965, that is the lack of drawing out or wrong filling of the primary documents, basis for all works that have to be scheduled, performed and surveyed by the lineman._x000D_
_x000D_
_x000D_
Root causes_x000D_
 None</t>
  </si>
  <si>
    <t>UK-5971</t>
  </si>
  <si>
    <t>Unauthorised train movement other than SPAD, 20-04-19, Balham (United Kingdom)</t>
  </si>
  <si>
    <t>An operational irregularity occurred just after 19:00 hrs on Saturday 20 April 2019 near Balham station, in south London. A passenger train, running from London Victoria to East Grinstead, passed across a junction less than two minutes before an engineering train that was travelling in the opposite direction. The engineering train, formed of an on track machine known as a tamper, was making an un-signalled move that had not been correctly authorised when it left a possession (in which a section of line had been closed to railway traffic to allow engineering work to take place). There were no injuries or other adverse consequence although, if the circumstances had been slightly different, there was the potential for the two trains to have collided.</t>
  </si>
  <si>
    <t>Colas Rail</t>
  </si>
  <si>
    <t>The tamper came out of the possession on the wrong line, having not been crossed over to the correct line (paragraphs 64 to 65).</t>
  </si>
  <si>
    <t>The causal factors were:_x000D_
a. The day PICOP provided inaccurate information about the position of the tamper (paragraphs 67 to 70, Recommendations 1, 3, and 4);_x000D_
b. The tamper driver and conductor driver did not query the instructions provided by the day PICOP (paragraphs 71 to 74, no recommendation);_x000D_
c. Signallers 1 and 2 did not query the instructions provided by the night PICOP (paragraphs 75 to 85, see actions taken paragraph 143b, Recommendations 1, 2, 3 and 4);_x000D_
d. The standard of safety critical communications throughout was well below that expected during safety critical communications, resulting in no party having a clear understanding of the location of the tamper or the actions to be taken (paragraphs 86 to 91, Recommendation 1); and_x000D_
e. The PICOPs’ working environment may have resulted in distraction and the loss of paperwork. This is a possible causal factor (paragraphs 92 to 95, see actions taken, paragraph 143b, Recommendation 4)._x000D_
Underlying factors_x000D_
139 The underlying factors were:_x000D_
a. Network Rail’s oversight of the performance of contractors that it uses as PICOPs has been ineffective, and is a possible underlying factor (paragraphs 96 to 102, Recommendations 3 and 4);_x000D_
b. Network Rail and Vital’s management of PICOP performance and competence was ineffective. This is a probable underlying factor (paragraphs 103 to 106, no recommendation, see actions taken, paragraphs 141i, 141ii, 141iv, 141v);_x000D_
and_x000D_
c. The railway industry’s strategy for improving and maintaining the standard of safety critical communications has been ineffective, and has not changed the work force culture or secured the adoption of good practice in respect of communications with and between infrastructure operations staff (paragraphs 107 to 116, Recommendations 1 and 4).</t>
  </si>
  <si>
    <t>RO-5961</t>
  </si>
  <si>
    <t>Train derailment, 21-04-19, Resita Nord -Vasiova (Romania)</t>
  </si>
  <si>
    <t>2 wagons from the freight train no. 69492-1 derailed in open line between Resita Nord and Vasiova railway stations</t>
  </si>
  <si>
    <t>Resita Nord -Vasiova</t>
  </si>
  <si>
    <t>Cauza directa_x000D_
Cauza directa a accidentului feroviar produs la km 57+230 pe linia curenta Vasiova – Re?i?a Nord o constituie parasirea suprafe?ei de rulare a ciupercii ?inei de la firul interior al curbei, de catre roata de atac R1, respectiv roata din partea stânga a primei osii de la primul boghiu al celui de al 14-lea vagon aflat dupa locomotiva, ?i caderea acesteia în interiorul caii de rulare._x000D_
Acest lucru s-a produs în condi?iile în care starea tehnica a traverselor de lemn din zona accidentului feroviar era necorespunzatoare, permi?ând cre?terea ecartamentului caii peste valoarea maxima admisa, sub ac?iunea for?elor dinamice transmise de catre ro?ile materialului rulant aflat în circula?ie.  _x000D_
Factori care au contribuit:_x000D_
-	men?inerea în cale a 7 traverse de lemn necorespunzatoare consecutive, pe zona producerii deraierii, care nu mai asigurau strângerea tirfoanelor la placile metalice aflate pe capetele traverselor dinspre firul exterior al curbei; _x000D_
-	depa?irea sarcinii maxime admisa pe osie la vagonul nr. 33876735756-3 (care era încarcat cu fonta bruta), situat al 14-lea dupa locomotiva trenului de marfa nr.69492-1. 
Direct cause_x000D_
The direct cause of the accident happened at km 57+230, on the running line Vasiova – Re?i?a Nord, was the guiding wheel R1, that is the left wheel of the first axle from the first bogie of the 14th wagon , after the locomotive, left the running surface of the head of the inner curve rail, and fall inside the track._x000D_
It happened following the improper technical condition of the wooden sleepers from the accident site, allowing the growth of the track gauge over the maximum accepted value, under the action of the dynamic forces transmitted by the wheels of the rolling stock in running.  _x000D_
Contributing factors:_x000D_
-	keeping within the track of 7 improper wooden sleepers, consecutively, at the derailment site, that did not ensure the fastening of the screws at the metallic plates that were at the ends of the sleepers from exterior rail of the curve; _x000D_
-	exceeding of the maximum load accepted on the axle at the wagon no. 33876735756-3 (loaded with raw iron), being the 14th after the locomotive of the freight train no.69492-1.</t>
  </si>
  <si>
    <t>Cauze subiacente _x000D_
-	Nerespectarea prevederilor art.25, pct. 2 ?i 4 din „Instruc?ia de norme ?i toleran?e pentru construc?ii ?i între?inerea caii pentru linii cu ecartament normal” - nr.314/1989, referitoare la defectele care impun înlocuirea traverselor de lemn, respectiv la neacceptarea men?inerii în cale a unor traverse necorespunzatoare;_x000D_
-	Nerespectarea prevederilor art.3.1 ?i 3.2 din „Regulament pentru utilizarea reciproca a vagoanelor în trafic interna?ional RIV” – Anexa II „Prescrip?ii de Încarcare”, referitoare la sarcina maxima pe osie ?i limitele de încarcare._x000D_
_x000D_
_x000D_
_x000D_
Cauze primare_x000D_
-	Neaplicarea integrala a prevederilor procedurii de sistem cod PS-61 „Managementul riscurilor”, revizia 0, parte a sistemului de management al siguran?ei al gestionarului de infrastructura feroviara  neinteroperabila  SC RC - CF Trans SRL Bra?ov în legatura cu identificarea defectelor geometriei caii; _x000D_
-	Gestionarea ineficace a riscurilor generate de pericolul reprezentat de depa?irea sarcinii maxim admisa pe osie a vagoanelor (ca urmare a supraîncarcarii vagoanelor cu marfuri de catre predator) de catre operatorul de transport feroviar de marfa SC Tim Rail Cargo SRL Timi?oara; 
Underlying causes _x000D_
-	violation of the provisions of art.25, points 2 and 4 from the „Instruction of norms and tolerances for the construction and maintenance of the track for lines with standard gauge” - no.314/1989, regarding the failures that impose the replacement of the wooden sleepers, respectively the rejection of some improper sleepers from the track;_x000D_
-	violation of the provisions of art.3.1 and 3.2 from the „Regulations for the mutual use of the wagons in the international traffic RIV” – Annex II „Loading prescriptions”, regarding the maximum load on the axle and loading limits._x000D_
_x000D_
Root causes_x000D_
-	partial application of the provisions of the system procedure code PS-61 „Management of risks”, revision 0, part of the safety management system of the non-interoperable railway infrastructure manager  SC RC - CF Trans SRL Bra?ov, regarding the identification of the track geometry failures; _x000D_
-	inefficient management of the risks generated by the danger represented by the exceeding of the maximum load accepted on the wagon axle (following the wagon overloading with goods by the deliverer) by the railway freight undertaking SC Tim Rail Cargo SRL Timi?oara;</t>
  </si>
  <si>
    <t>HR-5979</t>
  </si>
  <si>
    <t>Other event, 05-05-19, Station Å krljevo (Croatia)</t>
  </si>
  <si>
    <t>At the Škrljevo Station, two containers for the carriage of goods from the waggon plateau 62006 during the ride through the station Škrljevo due to the strong wind 
U kolodvoru Škrljevo, došlo je do pada dva kontejnera za prijevoz robe sa plato vagona u sastavu vlaka 62006 prilikom vožnje kroz kolodvor Škrljevo uslijed jake bure</t>
  </si>
  <si>
    <t>Station Å krljevo</t>
  </si>
  <si>
    <t>Izravni uzrok predmetne nesrece je pad kontejnera s vagona serije Rgs uslijed jaceg naleta vjetra. 
The direct cause of the subject accident was falling containers from the Rgs series wagon due to a strong wind gust.</t>
  </si>
  <si>
    <t>Cimbenici koji su pridonijeli ovoj nesreci:  _x000D_
- geografski položaj kolodvora Škrljevo, _x000D_
- lokacija mjernog uredaja za mjerenje brzine vjetra, _x000D_
- promjene na vegetaciji i obliku zemljišta iznad kolosijeka u kolodvoru Škrljevo, _x000D_
- naleti vjetra, _x000D_
- visina kontejnera. _x000D_
Organizacijski cimbenici:  _x000D_
- nije postavljen dodatni uredaj za mjerenje brzine vjetra sukladno nastalim promjenama na okolišu oko kolodvora Škrljevo, _x000D_
- ne pravovremeno reagiranje vanjskog prometnika vlakova u kolodvoru Škrljevo na ocitane vrijednosti brzine vjetra, _x000D_
- vrijednosti mase praznih kontejnera od 40' navedenih u Uputi HŽI-451manje su od standardnih vrijednosti. 
Factors contributing to this accident: _x000D_
- geographical location of Škrljevo station, _x000D_
- location of the measuring device for measuring the wind speed, _x000D_
- changes in vegetation and land shape above the track at Škrljevo station, _x000D_
- wind gusts, _x000D_
- height of the container. _x000D_
Organizational factors: _x000D_
- no additional device for measuring wind speed has been installed in accordance with the changes in the environment around Škrljevo station, _x000D_
- non-timely response of the external train operator at the Škrljevo station to the read wind speed values, _x000D_
- the values of the mass of empty containers of 40 ' specified in the Instruction HŽI-451 are less than the standard values.</t>
  </si>
  <si>
    <t>UK-5999</t>
  </si>
  <si>
    <t>Train derailment, 06-05-19, Willesden High Level Junction (United Kingdom)</t>
  </si>
  <si>
    <t>At around 21:30 hrs on Monday 6 May 2019, an empty wagon of a northbound freight train derailed as it approached Willesden High Level Junction in north London. The wagon re-railed as it passed over points at the junction and the train continued without the driver noticing anything untoward. Network Rail became aware of the derailment at 13:56 hrs the following day when technicians went to investigate a signalling fault. They reported finding severed signalling cables and track damage._x000D_
The train was the 19:45 hrs service from Hoo Junction Up Yard, in Kent, and was carrying spoil from an engineering worksite in south-east London. It comprised a class 66 diesel-electric locomotive and 21 two-axle wagons. The wagon that derailed was the 20th from the front. It was of the MPA type.</t>
  </si>
  <si>
    <t>Willesden High Level Junction</t>
  </si>
  <si>
    <t>There was insufficient wheel load at the leading left-hand wheel of wagon MPA 394228 to prevent the wheel flanges climbing over the outer rail of the curve on Mitre Bridge Curve embankment</t>
  </si>
  <si>
    <t>The causal factors were:_x000D_
a. There was no check rail on the curve where wagon MPA 394228 derailed (paragraph 82, no recommendation)._x000D_
b. The track bed poorly supported the sleepers on the up High Level line and allowed the level of the left and right rails to drop by different amounts over a short period of time, thereby creating a track twist (paragraph 87). This causal factor arose due to:_x000D_
i. The loss of ballast support from under the sleepers of the up High Level_x000D_
line (paragraph 93, no recommendation)_x000D_
which was due to:_x000D_
ii. A known failure of the up-side slope of the Mitre Bridge Curve embankment resulting in progressive seasonal movement (paragraph 97, no recommendation)._x000D_
c. There were no measures in place to reduce the risk of a significant track twist developing rapidly (paragraph 104). This causal factor arose due to a combination of the following:_x000D_
i. The teams responsible for earthwork management and for track maintenance did not identify the risk of a significant track twist developing from the information provided by Network Rail’s routine track geometry inspection arrangements (paragraph 107, Recommendations 1 and 2)._x000D_
ii. The teams responsible for earthwork management and for track maintenance did not require that additional arrangements were put in place to monitor the movement of the track before they had been assured that the progressive seasonal movement of the embankment had ceased (paragraph 113, Recommendation 3 and Learning point 2)._x000D_
iii. Network Rail’s routine visual and other track inspection processes did not identify the risk of a significant track twist developing (paragraph 121, Learning point 1)._x000D_
d. Wagon MPA 394228 was operating with a diagonal wheel load imbalance that significantly reduced its ability to resist derailment on twisted track (paragraph 125). This causal factor arose due to a combination of the following:_x000D_
i. The arrangement for adjusting the suspension on MGR-derivative wagons is susceptible to introducing a diagonal wheel load imbalance, if not correctly set (paragraph 131, no recommendation)._x000D_
ii. A significant diagonal wheel load imbalance was not detected during routine wagon maintenance (paragraph 137, Recommendation 4 and Learning point 3)._x000D_
Underlying factor_x000D_
159 The low level of information sharing between the track maintenance and earthwork management teams meant there was no common understanding that the condition of Mitre Bridge Curve embankment presented a risk to the safe running of trains. This is a possible underlying factor.</t>
  </si>
  <si>
    <t>FR-6019</t>
  </si>
  <si>
    <t>Level crossing accident, 07-05-19, Saint-Etienne (France)</t>
  </si>
  <si>
    <t>Express regional train hits, at a speed of 100 km/h, a car, at a level crossing with barriers._x000D_
The driver of the car had time to leave the car.</t>
  </si>
  <si>
    <t>Saint-Etienne</t>
  </si>
  <si>
    <t>The direct cause of the accident was the engagement on the level crossing of the driver of the car. He went around the first half-barrier which was in the low position, then he turned right, bypassing the central separator on the left, while the level-crossing light signal was activated.</t>
  </si>
  <si>
    <t>Lack of knowledge of the location by the driver, blind tracking of information from the its navigation tool and the proximity between the level crossing and a road junction may have contributed to the collision.</t>
  </si>
  <si>
    <t>RO-5972</t>
  </si>
  <si>
    <t>Fire in RS, 07-05-19, Valea Lunga (Romania)</t>
  </si>
  <si>
    <t>the ”dead engine” locomotive EA 698 that was in the freight train composition 33901 caught fire in the railway station Valea Lunga</t>
  </si>
  <si>
    <t>Valea Lunga</t>
  </si>
  <si>
    <t>Cauza directa a producerii accidentului o constituie supraîncalzirea rulmentului motorului compresorului nr.1, ca urmare a apari?iei unor for?e mari de frecare generate de pierderea serajului dintre rulment ?i axul rotorului respectiv scutul motorului ce a avut ca urmare aprinderea resturilor de lubrifiant, a vopselei ?i a reziduurilor de ulei de compresor existente în zona casetei rulmentului. Locomotiva EA nr.698, de?i circula inactiva, avea compresoarele în stare de func?ionare._x000D_
Factorii care au contribuit_x000D_
-	men?inerea în serviciu a locomotivei EA nr.698, dupa atingerea normei de timp ?i kilometri pentru efectuarea repara?iilor planificate;_x000D_
-	lipsa capacului metalic de protec?ie a placii de borne de pe peretele din spate al blocului de aparate S7. 
-	Direct cause  of the accident is the overheating of the roller bearing from the engine of the compressor no.1, following the appearance of some high friction forces generated by the untightening between the roller bearing and the rotor shaft, respectively the engine end shield, that led to the ignition of the grease rests, of the paint and of the oil rests from the compressor, existing in the roller bearing box. The locomotive EA no.698, running as a dead on, it had the compressors in working condition._x000D_
Contributing factors_x000D_
-	keeping in operation of the locomotive EA no.698, after it has reached the norm of time and km for the performance of the planned repairs;_x000D_
-	lack of the metallic cover for the protection of the electrical panel junction box situated behind the block of equipment S7.</t>
  </si>
  <si>
    <t>Cauzele subiacente ale producerii accidentului au fost nerespectarea:_x000D_
1.	Normativului feroviar  67-006:2011 "Vehicule de cale ferata. Tipuri de revizii ?i repara?ii planificate.  Normele de timp sau normele de kilometri parcur?i pentru efectuarea reviziilor ?i repara?iilor planificate”, aprobat prin Ordinul Ministrului Transporturilor ?i Infrastructurii nr.315/2011 modificat ?i completat prin Ordinul MTI nr.1359/2012, capitolul 3, referitor la:_x000D_
•	retragerea din circula?ie a locomotivelor la atingerea normei de timp/kilometri prevazuta pentru efectuarea repara?iilor planificate,_x000D_
•	respectarea ciclului de repara?ii planificate pentru locomotive._x000D_
2.	Procedurii opera?ionale „Între?inere ?i repara?ii material rulant de trac?iune”  cod PO-74.3 de?inuta de SNTFM „CFR Marfa” SA, referitor la periodicitatea efectuarii repara?iilor planificate.  _x000D_
Cauze primare_x000D_
Cauzele primare ale producerii accidentului au fost: _x000D_
- procedura opera?ionala „Între?inere ?i repara?ii material rulant de trac?iune” cod: PO-74.3, nu con?ine prevederi concrete referitoare la masurile ce trebuie luate în cazul în care materialul rulat atinge norma de timp/kilometri pentru efectuarea repara?iilor planificate, retragerea locomotivelor din serviciu ?i îndrumarea pentru efectuarea repara?iilor planificate facându-se în limita bugetului alocat; _x000D_
- locomotiva implicata în accident a fost înscrisa în Certificatul de siguran?a, fara respectarea prevederilor Ordinului MT nr.535/2007 (cu completarile ?i modificarile ulterioare) privind aprobarea normelor pentru acordarea certificatelor de siguran?a în vederea efectuarii serviciilor de transport feroviar pe caile ferate din România, Anexa – NORME pentru acordarea certificatelor de siguran?a 26 Art.19(3), Art.15(4), pct.12 - documentele justificative necesare în vederea reînnoirii certificatelor de siguran?a. 
The underlying causes of the accident were the violation of:_x000D_
1.	Railway norm  67-006:2011 "Railway vehicles. Types of planned inspections and repairs.  Norms of time or km run for the performance of the planned inspections and repairs”, approved through the Order of Ministry of Transports and Infrastructure no.315/2011, amended through the  Order of Ministry of Transports and Infrastructure no.1359/2012, chapter 3, regarding:_x000D_
•	withdrawal from traffic of the locomotives when they reach the norm of time/km stipulated for the performance of the planned repairs,_x000D_
•	meeting with the cycle of planned repairs for locomotives_x000D_
2.	Operational procedure „Maintenance and repairs at the traction rolling stock” code PO-74.3 got by  SNTFM „CFR Marfa” SA, regarding the interval of time for the performance of the planned repairs.  _x000D_
Root causes_x000D_
The root causes of the accident were: _x000D_
- the operational procedure „Maintenance and repairs of the traction rolling stock” code: PO-74.3 does not have actual provisions regarding the measures that have to be taken in case the rolling stock reaches the norm of time/km for the performance of the planned repairs, withdrawal of the locomotives from operation and their routing for the performance of the planned repairs being done keeping with the limit of the allocated budget; _x000D_
- the locomotive involved in the accident was written down in the Safety certificate, without meeting with the provisions of the Minister of Transports provisions no.535/2007 (with further amendments) regarding the approval of the norms for the granting of the safety certificates for the performance of railway transports on Romanian railways, Annex – NORMS for the granting of the safety certificates 26 Art.19(3), Art.15(4), point 12 – supporting documents necessary for the renewal of the safety certificates.</t>
  </si>
  <si>
    <t>NO-5974</t>
  </si>
  <si>
    <t>Train derailment, 08-05-19, Oslo Central station (Norway)</t>
  </si>
  <si>
    <t>On Wednesday 8 May 2019, a locomotive derailed on points at Oslo Central Station. The locomotive was reversing a shunting unit consisting of seven wagons into track 19, when it ran over a buffer and was lifted off the rails. The buffer fell off when two passenger carriages became buffer-locked in an S-curve a few hundred metres before the derailment. The derailment caused extensive material damage, environmental emissions and several days of reduced access to tracks in the station._x000D_
_x000D_
The Accident Investigation Board Norway (AIBN) believes that the derailment was caused by a track fault in the S-curve where two of the carriages became buffer-locked prior to the derailment. The track fault arose after track work carried out in summer 2018, and shortcomings in this work led to weaknesses that made the track unstable._x000D_
_x000D_
After the derailment, Bane NOR SF did not discover the fault in the S-curve where the carriages became buffer-locked. It was not discovered until the AIBN performed on-track testing on 12 June 2019. Bane NOR SF lacked control mechanisms for uncovering the fault that arose in the S-curve._x000D_
_x000D_
The AIBN later learned that the same carriage had become buffer-locked en route from Lodalen to Oslo S in September 2018. That incident did not cause a derailment. Bane NOR SF had neither registered nor followed up the incident._x000D_
_x000D_
The AIBN submits a safety recommendation to the effect that Bane NOR should ensure that it has adapted procedures in place for inspections after track work and accidents. 
Onsdag 8. mai 2019 sporet et lokomotiv av i en sporveksel på Oslo S. Lokomotivet bakket et skift på syv vogner inn i spor 19 da det kjørte over en buffer, og ble løftet av skinnene. Bufferen falt av da to personvogner ombufret i en S-kurve noen hundre meter før avsporingen. Avsporingen medførte store materielle skader, miljøutslipp og flere dager med redusert tilgjengelighet til spor på stasjonen._x000D_
_x000D_
Havarikommisjonen mener årsaken til avsporingen var en sporfeil i S-kurven hvor to av vognene ombufret i forkant av avsporingen. Sporfeilen oppstod etter sporarbeider sommeren 2018, og disse arbeidene førte til svakheter som gjorde sporet ustabilt._x000D_
_x000D_
Etter avsporingen avdekket ikke Bane NOR SF at det var feil i S-kurven hvor ombufringen skjedde. Dette ble først oppdaget da Havarikommisjonen gjennomførte en testkjøring 12. juni 2019. Bane NOR SF manglet kontrollmekanismer for å avdekke feilen som oppstod i S-kurven._x000D_
_x000D_
Havarikommisjonen ble senere kjent med en lik ombufring med samme vogn på vei mellom Lodalen og Oslo S i september 2018. Denne hendelsen førte ikke til avsporing. Bane NOR SF hadde ikke registret og heller ikke fulgt opp dette i etterkant._x000D_
_x000D_
Havarikommisjonen fremmer en sikkerhetstilråding som retter seg mot at Bane NOR sikrer tilpassede rutiner for kontroller etter sporarbeider og ulykker.</t>
  </si>
  <si>
    <t>Oslo Central station</t>
  </si>
  <si>
    <t>The locomotive was reversing a shunting unit consisting of seven wagons into track 19, when it ran over a buffer and was lifted off the rails. The buffer fell off when two passenger carriages became buffer-locked in an S-curve a few hundred metres before the derailment.</t>
  </si>
  <si>
    <t>he Accident Investigation Board Norway (AIBN) believes that the derailment was caused by a track fault in the S-curve where two of the carriages became buffer-locked prior to the derailment. The track fault arose after track work carried out in summer 2018, and shortcomings in this work led to weaknesses that made the track unstable.</t>
  </si>
  <si>
    <t>BE-5991</t>
  </si>
  <si>
    <t>Train derailment, 09-05-19, Belsele - Sinaai (Belgium)</t>
  </si>
  <si>
    <t>On Thursday, 9 May 2019, freight train E52903 of the railway undertaking LINEAS is riding between Antwerpen-Noord and Gent-Zeehaven: it is composed of an electric locomotive and 18 wagons._x000D_
_x000D_
Around  8:43  am,  on  line  59,  near  the  town  of  Belsele,  the  first  axle  of  the  first  bogie  of  the  9th wagon breaks._x000D_
The driver does not feel or notice this breakage: the train continues its journey._x000D_
_x000D_
As a result of this breakage, parts of the wagon are dragged, and various elements of the infrastructure are damaged (sleepers, level crossings, signalling elements). Ballast is also projected and causes damages to third party properties._x000D_
At  Sinaai  station,  the  9th  wagon - which  is  crabbing - scrapes  elements  of  the  structure  of  the  platforms, causing significant damages._x000D_
_x000D_
Around 8:45 am, in his driver's cab, the driver feels that the evolution of his train is not usual and he activates the locomotive cameras towards the rear of the train and he sees the images of the derailed wagon. _x000D_
He immediately stops his train (about 4.5km further than the point where the axle breaks) and launches a GSM-R alarm.</t>
  </si>
  <si>
    <t>Belsele - Sinaai</t>
  </si>
  <si>
    <t>The derailment of wagon 31 80 2772 112-1 resulted from the breakage of the first axle of the leading bogie (in the direction of traffic).</t>
  </si>
  <si>
    <t>HU-5983</t>
  </si>
  <si>
    <t>Fire in RS, 11-05-19, Örvényes (Hungary)</t>
  </si>
  <si>
    <t>A 9727 sz. vonat hátsó motorkocsija Örvényes megállóhelyen kigyulladt. 
The train's No. 9727. rear motor car caught fire at a stop.</t>
  </si>
  <si>
    <t>Örvényes</t>
  </si>
  <si>
    <t>a)	a porlasztók résolaj vezetéke meghibásodott, ezáltal a gázolaj a rendszerbol kijutott és a PowerPack terébe áramlott, (1.14),_x000D_
b)	a kiáramlott gázolaj a levegovel keveréket alkotva, a forró kipufogórendszerhez sodródott és ott meggyulladt. 
a) the niche oil cable of the atomisers has failed, resulting in the gas oil being discharged from the system and discharged into the PowerPack space, (1.14), _x000D_
b) the discharged gas oil is a mixture with air, twisted to the hot exhaust system and ignited there.</t>
  </si>
  <si>
    <t>A kipufogórendszer szigetelés, hovédo lemez hiánya miatt a szabadba jutott gázolaj könnyen a kipufogóra tudott kerülni._x000D_
A DESIRO motorvonatokon tuzérzékelo, tuzjelzo berendezés nincs kiépítve 
Due to the lack of insulation and heat protection sheets in the exhaust system, the outdoor gas oil could easily reach the exhaust._x000D_
Fire detection and fire alarm equipment is not installed on DESIRO motortrains</t>
  </si>
  <si>
    <t>RO-5975</t>
  </si>
  <si>
    <t>Train derailment, 13-05-19, Chitila (Romania)</t>
  </si>
  <si>
    <t>the 14th wagon from the freight train no.80964 derailed in the railway station Chitila</t>
  </si>
  <si>
    <t>Tehnotrans Feroviar SRL</t>
  </si>
  <si>
    <t>Cauza directa a producerii accidentului feroviar o constituie slabirea bandajului ro?ii nr.6, urmata de rotirea ?i de deplasarea transversala a acestuia pe obada ro?ii, fapt ce a condus la modificarea accidentala a distan?ei dintre fe?ele interioare ale bandajelor ro?ilor (ecartamentul) osiei montate corespunzatoare ro?ilor 5÷6 de la vagonul nr.84539305630-2 ?i deraierea acesteia. _x000D_
Slabirea acestui bandaj s-a produs în condi?iile scaderii în timp a for?elor de strângere exercitate între bandaj ?i obada ro?ii, în urma solicitarilor termice si mecanice aparute în exploatarea osiei montate._x000D_
Factori care au contribuit_x000D_
?	men?inerea în exploatare a vagonului nr.84539305630-2, de?i acesta avea termenul de efectuare a reviziilor intermediare (RRu ?i RIF) depa?it începând cu data de 08.04.2019. _x000D_
?	inexisten?a marcajelor cu vopsea situate la 900 unul fa?a de altul pe bandajul ro?ii nr.6, fapt ce a îngreunat detectarea rotirii acestuia pe obada ro?ii cu ocazia efectuarii reviziilor tehnice ?i a probelor frânelor; 
The direct cause of the accident is the unfastening of the tyre from the wheel no.6, followed by its turning and cross movement on the wheel centre, it leading to the accidental change of the distance between the inner faces of the wheel tyres (gauge) of the wheelset corresponding to the wheels 5÷6 from the wagon no.84539305630-2 and its derailment. _x000D_
Unfastening of the tyre happened following the decrease in time of the fastening forces between the tyre and the wheel centre, following the thermic and mechanic stresses appeared in the operation of the  wheelset._x000D_
Contributing factors _x000D_
?	keeping in operation of the wagon no.84539305630-2, although it had the deadline for the performance of the intermediary inspections (RRu and RIF) exceeded starting with the 8th April 2019. _x000D_
?	lack of the paint marks situated at 900 to each other on the tyre of the wheel no.6, it making heavier the detection of its turning on the wheel centre during the technical inspections and brake tests;</t>
  </si>
  <si>
    <t>Cauze subiacente_x000D_
1.	Nerespectarea prevederilor art.6, alin.(2), lit.c), ?i h), art.9, alin.(2), lit.c) ?i i) ?i ale art.22, alin.(5) coroborat cu cele de la pct.20 din Tabelul 1 din Instruc?iunile privind revizia tehnica ?i între?inerea vagoanelor în exploatare nr.250/2005, referitoare la modul de tratare a unui vagon la care se constata inexisten?a marcajelor cu vopsea trasate la 900 unul fa?a de altul pe bandajele ro?ilor._x000D_
2.	Nerespectarea prevederilor pct.2.2.2 din Normativului feroviar „Vehicule de cale ferata. Tipuri de revizii ?i repara?ii planificate. Normele de timp sau normele de kilometri parcur?i pentru efectuarea reviziilor ?i repara?iilor planificate”, aprobat prin Ordinul MTI nr.315/2011, referitoare la obliga?ia de?inatorilor de vagoane de marfa de a efectua la acestea revizii tehnice intermediare (RRu, RIF, RIT) la jumatatea intervalului de RP._x000D_
Cauza primara_x000D_
Neaplicarea, la nivelul entita?ii responsabile cu între?inerea vagonului implicat, a prevederilor din procedura proprie de management al între?inerii cod PSMI-18-THF „Gestionarea între?inerii vagoanelor” referitoare la urmarirea ?i retragerea din exploatare, în timp util a vagoanelor din parcul propriu scadente la revizii ?i repara?ii. 
Underlying causes_x000D_
1.	inobservance of the provisions of art.6, paragraph (2), letters c) and h), art.9, paragraph (2), letters  c) and i) and art. 22, paragraph (5) corroborated with those from the point 20 of the Tabel 1 from the Instructions for the technical inspection and maintenance in operation no.250/2005, regarding the way to treat a wagon at which the paint marks made at 900 to each other on the tyres of the wheels are missing ._x000D_
2.	inobservance of the provisions from pct.2.2.2 of the Railway Norm „Railway vehicles. Types of planned inspections and repairs. Norms of time or km run for the performance of the planned inspections and repairs”, approved by Order of Minister of Transports and Infrastructure no.315/2011, regarding the obligation of the freight wagon owners to submit them to intermediary technical inspections (RRu, RIF, RIT) at half of the interval of time for periodical repair - RP._x000D_
Root cause_x000D_
Non-application by the entity in charge with the maintenance of the wagon involved of the provisions from its own procedure for the maintenance management code PSMI-18-THF „Management of the wagon maintenance” regarding the monitoring and withdrawal from operation, in time, of the wagons from own fleet, due for inspections and repairs.</t>
  </si>
  <si>
    <t>RO-5976</t>
  </si>
  <si>
    <t>Other event, 16-05-19, Holboca (Romania)</t>
  </si>
  <si>
    <t>the locomotive DA1571 running solo that had to pass through Holboca railway station , on the straight line no. III, passed over the switch no.4 that was in a wrong position (to the  diverging track)</t>
  </si>
  <si>
    <t>Holboca</t>
  </si>
  <si>
    <t>Cauza directa a producerii incidentului feroviar (talonarea) o constituie a?ezarea ?i zavorârea macazului nr.4 în pozi?ia necorespunzatoare parcursului comandat._x000D_
Factori care au contribuit_x000D_
Factorii care au contribuit la producerea incidentului feroviar au fost:_x000D_
1.	starea tehnica neconforma cu proiectul tehnic a instala?iei de asigurare cu chei ?i bloc;_x000D_
2.	eroarea umana manifestata prin:_x000D_
2.1.	ac?ionarea neconforma cu reglementarile, la efectuarea unui parcurs de ie?ire; _x000D_
2.2.	neverificarea starii de liber a liniei si a parcursului de intrare-ie?ire în vederea trecerii trenului; 
The direct cause of the railway incident (switch forcing) was locking of the switch no.4 on the unsuitable position for the ordered route._x000D_
Contributing factors_x000D_
The factors contributing to the railway incident were:_x000D_
1.	the technical condition was not in compliance with the technical project of the equipment for secure with keys and section block;_x000D_
2.	human mistake , that is:_x000D_
2.1.	non operation in compliance with the regulations, for the exit switching over of the train; _x000D_
2.2.	not checking of the clearance of the line and of the entry-exit switching  over of the train;</t>
  </si>
  <si>
    <t>Cauze subiacente_x000D_
1.	nerespectarea prevederilor din Regulamentul de exploatare tehnica feroviara nr.002/2001, art.82 – a, referitoare la punerea pe liber a semnalului corespunzator parcursului comandat;_x000D_
2.	nerespectarea prevederilor din Instructia pentru întretinerea tehnica si repararea instalatiilor de semnalizare, centralizare si bloc (SCB), art 287, referitoare la conditiile pe care trebuie sa le îndeplineasca aparatul de manevra;_x000D_
3.	nerespectarea prevederilor din Regulamentul pentru circula?ia trenurilor si manevrarea vehiculelor feroviare nr.005/2005, art.125, alin.(1) b) art.130 (3) art.139 (1) b);_x000D_
4.	nerespectarea prevederilor din Instruc?ia de manipulare a instala?iilor din Hm Holboca art. 13 art. 15, art.24._x000D_
Cauze primare:  _x000D_
Aplicarea inadecvata a procedurilor proprii parte a cerin?elor SMS referitoare la instruirea ?i monitorizarea propriului personal din activitatea de exploatare si mentenanta, în vederea formarii deprinderilor corecte de lucru, în vederea respectarii procedurilor opera?ionale impuse de cerin?ele de conformitate precizate în instruc?iile ?i regulamentele de exploatare feroviare. 
Underlying causes_x000D_
1.	violation of the provisions from the Regulations for railway technical operation no.002/2001, art.82 – a, concerning the placing on stop of the signal corresponding to the switching over of the train;_x000D_
2.	violation of the provisions from the Instruction for the technical maintenance and repair of the equipments for signalling, centralization ans section block (SCB), art 287, concerning the conditions that the locking frame has to comply with;_x000D_
3.	violation of the provisions from the Regulations for the train running and shunting of the railway vehicles no.005/2005, art.125, paragraph (1) b) art.130 (3) art.139 (1) b);_x000D_
4.	violation of the provisions from the Instruction for the operation of the equipments from the railway station Holboca art. 13 art. 15, art.24._x000D_
B.4. Root causes:  _x000D_
Improper application of the own procedures, part of SMS requirements concerning the training  and monitoring of its own staff from the operation and maintenance activity, in order to cultivate right working skills,so the operational procedures imposed by the conformity requirements stipulated in the instructions and regulations for railway operation be met.</t>
  </si>
  <si>
    <t>CZ-5978</t>
  </si>
  <si>
    <t>Train derailment, 17-05-19, open line between DomouÅ¡ice and Hrivice stations (Czech Republic)</t>
  </si>
  <si>
    <t>NIB CZ</t>
  </si>
  <si>
    <t>Derailment of the service train No. 54500 between Domoušice and Hřivice stations</t>
  </si>
  <si>
    <t>Open line between Domoušice and Hřivice stations</t>
  </si>
  <si>
    <t>Other – service train</t>
  </si>
  <si>
    <t>Traťová strojní společnost, a.s.</t>
  </si>
  <si>
    <t>Správa železniční dopravní cesty, státní organizace</t>
  </si>
  <si>
    <t>150 000 – 2 000 000 €</t>
  </si>
  <si>
    <t>Total damage CZK 4 516 630,- (EUR 183 977,-)</t>
  </si>
  <si>
    <t>Direct cause:
• loss of the vertical wheel effort of first wheelset of 17 th rolling stock of the service train No. 54500.
It was not possible to demonstrably determine the source of the initiation of the above-mentioned loss of vertical wheel effort due to the impossibility of verifying the overall technical condition of the rolling stock Ua 418 CZ-TSSC 83 54 9200 794-2 and the impossibility of verifying the wheel pressures in connection with layout of cargo at the time of the derailment, and the impossibility of assessment of this rolling stock with geometric parameters of the track at the point of derailment.</t>
  </si>
  <si>
    <t>UK-5998</t>
  </si>
  <si>
    <t>Unauthorised train movement other than SPAD, 17-05-19, Deansgate - Castlefield (United Kingdom)</t>
  </si>
  <si>
    <t>At around 17:19 hrs on 17 May 2019, a Manchester Metrolink tram travelling inbound from Manchester Airport towards Victoria passed through the centre platform of Deansgate-Castlefields tramstop. It was required to stop at the platform, but did not do so._x000D_
It then passed a signal displaying a stop aspect at the far end of the platform, while travelling at around 9 mph (14km/h), and entered the section of line that leads to St. Peter’s Square tramstop._x000D_
Passing this signal placed the tram in a conflicting movement with another tram, which was departing from the other inbound platform having been allowed to do so by the signalling system. The driver of the second tram realised what was happening and bought their tram to a stop before a collision occurred. The tram which passed the signal at stop continued on to St. Peter’s Square tram stop._x000D_
There were no injuries or other adverse consequences resulting from this incident. However, a collision between the two trams was only narrowly avoided.</t>
  </si>
  <si>
    <t>Deansgate - Castlefield</t>
  </si>
  <si>
    <t>Tram 83 entered junction DCF07J because the driver did not stop the tram in the platform or obey the stop aspect being shown by signal DCF06S (paragraph 36)</t>
  </si>
  <si>
    <t>Causal factors_x000D_
126 The causal factors were:_x000D_
a. the driver of tram 83 was affected by a temporary loss of awareness as the tram approached the platform and signal DCF06S (paragraph 45). RAIB has concluded that it occurred because either:_x000D_
i. the driver was affected by a medical event (paragraph 49); or_x000D_
ii. the driver lost attentional focus on the driving task (paragraph 59, Recommendation 1)._x000D_
b. the driver’s safety device on the tram did not detect and mitigate the temporary loss of awareness experienced by the driver of tram 83 because it was not designed to do so (paragraphs 90 and 136, Recommendation 4 of RAIB Report 18/2017)._x000D_
Underlying factor_x000D_
127 An underlying factor was:_x000D_
a. KAM, Thales and TfGM either did not recognise the hazard of a driver losing awareness while operating a tram on the Metrolink system or did not fully control the associated risk</t>
  </si>
  <si>
    <t>PL-5985</t>
  </si>
  <si>
    <t>Trains collision, 19-05-19, Rybnik Towarowy (Poland)</t>
  </si>
  <si>
    <t>On 19.05.2019 at ca. 2:30 p.m., PKP CARGO S.A. railway operator reported to the RTB station master the need to have the locomotive located in the RTA shunting loop dispatched as helper locomotive for TMS 444255 freight train on route from Rybnik Towarowy to Chalupki – due to the profile of the section (climbing a gradient) and forecast of heavy rainfall – waiting on track 308 in the RTB and RTD run-around loop. At 2:58 p.m., at Rybnik Towarowy station, shunting locomotive SM42-1205 (6Dg) was dispatched from RTA shunting area into RTB positioning loop as helper locomotive for freight train TMS 444255 located on track 308. _x000D_
Without discussing the shunting manoeuvre with the driver of locomotive no. SM42-1205, the signaller at RTB signal box allowed its movement by the shunt signal indicating the signal ‘shunting prohibited’ by giving the following instruction: ‘at 309 as helper for train to Chalupki... you can skip 257’. _x000D_
In doing so, the signaller wrongly directed the locomotive no. SM42-1205 to track 309, instead of 308. The locomotive arrived at a set of empty wagons located on this track at 3:07:30 p.m. (according to the time recorded in the monitoring system on locomotive ST48-049 located on track 308 at the front of freight train TMS 444255). The driver of locomotive SM42–1205, having reached the set of empty wagons on track 309, connected the locomotive with a screw and air _x000D_
coupling to the wagons located on that track. He then contacted the driver of locomotive ST48-049 located on track 308 at the front of freight train TMS 444255 by telephone (private mobile phone) to discuss the execution of a simplified brake test, which was not performed at all. _x000D_
Then, after the coupling, he made contact again by mobile phone with the driver of locomotive ST48-049 and informed him that he was connected to the train set and that they could proceed with a simplified brake test. After a failed attempt to perform the simplified test of the combined brake, the driver of the hauler locomotive instructed the driver of the pusher locomotive to disconnect the brake couplings (close the air valves) and remain connected to the set by means of the screw coupling only. _x000D_
The driver of locomotive ST48-049 at the front the train, having received the permission signal (S10)_x000D_
 from the RTD command box transmitted on the T3082 exit signal from track 308, at 3:23:55 p.m. started the freight train TMS 444255 and instructed the driver of pusher locomotive SM42-1205, mistakenly located on track 309 at the end of the empty wagon train set, to go ‘full ahead’’. _x000D_
The driver of locomotive ST48-049 at the front of the TMS 444255 train was not authorised to give the instruction to the driver of the pusher locomotive; he was only required to inform him _x000D_
of starting the train. During the departure of the TMS 444255 freight train from track 308 at 3:25:10 p.m., a side collision took place at the fouling point of railroad switch 452 with the simultaneously pushed set of empty freight wagons from track 309. This resulted in derailment of three empty wagons of the pushed train set from track 309 and damage to 8 freight wagons of the departing freight train TMS 444255 on route from Rybnik Towarowy to Chalupki. In addition, elements of the infrastructure were damaged (mechanical point machines for points 452 and 455 together with transmission routes, railroad switches 452 and 455 and eight wooden sleepers between switches 452 _x000D_
and 455 were destroyed). The speed of the pushed set of empty coal wagons at the time of the event was about 10 km/h, while the speed of the TMS 444255 train at the time of the event was 16 km/h.</t>
  </si>
  <si>
    <t>Rybnik Towarowy</t>
  </si>
  <si>
    <t>Entry of a pushed train set of empty freight wagons from track 309 into the side of an outgoing TMS 444255 freight train set from track 308.</t>
  </si>
  <si>
    <t>Root cause: _x000D_
The signaller at RTB post of the Rybnik Towarowy station did not discuss the manoeuvring _x000D_
with the driver of locomotive SM42-1205 and wrongly directed locomotive SM42-1205 onto track 309 instead of 308 to serve as helper locomotive for TMS 444255 train on a determined part of the route, despite having received accurate information from the freight operator about the use of pusher locomotive for the train located on track 308._x000D_
Indirect causes: _x000D_
1. The simplified brake test was not performed properly after the pusher locomotive had arrived. _x000D_
2. The driver of the pusher locomotive did not make sure whether the locomotive was located at the end of the TMS 444255 train set to which it was dispatched as helper locomotive. _x000D_
3. The driver of the locomotive hauling the TMS 444255 unjustifiably instructed the driver of the pusher locomotive to start the pushing manoeuvre. _x000D_
4. The driver of locomotive SM42-1205 dispatched to push the freight train on the route started pushing the set of empty wagons at the station. _x000D_
5. Having received information from the signaller at the RTB post about the entry of the pusher locomotive onto track 309 instead of 308, the signaller at the RTD post and the freight operator took no action. _x000D_
_x000D_
Systemic cause: _x000D_
Not found.</t>
  </si>
  <si>
    <t>IT-6242</t>
  </si>
  <si>
    <t>Level crossing near miss, 24-05-19, Casabianca Station, line Ciampino-Velletri (Italy)</t>
  </si>
  <si>
    <t>Approaching Casabianca LC, train 7210 found road vehicle between the barriers (LC equipped with complete barriers).</t>
  </si>
  <si>
    <t>Casabianca Station, line Ciampino-Velletri</t>
  </si>
  <si>
    <t>non compliance with the provisions of the Road Code and its implementation Regulation</t>
  </si>
  <si>
    <t>Failure in the emergency procedure, as indicated by the signs, by road users</t>
  </si>
  <si>
    <t>RO-5987</t>
  </si>
  <si>
    <t>Train derailment, 26-05-19, Milova (Romania)</t>
  </si>
  <si>
    <t>the hauling locomotive of the Regional passenger train no.2046 derailed in Milova railway station, on the switch no.6</t>
  </si>
  <si>
    <t>Cauza directa a producerii accidentului a constituit-o manevrarea macazului nr.6 în timpul  trecerii trenului peste acesta._x000D_
 _x000D_
Factorii care au contribuit la producerea accidentului au fost: _x000D_
1.	Deranjamentul aparut la sectiunea macazului nr 6 care a impus primirea trenurilor cu semnal de chemare._x000D_
2.	Volumul mare de lucru din sta?ie determinat de închiderile necesare lucrarilor de modernizare care se executa pe culoarul IV. 
Direct cause of the accident was the operation of the switch no.6 during the passing of the train over it._x000D_
 _x000D_
Contributing factors were: _x000D_
1.	The failure of the track circuit of the switch no 6 that imposed the train receiving upon the calling-on signal._x000D_
2.	The heavy workload in the railway station, generated by the planned track closures necessary for the modernizations performed on the corridor IV.</t>
  </si>
  <si>
    <t>Cauzele subiacente ale producerii accidentului:_x000D_
1. Nerespectarea prevederilor din instruc?ia de manipulare a instalatiilor din statia CFR Milova. _x000D_
 _x000D_
Cauzele primare a producerii accidentului au fost:_x000D_
_x000D_
1.	Neefectuarea unei analize a schimbarii în conformitate cu Regulamentul UE nr 402/2013 referitoare la schimbarea produsa de lucrarile de reabilitare a infrastructurii feroviare executate pe distanta de circulatie Radna – Milova - Conop._x000D_
2.	Neîntocmirea, cu cel pu?in 10 zile înainte de începerea lucrarilor, a reglementarilor provizorii cu privire la manipularea instala?iilor, precum ?i la modul de efectuare a circula?iei ?i manevrei vehiculelor feroviare._x000D_
3.	Monitorizarea activitatii nu a identificat pericolele si riscurile asociate în activitatea proprie ca urmare a noilor conditii de circulatie. 
Underlying causes:_x000D_
Violation of the provisions of the instruction for the operation of the equipment from the railway station Milova. _x000D_
_x000D_
Root causes _x000D_
Root causes of the accident were:_x000D_
_x000D_
1.	Non performance of an analysis of the change in accordance with the EU Regulations no 402/2013 regarding the change generated by the rehabilitations of the railway infrastructure between Radna – Milova - Conop._x000D_
2.	Not working out, within 10 days, at least, before the beginning of the works, of the temporary regulations regarding the operation of the equipments, as well as the performing of the traffic and shunting of the railway vehicles._x000D_
3.	The activity monitoring did not identify the dangers and risks associated in its own activity, following the new running conditions.</t>
  </si>
  <si>
    <t>HU-6031</t>
  </si>
  <si>
    <t>Spad, 30-05-19, Rákosliget (Hungary)</t>
  </si>
  <si>
    <t>The passanger train passed the signal at danger.</t>
  </si>
  <si>
    <t>Rákosliget</t>
  </si>
  <si>
    <t>Mistake of train driver</t>
  </si>
  <si>
    <t>RO-5992</t>
  </si>
  <si>
    <t>Train derailment, 01-06-19, Resita Nord - Vasiova (Romania)</t>
  </si>
  <si>
    <t>the 3th bogie from the diesel multiple unit AMX 572-7 derailed in open line between Vasiova and Resita Nord railway stations.</t>
  </si>
  <si>
    <t>Resita Nord - Vasiova</t>
  </si>
  <si>
    <t>Cauza directa_x000D_
Cauza directa a producerii accidentului feroviar o constituie parasirea suprafe?ei de rulare a ?inei, situate la firul interior a curbei cu devia?ia dreapta (sens de mers), la km 53+900 a liniei curente Vasiova – Re?i?a Nord, de catre roata atacanta a primei osii de la boghiul numarul 3 în sensul de mers al trenului ?i caderea acestei ro?i în interiorul caii. _x000D_
Aceasta s-a produs în condi?iile în care starea tehnica a traverselor de lemn din zona accidentului feroviar era necorespunzatoare, permi?ând cre?terea ecartamentului caii peste valoarea maxima admisa, sub ac?iunea for?elor dinamice transmise de catre ro?ile materialului rulant aflat în circula?ie. _x000D_
 _x000D_
Factori care au contribuit_x000D_
Men?inerea în cale a 5 traverse de lemn necorespunzatoare, din care 3 traverse de lemn consecutive (la rând), pe zona producerii deraierii, care nu mai asigurau prinderea corespunzatoare a placilor metalice la exteriorul curbei, permi?ând deplasarea acestora pe direc?ie radiala în sensul cre?terii ecartamentului, sub efectul dinamic a trenurilor aflate în circula?ie. 
Direct cause and contributing factors_x000D_
_x000D_
The direct cause of the accident was the leading wheel of the first axle from the bogie no. 3 left the running surface of the inner rail of the curve, right deviation (running direction), km 53+900 of the running line Vasiova – Re?i?a Nord, and it fell inside the track. _x000D_
It happened following the improper condition of the wooden sleepers at the accident site, allowing the increase of the track gauge over the maximum accepted value, under the action of the dynamic forces transmitted by wheels of the rolling stock in running. _x000D_
 _x000D_
Contributing factors_x000D_
Keeping within the track of 5 improper wooden sleepers, from which 3 ones in series, at the derailment site, that did not ensure the proper fastening of the metallic plates at the exterior of the curve, allowing their movement radially,  in the sense of increasing the gauge, under the dynamic effect of the trains in running.</t>
  </si>
  <si>
    <t>Cauze subiacente _x000D_
Nerespectarea prevederilor art.25, pct.2 ?i pct.4 din „Instruc?ia de norme ?i toleran?e pentru construc?ii ?i între?inerea caii pentru linii cu ecartament normal” - nr.314/1989, referitoare la defectele care impun înlocuirea traverselor de lemn, respectiv la neacceptarea men?inerii în cale a unor traverse necorespunzatoare._x000D_
_x000D_
Cauze primare_x000D_
Neaplicarea integrala a prevederilor procedurii de sistem cod PS-61 „Managementul riscurilor”, revizia 0, parte a sistemului de management al siguran?ei al gestionarului de infrastructura feroviara  neinteroperabila  RC - CF TRANS SRL în legatura cu identificarea defectelor geometriei caii. 
Underlying causes _x000D_
Infringement of the provisions of art.25, points 2 and 4 from „Instruction of norms and tolerances for the construction and maintenance of track, for lines with standard gauge” - no.314/1989, regarding the failures that impose the replacement of the wooden sleepers, respectively the non acceptance to get within the track some improper sleepers._x000D_
_x000D_
Root causes_x000D_
Non-full application of the provisions of the system procedure code PS-61 „Risks management”, revision 0, part of the safety management system of the non-interoperable infrastructure manager RC - CF TRANS SRL regarding the identification of the track geometry failures.</t>
  </si>
  <si>
    <t>HU-6022</t>
  </si>
  <si>
    <t>Train derailment, 03-06-19, Adonis u. (Hungary)</t>
  </si>
  <si>
    <t>The cogwheel train has derailed with 2 axles.</t>
  </si>
  <si>
    <t>Adonis u.</t>
  </si>
  <si>
    <t>Failure of track &amp; construction of vehicle</t>
  </si>
  <si>
    <t>IT-6040</t>
  </si>
  <si>
    <t>Train derailment, 06-04-19, Benevento station (Italy)</t>
  </si>
  <si>
    <t>Regional passenger train by RU Ente Autonomo Volturno derailed in Benevento station</t>
  </si>
  <si>
    <t>Benevento station</t>
  </si>
  <si>
    <t>Breakage of the first axle of the second bogie in the direction of travel of the locomotive E 126 of the RU EAV</t>
  </si>
  <si>
    <t>Underlying Causes_x000D_
1. Failure to provide preventive information on initiation of the degradation process of the integrity of the axle fractured_x000D_
2. Ultrasonic test execution on the axle according to a procedure that does not fully comply with the relative technical specifications_x000D_
3. Absence of an adequate monitoring procedure for the ultrasonic tests execution committed to an external contractor_x000D_
4. Failure to define some executive parameters relating to ultrasonic tests_x000D_
_x000D_
Root Causes _x000D_
Issues of the maintenance process</t>
  </si>
  <si>
    <t>RO-5997</t>
  </si>
  <si>
    <t>Train derailment, 07-06-19, Bucurestii Noi (Romania)</t>
  </si>
  <si>
    <t>the 7th and the 8th wagon of the freight train derailed in Bucurestii Noi railway station.</t>
  </si>
  <si>
    <t>Cauza directa a producerii accidentului feroviar o constituie caderea între firele caii a ro?ii din partea stânga a primei osii de la primul boghiu, în sensul de mers al vagonului nr.815366523125 (al 8-lea de la siguranta). Acest lucru s-a produs în conditiile cre?terii valorii ecartamentului caii peste valoarea maxima admisa ca urmare a deplasarii laterale a ?inei de pe firul exterior al curbei sub ac?iunea for?elor dinamice transmise caii de catre materialul rulant în mi?care. _x000D_
Factorii care au contribuit:_x000D_
- starea tehnica necorespunzatoare a traverselor de lemn din zona punctului „0”, care nu au permis strângerea tirfoanelor pentru fixarea placilor metalice, astfel încât sub ac?iunea for?elor dinamice transmise ?inelor de rotile materialului rulant, valoarea ecartamentului a crescut peste valoarea maxima admisa de 1470 mm; _x000D_
- men?inerea în cale a traverselor de lemn necorespunzatoare în cuprinsul liniei Guvernamentale, contrar prevederilor art.25, alin.(2) ?i alin.(4) din „Instruc?ia de norme ?i toleran?e pentru construc?ia ?i între?inerea caii pentru linii cu ecartament normal nr.314/1989”, din cauza cantita?ii insuficiente de traverse de lemn aprovizionate la Districtul nr.1 Bucure?tii Noi pentru executarea lucrarilor de între?inere ?i reparare a caii._x000D_
_x000D_
- subdimensionarea numarului de personal muncitor existent la Districtul de linii nr.1 Bucure?tii Noi, personal ce are în reponsabilitate mentenan?a infrastructurii feroviare în zona producerii accidentului; 
The direct cause of the accident is the fall of the of the left wheel of the first axle from the first bogie between the rails, in the running direction of the wagon no.815366523125 (the 8th one from the locomotive). It happened following the increased of the gauge value over the maximum accepted value, given the lateral displacement of the exterior rail of the curve under the action of the dynamic forces transmitted to the track by the moving rolling stock. _x000D_
Contributing factors:_x000D_
- improper technical condition of the wooden sleepers from the area of the point of derailment, that did not allow the fastening of the coach screws for the fixing of the metallic plates, so under the action of the dynamic forces transmitted to the rails by the wheels of the rolling stock, the gauge value increased over the maximum accepted value of 1470 mm; _x000D_
- keeping within the Governmental line of improper wooden sleepers, against the provisions of art.25, paragraphs (2) and (4) from „Instruction of norms and tolerances for the construction and maintenance of the lines with standard gauge no.314/1989”, following the insufficient quantities of wooden sleepers supplied to the Line District no.1 Bucure?tii for the track maintenance and repair._x000D_
_x000D_
- under sizing of the worker staff existing in the Line District no.1 Bucure?tii Noi, staff in charge with the maintenance of the railway infrastructure from the accident site;</t>
  </si>
  <si>
    <t>Cauze subiacente _x000D_
- nerespectarea prevederilor art.25, alin.(2) ?i alin.(4) din „Instruc?ia de norme ?i toleran?e pentru construc?ia ?i între?inerea caii pentru linii cu ecartament normal nr.314/1989”, referitoare la defectele care impun înlocuirea traverselor de lemn si la mentinerea în cale a traverselor necorespunzatoare;_x000D_
- nerespectarea prevederilor pct.4.1. din Cap.4 „Norme de manopera ?i de consum de materiale”, al „Instruc?iei de între?inere a liniilor ferate nr.300/1982” referitoare la asigurarea normei de manopera la între?inerea curenta în execu?ie manuala._x000D_
Cauza primara a accidentului o constituie neaplicarea prevederilor procedurii opera?ionale cod PO SMS 0-4.07 „Respectarea specificatiilor tehnice, standardelor si cerintelor relevante pe întreg ciclul de via?a a liniilor în procesul de întretinere”, parte a sistemului de management al siguran?ei al CNCF „CFR” SA, referitoare la:_x000D_
-	asigurarea bazei materiale necesare executarii lucrarilor de între?inere periodica ?i repara?ie curenta prin aprovizionarea cu traverse în cantita?i suficiente, conform prevederilor pct. III.2 „Asigurare baza materiala” din diagrama de flux a procesului de între?inere Anexa nr.1, fapt care a avut consecin?a neefectuarea  la timp a lucrarilor curente privind înlocuirea traverselor necorespunzatoare din cale;_x000D_
_x000D_
- dimensionarea personalului Districtului de linii nr.1 Bucure?tii Noi, în raport cu volumul de lucrari. 
Underlying causes _x000D_
- non-compliance of the provisions from art.25, paragraphs (2) and (4) from the „Instruction of norms and tolerances for the construction and maintenance of the track, for lines with standard gauge no.314/1989”, regarding the failures that impose the replacement of the wooden sleepers ad keeping within the track the unsuitable sleepers;_x000D_
- non-compliance of the provisions from point 4.1., chapter 4 „Norms of manpower and material consumption”, from „Instruction for the track maintenance no.300/1982” regarding the provision of the norm of manpower to the current manual labour._x000D_
Root cause of the accident is the non-application of the provisions from the operational procedure code PO SMS 0-4.07 „Compliance with the technical specifications, standards and requirements relevant for whole life time of the tracks in the maintenance process”, part of the safety management system of CNCF „CFR” SA, regarding:_x000D_
-	provision of the material basis necessary for the periodic maintenance and current repair, that is the provision of the sufficient quantities of sleepers, according to the provisions of point III.2 „Provision of the material basis” from the flow diagram of the maintenance process Annex no.1, it leading to the non-performance in time of the current works for the replacement of the unsuitable sleepers;_x000D_
_x000D_
- sizing of the staff from the Line District no.1 Bucure?tii Noi, for the total of works.</t>
  </si>
  <si>
    <t>UK-6013</t>
  </si>
  <si>
    <t>Trains collision with an obstacle, 13-06-19, Corby (United Kingdom)</t>
  </si>
  <si>
    <t>At about 15:53 hrs on Thursday 13 June 2019, a northbound passenger train collided with aggregate on the tracks about one mile north of Corby station. The aggregate had washed onto the track from the adjacent cutting slope as a result of flooding. The train was travelling at 42 mph (68 km/h) and did not derail. The driver brought the train to a stand and contacted the signaller to report the landslip and flooding._x000D_
The train was the 14:34 hrs service from London St Pancras to Nottingham, and was carrying 190 passengers. It had been diverted from its planned route via Market Harborough to an alternative route via Corby, as a result of another incident taking place south of Leicester station. The High Speed Train (HST), comprised a class 43 diesel-electric power car at each end and eight coaches in between._x000D_
When the driver examined the train, he found the rear power car was trapped by further aggregate that had washed-out from the cutting slope after the train had stopped. The passengers were evacuated to a southbound train which was subsequently trapped by flood water. Once lighting and road transport were in place, all of the passengers (from both trains) were evacuated and taken by road to Kettering station. There was no one reported to the RAIB as having being injured during the initial collision or subsequent evacuations.</t>
  </si>
  <si>
    <t>Corby</t>
  </si>
  <si>
    <t>Train 1D43 did not stop before colliding with sandy gravel and soil that flood water_x000D_
had washed onto the track from the adjacent cutting slope.</t>
  </si>
  <si>
    <t>The causal factors were:_x000D_
a) The adjacent flood storage ponds overfilled causing excess water to pool in the field between the ponds and the crest of the cutting slope (paragraph 70)._x000D_
This causal factor arose due to a combination of the following:_x000D_
i. The flow of water in Willow Brook North was restricted at the entrance to the bridge carrying Pen Green Lane over the brook (paragraph 60,_x000D_
Recommendation 1)_x000D_
ii. The eastern bank of pond 2 was the lowest point on the perimeter of the_x000D_
two ponds and was lower than the emergency spillway between pond 1 and the brook (paragraph 64, Recommendation 1)_x000D_
iii. The pump to reduce the water level in the ponds was last operated on 17 May 2019 (paragraph 70, Recommendation 1)_x000D_
b) The cutting slope failed as it was not designed to cope with a large volume of water accumulating in the field above it (paragraph 78, Recommendation 2)_x000D_
c) The train driver did not have sufficient sighting of the debris to be able to stop the train in time (paragraph 88, no recommendation)._x000D_
Underlying factors_x000D_
138 The underlying factors were:_x000D_
a) The different parties involved did not engage and communicate effectively about the potential risk of their assets causing flooding of the railway (paragraph 90, Recommendation 1 and Learning point 1)_x000D_
b) The parties involved did not have an effective flood management system in place, given the presence of nearby national infrastructure in the form of the railway line which is a principal transport route (paragraph 95, Recommendation 1 and Learning point 1)_x000D_
c) Network Rail had not implemented any short-term mitigations while longer term actions to repair the cutting slope were being planned, even though it was aware that the cutting slope was at risk of washout due to water overtopping pond 2 (paragraph 105, Recommendation 3).</t>
  </si>
  <si>
    <t>PL-6000</t>
  </si>
  <si>
    <t>Level crossing accident, 15-06-19, Katy Wroclawskie - Mietków (Poland)</t>
  </si>
  <si>
    <t>On 15 June 2019, MOE 67900 train on route from Szklarska Poreba Górna to Lubon near Poznan, operated by Przewozy Regionalne Sp. z o.o. (current name: POLREGIO Sp. z o.o.), driven by the EP07P-2004 locomotive on track 2, on the Katy Wroclawskie – Mietków junction route, line 274 Wroclaw Swiebodzki – Zgorzelec, crashed into a road vehicle (passenger car) crossing the ‘C’ category level crossing at 22.788 km._x000D_
 _x000D_
The last scheduled stop of the MOE 67900 train was at Mietków station. At 6:18 p.m., the train departed from the station in accordance with the time schedule. At 23.850 km, the train passed the crossing signal ToP 228, which was signalling Osp2 (two steady vertical white lights), informing the driver that alert devices at the level crossing at 22.788 km are functioning properly, and that they can continue driving with the timetable speed. Then, having passed the W6a sign at 23.723 km, the driver gave the acoustic ‘attention’ signal. When the train was approximately 500 metres from the level crossing, the driver noticed a passenger car approaching the crossing. The driver repeated the acoustic ‘attention’ signal for 2 seconds. The car nearly stopped before the level crossing, and then suddenly speeded up and drove across the level crossing in front of the train, ignoring the road traffic red lights flashing. After the next 3 seconds, the driver of the MOE 67900 train, which was now approximately 330 metres from the crossing, noticed another car (Peugeot Partner) approaching the level crossing. The car was approx. 180–200 metres from the level crossing, and the train driver noticed it immediately before approaching a section of the track obscured by plants growing along the road. As the train driver noticed another car, he again gave the ‘attention’ signal, which continued until the accident occurred (12 seconds). Within these 12 seconds, the car was invisible for the train driver (obscured by the plants growing along the road leading to the level crossing). When the car appeared from behind the plants growing along the road, it was driving at approx. 36–38 km/h (the road vehicle’s speed was estimated based on monitoring at the crossing). The driver of the road vehicle, instead of stopping the car (which is what the B20 ‘STOP’ sign, the road traffic lights signal and the acoustic ‘attention’ signal given by driver of the MOE 67900 train locomotive required the car driver to do), speeded up and entered the level crossing directly in front of the approaching train. The train hit the right side of the car when the road vehicle’s axe was exactly in the centre of track 2. As a result of the collision with the MOE 67900 train, the road vehicle was crushed and then pushed approx. 30 metres to the right side of the train’s direction. Five passengers of the car were pronounced dead on arrival. At the time of the accident, the train was going at 103.3 km/h, while the maximum timetable speed is 115 km/h. Immediately after the incident, the train driver performed emergency braking, and the trainset stopped at 22.230 km, that is having driven another 560 metres from the site.</t>
  </si>
  <si>
    <t>Katy Wroclawskie - Mietków</t>
  </si>
  <si>
    <t>Entry of the road vehicle into the level crossing directly in front of the approaching MOE 67900 train, despite two red signal lights flashing alternately at the road traffic lights.</t>
  </si>
  <si>
    <t>Root cause: _x000D_
Entering the level crossing past the road traffic lights signalling that the entry was prohibited. _x000D_
_x000D_
Indirect causes: _x000D_
1. The driver of the vehicle did not act with particular caution when crossing the level crossing. _x000D_
2. The driver did not stop the road vehicle at a safe distance as required by the B20 ‘STOP’ sign. _x000D_
_x000D_
Systemic causes: _x000D_
Not found.</t>
  </si>
  <si>
    <t>HU-6001</t>
  </si>
  <si>
    <t>Accident to persons caused by RS in motion, 17-06-19, Gyorszabadhegy (Hungary)</t>
  </si>
  <si>
    <t>Two signal-maintenance workers was hit by train.</t>
  </si>
  <si>
    <t>Gyorszabadhegy</t>
  </si>
  <si>
    <t>Mistake of maintenance staff &amp; engine driver</t>
  </si>
  <si>
    <t>AT-6004</t>
  </si>
  <si>
    <t>Train derailment, 18-06-19, Bf Kirchberg in Tirol (Austria)</t>
  </si>
  <si>
    <t>The freight train Z 54490 derailed in the area of the Bf Kirchberg in Tirol. No injuries, high property damage (about € 13,000,000.-). 
Der Güterzug Z 54490 entgleist im Bereich des Bf Kirchberg in Tirol. Keine Verletzten, hoher Sachschaden (ca. € 13.000.000.-).</t>
  </si>
  <si>
    <t>Bf Kirchberg in Tirol</t>
  </si>
  <si>
    <t>HR-6009</t>
  </si>
  <si>
    <t>Broken wheels or axles, 18-06-19, Novoselec (Croatia)</t>
  </si>
  <si>
    <t>iskliznuce teretnog vagona broj 31 78 0818 129-9 uslijed loma osovine, koji se nalazio u sastavu vlaka broj 61153. Navedeno iskliznuce dogodilo se na pruzi oznake M103 u položaju km 55+780. 
derailment of the freight wagon number 31 78 0818 129-9 due to the fracture of the axle, which was part of the train number 61153. The derailment occurred on the M103 line at km 55 + 780.</t>
  </si>
  <si>
    <t>Novoselec</t>
  </si>
  <si>
    <t>The direct cause of the accident is derailment with the first bogie of the Tadds series wagon</t>
  </si>
  <si>
    <t>Contributing factors: - axle oldness, - previous partial fracture of the axle, - inaccessibility of the fracture area during regular technical inspection of wagons. Organizational factors: - installation of axles over forty years of age.</t>
  </si>
  <si>
    <t>BE-6206</t>
  </si>
  <si>
    <t>Level crossing accident, 20-06-19, Langdorp (Belgium)</t>
  </si>
  <si>
    <t>Collision between a road vehicle and a freight train on a level crossing</t>
  </si>
  <si>
    <t>Langdorp</t>
  </si>
  <si>
    <t>Railtraxx</t>
  </si>
  <si>
    <t>Road vehicle wrecked; no damages to rolling stock/railway infrastructure</t>
  </si>
  <si>
    <t>The collision with a car by a train on a level crossing is due to the barriers not closing in time. The direction of travel of the train was in normal track regime, but as the track section was occupied, regulations do not allow to reverse the direction of travel (blocking conditions).</t>
  </si>
  <si>
    <r>
      <rPr>
        <b/>
        <sz val="11"/>
        <color theme="1"/>
        <rFont val="Calibri"/>
        <family val="2"/>
        <scheme val="minor"/>
      </rPr>
      <t>Contributing factors</t>
    </r>
    <r>
      <rPr>
        <sz val="11"/>
        <color theme="1"/>
        <rFont val="Calibri"/>
        <family val="2"/>
        <scheme val="minor"/>
      </rPr>
      <t xml:space="preserve"> </t>
    </r>
    <r>
      <rPr>
        <i/>
        <sz val="11"/>
        <color theme="1"/>
        <rFont val="Calibri"/>
        <family val="2"/>
        <scheme val="minor"/>
      </rPr>
      <t>Contributing factor 1</t>
    </r>
    <r>
      <rPr>
        <sz val="11"/>
        <color theme="1"/>
        <rFont val="Calibri"/>
        <family val="2"/>
        <scheme val="minor"/>
      </rPr>
      <t xml:space="preserve">: On the signalling of Aarschot, certain technical interventions on R+ and R- relays had not yet been carried out, resulting in a green aspect of the signal in all directions. </t>
    </r>
    <r>
      <rPr>
        <i/>
        <sz val="11"/>
        <color theme="1"/>
        <rFont val="Calibri"/>
        <family val="2"/>
        <scheme val="minor"/>
      </rPr>
      <t>Contributing factor 2</t>
    </r>
    <r>
      <rPr>
        <sz val="11"/>
        <color theme="1"/>
        <rFont val="Calibri"/>
        <family val="2"/>
        <scheme val="minor"/>
      </rPr>
      <t xml:space="preserve">: To restart the train, the controller did not correctly apply the safety procedure to be followed and let the train restart without order SF05 (without speed reduction and without sounding the horn). </t>
    </r>
    <r>
      <rPr>
        <i/>
        <sz val="11"/>
        <color theme="1"/>
        <rFont val="Calibri"/>
        <family val="2"/>
        <scheme val="minor"/>
      </rPr>
      <t>Contributing factor 3</t>
    </r>
    <r>
      <rPr>
        <sz val="11"/>
        <color theme="1"/>
        <rFont val="Calibri"/>
        <family val="2"/>
        <scheme val="minor"/>
      </rPr>
      <t xml:space="preserve">: Given the short announcement zone, the barriers were not yet activated at the time of the collision. The red flashing lights and the audible signal were in operation, but only 2 seconds before the collision. </t>
    </r>
    <r>
      <rPr>
        <b/>
        <sz val="11"/>
        <color theme="1"/>
        <rFont val="Calibri"/>
        <family val="2"/>
        <scheme val="minor"/>
      </rPr>
      <t>Systemic factors</t>
    </r>
    <r>
      <rPr>
        <sz val="11"/>
        <color theme="1"/>
        <rFont val="Calibri"/>
        <family val="2"/>
        <scheme val="minor"/>
      </rPr>
      <t xml:space="preserve"> The measure that was taken following the accident in Pécrot in 2001 was not yet implemented on line 35 in Aarschot. There are still 30 such track sections spread across a total of 12 lines.</t>
    </r>
  </si>
  <si>
    <t>IE-6008</t>
  </si>
  <si>
    <t>Other event, 20-06-19, Rush and Lusk Station (Ireland)</t>
  </si>
  <si>
    <t>Near miss with staff member</t>
  </si>
  <si>
    <t>Rush and Lusk Station</t>
  </si>
  <si>
    <t>The immediate cause of the incident was that the SET Worker placed himself in a position of danger by not adhering to the requirements set out in the IÉ Rule Book or the SET Risk Assessment to carry out the task; a task which could have been conducted without walking on the track. Contributory factor to the incident was:_x000D_
•	CF-01 – The SET Worker made a last-minute decision to conduct the inspection from track level without first considering his safety;_x000D_
•	CF-02 – There was no consideration taken at the pre-planning of the inspection of how the inspection was going to be conducted;_x000D_
•	CF-03 – The SET Worker may have lost situational awareness, momentarily, due to normally working at night and had an incorrect expectation that it was safe to access the track; this may have been exacerbated due to the fact that he had not intended to walk onto the track.</t>
  </si>
  <si>
    <t>The underlying factor to the incident was:_x000D_
•	UF-01 – There is no formal documentation, for SET Department staff, to be completed prior to going on or near the line, with checklists to manage risks that might be encountered; or, which would highlight to SET Department staff that it is unsafe to go one or near the track without a proper SSOW._x000D_
The root cause associated with the incident was:_x000D_
•	RC-01 – Despite the IÉ Rule Book being robust in its protection of staff going on or near the line, the current SET Safety Management System (SMS) suite of documents does not reflect this robustness in ensuring that the risks associated with SET staff members working on their own are captured and managed.</t>
  </si>
  <si>
    <t>RO-6002</t>
  </si>
  <si>
    <t>Train derailment, 23-06-19, Iablanita (Romania)</t>
  </si>
  <si>
    <t>on stabling at the diverging track no.1 from Iablanita railway station, the 19th and 23rd wagon from the freight train no. 4481D-2 derailed</t>
  </si>
  <si>
    <t>Iablanita</t>
  </si>
  <si>
    <t>Cauza directa _x000D_
Cauza directa a accidentului feroviar o constituie parasirea suprafe?ei de rulare a ?inei situate la firul interior al curbei de catre roata din partea dreapta a primei osii de la al doilea boghiu al celui de-al  19-lea vagon, în sensul de mers al trenului ?i caderea acesteia în interiorul caii._x000D_
Acest lucru s-a produs în condi?iile în care starea tehnica a traverselor de lemn la locul producerii accidentului feroviar era necorespunzatoare, permi?ând cre?terea ecartamentului caii peste valoarea maxima admisa, sub ac?iunea for?elor dinamice transmise de catre ro?ile materialului rulant aflat în circula?ie.  _x000D_
_x000D_
Factori care au contribuit:_x000D_
Men?inerea în cale a cinci traverse normale de lemn necorespunzatoare consecutive, pe zona producerii deraierii, care nu mai asigurau strângerea tirfoanelor la: _x000D_
-	placile metalice aflate la firul exterior al curbei;_x000D_
-	placile metalice aflate la firul interior al curbei. 
Direct cause _x000D_
The direct cause of the accident is leaving of the running surface of the inside rail of the curve by the right wheel of the first axle from the second bogie of the 19th wagon, in the running direction of the train, and its fall inside the track._x000D_
It happened following the improper condition of the wooden sleepers from the accident site, these allowing the increase of the track gauge over the maximum accepted value, under the action of the dynamic forces transmitted by the wheels of the rolling stock in movement.  _x000D_
_x000D_
Contributing factors:_x000D_
Keeping within the track of five improper wooden sleepers, in row, at the derailment site, that did not ensure the fastening of the screws at: _x000D_
-	metallic plates from the outside rail of the curve;_x000D_
-	metallic plates from the inside rail of the curve.</t>
  </si>
  <si>
    <t>Cauze subiacente _x000D_
Nerespectarea prevederilor art.25, pct. 2 ?i 4 din „Instruc?ia de norme ?i toleran?e pentru construc?ii ?i între?inerea caii pentru linii cu ecartament normal nr.314/1989”, referitoare la defectele care impun înlocuirea traverselor de lemn, respectiv la neacceptarea men?inerii în cale a unor traverse necorespunzatoare._x000D_
_x000D_
Cauze primare_x000D_
Neaplicarea tuturor prevederilor procedurii opera?ionale cod PO SMS 0-4.07 „Respectarea specifica?iilor tehnice, standardelor ?i cerin?elor relevante pe întreg ciclul de via?a a liniilor în procesul de între?inere”, parte a sistemului de management al siguran?ei a administratorului de infrastructura feroviara publica CNCF „CFR” SA, referitoare la executarea lucrarilor de între?inere ?i repara?ii periodice a liniilor de cale ferata. 
Underlying cause _x000D_
Inobservance of the provisions of art.25, points 2 and 4 from the „Instruction of norms and tolerances for the construction and maintenance of the track, for lines with standard gauge no.314/1989”, regarding the failures that impose the replacement of the wooden sleepers, respectively not keeping within the track of some improper sleepers._x000D_
 Root causes_x000D_
Non application of all provisions of the operational procedure code PO SMS 0-4.07 „Compliance with the technical specification, standards and requirements relevant for whole life time of the lines in maintenance process”, part of the safety management system of the public railway infrastructure administrator CNCF „CFR” SA, regarding the performance of the maintenances and periodical repairs at the lines.</t>
  </si>
  <si>
    <t>RO-6003</t>
  </si>
  <si>
    <t>Train derailment, 24-06-19, Darmanesti - Cacica (Romania)</t>
  </si>
  <si>
    <t>the locomotive EC 078 that hauled the passenger train no.5731 derailed in open line Darmanesti  - Cacica, on the level crossing from the km 4+925, that was covered by  debris flood</t>
  </si>
  <si>
    <t>Darmanesti - Cacica</t>
  </si>
  <si>
    <t>Având în vedere cele prezentate, comisia de investigare considera ca, deraierea celor 4 osii ale locomotivei EC 078 s-a produs din cauze naturale, ca urmare a ocuparii gabaritului de libera trecere cu un strat gros de aluviuni ?i pietri? , ce au fost antrenate de pe drumul de acces ?i depuse în zona trecerii la nivel (punct periculos inundabil de categoria I), în urma ploilor locale abundente ce au produs cantita?i mari de apa într-un timp foarte scurt, în perioada premergatoare incidentului produs. 
Considering those above mentioned, the investigation commission considers that, the derailment of those 4 axles of the locomotive EC 078 had natural causes, following the occupation of the structure clearance with a thick layer of alluviums and gravel, taken from the access road and deposited on the level crossing (flooded dangerous point from the category), following the local heavy rainfalls that generated important water quantities in a very short time, before the incident.</t>
  </si>
  <si>
    <t>CZ-6005</t>
  </si>
  <si>
    <t>Train derailment, 28-06-19, Vysoké Mýto operating control point (Czech Republic)</t>
  </si>
  <si>
    <t>Unsecured movement of the regional passenger train No. 15048 with the consequent derailment.</t>
  </si>
  <si>
    <t>Vysoké Mýto operating control point</t>
  </si>
  <si>
    <t>Direct cause:_x000D_
• the train driver did not obey the instruction of the signal device Sv1 of Vysoké Mýto operational control which did not signal a signal „Ride secured”._x000D_
Contributory factor:_x000D_
• the chosen method of driving by the train driver (in preparation) of the regional passenger train No. 15048 at Vysoké Mýto operational control point which was tolerated by the supervising train driver. This method of driving was based on the premise that the signal “Ride secured” would be signaled by the light signal device of the switch with the resetting point operating mechanism Sv1.</t>
  </si>
  <si>
    <t>Underlying cause:_x000D_
• failure to stop the regional passenger train No. 5452 in front of the self-returning switch No. 1 and also failure to control its correct position at Vysoké Mýto operation control point._x000D_
Root cause: none.</t>
  </si>
  <si>
    <t>HU-6006</t>
  </si>
  <si>
    <t>Railway vehicle movement events, 28-06-19, Budapest-Déli (Hungary)</t>
  </si>
  <si>
    <t>A train arrived to</t>
  </si>
  <si>
    <t>Budapest-Déli</t>
  </si>
  <si>
    <t>Mistake of staff</t>
  </si>
  <si>
    <t>RO-6010</t>
  </si>
  <si>
    <t>Train derailment, 29-06-19, Bucuresti Triaj (Romania)</t>
  </si>
  <si>
    <t>the locomotive EA 062 that hauled the freight train no.83216-1 derailed in Bucuresti Triaj railway station by one axle (the first in the running direction)</t>
  </si>
  <si>
    <t>Cauza directa a producerii accidentului o constituie escaladarea flancului activ al ciupercii acului curb al schimbatorului de cale nr.23 de catre buza ro?ii din partea dreapta a osiei nr.6 (prima osie în sensul de mers) a locomotivei ED-062, ca urmare a depa?irii limitei de stabilitate la deraiere.    Aceasta s-a produs în condi?iile în care ecartamentul caii pe zona unde rula cel de-al doilea boghiu al locomotivei (în sensul de mers al trenului) avea valori ce nu se încadrau în domeniul admis, iar la primul boghiu în sensul de mers nu era realizat paralelismul osiilor montate._x000D_
Factorii care au contribuit la producerea accidentului:_x000D_
?	varia?iile ale ecartamentului caii cu valori peste cea maxim admisa, respectiv de 2 mm/m, precum ?i bavurile existente pe ?ina din partea stânga (în sensul de mers), din apropierea joantei de vârf a schimbatorului de cale nr.23, a liniei cuprinse între schimbatorii de cale nr.31 ?i nr.23._x000D_
?	depa?irea toleran?ele admise la distan?ele dintre axele osiilor de la boghiul nr.2 al locomotivei de remorcare, masurate pe ambele par?i ale locomotivei._x000D_
Comisia de investigare men?ioneaza faptul ca, accidentul feroviar s-a produs în condi?iile cumularii efectului acestor factori, producerea deraierii acestuia nefiind posibila în absen?a unuia dintre ace?ti factori. 
Direct cause of the accident is the right wheel flange of the axle no. 6 (first in the running direction), belonging to the locomotive ED-062 climbed the gauge face of the curved blade of the switch no.23, following the exceeding of the derailment stability limit. It happened because the track gauge in the area where the second bogie of the locomotive was running (in the train running direction) had values out of the accepted field, and at the first bogie in the running direction the wheelset parallelism was not obtained._x000D_
Contributing factors:_x000D_
_x000D_
?	variations of the track gauge with values over the maximum accepted one, respectively of 2 mm/m, as well as the burrs existing on the left rail (in the running direction), close to the first joint of the switch no.23, of the line between the switches no.31 and no.23._x000D_
?	Exceeding of the tolerances accepted for the distances between the centers of the axles from the bogie no.2 of the hauling locomotive, measured on both sides of the locomotive._x000D_
The investigation commission underlines that the railway accident happened following the cumulation of the effect of the factors, the derailment should not happen if one of these factors was missing.</t>
  </si>
  <si>
    <t>C.7.2.Cauze subiacente _x000D_
1.	Nerespectarea prevederilor art.19.2 din Instruc?ia de norme ?i toleran?e pentru construc?ia ?i între?inerea caii - linii cu ecartament normal - nr.314/1989, referitoare la toleran?ele admise fa?a de ecartamentul prescris la aparatele de cale._x000D_
2.	Nerespectarea prevederilor art.1.14.1.c din Instruc?ia de norme ?i toleran?e pentru construc?ia ?i între?inerea caii - linii cu ecartament normal - nr.314/1989, referitoare la toleran?ele admise fa?a de ecartamentul prescris la liniile în exploatare în functie de viteza maxima de circulatie ?i la faptul ca abaterile de la ecartament, în exploatare trebuie sa se întinda uniform cu o variatie de cel mult 2 mm/m, cu exceptia curbelor dupa aparatele de cale de pe liniile abatute unde se admite o variatie de cel mult 3 mm/m._x000D_
 _x000D_
C.7.3.Cauze primare_x000D_
1.	Neaplicarea tuturor prevederilor procedurii operationale cod PO SMS 0-4.07 „Respectarea specificatiilor tehnice, standardelor si cerintelor relevante pe întreg ciclul de viata a liniilor în procesul de întretinere”, parte a sistemului de management al sigurantei administratorului de infrastructura feroviara publica CNCF „CFR” SA, referitoare la executarea lucrarilor de între?inere ?i repara?ii periodice a liniilor de cale ferata._x000D_
3.	Lipsa din Specifica?ia Tehnica cod ST-LE 5100 KW - Revizii planificate tip PTAE, RAC, RI, RT, R1 ?i R2 ?i repara?ii accidentale tip RIT, RIR, RAD, RA la locomotivele electrice de 5100kW” a lucrarilor de verificare a alinierii ?i paralelismului osiilor montate la reviziile de tip RT, R1 ?i R2, daca s-a depa?it intervalul de timp de 12 luni de la ultima reglare, lucrari prevazute în documentul de referin?a Norma Tehnica Feroviara nr.67-003:2008. 
Underlying causes _x000D_
_x000D_
1.	Inobservance of the provisions of art.19.2 from Instruction of norms and tolerances for the track construction and maintenance – lines with standard gauge - no.314/1989, regarding the tolerances accepted against the gauge prescribed for the switches in operation._x000D_
2.	Inobservance of the provisions of art.1.14.1.c from Instruction of norms and tolerances for the track construction and maintenance – lines with standard gauge - no.314/1989, regarding the tolerances accepted against the gauge prescribed for the lines in operation in accordance with the maximum running speed and the fact that deviation from the gauge in operation has to spread uniformly with a variation at most 2 mm/m, excepting the curves after the switch from the diverging tracks, where a variation at most 3 mm/m is accepted._x000D_
_x000D_
_x000D_
Root causes_x000D_
1.	Non application of all provisions of the operational procedure code PO SMS 0-4.07 „Compliance with the technical specifications, standards and requirements relevant for whole life time of the lines in maintenance process”, part of safety management system of the public railway infrastructure administrator CNCF „CFR” SA, regarding the performance of the maintenance and periodical repairs at railway tracks._x000D_
2.	Lack of the Technical specification code ST-LE 5100 KW – Planned inspections type PTAE, RAC, RI, RT, R1 and R2 and accidental repairs type RIT, RIR, RAD, RA at the electric locomotives of 5100kW” , the checking of the alignment and parallelism of the wheelsets during the inspections type RT, R1 and R2, if the interval of time of 12 months from the last adjustment was exceeded, works stipulated in the reference document Railway Technical Norm no.67-003:2008.</t>
  </si>
  <si>
    <t>RO-6011</t>
  </si>
  <si>
    <t>Train derailment, 29-06-19, Mehadia (Romania)</t>
  </si>
  <si>
    <t>the locomotive and the first wagon in the train consist derailed in Mehadia railway station</t>
  </si>
  <si>
    <t>Mehadia</t>
  </si>
  <si>
    <t>Express Forwarding SRL</t>
  </si>
  <si>
    <t>Cauza directa a producerii accidentului o constituie parasirea suprafe?ei de rulare a ciupercii ?inei de la firul interior al curbei situate la linia 2 abatuta din halta de mi?care Mehadia, de catre roata din partea stânga, (a sensului de mers), a primei osii de la primul boghiu al locomotivei de remorcare EA 080-4 ?i caderea acesteia în interiorul caii, urmata de deraierea celorlalte ro?i ale materialului rulant, a?a cum este prezentat la capitolul C.6.3 ,,Analiza modului de producere a accidentului’’._x000D_
 Acest lucru s-a produs în condi?iile în care starea tehnica a suprastructurii caii era necorespunzatoare, aceasta având ecartamentul peste valoarea maxima admisa ?i care sub ac?iunea for?elor dinamice transmise de materialul rulant se amplifica._x000D_
_x000D_
Factori care au contribuit:_x000D_
-	Men?inerea în cale a ?ase traverse necorespunzatoare la rând (consecutive), la locul producerii deraierii, care nu mai asigurau prinderea corespunzatoare a placilor metalice, permi?ând deplasarea acestora pe direc?ie radiala în sensul cre?terii ecartamentului, sub efectul dinamic al trenurilor aflate în circula?ie. 
The direct cause of the accident is the left wheel from the first axle of the first bogie from the hauling locomotive EA 080-4  left the running surface of the inner rail of the curve located on the diverging track 2 from the railway station Mehadia, and fell inside the track, followed by the derailment of the other wheels of the rolling stock, as it is presented in the Chapter C.6.3 "  Analysis of the accident occurrence''._x000D_
It happened following the improper technical condition of the track superstructure, its gauge being over the maximum accepted value and which increased under the action of dynamic forces transmitted by the rolling stock._x000D_
Contributing factors:_x000D_
-keeping of six unsuitable consecutive sleepers, at the derailment site, which no longer ensured the proper fastening of the metallic plates, allowing them to move in the radial direction, in the direction of increasing the gauge, under the dynamic effect of trains in movement.</t>
  </si>
  <si>
    <t>Cauze subiacente _x000D_
-	nerespectarea prevederilor art.25, pct. 2 ?i 4 din „Instruc?ia de norme ?i toleran?e pentru construc?ii ?i între?inerea caii pentru linii cu ecartament normal nr.314/1989”, referitoare la defectele care impun înlocuirea traverselor de lemn, respectiv la neacceptarea men?inerii în cale a unor traverse necorespunzatoare în cuprinsul aparatelor de cale._x000D_
_x000D_
Cauze primare_x000D_
-	neaplicarea tuturor prevederilor procedurii opera?ionale cod PO SMS 0-4.07 „Respectarea specifica?iilor tehnice, standardelor ?i cerin?elor relevante pe întreg ciclul de via?a a liniilor în procesul de între?inere”, parte a sistemului de management al siguran?ei al administratorului de infrastructura feroviara publica CNCF „CFR” SA, referitoare la executarea lucrarilor de între?inere ?i repara?ii periodice a liniilor de cale ferata. 
Underlying causes_x000D_
- inobservance of the provisions of art.25, points 2 and 4 of the “Instruction of norms and tolerances for construction and  maintenance of the track for lines with standard gauge” - no.314 /1989”, regarding the failures that require the replacement of wooden sleepers,  respectively not keeping of some inappropriate sleepers, within the switches._x000D_
Root causes_x000D_
-non-application of all the provisions of the operational procedure PO code SMS 0-4.07. "Compliance with the relevant technical specifications, standards and requirements relevant for whole life cycle of the lines in the maintenance process", part of the safety management system of the public railway infrastructure manager CNCF "CFR ”SA, regarding the execution of the maintenance and periodic repairs at the railway tracks.</t>
  </si>
  <si>
    <t>RO-6012</t>
  </si>
  <si>
    <t>Train derailment, 30-06-19, Palas - Constanta Marfuri (Romania)</t>
  </si>
  <si>
    <t>the hauling locomotive of the freight train no.89573 derailed in open line between Palas and Constanta Marfuri railway stations</t>
  </si>
  <si>
    <t>Cauza directa a producerii accidentului feroviar o constituie escaladarea flancului activ al ciupercii ?inei de pe firul exterior al curbei de catre ro?ile de pe partea dreapta (sens de mers) ale primului boghiu al locomotivei ca urmare a depa?irii limitei de stabilitate la deraiere. _x000D_
Factorii care au contribuit: _x000D_
-	starea tehnica necorespunzatoare a caii generata de defectele nivelului transversal;_x000D_
-	men?inerea în exploatare a locomotivei, fara ca sa fie asigurata ungerea corespunzatoare la punctele de sprijin ale cutiei pe boghiuri. 
Direct cause of the accident is the right wheels of the first bogie of the locomotive climbed the gauge face of the exterior rail, in the running direction, following the exceeding of the derailment stability limit. _x000D_
Contributing factors: _x000D_
-	improper technical condition of the track generated by the cross-level failures;_x000D_
-	keeping in operation of the locomotive without ensuring the proper lubrication of the support points of the locomotive body on the bogies.</t>
  </si>
  <si>
    <t>Nerespectarea urmatoarelor prevederi din instruc?ii:_x000D_
-	prevederilor art.7.A.1. din „Instruc?ia de norme ?i toleran?e pentru construc?ia ?i între?inerea caii pentru linii cu ecartament normal nr.314/1989”, referitoare la respectarea toleran?elor la nivelul transversal prescris al unui fir fata de celalalt, atât în aliniament cât ?i în curba;_x000D_
-	prevederilor art.7.A.4. din „Instruc?ia de norme ?i toleran?e pentru construc?ia ?i între?inerea caii pentru linii cu ecartament normal nr.314/1989” referitoare la men?inerea în toleran?e a înclinarii rampei torsionarii caii;_x000D_
-	prevederilor pct.4.1. din Cap.4 „Norme de manopera ?i de consum de materiale”, al „Instruc?iei de între?inere a liniilor ferate nr.300/1982” referitoare la asigurarea normei de manopera la între?inerea curenta în execu?ie manuala;_x000D_
-	prevederilor Fi?elor nr.3 ?i nr.4 din „Instruc?ia 305/1997 privind fixarea termenilor ?i a ordinii în care trebuie efectuate reviziile caii” referitoare la modul de efectuare a reviziilor caii._x000D_
_x000D_
Cauzele primare constatate cu ocazia investigarii accidentului sunt:_x000D_
•	S.C. TEF LOGISTICA FEROVIARA (denumit în continuare SC TEF SRL) în calitate de prestator de servicii feroviare critice, referitoare la executarea lucrarilor de între?inere curenta linii de cale ferata, în execu?ie manuala fara sudarea ?inelor nu are procedura care sa reglementeze aceste presta?ii pentru caile ferate neinteroperabile;_x000D_
•	SC GFR SA în calitate de gestionar de infrastructura feroviara neinteroperabila nu are procedurat sistemul de verificare ?i control al prestatorului de serviciu feroviar critic referitor la lucrarile de mentenan?a a liniei. 
Inobservance of the next provisions from the instructions:_x000D_
-	provisions of art.7.A.1. from „Instruction of norms and tolerances for the construction and maintenance of the track, for lines with standard gauge no.314/1989”, regarding the compliance with the tolerances for the cross level prescribed for a rail against the another one, both in a straight line and in curve;_x000D_
-	provisions of art.7.A.4. from „Instruction of norms and tolerances for the construction and maintenance of the track, for lines with standard gauge no.314/1989”, regarding the keeping between the tolerances of the track twist gradient;_x000D_
-	provisions of point 4.1. from Chapter 4 „Norms of manpower and material consumption”, of „Instruction for the line maintenance no.300/1982” regarding the provision with the manpower norm for the current manual maintenance;_x000D_
-	provisions of the Sheets no.3 and no.4 of „Instruction 305/1997 regarding the setting of the terms order for the performance track inspections” regarding the way to perform the track inspections._x000D_
_x000D_
Root causes:_x000D_
•	S.C. TEF LOGISTICA FEROVIARA (hereinafter referred to as SC TEF SRL), as provider of railway transport services, regarding the performance of line maintenances, manual performance without rail welding, has no procedure that regulates these services for the noninteroperable lines;_x000D_
•	SC GFR SA, as manager of the noninteroperable railway infrastructure has no procedure for the inspection and control of the provider of railway critical services regarding the track maintenance.</t>
  </si>
  <si>
    <t>AT-6217</t>
  </si>
  <si>
    <t>HU-6023</t>
  </si>
  <si>
    <t>Train derailment, 02-07-19, Vadaskert (Hungary)</t>
  </si>
  <si>
    <t>The 1st wagon of the train has derailed with 2 axles.</t>
  </si>
  <si>
    <t>Vadaskert</t>
  </si>
  <si>
    <t>UK-6027</t>
  </si>
  <si>
    <t>Accident to persons caused by RS in motion, 03-07-19, Margam (United Kingdom)</t>
  </si>
  <si>
    <t>At around 09:52 hrs on Wednesday 3 July 2019, two track workers were struck and fatally injured by a passenger train at Margam East Junction on the South Wales Main Line. A third track worker came very close to being struck. These three workers were part of a group of six staff, who were undertaking scheduled track maintenance on lines that were still open to traffic._x000D_
The train, which was travelling from Swansea to London Paddington, was approaching Margam on the up line at around 73 mph (117 km/h). Its driver saw three track workers walking away from him on the adjacent line and, beyond them, three more track workers on the line ahead of his train. He sounded the train horn and applied the emergency brakes. The track workers walking on the adjacent line became aware of the train approaching and tried to warn their colleagues as the train passed them._x000D_
The three track workers on the up line were working on a set of points, using a petrol-engined tool for loosening and tightening large nuts. Consequently, at least one of the workers was wearing ear defenders. CCTV images taken from a camera at the front of the train suggest that the workers did not become aware of the train until it was very close to them. By this time, it was travelling at around 50 mph (80 km/h).</t>
  </si>
  <si>
    <t>Margam</t>
  </si>
  <si>
    <t>Grand Central Railway Co Ltd</t>
  </si>
  <si>
    <t>The group of three track workers were all unaware of the approaching train until it was too late to move clear (paragraph 75).</t>
  </si>
  <si>
    <t>The causal factors were:_x000D_
a. The group of three track workers were on a line that was open to traffic while carrying out a maintenance activity which they did not know to be unnecessary (paragraph 78). This causal factor arose due to a combination of the following:_x000D_
i. It was custom and practice within the depot to lubricate threaded fastenings, despite the absence of any written process requiring it to be done (paragraph 81, recommendation 1)._x000D_
ii. The SWP was prepared with no involvement of the person who was expected to take the lead in safely undertaking the work, and was not compliant with procedures (paragraph 88, Recommendation 2)._x000D_
iii. The planned safe system of work was interpreted to mean that work could be carried out with lookout protection if blockages were not available, and it included only three of the four tasks required to be undertaken (paragraph 94, Recommendations 2 and 3)._x000D_
iv. Port Talbot depot’s safety planning practices were not compliant with the mandated process. The extent of non-compliance was not detected by the local checks required by Network Rail standard NR/L2/OHS/019 issue 9, nor by the Network Rail route management team’s assurance process (paragraph 106, Recommendations 2 and 7)._x000D_
v. The group of three track workers were accustomed to working on lines that were open to traffic (paragraph 117, Recommendation 2)._x000D_
b. The three track workers were working without the presence of formally appointed touch and distant lookouts to warn them of approaching trains (paragraph 120). This causal factor arose due to a combination of the following:_x000D_
i. The COSS and the formally appointed site lookout were not with the group of three in the period leading up to the accident (paragraph 122, Recommendation 4)._x000D_
ii. There was a breakdown in site safety leadership which led to informal working practices (paragraph 128, Recommendations 2 and 4)._x000D_
iii. Local and route management were not actively monitoring, and had not identified and managed, non-compliant safety behaviours at Port Talbot depot (paragraph 136, Recommendations 2 and 7)._x000D_
c. The three track workers did not see or hear any warning of the train’s approach (paragraph 145). This causal factor arose due to a combination of the following:_x000D_
i. The group of three track workers were using a noisy machine, and so were unable to hear the audible warnings from the train and the other group (paragraph 148)._x000D_
ii. None of the track workers looked towards the approaching train because they had become distracted by the task they were undertaking (paragraph 154, Recommendation 2)._x000D_
d. There was no challenge to the way the work was being done, probably because of the dynamics within the group (paragraph 156, Recommendation 4). _x000D_
Underlying factors_x000D_
358 Despite its stated intention to improve track worker safety, Network Rail did not create the conditions that were needed to achieve a significant and sustained_x000D_
improvement. This inability to create the right conditions arose from a combination of the following:_x000D_
a. Over a period of many years, Network Rail had not adequately addressed the protection of track workers from moving trains (paragraph 178, Recommendation 5). In particular, the major changes required to fully implement issue 9 of Network Rail standard NR/L2/OHS/019 were not effectively implemented across Network Rail’s maintenance organisation_x000D_
(paragraph 202, Recommendation 9)._x000D_
b. Network Rail had focused on technological solutions and new planning processes, but had not adequately taken account of the variety of human and organisational factors that can affect working practices on site (paragraph 239, Recommendation 4)._x000D_
c. Network Rail’s safety management assurance system was not effective in identifying the full extent of procedural non-compliance and unsafe working practices, and did not trigger the management actions needed to address them (paragraph 263, Recommendations 6, 7 and 8)._x000D_
d. Although Network Rail had identified the need to take further actions to address track worker safety, these did not lead to substantive change prior to the accident at Margam (paragraph 301).</t>
  </si>
  <si>
    <t>DK-6015</t>
  </si>
  <si>
    <t>Level crossing accident, 06-07-19, Overkørsel 102 ved Trustrup (Denmark)</t>
  </si>
  <si>
    <t>Car driven out in front of light rail train in crossing 102 on Grenåbanen (at Trustrup)</t>
  </si>
  <si>
    <t>Overkørsel 102 ved Trustrup</t>
  </si>
  <si>
    <t>Keolis</t>
  </si>
  <si>
    <t>Aarhus Letbane</t>
  </si>
  <si>
    <t>Inattention from the car driver</t>
  </si>
  <si>
    <t>CZ-6016</t>
  </si>
  <si>
    <t>Trains collision, 08-07-19, Plzen hl. n. station (Czech Republic)</t>
  </si>
  <si>
    <t>Collision of the shunting operation with the service train No. 55862.</t>
  </si>
  <si>
    <t>Ceské dráhy; 
Tratová strojní spolecnost</t>
  </si>
  <si>
    <t>Direct cause:_x000D_
• failure to stop the shunting operation in front of the service train No. 55862 at running at sight._x000D_
_x000D_
Contributory factors:_x000D_
• unauthorized set the shunting operation in motion without instruction of the shunting supervisor to start of shunting;_x000D_
• incorrectly issued an instruction through the radio station and unauthorized turn on the signal „Shunting permitted” at the signal device Lc204;_x000D_
• design of locomotive 742 series – the train driver has limited view of the track while driving a long part of locomotives forward.</t>
  </si>
  <si>
    <t>Underlying cause:_x000D_
• failure to comply of the technological procedures of IM by the train driver of the shunting operation – failure to comply conditions for running at sight._x000D_
_x000D_
Root cause: none.</t>
  </si>
  <si>
    <t>HU-6024</t>
  </si>
  <si>
    <t>Train derailment, 08-07-19, Érd (Hungary)</t>
  </si>
  <si>
    <t>The engine passed signal at danger, hit the buffer and derailed.</t>
  </si>
  <si>
    <t>Érd</t>
  </si>
  <si>
    <t>Mistake of engine drivers.</t>
  </si>
  <si>
    <t>RO-6017</t>
  </si>
  <si>
    <t>Trains collision, 08-07-19, Olteni (Romania)</t>
  </si>
  <si>
    <t>the freight no. 20919-2 (got by SC Cargo Trans Vagon SA) hauled by the locomotive EC 121, has crashed the rear wagons of the freight train no.34393-2 (got by SC Constantin Grup SRL)which was stopped in front of the entrance signal of Olteni railway station</t>
  </si>
  <si>
    <t>Olteni</t>
  </si>
  <si>
    <t>S.C. CARGO TRANS VAGON S.A.; 
S.C. CONSTANTIN GRUP S.R.L.</t>
  </si>
  <si>
    <t>Cauza directa a accidentului o constituie neadaptarea de catre mecanicul de locomotiva a vitezei de deplasare a trenului de marfa nr.20919-2, în func?ie de condi?iile de circula?ie ?i vizibilitate, dupa depa?irea semnalului luminos de trecere al blocului de linie automat (BL22) care avea indica?ia „OPRE?TE fara a depa?i semnalul!-primul sector de bloc din fa?a este ocupat” fapt ce a condus la imposibilitatea opririi imediate a acestuia ?i intrarea în coliziune cu trenul de marfa nr.34393-2 ce se afla oprit înaintea semnalului prevestitor Pr Y al semnalului de intrare al sta?iei CFR Olteni._x000D_
Factori care au contribuit la producerea accidentului:_x000D_
?	conducerea ?i deservirea locomotivei EC 121 ce a remorcat trenul de marfa nr.20919-2 de catre personal a carui stare fizica ?i psihica era afectata de oboseala acumulata ca urmare a depa?irii duratei serviciului maxim admis pe locomotiva precum ?i a perioadei mari de timp de când acesta se afla neîntrerupt în serviciu;_x000D_
?	efectuarea programului de circula?ie fara asigurarea încadrarii personalului de locomotiva în durata serviciului maxim admis pe locomotiva. 
Causes and contributing factors_x000D_
Direct cause of the accident was the non-adjustment of the running speed of the freight train no.  20919-2, by train driver , according to the conditions of running and visibility, after passing by the light signal of the automatic section block (BL22) having the position „STOP without passing by the signal!- the first front block section is occupied” it leading to the impossibility to stop it immediately and the collision with the freight train no.34393-2, that was stopped before the distant signal Pr Y of the entry signal of Olteni railway station._x000D_
Contributing factors:_x000D_
?	the operation of the locomotive EC 121 hauling the freight train no.20919-2 by staff whose physical and mental condition was affected by the fatigue accumulated following the exceeding the maximum duty accepted for the locomotive, as well as following the long period of time since he has been continuously working;_x000D_
?	running of the traffic schedule without allowing the locomotive crew to comply with the maximum duty accepted for the locomotive.</t>
  </si>
  <si>
    <t>Cauze subiacente_x000D_
?	nerespectarea prevederilor art.89 (2) ?i a art.28 (9) din Regulamentul de semnalizare nr.004/2006, referitoare la condi?iile în care se efectueaza circula?ia dupa depa?irea unui semnal luminos de trecere a blocului de linie automat a carui unitate luminoasa este de culoare ro?ie, situa?ie în care conducerea trenului trebuie sa se faca cu viteza de maxim 20 km/h cu deosebita aten?ie, cu supravegherea permanenta a liniei ?i reglarea vitezei astfel încât trenul sa poata fi oprit imediat în cazul în care calea este ocupata, se constata lipsa gabarit, se observa semnale fine tren, semnale mobile ?i de mâna care ordona oprirea trenului sau un alt obstacol care împiedica continuarea circula?iei;_x000D_
?	nerespectarea prevederilor art.2 din Normele privind serviciul continuu maxim admis pe locomotiva, efectuat de personalul care conduce ?i/sau deserve?te locomotive în sistemul feroviar din România, aprobate prin Ordinul MT nr.256/2013, referitoare la durata serviciului continuu maxim admis pe locomotiva în cazul conducerii/deservirii locomotivei în echipa completa;_x000D_
?	nerespectarea prevederilor din Legea 53/2003 – Codul Muncii cu modificarile ?i completarile ulterioare, TITLULUI III - Timpul de munca ?i timpul de odihna  referitor la durata normala a timpului de munca ?i a repausului zilnic. _x000D_
_x000D_
_x000D_
_x000D_
_x000D_
_x000D_
_x000D_
Cauze primare_x000D_
?	nerespectarea prevederilor pct.4.2 din Procedura Opera?ionala de Siguran?a ”Serviciul continuu maxim admis pe locomotiva” cod:POS-043, edi?ia 0, revizia 2, aprobata la data de 14.02.2019, referitoare la durata serviciului continuu maxim admis pe locomotiva în cazul conducerii/deservirii locomotivei în echipa completa;_x000D_
?	nerespectarea prevederilor pct.4.5 alin.4 din Procedura Opera?ionala de Siguran?a ”Serviciul continuu maxim admis pe locomotiva” cod:POS-043, edi?ia 0, revizia 2, aprobata la data de 14.02.2019, referitor la faptul ca, înainte cu trei ore de expirarea duratei serviciului continuu maxim reglementat, mecanicul locomotivei are obliga?ia avizarii telefonice a dispeceratului pentru organizarea schimbului de personal sau luarea odihnei;_x000D_
?	nerespectarea prevederilor pct.4.5 alin.8 ?i alin.10 din Procedura Opera?ionala de Siguran?a ”Serviciul continuu maxim admis pe locomotiva” cod:POS-043, edi?ia 0, revizia 2, aprobata la data de 14.02.2019, referitor la faptul ca, dupa oprirea în sta?ie ?i depa?irea duratei de 12 ore, este interzisa deschiderea unei noi foi de parcurs fara efectuarea odihnei personalului de locomotiva în afara domiciliului;_x000D_
?	nerespectarea prevederilor pct.4.6 din Procedura Opera?ionala de Siguran?a ”Serviciul continuu maxim admis pe locomotiva” cod:POS-043, edi?ia 0, revizia 2, aprobata la data de 14.02.2019, în sensul ca nu a fost urmarita corespunzator durata timpului de conducere efectiva a locomotivei, durata timpului în sta?ionarea trenului, durata timpului de odihna efectuat în dormitoare în afara domiciliului;_x000D_
?	prevederile de la pct.4.10 din Procedura Opera?ionala de Siguran?a ”Serviciul continuu maxim admis pe locomotiva” cod:POS-043, edi?ia 0, revizia 2, aprobata la data de 14.02.2019, contravin prevederilor art.8 (3) din Normele privind serviciul continuu maxim admis pe locomotiva, efectuat de personalul care conduce ?i/sau deserve?te locomotive în sistemul feroviar din România, aprobate prin Ordinul MT nr.256/2013, conform carora efectuarea odihnei în afara domiciliului se poate face doar în unita?i de cazare, cu precizarea datelor de identificare a acestora ?i nu la persoane particulare a?a cum se specifica în procedura cod:POS-043;_x000D_
?	nerespectarea prevederilor de la pct.5.6. din Procedura Opera?ionala ”Efectuarea programului de circula?ie” cod: PO–02 Ed.0, Rev.4, aprobata la data de 30.07.2018, referitor la obliga?ia dispecerilor de a urmarii circula?iei trenurilor, de a respecta serviciul maxim admis pe locomotiva, a timpului de lucru normat precum ?i a asigurarii cu personal de schimb la expirarea acestora ?i îndrumarea la odihna sau domiciliu;_x000D_
?	nerespectarea prevederilor de la pct.5.7. din Procedura Opera?ionala ”Efectuarea programului de circula?ie” cod: PO–02 Ed.0, Rev.4, aprobata la data de 30.07.2018, referitor la obliga?ia controlarii modului de efectuare a programului de circula?ie;_x000D_
?	nerespectarea prevederilor de la pct.6. din Procedura Opera?ionala ”Efectuarea programului de circula?ie” cod: PO–02 Ed.0, Rev.4, aprobata la data de 30.07.2018, referitor la asigurarea de personal ?i încadrarea în serviciul maxim reglementat admis pe locomotiva. 
Underlying causes_x000D_
?	inobservance of the provisions of art.89 (2) and art.28 (9) from the Signalling Regulation no.004/2006, regarding the conditions of running after passing by a light passing signal of a automatic section block whose position is red, when the train driving has to be made with maximum speed of 20 km/h, paying a very important attention, monitoring continuously the line and the speed adjustment, so the train can be stopped soon if the line is occupied, it is found the gauge affected, it is noticed rear of the train signal, mobile and hand signals that order the stop of the train or another obstacle that does not allow to continue the running;_x000D_
?	inobservance of the provisions of art.2 from the Norms regarding the maximum continuous duty accepted for the locomotive, run by the locomotive crew into Romanian railway system, approved by Order of Minister of Transports - OMT no.256/2013, regarding the maximum continuous duty accepted for the locomotive when the locomotive has complete crew( driver and driver’s assistant);_x000D_
?	inobservance of the provisions of the Law 53/2003 – Labour Code with further amendments, TITLE III – Time of work and time of rest regarding the normal working time and daily rest. _x000D_
_x000D_
Root causes_x000D_
?	inobservance of the provisions of point 4.2 from the Operational Safety Procedure ”Maximum continous duty accepted for the locomotive” code:POS-043, edition 0, revision 2, approved on the 14th February 2019, regarding the maximum continuous duty accepted for the locomotive in case of complete crew (driver and driver’s assistant);_x000D_
?	inobservance of the provisions of point 4.5 paragraph 4 from the Operational Safety Procedure ”Maximum continuous duty accepted for the locomotive” code:POS-043, edition 0, revision 2, approved on the 14th February 2019, regarding the fact that, three hours previously the end of the regulated maximum continuous duty, the driver has to notify by phone the Traffic Controller Department for the organization of the shift change or taking rest;_x000D_
?	inobservance of the provisions of the point 4.5 paragraphs 8 and 10 of the from the Operational Safety Procedure ”Maximum continuous duty accepted for the locomotive” code:POS-043, edition 0, revision 2, approved on the 14th February 2019, regarding the fact that, after stopping in the railway station and exceeding the time of 12 hours, it is forbidden to open a new journey report, if  the locomotive crew has no rest outside the home;_x000D_
?	inobservance of the provisions of point pct.4.6 from the Operational Safety Procedure ”Maximum continuous duty accepted for the locomotive” code:POS-043, edition 0, revision 2, approved on the 14th February 2019, that is the driving time for the locomotive, the time of train stop and the rest period of time in sleeping rooms outside the home were not properly tracked;_x000D_
?	the provisions of the point 4.10 from the Operational Safety Procedure ”Maximum continuous duty accepted for the locomotive” code:POS-043, edition 0, revision 2, approved on the 14th February 2019, do not comply with the provisions of art.8 (3) from the Norms for the maximum continuous duty accepted  for the locomotive, runs by the locomotive crew in Romanian railway system, approved by Order of Minister of Transports - OMT no.256/2013, according which the rest outside the home is possible only in accommodation units, stipulating their identification data and not at individuals as it is stipulated in the procedure code:POS-043;_x000D_
?	inobservance of the provisions of point 5.6. from the Operational Safety Procedure ”Maximum continuous duty accepted for the locomotive” code:POS-043, edition 0, revision 4, approved on the 30th July 2018, regarding the obligation of the traffic controllers to track the train running, to comply with the maximum continuous duty accepted for the locomotive, the allowed working time as well as  to ensure the shift staff  at their expiration and guiding to rest or to home;_x000D_
?	inobservance of the provisions of point 5.7 from the Operational Procedure” Running of the traffic schedule” code:PO-02 Ed.0, revision 4, approved on the 30th July 2018, regarding the obligation to control the running of the traffic schedule;_x000D_
?	inobservance of the provisions of point 6 from the Operational Procedure” Running of the traffic schedule” code: PO–02 Ed.0, Revision 4, approved on the 30th July 2018, regarding the provision with the staff and compliance with the maximum regulated duty accepted for the locomotive.</t>
  </si>
  <si>
    <t>BE-6205</t>
  </si>
  <si>
    <t>Train derailment, 11-07-19, Liège-Guillemins (Belgium)</t>
  </si>
  <si>
    <t>Derailment of a passenger train of the railway undertaking SNCB/NMBS, empty and towed because of a train breakdown</t>
  </si>
  <si>
    <t>Liège-Guillemins</t>
  </si>
  <si>
    <t>Important damages to the infrastructure (tracks, sleepers, switches) and to the rolling stock (locomotive type 27 at the front of the train and the first three coaches type M4)</t>
  </si>
  <si>
    <t>A first simulation with nominal parameters (new rail, perfect track without defects, nominal train characteristics) showed that the derailment zone is a zone which is sensitive to two derailment criteria: wheel lift and the ratio of wheel/rail contact efforts.</t>
  </si>
  <si>
    <t>The parametric studies allowed to draw the following conclusions:
1/ the entry to the zone 14AE, which has been identified as the zone where the derailment took place, is indeed the most critical zone of the route, and this including a track without defects, a nominal train and a low rheostatic braking effort by the leading locomotive 
2/ a dry track increases the risk of derailment 
3/ the profile of the rail has an impact on the risk of derailment whether or not combined with a braking effort 
4/ an increase in track gauge contributes to a significant increase of the risk of derailment when combined with a higher rheostatic braking effort by the leading locomotive 
5/ track twist defects related to the deformation of the bogie and/or the track, cumulated with rail wear and a higher rheostatic braking effort by the leading locomotive can derail a train in the studied zone.
The study which was carried out by external experts (Mastéris) shows that the zone where the train derailed is particularly sensitive compared to the previous zone of switches and that the sum of various influencing factors (dynamic braking effort, a track gauge higher than the nominal value, track twist defect, worn rail profile, friction coefficient) is likely to reach or exceed the derailment criteria.</t>
  </si>
  <si>
    <t>CZ-6020</t>
  </si>
  <si>
    <t>Level crossing accident, 13-07-19, open line between Lubná and Zavidov operating control points (Czech Republic)</t>
  </si>
  <si>
    <t>Collision of the regional passenger train No. 17750 with a car at the level crossing with consequent derailment.</t>
  </si>
  <si>
    <t>open line between Lubná and Zavidov operating control points</t>
  </si>
  <si>
    <t>Direct cause:_x000D_
• driver's failure to respect the light and acoustic warning and driving across the level crossing at the time when it was forbidden and the visual and acoustic warnings were being given.</t>
  </si>
  <si>
    <t>HU-6115</t>
  </si>
  <si>
    <t>Spad, 13-07-19, Esztergom - Kertváros (Hungary)</t>
  </si>
  <si>
    <t>No. 2095 train passed near the red exit sign of Esztergom - Kertváros train station</t>
  </si>
  <si>
    <t>Esztergom - Kertváros</t>
  </si>
  <si>
    <t>1.1	Direct causes
The factors which had direct effect on the occurrence were as follows:
a)	the locomotive driver failed to observe the aspect of the exit signal and passed the exit signal in danger;
b)	the chief train inspector authorised the locomotive driver to depart without observing the exit signal;
c)	the locomotive driver started a return without authorisation.
1.2	Indirect causes
Those findings relating to competences, procedures and maintenance which are related to the factors enumerated above:
a)	the exit signal cannot be seen from the chief train inspector’s usual place;
b)	the traffic manager of KÖFI did not give clear instruction to the locomotive driver of the train № 2095 relating to what to do.</t>
  </si>
  <si>
    <t>1.3	Root causes
Causes that are distant in time and space from one another but which are related to system operation within the regulatory environment and in the safety management system:
a)	no train control system was installed on the line during the reconstruction;
b)	communication on that line is possible only by mobile phone which is not suitable for safety critical communication;
c)	the crew training system does not cover the suitable contents and form of safety critical communication.
1.4	Other risk factors
Factors which cannot be related to the occurrence but increase risk:
Both the locomotive driver and the chief train inspector had worked last on the line concerned several weeks before the occurrence.</t>
  </si>
  <si>
    <t>CZ-6018</t>
  </si>
  <si>
    <t>Level crossing accident, 14-07-19, open line between Smirice station and CernoÅ¾ice railway stop (Czech Republic)</t>
  </si>
  <si>
    <t>Collision of the regional passenger train No. 1793 with a car at the level crossing No. P5223.</t>
  </si>
  <si>
    <t>open line between Smirice station and CernoÅ¾ice railway stop</t>
  </si>
  <si>
    <t>Direct cause:_x000D_
• driver's failure to respect the light and acoustic warning and driving across the level crossing No. P5223 at the time when it was forbidden and visual and acoustic warnings were being given.</t>
  </si>
  <si>
    <t>FR-6021</t>
  </si>
  <si>
    <t>Level crossing accident, 15-07-19, Avenay-Val-d'Or (France)</t>
  </si>
  <si>
    <t>Express regional train hits, at a speed of 118 km/h, a car, at a level crossing with barriers._x000D_
One adult and three children die in the car.</t>
  </si>
  <si>
    <t>Avenay-Val-d'Or</t>
  </si>
  <si>
    <t>The expert analysis carried out on the light vehicle, the train and the PN equipment did not reveal any indication that could lead to the conclusion that a technical problem could have been the cause or a factor of the occurrence of this accident. The train conductor followed all procedures during the driving phases and in the event of an accident._x000D_
The direct cause of the accident was the non-stop of the light vehicle at the level crossing when the signals required it._x000D_
At the end of the investigation, the BEA-TT considers that the most likely scenario is that the driver did not perceive the closed state of the level crossing despite the signs in place.</t>
  </si>
  <si>
    <t>The amounts of active substances of the antidepressants found in the body of the driver exceeded farly the therapeutic dose. BEA-TT investigators consider that his driving abilities, at the time of the accident, were very likely impaired.</t>
  </si>
  <si>
    <t>CZ-6026</t>
  </si>
  <si>
    <t>Level crossing accident, 16-07-19, Horetice station (Czech Republic)</t>
  </si>
  <si>
    <t>Collision of the long distance passenger train No. 1083 with a car at the level crossing No. P65 with consequent derailment.</t>
  </si>
  <si>
    <t>Horetice station</t>
  </si>
  <si>
    <t>HU-6025</t>
  </si>
  <si>
    <t>Train derailment, 16-07-19, Csillebérc (Hungary)</t>
  </si>
  <si>
    <t>The engine has derailed with 2 axles.</t>
  </si>
  <si>
    <t>Csillebérc</t>
  </si>
  <si>
    <t>A vasúti pálya és a mozdony kedvezotlen kölcsönhatása. 
The negative interaction between the railway track and the locomotive.</t>
  </si>
  <si>
    <t>PT-6120</t>
  </si>
  <si>
    <t>Accident to persons caused by RS in motion, 16-07-19, Caxias (Portugal)</t>
  </si>
  <si>
    <t>While works under a contract for the IM were being performed at the lineside, one worker was fatally hit by a train. 
Trabalhador de empresa prestadora de serviços para o gestor da infraestrutura foi mortalmente colhido por comboio quando executava trabalhos junto à via férrea.</t>
  </si>
  <si>
    <t>Caxias</t>
  </si>
  <si>
    <t>•	Loss of situational awareness by the worker relating to the approaching train;_x000D_
•	Presence of the worker within the train's braking distance;</t>
  </si>
  <si>
    <t>•	Prioritizing the removal of fallen vegetation on the track in relation to the prohibition to enter the risk zone;_x000D_
•	Mode of executing of the work not adequate to the established safety measure;_x000D_
•	The job was not suspended during the absence of the team leader;_x000D_
•	Safety culture in the service provider that did not sufficiently develop the need for workers not to trade safety for productivity;_x000D_
•	Supervision of the service provider by the infrastructure manager not effective._x000D_
•	The presence of psychoactive substances in the worker's body may have interfered with his ability to react and to reason, namely regarding the perception of the train approaching;_x000D_
•	The train's horn was not sounded at the regulatory distance. However, it was not possible to determine unequivocally whether the indicator signal for this purpose was placed in the proper location.</t>
  </si>
  <si>
    <t>PT-6119</t>
  </si>
  <si>
    <t>Train derailment, 17-07-19, Cortegaça (Portugal)</t>
  </si>
  <si>
    <t>Descarrilamento de um vagão de mercadorias num comboio circulando à velocidade máxima. 
Derailment of one wheelset of a hopper doble-wagon while running at speed. The wagon ran derailed for about 2700 metres, until the train stopped.</t>
  </si>
  <si>
    <t>Cortegaça</t>
  </si>
  <si>
    <t>PT-6121</t>
  </si>
  <si>
    <t>Level crossing near miss, 17-07-19, Esqueiro (Portugal)</t>
  </si>
  <si>
    <t>A lorry with a low-loader trailer carrying a medium-sized ship got immobilized while going through a private level crossing._x000D_
Only 14 minutes after the vehicle getting stuck on the railway line and 10 minutos after the firts alert to the authorities was possible to contact an approaching passenger train, which had already stopped because it had a scheduled stop at the halt immediately before the level crossing. 
Um veículo articulado longo, fazendo o transporte de uma embarcação, ficou imobilizado ao fazer o atravessamento da PN particular ao PK 110,373 da Linha do Minho._x000D_
Apenas catorze minutos após a imobilização do veículo rodoviário e dez minutos após o alerta para o número nacional de emergência 112 foi possível contactar com o comboio que se aproximava daquela PN, o qual já se encontrava detido por ter paragem estabelecida no apeadeiro de Esqueiro, imediatamente antes da referida PN.</t>
  </si>
  <si>
    <t>Esqueiro</t>
  </si>
  <si>
    <t>DE-6028</t>
  </si>
  <si>
    <t>Trains collision, 18-07-19, München Ost Rbf (Germany)</t>
  </si>
  <si>
    <t>Am 18.07.2019 gegen 00:34 Uhr kollidierte der Güterzug GA 47120 auf der Fahrt von Györ nach Ingolstadt Nord im Bahnhof (Bf) München Ost Rbf auf der Weiche 307 mit der in Gleis 9 nicht profilfrei stehenden Lokomotive des Güterzuges DGS 43133. 
On 18.07.2019 at 00:34, freight train GA 47120 on the journey from Györ to Ingolstadt Nord in the railway station (Bf) Munich Ost Rbf on switch 307 collided with the non-profiling locomotive of freight train DGS 43133 on track 9.</t>
  </si>
  <si>
    <t>München Ost Rbf</t>
  </si>
  <si>
    <t>DB Schenker Rail Deutschland AG; 
Lokomotion Gesellschaft für Schienentraktion mbH</t>
  </si>
  <si>
    <t>Das Ereignis ist auf einen Arbeitsfehler des Weichenwärters (Ww) zurückzuführen. Dieser ha??e die Fahrwegprüfung durch Hinsehen für den Zug GA 47120 nicht mit der gebotenen Sorgfalt durchgeführt. 
The event is due to an error in the work of the switch manager (Ww) who did not carry out the trackside test by looking at train GA 47120 with due care</t>
  </si>
  <si>
    <t>CZ-6029</t>
  </si>
  <si>
    <t>Trains collision with an obstacle, 21-07-19, Praha, between tram stops Trojská and Nad Trojou (Czech Republic)</t>
  </si>
  <si>
    <t>Collision of tram No. 17/17 with a car.</t>
  </si>
  <si>
    <t>Praha, between tram stops Trojská and Nad Trojou</t>
  </si>
  <si>
    <t>Direct cause:_x000D_
• a car driver’s failure in driving when she did not give way to the tram._x000D_
_x000D_
Contributory factors:_x000D_
• deteriorated view conditions caused by the grown trees which separate the tram track from the road, Trojská Street;_x000D_
• the incorrectly placed traffic sign P 5 "Give Way to trams!" in the area before the crossing of the tram track with the road.</t>
  </si>
  <si>
    <t>Underlying cause:_x000D_
• a car driver’s failure to devote her attention fully to driving the vehicle and her failure to monitor the situation in road traffic._x000D_
_x000D_
Root cause: none.</t>
  </si>
  <si>
    <t>HU-6154</t>
  </si>
  <si>
    <t>Train derailment, 23-07-19, Dunai finomító (Hungary)</t>
  </si>
  <si>
    <t>A vonat két kocsija kisiklott. 
Two cars of the train have derailed</t>
  </si>
  <si>
    <t>Dunai finomító</t>
  </si>
  <si>
    <t>Other occurrence - not to be submitted to ERA; 
(b) it forms part of a series of accidents or incidents relevant to the system as a whole; 
National rules imposed by implementing of the Safety Directive 2004/49/EC; 
in light of Article 19 §2 of SD"</t>
  </si>
  <si>
    <t>1.1	Direct causes
The factors which had direct effect on the occurrence were as follows:
a)	the train started with a drag shoe left under the leading wagon, and the drag shoe got stuck in the crossing part of the switch, and the two leading wagons of the train derailed on it.
1.2	Indirect causes
Those findings relating to competences, procedures and maintenance which are related to the factors enumerated above:
a)	the wagon examiner failed to check with the traffic manager the number, markings and locations of the drag shoes used with the train,
b)	after connection of the rolling stock, the locomotive driver did not look for and did not remove the drag shoe placed under the leading wagon, because he did not think it was his task to remove it,
c)	the wagon examiner did not realise the drag shoe under the leading wagon, so he only removed the shoe he had found under the tail wagon,
d)	due to a practice developed at the station, the drag shoes were not returned to the traffic manager’s supervision (i.e. their storage) after use therefore they were not monitored anymore, so the traffic manager could not make sure that all the drag shoes had been removed from under the train,
e)	such a practice had developed at the station in the area of returning the drag shoes which deviated from the relevant instruction and compromised some of the safety guarantees integrated in the relevant process, and the management audits and other inspections failed to reveal it.</t>
  </si>
  <si>
    <t>1.3	Root causes
Causes that are distant in time and space from one another but which are related to system operation within the regulatory environment and in the safety management system:
a)	the Station Instructions contained no rule for the case, i.e. what to do if the drag shoe is removed from under the train by the wagon examiner or the locomotive driver who carries out train coupling.
1.4	Other risk factors
Factors which cannot be related to the occurrence but increase risk:</t>
  </si>
  <si>
    <t>CZ-6030</t>
  </si>
  <si>
    <t>Trains collision with an obstacle, 24-07-19, open line between Nová Paka and Lázne Belohrad stations (Czech Republic)</t>
  </si>
  <si>
    <t>Collision of the regional passenger train No. 5700 with a fallen tree with consequent derailment.</t>
  </si>
  <si>
    <t>open line between Nová Paka and Lázne Belohrad stations</t>
  </si>
  <si>
    <t>NO-6032</t>
  </si>
  <si>
    <t>Train derailment, 25-07-19, Bjørnstad (Norway)</t>
  </si>
  <si>
    <t>On Thursday 25 July 2019 several wagons in a freight train derailed at Bjørnstad between Majavatn and Namsskogan. The derailment led to major material damage and delays.
The southbound train 5790 was en route from Fauske to Oslo when the accident occured. There were dangerous goods in the derailed wagons and this caused the nearby area to be evacuated for a period of time.
No one was injured in this incident.
The investigation will clarify the sequence of events and identify possible causal factors. Any underlying conditions that may have contributed to the accident will be mapped and analysed. 
Torsdag 25. juli 2019 kl. 1740 sporet flere vogner i et godstog av ved Bjørnstad mellom Majavatn og Namsskogan. Avsporingen førte til store materielle skader og forsinkelser.
Sørgående godstog 5790 var på vei fra Fauske til Oslo da flere vogner sporet av og havnet utenfor sporet og i elva. Det var farlig gods i lasten på vognene og dette medførte at området ble evakuert i en periode.
Ingen personer ble skadet i hendelsen.
Undersøkelsen vil klarlegge hendelsesforløpet og peke på mulige årsaksforhold. Eventuelle bakenforliggende forhold som kan ha bidratt til hendelsen vil bli kartlagt og analysert.</t>
  </si>
  <si>
    <t>Bjørnstad</t>
  </si>
  <si>
    <t>The derailment was due to buckling that is related to earlier work on the track.</t>
  </si>
  <si>
    <t>On 22 and 23 September 2018, seven overflow pipes were laid from milepost 303.160 to milepost 304.824 on the Nordlandsbanen line. The nature of the work meant that the track did not have to be cut. During the period from winter 2018/2019 until June 2019, a closed drainage system was established in line trenches with inflow tanks along this section of track. _x000D_
_x000D_
On 23 September 2018, the track around the overflow pipes was packed, and on 24 September 2018, the track was repacked and adjusted. It later transpired that the adjustment of the track on 24 September was carried out at a too low temperature.</t>
  </si>
  <si>
    <t>FR-6076</t>
  </si>
  <si>
    <t>Other, 26-07-19, Troyes (France)</t>
  </si>
  <si>
    <t>Locking of an axle on about 30 km in a freight train of Europorte. Multiple fire starts on the edge of the track.</t>
  </si>
  <si>
    <t>Troyes</t>
  </si>
  <si>
    <t>Europorte France</t>
  </si>
  <si>
    <t>blocked brake</t>
  </si>
  <si>
    <t>PT-6124</t>
  </si>
  <si>
    <t>Railway vehicle movement event, 26/7/2019, Marinhais</t>
  </si>
  <si>
    <t>NIB PT</t>
  </si>
  <si>
    <t>Railway vehicle movement event</t>
  </si>
  <si>
    <t>The train air brake pipe ruptured between the sixth and seventh wagon of train 89840 (of a total of 14 wagons), resulting in the train stopping in emergency.
It was decided to proceed until Marinhais station at low speed (never exceeding 24 km/h), with the rear 8 wagons unbraked and an agent on the last wagon in contact with the driver and in reach of two brake shoes.
After arriving at Marinhais station, the train was shunted so as to place the defective wagon in the last position, then the train proceeded with the last wagon unbraked and with the agent until Muge station, where the vehicle was left.
This wagon has no manual brakes. 
Após a ocorrência de uma rotura na ligação de freio entre o sexto e sétimo vagão do comboio 89840 (de um total de 14 vagões), resultando em imobilização do comboio ao PK 15,400, foi decidido prosseguir a marcha até à estação de Marinhais a baixa velocidade (nunca superior a 24 km/h), com os últimos oito vagões da composição sem o freio ativo e com o operador de apoio posicionado no último veículo, em permanente contacto via telemóvel com o maquinista e com dois calços manuais ao seu alcance. Após a chegada à estação de Marinhais foi efetuada manobra de modo a colocar o vagão com a conduta avariada na última posição da composição, prosseguindo então a marcha até à estação de Muge apenas com o último vagão sem o freio ativo, mantendo-se o operador de apoio posicionado no último veículo e nas condições já indicadas. Este vagão não tem freio manual. O vagão avariado foi deixado resguardado na estação de Muge.</t>
  </si>
  <si>
    <t>Marinhais</t>
  </si>
  <si>
    <t>The incident resulted directly from the decision to resolve the train immobilization in a way that was considered by the involved parties as the most effective and quickest way possible, in the understanding that the existing risks were controlled to an acceptable level, including by the member of staff who travelled on the footboard of the wagon. According to the perception of the staff involved both on the train and in the operational control backoffice, the impracticality of providing assistance to the train due to the logistics associated with such a process, implying a very prolonged immobilization in plain line, and a use of means considered disproportionate, created an implicit pressure to solve the problem in a way that was considered acceptable, even if in breach of the applicable procedures. The true facts were hidden in the occurrence report, these being reconfigured instead to comply with a known but superseded procedure, which was not adopted in the RU sms; these gaps were also not detected, either during the occurrence or in the later monitoring.</t>
  </si>
  <si>
    <t>Gaps in the RU sms regarding:
- control measures implemented to ensure compliance with the procedures regarding the isolation of braking system;
- Assessment of crew and operational backoffice management knowledge and proficiency regarding applicable procedures.</t>
  </si>
  <si>
    <t>CZ-6033</t>
  </si>
  <si>
    <t>Train derailment, 28-07-19, open line between Chodová Planá and Mariánské Lázne stations (Czech Republic)</t>
  </si>
  <si>
    <t>The derailment of the locomotive and 13 rolling stocks of the freight train No. 64520.</t>
  </si>
  <si>
    <t>open line between Chodová Planá and Mariánské Lázne stations</t>
  </si>
  <si>
    <t>Direct cause:_x000D_
• over-speeding by 61 kph by the train driver of the freight train No. 64520 at the level of the fixed signal device the speed indication signal N with the signal „Line speed” with the digit „30”._x000D_
Contributory factors:_x000D_
• absence of technical equipment which prevents a train from over-speeding;_x000D_
• failure of the train driver of the freight train No. 64520 to become acquainted with changes in the construction technical parameters of the tracks, which have a direct impact on rail transport operation safety and continuity, specifically with changes in the line characteristics tables No. 713B with the contribution of ambiguous way of specified form how the train drivers become acquainted with changes in construction technical parameters of the tracks and line characteristics tables.</t>
  </si>
  <si>
    <t>Underlying cause:_x000D_
• failure to comply with the technological procedures of the IM and RU by the train driver of the freight train No. 64520 when over-speeding; the maximum permitted speed was ordered by the fixed signal device the speed indication signal N with the signal „Line speed” with the digit „30”._x000D_
Root cause: none.</t>
  </si>
  <si>
    <t>CZ-6034</t>
  </si>
  <si>
    <t>Level crossing accident, 30-07-19, level crossing No. P7812 between Hradec nad Moravicí operating control point and Odbocka Moravice junction point (Czech Republic)</t>
  </si>
  <si>
    <t>Collision of the regional passenger train No. 23477 with a lorry at the level crossing No. P7812 with consequent derailment.</t>
  </si>
  <si>
    <t>level crossing No. P7812 between Hradec nad Moravicí operating control point and Odbocka Moravice junction point</t>
  </si>
  <si>
    <t>Direct cause:_x000D_
• an unauthorized entrance of the lorry at the level crossing No. P7812 at the time when the train No. 23477 was arriving._x000D_
_x000D_
Contributory factor:_x000D_
• spatial arrangement of the road crossing of road class I (No. 57) and road class III (No. 44346), which is located in movement direction of the lorry from Otice village, area Rybnícky, immediately behind the level crossing No. P7812, without connecting lanes to allow easier turning of road vehicles from the secondary road to the main road and conversely.</t>
  </si>
  <si>
    <t>Underlying cause:_x000D_
• driver’s of the lorry behavior in front of the level crossing No. P7812, he was not careful enough and he did not make sure, whether he can safely proceed over the level crossing._x000D_
_x000D_
Root cause: none.</t>
  </si>
  <si>
    <t>PL-6036</t>
  </si>
  <si>
    <t>Unauthorised train movement other than SPAD, 30-07-19, section Zlocieniec - Jankowo Pomorskie (Poland)</t>
  </si>
  <si>
    <t>On 30 July 2019 at 16:53, train APM 88247 operated by Przewozy Regionalne Sp. z o. o., travelling from Szczecinek to Szczecin Glówny, was being dispatched from Zlocieniec station under a written order “S” from station line no. 2, which lacks an exit signal, towards Jankowo Pomorskie station. The point operator had set the the train’s route incorrectly – instead of open line no. 1, he had set the course for open line no. 2. Train APM 88247 entered line no. 2 instead of line no. 1 of the Zlocieniec – Jankowo Pomorskie line in the direction opposite to the main direction. At 17:02, train ZXS 889252 operated by ZRK – DOM Sp. z o. o. in Poznan, travelling from Szczecin Dabie to Zlocieniec, was dispatched from Jankowo Pomorskie station under a written order “S” to the same line (open line no. 2). The trains continued to travel on the same line in opposite directions until 17:07. At that time the train driver of train APM 88247 used the “Radiostop”. The heads of the trains stopped at a distance of ca. 600 meters from each other.</t>
  </si>
  <si>
    <t>section Zlocieniec - Jankowo Pomorskie</t>
  </si>
  <si>
    <t>Przewozy Regionalne Ltd; 
Poland</t>
  </si>
  <si>
    <t>Dispatching train APM 88247 from Zlocieniec station to open line no. 2 instead of open line no. 1 on the Zlocieniec – Jankowo Pomorskie line.</t>
  </si>
  <si>
    <t>Root cause:_x000D_
Preparation by the point operator at the “Zl1” signal box of an exit route for train APM 88247_x000D_
from line no. 2 of Zlocieniec station, which lacks an exit signal, to open line no. 2 instead of open line no. 1 of the Zlocieniec – Jankowo Pomorskie line._x000D_
_x000D_
Indirect causes:_x000D_
1.	Failure by the signaller and point operator of Zlocieniec station to follow the binding rules of ordering and reporting by phone the setting of route 88 in the case of train movement without clearing a signal on the semaphore (§39(7)(2)(b) of Instruction Ir-1)._x000D_
2.	Dispatch of train APM 88247 by the Zlocieniec station signaller under a written order “S” without first making sure that the point operator at the Zl1 block post set the route correctly (§41(1) of Instruction Ir-1)._x000D_
3.	Failure to verify the route and failure to report the completion of the order to set the exit route for train APM 88247 by the point operator at the Zl1 block post, i.e. failure to provide the “position of points and derailers and description of how they are secured” (§41(6)(1) of Instruction Ir-1)._x000D_
4.	Improper observation by the point operator at the ZL1 block post of train APM 88247 exiting Zlocieniec station beyond his control area (§45(1) of Instruction Ir-1)._x000D_
5.	Movement of train APM 88247 in violation of the given permission (written order “S”) and failure to stop by the train driver after exiting Zlocieniec station, and the continued travel on open line no. 2 – left-side and opposite to the main direction, despite receiving a written order “S” at Zlocieniec station, and failure to take action to explain this situation after passing the last turnout on the route (§64(2)(1) of Instruction Ir-1)._x000D_
6.	Failure of Jankowo Pomorskie station signaller to take into account the information _x000D_
received from APM 88247 train driver  that the train is on open line no. 2 Zlocieniec – Jankowo Pomorskie._x000D_
7.	Failure of Jankowo Pomorskie station signaller to acknowledge signals shown on the “button and repeater box” that open line no. 2 was occupied and open line no. 1 was free, even though the block direction for line no. 1 was set from Zlocieniec station to Jankowo Pomorskie station for this train._x000D_
8.	Dispatch of train ZXS 889252 under a written order “S” by Jankowo Pomorskie station signaller to line no. 2 without making sure it was free, even though the block direction for line no. 2 was set towards Zlocieniec (§22(7)(1)(d) of Instruction Ir-1)._x000D_
_x000D_
Systemic cause:_x000D_
The following inconsistency of Instruction Ir-1:_x000D_
•	§64(21) imposes obligations on train manager in terms of train movement safety,_x000D_
•	§58(4) does not specify how to relay the information included in written orders via train communication radio equipment to the train manager.</t>
  </si>
  <si>
    <t>NO-6035</t>
  </si>
  <si>
    <t>Trains collision, 31-07-19, Berekvam station (Norway)</t>
  </si>
  <si>
    <t>On Wednesday 31 July 2019, passenger trains 1860 and 1859, both from Vygruppen AS, were to_x000D_
cross each other at Berekvam station on the Flåm Line. Train 1859 was heading down towards Flåm_x000D_
and should, pursuant to the ordinary procedure, be directed to track 1 at Berekvam. Train 1860 had_x000D_
already arrived and was stationary in track 2. The station has a single-entry signal and is staffed by_x000D_
a local traffic controller from Bane NOR SF. On the Flåm Line, the local traffic controller's_x000D_
responsibilities are to send and receive manual announcements, set signals and operate the points._x000D_
When the local traffic controller was to set train 1859's entry, point 1 were by mistake set to track 2,_x000D_
where train 1860 was already stationary, resulting in a collision between the two trains. Four_x000D_
passengers and one crew member sustained minor injuries in the accident._x000D_
There are no technical barriers in the safety system of stations with single-entry signals and manual_x000D_
announcements capable of preventing such errors. The local traffic controller therefore fills an_x000D_
important barrier function in connection with trains crossing in stations with single-entry signals,_x000D_
but this system is vulnerable to human error. The risk of this happening can increase if it is a long_x000D_
time since a person has performed a task, which was the case in this instance._x000D_
The AIBN has pointed out several safety problems in the course of this investigation and therefore_x000D_
submits two safety recommendations addressed to Bane NOR SF. The first focuses on risk_x000D_
assessment of local practices at single-entry signal stations with the goal of reducing the possibility_x000D_
of human error. The second targets stations with a potential for similar accidents, where the_x000D_
possibilities should be explored for speed reduction that would give the train drivers more time to_x000D_
act if a risk of collision is detected. 
Onsdag 31. juli kjørte toget mot Flåm inn i fronten på toget mot Myrdal som stod på Berekvam stasjon. Sammenstøtet førte til flere personskader, materielle skader og forsinkelser._x000D_
_x000D_
Da toget mot Flåm skulle krysse toget mot Myrdal på Berekvam stasjon lå sporvekselen i feil posisjon, og dette resulterte i sammenstøt mellom de to togene. Flere enn 10 personer fikk lettere skader etter å ha falt i vognene under sammenstøtet. Det var rundt 800 passasjerer ombord i de to togene._x000D_
_x000D_
Onsdag 31. juli 2019 skulle passasjertog 1860 krysse med passasjertog 1859, begge fra Vygruppen_x000D_
AS, på Berekvam stasjon på Flåmsbana. Tog 1859 var på vei ned mot Flåm og skulle etter normal_x000D_
kryssingsrutine tas inn i spor 1 på Berekvam. Tog 1860 var allerede tatt inn og stod stille i spor 2._x000D_
Stasjonen har enkelt innkjørsignal og betjenes av en togekspeditør fra Bane NOR SF._x000D_
Togekspeditørens ansvar på Flåmsbana er å sende og motta togmeldinger, stille signaler og betjene_x000D_
sporveksler. Da togekspeditøren skulle stille innkjør for 1859 la vedkommende ved en feil om_x000D_
sporveksel 1 til spor 2, der tog 1860 allerede stod, slik at det ble et sammenstøt mellom de to_x000D_
togene. Fire passasjerer og en ansatt fikk lettere skader i ulykken._x000D_
Det er ingen tekniske barrierer i sikringsanlegget for en stasjon med enkelt innkjørsignal og_x000D_
togmeldinger, som kan forhindre denne type feil. Togekspeditøren utgjør derfor en viktig_x000D_
barrierefunksjon ved kryssing på stasjoner med enkelt innkjørsignal, men er sårbar for å gjøre_x000D_
menneskelige feil. Risikoen for dette kan øke dersom det er lenge siden man har utført en oppgave,_x000D_
slik som i dette tilfellet._x000D_
Havarikommisjonen har pekt på flere sikkerhetsproblemer som en del av denne undersøkelsen, og_x000D_
fremmer derfor to sikkerhetstilrådinger til Bane NOR SF. Den første har fokus på å risikovurdere_x000D_
lokal praksis ved stasjoner med enkelt innkjørsignal med mål om å redusere muligheten for_x000D_
menneskelige feilhandlinger. Den andre er rettet mot stasjoner med potensiale for tilsvarende_x000D_
ulykker, der man bør undersøke mulighetene for hastighetsreduksjoner som gir lokomotivfører mer_x000D_
tid til å handle, hvis det oppdages fare for sammenstøt.</t>
  </si>
  <si>
    <t>Berekvam station</t>
  </si>
  <si>
    <t>When the local traffic controller was to set train 1859's entry, point 1 were by mistake set to track 2,_x000D_
where train 1860 was already stationary, resulting in a collision between the two trains. 
Da togekspeditøren skulle stille innkjør for 1859 la vedkommende ved en feil om_x000D_
sporveksel 1 til spor 2, der tog 1860 allerede stod, slik at det ble et sammenstøt mellom de to_x000D_
togene.</t>
  </si>
  <si>
    <t>There are no technical barriers, and therefore this system is vulnerable to human errors like slips and lapses. 
Ingen tekniske barrierer, og systemet er sårbart for menneskelige feil.</t>
  </si>
  <si>
    <t>RO-6037</t>
  </si>
  <si>
    <t>Fire in RS, 31-07-19, Alexandria - Plosca (Romania)</t>
  </si>
  <si>
    <t>the locomotive DA 637 that hauled the passenger train no. 9371 caught fire in open line between Plosca and Alexandria railway stations</t>
  </si>
  <si>
    <t>Alexandria - Plosca</t>
  </si>
  <si>
    <t>Cauza directa a producerii accidentului o constituie aprinderea rezidurilor petroliere aflate pe suspensia locomotivei, pe timoneria de frâna si pe cablurile de forta ale motoarelor de tractiune MT.4 si MT.5 si afectarea termica în sala masinilor a subansamblurilor din zona cap motor diesel post nr.II de conducere, datorita trecerii locomotivei printr-o por?iune de cale ferata afectata de un incendiu de vegetatie._x000D_
_x000D_
Factori care au contribuit_x000D_
     Existenta reziduurilor petroliere în zona canalului de cabluri ?i a dozei de legatura a cablurilor de alimentare a motorului de tractiune nr.4, pe burduful de la canalul de ventilatie al motorului de tractiune nr.4, pe timoneria de frâna si elementele de suspensie. 
Underlying causes _x000D_
The direct cause of the accident is the ignition of the oil rests being on the locomotive suspension, brake riggings and force cables of the traction motors MT.4 and MT.5 and the thermic affecting, in the engines rooms,  of the parts from the end of the diesel engine end, driving cab no.II, following the locomotive running on a track section affected by vegetation fire._x000D_
_x000D_
Contributing factors_x000D_
     Presence of oil rests in the channel of cables and on the connection dose of the cables for the power supply of the traction motor no.4, on the gangway of the ventilation channel of the traction motor no.4, on the brake rigging and on the suspension parts.</t>
  </si>
  <si>
    <t>Cauze subiacente _x000D_
     Nerespectarea Normativului feroviar N.F. 67-006:2011 "Vehicule de cale ferata. Tipuri de revizii ?i repara?ii planificate. Normele de timp sau normele de kilometri parcur?i pentru efectuarea reviziilor ?i repara?iilor planificate", aprobat prin Ordinul Ministrului Transporturilor ?i Infrastructurii nr.315/2011, modificat ?i completat prin Ordinele Ministrului Transporturilor ?i Infrastructurii nr.1359/2012, 1255/2014 si OMTI 1187/2018, privind introducerea locomotivei la reparatii mari tip RR si RG si men?inerea în serviciu a locomotivei DA 637, dupa atingerea ?i depa?irea normelor de timp/kilometri pentru efectuarea repara?iilor planificate lucru care a condus la pierderea în timp a calitatilor de etansare._x000D_
_x000D_
Cauze primare_x000D_
Specifica?ia tehnica REVIZII PLANIFICATE TIP Pth3, RT, R1, R2, 2R2, R3 LA LOCOMOTIVELE DIESEL ELECTRICE, cod ST 6-2003, ce constituie document de referin?a pentru efectuarea între?inerii, nu con?ine prevederi pentru remedierea pierderilor de ulei si combustibil si nici prevederi pentru înlaturarea acestor scurgeri de produse petroliere. 
Inobservance of the Railway Norm N.F. 67-006:2011 "Railway vehicles. Types of planned inspections and repairs. Norms of time or km  run for the performance of planned inspections and repairs", approved by Order of Minister of Transports and Infrastructure no.315/2011, amended by Orders of Minister of Transports and Infrastructure no.1359/2012, 1255/2014 and 1187/2018, regarding the introduction of the locomotive into serious repairs type RR and RG and keeping into service of the locomotive DA 637, after reaching and exceeding the norms of time/km for the performance of planned repairs, it leading to the loss along the time of the sealing qualities._x000D_
_x000D_
Root causes_x000D_
The technical specification PLANNED INSPECTIONS TYPE Pth3, RT, R1, R2, 2R2, R3 AT DIESEL ELECTRIC LOCOMOTIVES, code ST 6-2003, that is reference document for the maintenance performance, it does not contain provisions for the fixing of the oil and fuel losses and either provisions for the fixing of the oil product leaks.</t>
  </si>
  <si>
    <t>UK-6042</t>
  </si>
  <si>
    <t>Unauthorised train movement other than SPAD, 01-08-19, Edinburgh Waverley (United Kingdom)</t>
  </si>
  <si>
    <t>At about 07:26 hrs on Thursday 1 August 2019, train 1B26, the Edinburgh portion of the 23:36 hrs ‘Lowland Sleeper’ service from London Euston, failed to stop as scheduled at Edinburgh Waverley station. It was brought to a stand approximately 650 metres beyond its intended stopping point. There was no damage or any injuries as a consequence of the incident. However, the outcome could potentially have been much worse, had it led to a collision with another train._x000D_
The train comprised eight Mark 5 coaches hauled by a Class 92 electric locomotive that had been attached at Carstairs. On the approach to Edinburgh the driver discovered that his train’s braking performance was well below normal. The RAIB’s preliminary investigation indicates that he had no control of the brakes on the coaches because a brake pipe isolating valve was in the closed position when the train left Carstairs station. This meant that the only effective brakes on the train as it approached Edinburgh were those on the locomotive, which were insufficient to maintain control of the train. The train was brought to a stand by the operation of an emergency device in one of the coaches by the Train Manager, which caused the train brakes to apply.</t>
  </si>
  <si>
    <t>Edinburgh Waverley</t>
  </si>
  <si>
    <t>The driver did not have control over sufficient brake force to fully control the speed of the train on the approach to Edinburgh.</t>
  </si>
  <si>
    <t>The causal factors were:_x000D_
a The brake pipe isolation cock was closed, removing control of the coach brakes from the driver (paragraph 54, Recommendations 1 and 2)._x000D_
b The train driver did not recognise that the train’s braking performance was compromised until the final approach to Haymarket East Junction (paragraph 69). This causal factor arose due to a combination of the following:_x000D_
i The brake continuity test was undertaken at Carstairs before the BPIC valve was closed (paragraph 71, Recommendation 1, Learning points 1 and 2)._x000D_
ii The running brake test undertaken after leaving Carstairs did not reveal the compromised braking to the driver (paragraph 80, Learning point 3)._x000D_
iii The service braking performance of the train did not reveal the compromised braking to the driver until after the rheostatic brake had shut down, as the train was approaching the 60 mph (96 km/h) speed restriction near to Slateford (paragraph 85, no recommendation)._x000D_
c The train manager was not alerted to the brake problem until the train was passing through Edinburgh Waverley station (paragraph 92, Learning point 4)._x000D_
Underlying factor_x000D_
115 An underlying factor was that Caledonian Sleeper did not fully assess the operational consequences of changes in the evolving sleeper rolling stock design (paragraph 97, Learning point 2).</t>
  </si>
  <si>
    <t>PL-6038</t>
  </si>
  <si>
    <t>Level crossing accident, 02-08-19, section Koniecpol - Satrzyny (Poland)</t>
  </si>
  <si>
    <t>On 02.08.2019 at 19:34, passenger train EIE 8306 from Kolobrzeg to Przemysl Glówny of the  PKP Intercity S.A. Zaklad Poludniowy in Kraków railway operator left the station in Koniecpol. The train consisted of EP09-002 locomotive and twelve passenger cars, including a dining car “WARS”. The train operating crew consisted of: the train driver and the employee of the train crew, train manager and PKP Intercity S.A. conductors. In line with the “Train brake and pneumatic devices test card”, a detailed brake test was conducted on 2 August 2019 at 9:00 at the starting station in Kolobrzeg. Subsequent simple brake tests were conducted at the train’s route, i.e. at 10:00 at the Bialogard station and at 15:41 at the Wroclaw Glówny station. From the Wroclaw Glówny station, the train was driven by EP09-002 locomotive B cab according to the schedule, until the accident occurred. At 19:42 at the D-category level crossing at 34.751 km on the Starzyny–Koniecpol route, track No. 1, a Toyota Yaris passenger car drove directly in front of the approaching EIE 8306 passenger train from Kolobrzeg to Przemysl Glówny. The locomotive driving the train hit the road vehicle in the middle of the right side of the vehicle (i.e. from the passenger side). As a result of the collision of the bumpers and the front end of the locomotive, the car’s cabin was crushed and the car was pushed to a distance of 51 m from the axis of the level crossing and thrown to the right side of the tracks towards the train’s travel direction. After the accident, the train stopped 651 m from the axis of the level crossing (the head of the locomotive was at 34.100 km). On that day, no disturbances had been noted on the route of the EIE 8306 train from Kolobrzeg to Przemysl Glówny until the serious accident occurred. The train left the Koniecpol station according to the schedule, then, while approaching the level crossing at 34.751 km, having passed the W6a sign at 35.525 km, the driver gave the acoustic “attention” signal. Driving at the speed of 120 km/h, he noticed the passenger car approaching the level crossing from the left side of the train with a significant speed. He gave then another acoustic “attention” signal. The driver of the vehicle did not react to the acoustic signals given by the train driver. The car did not stop and it drove directly in front of the head of the locomotive. In spite of the “attention” sign warnings, the train ran into the road vehicle with the speed of 120 km/h. As a result of collision, the car driver died on the scene. The train passengers and the passenger train crew were not hurt. The train driver informed the signalman of the Starzyny junction signal box on the incident via a radiophone. As a result of the accident, the road vehicle (passenger car) was completely destroyed. The EP09-002 locomotive B cab was damaged, more precisely the elements of housing and of the brake system as well as paint coating of the front side of the railway vehicle. The train was cancelled from its further route. The train passengers continued their trip by buses provided by the PKP Intercity S.A. operator and by the Poviat Starosty in Wloszczowa. After completion of operating procedures conducted by rail commission, prosecutor and police, the train was “pulled” from the route to Koniecpol by the EP09-036 locomotive ordered from Kraków Glówny. The EIE 8306 train left the accident site on 03.08.2019 at 01:05. The train reached the Koniecpol station at 01:41. No damage of the rail and road surface resulting from the accident was noted.</t>
  </si>
  <si>
    <t>section Koniecpol - Satrzyny</t>
  </si>
  <si>
    <t>The passenger car entered the level crossing in front of the approaching EIE 8306 passenger train from Kolobrzeg to Przemysl Glówny, which was the cause of the train running into the road vehicle.</t>
  </si>
  <si>
    <t>Primary cause: _x000D_
Failure of the driver of the road vehicle to exercise special care and to make sure while approaching the level crossing that there was no train approaching._x000D_
Indirect cause: _x000D_
Before entering the level crossing, the driver of the passenger car had failed to follow the B-20 “STOP” and G3 signs i.e. the driver had failed to stop the road vehicle at a place convenient for observing the track._x000D_
_x000D_
Systemic cause:_x000D_
The investigating team did not find any systemic cause.</t>
  </si>
  <si>
    <t>DE-6047</t>
  </si>
  <si>
    <t>Train derailment, 06-08-19, Bad Friedrichshall-Jagstfeld (Germany)</t>
  </si>
  <si>
    <t>Am 06.08.2019 gegen 23:13 Uhr entgleiste der Zug DPN-L 85890 während der Fahrt von Heilbronn nach Mosbach (Baden) im Bf Bad Friedrichshall Hbf auf der Weiche 116 mit einem Drehgestell. 
On 06. 08. 2019 around 23:13 o'clock the train DPN-L 85890 derailed during the journey from Heilbronn to Mosbach (Baden) at the Bad Friedrichshall Hbf on the turnout 116 with a bogie.</t>
  </si>
  <si>
    <t>Bad Friedrichshall-Jagstfeld</t>
  </si>
  <si>
    <t>Albtal-Verkehrs-Gesellschaft mbH (AVG)</t>
  </si>
  <si>
    <t>Die Entgleisung war auf einen Eingriff eines Mitarbeiters der Leit- und Sicherungstechnik (LST) vor und während der Durchführung der Zugfahrt 85890 im Rahmen der Störungsbeseitigung an der Weiche 116 zurückzuführen. Dadurch ließ sich das Ausfahrsignal (Asig) N 3 in Fahrtstellung bringen, obwohl die Weiche 116 keine Ordnungsstellung hatte. 
The derailment was due to an intervention by a member of the control and safety technology staff before and during the execution of the 85890 train journey as part of the troubleshooting of switch 116. This made it possible to bring the exit signal (Asig) N 3 into driving position, although the 116 turnout had no order position.</t>
  </si>
  <si>
    <t>RO-6039</t>
  </si>
  <si>
    <t>Fire in RS, 07-08-19, Buda (Romania)</t>
  </si>
  <si>
    <t>the electric locomotive EA 088 that hauled the passenger train no.1636 caught fire in Buda railway station</t>
  </si>
  <si>
    <t>Buda</t>
  </si>
  <si>
    <t>Cauza directa a producerii accidentului a fost aprinderea reziduurilor petroliere amestecate cu praf, depuse în timp pe partea inferioara a cutiei locomotivei EA nr.008 ?i pe subansamblele boghiului în zona electrocompresorului de aer, de catre scânteile provenite de la contactul dintre sabo?i ?i bandajele ro?ilor locomotivei în cadrul procesului de frânare al trenului._x000D_
Factorii care au contribuit la producerea accidentului au fost:_x000D_
- existen?a reziduurilor petroliere provenite de la func?ionarea electrocompresorului, pe boghiuri ?i  subansamblele acestora, în zone predispuse la aprindere;_x000D_
- men?inerea în serviciu a locomotivei EA nr.008, dupa atingerea normei de timp pentru efectuarea repara?iilor planificate. 
The direct cause of the accident was the ignition of the oil rests mixed with dust, deposited on the lower part of the locomotive body EA nr.008 and on the bogie parts, at the air electric air compressor, following the sparks from the contact between the brake shoes and the tyres of the locomotive wheels, during the train braking._x000D_
_x000D_
_x000D_
Contributing factors:_x000D_
- existence of oil rests. resulted from the working of the electric air compressor, on the bogies and their parts, on areas with predisposition to ignition;_x000D_
- keeping in operation of the locomotive EA no.008, after it reached the norm of time for the performance of the planned repairs.</t>
  </si>
  <si>
    <t>Cauzele subiacente ale producerii accidentului au fost nerespectarea unor prevederi din instruc?iile ?i regulamentele în vigoare, respectiv:_x000D_
1.	Normativul feroviar  67-006:2011 "Vehicule de cale ferata. Tipuri de revizii ?i repara?ii planificate.  Normele de timp sau normele de kilometri parcur?i pentru efectuarea reviziilor ?i repara?iilor planificate”, aprobat prin Ordinul Ministrului Transporturilor ?i Infrastructurii nr.315/2011 modificat ?i completat prin Ordinul MTI nr.1359/2012, capitolul 3, referitor la:_x000D_
• retragerea din serviciu a locomotivei EA nr.008 la atingerea normei de timp prevazuta pentru efectuarea repara?iilor planificate;_x000D_
• respectarea ciclului de repara?ii planificate pentru locomotiva EA nr.008._x000D_
2.	Procedura opera?ionala cod PO-0-7.1-14 de?inuta de SNTFC „CFR Calatori” SA, pct.4.7.5 ?i Anexa nr.4, referitor la periodicitatea efectuarii repara?iilor planificate. _x000D_
Cauzele primare ale producerii accidentului au fost:_x000D_
-	absen?a din Specifica?ia tehnica cod ST 31-2016 pentru efectuarea reviziilor planificate, a unor prevederi referitoare la efectuarea de lucrari  pentru men?inerea starii de cura?enie în sala ma?inilor ?i la subansamblelor boghiurilor ca urmare a pierderilor de produse petroliere provenite din exploatarea locomotivelor;_x000D_
-	nerespectarea prevederilor Ordinului MT nr.535/2007 (cu completarile ?i modificarile ulterioare) privind aprobarea normelor pentru acordarea certificatelor de siguran?a în vederea efectuarii serviciilor de transport feroviar pe caile ferate din România, Anexa – NORME pentru acordarea certificatelor de siguran?a Art.19(3), Art.15(4), pct.12 – referitor la documentele justificative necesare în vederea reînnoirii certificatelor de siguran?a. 
Underlying causes of the accident was the inobservance of some provisions from the instructions and regulations in force, that is:_x000D_
1.	Railway norm 67-006:2011 "Railway vehicles. Types of planned inspections and repairs.  Norms of time or of km run for the performance of the planned inspections and repairs”, approved by Order of Minister of Transports and Infrastructure no.315/2011, amended by  Order of Minister of Transports and Infrastructure no.1359/2012, chapter 3, regarding:_x000D_
• withdrawal from operation of the locomotive EA no.008 when it reaches the norm of time stipulated for the performance of planned repairs;_x000D_
• compliance with the cycle of planned repairs for the locomotive EA no.008._x000D_
2.	Operational procedure code PO-0-7.1-14 got by SNTFC „CFR Calatori” SA, point 4.7.5 and Annex no.4, regarding the periodicity of the planned repairs.</t>
  </si>
  <si>
    <t>PL-6065</t>
  </si>
  <si>
    <t>Train derailment, 08-08-19, Tarnów Opolski - Opole Groszowice (Poland)</t>
  </si>
  <si>
    <t>Short description: During the movement of the train No 464045 operated by PKP Cargo the freight wagon loaded with coal derailed as a consequence of broken axle spigot. _x000D_
The wagon was located as a 5th in the train. After derailment the train with derailed wagon was moving about 1300 m. The derailed wagon hit the level crossing plate and _x000D_
derailed aside together with 9 other freight wagons causin that the train stopped. _x000D_
_x000D_
Full description: On 08.08.2019, during the running of the Budryk Ornontowice – Opole Elektrownia Czarnowasy freight train TME 464045 of PKP CARGO S.A., led by a locomotive ET22-1064 on track no. 1, Tarnów Opolski - Opole Groszowice route, ten coal cars loaded with fine coal derailed at km 87.973, of Bytom – Wroclaw Glówny railway line no. 132, at 11:18 pm. The derailment was due to the breaking of the wheelset axle pivot at the fifth car in the train draft. The fifth car in the train draft, Eaos series, no. 31 51 5496 893-9 derailed with two bogies, tipped to the RH side, the sixth car no. 31 51 5361 583-8 derailed with two bogies, tipped to the RH side, the seventh car no. 31 51 5370 181-0 derailed with two bogies, tipped to the RH side, the eight car no. 31 51 5346 910-3 derailed with two bogies, tipped to the RH side, the ninth car no. 31 51 5360 790-0 derailed with two bogies, the tenth car no. 31 51 5358 874-6 derailed with two bogies, tipped to the RH side, the eleventh car no. 31 51 5357 052-0 derailed with two bogies, tipped to the RH side, the twelfth car no. 31 51 5346 831-1 derailed with two bogies, tipped to the RH side, the thirteenth car no. 31 51 5369 668-9 derailed with two bogies, tipped to the RH side, the fourteenth car. no. 31 51 5318 411-6 derailed with one bogie. At the speed of approx. 60 km/h, the fifth car no. 31 51 5496 893-9 in the train draft derailed at km 87.973 in track no. 1 with the second axle of the first bogie to the RH side in the running direction. The car derailment was due to the breaking of the axle pivot on the LH side of the second tyred wheelset no. 5249978 of the first bogie when viewed in the train running direction. _x000D_
The tipping of cars over resulted in damaging the overhead contact line and bending of overhead contact line pylons. The derailment of the fifth car caused the breaking of the coupling rod in the fifth car no. 31 51 5496 893-9, which caused the disconnection of air brake couplings between the fourth car no. 82 51 5356 088-3 and the fifth car no. 31 51 5496 893-9 _x000D_
and stopped the train at km 89.417. The train TME 464045 ran with the derailed cars along track no. 1 from km 87.973 to km 89.417, i.e. 1444 metres.  The head of the locomotive with four non-derailed cars stopped at km 89.600. The cars which had derailed and tipped over damaged the surface of tracks no. 1 and 2 and blocked railway line no. 132 making it impassable.</t>
  </si>
  <si>
    <t>Tarnów Opolski - Opole Groszowice</t>
  </si>
  <si>
    <t>in light of Article 19 §2 of SD"; 
(a) the seriousness of the accident or incident; 
(b) it forms part of a series of accidents or incidents relevant to the system as a whole</t>
  </si>
  <si>
    <t>The derailment of the loaded car no. 31 51 5496 893-9 (the fifth one in the draft) during the running of the train TME 464045 on the Budryk Ornontowice – Opole Elektrownia Czarnowasy line, as a result of a fatigue fracture of the axle pivot.</t>
  </si>
  <si>
    <t>Underlying cause:_x000D_
A bad condition of the axle pivot of wheelset no. 5249978 caused by irregular undercut at the transition of the axle pivot in the axle collar, which lead to adverse concentration of stresses and in consequence initiated the fatigue fracture. _x000D_
_x000D_
Indirect causes:_x000D_
1.	An exceeded surface roughness value of wheelset axle pivots following machining, i.e. roughness with an average value of 2.8 µm (the area ground within the crater) to 8.7 µm (in the undercut area), which exceeds the permissible value._x000D_
2.	Improper repair of the wheelset axle where a wrong transition inconsistent with the WT-2 documentation was formed in the axle collar of the axle pivot._x000D_
3.	Inaccurate acceptance following the repair of wheelset no. 5249978 and placing it into service with a technical defect._x000D_
_x000D_
System causes:_x000D_
Undue supervision of the freight car maintenance by the entity responsibility for maintenance ECM.</t>
  </si>
  <si>
    <t>HU-6116</t>
  </si>
  <si>
    <t>Unauthorised train movement other than SPAD, 09-08-19, Hort - Csány (Hungary)</t>
  </si>
  <si>
    <t>The No. 566 train touched the entery route of No. 505 train because the No. 7 point swich was at wrong position.</t>
  </si>
  <si>
    <t>Hort - Csány</t>
  </si>
  <si>
    <t>1.1	Direct causes
The factors which had direct effect on the occurrence were as follows:
a)	the traffic manager inadvertently reversed the switch № 3 in front of the train leaving the station following a subsidiary signal;
b)	the traffic manager failed to remove the standing fuses, and there were propped push-buttons on the safety installation.
1.2	Indirect causes
Those findings relating to competences, procedures and maintenance which are related to the factors enumerated above:
a)	the traffic manager chose an inappropriate solution to the conflict situation he had identified; 
b)	the signalling system failed to detect the malfunction of the insulation insert in the switch № 7 on several occasions.</t>
  </si>
  <si>
    <t>1.3	Root causes
Causes that are distant in time and space from one another but which are related to system operation within the regulatory environment and in the safety management system:
a)	a wrong practice was not detected and rectified during the audits.
1.4	Other risk factors
The IC identified no such factor.</t>
  </si>
  <si>
    <t>BG-6054</t>
  </si>
  <si>
    <t>Fire in RS, 11-08-19, Belovo â€“ Kostenets railway section (Bulgaria)</t>
  </si>
  <si>
    <t>On 11.08.2019, the international freight train No 40772 consisting of 27 wagons, 1491 tons, towed by electric locomotive No 43-515, auxiliary locomotive in front No 43533 and auxiliary locomotive No 43-310 at the end of the train occupied the Belovo – Kostenets railway section from 17:11 to 22:40 hrs., due to spontaneous self-combustion of the locomotive No 43-310, while running in the direction from Kapa-kule station, Turkey, to Dimitrovgrad station, Serbia. _x000D_
The driver signaled the fire on 112 and after its arrival the Regional Firefighting Brigade suppressed the fire at 19:50 hrs LT. At 19:56 hrs, the movement of trains along in Kostenetz-Belovo direction was recovered on railway 1 and at 22:40 hrs on railway 2 in Belovo – Kostenetz direction.</t>
  </si>
  <si>
    <t>Belovo â€“ Kostenets railway section</t>
  </si>
  <si>
    <t>The cause of the fire in the electric locomotive 43310.9 is the long operation of the locomotive with an increased temperature of the second traction group due to a short circuit in the cooling fan of the rectifier unit.</t>
  </si>
  <si>
    <t>DE-6048</t>
  </si>
  <si>
    <t>Trains collision, 13-08-19, Wanne-Eickel Gbf (Germany)</t>
  </si>
  <si>
    <t>Am 13.08.2019 gegen 17:10 Uhr kollidierte Zug DPN-G 89399 des Eisenbahnverkehrsunternehmens (EVU) Abellio Rail NRW GmbH bei der Ausfahrt aus dem Bahnhof Wanne-Eickel Hauptbahnhof (Hbf) in Richtung Bochum Hbf beim Befahren der Weiche 641 mit dem letzten Wagen des Güterzuges GS 60762 des EVU DB Cargo AG. 
On 13.08.2019 at 17:10, train DPN-G 89399 of the railway undertaking (RU) Abellio Rail NRW GmbH when leaving Wanne-Eickel Hauptbahnhof (Hbf) station to Bochum Hbf when crossing point 641 was in conflict with the last wagon of freight train GS 60762 of RU DB Cargo AG.</t>
  </si>
  <si>
    <t>Wanne-Eickel Gbf</t>
  </si>
  <si>
    <t>Abellio Rail NRW GmbH; 
DB Schenker Rail Deutschland AG</t>
  </si>
  <si>
    <t>Die Zugkollision wurde durch einen Arbeitsfehler der Fahrdienstleiterin (Fdl-in) des Bahnhofs Wanne-Eickel Güterbahnhof (Gbf), Bezirk Wof, bei der Fahrwegprüfung vor der Zulassung der Zugfahrt DPN-G 89399 verursacht. 
The train collision was caused by a fault on the part of the signaller (Fdl-in) of Wanne-Eickel Güterbahnhof (Gbf) railway station, WOF district, during the track test prior to the authorisation of train journey DPN-G 89399.</t>
  </si>
  <si>
    <t>RO-6043</t>
  </si>
  <si>
    <t>Train derailment, 14-08-19, Bod (Romania)</t>
  </si>
  <si>
    <t>the locomotive EA no. 1093 that hauled the freight train no.90920 derailed in Bod railway station when passed on the switch no.14</t>
  </si>
  <si>
    <t>Bod</t>
  </si>
  <si>
    <t>Rail Force SRL</t>
  </si>
  <si>
    <t>Cauza directa a producerii accidentului o constituie escaladarea flancului activ a acului curb, pe zona prelucrata prin rabotare, la 4,50 m dupa joanta de vârf  a schimbatorului de cale nr.14 din halta de mi?care Bod, atacat pe la vârf în pozitia „abatere”, de catre roata din dreapta a primei osii (în sensul de mers al trenului) a locomotivei EA nr.1093._x000D_
Factorii care au contribuit: _x000D_
1.	Depa?irea valorilor toleran?elor admise la nivel în profilul transversal pe schimbatorul de cale nr.14 din halta de mi?care Bod ;_x000D_
2.	Depa?irea valorilor toleran?elor admise la nivel în cazul denivelarilor încruci?ate pe schimbatorul de cale nr.14 ?i pe panoul de linie dintre schimbatorii de cale nr.10 ?i nr.14 din halta de mi?care Bod;_x000D_
3.	Depa?irea valorilor toleran?elor admise ale torsionarii caii masurate pe baza de 2,5 m pe schimbatorul de cale nr.14 din halta de mi?care Bod;_x000D_
4.	Starea tehnica a locomotivei determinata de diferen?a mare între diametrele ro?ilor aceleia?i osii, la trei osii, inclusiv la osia deraiata ?i valori neconforme constatate urmare verificarii alinierii ?i paralelismului osiilor montate. 
The direct cause of the accident is the climbing of gauge face of the curved point, within the planing area, at 4,50 m from the tip joint of the switch no.14 from Bod railway station,  (within a facing point movement of the train) on the diverging track, by the right wheel of the first axle (in the train running direction) of the locomotive EA no1093._x000D_
Contributing factors: _x000D_
1.	exceeding of the values of the tolerances accepted for the cross level of the switch no.14 from the railway station Bod ;_x000D_
2.	exceeding of the values of the tolerances accepted for the level in case of counter-cant of the outer rail of the switch no.14 and of the track length between the switches no.10 and.14 of the railway station Bod;_x000D_
3.	exceeding of the values of the tolerances accepted for the track twist, measured at 2,5 m on the switch no.14 from the railway station Bod;_x000D_
4.	technical condition of the locomotive generated by the high difference between the diameters of the wheels from the same axle, at three axles, including the axle derailed and values inconsistent found following the checking of the alignment and parallelism of the wheelset.</t>
  </si>
  <si>
    <t>Cauzele subiacente ale producerii acestui accident au fost nerespectarea unor prevederi din urmatoarele instruc?ii ?i regulamente în vigoare: _x000D_
1.	Nerespectarea prevederii art.19, pct.6 din Instruc?ia de norme ?i toleran?e pentru construc?ia ?i între?inerea caii - linii cu ecartament normal - nr.314/1989, referitoare la valorile toleran?elor admise la nivel în profilul transversal la aparatele de cale din liniile de primiri ?i expedieri;_x000D_
2.	Nerespectarea prevederii art.7.A, pct.3 din Instruc?ia de norme ?i toleran?e pentru construc?ia ?i între?inerea caii - linii cu ecartament normal - nr.314/1989, referitoare la valorile toleran?elor admise la nivel în cazul denivelarilor încruci?ate pe liniile cu viteza de 50 km/h sau mai mica;_x000D_
3.	Nerespectarea prevederii art.7.A, pct.4 din Instruc?ia de norme ?i toleran?e pentru construc?ia ?i între?inerea caii - linii cu ecartament normal - nr.314/1989, referitoare la valorile toleran?elor admise ale torsionarii caii masurate pe baza de 2,5 m;_x000D_
4.	Nerespectarea prevederilor pct.4.1. din Cap.4 „Norme de manopera ?i de consum de materiale”, al Instruc?iei de între?inere a liniilor ferate nr.300 - edi?ia în vigoare referitoare la asigurarea normei de manopera la între?inerea curenta în execu?ie manuala;_x000D_
5.	Nerespectarea prevederilor Cap.B, art.1.2.a) din Îndrumatorul pentru folosirea carucioarelor de masurat calea - nr.329/1966, referitoare la masurarea trimestriala a liniilor din sta?ii cu caruciorul de masurat calea;_x000D_
6.	Nerespectarea prevederilor Fi?ei nr.4, art.3 din Instruc?ia privind fixarea termenelor ?i a ordinei în care trebuie efectuate reviziile caii - nr.305/1997, referitoare la respectarea termenelor de efectuare a reviziei caii odata la 15 zile de catre ?eful de district împreuna cu ?eful de echipa ?i revizorul de cale._x000D_
_x000D_
Cauze primare_x000D_
Neaplicarea tuturor prevederilor procedurii  operationale cod PO SMS 0-4.07 „Respectarea specificatiilor tehnice, standardelor si cerintelor relevante pe întreg ciclul de viata a liniilor în       procesul de întretinere”, parte a sistemului de management al sigurantei administratorului de infrastructura feroviara publica CNCF „CFR” SA referitor la elaborarea programului de între?inere chenzinal pentru care trebuia facuta revizia la 15 zile de catre ?eful de district împreuna cu ?eful de echipa ?i revizorul de cale. 
Underlying causes of the accident were the inobservance of some provisions of the next instructions and regulations in force: _x000D_
1.	inobservance of the provisions of art.19, point 6 from the Instruction of norms and tolerances for the track construction and maintenance – lines with standard gauge - no.314/1989, regarding the values of the tolerances accepted for the cross level of the switches of the reception and dispatching lines;_x000D_
2.	inobservance of the provisions of art.7.A, point 3 from Instruction of norms and tolerances for the track construction and maintenance – lines with standard gauge - no.314/1989, regarding the values of the tolerances accepted for the level in case of counter-cant of the outer rail on the lines with speed of 50 km/h or less;_x000D_
3.	inobservance of the provisions of art.7.A, point 4 of Instruction of norms and tolerances for the track construction and maintenance – lines with standard gauge - no.314/1989, regarding the values of the tolerances accepted for the track twist measured at 2,5 m;_x000D_
4.	inobservance of the provisions of  point 4.1.  of Chapter 4 „Norms of manpower and material consumption”, from the Instruction for the line maintenance no.300 - edition in force, regarding the provision with the norm of manpower for the current manual maintenance;_x000D_
5.	inobservance of the provisions of Chapter.B, art.1.2.a) of the Guide for the use of the trolleys for the track measuring - no.329/1966, regarding the quarterly measurement of the station lines with the trolleys for the track measuring;_x000D_
6.	inobservance of the provisions of Sheet no.4, art.3 from the Instruction for the setting of the deadlines and order for the performance of the track inspection - no.305/1997, regarding the setting of deadlines for the performance of track inspection at every 15 days by the district head together the gang foreman and the ganger._x000D_
Root causes_x000D_
Nonapplication of the provisions of the operational procedure code PO SMS 0-4.07 „Compliance with the technical specifications, standards and requirements relevant for whole life time of lines in the maintenance process”, part of safety management system of public railway infrastructure administrator CNCF „CFR” SA, regarding the working out of the fortnightly program for maintenance, for which the inspection had to be done at every 15 days by the district head together the gang foreman and the ganger.</t>
  </si>
  <si>
    <t>RO-6044</t>
  </si>
  <si>
    <t>Fire in RS, 14-08-19, Constanta Port B - Palas (Romania)</t>
  </si>
  <si>
    <t>the locomotive EA 047 that hauled the freight train no. 50792 caught fire</t>
  </si>
  <si>
    <t>Constanta Port B - Palas</t>
  </si>
  <si>
    <t>Cauza directa _x000D_
Cauza directa a producerii incendiului a fost supraîncalzirea cablurilor din circuitul de alimentare al motorului de trac?iune nr.4, ca urmare a cre?terii intensita?ii curentului electric în timpul func?ionarii locomotivei în regim de trac?iune, fapt ce a condus la aprinderea izola?iei acestora urmata de propagarea incendiului la celelalte componente._x000D_
_x000D_
_x000D_
Factorii care au contribuit la producerea accidentului sunt: _x000D_
-	contactul necorespunzator realizat între periile motorului de trac?iune nr.4 ?i colectorul acestuia;_x000D_
-	cre?terea rezisten?ei de contact la contactele tip tulipa, dintre cablurile de for?a ale motorului de trac?iune nr.4 ?i cele ale blocului S4. 
Direct cause _x000D_
The direct cause of the accident was the overheating of the cables from the power supply circuit of the traction motor no.4, following the increase of the amperage during the working of the locomotive in traction conditions, it leading to the ignition of their insulation, followed by the spreading of the fire to the other parts._x000D_
Contributing factors: _x000D_
-	improper contact between the brushes of the traction motor no.4 and its collector;_x000D_
-	increase of the contact resistance at the contacts –(tulip type contacts), between the high voltage cables of the traction motor no.4 and those of the block S4.</t>
  </si>
  <si>
    <t>HU-6050</t>
  </si>
  <si>
    <t>Runaway, 18-08-19, Százhalombatta (Hungary)</t>
  </si>
  <si>
    <t>Runaway of two track-maintenance engines.</t>
  </si>
  <si>
    <t>Százhalombatta</t>
  </si>
  <si>
    <t>Mistake of driver, did not ude brake</t>
  </si>
  <si>
    <t>CZ-6117</t>
  </si>
  <si>
    <t>Trains collision, 19-08-19, DEZA ValaÅ¡ské Mezirící siding (Czech Republic)</t>
  </si>
  <si>
    <t>The unsecured (spontaneous) and uncontrolled movement of the locomotive and its consequent collision with the detached rolling stocks.</t>
  </si>
  <si>
    <t>DEZA ValaÅ¡ské Mezirící siding</t>
  </si>
  <si>
    <t>DEZA</t>
  </si>
  <si>
    <t>Direct causes:_x000D_
• an incorrect way of driving before stopping the locomotive No. 92 54 2 740 324-9 and failure to take the locomotive out of the first power gear while standing behind the switch No. D9;_x000D_
• unsecuring of the locomotive No. 92 54 2 740 324-9 against unwanted movement before leaving the train driver's cab.</t>
  </si>
  <si>
    <t>Underlying cause:_x000D_
• driving the locomotive by a person who did not hold a valid certificate of track-guided vehicle driving competence or a valid train driving licence and this person was not even competent to drive the locomotives and to perform the work activity as a train driver at “DEZA Valašské Mezirící” siding._x000D_
Root cause: none.</t>
  </si>
  <si>
    <t>RO-6045</t>
  </si>
  <si>
    <t>Train derailment, 19-08-19, Dornesti (Romania)</t>
  </si>
  <si>
    <t>the locomotive and 4 wagon of a freight shunting rake derailed in Dorne?ti railway station</t>
  </si>
  <si>
    <t>Dornesti</t>
  </si>
  <si>
    <t>Cauza directa a producerii incidentului, o constituie depa?irea vitezei maxime admise pe zona podului metalic de la km 0+522, respectiv de 10 km/h, coroborata cu  starea tehnica necorespunzatoare a traverselor de lemn speciale existente pe pod._x000D_
Comisia precizeaza ca ordinea în care au fost enun?ate cele doua elemente constituente ale cauzei directe (depa?irea vitezei ?i starea tehnica necorespunzatoare a traverselor) nu prioritizeaza importan?a acestora în producerea incidentului._x000D_
_x000D_
Factorii care au contribuit la producerea incidentului:_x000D_
-	utilizarea traverselor de lemn speciale la lucrarile executate pe podul de la km 0+522 în anul 2015 livrate de catre un furnizor feroviar care nu de?inea un agrement tehnic feroviar care sa permita folosirea acestora pe infrastructura feroviara administrata de catre CNCF „CFR” SA;_x000D_
-	agresivitatea mai mare asupra traverselor, ce au fost introduse în cale cu ocazia lucrarilor de mentenan?a executate la podul de la km 0+522 (în anul 2015), agresivitate determinata de circula?ia vagoanelor de ecartament larg (CSI), cu sarcina de 24,5 t/osie;_x000D_
-	resursele insuficiente alocate pentru mentenan?a infrastructurii feroviare pe podul de la km 0+522;                                                                                                                                                            _x000D_
-	lipsa proiectului tehnic pentru executarea lucrarilor de înlocuire a traverselor de lemn speciale pe podul de la km 0+522, executate în anul 2015, lucru care a condus la realizarea unei geometrii a traseului caii, care nu corespundea cu geometria traseului ini?ial, respectiv: _x000D_
?	racordarea necorespunzatoare a curbei circulare cu aliniamentul adiacent pe curba de racordare Lr2 din cuprinsul curbei de la km 0+264-0+510;_x000D_
?	existen?a,  pe lungimea podului metalic de la km 0+522, a unui profilul longitudinal al caii „în vârf de panta”, în condi?iile în care declivitatea pe toata lungimea podului trebuia sa corespunda profilului în palier. 
Direct cause of the incident is the exceeding of the maximum speed accepted on the metallic bridge from km 0+522, respectively 10 km/h, corroborated with the improper technical condition of the special wooden sleepers existing on the bridge._x000D_
The investigation commission mentions that the order of the presentation of those two elements constituents of the direct cause (exceeding of the speed and improper technical condition of the sleepers) does not prioritize their importance in the incident occurrence._x000D_
_x000D_
Contributing factors:_x000D_
-	use of special wooden sleepers for works performed on the bridge from km 0+522, in 2015, supplied by a railway supplier that did not get railway technical agreement, that allows their use for the railway infrastructure administrated by CNCF „CFR” SA;_x000D_
-	a higher aggressivity on the sleepers, fitted during the main (in 2015), generated by the running of wagons with broad gauge (CSI), axle load 24,5 t;_x000D_
-	poor resources allocated for the maintenance of the infrastructure of the bridge from km 0+522;                                                                                                                                                            _x000D_
-	lack of a technical project for the performance of the replacements of the special wooden sleepers on the bridge from km 0+522, carried out in 2015, it leading to the getting of a track geometry that did not comply with the initial route geometry, respectively: _x000D_
?	improper connection of the constant circular curve with the adjoining alignment on the spiral curve Lr2 within the curve from km 0+264-0+510;_x000D_
?	existing, along the length of the metallic bridge from km 0+522, of a longitudinal profile of the track „in the top of the gradient”, when the gradient for all the bridge length had to correspond to the horizontal track profile.</t>
  </si>
  <si>
    <t>Cauze subiacente                                                                                                                 _x000D_
1.	Nerespectarea prevederilor art.7, lit.B, pct.1, 2, 4 din „Instruc?ia de norme ?i toleran?e pentru construc?ia ?i între?inerea caii-linii cu ecartament normal, nr.314/1989”, referitoare la încadrarea valorilor sage?ilor pe curba de racordarea în valorile toleran?elor admise între sage?ile vecine._x000D_
2.	Nerespectarea prevederilor art.11, lit.a) coroborat cu art.179, alin.(3) din Instruc?iunile pentru activitatea personalului de locomotiva în transportul feroviar nr.201/2006 referitoare la respectarea reglementarilor specifice în vigoare privind manevra vehiculelor feroviare ?i la viteza maxima cu care se efectueaza manevra vehiculelor feroviare._x000D_
_x000D_
Cauze primare _x000D_
1.	Nerespectarea prevederilor procedurii opera?ionale cod PO SMS 0-4.07 „Respectarea specifica?iilor tehnice, standardelor ?i cerin?elor relevante pe întreg ciclul de via?a a liniilor în procesul de între?inere”, parte a Sistemului de Management al Siguran?ei al CNCF „CFR” SA, referitoare la aplicarea codurilor de practica ce reglementeaza asigurarea resurselor necesare mentenan?ei infrastructurii feroviare. _x000D_
2.	Nerespectarea prevederilor procedurii de sistem cod PS 0-6.1 „Managementul riscurilor”, parte a Sistemului de Management al Siguran?ei al CNCF „CFR” SA, referitoare la analiza de risc pe care trebuia sa o efectueze în cazul pericolului determinat de lipsa unui proiect tehnic din documenta?ia întocmita pentru executarea lucrarilor de mentenan?a a infrastructurii feroviare. 
Underlying causes                                                                                                                 _x000D_
1.	inobservance of the provisions of art.7, letter B, points 1, 2, 4 of the „Instruction of norms and tolerances for the construction and maintenance of tracks – lines with standard gauge, no.314/1989”, regarding the fitting of the versines values of the spiral curve between the tolerances accepted  between adjoining  versines._x000D_
2.	inobservance of the provisions of art.11, letter a), corroborated with art.179, paragraph (3) from the Instructions for the locomotive crew no.201/2006 regarding the compliance with the specific regulations in force for the shunting of the railway vehicles and the maximum speed for the railway vehicle shunting._x000D_
_x000D_
Root causes _x000D_
1.	inobservance of the provisions of the operational procedure code PO SMS 0-4.07 „Compliance with the technical specifications, standards and requirements relevant for whole life cycle of lines in maintenance process”, part of Safety Management System CNCF „CFR” SA, regarding the application of the practice codes that regulate the provision with the resources necessary for the railway infrastructure maintenance._x000D_
2.	inobservance of the provisions of the system procedure code PS 0-6.1 „Risk management”, part of Safety Management System of CNCF „CFR” SA, regarding the risk analysis  that has to be done in case of the danger generated by the lack of the technical project within the documentation worked for the performance of maintenances at the railway infrastructure</t>
  </si>
  <si>
    <t>SE-6053</t>
  </si>
  <si>
    <t>Trains collision near miss, 19-08-19, Karlstad C (Sweden)</t>
  </si>
  <si>
    <t>Train 8923 had a green in signal to track 1a in Karlstad. Due to a fault in the signaling system a switch changed position in front of the train on to track 20. The driver observed this and stopped the train. A collision could be avoided with vehicles on track 20. 
Tåg 8923 hade tågväg i signal Ks 159 till spår 1a. Efter att ha passerat Ks 159 gick växel 417, till följd av ett fel i ställverket, om från spår 1a till spår 20 framför tåget. Föraren observerade växeln i fel läge och stannade. En kollision kunde undvikas med fordon inne på spår 20.</t>
  </si>
  <si>
    <t>Karlstad C</t>
  </si>
  <si>
    <t>The direct cause of the incident was that track circuit 132 was not engaged in the interlock of switch 417a. When there was a prepared train route for train 18922 from track 20 in combination with train 8923 under its train path to track 1A being shorter than the individual track circuit 132, the switch was unlocked and redirected to track 20 in front of train 8923. 
Den direkta orsaken till tillbudet var att spårledning 132 inte var inkopplad i förreglingen av växel 417a. När det fanns en magasinerad tågväg för tåg 18922 från spår 20 i kombination med att tåg 8923 under sin tågväg till spår 1A var kortare än den enskilda spårledningen 132 låstes växeln upp och lades om till spår 20 framför tåg 8923.</t>
  </si>
  <si>
    <t>The underlying causes were that the lack of interlocking was designed into the signal processing and was subsequently not identified during the safety review._x000D_
Another underlying cause was that the commissioning inspection of the train route from signal 159 to 133 was not performed with only one track circuit at a time._x000D_
One possible contributing cause was the lack of relay kits for signals in interlocking system 65. With availability of relay kits, it would have been possible to project and position additional signals._x000D_
At system level, one contributing factor was that the safety management system and risk analyses did not take into account the combined risks in signal technology, design rules, knowledge and operation. 
Bakomliggande orsaker var att bristen i förregling projekterades in i signal-handlingen och därefter inte identifierades under säkerhetsgranskningen._x000D_
En ytterligare bakomliggande orsak var att ibruktagandebesiktningen av tåg-vägen från signal 159 till signal 133 inte kontrollerades med endast en belagd spårledning i taget._x000D_
En möjlig bidragande orsak var bristen på reläsatser till signaler i ställverk 65. Med fri tillgång till reläsatser hade det varit möjligt att projektera in och placera ut ytterligare signaler._x000D_
På systemnivå var en bidragande orsak att säkerhetsstyrningssystemet och riskanalyserna inte fångade upp de kombinerade riskerna inom signalteknik, projekteringsregler, kunskap och handhavande.</t>
  </si>
  <si>
    <t>CZ-6138</t>
  </si>
  <si>
    <t>Trains collision, 20-08-19, Lovosice station, TSS Lovosice siding (Czech Republic)</t>
  </si>
  <si>
    <t>Unsecured movement of the shunting operation with consequent collision with the front door of the hall and with the special powered rolling stock, its derailment and collision of the special powered rolling stock with the back door of the hall.</t>
  </si>
  <si>
    <t>Lovosice station, TSS Lovosice siding</t>
  </si>
  <si>
    <t>Správa železnic; 
Tratová strojní spolecnost</t>
  </si>
  <si>
    <t>Direct cause:_x000D_
• the shunting operation route was made from station track No. 5 of the Lovosice station to the „TSS Lovosice" siding, ie. to a place (on the track) which the driver did not determine, as shunting manager, when arranging the shunting with the station dispatcher 2 of the Lovosice station._x000D_
_x000D_
Contributory factor:_x000D_
• absence of applied security elements, which would not allow the person operating the station safety equipment by their automatic action, without confirmation, incorrectly choosing the end of the road to build a shunting path to a place on the track behind the contact of mutually connected tracks, which was not specified by the shunting manager._x000D_
_x000D_
Contributory factor of continuation accidental action:_x000D_
• failure to detect the signal „Shunting forbidden" signaled by the signal device of the derailer Vk7 of the Lovosice station located in the direction of the place („Vlecka AWT – Lovosice" siding) by the driver of the shunting operation, which as an shunting manager did not determine with the station dispatcher.</t>
  </si>
  <si>
    <t>Underlying causes:_x000D_
• the inattention of the station dispatcher 2 of the Lovosice station at operating the station safety equipment, when by an unconscious mistake - she accidentally made a shunting route from the station track No. 5 of the Lovosice station to the „TSS Lovosice" siding, ie. to a place (on the track) that the shunting manager did not determine when arranging the shunting operation._x000D_
• failure to perform a check of the correct position of the shunting route by the station dispatcher 2 of the Lovosice station, whether the shunting route was made to the place determined when the shunting was arranged by the shunting manager, ie. to the „Vlecka AWT - Lovosice” siding.</t>
  </si>
  <si>
    <t>CZ-6046</t>
  </si>
  <si>
    <t>Level crossing accident, 21-08-19, open line between TremoÅ¡nice operating control point and Závratec railway stop (Czech Republic)</t>
  </si>
  <si>
    <t>Collision of the regional passenger train No. 15929 with the lorry at the level crossing No. P3762 and consequent derailment.</t>
  </si>
  <si>
    <t>open line between TremoÅ¡nice operating control point and Závratec railway stop</t>
  </si>
  <si>
    <t>Direct cause:_x000D_
• an unauthorized entrance of the lorry at the level crossing No. P3762 at the time when the train No. 15929 was arriving._x000D_
_x000D_
Contributory factor: none.</t>
  </si>
  <si>
    <t>Underlying cause:_x000D_
• driver’s behavior in front of the level crossing, the car driver was not careful enough and he did not make sure, whether he can safely proceed over the level crossing._x000D_
_x000D_
Root cause: none.</t>
  </si>
  <si>
    <t>CZ-6052</t>
  </si>
  <si>
    <t>Level crossing accident, 23-08-19, level crossing No. P3395 between Zákupy and Mimon stations (Czech Republic)</t>
  </si>
  <si>
    <t>The collision of the regional passenger train No. 6606 with the lorry at the level crossing P3395.</t>
  </si>
  <si>
    <t>level crossing No. P3395 between Zákupy and Mimon stations</t>
  </si>
  <si>
    <t>Direct cause:_x000D_
• a lorry driver's failure, he did not respect the light and acoustic warning and he was driving across the level crossing at the time when it was forbidden and the visual and acoustic warnings were being given._x000D_
Contributory factor:_x000D_
• increased claims on the lorry driver’s attention, he is obliged to give priority to oncoming vehicles when turning left and at the same time, to evaluate the condition of the warning lights of the level crossing safety equipment at high traffic intensity.</t>
  </si>
  <si>
    <t>Underlying causes:_x000D_
• a lorry driver's failure to respect the light and acoustic warning of the level crossing safety equipment;_x000D_
• a lorry driver’s behavior in front of the level crossing, the driver was not careful enough._x000D_
Root cause: none.</t>
  </si>
  <si>
    <t>HU-6051</t>
  </si>
  <si>
    <t>Train derailment, 23-08-19, Vámosgyörk (Hungary)</t>
  </si>
  <si>
    <t>The 33rd wagon of a freight train derailed by broken wheel</t>
  </si>
  <si>
    <t>Vámosgyörk</t>
  </si>
  <si>
    <t>MÁV Nosztalgia Kft.</t>
  </si>
  <si>
    <t>1.1	Direct causes
The factors which had direct effect on the occurrence were as follows:
a)	the rim wedge got loose and slipped off the fourth wheel at the 8th axle journal on the left hand side, as a result of which the wheel pair became unguided and derailed,
b)	the loosening of the rim wedge was part of a longer-lasting process, i.e. the wagon had covered a longer distance with loose rim wedge, but the defect (loosening) remained undetected during wagon inspection because of lack of match marks.
1.2	Indirect causes
Those findings relating to competences, procedures and maintenance which are related to the factors enumerated above:
a)	the wheel rim thickness was close to the relevant lower limit,
c)	the radial pressure between the wheel and the rim wedge disappeared or became so low that the rim wedge got loose.</t>
  </si>
  <si>
    <t>1.3	Root causes
The IC makes no such statement.
1.4	Other risk factors
A factor which is not related to the occurrence but increases risk is that unrealistic braking effect was found in a freight train which had contained the wagon concerned earlier.</t>
  </si>
  <si>
    <t>DE-6099</t>
  </si>
  <si>
    <t>Train derailment, 24-08-19, Köln Bonntor - Köln Süd Abzw (Germany)</t>
  </si>
  <si>
    <t>Am 24.08.2019 gegen 18:35 Uhr entgleisten drei Wagen des Güterzuges DGS 68754 auf der Fahrt von Köln-Kalk Nord nach Köln-Niehl Hafen, in km 0,62, zwischen den Betriebsstellen Köln Bonntor und Köln Süd.</t>
  </si>
  <si>
    <t>Köln Bonntor - Köln Süd Abzw</t>
  </si>
  <si>
    <t>Germany - RheinCargo GmbH &amp; Co. KG</t>
  </si>
  <si>
    <t>In Folge der Entgleisung wurden drei Fahrzeuge und ca. 1.400 m Oberbau sowie Anlagen der Leit- und Sicherungstechnik (LST) zerstört.</t>
  </si>
  <si>
    <t>Als primäre Ursache für die Zugentgleisung konnte eine nicht gelöste Feststellbremse am 13. Wagen und dadurch entstandene Aufschweißungen an den Laufflächen der betroffe-nen Radsätze ermittelt werden. Durch die Aufschweißungen verlor ein Rad die Spurhaltefähigkeit und konnte dadurch von der Schiene abgleiten.</t>
  </si>
  <si>
    <t>CZ-6078</t>
  </si>
  <si>
    <t>Unauthorised train movement other than SPAD, 25-08-19, Olomouc, 1. máje street (Czech Republic)</t>
  </si>
  <si>
    <t>The unsecured (spontaneous) and consequent uncontrolled movement of the tram No. 2 course 1 and its collision with the detached lorry.</t>
  </si>
  <si>
    <t>Olomouc, 1. máje street</t>
  </si>
  <si>
    <t>(c) its impact on railway safety on a Community level; 
(a) the seriousness of the accident or incident</t>
  </si>
  <si>
    <t>Direct cause of the unsecured (spontaneous) movement of the rolling stock:_x000D_
• failure to secure the rail vehicle against movement with the mechanical - electrohydraulic disc brake._x000D_
Direct cause of the unsecured (spontaneous) and consequent uncontrolled movement of the rolling stock:_x000D_
• failure to secure the rail vehicle against movement.</t>
  </si>
  <si>
    <t>Underlying cause of the unsecured (spontaneous) movement of the rolling stock:_x000D_
• failure to operate of the mechanical - electrohydraulic disc brakes, when the cause of malfunction or technical defect of the mechanical - electrohydraulic disc brakes of the EVO type could not be clearly detected._x000D_
Underlying causes of unsecured (spontaneous) and consequent uncontrolled movement of the rolling stock:_x000D_
• failure to operate of the mechanical - electrohydraulic disc brakes, when the cause of malfunction or technical defect of the mechanical - electrohydraulic disc brakes of the EVO type could not be clearly detected;_x000D_
• deactivation of the emergency brake (rail brakes) by the operation of the "STEERING SWITCH" made by the tram driver who mistakenly believed that a stationary rail vehicle would be secured against movement by switching off the steering._x000D_
Root cause of the unsecured (spontaneous) movement of the rolling stock:_x000D_
• none._x000D_
Root cause of the unsecured (spontaneous) and consequent uncontrolled movement of the rolling stock:_x000D_
• the absence of a procedure for securing the stationary (detached) rolling stock against movement (spontaneous movement in the direction of the downgrade) after the previous failure of the mechanical - electrohydraulic disc (parking) brake.</t>
  </si>
  <si>
    <t>NO-6071</t>
  </si>
  <si>
    <t>Runaway, 26-08-19, Grovane station (Norway)</t>
  </si>
  <si>
    <t>On Monday 26 August 2019, the driver lost control of a work train at the heritage railway line Setesdalsbanen, and the train rolled on for approx. 3.5 km before derailing at Grovane station.
The work train consisted of a Robel track maintenance vehicle and two freight cars. The work train was spraying a pesticide along the track, and was just north of the Kringsjå stop when the driver lost control of the train. 
The crew comprised the driver and another person, who were applying pesticide along the track as volunteer work. The other person was following behind the train with a hand-held sprayer, and the driver was in the track maintenance vehicle.  The vehicle was ‘locked’ at low speed so that the driver could leave the driver's cab at regular intervals to check the nozzles on the spray car. During one of these inspections, the sliding door to the driver's cab closed and the driver was locked out. 
There was no handle on the door, and the driver tried to open the door using tools available on the track maintenance vehicle. While he was doing this, the vehicle’s gear shifted to the neutral position, and the train started to pick up speed rapidly. Most of the section of track from Kringsjå to Grovane is downhill, and the driver therefore chose to jump off the train at the Kringsjå stop. The driver suffered bruising, but no severe injuries. The train did not derail, but continued down to Grovane station and came to a stop in the gravel at the end of the track. The work train sustained minor damage. 
The Norwegian Safety Investigation Authority does not propose any safety recommendations as a result of this incident.</t>
  </si>
  <si>
    <t>Grovane station</t>
  </si>
  <si>
    <t>Vest-Agder-museet IKS</t>
  </si>
  <si>
    <t>No damage, one relay was replaced.</t>
  </si>
  <si>
    <t>The vehicle was ‘locked’ at low speed so that the driver could leave the driver's cab at regular intervals to check the nozzles on the spray car. During one of these inspections, the sliding door to the driver's cab closed and the driver was locked out.</t>
  </si>
  <si>
    <t>The driver left the driver's cab at low speed to inspect the nosles.</t>
  </si>
  <si>
    <t>HU-6103</t>
  </si>
  <si>
    <t>Trains collision with an obstacle, 26-08-19, Budafok KSZ (Hungary)</t>
  </si>
  <si>
    <t>A going tram no. 56 passing by next to the tram depot Budafok KSZ was hit by a falling part of the fence of the depot which was collapsed by a derailing shunting tram. 
A kocsiszín mellett elhaladó 56-os villamos oldalának csapódott a kocsiszín egy kidolo kerítéseleme, amit egy telephelyi mozgás során éppen akkor kisiklott villamos lökött meg és döntött ki. Személyi sérülés nem történt.</t>
  </si>
  <si>
    <t>Budafok KSZ</t>
  </si>
  <si>
    <t>a)	a jármuvön a kisiklás helyét megelozo kis sugarú ívben való haladáskor túl nagy oldalgyorsulás lépett fel, így a villamos hátulja nem kívánatos dülöngélésbe és szitálásba kezdett_x000D_
b)	a villamos jármuvezetoje jelentosen túllépte a megengedett sebességet 
a) the vehicle has experienced excessive lateral acceleration when driving in a small radius arc preceding the derailment point, so that the back of the tram has engaged in unwanted pulling and sieving _x000D_
(b) the authorised speed has been significantly exceeded by the electric driver</t>
  </si>
  <si>
    <t>a)	az idokényszerben dolgozó kocsiszíni jármumozgatók körében a sebességtúllépés rossz beidegzodésként könnyen általános gyakorlattá alakulhat_x000D_
b)	az adott jármutípus esetében a konstrukciós kialakítást figyelembe nem vevo vezetéstechnika jelentosen növeli a kisiklás kockázatát_x000D_
c)	a jármu által lehetové tett 10 km/h-s sebességkorlátozás alkalmazása a jármutelepeken nem eloírás és nem is gyakorlat a jármuvezetok körében_x000D_
d)	a belso ellenorzések és vizsgálatok jellemzoen nem terjednek ki a kocsiszínekben dolgozókra 
(a) speed exceeding can easily become a general practice for time-consuming drivers_x000D_
(b) driving techniques which do not take into account the design of the vehicle type significantly increase the risk of derailment_x000D_
(c) the use of the 10 km/h speed limit allowed by the vehicle on the premises is neither a requirement nor a practice for drivers_x000D_
(d) the internal checks and inspections typically do not cover persons working in the trolleys</t>
  </si>
  <si>
    <t>RO-6066</t>
  </si>
  <si>
    <t>Train derailment, 27-08-19, Palas - Constanta Marfuri (Romania)</t>
  </si>
  <si>
    <t>the first axle of the locomotive DA 1647 - inactive one, towed by the diesel electric locomotive DA 1657 derailed in open line between railway stations Palas and Constanta Marfuri</t>
  </si>
  <si>
    <t>Cauza directa  a producerii accidentului feroviar o constituie circula?ia materialului rulant pe o zona a infrastructurii feroviare care avea depa?ite valorile maxim admise ale  torsionarii caii.  _x000D_
Factorii care au contribuit: _x000D_
-mentenan?a necorespunzatoare care a condus  apari?ia  defectelor la nivelul transversal al caii. 
Direct cause of the accident is the running of the rolling stock on a part of railway infrastructure with values of the track twist over the maximum accepted ones.  _x000D_
Contributing factors: _x000D_
-improper maintenance that led to the appearance of failures at the cross level of the track.</t>
  </si>
  <si>
    <t>Cauze subiacente_x000D_
Nerespectarea urmatoarelor prevederi:_x000D_
-	prevederilor art.7.A.1. din „Instruc?ia de norme ?i toleran?e pentru construc?ia ?i între?inerea caii pentru linii cu ecartament normal nr.314/1989”, referitoare la respectarea toleran?elor la nivelul transversal prescris al unui fir fata de celalalt, atât în aliniament cât ?i în curba;_x000D_
-	prevederilor art.7.A.4. din „Instruc?ia de norme ?i toleran?e pentru construc?ia ?i între?inerea caii pentru linii cu ecartament normal nr.314/1989” referitoare la men?inerea în toleran?e a înclinarii rampei torsionarii caii;_x000D_
-	prevederilor pct.4.1. din Cap.4 „Norme de manopera ?i de consum de materiale”, al „Instruc?iei de între?inere a liniilor ferate nr.300/1982” referitoare la asigurarea normei de manopera la între?inerea curenta în execu?ie manuala;_x000D_
-	prevederilor Fi?elor nr.3 ?i nr.4 din „Instruc?ia 305/1997 privind fixarea termenilor ?i a ordinii în care trebuie efectuate reviziile caii” referitoare la modul de efectuare a reviziilor caii._x000D_
_x000D_
Cauzele primare constatate cu ocazia investigarii accidentului sunt:_x000D_
_x000D_
•	S.C. LOGISTICA FEROVIARA SRL (denumit în continuare SC LOG FER SRL) în calitate de prestator de servicii feroviare critice, referitoare la executarea lucrarilor de între?inere curenta linii de cale ferata, în execu?ie manuala fara sudarea ?inelor nu are procedurate aceste activita?i; _x000D_
•	SC GFR SA în calitate de gestionar de infrastructura feroviara neinteroperabila nu are procedurat sistemul de verificare ?i control al prestatorului de serviciu feroviar critic referitor la lucrarile de mentenan?a a liniei 
Underlying causes_x000D_
Inobservance of the next provisions:_x000D_
-	provisions of art.7.A.1. from „Instruction of norms and tolerances for the construction and maintenance of the track, for lines with standard gauge no.314/1989”, regarding the compliance with the tolerances for the cross level prescribed for a rail against another one, both straight line and curve one;_x000D_
-	provisions of art.7.A.4. from „Instruction of norms and tolerances for the construction and maintenance of the track, for lines with standard gauge no.314/1989”, regarding keeping between the tolerances of the track twist gradient;_x000D_
-	provisions of point 4.1. from chapter 4 „Norms of manpower and material consumption”, of the „Instruction for the line maintenance no.300/1982” regarding the provision with the norm of manpower for current manual maintenance;_x000D_
-	provisions of Sheets no.3 and 4 from „Instruction 305/1997 regarding the setting of deadlines and order for the track inspection performance” regarding the way to make the track inspection_x000D_
_x000D_
Root causes_x000D_
_x000D_
•	S.C. LOGISTICA FEROVIARA SRL (hereinafter referred to as SC LOG FER SRL), as supplier of railway critical services, regarding the performance of the current manual maintenance at the lines, without rail welding, has no procedures for these activities; _x000D_
•	SC GFR SA, as manager of noninteroperable infrastructure has no procedure for the system of checking and control of the supplier of critical service, regarding the line maintenance works.</t>
  </si>
  <si>
    <t>CZ-6074</t>
  </si>
  <si>
    <t>Spad, 29-08-19, Kolín station (Czech Republic)</t>
  </si>
  <si>
    <t>The unauthorized movement of the shunting operation behind the shunting signal device Se81 with the signal „Shunting forbidden” and the consequent ride of the shunting operation into the train route made for the regional passenger train No. 5914.</t>
  </si>
  <si>
    <t>Direct cause:_x000D_
• failure to respect the signal „Shunting forbidden" given by the shunting signal device Se81 (situated at Kolín station) by the supervisor of the shunting operation who was at the head of the shunting operation.</t>
  </si>
  <si>
    <t>Underlying cause:_x000D_
• inattention of the supervisor of the shunting operation (who was at the head of the shunting operation), who did not instruct the train driver of the shunting operation to stop in time, so that the shunting operation was not able to stop safely at latest at the end of the shunting operation route, ie. in front of the shunting signal device Se81._x000D_
_x000D_
Root cause: none.</t>
  </si>
  <si>
    <t>RO-6077</t>
  </si>
  <si>
    <t>Train derailment, 30-08-19, Iablanita (Romania)</t>
  </si>
  <si>
    <t>the leading axle of the locomotive EA 089 that hauled the freight train no.59426 derailed in Iablanita railway station</t>
  </si>
  <si>
    <t>Cauza directa_x000D_
Cauza directa a producerii accidentului feroviar o constituie pierderea capacita?ii de ghidare a osiei conducatoare a locomotivei, escaladarea ?inei de la firul exterior al curbei de catre roata atacanta a acestei osii ?i caderea acesteia în exteriorul caii._x000D_
Factorii care au contribuit:_x000D_
1.	existen?a în zona producerii accidentului a unor defecte la nivelul transversal al liniei, peste limitele toleran?elor admise prevazute în cadrul de reglementare, care au avut ca efect descarcarea par?iala de sarcina verticala (Q) a ro?ii atacante;_x000D_
2.	depa?irea toleran?elor admise de cadrul de reglementare cu privire la echilibrarea sarcinilor pe osie, la osia nr.1 a locomotivei (prima osie în sensul de mers al trenului), care a avut ca efect descarcarea par?iala a sarcinii verticale (Q), ce a ac?ionat asupra ro?ii atacante;_x000D_
3.	depa?irea toleran?elor admise între sage?ile vecine la firul exterior al curbei; _x000D_
4.	nefunc?ionarea dispozitivului de ungere a buzei bandajului ro?ii atacante a locomotivei, fapt care a avut ca efect, neasigurarea în zona de contact dintre roata atacanta ?i ?ina a unui coeficient de frecare care sa asigure o fric?iune favorabila siguran?ei contra deraierii. _x000D_
Suprapunerea efectelor dinamice prezentate, a favorizat cre?terea ?ocului de atac în punctul „0”(zero) ?i escaladarea ?inei ( de la firul exterior al curbei), de catre buza bandajului ro?ii atacante. 
Direct cause_x000D_
The direct cause of the accident is the loss of the guiding capacity of the locomotive guiding axle, climbing of the outside rail of the curve by the guiding wheel of this axle and its fall outside the track._x000D_
Contributing factors:_x000D_
1.	existence at the accident site of some failures at the line cross level, over the limits of the accepted tolerances stipulated in the regulations, leading to the partial transfer of the vertical load (Q) of the guiding wheel;_x000D_
2.	exceeding of the tolerances accepted by the regulation framework regarding the balancing of the loads on axle, at the axle no.1 of the locomotive (first axle in the train running direction), it leading to the partial transfer of the vertical load (Q), acting on the guiding wheel;_x000D_
3.	exceeding of the tolerances accepted between the close deflections at the outside rail of the curve; _x000D_
4.	not working of the wheel flange lubrication system from the locomotive guiding wheel, it leading to the missing in the contact between the guiding wheel and the rail of a friction coefficient that shall ensure a friction favourable to the safety against the derailment. _x000D_
Overlapping of the dynamic effects above mentioned favoured the increase of the attack impact in the point „0”(zero) and climbing of the rai (from the outside rail of the curve), by the flange of the guiding wheel.</t>
  </si>
  <si>
    <t>Cauze subiacente_x000D_
Cauzele subiacente ale producerii accidentului au fost:_x000D_
1.	nerespectarea prevederilor art.7, lit.A, pct.1 ?i pct. 3, din “ Instruc?ia de norme ?i toleran?e pentru construc?ii ?i între?inerea caii pentru linii cu ecartament normal nr.314/1989“, referitoare la toleran?ele la nivelul transversal prescris al unui fir fa?a de celalalt;_x000D_
2.	nerespectarea prevederilor art.7, lit.B, pct.1 din “ Instruc?ia de norme ?i toleran?e pentru construc?ii ?i între?inerea caii pentru linii cu ecartament normal nr.314/1989“, referitoare la toleran?ele sage?ilor vecine;_x000D_
3.	nerespectarea prevederilor art.37, alin.3, pct.f), din “ Instruc?iunile pentru activitatea personalului de locomotiva în transportul feroviar- nr.201, referitoare la verificarea ?i completarea nivelului lubrifian?ilor la punctele de ungere precum ?i a uleiului la transmisia hidraulica dupa caz._x000D_
_x000D_
_x000D_
Cauze primare_x000D_
Cauzele primare ale producerii accidentului au fost:_x000D_
1.	neaplicarea tuturor prevederilor procedurii opera?ionale cod PO SMS 0-4.07 “Respectarea specifica?iilor tehnice, standardelor ?i cerin?elor relevante pe întreg ciclul de via?a a liniilor în procesul de între?inere“, parte a sistemului de management al siguran?ei a administratorului de infrastructura feroviara publica CNCFR „CFR“ SA, referitoare la executarea lucrarilor de între?inere ?i repara?ii periodice a liniilor de cale ferata;_x000D_
2.	neidentificarea pericolului generat de exploatarea locomotivelor la care nu sunt echilibrate corespunzator sarcinile pe osii ?i ro?i;_x000D_
3.	neidentificarea pericolului generat de nefunc?ionarea corespunzatoare a sistemului de ungere a buzei bandajului a osiilor conducatoare de la locomotive. 
Underlying causes_x000D_
The underlying causes of the accident were:_x000D_
1.	inobservance of the provisions of art.7, letter A, points 1 and 3, from “Instruction of norms and tolerances for the construction and maintenance of track for lines with standard gauge no.314/1989“, regarding the tolerances for the cross level prescribed for a rail against another one;_x000D_
2.	inobservance of the provisions of art.7, letter B, point 1 from “Instruction of norms and tolerances for the construction and maintenance of track for lines with standard gauge no.314/1989“, regarding the tolerances of the adjoining versines of the track;_x000D_
3.	inobservance of the provisions of art.37, paragraph 3, point f), from “Instructions for the activity of the locomotive crew- no.201, regarding the checking and the filling the oil level at the lubricating points and of the oil at the hydraulic transmission, if case._x000D_
Root causes_x000D_
The root causes of the accident were:_x000D_
1.	nonapplication of all provisions of the operational procedure code PO SMS 0-4.07 “Compliance with the technical specifications, standards and requirements relevant for the whole life cycle of railway tracks in maintenance process“, part of safety management system of the public railway infrastructure administrator CNCFR „CFR“ SA, regarding the performance of the maintenances and periodical repairs  at railway tracks;_x000D_
2.	nonidentification of the danger generated by the locomotive operation at which the loads on axles and wheels are not properly balanced;_x000D_
3.	nonidentification of the danger generated by the improper working of the wheel flange of lubricating system of guiding axels from the locomotive.</t>
  </si>
  <si>
    <t>CZ-6075</t>
  </si>
  <si>
    <t>Train derailment, 31-08-19, Lípa nad Drevnicí station (Czech Republic)</t>
  </si>
  <si>
    <t>Unsecured movement of the regional passenger train No. 14226 with consequent derailment.</t>
  </si>
  <si>
    <t>Lípa nad Drevnicí station</t>
  </si>
  <si>
    <t>Direct cause:_x000D_
• permission for the train movement over the switch in resetting mode which was not switched to the end position for the priority direction of the train movement._x000D_
_x000D_
Contributory factor: none.</t>
  </si>
  <si>
    <t>Underlying cause:_x000D_
• failure to comply of the technological procedures of the IM for ensure of safety while driving the train in time of disorder of normal position of self-returning switch._x000D_
_x000D_
Root cause: none.</t>
  </si>
  <si>
    <t>FI-6347</t>
  </si>
  <si>
    <t>Other event, 01-09-19, Whole track network in Finland (Finland)</t>
  </si>
  <si>
    <t>Theme investigation on shunting accidents and incidents 1.9.2019-30.4.2020</t>
  </si>
  <si>
    <t>Whole track network in Finland</t>
  </si>
  <si>
    <t>Finland, Finnish Rail Administration;
Finland, Kemira Ltd;
Finland, Neste Oil Corporation;
Finland, Helsinki City Transport.</t>
  </si>
  <si>
    <t>1.	Established work methods, rushing things and leaving things unchecked are behind most shunting accidents and incidents. The external timetable pressures on shunting work often increase the sense of urgency and can easily lead to making assumptions and working recklessly. In shunting work, the workers are responsible for their own safety, which em-phasizes the importance of keeping a lookout. This is often neglected, however._x000D_
3.	The rather poor general lighting of railway yards and the weak lights of the locomotives used for shunting work hinder keeping a lookout during shunting operations._x000D_
4.	The poor visibility and ambiguity of track signs causes hazards during shunting work, es-pecially in darkness or otherwise poor visibility. The situation is exacerbated by poor lighting.</t>
  </si>
  <si>
    <t>1.	Rushed work and assumptions decrease the safety of shunting work and can lead to ne-glecting to keep a lookout or check the actual state of things._x000D_
2.	Self-direction, the requirements of planning your own studies, and the assimilation of in-formation and verification of competence are emphasized in online training._x000D_
3.	Not enough attention has been paid to the lighting of railway yards and rolling stock. Obso-lete lights should be replaced with new energy-efficient technologies._x000D_
4.	The visibility of track signs needed during shunting work is poor, especially in artificial light, so their colors can be confused with each other._x000D_
6.	It is crucial to take all operators and user groups, as well as the mutual effects of the changes on each other, into account when making changes._x000D_
7.	Shunting instructions and the supervision of their compatibility are currently not sufficient in a multi-operator environment._x000D_
8.	Standardized communications and a culture of asking questions have been neglected in the railway industry. They are vital for safety, especially in uncertain situations. Old prac-tices die hard._x000D_
9.	Not enough attention has been paid to the compatibility and usability of railway infor-mation systems. Technical regulations to ensure the compatibility of systems are insuffi-cient in the industry._x000D_
10.	Traffic control is largely organized according to the needs of train traffic, and shunting work is viewed as a support function. This can lead to overlooking the safety aspects of shunting.</t>
  </si>
  <si>
    <t>SK-6284</t>
  </si>
  <si>
    <t>Trains collision, 01-09-19, Bratislava hl. st. - odstavné kolajisko (Slovak Republic)</t>
  </si>
  <si>
    <t>Bratislava hl. st. - odstavné kolajisko</t>
  </si>
  <si>
    <t>collision of two sliding parts due to insufficient communication</t>
  </si>
  <si>
    <t>CZ-6079</t>
  </si>
  <si>
    <t>Level crossing accident, 06-09-19, Praha-Uhríneves station (Czech Republic)</t>
  </si>
  <si>
    <t>Collision of the regional passenger train No. 2522 with a lorry with consequent derailment.</t>
  </si>
  <si>
    <t>Praha-Uhríneves station</t>
  </si>
  <si>
    <t>Direct cause:_x000D_
• driver's failure to respect the light and acoustic warning and driving across the level crossing at the time when it was forbidden and visual and acoustic warnings were being given._x000D_
_x000D_
Contributory factor:_x000D_
• failure to escape from the area of the level crossing – failure to break the level crossing barriers by the lorry driver, when the lorry was trapped on the level crossing before arrival of the train.</t>
  </si>
  <si>
    <t>Underlying causes:_x000D_
• driver's failure to respect of the light and acoustic warning of the level crossing safety installation;_x000D_
• behavior of the driver in front of the level crossing, the lorry driver wasn't careful enough._x000D_
_x000D_
Root cause: none.</t>
  </si>
  <si>
    <t>HU-6163</t>
  </si>
  <si>
    <t>Spad, 06-09-19, Herceghalom (Hungary)</t>
  </si>
  <si>
    <t>The freight train passed a sigal at "Danger". Stopped at the station 200 metres front of the front-facing freight train. 
A tehervonat meghaladta a "Megállj!" jelzést adó bejárati jelzot. Az állomáson a szembol közlekedo tehervonattal szemben 200 méterre állt meg.</t>
  </si>
  <si>
    <t>Herceghalom</t>
  </si>
  <si>
    <t>Rail Cargo Hungaria Zrt.; 
MMV Magyar Magánvasutak Zrt.</t>
  </si>
  <si>
    <t>3.1	Közvetlen okok_x000D_
Az esemény bekövetkezésére közvetlenül ható tényezok az alábbiak voltak:_x000D_
a)	a vonat hatodik kocsijának levegos rendszerében drasztikus hiba keletkezett,_x000D_
b)	a kiiktatott fékek miatt a vonat fékhatása jelentosen lecsökkent,_x000D_
c)	a vonat sebessége túl nagy volt a tényleges fékhatáshoz képest,_x000D_
d)	a mozdonyvezeto nem a fékhiba esetén követendo szabályok figyelembe vételével határozta meg a vonatánál alkalmazható legnagyobb sebességet. _x000D_
3.2	Közvetett okok_x000D_
Azok a kompetenciákra, eljárásokra, fenntartásra vonatkozó megállapítások, amelyek összefüggésben voltak az elozoekben felsorolt tényezokkel:_x000D_
a)	hibakeresés és a fékek kiiktatása közben a mozdonyvezeto figyelmét jelentosen lekötötte a sok telefonhívás, amelyekbol kitunt a pálya mihamarabbi felszabadításának kényszere_x000D_
b)	a kocsi fékrendszerét érinto drasztikus meghibásodásnak nem szabadna bekövetkeznie a fovizsga után egy hónappal, ami a javítás nem megfelelo elvégzésére utal. 
3.1 Direct causes_x000D_
The following factors had a direct impact on the occurrence of the incident: _x000D_
a) a drastic defect occurred in the air system of the sixth wagon of the train,_x000D_
b) the braking performance of the train has been significantly reduced due to the disabled brakes,_x000D_
c) the train speed was too high compared to the actual braking effect,_x000D_
d) the maximum speed applicable to his train was not determined by the driver taking into account the rules to be followed in the event of a brake failure. _x000D_
3.2 Indirect reasons_x000D_
Findings on competences, procedures and maintenance that were related to the factors listed above: _x000D_
a) during the search for errors and the removal of the brakes, the driver’s attention was significantly tied to the large number of telephone calls, which revealed the obligation to release the track as soon as possible _x000D_
b) a drastic failure affecting the braking system of the wagon shall not occur one month after the main examination, indicating that the repair has been carried out improperly.</t>
  </si>
  <si>
    <t>RO-6081</t>
  </si>
  <si>
    <t>Other event, 08-09-19, Radoiesti- Atarnati (Romania)</t>
  </si>
  <si>
    <t>The electric locomotive ES 110 hit a concret slab of the level crossing from the km 90+610 with the locomotive pilot</t>
  </si>
  <si>
    <t>Radoiesti- Atarnati</t>
  </si>
  <si>
    <t>Cauza directa a producerii incidentului feroviar o constituie afectarea gabaritului de libera trecere de catre unele elemente din cuprinsul trecerii la nivel, a caror pozi?ie a permis contactul cu plugul locomotivei ES 110, la trecerea acesteia._x000D_
Factori care au contribuit:_x000D_
? pozi?ia  ultimelor 3 dale de interior din cuprinsul trecerii la nivel, în sensul de mers al trenului, la distan?e de 20-45mm peste cota NSS;_x000D_
? desprinderea platbandei metalice de protec?ie din partea stânga în sensul de mers al trenului a antepenultimei dale de interior ?i deplasarea acesteia în plan vertical, fapt ce a condus la impactul cu plugul locomotivei;_x000D_
 ? neremedierea unor defecte la linie înregistrate în urma masuratorilor cu TMC, fapt care a condus la imprimarea unor oscila?ii necontrolate în plan vertical ale locomotivei, având drept consecin?a contactul dintre partea inferioara a plugului acesteia ?i suprafa?a superioara a ultimelor 3 dale de interior ale trecerii la nivel, în sensul de mers a trenului. 
The direct cause of the railway incident was the affecting of the structure clearance by some elements of the level crossing, whose position allowed the contact with the plough of the locomotive ES 110, when it passed by._x000D_
Contributing factors:_x000D_
? position of the last 3 inner slabs of the level crossing, in the train running direction, at  20-45 mm over the quota for the superior level of the rail;_x000D_
? detachment of the left metallic cover plate for protection, in the running direction of the train, from the antepenultimate inner slabs and its movement vertically, it leading to the collision with the locomotive plough;_x000D_
 ? not fixing of some failures at the track, recorded following the measurements with the car for track geometry measurement, it leading to the transmission of some uncontrolled vibrations vertically of the locomotive, having as consequences the contact between the low part of its plough and the up part of the last 3 inner slabs of the level crossing, in the train running direction.</t>
  </si>
  <si>
    <t>Cauze subiacente _x000D_
  ? nerespectarea prevederilor cap.5, pct.5.4 din „Nota tehnica privind alcatuirea, între?inerea ?i exploatarea trecerilor la nivel ?i liniilor în pavaj cu dale prefabricate din beton armat/1986”, respectiv a pct. 6.4 din „Instruc?iuni tehnice departamentale privind alcatuirea, între?inerea ?i exploatarea trecerilor la nivel cu dale prefabricate din beton armat” referitoare la nivelul la care trebuie men?inute în exploatare dalele de interior ale trecerii la nivel fa?a de suprafa?a de rulare a ?inelor;_x000D_
  ? nerespectarea prevederilor par?ii a II-a, sec?iunea a 2-a, art. 26(1) ?i (2) din „Regulamentul de exploatare tehnica feroviara nr. 002/2001” sau a par?ii I, capitolul I, sec?iunea  a 2-a, art. 12 din „Regulamentul pentru circula?ia trenurilor ?i manevra vehiculelor feroviare nr. 005/2005”, referitor la faptul ca în interiorul gabaritului de libera trecere nu se admite sa patrunda nicio parte a construc?iilor sau instala?iilor feroviare fixe;_x000D_
  ? nerespectarea prevederilor par?ii a V-a, cap. VI, art. 225, lit. b) din „Instruc?iuni pentru diagnoza caii ?i a liniei de contact efectuata cu automotorul TMC/2007” referitoare la termenele în care se remediaza defectele parametrilor geometriei caii, eviden?iate în urma masuratorii cu TMC._x000D_
Cauze primare_x000D_
  ? neaplicarea tuturor prevederilor procedurii operationale cod PO SMS 0-4.07 „Respectarea specificatiilor tehnice, standardelor si cerintelor relevante pe întreg ciclul de viata a liniilor în procesul de întretinere” (inclusiv a anexelor), parte a sistemului de management al sigurantei administratorului de infrastructura feroviara publica CNCF „CFR” SA, referitoare la coordonarea activita?ilor de între?inere a liniilor de cale ferata;_x000D_
    ? neaplicarea prevederilor Riscurilor de interfa?a cu OTF ?i masurile pentru ?inerea sub control, acestea fiind eviden?iate în cuprinsul actului nr. 202/1/1395/10.07.2018 al SRCF Craiova, parte a sistemului de management al sigurantei administratorului de infrastructura feroviara publica CNCF „CFR” SA, referitoare la asigurarea gabaritului de libera trecere în circula?ia trenurilor. 
Underlying causes _x000D_
  ? inobservance of the provisions of chapter 5, point 5.4 from the „Technical note regarding the composition, maintenance and operation of the covered level crossings and lines, with reinforced concrete prefab slabs/1986”, respectively of point 6.4 from  „Department technical instructions regarding the  composition, maintenance and operation of the covered level crossings and lines with reinforced concrete prefab slabs” regarding the level to which the inner slabs of the level crossing have to be kept in operation, against the rail running surface;_x000D_
  ? inobservance of the provisions of part II, od the section 2, art. 26(1) and (2) from „Regulation for railway technical operation no. 002/2001” or of part I, chapter I, section 2, art. 12 of „Regulation for the running of the trains and shunting of railway vehicles no. 005/2005”, regarding the fact that inside the structure clearance it is not accepted any part of the fixed railway  constructions or installations;_x000D_
  ? inobservance of the provisions of part V, chapter VI, art. 225, letter b) from „Instructions for the diagnosis of the track and contact line made with the motorised car for track measurement TMC/2007” regarding the terms for the fixing of the failures of the track geometry parameters, put in evidence following the measurement with the train for the track measurement._x000D_
 Root causes_x000D_
  ? non application of all provisions of the operational procedure code PO SMS 0-4.07 „Compliance with the technical specifications, standards and requirements relevant for whole life cycle of the tracks in maintenance process” (including the annexes), part of the safety management system of the public railway infrastructure administrator CNCF „CFR” SA, regarding the maintenance of the lines;_x000D_
    ? nonapplication of the provisions Risks of interfaces with the railway undertakings and the measures for keeping under control, these being put in evidence into the paper no. 202/1/1395/10.07.2018 of SRCF Craiova, part of the safety management system of the public railway infrastructure administrator CNCF „CFR” SA, regarding the ensuring of the structure clearance in the train running.</t>
  </si>
  <si>
    <t>HU-6150</t>
  </si>
  <si>
    <t>Train derailment, 09-09-19, Miskolc-Tiszai (Hungary)</t>
  </si>
  <si>
    <t>A vonat mozdonya 2 tengellyel az elso kocsi 4 tengellyel kisiklott. 
The train locomotives derailed by 2 axles the first wagon by 4 axles</t>
  </si>
  <si>
    <t>Miskolc-Tiszai</t>
  </si>
  <si>
    <t>Other occurrence - not to be submitted to ERA; 
National rules imposed by implementing of the Safety Directive 2004/49/EC; 
(b) it forms part of a series of accidents or incidents relevant to the system as a whole</t>
  </si>
  <si>
    <t>1.1	Direct causes
The factors which had direct effect on the occurrence were as follows:
a)	the connection between the arched switch tongue attachment, the stretcher bar and the control bar was disconnected because the pin had slipped out,
b)	the pin was not properly secured after the removal and re-installation of the control rod the night before the occurrence.
1.2	Indirect causes
Those findings relating to competences, procedures and maintenance which are related to the factors enumerated above:
a)	the safety installation did not detect the malfunction,
b)	the personnel putting the switch into operation did not realise that the pin of the control rod had not been secured,
c)	neither the locomotive drivers nor the track maintenance professional who detected the anomaly of the switch did recognise the hazardous nature of the defect therefore they did not intervene immediately but only reported the problem, and the action taken subsequently was too late.
d)	after being notified of the defect, the traffic management personnel maintained traffic on the switch concerned, not waiting until the related inspection.</t>
  </si>
  <si>
    <t>1.3	Root causes
Causes that are distant in time and space from one another but which are related to system operation within the regulatory environment and in the safety management system:
a)	the design of the safety installation does not provide for detection of the displacement of the switch tongue in the case of similar defects until the switch position needs to be changed.
1.4	Other risk factors
The IC identified no other risk factor which could be related to the occurrence.</t>
  </si>
  <si>
    <t>HU-6164</t>
  </si>
  <si>
    <t>Train derailment, 10-09-19, Budapest-Nyugati (Hungary)</t>
  </si>
  <si>
    <t>The second wagon of the train derailed.</t>
  </si>
  <si>
    <t>Budapest-Nyugati</t>
  </si>
  <si>
    <t>switch broken</t>
  </si>
  <si>
    <t>Other national rules/regulations (covering possible areas excluded in Art 2 §2 -(a))</t>
  </si>
  <si>
    <t>broken switch</t>
  </si>
  <si>
    <t>HU-6080</t>
  </si>
  <si>
    <t>Spad, 11-09-19, Kóny (Hungary)</t>
  </si>
  <si>
    <t>Passanger train passed signal at danger, stopped on a switch.</t>
  </si>
  <si>
    <t>Kóny</t>
  </si>
  <si>
    <t>Mistake ok driver</t>
  </si>
  <si>
    <t>CZ-6082</t>
  </si>
  <si>
    <t>Level crossing accident, 12-09-19, level crossing No. P5391 between Hnevceves and VÅ¡estary stations (Czech Republic)</t>
  </si>
  <si>
    <t>Collision of the regional passenger train No. 5505 with a car at the level crossing No. P5391.</t>
  </si>
  <si>
    <t>level crossing No. P5391 between Hnevceves and VÅ¡estary stations</t>
  </si>
  <si>
    <t>Direct cause:_x000D_
• an unauthorized entrance of the car at the level crossing No. P5391 at the time when the train No. 5505 was arriving._x000D_
_x000D_
Contributory factor: none.</t>
  </si>
  <si>
    <t>Underlying cause:_x000D_
• driver’s behavior in front of the level crossing, the car driver was not careful enough and he did not stop the car in front of the level crossing on command traffic sign “Stop sign“ at a place where he had a proper view of the railway line and he did not make sure, whether he can safely proceed over the level crossing._x000D_
_x000D_
Root cause: none.</t>
  </si>
  <si>
    <t>HU-6089</t>
  </si>
  <si>
    <t>Accident to persons caused by RS in motion, 12-09-19, Budapest-Nyugati - Kobánya-Kispest (Zugló mh.) (Hungary)</t>
  </si>
  <si>
    <t>A young lady fell under the 11th wagon of an outpassing freight train. 
A megállóhelyen áthaladó tehervonat 11. kocsija alá esett egy no a peronról.</t>
  </si>
  <si>
    <t>Budapest-Nyugati - Kobánya-Kispest (Zugló mh.)</t>
  </si>
  <si>
    <t>On 12 September 2019, at 13:38 o’clock, a freight train moving on the left-hand track between Budapest-Nyugati and Kőbánya-Teher stations (at Zugló stopping place), hit a young lady who fall to the side of the moving train from the platform and amputated her legs.
TSB visited the scene, taking into account that reconstructions works were underway at the stopping place while maintaining traffic and it was assumed that traffic routes and other conditions of traffic could be inadequate.
The IC interviewed two witnesses at the scene relating to the occurrence. According to them, there was no significant passenger movement at the stopping place at the time of the accident that would have led to an accident. The occurrence was not directly seen by any witness and it was not recorded by cameras, so the course of the accident cannot be established from data available. In addition, later in the hospital, it was not possible to interview the victim of the accident because, according to information from the police, a long-term amnesia developed in her due to the accident and she had no memories related to the accident.
The IC performed measurements at the scene regarding the widths of pathways on the platform which is among the two tracks. It was found that the safety clearance (determined in function of the line speed) is provided at both sides of the ticket office and waiting room building (situated in the centreline of the platform); actually, it is even wider than the required clearance indicated by the paving stones in different colour. However, the distance between the yellow paving stones indicating the edge of the safety clearance and the building is insufficient. As regards platforms, the national regulation says: “Platforms shall be dimensioned (based on train lengths, number of passengers, and train speeds) in such manner that a stripe with a minimum width of 1.8 m should be available for passengers outside and between safety clearance edges”. At Zugló stopping place, the relevant platform width between the building and the indication of the edge of the safety clearance is 1.20 m.
The platform, where the lady stood, does not meet the relevant requirements, but preliminary investigation found no direct connection between the platform width, the works underway at the scene, and the accident.
Based on evaluation of data and the circumstances, any safety lessons from further investigation are not expected, therefore pursuant to Article 20 of Directive (EU) 2016/798 on railway safety the case requires no investigation or further action by Transportation Safety Bureau, and TSB considers it as closed.</t>
  </si>
  <si>
    <t>HU-6090</t>
  </si>
  <si>
    <t>Spad, 13-09-19, Pécel (Hungary)</t>
  </si>
  <si>
    <t>Train no. 3220 passed the entry signal of Pécel station at danger with ca. 60 m. (The train was stopped by the train control system.) Train no. 3089 which was leaving the station at the moment of the occurence stopped before the backfalling exit signal with ca. 30 m. After stopping the distance between the two trains was 665 m. 
Az állomásra bejáró 3220 sz. vonat kb. 60 m-rel meghaladta a vörös "A" bejárati jelzot. Az állomásról éppen keresztben kijáró 3089 sz. vonat a visszaeso "K2" kijárati jelzo elott kb. 30 m-rel megállt. Megállás után a két vonat között 665 m távolság volt.</t>
  </si>
  <si>
    <t>There was no damage.</t>
  </si>
  <si>
    <t>1. A mozdonyvezető nem győződött meg kétséget kizáróan a bejárati jelző jelzéséről.</t>
  </si>
  <si>
    <t>1. A mozdonyvezető figyelmét elvonta a bejárati jelző előtti kiszigetelt szakaszon való áthaladás utáni teendője, az áramszedő felengedése. 2. A pálya, így a bejárati jelző megfigyelését nehezítette a mozdonyvezetőnek szemből erősen sütő, vakító felkelő Nap. 3. A mozdonyvezető koncentrációjára, cselekvőképességére negatívan hatott a hosszú éjszakai szolgálat végéhez közeledve a fáradtsága. 4. A mozdonyvezetők munkarendjében gyakran váltakoznak a különböző napszakokban teljesítendő szolgálatok, ami – különösen hosszú éjszakai szolgálatok során – megterhelő az emberi szervezet számára, és jelentősen rontja a teljesítőképességet.</t>
  </si>
  <si>
    <t>FR-6107</t>
  </si>
  <si>
    <t>Level crossing accident, 15-09-19, Roissy-en-Brie (France)</t>
  </si>
  <si>
    <t>Commuter train hits, at a speed of 120 km/h, a car, at a level crossing with barriers.
The four occupants of the car had just time to escape before the collision. Four people are slightly injured in the train.</t>
  </si>
  <si>
    <t>Roissy-en-Brie</t>
  </si>
  <si>
    <t>RO-6091</t>
  </si>
  <si>
    <t>Train derailment, 16-09-19, Bod (Romania)</t>
  </si>
  <si>
    <t>the electric locomotive EA 386 that hauled the freight train no.50418 derailed in Bod railway station on passing over the switch no. 14.</t>
  </si>
  <si>
    <t>Cauza directa a producerii accidentului o constituie escaladarea de catre buza bandajului ro?ii atacante a locomotivei (roata din partea dreapta în sensul de mers), a flancului activ al acului curb al schimbatorului de cale nr.14 din halta de mi?care Bod (în cuprinsul zonei prelucrarii prin rabotare a acestui ac), ca urmare a depa?irii limitei de stabilitate la deraiere._x000D_
_x000D_
Factorii care au contribuit la depa?irea limitei de stabilitate la deraiere au fost:_x000D_
1.	Nivelul transversal al acului curb (firul exterior al curbei sch.nr.14 din halta de mi?care Bod) mai jos cu 21 mm decât nivelul contraacului curb (firul interior al curbei sch.nr.14), în condi?iile în care valoarea toleran?ei nivelului transversal al caii admisa în exploatare este de ±5 mm;  _x000D_
2.	Depa?irea valorilor toleran?elor admise la nivel, în cazul denivelarilor încruci?ate, pe schimbatorul de cale nr.14 ?i pe panoul de linie dintre schimbatorii de cale nr.10 ?i nr.14 din halta de mi?care Bod;_x000D_
3.	Valoarea peste limita admisa a diferen?ei între diametrele ro?ilor aceleia?i osii, constatata la osiile nr.6, nr.5, nr.4, nr.3 ?i nr.2 (primele 5 în sensul de mers al locomotivei). 
Direct cause of the accident was the flange of the guiding wheel of the locomotive (right wheel in the running direction) climbed the rail gauge of the curved point from the switch no.14 in Bod railway station (in a planned area), following the exceeding of the derailment stability limit._x000D_
_x000D_
Contributing factors:_x000D_
1.	Cross level of the curved point (outside rail of the curve switch no.14 from the railway station Bod) lower with 21 mm than the level of the curved stock rail (inside rail of the curve of the switch no.14), provided that the value of the tolerance of the track cross level accepted in operation is ±5 mm;  _x000D_
2.	Exceeding of the tolerance values accepted for the level, in case of track twist, on the switch no.14 and on the track panel between the switches no.10 and 14 in Bod railway station;_x000D_
3.	The value over the limit accepted for the difference between the diameters of the wheels from the same axle, found at the axles no.6, 5, 4, 3 and 2 (first 5 ones in the locomotive running direction).</t>
  </si>
  <si>
    <t>Cauzele subiacente ale producerii acestui accident au fost nerespectarea unor prevederi din urmatoarele instruc?ii ?i regulamente în vigoare: _x000D_
1.	Nerespectarea prevederii art.19, pct.6 din Instruc?ia de norme ?i toleran?e pentru construc?ia ?i între?inerea caii - linii cu ecartament normal - nr.314/1989, referitoare la valorile toleran?elor admise la nivel în profilul transversal la aparatele de cale din cuprinsul liniilor de primiri ?i expedieri;_x000D_
2.	Nerespectarea prevederii art.7.A, pct.3 din Instruc?ia de norme ?i toleran?e pentru construc?ia ?i între?inerea caii - linii cu ecartament normal - nr.314/1989, referitoare la valorile toleran?elor admise în cazul denivelarilor încruci?ate la nivel;_x000D_
3.	Nerespectarea prevederilor pct.4.1. din Cap.4 „Norme de manopera ?i de consum de materiale”, al Instruc?iei de între?inere a liniilor ferate nr.300 - edi?ia în vigoare referitoare la asigurarea numarului de muncitori pentru forma?ia minima necesara executarii lucrarilor;_x000D_
4.	Nerespectarea prevederilor Fi?ei nr.4, art.3 din Instruc?ia privind fixarea termenelor ?i a ordinei în care trebuie efectuate reviziile caii - nr.305/1997, referitoare la neefectuarea reviziei chenzinale ?i a recep?iei lucrarilor din chenzina anterioara având drept consecin?a neprogramarea lucrarilor necesare pentru readucerea în toleran?e a geometriei caii pe schimbatorul de cale nr.14 din halta de mi?care Bod._x000D_
Cauze primare_x000D_
Neaplicarea tuturor prevederilor procedurii operationale cod PO SMS 0-4.07 „Respectarea specificatiilor tehnice, standardelor si cerintelor relevante pe întreg ciclul de viata a liniilor în procesul de întretinere”, parte a sistemului de management al sigurantei administratorului de infrastructura feroviara publica CNCF „CFR” SA referitor la men?inerea geometriei caii pe sch. nr.14 din H.M. Bod. 
Underlying causes: _x000D_
1.	Inobservance of the provisions of art.19, point 6 from Instruction of norms and tolerances for track construction and maintenance – lines with standard gauge - no.314/1989, regarding the values of the tolerances accepted for the cross level at the switches from the reception and dispatching lines;_x000D_
2.	Inobservance of the provisions of art.7.A, point 3 from Instruction of norms and tolerances for track construction and maintenance – lines with standard gauge - no.314/1989, regarding the values of the tolerances accepted for the track twist;_x000D_
3.	Inobservance of the provisions of point 4.1. of Chapter 4 „Norms of manpower and material consumption”, of the Instruction for the line maintenance no.300 – edition in force, regarding the provision with the number of workers for the minimum team necessary to perform the works;_x000D_
4.	Inobservance of the provisions of Sheet no.4, art.3 from Instruction for the setting of deadlines and order for the performance of the track inspections - no.305/1997, regarding  the lack of fortnightly inspection and  of the work reception from the previous fortnightly inspection, leading to the lack of schedule of the works necessary for putting between the tolerances the track geometry on the switch no.14 of Bod railway station._x000D_
Root causes_x000D_
Nonapplication of all provisions of the operational procedure code PO SMS 0-4.07 „Compliance with the technical specifications, standards and requirements relevant for the whole life of lines in the maintenance process”, part of safety management system of the public infrastructure administrator CNCF „CFR” SA, regarding the keeping of the track geometry at the switch no.14 in Bod railway station.</t>
  </si>
  <si>
    <t>CZ-6092</t>
  </si>
  <si>
    <t>Train derailment, 17-09-19, Praha, open tram line between Baterie and Orechovka tram stop (Czech Republic)</t>
  </si>
  <si>
    <t>Derailment of the tram line No. 1/8</t>
  </si>
  <si>
    <t>Praha, open tram line between Baterie and Orechovka tram stop</t>
  </si>
  <si>
    <t>Dopravní podnik hlavního města Prahy, akciová společnost</t>
  </si>
  <si>
    <t>Total damage CZK 806 417,- (EUR 31 403,-)</t>
  </si>
  <si>
    <t>Technical fault of the tram wheel – releasing of the wheel tyre.</t>
  </si>
  <si>
    <t>Underlying cause:
•unsuitable (non-permanent) mixture of rubber segments of the spring of the compound tram wheel. 
Root cause: none.</t>
  </si>
  <si>
    <t>RO-6093</t>
  </si>
  <si>
    <t>Fire in RS, 17-09-19, Bucuresti - Varteju (Romania)</t>
  </si>
  <si>
    <t>the locomotive DA 1108 that hauled the freight train no.93618-1 caught fire between Bucuresti Vest and Varteju railway stations</t>
  </si>
  <si>
    <t>Bucuresti - Varteju</t>
  </si>
  <si>
    <t>Cauza directa_x000D_
Cauza directa a producerii incendiului a fost apari?ia arcului electric în placa de borne la nivelul capatului de prindere (papucul) a unuia din cablurile de alimentare  a înfa?urarii statorice (cel dinspre coroana portperii – corespunzator bornei F) din circuitul de alimentare al motorului de trac?iune nr.4 ?i corespondentul acestuia de pe canalul de cabluri fapt ce a condus la strapungerea ?i aprinderea izola?iei acestuia, extinderea incendiului la celelalte cabluri ale circuitului de alimentare ale motorului de trac?iune nr.4 ?i nr.5 aflate pe canalul de cabluri ?i ulterior extinderea incendiului la celelalte componente._x000D_
Factorii care au contribuit_x000D_
-	gradul ridicat de uzura al cablului de alimentare a motorului de trac?iune nr.4; _x000D_
-	existen?a pe placa de borne, pe canalul de cabluri ?i pe podeaua locomotivei a reziduurilor de produse petroliere provenite din pierderile de ulei de la motorul diesel. 
Direct cause_x000D_
The direct cause of the incident was the appearance of the electric arc in the plate of terminals  at the fastening end (cable lug) of one of the power supply cable of the statoric winding (that from the brush holder assembly of the terminal F) in the power supply circuit of the traction motor no.4 and its correspondent from the channel of cables, it leading to the perforation and ignition of the insulation, extending of the fire to the other cables of the power supply circuit of the traction motors no.4 and 5 being in the channel of cables and further to the spreading of the fire to the other parts._x000D_
Contributing factors_x000D_
-	high level of wear at the power supply cable of the traction motor no.4; _x000D_
-	existing on the terminal plate, on the channel of cables and on the locomotive floor of oil rests coming from the oil leaks from the diesel engine</t>
  </si>
  <si>
    <t>Cauze subiacente_x000D_
-	nerespectarea procedurii opera?ionale „Între?inere ?i repara?ii material rulant trac?iune” cod PO 74.3, elaborata în anul 2017 în conformitate cu prevederile NTF nr.67-006-2011 aprobata prin OMTI nr.315/2011 în sensul ca locomotivele „trebuie retrase din serviciu pentru efectuarea repara?iilor planificate atunci când una din normele de timp sau kilometri impuse este atinsa prima”. Se mai precizeaza faptul ca normativul feroviar men?ionat de?i a fost modificat ?i completat prin OMTI nr.1359/2012, operatorul de transport nu a elaborat aceasta procedura în conformitate cu aceste modificari._x000D_
-	nerespectarea prevederilor din Instruc?iuni pentru activitatea personalului de locomotiva în transportul feroviar nr.201/2006 aprobate prin Ordinul Ministrului nr.2229/2006, respectiv ale art.44.- (3) lit,b),  cu privire la obliga?ia remedierii, în cadrul reviziilor intermediare, a defec?iunilor la piesele, instala?iile ?i agregatele la care au aparut probleme în exploatarea locomotivei, semnalate de catre mecanic în carnetul de bord al locomotivei;_x000D_
-	nerespectarea prevederilor Specifica?iei tehnice Revizii planificate tip PTAE (PTh), R15, RI, RT, R1, R2,2R2,R3 ?i repara?ii accidentale tip RIT, RIR, RAD, RA la locomotivele Diesel electrice de 2100 CP Cod: ST -  LDE 2100CP-Rev., edi?ia: 2, revizia: 0  din 2015, referitor la obliga?ia remedierii pierderilor de ulei provenite de la motorul diesel, în cadrul tuturor tipurilor de revizii planificate._x000D_
Cauze primare_x000D_
-	  neidentificarea ?i neevaluarea riscurilor, de producere a unui incendiu la locomotiva, asociate pericolelor ce ar putea apare în circula?ia trenurilor. 
Underlying causes_x000D_
-	inobservance of the operational procedure „Maintenance and repair of the traction rolling stock” code PO 74.3, worked out in 2017 in accordance with the provisions NTF no.67-006-2011, approved by the Order of Minister of Transports and Infrastructure no.315/2011, that is the locomotives „have to be withdrawn from operation for planned repairs when one of the norms time or of km imposed is reached first”. It is also stipulated that the railway norm above mentioned, although amended by Order of Minister of Transports and Infrastructure no.1359/2012, the railway undertaking did not work out this procedure in accordance with these changes._x000D_
-	inobservance of the provisions from Instructions for the activity of the locomotive crew no.201/2006 approved by Order of Minister no.2229/2006, respectively of art.44.- (3) letter b),  regarding the obligation of fixing, within the intermediary inspections, the failures at the parts, installations and aggregates, to which appeared problems in the operation of the locomotive, notified by the driver in the on board book of the locomotive;_x000D_
-	inobservance of the provisions of Technical Specification Planned inspections type PTAE (PTh), R15, RI, RT, R1, R2,2R2,R3 and accidental repairs type RIT, RIR, RAD, RA at the Diesel electric locomotives of 2100 HP code: ST -  LDE 2100CP-Rev., edition: 2, revision: 0  in 2015, regarding the obligation to fix the oil leaks from the diesel engine, during all planned inspections._x000D_
 Root causes_x000D_
-	    lack of identification and assessment of the risks of fire in the locomotive, associated to the dangers that could appear in the running of the trains.</t>
  </si>
  <si>
    <t>RO-6094</t>
  </si>
  <si>
    <t>Train derailment, 22-09-19, Palas - Constanta Marfuri (Romania)</t>
  </si>
  <si>
    <t>the 31st wagon of the freight train no 89972 derailed in open line between Palas and Constanta Marfuri railway sations</t>
  </si>
  <si>
    <t>Cauza directa a producerii accidentului feroviar o constituie descarcarea de sarcina a ro?ii atacante (roata nr.4R) de la vagonul nr.33877852158-7, descarcare ce a fost provocata de defectele existente la nivelul transversal al caii.  _x000D_
Factorul care a contribuit: _x000D_
-	mentenan?a necorespunzatoare a liniei, mentenan?a ce a condus apari?ia defectelor la nivelul transversal al caii. 
The direct cause of the accident was the load transfer of the guiding wheel (wheel no.4R) of the wagon no.33877852158-7, it is due to the failures existing at the track cross level.  _x000D_
Contributing factors: _x000D_
-	improper maintenance of the line, it leading to the appearance of failures at the track cross level</t>
  </si>
  <si>
    <t>Cauze subiacente_x000D_
1.	Nerespectarea prevederilor art.7.A pct.1 ?i pct.3 din „Instruc?ia de norme ?i toleran?e pentru construc?ia ?i între?inerea caii pentru linii cu ecartament normal nr.314/1989”, referitoare la respectarea toleran?elor admise în cazul denivelarilor încruci?ate ?i al nivelului transversal prescris al unui fir fata de celalalt, atât în aliniament cât ?i în curba;_x000D_
2.	Nerespectarea prevederilor de la pct.4.1. din Cap.4 „Norme de manopera ?i de consum de materiale”, al „Instruc?iei de între?inere a liniilor ferate nr.300/1982” referitoare la asigurarea normei de manopera la între?inerea curenta în execu?ie manuala._x000D_
3.	Nerespectarea prevederilor fi?elor nr.3 ?i nr.4 din „Instruc?ia 305/1997 privind fixarea termenilor ?i a ordinii în care trebuie efectuate reviziile caii” referitoare la modul de efectuare a reviziilor caii._x000D_
Cauzele primare_x000D_
1.	Lipsa din sistemul de management al SC LOG FER SRL, furnizorul de servicii de între?inere a caii, a unei proceduri, prin care sa fie stabilit modul de  executare a lucrarilor de între?inere curenta, în execu?ie manuala fara sudarea ?inelor, la liniile de cale ferata de pe sec?iile de circula?ie neinteroperabile._x000D_
2.	Lipsa din sistemul de management al siguran?ei, dezvoltat la nivelul gestionarului de infrastructura feroviara neinteroperabila (SC GFR SA), a unor proceduri pe baza carora sa poata sa urmareasca daca furnizorul de servicii, cu care are rela?ii contractuale privind realizarea lucrarilor de între?inere curenta a liniilor de cale ferata, dispune de resursele necesare pentru efectuarea acestor lucrari. 
Underlying causes_x000D_
1.	Inobservance of the provisions of art.7.A points 1 and 3 from the „Instruction of norms and tolerances for the track construction and maintenance for lines with standard gauge no.314/1989”, regarding the compliance with the tolerances accepted for the track twist  and for the cross level prescribed for a rail against the another one, both for the straight line and for the curve;_x000D_
2.	Inobservance of the provisions from point 4.1. of Chapter 4 „Norms of manpower and material consumption”, of the „Instruction for the line maintenance no.300/1982” regarding the provision with the norm of manpower for the usual manual work maintenance._x000D_
3.	Inobservance of the provisions of the sheets no.3 and 4 from the „Instruction no. 305/1997 regarding the establishment of deadlines and order of track inspection performance” regarding the way to do the track inspections._x000D_
Root causes_x000D_
1.	Lack in the management system of SC LOG FER SRL, render of track maintenance services, of a procedure, that establishes the way to perform the usual manual work maintenance, without welding of the rails, for the noninteroperable track sections._x000D_
2.	Lack in the safety management system, developed by the noninteroperable infrastructure manager (SC GFR SA), of a procedure for monitoring if the service render, with whom there are contract agreement for the performance of the usual maintenance of the tracks, has the resources necessary to carry out these works</t>
  </si>
  <si>
    <t>HR-6106</t>
  </si>
  <si>
    <t>Level crossing accident, 23-09-19, Podrute (Croatia)</t>
  </si>
  <si>
    <t>At the LC Vartilen, near the Podrute railway station, the personal vehicle underlined and collided with the special railway vehicle 
Na ŽCP Vartilen kod kolodvora Podrute došlo je do podlijetanja osobnog vozila pod specijalno željeznicko vozilo</t>
  </si>
  <si>
    <t>Podrute</t>
  </si>
  <si>
    <t>Izravni uzrok ove nesrece: je prelazak osobnog vozila preko ŽCP-a neposredno prije nailaska vozila za posebne namjene broj 98 78 9425569-1 te podlijetanje pod isti. 
The direct cause of this accident is crossing of personal vehicle over the LC immediately before the arrival of a special purpose vehicle number 98 78 9425569-1.</t>
  </si>
  <si>
    <t>Cimbenici koji su pridonijeli ovoj nesreci:._x000D_
- Nepridržavanje propisane brzine željeznickog vozila na navedenoj dionici pruge R201,_x000D_
- Nedavanje zvucnog signala pri približavanju ŽCP-u._x000D_
Organizacijski cimbenici koji su pridonijeli ovoj nesreci:_x000D_
- ŽCP je pasivno osiguran. 
Contributing factors:_x000D_
- Non-compliance with the prescribed speed of the railway vehicle,_x000D_
- No audible signal when approaching a LC._x000D_
Organizational factors:_x000D_
- LC is passively secured.</t>
  </si>
  <si>
    <t>SK-6125</t>
  </si>
  <si>
    <t>Level crossing event, 24-09-19, between Sabinov and Lipany (Slovak Republic)</t>
  </si>
  <si>
    <t>between Sabinov and Lipany</t>
  </si>
  <si>
    <t>not respecting the light and sound signal and entry of at the level crossing by car</t>
  </si>
  <si>
    <t>NO-6100</t>
  </si>
  <si>
    <t>Train derailment, 25-09-19, Bryn station (Norway)</t>
  </si>
  <si>
    <t>On Wednesday 25 September 2019 at approimately 09:25 hrs tran GR 8350 derailed at Bryn station on the Hovedbanen line. _x000D_
_x000D_
The train, two shunting locomotives, was underway from Drammen to Hamar when the aft locomotive derailed. The derailment led to major material damage to the tracks and three switches.  The Bryn station was closed for traffic for several days. _x000D_
_x000D_
_x000D_
No one was injured in this accident._x000D_
_x000D_
The investigation will clarify the sequence of events and identify possible causal factors. Any underlying conditions that may have contributed to the accident will be mapped and analysed. 
Onsdag 25. september 2019 ca. kl. 0925 sporet tog GR 8350 av ved Bryn stasjon på Hovedbanen. _x000D_
_x000D_
Toget bestod av to skiftelokomotiver og var på vei fra Drammen til Hamar da det bakre lokomotivet sporet av. Avsporingen førte til store materielle skader på tre veksler og og Bryn stasjon ble stengt for togtrafikk i flere dager. _x000D_
_x000D_
Ingen personer ble skadet i hendelsen._x000D_
_x000D_
Undersøkelsen vil klarlegge hendelsesforløpet og peke på mulige årsaksforhold. Eventuelle bakenforliggende forhold som kan ha bidratt til hendelsen vil bli kartlagt og analysert.</t>
  </si>
  <si>
    <t>Bryn station</t>
  </si>
  <si>
    <t>Grenland Rail AS</t>
  </si>
  <si>
    <t>Height misalignment in the track.</t>
  </si>
  <si>
    <t>Worn railhead._x000D_
Lack of maintenence. Work planned, but not performed.</t>
  </si>
  <si>
    <t>CZ-6096</t>
  </si>
  <si>
    <t>Train derailment, 30-09-19, Liberty Ostrava a.s. siding (Czech Republic)</t>
  </si>
  <si>
    <t>Derailment of one rolling stock of the freight train No. 80301.</t>
  </si>
  <si>
    <t>Liberty Ostrava a.s. siding</t>
  </si>
  <si>
    <t>Liberty Ostrava</t>
  </si>
  <si>
    <t>Direct cause:_x000D_
• the loss of the vertical wheel effort of the right wheel of the first axle (in the direction of the ride) of the rear bogle of the rolling stock CZ-CDC 81 54 6995 040-7 series Faccs295.2 caused by the defects in the track geometry parameters of the track in the switch No. 65 and the adjacent part of the track No. 18 at Liberty Ostrava siding._x000D_
_x000D_
Contributory factor: none.</t>
  </si>
  <si>
    <t>Underlying cause:_x000D_
• failure to ensure the regular checks and maintenance of the railway at the place of the incident._x000D_
_x000D_
Root cause: none.</t>
  </si>
  <si>
    <t>RO-6098</t>
  </si>
  <si>
    <t>Train derailment, 30-09-19, Valea Alba - Drobeta Turnu Severin Marfuri (Romania)</t>
  </si>
  <si>
    <t>3 wagons ( 10th, 11th and 12th in the running train direction) from the freight train no. 33321-2 derailed in open line between Valea Alba and Drobeta Turnu Severin Marfuri railway stations</t>
  </si>
  <si>
    <t>Valea Alba - Drobeta Turnu Severin Marfuri</t>
  </si>
  <si>
    <t>Cauza directa a producerii accidentului feroviar o constituie caderea între firele caii în cuprinsul unei zone de traseu în curba cu devia?ie stânga în sensul de mers al trenului, a ro?ii din partea dreapta (roata nr.4) a celei de-a doua osii de la vagonul nr.215315038442, al 10-lea din compunerea trenului de marfa nr.33321-2. Acest lucru s-a produs în conditiile în care, alcatuirea suprastructurii caii era necorespunzatoare, permi?ând deplasarea ansamblului ?ina - placa metalica în lungul traverselor de lemn, având ca efect cre?terea valorii ecartamentului caii peste limitele toleran?elor admise în exploatare._x000D_
_x000D_
Factorul care a contribuit la producerea accidentului:_x000D_
-	men?inerea în exploatare, în zona producerii deraierii (zona km 350+962), a unor traverse normale de lemn, a caror stare tehnica impunea înlocuirea acestora, din cauza neaprovizionarii traverselor necesare realizarii mentenan?ei infrastructurii feroviare. 
The direct cause of the accident is the fall of the right wheel (the wheel no.4) of the second axle from the wagon no. 215315038442, the 10th one of the freight train no. 33321-2, between the rails, within a curve with left deviation, in the train running direction. It happened following the improper composition of the track superstructure, allowing the movement of the unit rail – metallic plate along the wooden sleepers, leading to the increase of the gauge value over the limits of tolerances accepted in operation._x000D_
_x000D_
Contributing factors:_x000D_
-	keeping in operation, at the derailment site (km 350+962), of some common wooden sleepers, whose technical condition imposed their replacement, given the lack of provision with sleepers necessary for the infrastructure maintenance.</t>
  </si>
  <si>
    <t>Cauza primara o constituie neaplicarea tuturor prevederilor procedurii operationale cod PO SMS 0-4.07 „Respectarea specificatiilor tehnice, standardelor si cerintelor relevante pe întreg ciclul de viata a liniilor în procesul de întretinere”, parte a sistemului de management al sigurantei administratorului de infrastructura feroviara publica CNCF „CFR” SA, referitoare la executarea lucrarilor de între?inere ?i repara?ii periodice a liniilor de cale ferata. 
Underlying causes _x000D_
-	inobservance of the provisions of art.14 from the Instruction of norms and tolerances for the track construction and maintenance – tracks with standard gauge - no.314/1989, regarding the tolerances accepted for the track prescribed gauge.</t>
  </si>
  <si>
    <t>CZ-6095</t>
  </si>
  <si>
    <t>Level crossing accident, 01-10-19, HruÅ¡ovany nad JeviÅ¡ovkou-Å anov station (Czech Republic)</t>
  </si>
  <si>
    <t>Collision of the regional passenger train No. 4507 with a car at the level crossing No. P7115.</t>
  </si>
  <si>
    <t>HruÅ¡ovany nad JeviÅ¡ovkou-Å anov station</t>
  </si>
  <si>
    <t>CZ-6097</t>
  </si>
  <si>
    <t>Train derailment, 02-10-19, Omlenice station (Czech Republic)</t>
  </si>
  <si>
    <t>Unsecured movement of the regional passenger train No. 18809 with consequent derailment.</t>
  </si>
  <si>
    <t>Omlenice station</t>
  </si>
  <si>
    <t>Direct cause:_x000D_
• change of position of the switch No. 1, when the rolling stocks of the train No. 18809 were on the switch.</t>
  </si>
  <si>
    <t>Underlying cause:_x000D_
• failure to comply of technological procedures of the IM at cancellation and preparation of the train route._x000D_
Root cause: none.</t>
  </si>
  <si>
    <t>RO-6101</t>
  </si>
  <si>
    <t>Train derailment, 07-10-19, Sighisoara (Romania)</t>
  </si>
  <si>
    <t>the first axle of the locomotive EA 024 -dead engine-  that was the second in the train consist derailed in Sighisoara railway station</t>
  </si>
  <si>
    <t>Sighisoara</t>
  </si>
  <si>
    <t>Cauza directa a producerii accidentului o constituie caderea între firele caii a ro?ii din stânga a primei osii în sensul de mers a locomotivei pozi?ionata dupa locomotiva de remorcare, pe o linie cu restric?ie de viteza de 10 km/h. Aceasta restric?ie a fost introdusa la data de 05.03.2010 datorita starii tehnice necorespunzatoare a geometriei caii, stare care a permis ca sub ac?iunea for?elor dinamice transmise de materialul rulant sa faca posibila accentuarea defectelor de ecartament ?i direc?ie a caii. _x000D_
Factorii care au contribuit la producerea accidentului au fost:_x000D_
1.	men?inerea în cale a 6 traverse normale de lemn (din care 4 consecutive ?i 2 aflate în imediata vecinatate), la locul producerii caderii ro?ii între firele caii, traverse care nu asigurau o prindere corespunzatoare a ambelor fire ?i au permis deplasarea ?inelor pe direc?ia radiala înspre exteriorul caii determinând cre?terea valorilor ecartamentului ?i a sage?ilor sub efectul dinamic al materialului rulant aflat în circula?ie;_x000D_
2.	diferen?a mare între sarcini pe ro?ile osiei deraiate. 
The direct cause of the accident is the fall between the track wires of the left wheel of the first axle in the direction of travel of the locomotive positioned after the towing locomotive, on a line with speed restriction of 10 km/h. this restriction was introduced on 05.03.2010 due to the poor technical condition of track geometry, which enabled the dynamic forces transmitted by the rolling stock to increase track gauge and direction defects. _x000D_
The factors that contributed to the accident were: _x000D_
1. keeping in track 6 normal wooden sleepers (of which 4 consecutive and 2 in immediate proximity), at the place where the wheel falls between track wires, sleepers which did not ensure proper attachment of both threads and allowed the rails to be moved in the radial direction outwards of the track leading to an increase in gauge and arrow values under the dynamic effect of the rolling stock in use;  _x000D_
2. large difference in loads on the wheels of derailed axle.</t>
  </si>
  <si>
    <t>Cauzele subiacente ale producerii accidentului au fost nerespectarea unor prevederi din instruc?iile ?i regulamentele în vigoare, respectiv:_x000D_
1.	nerespectarea prevederilor art.4 din „Instruc?iunile pentru restric?ii de viteza, închideri de linii ?i scoateri de sub tensiunenr.317 / 2004”, referitoare la men?inerea îndelungata a restric?iei de viteza de 10 km/h, fara luarea masurilor necesare de reabilitare a geometriei caii ?i ridicarea restric?iei de viteza;_x000D_
2.	nerespectarea prevederilor codului de practica „Instruc?ia pentru între?inerea liniilor ferate nr.300”, edi?ia în vigoare, având drept consecin?a faptul ca dimensionarea numarului de posturi aferente pentru subunita?ile care asigura între?inerea infrastructurii feroviare nu a fost facuta în conformitate cu prevederile acestui cod de practica;_x000D_
3.	nerespectarea prevederilor Fi?ei nr.4 art..3, Fi?ei nr.11 art. 2 ?i Fi?ei nr.12 art. 2 din „Instruc?ia privind fixarea termenelor ?i a ordinei în care trebuie efectuate reviziile caii nr.305-edi?ia în vigoare”, privitor la masurarea ecartamentului, nivelului ?i a sage?ilor caii pe por?iunile de linie cu restric?ii de viteza, având drept consecin?a neprogramarea efectuarii lucrarilor necesare pentru readucerea în toleran?e a geometriei caii pe linia 5 din sta?ia CFR Sighi?oara, curba dupa schimbatorul de cale nr.25._x000D_
Cauza primara a producerii acestui accident a fost:_x000D_
Neaplicarea tuturor prevederilor procedurii opera?ionale cod PO SMS 0-4.07 „Respectarea specifica?iilor tehnice, standardelor ?i cerin?elor relevante pe întreg ciclul de via?a a liniilor în procesul de între?inere”, parte a sistemului de management al siguran?ei al administratorului de infrastructura feroviara publica CNCF „CFR” SA, referitoare la executarea lucrarilor de între?inere ?i repara?ii periodice a liniilor de cale ferata. 
The underlying causes of the accident were non-compliance with some of the instructions and regulations in force, namely: _x000D_
(1) failure to comply with Article 4 of the ‘Instructions for speed restrictions, track closures and dropouts below tensiunenr.317/2004’, relating to the long maintenance of the 10 km/h speed restriction, without taking the necessary measures to rehabilitate track geometry and lift the speed restriction; _x000D_
(2) failure to comply with the provisions of Code of Practice ‘Railway Maintenance Instructions No 300’, edition in force, with the consequence that the dimensioning of the number of related posts for the sub-units maintaining the railway infrastructure has not been made in accordance with the provisions of this Code of Practice; _x000D_
(3) failure to comply with the provisions of Sheet No 4 Article 3, Sheet No 11, Article 2 and sheet No 12 of Article 2 of the ‘Instruction on the fixing of the deadlines and order in which track revisions No 305-edition in force are to be carried out’, relating to the measurement of track gauge, level and arrows on the stretches of line with speed restrictions, with the consequence that the work required to bring the track geometry back to tolerances on line 25 of the railway track is not scheduled. _x000D_
The root cause of this accident was:  _x000D_
Failure to apply all provisions of operational procedure code PO SMS 0-4.07 “Compliance with the relevant technical specifications, standards and requirements throughout the life cycle of the lines in the maintenance process”, part of the safety management system of the public railway infrastructure manager CNCF “CFR” SA, related to the execution of regular maintenance and repair of railway lines.</t>
  </si>
  <si>
    <t>BG-6110</t>
  </si>
  <si>
    <t>Trains collision, 14-10-19, Kaspichan railway station (Bulgaria)</t>
  </si>
  <si>
    <t>On October 14, 2019 at 5:26 PM when getting out to perform shunting from the locomotive depot at the railway station Kaspichan, the diesel locomotive ? 07065 of BDZ Cargo Freight EOOD, hit Motor Tractor DGKU-033 of Railway, Shumen, that occupied the 4-th station track._x000D_
As a result of the impact, one of the drivers of the tractor truck was seriously injured and the other driver got minor bruises. _x000D_
Severe material damage was caused to the tractor unit.</t>
  </si>
  <si>
    <t>Kaspichan railway station</t>
  </si>
  <si>
    <t>The main reason for the accident is the peculiarity in the control of locomotive ? 07065 from the rear cabin to limit the visibility of the locomotive brigade due to which they did not see the Rail Maintenance Car-33, which had been stopped on 4-th track and subsequently they have hit it at the speed of 21 km/h.</t>
  </si>
  <si>
    <t>The concomitant reasons leading to the main reason are the lack of communication between the individual officials providing the operational management of the movement of the trains in both railway companies, as well as the failure the locomotive 07065 motormen and the motorman assistant of Rail Maintenance Car-33 to comply with the maneuvering technology.</t>
  </si>
  <si>
    <t>RO-6104</t>
  </si>
  <si>
    <t>Train derailment, 15-10-19, Rosiori - Maldaeni (Romania)</t>
  </si>
  <si>
    <t>the second wagon of the freight train no.23052 derailed in open line between Rosiori and Maldaeni railway stations</t>
  </si>
  <si>
    <t>Rosiori - Maldaeni</t>
  </si>
  <si>
    <t>Cauza directa a producerii acestui accident o constituie escaladarea flancului activ al ciupercii ?inei de pe firul exterior al curbei de catre roata atacanta, aflata în partea dreapta a primei osii (în sensul de mers al trenului) a vagonului nr.81536650964-5. _x000D_
Factori care au contribuit: _x000D_
-	repartizarea inegala a încarcaturii vagonului nr.81536650964-5 în cele 4 zone constructive din interiorul acestuia, având drept efect descarcarea de sarcina a ro?ii atacante a primei osii, în sensul de mers al trenului;_x000D_
-	cre?terea valorii jocului însumat între pietrele de frecare de pe ambele par?i ale celui de-al doilea boghiu, peste toleran?ele admise, din cauza rotirii cu 180°, în plan orizontal, a pietrei de frecare superioare din partea stânga a acestui boghiu (în sensul de mers al trenului), având drept consecin?a descarcarea de sarcina a ro?ii atacante a primei osii de la vagonul nr.81536650964-5;_x000D_
-	depasirea valorilor maxim admise ale uzurilor laterale ale sinei de la firul exterior al curbei, care a generat marirea unghiului de atac (a) al ro?ii din partea dreapta în sensul de mers. 
The direct cause of this accident is the guiding wheel climbed the gauge face of the outside rail of the curve, this wheel being on the right side of the first axle (in the train running direction) of the wagon no.81536650964-5. _x000D_
Contributing factors: _x000D_
-	irregular distribution of the load of the wagon no.81536650964-5 on those 4 constructive areas inside it, leading to the load transfer of the guiding wheel from the first axle, in the train running direction;_x000D_
-	increase of the value of the total clearance between the side bearers from the both sides of the second bogie, over the tolerances accepted, because the turning with 180°, horizontally, of the upper left side bearer of this bogie (in the train running direction), leading to the load transfer of the guiding wheel from the first axle of the wagon no.81536650964-5;_x000D_
-	exceeding of the maximum values accepted for the lateral wears of the outside rail of the curve, that generated the increase of angle of attack (a) of the right wheel in the running direction.</t>
  </si>
  <si>
    <t>Cauze subiacente: _x000D_
-	admiterea în circula?ie a vagonului nr.81536650964-5, fara a fi respectate prevederile punctului 3.3 - Repartizarea încarcaturii, din Anexa II RIV – Prescrip?ii de încarcare, referitoare la raportul maxim admis de 1,25:1 între ro?ile (dreapta/stânga) ale aceleia?i osii;_x000D_
-	nerespectarea prevederilor art.22, pct. 2 – cu trimitere la tabelul 25 din „Instruc?ia de norme ?i toleran?e pentru construc?ii ?i între?inerea caii pentru linii cu ecartament normal nr.314/1989”, respectiv a prevederilor pct. 4, ultimul alineat din „Prescrip?ii tehnice privind masurarea uzurilor verticale ?i laterale a ?inelor de cale ferata/1987”, referitoare la valorile uzurilor laterale ale ?inelor  care impun înlocuirea acestora._x000D_
Cauze primare: _x000D_
-	nerespectarea prevederilor procedurii opera?ionale cod PO 75.2, parte a sistemului de management al siguran?ei al operatorului de transport marfa  SNTFM „CFR MARFA” SA, referitoare la verificarile care trebuie efectuate în cadrul activita?ii de luare în primire a vagoanelor proprii de la partenerii comerciali;_x000D_
-	neaplicarea tuturor prevederilor procedurii opera?ionale cod PO SMS 0-4.07- „Respectarea specifica?iilor tehnice, standardelor ?i cerin?elor relevante pe întreg ciclul de via?a a liniilor în procesul de între?inere”, parte a sistemului de management al siguran?ei al administratorului de infrastructura feroviara publica CNCF „CFR” SA, referitoare la executarea lucrarilor de între?inere ?i repara?ii a liniilor de cale ferata. 
Underlying causes: _x000D_
-	acceptance in the traffic of the wagon no.81536650964-5, without meeting with the provisions of point 3.3 – Load distribution, from Annex II RIV – Prescriptions for loading, regarding the maximum report accepted of 1,25:1 between the wheels (right/left) of the same axle;_x000D_
-	inobservance of the provisions of art.22, point 2 – with reference to the table 25 from „Instruction of norms and tolerances for the construction and maintenance of the track, for lines with standard gauge no.314/1989”, respectively of the provisions of point 4, last paragraph from „Technical provisions for the measurement of the vertical and lateral wears at the rails/1987”, regarding the values of the lateral wears of the rails that impose their replacement_x000D_
Root causes: _x000D_
-	inobservance of the provisions of the operational procedure code PO 75.2, part of safety management system of the railway freight undertaking SNTFM „CFR MARFA” SA, regarding the checking that have to be carried within the reception of the own wagons from the trade partners;_x000D_
-	nonapplication of all provisions of the operational procedure code PO SMS 0-4.07- „Compliance with the technical specifications, standards and requirements relevant for the whole life cycle of the tracks in the maintenance process”, part of safety management system of the administrator of the public railway infrastructure CNCF „CFR” SA, regarding the performance of the maintenance and repair at tracks.</t>
  </si>
  <si>
    <t>FR-6108</t>
  </si>
  <si>
    <t>Level crossing accident, 16/10/2019, Boulzicourt</t>
  </si>
  <si>
    <t>collision between a regional express train and a truck with a low-loader trailer on a level crossing</t>
  </si>
  <si>
    <t>Boulzicourt</t>
  </si>
  <si>
    <t>The low-loader trailer was cut in half, the tractor unit was destroyed. The heavily damaged train derailed. The level crossing equipments and railway infrastructure, including an overhead line support, ties, ballast and electrical equipment were damaged.</t>
  </si>
  <si>
    <t>Stop on the level crossing of the low-loader truck by its driver to get out of his cab and operate the hydraulic systems of the trailer to increase the ground clearance of it.</t>
  </si>
  <si>
    <t>1. Driver of the truck and driver of the pilot vehicle have neither prepared, nor requested authorization, nor recognized, nor followed a route suitable and authorized for such a truck.
2. driver of the truck did not increase the ground clearance of his truck to its maximum capacity before the level crossing.</t>
  </si>
  <si>
    <t>PL-6348</t>
  </si>
  <si>
    <t>other events, 16-10-19, Leszczyny (Poland)</t>
  </si>
  <si>
    <t>NIB PL</t>
  </si>
  <si>
    <t>Fire in the cabinet with computers of the MOR-1 system in the relay room of the Lsz dispatching control room of Leszczyny station.</t>
  </si>
  <si>
    <t xml:space="preserve">station Leszczyny km 31.738 railway line no. 140
</t>
  </si>
  <si>
    <t>No</t>
  </si>
  <si>
    <t xml:space="preserve">As a result of the fire and firefighting, the computer cabinet of the MOR-1 system was significantly damaged. It was found that all I/O modules in PLC cassette A1 were completely destroyed as a direct result of the fire that occurred in one of the modules of PLC cassette A2. 
In the PLC A2 expansion cassette, the I/O modules from slot 4 upwards were destroyed. There is no visible damage outside the PLC A1 and PLC A2 cassettes.
</t>
  </si>
  <si>
    <t>Article 20.2 of Directive (EU) 2016/798 - (d)</t>
  </si>
  <si>
    <t xml:space="preserve">1. Excessive temperature rise of the components of module 4 in the expansion bay of PLC A due to an increase in voltage relative to the internal resistance of the module, which caused an excessive increase in power consumption and the value of the current flowing. Damage to the module due to prolonged power supply at a voltage higher than the maximum allowed by the manufacturer.
2. Unauthorized modification of the computer cabinet wiring, consisting in use of wiring connections in the MOR-1 system cabinet that do not comply with the manufacturer's solutions.
3. Failure of the thermostat to detect the increased temperature of the upper PLC cabinet due to excessive air circulation caused by leaving the door of this cabinet open for a long time.
</t>
  </si>
  <si>
    <t xml:space="preserve">1. Failure on the day of the occurrence to turn on the automatic extinguishing system on the control panel located in the traffic control room after the receiving committee left the relay room.
2. Late and unprofessional firefighting.
3. Installation of an emergency button for the fire extinguishing system in the traffic officer’s room that is not provided for in the documentation.
4. Changes made by the contractor to the connections of the computer cabinet, despite the existence of the correct connections required for this facility, confirmed by the issuance of a Declaration of Conformity to Type No. 018/17/3/MOR-1.01/2019 issued on 03/10/2019 by the manufacturer.
5. Loss of stable connection on the terminal strip due to multiple wire connections on the strip.
6. Placing the computer cabinet thermostat at the level of the top PLC cassette, instead of at the highest point of the cabinet.
7. Arrangement of the RX3i cassettes in the computer cabinet, not in 
accordance with the requirements contained in the documentation of the manufacturer of PACSystems RX3i controllers, reducing the cross-section of gravity cooling channels.
</t>
  </si>
  <si>
    <t>RO-6105</t>
  </si>
  <si>
    <t>Fire in RS, 17-10-19, Cluj Napoca - Baciu (Romania)</t>
  </si>
  <si>
    <t>the diesel electric locomotive no.561 that hauled the passenger train no.144-1 caught fire in open line between Cluj Napoca and Baciu railway stations</t>
  </si>
  <si>
    <t>Cluj Napoca - Baciu</t>
  </si>
  <si>
    <t>Cauza directa_x000D_
Cauza directa a producerii incendiului a fost aprinderea motorinei scurse printr-un orificiu perforat în rezervorul locomotivei, de catre scânteile produse de sabo?ii de frâna în timpul frânarii trenului;_x000D_
_x000D_
Factorii care au contribuit_x000D_
-perforarea rezervorului de motorina de catre un obiect care nu a fost identificat; 
Direct cause_x000D_
The direct cause of the fire was the ignition of the diesel, draining through a hole in the locomotive tank, by the sparks of the brake shoes, during the train braking;_x000D_
_x000D_
Contributing factors_x000D_
-perforation of the diesel tank by a nonidentified object;</t>
  </si>
  <si>
    <t>Cauze subiacente_x000D_
-	nu au fost identificate cauze subiacente_x000D_
_x000D_
Cauze primare_x000D_
-	nu au fost identificate cauze primare 
Underlying causes_x000D_
-	none_x000D_
_x000D_
Root causes_x000D_
-	none</t>
  </si>
  <si>
    <t>DE-6167</t>
  </si>
  <si>
    <t>Fire in RS, 19/10/2019, Berlin Zoologischer Garten ‐ Berlin Hbf</t>
  </si>
  <si>
    <t>Am 19.10.2019 gegen 20:04 Uhr ereignete sich im Reisezug DPE 86363 (Fußballsonderzug) auf der Fahrt von Berlin‐Charlottenburg nach Freiburg im Breisgau zwischen Berlin Zoologischer Garten und Berlin Hauptbahnhof (Hbf) ein Fahrzeugbrand.</t>
  </si>
  <si>
    <t>Berlin Zoologischer Garten ‐ Berlin Hbf</t>
  </si>
  <si>
    <t>Centralbahn GmbH</t>
  </si>
  <si>
    <t>Vier Personen wurden leicht verletzt. Der zweite Wagen des Zuges mit der UIC‐Fahrzeugkennzeichnung 56 80 10‐40 122‐8 brannte vollständig aus. Es entstanden an den Fahrzeugen (Fz) und an der Infrastruktur Schäden in Höhe von ca. 162.000 Euro. Auf den benachbarten S‐Bahngleisen wurde der Betrieb vorübergehend eingestellt.</t>
  </si>
  <si>
    <t>Als primäre Ursache für die Entstehung des Fahrzeugbrandes wurde eine Funktionsstörung des Heizschützes der Warmwasserheizung ermittelt, in deren Folge es zur Überhitzung der Heizungsanlage und der damit verbundenen Verdampfung des Heizwassers kam.</t>
  </si>
  <si>
    <t>HR-6109</t>
  </si>
  <si>
    <t>Broken wheels, 19-10-19, precec (Croatia)</t>
  </si>
  <si>
    <t>On October 19, 2019 at 01:35 am on line M103 near at the station Precec during the driving, wheels broke on locomotiv 1141-017 in the train 42811 
Dana 19.10.2019. godine u 01:35 sati na pruzi M103 u blizini kolodvora Precec  došlo je do loma kotaca na lokomotivi 1141-017 u sastavu vlaka 42811.</t>
  </si>
  <si>
    <t>Precec</t>
  </si>
  <si>
    <t>The direct cause of this incident:
- thermal changes of the wheel rim material which initiated the appearance of cracks on the rolling 
surface of the wheels</t>
  </si>
  <si>
    <t>Contributing factors: - thermal changes are caused by braking of the locomotive, - locomotives of the 1141 series, subseries 000, are equipped with a braking mechanism which converts the kinetic energy of the locomotive into thermal energy during braking at the wheel rim, - locomotives of series 1141, subseries 000, are not equipped with an electrodynamic braking brake. Organizational factors: - the use of towing vehicles of the 1141 series, subseries 000 which, due to their technical characteristics (braking system), are not fully adequate for traffic in the Rijeka area</t>
  </si>
  <si>
    <t>CZ-6140</t>
  </si>
  <si>
    <t>Level crossing accident, 20-10-19, open line between Rájec-Jestrebí and Blansko stations (Czech Republic)</t>
  </si>
  <si>
    <t>The collision of the long distance passenger train No. 575 with the car at the level crossing No. P6803.</t>
  </si>
  <si>
    <t>open line between Rájec-Jestrebí and Blansko stations</t>
  </si>
  <si>
    <t>Direct cause:_x000D_
• a deadlock of the car in the level crossing area on the right side in driving direction after leaving the level crossing surface._x000D_
Contributory factor:_x000D_
• a night time and a heavy falling fog distorted the deteriorated view from the car to the surface of the level crossing.</t>
  </si>
  <si>
    <t>Underlying cause:_x000D_
• failure to comply with the car driver’s obligations to adapt his behavior and his way of driving to the traffic technical road condition, weather conditions and view from the car when participating in road traffic.</t>
  </si>
  <si>
    <t>DE-6158</t>
  </si>
  <si>
    <t>Runaway, 24-10-19, Albstadt-Ebingen - Sigmaringen (Germany)</t>
  </si>
  <si>
    <t>Um ca. 14.13 Uhr erhielt der Tf 3257 (Doppeleinheit VT 612) eine Zwangsbremsung wegen einer angezeigten Störmeldung „unerlaubte Zugtrennung“. Dies meldete er dem zuständigen Fdl Sigmaringen. Kurz darauf konnte er die Störung beheben und fuhr weiter. Um 14:17 Uhr kam es erneut zu einer Zwangsbremsung wegen der Störanzeige „Zugtrennung“. Der Zug stand nun ca. in km 80,4, der vordere Zugteil befand sich bereits im Hönbergtunnel. Der Tf meldete sich beim Fdl, dass er eine Störungssuche durchführen muss. Der Tf verließ den Zug und überprüfte die Scharfenbergkupplung, konnte jedoch weder eine Trennung noch eine sonstige Unregelmäßigkeit feststellen. Um die Störung zu beseitigen sicherte er den Zug und trennte daraufhin beide Einheiten indem er den hinteren Zugteil geringfügig zurücksetzte. Die Überprüfung im hinteren Zugteil ergab keine Unregelmäßigkeit. Daraufhin begab sich der Tf wieder auf den vorderen Zugteil. Er wollte die Druckluftbremse lösen, die HLL hat sich jedoch nicht gefüllt. Nach verschiedenen Entstörversuchen meinte der Tf, dass die Bremse überladen sein könnte. Daraufhin löste der Tf die Druckluftbremse aus (Anmerkung: Im Rahmen der ersten Ermittlung wurde mitgeteilt, dass er dazu von außen den Lösezug an beiden Druckluftbremsen des führenden Fahrzeugs betätigt hat). Offensichtlich hatte der Tf jedoch vergessen, die Federspeicherbremse anzulegen. Aufgrund des (leichten) Gefälles rollte daraufhin der führende Zugteil langsam in Fahrtrichtung Sigmaringen ab (durch den Tunnel). Der Tf wollte noch schnell in den Triebwagen einsteigen, aber die Türen waren verschlossen. Der Tf lief zurück zum Tunnelmund und versuchte den Kundenbetreuer (KIN) im abrollenden Fz telefonisch zu erreichen. Dies gelang nicht. Der KIN erkannte im Zug jedoch selbst die gefährliche Situation und rief die Leitstelle in Ulm an. Die Anweisungen der Leitstelle zum Bremsen des Zuges führten jedoch nicht zum Erfolg. Daraufhin betätigten Fahrgäste die Notentriegelung der Türe um den hinter dem abrollenden Zug herlaufenden Tf wieder einsteigen zu lassen. Dies gelang, der Tf betätigte daraufhin die Federspeicherbremse und brachte den Zugteil zum Halten. Der vordere Zugteil stand nach dem Hönbergtunnel ca. in km 80,850, der hintere unverändert vor dem Tunnelmund in km 80,370. 
At around 14.13, the Tf 3257 (double unit VT 612) received an emergency brake on the basis of an signal of failure ‘unauthorised train separation’. He reported this to the competent Fdl Sigmaringen. Shortly afterwards, he was able to remedy the disturbance and continued to do so. At 14:17, there was another emergency braking due to the fault indicator ‘train separation’. The train was now in km 80.4 and the front part of the train was already in the Hönberg tunnel. The Tf informed the Fdl that he had to carry out a fault search. The TF left the train and checked the Scharfenberg clutch, but was unable to detect any separation or any other irregularity. To remedy the malfunction, he secured the train and then separated both units by slightly resetting the rear part of the train. The check in the rear part of the train did not reveal any irregularity. The Tf then went back to the front part of the train. He wanted to release the compressed-air brake, but HLL did not fill. After various breakdown tests, the Tf considered that the brake could be overloaded. The Tf then triggered the compressed-air brake (Note: As part of the initial investigation, it was stated that he had activated the release from the outside of both compressed-air brakes of the leading vehicle). However, it appears that the Tf forgot to apply the spring brakes. Due to the (light) gradient, the leading part of the train moved slowly towards the running direction of Sigmaringen (through the tunnel). The Tf wanted to board the railcar quickly, but the doors were closed. The Tf ran back to the mouth of the tunnel and attempted to contact the Customer Manager (KIN) by telephone in the rolling Fz. This was not possible. However, the KIN itself recognised the dangerous situation on the train and called the control centre in Ulm. However, the train braking instructions from the control centre were not successful. Passengers then operated the emergency locking of the door around the Tf to the rear of the rolling train. This was achieved, the Tf then applied the spring brake and brought the train part to stop. After the Hönberg tunnel, the front part of the train was approx. km 80.850 and the rear part remained unchanged in km 80.370 in front of the mouth of the tunnel.</t>
  </si>
  <si>
    <t>Albstadt-Ebingen - Sigmaringen</t>
  </si>
  <si>
    <t>Ursächlich für das Ereignis waren mehrere Arbeitsfehler des Triebfahrzeugführers (Tf) beim Versuch, eine Störmeldung „unerlaubte Zugtrennung“ abzuarbeiten. Der Tf trennte unzulässiger Weise auf der freien Strecke beide Triebwageneinheiten voneinander. Vor Verlassen des führenden Fahrzeugs vergaß er, dieses gegen unbeabsichtigte Bewegung zu sichern. 
The cause of the incident was several operational errors by the driver of the train (Tf) when trying to process an “unauthorized train separation” fault report. The Tf unauthorizedly separated the two engine units from each other on the free track. Before leaving the leading vehicle, he forgot to secure it against accidental movement.</t>
  </si>
  <si>
    <t>RO-6111</t>
  </si>
  <si>
    <t>Fire in RS, 27-10-19, Isalnita (Romania)</t>
  </si>
  <si>
    <t>the locomotive EA 010 that hauled the freight train no.50402 caught fire in Isalnita railway station</t>
  </si>
  <si>
    <t>Isalnita</t>
  </si>
  <si>
    <t>Cauza directa a producerii incendiului a fost supraîncalzirea cablurilor din circuitul de alimentare al motorului de trac?iune nr.4, ca urmare a cre?terii intensita?ii curentului electric, fapt ce a condus la aprinderea izola?iei acestora ?i ulterior la extinderea incendiului la celelalte blocuri din sala masinilor._x000D_
Factori care au contribuit_x000D_
Manipularea necurespunzatoare a comenzilor locomotivei la oprirea trenului în statia CFR Isalnita (inversorul de sens pe pozitia „Înainte”, controlerul locomotivei pe pozitia 2 – tractiune) fapt ce a condus  mentinerea locomotivei în regim de tractiune, în condi?iile în care trenul se afla în sta?ionare ?i era mentinut pe loc de sistemul de frânare al vagoanelor. 
Direct cause of the fire was the overheating of the cables from the power supply circuit of the traction engine no.4, following the increase of the amperage, it leading to the ignition of their isolation and then to the fire spreading to the other blocks from the engine room._x000D_
Contributing factors_x000D_
Improper operation of the locomotives commands when the train stopped in the railway station Isalnita (reversing gear on „Forward”, the locomotive switch on the position 2 – traction) it leading to the keeping of the locomotive on traction, when the train was stopped and kept stopped by the braking system of the wagons.</t>
  </si>
  <si>
    <t>Cauze subiacente _x000D_
Nerespectarea prevederilor din Instruc?iuni pentru activitatea personalului de locomotiva în tranportul feroviar nr.201/2006 aprobate prin Ordinul Ministrului nr.2229/2006, respectiv ale art.9 - (1) lit.j), în sensul ca, personalul de locomotiva trebuia sa conduca/deserveasca locomotiva în conformitate cu reglementarile tehnice si de exploatare specifice tipului de locomotiva._x000D_
Cauze primare_x000D_
Nu au fost identificate cauze primare. 
Underlying causes _x000D_
Inobservance of the provisions from Instructions for the activity of the locomotive crew no.201/2006 approved by Order of Minister no.2229/2006, respectively of art.9 - (1) letter j), that is the locomotive crew had to drive/operate the locomotive in accordance with the technical and operation regulations, specific to this type of locomotive._x000D_
Root causes_x000D_
None.</t>
  </si>
  <si>
    <t>PL-6122</t>
  </si>
  <si>
    <t>Accident to persons caused by RS in motion, 28-10-19, section Paczyna - Toszek (Poland)</t>
  </si>
  <si>
    <t>The passenger train numer 16111 operated by PKP Intercity going on the track 1 in destination Warszawa Grochów - Wroclaw Glówny hit the track empoyee who stayed  within the track gauge of the track No 1 as a result of which the person was killed.</t>
  </si>
  <si>
    <t>section Paczyna - Toszek</t>
  </si>
  <si>
    <t>CZ-6112</t>
  </si>
  <si>
    <t>Train derailment, 03-11-19, Praha-MaleÅ¡ice station (Czech Republic)</t>
  </si>
  <si>
    <t>Derailment of 9 rolling stocks of freight train No. 59701.</t>
  </si>
  <si>
    <t>Praha-MaleÅ¡ice station</t>
  </si>
  <si>
    <t>CZ-6113</t>
  </si>
  <si>
    <t>Unauthorised train movement other than SPAD, 05-11-19, open line between Cachnov and Skutec stations (Czech Republic)</t>
  </si>
  <si>
    <t>Unsecured movement of the regional passenger train No. 15356 on uccupied track line</t>
  </si>
  <si>
    <t>open line between Cachnov and Skutec stations</t>
  </si>
  <si>
    <t>RO-6118</t>
  </si>
  <si>
    <t>Train derailment, 05-11-19, Balota - Valea Alba (Romania)</t>
  </si>
  <si>
    <t>the 24th wagon from the freight train no.80352-1 derailed in open line between Balota and Valea Alba railway stations</t>
  </si>
  <si>
    <t>Balota - Valea Alba</t>
  </si>
  <si>
    <t>Cauza directa a producerii accidentului feroviar o constituie caderea între firele caii în cuprinsul unei zone de traseu în curba, cu devia?ie dreapta în sensul de mers al trenului, a ro?ii din partea dreapta (roata nr.1) a osiei conducatoare de la vagonul nr. 84537850319-5, al 24-lea din compunerea trenului de marfa nr.80352-1. Acest lucru s-a produs în conditiile în care alcatuirea suprastructurii caii era necorespunzatoare, permi?ând deplasarea pe direc?ie radiala, pe ambele fire ale caii,  a ansamblului ?ina - placa metalica  pe traversele de lemn, având ca efect cre?terea valorii ecartamentului caii peste limitele toleran?elor admise în exploatare._x000D_
_x000D_
Factorii care au contribuit la producerea accidentului:_x000D_
-	men?inerea în exploatare, în zona producerii deraierii,  a unor traverse normale de lemn a caror stare tehnica impunea înlocuirea acestora. 
The direct cause of the accident is the fall between the rail, on the curve with right deviation, in the running direction of the train, of the right wheel (wheel no.1) of the leading axle from the wagon no. 84537850319-5, the 24th of the freight train no.80352-1. It happened following the improper composition of the track superstructure, allowing the radial movement, on both tracks, of the unit rail – metallic plate on the wooden sleepers, leading to the increase of the value of the track gauge over the limits of the tolerances accepted in operation._x000D_
Contributing factors of the accident:_x000D_
-	keeping in operation, at the derailment site, of some wooden sleepers whose technical condition was imposing their replacement.</t>
  </si>
  <si>
    <t>Cauzele subiacente _x000D_
Nerespectarea prevederilor art.25, pct. 2 ?i 4 din „Instruc?ia de norme ?i toleran?e pentru construc?ii ?i între?inerea caii pentru linii cu ecartament normal nr.314/1989 ”, referitoare la defectele care impun înlocuirea traverselor de lemn, respectiv la faptul ca nu se admit în cale traverse necorespunzatoare, în anumite condi?ii._x000D_
 Cauze primare_x000D_
Neaplicarea tuturor prevederilor procedurii operationale cod PO SMS 0-4.07 „Respectarea specificatiilor tehnice, standardelor si cerin?elor relevante pe întreg ciclul de viata a liniilor în procesul de între?inere”, parte a sistemului de management al siguran?ei a administratorului de infrastructura feroviara publica CNCF „CFR” SA, referitoare la executarea lucrarilor de între?inere ?i repara?ii periodice a liniilor de cale ferata. 
Underlying causes _x000D_
Inobservance of the provisions art.25, points 2 and 4 from the „Instruction of norms and tolerances for the track construction and maintenance, for lines with standard gauge no.314/1989 ”, regarding the failures that impose the replacement of the wooden sleepers, respectively the improper sleepers are not accepted within the track, in some conditions._x000D_
_x000D_
Root causes_x000D_
Nonapplication of all provisions of the operational procedure code PO SMS 0-4.07 „Compliance with the technical specifications, standards and requirements relevant for whole life time of the lines in the maintenance process”, part of safety management system of the public railway infrastructure administrator CNCF „CFR” SA, regarding the performance of the maintenance and periodical repairs at railway tracks.</t>
  </si>
  <si>
    <t>NO-6123</t>
  </si>
  <si>
    <t>Train derailment, 07-11-19, Bergen central station (Norway)</t>
  </si>
  <si>
    <t>On Thursday 7 November 2019 the second rear wagon in a freight train derailed at the entrance to Bergen central station. The derailment led to major material damage and subsequent delays._x000D_
_x000D_
Freight train 5511 was on its way from Oslo to Bergen when the second rear wagon derailed at the entrance to Bergen station. Two containers fell off the wagon that derailed and ended up in the neighboring track._x000D_
_x000D_
No one was injured in this incident. Bergen central station was closed for passenger trains for several hours._x000D_
_x000D_
The investigation will clarify the sequence of events and identify possible causal factors. Any underlying conditions that may have contributed to the accident will be mapped and analysed 
Torsdag 7. november 2019 ca. kl. 0300 sporet nest bakerste vogn i et godstog av ved innkjøringen til Bergen stasjon. Avsporingen førte til store materielle skader og påfølgende forsinkelser._x000D_
_x000D_
Godstog 5511 var på vei fra Oslo til Bergen da nest bakerste vogn sporet av ved innkjøringen til Bergen stasjon. To containere falt av vognen som sporet av og havnet i nabosporet._x000D_
_x000D_
Ingen personer ble skadet i hendelsen. Bergen stasjon var stengt for persontogtrafikk i flere timer._x000D_
_x000D_
Undersøkelsen vil klarlegge hendelsesforløpet og peke på mulige årsaksforhold. Eventuelle bakenforliggende forhold som kan ha bidratt til hendelsen vil bli kartlagt og analysert.</t>
  </si>
  <si>
    <t>Bergen central station</t>
  </si>
  <si>
    <t>axle bearing failure</t>
  </si>
  <si>
    <t>HU-6165</t>
  </si>
  <si>
    <t>Train derailment, 11-11-19, Nyírbátor (Hungary)</t>
  </si>
  <si>
    <t>A bejáró vonat kisiklott. 
The freight train derailed.</t>
  </si>
  <si>
    <t>Nyírbátor</t>
  </si>
  <si>
    <t>1.1	Direct causes
The factors which had direct effect on the occurrence were as follows:
a)	the pointsman did not wait until the whole train entered the station but started the process earlier by handling the safety installation, at the end of which the switch was able to change position under the moving train;
b)	the safety installation did not prevent irregular switch handling due to its fault not known by the pointsman.
1.2	Indirect causes
Those findings relating to competences, procedures and maintenance which are related to the factors enumerated above:
a)	when receiving the train, the traffic manager failed to check visually whether the train had actually moved in fully but only relied on the information from the safety installation before he released the block indicator of the route, thus making it possible for the pointsman to change the switch position under the moving train;</t>
  </si>
  <si>
    <t>1.3	Root causes
Causes that are distant in time and space from one another but which are related to system operation within the regulatory environment and in the safety management system:
a)	the Operation Manual of the safety installation does not contain a description of the technical error which may lead to a similar accident, neither its risk, nor the procedure to follow in a similar case.
1.4	Other risk factors
Factors which cannot be related to the occurrence but increase risk:
a)	the safety installation designed about 100 years ago can only function if its rules of operation are strictly applied; the chances of human error and omission are rather high. Hazardous situations caused by human errors cannot be prevented in all cases.</t>
  </si>
  <si>
    <t>BG-6127</t>
  </si>
  <si>
    <t>Level crossing accident, 12-11-19, Level crossing (Bulgaria)</t>
  </si>
  <si>
    <t xml:space="preserve">On 12.11.2019, passenger train ? 19205 of BDZ-PT hauled by rail-motor car ? 31-005 was heading in the PLOVDIV - ASENOVGRAD - PLOVDIV direction. At 06:44 AM, the train departed from KRUMOVO station in the direction of Asenovgrad. _x000D_
At 06:53 hrs. LT at the level crossing (km 8 + 830) equipped with a hand barriers that were not activated by the level crossing guard, the train hit an OPEL-ASTRA light car with a driver and two passengers, after which it continued its movement towards Asenovgrad station. _x000D_
There were no casualties as a result of the impact. Injured were the two passengers in the light vehicle. The car was completely destroyed and damages were caused to the rail-motor car. No damage to the railway infrastructure._x000D_
The train traffic was stopped from 07:11 to 09:48 hrs. LT to complete investigative actions by the Ministry of Interior. 
</t>
  </si>
  <si>
    <t>Level crossing</t>
  </si>
  <si>
    <t>UK-6134</t>
  </si>
  <si>
    <t>Trains collision, 13-11-19, Neville Hill West Junction (United Kingdom)</t>
  </si>
  <si>
    <t>At about 21:40 hrs on Wednesday 13 November 2019, an empty passenger train approaching the maintenance depot at Neville Hill in Leeds, caught up and collided with the rear of another empty passenger train moving into the depot on the same track. The low speed movement of trains close together is permitted by the signalling system at this location. The leading train was travelling at around 5 mph (8 km/h) and the colliding train at around 14 mph (22 km/h). No one was injured in the accident._x000D_
The colliding train was a 9-coach class 800 train, part of the Intercity Express Programme (IEP). Its leading end suffered significant damage during the collision. The second train was a High Speed Train (HST) set comprising 9 coaches and a class 43 locomotive at each end. The trailing class 43 locomotive on this train also suffered significant damage._x000D_
As a result of the collision, the trailing bogie of the second and third coaches and the trailing axle of the fourth coach on the class 800 train, derailed to the right in the direction of travel.</t>
  </si>
  <si>
    <t>Neville Hill West Junction</t>
  </si>
  <si>
    <t>When occupying a signal section that was already occupied by another train, the IET accelerated to too great a speed and caught up with the HST (paragraph 47).</t>
  </si>
  <si>
    <t>The causal factors were:_x000D_
1. The IET and HST were in the same section of track, at the same time. This is a normal factor (paragraph 50)._x000D_
2. The IET accelerated to too great a speed compared to the HST (paragraph 54). This causal factor arose due to a combination of the following:_x000D_
a) The driver’s attention became focused on reinstating APCO using the TMS touch screen, instead of the driving task (paragraph 58, Learning point 3)._x000D_
This happened because:_x000D_
i. APCO had previously been isolated by the driver as his training had not taught him to enter the train headcode correctly. This was because_x000D_
the Hitachi train operation manual was ambiguous in this regard (paragraph 62, Recommendations 1 and 2, Learning point 6)._x000D_
ii. The driver was possibly concerned about forgetting that he had isolated APCO, and this not being obvious to other drivers taking over the train (paragraph 72, Learning point 4)_x000D_
b) The IET driver unintentionally commanded too much acceleration, possibly because LNER had not adapted the driver’s IET training to best match his needs (paragraph 77, Learning point 2).</t>
  </si>
  <si>
    <t>HU-6126</t>
  </si>
  <si>
    <t>Spad, 14-11-19, Angyalföld (Hungary)</t>
  </si>
  <si>
    <t>Train no. 2065 passed the entry signal of Angyalföld station at danger with 98 m. (The train was stopped by the locomotive driver.) The train stopped ca. 60 m before the level crossing which was open at the time of the occurrence. 
A 2065 sz. vonat engedély nélkül meghaladta az állomás "Megállj!" állású "H" jelu bejárati jelzojét 98 méterrel. A lezáratlan SR1 elott kb. 60 méterre állt meg.. Személyi sérülés nem történt.</t>
  </si>
  <si>
    <t>Angyalföld</t>
  </si>
  <si>
    <t>1. A mozdonyvezető gyakornok és az oktató mozdonyvezető nem működtette időben a féket. 2. A mozdonyvezető gyakornok vonalismeret hiányában nem volt tudatában annak, hogy egy második bejárati jelzőhöz közelítenek, ezért szemével nem is kereste azt. 3. Az oktató mozdonyvezető a főjelzőn a korábbi tapasztalatai szerint továbbhaladást engedélyező jelzésre számított az annak ellentmondó előjelzés ellenére.</t>
  </si>
  <si>
    <t>1. A mozdonyvezető gyakornoknak rutintalanságából fakadóan átmenetileg romlott a helyzeti tudatossága, amit az oktató mozdonyvezető nem vett észre és nem kezelte a helyzetet. 2. Az oktató mozdonyvezető a pótülésen olyan pozíciót elfoglalva utazott, ahonnan nem volt a vasúti pálya megfigyelhető és nem voltak a jelzések ellenőrizhetők. 3. A vezetőállás kialakítása nem teszi lehetővé mozdonyvezető képzés során az oktató mozdonyvezetőnek, hogy egy hosszú időre kényelmes pozíciót elfoglaljon úgy, hogy közben a pályára is megfelelően ráláthasson és a kezelőszerveket is kényelmesen elérje, ami veszélyes helyzetekben a beavatkozást hátráltatja. 4. A mozdonyvezetői képzési programban a gyakorlati képzés megkezdésekor a gyakornokok részére nem biztosított, hogy fokozatosan szerezhessék meg a járműkezelési, majd a megfelelő járműkezelési gyakorlat birtokában a forgalomban történő vonattovábbításhoz szükséges vezetési gyakorlatot. 5. Az oktató mozdonyvezetők a számukra előírt képzés során nincsenek ténylegesen felkészítve arra, hogy hogyan ismerjék fel és kezeljék a felügyeletükre bízott gyakornokok tevékenysége során felmerülő biztonsági kockázatokat.</t>
  </si>
  <si>
    <t>CZ-6128</t>
  </si>
  <si>
    <t>Spad, 18-11-19, Decín východ station (Czech Republic)</t>
  </si>
  <si>
    <t>Unauthorized movement of the shunting operation behind the signal device „Limit of shunting indicator“ and its consequent ride into open line section occupied by the locomotive train No. 57478.</t>
  </si>
  <si>
    <t>Decín východ station</t>
  </si>
  <si>
    <t>IDS CARGO a.s.</t>
  </si>
  <si>
    <t>Direct cause:_x000D_
• failure to respect the instruction of the IM – the signal „shunting forbidden” given by the signal device „Limit of shunting indicator“._x000D_
_x000D_
Contributory factor:_x000D_
• the unauthorized movement of the shunting operation when the permission to shunt was not given._x000D_
• the issued order to make a train route without previous permission to shunt.</t>
  </si>
  <si>
    <t>Underlying cause:_x000D_
• failure to ensure the technological procedures of the IM – the movement of the shunting operation behind the signal device „Limit of shunting indicator“ without the permission of the station dispatcher._x000D_
_x000D_
Root cause: none.</t>
  </si>
  <si>
    <t>RO-6129</t>
  </si>
  <si>
    <t>Train derailment, 19-11-19, Barzava (Romania)</t>
  </si>
  <si>
    <t>the leading axle of the locomotive EA 551, that hauled the passenger train no. 74-1 derailed in Barzava railway station on the switch no.7</t>
  </si>
  <si>
    <t>Barzava</t>
  </si>
  <si>
    <t>Cauza directa_x000D_
Cauza directa a producerii accidentului feroviar o constituie pierderea capacita?ii de ghidare a osiei conducatoare a locomotivei, escaladarea inimii de încruci?are (situata la firul exterior al curbei abatute) a schimbatorului de cale nr. 7 din sta?ia CFR Bârzava de catre roata atacanta a acestei osii  ?i caderea acesteia în exteriorul caii. Deraierea ro?ii atacante a osiei conducatoare a locomotivei a antrenat, concomitent, în deraiere ?i roata corespondenta a acestei osii.  _x000D_
_x000D_
Factorii care au contribuit:_x000D_
1.	existen?a în zona producerii accidentului a unor defecte la nivelul transversal al liniei, peste limitele toleran?elor admise prevazute în cadrul de reglementare, care au avut ca efect descarcarea par?iala de sarcina verticala a ro?ii atacante;_x000D_
2.	existen?a uni prag lateral de 2,5 mm pe suprafa?a activa a ?inei la joanta de calcâi de pe direc?ia abatuta a schimbatorului de cale nr. 7 din sta?ia Bârzava, atacat pe la calcâiul macazului, care a favorizat cre?terea ?ocului de atac în zona de contact dintre roata atacanta ?i ?ina ?i descarcarea brusca de sarcina a ro?ii atacante a locomotivei. 
Direct cause_x000D_
The direct cause of the accident was the loss of the guiding capacity of the locomotive leading axle, climbing the built-up common crossing (situated on the outside rail of the curve of the diverging track) of the switch no. 7 from Bârzava railway station, and it fell outside the track. The derailment of the guiding wheel of the locomotive led, in the same time, to the derailment of the wheel corresponding to that axle.  _x000D_
_x000D_
Contributing factors:_x000D_
1.	existence at the accident site of some failures at the cross level of the line, over the limits of the tolerances accepted, stipulated in the regulation framework, that led to the partial transfer of the vertical load of the guiding wheel;_x000D_
2.	existence of a lateral threshold of 2,5 mm on the gauge face of the rail at the heel joint from the diverging track of the switch no. 7 of Bârzava railway station,  that led to the increase of the approach angle at the contact between the guiding wheel and the rail and the sudden load transfer of the locomotive guiding wheel.</t>
  </si>
  <si>
    <t>Cauzele subiacente ale producerii accidentului au fost:_x000D_
1.	nerespectarea prevederilor art.7, lit.A, pct.1 ?i pct. 3, din “ Instruc?ia de norme ?i toleran?e pentru construc?ii ?i între?inerea caii pentru linii cu ecartament normal nr.314/1989“, referitoare la toleran?ele la nivelul transversal prescris al unui fir fa?a de celalalt;_x000D_
2.	nerespectarea prevederilor, cap.III art.21, pct.7 din Instruc?ia „Instruc?ia de norme ?i toleran?e pentru construc?ia ?i între?inerea caii - linii cu ecartament normal nr. 314/1989”, cu privire la neadmiterea pragurilor laterale la joante pe suprafa?a activa a ?inei._x000D_
_x000D_
Cauza primara a producerii accidentului feroviar a fost:_x000D_
-	neaplicarea tuturor prevederilor procedurii opera?ionale cod PO SMS 0-4.07 “Respectarea specifica?iilor tehnice, standardelor ?i cerin?elor relevante pe întreg ciclul de via?a al liniilor în procesul de între?inere“, parte a sistemului de management al siguran?ei a administratorului de infrastructura feroviara publica CNCFR „CFR“ S.A., referitoare la executarea lucrarilor de între?inere ?i repara?ii periodice a liniilor de cale ferata. 
The underlying causes of the accident were:_x000D_
1.	inobservance of the provisions of art.7, paragraph A, points 1 and 3 from the “ Instruction of norms and tolerances for the construction and maintenance of track for lines with standard gauge no.314/1989“, regarding the tolerances at the cross level prescribed for a rail against another one;_x000D_
2.	inobservance of the provisions of chapter III art.21, point 7 from the „Instruction of norms and tolerances for the construction and maintenance of track for lines with standard gauge no.314/1989“, regarding not allowing of lateral thresholds at the joints on the active surface of rails._x000D_
_x000D_
Root causes_x000D_
The root cause of the accidents was:_x000D_
-	nonapplication of all provisions of the operational procedure code PO SMS 0-4.07 “Compliance with the technical specifications, standards and relevant requirements for whole life time of lines in maintenance process“, part of safety management system of public railway infrastructure administrator CNCFR „CFR“ S.A., regarding the performance of the maintenance and periodical repairs at lines.</t>
  </si>
  <si>
    <t>DE-6159</t>
  </si>
  <si>
    <t>Train derailment, 22-11-19, München Hbf (Germany)</t>
  </si>
  <si>
    <t>Am 22.11.2019 gegen 16:10 Uhr entgleiste der Personenzug DPE 79497 auf der Fahrt von München Hbf nach Kufstein bei der Fahrt aus dem Bahnhof (Bf) München Hbf auf der Weiche (W) 101 mit dem nachlaufenden Drehgestell des vorletzten Wagens und den beiden Drehgestellen des letzten Wagens in Fahrtrichtung nach rechts. Die Zugfahrt wurde durch das Eisenbahnverkehrsunternehmen (EVU) UEF Eisenbahnver-kehrsgesellschaft mbH im Auftrag der TRI Train Rental GmbH (TRI) durchgeführt. TRI erbrachte die Verkehrsleistung im Rahmen eines Subunternehmerverhältnisses für die Bayerische Oberlandbahn GmbH, die im Auftrag der Bayerischen Eisenbahngesellschaft unter dem Markennamen „Meridian“ Verkehrsleistungen u. a. auf der Relation München Hbf – Kufstein durchführte.</t>
  </si>
  <si>
    <t>Bf München Hbf</t>
  </si>
  <si>
    <t>UEF Eisenbahnverkehrsgesellschaft mbH</t>
  </si>
  <si>
    <t>Bei der Entgleisung wurde eine Person leicht verletzt. An der Infrastruktur entstand er-heblicher Sachschaden in Höhe von ca. 2,5 Millionen Euro. Die beiden letzten Wagen wie-sen starke Beschädigungen auf. Am Triebfahrzeug entstanden leichte Schäden im Bereich der Puffer.</t>
  </si>
  <si>
    <t>Die Zugentgleisung war auf eine mangelhafte Schmierung sowie Riefenbildung der Pufferteller zurückzuführen. Begünstig wurde das Aufklettern des Rades, durch eine Verschiebung des Berührpunktes zwischen der Spurkranzflanke und der Schienenkopfflanke im Bereich eines engen Gleisbogens.</t>
  </si>
  <si>
    <t>UK-6136</t>
  </si>
  <si>
    <t>Level crossing near miss, 24-11-19, Norwich Road AHB LC (United Kingdom)</t>
  </si>
  <si>
    <t>At about 19:53 hrs on Sunday 24 November 2019, a 4-coach class 755 passenger train, operating the 19:45 Norwich to Sheringham service, was approaching Norwich Road automatic half barrier level crossing, to the north-east of Norwich. The crossing barriers were in the lowered position until the train, travelling at about 45 mph (72 km/h), was about 200 metres from the crossing. The barriers then lifted, the level crossing warning lights went out and cars began to cross the railway. The train driver applied the train’s emergency brake and sounded its warning horn, but the train was unable to stop before reaching the crossing. No road vehicles were struck but a car passed in front of the train around a quarter of a second before the train went over the crossing._x000D_
The level crossing equipment was installed in 2000 and includes a predictor system which detects the speed of approaching trains so that the time interval between barriers being lowered and a train arriving is similar for all trains, irrespective of their speed. The train was part of a new fleet which had been operating passenger services on this line since 6 November 2019._x000D_
Since the incident, Network Rail has modified the settings of this and similar level crossings on the line to reduce the chance of a repeat of this incident.</t>
  </si>
  <si>
    <t>Norwich Road AHB LC</t>
  </si>
  <si>
    <t>RO-6130</t>
  </si>
  <si>
    <t>Fire in RS, 26-11-19, Maldaeni - Mihaesti (Romania)</t>
  </si>
  <si>
    <t>the 4th and the 5th wagon from interregional  passenger train no. 1825 caught fire in open line between Maldaeni and Mihaiesti railway stations</t>
  </si>
  <si>
    <t>Maldaeni - Mihaesti</t>
  </si>
  <si>
    <t>Cauza directa_x000D_
Având în vedere: _x000D_
•	distrugerile suferite în incendiu de vagonul etajat, care au limitat constatarile efectuate;_x000D_
•	informa?iile primite de la martori ?i personalul implicat, referitoare la intensitatea cu care s-a manifestat în timp (în sta?ia Ro?iori Nord nu exista emana?ie de fum ?i în decurs de aproximativ 10 minute vagonul ardea violent)  ?i modul cum s-a propagat  incendiul, _x000D_
•	informa?iile culese din fotografiile ?i filmarile realizate de diver?i martori în timpul incendiului;_x000D_
•	faptul ca în cursul investiga?iei nu au fost constatate indicii privind func?ionarea necorespunzatoare a instala?iei de frâna ?i electrice a vagonului etajat;_x000D_
•	cazurile anterioare în care s-a  încercat incendierea unor vagoane de calatori pe aceea?i sec?ie de circula?ie;_x000D_
comisia de investigare considera drept cauza probabila a accidentului, existen?a unei ac?iuni externe care a dus la ini?ierea incendiului în zona inferioara a cabinei toaletei, aflata în partea din fa?a-dreapta, în sensul de mers, a vagonului de calatori nr.50532616058-5 (capatul cu frâna de mana), urmata de extinderea violenta în zona de intercomunica?ie cu vagonul din fa?a (nr.50532049251-3)._x000D_
Factorul care a contribuit la extinderea urmarilor accidentului a fost influen?a curen?ilor de aer produ?i de circula?ia trenului ?i a vântului. 
Direct cause_x000D_
Considering: _x000D_
•	destructions at the double-deck car, that limited the findings;_x000D_
•	information received from the witnesses and staff involved, regarding the fire force and spread during the time (in the railway station Ro?iori Nord there was no smoke emanation and after about 10 minutes the car was violently burning), _x000D_
•	information collected from the photos and movies taken by different witnesses during the fire;_x000D_
•	the fact that during the investigation there were found no signs about the improper working of the braking and electric installation of the double-deck car;_x000D_
•	previous cases where one tried to arson some cars on same track section;_x000D_
The investigation commission considers like probable cause of the accident, the existence of some external actions that led to the triggering of the fire on the lower part  the WC cabin, situated in front-right side, in the running direction of the car no.50532616058-5 (end with hand brake), followed by its violent spread in the intercommunication area of the front car (no.50532049251-3)._x000D_
Factors contributing to the spread of the accident consequences was the influence of the air flows generated by the train running and the wind.</t>
  </si>
  <si>
    <t>Nu au fost. 
None</t>
  </si>
  <si>
    <t>CZ-6131</t>
  </si>
  <si>
    <t>Spad, 27-11-19, Praha-Behovice station (Czech Republic)</t>
  </si>
  <si>
    <t>Unauthorized movement of the freight train No. 57506 behind the main departure signal device S0a with the consequent trailing of the switch no. 6 and the ride into the train route of the long distance passenger train No. 285.</t>
  </si>
  <si>
    <t>Praha-Behovice station</t>
  </si>
  <si>
    <t>Direct cause:_x000D_
• failure to respect the signal „Stop" of the main (departure) signal device S0a at Praha-Bechovice station by the train driver of the freight train No. 57506._x000D_
_x000D_
Contributory factor:_x000D_
• absence of technical equipment which prevents a train from passing a signal in case of danger.</t>
  </si>
  <si>
    <t>Underlying causes:_x000D_
• unintentional mistake of the train driver of the train Pn 57506, when observing the signals of the main signal devices at Praha-Bechovice station, the train driver of the train Pn 57506 erroneously interchanged the main (departure) signal S1a, which signaled „Speed 100 kph and green signal”, for the main (departure) signal device S0a, which signaled the signal „Stop”, in the dark;_x000D_
_x000D_
• prioritizing the activities which are related to driving of the locomotive over observation of the railway line and monitoring operation of the cab signalling by the train driver._x000D_
_x000D_
Root cause: none.</t>
  </si>
  <si>
    <t>HU-6132</t>
  </si>
  <si>
    <t>Spad, 28-11-19, Szerencs (Hungary)</t>
  </si>
  <si>
    <t xml:space="preserve">Train 48203 passed unauthorized at exit V4 
</t>
  </si>
  <si>
    <t>Szerencs</t>
  </si>
  <si>
    <t>1.1	Direct causes
The factor which had direct effect on the occurrence was as follows:
a)	only the locomotive and the leading wagon were connected into the braking circle therefore the braking effect of the train was insufficient.
1.2	Indirect causes
Those findings relating to competences, procedures and maintenance which are related to the factors enumerated above:
a)	the wagon examiner responsible for the braking test did not carry it out in line with the requirements therefore he did not realise that only 1 of the 43 wagons were involved in the braking;
b)	the locomotive driver did not realise that recharging of the brake system of the train took place within a fraction of the usual time both after connection of the locomotive and during the braking test, and he did not suspect a gross deficiency of the brake system;
c)	the locomotive driver failed to carry out a running brake test after departure therefore he did not realise the insufficient braking effect;
d)	when realising that the braking effect was insufficient, the locomotive driver did not increase braking into emergency braking, thus he did not even utilise the lower braking effect to the full.</t>
  </si>
  <si>
    <t>1.3	Root causes
Causes that are distant in time and space from one another but which are related to system operation within the regulatory environment and in the safety management system:
a)	the IC found no root causes.
1.4	Other risk factors
The IC found no other factors.</t>
  </si>
  <si>
    <t>HR-6133</t>
  </si>
  <si>
    <t>Train derailment, 03-12-19, kriÅ¾evci (Croatia)</t>
  </si>
  <si>
    <t>derailment of the passenger train No. 2201 on the switch No. 1 in the station Križevci 
iskliznuce putnickog vlaka broj 2201 na skretnici broj 1. u kolodvoru Križevci</t>
  </si>
  <si>
    <t>kriÅ¾evci</t>
  </si>
  <si>
    <t>The direct cause of the accident in question is the slippage of a passenger train behind switch number 1</t>
  </si>
  <si>
    <t>Factors that contributed to this accident: - reduced visibility due to night and fog, - non-compliance with written notices, - the train did not stop in front of the input signal signaling the signal sign "Stop", - non-compliance with the prescribed speed. Organizational factors: - control of the driver's work procedures</t>
  </si>
  <si>
    <t>NO-6139</t>
  </si>
  <si>
    <t>Trains collision with an obstacle, 07-12-19, Storforshei (Norway)</t>
  </si>
  <si>
    <t>At 1605 on Saturday 7 December 2019 a freight train collided with an excavator at Storforshei on the Nordlansbanen line._x000D_
_x000D_
The driver of the excavator was killed in the accident._x000D_
_x000D_
The driver of the excavator was part of a team doing drainage work along the railway line. The work was carried out for the Norwegian infrastructure manager Bane NOR SF._x000D_
_x000D_
The excavator was completely damaged, while major damage to the front and side of the locomotive occurred. In addition, there was minor damage to the track._x000D_
_x000D_
The investigation will clarify the sequence of events and identify possible causal factors. Any underlying factors that may have contributed to the incident will be mapped and analysed. 
Lørdag 7. desember 2019 ca. kl. 1605 kolliderte et godstog med en gravemaskin ved Storforshei på Nordlandsbanen._x000D_
_x000D_
Føreren av gravemaskinen omkom i ulykken._x000D_
_x000D_
Gravemaskinføreren var med i et arbeidslag som utførte drenering langs jernbanelinjen. Oppdragsgiver var Bane NOR SF._x000D_
_x000D_
Gravemaskinen ble totalskadet, mens det oppsto store skader i fronten og på siden av lokomotivet. I tillegg ble det mindre skader på skinnegangen._x000D_
_x000D_
Undersøkelsen vil klarlegge hendelsesforløpet og peke på mulige årsaksforhold. Eventuelle bakenforliggende forhold som kan ha bidratt til hendelsen vil bli kartlagt og analysert.</t>
  </si>
  <si>
    <t>Storforshei</t>
  </si>
  <si>
    <t>CZ-6137</t>
  </si>
  <si>
    <t>Trains collision with an obstacle, 09-12-19, Zámrsk station (Czech Republic)</t>
  </si>
  <si>
    <t>Collision of the long distance passenger train No. 282 with a cover of connecting rod of switch.</t>
  </si>
  <si>
    <t>Zámrsk station</t>
  </si>
  <si>
    <t>ES-6166</t>
  </si>
  <si>
    <t>Spad, 09-12-19, Cornellà de Llobregat (Spain)</t>
  </si>
  <si>
    <t>Commuter train 25045 pass (without authorisation) the entrance signal E1 at Cornellà station (Barcelona), which was ordering to stop. It enters in track #2, where other empty commuter train (95951) was parked.</t>
  </si>
  <si>
    <t>Cornellà de Llobregat</t>
  </si>
  <si>
    <t>The direct cause was a misinterpretation of the indications of the signals, by the driver of train #25045. _x000D_
Speed was a contributing factor: the driver didn’t keep the “running at sight” speed until reaching the signal (as rules say), and acted as if its advanced beacon was equivalent to the signal itself. Also, previous signal E’1 imposed a limitation of 40 km/h that, should the driver had kept it, would left time enough to stop at signal E1 and avoid the SPAD. _x000D_
Other contributing factor has to do with the signals: when train #25045 passed the advanced beacon of signal E1, it read a transmission that actually was addressed to the previous train, #95951, that was in the same track section. This caused confusion to the driver of train #25045, that thought that this indication was aimed at him.</t>
  </si>
  <si>
    <t>FI-6148</t>
  </si>
  <si>
    <t>Trains collision with an obstacle, 09-12-19, Between Puhos and Kesälahti stations, Parikkala Joensuu section of line (Finland)</t>
  </si>
  <si>
    <t>Train collision with an obstacle, a trackwork machine .</t>
  </si>
  <si>
    <t>Between Puhos and Kesälahti stations, Parikkala Joensuu section of line</t>
  </si>
  <si>
    <t>The trackwork supervisor had submitted a trackwork notification for the wrong section of line by mistake.</t>
  </si>
  <si>
    <t>The trackwork supervisor did not use the GPS feature of the RUMA application (RUMA - mo-bile platform for trackwork contractor), and centralised traffic control did not check that GPS positioning was used. The accuracy of GPS positioning would have been enough to locate the trackwork in the right area. The trackwork supervisor had not checked the location based on track elements or location markers before going on the track, either. Neither did the traffic controller use them to confirm the location of trackwork during voice communications._x000D_
The map in the RUMA system does not support the identification of the trackwork site on sec-tions of line in particular. The traffic controllers must use several different information sys-tems and their maps. The systems do not exchange information with each other. There are general deficiencies in the training and competence related to locating trackwork, and the trackwork supervisors do not take full advantage of the features of the RUMA application.</t>
  </si>
  <si>
    <t>UK-6147</t>
  </si>
  <si>
    <t>Accident to persons caused by RS in motion, 14-12-19, Tyseley depot (United Kingdom)</t>
  </si>
  <si>
    <t>At about 20:00 hrs on 14 December 2019, a train driver, who had just got off a train they had brought into the depot, was fatally injured while passing between two trains that were being coupled together on an adjacent line.</t>
  </si>
  <si>
    <t>Tyseley depot</t>
  </si>
  <si>
    <t>Immediate cause: 
Driver A was trapped between two closely spaced trains when one of the trains 
was moved towards the other (paragraph 46). 
Causal factors: 
The causal factors were:
a) Driver A moved between the two trains (paragraph 52).
This causal factor arose due to a combination of the following:
i. Driver A did not use an AWR to cross the yard (paragraph 59, 
Recommendations 1 and 2, Learning points 1, 2 and 3).
ii. It is almost certain that Driver A did not expect either of the trains to move 
as he passed between them (paragraph 80, Recommendations 1 and 2, 
Learning points 1 and 2).
b) Driver B moved a train when Driver A was in close proximity to it 
(paragraph 97).
This causal factor arose because Driver B was unaware of the presence of 
Driver A when he decided to move the train (paragraph 101)</t>
  </si>
  <si>
    <t>Underlying factors:
The underlying factors were:
a) WMT had not adequately considered the hazards faced by drivers when on 
depots. This was probably due to the way different parts of the organisation 
interacted (paragraph 106, Recommendation 1).
b) The high intensity of Tyseley depot’s operation at night, relative to its capacity, 
is a probable underlying factor (paragraph 119, Recommendation 1, 
Learning point 4). 
c) WMT’s management assurance processes had not led to widespread 
compliance with the depot’s safety rules. This is a probable underlying factor 
(paragraph 123, Recommendation 2). 
Additional observations: Although not directly linked to the cause of the accident, RAIB observed that:
a) Driver B did not seek authorisation before coupling the trains (paragraph 132, 
Recommendations 1 and 2).
b) The values recorded during post-accident brake testing were not compliant to 
the vehicle maintenance instructions (paragraph 135, Learning point 5)
c) Driver B was not tested for the presence of drugs and alcohol in accordance 
with WMT procedures (paragraph 139, Learning point 6)</t>
  </si>
  <si>
    <t>DE-6160</t>
  </si>
  <si>
    <t>Trains collision, 18/12/2019, Leipzig-Engelsdorf</t>
  </si>
  <si>
    <t>Am 18.12.2019 gegen 00:30 Uhr kollidierten der Güterzug DGS 42722 des Eisenbahnverkehrsunternehmens (EVU) Captrain Deutschland CargoWest GmbH auf der Fahrt von Dresden-Friedrichstadt nach Gütersloh Hbf und die S-Bahn S 37395 des EVU DB Regio AG auf der Fahrt von Leipzig Hauptbahnhof nach Oschatz etwa in km 14,72 des Bahnhofs (Bf) Leipzig-Engelsdorf.</t>
  </si>
  <si>
    <t>Leipzig-Engelsdorf</t>
  </si>
  <si>
    <t>Captrain Deutschland CargoWest GmbH</t>
  </si>
  <si>
    <t>Beide Fahrzeuge wurden schwer beschädigt. Frontschürzen und Frontscheibe waren zerstört, die Mittelpufferkupplungen schwer beschädigt und deren Halterungen gerissen.</t>
  </si>
  <si>
    <t>Das Ereignis war auf eine Vorbeifahrt des DGS 42722 am Halt zeigenden Signal 206 ohne Zustimmung des Fdl des Stellwerkbezirks B1 zurückzuführen. Der Tf begann die Fahrt am Signal 206, obwohl der Befehl 2 in Verbindung mit den Befehlen 4 und 7 des Fdl noch keine Gültigkeit hatte.</t>
  </si>
  <si>
    <t>RO-6141</t>
  </si>
  <si>
    <t>Trains collision, 18-12-19, Ploiesti Triaj (Romania)</t>
  </si>
  <si>
    <t>A head on collision had occurred in in Ploiesti Triaj railway station in the area of the switches no.62-76/84, between the freight train no. 30558 ( owned by DB Cargo Romania) and the Regio passenger train no.5008</t>
  </si>
  <si>
    <t>Ploiesti Triaj</t>
  </si>
  <si>
    <t>Deutsche Bahn Cargo România SRL; 
National Company for Passenger Railway Transport "CFR-Calatori" S.A.</t>
  </si>
  <si>
    <t>RO-6142</t>
  </si>
  <si>
    <t>Train derailment, 20-12-19, Dragotesti (Romania)</t>
  </si>
  <si>
    <t>the 21st and 22nd wagons from the freight train no 23644 derailed in Dragotesti railway station on the switch no.15.</t>
  </si>
  <si>
    <t>RO-6143</t>
  </si>
  <si>
    <t>Train derailment, 20-12-19, Valea Alba - Drobeta Turnu Severin Marfuri (Romania)</t>
  </si>
  <si>
    <t>the 9th wagon from the freight train no. 93818 derailed between 93818 Drobeta Turnu Severin Marfuri and Valea Alba railway stations</t>
  </si>
  <si>
    <t>FR-6149</t>
  </si>
  <si>
    <t>Wrong-side signalling failure, 22-12-19, La Milesse (France)</t>
  </si>
  <si>
    <t>Speed excess of a high speed train in a track junctiun of an high-speed railway line. The high speed train passed the junctiun with a speed of 170 km/h for an allowed speed of 100 km/h.</t>
  </si>
  <si>
    <t>La Milesse</t>
  </si>
  <si>
    <t>No damage</t>
  </si>
  <si>
    <t>Display error on DMI</t>
  </si>
  <si>
    <t xml:space="preserve">Three successive errors in the production of the RBC : parameter setting error ; parameter setting verification error ; lack of validation of the parameter setting by the manufacturer not detected by the evaluator. </t>
  </si>
  <si>
    <t>RO-6144</t>
  </si>
  <si>
    <t>Runaway, 22-12-19, Vintu de Jos (Romania)</t>
  </si>
  <si>
    <t>a rake of 5 freight wagons runway in Vintu de Jos railway station and forced the switch no.12 and 14</t>
  </si>
  <si>
    <t>Vintu de Jos</t>
  </si>
  <si>
    <t>CER Fersped SA</t>
  </si>
  <si>
    <t>IE-6218</t>
  </si>
  <si>
    <t>Trains collision with an obstacle, 11-01-20, between Rosslare and Wexford (Ireland)</t>
  </si>
  <si>
    <t>A passenger train collision with an on track trolly, between Rosslare and Wexford on the 11th of January 2020. (single line track).</t>
  </si>
  <si>
    <t>between Rosslare and Wexford</t>
  </si>
  <si>
    <t>PL-6168</t>
  </si>
  <si>
    <t>Accident to persons caused by RS in motion, 11-01-20, Szamotuly - Peckowo (Poland)</t>
  </si>
  <si>
    <t>During the movement of the working train No Rob1, consisted of 1 diesel locomotive SM42 9288, 3 wagons type platform and 1 pile driver wagon, run into the semi-truck car and a track worker, as a result of which the worker was killed. The worker was staying in the track gauge between the track and the semi-trailer.</t>
  </si>
  <si>
    <t>Szamotuly - Peckowo</t>
  </si>
  <si>
    <t>PKP ENERGETYKA S.A.</t>
  </si>
  <si>
    <t>HU-6162</t>
  </si>
  <si>
    <t>Fire in RS, 15-01-20, Mende (Hungary)</t>
  </si>
  <si>
    <t>One wheel of a wagon of the passanger train no. 3330 burned with fire because of the increased friction caused by a broken bearing.</t>
  </si>
  <si>
    <t>Mende</t>
  </si>
  <si>
    <t>A burned wheel and axle and a broken bearing.</t>
  </si>
  <si>
    <t>1. A csapágy valószínűleg fáradásos törésből adódó mechanikai sérülés miatt megszorult, a gördülőelemek és a belső gyűrű forgása megszűnt, a lehúzóhüvely a tengelycsapon és a csapágy belső gyűrűjén megforgott. 2. A nagymértékű súrlódás következtében a keletkezett hő a kenőanyagot /kenőzsírt/ meggyújtotta.</t>
  </si>
  <si>
    <t>1. A csapágy már elérkezett a kifáradási élettartamának végére, azonban ez a karbantartási rendszer jellege miatt nem volt felismerhető. 2. A csapágy élettartamára létezik gyártói ajánlás, azonban ez alapján a karbantartási rendszerben nincs meghatározva a csapágynak az üzemeltetési körülményekhez igazodó várható élettartama, és az élettartam vége előtti cseréjére vonatkozó karbantartási előírás sem ismert.</t>
  </si>
  <si>
    <t>CZ-6161</t>
  </si>
  <si>
    <t>Train derailment, 17-01-20, Krásný Jez operating control point (Czech Republic)</t>
  </si>
  <si>
    <t>Derailment of the regional passenger train No. 7122.</t>
  </si>
  <si>
    <t>Krásný Jez operating control point</t>
  </si>
  <si>
    <t>Direct cause:_x000D_
• the train driver did not obey the instruction of the signal device Sv1 before entering on the switch No. 1sv at Krásný Jez operational control point._x000D_
_x000D_
Contributory factor: none.</t>
  </si>
  <si>
    <t>Underlying cause:_x000D_
• failure to comply of the technological procedures of IM, due to failure to observe of signal device Sv1 and failure to act according to the findings (failure to stop the regional passenger train No. 7122 in front of the switch No. 1sv and also failure to control its correct position)._x000D_
_x000D_
Root cause: none.</t>
  </si>
  <si>
    <t>DE-6204</t>
  </si>
  <si>
    <t>Trains collision near miss, 22/1/2020, Griesen (Oberbay)</t>
  </si>
  <si>
    <t>Am 22.01.2020 gegen 16:46 Uhr kam der Personenzug RB 5522 auf der Fahrt von Garmisch-Partenkirchen nach Reutte in Tirol (ÖBB) bei der Fahrt aus dem Bahnhof (Bf) Griesen (Oberbayern) nach Einleitung einer Schnellbremsung etwa 20 Meter vor der am Einfahrsignal F der Gegenrichtung wartenden Regionalbahn 5523 zum Halten.</t>
  </si>
  <si>
    <t>Griesen (Oberbay)</t>
  </si>
  <si>
    <t>DB Netz AG, ÖBB Infrastruktur AG</t>
  </si>
  <si>
    <t>any damages.</t>
  </si>
  <si>
    <t xml:space="preserve">Ausgehend von einem nicht vorschriftenkonform durchgeführten Zugmeldeverfahren wurde zwei Personenzügen die Zustimmung zur Fahrt mittels Hauptsignal auf die eingleisige Strecke in Richtung und Gegenrichtung erteilt. Ein technischer Folge- und Gegenfahrschutz war nicht vorhanden. Dieser verhindert, dass ein Gleisabschnitt, welcher bereits durch einen Zug beansprucht wird, durch einen weiteren Zug befahren werden kann. Es ist hinreichend wahrscheinlich, dass eine Zugbegegnung auf der eingleisigen Strecke mit einer höheren Geschwindigkeit der Fahrten zu einer Zugkollision geführt hätte.
Auf dem betroffenen Streckenabschnitt verkehren ca. 30, an Samstagen und Sonntagen ca. 35 Zugfahrten pro Tag. Durch den Infrastrukturbetreiber DB Netz AG werden derzeit 53 Streckenabschnitte ohne technisch realisierten Folge- und Gegenfahrschutz betrieben. Diese Aufzählung ist bereits um die Anzahl der Strecken bereinigt, welche sich in Umrüstung befinden, auf denen nur ein Zug am Tag verkehrt oder die nur im Gelegenheitsverkehr betrieben werden. Insgesamt betrifft dies eine Anzahl von etwa 900 Zugfahrten täglich. Im Verkehrsjahr finden somit etwa 330.000 Zugfahrten ohne technisch realisierten Folge- und Gegenfahrschutz statt.
Die Sicherung von Zugfahrten ohne technisch realisierten Folge- und Gegenfahrschutz wird ausschließlich durch das fernmündliche Zugmeldeverfahren realisiert. In diesen Fällen können 
menschliche Fehlhandlungen durch technische Einrichtungen nicht kompensiert werden. Daher sind die Strecken der DB Netz AG überwiegend mit signaltechnischen Blockein-richtungen ausgerüstet. Diese stellen den technischen Folge- und Gegenfahrschutz sicher.
Die Eisenbahn- Bau- und Betriebsordnung (EBO) lässt das im betroffenen Streckenabschnitt angewandte Betriebsverfahren zu. Die DB Netz AG als Infrastrukturbetreiber hat über die Anforderungen der EBO hinaus, in der Richtlinie DS 818 „Signalanlagen planen und vorhalten“ sowie der Richtlinie 413 „Infrastruktur gestalten“, bereits weitergehende Regelungen für das eigene Streckennetz umgesetzt. Hierbei wird zur Risikobetrachtung ein Belastungsprofil der Strecke unter Zuhilfenahme verschiedener Faktoren aus den Bereichen Infrastruktur und Fahrzeuge sowie Betrieb und Personal erstellt und anhand dessen eine risikobasierte Bewertung der möglichen Betriebsverfahren für eingleisige Strecken vorgenommen. Die Bewertungen ergeben, dass eingleisige Strecken mit Personenverkehr im Stundentakt und planmäßigen Zugkreuzungen ohne technisch realisierten Folge- und Gegenfahrschutz grundsätzlich betrieben werden können.
Angesichts des Risikopotenzials erscheint die Bewertung der Kriterien bezüglich der Auswahl des Betriebsverfahrens und damit einhergehend auch der Streckenausrüstung zur Sicherung von Zugfahrten als zu großzügig bemessen.
Mit dem Zwischenbericht vom 22.06.2020 erging gemäß § 6 EUV und Art. 26 Abs. 2 der Richtlinie (EU) 2016/798 die Sicherheitsempfehlung 05 / 2020:
</t>
  </si>
  <si>
    <t>Culture of safety-related communication, internal supervision of staff and coordinated supervision between IMs.</t>
  </si>
  <si>
    <t>DE-6169</t>
  </si>
  <si>
    <t>Train derailment, 23-01-20, Horb (Germany)</t>
  </si>
  <si>
    <t>Am 23.01.2020 um ca. 20:00 Uhr entgleiste der IC 2382 (Lw: Singen – Stuttgart) mit zwei Drehgestellen bei der Einfahrt in den Bf Horb. 
On January 23, 2020 at around 8:00 p.m., the IC 2382 (Lw: Singen - Stuttgart) derailed with two bogies at the entrance to Bf Horb.</t>
  </si>
  <si>
    <t>Horb</t>
  </si>
  <si>
    <t>DE-6173</t>
  </si>
  <si>
    <t>Trains collision, 23-01-20, Hamburg-Altona (Germany)</t>
  </si>
  <si>
    <t>Am 23.01.2020 gegen 14:28 Uhr kollidierten die Zugspitze des abgestellten Zugverbandes des ehemaligen InterCityExpress (ICE)‐A 929, zum Ereigniszeitpunkt ohne Zugnummer und Fahr‐ plan, und die Leerfahrt LPFT‐T 27893, auf der Fahrt in die Abstellung nach Hamburg‐Langen‐ felde Betriebsbahnhof (Bbf), im Bereich der Weiche 11 des Bahnhofs (Bf) Hamburg‐Altona.</t>
  </si>
  <si>
    <t>Hamburg-Altona</t>
  </si>
  <si>
    <t>2.500 € Sachschäden an den Fahrzeugen (geringfügig).</t>
  </si>
  <si>
    <t>PT-6186</t>
  </si>
  <si>
    <t>Accident to persons caused by RS in motion, 23-01-20, Coimbra-B (Portugal)</t>
  </si>
  <si>
    <t>Accident to passengers alighted from train IC 723 during a stop at a signal.</t>
  </si>
  <si>
    <t>Coimbra-B</t>
  </si>
  <si>
    <t>CP - Comboios de Portugal, E.P.E.</t>
  </si>
  <si>
    <t>Infraestruturas de Portugal, S.A.</t>
  </si>
  <si>
    <t>The collision resulted directly from a sequence of errors by the passengers that led them to disembark train 723 when it was not at the station and decide to walk along the track, not attributing to the situation the risk that it actually had. However, these actions originated from previous events and perceptions that conditioned the mental model of the two passengers for the situations encountered, leading them to consider the actions taken as appropriate or necessary.</t>
  </si>
  <si>
    <t>The existing technical system in the carriages used in the Intercity trains does not prevent the free opening of the doors with the train speed below 5 km/h, and the existing soft barriers, namely warning procedures in some situations and the behaviour of the passengers, have proved to be ineffective in mitigating the risk of this type of events. The investigation also identified that, despite a significant frequency of events related to the opening of doors in unsafe places, the railway company had not carried out an analysis of this risk for manually opening doors.</t>
  </si>
  <si>
    <t>UK-6180</t>
  </si>
  <si>
    <t>Train derailment, 23-01-20, Wanstead Park (United Kingdom)</t>
  </si>
  <si>
    <t>At around 06:00 hrs on Thursday 23 January 2020, a freight train travelling from Barking to Calvert derailed on a bridge near Wanstead Park station. The train, comprising a class 66 locomotive and 22 wagons carrying construction soil, then travelled about 2.5 miles (4 km) before the braking system indicated a possible problem to the driver. The train was stopped between Leyton Midland Road and Walthamstow Queens Road stations with one wheelset on the 16th wagon derailed. The derailment resulted in extensive damage to the track, other railway infrastructure and the wagon.</t>
  </si>
  <si>
    <t>Wanstead Park</t>
  </si>
  <si>
    <t>The track was unable to maintain the correct gauge as train 6Z54 passed over it (paragraph 43).</t>
  </si>
  <si>
    <t>The causal factors were:_x000D_
a. the rail restraint was inadequate leading to a persistent problem with wide_x000D_
gauge (paragraph 49, see action already taken (paragraph 171) hence no_x000D_
recommendation, Learning point 1)_x000D_
b. track recording vehicles identified a wide gauge fault but output derived from_x000D_
this data did not result in track maintenance staff repairing faults at the correct_x000D_
location (paragraph 74, Recommendation 1)_x000D_
c. Network Rail was not aware of the severity of the longitudinal timber_x000D_
degradation and so took no action to deal with this (paragraph 95, see action_x000D_
already taken (paragraphs 171 to 173) hence no recommendation, Learning_x000D_
point 2)_x000D_
d. the condition of the trailing bogie on wagon 3415 imposed unusually high_x000D_
lateral loading on the track (paragraph 111) due to a combination of the_x000D_
following:_x000D_
i. a defect on wagon 3415 (paragraph 113, Recommendation 2)_x000D_
ii. uneven payload (paragraph 124, Learning point 3).</t>
  </si>
  <si>
    <t>ES-6201</t>
  </si>
  <si>
    <t>Train derailment, 24-01-20, Cerrato junction (Spain)</t>
  </si>
  <si>
    <t>The switch #4 in Cerrato junction failed to confirm position in control centre al 18:25. A maintenance team was dispatched to the site to check its state, and they verified its position (diverted) and told control centre it was OK. At 18:55 control centre authorised the train to proceed through the switch, but it derailed al 19:07, despite previous checks.</t>
  </si>
  <si>
    <t>Cerrato junction</t>
  </si>
  <si>
    <t>RO-6170</t>
  </si>
  <si>
    <t>Train derailment, 24-01-20, Bucuresti Triaj (Romania)</t>
  </si>
  <si>
    <t>the first axle of the hauling locomotive of the freight train no.30744 derailed in Bucuresti Triaj railway station on passing to the switch no.31 set on the diverging track</t>
  </si>
  <si>
    <t>RO-6171</t>
  </si>
  <si>
    <t>Fire in RS, 25-01-20, Merisor_Banita (Romania)</t>
  </si>
  <si>
    <t>the hauling locomotive of the freight train no.80460 caught fire</t>
  </si>
  <si>
    <t>Merisor_Banita</t>
  </si>
  <si>
    <t>UK-6191</t>
  </si>
  <si>
    <t>Trains collision, 25-01-20, Rochford (United Kingdom)</t>
  </si>
  <si>
    <t>At around 10:57 hrs on Saturday 25 January 2020, a mobile elevating work platform (MEWP) travelling at about 9.2 mph (14.8 km/h) collided with a similar, but stationary, machine, on the railway between Rochford and Southend Airport stations. The machine had travelled over 150 metres at around 10 mph (16 km/h) immediately before the collision. At the time, the railway was closed to normal traffic and the two machines were part of the equipment that was being used to renew the overhead electrical power lines._x000D_
There were two people in the stationary MEWP, working on the overhead line equipment, and they were thrown against the railings of the machine’s basket. They both suffered severe bruising and back injuries which prevented them from working for some time. The single person in the moving MEWP was unhurt. Both machines were slightly damaged.</t>
  </si>
  <si>
    <t>Rochford</t>
  </si>
  <si>
    <t>MEWP 10 did not stop before it collided with the stationary MEWP on the same line (paragraph 57).</t>
  </si>
  <si>
    <t>The causal factors were:_x000D_
a. The machine operator drove the MEWP above walking pace while using the CCTV screen to promote his forward view (paragraph 60, Recommendations 1 and 4, see paragraphs 170(a) to (g), 171(a) and (b) and Learning points 1 and 3)._x000D_
b. The machine operator lost awareness while driving the machine towards the stationary MEWP (paragraph 68, Recommendations 1 and 4, see paragraphs 170(b) to (g), 171(a) and (b) and Learning points 1 and 3)._x000D_
c. The machine controller was unable to effectively supervise the machine operator or the safe movement of MEWP 10 (paragraph 73, Recommendations 1 and 5, see paragraphs 170(b), (c), (f), and (g), and Learning points 1 and 3)._x000D_
d. The site organisation was not conducive to safe management, because the number of supervisory roles on site, and a lack of clarity about roles and responsibilities, led to confusion among staff about who was in charge of the safe movement of on-track plant (paragraph 82, Recommendations 1 and 5, see paragraphs 170(a) to (c),(f) and (g) and 171(b)._x000D_
Underlying factors_x000D_
160 The underlying factors were:_x000D_
a. It is probable that there was a culture in OCR that valued ‘getting the job done’ over rule compliance and safety (paragraph 104, Recommendations 1 and 5, see paragraphs 170(f), 171(a) and (b))._x000D_
b. A culture of disrespect existed towards contractors undertaking the role of the machine controller within OCR work sites (paragraph 107, Recommendations 1 and 5, Learning point 2)._x000D_
c. Network Rail appears to have been unaware of the poor working relationships and the culture of non-compliance on several OCR sites, and its self-assurance process had not identified these issues (paragraph 112, Recommendations 1 and 5, see paragraphs 170(b), (f) and (g), 171(b).</t>
  </si>
  <si>
    <t>HU-6188</t>
  </si>
  <si>
    <t>Spad, 28-01-20, Jánosháza elágazás (Hungary)</t>
  </si>
  <si>
    <t>The train no. IC952 passed the signal of Jánosháza-elágazás at danger. Eventually the locomotive driver stopped the train ca. 50 metres before the bumper.</t>
  </si>
  <si>
    <t>Jánosháza elágazás</t>
  </si>
  <si>
    <t>1. A mozdonyvezető nem figyelte meg az előjelző jelzési képét, és nem számított „Megállj!” jelzésre az „YV” jelzőn, ezért nem működtette időben a fékberendezést.</t>
  </si>
  <si>
    <t>1. A mozdonyvezető figyelmét az előjelző megfigyeléséről elvonta a közvetlenül a jelző előtt található fázishatáron való áthaladáshoz szükséges kapcsolások elvégzése. 2. A vasútvonal ezen szakasza jelfeladásra nincs kiépítve, azon vonatbefolyásolás nem üzemel. 3. A mozdonyvezetők oktatása során előfordulhat olyan helyzet, hogy úgy szereznek vonalismeretet egy adott vonalszakaszra, hogy annak bizonyos részeit valójában be sem utazták. 4. A pályahálózat működtető szervezetén belül az eseményt először nem a valós biztonsági kockázatának megfelelően, a vonatkozó jogszabályoknak és utasításoknak megfelelően kezelték, ezért annak haladéktalan továbbjelentése, majd a KBSZ részére történő bejelentése késedelmet szenvedett, és a baleseti helyszín engedély nélkül megváltoztatásra került.</t>
  </si>
  <si>
    <t>NO-6172</t>
  </si>
  <si>
    <t>Level crossing accident, 28-01-20, Vikersund level crossing (Norway)</t>
  </si>
  <si>
    <t>Tuesday 28.01.2020 at 21:20, the driver of a passenger car was killed when it was hit by a passenger train on Vikersund level crossing._x000D_
_x000D_
The level crossing is secured with a barriers and is located inside Vikersund station. The train was on its way to Drammen and was cleared through Vikersund station. Just before the crossing, the driver of the train became aware of the passenger car standing between the barriers. He applied emergency brakes and gave a signal, but the accident was not to be avoided._x000D_
_x000D_
There were three persons in the passenger car. Two of them had gone out of the car, but the driver remained in the car and died in the accident. 
Tirsdag 28.01.2020 kl. 21:20 omkom sjåføren av en personbil da den ble påkjørt av et persontog på Vikersund planovergang. _x000D_
_x000D_
Planovergangen er sikret med helbomanlegg og ligger inne på Vikersund stasjon. Toget var på vei til Drammen, og hadde kjøretillatelse gjennom Vikersund stasjon. Rett før planovergangen ble føreren av toget oppmerksom på personbilen som stod mellom bommene. Vedkommende tilsatte nødbrems og ga signal, men ulykken var ikke til å unngå. _x000D_
_x000D_
Det var tre personer i personbilen. To av personene hadde gått ut av bilen, men sjåføren satt i bilen og omkom i ulykken.</t>
  </si>
  <si>
    <t>Vikersund level crossing</t>
  </si>
  <si>
    <t>UK-6185</t>
  </si>
  <si>
    <t>Train derailment, 28-01-20, Eastleigh (United Kingdom)</t>
  </si>
  <si>
    <t>At around 11:31 hrs on 28 January 2020, a freight train derailed on a set of points just south of Eastleigh station. The train was travelling at about 12 mph (19 km/h) at the time, and was running from the down slow line, through a crossover which led to the down fast line. The locomotive became partly derailed and then re-railed itself, and some of the wheels on four of the following five wagons also became derailed, causing significant damage to the track in the process. The driver stopped the train before the remaining 25 wagons reached the damaged track. Nobody was injured, but the track and signalling equipment was severely damaged and there was extensive disruption to services on the south western main line for the following six days.</t>
  </si>
  <si>
    <t>Eastleigh</t>
  </si>
  <si>
    <t>Immediate cause: 
The track was unable to maintain the correct gauge as the train passed over 450A 
points (paragraph 39).
Causal factors: 
The causal factors were:
a. A number of track fastenings had already failed before the locomotive passed 
over the points. This weakened the track fastening system along the left-hand 
closure rail (paragraph 46). This causal factor arose due to a combination of 
the following:
i. the design of the track fastening system made the cast iron shoulder stem 
more prone to fatigue failure under high lateral forces (paragraph 50, no 
recommendation)
ii. routine maintenance inspections were not capable of detecting and 
addressing broken shoulder stems (paragraph 58, Recommendations 1
and 2, and Learning point 1).
b. The lateral forces developed by the locomotive caused additional track 
fastenings to fail, and this further reduced the capacity of the fastening system 
to maintain track gauge (paragraph 78, no recommendation)</t>
  </si>
  <si>
    <t>Observations:
Although not linked to the accident on 28 January 2020, RAIB observes that:
a. The track maintenance department at Eastleigh MDU was not effectively 
managing the maintenance of its assets (paragraph 84, no recommendation).
b. Potential evidence from bearers that were part of 450A points was lost 
(paragraph 88, Learning point 2)</t>
  </si>
  <si>
    <t>RO-6174</t>
  </si>
  <si>
    <t>Train derailment, 29-01-20, Golesti (Romania)</t>
  </si>
  <si>
    <t>the 27th wagon from the freight train no.83212 derailed on the stabling to the track no.6 of Golesti railway stations</t>
  </si>
  <si>
    <t>RO-6175</t>
  </si>
  <si>
    <t>Train derailment, 29-01-20, Berbesti- Popesti Valcea (Romania)</t>
  </si>
  <si>
    <t>the 21st wagon of the freight train no.23690 derailed in open line between Berbesti and Popesti Valcea railway stations</t>
  </si>
  <si>
    <t>Berbesti- Popesti Valcea</t>
  </si>
  <si>
    <t>NO-6196</t>
  </si>
  <si>
    <t>Electric shock, 01-02-20, The National Rail Network (Norway)</t>
  </si>
  <si>
    <t>NIB NO</t>
  </si>
  <si>
    <t>Thematic study on accidents and serious railway incidents related to the contact line._x000D_
_x000D_
Several notifications of accidents and serious incidents have been recorded, where workers have got in contact with the contact lines during maintenance or construction work. _x000D_
_x000D_
The registrations apply to both work on the contact line plant and other electric power work on the infrastructure. On the basis of the registrations, _x000D_
The Accident Investigation Board has decided to carry out a thematic study which covers several of these accidents and serious incidents._x000D_
_x000D_
The investigation will clarify the sequence of events and identify possible causal factors. Any underlying conditions that may have contributed to the accident will be mapped and analysed. 
Temaundersøkelse om ulykker og alvorlige jernbanehendelser knyttet til kontaktledningsanlegget._x000D_
_x000D_
Det er registrert flere varsler om ulykker og alvorlige jernbanehendelser knyttet til vedlikehold av, og arbeider i nærheten av kontaktledningsanlegget, der personer har fått strømgjennomgang._x000D_
_x000D_
Registreringene omfatter både arbeider på  kontaktledningsanlegget, og strømgjennomgang ved annet arbeid i infrastrukturen. _x000D_
Havarikommisjonen har derfor besluttet å starte en temaundersøkelse som tar for seg flere slike ulykker og hendelser. _x000D_
_x000D_
Undersøkelsen vil klarlegge hendelsesforløpene og peke på mulige årsaksforhold. Eventuelle bakenforliggende forhold som kan ha bidratt til hendelsen vil bli kartlagt og analysert.</t>
  </si>
  <si>
    <t>The National Rail Network</t>
  </si>
  <si>
    <t>Baneservice AS</t>
  </si>
  <si>
    <t>•	Shortcomings in the documentation of the catenary system
•	Shortcomings in planning of work in the catenary system and identifying safety measures
•	Shortcomings in competence management
•	Shortcomings in the handling of reported incidents, identifying root cases and managing of those causes
•	The regulatory framework is managed by the Government through both the Ministry of Transport and the Ministry of Justice and Public Security. The legislation is in some cases overlapping</t>
  </si>
  <si>
    <t>PT-6187</t>
  </si>
  <si>
    <t>Train derailment, 01-02-20, Monte Novo - Palma (Portugal)</t>
  </si>
  <si>
    <t>Derailment of a 2-axle flat wagon loaded with a 40 'container, in the 13th position of a 20 wagon train._x000D_
The derailment started after an axle broke at the journal._x000D_
When passing the firts switch of Monte Novo-Palma station, the wagon became totally derailed, the train stopping shortly after._x000D_
There was no personal or environmental damage. 
Descarrilamento em plena via do vagão 22 94 441 6 041-5, carregado com um contentor de 40’, que ocupava a 13.ª posição num comboio de 20 vagões. _x000D_
O descarrilamento iniciou-se ao PK 63,491 pelo rodado n.º 2 (o 1.º no sentido da marcha), cuja extremidade do lado da caixa de eixo n.º 4 se havia partido._x000D_
Ao passar no AMV 1 da estação de Monte Novo-Palma, o vagão descarrilou totalmente, imobilizando-se o comboio ao PK 64,551._x000D_
Não houve danos pessoais ou ambientais.</t>
  </si>
  <si>
    <t>Monte Novo - Palma</t>
  </si>
  <si>
    <t>RO-6176</t>
  </si>
  <si>
    <t>Train derailment, 02-02-20, Bucuresti Triaj (Romania)</t>
  </si>
  <si>
    <t>the first bogie (in the running direction) of the locomotive EA 014 derailed in Bucuresti Triaj railway station on the switch no.23</t>
  </si>
  <si>
    <t>HU-6229</t>
  </si>
  <si>
    <t>Trains collision, 03-02-20, Pusztaszabolcs (Hungary)</t>
  </si>
  <si>
    <t>A shunting train crossed the route of an overpassing freight train no. 82901 and collided with it side to side at Pusztaszabolcs station.</t>
  </si>
  <si>
    <t>Pusztaszabolcs</t>
  </si>
  <si>
    <t>Kárpát Vasút Kft.; 
Rail Cargo Hungaria Zrt.</t>
  </si>
  <si>
    <t>Total damage HUF 10,984,875 ( &lt; EUR 150,000)</t>
  </si>
  <si>
    <t>Direct cause(s):	
•	the safety installation did not detect the occupation of the № 14 switch, so the route of the passing freight train could be locked and “green” light could appear on the signal
•	the traffic controller gave authorisation to start the shunting movement without having information about the actual position of the train, without having competence over the tracks where the train was located (in the construction site) and without the presence of a forman shunter at the shounting site
•	the train making the shunting movement stopped on the № 14 in a position of violating the structure gauge (clearance) of the route of the ongoing freight train
•	the transition points between the station area in use and the construction area and the way of managing the movements crossing them were not clearly defined
Contributory factor(s):	
•	limited information was available to the traffic controller on the processes in progress at the construction site
•	shunting movement was performed without a forman shunter being present in the construction area</t>
  </si>
  <si>
    <t>Underlying cause(s):
•	no implementing instructions had been drawn up on the traffic management procedures applicable at the time of the reconstruction works
•	the staff were only allowed to work under instructions which did not indicate a person authorising the shunting operations in the work area</t>
  </si>
  <si>
    <t>CZ-6183</t>
  </si>
  <si>
    <t>Spad, 04-02-20, Praha Masarykovo nádraží (Czech Republic)</t>
  </si>
  <si>
    <t>Unauthorized movement of the shunting operation behind the signal device Se2 with consequent ride into train route for the regional passenger train No. 8617</t>
  </si>
  <si>
    <t>Praha Masarykovo nádraží station, the shunting signal device Se2, km 409,428.</t>
  </si>
  <si>
    <t>České dráhy, a.s. (RU of the regional passenger train No. 8617 and the shunting operation).</t>
  </si>
  <si>
    <t>Správa železnic, státní organizace</t>
  </si>
  <si>
    <t>Article 20.2 of Directive (EU) 2016/798 – (a), (b)</t>
  </si>
  <si>
    <t>Direct cause: 
• failure to respect the signal „Shunting forbidden” of the shunting signal device Se2 at Praha Masarykovo nádraží station by the train driver of the shunting operation.</t>
  </si>
  <si>
    <t>Underlying cause:
• failure to comply of technological procedures of the railway undertaking and the infrastructure manager for shunting operation by the train driver of the shunting operation, who did not follow signals of infrastructure manager.</t>
  </si>
  <si>
    <t>DE-6213</t>
  </si>
  <si>
    <t>Train derailment, 04-02-20, Bremen - Neustadt (Germany)</t>
  </si>
  <si>
    <t>Am 04.02.2020 gegen 11:42 Uhr entgleiste der Güterzug GM 60856 auf der Fahrt von Oberhausen West nach Wilhelmshaven Ölweiche im Bahnhof (Bf) Bremen-Neustadt mit 10 Wagen.</t>
  </si>
  <si>
    <t>Bremen - Neustadt</t>
  </si>
  <si>
    <t>DB Cargo AG</t>
  </si>
  <si>
    <t xml:space="preserve">DB Netz AG </t>
  </si>
  <si>
    <t>Bei dem Ereignis entgleisten insgesamt 10 Wagen. Die Beschädigungen von Gleisen, Wei-chen und LST-Anlagen erstreckten sich über eine Länge von ca. 830 m.</t>
  </si>
  <si>
    <t>Als primäre Ursache für die Zugentgleisung konnte eine gebrochene Parabelfeder am 15. Wagen festgestellt werden. Durch den Federbruch verlor der betroffene Radsatz seine Spurhaltefähigkeit und konnte von der Schiene abgleiten.</t>
  </si>
  <si>
    <t>HU-6181</t>
  </si>
  <si>
    <t>Train derailment, 04-02-20, Budapest Rákos - rendezo station (Hungary)</t>
  </si>
  <si>
    <t>The passenger train no. 2067 derailed on the switch no. 11 at Rákosrendező station.</t>
  </si>
  <si>
    <t>Budapest Rákos - rendezo station</t>
  </si>
  <si>
    <t xml:space="preserve">Total damage HUF 37,430,000 </t>
  </si>
  <si>
    <t>Direct cause(s):	
•	during the train’s approach, the switch tongue in the diverging direction fractured, causing the derailment of the leading bogie of the train</t>
  </si>
  <si>
    <t>Underlying cause(s):	
•	the cycle time for ultrasound rail testing (which can detect hairline cracks in the web and the foot of the rail) is much longer than the time needed by the processes leading to similar fractures (from the formation of detectable hairline cracks to the final fracture), therefore fractures cannot always be prevented</t>
  </si>
  <si>
    <t>BE-6195</t>
  </si>
  <si>
    <t>Train derailment, 06-02-20, Walenhoek (Belgium)</t>
  </si>
  <si>
    <t>Train derailment followed by a side collision between two trains</t>
  </si>
  <si>
    <t>Walenhoek</t>
  </si>
  <si>
    <t>Two locomotives of train LZ70080 derailed, locomotive 7722 was severely damaged and the diesel tank was leaking. Six wagons of train E49826 derailed of which wagon 4 overturned and was leaking residue and wagons 5 and 6 partially overturned.  The infrastructure was seriously damaged. Lines 10 and 11 were blocked for rail traffic for several days.</t>
  </si>
  <si>
    <t>The direct cause of the derailment of train LZ70080 was the train’s failure to stop at a closed signal (SPAD).</t>
  </si>
  <si>
    <t>The first indirect factor of the derailment is distraction caused by the failure to apply the SARES rules after obtaining a restrictive signal. The second indirect factor is the failure to use the blinds and/or sunglasses in time. The third indirect factor is the absence of a stopping system at the last signal in rear of the intersection of L10 with L11. Systemic factor - 1 The danger of glare from the sun is not correctly identified by the railway undertaking. Systemic factor - 2 The decision not to immediately equip signal S-W.9 with ETCS/TBL1+ when constructing the new railway connection is taken without a prior risk analysis with an appropriate risk assessment method for the hazardous point concerned.</t>
  </si>
  <si>
    <t>IT-6182</t>
  </si>
  <si>
    <t>Train derailment, 06-02-20, Livraga, line high speed Milano - Bologna (Italy)</t>
  </si>
  <si>
    <t>High Speed line Milano-Bologna, train n. 9595, derailment on a railway switch</t>
  </si>
  <si>
    <t>Livraga, line high speed Milano - Bologna</t>
  </si>
  <si>
    <t>Rete Ferroviaria Italiana SpA (RFI)</t>
  </si>
  <si>
    <t xml:space="preserve">Trenitalia SpA </t>
  </si>
  <si>
    <t>8.211.190,00 EUR infrastructure damage; 
1.915.000,00 EUR to remove rolling stock</t>
  </si>
  <si>
    <t>wrong railway switch position</t>
  </si>
  <si>
    <t>wiring error of a railway switch operating device;
inadequate conclusion of the maintenance activity;
failure to immobilize the railway switch;
ineffectiveness of the production process control of an electric component;
unclear assignment of tasks defined by the procedures relating to the maintenance and operating phases of switches.</t>
  </si>
  <si>
    <t>RO-6184</t>
  </si>
  <si>
    <t>Train derailment, 08-02-20, Saliste - Apoldu de Jos (Romania)</t>
  </si>
  <si>
    <t>the first axle of the locomotive GM 925, that hauled the passenger train no. 74-1,  derailed in open line between Saliste and Apoldu de Jos  railway stations</t>
  </si>
  <si>
    <t>Saliste - Apoldu de Jos</t>
  </si>
  <si>
    <t>HU-6350</t>
  </si>
  <si>
    <t>Level crossing accident, 11-02-20, Vecsés - Üllo (Hungary)</t>
  </si>
  <si>
    <t>Az útátjáróban elakadt gépkocsit elütött a vonat. 
The train hit a car blocked at the level crossing.</t>
  </si>
  <si>
    <t>Vecsés - Üllo</t>
  </si>
  <si>
    <t>1.1	Direct causes
The factors which had direct effect on the occurrence were as follows:
a)	one wheel of the car ran off the road between the two tracks and the car became immobile;
b)	the car was not able to leave the level crossing before the arrival of the train;
c)	it was not possible to notify the railway personnel in charge of the level crossing, and accordingly, no attempt could be made to stop the train.
1.2	Indirect causes
Those findings relating to competences, procedures and maintenance which are related to the factors enumerated above:
a)	The continuous line indicating the centreline of the road is not painted within the level crossing, and the edge of the road is not indicated either.
b)	The contact data (telephone number, identification of the level crossing) necessary for quick and effective notification of the railway infrastructure operator is not indicated at the level crossing.</t>
  </si>
  <si>
    <t>1.3	Root causes
The IC revealed no causes that are distant in time and space from one another but which are related to system operation within the regulatory environment and in the safety management system.</t>
  </si>
  <si>
    <t>RO-6189</t>
  </si>
  <si>
    <t>Train derailment, 12-02-20, Mihaesti (Romania)</t>
  </si>
  <si>
    <t>the first 3 wagons of the freight train no. 20270 derailed on the entrance route in  Mihaesti railway station</t>
  </si>
  <si>
    <t>DE-6207</t>
  </si>
  <si>
    <t>Trains collision, 16-02-20, Würzburg Hbf (Germany)</t>
  </si>
  <si>
    <t>Am 16.02.2020 gegen 22:02 Uhr kollidierte der Güterzug DGS 48959 auf der Fahrt von Gelsenkirchen‐Bismarck nach Linz Verschiebebahnhof mit der Rangierfahrt für RE‐D 4636 im Bahnhof Würzburg Hbf auf der Weiche 377.</t>
  </si>
  <si>
    <t>Würzburg Hbf</t>
  </si>
  <si>
    <t>DB Regio AG; 
Internationale Gesellschaft für Eisenbahnverkehr IGE GmbH &amp; Co. KG</t>
  </si>
  <si>
    <t>Ursächlich für die Zugkollision war die unzulässige Vorbeifahrt der Rangierfahrt am haltzeigenden Lichtsperrsignal 231II aus Gleis 231.</t>
  </si>
  <si>
    <t>HU-6190</t>
  </si>
  <si>
    <t>Level crossing accident, 16-02-20, Katonatelep SR1 (Hungary)</t>
  </si>
  <si>
    <t>The train no. IC 712 crashed with a car in the level crossing "SR1" of Katonatelep station which was protected with serviceable automatic user side warning lights. In the backseats of the car two children (8 and 11 years old) died at the scene and the driver of the car suffered serious injuries. 
Az IC 712 sz. vonat az SR1 jelu jól muködo fénysorompóval biztosított útátjáróban személygépkocsival ütközött. A személygépkocsiban utazó két kiskorú gyermek a helyszínen életét vesztette, a személygépkocsi soforjét a mentok kórházba szállították.</t>
  </si>
  <si>
    <t>Katonatelep SR1</t>
  </si>
  <si>
    <t>A személygépkocsi vezetoje a felváltva villogó piros jelzést adó fénysorompó ellenére hajtott be az útátjáróba. 
The driver of the road vehicle tried to drove through the level crossing while the automatic user side warning machine was showing blinking red lights to her.</t>
  </si>
  <si>
    <t>CZ-6192</t>
  </si>
  <si>
    <t>Trains collision, 17-02-20, Brno, KríÅ¾ová street (Czech Republic)</t>
  </si>
  <si>
    <t>Collision of the tram No. 2/3 with the tram No. 6/1 with consequent derailment.</t>
  </si>
  <si>
    <t>Brno, KríÅ¾ová street</t>
  </si>
  <si>
    <t>PL-6208</t>
  </si>
  <si>
    <t>Level crossing accident, 17-02-20, section Czerwonak - Bolechowo (Poland)</t>
  </si>
  <si>
    <t>On 17.02.2020, during the running of the Wagrowiec – Poznan Glówny train 77486/7 of Koleje Wielkopolskie Sp. z o.o., on track no. 1, Czerwonak - Bolechowo route of Poznan Wschód – Bydgoszcz Glówna railway no. 356, the train ran into a road vehicle, i.e. a MAN truck with a trailer, at a railway crossing cat. “D” at km 7.765, at 7:34 pm. The road vehicle did not stop before the B20 “STOP” sign and drove onto the railway crossing immediately in front of the running train. As a result of the incident, neither the road vehicle driver nor any train crew member or passenger got injured but the rail vehicle, road vehicle and railway infrastructure elements suffered major damage.</t>
  </si>
  <si>
    <t>section Czerwonak - Bolechowo</t>
  </si>
  <si>
    <t>Koleje Wielkopolskie Sp. z o.o.</t>
  </si>
  <si>
    <t>The driving of the truck with a trailer onto the railway crossing immediately in front of the approaching passenger train no. 77486/7, which resulted in the rail vehicle driving onto that road</t>
  </si>
  <si>
    <t>Underlying cause:_x000D_
Failure of the road vehicle driver to exercise special caution and to make sure there is no train approaching, when arriving at the railway crossing.  _x000D_
_x000D_
Indirect cause:_x000D_
The truck driver did not comply with the B20 “STOP” and G-3 signs or P-12 and P-16 road surface markings before driving onto the railway crossing. _x000D_
_x000D_
System cause:_x000D_
The failure of the railway infrastructure manager to implement effective corrective and preventive measures as part of the safety management system (SMS) in cooperation with the road manager following the occurrence of four accidents at the analysed railway crossing in 2012-2020, in the view of incorrect access road gradients on both sides of the railway crossing and lack of the required visibility of the railway crossing from the access road on the right-hand side of the railway crossing.</t>
  </si>
  <si>
    <t>RO-6193</t>
  </si>
  <si>
    <t>Train derailment, 17-02-20, Farcasele - Draganesti Olt (Romania)</t>
  </si>
  <si>
    <t>13 wagons of the freight train no. 34372 derailed in open line between Farcasele and Draganesti Olt railway stations</t>
  </si>
  <si>
    <t>Farcasele - Draganesti Olt</t>
  </si>
  <si>
    <t>S.C. CONSTANTIN GRUP S.R.L.</t>
  </si>
  <si>
    <t>RO-6194</t>
  </si>
  <si>
    <t>Train derailment, 17-02-20, Mintia - Paulis Lunca (Romania)</t>
  </si>
  <si>
    <t>the first and the fourth axles (in the running direction) of the locomotive DA 1680 derailed in open line between Mintia and Paulis Lunca railway stations</t>
  </si>
  <si>
    <t>Mintia - Paulis Lunca</t>
  </si>
  <si>
    <t>CZ-6198</t>
  </si>
  <si>
    <t>Accident to persons caused by RS in motion, 18-02-20, open line between Lichkov station and Lichkov state border (Czech Republic)</t>
  </si>
  <si>
    <t>Collision of the freight train No. 44251 with an external worker.</t>
  </si>
  <si>
    <t>open line between Lichkov station and Lichkov state border</t>
  </si>
  <si>
    <t>CZ-6199</t>
  </si>
  <si>
    <t>Level crossing accident, 21-02-20, open line between Mestec Králové and Chlumec nad Cidlinou stations (Czech Republic)</t>
  </si>
  <si>
    <t>Collision of the regional passenger train No. 15655 with a lorry at the level crossing with consequent derailment.</t>
  </si>
  <si>
    <t>open line between Mestec Králové and Chlumec nad Cidlinou stations</t>
  </si>
  <si>
    <t>Direct cause:_x000D_
• an unauthorized entrance of the lorry at the level crossing No. P4571 at the time when the train No. 15655 was arriving.</t>
  </si>
  <si>
    <t>Underlying cause:_x000D_
• driver’s behavior in front of the level crossing, the lorry driver was not careful enough and he did not stop the car in front of the level crossing on command traffic sign „Stop sign“ at a place where he had a proper view of the railway line and he did not make sure, whether he can safely proceed over the level crossing._x000D_
_x000D_
Root cause: none.</t>
  </si>
  <si>
    <t>CZ-6203</t>
  </si>
  <si>
    <t>Level crossing accident, 21-02-20, level crossing No. P5737 between DobríÅ¡ and Malá HraÅ¡tice stations (Czech Republic)</t>
  </si>
  <si>
    <t>Collision of the regional passenger train No. 2012 with a lorry with consequent derailment.</t>
  </si>
  <si>
    <t>level crossing No. P5737 between DobríÅ¡ and Malá HraÅ¡tice stations</t>
  </si>
  <si>
    <t>HU-6202</t>
  </si>
  <si>
    <t>Spad, 21-02-20, Lokösháza (Hungary)</t>
  </si>
  <si>
    <t>The train no. 27355 passed the signal of Lőkösháza station at danger. Eventually the train was stopped by the engine driver before leaving the station. The passenger train what was coming from the opposite direction (no. 7504), stopped before reaching the entry signal of the station.</t>
  </si>
  <si>
    <t>Lokösháza</t>
  </si>
  <si>
    <t>CER Hungary Zrt. (RU)
MÁV-START Zrt. (RU)</t>
  </si>
  <si>
    <t>No damage (EUR 0)</t>
  </si>
  <si>
    <t>Direct cause(s):	
•	the driver remembered incorrectly the aspect of the entrance signal which also gave pre-indication for the exit signal
•	the locomotive driver was late in checking the aspect of the “K2” exit signal
•	the driver's work was interrupted by a telephone conversation with the dispatcher of the railway company and then by the receive of the journey documents
Contributory factor(s):	
•	the driver was also distracted by the fact that, after a phone call with the dispatcher, he was already planning the rest of the work to be done at Szolnok station when he got back on the locomotive and departed
•	the locomotie driver’s concentration may have been reduced by the fact that he has had to leave home quite early, about four hours before the start of the service</t>
  </si>
  <si>
    <t>RO-6197</t>
  </si>
  <si>
    <t>Unauthorised train movement other than SPAD, 21-02-20, Constanta (Romania)</t>
  </si>
  <si>
    <t>the freight train no.83124-1   was routed in a wrong direction</t>
  </si>
  <si>
    <t>Constanta</t>
  </si>
  <si>
    <t>DE-6216</t>
  </si>
  <si>
    <t>Trains collision with an obstacle, 25-02-20, Weil am Rhein (Germany)</t>
  </si>
  <si>
    <t>Am Di, 25.02.2020 gegen 11:02 Uhr kollidiert das hintere, nach Zugtrennung führerlos entlaufene Triebfahrzeug der Tfzf(D) 99276 (Pratteln - Weil (Rhein); EVU: BLS Cargo) im Bf Weil (Rhein) in Gleis 8 ca. in km 268,054 mit der Baugleissperre 86BG5 und entgleist mit drei Achsen. 
On Tuesday, 25.02.2020 at 11:02 the rear traction unit, which has run out of control after separation of the train, collides the Tfzf(D) 99276 (Pratteln - Weil (Rhein); RUs: BLS Cargo) in the Bf Weil (Rhein) on track 8 approx. in km 268,054 with the derailleur 86BG5 and derailed with three axles.</t>
  </si>
  <si>
    <t>Weil am Rhein</t>
  </si>
  <si>
    <t>Germany - BLS Cargo AG</t>
  </si>
  <si>
    <t xml:space="preserve">Das Tfz entgleiste mit drei Achsen. Die Infrastruktur wurde nur gering beschädigt. </t>
  </si>
  <si>
    <t>Die Ursache des Ereignisses lag in mehreren Arbeitsfehlern des Triebfahrzeugführers (Tf) bei der Zugbildung der Tfzf 99276. Der Tf hatte die beiden Tfz bei der Zugbildung nur elektrisch gekuppelt</t>
  </si>
  <si>
    <t>RO-6209</t>
  </si>
  <si>
    <t>Trains collision, 25-02-20, Balota (Romania)</t>
  </si>
  <si>
    <t>two coupled locomotives that were stabled in Balota railway station ran away and hit the freight train no.60274</t>
  </si>
  <si>
    <t>Balota</t>
  </si>
  <si>
    <t>LTE Rail Eomania SRL; 
GRUP FEROVIAR ROMÂN</t>
  </si>
  <si>
    <t>UK-6241</t>
  </si>
  <si>
    <t>Accident to persons caused by RS in motion, 26-02-20, Eden Park station (United Kingdom)</t>
  </si>
  <si>
    <t>At about 19:05 hrs on Wednesday 26 February 2020, a person suffered fatal injuries after falling from the edge of a platform at Eden Park station, and being struck almost immediately afterwards by the train operating the 19:00 hrs Hayes to London Charing Cross passenger service._x000D_
The person had impaired vision. In common with many British mainline stations, the platform edge was not equipped with a tactile surface designed to warn people with impaired vision when they are near the edge.</t>
  </si>
  <si>
    <t>Eden Park station</t>
  </si>
  <si>
    <t>Immediate cause: 
The person fell from the platform edge as the train was arriving at the platform 
(paragraph 27).
Causal factors: 
The causal factors were:
a. The person moved near to, and fell from, the platform edge, probably because 
he was unaware that he was close to this edge (paragraph 30). 
b. The platform edge was not fitted with tactile surface markings intended to 
assist visually impaired people. This is a possible causal factor (paragraph 36, 
Recommendations 1 and 2).</t>
  </si>
  <si>
    <t>Risk management:
The combined effect of DfT, ORR, RSSB, Network Rail and Southeastern 
Railway’s processes and guidance means that safety-based justifications for 
platform edge markings (including tactile surfaces) to aid visually impaired people 
are not always effectively considered (paragraph 56, Recommendations 1 and 
2). 
Factors associated with the emergency service response:
Provision of medical care to the person was delayed because emergency 
services staff were unable to confirm that it was safe to access the track until a 
RIO had arrived on-scene (paragraph 84, Recommendation 6). 
Additional observations: 
The low awareness and satisfaction levels linked to the railway’s arrangements 
for the assistance of disabled passengers and alternative travel provision 
means that these measures should not solely be relied upon as an interim or 
permanent alternative to the installation of tactile surfaces (paragraph 108, 
Recommendation 3).
131 Information about the presence of tactile surfaces at station platforms is not 
made publicly available by station operators to support visually impaired 
people in planning their journeys and travelling safely (paragraph 113, 
Recommendation 4).
132 The RSSB tools used to manage risk at the platform-train interface do not include 
adequate consideration of the risk to disabled passengers (paragraph 118, 
Recommendations 1 and 5)</t>
  </si>
  <si>
    <t>RO-6210</t>
  </si>
  <si>
    <t>Fire in RS, 27-02-20, Aghires - Stana (Romania)</t>
  </si>
  <si>
    <t>the hauling diesel electric locomotive DA 1072 of the freight train no. 41121A caught fire in open line between Aghires and Stana</t>
  </si>
  <si>
    <t>Aghires - Stana</t>
  </si>
  <si>
    <t>CZ-6211</t>
  </si>
  <si>
    <t>Accident to persons caused by RS in motion, 28-02-20, Tábor station (Czech Republic)</t>
  </si>
  <si>
    <t>The collision of the regional passenger train No. 18402 with the worker (the employee of the infrastructure manager).</t>
  </si>
  <si>
    <t>Tábor station</t>
  </si>
  <si>
    <t>Direct cause:_x000D_
• the employee of the IM was moving in the operated train route and he did not leave the structure gauge while the train No. 18402 was moving.</t>
  </si>
  <si>
    <t>Underlying causes:_x000D_
• failure to comply the established technological procedures of the IM for activities in the operated non-excluded track when employees move, stay and make activities in this track;_x000D_
• failure to check and require the fulfillment of the ordered safety measures which result in situation when safety of the killed employee of the IM during his movement, stay and activity in the track was not ensured._x000D_
Root cause: none.</t>
  </si>
  <si>
    <t>CZ-6212</t>
  </si>
  <si>
    <t>Train derailment, 28-02-20, Revnice station (Czech Republic)</t>
  </si>
  <si>
    <t>Unsecured movement of the service train No. 57394 with consequent derailment and collision with a standing special rolling stock.</t>
  </si>
  <si>
    <t>Revnice station</t>
  </si>
  <si>
    <t>Infrastructure works train; 
Other</t>
  </si>
  <si>
    <t>Direct cause:_x000D_
• an unintended movement of the service train No. 57394 through the switch No. 9 which was switched into the wrong (branching-off) direction to station track No. 5.</t>
  </si>
  <si>
    <t>Underlying cause:_x000D_
• disconnection of the switch No. 9 of the Revnice station from mechanical point machine and from central creation of the train routes without taking appropriate traffic measures within the repair works._x000D_
Root cause: none.</t>
  </si>
  <si>
    <t>NO-6223</t>
  </si>
  <si>
    <t>Wrong-side signaling failure, 2/3/2020, Grønland Metro station (nearby Oslo)</t>
  </si>
  <si>
    <t>On Monday 2 March 2020 at 13.38, a signal error occurred at Grønland Metro Station in Oslo, Norway. Relay 155LO for green light control was incorrectly stuck in the attracted positioning indicating to other systems that it is clear. This caused the main signal T155 to go dark, while the Automatic Train Protection (ATP) equipment onboard the train showed M (drive 50 km/h) and the information to the traffic manager displayed green light. This incident had no direct consequences, but a similar fault elsewhere in the signaling system could have led to a metro train running into the back of another metro train at up to 70 km/h.
The reason why there was no correspondence between the main signal, ATP and the information to the traffic manager is related to the fact that there are different conditions that are used to display a “green” signal. In this case, the main signal became dark because the conditions of the sources that the signal checks were not present to give the green light. The conditions for the ATP and information to the traffic manager to display “green” were not the same as the main signal, and these two systems therefore showed incorrect information.
The investigation has revealed that LO relays (PN-150BL) were used in a way that they are not designed for, which means that over time a contact has been damaged and failed. It may have been a design error in the signaling system from the original implementation in the 1960s, but due to lack of documentation, this has not been possible to determine. However, it has been found shortcomings in Oslo Metro’s system for controlling component properties in 2005, when all LO relays were replaced. In addition, it has been revealed that the maintenance regime for this relay has been inadequate and lacked important prerequisites for detecting damage and defects.
The Norwegian Safety Investigation Authority issues two safety recommendations in this investigation. They concern that Oslo Metro must have a process for replacement and maintenance that ensures that all components of the signaling system can withstand the load they are subjected to, and that ATP and information to the train dispatcher reflect the signal image of the main signals.</t>
  </si>
  <si>
    <t>Grønland metro station</t>
  </si>
  <si>
    <t>Sporveien AS</t>
  </si>
  <si>
    <t xml:space="preserve">Relay 155LO for green light control was incorrectly stuck in the attracted positioning indicating to other systems that it is clear. </t>
  </si>
  <si>
    <t>The investigation has revealed that LO relays (PN-150BL) were used in a way that they are not designed for, which means that over time a contact has been damaged and failed. It may have been a design error in the signaling system from the original implementation in the 1960s, but due to lack of documentation, this has not been possible to determine. However, it has been found shortcomings in Oslo Metro’s system for controlling component properties in 2005, when all LO relays were replaced. In addition, it has been revealed that the maintenance regime for this relay has been inadequate and lacked important prerequisites for detecting damage and defects.</t>
  </si>
  <si>
    <t>BE-6236</t>
  </si>
  <si>
    <t>Level crossing event, 03-03-20, Moelingen (Belgium)</t>
  </si>
  <si>
    <t>Incident with numerous road vehicles crossing an LC in Moelingen while the red warning lights are flashing.</t>
  </si>
  <si>
    <t>Moelingen</t>
  </si>
  <si>
    <t xml:space="preserve">No damage </t>
  </si>
  <si>
    <t>Road users ignored the highway code and crossed a level crossing when the red traffic lights were flashing in alternation</t>
  </si>
  <si>
    <t>Indirect factor: Attitude of road users: instrumental attitude, affective attitude, informational social influence, familiarity and lack of awareness of the risks are conscious but not malicious factors that prompt road users to cross a level crossing unauthorised. Underlying factors: Presence of level crossings, management of level crossing incident.</t>
  </si>
  <si>
    <t>RO-6219</t>
  </si>
  <si>
    <t>Other event, 03-03-20, Pitesti (Romania)</t>
  </si>
  <si>
    <t>the movement inspector from Pitesti railway station has set wrong route  for the passenger train no. 1892 to the track no.2, track that was occupied with another passenger train</t>
  </si>
  <si>
    <t>Pitesti</t>
  </si>
  <si>
    <t>Cauza directa_x000D_
_x000D_
Producerea incidentului feroviar a fost generata de efectuarea incorecta a parcursului de primire a trenului de calatori nr.1892, care a constat în manipularea necorespunzatoare a macazului schimbatorului de cale nr.19 si a butonului de parcurs de la tabloul mecanic._x000D_
Factori care au contribuit_x000D_
1.	Neefectuarea corecta de catre acar a parcursului de primire a trenului de calatori nr.1892 dupa primirea dispozitiei de la revizorul de ace;_x000D_
2.	Neverificarea cheilor încuietorilor de macaz primite de la acar de catre revizorul de ace dupa efectuarea parcursului de primire;_x000D_
3.	Neverificarea parcursului de primire a trenului de calatori nr.1892 de catre revizorul de ace dupa efectuarea acestuia de catre acar;_x000D_
4.	Nemontarea pe teren a indicatorului de pozi?ie macaz dupa efectuarea lucrarilor de reabilitare a liniei._x000D_
5.	Manipularea necorespunzatoare în tabloul mecanic de chei a butonului de parcurs al liniei nr.2 în loc de butonul de parcurs al liniei nr.1._x000D_
6.	Problemele personale neraportate ?efului ierarhic care au diminuat capacitatea de concentrare. 
Direct cause_x000D_
_x000D_
The incident was generated by the wrong setting of the reception route for the passenger train no.1892, consisting in the improper operation of the switch no.19 and of the route button from the mechanic panel._x000D_
Contributing factors_x000D_
1.	The pointsman set wrong the reception route for the passenger train no.1892, after receiving the disposal from the points examiner;_x000D_
2.	Not-checking of the keys of the switch locks, received by the points examiner from the pointsman after setting the reception route;_x000D_
3.	Not-checking of the reception route for the passenger train no.1892 by the points examiner after its setting by the pointsman;_x000D_
4.	Not fitting on site of the switch position indicator after the completion of the line rehabilitations._x000D_
5.	Improper operation on the key mechanic panel of the route button for the line no.2 instead the route button for the line no.1._x000D_
6.	The personal problems which were not notified to the hierarchical head and which decreased the concentration capacity.</t>
  </si>
  <si>
    <t>Cauze subiacente_x000D_
1.	nerespectarea prevederilor din FISA POSTULUI nr.422/311/28.06.2018-Statia CF Pitesti – Divizia Trafic pentru functia revizor ace, punctul 6, aliniatul 13, referitoare la verificarile care trebuia sa le efectueze revizorul de ace dupa primirea cheilor încuietorilor de macaz de la acar, mai pu?in verificarea vizuala pe teren dupa indicatoarele de macaz (care nu exista sau sunt neconforme) a executarii corecte a parcursului;_x000D_
2.	nerespectarea prevederilor din REGLEMENTARI PRIVIND FUNCTIONAREA INSTALATIILOR S.B.W., ATM, BLA DIN STATIA PITESTI – SECTIA CT3 ROSIORI – DIVIZIA INSTALATII CRAIOVA,, CAPITOLUL III, subcapitolul I, punctul 1, aliniatul 2, referitoare la neefectuarea corecta a parcursului de primire de catre acar si verificarea care trebuia sa o efectueze revizorul de ace dupa primirea cheilor încuietorilor de macaz de la acar;_x000D_
3.	nerespectarea prevederilor din REGLEMENTARI PRIVIND FUNCTIONAREA INSTALATIILOR S.B.W., ATM, BLA DIN STATIA PITESTI – SECTIA CT3 ROSIORI – DIVIZIA INSTALATII CRAIOVA,, CAPITOLUL III, subcapitolul III, punctul 2, referitoare la manipularea butoanelor de parcurs ale tabloului mecanic de chei care trebuia sa o efectueze revizorul de ace;_x000D_
4.	imposibilitatea respectarii prevederilor din Regulamentul de Semnalizare nr. 004/2006, art.133 alin(1), referitoare la luarea la cunostinta de catre revizorul de ace a indicatiei date de  indicatorul pentru pozitia macazului întrucât indicatoarele pentru pozi?ia macazului nu exista;_x000D_
5.	nerespectarea prevederilor din Regulamentul pentru circulatia trenurilor si manevra vehiculelor feroviare, nr.005/2005, art.142, pct. a si b, referitoare la verificarea de catre revizorul de ace a cheilor de macaz aduse de acar si a indicatoarelor macazurilor daca corespund parcursului comandat. _x000D_
_x000D_
Cauze primare_x000D_
_x000D_
1.	Instala?iile SBW – ATM montate în sta?ia CFR Pite?ti sunt astfel concepute încât nu asigura la aparatul de comanda de la biroul de mi?care controlul liniei la care s-a executat parcursul comandat._x000D_
2.	Aparatul de comanda din biroul IDM nu controleaza decât intrarile sau ie?irile din cele 3 direc?ii de mers respectiv Gole?ti, Bradu de Sus ?i Pite?ti Nord. _x000D_
3.	Linia la care se efectueaza parcursul este controlata numai de tabloul mecanic cu chei care nu este în dependen?a din acest punct de vedere cu aparatul de comanda din biroul IDM._x000D_
4.	Controlul IDM asupra liniei la care se efectueaza parcursul este dat numai de raportarea revizorului de ace._x000D_
5.	Instala?ia permite ca revizorul de ace sa poata efectua parcurs corect la o linie ?i sa raporteze efectuarea parcursului la o alta linie._x000D_
6.	Nemodificarea fi?ei postului revizorului de ace care prevede la punctul 6, aliniatul 13, ca trebuie sa verifice vizual pe teren dupa indicatoarele de macaz (care nu exista sau sunt neconforme) executarea corecta a parcursului. 
Underlying causes_x000D_
1.	Inobservance of the provisions from the JOB DISCRIPTION no.422/311/28.06.2018-Railway station Pitesti – Traffic Division for the job points examiner, point 6, paragraph 13, regarding the inspections that had to be done by the points examiner after receiving the keys of the switch locks from the pointsman, lesser the visual inspection on site upon the switch indicators (that are not or are not comply with) of the wright setting of the route;_x000D_
2.	Inobservance of the provisions from the REGULATIONS FOR THE WORKING OF THE INSTALATIONS S.B.W., ATM, BLA OF THE RAILWAY STATION PITESTI – SECTION CT3 ROSIORI – DIVISION OF INSTALLATIONS CRAIOVA,, CHAPTER III, subchapter I, point 1, paragraph 2, regarding the wrong setting of the reception route by the pointsman and the inspection that the points examiner had to do after receiving the keys of the switch locks from the pointsman;_x000D_
3.	Inobservance of the provisions from the REGULATIONS FOR THE WORKING OF THE INSTALATIONS S.B.W., ATM, BLA OF THE RAILWAY STATION PITESTI – SECTION CT3 ROSIORI – DIVISION OF INSTALLATIONS CRAIOVA,, CHAPTER III, subchapter III, point 2,  regarding the operation of route buttons on the key mechanic panel, that had to be done by the points examiner;_x000D_
4.	impossibility to comply with the provisions from the Signalling regulations no. 004/2006, art.133 paragraph (1), regarding the acquaintance by the points examiner of the position given by the indicator for the switch position, because the indicators for the switch position are not;_x000D_
5.	inobservance of the provisions from the Regulations for the train running and shunting of railway vehicles, no.005/2005, art.142, points a and b, regarding the inspection by the points examiner of the switch keys brought by the pointsman and of the switch indicators, if they are suitable to the commanded route. _x000D_
_x000D_
Root causes_x000D_
1.	The installations SBW – ATM fitted in the railway station Pite?ti have a such design so they do not ensure the control on the command equipment from the movements office for the line to which the route was ordered._x000D_
2.	The command equipment from the office of the movements inspector control only the entries or exits from those 3 running directions, respectively Gole?ti, Bradu de Sus and Pite?ti Nord. _x000D_
3.	The line on which the route is set is controlled only by the key mechanic panel that is not dependent from this point of view on the command equipment from the office of the movements inspector._x000D_
4.	The control performed by the movements inspector at the line on which the route had to be set is given only in the report of the points examiner._x000D_
5.	The installation allows that the points examiner be able to set a right route at a line and to notify the setting of the route at another line._x000D_
6.	The job description of the points examiner was not changed, it stipulating at point 6, paragraph 13, that it needs the visual inspection on site upon the switch indicators (that are not or are non compliant) the rigt setting of the route.</t>
  </si>
  <si>
    <t>ES-10002</t>
  </si>
  <si>
    <t>Operational event, 4/3/2020, Xeraco</t>
  </si>
  <si>
    <t>Comisión de Investigación de Accidentes Ferroviarios (NIB-ES)</t>
  </si>
  <si>
    <t>A previous malfunction of a switch at Xeraco station forced the signaler at Central Control to manually order itineraries and authorize trains to move from Xeraco to Tavernes. The line between both stations has a single track and is equipped with an automatic Routing and Priority Management system (GRP in Spanish acronym). The signaler had disabled the GRP system at Xeraco station and others, but he forgot to disable it at Tavernes.
The signaler manually authorized a train to leave from Xeraco station bound to Tavernes, and after that, the blocking system passed to a neutral state for a while. In this time lapse, the working GRP system at Tavernes automatically triggered an itinerary from Tavernes to Xeraco and dispatched another train. This caused a risk situation as two trains with opposite directions entered the single track section between both stations. The signaler detected the automatic dispatching of the second train and intervened, ordering both trains to stop. No personal nor material damages.
The Spanish NIB decided to conduct a preliminary enquiry on this occurrence before deciding whether to make an investigation report or not. Preliminary enquiry concluded by the end of October of 2020, and the NIB decided to conduct a complete investigation report on the incident, so it is notified now to the EUAR. Due to current problems with ERAIL system, it has not been possible to send a notification on this until now.</t>
  </si>
  <si>
    <t>Xeraco station (province of Valencia)</t>
  </si>
  <si>
    <t>Renfe Viajeros (ES)</t>
  </si>
  <si>
    <t>Adif (ES)</t>
  </si>
  <si>
    <t>&lt; 150 000 EUR</t>
  </si>
  <si>
    <t>Operational incident, no material damages</t>
  </si>
  <si>
    <t>EU 2016/798 Article 20 2. (a)</t>
  </si>
  <si>
    <t>The direct cause was a human error of the dispatcher at the Control Centre, because he dispatched train #24294, bound to Tavernes, without previously assuring the blocking of the itinerary Xeraco-Tavernes, and without having disabled the GRP system at Tavernes [SEE RECOMMENDATION #1].
This happened because the Tavernes GRP, still working, blocked the opposite itinerary (Tavernes-Xeraco), while the dispatcher was preparing the exit of train #24294.</t>
  </si>
  <si>
    <t>The failure of the switch A1 at Xeraco station caused the degraded operating situation that led to this incident.
The GRP system regulation AOI 28/17 is somehow ambiguous, as it doesn’t clearly state that the system must be disabled also in collateral stations (in addition to those with any issues). The experience of this incident points out that, even when that automatic system is disabled in a station with a failure, the system of the collateral stations can continue automatically sending trains bound to the affected station, creating risky situations if there is any safety issue [SEE RECOMMENDATIONS #2 and #3].</t>
  </si>
  <si>
    <t>DK-10133</t>
  </si>
  <si>
    <t>Level crossing accident, 05/03/2020, Odder, Denmark</t>
  </si>
  <si>
    <t>En mørk kassevogn, der kørte fra Aarhusvej ad grusvejen til Aarhusvej nr. 138, kørte i
overkørsel 63 ind foran letbanetog 12273 (togsæt nr. 1106), der kom fra Odder.
Bilen blev ramt i højre side, ved højre fordør og snurret vandret rundt om egen akse, hvorefter den endte på marken til venstre for sporet og til venstre for grusvejen.
Føreren af bilen blev alvorligt kvæstet ved kollisionen og der opstod skader på især bilens
højre side og på letbanetogsættets front og højre side.</t>
  </si>
  <si>
    <t>Odder</t>
  </si>
  <si>
    <t>Arhus Letbane</t>
  </si>
  <si>
    <t>FR-6222</t>
  </si>
  <si>
    <t>Train derailment, 05-03-20, Ingenheim (France)</t>
  </si>
  <si>
    <t>Derailment of a TGV following the collapse of cutting on the east European high speed line</t>
  </si>
  <si>
    <t>Ingenheim</t>
  </si>
  <si>
    <t>The accident causes one serious injury, the train driver, and 21 minor injuries among the 307 people on board. The material damages are high. The front engine and the first three coaches of the train were heavily damaged. Both tracks were disabled for the 1,635 metres travelled by the derailed wheels. The embankment of the cuttings at the origin of the derailment has collapsed over its entire height and over a width of some 60 metres.</t>
  </si>
  <si>
    <t>The immediate cause of the high speed train derailment was the impact on a deposit of material on the track from the adjacent embankment slide.</t>
  </si>
  <si>
    <t>The cause of the landslide is the instability of the slope due to the low strength of a geological formation of clays constituting it. The strength of this formation was overestimated in the stability justification at the time of design.
Several factors have been identified as possibly contributing to this situation:
    - the weakness of the soil investigations with regard to the determination of the geomechanical parameters used for the justification of the stability in design
    - the failure to verify the choice of these parameters despite several collapses that occurred during the earthworks;
    - the failure to detect these two shortcomings by the actors involved in the project, none of whom played, at the level of control concerning them, the role of catching up that their intervention would have allowed.</t>
  </si>
  <si>
    <t>RO-6220</t>
  </si>
  <si>
    <t>Other event, 05-03-20, Teius (Romania)</t>
  </si>
  <si>
    <t>the movement inspector from Teius railway station has set wrong route for the passenger train no.1818 to the line no.5 from the station, line that was occupied by the passenger train no.12746</t>
  </si>
  <si>
    <t>Teius</t>
  </si>
  <si>
    <t>Cauza directa_x000D_
_x000D_
           Cauza directa a incidentului feroviar a fost efectuarea eronata de catre IDM dispozitor a parcursului de intrare a trenului nr 1818.  _x000D_
Factori care au contribuit_x000D_
Efectuarea parcursului de intrare prin manipularea individuala a macazurilor ca urmare a lucrarilor de între?inere bianuala a aparatelor de cale 
Direct cause_x000D_
The direct cause of the incident was the wrong setting of the entry route for the train no 1818 by the disposing station movements inspector.  _x000D_
Contributing factors_x000D_
Setting of the entry route by the individual operation of the switches, following the biannual maintenance works at the switches.</t>
  </si>
  <si>
    <t>Cauze subiacente_x000D_
_x000D_
1. Nerespectarea prevederilor art. 207,  litera d, din Regulamentul pentru circula?ia trenurilor ?i manevra vehiculelor feroviare Nr. 005/2005, referitoare la verificarea parcursului trenului pe luminoschema sau pe display, daca corespunde pentru trenul, linia ?i direc?ia comandata 
Underlying causes_x000D_
1. Inobservance of the provisions of art. 207, letter d, from the Regulation for the running of the trains and shunting of the railway vehicles no. 005/2005, regarding the checking of the train route on the track diagram or on the display, if the line and the ordered direction suit._x000D_
_x000D_
Root causes - none</t>
  </si>
  <si>
    <t>SE-6266</t>
  </si>
  <si>
    <t>Level crossing accident, 05-03-20, Hofors (Sweden)</t>
  </si>
  <si>
    <t>A truck with a trailer transporting a rock crusher got stuck on the level crossing Fäbodbäcksvägen in Hofors and was hit by SJ train 8179. Six persons in the train suffered, according to initial reports, minor injuries. The train, the truck and the railroad track suffered material damages.</t>
  </si>
  <si>
    <t>Hofors</t>
  </si>
  <si>
    <t>RO-6221</t>
  </si>
  <si>
    <t>Other event, 06-03-20, Arad (Romania)</t>
  </si>
  <si>
    <t>the route for the passenger train no.1766 was wrong set in Arad railway station and the train was dispatched to Aradu Nou railway station instead to Glogovat railway station</t>
  </si>
  <si>
    <t>PL-6227</t>
  </si>
  <si>
    <t>Trains collision, 09-03-20, Szymankowo (Poland)</t>
  </si>
  <si>
    <t>The train No LTE 555122 consisted of 1 electric locomotive running solo type E186-261 aproaching Szymankowo operated by HSL Polska railwau undertaking station collided with driaisine type WMB10-182 operated by PKP PLK operated by infrastructure manager. The draisine passed the "Stop" signal and entered in the way of the train No LTE555122. As a result of the accident _x000D_
2  persons form the staff of the draisine were killed.</t>
  </si>
  <si>
    <t>Szymankowo</t>
  </si>
  <si>
    <t>Locomotive running solo; 
Infrastructure works train</t>
  </si>
  <si>
    <t>UK-6228</t>
  </si>
  <si>
    <t>Runaway, 09-03-20, Horrocksford Junction (United Kingdom)</t>
  </si>
  <si>
    <t>At about 08:20 hrs on 9 March 2020, a tank wagon loaded with cement powder ran away from a siding located within the Hanson cement works in Clitheroe._x000D_
The wagon left the works and continued to run away on the descent towards Horrocksford Junction, where the line to the cement works connects to the main railway line from Blackburn to Hellifield._x000D_
As it ran away, the wagon broke through the gates at the exit from the cement works and ran over an open level crossing located on a public road, causing two cars to stop. A short distance later, the wagon passed over an open crossing on a private road. Neither level crossing had its manually activated warning equipment switched on before the wagon passed over._x000D_
On reaching Horrocksford Junction, the wagon derailed at the end of the run-out rails for a set of trap points. The trap points worked as intended to prevent such unauthorised movements from reaching the main line. The derailed wagon stopped clear of the main line and no trains were nearby when the derailment occurred. The wagon ran away for a total distance of about 0.75 miles (1.2 km).</t>
  </si>
  <si>
    <t>Horrocksford Junction</t>
  </si>
  <si>
    <t>HU-10053</t>
  </si>
  <si>
    <t>Spad, 15-03-20, Vác Station, Hungary</t>
  </si>
  <si>
    <t>NIB HU</t>
  </si>
  <si>
    <t>For the passenger train no. 32228 the route was set incorrectly by the signaller from track no. 4b instead from track no. 3b at Vác station. The train left the station this way: passed a signal at danger and opened up a switch.</t>
  </si>
  <si>
    <t>Vác Station, Hungary</t>
  </si>
  <si>
    <t>ARRIVA vlaky s. r. o.</t>
  </si>
  <si>
    <t>Direct cause(s):	
•	the traffic controller in the computer did not lock the proper track route for the train that was actually departing, and then gave instructions to his co-worker to authorise the train driver verbally, without ensuring that the track route had actually been formed, because he was not staying at his place of work
•	the external traffic controller, on the basis of receiving an incorrect verbal instruction, authorised the locomotive driver without checking the aspect of the exit signal
•	under the influence of the authorisation and the signal from the exit signal of the adjacent track allowing the train to proceed, the driver started his train without checking the signal concerning his train, and did not check the signal either while moving towards it
Contributory factor(s):	
•	after a change of direction, continuous train controlling does not work on the train until the new track route setting is made, so the more frequently given vigilance alert does not help the driver detect the situation, nor does the emergency brake apply when passing a signal at danger
•	because of the spatial position of the signals, their apparent order due to the curve in the track causes problems when checking them
•	the movement inspector on the platform was accustomed to the fact that in daylight the signals were not clearly visible, so he did not even attempt to check them by stepping back from the train in the dark, nor did he ask about the aspect of the exit signal by radio</t>
  </si>
  <si>
    <t>FR-6337</t>
  </si>
  <si>
    <t>Accident to persons caused by RS in motion, 18-03-20, Schiltigheim (France)</t>
  </si>
  <si>
    <t>A passager train hits three agents of the infrastructure manager carrying out a track inspection tour.</t>
  </si>
  <si>
    <t>Schiltigheim</t>
  </si>
  <si>
    <t>One staff killed, one seriously injuried, and one slightly injured</t>
  </si>
  <si>
    <t>Misunderstanding during an exchange of information between the maintenance staff and the traffic controller</t>
  </si>
  <si>
    <t>Significant deviations in the application of safety instructions due to several organisational and human factors</t>
  </si>
  <si>
    <t>CZ-6317</t>
  </si>
  <si>
    <t>Trains collision, 20-03-20, Kolín station (Czech Republic)</t>
  </si>
  <si>
    <t>Collision of the shunting operation with a detached rolling stocks</t>
  </si>
  <si>
    <t>HR-6226</t>
  </si>
  <si>
    <t>Train derailment, 20-03-20, cakovec (Croatia)</t>
  </si>
  <si>
    <t>derailment of the passenger train number 3300 on the derailer number I-1. in the Cakovec station 
iskliznuce putnickog vlaka broj 3300 na iskliznici broj I-1. u kolodvoru Cakovec</t>
  </si>
  <si>
    <t>Cakovec</t>
  </si>
  <si>
    <t>The direct cause of the accident in question is the derailment of the trailer DMG 4 121 028, part of the 
passenger set 7 121 028, with the second axle of the first bogie on the derailer I-3 on the 21st (stub) track</t>
  </si>
  <si>
    <t xml:space="preserve">Contributing factors: - non-compliance with the prescribed work processes of the operating internal train operator, - non-compliance with the prescribed work processes of the operating external operator, - non-compliance with the prescribed work processes of the service switchman of block II, - non-compliance with the prescribed work processes by the involved train driver. Organizational factors: - departure of the included train from the track which is not prescribed in accordance with the Station Rules of Procedure, - exchange of information between internal train operator and external train operator, - exchange of information between the internal train operator and the switchman of block II </t>
  </si>
  <si>
    <t>HU-6269</t>
  </si>
  <si>
    <t>Spad, 21-03-20, Isaszeg (Hungary)</t>
  </si>
  <si>
    <t>Freight train passed signal at danger, 200 m</t>
  </si>
  <si>
    <t>Isaszeg station</t>
  </si>
  <si>
    <t>MMV Zrt.</t>
  </si>
  <si>
    <t>The driver did not see the signal</t>
  </si>
  <si>
    <t>Driver training; control system configutarion</t>
  </si>
  <si>
    <t>HU-10007</t>
  </si>
  <si>
    <t>Train derailment, Püspökladány</t>
  </si>
  <si>
    <t>The engine and 5 waggons has derailen on a switch</t>
  </si>
  <si>
    <t>Püspökladány</t>
  </si>
  <si>
    <t>Rail Cargo Hungary (H-RCH)</t>
  </si>
  <si>
    <t>Magyar Államvasutak (H-MÁV)</t>
  </si>
  <si>
    <t>150 000 - 2 000 000 EUR</t>
  </si>
  <si>
    <t>Engine and track</t>
  </si>
  <si>
    <t>Broken rail</t>
  </si>
  <si>
    <t>RO-6225</t>
  </si>
  <si>
    <t>Fire in RS, 23-03-20, Utvinisu Nou - Santana (Romania)</t>
  </si>
  <si>
    <t>the diesel multiple unit 1017, the second in the passenger train no 3111 consist caught fire in open line between Utvinisu Nou and Santana railway stations</t>
  </si>
  <si>
    <t>Utvinisu Nou - Santana</t>
  </si>
  <si>
    <t>UK-6234</t>
  </si>
  <si>
    <t>Trains collision, 23-03-20, Bromsgrove (United Kingdom)</t>
  </si>
  <si>
    <t>At about 22:43 hrs on Monday 23 March 2020, a 3-coach class 170 passenger train, operating the 21:05 Cardiff Central to Birmingham New Street service, was approaching Bromsgrove station when it collided with a class 66 locomotive that had become derailed at the end of a siding. The passenger train suffered significant damage along the side of all three vehicles, although it remained on the track and did not derail. There were 4 passengers and 2 crew on board the passenger train and none reported any injuries._x000D_
The locomotive had just travelled from Bescot to Bromsgrove, to act as a banking locomotive required to assist heavy freight trains up the 1 in 37 Lickey incline to the north of the station. It derailed as it ran through the buffers at the end of the siding adjacent to the mainline, and stopped with its front left corner foul of northbound trains. The driver of the locomotive was not injured in the collision, although the locomotive suffered damage to the corner of the leading cab.</t>
  </si>
  <si>
    <t>Bromsgrove</t>
  </si>
  <si>
    <t>The locomotive became foul of the main line shortly before the passenger service arrived (paragraph 44)</t>
  </si>
  <si>
    <t>The causal factors were:_x000D_
a The locomotive derailed to a position foul of the main line (paragraph 47)._x000D_
This causal factor arose due to a combination of the following:_x000D_
i The driver was distracted from the driving task as the locomotive entered the siding, resulting in the collision with the buffer stop (paragraph 49,_x000D_
Learning point 1)._x000D_
ii The locomotive deviated to the left after collision with the buffer stop (paragraph 58, No Recommendation)._x000D_
b There was no opportunity to stop the passenger train before the collision (paragraph 72, Learning points 2 and 3).</t>
  </si>
  <si>
    <t>UK-6253</t>
  </si>
  <si>
    <t>Spad, 26-03-20, Loughborough (United Kingdom)</t>
  </si>
  <si>
    <t>At around 10:57 hrs on 26 March 2020, a northbound train passed a red signal without authority, about 0.75 miles (1.2 km) south of Loughborough station. The train passed the signal, LR507, by around 200 metres. Signal LR507 applies to the down slow line, and was protecting the crossover south of Loughborough station which was set for use by a southbound train calling at the bi-directional, down slow platform 3. The maximum line speed on approach to the signal is 65 mph (104 km/h)._x000D_
The train was formed of an empty four-car class 710 unit and two class 57 locomotives; one at each end. It was operated by Rail Operations Group (ROG). The class 710 unit was being moved from a testing site at Old Dalby to storage at Worksop. Under these circumstances, a class 710 unit does not run with operational brakes; instead, braking is provided only by the two locomotives, which are connected by a brake pipe which is passed through the carriages of the unit._x000D_
The signal on the approach to LR507, LR503, was displaying a single yellow aspect as would be expected. The driver applied the brakes before reaching signal LR507, but the retardation was not sufficient to stop the train from the speed at which it was travelling, before it passed the red signal.</t>
  </si>
  <si>
    <t>Loughborough</t>
  </si>
  <si>
    <t>The manner in which the train was driven meant it was unable to stop before passing the red signal (paragraph 39)</t>
  </si>
  <si>
    <t>The causal factors were:_x000D_
a. The train speed was too high on the approach to the yellow signal (paragraph 42, Learning point 1)_x000D_
b. The braking applied by the driver was insufficient, for the speed at which the train was travelling, to stop the train before it passed the red signal (paragraph 50, no recommendation)._x000D_
Underlying factor_x000D_
83 ROG’s management assurance processes did not detect a lack of compliance with its own safety management system in areas that resulted in the driver and shunter being inadequately prepared for the movement of the train (paragraph 58, Recommendation 1).</t>
  </si>
  <si>
    <t>NO-10078</t>
  </si>
  <si>
    <t>Train derailment, 27-03-20, Bergseng, Dovrebane (Norway)</t>
  </si>
  <si>
    <t>Den 27. mars 2020 kl. 1254 var tog 5731 fra CargoNet AS på vei fra Alnabru til Trondheim. Fører har opplyst at han hadde «kjør» og «forvent kjør» i innkjør hovedsignal A på Bergseng stasjon, men at signalet skiftet til «stopp» mens toget var inne på stasjonen. Som følge av dette tok fører nødbrems og merket samtidig et «rykk» i toget som kunne sammenlignes med et slakt kobbel mellom lokomotiv og vogn. Rett etter
ringte togleder og gav beskjed om at det ikke var kontroll på sporveksel 1 som toget hadde passert. Fører oppdaget da at vogn 6 (Lgns 4276 4432 078-5) i toget hadde sporet av. Lagerhavariet skjedde på vognas fremste aksel, på venstre side.
Avsporingsmerket ble funnet ved km 172,957. Vogna gikk avsporet i 2 053 m og stanset ved km 175,100. Resten av akseltappen og akselkassehuset ble funnet langs sporet, ca.
50 m før avsporingsmerket. Støvringen ble også funnet i sporet. Bane NOR SF anslår at ca. 3 500 sviller ble skadet.</t>
  </si>
  <si>
    <t>Bergseng, Dovrebane</t>
  </si>
  <si>
    <t>Directive 2016/798, article 20.1</t>
  </si>
  <si>
    <t>DE-6237</t>
  </si>
  <si>
    <t>Trains collision with an obstacle, 02-04-20, Müllheim (Baden) - Schliengen (Germany)</t>
  </si>
  <si>
    <t>Am 02.04.2020 gegen 19:30 Uhr kollidierte DGS 43635 der SBB Cargo Deutschland GmbH auf der VzG-Strecke 4000 zwischen Müllheim (Baden) und Schliengen in km 240,2 mit einem auf die Gleise gestürzten ca. 140 t schweren Brückenteil aus Beton. Der Zug war ein Zug der rollenden Landstraße (RoLa) auf der Fahrt von Freiburg Gbf nach Novara Boschetto (Italien). 
On 02. 04. 2020 at about 19:30 h DGS 43635 of SBB Cargo Deutschland GmbH collided on the VzG route 4000 between Müllheim (Baden) and Schliengen at km 240. 2 with an approx. Concrete bridge element weighing 140 t. The train was a train of the rolling road (RoLa) on the journey from Freiburg Gbf to Novara Boschetto (Italy).</t>
  </si>
  <si>
    <t>Müllheim (Baden) - Schliengen</t>
  </si>
  <si>
    <t>Das Triebfahrzeug (Tfz) und die ersten neun Wagen entgleisten mit allen Achsen. An den Fahrzeugen und der Infrastruktur entstand erheblicher Sachschaden.</t>
  </si>
  <si>
    <t>Beim Rückbau der bisherigen Straßenüberführung (SÜ) Fischerpfad kam es zum Absturz eines Brückenteils. Der Absturz wurde durch das Versagen der Kippsicherung ausgelöst.</t>
  </si>
  <si>
    <t>LV-5919</t>
  </si>
  <si>
    <t>Rolling stock events, 02-04-20, Riga, Republic of Latvia (Latvia)</t>
  </si>
  <si>
    <t>2020. gada 2. aprili plkst 15.20 veicot vilciena Nr. 1355 sastava tehnisko apkopi stacija Škirotava, vagonam Nr. 94963246 konstateta galvena ramja kreisas sansijas plaisa (kopejais garums 650 mm, platums 6 mm) 
April 2, 2020 3:20 PM at the Škirotava station, during the inspection of trains No.1355 rolling stock, for wagon No.94963246 a crack in the left side of the main frame was detected (total length 650 mm, width 6 mm).</t>
  </si>
  <si>
    <t>LV-6240</t>
  </si>
  <si>
    <t>Level crossing accident, 04-04-20, Open line between station Ilmaja â€“ Kalvene</t>
  </si>
  <si>
    <t>On April 4, 2020, at 8:50am, in level crossing at Km182,7 of the line between station Ilmaja – Kalvene there was a collision of the last passenger train No 724M wagon diesel triple unit DR1AM No 222-3, with truck with trailer (milk truck)._x000D_
The cause of the accident was the failure, by the driver of the truck, ignoring road signs, and level crossing flashing red lights for the level crossing protection, which entered when the train was at level crossing.</t>
  </si>
  <si>
    <t>Open line between station Ilmaja â€“ Kalvene</t>
  </si>
  <si>
    <t>National rules imposed by implementing of the Safety Directive 2004/49/EC; 
in light of Article 19 §2 of SD"</t>
  </si>
  <si>
    <t>RO-6235</t>
  </si>
  <si>
    <t>Fire in RS, 06-04-20, Augustin- Racos (Romania)</t>
  </si>
  <si>
    <t>the both wagons of the regional passenger train no.3535 caught fire in open line between Augustin and Racos railway station</t>
  </si>
  <si>
    <t>Augustin- Racos</t>
  </si>
  <si>
    <t>HU-6238</t>
  </si>
  <si>
    <t>Spad, 07-04-20, Nyírbátor (Hungary)</t>
  </si>
  <si>
    <t>The freight train no. 68001 passed the signal of Nyírbátor station at danger. Eventually the train was stopped by the engine driver before leaving the station. The passenger train what was coming from the opposite direction (no. 6316), stopped before reaching the entry signal of the station.</t>
  </si>
  <si>
    <t>Direct cause(s):	
•	the locomotive driver did not stop his train at the shunting limit signal at the station, contrary to the train’s timetable
Contributory factor(s):	
•	the exit signal “K3” involved in the route had not been repaired in six months following a previous accidental damage and was not standing in place at the time of the incident
•	the man-portable ‘Stop’ sign previously placed in place of the “K3” sign was removed within a short time
•	the permanently changed traffic conditions at the station have not been modified in the Station Instructions, nor in the Route Book</t>
  </si>
  <si>
    <t>Underlying cause(s):	
•	the replacement of the signal was not seen as a safety issue but as a financial one
•	the station staff and area managers, who were uncertain about the applicable procedures, received only informal guidance on the interpretation of the applicable rules from the management</t>
  </si>
  <si>
    <t>UK-6256</t>
  </si>
  <si>
    <t>Accident to persons caused by RS in motion, 08-04-20, Roade (United Kingdom)</t>
  </si>
  <si>
    <t>At around 10:52 hrs on 8 April 2020, a track worker was struck and fatally injured by a passenger train on the West Coast Main Line near to the village of Roade. The track worker was part of a group that were undertaking civil engineering work at the location. At the time of the accident the line was open to traffic.
The train was travelling from Northampton to London (Euston), at around 90 mph (145 km/h) when its driver saw the track worker on the line ahead, sounded the train horn and applied the emergency brakes.</t>
  </si>
  <si>
    <t>Roade</t>
  </si>
  <si>
    <t>Immediate cause: 
The track worker was walking on a line that was open to traffic and did not look 
towards the approaching train on hearing its warning horn (paragraph 44).
Causal factors
The accident occurred due to a combination of the following causal factors:
a) The track worker went back on the track having just handed back a line 
blockage (paragraph 48, Learning point 1). It is possible that this causal 
factor arose because either:
● The track worker went back on the line with some purpose in mind 
(paragraph 53); or
● The track worker felt unable to leave the work site without going onto the 
track because staff and work were temporarily obstructing the designated 
route (paragraph 56).
b) However, it is more likely that the track worker went back onto the track 
because he had ready access to the track, having just been onto the 
line to undertake a task that subsequently was found to be unnecessary 
(paragraph 60, Recommendation 3).
c) The track worker probably believed that a train would not arrive so soon on the 
track he was walking along (paragraph 63, no recommendation).
d) It had previously been evident that the track worker did not always work 
in a way that was consistent with rules, standards and procedures. This 
occasional non-compliant behaviour had not been identified and addressed 
(paragraph 69, Recommendation 1). This causal factor arose due to a 
combination of the following:
● Evidence suggests that the track worker did not always follow rules, 
standards and procedures, and had become habituated to warnings from 
approaching trains (paragraph 71)
● The track worker’s apparent diminished perception of the risk from trains 
had not been identified and corrected (paragraph 75).
A possible causal factor is that:
● The system of work in place did not encourage safe behaviour on site 
(paragraph 97, Recommendation 2, Learning point 2)</t>
  </si>
  <si>
    <t>Underlying factor: 
AmcoGiffen did not have any formal performance monitoring and appraisal 
arrangements for identifying and monitoring development needs and their 
implementation for operational staff (paragraph 106, Recommendation 1). This is 
a possible underlying factor.</t>
  </si>
  <si>
    <t>BE-6273</t>
  </si>
  <si>
    <t>Train derailment, 14-04-20, Tubize (Belgium)</t>
  </si>
  <si>
    <t>Derailment of a work train (ballast regulator) of the infrastructure manager.</t>
  </si>
  <si>
    <t>Tubize</t>
  </si>
  <si>
    <t>Damages to infrastructure elements (switch 02C) and rolling stock (ballast regulator).</t>
  </si>
  <si>
    <t>The direct cause of the derailment of the ballast regulator at switch 02C was the movement of the switch point of switch 02C while being traversed by the ballast regulator, as a result of the switch not being locked after a manual operation on a track taken out of service for work.</t>
  </si>
  <si>
    <t>First indirect factor: The switch points moved under the train because the switch locking system was not engaged following an incomplete manual operation. Second indirect factor: The track officer who handled the switch followed the requirements of the procedure. The officer chose to check the execution of his manoeuvre via the characteristic end-of-operation click, a characteristic click that may not be correctly heard in a noisy environment. He did not check the position of the diabolos1 under the window of the engine housing cowl. System factors: The procedure does not involve checking both indicators (the characteristic click and the position of the diabolos), but only a choice of one of the two. Only checking the characteristic click increases the risk of human error: it appears that only checking the characteristic click is not sufficient to ensure that the position of the switch has been checked after it has been operated, particularly in a noisy environment such as track work.</t>
  </si>
  <si>
    <t>DE-6260</t>
  </si>
  <si>
    <t>Train derailment, 15/4/2020, Berlin-Lichtenberg, Bf.</t>
  </si>
  <si>
    <t>Am 15.04.2020 gegen 21:03 Uhr entgleiste der Personenzug S 75626 auf der Fahrt von Berlin-Wartenberg nach Berlin Ostbahnhof im Bahnhof Berlin-Lichtenberg bei der Ausfahrt aus Gleis 2 in der doppelten Kreuzungsweiche 350.</t>
  </si>
  <si>
    <t>Berlin-Lichtenberg</t>
  </si>
  <si>
    <t>Bei der Befahrung der doppelten Kreuzungsweiche 350 versagte die Verriegelung innerhalb des Weichenantriebes ELS 710, so dass es zur Aufhebung der Sperrwirkung des Antriebes und der Verschlusseinrichtung an der Zungenvorrichtung kam.</t>
  </si>
  <si>
    <t>RO-6254</t>
  </si>
  <si>
    <t>Train derailment, 17-04-20, Vatra Dornei (Romania)</t>
  </si>
  <si>
    <t>NIB RO</t>
  </si>
  <si>
    <t>The locomotive EA 426 - light engine - derailed in Vatra Dornei railway station when have passed on the switch no.24.</t>
  </si>
  <si>
    <t>Vatra Dornei</t>
  </si>
  <si>
    <t xml:space="preserve">SC Grup Feroviar Român SA </t>
  </si>
  <si>
    <t xml:space="preserve">CNCF „CFR” SA </t>
  </si>
  <si>
    <t xml:space="preserve">No damage at the line, locomotive and railway installations.                                </t>
  </si>
  <si>
    <t xml:space="preserve">Direct cause of the accident is the overclimbing of the active shoulder of the head of the connection rail from the exterior rail of the curve of the switch no.24 by the flange of left wheel from the axle no.6 (first axle in the running direction) of the locomotive EA 426, following the exceeding of the derailment stability limit. Exceeding of the derailment stability limit happened following the decrease of the load acting on the wheels of the guiding axle. 
Contributing factor was the irregular distribution of the loads on axles no.5 and 6, rested active after the suspension of axle no.4. 
</t>
  </si>
  <si>
    <t xml:space="preserve">Underlying cause of the accident was the inobservance of the provisions from point 3 of Order no.17 RLa/1502 column 1987 of the Department for Traction and Wagons within the Ministry of Transports and Telecommunications, by the intervention staff of Grup Feroviar Român SA, that the wedging between the front beam of the bogie and the body beam was not made and the primary suspension from the axles no.5 and 6 was not completely blocked.
Root cause of the accident was the incomplete assessment of the risks from the risk area „maintenance of the railway vehicles”, respectively the non-identification of the dangers generated by the putting into operation of a railway motorised vehicle with failures that impose the suspension of an axle.
</t>
  </si>
  <si>
    <t>PT-6298</t>
  </si>
  <si>
    <t>Level crossing accident, 22-04-20, Vale de Santarém (Portugal)</t>
  </si>
  <si>
    <t>Collision of a long distance "Pendolino" train with a loaded semi-trailer that was stopped at level crossing 69,474 of North Line. 
Colisão de comboio pendular com camião com semi-reboque carregado que se encontrava parado sobre a passagem de nível ao PK 69,474 da Linha do Norte.</t>
  </si>
  <si>
    <t>HR-6281</t>
  </si>
  <si>
    <t>Level crossing accident, 26-04-20, LC Brdovec (Croatia)</t>
  </si>
  <si>
    <t>At 20:20 (local time) on 26 April 2020, freight train No. 69617 collided with a road vehicle at Brdovec level crossing (between stations Zaprešic- Savski Marof) on line M101 in 443+898 km. In a road vehicle one person died and two persons suffered minor injuries. Greater material damage was recorded on the personal vehicle , the locomotive and infrastructure. 
Dana 26.4.2020. u 20:20 sati dogodila se ozbiljna nesreca na ŽCP Brdovec na pruzi M101 u km 443+898 gdje je došlo do podlijetanja osobnog vozila pod strojni vlak 69617.U navedenoj nesreci stradale su tri osobe u osobnom vozilu od toga jedna smrtno, a dvije osobe su ozlijedene. Zabilježena je veca materijalna šteta na osobnom vozilu te manja materijalna šteta na lokomotivi i infrastrukturi.</t>
  </si>
  <si>
    <t>LC Brdovec</t>
  </si>
  <si>
    <t>ENNA Transport d.o.o.</t>
  </si>
  <si>
    <t>The direct cause of the accident in question was driving of a personal road vehicle over the LC immediately 
before the arrival of the machine train number 69617 despite the light and sound signalization, and the 
underflight under the train</t>
  </si>
  <si>
    <t>Factors that contributed to this accident: - reduced visibility due to night, - reduced traffic intensity of railway vehicles due to the Covid pandemic, - not the stop of vehicle driver before the level crossing , - situational awareness of vechile driver that she is approaching the level crossing. Organizational factors: - none.</t>
  </si>
  <si>
    <t>CZ-6257</t>
  </si>
  <si>
    <t>Level crossing accident, 27-04-20, open line between Hermanova Hut operating control point and Nýrany station (Czech Republic)</t>
  </si>
  <si>
    <t>Collision of the regional passenger train No. 27413 with a car at the level crossing.</t>
  </si>
  <si>
    <t>open line between Hermanova Hut operating control point and Nýrany station</t>
  </si>
  <si>
    <t>Direct cause:_x000D_
• an unauthorized entrance of the car at the level crossing No. P647 at the time when the train No. 27413 was arriving.</t>
  </si>
  <si>
    <t>Underlying cause:_x000D_
• the car driver was not careful in front of the level crossing No. P647 and he did not convince if he could safely proceed over the level crossing._x000D_
Root cause: none.</t>
  </si>
  <si>
    <t>HU-6259</t>
  </si>
  <si>
    <t>Other event, 27-04-20, Budapest, Lehel tér vá. (Hungary)</t>
  </si>
  <si>
    <t>The tram no. 14 derailed on the switch of the terminus Budapest, Lehel tér.</t>
  </si>
  <si>
    <t>Budapest, Lehel tér vá.</t>
  </si>
  <si>
    <t>Total damage HUF 149,400</t>
  </si>
  <si>
    <t>Direct cause(s):	
•	the control panel operator initiated a shift on the signalling equipment while a vehicle was on the set of points
•	due to the design of the vehicle detection system at the terminal, there is no direct, continuous occupancy detection of the different track sections and the remote controlled set of points, therefore the signalling equipment at the terminal did not detect the track section – containing the set of points – as an occupied section after the restart of the signal box and allowed the switches to be operated
•	the driver did not contact the control panel operator to agree on the procedure to be followed, despite the fact that according to the rules and instructions in force, he could only have set the switch and entered the terminal station with the permission of the control panel operator via a communication device
Contributory factor(s):	
•	the control panel operator accepted the fact that, in the absence of internet connection, he could not ascertain the next tram service to the terminal and did not inform the driver of the tram approaching the terminal of his intention to switch the signal equipment off and on and of the procedure should be followed</t>
  </si>
  <si>
    <t>Underlying cause(s):	
•	several human factors identified during the investigation indicate the presence of a low level of safety culture, which implies a higher safety risk in adverse operational and traffic conditions</t>
  </si>
  <si>
    <t>HU-6261</t>
  </si>
  <si>
    <t>Spad, 29-04-20, Budapest-Déli pályaudvar (Hungary)</t>
  </si>
  <si>
    <t>The train no. 20348-1 passed the signal at danger at Budapest-Déli station and opened up a switch. Eventually the train was stopped by the engineer.</t>
  </si>
  <si>
    <t>Budapest-Déli pályaudvar</t>
  </si>
  <si>
    <t>Direct cause(s):	
•	the locomotive driver did not stop at the shunting limit signal at the end of the ‘T4’ track
•	the yard foreman did not meet the train in front of the signal box ‘B’ and did not give the train the ‘Slow down!’ and ‘Stop!’ handsignals as it is required by the Station Instructions
Contributory factor(s):	
•	the driver did not have a professional, substantive route knowledge relating to the station’s storage sidings and tracks
•	the driver was busy with a protracted operational telephone call</t>
  </si>
  <si>
    <t>Underlying cause(s):	
•	the volume of work load concerning for staff working as yard foremen at the station may mean that they are not always able to carry out their duties fully
•	having a legally valid route knowledge licence for locomotive drivers does not guarantee that their real knowledge is in fact adequate and up-to-date, and the associated risk is not managed by the safety management system</t>
  </si>
  <si>
    <t>IE-6262</t>
  </si>
  <si>
    <t>Level crossing accident, 29-04-20, Castlebar (Ireland)</t>
  </si>
  <si>
    <t>Vehicle struck by a train at Killnageer Level Crossing, XM 240 on the Manulla Junction to Castlebar section in Co. Mayo on the 29th April 2020</t>
  </si>
  <si>
    <t>Castlebar</t>
  </si>
  <si>
    <t>Irish Rail</t>
  </si>
  <si>
    <t>damage to loco and gates</t>
  </si>
  <si>
    <t>NO-6264</t>
  </si>
  <si>
    <t>Level crossing accident, 29-04-20, Tegleverket Railroad crossing, Bratsberbanen (Norway)</t>
  </si>
  <si>
    <t>The Norwegian Safety Investigation Authority’s investigation has focused on responsibility for traffic safety and accessibility issues relating to road/rail interfaces. The road at the level crossing had an unfortunate vertical alignment, which was decisive in causing the accident. The investigation has found that there is no clear division of responsibility between the road owner Skien Municipality and the infrastructure manager Bane NOR SF regarding level crossings on public roads. At the same time, the road owner lacks requirements and recommendations for road design at level crossings, and no inspections to ensure compliance are carried out.The driver drove slowly downhill towards the level crossing and raised the tractor by means of the air springs to pass the level crossing, which was perceived by the driver as a ‘hump across the track’. The tractor had just passed the level crossing when the boat trolley got stuck. The driver left the driver’s cabin to lift the gooseneck further up with the aid of an exterior control panel. The driver had just left the cabin when the level crossing’s barrier system was activated, and the barriers started to come down. According to the tractor’s tachograph, the vehicle stood still for less than two minutes before the collision. The driver tried to raise the alert by calling 112, but there was not enough time for the call to be answered before Train 811 ran into the trailer.The incident is an example of one of the most serious railway accident scenarios. Had it involved a fully loaded passenger train carrying hundreds of passengers, colliding with a heavily loaded trailer, the consequences would certainly have been greater and far more serious. The safety investigation has also shed light on the lack of requirements for and expectations of risk assessments by the transport sector.
The Norwegian Safety Investigation Authority submits four safety recommendations as a result of this investigation.</t>
  </si>
  <si>
    <t>Borgestad fabrikker level crossing</t>
  </si>
  <si>
    <t>Vygruppen AS</t>
  </si>
  <si>
    <t>Major damage to train, lorry, trailer and boat.</t>
  </si>
  <si>
    <t>The level crossing is secured with half barriers, if an object is stuck on the level crossing, these will not prevent the train from getting green signal.</t>
  </si>
  <si>
    <t>Weaknesses with a half barrier system, no object detection.</t>
  </si>
  <si>
    <t>PL-6263</t>
  </si>
  <si>
    <t>Level crossing accident, 29-04-20, Bolechowo - Murowana Goslina (Poland)</t>
  </si>
  <si>
    <t>The lorry truck entered before aproaching train No 77472  on the level crossing B category whille red signal was active. _x000D_
As a consequence of passing the level crosssing by the car, the train hit the road vehicle causing demages of the rolling stock, car as  well as the infrastructure. _x000D_
One 2-axle bogie of the passenger train  operated by the Koleje Wielkopolskie was derailed.</t>
  </si>
  <si>
    <t>Bolechowo - Murowana Goslina</t>
  </si>
  <si>
    <t>RO-6258</t>
  </si>
  <si>
    <t>Train derailment, 29-04-20, Sintereag (Romania)</t>
  </si>
  <si>
    <t>the rear axle of the diesel multiple unit no.DW525 that has composed the passenger train no.15836 derailed over the switch no.2 in ?intereag railway station</t>
  </si>
  <si>
    <t>Interegional Calatori SRL</t>
  </si>
  <si>
    <t>PL-10093</t>
  </si>
  <si>
    <t>Runaway, 30/4/2020, plain line section Świdnica Kraszewicze - Jedlina Zdrój, Poland</t>
  </si>
  <si>
    <t>11:50</t>
  </si>
  <si>
    <t>During the reconstruction of the railway track on the route Świdnica Kraszowice – Jedlina Zdrój at the railway line no. 285, a PRSM-4 no. 47 type rail welding machine together with coupled technical-economic wagon no. 000071 (Dolnośląskie Przedsiębiorstwo Napraw Infrastruktury Komunikacyjnej “Dołkom” sp. z o.o. “Dolkom Wrocław” Sp. z o.o.) positioned on the side of the track have repositioned and collided with a rail-road vehicle type ATLAS 1604 ZW, factory no. 168Z301813 which was standing on the same track. The collision resulted in the two-way vehicle being pushed over the distance of 60 m</t>
  </si>
  <si>
    <t>plain line section Świdnica Kraszewicze - Jedlina Zdrój</t>
  </si>
  <si>
    <t xml:space="preserve">DPNIK Dolkom Sp. z o. o. </t>
  </si>
  <si>
    <t xml:space="preserve">demages within work train type PRSM-4 No 47 and freight wagon </t>
  </si>
  <si>
    <t>The dislocation of the train set, i.e., a technical and maintenance wagon with a rail welding machine and collision with an ATLAS rail-road vehicle on the same track.</t>
  </si>
  <si>
    <t xml:space="preserve">1. Failure to carry out a detailed brake test before starting to operate a train set of railway vehicles – a technical and maintenance wagon and a welder (in accordance with § 18, section 2 of Instruction Ir-1).
2. Uncontrolled overdrive of the brake system main line due to a defective pressure relief valve.
3. Leakage of the safety valve accelerating the drop of air pressure from the brake system main reservoir (2.5 kG/cm2 in 5 minutes against an allowable 1 kG/cm2 for 5 minutes).
4. Positioning the technical and maintenance wagon without a combined brake on the downhill side of the railway line.
5. The lack of an operator in the cab of the welding machine during operation on a significant incline of approximately 11‰ of the track (in violation of item 2.2.38. of the Operation and Maintenance Manual – OMM). The lack of reaction to stop a runaway train set and the operation on the route with incomplete personnel (in violation of 2.11.1. of the OMM).
6. The lack of coordination of works carried out at the same time and on the same track by the persons supervising the construction works and industry-specific works.
7. Failure to notify the economic operator on 30.04.20 that the subcontractor started works in the area where the accident occurred. 
8. Lack of supervision over the discipline of the welding machine operators by the immediate supervisor.
9. The lack of team of workers to prepare the rails for joining by welding.
10. Failure of the contractor’s and the subcontractor’s teams to establish radio communications to provide each other with information regarding the commencement of work on the same track at other locations and their progress in spite of having radio communications equipment available.
</t>
  </si>
  <si>
    <t>DK-10134</t>
  </si>
  <si>
    <t>Trains collision with an obstacle, 02/05/2020, Hobro-Skørping, Denmark</t>
  </si>
  <si>
    <t>Lørdag morgen d. 2-5-2020 kl. 05:50 kolliderede Intercitytog 51403 med et udlæggerbånd, der var drejet ud fra den bageste ballastsilovogn fra henstående sporombygningsmateriel på strækningen mellem Hobro og Skørping.
Udlæggerbåndet ramte intercitytogets front øverst oppe i venstre side af vognkassen. Der skete ingen personskader. Togets front fik større skader, og toget kunne ikke ved egen kraft fortsætte kørslen.</t>
  </si>
  <si>
    <t>Hobro-Skørping</t>
  </si>
  <si>
    <t>CZ-6265</t>
  </si>
  <si>
    <t>Trains collision, 07-05-20, open line between Decín-Prostrední Å½leb and Decín východ stations (Czech Republic)</t>
  </si>
  <si>
    <t>Collision of the service tran No. 59787 with the locomotive train  No. 73839.</t>
  </si>
  <si>
    <t>open line between Decín-Prostrední Å½leb and Decín východ stations</t>
  </si>
  <si>
    <t>JARO Ceská Skalice; 
CD Cargo</t>
  </si>
  <si>
    <t>DE-6328</t>
  </si>
  <si>
    <t>Level crossing accident, 07-05-20, Frankfurt-Höchst - Frankfurt Mainzer Landstraße (Germany)</t>
  </si>
  <si>
    <t>Am 07.05.2020 gegen 20:01 Uhr kollidierte DPN-G 24762 zwischen den Betriebsstellen Ffm-Höchst und Ffm Mainzer Landstraße in km 6,984 am BÜ Oeserstraße/Posten 10 mit einer Fußgängerin, einem Radfahrer und einen Personenkraftwagen (Pkw). Die Schranken hatten sich unmittelbar vor dem herannahenden Zug geöffnet.</t>
  </si>
  <si>
    <t>Frankfurt-Höchst - Frankfurt Mainzer Landstraße</t>
  </si>
  <si>
    <t>Germany HLB Hessenbahn GmbH</t>
  </si>
  <si>
    <t>Der Pkw wurde total zerstört. Am Schienenfahrzeug entstanden Schäden. Die Bahnüber-gangsanlage wurde in Teilbereichen erheblich beschädigt.</t>
  </si>
  <si>
    <t>Ereignisursächlich war ein Arbeitsfehler der zuständigen Schrankenwärterin (Schrw). Diese öffnete die Schranken unzeitig, bevor alle angekündigten Zugfahrten den BÜ passiert hatten. Ereignisbegünstigend wirkten sich die unzureichende technische Erkennbarkeit der Störung und die Störungseinflüsse der wartenden Bahnübergangsbenutzer aus.</t>
  </si>
  <si>
    <t>FI-6270</t>
  </si>
  <si>
    <t>Level crossing accident, 14-05-20, Mänttä-Vilppula, Kulmala level crossing (Finland)</t>
  </si>
  <si>
    <t>Level crossing accident, Passenger train (rail bus) - Tractor</t>
  </si>
  <si>
    <t>Mänttä-Vilppula, Kulmala level crossing</t>
  </si>
  <si>
    <t>BG-10063</t>
  </si>
  <si>
    <t>Train derailment, 15-05-2020, entrance switches of Nova Zagora station, Bulgaria</t>
  </si>
  <si>
    <t>NIB BG</t>
  </si>
  <si>
    <t>Derailment of a freight train № 80561  in entrance switches of station</t>
  </si>
  <si>
    <t>Entrance switches of Nova Zagora station</t>
  </si>
  <si>
    <t>CZK 14 230 957,- (EUR 551 587,-)</t>
  </si>
  <si>
    <t>line, rolling stocks, lorry</t>
  </si>
  <si>
    <t>Art.20.1 of the EU Directive 798/2016</t>
  </si>
  <si>
    <t>spontaneous reversal of the switches</t>
  </si>
  <si>
    <t>CZ-6267</t>
  </si>
  <si>
    <t>Level crossing accident, 16-05-20, open line between Hnojník station and Horní ToÅ¡anovice railway stop (Czech Republic)</t>
  </si>
  <si>
    <t>The collision of the regional passenger train No. 12818 with the car at the level crossing No. P8324 and its consequent derailment.</t>
  </si>
  <si>
    <t>open line between Hnojník station and Horní ToÅ¡anovice railway stop</t>
  </si>
  <si>
    <t>Causal factor:_x000D_
• an unauthorized entrance of the car at the level crossing No. P8324 at the time when the train No. 12818 was arriving, caused by behavior of the car driver, who did not respect the traffic sign „Stop, give a priority!” and did not stop the car at a place where she would have a proper view of the track and did not make sure whether she could safely pass the level crossing.</t>
  </si>
  <si>
    <t>Underlying cause is not determined._x000D_
Systemic factor: none</t>
  </si>
  <si>
    <t>DE-6329</t>
  </si>
  <si>
    <t>Train derailment, 20-05-20, Wengern Ost (Germany)</t>
  </si>
  <si>
    <t>Am 20.05.2020 gegen 16:46 Uhr auf der Fahrt von Passau nach Bochum‐Langendreer entgleiste ein Wagen des Güterzuges DGS 43982 im Bf Wengern Ost in km 67,54.</t>
  </si>
  <si>
    <t>Wengern Ost</t>
  </si>
  <si>
    <t>LTE Lightrail Transit Enterprises GmbH</t>
  </si>
  <si>
    <t>Die Entgleisung ist ursächlich auf ein heißgelaufenes Radsatzlager zurückzuführen. Möglicherweise war ein Montagefehler die Ursache für den Ausfall des Lagers, der zum Abscheren des Achsschenkels und durch die nun fehlende Spurhaltefähigkeit zur Entgleisung
führte.</t>
  </si>
  <si>
    <t>DE-6285</t>
  </si>
  <si>
    <t>Am 23.05.2020 gegen 22:19 Uhr kollidierte der Güterzug DGS 50214 auf der Fahrt von München Ost Rbf nach Meimersdorf im Bahnhof München Nord Rbf auf dem innerbetrieblichen nicht technisch gesicherten Gleisübergang (GÜ) 6 bei km 16,0 mit einem Lkw.</t>
  </si>
  <si>
    <t>Der Lkw befuhr den innerbetrieblichen GÜ, ohne dass die notwendigen Voraussetzungen für das Queren erfüllt waren.</t>
  </si>
  <si>
    <t>IE-6291</t>
  </si>
  <si>
    <t>Level crossing event, 24-05-20, XA068 Ashfield Co Offaly (Ireland)</t>
  </si>
  <si>
    <t>Operational Irregularity at CCTV Level Crossing XA068, Ashfield, Co Offaly</t>
  </si>
  <si>
    <t>XA068 Ashfield Co Offaly</t>
  </si>
  <si>
    <t>UK-6289</t>
  </si>
  <si>
    <t>Accident to persons caused by RS in motion, 26-05-20, London Waterloo Underground station (United Kingdom)</t>
  </si>
  <si>
    <t>At about 10:11 hrs on Tuesday 26 May 2020, a person fell between the platform edge and the stationary northbound Bakerloo line train from which they had alighted at London Waterloo underground station. They suffered fatal injuries as the train subsequently started moving and departed from the platform.</t>
  </si>
  <si>
    <t>London Waterloo Underground station</t>
  </si>
  <si>
    <t>Immediate cause: 
The passenger fell between a train and the platform edge before being struck by 
the train and a following train (paragraph 33).
Causal factors: 
The causal factors were:
a. The passenger fell into the gap between the train and the platform and could 
not get out (paragraph 35, no recommendation).
b. Nobody was aware of the situation for the following reasons:
i. The train operator did not see the passenger fall into the gap, or see the 
passenger in the gap while checking the platform-train interface before 
departure (paragraph 41a, Recommendation 1).
ii. The operator of the second train did not see the person on the track as 
their train approached (paragraph 41b, no recommendation).
iii. No-one saw the passenger on the track until it was too late to intervene 
(paragraph 41c, Recommendation 1).</t>
  </si>
  <si>
    <t>Underlying factors:
A factor possibly underlying the accident was that LUL had neither fully quantified 
the level of risk on platform 3 at Waterloo station nor considered additional 
measures to reduce the likelihood of people falling down the gap and remaining 
undetected at this location (paragraph 67, Recommendations 1, 2 and 3).
Additional observations: 
Although not linked to the accident on 26 May 2020, RAIB observes that the 
model used by LUL to quantify system risk (the LUQRA) makes no allowance for 
non-fatal injuries, and so understates the risk of harm to passengers at the PTI
(paragraph 88, Recommendation 2).</t>
  </si>
  <si>
    <t>HU-6271</t>
  </si>
  <si>
    <t>Spad, 27-05-20, Kaba (Hungary)</t>
  </si>
  <si>
    <t>The train no. 14566 (work train) passed the signal of Kaba station at danger and moved on towards the oncoming freight train no. 48911. Eventually the two trains stopped 200 metres away from each other.</t>
  </si>
  <si>
    <t>Kaba</t>
  </si>
  <si>
    <t>MÁV FKG Kft. (RU)
Rail Cargo Hungaria Zrt. (RU)</t>
  </si>
  <si>
    <t>Direct cause(s):	
•	both the driver (who is presumed to have fallen asleep) and the second attendant failed to detect the ‘Danger’ aspect of the second entry signal ‘C’ and neither of them stopped the vehicle before the signal
Contributory factor(s):	
•	the driver and the second employee on watch had spent a large part of their time on night duty, which led to long-term fatigue
•	the vehicle with registration number 99 55 9481 123-5 was not fitted with vigilance equipment that would have stopped the train if the driver had failed to react</t>
  </si>
  <si>
    <t>Underlying cause(s):	
•	the employees’ need for resting periods was not taken into account in the scheduling of their working hours</t>
  </si>
  <si>
    <t>ES-6274</t>
  </si>
  <si>
    <t>Trains collision with an obstacle, 02-06-20, La Hiniesta (Spain)</t>
  </si>
  <si>
    <t>NIB ES</t>
  </si>
  <si>
    <t>The passenger train Alvia 11553 Ferrol-Madrid collides with an off-road vehicle that was on the track, at km 10,215 of the line Zamora-A Coruña, in the entrance of the maintenance station of La Hiniesta (Zamora). The speed of the train before collision was about 120 km/h. The off-road vehicle (an 80's Land Rover) had most probably fall from a road overpass at the point of collision.
The locomotive derails and is diverted from its original trajectory, hitting side tracks, and it's stopped by a stockpile of concrete sleepers. The rest of the train keep its original trajectory in the main track (straight section), as the link of the locomotive is broken. About half of the coaches derail.
Two fatalities: the driver of the Land Rover and one of the two drivers of the train. The other train driver gets seriously injured. Six passengers with minor injuries, rest of
passengers (up to 180) unharmed. Serious damages in main track, two side tracks, two switches and a buffer stop.</t>
  </si>
  <si>
    <t>La Hiniesta</t>
  </si>
  <si>
    <t>Rail Cargo Hungaria Zrt. (RU)</t>
  </si>
  <si>
    <t>Damages in infraestructure and rolling stock</t>
  </si>
  <si>
    <t>A traffic accident resulting on the fall of a road vehicle from an overpass onto the railway tracks invading the clearance gauge of the railway line.</t>
  </si>
  <si>
    <t>1.       Deficiencies in the maintenance and inspection of the vehicle restraint system of the overpass. 
2.       The structure of the vehicle and its position on the tracks after falling from the overpass facilitated the train derailment.
3.       The switch 2/4 had an impact on the consequences of the derailment of the leading power head vehicle, it acted as a guide rail, causing the loss of control of the leading power head vehicle and the breakage of the coupling between this vehicle and the rest of the train and its overturn. Nevertheless, the breakage of the coupling made possible for the rest of the vehicles to remain on the main track despite they also became derailed, thus minimizing the damage to the rolling stock.
4.       The collision of the leading power head vehicle against a stack of railway sleepers increased the damage suffered by the train drivers.
5.       Road owners are responsible for the maintenance of their own overpasses over railway lines. Thus, a lack of awareness of the potential dangers that an inappropriate maintenance of vehicle restraint systems may pose to railway operations is detected. On the other hand, procedures to regulate on-site inspection of overpasses and their elements by ADIF (railway IM) are required to mitigate these risks.
6.       The fact that overpasses on the conventional lines of the spanish Rail Network of General Interest are not equipped with falling objects systems to detect obstacles within the clearance gauge of the railway lines.</t>
  </si>
  <si>
    <t>HU-6275</t>
  </si>
  <si>
    <t>Train derailment, 02-06-20, Hatvan (Hungary)</t>
  </si>
  <si>
    <t>One wagon of freight train derailed on a switch.</t>
  </si>
  <si>
    <t>CER Zrt.</t>
  </si>
  <si>
    <t>Condition of switch</t>
  </si>
  <si>
    <t>Maintenace system</t>
  </si>
  <si>
    <t>RO-6278</t>
  </si>
  <si>
    <t>Train derailment, 04-06-20, Capu Midia (Romania)</t>
  </si>
  <si>
    <t>four wagon of the freight train no. 89158 derailed in Capu Midia railway station</t>
  </si>
  <si>
    <t>TBC</t>
  </si>
  <si>
    <t>Collission with object, Offaly (IE), 8/6/20</t>
  </si>
  <si>
    <t>Collission with object</t>
  </si>
  <si>
    <t>a Bord na Móna Flat Wagon and Kilcolgan Level Crossing Gates, Offaly</t>
  </si>
  <si>
    <t>RO-6277</t>
  </si>
  <si>
    <t>Train derailment, 11-06-20, Crivadia_Baru Mare (Romania)</t>
  </si>
  <si>
    <t>15:50</t>
  </si>
  <si>
    <t>The 15th wagon of the freight train no.30536 derailed in open line between Baru Mare and Crivadia railway stations</t>
  </si>
  <si>
    <t>Crivadia_Baru Mare</t>
  </si>
  <si>
    <t>SC DB Cargo România SRL</t>
  </si>
  <si>
    <t xml:space="preserve">Following the accident, the track superstructure was affected on about 210 m. The wagon no.21802475015-8  has a slight damage. </t>
  </si>
  <si>
    <t>Causal factor:                                                                          
 there was, at the accident site, a group of improper wooden sleepers (that could no more ensure the right fastening of the exterior rails, respectively the interior rails of the curve and keeping of the track gauge between the tolerances accepted in operation). This deficiency generated, under the dynamic effect of the rolling stock running, the exceeding of the maximum limit of track gauge accepted in operation (1470 mm) and, finally, it led to the loss of the support and guiding capacity of the exterior rail of the curve, then the fall of the right wheel of the second axle from the wagon no.21802475015-8 between the rails.</t>
  </si>
  <si>
    <t xml:space="preserve">Contributing factors: 
 following the conditions from the beginning of Coronavirus pandemic and the psychosocial effects it generated on the human resources of the infrastructure administrator, the track controls and inspections, performed before the accident (that supposed taking all additional measures specific to the pandemic) be done in atypical conditions and without the estimated effectiveness.   
Systemic factors
1. Ineffective management of the risks associated to the danger generated by keeping in operation, within a small radius curve, two or more improper normal wooden sleepers in turn, that had to be replaced;
2. Non-ensurance the staff necessary for the performance of line repairs and maintenances;
3. Non ensurance of the minimum necessary stock of normal wooden sleepers. 
</t>
  </si>
  <si>
    <t>8/6/2021</t>
  </si>
  <si>
    <t>CZ-6280</t>
  </si>
  <si>
    <t>Train derailment, 12-06-20, open line between Jindřiš and Blažejov operating control points, (Czech Republic)</t>
  </si>
  <si>
    <t>Derailment of 1 rolling stock of freigt train No. 21357.</t>
  </si>
  <si>
    <t>Open line between Jindřiš and Blažejov operating control points</t>
  </si>
  <si>
    <t>Train derailment, 12-06-20, open line between StríÅ¾ovice and JindriÅ¡ operating control points. (Czech Republic)</t>
  </si>
  <si>
    <t>open line between StríÅ¾ovice and JindriÅ¡ operating control points.</t>
  </si>
  <si>
    <t>CZ-6279</t>
  </si>
  <si>
    <t>Level crossing accident, 14-06-20, open line between Dobríckov a Struharov railway stops (Czech Republic)</t>
  </si>
  <si>
    <t>Collision of the regional passenger train No. 19104 with a bus and consequent derailment</t>
  </si>
  <si>
    <t>open line between Dobríckov a Struharov railway stops</t>
  </si>
  <si>
    <t>HU-10158</t>
  </si>
  <si>
    <t>SPAD, 14/6/2020, Püspökladány station</t>
  </si>
  <si>
    <t>Passenger train no. 6417 could not stop before the station exit signal "K2", due to a failure in the brake system.</t>
  </si>
  <si>
    <t>No damage occured.</t>
  </si>
  <si>
    <t>a.) The clamp of an electrical wire slipped off from the driver's brake valve, and that caused the inoperability of the brake valve. 
b.) The locomotive driver, doing the fault detection process didn't recognise the error of the brake valve, so he didn't apply the relating regulations. 
c.)The driver - after the emergency release of the brakes - started the train, despite the pressure of the brake pipe was 0 bar. 
d.) The driver had strong knowledge deficiencies  about the train he was driving, so he could not operate the independent brakes.</t>
  </si>
  <si>
    <t>Underlying causes
a.) The clamps of the wires connecting to the driver's brake valve aren't equipped with locktabs, so they can slip off the connector and can make the brake valve of the ep-brake inoperable.
b.) The DMU doesn't have a pressure switch that can disable traction in case the brake pipe is empty.
c.) The driver did not use the transmission brake even in an emergency situation, because he thought that it can lead to a mechanical failure.
Root causes
a.) The valid type rating and the decades of driving experience does not necessarily mean the confident handling of a train type, the knowledge of drivers is not always on a high level.
b.) The major overhaul of the DMU did not happen in the prescribed time.</t>
  </si>
  <si>
    <t>CZ-6282</t>
  </si>
  <si>
    <t>Accident to persons caused by RS in motion, 18-06-20, open line between Lysá nad Labem and Celákovice stations (Czech Republic)</t>
  </si>
  <si>
    <t>Collision of the regional passenger train No. 9419 with a person - staff working at expected track possession.</t>
  </si>
  <si>
    <t>open line between Lysá nad Labem and Celákovice stations</t>
  </si>
  <si>
    <t>CZ-6283</t>
  </si>
  <si>
    <t>Train derailment, 18-06-20, Obrnice station (Czech Republic)</t>
  </si>
  <si>
    <t>Derailment of the regional passenger train No. 6704</t>
  </si>
  <si>
    <t>Obrnice station</t>
  </si>
  <si>
    <t>UK-6293</t>
  </si>
  <si>
    <t>Spad, 21-06-20, Chalfont and Latimer (United Kingdom)</t>
  </si>
  <si>
    <t>At around 21:45 hrs on 21 June 2020, a Chiltern Railways passenger train travelling southbound on the Metropolitan line of the London Underground network, passed a signal at danger (red) without authority. The signal was protecting a junction through which a route was already set for a northbound train, waiting in Chalfont &amp; Latimer station, to cross in front of the southbound train. Passing the signal at red resulted in an automatic brake application which stopped the southbound train around 310 metres beyond the signal. Shortly afterwards, the train driver reset the automatic brake equipment and the train continued towards Chalfont &amp; Latimer station, around 620 metres away. As a result of the position of the points at the junction, its route towards the station took it onto the northbound line. The northbound London Underground train on this line was stationary because the signal in front of it had changed to red as a result of the southbound train passing the red signal. The two trains stopped about 23 metres apart._x000D_
There were no reported injuries but some track components were damaged as the southbound train had proceeded through a route that was not set for it.</t>
  </si>
  <si>
    <t>Chalfont and Latimer</t>
  </si>
  <si>
    <t>Immediate cause: 
The driver reset the tripcock on the train following a SPAD at signal JT6 and 
moved forward towards Chalfont &amp; Latimer without obtaining permission to 
continue (paragraph 43).
Causal factors: 
The causal factors were:
a. The driver did not react to the signal sequence and stop the train at signal 
JT6, probably because he was fatigued (paragraph 46, Recommendation 1, 
Learning point 1).
b. Following the SPAD, the driver reset the tripcock equipment and then restarted 
the train without obtaining permission (paragraph 76, Recommendations 1 
and 3).
c. Chiltern Railways’ competence assessments did not identify that the driver 
lacked knowledge about tripcock activation processes and had a relatively 
high risk of being affected by fatigue, so these issues were not addressed 
(paragraph 85, Recommendation 1)</t>
  </si>
  <si>
    <t xml:space="preserve">Underlying factor:
Chiltern Railways’ driver management processes did not effectively manage 
safety related risk associated with the driver. It is probable that this is a factor 
underlying the incident and possible that this was the consequence of an 
insufficient number of driver managers and their high workload (paragraph 98, 
Recommendation 1).
Additional observations:
Although not causal to the incident on 21 June 2020, RAIB observes that:
a. Assessments undertaken by Chiltern Railways and LUL did not accurately 
assess the risk of a collision arising from a Chiltern Railways driver resetting 
the tripcock and then proceeding without authority. However, the deficiencies 
identified in Chiltern’s management of the driver suggest that, even had the 
risk been more accurately assessed, it is unlikely that improvements to this 
assessment would have resulted in sufficient mitigation to prevent the incident 
at Chalfont &amp; Latimer (paragraph 126, Recommendation 2).
b. Some elements of Chiltern Railways’ driver management system were not 
functioning effectively (paragraph 139, Recommendation 1). 
c. Chiltern Railways’ instructions for drivers did not effectively highlight important 
information (paragraph 146, Recommendation 1). </t>
  </si>
  <si>
    <t>HR-6311</t>
  </si>
  <si>
    <t>Level crossing accident, 22-06-20, Kupljenovo level crossing (between stations Novi Dvori-Luka) (Croatia)</t>
  </si>
  <si>
    <t>At 18:50 (local time) on 22 June 2020, passenger train No. 29713 collided with a road vehicle at Kupljenovo level crossing actively insured with light and sound signalization and semi-barriers (between stations Novi Dvori-Luka) on line R201 in 010+383 km. Due to the collision, the driver of the road vehicle was slightly injured and material damage was recorded to the diesel engine set and road vehicle. 
Dana 22.06.2020. u 18:50 sati na pruzi R201 izmedu kolodvora Novi Dvori-Luka, na ŽCP-u u km 010+383 osiguranom SV+ZV+POL dolazi do naleta osobnog vozila pod putnicki vlak 29713. Uslijed naleta lakše je ozlijeden vozac osobnog vozila, te je nastala materijalna šteta na dizel motornoj garnituri i na cestovnom vozilu.</t>
  </si>
  <si>
    <t>Kupljenovo level crossing (between stations Novi Dvori-Luka)</t>
  </si>
  <si>
    <t>Minor material damage to the motor set and greater material damage to the personal vehicle.</t>
  </si>
  <si>
    <t xml:space="preserve">The causal factor of this accident is the crossing of a personal road vehicle over the LC when the 
machine train number 29713 arrived on it while the light and sound signaling was on and the bumpers 
were raised, and a personal vehicle ran into the train composition number 29713. </t>
  </si>
  <si>
    <t>Contributing factor: none. 
Systemic factors: failure of a personal vehicle driver to stop before the LC, untimely switching on of the LC securing device.</t>
  </si>
  <si>
    <t>CZ-6286</t>
  </si>
  <si>
    <t>Level crossing accident, 23-06-20, the level crossing No. P2739 between Brandýs nad Labem and Celákovice stations (Czech Republic)</t>
  </si>
  <si>
    <t>Collision of the regional passenger train No. 19413 with a car.</t>
  </si>
  <si>
    <t>the level crossing No. P2739 between Brandýs nad Labem and Celákovice stations</t>
  </si>
  <si>
    <t>NO-6330</t>
  </si>
  <si>
    <t>Train derailment, 23-06-20, Hjellum Rørosbanen (Norway)</t>
  </si>
  <si>
    <t>On tuesday 23. june 2020 at approximately 20:53 hrs train 59050 derailed between Hamar and Løten on the Rørosbanen line. Before the first wheelset of the locomotive derailed, it passed a bridge and an unprotected level crossing. The locomotive stopped after approximately 280 meters._x000D_
_x000D_
The derailment caused the track to move sideways, and damaged fasteners. The line was opened for traffic the next morning._x000D_
_x000D_
No one was injured in the accident. 
Tirsdag 23. juni 2020 ca. kl. 2053 sporet tog 59050 av mellom Hamar og Løten på Rørosbanen. Toget bestod av et lokomotiv som var på vei fra Elverum til Sundland. _x000D_
Lokomotivet passerte en bro og en usikret planovergang like før det sporet av med fremre aksling. Toget gikk avsporet ca. 280 meter før det stanset._x000D_
_x000D_
Avsporingen førte til at sporet forskjøv seg sideveis, og det oppstod skader på skinnebefestigelsen. Strekningen ble åpnet for trafikk neste morgen._x000D_
_x000D_
Ingen personer ble skadet i hendelsen.</t>
  </si>
  <si>
    <t>Hjellum Rørosbanen</t>
  </si>
  <si>
    <t>HU-6300</t>
  </si>
  <si>
    <t>Train derailment, 24-06-20, Papírgyár - Puskaporos (Hungary)</t>
  </si>
  <si>
    <t>The wagon of a passanger train (wagon no. 301) derailed with one axle on the line of "LÁEV" narrow gauge railway at section no. 43. No one was injured. 
A LÁEV személyvonatának 301 psz. kocsija a 43. szelvényben egy tengellyel kisiklott. Személyi sérülés nem történt.</t>
  </si>
  <si>
    <t>Papírgyár - Puskaporos</t>
  </si>
  <si>
    <t>Lillafüredi ÁEV (Északerdo Zrt.)</t>
  </si>
  <si>
    <t>failure of vehicles</t>
  </si>
  <si>
    <t>maintenance organizing</t>
  </si>
  <si>
    <t>CZ-6287</t>
  </si>
  <si>
    <t>Train derailment, 25-06-20, Most nové nádraÅ¾í station (Czech Republic)</t>
  </si>
  <si>
    <t>Derailment of the freight train No. 86658</t>
  </si>
  <si>
    <t>NO-6331</t>
  </si>
  <si>
    <t>Train derailment, 25-06-20, Flå (Norway)</t>
  </si>
  <si>
    <t>On Thursday 25 June 2020, a freight train from Green Cargo AB derailed when it caused buckling of the track at Flå on the Bergen Line. After several days of high temperatures and work on the track having caused weaker lateral stability, the circumstances were in place for buckling. The work was part of the “Ballast cleaning 2018–2020” project, performed by Baneservice AS, with Bane NOR SF responsible for day-to-day follow-up and management of the project.
The investigation has uncovered that Bane NOR SF’s technical regulations are interpreted differently, and that the requirements concerning buckling are not specific enough.
In this investigation, the Norwegian Safety Investigation Authority (NSIA) has focused on buckling and how this phenomenon is addressed in regulations and requirements, as well as the inspection regime for work on the track.
Bane NOR SF has expertise in the risk of buckling, and both personnel and technical systems that monitor temperatures. This expertise and information were not effectively transferred to the ballast cleaning project. The investigation also shows that Bane NOR SF’s inspection regime was not sufficient to identify that the ballast cleaning project had interpreted the temperature limits in the technical regulations differently than what was intended.
Over the past seven years, the NSIA has investigated four similar derailing episodes caused by track buckling and submitted five safety recommendations. What these investigations have in common is work on the track, non-compliance with technical regulations, inadequate inspection procedures for track work, an unidentified risk of buckling, and a challenging interface between project work and day-to-day operations.
The NSIA considers that Bane NOR SF has not sufficiently learned from previous derailings caused by buckling.
In this investigation, the NSIA submits one safety recommendation to the effect that Bane NOR SF should clarify and ensure a correct understanding of the temperature requirement in the technical regulations.</t>
  </si>
  <si>
    <t>Flå</t>
  </si>
  <si>
    <t>Green Cargo A</t>
  </si>
  <si>
    <t>Track damage</t>
  </si>
  <si>
    <t>Buckling of the track</t>
  </si>
  <si>
    <t>The investigation has uncovered that Bane NOR SF’s technical regulations are interpreted differently, and that the requirements concerning buckling are not specific enough.</t>
  </si>
  <si>
    <t>RO-6290</t>
  </si>
  <si>
    <t>Train derailment, 26-06-20, Balota (Romania)</t>
  </si>
  <si>
    <t>the 9th wagon of the freight train no.30548 derailed on the 5th track in Balota railway station</t>
  </si>
  <si>
    <t>&lt; 150 000</t>
  </si>
  <si>
    <t>The wagon no.24874363779-0, the 9th one from the locomotive derailed from both axles and reclined to the left.                                                                                                                                          A pole LC from catenary (no.17) was hit and overturned, having also the overhangs and the fastening elements twisted and 4 insulators broken.</t>
  </si>
  <si>
    <t>Causal factors:                                                                                                          1.    the drag shoe from the first right wheel, in the running direction of the wagon no.24874363779-0 (the 9th one of the train) was not removed, before the train dispatching;                                                                                                                 2.    the removal of the drag shoe from the first right wheel, in the running of the wagon no.24874363779-0 (the 9th one of the train) was not checked, before the train dispatching;                                                                                                                   3.  one did not check the existence of all drag shoes on the stand, according to the records from the special register, created in accordance with the ”Plan of complementary measures for the railway county SRCF Craiova, for the limitation of the situations generated by coronavirus infection”.</t>
  </si>
  <si>
    <t>Contributing factors:
1. wrong record in the special register, created in accordance with the ”Plan of complementary measures for the railway county SRCF Craiova, for the limitation of the situations generated by coronavirus infection”, that both drag shoes were removed and put on the stand, although on this special device there were put just the drag shoe no.3;
2. the visual inspection of the train, when it was dispatched from the railway station, was not made in accordance with the provisions stipulated in the Operation Technical Plan - PTE, both by the staff of the infrastructure administrator and by that of the railway undertaking.
Systemic factors:
1. the Sheet PTE no. 25 of the railway station Balota was not updated with the new conditions of recording in the special register, existing in the movement’s office, created especially for it, in order to ensure the distance conditions following Covid-19 pandemic;
2. ineffective management of the risks associated to the danger generated by the lack of staff in operation, as well as by the fact that the existing staff, sometimes overloaded and not trained for the new conditions of work, imposed by the pandemic, did not carry out its duties properly;
3. the infrastructure administrator and the railway undertaking did not identify the danger represented by the ”non-removal of the drag shoe when a train is dispatched”, for the risk factor identified ”derailment”.</t>
  </si>
  <si>
    <t>HU-6288</t>
  </si>
  <si>
    <t>Spad, 27-06-20, Uzsa (Hungary)</t>
  </si>
  <si>
    <t>The train no. 9694 passed the signal of Uzsa station at danger. Eventually the train was stopped by the engine driver.</t>
  </si>
  <si>
    <t>Uzsa</t>
  </si>
  <si>
    <t>Direct cause(s):	
•	instead of passing through, as it was in the timetable of the train, the signaller wanted the train to stop at the station, but the locomotive driver did not intend to stop at the station and therefore did not apply the brakes in time
•	the locomotive driver did not check the aspect of the level crossing protecting signal at the other end of the station and did not miss the authority (hand signal) to pass the station from the signaller
•	the signaller did not meet the train at the trackside and did not give the “Slow down” hand signal because he was on the phone with the line traffic controller
Contributory factor(s):	
•	the chief ticket inspector was staying in the driver’s cabin
•	the pintsman did not stop the train at the entry signal
•	the signaller prioritised his tasks incorrectly
•	the line traffic cotroller changed the trains’ meeting point several times and issued his last order too late</t>
  </si>
  <si>
    <t>Underlying cause(s):	
•	the audit by the station master did not take action to address the poor practices identified after a previous similar incident at the station what are also relevant to this incident</t>
  </si>
  <si>
    <t>CZ-6292</t>
  </si>
  <si>
    <t>Unauthorised train movement other than SPAD, 29-06-20, Svetlá nad Sázavou station (Czech Republic)</t>
  </si>
  <si>
    <t>Unauthorised movement of the long distance pasanger train No. 988 to blocked track.</t>
  </si>
  <si>
    <t>Svetlá nad Sázavou station</t>
  </si>
  <si>
    <t>CZ-6295</t>
  </si>
  <si>
    <t>Trains collision with an obstacle, 04-07-20, Prosenice station (Czech Republic)</t>
  </si>
  <si>
    <t>Collision of the long distance passenger train No. 1251 with an obstacle – the loose part (component) of the contact line.</t>
  </si>
  <si>
    <t>Prosenice station, a station approach limit of Přerov direction, km 190,058.</t>
  </si>
  <si>
    <t>total damage CZK 941 025,- (EUR 36 474,-)</t>
  </si>
  <si>
    <t>Causal factors:                                                                                                                    • technical defect of the contact line at the station approach limit of Prosenice station, caused by a hidden defect in the material of armature adapter of the contact line;
• failure to adopt measures necessary for the safe operation of the rolling stocks on the station track at the station approach limit of Prosenice station, which is a continuation of the track line No. 1 Přerov – Prosenice and failure to give permission to move the train No. 1251 over the place with the inoperable contact line.                                                                       Contributing factor:                                                                                                               • failure to take into account possible more serious cause of the technical fault of the contact line of Přerov/Dluhonice station approach limit of Prosenice station by the electrical dispatcher and failure to inform the person controlling the railway transport at Prosenice station about nonoperability of the track line which resulted in the permission to move the train No. 1251 over the place with the inoperable contact line.</t>
  </si>
  <si>
    <t>none.</t>
  </si>
  <si>
    <t>CZ-6294</t>
  </si>
  <si>
    <t>Trains collision, 07-07-20, open line between Pernink and Nové Hamry operational control points (Czech Republic)</t>
  </si>
  <si>
    <t>Collision of the regional passenger train No. 17110 with the regional passenger train No. 17113.</t>
  </si>
  <si>
    <t>open line between Pernink and Nové Hamry operational control points</t>
  </si>
  <si>
    <t>IE-6305</t>
  </si>
  <si>
    <t>Other event, 07-07-20, Heuston Station, Dublin (Ireland)</t>
  </si>
  <si>
    <t>Class 201 Locomotive - Main frame crack at the mid-point of Locomotive</t>
  </si>
  <si>
    <t>Heuston Station, Dublin</t>
  </si>
  <si>
    <t>The Chassis Plate fracture on the left hand side facing the Number 1 Cab and a tear of 
the Chassis Plate on the opposite sides of Locomotive 224.
The engine coolant pipe suffered a leak.
The main generator suffered severe damage as a result of misalignment due to the 
Chassis Plate fracture.
There was no damage to the rail infrastructure as a result of the incident.</t>
  </si>
  <si>
    <t>The Chassis Plate of Locomotive 224 failed as a result of the following causal factor:
• CaF-01 – The flat Bed Plates were not replaced with cupped Bed Plates when Bed 
Plate cracks were identified as set out in the OEM Service Advisory SA 08-007;
• CaF-02 – During a weld repair of the Bed Plate the Bed Plate was unnecessarily 
welded to the Chassis Plate.
Contributory factors include:
• CoF-01 – IÉ-RU had not adopted the EN 15085 standard series, entitled “Railway 
applications – Welding of railway vehicles and components” which were first 
published in 2007; although it is noted that this standard series is not mandatory;
• CoF-02 – While Service Advisory (SA 08-007) was available to the welder carrying 
out the repair through the CME Maintenance work stations, the implications of the 
modification were not discussed at IÉ management level prior to the incident and 
materials for the modification (cupped Bed Plates) were not procured.</t>
  </si>
  <si>
    <t>Systemic factors include:
• SF-01 – There was an over-reliance on the knowledge of the welder to develop 
and carry out a repair procedure without any formal instruction or supervision.
Although not causal, contributing or systemic, the RAIU make the following additional 
observation:
• AO-01 – The 201 Locomotive axle loads recorded by the acoustic bearing monitors 
indicate that the specified axle load may have been exceeded.</t>
  </si>
  <si>
    <t>DE-6325</t>
  </si>
  <si>
    <t>Fire in RS, 09-07-20, Hausach (Germany)</t>
  </si>
  <si>
    <t>Am 09.07.2020 kam der als NbZ 19964 verkehrende Turmverbrennungstriebwagen (TVT) gegen 11:04 Uhr wegen eines Fahrzeugbrandes im Streckengleis zwischen den Bahnhöfen Hausach und Haslach zum Stillstand. Im weiteren Ereignisverlauf setzte sich das brennende Fahrzeug selbstständig in Bewegung und rollte führerlos ca. 22 km talwärts.</t>
  </si>
  <si>
    <t>Bf Hausach – Bf Haslach</t>
  </si>
  <si>
    <t>Das abrollende Fahrzeug wurde durch eine gezielte Entgleisung im Bahnhof (Bf) Gengenbach gestoppt. Am Fahrzeug entstand Total-schaden. Die Infrastruktur wurde im Entgleisungsbereich punktuell beschädigt. Das bren-nende Fahrzeug verursachte bis zur Entgleisung mehrere Böschungsbrände an der Strecke.</t>
  </si>
  <si>
    <t>Aufgrund eines undichten Hydraulikmotors gerieten Bauteile im Unterflurbereich des TVT in Brand. Durch die Brandeinwirkungen wurden die Bremssysteme in ihrer Funktion erheblich beeinträchtigt, so dass es nach dem Verlassen des TVT durch die Triebfahrzeugführer (Tf) zum unkontrollierten Abrollen des Fahrzeugs kam.</t>
  </si>
  <si>
    <t>CZ-6296</t>
  </si>
  <si>
    <t>Trains collision, 10-07-20, Praha-Bechovice station (Czech Republic)</t>
  </si>
  <si>
    <t>Unauthorized movement of the train set of rolling stocks from the regional
passenger train No. 8856 with its consequent collision with the long distance
passenger train No. 989 and derailment at Praha-Běchovice station</t>
  </si>
  <si>
    <t>Praha-Bechovice station</t>
  </si>
  <si>
    <t>Regional passenger train;
Long distance passenger train</t>
  </si>
  <si>
    <t>Total damage CZK 20 117 368,- (EUR 797 043,-)</t>
  </si>
  <si>
    <t>Causal factor:
• failure to respect the signal „Shunting forbidden" of the shunting signal device Se6 by the train driver of the train set of rolling stocks from the regional passenger train No. 8856 and the subsequent movement of the train set of rolling stocks from the regional passenger train No. 8856 up to the switch No. 19 which took place in the train route of the long distance passenger train No. 989.                                                                              Contributing factor:                                                                                      • failures in communication between persons involved in preparation of the evacuation of the passengers from the long distance passenger train No. 506 (specifically between the train driver of the regional passenger train No. 8856, the track dispatcher of the Traffic Control Center Prague and the officer in charge of the Fire Service of the IM).</t>
  </si>
  <si>
    <t>HU-6301</t>
  </si>
  <si>
    <t>Train derailment, 10-07-20, Lillafüred (Hungary)</t>
  </si>
  <si>
    <t>The wagon of a passanger train (wagon no. 12) derailed with one bogie on the line of "LÁEV" narrow gauge railway at section no. 77. No one was injured. 
A LÁEV személyvonatának 12 psz. kocsija a 77. szelvényben egy forgóvázzal kisiklott. Személyi sérülés nem történt.</t>
  </si>
  <si>
    <t>Lillafüred</t>
  </si>
  <si>
    <t>RO-6297</t>
  </si>
  <si>
    <t>Train derailment, 10-07-20, Fundulea - Sarulesti (Romania)</t>
  </si>
  <si>
    <t>the diesel locomotive DA 010 which was running as ”dead engine”, the second in the train consist, derailed in open line between Fundulea and Sarulesti railway stations</t>
  </si>
  <si>
    <t>Fundulea - Sarulesti</t>
  </si>
  <si>
    <t>Damages were recorded to the DA 010 locomotive, which was derailed by all three axles of the first bogie in the direction of travel (which is bogie no. 2 of the locomotive).
Following this accident, damage was recorded to the railway infrastructure, which was affected over a distance of about 400 meters.</t>
  </si>
  <si>
    <t>Causal factor:                                                                                        -       breakage of the toothed crown from the axle no.5 of the locomotive DA 010, provided that the structure of the material it was made off was improper.</t>
  </si>
  <si>
    <t xml:space="preserve">Contributing factors: 
- lack of an operative notification that the axle no.5 of the locomotive DA 010 makes an abnormal noise;
- defective coordination of the mobile intervention team;
- omission to record in the „Register for the evidence of planned inspections and accidental repairs at the locomotive” that the axle no.5 of the locomotive DA 010 made an abnormal noise;
- use in operation of the locomotive DA 010 without removing the existing failures;
- putting into operation of the locomotive DA 010 by the locomotive crew without removing the failures existing.
Systemic factor:
- the existing gaps in the working out of the procedure code: PA.04 „Locomotive maintenance”, revision 2.
</t>
  </si>
  <si>
    <t>DK-10135</t>
  </si>
  <si>
    <t>Accident to persons caused by RS in motion, 11/07/2020, Brabrand, Denmark</t>
  </si>
  <si>
    <t>Under kørsel med ca. 150 km/t på vej mod Århus, ramte tog 51482 (IC3) en person, der befandt sig i sporet nær Brabrands østlige U-signal, strækningens km 114,3.
Personen, der blev ramt i hovedet af højre side af togets front (gumminæsen), omkom som følge af påkørslen.
Der sås ikke skader, men blodspor på togets front og højre side.</t>
  </si>
  <si>
    <t>Brabrand</t>
  </si>
  <si>
    <t>CZ-6299</t>
  </si>
  <si>
    <t>Trains collision, 14-07-20, open line between Úvaly and Ceský Brod stations (Czech Republic)</t>
  </si>
  <si>
    <t>Collision of the regional passenger train No. 9359 with standing freight train No. 60051 and consequent derailments of both trains</t>
  </si>
  <si>
    <t>open line between Úvaly and Ceský Brod stations</t>
  </si>
  <si>
    <t>Causal factor:
• failure to stop the train No. 9359 in front of the end of the train No. 60051 during a previous sudden indisposition (a heart attack) of the train driver of the train No. 9359 which could suddenly affect his ability to perceive and act.        Contributing factor:
• the train driver repeatedly cancelled the speed limit which had been automatically set by the CB mode of the AVV system in similar cases.</t>
  </si>
  <si>
    <t>HU-6302</t>
  </si>
  <si>
    <t>Train derailment, 14-07-20, Papírgyár - Puskaporos (Hungary)</t>
  </si>
  <si>
    <t xml:space="preserve">The wagon of a passanger train (wagon no. 301) derailed with one bogie on the line of "LÁEV" narrow gauge railway at section no. 43. No one was injured. 
A LÁEV személyvonatának 301 psz. kocsija a 43. szelvényben egy forgóvázzal kisiklott. Személyi sérülés nem történt. </t>
  </si>
  <si>
    <t>BG-10068</t>
  </si>
  <si>
    <t>Train derailment, 15-07-2020, Kostenets station, Bulgaria</t>
  </si>
  <si>
    <t>Derailment of locomotive of direct freight train in switch of station</t>
  </si>
  <si>
    <t>after switch No 15 (right) in counter-curve left on 3-rd track in Kostenets station</t>
  </si>
  <si>
    <t>TBD</t>
  </si>
  <si>
    <t>„BDZ-Cargo“Ltd.</t>
  </si>
  <si>
    <t>National Railway Infrastructure Company</t>
  </si>
  <si>
    <t>Slight damage was caused to the running gear of locomotive No 46041; minor damages were caused on the permanent way of the 3rd track in Kostenets station</t>
  </si>
  <si>
    <t>Art.20.2.(a) of the EU Directive 798/2016</t>
  </si>
  <si>
    <t>the direct cause is in combination with discrepancies of the inter-bogie coupler of the locomotive and additionally occurred lateral transverse horizontal force from the external leading right wheel of the first wheel-set in direction of the movement (sixth for the locomotive), caused by inadmissible differences of the track alignment in the left curve with radius R=188 m</t>
  </si>
  <si>
    <t>CZ-6303</t>
  </si>
  <si>
    <t>Level crossing accident, 15-07-20, level crossing No. P6953 between Velké Opatovice station and Cetkovice railway stop (Czech Republic)</t>
  </si>
  <si>
    <t>Collision of the regional passenger train No. 14704 with a lorry and consequent derailment.</t>
  </si>
  <si>
    <t>level crossing No. P6953 between Velké Opatovice station and Cetkovice railway stop</t>
  </si>
  <si>
    <t>CZ-6304</t>
  </si>
  <si>
    <t>Train derailment, 15-07-20, MedleÅ¡ice station (Czech Republic)</t>
  </si>
  <si>
    <t>Derailment of the regional passenger train No. 5338.</t>
  </si>
  <si>
    <t>MedleÅ¡ice station</t>
  </si>
  <si>
    <t>unauthorized change of position of the switch No. 1 at the time, when the rolling stocks of the train No. 5338 were on the switch, which was preceded by a failure to detect whether the train No.
5338 has arrived whole at the designated track and premature cancellation of train route for this train.</t>
  </si>
  <si>
    <t>CZ-6306</t>
  </si>
  <si>
    <t>Level crossing accident, 21-07-20, open line between Cermná nad Orlicí and Borohrádek stations (Czech Republic)</t>
  </si>
  <si>
    <t>Collision of the regional passenger train No. 1797 with the lorry at
the level crossing No. P4875.</t>
  </si>
  <si>
    <t>Open line between Čermná nad Orlicí a Borohrádek stations, the
level crossing No. P4875, km 14,025.</t>
  </si>
  <si>
    <t>Total damage CZK 583 000,- (EUR 22 764,-)</t>
  </si>
  <si>
    <t>an unauthorized entrance of the lorry at the level crossing No. P4875 at the time when the train No. 1797 was arriving, caused by behavior of the lorry driver, who did not respect the traffic sign „Stop, give a priority!” and did not stop the car at a place where she would have a proper view of the track and did not make sure whether she could safely pass the level crossing.</t>
  </si>
  <si>
    <t>CZ-6307</t>
  </si>
  <si>
    <t>Spad, 22-07-20, Jablonné nad Orlicí station (Czech Republic)</t>
  </si>
  <si>
    <t>Unauthorized movement of the regional passenger train No. 7152 behind the signal device Lc1 with the consequent movement into the train route of the oncoming regional passenger train No. 7151.</t>
  </si>
  <si>
    <t>Jablonné nad Orlicí station</t>
  </si>
  <si>
    <t>Leo Express Tenders s.r.o.</t>
  </si>
  <si>
    <t>CZ-6308</t>
  </si>
  <si>
    <t>Train derailment, 22-07-20, Lázně Kynžvart station (Czech Republic)</t>
  </si>
  <si>
    <t>Unauthorized movement of the regional passenger train No. 7004
behind the departure signal device with its consequent
derailment at Lázně Kynžvart station</t>
  </si>
  <si>
    <t>Lázně Kynžvart station</t>
  </si>
  <si>
    <t>Causal factor:
• the unauthorized movement of the regional passenger train No. 7004 which was not dispatched another way then by the signal of the main signal device and consequent failure to respect the signal „Stop” given by the main departure signal device S1 at Lázně Kynžvart.                             Contributing factors:
• a failure to register a valid functional number of the train No. 7004 into the digital radio network GSM-R and failure to perform a functional test of the basic connection by checking the validity of the registered data;
• the absence of a mobile train automatic warning system enabling the transmission of signals of the main signal devices and warning signals to the driver's footplate of the locomotive.</t>
  </si>
  <si>
    <t>HU-6309</t>
  </si>
  <si>
    <t>Spad, 23-07-20, Budapest-Nyugati pu. (Hungary)</t>
  </si>
  <si>
    <t>The train no. 22425 passed the signal „G” of Budapest-Nyugati station at danger and moved on towards the oncoming passenger train no. 2346. Eventually the two trains stopped 288 metres away from each other.</t>
  </si>
  <si>
    <t>Budapest-Nyugati pu.</t>
  </si>
  <si>
    <t>Direct cause(s):	
•	after the train № 2036 (moving in the opposite direction) had passed, the locomotive driver of train № 22425 departed without authorisation and without observing (or after not observing it carefully enough) the aspect of signal "G" which was in ‘Danger’
Contributory factor(s):	
•	the 75 Hz continuous signal transmission for train control systems is not installed at the location of the occurrence, so active train control is not available there
•	the personnel of the traffic-regulating signal box № 2 did not notice that train № 22425, which had been waiting in their area, started to move without authorisation, passed the area of the train-regulating signal box № 2 and then entered the track which lead towards signal box № 1, and so did not take any action to stop the dangerous movement(s)</t>
  </si>
  <si>
    <t>Underlying cause(s):	
•	the train protection system based on 75 Hz track-circuit signals is not suitable to prevent head-on traffic when it is only partially installed</t>
  </si>
  <si>
    <t>DE-6327</t>
  </si>
  <si>
    <t>Level crossing accident, 27/7/2020, Hp Großwalbur – Hp Meeder</t>
  </si>
  <si>
    <t>Am 27.07.2020 gegen 18:15 Uhr prallte die Zugfahrt DPN‐G 84553 auf der Fahrt von Bad Rodach nach Coburg auf dem nicht technisch gesicherten Bahnübergang in km 8,615 mit einem Pkw zusammen.</t>
  </si>
  <si>
    <t>Hp Großwalbur – Hp Meeder</t>
  </si>
  <si>
    <t>Der Bahnübergangsunfall ist auf das Nichtbeachten der Straßenverkehrsordnung (StVO) § 19 „Bahnübergänge“ sowie § 41 „Vorschriftenzeichen“ durch den Straßenverkehrsteilnehmer zurückzuführen.</t>
  </si>
  <si>
    <t>Closed</t>
  </si>
  <si>
    <t>HU-6310</t>
  </si>
  <si>
    <t>Spad, 27-07-20, Piliscsaba (Hungary)</t>
  </si>
  <si>
    <t>A személyvonat a "Megállj!" jelzést adó bejárati jelzot 5 méterrel engedély nélkül meghaladta. 
The passenger train exceeded the ‘Stop!’ sign by 5 m without permission.</t>
  </si>
  <si>
    <t>Piliscsaba</t>
  </si>
  <si>
    <t>0</t>
  </si>
  <si>
    <t>No damage.</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</si>
  <si>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mozdonyvezető nem az előjelzőn kapott jelzési kép alapján szabályozta
a vonat sebességét;
b) a főjelző jelzési képe nem látható az előírt távolságból.
5.1.2 Hozzájáruló tényezők
Cselekmények, hibák, események vagy feltételek, amelyek azáltal befolyásolták
az eseményt, hogy növelték a bekövetkezés valószínűségét, felgyorsították a
hatásokat, vagy fokozták a következmények súlyosságát, de kiiktatásuk nem
akadályozta volna meg az esemény bekövetkezését:
a) a főjelzőre vonatkozó rálátási távolság hiánya ellenére ismétlőjelző nem
került felállításra;
b) a forgalmas, egyvágányú vasútvonalon vonatbefolyás nem üzemel.</t>
  </si>
  <si>
    <t>5.1.3 Rendszerszintű tényező
Olyan szervezeti, vezetési, társadalmi vagy szabályozási jellegű ok-okozati vagy
hozzájáruló tényezőket, amelyek a jövőben valószínűleg hatással lehetnek
hasonló és kapcsolódó eseményekre, a Vb nem tárt fel.</t>
  </si>
  <si>
    <t>CZ-6312</t>
  </si>
  <si>
    <t>Electric shock, 28-07-20, Křižanov station (Czech Republic)</t>
  </si>
  <si>
    <t>Injury of the external worker by electric current from a contact line at Křižanov station. The employee of the railway undertaking (working on the work platform) was struck by an electric current during the shunting operation</t>
  </si>
  <si>
    <t>Křižanov station</t>
  </si>
  <si>
    <t>Total damage CZK/EUR 0,-</t>
  </si>
  <si>
    <t>Causal factor:
• failure to comply the conditions for ensuring safety and health protection at work at the time of presence of the external worker on the roof platform of the shunting operation during shunting under the voltage-operated part of the contact line.</t>
  </si>
  <si>
    <t>PT-6313</t>
  </si>
  <si>
    <t>Trains collision, 31-07-20, Soure (Portugal)</t>
  </si>
  <si>
    <t>Rear-end collision of two trains, followed by derailment.</t>
  </si>
  <si>
    <t>Soure</t>
  </si>
  <si>
    <t>Destruction of VCC 105 and vehicles 6 and 5 of CPA 4005; substantial damage to CPA vehicles 4 and 3. Substantial to light damage to track, OHLE and destruction of signalling equipment, for about 500 m. Damages Infrastructure: approx. € 796 000 ♦ Rolling Stock: approx. € 10 000 000</t>
  </si>
  <si>
    <t>Staff training, Risk evaluation, gaps in sms</t>
  </si>
  <si>
    <t>CZ-6316</t>
  </si>
  <si>
    <t>Level crossing accident, 05-08-20, open line between Pocátky-Å½írovnice and Jihlávka stations (Czech Republic)</t>
  </si>
  <si>
    <t>Collision of the freight train No. 60430 with a car at the level crossing No. P6189</t>
  </si>
  <si>
    <t>open line between Pocátky-Å½írovnice and Jihlávka stations</t>
  </si>
  <si>
    <t>RO-6314</t>
  </si>
  <si>
    <t>Train derailment, 05-08-20, Popesti Valcea - Berbesti (Romania)</t>
  </si>
  <si>
    <t>the 11th wagon of the freight train no.23689 derailed in open line between Popesti Valcea and Berbesti</t>
  </si>
  <si>
    <t>Popesti Valcea - Berbesti</t>
  </si>
  <si>
    <t>SNTFM „CFR Marfă” SA</t>
  </si>
  <si>
    <t>CNCF „CFR" SA</t>
  </si>
  <si>
    <t>Following the accident, the track superstructure was affected on about 500 m, consisting in the hit and destruction of the sleepers and of the metallic fastenings.                                                                                 The wagon derailed was routed to the workshop for being checked, there were found no serious failures at its parts.</t>
  </si>
  <si>
    <t xml:space="preserve">Causal factors:                                                                                        1. partial downloading of the wagon no.81536666128-9, following which its right – front compartment rested loaded about 7,64 t with coal, leading to the load transfer from the guiding wheel;
2. the condition of the wagon no.81536666128-9 was no checked after the downloading, by the staff with responsibilities in this respect.
</t>
  </si>
  <si>
    <t xml:space="preserve">Contributing factor: 
1. improper condition of the polyamide plates (broken, with missing parts) of the wagon no.81536666128-9, it leading to the increase of the stiffness of the unit bogie – wagon body, so generating the increase of the lateral guiding force and implicitly the decrease of the vehicle capacity of curve negotiation.
Systemic factors:
None.
</t>
  </si>
  <si>
    <t>SE-6334</t>
  </si>
  <si>
    <t>Accident to persons caused by RS in motion, 05-08-20, Sundsvall C (Sweden)</t>
  </si>
  <si>
    <t>NIB SE</t>
  </si>
  <si>
    <t>Accident during a shunting operation. The shunter was standing on the first vehicle in the direction of travel, fell off, was run over and sustained fatal injuries.</t>
  </si>
  <si>
    <t>Sundsvall C</t>
  </si>
  <si>
    <t>CFL cargo Sverige AB</t>
  </si>
  <si>
    <t>Swedish Transport Administration (Trafikverket)</t>
  </si>
  <si>
    <t>The shunter died</t>
  </si>
  <si>
    <t>The direct cause of the accident has not been determined.</t>
  </si>
  <si>
    <t>At systematic level, the accident was caused by the fact that the overall risks of shunting based on physical work environment, professional skills and personal conditions have not been managed in an appropriate manner.
A probable direct cause was that the shunter lost his foothold or his balance in connection with the shunting movement slowing down. The shunter may also have tripped without direct influence of forces linked to the shunting movement.
A probable contributing cause was the lack of handles or other type of support that prevented the shunter from losing his balance and falling off in front of the wagon.</t>
  </si>
  <si>
    <t>CZ-6318</t>
  </si>
  <si>
    <t>Trains collision, 11-08-20, Jihlava station (Czech Republic)</t>
  </si>
  <si>
    <t>Unauthorized movement of the freight train No. 52184 behind the main departure signal device S1, consequent collision with standing rolling stock and derailment</t>
  </si>
  <si>
    <t>Jihlava station, main departure signal device S1, station track No. 1, km 198,675; place of the collision was at station track No. 1a, km 198,489</t>
  </si>
  <si>
    <t>CityRail, a. s.</t>
  </si>
  <si>
    <t>line, rolling stocks CZK 8 616 661,- (EUR 329 446,-)</t>
  </si>
  <si>
    <t>National rules imposed by implementing of the Safety Directive 2004/49/EC - in light of Article 19, §1 of SD</t>
  </si>
  <si>
    <t>• failure to open of the coupling valves of continuous automatic pressure brake between the locomotive and the first towed rolling stock;                                                                          • failure to perform a simple brake test of the train at Havlíčkův Brod station.</t>
  </si>
  <si>
    <t>UK-6322</t>
  </si>
  <si>
    <t>Train derailment, 12-08-20, Carmont, Aberdeenshire (United Kingdom)</t>
  </si>
  <si>
    <t>At around 09:40 hrs on Wednesday 12 August 2020, all six vehicles of a passenger train derailed after striking a landslip around 1.4 miles (2.25 km) north-east of Carmont, Aberdeenshire. There were nine people on the train at the time of the accident; three train crew (the driver, conductor and a second conductor travelling as a passenger on this train) and six passengers. Tragically, the driver of the train, the train’s conductor and one passenger suffered fatal injuries in the accident. The remaining passengers and member of train crew were taken to hospital._x000D_
The site of the accident was approximately four miles (6.4 km) south-west of Stonehaven and 20 miles (32 km) north of Montrose, on the double track main line which runs between Dundee and Aberdeen. The train, which was operated by Abellio (trading as ScotRail), was a High Speed Train set with a leading power car, four Mark 3 passenger coaches and a rear power car. It had originally been operating as train reporting number 1T08, the 06:38 hrs service from Aberdeen to Glasgow Queen Street. Train 1T08 had departed on time from Aberdeen and then from Stonehaven, its next scheduled stop. After departing Stonehaven, the train continued past Carmont on the up (southbound) line until it was stopped by the signaller at Carmont, using a radio message. This was because the signaller had just received a report from the driver of a train on the down (northbound) line that a landslip was obstructing the up line between Carmont and Laurencekirk._x000D_
When it became apparent that train 1T08 could not continue its journey south, the decision was taken to return it to Aberdeen, and it was routed back over a crossover at Carmont onto the down line. After travelling for approximately 1.4 miles (2.25 km), the train struck a landslip covering the down line and derailed. As the track curved to the right, the train continued in a roughly straight line for around 100 yards (90 metres) until it struck a section of bridge parapet, which was destroyed. The leading power car continued over the bridge and then fell from the railway down a wooded embankment, as did the third passenger carriage. The first passenger carriage came to rest on its roof, having rotated to be at right angles to the track. The second passenger carriage also overturned onto its roof and came to rest on the first carriage. The fourth passenger carriage remained upright and attached to the rear power car; it also came to rest on the first carriage. All wheelsets of the rear power car derailed, but it remained upright.</t>
  </si>
  <si>
    <t>Carmont, Aberdeenshire</t>
  </si>
  <si>
    <t>CZ-6319</t>
  </si>
  <si>
    <t>Train derailment, 13-08-20, TiÅ¡nov station (Czech Republic)</t>
  </si>
  <si>
    <t>Derailment of 2 rolling stocks of the long distance passenger train No. 975.</t>
  </si>
  <si>
    <t>TiÅ¡nov station</t>
  </si>
  <si>
    <t>CZ-6320</t>
  </si>
  <si>
    <t xml:space="preserve">Train derailment, 14-08-20, Keraclay Nehvizdy siding (Czech Republic) </t>
  </si>
  <si>
    <t>Uncontrolled movement of the 32 rolling stocks from KERACLAY Nehvizdy siding to Mstětice station with consequent derailment, collision with a car at the level crossing No. P3613 and collision with building of the signal box St. 1 and supports of traction catenary lines</t>
  </si>
  <si>
    <t>KERACLAY Nehvizdy siding</t>
  </si>
  <si>
    <t>ČD Cargo, a. s.</t>
  </si>
  <si>
    <t>DBV-ITL, s.r.o.</t>
  </si>
  <si>
    <t>Total damage CZK 3 569 903,- (EUR 147 273,-)</t>
  </si>
  <si>
    <t>Causal factor:
• insufficient securing of the rolling stocks against uncontrolled movement.</t>
  </si>
  <si>
    <t>Systemic factors:
• failure to ensure by safety technological procedures by infrastructure manager DBV-ITL, when specific number of required braking percentages for a given track
gradient did not guarantee securing rolling stocks against uncontrolled movement;
• failure to respond the reduction in the braking effect of the hand brake of long-term detached rolling stocks in the technological procedures of railway undertaking ČD Cargo, a. s.</t>
  </si>
  <si>
    <t>HU-6321</t>
  </si>
  <si>
    <t>Fire in RS, 14-08-20, Biatorbágy (Hungary)</t>
  </si>
  <si>
    <t xml:space="preserve">There was an explosion in the electric-engine, the roof fall down to the second track, an other train collided with the roof. 
</t>
  </si>
  <si>
    <t>Biatorbágy</t>
  </si>
  <si>
    <t>HU-6341</t>
  </si>
  <si>
    <t>Train derailment, 16-08-20, Szakály-Hogyész - Kurd (Hungary)</t>
  </si>
  <si>
    <t>A tehervonat utolsó 3 kocsija (15-17) kisiklott, a 15-16 kocsi az oldalára borult. 
The last 3 wagons (15-17) of the freight train were derailed, and 15-16 wagons were overturned.</t>
  </si>
  <si>
    <t>Szakály-Hogyész - Kurd</t>
  </si>
  <si>
    <t>Track was damaged, wagons were damaged.</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</si>
  <si>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rövid szakaszon egymástól függetlenül kialakult pályageometriai hibák
külön – külön hibahatáron belül voltak, együttes hatásuk viszont olyan
oldalirányú lengési mozgást gerjesztett a vonat magasan elhelyezkedő
súlyponttal rendelkező járműveiben, ami a vonatba sorozott utolsó három
kocsi kisiklásához vezetett (4.2.3).
5.1.2 Hozzájáruló tényezők
Cselekmények, hibák, események vagy feltételek, amelyek azáltal befolyásolták
az eseményt, hogy növelték a bekövetkezés valószínűségét, felgyorsították a
hatásokat, vagy fokozták a következmények súlyosságát, de kiiktatásuk nem
akadályozta volna meg az esemény bekövetkezését:
a) az egymástól függetlenül kialakult pályageometriai hibákat külön – külön
tartották nyílván, esetleges együttes hatásukat nem vizsgálták</t>
  </si>
  <si>
    <t>5.1.3 Rendszerszintű tényező
Szervezeti, vezetési, társadalmi vagy szabályozási jellegű ok-okozati vagy
hozzájáruló tényezők, amelyek a jövőben valószínűleg hatással lehetnek hasonló
és kapcsolódó eseményekre, különösen ideértve a szabályozási keretfeltételeket,
a biztonságirányítási rendszer kialakítását és alkalmazását, a személyzet
készségeit, az eljárásokat és a karbantartást:
a) a gépi vágánymérések adatait nem vetik össze a korábbi mérésekkel, így
a hibák folyamatos romlása nem tud felszínre kerülni addig, amíg a
beavatkozási értéket nem éri el.</t>
  </si>
  <si>
    <t>CZ-6324</t>
  </si>
  <si>
    <t>Trains collision with an obstacle, 18-08-20, open line between Brno-Horní HerÅ¡pice and Strelice stations (Czech Republic)</t>
  </si>
  <si>
    <t>Collision of the regional passenger train No. 11542 with working machine.</t>
  </si>
  <si>
    <t>open line between Brno-Horní HerÅ¡pice and Strelice stations</t>
  </si>
  <si>
    <t>PL-6323</t>
  </si>
  <si>
    <t>Level crossing accident, 18-08-20, Nisko - Rudnik nad Sanem (Poland)</t>
  </si>
  <si>
    <t>On 18 August 2020, during the travel of the MPE26105 Lublin Główny – Wrocław Główny train of the PKP Intercity S.A. carrier on track no. 1, along the Nisko – Rudnik nad Sanem route of the Lublin – Przeworsk railway line no. 68, at a cat. C level crossing at km 119.080 at 7:29 a.m., a MAN lorry drove directly in front of the approaching train. The road vehicle did not stop before traffic sign B-20 ‘Stop’ and entered the level crossing in front of the moving train in spite of the warnings transmitted by the traffic signals of the automatic level crossing system (SSP), prohibiting entry to the crossing. The accident resulted in the road vehicle driver’s death, while the train driver was severely injured. No other train personnel or passengers were injured. The accident caused the derailment of two wheelsets of the locomotive. The locomotive, the road vehicle and the SSP devices were completely destroyed; moreover, damage was sustained by the sheathing of the railway wagons and elements of the railway infrastructure, i.e., the track and the overhead line.</t>
  </si>
  <si>
    <t>Nisko - Rudnik nad Sanem</t>
  </si>
  <si>
    <t>tottally demged lorry, significantly demged locomotive, demages of a level crossing devices, slight demages of a track</t>
  </si>
  <si>
    <t>The entry of a lorry onto a level crossing directly in front of the approaching MPE26105 passenger train.</t>
  </si>
  <si>
    <t xml:space="preserve">Indirect causes:
1. The visibility of the crossing from the access road on which the lorry was driving, which is improper and incompatible with current provisions, including the red lights transmitted by the SSP traffic signals located at the left and right sides of the level crossing, resulting from the arrangement of the signal boxes, which does not provide proper visibility of the transmitted signals, and from the contamination of lenses.
2. Limited visibility of the train head from the lorry driver's seat when approaching the crossing on a road parallel to the railway while leaving a construction site, turning and entering the crossing.                               Systemic cause:
The railway infrastructure manager’s failure to perform an assessment of the significance of the change resulting from the objectives of agreement no. 21/203/0048/19 dated 27 August 2019, and the absence of a risk assessment related to the introduced change (as justified in point III.1).
</t>
  </si>
  <si>
    <t>FR-6338</t>
  </si>
  <si>
    <t>Train derailment, 19-08-20, Villeneuve-sur-Yonne (France)</t>
  </si>
  <si>
    <t>One of the bogies of a wagon transporting dangerous goods on a freight train derails for 8.37 km.</t>
  </si>
  <si>
    <t>Villeneuve-sur-Yonne</t>
  </si>
  <si>
    <t>IT-6349</t>
  </si>
  <si>
    <t>Runaway, 19-08-20, Carnate (Italy)</t>
  </si>
  <si>
    <t>NIB IT</t>
  </si>
  <si>
    <t>Runaway and subsequent derailment of the regional train 10776</t>
  </si>
  <si>
    <t>Carnate</t>
  </si>
  <si>
    <t>TRENORD</t>
  </si>
  <si>
    <t>serious damage to infrastructure and rolling stock</t>
  </si>
  <si>
    <t>improper movement of rolling stock (lost braking)</t>
  </si>
  <si>
    <t>incorrect positioning of pneumatic brake closing devices;
failure to activate the mechanical brake;
lack of service personnel on the train;
inappropriate management by drivers of the similar event on the same convoy a few hours before the accident;
the independence of track No. 2, on which the train was stopped, has not been set;
ineffective maintenance activity carried out on the car.</t>
  </si>
  <si>
    <t>RO-6326</t>
  </si>
  <si>
    <t>Fire in RS, 24-08-20, Timisu de Sus - Predeal (Romania)</t>
  </si>
  <si>
    <t>a fire burst at the electric locomotive EA 089 that was running as back engine</t>
  </si>
  <si>
    <t>Timisu de Sus - Predeal</t>
  </si>
  <si>
    <t>SC Unicom Tranzit SA</t>
  </si>
  <si>
    <t xml:space="preserve">The locomotive involved was damaged on about 70%. </t>
  </si>
  <si>
    <t xml:space="preserve">Causal factor:                                                                                        - there were some improper contacts between the brushes of the traction engine no.1 and its collector, as well as between the contacts type ”mother – father” from the traction engines no.4 and 6.
</t>
  </si>
  <si>
    <t xml:space="preserve">Contributing factors: 
1. repeated tentative to put in motion the train on the track section between the caution signal and the entry one of the railway station Predeal. 
2. weather conditions represented by the rains.
</t>
  </si>
  <si>
    <t>HU-10121</t>
  </si>
  <si>
    <t>SPAD at Győr station at 25/08/2021</t>
  </si>
  <si>
    <t>The freigth train no. 44284 passed the exit signal of Győr station at danger. The train was stopped by the train control system. The passenger train no. 9442 which was leaving the station at the time of the occurrence could stop before crossing the route of the freight train. No one was injured.</t>
  </si>
  <si>
    <t>Győr</t>
  </si>
  <si>
    <t>Floyd Zrt.</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</si>
  <si>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mozdonyvezető úgy érkezett az állomásra a vonatával, hogy nem
készült fel a megállásra,
b) a bejárati jelzőn kapott jelzés, annak jelentése nem tudatosult benne és a
menetrendnek megfelelően próbált áthaladni az állomáson.
5.1.2 Hozzájáruló tényezők
Cselekmények, hibák, események vagy feltételek, amelyek azáltal befolyásolták
az eseményt, hogy növelték a bekövetkezés valószínűségét, felgyorsították a
hatásokat, vagy fokozták a következmények súlyosságát, de kiiktatásuk nem
akadályozta volna meg az esemény bekövetkezését:
a) az oldó szelep karja ki volt kötve, ezáltal a mozdonyt a kényszerfékezés
során sem engedte fékezni, ami a fékút megnövekedését eredményezte
(4.2.2).</t>
  </si>
  <si>
    <t>5.1.3 Rendszerszintű tényező
Olyan szervezeti, vezetési, társadalmi vagy szabályozási jellegű ok-okozati vagy
hozzájáruló tényezőket, amelyek a jövőben valószínűleg hatással lehetnek
hasonló és kapcsolódó eseményekre a Vb nem azonosított</t>
  </si>
  <si>
    <t>DE-6335</t>
  </si>
  <si>
    <t>Train derailment, 30-08-20, Niederlahnstein (Germany)</t>
  </si>
  <si>
    <t>Am 30.08.2020 gegen 18:35 Uhr entgleiste der mit Dieselkraftstoff beladene Kesselwagen-zug DGS 49077 auf der Fahrt von Rotterdam nach Basel im Bahnhof Niederlahnstein in der Weichenverbindung W 35 – W 18.</t>
  </si>
  <si>
    <t>Niederlahnstein</t>
  </si>
  <si>
    <t>Laeger &amp; Wöstenhöfer GmbH &amp; Co. KG</t>
  </si>
  <si>
    <t xml:space="preserve">Eine Person wurde leicht verletzt. Das Triebfahrzeug (Tfz) sowie acht Mineralölkesselwa-gen entgleisten. Sechs der entgleisten Kesselwagen kippten um. Mehrere Kesselwagen wurden beschädigt. An zwei Kesselwagen wurde durch Puffereinwirkung die Tankwand perforiert, so dass in großen Mengen Dieselkraftstoff austrat und das Erdreich verunrei-nigte. Darüber hinaus entstanden massive Zerstörungen der Infrastruktur. </t>
  </si>
  <si>
    <t>Die Zugentgleisung des DSG 49077 war auf eine Überpufferung zwischen Tfz und erstem Kesselwagen zurück zu führen. Verursacht wurde die Überpufferung durch eine nach DB-Regelwerk im Entgleisungsbereich unzulässige Gleisgeometrie in Verbindung mit einer Überschreitung der signalisierten Geschwindigkeit. Begünstigend wirkten sich die durch eine Bremsung auftretenden Längsdruckkräfte im Zugverband sowie der durch Betriebseinflüsse ungünstig veränderte Oberbauzustand der Weichenverbindung aus.</t>
  </si>
  <si>
    <t>CZ-6332</t>
  </si>
  <si>
    <t>Accident to persons caused by RS in motion, 31-08-20, open line between Balkova Lhota and BoÅ¾ejovice stations (Czech Republic)</t>
  </si>
  <si>
    <t>Collision of the regional passenger train No. 1716 with the external worker at open line</t>
  </si>
  <si>
    <t>open line between Balkova Lhota and BoÅ¾ejovice stations</t>
  </si>
  <si>
    <t>CZ-6333</t>
  </si>
  <si>
    <t>Level crossing accident, 02-09-20, open line between Moravské Bránice and Ivancice stations (Czech Republic)</t>
  </si>
  <si>
    <t xml:space="preserve">Collision of the regional passenger train No. 11414 with a car. 
</t>
  </si>
  <si>
    <t>open line between Moravské Bránice and Ivancice stations</t>
  </si>
  <si>
    <t>PL-6343</t>
  </si>
  <si>
    <t>Level crossing accident, 03-09-20, Przybówka - Jaslo Towarowa (Poland)</t>
  </si>
  <si>
    <t>On September 3, 2020, during the ride of the MPS 32102/3 "WETLINA" train of the railway carrier PKP Intercity S.A. on the Zagórz - Lublin Główny route along track No. 1, on the Przybówka - Jasło Towarowa route of the single-track railway line No. 106 Rzeszów Główny - Jasło, on the category D level crossing at km 55.924 at 1:50 p.m. the road vehicle did not stop at the B-20 "stop" sign and drove on the right side of the train to the level crossing directly in front of the SU160-007 locomotive running a passenger train, and as a result, a train collided with this vehicle, i.e. a passenger car of the Opel Mokka brand. 
in the environment as well as rail and road infrastructure there was no.accident, the driver of the road vehicle and its passengers died on the spot. Train staff and passengers of this train were not injured. A road vehicle was completely destroyed, and a railway vehicle was also damaged. There was no destruction
in the environment as well as rail and road infrastructure.</t>
  </si>
  <si>
    <t>Przybówka - Jaslo Towarowa</t>
  </si>
  <si>
    <t>The driving of the passenger car onto the railway crossing cat. D,  immediately in front of the approaching passenger train no. MPS 32102/3.</t>
  </si>
  <si>
    <t>DE-10309</t>
  </si>
  <si>
    <t>Train derailment, 5/9/2020, Bf Köln Eifeltor</t>
  </si>
  <si>
    <t>Am 05.09.2020 gegen 02:30 Uhr entgleiste der Güterzug GS 60711 auf der Fahrt von Oberhausen West nach Andernach im Bahnhof Köln Eifeltor in der Weiche 12. Der an 23. Stelle laufende, mit zwei dreiachsigen Drehgestellen ausgerüstete, Güterwagen entgleiste mit dem nachlaufenden Drehgestell. Nach ca. 620 m gleiste sich das Drehgestell in der stumpf befahrenen Weiche 42 wieder ein.</t>
  </si>
  <si>
    <t>Bf Köln Eifeltor</t>
  </si>
  <si>
    <t>In Folge der Entgleisung entstanden erhebliche Schäden an dem betroffenen sowie an dem vor- und nachlaufenden Wagen. Der Oberbau sowie die Leit- und Sicherungstechnik wurden im Bereich der Entgleisungsstelle stark beschädigt</t>
  </si>
  <si>
    <t>Bogie of a freight waggn was unable to turn, this lead to a derailment when passing a switch. Blockade was caused by an earlier spot welding from an unclear high voltage breakdown inside the waggon (e.g. lightning).</t>
  </si>
  <si>
    <t>HR-6340</t>
  </si>
  <si>
    <t>Level crossing accident, 07-09-20, Level crossing Pracno (between stations Sisak-Greda) (Croatia)</t>
  </si>
  <si>
    <t>On September 07, 2020 at 03:06 p.m. at the LC „Pračno“ secured by a barriers which operate the LC guard, at KM 376+548 on the line M502, a freight train No. 48974 collided with a personal road vehicle. 
The person who was driving a personal road vehicle was seriously injured in the accident, there was large material damage to the personal road vehicle and locomotive.</t>
  </si>
  <si>
    <t>Level crossing Pracno (between stations Sisak-Greda)</t>
  </si>
  <si>
    <t>Large material damage to the personal road vehicle and locomotive.</t>
  </si>
  <si>
    <t>The causal factor of the accident in question is a train collision with a personal road vehicle due to an unsecured LC before the train passed i.e. the bumpers were not lowered by the LC guard.</t>
  </si>
  <si>
    <t>Contributing factors:
- non-compliance with the prescribed work processes of the train operator at station Sisak,
- non-compliance with the instructions from the received driving order SE-1 by train driver.
Systemic factors:
- non-compliance with the prescribed work processes of the LC guard,
- possible lack of attention and distraction of the LC guard,
- possible insufficient experience of working at the LC “Pračno” of the LC guard,
- possible confusion of the serving guard of the LC, who was temporarily transferred to the LC 
"Pračno" instead of his domicile workplace.</t>
  </si>
  <si>
    <t>CZ-6336</t>
  </si>
  <si>
    <t>Trains collision, 09-09-20, Kdyne station (Czech Republic)</t>
  </si>
  <si>
    <t>Collision of the regional passenger train No. 17544 with the service train No. 55025 with consequent derailment.</t>
  </si>
  <si>
    <t>Kdyne station</t>
  </si>
  <si>
    <t>Regional passenger train; service train
Other</t>
  </si>
  <si>
    <t>line, rolling stocks,things of passengers</t>
  </si>
  <si>
    <t xml:space="preserve">Causal factor:
• failure to stop the regional passenger train No. 17544 in front of the signal „Stop" of the main (departure) signal device L2 at Kdyně station, due to incorrect operation of the braking device and failure to use the sanding equipment by the train driver of the train No. 17544, and also failure to ensure re-rolling of the wheels after the previous occurrence of skid of the wheels of the locomotive.
Contributing factors:
• reduction of the coefficient of adhesion friction which is necessary for the start or stop of the trains on the station track No. 2 at Kdyně station; this situation was caused by lodgment of rutted vegetation residues on the tops of the heads of both rail strings, because vegetation was not treated in time, and also by the interaction of atmospheric humidity at the time of the serious accident;
• exceeding the speed limit by 20 kph due to failure to respect the signal „Speed 40 kph" and also the repeating signal – „Warning” signal – of the main (entrance) signal device L of Kdyně station by the train driver of the train No. 17544. </t>
  </si>
  <si>
    <t>RO-6339</t>
  </si>
  <si>
    <t>Train derailment, 13-09-20, Bucuresti Obor - Pantelimon (Romania)</t>
  </si>
  <si>
    <t>the first bogie  in the running direction  of the first car of the regional passenger train no.8023 derailed in open line between Bucuresti Obor and Pantelimon railway stations</t>
  </si>
  <si>
    <t>Bucuresti Obor - Pantelimon</t>
  </si>
  <si>
    <t>National Company for Passenger Railway Transport "CFR-Calatori" SA</t>
  </si>
  <si>
    <t xml:space="preserve">The track superstructure was affected on about 80 m. The first bogie  in the running direction  of the first car of the train no.50532626112-0 was affected.                                                  The components of the installations along the route, on which the wagon no.50532626112-0, from the composition of the passenger train no.8023 ran, were affected as follows: 
- the track magnet of 1000/2000 Hz of the signal XEU;
- impendence bond SI 024 with the peg of the track circuit.
 </t>
  </si>
  <si>
    <t>Causal factor:                                                                                       
 keeping within the track, at the accident site, a group of improper normal wooden sleepers, that generated the exceeding of the maximum limits of the track gauge in operation and led to the loss of the support and guiding capacity of the inner rail of the curve, leading to the fall of the left wheels from the axles of the first bogie of the first wagon of the passenger train no.8023, between the rails.</t>
  </si>
  <si>
    <t xml:space="preserve">Contributing factor
 performance of the technical inspection by not-authorized staff, it favouring the decrease of this activity efficiency.
Systemic factors
 inefficient management of the risks associated to the danger generated by keeping in operation, within a curve with small radius, two or many improper normal wooden sleepers, in turn, that had to be replaced immediately (emergency I);
 providing insufficient material and human resources, in relation to what is necessary for the corresponding maintenance of the line and keeping the track geometry between the tolerances accepted.
</t>
  </si>
  <si>
    <t>RO-6342</t>
  </si>
  <si>
    <t>Train derailment, 13-09-20, Brebu - Cornutel Banat (Romania)</t>
  </si>
  <si>
    <t>the last 12 wagons of freight train no.60250 derailed in open line between Brebu and Cornutel Banat</t>
  </si>
  <si>
    <t>Brebu - Cornutel Banat</t>
  </si>
  <si>
    <t>SC Tim Rail Cargo SRL</t>
  </si>
  <si>
    <t xml:space="preserve">The track superstructure was affected on about 110 m.                         First 12 wagons was affected.                                                                  The mechanical transmission of the entry semaphore of the railway station Cornuțel Banat and the track magnet of 1000/2000 Hz, corresponding to it, were damaged.
The contact line was affected between the poles LC 6 and LC 9, and the poles LC 7 and LC 8 were broken.
 </t>
  </si>
  <si>
    <t xml:space="preserve">Causal factor:                                                                                       
1. Existence, within the track, at the accident site, improper normal wooden sleepers (that could not assure the right fastening of the rails on the rails from the exterior track, respectively from the interior one and keeping of the track gauge between the tolerance limits accepted by the regulation framework), sleepers with a high degree of deterioration (physical and chemical), accelerated (unexpectedly) by some hidden failures, unaccepted from technical point of view, being inside, in the core of the wooden, that affected the mechanic resistance and the durability of these sleepers, that were under warranty when the accident happened.
2. The failure existing at the guiding wheel (wheel no.1) of the wagon no.84535304226-8 (the thickness of the flange of wheel under the limit accepted in operation – 22 mm), this condition generating the increase of the guiding forces this wheel acted on the exterior rail of the line.
</t>
  </si>
  <si>
    <t xml:space="preserve">Contributing factor: 
1. Use for the transport of steel billets (steel half-finished – round bars) of some wagons with metallic floors and not with wooden ones, as it is stipulated by UIC regulations. The running of the wagons in derailed condition led to the easy movement of the goods on the wagon floor and breakage of the wagon walls, so, to the increase of their damages.
Systemic factors:  
1. The infrastructure administrator managed inefficiently the risks associated to the danger generated by keeping in operation, within a curve, two or more improper normal wooden sleepers, in turn, that had to be replaced.
2. Lack in the technical specification, basis for the conclusion of the contract for the line repair, of some clear requirements, so the infrastructure manager can be sure that for these works, the contractor buy and use only products certified in accordance with the certification systems established upon European Union legislation.
3. The railway undertaking did not effectively manage the risks associated to the danger generated by the non-identification of all failures, parts worn out or shortages existing at the wagons.
4. The railway undertaking did not assess the risks associated to the danger generated by the use of some wagons improper for the transport of some type of good.
</t>
  </si>
  <si>
    <t>FR-6355</t>
  </si>
  <si>
    <t>Train derailment, 17/9/2020, Corbonod</t>
  </si>
  <si>
    <t>Derailment of a wagon bogie of a mineral water transport train
over 2.8 km</t>
  </si>
  <si>
    <t>Corbonod</t>
  </si>
  <si>
    <t>RegioRail</t>
  </si>
  <si>
    <t>SNCF Reseau</t>
  </si>
  <si>
    <t>Track destroyed for 2.8 km.
One axle derailled : the first one of the fifth wagon. It is strongly damaged.
Start of fire on the cargo of the derailed wagon.</t>
  </si>
  <si>
    <t>The immediate cause of the derailment of the 5e wagon was the breakage of the left-hand axle stub of its front axle.
The failure of the axle stub occurred due to its heating to a high temperature (900°C) as a result of the blocking of the bearing in which the axle stub is inserted.
The blocking is due to the cap mounting screws being loosened, as evidenced by the axle box cover being punched out.</t>
  </si>
  <si>
    <t>The BEA-TT identifies four risk factors that may have been involved in this accident and which, if better controlled, could prevent such accidents:
    • the quality of axle assembly operations in the workshop, the control of these operations and their traceability; this quality can be improved and has been the subject of significant improvements since the accident in the workshop that maintained the damaged axle.
    • the choice of brake plates used to lock the screws; the incidents reported only mention biting with SNCF type brake plates;
    • the non-existence of any sign of unscrewing of the screws before the advanced stage of drilling of the cover;
    • the quality of axle-box inspection during train preparation operations.
However, the technical investigation was unable to determine exactly which of these factors was the determining factor.</t>
  </si>
  <si>
    <t>CZ-6344</t>
  </si>
  <si>
    <t>Collision of the regional passenger train No. 1765 with a combination of vehicles
(tractor with tank trailer) with consequent derailment at the level crossing
No. P7961 at Kunovice station</t>
  </si>
  <si>
    <t>Collision of the regional passenger train No. 1765 with the combination
of vehicles (tractor with tank trailer) with consequent derailment</t>
  </si>
  <si>
    <t>Kunovice station</t>
  </si>
  <si>
    <t>Total damage CZK 1 069 599,- (EUR 41 945,-)</t>
  </si>
  <si>
    <t>an unauthorized entrance of the combination of vehicles (tractor with tank trailer) at the level crossing No. P7961 at the time when the train No. 1765 was arriving, caused by behavior of the tractor driver, who although he respected the traffic sign „Stop, give a priority!” and stopped the tractor at a place where he had a proper view to the track, he did not react carefully enough and he did not make sure whether he could safely pass the level crossing.</t>
  </si>
  <si>
    <t>RO-6345</t>
  </si>
  <si>
    <t>Fire in RS, 22-09-20, Gradinari-Vadu Lat (Romania)</t>
  </si>
  <si>
    <t>the locomotive DHC 746 that hauled the freight train no.34304-1 caught fire in open line between Gradinari and Vadu Lat railway stations</t>
  </si>
  <si>
    <t>Gradinari-Vadu Lat</t>
  </si>
  <si>
    <t xml:space="preserve">Tje locomotive DHC 746 was affected, that is all the flamable materials from the driving cab burn, the automatic voltage regulator - RAT, the Dynastarter, all cables of the control circuit and of the for the battery charging, devices panel burnt, the compressor overheated and the locomotive body burnt to (the small hood and the big one close to the driving cab). </t>
  </si>
  <si>
    <t xml:space="preserve">Causal factor:                                                                                        - increase of the current on the circuit for battery charging over the strength of the operating current and excessive overheating of the whole circuit of the respective battery charging, following the failure of RAT, by blocking the contact sections, electric arcs or cuts of the resistaces, it led to the overload of the dynastarter working like direct current generator and overheating of the batteries.
</t>
  </si>
  <si>
    <t xml:space="preserve">Contributing factor: 
- inobservance of the cycle of periodical inspections at the locomotive.
Systemic factors:  
- ineffective management og the risks associated to dangers represented by the lack of planned inspections at the locomotives and carrying out of the duty on the locomotives with the inspections exceeded;
- schedule and performance of all planned inspections, against those regulated by the norms in force, so decreasing the level of works within the technological process of inspections.
</t>
  </si>
  <si>
    <t>DE-6359</t>
  </si>
  <si>
    <t>Train derailment, 24-09-20, Bietigheim-Bissingen (Germany)</t>
  </si>
  <si>
    <t>Am 24.09.2020 entgleiste der Güterzug GC 68327 im Bahnhof Bietigheim-Bissingen. Zuvor verlor der achte Wagen des Zuges während der Fahrt an mehreren Stellen einseitig Ladegut.</t>
  </si>
  <si>
    <t>Bietigheim-Bissingen</t>
  </si>
  <si>
    <t>Im Rahmen der Untersuchungen zur Entgleisungsursache wurde festgestellt, dass beide Entladeklappen einer Wagenseite des Schwerkraft-Selbstentladewagens der Gattung Talns nicht vollständig verriegelt waren und sich diese während der Fahrt unbeabsichtigt öffneten.</t>
  </si>
  <si>
    <t>CZ-6346</t>
  </si>
  <si>
    <t>Train derailment, 26-09-20, Úporiny station (Czech Republic)</t>
  </si>
  <si>
    <t>Derailment of 5 rolling stocks of the freight train No. 69071</t>
  </si>
  <si>
    <t>Úporiny station</t>
  </si>
  <si>
    <t>SD - Kolejová doprava, a.s.</t>
  </si>
  <si>
    <t>CZK 28 780 907,- (€ 1 061 830,-); Rolling stocks, infrastructure</t>
  </si>
  <si>
    <t>HU-10171</t>
  </si>
  <si>
    <t>Train derailment,  26/09/2020 at Sopron station</t>
  </si>
  <si>
    <t>No. 42338 freight train  derailed on the No. 16 points</t>
  </si>
  <si>
    <t>Sopron station</t>
  </si>
  <si>
    <t>RCH Zrt.</t>
  </si>
  <si>
    <t>Railway vehicle damage</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</si>
  <si>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villamos fék használatakor a vonat elejében lévő kocsikra a
hátrébb besorozott járművek rátorlódtak, aminek következtében a
járművekre ható hosszirányú erők megnövekedtek. Az ívben haladó
járműveknél a hosszirányban ható erők egy része, oldalirányban
ható erőkké alakultak át;
b) az eseményben érintett jármű ütközőinek részei (ütközőtokok,
ütköző csőszárak és ütközőtányérok) kenetlenek voltak, és
bemaródások keletkeztek a felületeiken, ami gátolta az érintkező
felületek egymáson való könnyű elcsúszását, ezáltal ívben
haladáskor megnövekedett az oldalirányú erők hatása a
járművekre, amit a kocsik viszonylag kis tömege által keletkezett
leszorító erő nem tudott ellensúlyozni.
5.1.2 Hozzájáruló tényezők
Olyan cselekmények, hibák, események vagy feltételek, amelyek azáltal
befolyásolták az eseményt, hogy növelték a bekövetkezés valószínűségét,
felgyorsították a hatásokat, vagy fokozták a következmények súlyosságát, de
kiiktatásuk önmagában nem akadályozta volna meg az esemény bekövetkezését:
a) a vonatba könnyű és nehéz kocsicsoportok vegyesen voltak
besorozva (4.2.3).</t>
  </si>
  <si>
    <t>5.1.3 Rendszerszintű tényező
Szervezeti, vezetési, társadalmi vagy szabályozási jellegű ok-okozati vagy
hozzájáruló tényezők, amelyek a jövőben valószínűleg hatással lehetnek hasonló
és kapcsolódó eseményekre:
a) az esemény időpontjában hatályos E. 12. sz. Műszaki
Kocsiszolgálati Utasítás az ütközőtokok, ütköző csőszárak és
ütközőtányérok vizsgálatánál nem írta elő, hogy a kocsivizsgálatot
végző munkavállalóknak az alkatrészek bekarcolódás menteségét,
illetve megfelelő kenőanyaggal való ellátottságát vizsgálni kellene.</t>
  </si>
  <si>
    <t>BG-10064</t>
  </si>
  <si>
    <t>Fire in RS, 28-09-2020, between the stations Chernograd - Aytos, Bulgaria</t>
  </si>
  <si>
    <t>fire in electric locomotive, occurred while servicing fast train between two stations</t>
  </si>
  <si>
    <t>between the stations Chernograd - Aytos on track № 1 at km 254 +200</t>
  </si>
  <si>
    <t>explosion in the capacitors of the R-C groups of the first rectifier unit 220</t>
  </si>
  <si>
    <t>HR-6351</t>
  </si>
  <si>
    <t>Train derailment, 28-09-20, Station Cakovec (Croatia)</t>
  </si>
  <si>
    <t>On September 28, 2020 at 10:35 p.m. at the Čakovec station, on the M501 line, there was derailment of the passenger train number 3321, which was composed of diesel engine sets 95 78 7023 004 and 95 78 7023 002 at KM 060+994 on switch number 19. The train operated on the route Kotoriba - Varaždin. In the mentioned accident, the diesel engine set number 95 78 7023 004 derailed in the direction of travel with the last bogie. The train stopped 40 meters from switch number 19. There were no passengers on the train at the time of the accident. There were no casualties or injuries in the accident and there was major material damage to the motor kit and infrastructure.</t>
  </si>
  <si>
    <t>Station Cakovec</t>
  </si>
  <si>
    <t>Major material damage to the diesel engine set and infrastructure.</t>
  </si>
  <si>
    <t>The causal factor of the accident in question is derailment of diesel engine set No. 95 78 7023 004, with the second, third and fourth bogies in the direction of travel on switch No. 19, due to an improperly secured driving route.</t>
  </si>
  <si>
    <t>Contributing factor: - none.
Systemic factors:
- non-compliance with the prescribed work processes of the operating train operator,
- non-compliance with the prescribed work processes of the operating switchman.</t>
  </si>
  <si>
    <t>DK-10136</t>
  </si>
  <si>
    <t>Trains collision with an obstacle, 03/10/2020, Oddesundbroen, Denmark</t>
  </si>
  <si>
    <t>D. 03-10-2020 omkom en litauisk specialarbejder på Oddesundbroen (Thybanen), da den liftkurv han stod i blev ramt af tog.
På kollisionstidspunktet var sporet ikke spærret for trafik, og der var ikke givet tilladelse til at iværksætte arbejdet på broen – afrensning og overfladebehandling.</t>
  </si>
  <si>
    <t>Oddesundbroen</t>
  </si>
  <si>
    <t>Denmark, Arriva Tog A/S</t>
  </si>
  <si>
    <t>CZ-6369</t>
  </si>
  <si>
    <t>Level crossing accident, 06-10-20, Holkov station (Czech Republic)</t>
  </si>
  <si>
    <t>Collision of the long distance passenger train No. 334 with a car at the level crossing No. 5570</t>
  </si>
  <si>
    <t>Holkov station</t>
  </si>
  <si>
    <t>HU-6352</t>
  </si>
  <si>
    <t>Trains collision, 07-10-20, Kelenföld - Ferencváros (Hungary)</t>
  </si>
  <si>
    <t>The freight train no. 42000-1 passed the section signal "83a" at danger and collidied with the last wagon of the freight train no. 47141 which was standing 21 metres behind the signal. The last 2 twin-wagons of the train no. 47141 derailed. No one was injured. 
A 42000-1 sz. tehervonat engedély nélkül meghaladta a "83a" jelu "Megállj!" állású térközjelzot és beleütközött a foglalt térközben álló 47141 sz. tehervonatba. Az ütközés következtében az elöl álló tehervonat utolsó két ikerkocsija kisiklott. Személyi sérülés nem történt.</t>
  </si>
  <si>
    <t>Kelenföld - Ferencváros</t>
  </si>
  <si>
    <t>Metrans-Danubia Kft. &amp; LTE Gmbh.</t>
  </si>
  <si>
    <t>MMI of locomotive</t>
  </si>
  <si>
    <t>RO-6353</t>
  </si>
  <si>
    <t>Fire in RS, 08-10-20, Banita (Romania)</t>
  </si>
  <si>
    <t>the electric locomotive of the freigt train no.90478 caught fire in Banita railway station</t>
  </si>
  <si>
    <t>Banita</t>
  </si>
  <si>
    <t>S.C. VEST TRANS RAIL S.R.L.</t>
  </si>
  <si>
    <t xml:space="preserve">The locomotive EA 647, hauling the train no. 90478, was affected by the fire about 95 %.                                                                                                                              At IFTE (electric traction network) installations (contact line) there were found the next damages and deteriorations:
- the contact line cut between the supporting poles no.148 – 150;
- the afferent anchorage was disturbed.
</t>
  </si>
  <si>
    <t xml:space="preserve">Causal factor:                                                                                                                                                  Overheating of the power supply cables from the electric traction engine - MET 6 because the existence of some cracks/breakages in the coupling sleeves of the power supply cables from MET 6. 
</t>
  </si>
  <si>
    <t xml:space="preserve">Contributing factors: 
1. lack of measurement of ohmic resistance of the windings from MET, prescribed in the Technical Specification overhaul RG/2012, during the overhaul RG since 2016;
2. increase of the current in the MET of the locomotive EA 647, hauling the freight train no. 90478 with a tonnage of 949 tons, consisting in empty wagons of same type, on the track section Pui-Bănița, with a resistance characteristic of a track section 26 daN/t, provided that in the Working Timetable Timișoara:
• it was not established the maximum tonnage of a freight train hauled with the locomotive 060-EA and consisting in empty wagons of same type for the track section Pui - Bănița;
• it was established a maximum tonnage of 700 t for the trains with empty wagons, different types, mixed, hauled with a single locomotive 060-EA, for the track section Pui - Bănița;
• it was established a tonnage upon experience of 1000 t for a train with wagons of different types, mixed (”economic gross”), for the track section Pui – Bănița.                                                                                   Systemic factors:                                                                              1. lacks and ambiguities into the Working Timetable Timișoara, that is:
• lack in the Working Timetable Timișoara of some stipulations that define the equalization/assimilation of the train categories that are not established in the Working Timetable;
• use of the term ”economic gross”, without define it;
• writing down in the footnotes the text marked with the symbol ” ^ ”, at the end of Annex I of the Working Timetable  Timișoara, did not  ensure the conditions for the easy understanding and use of the information;
2. provisions of the Procedure PO SMS 0-4.19 within the SMS of the railway public infrastructure administrator - CNCFR did not ensure the condition that the safety information from the Working Timetable Timișoara shall be accurate, complete, coherent and easy understandable;
3. the railway undertaking VTR did not assign to its own staff the duties so shall ensure that all the trains, requested for schedule, meet with the provisions from the Working Timetable.
</t>
  </si>
  <si>
    <t>FR-6357</t>
  </si>
  <si>
    <t>Level crossing accident, 09-10-20, Bourg-en-Bresse (France)</t>
  </si>
  <si>
    <t>Collision of a light road vehicle by a regional passenger train at a level crossing</t>
  </si>
  <si>
    <t>Bourg-en-Bresse</t>
  </si>
  <si>
    <t>The car is completely destroyed. The engine of the train was damaged at the front and sides.</t>
  </si>
  <si>
    <t>The direct cause is the stopping of the road vehicle on the track.</t>
  </si>
  <si>
    <t>Driver dizziness or mechanical failure of the car.</t>
  </si>
  <si>
    <t>HR-6370</t>
  </si>
  <si>
    <t>Fire in RS, 16-10-20, Railway station Nasice (Croatia)</t>
  </si>
  <si>
    <t xml:space="preserve">On October 16, 2020 at 9:10 p.m. on the line R202 between the stations Našice-Ðurdenovac in KM 72+600, a fire caught out passenger train No. 6016 composed of diesel engine sets 7121-101 and 7121-102. The fire started first on the diesel engine set No. 7121-101 and later spread to the second diesel engine set No. 7121-102. The fire on the diesel engine sets as part of train No. 6016 was extinguished by members of fire brigade Našice. No one was injured in the accident, while there was large material damage to passenger diesel engines. </t>
  </si>
  <si>
    <t>Railway station Nasice</t>
  </si>
  <si>
    <t>HZ PUTNICKI PRIJEVOZ</t>
  </si>
  <si>
    <t>HZ Infrastruktura</t>
  </si>
  <si>
    <t>There was total material damage to the passenger sets in the amount of 1,551,403.50 kuna, which is approximately 206,000 €.</t>
  </si>
  <si>
    <t>The causal factor of the accident in question is a fault in the electrical installations on the passenger diesel engine set of series 7121.</t>
  </si>
  <si>
    <t>Contributing factors:
- time period of operation of engine set of series 7121.
Systemic factors:
- failure to find the cause of hydrostatic oil loss by the competent maintainer,
- non-elimination of the fault due to which the hydrostatic oil is lost by the competent maintainer,
- failure to test the electrical installation on the vehicle with a thermal imaging camera by the competent maintainer "safety recommendation SP 2/15, issued on 18.05.2015",
- non-response of the competent vehicle maintenance services of the involved carrier regarding the analysis of frequent failures.</t>
  </si>
  <si>
    <t>RO-6356</t>
  </si>
  <si>
    <t>Train derailment, 16-10-20, Berbești (Romania)</t>
  </si>
  <si>
    <t>The 10th wagon of the freight train no.23680 derailed in Berbești railway station</t>
  </si>
  <si>
    <t>Berbești</t>
  </si>
  <si>
    <t>National Company for Freight Railway Transport ”CFR Marfă” SA</t>
  </si>
  <si>
    <t xml:space="preserve">The track superstructure was affected on about 100 m, that is the sleepers and fastenings were hit and destroyed.                                  The first bogie  in the running direction  of the 10th wagon of the train no.81536655952-5 was affected.                                                                  </t>
  </si>
  <si>
    <r>
      <t xml:space="preserve">Causal factor:                                                                                       </t>
    </r>
    <r>
      <rPr>
        <sz val="10"/>
        <color theme="1"/>
        <rFont val="Arial"/>
        <family val="2"/>
        <charset val="238"/>
      </rPr>
      <t xml:space="preserve">
    Existence of a group of normal wooden sleepers improper, in turn, at the derailment site, those sleepers did not ensure the fastening of the rail and allowed the radial movement of the unit rail-metallic plate to the increase of the gauge value, under the dynamic action of the rolling stock.</t>
    </r>
  </si>
  <si>
    <r>
      <t>Contributing factors
</t>
    </r>
    <r>
      <rPr>
        <sz val="10"/>
        <color theme="1"/>
        <rFont val="Arial"/>
        <family val="2"/>
        <charset val="238"/>
      </rPr>
      <t xml:space="preserve"> none</t>
    </r>
    <r>
      <rPr>
        <b/>
        <sz val="10"/>
        <color theme="1"/>
        <rFont val="Arial"/>
        <family val="2"/>
        <charset val="238"/>
      </rPr>
      <t xml:space="preserve">
Sistemic factors                                                                                         </t>
    </r>
    <r>
      <rPr>
        <sz val="10"/>
        <color theme="1"/>
        <rFont val="Arial"/>
        <family val="2"/>
        <charset val="238"/>
      </rPr>
      <t xml:space="preserve">1. Lack of management of the risks associated to the danger generated by the keeping in operation, within the curve with small radius, the improper normal wooden sleepers in turn;
2. Exceeding of the deadlines, stipulated by the applicable legislation, for the performance of the line repairs at the accident site;
3. Insufficient staff for the performance of the line repair and maintenance;
4. Lack of normal wooden sleepers in stock, necessary for the current maintenance of the line. </t>
    </r>
    <r>
      <rPr>
        <b/>
        <sz val="10"/>
        <color theme="1"/>
        <rFont val="Arial"/>
        <family val="2"/>
        <charset val="238"/>
      </rPr>
      <t xml:space="preserve">
</t>
    </r>
  </si>
  <si>
    <t>DE-10316</t>
  </si>
  <si>
    <t>Trains collision with an obstacle, 16/10/2020, Bf Dreileben-Drackenstedt</t>
  </si>
  <si>
    <t>Am 16.10.2020 gegen 10:14 Uhr kollidierte der Zug DbZ 79653 auf der Fahrt von Salzgitter nach Blankenburg (Harz) im Bahnhof Dreileben-Drackenstedt mit einem Gleisabschluss.</t>
  </si>
  <si>
    <t>Bf Dreileben-Drackenstedt</t>
  </si>
  <si>
    <t>VGT Vorbereitungsgesellschaft Transporttechnik mbH</t>
  </si>
  <si>
    <t>Eine Person wurden schwer verletzt. Das Triebfahrzeug entgleiste mit allen vier Achsen sowie der vordere Teil des ersten geschleppten mehrteiligen Triebzuges mit insgesamt sechs Achsen. Es entstanden erhebliche Sachschäden an der Infrastruktur und an den Fahrzeugen.</t>
  </si>
  <si>
    <t>Auf Grund der Signalisierung „Halt erwarten“ am Einfahrvorsignal 41Vf des Bahnhofs Dreileben-Drackenstedt leitete der Triebfahrzeugführer eine Betriebsbremsung ein. Dabei stellte er eine ungenügende Bremswirkung fest. In Folge fuhr er am haltzeigenden Einfahrsignal 41F vorbei. Durch die bereits eingeleitete Zwangsbremsung trat ebenfalls keine ausreichende Bremswirkung ein. Daraufhin kollidierte der Zug mit dem Gleisabschluss im Gleis 4 und entgleiste.
Zur Ursache des Bremsversagens sind die Ermittlungen noch nicht abgeschlossen.</t>
  </si>
  <si>
    <t>RO-6358</t>
  </si>
  <si>
    <t>Train derailment, 17-10-20, Atarnati (Romania)</t>
  </si>
  <si>
    <t>The 31st wagon of the freight train no.21153 derailed in Atarnati railway station.</t>
  </si>
  <si>
    <t>Atarnati</t>
  </si>
  <si>
    <t xml:space="preserve">Following the accident, the track superstructure was affected on about 300 m, that is the hitting and destroying, at some points, the sleepers and metallic fastenings. 
A track magnet of 1000/2000 Hz, of the signal Y1 from the line 1 of the railway station Atârnați, was affected.                                                                                                                                The running surfaces of the derailed wheels (wheels 1÷4) were affected, the support of the lower friction block, corresponding to the wheels 5÷7, was broken, and together with the friction block reclined to the wagon outside.
</t>
  </si>
  <si>
    <t xml:space="preserve">Causal factors:                                                                                                                                                  1. Non-uniform distribution of the load of the wagon no.81536652366-1, into those 4 constructive parts of it, leading to the load transfer of the wheel no.2, guiding wheel of the wagon;
2. One did not check how the staff in charge with loading duties made the loading of the wagon no.81536652366-1.
</t>
  </si>
  <si>
    <t xml:space="preserve">Contributing factors: 
1. Exceeding of the tolerances, accepted for the track cross level, at the accident site, resulting in the amplifying of the load transfer of the wagon guiding wheel;
2. Breakage, in dynamic conditions, of the support from the lower friction block, afferent to the wheels 5-7, of the wagon no.81536652366-1, that amplified the load transfer of the wheel no.2, the guiding wheel of the wagon.                                Systemic factors:
None.
</t>
  </si>
  <si>
    <t>CH-10119</t>
  </si>
  <si>
    <t>Dangerous goods release, 19/10/2020, Basel RB (19.10.2020) and Lüssligen (06.07.2021)</t>
  </si>
  <si>
    <t xml:space="preserve">Within 9 months, there has been a leak of hydrochloric acid from the tank in Switzerland with identical Ermewa Zacns tank cars at Basel SBB RB (19.10.2020) and at Lüsslingen (06.07.2021).
The preliminary results of the investigations lead to the conclusion that the protective lining of the Zacns tank cars of the N-310-02 series does not always provide the necessary protection against contact of the dangerous goods with the steel tank and that consequently the steel stank can be breached by corrosive processes.
Due to the failure of the inner protective lining and consequently the formation of a hole in the steel of the tank car due to corrosive processes within a short period of time, faults in the manufacture of the boilers cannot be excluded. If these defects existed, they were not detected during the initial tests.
Both tank cars have been in operation since 16 months (Basel) and 30 months (Lüsslingen).
</t>
  </si>
  <si>
    <t>Basel RB (19.10.2020) and Lüssligen (06.07.2021)</t>
  </si>
  <si>
    <t>SBB-Cargo and SBB-International</t>
  </si>
  <si>
    <t>SBB- Infrastructur</t>
  </si>
  <si>
    <t xml:space="preserve">Leckage on two tank cars </t>
  </si>
  <si>
    <t>1 with intermediate report</t>
  </si>
  <si>
    <t>The preliminary results of the investigations lead to the conclusion that the protective lining of the Zacns tank cars of the N-310-02 series does not always provide the necessary protection against contact of the dangerous goods with the steel tank and that consequently the steel stank can be breached by corrosive processes.</t>
  </si>
  <si>
    <t>PL-6362</t>
  </si>
  <si>
    <t>Level crossing accident, 21-10-20, Rokiciny - Baby (Poland)</t>
  </si>
  <si>
    <t>The train No 71106 operated by PKP Intercity hit the passenger car which was passing the level crossing before aproaching train while automatic signalization was active. _x000D_
As a result of the colision of the train and the car 2 passengers of the passenger car were killed. _x000D_
As a consequence of the accident also several demages of the infrastruture and rollin stock took place as well as entirely demage of the car.</t>
  </si>
  <si>
    <t>Rokiciny - Baby</t>
  </si>
  <si>
    <t>HU-6360</t>
  </si>
  <si>
    <t>Wrong-side signaling failure, 23/10/2020, Budapest-Keleti</t>
  </si>
  <si>
    <t>Wrong-side signaling failure</t>
  </si>
  <si>
    <t>The control system did not detect the occupied track.</t>
  </si>
  <si>
    <t>Budapest - Keleti pályaudvar</t>
  </si>
  <si>
    <t>MÁV-Start Zrt.</t>
  </si>
  <si>
    <t>irregular electric connection</t>
  </si>
  <si>
    <t>maitenance organization</t>
  </si>
  <si>
    <t>RO-6361</t>
  </si>
  <si>
    <t>Fire in RS, 25-10-20, Branesti-Fundulea (Romania)</t>
  </si>
  <si>
    <t>a fire burst into the hauling locomotive of the freight train no.80522 in open line between Branesti and Fundulea railway stations</t>
  </si>
  <si>
    <t>Branesti-Fundulea</t>
  </si>
  <si>
    <t>SC GRUP FEROVIAR ROMÂN SA</t>
  </si>
  <si>
    <t>The locomotive DA 1523 was affected, that is the force cables burn and the electric traction engine no.4 was damaged, the panel of devices and the locomotive body were damaged.</t>
  </si>
  <si>
    <t>Causal factor:                                                                          
- failure at the support roller bearing (blocking), from the part put into the gear of the rotor axis from the electric traction engine no.4, cumulated with the loss of the fastening force of the unit got by shrinking process between the rotor axis and the roller bearing sleeve, at its part put into gear.</t>
  </si>
  <si>
    <t xml:space="preserve">Contributing factor: 
- inobservance of the cycle of periodical inspections at the locomotive.     Systemic factors:  
- lack of some internal mechanisms that prevent the schedule and performance of other types of planned inspections, against those regulated by the norms in force, created the possibility to reduce the level of repairs and inspections carried out;
- risk of fire, due to the leakages of flammable liquids from the locomotive, is not properly managed.
</t>
  </si>
  <si>
    <t>CZ-6364</t>
  </si>
  <si>
    <t>Trains collision, 29-10-20, Ostrava, crossroad Opavská x Martinovská (Czech Republic)</t>
  </si>
  <si>
    <t>Collision of tram line No. 7 course 6/402 with tram line No. 7 course 276.</t>
  </si>
  <si>
    <t>Ostrava, crossroad Opavská x Martinovská</t>
  </si>
  <si>
    <t>AT-6365</t>
  </si>
  <si>
    <t>Train derailment, 30-10-20, Bf St. Valentin (Austria)</t>
  </si>
  <si>
    <t>At 10.47 pm on 30 October 2020, freight train 91005 derailed near 
sets of points 26 and 27 while passing through St. Valentin station. 
A suitable route had previously been set for the train by the 
dispatch team.</t>
  </si>
  <si>
    <t xml:space="preserve">St. Valentin station; near sets of points 26 and 27; km 163,870 </t>
  </si>
  <si>
    <t>The derailment caused significant damage to infrastructure and 
vehicles estimated at around EUR 3,741,000 and between 
EUR 355,000 and EUR 655,000 respectively.</t>
  </si>
  <si>
    <t xml:space="preserve">Causal factor
The 14 wagons of train 91005 derailed because it was travelling 
too fast (78 km/h) in the vicinity of sets of points 26 and 27. The 
maximum permitted speed when travelling over both sets of 
points set to left is 40 km/h.
Contributing factors
There were several contributing factors that had an adverse impact on the outcome and thus made the accident more likely.
Having come to a standstill due to being braked automatically after passing approach signal “a” on “Caution”, the train driver failed to report to the signal operator responsible in order to request permission to continue.
There were a number of misunderstandings in the conversation between the signal operator and the train driver in which the former told the latter how to overtake a passenger train and the subsequent route of the train. The train driver interpreted this conversation as permission for them to proceed after being braked automatically and was under the impression that they could “put their foot down” once again. Another misunderstanding arose when the signal operator was explaining how to overtake a passenger train. The train driver thought that this passenger train would be overtaken at St. Valentin station itself. However, the plan was for the train to be overtaken via the opposite track over the next 13 or so kilometres of travel. Clear and unambiguous communication might have prevented the accident.
A combination of the train driver’s assumption that they could “put their foot down” once again, the common expectation at entry signal “A” that it will show “Proceed” and the assumption that the passenger train would be overtaken at St. Valentin station itself might have led to an incorrect interpretation of “Proceed at 40 km/h” on entry signal “A”. This led to the train driver passing the signal at around 63 km/h before accelerating further.
</t>
  </si>
  <si>
    <t>CZ-6366</t>
  </si>
  <si>
    <t>Train derailment, 06-11-20, Kolín station (Czech Republic)</t>
  </si>
  <si>
    <t>Derailment locomotive of shunting operation.</t>
  </si>
  <si>
    <t>RM LINES</t>
  </si>
  <si>
    <t>Total damage CZK 21 796 250,- (EUR 888 917,-)</t>
  </si>
  <si>
    <t>Causal factor:
• exceeding of the safety limit of track gauge and change of gauge in the part of the switch No. 106 as a result of insufficient holding of fastenings on the rotten wooden sleepers due to failure to adopt adequate measures to ensure safe railway operation and railway transport operating.</t>
  </si>
  <si>
    <t>CZ-6367</t>
  </si>
  <si>
    <t>Trains collision with an obstacle, 06-11-20, Porícany station (Czech Republic)</t>
  </si>
  <si>
    <t>Collision of the regional passenger train No. 9318 with a lorry at Poříčany station</t>
  </si>
  <si>
    <t>Poříčany station</t>
  </si>
  <si>
    <t>Total damage CZK 18 200 000,- (EUR 739 537,-)</t>
  </si>
  <si>
    <t>Causal factor:
• an unauthorized entrance of the lorry to structure gauge of station track where the train was moving.
Contributing factor:
• insufficient awareness of the lorry driver about organization works within track possession.</t>
  </si>
  <si>
    <t>HU-6373</t>
  </si>
  <si>
    <t>Train derailment, 14-11-20, Budakalász (Hungary)</t>
  </si>
  <si>
    <t>One wagon of passanger train derailed on a switch.</t>
  </si>
  <si>
    <t>MÁV-HÉV Zrt.</t>
  </si>
  <si>
    <t>train boogie</t>
  </si>
  <si>
    <t>HR-10001</t>
  </si>
  <si>
    <t>Self-starting of freight train no. 41991 at station Lipovljani on November 15, 2020</t>
  </si>
  <si>
    <t xml:space="preserve">On November 15, 2020. at 07:41 a.m. was an incident on the line marked M103 at station Lipovljani in KM 009+140, where a trains collision was avoided. Train no. 41991 which was stopped at station Lipovljani to change the machine staff, after the train driver got off the locomotive it self-started in the direction of Novska, passed switch no. 3 and cut off the switch no. 1. Furthermore, it was successfully stopped by the train owner's staff, at a distance of 22m in front of train no. 89280 coming from the direction of Novska. Mentioned incident did not cause either injuries/deaths or damages at the railway infrastructure or rolling stock involved. </t>
  </si>
  <si>
    <t>Train Hungary</t>
  </si>
  <si>
    <t>HŽ INFRASTRUKTURA</t>
  </si>
  <si>
    <t>No damages at the railway infrastructure or rolling stock involved</t>
  </si>
  <si>
    <t>Art.20, (2), a) of the EU Directive 798/2016</t>
  </si>
  <si>
    <t>PT-6375</t>
  </si>
  <si>
    <t>Accident to persons caused by RS in motion, 18-11-20, Sete Rios (Portugal)</t>
  </si>
  <si>
    <t>While a team of four workers were proceeding to adjustments on a rail lubricator, a passing train collided with the worker responsible for warning of approaching trains.
From this collision, the worker received fatal injuries and caused minor injuries to two other workers. 
Quando uma equipa de quatro trabalhadores executada trabalhos num lubrificador de via, o responsável pelo aviso da aproximação de comboios foi colhido, tendo nele resultado ferimentos fatais e ferimentos ligeiros em dois trabalhadores.</t>
  </si>
  <si>
    <t>HU-6374</t>
  </si>
  <si>
    <t>Wrong-side signalling failure, 25-11-20, Vácrátót (Hungary)</t>
  </si>
  <si>
    <t>Because of the malfunction of the interlocking system the train no. 2517 opened up the switch no. 2 while it was leaving the staion of Vácrátót. No one was injured. 
Az állomás III. vágányáról jelzokezeléssel kijáró 2517 sz. vonat felvágta a részére helytelenül álló 2 sz. váltót. A váltófelvágást a követo vonat részére történo vágányútbeállítás során fedezték fel. Személyi sérülés nem történt.</t>
  </si>
  <si>
    <t>Vácrátót</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</si>
  <si>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biztosítóberendezésen a III. vágányról a 2 sz. váltó állásától
függetlenül lehetett menetet beállítani, azaz a többi váltó megfelelő
állásba állítása után a vágányúti kallantyú elfordítható volt a 2 sz.
váltó helytelen állása esetén is (4.2.1);
b) a váltókezelő a vágányútbeállítás során a 2517 sz. vonat részére a
2 sz. váltót egyenes helyett kitérő állásba állította (4.3.1).
5.1.2 Hozzájáruló tényezők
Cselekmények, hibák, események vagy feltételek, amelyek azáltal befolyásolták
az eseményt, hogy növelték a bekövetkezés valószínűségét, felgyorsították a
hatásokat, vagy fokozták a következmények súlyosságát, de kiiktatásuk nem
akadályozta volna meg az esemény bekövetkezését:
a) a biztosítóberendezésen az előírt negyedéves karbantartási
feladatokat erőforrások hiányában nem tudták elvégezni, ezért a
hibát nem ismerték fel (4.2.2)</t>
  </si>
  <si>
    <t>5.1.3 Rendszerszintű tényező
Szervezeti, vezetési, társadalmi vagy szabályozási jellegű ok-okozati vagy
hozzájáruló tényezők, amelyek a jövőben valószínűleg hatással lehetnek hasonló
és kapcsolódó eseményekre, különösen ideértve a szabályozási keretfeltételeket,
a biztonságirányítási rendszer kialakítását és alkalmazását, a személyzet
készségeit, az eljárásokat és a karbantartást:
a) az elavult technikai színvonalú biztosítóberendezések
karbantartása és üzemeltetése a vasúthálózat üzemeltetőjének
egyre nagyobb kihívásokat jelent, melyre megnyugtató megoldás
ezen berendezések cseréje lenne (4.4)</t>
  </si>
  <si>
    <t>AT-10006</t>
  </si>
  <si>
    <t>Collision Z 2371 with an unrolled group of railroad cars near stop Kottingbrunn</t>
  </si>
  <si>
    <t>Sicherheitsuntersuchungsstelle des Bundes (NIB AT)</t>
  </si>
  <si>
    <t>Kottingbrunn/Austria</t>
  </si>
  <si>
    <t>ÖBB Personenverkehr-AG</t>
  </si>
  <si>
    <t>ÖBB Infrastruktur-AG</t>
  </si>
  <si>
    <t>Der bei der Kollision entstandene Sachschaden wurde für Behebungs- und Aufräumarbeiten mit € 95.000,- angegeben. Die Infrastruktur blieb unbeschadet.</t>
  </si>
  <si>
    <t>CZ-10003</t>
  </si>
  <si>
    <t>Derailment of the long distance passenger train No. 655 at Hluboká nad Vltavou -Zámostí station;</t>
  </si>
  <si>
    <t>The NIB of The Czech Republic</t>
  </si>
  <si>
    <t>Hluboká nad Vltavou-Zámostí station</t>
  </si>
  <si>
    <t xml:space="preserve">Long distance passenger train </t>
  </si>
  <si>
    <t>České dráhy, a. s.;</t>
  </si>
  <si>
    <t>Total damage CZK 3 401 648,- (EUR 132 825,-)</t>
  </si>
  <si>
    <t>Causal factor:
• a sudden fracture of the left straight point blade of the switch No. 11 when the train No. 655 was moving over the switch.                                                                                                                                                                 Contributing factors:                                                                                    • long-term cyclical stress of the point blade by intensive railway traffic;
• failure to detect fatigue cracks by the controls exercised in accordance with the procedures of the IM;
• very low notched toughness of the rail material increasing the probability of fracture at reduced temperatures.</t>
  </si>
  <si>
    <t>HU-10010</t>
  </si>
  <si>
    <t>Trains collission, Budapest, Közvágóhíd vá., 28/12/2020</t>
  </si>
  <si>
    <t>Two trams were leaving the terminus of Budapest, Közvágóhíd (one from the track no. 1 and one from the track no. 2) towards the same direction at the same time and they collided side to side at the switch.</t>
  </si>
  <si>
    <t xml:space="preserve">Budapest, Közvágóhíd vá. </t>
  </si>
  <si>
    <t xml:space="preserve">Switch </t>
  </si>
  <si>
    <t xml:space="preserve">BKV Zrt. </t>
  </si>
  <si>
    <t xml:space="preserve">Total damage HUF 431,216 </t>
  </si>
  <si>
    <t>Direct cause(s):	
•	the driver of the № 24 tram departed despite the “Danger” aspect of signal “C”
•	while departing (with ‘Proceed’ signal), the driver of the № 2 tram did not realise that the № 24 tram had also started its journey and got in the way
Contributory factor(s):	
•	the time pressures inherent in tramway operations (which are most pronounced on return departures at terminals) can, in unfavourable circumstances, facilitate distraction of drivers’ attention from rail safety issues</t>
  </si>
  <si>
    <t>Underlying cause(s):	
•	psychological testing is not a compulsory part of the periodic medical evaluation of drivers, therefore any changes in the employees’ circumstances that may preclude or limit their fitness and competence can remain hidden</t>
  </si>
  <si>
    <t>RO-10004</t>
  </si>
  <si>
    <t>Train derailment, 28/12/2020, Dorobantu - Romcim</t>
  </si>
  <si>
    <t>The 16th and 17th wagons of the freight train no.89170 derailed in open line between Dorobantu - Romcim railway stations.</t>
  </si>
  <si>
    <t>Dorobantu -Romcim</t>
  </si>
  <si>
    <t>SC Grup Feroviar Roman SA</t>
  </si>
  <si>
    <t xml:space="preserve">The track superstructure was affected on about 400 m.                         One bogie of each of 2 wagons derailed.                                                                  The track magnet 1000/2000Hz from km 4+965 was distroyed.
 </t>
  </si>
  <si>
    <r>
      <t xml:space="preserve">Causal factor:                                                                                       </t>
    </r>
    <r>
      <rPr>
        <sz val="10"/>
        <color theme="1"/>
        <rFont val="Arial"/>
        <family val="2"/>
        <charset val="238"/>
      </rPr>
      <t xml:space="preserve">
- keeping within the track, at the accident site, a group of improper common wooden sleepers, led to the gauge increase, by the movement of the interior rail and fall of the wheel no.7 between the rails;
- combination of these two situations found out at the wagon no.83536651346-2 (exceeding of the limits accepted for operation, the totalized clearance of the friction blocks and the unequal distribution of the load) led to the increase of the forces acting the wheel no.7 on the inner rail of the curve.</t>
    </r>
  </si>
  <si>
    <r>
      <rPr>
        <b/>
        <sz val="10"/>
        <color theme="1"/>
        <rFont val="Arial"/>
        <family val="2"/>
        <charset val="238"/>
      </rPr>
      <t xml:space="preserve">Contributing factor: </t>
    </r>
    <r>
      <rPr>
        <sz val="10"/>
        <color theme="1"/>
        <rFont val="Arial"/>
        <family val="2"/>
        <charset val="238"/>
      </rPr>
      <t xml:space="preserve">
- not-ensuring of the optimum conditions for the performance of the technical inspections at the wagons from the train composition, carrying out of the braking tests and checking of the load distribution into the wagon;
- not-ensuring of the staff necessary to perform the track repair, maintenance and technical inspection.
</t>
    </r>
    <r>
      <rPr>
        <b/>
        <sz val="10"/>
        <color theme="1"/>
        <rFont val="Arial"/>
        <family val="2"/>
        <charset val="238"/>
      </rPr>
      <t xml:space="preserve">Systemic factors: </t>
    </r>
    <r>
      <rPr>
        <sz val="10"/>
        <color theme="1"/>
        <rFont val="Arial"/>
        <family val="2"/>
        <charset val="238"/>
      </rPr>
      <t xml:space="preserve"> 
- CNCF has improper procedures for the risk represented by the performance of checking and works at the infrastructure using not enough staff;
- OTF does not get internal regulations to set up procedures for the activities for processing and checking the wagons loaded.</t>
    </r>
  </si>
  <si>
    <t>HR-10008</t>
  </si>
  <si>
    <t>Derailment of freight wagons during maneuvering at station Bregi on January 13, 2021</t>
  </si>
  <si>
    <t>On January 13, 2021 at 10:30 a.m. was an accident at station Bregi, on the regional line marked R202, in KM 199+937, where freight wagons derailed. During maneuvering with a group of 28 freight wagons (22 wagons of the Uagps series and 6 wagons of the Uagpps series) at station Bregi, five freight wagons derailed. No one was killed or injured in the accident, while there was large material damage to the railway infrastructure and freight wagons.</t>
  </si>
  <si>
    <t>Station Bregi</t>
  </si>
  <si>
    <t>RCC - Rail Cargo Carrier-Croatia d.o.o.</t>
  </si>
  <si>
    <t>HŽ Infrastruktura d.o.o.</t>
  </si>
  <si>
    <t xml:space="preserve">Large material damage on the railway infrastructure and freight wagons. The total material damage amounts 1 731 015,68 HRK (400 000,00 HRK on the railway track, 99 077,22 HRK on railway devices, 733 124,74 HRK on railway vehicles, 51 735,92 HRK on items of transport user, 337 703,50 HRK costs of lifting railway vehicles, 109 374,30 HRK other costs on elimination of consequences), which is approximately 230 000 €. </t>
  </si>
  <si>
    <t>The causal factor of the accident in question is the derailment and overturning of wagons number 33879339564-5, 33879333902-3 and 33879334741-4, and derailment of wagon number 
33879334641-6 with both bogies and wagon number 33879334625-9 with one bogie, due to poor infrastructure condition i.e. track.</t>
  </si>
  <si>
    <t>Contributing factors:
- the maneuvering procedure was performed beyond the permitted maneuvering limit,
- the operating train driver did not fully comply with the prescribed operating instructions from the received SE-5 order.
Systemic factors:
- track whose condition of wooden sleepers was not able to withstand the prescribed axle pressure,
- number of wagons in shunting composition.</t>
  </si>
  <si>
    <t>DK-10260</t>
  </si>
  <si>
    <t>Railway vehicle movement event, 13/1/2021, Storebælt</t>
  </si>
  <si>
    <t>Under tog GK 9223’s passage af Vestbroen fra Sprogø i stiv til hård kuling (middelvind mellem 15 og 20 m/s) fra en nordlig retning, observerede bilister, at en sættevognstrailer vippede og lænede sig ind mod nabosporet. Efter standsning på Nyborg Station kunne det konstateres, at hovedbolten på sættevognstraileren bagerst på forreste lommevogn i toget ikke var på sin plads i skamlen, og at sættevognstraileren hældte mod venstre (togets køreretning)</t>
  </si>
  <si>
    <t>Storebælt</t>
  </si>
  <si>
    <t>DB Cargo Scandinavia</t>
  </si>
  <si>
    <t>Small og semitrailer and frightwagon</t>
  </si>
  <si>
    <t>The AIB DK considers the lack or limited locking, combined with strong winds at the time of the incident and mechanical influences due to the pocket wagon's movements while driving, to be the primary reasons why the empty and therefore relatively light semi-trailer could be blown out of its place in the pocket.</t>
  </si>
  <si>
    <t>BG-10081</t>
  </si>
  <si>
    <t>Train derailment, 15-01-21, Stolnik station, Bulgaria</t>
  </si>
  <si>
    <t>Derailment of locomotive № 46041 from direct freight train № 30602 while entering in Stolnik station on 15.01.2021. Derailment of locomotive when passing through switch, leading to the 3rd acceptance-departure track at station.</t>
  </si>
  <si>
    <t>Stolnik station</t>
  </si>
  <si>
    <t>BDZ-Cargo Ltd.</t>
  </si>
  <si>
    <t>SE National Railway Infrastructure Company</t>
  </si>
  <si>
    <t>Running gear of locomotive, signalling, rehabilitation activities</t>
  </si>
  <si>
    <t>Malfunction of the right deflection tongue (blade) of switch № 11</t>
  </si>
  <si>
    <t>Inadmissible notching of the switch</t>
  </si>
  <si>
    <t>CZ-10005</t>
  </si>
  <si>
    <t xml:space="preserve">Trains collision, 15-01-21, Ostrava, crossroad Nádražní x 28. října </t>
  </si>
  <si>
    <t>Collision of the tram No. 8/103 with the tram No. 8/116.</t>
  </si>
  <si>
    <t>Ostrava, crossroad Nádražní x 28. října</t>
  </si>
  <si>
    <t>failure to comply the conditions of running at sight by the tram driver of tram No. 8 course 103 at movement the tram rolling stocks at mutual distance.</t>
  </si>
  <si>
    <t>•	Contributing factor: failure to focus of driving the tram by tram driver of the tram No. 8 course 103, which was affected by his fatigue.</t>
  </si>
  <si>
    <t>FR-10015</t>
  </si>
  <si>
    <t>Level crossing accident, 15/1/2021, Peronnas</t>
  </si>
  <si>
    <t>a regional passager train collides with a light vehicle on level crossing 44</t>
  </si>
  <si>
    <t>Péronnas</t>
  </si>
  <si>
    <t>The coach is destroyed. On the train, significant damage to the front of the engine on the automatic coupler as well as to various mechanical and electrical components.Signalling equipment was destroyed, including a half barrier and its mechanism, as well as an electrical box.</t>
  </si>
  <si>
    <t>cause of the accident not determined</t>
  </si>
  <si>
    <t>HU-10011</t>
  </si>
  <si>
    <t>Train derailment, 17/1/2021, Murakeresztúr</t>
  </si>
  <si>
    <t>Freight train derailed on a switch.</t>
  </si>
  <si>
    <t>Murakeresztúr</t>
  </si>
  <si>
    <t>track, freight waggon</t>
  </si>
  <si>
    <t>Failure of switch</t>
  </si>
  <si>
    <t>track maintenance</t>
  </si>
  <si>
    <t>NO-10013</t>
  </si>
  <si>
    <t>Report on derailment on the corner of Parkveien and Welhavens gate in Oslo on 22 January 2021</t>
  </si>
  <si>
    <t>Derailment while travelling through left - hand  curve</t>
  </si>
  <si>
    <t>Oslo, on the corner of Parkveien and Welhavens gate</t>
  </si>
  <si>
    <t>Tramway/ Light rail</t>
  </si>
  <si>
    <t>Due to severe worn track it was difficult to determine what was wear and what was damage. Direct damages were estimated as minor, but the complete track arrangement was renewed after the accident</t>
  </si>
  <si>
    <t xml:space="preserve">Direct cause: Track worn outside limits. Contributing: The established maintenence system was not used, the wear was identifyed, but not mitigated. </t>
  </si>
  <si>
    <t>Lack of leadership - focus on other tasks than track maintenence. The management did not sufficently balance conflicting goals.</t>
  </si>
  <si>
    <t>HU-10009</t>
  </si>
  <si>
    <t xml:space="preserve">Collision with an object, 25/01/2021, Kerta elágazás </t>
  </si>
  <si>
    <t>Freight train no. 42002-1 travelling from Hodos (SLO) to Soroksári út marshalling yard collided with a sleeper-screw driver machine on switch no. X1 of Kerta junction.</t>
  </si>
  <si>
    <t>Kerta junction (connecting lines no.25 and 20), switch no. X1</t>
  </si>
  <si>
    <t xml:space="preserve">Both the screwdriver and the locomotive suffered damage. </t>
  </si>
  <si>
    <t xml:space="preserve">a) when the freight train arrived, the sleeper-screw driver machine was working within the gauge of the train's track, and since no watchman was employed,... 
b) ...when the train was detected, the people working on the track did not have enough time to remove the machine from the track gauge;
c) the track workers were not aware of the arrival of the freight train, so they did not expect it, because ...,
d) ...no notification had previously been requested for trains running between Kerta junction - Jánosháza junction;
e) the trackmen did not inform the traffic liaison officer that they were working inside the entry signal "YK3",
f) the locomotive driver was not notified of the work within the drift limit,
g) there was no caution sign "Working on the track!" on the delta track, so the driver did not expect the presence of trackmen.
</t>
  </si>
  <si>
    <t>a) from the driver's point of view, the visibility of the trackmen was impaired by the curve of the delta track and the low sun altitude due to which he viewed the area against the light.
b) The chief traffic manager at Boba station did not notify the traffic liaison officer of the arrival of the freight train, as previously agreed;
c) the place of work had already been designated inaccurately and inconsistently when the work was ordered, and this was not discovered until the accident occurred</t>
  </si>
  <si>
    <t>PL-10018</t>
  </si>
  <si>
    <t>Level crossing accident, 26/1/2021, section Zbąszynek - Lutol Suchy</t>
  </si>
  <si>
    <t>7:40</t>
  </si>
  <si>
    <t>During train running in relation Zbąszynek - Gorzów Wielkopolski on railway route Zbąszynek - Lutol Suchy, at the crossing not equipped with traffic protection systems and devices, the driver of a truck with a trailer drove directly in front of the head of a rail bus running as passenger train. The road vehicle entered the crossing from the left side of the moving train. This resulted in a collision between the train and the road vehicle. The rail bus struck the right side of the cab of the road vehicle. As a result of the impact and the forces involved, the driver of the truck fell from the cab and was killed on the spot. The truck was destroyed and thrown to the left side of the track in such a way that the cab together with the cargo box remained in the track gauge, and the trailer blocked the road. The railway vehicle was not derailed</t>
  </si>
  <si>
    <t>section Zbąszynek - Lutol Suchy</t>
  </si>
  <si>
    <t>POLREGIO Ltd.</t>
  </si>
  <si>
    <t>tottally demged lorry, extent of damage to the railway vehicle SA139-006 diesel traction unit</t>
  </si>
  <si>
    <t>Truck entering a cat D level crossing, directly in front of an oncoming passenger train ROM 78561.</t>
  </si>
  <si>
    <t xml:space="preserve">
1) Driver's failure to behave with special caution when approaching a level crossing, as provided for in Article 28 of the Act of 20 June 1997 - Road Traffic Law (consolidated text: Journal of Laws of 2020, item 110 as amended.).                                                                                            2) Lack of warning signs and indicator posts on the municipal access road No. 006323F to the level crossing.
3) No reaction of the truck driver to repeatedly given audible signals "Attention" by the driver of the train ROM 78561. 
</t>
  </si>
  <si>
    <t>HR-10033</t>
  </si>
  <si>
    <t>Derailment of freight wagon at station Meja on January 27, 2021</t>
  </si>
  <si>
    <t>On January 27, 2021 at 03:30 a.m. was an accident at station Meja, on the international line marked M202, in KM 636+072, where the penultimate wagon derailed as part of the freight train. The wagon derailed on the second axle of the second bogie in the direction of train driving. The train stopped in KM 633+185. No one was killed or injured in the accident, while there was large material damage to the railway infrastructure and the freight wagon.</t>
  </si>
  <si>
    <t>Station Meja</t>
  </si>
  <si>
    <t xml:space="preserve">Large material damage to the railway infrastructure and freight wagon </t>
  </si>
  <si>
    <t>The causal factor of the accident in question is derailment of wagon number 31 78 7850 041-0 due to the movement of the front right wheel on bearing position number 3 by approximately 50 mm per axle 
towards the center of the track.</t>
  </si>
  <si>
    <t>Contributing factors:
- use of tallow instead of MoS2-based lubricant,
- reduced visibility due to night.
Systemic factors:
- working procedures when pulling the wheels on the axles during the last revision of the sliding wagon number 31 78 7850 041-0.</t>
  </si>
  <si>
    <t>BE-10021</t>
  </si>
  <si>
    <t>Train derailment, 28/1/2021, Weerde</t>
  </si>
  <si>
    <t>Derailment of a passenger train</t>
  </si>
  <si>
    <t>Weerde</t>
  </si>
  <si>
    <t>SNCB / NMBS</t>
  </si>
  <si>
    <t>Between the location of the derailment and the place where the train comes to a standstill, damaged Pandrol clips, shifted concrete sleepers, and destroyed railway cabling can be observed. There are various impact and abrasion damages to the chassis of the first bogie of the passenger train.</t>
  </si>
  <si>
    <t>The direct cause of the derailment is the collision with a rail that, after being cut, encroaches on the clearance gauge.</t>
  </si>
  <si>
    <t xml:space="preserve">A first contributing factor to the derailment is the encroachment of a cut rail on the clearance gauge. A second contributing factor is the absence of a check of the position of cut rails after the execution of the works. A third contributing factor is the insufficient description of the control tasks the Agent in Charge of the Execution of the Works of the infrastructure manager carries out after the completion of the works, before putting the track back into service. A first systemic factor is that the contractor and subcontractor have no identification and description of the processes and activities for storing the cut rails. A second systemic factor is that the contractor does not identify and analyse all operational, organisational, and technical risks relevant to the rail cutting works. A third systemic factor is that the contractor does not monitor that a check has been carried out at the place where cut rails lie in the six-foot way before the track is put into service. A fourth systemic factor is that the infrastructure manager insufficiently monitors contractors’ awareness with regard to potential safety risks relating to the position of cut rails. </t>
  </si>
  <si>
    <t>ES-10164</t>
  </si>
  <si>
    <t>Operational event, 29/1/2021, L'Enova-Manuel halt</t>
  </si>
  <si>
    <t>National ID 08/2021: Operational incident at L'Enova-Manuel (line 300, kilometre 64+995).
Commuter train #14423 Valencia-Alcoy had issues with its ASFA driving assistance system. RU's Management Centre decided to make it return to Valencia for repairing, by exchanging its rolling stock with incoming train #14422 (bound to Valencia). To do so, both trains would be stopped at L'Enova-Manuel halt, exchanging their crews and passengers. After this exchanging, the Signaller at Control Centre authorized departure to both trains: now, former train #14223 is the new #14422 and it's bound to Valencia, and vice versa. But as they are both in the opposite track, they move in the opposite direction: new train #14422 departs to Valencia with low speed, but it stops when it finds train #24083, that it's following the normal direction of the track. The other exchanged train (new #14223) didn't departed, as there was also another train (#24090) approaching. The Control Centre Signaller stated that he had wrongly understood (from RU's Management Centre) that trains #14223 and #14422 were to simply exchange their drivers and follow their original itineraries.
The Spanish NIB decided to conduct a preliminary enquiry on this occurrence before deciding whether to make an investigation report or not. Preliminary enquiry concluded by December of 2021, and the NIB decided to conduct a complete investigation report on the incident, so it is notified now to the EUAR.</t>
  </si>
  <si>
    <t>L'Enova-Manuel halt</t>
  </si>
  <si>
    <t>Renfe Viajeros</t>
  </si>
  <si>
    <t>No damages</t>
  </si>
  <si>
    <t xml:space="preserve">The direct cause of the incident was the unauthorized reverse of train 14423 driven by Train Driver 2 (TD2) in its opposite driver's cab, against the rules of the blocking system and, on the other hand, the willingness to start the reverse, in the same conditions, of train 14422 driven by Train Driver 1 (TD1) in its opposite driver's cab. An incorrect assumption of roles and responsibilities and ineffective (ambiguous) communications between the RU (Renfe Viajeros) Management Centre (RUMC), the IM (ADIF) Control Post (IMCP) and train drivers caused this situation. </t>
  </si>
  <si>
    <t>Contributing factors:
1. Incorrect and ineffective communication between the RUMC and the signaller of IMCP led the signaller to confuse the type of operation that RUMC wanted to carry out at L’Énova-Manuel halt with a simple exchange of train drivers between trains 14423 and 14422.
2. The change of the train numbers in the communication systems by the train drivers difficulted IMCP to understand the situation after the operation was carried out. IMCP communicated with the drivers of trains 14422 and 14223 while both were on the opposite tracks.
3. Delegation by the signaller of IMCP in favour of RUMC to prescribe stop orders to the train drivers.
4. Wrong assumption by the drivers of trains 14423 and 14422 that the IMCP had arranged everything to change the traffic direction of the reversible automatic blocking system on both tracks (being the track occupied by other trains, this was statutorily and technically impossible).
5. Signaller of IMCP ignored the fault and disconnection of the driving assistance train equipment (ASFA) of train 14423, so he did not fully understand the operation that RUMC wanted to carry out at L'Énova-Manuel halt.
6. Lack of knowledge or explicit non-compliance by train drivers with the prescriptions of Art. 3.6.2.2. Request and order of Reverse of the National Railway Traffic Regulation. 
7. Direct communication between RUMC and the train drivers, giving instructions that correspond exclusively to the signaller of IMCP.
8. Willingness of the train drivers TD1 and TD2 to quickly resolve the incident, ignoring the regulatory prescriptions.
Systemic contributing factors
9. The regulations on incidents and faults of Renfe Viajeros for their own MC do not detail how the communication between MC and IMCP must be, and they were not included in the Renfe Viajeros SMS. On the other hand, ADIF does not have procedures within its SMS that regulate how this communication should be. All of this contributed to the ineffective communication between RUMC staff and the signaller of the IMCP.
10. The lack of definition of the staff functions in the IMCP between the signallers and their supervisors made the signaller fully assume the communications with RUMC for carrying out tasks that affected beyond his own area.</t>
  </si>
  <si>
    <t>CZ-10014</t>
  </si>
  <si>
    <t>Train derailment, 01-02-21, Kladno (Czech Republic)</t>
  </si>
  <si>
    <t>Derailment of the regional passenger train No. 9803</t>
  </si>
  <si>
    <t>České dráhy, a.s.</t>
  </si>
  <si>
    <t>CZK 58 376,- (€ 2 248,-); Rolling stock, Infrastructure</t>
  </si>
  <si>
    <t>Direct cause: 
• movement of the regional passenger train No. 9803 over the point blade fracture of the switch No. 32 due to break the bearing crosssection by the mechanism of transcrystalline fissionable fracture spread from the foreheads of partial fatigue cracks in the flange and in the web of the point blade.
Contributing factors:
• age of the point blade (45 years) and its long-term cyclical stress by intensive railway traffic;
 • very low value of notched toughness of the rail material increasing the probability of break by fragile fracture especially at low temperatures;
 • failure to detect fatigue crack by the controls performed in accordance with the procedures of the IM.</t>
  </si>
  <si>
    <t>HU-10012</t>
  </si>
  <si>
    <t>Train derailment, Tatabánya, 01/02/21</t>
  </si>
  <si>
    <t>The front carriage of InterCity train no. 934 derailed with one bogie and the train broke up while it was leaving Tatabánya station. A passenger of the train suffered minor injuries.</t>
  </si>
  <si>
    <t xml:space="preserve">Tatabánya </t>
  </si>
  <si>
    <t>Track was damaged, bogie and interior of the derailed wagon was damaged.</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</si>
  <si>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mozdonyvezető jelentős sebességtúllépéssel közlekedett, a kijárati jelző
csökkentett sebességgel való továbbhaladást engedélyező jelzése ellenére
(4.3.2);
b) a vonat a kitérő irányú váltókon kb. 110 km/h sebességgel haladt át, így a
járművekre ható dinamikus erőhatások miatt a vonat kisiklott és
szétszakadt (4.2.1);
c) a vonatnál alkalmazott vonatbefolyásoló berendezés nem volt alkalmas a
sebességtúllépés megakadályozására és a csökkentett sebességgel
történő haladás kikényszerítésére (4.2.3).
5.1.2 Hozzájáruló tényezők
Cselekmények, hibák, események vagy feltételek, amelyek azáltal befolyásolták
az eseményt, hogy növelték a bekövetkezés valószínűségét, felgyorsították a
hatásokat, vagy fokozták a következmények súlyosságát, de kiiktatásuk
önmagukban nem akadályozta volna meg az esemény bekövetkezését:
a) a mozdonyvezető a vágányzárról kapott előzetes értesítést félreértelmezte,
és azt memóriájában téves információtartalommal raktározta el, ami
elinduláskor téves helyzeti tudatosságot eredményezett nála (4.3.2);
b) a mozdonyvezető tevékenységét az eset idején személyes eredetű
stresszorok befolyásolhatták, amik az aktuális feladat végrehajtásához
szükséges adatok tudatossá tételét akadályozhatták (4.3.2)</t>
  </si>
  <si>
    <t>5.1.3 Rendszerszintű tényező
Szervezeti, vezetési vagy szabályozási jellegű ok-okozati vagy hozzájáruló
tényezők, amelyek a jövőben valószínűleg hatással lehetnek hasonló és
kapcsolódó eseményekre:
a) azokon a vasútvonalakon, ahol a meglévő 75 Hz-es rendszerű
vonatbefolyásolás mellett ETCS rendszer is üzemel, a szabályozási
környezet lehetővé teszi a vonatbefolyásolási mód megválasztását, a
vasúttársaságok pedig nem preferálják az ETCS használatát (4.4.2)</t>
  </si>
  <si>
    <t>SE-10019</t>
  </si>
  <si>
    <t>Trains collision near miss, 1/2/2021, Garsås - Rättvik</t>
  </si>
  <si>
    <t>Two track circuits between Garsås and Rättvik stations lost indication of a passenger train bound for Borlänge. During the lost indications the interlocking system signalled green (proceed) for a freight train in the opposite direction. The signaller at the signalling centre observed the situation and blocked the line manually. The trains stopped about 10 km apart.</t>
  </si>
  <si>
    <t>Garsås - Rättvik</t>
  </si>
  <si>
    <t>Trafikverket</t>
  </si>
  <si>
    <t>The incident was caused by a coating of wood-based material on the rails, which meant that the interlocking track circuits did not detect train 8121.
The wood-based material probably consisted of wood chips, in combination with an unknown factor that contributed to increased adhesion to the rails. It has not been determined how the coating was formed and stuck on to the rails.
The probable reason for the wood chips in the track area was insufficient load securing</t>
  </si>
  <si>
    <t>RO-10016</t>
  </si>
  <si>
    <t>Fire in RS, 4/2/2021, Domașnea Cornea  - Poarta</t>
  </si>
  <si>
    <t>In the running of the freight train no.60516-1, there was a fire into the banking locomotive EA 1084.</t>
  </si>
  <si>
    <t>Domasnea Cornea - Poarta</t>
  </si>
  <si>
    <t xml:space="preserve">Following the accident, the EA 1084 locomotive was 90% damaged.                                                                The contact wire between the poles of the contact line no.132 and no.133 was affected..
 </t>
  </si>
  <si>
    <t>Causal factor:                                                                                       
- breakdown of the insulation and the appearance of the electric arc between two cables of the power supply circuit of the traction electric engines from the banking locomotive EA 1084.</t>
  </si>
  <si>
    <t xml:space="preserve">Contributing factor: 
- appearance of the sliding process at the main locomotive EA 1020, in the hauling of the freight train no.60516-1;
- keeping in operation the locomotive without it shall meet with the technical potential that had to be ensured through the planned repairs at the deadlines stipulated by the regulations in force.
Systemic factors:  
- failure in the identification of the danger represented by „the use in operation of locomotives whose deadline for planned repair overdue”;
- lack of some clear provisions, regarding the measures that have to be taken when the locomotives reach the norm of time/km for the performance of planned repairs, within the procedure Code: P – ERI 02 / III.
</t>
  </si>
  <si>
    <t>CZ-10017</t>
  </si>
  <si>
    <t>Collision of the freight train No. 42511 and freight train No. 49455 between
Tlumačov and Otrokovice stations</t>
  </si>
  <si>
    <t>Collision of the freight train No. 42511 with the freight train No. 49455 which standing in front of the entrance signal device 2L to Otrokovice station</t>
  </si>
  <si>
    <t>Open line between Tlumačov and Otrokovice stations</t>
  </si>
  <si>
    <t xml:space="preserve">Freight train </t>
  </si>
  <si>
    <t>ČD Cargo, a. s.; Rail Cargo Carrier - Czech Republic, s. r. o.</t>
  </si>
  <si>
    <t>Total damage CZK 14 737 811,- (EUR 579 544,-)</t>
  </si>
  <si>
    <t>Causal factor:
• transmit of safety information (message) to rear operating point, that the whole train released the block section (gave of advice of train arrival) based of the content of the received previous safety information (confirmation of entry of the whole train to the station), which was in contradiction with objective fact.                                                                                                           Contributing factors:                                                                                   • personnel measure which decreased the set number of station dispatchers at the time of the next expansion of disconnection of the station and line safety and signalling plants;
• time pressure in a situation when the station dispatcher had to perform the tasks and duties set for the position of two station dispatchers at the time of movement of shunting operations, train movements and to receive of transport measures after the next expansion of disconnection of the station and line safety and signalling plants.</t>
  </si>
  <si>
    <t>ES-10111</t>
  </si>
  <si>
    <t>Operational event, 5/2/2021, Blanes</t>
  </si>
  <si>
    <t>National ID 09/2021: Operational incident in Blanes station (line 276, kilometre 60+752).
Due to issues with blocking system, the signaller at Control Centre manually authorised commuter train 25603 to departure from track #3 to Maçanet-Massanes, overpassing exit signal S1/3. Driver of that train didn't departed, and informed the signaller about the presence in the main (single) track of another train (commuter 25614) approaching the station in the opposite direction. The departure was aborted.
The Spanish NIB decided to conduct a preliminary enquiry on this occurrence before deciding whether to make an investigation report or not. Preliminary enquiry has been concluded, and the NIB has decided (on July 22nd) to conduct a complete investigation report on the incident, so it is notified now to the EUAR.</t>
  </si>
  <si>
    <t>Blanes</t>
  </si>
  <si>
    <t xml:space="preserve">The factor that caused this incident was the improper authorization to overpass exit signal S1/3 in Blanes station, notified to the driver of the 25603 train by the signaller of the Mataró area in the Control Centre. </t>
  </si>
  <si>
    <t>The factors that contributed to this occurrence were:
1.- The occupation of the block track circuit between Blanes and Maçanet/Massanes (BTCBM) was not verified, as opposed to Article 4.3.1.3 of Spanish Railway Circulation Regulation (SRCR).
2.- The authorised overpassing was undertaken by the Train Dispatch Office (TDO) without appropriately checking the requirements stablished by Article 5.2.1.2 SRCR.
3.- Occupations at the BTCBM were displayed in the videographic without train number due to a failure of the automatic train numbering since January 31st.
4.- Lack of formal communications to all signallers about the failure of the automatic train numbering at the BTCBM.
5.- The modification in real time of the train schedule caused by the delay of the 30852 train led to a switch between the rolling stock numbered as 25610 and 25612. 
6.- The communication channels between the RU Management Centre (RUMC) and the signallers did not follow the proper lines of command at the TDO. In this case, the Granollers´ signaller and the Mataro´s signaller received direct instructions from the RUMC that led to inconsistencies and different interpretations.
7.- Block sections managed by more than one signaller. In this case, the BTCBM was managed by the signallers of Granollers and Mataró.
Systemic contributing factors:
1.- There is not a specific procedure that develops Article 4.3.1.3 of SRCR regarding the lack of train occupation at Automatic Release Block sections.
2.- There is not a specific protocol to establish the appropriate chain of command at the TDO whilst managing an overpassing authorisation, in accordance with Article 5.2.1.2 of SRCR.
3.- There is not a specific protocol to manage communications in a centralised manner between the RUMC and the TDO that enables better coordination.</t>
  </si>
  <si>
    <t>PL-10022</t>
  </si>
  <si>
    <t>Operational event, 5/2/2021, station Gogolin, km 22,400 line 136 at 9:37</t>
  </si>
  <si>
    <t xml:space="preserve">Train no. 844000 riding on the route between Szczecin Port Centralny – Chałupki operated by the railway undertaking PKP Cargo S.A. entered Gogolin station at the permissive signal on semaphore Z1/2 on the hardened track of the route, travelling from 26. This train moved on an incorrectly prepared route. The incorrectly set switch of turnout no. 42 (not dependent in the journey) was set in the direction of turnout no. 39ab, 
and later towards non-electrified side track no. 8. instead of towards main auxiliary track no. 6. Having noticed the improperly prepared route, the train driver started immediate stop and lowered the pantographs. The front end of train no. 844000 came to a stop behind the points of turnout no. 39ab on track no. 8 at 22.455 km.
</t>
  </si>
  <si>
    <t>station Gogolin, km 22,400 line 136 at 9:37</t>
  </si>
  <si>
    <t>no damages</t>
  </si>
  <si>
    <t>Entry of a freight train operated by electric traction onto non-electrified side track no. 8 of Gogolin station instead of track 6 due to an incorrectly set switch of turnout no. 42.</t>
  </si>
  <si>
    <t xml:space="preserve">• Failure to observe the train movement restrictions at the station during telephone instructions and notification of route preparation.
• Points of turnout no. 42 switched towards track no. 8 instead of 
towards track no. 6.
• No interdependence of the switch of turnout no. 42 on the mechanical 
and electric track in the train path from 26 from Górażdże to track 6 and in the path for the entrances to track 4 of switches 39ab and 39cd, which allowed to feed the permitting to the entrance semaphore Z1/2.
• The lack of the “active key control board” at the signal box Gg2 at Gogolin station for switch locks built on non-independent switches on the routes.
• Placing the active keys for the switch locks built into switches 39ab and 42 in a “spare key cabinet,” which was situated in a place not visible to the operating personnel, thus resulting in inappropriate ergonomics of the point operator’s workstation.
• The operation of switches 42 and 39ab and 39cd during the entry of an auxiliary vehicle (handcar) on track 28 by unauthorised persons (handcar operation) in an improper manner, i.e.:
- failure of the 42 turnout point to return to default setting   
     carried out unorganised manoeuvre run,
– failure to return the keys to turnouts 42 and 39ab by the handcar personnel, however the point operator decided to manage train traffic.
• Improper check of the setting of the route from 26 by the point operator, consisting in, among others, no confirmation regarding locking the point no. 42 to the return position.
• The housing of the pin locks positioned for the duration of the works allowed them to be operated freely, as specified by the designer of the control and command and signalling equipment (unsealed keys, accessible to the contractor of the construction works, placed on the key board in an unsealed manner with a recommendation of accessibility to the contractor, without designing the active key board as a component of the train path).
• The lock of up-to-date documentation of the signalling equipment (schematic plans and locking sheet) at the command box on the day of the incident.
• Discrepancy between the facts and the documentation for phase no. 27 of the Regulations on Temporary Traffic Management during works on railroad tracks – the locking sheet and schematic plan for this phase required the dependency of turnout no. 42 on the key road, while factually there was no dependency of it for the route from 24, from26, which was not disclosed during the acceptance of this phase of works and the plot no. 9 of the Technical Regulations of the Station during phase 27 of the Regulations on Temporary Traffic Management during works on railroad tracks with the facts.
• Inappropriate internal acceptance of signalling equipment as part of the completion of stage 27 of the control and command and signalling equipment at Gogolin station and inappropriate supervision by the infrastructure manager over the investment works at Gogolin station.
• The train dispatcher on duty ordered the employees of the motor trolley to hand over the keys of the locks of switches 39ab and 42, however the employees did not hold authorisations to set the route for train no. 669234.
• Inappropriate implementation of the contractual provisions for the author’s supervision consisting in, inter alia, in the designer updating the design of the built facility after it is put into use.
</t>
  </si>
  <si>
    <t>NO-10024</t>
  </si>
  <si>
    <t>Trains collision, 9/2/2021, Øvre Vang level crossing</t>
  </si>
  <si>
    <t xml:space="preserve">Collision between road-rail-machine and a Robel 25 </t>
  </si>
  <si>
    <t>Øvre Vang level crossing</t>
  </si>
  <si>
    <t>There was also material damage to the road-rail machine’s excavator equipment and rail wheel system. The Robel 25 derailed in the collision and the driver compartment sustained damage.</t>
  </si>
  <si>
    <t xml:space="preserve">The road rail machine was operated in a way that overrided the machine's safety systems. This due to lack of training. The need for training was not identifyed by the supplier firm Spordrift AS nor the IM. </t>
  </si>
  <si>
    <t xml:space="preserve">The supplier Spordrift AS had recently recieved an ISO 9001 sertificate. The sertification body, KIWA AS, had issued this sertificate despite the Spordrift AS SMS not being effective. </t>
  </si>
  <si>
    <t>RO-10020</t>
  </si>
  <si>
    <t>Train derailment, 11/2/2021, Golești</t>
  </si>
  <si>
    <t>The 7th and 8th wagons of the freight train no.95523 derailed in Golești railway station.</t>
  </si>
  <si>
    <t>National Company for Freight Railway Transport "CFR Marfă" SA</t>
  </si>
  <si>
    <t>Following the accident, the track superstructure was partially affected, in points (special wooden sleepers, fastenings, metallic plates of the switches, the cover of the point motor from the switch no. 12 broken), on about 30 m. 
The running surfaces of the derailed wheels (both axles of the first bogie, in the running direction from 7th wagon and two axles from 8th wagon) were affected.</t>
  </si>
  <si>
    <r>
      <t xml:space="preserve">Causal factors:                                                                                                                                                  </t>
    </r>
    <r>
      <rPr>
        <sz val="10"/>
        <color theme="1"/>
        <rFont val="Arial"/>
        <family val="2"/>
        <charset val="238"/>
      </rPr>
      <t xml:space="preserve">                                                                    Keeping a group of improper special wooden sleepers, in turn, at the derailment site, those sleepers did not ensure the fastening of the rail on the metallic plate, allowing the radial movement of the unit rail/check rail – metallic plate, to the direction of the track gauge increase, under the dynamic action of the rolling stock.
</t>
    </r>
  </si>
  <si>
    <r>
      <rPr>
        <b/>
        <sz val="10"/>
        <color theme="1"/>
        <rFont val="Arial"/>
        <family val="2"/>
        <charset val="238"/>
      </rPr>
      <t xml:space="preserve">Contributing factors: </t>
    </r>
    <r>
      <rPr>
        <sz val="10"/>
        <color theme="1"/>
        <rFont val="Arial"/>
        <family val="2"/>
        <charset val="238"/>
      </rPr>
      <t xml:space="preserve">
None.                                                                                                                                                                                      </t>
    </r>
    <r>
      <rPr>
        <b/>
        <sz val="10"/>
        <color theme="1"/>
        <rFont val="Arial"/>
        <family val="2"/>
        <charset val="238"/>
      </rPr>
      <t>Systemic factors:</t>
    </r>
    <r>
      <rPr>
        <sz val="10"/>
        <color theme="1"/>
        <rFont val="Arial"/>
        <family val="2"/>
        <charset val="238"/>
      </rPr>
      <t xml:space="preserve"> 
1. Lack of a suitable monitoring of the efficiency of the measures established for the risks control, in accordance with the provisions of point A3 from the Annex II of the Regulation (EU) no.1169/2010, that realizes and prevents the non-application, by the own staff, of the measures established for keeping under control the risks associated to the danger generated by the keeping in operation (on a switch) of many improper special wooden sleepers, in turn, that had to be replaced urgently (emergency I); 
2. Exceeding of the deadlines set up for the performance of the line repairs at the accident site; 
3. The minimum stock of materials necessary for the usual maintenance of the switches (special wooden sleepers and switches) was missing.
</t>
    </r>
  </si>
  <si>
    <t>SE-10025</t>
  </si>
  <si>
    <t>Train derailment, 11/2/2021, between Kummelby and Häggvik, Stockholm</t>
  </si>
  <si>
    <t>Derailment involving a freight train between Kummelby and Häggvik, 
Stockholm County,</t>
  </si>
  <si>
    <t>Open line between Kummelby and Häggvik</t>
  </si>
  <si>
    <t>Green Cargo</t>
  </si>
  <si>
    <t>Major damage to infrastructure and also some damage to rolling stock</t>
  </si>
  <si>
    <t xml:space="preserve">The derailment was caused by rail fatigue which, following a long 
loading period, propagated into a vertical crack and caused a broken 
rail. 
Crack formation had not been identified or dealt with as part of the 
infrastructure manager’s system for preventive maintenance. </t>
  </si>
  <si>
    <t>HU-10032</t>
  </si>
  <si>
    <t>Signal passed at danger (SPAD), Pécel, 14/02/21</t>
  </si>
  <si>
    <t>Locomotive running solo no. 14523 passed entry signal at danger „D” of Pécel station without permission and stopped at the station’s end point switch area. No injuries occured.</t>
  </si>
  <si>
    <t>Pécel (47.493546, 19.338512)</t>
  </si>
  <si>
    <t>14.02.2021</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</si>
  <si>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fékberendezés egyszeri, nem reprodukálható és közelebbről nem
meghatározható okból bekövetkező hibás működése miatt a fékezés során
a mozdonyon nem alakult ki megfelelő fékhatás (4.2.3 és 4.5).
5.1.2 Hozzájáruló tényezők
Mivel a fékezés során kialakult gyenge fékhatás pontos oka meghatározhatatlan
volt, a Vb az eset bekövetkezésének valószínűségét növelő, vagy a hatásokat
felgyorsító és a következményeket fokozó hozzájáruló tényezőket egyértelműen
nem tudott azonosítani, azonban valószínűsíti, hogy a téli időjárás hozzájárulhatott
a féknehézmény kialakulásához (4.2.5 és 4.5)</t>
  </si>
  <si>
    <t>5.1.3 Rendszerszintű tényező
Mivel a fékezés során kialakult gyenge fékhatás pontos oka meghatározhatatlan
volt, a Vb a jövőbeni hasonló és kapcsolódó eseményekre hatással bíró
rendszerszintű tényezőket egyértelműen nem tudott azonosítani.</t>
  </si>
  <si>
    <t>RO-10023</t>
  </si>
  <si>
    <t>Train derailment, 16/2/2021, Bucureștii Noi</t>
  </si>
  <si>
    <t>Tthe locomotive EA 2002, light engine one, running like train no.39512 derailed in Bucureștii Nou railway station.</t>
  </si>
  <si>
    <t>Bucurestii Noi railway station</t>
  </si>
  <si>
    <t>SC Deutsche Bahn Cargo Romania SRL</t>
  </si>
  <si>
    <t>The track superstructure was affected on about 25 m.                         Two axles of the locomotive EA 2002 (first from each bogie in the running direction), derailed and were slightly damaged.</t>
  </si>
  <si>
    <r>
      <t xml:space="preserve">Causal factor:                                                                                       </t>
    </r>
    <r>
      <rPr>
        <sz val="10"/>
        <color theme="1"/>
        <rFont val="Arial"/>
        <family val="2"/>
        <charset val="238"/>
      </rPr>
      <t xml:space="preserve">
Loss of the support and guiding capacity of the inside rail of the curve, generated by the existence, at the accident site, a group of improper normal wooden sleepers, leading to the fall between the rails of the left wheel from each of those two bogies, in the running direction of the locomotive EA 2002.</t>
    </r>
  </si>
  <si>
    <r>
      <rPr>
        <b/>
        <sz val="10"/>
        <color theme="1"/>
        <rFont val="Arial"/>
        <family val="2"/>
        <charset val="238"/>
      </rPr>
      <t xml:space="preserve">Contributing factor: </t>
    </r>
    <r>
      <rPr>
        <sz val="10"/>
        <color theme="1"/>
        <rFont val="Arial"/>
        <family val="2"/>
        <charset val="238"/>
      </rPr>
      <t xml:space="preserve">
Performance of the track technical inspection with unauthorized staff, it leading to the decrease of this activity effectiveness.
</t>
    </r>
    <r>
      <rPr>
        <b/>
        <sz val="10"/>
        <color theme="1"/>
        <rFont val="Arial"/>
        <family val="2"/>
        <charset val="238"/>
      </rPr>
      <t xml:space="preserve">Systemic factors: </t>
    </r>
    <r>
      <rPr>
        <sz val="10"/>
        <color theme="1"/>
        <rFont val="Arial"/>
        <family val="2"/>
        <charset val="238"/>
      </rPr>
      <t xml:space="preserve"> 
 ineffective management of the risks associated to the danger represented by keeping in operation, within a small radius curve, a group of improper normal wooden sleepers;
 ensuring of insufficient material and human resources, in relation to the necessary ones, for the performance of proper maintenance of the line and keeping of the track geometry between the accepted tolerances.
</t>
    </r>
  </si>
  <si>
    <t>PL-10030</t>
  </si>
  <si>
    <t>Trains collission, Grodzisko Dolne, 26/02/21</t>
  </si>
  <si>
    <t>During the running to station Leżajsk of train MPE38100 operated by PKP Intercity S.A., driven by locomotive EU160-010, on organized route K1-C, without stopping, from semaphore K1 to semaphore C on main track two of Grodzisko Dolne station, from additional main track fourth, using not prepared way, without required permission, with D2 semaphore showing "stop", the second train LSS335064 (loose locomotive 6Dg-140 of railway undertaking Lotos Kolej Sp. z o. o.) entered the said main track two. The entering locomotive 6Dg-140 ripped the crossover (switch) of turnout no. 6 and entered onto main track two directly in front of the passenger train MPE38100, without automatically changing signal on semaphore C from "free way" to "stop", due to the type of equipment. The driver of passenger train MPE38100, seeing the locomotive in front of his train, implemented sudden braking. Despite that, a collision occurred, that is a passenger train collided with a rear of freight train running on the same track and in the same direction.</t>
  </si>
  <si>
    <t>station Grodzisko Dolne, km 163,654 line 68</t>
  </si>
  <si>
    <t>PKP Intercity S.A. (long distance passenger train)  and Lotos Kolej Ltd. (locomotive running solo)</t>
  </si>
  <si>
    <t>material losses, i.e. serious damages to locomotives EU160-010 and 6Dg-140, as well as passenger wagons.</t>
  </si>
  <si>
    <t>Omission of semaphore D2 showing signal Sr1 “Stop”, ripping the crossover of turnout no. 6 and entry of locomotive 6Dg-140 onto main track two directly in front of train MPE38100.</t>
  </si>
  <si>
    <t xml:space="preserve">1) Obstructed observation of semaphore D signals from track no. 4 caused by stopping LSS335064 in place making observation of signals showed by this semaphore difficult. According to Ir-1 Instruction § 64 sec. 8 the front of the train should stop as close as possible to "stop" signal and in case of light semaphores not closer than it is needed to recognize the signal without any doubt.                                                                                                            2) Start running from track no. 4 after the driver of train LSS335064 misidentified indications of exit semaphore C from track no. 2 transmitting signal Sr2 (free way) for train MPE38100, as a “free way" signal for train LSS335064 operated by him.
3) Obstructed visibility of the signals given by the shape semaphores in the area of illuminated turnout heads on the route during the dark period (early morning hours).
</t>
  </si>
  <si>
    <t>BE-10027</t>
  </si>
  <si>
    <t>Accident to persons caused by RS in motion, 27/2/2021, Ruisbroek</t>
  </si>
  <si>
    <t>An employee of a subcontractor in railway works is struck by a passenger train.</t>
  </si>
  <si>
    <t>Ruisbroek</t>
  </si>
  <si>
    <t>Several trains (regional passenger trains, international trains, one freight train) were cancelled or delayed.</t>
  </si>
  <si>
    <t>By moving on the railway network from line 96 track A towards line 96 track B, and this for an unknown reason, the foreman enters the danger zone of line 96N. He crosses a line in service without using a crosswalk.</t>
  </si>
  <si>
    <t>1/ Crossings tracks was not foreseen during the work activities. The movement of the foreman where he changes tracks was neither communicated nor discussed with the foreman of team 2, the site leader or the safety coordinator. 2/ The contractor provides an LMRA for his employees, which is used in case of change of circumstances or planning, in order to assess the risks and the situation before taking action. However, this proved insufficient to avoid the accident. 3/ On 27 February 2021, at around 06:00 a.m., it is still dark, and there is a dense fog at that time.</t>
  </si>
  <si>
    <t>CZ-10026</t>
  </si>
  <si>
    <t>Train derailment, 03-03-21, Náměšť nad Oslavou station</t>
  </si>
  <si>
    <t>Fracture of the point blade of the switch No. 12, derailment,
spontaneous re-railing of the regional passenger train No. 4817 and
its consequent unsecured movement on another track.</t>
  </si>
  <si>
    <t>Náměšť nad Oslavou station, switch No. 2</t>
  </si>
  <si>
    <t>České dráhy, a. s.</t>
  </si>
  <si>
    <t>Total damage CZK 120 976,- (EUR 4 954,-)</t>
  </si>
  <si>
    <t>Causal factor:
• fracture of the left point blade of the switch No. 12 due to fatigue crack caused by surface damage of the point blade and movement of the regional passenger train No. 4817 over this switch, which was due to fracture of the point blade in technical condition, which did not ensure safe movement of the train in the intended direction.
Contributing factors:                                                                                    • technological indiscipline - insert and installation the point blade with surface damage on the underside of the heel to the switch No. 12;
• failure to detect fatigue cracks by the checks performed in accordance with the procedures of the IM;
• long-term cyclical stress of the point blade by intensive railway Traffic.</t>
  </si>
  <si>
    <t>NO-10029</t>
  </si>
  <si>
    <t>Trains collision with an obstacle, Loenga (NO), 3/3/21</t>
  </si>
  <si>
    <t>Collision between passenger train and truck at Loenga. Truck was manouvering at a construction site, but came to close to railway. Left side mirror was struck by passing passenger train.</t>
  </si>
  <si>
    <t>Loenga</t>
  </si>
  <si>
    <t>Bane NOR</t>
  </si>
  <si>
    <t>Damage to paint on train and truck mirror.</t>
  </si>
  <si>
    <t>Truck came in conflick with railway profile</t>
  </si>
  <si>
    <t>Faulty access control to construction site.
Missing safety personel.</t>
  </si>
  <si>
    <t>BE-10031</t>
  </si>
  <si>
    <t>Train derailment, 4/3/2021, Germoir Railway Station (Ixelles, Brussels)</t>
  </si>
  <si>
    <t>Germoir Railway Station (Ixelles, Brussels)</t>
  </si>
  <si>
    <t>NMBS</t>
  </si>
  <si>
    <t>Minor damages to the derailed train E3289. Train E2189 that lost its emergency coupling box has a damaged coupling box attachment system, as well as damaged elements on the underside of the train. No damage to infrastructure.</t>
  </si>
  <si>
    <t>The direct cause of the derailment of passenger train E3289 is the collision of this train with an emergency coupling in the track.</t>
  </si>
  <si>
    <t>The presence in the tracks of the emergency coupling of an AM08 Desiro motor coach is the contributing factor identified by the investigation. This is due to the untimely opening of the coupling box located at the rear (in the direction of movement) of the second AM08 Desiro motor coach making up train E2189 and its impact on the edge of the platform at Germoir unmanned stopping point.</t>
  </si>
  <si>
    <t>CZ-10028</t>
  </si>
  <si>
    <t>Collision of the regional passenger train No. 1455 with a car at the level crossing No. P5332 between Chrast u Chrudimi and Slatiňany stations</t>
  </si>
  <si>
    <t>Collision of the through passenger train No. 1455 with a car at the level crossing
No. P5332</t>
  </si>
  <si>
    <t>Open line between Slatiňany and Chrast u Chrudimi stations, the level
crossing No. P5332, km 71,113.</t>
  </si>
  <si>
    <t>Total damage CZK 1 752 473,- (EUR 69 405,-)</t>
  </si>
  <si>
    <t>An unauthorized entrance of the car at the level crossing No. P5332 at the time when the train No. 1455 was arriving, caused by behavior of the car driver, who did not respect the light and acoustic warning of the level crossing safety equipment and did not make sure whether he could safely pass the level crossing.</t>
  </si>
  <si>
    <t>HR-10034</t>
  </si>
  <si>
    <r>
      <t xml:space="preserve">Running over worker on the track between stations </t>
    </r>
    <r>
      <rPr>
        <sz val="11"/>
        <color theme="1"/>
        <rFont val="Calibri"/>
        <family val="2"/>
        <scheme val="minor"/>
      </rPr>
      <t>Podsused TV - Zaprešić</t>
    </r>
    <r>
      <rPr>
        <sz val="11"/>
        <color rgb="FF000000"/>
        <rFont val="Calibri"/>
        <family val="2"/>
        <scheme val="minor"/>
      </rPr>
      <t xml:space="preserve"> on March 05, 2021</t>
    </r>
  </si>
  <si>
    <t>On March 05, 2021 at 01:43 p.m. a notification was received about the running over a male person by a machine train number 69609 on the section of the line M101 in KM 438 + 180 between the stations Podsused TV and Zaprešić. Arriving on site of a serious accident, the AIA investigators determined that the serious accident occurred during the repair of the southern track and that the deceased was at working place.</t>
  </si>
  <si>
    <t>Between stations Podsused TV - Zaprešić</t>
  </si>
  <si>
    <t>HŽ Cargo d.o.o.</t>
  </si>
  <si>
    <t xml:space="preserve">No material damage </t>
  </si>
  <si>
    <t>The causal factor of the accident in question was struck of the locomotive of the machine train number 69609 on a track worker who was on the right irregular track, which was open to traffic, while performing work task.</t>
  </si>
  <si>
    <t>Contributing factor:
- 	none.
Systemic factors:
- 	reduced visibility at the accident site due to high dust while unloading crushed stone on the left track,
- 	high noise at the accident site while unloading the crushed stone on the left track,
- 	driver of train number 69609 did not fully comply with the prescribed work processes, i.e. he did not give the signal sign "Watch out" at the warning of track works and repeated several times until the place of work,
- 	the execution plan differs from the execution project,
- 	the railway manager (fatally injured worker) did not fully comply with the prescribed safety measures, not entering the zone of the profile of the second traffic track,
- 	reduced risk perception by an experienced railway manager (fatally injured worker) while performing the work task,
-  the train operator of the station Zaprešić did not fully comply with the prescribed work processes, i.e. he issued the Train Running Order (SE-1) without receiving the Report on the handover of the train (SE-4) from the material train staff.</t>
  </si>
  <si>
    <t>HU-10042</t>
  </si>
  <si>
    <t>SPAD, 10-03-21, Rákos station (Hungary)</t>
  </si>
  <si>
    <t>Freight train passed the signal at danger.</t>
  </si>
  <si>
    <t>Rákos Station</t>
  </si>
  <si>
    <t>10/3/2021</t>
  </si>
  <si>
    <t>Human factor of train driver and mistake of the train control system</t>
  </si>
  <si>
    <t>weakness of maintenance</t>
  </si>
  <si>
    <t>BG-10123</t>
  </si>
  <si>
    <t>Derailment of direct freight train № 30610 between the stations Shivatchevo – Tvarditsa on 12.03.2021</t>
  </si>
  <si>
    <t>Derailment of freight train between stations</t>
  </si>
  <si>
    <t xml:space="preserve"> between the stations Shivatchevo – Tvarditsa (open line)</t>
  </si>
  <si>
    <t>Uneven distribution of the bulk load in the body shell of the wagon.</t>
  </si>
  <si>
    <t>Combination of unfavourable factors - asymmetrical loading of the wagons and low speed of the train in the curve.</t>
  </si>
  <si>
    <t>IT-10072</t>
  </si>
  <si>
    <t>Unauthorised train movement other than SPAD, 21/3/2021, PM Bivio Adda</t>
  </si>
  <si>
    <t>passing of a switch in an undefined position with consequent incorrect routing of part of Trenord's train 2231, occurred on the Milan-Bergamo line</t>
  </si>
  <si>
    <t>PM Bivio Adda</t>
  </si>
  <si>
    <t>approximately 180 000 € of damage to infrastructure and rolling stock</t>
  </si>
  <si>
    <t>lack of respect by the TRENORD driver of the service provisions and prescriptions, provided by the Central Movement Manager, and the lack of involvement of the Chief Train, in the phase of degraded movement.</t>
  </si>
  <si>
    <t>method of transmission of the prescriptions given by the Central Movement Manager, which was fragmentary and confused;
incomplete repetition to confirm the message by the receiving agent;
previous experiences made on the line, which derived from the possibility of being routed towards Treviglio Ovest both on the odd and even track of the line.</t>
  </si>
  <si>
    <t>HU-10061</t>
  </si>
  <si>
    <t>Train derailment, 25-03-2021, Budapest-Nyugati Station, Hungary</t>
  </si>
  <si>
    <t>the train no. 20627 without passengers (not in service) derailed the 2th points of the station</t>
  </si>
  <si>
    <t>Budapest-Nyugati Station, Hungary (N:47.519478 o, E:19.076520o)</t>
  </si>
  <si>
    <t xml:space="preserve">Directive 2016/798, article 20-2a </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</si>
  <si>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II. sz. Állítóközpontban szolgálatot teljesítő forgalomszabályozó
személyzet lezáratlan vágányúton, a „Megállj!” jelzést adó „M” jelű
jelző mellett járatta be a vonatot az állomás területére, így a
biztosítóberendezés nem felügyelte a közlekedésbiztonsági
feltételeket (4.3.2);
b) az egyik váltókezelő az ÁVU-ban leírtakkal ellentétben, nem figyelte
meg az ablakban a vonatot behaladás közben, így nem láthatta,
hogy hol jár a vonat és nem tájékoztatta berendezést kezelő
váltókezelőt, hogy melyik váltókat lehet átállítani (4.3.2);
c) a váltókat állító váltókezelő a behaladó vonat alatt állította át a 2/a
váltót az első forgóváz áthaladása után, de még a második
forgóváz előtt (4.3.2);
ezért a második forgóváz elterelődött és kisiklott.
5.1.2 Hozzájáruló tényezők
Cselekmények, hibák, események vagy feltételek, amelyek azáltal befolyásolták
az eseményt, hogy növelték a bekövetkezés valószínűségét, felgyorsították a
hatásokat, vagy fokozták a következmények súlyosságát, de kiiktatásuk nem
akadályozta volna meg az esemény bekövetkezését:
a) Budapest-Nyugati pályaudvaron váltókezelői munkakörben több
betöltetlen álláshely is van. A II. sz. Állítóközpontban a
tapasztaltabb váltókezelő a baleset napján a kilencedik szolgálatát
látta el tizenegy napon belül, így az Mt. 106§-ban (1. melléklet)
előírt heti pihenő idő nem volt biztosítva részére, ezért a kifáradás
miatt csökkent a koncentráló képessége. A tapasztalatlanabb
váltókezelő csupán kettő és fél hónap gyakorlattal rendelkezett
(4.3.3);
b) a váltókezelői tanfolyamokat (amire a leendő váltókezelőket
beiskolázták) a járványhelyzet miatt felfüggesztették, vagy azokat el
sem indították, így az állomáson kialakult, váltókezelői létszámhiány
állandósult (4.3.3)</t>
  </si>
  <si>
    <t>5.1.3 Rendszerszintű tényező
Szervezeti, vezetési, társadalmi vagy szabályozási jellegű ok-okozati vagy
hozzájáruló tényezők, amelyek a jövőben valószínűleg hatással lehetnek hasonló
és kapcsolódó eseményekre, különösen ideértve a szabályozási keretfeltételeket,
a biztonságirányítási rendszer kialakítását és alkalmazását, a személyzet
készségeit, az eljárásokat és a karbantartást:
a) a baleset utáni ellenőrzések (5.2) eredményei azt mutatták, hogy a
balesetnél alkalmazott, a technológiától eltérő munkavégzés, a
balesetet megelőzően munkavállalók körében elfogadott és
alkalmazott volt.</t>
  </si>
  <si>
    <t>RO-10035</t>
  </si>
  <si>
    <t>Train derailment, 26/3/2021, Augustin</t>
  </si>
  <si>
    <t>In the running of the freight train no.80599-2, when it was dispatched from the railway station Augustin, the first bogie from the wagon no.33539335900-5, being the 9th one after the hauling locomotive, derailed</t>
  </si>
  <si>
    <t>SC „GRUP FEROVIAR ROMÂN” SA</t>
  </si>
  <si>
    <t>The track superstructure was affected on about 18 m.                         Was affected the rolling surfaces of those two derailed axles from the first bogie of the wagon no.33539335900-5.</t>
  </si>
  <si>
    <t>Causal factor:                                                                       
 improper condition of the track, within the switch no.27 of the double diamond crossing TJD 21/27, caused the exceeding of the derailment stability limit, leading to the overclimbing of the right stock rail by the guiding wheel of the first bogie from the wagon no.33539335900-5.</t>
  </si>
  <si>
    <t xml:space="preserve">Contributing factor: 
 ineffective monitoring of ORE failures progress existing at the points and stock rails from the switch no.27a within the double diamond crossing TJD 21/27, following the partial record of the results of the measurements with ORE gauge into other records that those stipulated by the practice codes. It generated a partial overview of the progress of these failures in the condition of keeping the speed restriction of 5 km/h. 
Systemic factors:  
 ineffective management of the risk associated to the danger generated by the lack of preventive and scheduled maintenance, lack of compliance with the cycles of track maintenance and repair;
 ensuring of inadequate material resources, regarding the necessary ones, for the performance of the proper maintenance and for keeping of the track condition between the normal operation parameters.
                                                                             </t>
  </si>
  <si>
    <t>RO-10036</t>
  </si>
  <si>
    <t>Rolling stock event, 29/3/2021, Piața Victoriei 1 - Aviatorilor</t>
  </si>
  <si>
    <t>Rolling stock event</t>
  </si>
  <si>
    <t>In the running of metro train set no.18, path 15, the train consisting in the electric train set (TEM) no.1324-2324, between the metro stations Piața Victoriei 1 and Aviatorilor, the torque rod and  the left current collector broke, in the running direction, from the bogie no.1 of  the unit M2 of the half-train no.2324 and they hit the tunnel installations.</t>
  </si>
  <si>
    <t>Piața Victoriei 1 - Aviatorilor</t>
  </si>
  <si>
    <t>SC METROREX SA</t>
  </si>
  <si>
    <t xml:space="preserve">The torque rod of the bogie no.1 from the unit M2 of the half-train no.2324, the current collector afferent to the same part (left side in the train running direction) and the bogie frame no.1 was damaged.               Some doors ALA (underground civil protection system) situated in the stations Aviatorilor, Aurel Vlaicu and Pipera were hit.                          263 protection covers of the insulators from the rail 3rd were hit and damaged, being necessary their replacement.                          
</t>
  </si>
  <si>
    <t xml:space="preserve">Causal factor:                                                                       
breakage of the torque rod from the bogie no.1of the unit M2 of the half-train no.2324, this breakage being determined by the wrong application of the shot blasting, when this rod was manufactured. </t>
  </si>
  <si>
    <t xml:space="preserve">Contributing factors: 
None.
Systemic factors:  
None.                                                                                    </t>
  </si>
  <si>
    <t>RO-10037</t>
  </si>
  <si>
    <t>Train derailment, Vadu Lat railway station, March 30, 2021</t>
  </si>
  <si>
    <t>Two wagons (11th and 12th) from the composition of the freight train no.20574-1 derailed and overturned in the Vadu Lat railway station.</t>
  </si>
  <si>
    <t>Vadu Lat railway station</t>
  </si>
  <si>
    <t>SC CER FERSPEED SA</t>
  </si>
  <si>
    <t>Causal factor:                                                                                       
 keeping within the track, at the accident site, a group of improper special wooden sleepers in turn, that led to the exceeding of the maximum accepted limit of the track gauge in operation and to the loss of the support and guiding capacity of the connecting rail from the deflecting section of the switch no.14 of the railway station Vadu Lat, generating the fall between the rails of the left wheel of the wagon  no.84539305145-1, the 11th railway vehicle in the composition of the freight train no.20574-1.</t>
  </si>
  <si>
    <t xml:space="preserve">Contributing factors: 
 performance of the track technical inspections at period of times higher than those stipulated in the practice codes, it favouring the decrease of this activity effectiveness and did not ensure the identification of the failures existing at the switch no.14 from the railway station Vadu Lat;
 deficiencies in the monitoring activity, generated by the lack of corelation between the findings on site and the finding notes, it allowing the keeping within the track a group of improper special wooden sleepers in turn, within the switch no.14 from the railway station Vadu Lat.
Systemic factors:  
 ineffective management of the risks associated to the danger generated by keeping in operation improper wooden sleepers within the switches;
 provision with an insufficient human resources, against the necessary one, in order to run out the suitable maintenance of the lines and switches for keeping the track geometry between the tolerances accepted.                                                                                    </t>
  </si>
  <si>
    <t>DE-10040</t>
  </si>
  <si>
    <t>Trains collision, 31/3/2021, Bf. Fallersleben</t>
  </si>
  <si>
    <t xml:space="preserve">Trains collision </t>
  </si>
  <si>
    <t>Am 31.03.2021 um ca. 18:00 Uhr kollidierte der Güterzug EZK 53810 auf der Fahrt von Braunschweig Rangierbahnhof (Rbf) nach Fallersleben im Bahnhof (Bf) Fallersleben mit einer Rangierabteilung. In Folge der Flankenfahrt entgleisten das Triebfahrzeug (Tfz) des Zuges sowie die aus zwei Tfz bestehende Rangierabteilung.</t>
  </si>
  <si>
    <t>Bf Fallersleben</t>
  </si>
  <si>
    <t>Germany
DB Schenker Rail Deutschland AG  
(DB Cargo AG)</t>
  </si>
  <si>
    <t xml:space="preserve">               Germany - DB Netz AG</t>
  </si>
  <si>
    <t>Eine Person wurde leicht verletzt. Es entstanden erhebliche Schäden an den Fahrzeugen, am Oberbau sowie der Leit‐ und Sicherungstechnik.</t>
  </si>
  <si>
    <t>National rules imposed by implementing of the Safety Directive 2004/49/EC - in light of
Article 19, §2 of SD
(Directive (EU) 2016/798 - Article 20, §2)</t>
  </si>
  <si>
    <t xml:space="preserve">Wegen eines Fahrtrichtungswechsels befand sich die Rangierabteilung in Gleis 363. Nach dem Wechsel auf das nun führende Tfz setzte der Triebfahrzeugführer trotz der Haltstellung des Signals 363R die beiden Tfz in Bewegung. Dadurch geriet die Rangierabteilung in den Fahrweg des einfahrenden Güterzuges, was zu der Zugkollision auf der Weiche 352 führte.
Zur Ursache der unzeitigen Fahrt der Rangierabteilung sind die Ermittlungen noch nicht abgeschlossen.
</t>
  </si>
  <si>
    <t>IT-10073</t>
  </si>
  <si>
    <t>Trains collision with an obstacle, 2/4/2021, Roma-Lido line</t>
  </si>
  <si>
    <t>12:55</t>
  </si>
  <si>
    <t>Train collision with contact line, Roma-Lido line, which occurred on 02.04.2021 and fire principle on train n. 2061 and overhead line fall contact on 09.12.2021</t>
  </si>
  <si>
    <t>Roma-Lido line</t>
  </si>
  <si>
    <t>ATAC SpA</t>
  </si>
  <si>
    <t>serious damage to rolling stock and infrastructure</t>
  </si>
  <si>
    <t xml:space="preserve">The direct cause of the event (02.04.2021) can be traced to the failure of the overhead line, which was allegedly also damaged by the impact with the pantograph of the MA 226-330 train, which was splintered and slightly raised. </t>
  </si>
  <si>
    <t>CZ-10038</t>
  </si>
  <si>
    <t>Trains collision, 04-04-21, Světec station (Czech Republic)</t>
  </si>
  <si>
    <t>Unauthorized movement of the freight train No. 54334, collision with the freight train No. 66403, consequent derailment and fire.</t>
  </si>
  <si>
    <t>Světec station, signal device L, km 21,532, place of collision was in km 22,138</t>
  </si>
  <si>
    <t>Freight trains</t>
  </si>
  <si>
    <t>ORLEN Unipetrol Doprava s.r.o. (54334), ČD Cargo, a.s. (66403)</t>
  </si>
  <si>
    <t>Estimated total mate 150 000 - 2 000 000 €</t>
  </si>
  <si>
    <t>CZK 47 500 000,- (€ 1 820 970,-); Rolling stocks, infrastructure</t>
  </si>
  <si>
    <t>PL-10041</t>
  </si>
  <si>
    <t>Level crossing accident, 4-4-21, Oborniki Wielkopolskie - Rogoźno Wielkopolskie (Poland)</t>
  </si>
  <si>
    <t>The collision of a railway vehicle, i.e. EN57ALc-2207 electric multiple unit of POLREGIO sp. z o.o. railway undertaking running as train ROJ 78471 relation Poznań Główny – Piła Główna with a road vehicle (passenger car Citroen Saxo) that entered the road-rail crossing directly in front of the head of the train.</t>
  </si>
  <si>
    <t>Oborniki Wielkopolskie - Rogoźno Wielkopolskie</t>
  </si>
  <si>
    <t>POLREGIO S.A.</t>
  </si>
  <si>
    <t xml:space="preserve">damaged possenger car type Citroen Saxo and slightly demaged EN57ALc-2207 electric multiple unit </t>
  </si>
  <si>
    <t>Passenger’s car entry at a cat. D, rail-road crossing directly in front of the oncoming passenger train No ROJ 78471.</t>
  </si>
  <si>
    <t xml:space="preserve">1) Road vehicle’s driver failure to comply with the traffic regulations in force when  and passing a railway and road crossing, art. 28 of the Act of 20 June 1997 - Road Traffic Law (i.e. Journal of Laws 2021, item 450, as amended), including failure to stop a vehicle in connection with a B-20 “Stop” sign.
2) Insufficient visibility of the train front, from the position of the driver of the road vehicle when approaching a level crossing (lack of the required visibility triangles), caused by a concrete fence and concrete traction posts in the vicinity of the railway line.
3) The sharp angle of the road crossing with the railway line of 67, making it difficult for the driver to see the front of the approaching train.
4) The rays of the sun being at low altitude shone on the windscreen of the car making it difficult for the driver to see the front of the approaching train.
5) Haste of the driver of a road vehicle due to an appointment.
</t>
  </si>
  <si>
    <t>HU-10043</t>
  </si>
  <si>
    <t>Other, 5/4/2021, Nagykanizsa station</t>
  </si>
  <si>
    <t>A shunter locomotive exiting track no. 2 of the station crossed an untrailable switch from the trailing direction. The occurence wasn't recognised in the signal box and after that the crew set an entry route for passenger train no. 8905 to track no.1. The train then accidentally entered the occupied track no. 1, while crossed the previously trailed switch.</t>
  </si>
  <si>
    <t>a) Switch no. 67 was set in the wrong direction, and wasn't recognised by the signalling system. b) The signalling crew missed the operational check of switch no. 67 while setting the entry route for train no. 8905.</t>
  </si>
  <si>
    <t>A shunting locomotive trailed the untrailable switch no. 67, while exiting the station track no. 2, because the signalling crew missed to set the switch for the shunting movement. The shunting gang didn't recognised the occurence.</t>
  </si>
  <si>
    <t>RO-10039</t>
  </si>
  <si>
    <t>Train derailment, 6/4/2021, Sighișoara</t>
  </si>
  <si>
    <t>Two passenger car (1st and 2nd) from the composition of the passenger train no.3528 derailed  in Sighișoara railway station.</t>
  </si>
  <si>
    <t>Sighișoara railway station</t>
  </si>
  <si>
    <t>SNTFC „CFR Călători” SA</t>
  </si>
  <si>
    <t>The track superstructure was affected on about 30 m.                         Slight damage to both bogies of the passenger car no.50532076036-4 (1st in composition of the train).                                                            Slight damage to the first bogie, in the running direction, of the passenger car no.505320492059 (the 2nd in composition of the train).</t>
  </si>
  <si>
    <t>Causal factor:                                                                       
Existence within the track, at the accident site, of some improper wooden sleepers, that deteriorated in an accelerated manner over time and that could no more ensure the proper fastening of the metallic plates that support the rails and keeping of the track gauge between the limits of the accepted tolerances.no.84539305145-1, the 11th railway vehicle in the composition of the freight train no.20574-1.</t>
  </si>
  <si>
    <t xml:space="preserve">Contributing factors: 
1. wrong interpretation during the works and inspections, performed by the staff responsible with the track superstructure maintenance, before the accident, of the risk generated by keeping of some improper wooden sleepers within the switch no.9 from the railway station Sighișoara;
2. use for the works performed, for the removal of the speed restrictions from the switches of the railway station Sighișoara, of some wooden sleepers impregnated, without these by certified in accordance with certification systems established upon EU legal framework and for which the Track Section L2 Sighișoara did not get documents that prove that the checking of the sleepers was made according to the harmonised standards.
Systemic factors:  
1. assessment of the risk of railway vehicle derailment, generated by keeping within the track of some improper sleepers, that could not keep under control the respective risks;
2. working out of the technical specification for contracting works for the removal of speed restrictions in the railway station Sighișoara, without ensuring, that for these works, there will be contracted and used only products certified in accordance with the certification systems established upon EU legislation and in accordance with the harmonised standards.
                                                                             </t>
  </si>
  <si>
    <t>HU-10048</t>
  </si>
  <si>
    <t>Unauthorised train movement other than SPAD 14-04-21, Rákosrendező (Budapest), Hungary</t>
  </si>
  <si>
    <t>Train no. 2376 stopped at Rákosrendező station due to a technical malfunction. After turning away the malfunction, the train departed without permission. It trailed a point and harmed the locked route of stopping train no. 2386. Train no. 2386 stopped immediately. No injuries occured.</t>
  </si>
  <si>
    <t>Rákosrendező (Budapest), Hungary</t>
  </si>
  <si>
    <t>5.1.2 Hozzájáruló tényezők
Cselekmények, hibák, események vagy feltételek, amelyek azáltal befolyásolták
az eseményt, hogy növelték a bekövetkezés valószínűségét, felgyorsították a
hatásokat, vagy fokozták a következmények súlyosságát, de kiiktatásuk nem
akadályozta volna meg az esemény bekövetkezését:
a) a szolgálatképtelenség okán kialakult helyzet megoldásában közvetlenül
érintett felek, a 2376 sz. vonat mozdonyvezetője és Rákosrendező állomás
forgalmi szolgálattevője között a kommunikáció mennyiségileg és
tartalmilag sem volt kielégítő (4.3.3);
b) a 2376 sz. vonat mozdonyvezetőjének figyelmét – rutintalanságából
fakadóan – túlságosan lekötötte a hibaelhárítási tevékenység és a pálya
felszabadítására való törekvés (4.3.2).</t>
  </si>
  <si>
    <t>5.1.3 Rendszerszintű tényező
Olyan szervezeti, vezetési, társadalmi vagy szabályozási jellegű ok-okozati vagy
hozzájáruló tényezőt, amelyek a jövőben valószínűleg hatással lehetnek hasonló
és kapcsolódó eseményekre, különösen ideértve a szabályozási keretfeltételeket,
a biztonságirányítási rendszer kialakítását és alkalmazását, a Vb nem azonosított.</t>
  </si>
  <si>
    <t>HU-10170</t>
  </si>
  <si>
    <t>Other,  10/04/2021 at Bicske station</t>
  </si>
  <si>
    <t>No. 4851 passenger train  entered a track occupied by the No. 4948 passenger train.</t>
  </si>
  <si>
    <t>Bicske</t>
  </si>
  <si>
    <t>MÁV START Zrt.</t>
  </si>
  <si>
    <t>Railway track closure</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</si>
  <si>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forgalmi szolgálattevő a behaladó vonat előtt átállította a váltókat;
b) a korábban közlekedett vonat után önműködően fel nem oldódott
vágányút kényszeroldása a Kezelési Szabályzatban előírtak szerint
nem történt meg, a bejáró vonat előtt ment végbe az oldási
folyamat, ezért a váltók állíthatóak lettek;
c) a rendellenes működést a forgalmi szolgálattevő nem ismerte fel.
5.1.2 Hozzájáruló tényezők
Cselekmények, hibák, események vagy feltételek, amelyek azáltal befolyásolták
az eseményt, hogy növelték a bekövetkezés valószínűségét, felgyorsították a
hatásokat, vagy fokozták a következmények súlyosságát, de kiiktatásuk nem
akadályozta volna meg az esemény bekövetkezését:
a) a biztosítóberendezés régóta ismert hibája, hogy a
vágányfoglaltságokat esetenként nem megfelelően jelzi vissza a
kezelőpulton;
b) az ismeretlen okból a vonat behaladásakor felszabaduló 5 sz. váltó
a vágányút lezárását részlegesen megszüntette.</t>
  </si>
  <si>
    <t>5.1.3 Rendszerszintű tényező
Szervezeti, vezetési, társadalmi vagy szabályozási jellegű ok-okozati vagy
hozzájáruló tényezők, amelyek a jövőben valószínűleg hatással lehetnek hasonló
és kapcsolódó eseményekre, különösen ideértve a szabályozási keretfeltételeket,
a biztonságirányítási rendszer kialakítását és alkalmazását, a személyzet
készségeit, az eljárásokat és a karbantartást:
a) a biztosítóberendezésen jelentkező eseti foglaltság visszajelentési
zavarait a személyzet megszokta, a biztosítóberendezési
szakszolgálat pedig megtűri.</t>
  </si>
  <si>
    <t>RO-10044</t>
  </si>
  <si>
    <t>Train derailment, 9/4/2021, Năvodari - Nazarcea</t>
  </si>
  <si>
    <t>Three wagons (5rd, 6th and 11th) from the composition of the freight train no.89576 derailed between Năvodari and Nazarcea railway stations.</t>
  </si>
  <si>
    <t>Between Năvodari - Nazarcea stations</t>
  </si>
  <si>
    <t xml:space="preserve">SC „GRUP FEROVIAR ROMÂN” SA </t>
  </si>
  <si>
    <t>Causal factor:                                                                      
 the cumulated action of the track conditions (existence within the track, at the accident site, a group of improper sleepers that exceeded the tolerances accepted for the cross level prescribed for a rail against the another one on the last 5 m before the point „0”) and the conditions found at the wagon (irregular distribution of the load transversely against the wagon centre and the values situated at the upper limit accepted in operation for the total clearance of the friction stones). The cumulated action of these conditions led to the cross-load transfer against the wagon centre, resulting in the load transfer of the wheel no.2 of the guiding axle from the first bogie of the wagon no.89536950057-7, this wheel overclimbed the exterior rail of the curve (right rail in the running direction).</t>
  </si>
  <si>
    <t xml:space="preserve">Contributing factors: 
• lack of repairs and maintenance of the track in accordance with the practice codes;
• not-ensuring of the conditions for the performance of the load distribution within the wagon and of the inspection during the composition of the train.
Systemic factors:
• unsuitable monitoring of the service render (regarding the way to perform the track repairs and maintenance) by the non-interoperable railway infrastructure manager;
• keeping within the track, for a long time, the speed restriction of 30 km/h;
• non-compliance with the provisions of the procedures by the non-interoperable railway infrastructure manager it having direct implications in the guaranteeing that the infrastructure maintenance is safely supplied and that it meets with the specific needs of the track section where the derailment happened;
• the railway undertaking did not regulate how to take delivery the loaded wagons when they are taken for transport in the working point CRH - Luminița-Tașaul Pit.
</t>
  </si>
  <si>
    <t>RO-10045</t>
  </si>
  <si>
    <t>Train derailment, 11/4/2021, Palas - Constanța Mărfuri</t>
  </si>
  <si>
    <t>Two wagons (32nd and 33rd) from the composition of the freight train no.80639 derailed between Palas and Constanța Mărfuri railway stations.</t>
  </si>
  <si>
    <t>Palas - Constanța Mărfuri</t>
  </si>
  <si>
    <t xml:space="preserve">The track superstructure was affected on about 200 m.                         Damage to the second bogie, in the running direction, of the wagon no.33537924193-8 (the 32nd in composition of the train).                           Damage to both bogies of the wagon no.33537965097-1 (the 33rd in composition of the train).     </t>
  </si>
  <si>
    <t>Causal factor:                                                                                       
- the load transfer of the wheel no.3 from the guiding axle of the second bogie of the wagon no.33537924193-8 and the increase of the guiding force, following the running of the train on an improper track, the train composition did not meet with the regulation in force, having a locomotive that was not active at the rear of the train, that led to the amplification of the reactions within the train body and increase of the force appeared at the contact wheel-rail. Upon these conditions, the wheel no.3 overclimbed the exterior rail of the curve, left rail in the running direction.</t>
  </si>
  <si>
    <t>Contributing factor: 
- lack of repairs and maintenance at the track according to the practice codes.
Systemic factors:
- keeping the speed restriction of 15 km/h for a long time and lack of an action plan for its cancellation;
- the improper monitoring of the service supplier (regarding the performance of track repairs and maintenance) carried out by the infrastructure manager;
- inobservance of the provisions of the procedures with the direct implications in the guarantee by the infrastructure manager that the infrastructure maintenance is supplied safely and it meets with the specific needs of the track section where the derailment happened;
- ineffective measures for keeping under control the danger represented by the inobservance of the conditions recorded in the running order.</t>
  </si>
  <si>
    <t>NO-10047</t>
  </si>
  <si>
    <t>Other - 14-04-21, Rosenholm Station, Norway</t>
  </si>
  <si>
    <t>On 14 April 2021 at approx. 16:16, the catenary of the overhead contact line system snapped south of Rosenholm station on the Østfoldbanen line. There were no trains there at the time and no witnesses to the incident. The catenary, which is a live wire carrying a current of 15,000 V, came into contact with the track and short-circuited. This produced sparks that ignited a fire in vegetation near the track. At about the same time, a passenger train from Oslo was approaching Rosenholm station. The train lost power, but continued to roll so that the whole train set stopped alongside the platform.</t>
  </si>
  <si>
    <t>Rosenholm Stop, Østfold Line</t>
  </si>
  <si>
    <t>Damage to snapped lines in catenary system and damage to rolling stock pantograph</t>
  </si>
  <si>
    <t>The NSIA has not been able to reach a definite conclusion as regards the cause of the incident. In the course of the investigation, we have considered other forms of stress that components may be exposed to, their mechanical strength and other external factors. The most common cause of short-circuiting of overhead contact lines is birds or objects coming into contact with live components. No indications have been found that this was the case at Rosenholm, however.</t>
  </si>
  <si>
    <t>The system’s electrical protection has largely functioned as intended, but an overhead contact line protection relay in Ski traction power distribution station allowed for repeated attempts to reconnect the power, resulting in the electricity on the section of track being switched back on during Bane NOR SF’s troubleshooting. The tools available to Bane NOR SF’s electrical power operators are not sufficiently precise to quickly identify the exact location where a fault has occurred. Troubleshooting is therefore carried out both automatically and manually by resetting the circuit breakers in the system to narrow down the area where the fault may be located. Personnel must then be dispatched to the location to verify the fault.</t>
  </si>
  <si>
    <t>Train derailment, 12-05-21, Bf Berlin-Lichtenberg (Germany)</t>
  </si>
  <si>
    <t>Bf Berlin-Lichtenberg</t>
  </si>
  <si>
    <t>HU-10046</t>
  </si>
  <si>
    <t>Level crossing accident 20-04-21, Between Hajdúhadház and Újfehértó Stations, Hungary</t>
  </si>
  <si>
    <t>Between Hajdúhadház and Újfehértó stations at a level crossing (equipped with active level crossing protection) the train no. 6254 collided with a tractor what was thrown onto the second track where the oncoming train no. 6203 collided with the wreck. The train no. 6203 derailed – in the derailment one wagon was overturned.</t>
  </si>
  <si>
    <t>Between Hajdúhadház and Újfehértó Stations, Hungary</t>
  </si>
  <si>
    <t>MÁV-START Zrt</t>
  </si>
  <si>
    <t xml:space="preserve">MÁV Zrt. </t>
  </si>
  <si>
    <t xml:space="preserve">Total damage HUF 272,000,000 </t>
  </si>
  <si>
    <t>Direct cause(s):	•	the road vehicle (agricultural tractor) failed to stop at the “Beginning of railway crossing” sign and entered the level crossing despite the red light signal of the active level crossing protection system
Contributory factor(s):	•	the severity of the consequences was considerably increased by the fact that the wheel of the tractor, which had come off the tractor, was thrown onto the left-hand track, where it was hit by the train coming from the opposite direction, and caused it to derail</t>
  </si>
  <si>
    <t>BG-10089</t>
  </si>
  <si>
    <t>Train derailment, 23/4/2021, between the stations Vetovo-Senovo, Bulgaria</t>
  </si>
  <si>
    <t>0:50</t>
  </si>
  <si>
    <t>Derailment of full fuel rail tank cars of freight train No 90593 between the stations Vetovo-Senovo</t>
  </si>
  <si>
    <t>between the stations Vetovo-Senovo</t>
  </si>
  <si>
    <t>"Bulgarian Railway Company" AD</t>
  </si>
  <si>
    <t>Railway infrastructure, RRS-wagons, tank cars, Train operation schedule</t>
  </si>
  <si>
    <t>30/4/2021</t>
  </si>
  <si>
    <t>Deteriorated technical condition of the rail track.</t>
  </si>
  <si>
    <t>Deteriorated technical condition of the rail track, poor strengthening of the rail track after repair, combined with the high load voltage from the passing trains with low speed have caused unacceptable deviations in the level of the rail track above the maximum allowable values.</t>
  </si>
  <si>
    <t>ES-10227</t>
  </si>
  <si>
    <t>Train derailment, 3/5/2021, Galicia junction (León)</t>
  </si>
  <si>
    <t>National ID 38/2021: Derailment at Galicia junction (line 130, kilometre 1+500).
The last two passenger coaches of long distance train #4271 Madrid-Gijón derailed at Galicia junction, after departing from León. The rear locomotive, however, remained on the track. Derailed coaches had Talgo type  wheels (independent rolling), and they would have climbed the switch rail at the last point (#2). This point was a dual gauge one, and some previous works had been done on it, so it could be incorrectly flanged. No personal damages.
The Spanish NIB decided to conduct a preliminary enquiry on this occurrence before deciding whether to make an investigation report or not. Preliminary enquiry concluded by April of 2022, and the NIB decided to conduct a complete investigation report on the incident, so it is notified now to the EUAR. Several dificulties with information gathering have delayed the decision.</t>
  </si>
  <si>
    <t>Galicia junction (León)</t>
  </si>
  <si>
    <t>The causing factor of this event was the uncontrolled movement of the standard gauge switch rail at the obtuse frog of the D2 turnout, that was not properly locked, because of the vibrations produced by the passage of trains at this crossover since the completion of the 2021 works (19th April 2021) to the day of the derailment (3rd of May 2021).</t>
  </si>
  <si>
    <t>The contributing factors were:
- the disassembly of the 4th-point-machine rods of the D2 turnout (drive and detector rods) and the incorrect clamping of the standard gauge switch rail during the 2021 works. These works were undertaken in order to solve verification failure problems, but when finalised the stretcher bars were not completely immobilised and therefore the standard gauge switch rail moved towards its checkrail;
- the failure to consider the disassembly of the rods during the 2021 works as a modification of the scheduled programme that required to update the project documentation and risk assessment, in accordance with the works carried out in 2020;
- the lack of analysing the impact on safety derived from the rods´ removal during the 2021 works as well as the lack of establishing safety requirements that would have been fulfilled prior to its implementation;
- the lack of updating the risk assessment and the project documentation that was prepared for the 2020 works, aiming to incorporate any new risks derived from the rods´ disassembly and establishing risk control measures on the specific hazard register and the general hazard register;
- the lack of training and experience of internal and external ADIF (IM) staff during the installation, management, and maintenance of the mixed gauge turnouts.
Two systemic contributing factors have been detected:
- the lack of updated technical regulations on mixed gauge turnouts;
- the lack of effective control mechanisms for additional risks that may arise during the execution of works and that were not originally considered as they were not initially planned.</t>
  </si>
  <si>
    <t>CZ-10049</t>
  </si>
  <si>
    <t>Trains collision with an obstacle, 05-05-21, open line between Třebovice v Čechách and Česká Třebová stations (Czech Republic)</t>
  </si>
  <si>
    <t>Collision of the long distance passenger train No. 1254 with an obstacle – dumped stones from the lorry after a traffic accident between Třebovice v Čechách and Česká Třebová stations</t>
  </si>
  <si>
    <t>open line between Třebovice v Čechách and Česká Třebová stations</t>
  </si>
  <si>
    <t>Leo Express s. r. o.</t>
  </si>
  <si>
    <t>Total damage CZK 10 834 657,- (EUR 438 118,-)</t>
  </si>
  <si>
    <t>Causal factors:
• formation of an obstacle (dumped cargo) into structure gauge of the operated track from an overturned lorry after a traffic accident on the road;
• failure to stop rail traffic between Třebovice v Čechách and Česká Třebová stations.</t>
  </si>
  <si>
    <t>Systemic factor:
• absence of reliable and correct system of fast and effective electronic orientation at the operational centers of the Integrated Rescue System for generating target contacts to employees of the IM who can stop traffic at the event of a threat of railway traffic safety, besides the level crossings.</t>
  </si>
  <si>
    <t>CZ-10050</t>
  </si>
  <si>
    <t>Level crossing accident 05-05-21, between Čížová and Písek stations (Czech Republic)</t>
  </si>
  <si>
    <t>Collision of the long distance passenger train No. 1171 with a lorry at the level crossing</t>
  </si>
  <si>
    <t>Open line between Čížová and Písek stations, level crossing No. P488, km 17,132 (Czech Republic)</t>
  </si>
  <si>
    <t>• an unauthorized entrance of the lorry at the level crossing No. P488 at the time when the train No. 1171 was arriving, caused by behavior of the lorry, who did not respect the light and acoustic warning of the level crossing safety equipment and did not make sure whether he could safely pass the level crossing.</t>
  </si>
  <si>
    <t>CZ-10051</t>
  </si>
  <si>
    <t>Spad, 06-05-21, Roztoky u Prahy station (Czech Republic)</t>
  </si>
  <si>
    <t>Unauthorized movement of the freight train No. 47342 behind the signal device L1 and entry to the train route for the regional passenger train No. 9629.</t>
  </si>
  <si>
    <t>Roztoky u Prahy station, signal device L1, km 421,938 (Czech Republic)</t>
  </si>
  <si>
    <t>Freight train, Regional passenger train</t>
  </si>
  <si>
    <t>PKP CARGO INTERNATIONAL a. s. (RU of the freight train No. 47342);
České dráhy, a.s. (RU of the regional passenger train No. 9629).</t>
  </si>
  <si>
    <t>---</t>
  </si>
  <si>
    <t>Direct cause: 
• failure to respect the signal „Stop” of the departure signal device L1 at Roztoky u Prahy station by the train driver of the freight train No. 47342 due to his inattention and concentration on driving at a voltage-free section instead of observation of signal of the departure signal device.</t>
  </si>
  <si>
    <t>CZ-10052</t>
  </si>
  <si>
    <t>Unauthorised train movement 10-05-21, Praha Masarykovo nádraží station, Czech Republic</t>
  </si>
  <si>
    <t>Unauthorized movement of the regional passenger train No. 9608 behind the main signal device and entry to the train route for the regional passenger train No. 6903</t>
  </si>
  <si>
    <t>Praha Masarykovo nádraží station</t>
  </si>
  <si>
    <t>Causal factor:
• failure to respect the signal „Stop” of the main (route) signal device Sc7 at Praha Masarykovo nádraží station by the train driver of the regional passenger train No. 9608 due to unconscious mistake of the train driver which manifested in the unauthorized movement of
this train without:
- it was dispatched the train No. 9608 from Praha Masarykovo nádraží station;
- the train driver visually convinced whether the main (route) signal device Sc7 at Praha Masarykovo nádraží station allows movement of the train.</t>
  </si>
  <si>
    <t>DE-10076</t>
  </si>
  <si>
    <t>Am 12.05.2021 gegen 00:35 Uhr entgleiste der Güterzug DGS 91017 auf der Fahrt von Bahnhof Ziltendorf EKO nach Bahnhof Lünen Hbf bei der Ausfahrt aus Gleis 22 im Bahnhof Lichtenberg in Weiche S163 mit allen vier Radsätzen des an 19. Stelle laufenden Wagens. Anschließend kollidierte er mit der im Gleis 203 vor dem haltzeigenden Signal G stehenden Zugfahrt DLr 62220.</t>
  </si>
  <si>
    <t>Das Ereignis wurde durch einen Arbeitsfehler im Stellbereich B6 des Bahnhofs Berlin-Lichterberg ausgelöst. Die Fahrstraße wurde entgegen den Regelungen der Richtlinie 408 - Fahrdienstvorschrift - aufgelöst, bevor der Zug die Fahrstraßenzugschlussstelle passiert hatte. Das da durch ermöglichte unzeitige Umstellen der Weiche S163 führte zur Entgleisung des Güterzuges DGS 91017.</t>
  </si>
  <si>
    <t>HU-10054</t>
  </si>
  <si>
    <t>Spad, 17-05-21 Gödöllő, Hungary</t>
  </si>
  <si>
    <t>The passenger train no. 3135 passed the signal “V4” at danger, opened up a switch and left the station without permission. Eventually the train was stopped at the next station. No one was injured.</t>
  </si>
  <si>
    <t>Gödöllő (47.592476, 19.358295), Hungary</t>
  </si>
  <si>
    <t>EU 2016/798 Article 20 2. (b)</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</si>
  <si>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mozdonyvezető felhatalmazás nélkül és a kijárati jelzőn továbbhaladást
engedélyező jelzés hiányában indult el a vonattal (4.3.1.1).
5.1.2 Hozzájáruló tényezők
Cselekmények, hibák, események vagy feltételek, amelyek azáltal befolyásolták
az eseményt, hogy növelték a bekövetkezés valószínűségét, felgyorsították a
hatásokat, vagy fokozták a következmények súlyosságát, de kiiktatásuk nem
akadályozta volna meg az esemény bekövetkezését:
a) a jelfeladás irányváltás után nem működik a kihaladó vonat részére addig,
amíg az adott vágányról a vágányút beállítás meg nem történik, ezért a
„Megállj!” jelzést adó jelző melletti elhaladáskor kényszerfékezés sem
következik be (4.2.2);
b) a külső forgalmi szolgálattevő szándékolatlan mozdulatai rövid ideig
„Felhívás” jelzésre hasonlítottak (4.3.2.1);
c) a vonatkísérő személyzet „Felhívás” jelzésként értelmezte a forgalmi
szolgálattevő szándékolatlan mozdulatait (4.3.2.1).</t>
  </si>
  <si>
    <t>5.1.3 Rendszerszintű tényező
Olyan szervezeti, vezetési, társadalmi vagy szabályozási jellegű ok-okozati vagy
hozzájáruló tényezőket, amelyek a jövőben valószínűleg hatással lehetnek
hasonló és kapcsolódó eseményekre a Vb nem tárt fel.</t>
  </si>
  <si>
    <t>CZ-10055</t>
  </si>
  <si>
    <t>Train collision, 21-05-21, Olomouc hlavní nádraží station, Czech Republic</t>
  </si>
  <si>
    <t>Collision of the shunting operation with standing rolling stocks.</t>
  </si>
  <si>
    <t>Olomouc hlavní nádraží station, Track No. 8, km 86,982</t>
  </si>
  <si>
    <t>Total damage CZK 26 423,- (EUR 1 041,-)</t>
  </si>
  <si>
    <t>Causal factor:
• failure to give an immediate, brief and comprehensible instruction
to stop the shunting operation safely in front of the standing rolling
stocks to the train driver of the shunting operation by the supervisor of shunting.                                                                                                                                                                                                                     Contributing factor:                                                                                      • a sequence of faults in compliance with the internal regulations of
the infrastructure manager and railway undertaking by the
supervisor of the shunting operation in:                                                         ◦ communication with the person who controls the railway traffic at Olomouc hl. n. station;
◦ acting after the detection of circumstances endangering safety during the shunting.</t>
  </si>
  <si>
    <t>FR-10058</t>
  </si>
  <si>
    <t>Fire in RS, 28-05-2021, Saint-Hilaire-Bonneval, France</t>
  </si>
  <si>
    <t xml:space="preserve">fire on a maintenance train during its transport - freight train n°814538 (maintenance train in transport) </t>
  </si>
  <si>
    <t>Saint-Hilaire-Bonneval</t>
  </si>
  <si>
    <t>HU-10056</t>
  </si>
  <si>
    <t>Level crossing accident, 31-05-21, Sátoraljaújhely, Hungary</t>
  </si>
  <si>
    <t>The passenger train hit a truck and derailed.</t>
  </si>
  <si>
    <t>Sátoraljaújhely</t>
  </si>
  <si>
    <t>Train derailed, truck destroyed</t>
  </si>
  <si>
    <t>Human factor of truck driver</t>
  </si>
  <si>
    <t>RO-10057</t>
  </si>
  <si>
    <t>Spad, 01-06-21, Golești railway station, Romania</t>
  </si>
  <si>
    <t>The passenger train no.1897 passed the XIC, XPIII and XIII traffic signals, which displayed the indication "STOP without exceeding the signal!" and then stopped on the isolated track section no.50/56 without further consequences.</t>
  </si>
  <si>
    <t>Golești railway station</t>
  </si>
  <si>
    <t xml:space="preserve">CNCF „CFR" SA </t>
  </si>
  <si>
    <t xml:space="preserve">This accident did not cause any material damage.   </t>
  </si>
  <si>
    <t xml:space="preserve">Causal factors:                                                                         
- unsuitable working of the valves for the brake control (P106/1 and P106/2) of the multiple unit Desiro 2016, that led to the loss of the braking capacity of the indirect brake;
- improper operation of the multiple unit Desiro 2016 by the driver, that led to the shutdown of four braking systems, from those five ones that equip the multiple unit.
</t>
  </si>
  <si>
    <t xml:space="preserve">Contributing factors: 
- lack of maintenances at the valves for the brake control (P106/1 and P106/2) of the multiple unit Desiro 2016, according to the provisions established by their manufacturer, regarding the norms of time and the operations that have to be performed in these cases;
- lack in the driver equipment of the operation guide corresponding to the multiple unit type Desiro.
Systemic factor:
- the organization did not ensure the information necessary to the driver, for running in emergency mode, respectively an operation guide for the multiple unit type Desiro;
- ineffectiveness of the monitoring of the measures established for keeping under control the risks corresponding to the dangers identified and that developed in case of this incident;
- wrong schedule of planned repairs and keeping in operation the multiple unit Desiro 2016, after exceeding the norms of time/km for their performance;
- lack in the operational procedure „Planning of inspections and repairs at locomotives, multiple units and electric train sets got by SNTFC „CFR Călători” SA” - PO-0-8.1-15, of some provisions regarding the withdrawal of locomotives/multiple units when they reach the norms of time/km, as well as the lack of appointment of staff responsible for the performance of this activity;
- drafting of some technical specifications for the performance of planned repairs type R8 and R9 without meeting with the manufacturer instructions for the tests of the valves for the brake control (P106).
</t>
  </si>
  <si>
    <t>30/5/2022</t>
  </si>
  <si>
    <t>CZ-10062</t>
  </si>
  <si>
    <t>Train collision with technical device, 05-06-21, Třinec (Czech Republic)</t>
  </si>
  <si>
    <t>Train collision with technical device</t>
  </si>
  <si>
    <t>The collision of the locomotive train No. 53484 with the specified technical equipment placed on the contact wire</t>
  </si>
  <si>
    <t>Třinec station, km 312,820</t>
  </si>
  <si>
    <t>Locomotive train</t>
  </si>
  <si>
    <t>LOKORAIL, a. s.</t>
  </si>
  <si>
    <t>CZK 593 900,- (€ 23 341,-); Rolling stock, Infrastructure</t>
  </si>
  <si>
    <t>Causal factor: 
• untimely raising of the current collector of the locomotive train No. 53484 at the place where the ride with the withdrawn current collector was ordered, and even if the train driver was not called on to do so.
Contributing factor: none</t>
  </si>
  <si>
    <t>Systemic factor: none</t>
  </si>
  <si>
    <t>FI-10069</t>
  </si>
  <si>
    <t>Fire in RS, 5/6/2021, Joroinen, between Huutokoski and Siikamäki, line number 1801, km 400+0500</t>
  </si>
  <si>
    <t>NIB FI</t>
  </si>
  <si>
    <t>One unit of train composing 2 Dm12 rail busses caught fire in Joroinen.</t>
  </si>
  <si>
    <t>Joroinen, between Huutokoski and Siikamäki, line number 1801, km 400+0500</t>
  </si>
  <si>
    <t>Finish Transport Infrastructure Agency</t>
  </si>
  <si>
    <t>Dm12 rail bus was damaged beyond repair.</t>
  </si>
  <si>
    <t>Fuel leak from fractured fuel return line</t>
  </si>
  <si>
    <t xml:space="preserve">Inadequate maintenance did not repair fluid leaks and damaged engine compartment hathces. This allowed dirt to accumulate in engine compartment and created a volatile environment. </t>
  </si>
  <si>
    <t>RO-10059</t>
  </si>
  <si>
    <t>Fire in RS, 06-06-2021, Poarta railway station, Romania</t>
  </si>
  <si>
    <t>After the parking of the freight train no.81690 in the Poarta railway station, a fire brust in EA071 locomotive.</t>
  </si>
  <si>
    <t>Poarta railway station</t>
  </si>
  <si>
    <t xml:space="preserve">SNTFM „CFR Marfă” SA </t>
  </si>
  <si>
    <t xml:space="preserve">The accident generate damages at catenary instalations. The locomotive involved was damaged about 90 %.     </t>
  </si>
  <si>
    <t>Causal factor:                                                                         
- the appearance of some electric arcs at the welding cracks of the connection between the joining bar and the windings of the coil from the electric filter, afferent to the force cables B1 and B2, that ignited the dust deposits, the covering paint and the polyvinyl chloride insulation of the conductors, from the tank of the electric filter.</t>
  </si>
  <si>
    <t>Contributing factor: 
- keeping in operation of the locomotive after exceeding the operational life, without meeting with the technical potential that had to be ensured by the interventions stipulated by the regulations in force, for getting from AFER a Technical Approval for a vehicle with the operation life exceeded.
Systemic factor:
- lack from the procedure PO 04.3 of some clear rules regarding the withdrawal from traffic of the locomotives with the prescribed operation life exceeded, for the performance of the interventions necessary for getting from AFER a Technical Approval for a vehicle with the operation life exceeded.</t>
  </si>
  <si>
    <t>DE-10142</t>
  </si>
  <si>
    <t>Train derailment, 9/6/2021, Bf Demmin</t>
  </si>
  <si>
    <t>Am 09.06.2021 gegen 12:17 Uhr entgleiste der Güterzug DGS 95370 auf der Fahrt von Stendell nach Pirna im Bahnhof (Bf) Demmin beim Befahren der Weiche W 39 mit den beiden Radsätzen am hinteren Drehgestell des letzten Wagens.</t>
  </si>
  <si>
    <t>Bf Demmin</t>
  </si>
  <si>
    <t>Fahrzeuge: 45.000€, Infrastruktur: 421.900€</t>
  </si>
  <si>
    <t>Mehrere aneinandergereihte betriebliche Arbeitsfehler der Stellwerkspersonale führten zu dem Ereignis. Zum einen wurde durch den Fahrdienstleiter (Fdl) die Fahrstraße k/2 unzeitig aufgelöst, zum anderen wurde der Verschluss der Fahrstraße im für die Einfahrt zuständigen Stellbezirk durch den Weichenwärter (Ww) zu früh zurückgenommen. Deshalb war es mög-lich, die Weiche W 39 im Bf Demmin umzustellen, ehe der Zug diese vollständig passiert hatte.</t>
  </si>
  <si>
    <t xml:space="preserve">Zum Ereignis beitragende Faktoren:
Die im Bf Demmin vorhandenen Einrichtungen der Leit- und Sicherungstechnik (LST) zur Un-terstützung betrieblicher Handlungen der beteiligten Stellwerkspersonale wirkten den Ar-beitsfehlern auf technischem Wege nicht entgegen.
Arbeiten, die im Rahmen der Betriebs- und Bauanweisung (Betra) Nr. F 197027 21 zum Er-eigniszeitpunkt stattfanden, hatten zudem den Aufenthalt mehrerer nicht mit betrieblichen Handlungen befasster Personen auf dem Stw Dwt im Dienstraum des Ww zur Folge. Dieser Umstand könnte zur Ablenkung des Ww geführt haben. 
Systemische Faktoren: 
Auf vielen Betriebsstellen im Bereich der Eisenbahnen des Bundes befindet sich die LST nicht auf dem aktuellen Stand der Technik.
Für die Überwachung der Personale auf den Stellwerken (Stw) im Bf Demmin konnte durch das EIU kein systematischer Ansatz dargestellt werden, der die konsequente Beachtung und das dauerhafte Bewusstsein für arbeitsplatzbezogene, sicherheitskritische Arbeitsabläufe berücksichtigt hätte.
</t>
  </si>
  <si>
    <t>HU-10060</t>
  </si>
  <si>
    <t>Spad, 09-06-2021, Püspökladány Station, Hungary</t>
  </si>
  <si>
    <t>The passenger train no. 6105 overrun the “K4” signal.</t>
  </si>
  <si>
    <t>Püspökladány Station, Hungary (N:47.327632 o, E:21.125711o)</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</si>
  <si>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mozdonyvezető a vonat fékezése közben nem állította
alapállásba a fokozatkapcsolót;
b) a fokozatkapcsoló 16-os állásban maradása miatt egy idő után a
mozdony által kifejtett vontatási erő nagyobb volt a fékrendszer által
kifejtett fékező erőnél;
ezért a vonat meghaladta a Megállj jelzést adó K4 jelű egyéni kijárati
jelzőt.
5.1.2 Hozzájáruló tényezők
Cselekmények, hibák, események vagy feltételek, amelyek azáltal befolyásolták
az eseményt, hogy növelték a bekövetkezés valószínűségét, felgyorsították a
hatásokat, vagy fokozták a következmények súlyosságát, de kiiktatásuk nem
akadályozta volna meg az esemény bekövetkezését:
a) a mozdonyvezető az állomásra történő behaladás közben a
visszapillantó tükörben a vonat egyik járművének kinyílt
feljáróajtaját figyelte és ezért nem vette észre, hogy a
fokozatkapcsoló 16-os állásban maradt;
b) a mozdony nem rendelkezik olyan fővezeték nyomáskapcsolóval,
ami a vontatást megakadályozná, az EVM berendezés által figyelt
nem megfelelő fővezeték nyomás esetén.</t>
  </si>
  <si>
    <t>5.1.3 Rendszerszintű tényező
Olyan szervezeti, vezetési, társadalmi vagy szabályozási jellegű ok-okozati vagy
hozzájáruló tényezőket, amelyek a jövőben valószínűleg hatással lehetnek
hasonló és kapcsolódó eseményekre a Vb nem állapított meg</t>
  </si>
  <si>
    <t>BG-10090</t>
  </si>
  <si>
    <t>Train derailment, 11/6/2021, Belovo station, Bulgaria</t>
  </si>
  <si>
    <t>14:30</t>
  </si>
  <si>
    <t>Derailment of locomotive No 87023 servicing international freight train No 48041 while entering in Belovo station</t>
  </si>
  <si>
    <t>Belovo station</t>
  </si>
  <si>
    <t>Bulmarket Rail Cargo EOOD</t>
  </si>
  <si>
    <t>SE National Railway Infrastructure Company (NRIC)</t>
  </si>
  <si>
    <t>RRS-Locomotive No 87023, railway infrastructure</t>
  </si>
  <si>
    <t>14/6/2021</t>
  </si>
  <si>
    <t>Break (rupture) of the axle of the third wheel-set in the direction of movement of locomotive No 91520087023-5 in the area of the sub-header during the train running.</t>
  </si>
  <si>
    <t xml:space="preserve">The most likely cause for the accident is the fatigue destruction of the wheel-set in a zone with a voltage concentrator (the transition from the middle part of the wheel-set to the sub-header). A leading hypothesis for breaking is the accumulation of fatigue in the wheel-set material, given its long life cycle. </t>
  </si>
  <si>
    <t>CZ-10067</t>
  </si>
  <si>
    <t>Train derailment, 14-06-2021, Štramberk station,Czech Republic</t>
  </si>
  <si>
    <t>Unsecured movement of the regional passenger train No. 23121 on an incorrect train route and consequent derailment</t>
  </si>
  <si>
    <t>Štramberk station, Switch No. 18, km 19,776</t>
  </si>
  <si>
    <t xml:space="preserve">Správa železnic, státní organizace </t>
  </si>
  <si>
    <t>Total damage CZK 32 681,- (EUR 1 325,-)</t>
  </si>
  <si>
    <t>Causal factor:
•permission of entry for the regional passenger train No. 23121 to Štramberk station on an incorrect train route, when the switch No. 18 was not in the correct position for the given train route due to failure to perform the prescribed transport operations and work procedures consisting in failure to test the correct adjustment of the switch No. 18 to the position for movement of the train No. 23121.</t>
  </si>
  <si>
    <t>HU-10066</t>
  </si>
  <si>
    <t>Spad, 15-06-2021, Sárosd, Hungary</t>
  </si>
  <si>
    <t>The passenger train no. 4018 passed the signal “V2” at danger, opened up a switch and stopped in front of an another train, which waited at the signal “B”. No one was injured.</t>
  </si>
  <si>
    <t>Sárosd</t>
  </si>
  <si>
    <t xml:space="preserve">Directive 2016/798, article 20.2.(b) </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</si>
  <si>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mozdonyvezető a „Megállj!” jelzést adó kijárati jelző előtt a vonattal nem
állt meg…;
b) …mert helyzeti tudatosságának szintje lecsökkent, a jelző által adott
jelzéssel nem volt tisztában (4.3.1.1);
c) a vezető jegyvizsgáló annak ellenére adott „Indulásra készen” jelzést, hogy
a kijárati jelző „Megállj!” jelzést adott (4.3.1.2).
5.1.2 Hozzájáruló tényezők
Cselekmények, hibák, események vagy feltételek, amelyek azáltal befolyásolták
az eseményt, hogy növelték a bekövetkezés valószínűségét, felgyorsították a
hatásokat, vagy fokozták a következmények súlyosságát, de kiiktatásuk nem
akadályozta volna meg az esemény bekövetkezését:
a) a mozdonyvezető helyzeti tudatosságának szintjét a behaladás közben
folytatott telefonálás lecsökkentette;
b) az alkalmazott vonatbefolyásoló berendezés nem tudta kikényszeríteni a
„Megállj!” jelzést adó főjelző előtt történő megállást, vagy az amellett
legfeljebb 40 km/h sebességgel történő elhaladást (4.2.1);
c) a vezető jegyvizsgálót rendkívüli módon a pihenőnapjáról vezényelték
szolgálatba, ezért a szokásosnál fáradtabb volt (4.3.1.2).</t>
  </si>
  <si>
    <t>5.1.3 Rendszerszintű tényező
Olyan szervezeti, vezetési, társadalmi vagy szabályozási jellegű ok-okozati vagy
hozzájáruló tényezőket, amelyek a jövőben valószínűleg hatással lehetnek
hasonló és kapcsolódó eseményekre a Vb nem azonosított.</t>
  </si>
  <si>
    <t>PL-10075</t>
  </si>
  <si>
    <t>Level crossing accident, 15/6/2021, level crossing category C at km 313.328 of railway line no. 25 Łódź Kaliska – Dębica  station Kochanówka Pustków</t>
  </si>
  <si>
    <t>A Citroen Nemo passenger car drove in front of an oncoming inspection train number ZNS 339009 (PKP Polskie Linie Kolejowe S.A.), type WM-15A/PRT-00 no. 02 at cat. C level crossing with an automatic crossing system (ssp) between Rzeszów Główny – Kochanówka Pustków. The speed limit for the front of the train at the crossing was set at 20 km/h. At the time of the incident, the train was travelling at a speed below 20 km/h. Ssp equipment at the crossing after technical acceptance on 23.09.2020, not commissioned until the date of the accident.</t>
  </si>
  <si>
    <t>level crossing category C at km 313.328 of railway line no. 25 Łódź Kaliska – Dębica  station Kochanówka Pustków</t>
  </si>
  <si>
    <t>entirely damaged pasenger car, slightly demaged work train no ZNS 339009</t>
  </si>
  <si>
    <t>Entry of a road vehicle at a cat. C level crossing with non-commissioned ssp equipment, directly in front of an oncoming train ZNS 339009.</t>
  </si>
  <si>
    <t xml:space="preserve">Contributing factors: 1) The driver of a road vehicle failed to maintain particular care when approaching the level crossing, and not stopping in front of the crossing when the train approached the crossing, as stipulated in article 28 of the Act of 20 June 1997, the Traffic Law (consolidated text: Journal of Laws of 2021, item 450, as amended).
2) The road vehicle’s driver failure to respond to the audible signal “attention” given repeatedly by the train driver when approaching the crossing. Systermic factor: Lack of legal regulations regarding the obligation to invert the traffic signals in a manner that would make the chambers visible to the users of the crossing, the rules and manner of covering them, as well as the traffic signal masts in front of the crossing in situations where such signal lights were constructed, but not yet commissioned in a way that would make it clear to the level crossing users that the lights are unfunctional.
3) The lenses of the traffic signal lights were covered with black film and the signals were not turned in a manner allowing the users of the crossing to see the signalling chambers, which could have caused the passenger car driver to misinterpret that the ssp equipment was operational and the signal was not active because a train was not approaching. Lack of legal regulations regarding the obligation to invert the traffic signals in a manner that would make the chambers visible to the users of the crossing, the rules and manner of covering them, as well as the traffic signal masts in front of the crossing in situations where such signal lights were constructed, but not yet commissioned in a way that would make it clear to the level crossing users that the lights are unfunctional.
</t>
  </si>
  <si>
    <t>RO-10074</t>
  </si>
  <si>
    <t>Train derailment, 15-06-21, Dej Triaj railway station, Romania</t>
  </si>
  <si>
    <t>Two wagons from the composition of the freight train no. 48375 (3rd and 4th) derailed in Dej Triaj railway station.</t>
  </si>
  <si>
    <t>Dej Triaj railway station</t>
  </si>
  <si>
    <t xml:space="preserve">The track superstructure was affected on about 52 m.                         Damage to both bogies from the wagon no.82536993757-8 (the 4rd in composition of the train) and to the axle no.3 from the wagon no.82536993612-5 (the 3rd in composition of the train).                                </t>
  </si>
  <si>
    <t>Causal factor:                                                                          
Load transfer of the left wheel from the first axle in the running direction of the wagon no.82536993757-8, generated by the quantities of 9,24 t stone existing in the right compartments of the wagon, generated the increase of the ratio between the guiding force and the loads acting on this wheel, so exceeding the derailment stability limit.</t>
  </si>
  <si>
    <t xml:space="preserve">Contributing factor: 
Coupling the wagon no.82536993757-8 to the train no.48375, unloaded completely and with freight left on one side, provided that:
• the responsible from CNCF did not check and write down in the Register for Inspections Lines and Installations, Traffic Safety from the railway station Monor Gledin;
• the staff of the railway undertaking SNTFM did not check it when it was coupled to the train in the railway station Beclean pe Someș.
Systemic factors:
1. there isn’t an internal procedure of CNCF for the wagons used for the materials necessary to perform works at the lines, for assigning to the own staff the responsibilities of checking the uniform distribution of load left and sending of the respective information; 
2. lack of some specific regulation within SNTFM for transferring to the own staff the responsibilities for delivery-reception the wagons Faccpps, owed by CNCF „CFR” SA, before being coupled at the train.
</t>
  </si>
  <si>
    <t>FR-10079</t>
  </si>
  <si>
    <t>Level crossing accident, 16-6-2021, Rumigny, France</t>
  </si>
  <si>
    <t>collision between a freight train carrying dangerous goods and a semi-trailer of exceptional transport carrying a boat</t>
  </si>
  <si>
    <t>Rumigny</t>
  </si>
  <si>
    <t>EUROPORTE</t>
  </si>
  <si>
    <t>SNCF RESEAU</t>
  </si>
  <si>
    <t>Train engine and the first seven tank cars carrying phosphoric acid were overturned</t>
  </si>
  <si>
    <t>21/6/2021</t>
  </si>
  <si>
    <t>The direct cause of the accident was the immobilisation of the low-clearance semitrailer on the tracks shortly before the arrival of the train.</t>
  </si>
  <si>
    <t>Several underlying causes:
➢ The organisation, preparation and execution of this exceptional transport by the transport company were deficient in terms of compliance with the traffic authorisation order. No convoy leader was appointed. The drivers on site were not familiar with all the
traffic regulations.
➢ This administrative document reflects the complexity of moving an exceptional load. It is voluminous, difficult to understand and apply, and comprises several documents with sometimes differing requirements.
➢ The dimensions of this convoy made it difficult to cross the LC. However, no prior reconnaissance with the vehicles, no study or feedback following a previous crossing by the transport company with other vehicles, appears to have sufficiently alerted the drivers to the conditions under which such a convoy could cross the LC.
➢ The road manager included this LC among the routes for exceptional convoys, without having been aware of the consequences of the work carried out a few years ago on the decking of the LC and the railway tracks. However, this work hardened the longitudinal
profile of the road, making it even more difficult to cross the LC.
➢ The rail system was unable to provide a loop to make up for these breaches of the regulations by the road convoy.</t>
  </si>
  <si>
    <t>HU-10065</t>
  </si>
  <si>
    <t>Spad, 16-06-2021, Mosonmagyaróvár, Hungary</t>
  </si>
  <si>
    <t>The passanger train started from the station, but the signal was at danger.</t>
  </si>
  <si>
    <t>Mosonmagyaróvár</t>
  </si>
  <si>
    <t>Human factor of train driver and the train control system</t>
  </si>
  <si>
    <t>weakness of train control system, driver disposition</t>
  </si>
  <si>
    <t>HR-10082</t>
  </si>
  <si>
    <t>Level crossing accident, 17-06-21, Level crossing Grgur (between stations Kanfanar-Vodnjan), Croatia</t>
  </si>
  <si>
    <t>On June 17, 2021 at 10:22 a.m. at the LC "Grgur" secured with traffic signs at KM103+821 on line R101, a personal vehicle colided with passenger train number 1272. In the mentioned serious accident, the driver of the personal vehicle was killed and greater material damage was recorded on the personal vehicle and less material damage on the passenger set.</t>
  </si>
  <si>
    <t>LC Grgur (between stations Kanfanar-Vodnjan)</t>
  </si>
  <si>
    <t>SŽ-Vleka in tehnika</t>
  </si>
  <si>
    <t>Greater material damage was recorded on the personal vehicle and less material damage on the passenger set.</t>
  </si>
  <si>
    <t>The causal factor of the accident is driving of a personal road vehicle over the LC "Stancija Grgur" just before the arrival of passenger train number 1272 despite traffic signs (Andrew's Cross and STOP sign), and drove under the same train (Chapter 3.2.3).</t>
  </si>
  <si>
    <t>Contributing factors:
- line route R101,
- configuration of soil and vegetation on the section of the railway in the plane of the LC "Stancija Grgur",
- traffic intensity.
Systemic factors:
- the driver of a personal road vehicle didn't stop in front of the LC “Stancija Grgur” in accordance with traffic signs (Chapter 3.2.3),
- possible lack of attention and distraction of the driver of the road vehicle (Chapter 3.1.9),
- non-compliance with the prescribed working processes of the operating train driver, i.e. non compliance with the prescribed driving speed (Chapter 3.1.7),
- non-compliance with the prescribed working processes of the serving pilot, i.e. failure to warn the driver of the prescribed driving speed on the section of line R101 around the LC "Stancija Grgur" (Chapter 3.1.7),
- the position of the pilot's seat in the set from which there is no overview of the speed of movement of the set (Chapter 3.2.3).</t>
  </si>
  <si>
    <t>CZ-10071</t>
  </si>
  <si>
    <t>Train collision, 18-06-2021, Čerčany station,Czech Republic</t>
  </si>
  <si>
    <t>Unauthorized movement of the shunting operation behind the
signal device Se12 and its consequent collision with the standing regional passenger train No. 9010</t>
  </si>
  <si>
    <t>Čerčany station</t>
  </si>
  <si>
    <t>Shunting operation; Regional passenger train</t>
  </si>
  <si>
    <t>České dráhy, a. s.; ČD Cargo, a. s.</t>
  </si>
  <si>
    <t>Total damage CZK 3 513 980,- (EUR 143 019,-)</t>
  </si>
  <si>
    <t>Causal factor:
• head’s of the shunting gang error (he did not respect the signal “Shunting forbidden” of the signal device Se12).                                                                                                                                                                    Causal factor of continuation of the accident (train collision):
• nonadaptation of immediate speed of shunting to the conditions of running at sight when riding through the curve with limited view caused by the rolling stocks standing on the neighbour track.</t>
  </si>
  <si>
    <t>HU-10070</t>
  </si>
  <si>
    <t>Trains collision with an obstacle, 18-06-2021, between Mosonszolnok and Jánossomorja stations, Hungary</t>
  </si>
  <si>
    <t>The passenger train no. 39847 collided with an rail screwing machine. No one injured.</t>
  </si>
  <si>
    <t>between Mosonszolnok and Jánossomorja stations</t>
  </si>
  <si>
    <t>GYSEV Zrt..</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</si>
  <si>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figyelőőri tevékenységet ellátó munkavezető nem észlelte megfelelő
távolságból az érkező vonatot, ezért nem szólította föl kellő időben a
munkásokat az űrszelvény elhagyására és a gépek eltávolítására;
b) a belátható pályaszakasz hossza kb. harmada volt az általános
fékúttávolságnak;
c) a munkaterület fedezése nem felelt meg a szabályoknak (a figyelőőrnek a
figyelésen túl más tevékenysége is volt, valamint „A pályán dolgoznak!”
jelző kitűzése elmaradt).
5.1.2 Hozzájáruló tényezők
Cselekmények, hibák, események vagy feltételek, amelyek azáltal befolyásolták
az eseményt, hogy növelték a bekövetkezés valószínűségét, felgyorsították a
hatásokat, vagy fokozták a következmények súlyosságát, de kiiktatásuk nem
akadályozta volna meg az esemény bekövetkezését:
a) a munka megtervezése során nem mérték fel előzetesen a munkaterületet
beláthatósági szempontból;
b) a munkavezető a munka telefonos bejelentésekor csak a tehervonatokról
kért értesítést, mert a személyvonatok esetében a saját
menetrendismeretére hagyatkozott.</t>
  </si>
  <si>
    <t>5.1.3 Rendszerszintű tényező
Szervezeti, vezetési, társadalmi vagy szabályozási jellegű ok-okozati vagy
hozzájáruló tényezőket, amelyek a jövőben valószínűleg hatással lehetnek
hasonló és kapcsolódó eseményekre a Vb nem tárt fel.</t>
  </si>
  <si>
    <t>PT-10182</t>
  </si>
  <si>
    <t>Level crossing accident, 19/6/2021, Level crossing 27,335 (Linha de Vendas Novas)</t>
  </si>
  <si>
    <t>Fatal collision at level crossing 27,335 (Linha de Vendas Novas)</t>
  </si>
  <si>
    <t>Level crossing 27,335 (Linha de Vendas Novas)</t>
  </si>
  <si>
    <t>Light damage to locomotive. Destruction of road vehicle.</t>
  </si>
  <si>
    <t>HU-10198</t>
  </si>
  <si>
    <t>Train derailment,  25/06/2021, between Zirc and Eplény stations</t>
  </si>
  <si>
    <t>The front bogey of the locomotive of passenger train no. 39523 derailed in a left curve with both axles. The occurance happened on the line segment between Zirc and Eplény stations.</t>
  </si>
  <si>
    <t>Railway line no. 11, between Zirc and Eplény stations</t>
  </si>
  <si>
    <t>5.1 Összefoglalás
A feltárt adatok és állapotok önmagukban nem a kisiklás közvetlen okai, de a
felérdesedett sín és nyomkarima a kisiklást elősegítő jelenségekkel együtt
hozzájárult a kisiklás létrejöttéhez.
A kerékesztergályozás után „bekopás” alatt lévő kerekek és a sínszálak között a
kis sugarú ívben haladva, kis sebesség mellett fellépő kedvezőtlen súrlódás olyan
mértékűre nőtt, hogy a kerekek a külső sínszálra felmásztak.
5.1.1 Ok-okozati tényezők
Cselekmények, hibák, események vagy feltételek, illetve ezek kombinációi,
amelynek javítása, elhárítása vagy elkerülése esetén minden valószínűség szerint
meg lehetett volna előzni a baleset vagy a váratlan esemény bekövetkezését:
a) a kisiklás helyén nagy terelőerő-igényt okozó kis sugarú ív van
(4.2),
b) a sín és nyomkarima között nagy volt a súrlódás, az érintkező
felületeik erősen érdesek voltak (4.2),
c) vágánykinyomódás volt a nyári meleg miatt (4.2).
5.1.2 Hozzájáruló tényezők
Cselekmények, hibák, események vagy feltételek, amelyek azáltal befolyásolták
az eseményt, hogy növelték a bekövetkezés valószínűségét, felgyorsították a
hatásokat, vagy fokozták a következmények súlyosságát, de kiiktatásuk nem
akadályozta volna meg az esemény bekövetkezését:
a) a nagy nyári meleg
b) a túlzott mértékű sín és kerék felérdesedése</t>
  </si>
  <si>
    <t>5.1.3 Rendszerszintű tényező
Olyan szervezeti, vezetési, társadalmi vagy szabályozási jellegű ok-okozati vagy
hozzájáruló tényezőket, amelyek a jövőben valószínűleg hatással lehetnek
hasonló és kapcsolódó eseményekre – különösen ideértve a szabályozási
keretfeltételeket, a biztonságirányítási rendszer kialakítását és alkalmazását, a
személyzet készségeit, az eljárásokat és a karbantartást – a Vb nem állapított
meg</t>
  </si>
  <si>
    <t>RO-10077</t>
  </si>
  <si>
    <t>Train derailment, 26-06-21, Vânători railway station, Romania</t>
  </si>
  <si>
    <t>The EA317 locomotive that was hauling the freight train no. 21817-2 derailed from the first axle in the direction of the entrance to the Vânători railway station.</t>
  </si>
  <si>
    <t>Vânători railway station</t>
  </si>
  <si>
    <t xml:space="preserve">Minor damage to the track superstructure was reported. At the locomotive it was necessary to replace the inductor of the INDUSI installation corresponding to the 2nd driving station.                                </t>
  </si>
  <si>
    <t xml:space="preserve">Causal factor:                                                                          
Existence within the track, at the accident site, in a track section with the slope of the track twist over the maximum accepted value, it leading to the load transfer of the guiding wheel and implicitly, to the increase of the ratio between the guiding force and the loads acting on this wheel, exceeding the derailment stability limit.  </t>
  </si>
  <si>
    <t xml:space="preserve">Contributing factors: 
1. keeping within the joint, of some deteriorated constructive parts of the track superstructure, following of it, under the action of the dynamic forces generated by the locomotive running, at the joint, appeared a lateral shoulder. 
2. performance of track technical inspections at longer times than those stipulated by the practice codes. 
3. existence of a load transfer between the wheels of the guiding axle, it leading to a smaller load than the minimum accepted one on the right wheel, in the train running direction. 
4. ineffectiveness of the oil dampers at the axle derailed. 
Systemic factors:
1. non-ensuring of the staff necessary for the performance of the technical inspections at the times stipulated in the practice codes and for keeping the track superstructure in good traffic safety conditions. 
2. the entity responsible with the track superstructure maintenance, performed with deficiencies the identification and assessment of risks generated by the own railway operations.
3. the entity responsible for the locomotive maintenance, performed with deficiencies the identification and assessment of the risks generated by the own railway operations. 
</t>
  </si>
  <si>
    <t>RO-10080</t>
  </si>
  <si>
    <t>Other event, 28-06-21, Robănești, Romania</t>
  </si>
  <si>
    <t>The passenger train no. 9036 having a command to pass on direct line II, with the entrance traffic light D1 / 2 in position ,,FREE on the direct line" it entered to the deflecting line 3.</t>
  </si>
  <si>
    <t>Robănești</t>
  </si>
  <si>
    <t>CNCF „CFR” SA</t>
  </si>
  <si>
    <t>29/6/2021</t>
  </si>
  <si>
    <t xml:space="preserve">Causal factors:                                                                         
1.non-operation of switch no.2 on position corresponding to the commanded route, and improper use of key 2-, resulted from the ensuring of switch no.2 on „minus”, in the ensuring of switch no.4 on „plus”. 
2.malfunction of the switch lock 4+, that allowed ensuring on „plus”, access on direct line II, with another key (2-), than that namely intended (2+).
</t>
  </si>
  <si>
    <t>Contributing factors: 
None
Systemic factor:
There was no procedure for checking the technical parameters of the switch lock with keys, during the planned periodical technical inspections at the switch locks with two keys.</t>
  </si>
  <si>
    <t>DK-10263</t>
  </si>
  <si>
    <t>Level crossing accident, 29/6/2021, Crossing 63</t>
  </si>
  <si>
    <t>Crossing 63</t>
  </si>
  <si>
    <t xml:space="preserve">Train and car damaged </t>
  </si>
  <si>
    <t>On the basis of the information available, the AIB DK assesses that the crossing system has worked as intended, and thus shown a red turn signal towards the road for approx. 37 seconds before the accident.
No faults have been identified at the overpass system that may have had an impact on the system's safety function in relation to the accident.
The AIB DK estimates that the cause of the accident was that the car did not stop before the crossing.</t>
  </si>
  <si>
    <t>ES-10126</t>
  </si>
  <si>
    <t>Level crossing accident, 2/7/2021, Novelda</t>
  </si>
  <si>
    <t>National ID 59/2021: Level crossing accident in Novelda (line 330, kilometre 425+600).
A long distance train collides with a car at a level crossing in the exit of Novelda station. All four car passengers deceased, minor damages and no injured people in the train.
First enquiries point to a correct function of the level crossing, although the NIB has decided to make a deeper analysis, because of the high number of fatalities and public impact of the accident. The investigation will review the design of the crossing and the possible reasons that could have lead the car to go through the barriers.</t>
  </si>
  <si>
    <t>Novelda</t>
  </si>
  <si>
    <t>Car completely destroyed, minor damages in locomotive</t>
  </si>
  <si>
    <t>It is considered that the direct cause of the accident was the car driver human error; he would have missed the last traffic signals, ahead of the level crossing (track line, give way, level crossing lights) and the closed half-barrier. So, he went into the crossing when the train was about to arrive, resulting in the collision inevitably.</t>
  </si>
  <si>
    <t>The effectiveness of the signalling and the protection means at this level crossing could be distorted by the peculiar layout of the streets that converge to it (a T junction in a sharp angle just ahead of the level crossing).
On one hand, the closed half-barrier is hardly visible when a car driver approaches from the secondary street (Rafael Altamira – almost a side view). On the other hand, the sharp angle of the junction makes cars prone to trace a path that avoids the barriers and can lead to trespassing the crossing without any obstacle (as it could have happened in this case).
Consequently, the intersection layout and the feasible road paths imply difficulties for cars to access this crossing in a safe way. Improving this level crossing would require changes in the permitted movements and paths of vehicles.
A project to supress this level crossing is underway. Meanwhile, it seems possible to take some provisional measures to avoid or mitigate the current problems, such as signalling reinforcement, traffic rearrangement, acceleration of the suppression process…
This occurrence unveils the problem of level crossings with complicated road access due to the presence of junctions, turns, road crossings or other similar elements, that interfere with road vehicle access.
A level crossing working in a safely manner requires road drivers to focus all their attention on the railway, its signals and barriers. If drivers have to  pay attention to other junctions, turns, manoeuvres or priorities of other cars while approaching a level crossing, this can lead to a lack of  focus on the level crossing, favouring distractions and creating dangerous situations. A “clean” approaching space for road vehicles is desirable, so that the perception of the level crossing (specially its barriers and light signals) is clear.
In this regard, it would be convenient to check those level crossings located at potentially problematic layouts (next to road junctions, roundabouts, or similar elements, and with a significant level of road traffic). Potential changes in the road layouts, limitation of turns or other measures, should be implemented to ensure that car drivers are not distracted  from the level crossing itself and the trains. The Royal Decree 929/2020, of 27 October 2020,on Railway Operational Safety and Interoperability, issued eight months prior to this accident refers and addresses this problem, in particular Article 52(6) thereof:
In those level crossings where, in addition to the public road that crosses them directly, there are other surrounding roads that could affect the use of the level crossing, road administrators and railway administrators will collaborate in the adoption and implementation of the necessary measures to improve safety at level crossings as well as road safety. 
Any of them, the [railway] Infrastructure Manager or the Agencia Estatal de Seguridad Ferroviaria [Spanish NSA] may promote studies or concerted actions for this purpose.
Therefore, to prevent accidents like this is necessary to implement the provisions of the aforementioned Article as soon as possible.</t>
  </si>
  <si>
    <t>FI-10083</t>
  </si>
  <si>
    <t>Train derailment, 3/7/2021, Vesanka, Jyväskylä–Haapamäki section of line, Finland</t>
  </si>
  <si>
    <t>15:5</t>
  </si>
  <si>
    <t>Last six wagons of freight train TR3381 (2 x Dv12 diesel-hydraulic locomotives + 26 x unloaded Sp/Sps timber wagons.) derailed at Vesanka. Train travelled 1,5km before stopping.</t>
  </si>
  <si>
    <t>Vesanka, Jyväskylä–Haapamäki section of line (line number 1503), km 0363.</t>
  </si>
  <si>
    <t>The material damage of the accident amounted to approximately EUR 167,000 in total. Six derailed wagons damaged. A 1,5 km section of track was damaged by derailed wagons.Humalamäki -railroad crossing that was equipped with half barriers was damaged.Section of line between Jyväskylä and Petäjävesi  was out of service for 4 days.</t>
  </si>
  <si>
    <t>7/7/2021</t>
  </si>
  <si>
    <t xml:space="preserve">The derailment of the wagons was caused by two separate lateral movements that formed under the freight train. </t>
  </si>
  <si>
    <t xml:space="preserve">When the hot weather continued, the track support structure that had become weakened further due to the railway work was not able to provide sufficient support for the tracks. The rail joints that were in poor condition were not flexible enough when the rails heated, which also contributed to the formation of track buckles. </t>
  </si>
  <si>
    <t>NO-10115</t>
  </si>
  <si>
    <t>Trains collision, 3/7/2021, Storo, Oslo</t>
  </si>
  <si>
    <t>Trams colliding. Switch point at wrong positions. Driver failed to notice.</t>
  </si>
  <si>
    <t>Storo, Oslo</t>
  </si>
  <si>
    <t>Front body of tram 132, and left side last wagon body tram 135</t>
  </si>
  <si>
    <t>Driver failed to see orientation signal and switch points</t>
  </si>
  <si>
    <t>Driver not fit for operating trams, due to stress caused by incident earlier same week.</t>
  </si>
  <si>
    <t>DK-10261</t>
  </si>
  <si>
    <t>Train derailment, 7/7/2021, Copenhagen Central Station</t>
  </si>
  <si>
    <t>When regional train 4889, consisting of one IC3 train set, was under arrival at Copenhagen Central Station, the train set derailed with two of its four bogies</t>
  </si>
  <si>
    <t>Copenhagen Central Station</t>
  </si>
  <si>
    <t>Track and train set</t>
  </si>
  <si>
    <t>Lack of maintenance due to lack of SMStrailer could be blown out of its place in the pocket.</t>
  </si>
  <si>
    <t>The safety management system did not ensure effective control over the planning and execution of measuring vehicle driving, walking line inspections and condition inspections. Furthermore, insufficient coordination is seen between departments / systems that handle track utilization, track blocking and planning of measuring vehicle driving.</t>
  </si>
  <si>
    <t>RO-10085</t>
  </si>
  <si>
    <t>Train derailment, 8/7/2021, Câmpia Turzii, Romania</t>
  </si>
  <si>
    <t>The third coach from the composition of the passenger train no.3081 derailed in Câmpia Turzii railway station.</t>
  </si>
  <si>
    <t>Câmpia Turzii</t>
  </si>
  <si>
    <t xml:space="preserve">Following the accident, the track superstructure was affected on about 450 m. Damage to the derailed bogie of wagon no.50538483005-3 . </t>
  </si>
  <si>
    <t>8/7/2021</t>
  </si>
  <si>
    <t>Causal factor:                                                                          
- breakage of the solebar from the bogie no.2 of the wagon no.50538483005-3 (having cracks in the solebar from the side corresponding to the wheels 5-7), that led to the load transfer of the wheel no.6 (situated on the right side in the train running direction).</t>
  </si>
  <si>
    <t>Contributing factor: 
-nonidentification of cracks existing in the solebar of the bogie, during the inspection type RTI-2, as well as during the performance of technical inspections at the trains in the composition of which the wagon no.50538483005-3 ran, on the 7th July 2021 and on the 8th July 2021.  
Systemic factors
-nonidentification of the risks generated by the situations where, within the works performed during the inspections type RTI, as well as during the technical inspections at the own trains, there are not identified failures that can endanger the railway safety.</t>
  </si>
  <si>
    <t>RO-10086</t>
  </si>
  <si>
    <t>Fire in RS, 8/7/2021, Bușteni, Romania</t>
  </si>
  <si>
    <t>4:30</t>
  </si>
  <si>
    <t>A fire broke out at the tank car no. 33877852226-2, which was the first in the composition of the freight train no. 80498-1.</t>
  </si>
  <si>
    <t>Bușteni</t>
  </si>
  <si>
    <t>Slight damage to the upper part of the tank car no.33877852226-2.</t>
  </si>
  <si>
    <t xml:space="preserve">Causal factors:                                                                         
The sparks appeared following the electric arcs between the parts existing on the locomotive roof and pieces of vegetation, sparks that then led to the ignition of the petrol steams released in the upper part of the first wagon of the train.
</t>
  </si>
  <si>
    <t>Contributing factors: 
Existence of very dense and considerable height vegetation in the railway station where the train was composed, closed to the line where the train was dispatched from, this vegetation, in the weather conditions on the dispatching date, allowed that pieces of vegetation arrive on the roof of hauling locomotive of freight train no.80498-1.</t>
  </si>
  <si>
    <t>HU-10084</t>
  </si>
  <si>
    <t>Other, 11/7/2021, Ferencváros, Hungary</t>
  </si>
  <si>
    <t>14:25</t>
  </si>
  <si>
    <t>Freight train passed signal at danger, asked by the control staff; and entered in an occupied track.</t>
  </si>
  <si>
    <t>12/7/2021</t>
  </si>
  <si>
    <t>The chief traffic manager made a mistake in identifying the train in front of the E signal, so he called the locomotive driver of the train with the supposed number, who actually was the locomotive driver of a train staying in a different position</t>
  </si>
  <si>
    <t>the logbooks used do not help to monitor the traffic situation, but are a source of distraction</t>
  </si>
  <si>
    <t>5/7/2022</t>
  </si>
  <si>
    <t>RO-10087</t>
  </si>
  <si>
    <t>Fire in RS, 12/7/2021, Beia, Romania</t>
  </si>
  <si>
    <t>6:45</t>
  </si>
  <si>
    <t>A fire broke out at the cargo (wooden logs) from the open-top wagon no. 33876735081-6, which was the first in the composition of the freight train no.99514.</t>
  </si>
  <si>
    <t>Beia</t>
  </si>
  <si>
    <t>SC VEST TRANS RAIL SRL</t>
  </si>
  <si>
    <t>The load of wagon no.33876735081-6 was affected by burning in a proportion of approximately 30%, especially the first two groups of logs in the wagon, in the direction of travel of the train.
The side walls of the wagon were thermally affected by fire in a proportion of about 30-40%.
At the fixed electric traction installations, about 3 meters of contact wire and carrier cable thermally affected by fire were replaced, as well as an insulator A for supporting the electrical connection of the 1TS separator at line III from the LC pole no. 24, cut off after breaking the catenary suspension conductors.</t>
  </si>
  <si>
    <t>13/7/2021</t>
  </si>
  <si>
    <t>Causal factor:                                                                          
 hot aluminium granules from the support of the pantograph slipper reached the wood load from the wagon no.33876735081-6.</t>
  </si>
  <si>
    <t>Contributing factors: 
 lack of some barriers for stopping the arrival of some hot detachments from the pantographs of the electric locomotives on the fuel load of wagons, is a contributing factor, that could lead to similar accidents in the future.</t>
  </si>
  <si>
    <t>HU-10088</t>
  </si>
  <si>
    <t>Train derailment, 13/7/2021, Rákospalota-Újpest, Hungary</t>
  </si>
  <si>
    <t>11:45</t>
  </si>
  <si>
    <t>While it was leaving the station the freight train no. 45296 derailed on the switch no. 23/b. One wagon of the train overturned. No one was injured.</t>
  </si>
  <si>
    <t>Rákospalota-Újpest</t>
  </si>
  <si>
    <t>One wagon of the train overturned. Two switches and the track damaged.</t>
  </si>
  <si>
    <t>14/7/2021</t>
  </si>
  <si>
    <t>a) the switch tongue in the switch № 23 was not properly aligned with the stock rail; and
b) the wheels of the first freight wagon to derail were worn, within limits but beyond the operational state</t>
  </si>
  <si>
    <t>no such factor was identified by the IC</t>
  </si>
  <si>
    <t>CZ-10091</t>
  </si>
  <si>
    <t>Spad, 14-07-21, Poříčany station, Czech Republic</t>
  </si>
  <si>
    <t>Unauthorized movement of the regional passenger train No. 9344 behind the signal device No. L6 and its ride into the rain route of the long distance passenger train No. 924.</t>
  </si>
  <si>
    <t>CZK 3 425,- (€ 134,-); Other</t>
  </si>
  <si>
    <t>Article 20.2 of Directive (EU) 2016/798 – (b), (c)</t>
  </si>
  <si>
    <t>Causal factor: 
• failure to respect the signal „Stop" of the main (departure) signal device L6 at Poříčany station by the train driver of the regional passenger train No. 9344, who illegally set the train in motion at the time when the signal which allow the train movement was on the departure signal valid for other track.
Contributing factor: none.</t>
  </si>
  <si>
    <t>Systemic factor: none.</t>
  </si>
  <si>
    <t>DK-10267</t>
  </si>
  <si>
    <t>Trains collision with an obstacle, 14/7/2021, Hirtshals</t>
  </si>
  <si>
    <t>On 14-07-2021, a car was hit by a train in junction 52 (Søndergade) in Hirtshals. The car was hit on the left side, pushed approx. 10 meters, and hit a boom drive at the bike path to the right of the roadway. In the collision, the driver of the car was seriously injured
On 14-07-2021, a car was hit by a train in junction 52 (Søndergade) in Hirtshals. The car was hit on the left side, pushed approx. 10 meters, and hit a boom drive at the bike path to the right of the roadway. In the collision, the driver of the car was seriously injured</t>
  </si>
  <si>
    <t>Hirtshals</t>
  </si>
  <si>
    <t>Car and crossing / signal cabin</t>
  </si>
  <si>
    <t>The cause of the accident was that the train passed the unsecured overpass without prior stopping</t>
  </si>
  <si>
    <t>t is likely that the combination of the lack of notification that the overtaking was in disarray, the train delay and the fact that the driver has repeatedly passed off (and not visibly invalidated) overtaking signals on another section early in the day may have influenced the driver's perception of the situation in and at the crossing. The accident happened while the crossing was under fault correction. The circumstances in which, in connection with the conclusion of an agreement on the execution of the work, no action was taken:
Adequate consideration of the traffic consequences of the work. 2. Consideration for the relatively dense road traffic
t is likely that the combination of the lack of notification that the overtaking was in disarray, the train delay and the fact that the driver has repeatedly passed off (and not visibly invalidated) overtaking signals on another section early in the day may have influenced the driver's perception of the situation in and at the crossing. The accident happened while the crossing was under fault correction. The circumstances in which, in connection with the conclusion of an agreement on the execution of the work, no action was taken:
Adequate consideration of the traffic consequences of the work. 2. Consideration for the relatively dense road traffic
t is likely that the combination of the lack of notification that the overtaking was in disarray, the train delay and the fact that the driver has repeatedly passed off (and not visibly invalidated) overtaking signals on another section early in the day may have influenced the driver's perception of the situation in and at the crossing. The accident happened while the crossing was under fault correction. The circumstances in which, in connection with the conclusion of an agreement on the execution of the work, no action was taken:
Adequate consideration of the traffic consequences of the work. 2. Consideration for the relatively dense road traffic
t is likely that the combination of the lack of notification that the overtaking was in disarray, the train delay and the fact that the driver has repeatedly passed off (and not visibly invalidated) overtaking signals on another section early in the day may have influenced the driver's perception of the situation in and at the crossing. The accident happened while the crossing was under fault correction. The circumstances in which, in connection with the conclusion of an agreement on the execution of the work, no action was taken:
Adequate consideration of the traffic consequences of the work. 2. Consideration for the relatively dense road traffic
was likely to contribute to the absence of additional barriers.</t>
  </si>
  <si>
    <t>CZ-10092</t>
  </si>
  <si>
    <t>Train derailment, 15-07-21, Chválkov – Včelnička (Czech Republic)</t>
  </si>
  <si>
    <t>Derailment of diesel railcar of the regional passenger train No. 21209</t>
  </si>
  <si>
    <t xml:space="preserve">Open line between Chválkov and Včelnička operating points </t>
  </si>
  <si>
    <t>Jindřichohradecké místní dráhy, a. s.</t>
  </si>
  <si>
    <t>CZK 218 978,- (€ 8 559,-); Rolling stock, Infrastructure</t>
  </si>
  <si>
    <t>Causal factor: 
• reduce the load of left side of the front bogie of diesel railcar due to fracture of coil springs of secondary suspension of the back bogie the right in the direction of the train movement and consequent climbing of left wheel of the front bogie on the top of rail in place in an unsatisfactory technical condition with exceeded marginal operating tolerances in collapse of the track.
Contributing factors:
• undetermined specific appropriate period and deferment of eliminate found exceeded marginal operating tolerances of the geometric position of the track.</t>
  </si>
  <si>
    <t>Systemic factor: 
• guideway operating and guided transport operating according to internal regulations
of IM which were in contradiction with technical conditions guideway operability
designated by obligatory construction-technical parameters, which led to the wrong
evaluation of geometric parameters of the track and then not to accepted timely and
appropriate measure to ensure safety guideway operating and guided transport
operating.</t>
  </si>
  <si>
    <t>RO-10094</t>
  </si>
  <si>
    <t>Train derailment, 15/7/2021, Bucureștii Noi, Romania</t>
  </si>
  <si>
    <t>The ED002 locomotive that was hauling the freight train no.83548G-1  derailed from the first bogie in the direction of travel in the Bucureștii Noi railway station.</t>
  </si>
  <si>
    <t>Bucureștii Noi</t>
  </si>
  <si>
    <t xml:space="preserve">Following the accident, the right point of switch no.12C was damaged.  Damage to the first bogies, in the running direction, from the locomotive ED002.                                </t>
  </si>
  <si>
    <t>Causal factor:                                                                          
 exceeding of the derailment stability limit, following the improper technical condition of the track, leading to the overclimbing of the active shoulder by the guiding wheel from the first bogie of the locomotive ED 022 on the planned area of the curved point of the switch 12C.</t>
  </si>
  <si>
    <t xml:space="preserve">Contributing factors: 
 performance of the fortnightly inspection of the track, with an incomplete team, it leading to the decrease of the activity efficiency;
 ineffective monitoring of the development of the failures registered at the trolley for the track measurement, it leading to their deterioration.
Systemic factors:
 ineffective management of the risks associated to the dangers generated by the exceeding of the tolerances accepted for the level on a switch;
 provision with an improper trained human resource, in relation to the necessary ones, for the performance of the proper line maintenance and keeping the track condition between the tolerances accepted.
</t>
  </si>
  <si>
    <t>RO-10095</t>
  </si>
  <si>
    <t>Fire in RS, 18/7/2021, Jegălia</t>
  </si>
  <si>
    <t xml:space="preserve">A traction engine of the DMU Desiro Siemens no.2084 caught fire in the Jegălia railway station. </t>
  </si>
  <si>
    <t>Jegalia</t>
  </si>
  <si>
    <t>SNTFC „CFR Calatori” SA</t>
  </si>
  <si>
    <t>The multiple unit Desiro no.2084 was affected, especially the diesel engine no. 2.</t>
  </si>
  <si>
    <t>20/7/2021</t>
  </si>
  <si>
    <t xml:space="preserve">Causal factors:                                                                          
- cumulation of dust and vegetable rests on the upper side of diesel engine no.2, that, together with the diesel and oil rests from the engine, generated an inflammable mixture;
- generation of a short-circuit at the cables of the speed sensors from the diesel engine and gear box, the short-circuit led to the ignition of the deposits existing on the diesel engine.
</t>
  </si>
  <si>
    <t xml:space="preserve">Contributing factors: 
- running of the multiple unit Desiro no.2084 with the diesel engine no. 1 switched off, it leading to the working of the diesel engine no.2 at a high temperature, favouring the appearance and extension of the fire in the upper site of this engine;
- non-performance of planned repairs types R8 and R9 at the multiple unit Desiro no.2084.                                                                                           Systemic factor:
- the multiple unit Desiro no.2084 was not withdrawn from operation, after reaching the norm of time/km for the performance of planned inspections and repairs.
Safety recommendations:
In case of railway accident happened on the 18th July 2021, in the running of passenger train no.8008 there was found that the fire at the multiple unit Desiro no.2084 was generated by the dust cumulations, vegetable rests and oil rests on the upper side of the group power-pack no.2, the cleaning operations of this area being stipulated to be performed during the periodical repairs types R8 and R9, but the multiple unit was not withdrawn from traffic when it reached the  norm of time, respectively km, for carrying out those repairs, it being kept in operation up to the fire
Regarding the non-performance of periodical repairs types R8 and R9, respectively the non-withdrawal of the multiple unit when it reached the norm of time, respectively km for the performance of those repairs, there was issued a safety recommendation during the investigation of the railway incident happened in the railway station Golești, on the 1st June 2021, consisting in the passing of the signals XIC, XPIII and XIII in stop position, these being on „STOP without passing the signal in stop position!” (Safety recommendation no.385/2).
Considering that for the issues identified during the investigation, before there was issued a safety recommendation, the investigation commission did not issue safety recommendations following the investigation of this accident.
</t>
  </si>
  <si>
    <t>DK-10262</t>
  </si>
  <si>
    <t>Collision during shunting in Kastrup on 18-07-2021</t>
  </si>
  <si>
    <t>A train set Litra ET (train B), was under shunting from the parking area at the preparation center (KAC) to Copenhagen Airport Kastrup station track 2, when it collided with an other train (train A) consisting of three train sets, which were waiting for a signal.</t>
  </si>
  <si>
    <t>Jægersborg</t>
  </si>
  <si>
    <t>Train B collided with the holding train A because the braking was started too late in relation to the speed at which the train set was ranking.</t>
  </si>
  <si>
    <t>The following factors are considered to have contributed to the braking being initiated too late. Train B did not slow down until it reached the point where visibility began to be limited, probably because lkf had neither experience nor expected that the track could be occupied at such a long distance from the next signal. At the same time, lkf did not notice the holding train A in time, because his attention shortly before in approx. 5 seconds, had been distracted by an incident in the cab.</t>
  </si>
  <si>
    <t>RO-10096</t>
  </si>
  <si>
    <t>Train derailment, 20/7/2021, Dorobantu</t>
  </si>
  <si>
    <t>2:45</t>
  </si>
  <si>
    <t>The 33th wagon of the freight train no.50830 derailed in Dorobantu railway station</t>
  </si>
  <si>
    <t>Dorobantu</t>
  </si>
  <si>
    <t>SC EXPRESS FORWARDING SRL</t>
  </si>
  <si>
    <t xml:space="preserve">Following the accident, the track superstructure of the track was affected on about 4650 m.                                                            Damages at all wheels of a wagon derailed.                                        The railway installations were affected on the  distance where the wagon ran in derailed condition.                                                             </t>
  </si>
  <si>
    <t>26/7/2021</t>
  </si>
  <si>
    <t xml:space="preserve">Causal factor:                                                                          
 the guiding wheel (no.7) from the first axle of the wagon no. 83536652305-7 overclimbed the rail at the common crossing of switch no.22. The overclimbing of the rail by the guiding wheel happened following the hit of the buffing gear body, fallen on the left track, because of the breakage of the welded joint between the buffing gear body and the fastening flange on the front beam of the wagon no.82536653595-2. </t>
  </si>
  <si>
    <t xml:space="preserve">Contributing factor: 
 existence of some deficiencies at the buffing gear, from the left side in the train running direction, corresponding to the wheel no.1, from the wagon no.82536653595-2, not identified during the technical inspections at the train in the composition of which it was, on the 20th July 2021. Systemic factors:
 inobservance of the operational procedures for the monitoring of the train technical inspections. 
 lack of some agreements/ contracts, having like object the performance of technical inspections at trains, so not being established the obligations and responsibilities of parties.
</t>
  </si>
  <si>
    <t>IE-10122</t>
  </si>
  <si>
    <t>Other event (near miss), 21/7/2021, Gormanstown</t>
  </si>
  <si>
    <t>NIB IE</t>
  </si>
  <si>
    <t>Near miss with MOS &amp; A124 Gormanstown</t>
  </si>
  <si>
    <t>Gormanstown</t>
  </si>
  <si>
    <t>Minimal damage</t>
  </si>
  <si>
    <t>RO-10097</t>
  </si>
  <si>
    <t>Train derailment, 21/7/2021, Fetesti</t>
  </si>
  <si>
    <t>Three wagons of the freight train no.64288 derailed on the exit of Fetești railway station.</t>
  </si>
  <si>
    <t>SC ROFERSPED SA</t>
  </si>
  <si>
    <t xml:space="preserve">Following the accident, the track superstructure was affected on about 400 m. 
There were affected 150 concrete sleepers T17, 8 concrete sleepers T26, 20 special sleepers, the curved point from the switch no.11 and the bars for the operation of switch no.9 were distorted.
Damages at 3 wagons who were derailed.Following the accident, the parts of switches 7/9 and 11/19 were affected and the signal M11 completely destroyed. </t>
  </si>
  <si>
    <t>Causal factor:                                                                          
Fall, between the rails, of the third shutter cover (hinged unloading trap) and hit of the front beam of bogie no.2, in the running direction of the train, leading to the load transfer of the wheels no.5-6, corresponding to the axle no.3, of the wagon no.31539337010-3, it generating the stress-relief and fall of those two sets of helical suspension springs from the guides.</t>
  </si>
  <si>
    <t xml:space="preserve">Contributing factors: 
 lack of blocks-limitting devices of the shutter cover from the third downloading orifice (in the running direction) of the wagon no.31539337010-3, under the conditions in which its ensuring system was on open;
 technical inspection performed before the departure of the train from railway station where it was dispatched.                                      Systemic factors:
 nonidentification of the risks generated by the situations where, during the works performed within the technical inspections at the trains, there are not identified the failures that can endager the traffic safety, and there are not met the provisions of art.87, table 7 – „failures and wears at the wagon body” from the Instructions for the technical inspection and maintenance of wagons in operation no.250/2005, regarding the withdrawal from traffic of the wagons with failures and parts missing at the closing devices;  
  lack of operational procedures for the identification of risks associated to the railway safety and technical inspection at wagons and of the measures corresponding to the dangers not identified. 
</t>
  </si>
  <si>
    <t>SK-10157</t>
  </si>
  <si>
    <t>Accident to persons caused by RS in motion, 26/7/2021, between Devínska Nová Ves - Bratislava Lamač</t>
  </si>
  <si>
    <t>NIB SK</t>
  </si>
  <si>
    <t>Accident to person caused by RS in motion</t>
  </si>
  <si>
    <t>Slovakia</t>
  </si>
  <si>
    <t>between Devínska Nová Ves - Bratislava Lamač</t>
  </si>
  <si>
    <t>Železničná spoločnosť Slovensko</t>
  </si>
  <si>
    <t>Železnice Slovenskej republiky</t>
  </si>
  <si>
    <t>NO-10107</t>
  </si>
  <si>
    <t>Infrastructure event, 27/7/2021,  Sandefjord</t>
  </si>
  <si>
    <t>11:30</t>
  </si>
  <si>
    <t>Infrastructure event</t>
  </si>
  <si>
    <t>Investigation of short circuit and subseqent fire in catenary and signaling system at Sandefjord Station</t>
  </si>
  <si>
    <t xml:space="preserve"> Sandefjord</t>
  </si>
  <si>
    <t>No trains involved</t>
  </si>
  <si>
    <t>Fires in a number of places between Laue and Sandefjord and the damages in the infrastructure were severe. 
The signaling system for Sandefjord station and equipment for nearby level crossings was completely damaged.</t>
  </si>
  <si>
    <t>Short-circuit between the bridging feeder and earth in the system caused by a bird.</t>
  </si>
  <si>
    <t>The NSIA’s investigation found the following factors to have contributed to the fire:
- The main protection intended to prevent short-circuit current from continuing to flow over time did not work.
- The backup protection was set to break current at a higher level that the short-circuit actually created.
- The automatic control of the zone limit switch at Råstad was disabled, which allowed power to be supplied to the short-circuit.
- The system used by the electrical power operators to manage and control the power supply provides limited information about the flow of current and incidents. Consequently, nearly 10 minutes passed before the electrical power operator detected the fault and manually disconnected the power supply.
- The power supply control centre had disconnected the zone limit switch without realising its function in interaction with the backup protection.
- The disabling of the automatic control of the zone limit switch at Råstad was not subject to a risk assessment or identified as a critical decision.
- The relay plan was not adequate.
- Bane NOR had a complex power supply organisation with multiple interfaces.
-  Measures proposed following similar incidents in the past had not been implemented.
This investigation, as well as the NSIA’s previous report Rail 2021/03, have found that further clarification is needed of the interfaces between the official bodies involved in supervisory activities under the regulatory framework that applies to power supply systems. In order to keep power supply systems safe and secure, they are subject to requirements and provisions both at a very detailed technical level and at a more general level as regards, e.g., safety management. The NSIA’s investigation has shown that the differences between the two supervisory bodies in terms of regulatory framework, supervisory practices, resources available for supervisory activities and risk assessments, may have contributed to insufficient supervision of the objects they where charged with supervising</t>
  </si>
  <si>
    <t>HU-10098</t>
  </si>
  <si>
    <t>Train derailment, 28/7/2021, Nagykáta station</t>
  </si>
  <si>
    <t>Two wagons of the train derailed because gauge spread.</t>
  </si>
  <si>
    <t>Nagykáta station</t>
  </si>
  <si>
    <t>29/7/2021</t>
  </si>
  <si>
    <t>the railway track has suffered gauge expansion due to a series of
fractures of sleeper screws used for fixing the rails</t>
  </si>
  <si>
    <t>the measures necessary for detection and management are still in
preparation, despite the fact that the TSB already issued a safety
recommendation regarding this area on 9 January 2019</t>
  </si>
  <si>
    <t>RO-10100</t>
  </si>
  <si>
    <t>Trains collision, 28/7/2021, Fetești</t>
  </si>
  <si>
    <t>23:20</t>
  </si>
  <si>
    <t>Freight train no.60514-1 overtook and collided seriously freight train no.50791-1 in Fetești railway station.</t>
  </si>
  <si>
    <t>Fetești</t>
  </si>
  <si>
    <t>SC TIM RAIL CARGO SRL and SC EXPRESS Forwarding SRL</t>
  </si>
  <si>
    <t xml:space="preserve">Track superstructure:
following the accident, the track superstructure was affected on about 270 m (switches no.97, 99 and 105 were completely destroyed and the track was damaged on about 200 m).
Railway installations:
interlocking system - there were affected: 
 point motor and operation rods of the switch no.99;
 power supply pegs and the impedance bonds from the insulated sections 97-99 and line II;
 about 50 m of cable;
 reception distributor of track circuits.
catenary - there were affected:
- 2 poles of the contact line (one at the line 1 and another one on the line II);
-  the support pole of the rigid portal struction 107/101 and the rigid portal struction that fell and distorted;
- catenary suspension and the contact line from the lines 1, II, 3, 7 and 8 from the end X of the station.
Rolling stock:
There were registered damages at the hauling locomotive and first 8 wagons of the freight train no.60514-1, as well as at the last 7 wagons of the freight train no.50790-1.
</t>
  </si>
  <si>
    <t>2/8/2021</t>
  </si>
  <si>
    <t>Causal factor:                                                                          
 the driver lost the capacity to drive the locomotive, he being alone in the driving cab of the locomotive, with the equipments DSV and INDUSI isolated, without meeting with the provisions in the field, it leading to the passing by the freight train no.60514-1 of the entry signal XC of the railway station Fetești in stop position, that was on ”Red” – ”STOP without pass the signal in stop position!” the taking over and collision with the freight train no.50790-1.</t>
  </si>
  <si>
    <t xml:space="preserve">Contributing factors: 
 the driver of the locomotive EA 194, hauling the freight train no.60514-1, involved in the accident, drive it on a track section where he did not do the route reconnoitring according to the regulations in the field. 
 exceeding of the maximum continuous duty accepted for the locomotive, that led to a serious fatigue of the driver.
Systemic factors:
 lack of some provisions (barriers) within the General Procedure PG-20 – Maximum continuous duty accepted on the locomotive, that prevent the inobservance of the provisions of Minister of Transports ‘Order no.256/2013 by the staff of the railway undertaking TRC;
 lack of control and assessment of the driver performance, on the track section București – Constanța (track section where the accident happened) or their formal doing on the other track sections by the staff with tasks of training, routing and control within the railway undertaking TRC (without identifying the deviations from the practice codes and the drafting of some action plans with measures for the decrease/removal of these deviations);
 inclusion in the complementary certificate of the track section București – Constanța, without meeting with the conditions regarding the performance of the route reconnoitring;
 ineffective measures for keeping under control the next dangers identified by the railway undertaking TRC, represented by:
- ”failures at the devices of safety, vigilance, control of train speed and recording of the locomotive parameters”;
- ”lack of compliance with the stop positions of the signals or in case of a situation that endangers the traffic safety”;
- ”the locomotive crew did not do the route reconnoitring of the track sections on what the train runs”;
- ”exceeding of the maximum duty accepted  for the locomotive”. 
 lack of an assessment, within the railway undertaking TRC, of the risks associated to the danger represented by the unjustified isolation (without meeting with the regulation in the field) of the devices of safety, vigilance, control of train speed and recording of the locomotive parameters.
</t>
  </si>
  <si>
    <t>PL-10106</t>
  </si>
  <si>
    <t>Level crossing accident, 29/7/2021, plain line section Szczecin Gumieńce - Tantow(Country Border), km 7,585 line 409 at 6:15</t>
  </si>
  <si>
    <t>6:15</t>
  </si>
  <si>
    <t>Entry of a truck in front of a train at a railway crossing</t>
  </si>
  <si>
    <t>plain line section Szczecin Gumieńce - Tantow(Country Border), km 7,585 line 409</t>
  </si>
  <si>
    <t>damaged train no RMM 80681/5801 and a truck</t>
  </si>
  <si>
    <t>Entry of a road vehicle at a railway crossing cat. C directly in front of oncoming passenger train RMM 80681/5801.</t>
  </si>
  <si>
    <t xml:space="preserve">1) Failure to behave with special caution by the driver of a road vehicle when approaching a railway crossing, as provided for in Article 28 sections 1 and 2 of the Act of 20 June 1997 Traffic Code (consolidated text Journal of Laws of 2021, item 450, as amended). 2) The lack of reaction of the driver of the road vehicle to the light signals provided on the traffic signal system no. S1 and S3 in front of the railway crossing, as stipulated in § 98 (5) of the Regulation of the Ministers of Infrastructure and Internal Affairs and Administration of 31 July 2002 on road signs and signals (consolidated text Journal of Laws of 2019, item 2310, as amended).
3) Road merger to the gravel pit and the district road immediately in front of the railroad crossing (13 metres away from the outermost rail of the track).
4) Difference in level of road to gravel pit and district road making it difficult for heavy goods vehicles to merge into traffic.
5) Poor visibility of the district road for vehicles merging into traffic from the road to the gravel pit (trees, bushes in the road lane of the district road).
6) Sun glare (in the morning with a clear sky) on the user of the road to the gravel pit when accessing the district road and joining traffic.
</t>
  </si>
  <si>
    <t>BG-10101</t>
  </si>
  <si>
    <t>Derailment of 5 wagons (empty tank cars of light fuel oils) from the end of Freight train No 50890 along Kocherinovo-Boboshevo open line</t>
  </si>
  <si>
    <t>15:45</t>
  </si>
  <si>
    <t>Derailment of 5 wagons from the end of freight train along open line</t>
  </si>
  <si>
    <t>Kocherinovo-Boboshevo  open line (interstation)</t>
  </si>
  <si>
    <t>"BDZ-Cargo" Ltd.</t>
  </si>
  <si>
    <t>State Enterprise National Railway Infrastructure Company (SE NRIC)</t>
  </si>
  <si>
    <t>Damages caused to the railway infrastructure and the derailed wagons</t>
  </si>
  <si>
    <t xml:space="preserve">The most probable direct cause for the occurrence of the accident is the distortion of the track horizontally, across the track axis due to the increased air temperature, and the rail temperature respectively. </t>
  </si>
  <si>
    <t xml:space="preserve">It has not been taken into account that the dimensions of the ballast prism do not comply with the regulatory requirements. There has not been performed mandatory neutralisation of the track and additional ballasting. </t>
  </si>
  <si>
    <t>CZ-10099</t>
  </si>
  <si>
    <t>Collision of the locomotive train No. 52489 with the regional passenger train No. 3821 at Němčice nad Hanou station</t>
  </si>
  <si>
    <t>Unauthorized movement of the locomotive train No. 52489 behind the main (departure) signal device S1 and consequent collision with the oncoming
regional passenger train No. 3821</t>
  </si>
  <si>
    <t>Němčice nad Hanou station</t>
  </si>
  <si>
    <t>Locomotive running solo; Regional passenger train</t>
  </si>
  <si>
    <t>Total damage CZK 24 311 262,- (EUR 999 641,-)</t>
  </si>
  <si>
    <t>Causal factor:
• failure to stop the locomotive train No. 52489 in front of the main (departure) signal device S1 with the signal „Stop” at Němčice nad Hanou station in connection with failure to act according to the signal „Warning“ of the previous main (entrance) signal device S by the train driver.</t>
  </si>
  <si>
    <t>RO-10104</t>
  </si>
  <si>
    <t>Train derailment, 1/8/2021, Medgidia railway station - LFI Antestatie ROMCIM</t>
  </si>
  <si>
    <t>At the parking of the freight train no.30658-1 in the Medgidia railway station on the LFI Antestatie ROMCIM in the area of the switch no.15 derailed the first wagon from the train composition.</t>
  </si>
  <si>
    <t>Medgidia railway station - LFI Antestatie ROMCIM</t>
  </si>
  <si>
    <t>ROMCIM SA</t>
  </si>
  <si>
    <t xml:space="preserve">Following the accident, the track superstructure was affected on about 45 m. Damage to the first axle of the wagon no.83536658166-7 derailed in the running direction.                                                 </t>
  </si>
  <si>
    <t>Causal factor:                                                                          
Irregular loading of the wagon no.83536658166-7 in relation to its longitudinal axis, because of these conditions the report between the guiding force and the load acting on the guiding wheel (1R) shall increase over the derailment stability limit.</t>
  </si>
  <si>
    <t xml:space="preserve">Contributing factor: 
Taking over for transport the wagon no.83536658166-7 by the railway undertaking, without checking, visually, if the loading of the good in the wagon complies with the provisions from Book I – „Principles” and with the Loading Rules established by UIC.                                        Systemic factors: 
1. Documents concluded between the railway undertaking and the forwarder of the goods don’t meet with the provisions of national regulation framework regarding delivery-reception of wagons loaded with goods.
2. Ineffective management of the risk represented by the routing of the trains with wagons where the goods are not loaded in accordance with the Loading Rules established by UIC.
</t>
  </si>
  <si>
    <t>19/7/2022</t>
  </si>
  <si>
    <t>DK-10264</t>
  </si>
  <si>
    <t>Car drives out in front of regional train in junction 127 in Tønder on 02-08-2021</t>
  </si>
  <si>
    <t>A dark car, which came driving along Nordre Landevej in an easterly direction, drove in front of the northbound regional train 5730 (Train set Lint) in crossing 127</t>
  </si>
  <si>
    <t>Tønder</t>
  </si>
  <si>
    <t>2 cars and barriers</t>
  </si>
  <si>
    <t>Unauthorised (old, likely demented) person at the track</t>
  </si>
  <si>
    <t>CZ-10102</t>
  </si>
  <si>
    <t xml:space="preserve">Train derailment, 04-08-21, Kralupy nad Vltavou station (Czech Republic) </t>
  </si>
  <si>
    <t>Derailment of 3 rolling stocks of the freight train No. 62310</t>
  </si>
  <si>
    <t xml:space="preserve"> Kralupy nad Vltavou station, switch No. 101, km 435,660</t>
  </si>
  <si>
    <t>CZK 2 238 649,- (€ 88 015,-); Rolling stocks, infrastructure</t>
  </si>
  <si>
    <t>CZ-10103</t>
  </si>
  <si>
    <t>Train collision, 4/8/2021, Radonice overtaking station</t>
  </si>
  <si>
    <t>Collision of the long distance passenger train No. 351 with the oncoming regional passenger train No. 7406 at Radonice overtaking station. Unauthorized movement of the long distance passenger train No. 351 and consequent collision  with the regional passenger train No. 7406</t>
  </si>
  <si>
    <t>Radonice overtaking station</t>
  </si>
  <si>
    <t>Signle track</t>
  </si>
  <si>
    <t>Long distance passenger train; Regional passenger train</t>
  </si>
  <si>
    <t>Total damage CZK 178 108 332,- (EUR 7 287 575,-)</t>
  </si>
  <si>
    <t>Causal factor:
• failure to respect the signal „Stop" of the main (departure) signal device S1 at Radonice overtaking station by the train driver of the long distance passenger train No. 351.</t>
  </si>
  <si>
    <t>RO-10105</t>
  </si>
  <si>
    <t>Train derailment, 5/8/2021, Medgidia</t>
  </si>
  <si>
    <t>10:45</t>
  </si>
  <si>
    <t>The 4th wagon from the composition of the freight train no. 20934 derailed in Medgidia railway station.</t>
  </si>
  <si>
    <t>SC Cargo Trans Vagon SA</t>
  </si>
  <si>
    <t>Damage to wagon axles no.84539305086-7.
The track superstructure was damaged for about 60 meters.</t>
  </si>
  <si>
    <t xml:space="preserve">Causal factors:                                                                         
 exceeding of the maximum accepted limit for the track gauge in operation on a group of improper special wooden sleepers. It led to the fall, between the curved stock rail and right point, of the first right wheel from the first bogie of the wagon no.84539305086-7, the 4th one of the freight no.20934.
</t>
  </si>
  <si>
    <t xml:space="preserve">Contributing factors: 
 performance of inspections and controls, without recording all the deficiencies, without establishing suitable measures and deadlines for their removal, it led to keeping within the track a group of improper special wooden sleepers.                                                                     Systemic factors:
 ineffective management of the risk associated to the danger generated by keeping in operation improper wooden sleepers;
 ensuring improper human resources, in relation to the necessary one, in order to perform the suitable maintenance of the lines and switches.
 </t>
  </si>
  <si>
    <t>RO-10110</t>
  </si>
  <si>
    <t>Train derailment, 7/8/2021, Vlăduleni - Piatra Olt</t>
  </si>
  <si>
    <t>The 13th wagon from the composition of the freight train no. 20536-1 derailed between Vlăduleni and Piatra Olt railway stations.</t>
  </si>
  <si>
    <t>Vlăduleni - Piatra Olt</t>
  </si>
  <si>
    <t>SC CER - FERSPED SA</t>
  </si>
  <si>
    <t xml:space="preserve">Damage to the first bogie of the 13th wagon of the train (no.84539305346-5) derailed in the running direction.
The track superstructure was affected on about 700 m. There were affected the next railway installations:
 power supply picket isolated track sections - SI 2-6 with 12-16;
 relay pickets SI 024C with 2-6 with 024C with 0222C;
 point motors of the switches no.2 and 6 from the railway station Piatra Olt;
 track magnets of 500 Hz and 1000/2000 Hz of the entry signal of the railway station Piatra Olt.
</t>
  </si>
  <si>
    <t>Causal factor:                                                                          
 the existing failures at the track geometry that, in dynamic conditions, led to the report, between the guiding force and the load acting on the guiding right wheel (wheel no.8) from the first axle (in the train running direction) of the wagon no.84539305346-5, exceeds the derailment stability limit.</t>
  </si>
  <si>
    <t xml:space="preserve">Contributing factor: 
 performance of measurements with the testing and recording car or with the track trolley, at times longer those stipulated in the practice codes;
 performance of a detailed control of the curves from the running and direct lines from the railway stations, with an incomplete commission, without the district inspector and the representative of the line section management, it favouring the decrease of the activity effectiveness and the failures existing at the track geometry not being identified.
 Systemic factors: 
 lack of the assessment of the risks generated by the not-ensuring, in the sections of lines, a sufficient number of employees with high graduation and competences in line maintenance, who can have tasks of traffic safety, specific to the welded track;
 ineffective management of the risk associated to the danger of keeping the track geometry over the tolerances accepted in operation, on a curve.
</t>
  </si>
  <si>
    <t>HU-10224</t>
  </si>
  <si>
    <t>Trains collision, 09/08/2021, between Kerepes and Mogyoród stations</t>
  </si>
  <si>
    <t>Passenger train no. 1082. stopped on the open track between Kerepes and Mogyoród stations, due to a failure in the IM's power substation in Mogyoród station, caused by a thunderstorm. As the failure spreaded on the line, the dispatcher sent a diesel locomotive to pull back the passenger train to Kerepes. Shortly after the diesel locomotive left Kerepes, it collided into the stationary passenger train.</t>
  </si>
  <si>
    <t>Railway line no. 253, between Kerepes and Mogyoród stations (Suburban railway network of Budapest)</t>
  </si>
  <si>
    <t>The end and the driver's cabin on power car no. 920 of passenger train no. 1082 damaged.</t>
  </si>
  <si>
    <t>a) the braking distance was not sufficient despite rapid braking by the driver of the banking locomotive when the stationary passenger train was detected;
b) the driver of the banking locomotive had incorrect knowledge of the position of the passenger train and therefore approached the location of the incident at a speed higher than was safe in the actual situation;
c) the traffic manager at Kerepes station inaccurately determined the position of the train waiting for assistance for the banking train's crew;
d) the driver of the train no. 1082 did not specify the exact location where his train had become unfit for service</t>
  </si>
  <si>
    <t>a) the regulatory environment in force at the time of the accident did not impose any obligation for the crew to protect the trains stopping on the open line due to extraordinary cause;
b) the regulations also do not impose specific content requirements on the determining of the position of trains stopped on an open line due to an extraordinary cause</t>
  </si>
  <si>
    <t>ES-10137</t>
  </si>
  <si>
    <t>Other event, 11/8/2021, Medinaceli, Spain</t>
  </si>
  <si>
    <t>National ID 64/2021: Loss of load of a freight train near Medinaceli station (line 200, kilometre 161+500).
Freight train 90666 of Low Cost Rail lost five empty containers. The train had left Azuqueca station and was bound to Zaragoza. During its travel there was a storm with strong gusts of wind, that displaced five empty containers from their platforms and made them fall down an embankment, near Torralba. Train staff didn't notice what had happened until they reached their destination. One of the containers touched the catenary and caused a power cut. No personal damages.</t>
  </si>
  <si>
    <t>Medinaceli</t>
  </si>
  <si>
    <t>Low Cost Rail</t>
  </si>
  <si>
    <t>Material damages to catenary, catenary posts and lost containers</t>
  </si>
  <si>
    <t>Direct and immediate causes
- The use of a fastening system between the containers and the wagons that did not prevent the vertical decomposition of the load units [SEE RECOMMENDATION #1].
- The occurrence of wind gusts, a particular meteorological event, that generated a vertical ascending force on the load units.</t>
  </si>
  <si>
    <t>Contributing factors
- The non-compliance with the UIC loading guidelines, applicable to the RU according to its General Instruction (GI) 8 [SEE RECOMMENDATION #1].   
- The lack of consideration of risks related to the breakdown of the load units off the transformed wagons caused by lateral wind forces [SEE RECOMMENDATION #2].
- The physical characteristics of the empty containers carried on the wagons as they had a large surface area exposed to the force of the wind due to their height, as well as the low weight to compensate the suppression forces as they were empty [SEE RECOMMENDATION #1].
- The physical configuration of the line, consisting of an embankment perpendicular to the valley and slightly curved to the left that prompted the wind to hit from outside the curve.
Systemic contributing factors
- The lack of consideration of all the possible operational hazards related to the transformation of the railway components during the compilation of the risk information [SEE RECOMMENDATION #2].</t>
  </si>
  <si>
    <t>HR-10116</t>
  </si>
  <si>
    <t xml:space="preserve"> Trains collision, 11-08-2021 (between stations Križevci-Lepavina) (Croatia)</t>
  </si>
  <si>
    <t>On August 11, 2021 at 04:40 a.m. trains collision happen between the stations Križevci-Lepavina, on the international line M201, in KM 484+490. Freight trains number 45902 and 41990 participated in the collision. Train number 45902 was dispatched from station Križevci at 04:27, followed by train number 41990 at 04:35 which passed the spatial signal number 142 which showed the signal sign “Stop”. Train number 41990 ran into the end of train number 45902 which was stopped due to a malfunction on the locomotive at the moment when the driver was removing the malfunction. The driver of train number 41990 was seriously injured in the accident and the driver of train number 45902 was slightly injured, there was great material damage recorded on trains and railway infrastructure.</t>
  </si>
  <si>
    <t>Between stations Križevci-Lepavina</t>
  </si>
  <si>
    <t>ENNA TRANSPORT and HŽ CARGO</t>
  </si>
  <si>
    <t xml:space="preserve">Greater material damage was recorded on trains and railway infrastructure. </t>
  </si>
  <si>
    <t>The causal factor of the accident in question was passing of train number 41990 next to the spatial signal number 142 which showed the signal sign "Stop" and the collision at the end of train number 45902 which was stopped due to a momentary failure (Chapters 3.1.7 and 3.2.1).</t>
  </si>
  <si>
    <t>Contributing factors:
- 	failure of train number 45902 (Chapter 3.2.1),
- 	non-communication via the RDU system, communication outside the official closed system which is not recorded (Chapter 3.2.1),
- 	reduced visibility due to night (Chapter 3.1.3).
Systemic factors:
- 	driving procedures of train number 41990 after passing the spatial signal that showed the signal sign "Stop" (Chapter 3.1.7).</t>
  </si>
  <si>
    <t>CZ-10108</t>
  </si>
  <si>
    <t xml:space="preserve">Train derailment, 19-08-21, open line between Kralupy nad Vltavou and Nelahozeves stations (Czech Republic) </t>
  </si>
  <si>
    <t>Derailment of 2 rolling stocks of the freight train No. 60206</t>
  </si>
  <si>
    <t>open line between Kralupy nad Vltavou and Nelahozeves stations</t>
  </si>
  <si>
    <t>ČD Cargo, a.s.</t>
  </si>
  <si>
    <t>line, rolling stocks. CZK 4 500 000,- (EUR 176 471,-)</t>
  </si>
  <si>
    <t>National rules imposed by implementing of the Safety Directive 2004/49/EC - in light of Article 19, § 2 of SD - (b) it forms part of a series of accidents or incidents relevant to the system as a whole</t>
  </si>
  <si>
    <t>RO-10112</t>
  </si>
  <si>
    <t>Train derailment, 19/8/2021, Mintia - Brănișca</t>
  </si>
  <si>
    <t>The 13th wagon from the composition of the freight train no. 50783 derailed between Mintia and Brănișca railway stations.</t>
  </si>
  <si>
    <t>Mintia - Brănișca</t>
  </si>
  <si>
    <t>SC Express Forwarding SRL</t>
  </si>
  <si>
    <t xml:space="preserve">Following the accident, the track superstructure was affected on about 1370 m. The wagon no.33539333447-9 has a slight damage. </t>
  </si>
  <si>
    <t>Causal factor:                                                                          
• increase of the ratio between the guiding force and the load acting on the guiding wheel of the first bogie from the wagon no.33539333447-9 over the derailment stability limit. It was generated by the combination of the next events and conditions:
 reclining of the wagon body, with the load on axle exceeded, on a curve with cant;
 tangential shocks on the curve radius, generated following the application of the electric braking;
 narrowing down of the guiding channel under the minimum value.</t>
  </si>
  <si>
    <t xml:space="preserve">Contributing factor: 
• handling of the wagon no.33539333447-9 for its transport with the maximum load on axle exceeded.
Systemic factor:
• ineffective measures set by the railway undertaking EXFO, for keeping under control the risks associated to the danger generated by the existence within the trains the loaded wagons with the maximum accepted load on the axle exceeded. </t>
  </si>
  <si>
    <t>HU-10109</t>
  </si>
  <si>
    <t>Level crossing accident, 20/08/202, Tócóvölgy (AS46)</t>
  </si>
  <si>
    <t>The train no. 36613 collided with a car at the level crossing no. AS46. The two passengers of the road vehicle died. The protection equipments worked well, the barriers were down and the lights were red.</t>
  </si>
  <si>
    <t>Tócóvölgy - Hajdúböszörmény (AS46)</t>
  </si>
  <si>
    <t>The DMU damaged.</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</si>
  <si>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személygépkocsi vezetője a fénysorompó tiltó jelzése ellenére, a
félsorompót kikerülve behajtott a vasúti átjáróba (4.3.2).
5.1.2 Hozzájáruló tényezők
Olyan cselekményeket, hibákat, amelyek azáltal befolyásolták az eseményt, hogy
növelték a bekövetkezés valószínűségét, felgyorsították a hatásokat, vagy
fokozták a következmények súlyosságát, de kiiktatásuk önmagában nem
akadályozta volna meg az esemény bekövetkezését, a Vb nem azonosított.</t>
  </si>
  <si>
    <t>5.1.3 Rendszerszintű tényező
Olyan szervezeti vagy szabályozási jellegű ok-okozati vagy hozzájáruló
tényezőket, amelyek a jövőben valószínűleg hatással lehetnek hasonló és
kapcsolódó eseményekre, a Vb nem azonosított.</t>
  </si>
  <si>
    <t>RO-10113</t>
  </si>
  <si>
    <t>Fire in RS, 23/8/2021, Șag - Vinga</t>
  </si>
  <si>
    <t>A fire brust out at the locomotive of passenger train no.2602.</t>
  </si>
  <si>
    <t>Șag - Vinga</t>
  </si>
  <si>
    <t>The locomotive EA 251 burned to the extent of 90%, being destroyed the apparatus in both driving positions and partially, the electrical installation in the engine room.</t>
  </si>
  <si>
    <t>Causal factor:                                                                          
 appearance of the electric arc, in the area where the positive electric cable (”+”), providing the locomotive with direct current supply, crosses the floor, following the deterioration of its isolation.</t>
  </si>
  <si>
    <t>Systemic factors: 
use of the locomotive, involved in the accident, in the hauling of passenger trains, after exceeding the norm of time, for the performance of a planned repair, repair that had to provide the technical potential necessary for a safety, comfortable and security transport.</t>
  </si>
  <si>
    <t>RO-10114</t>
  </si>
  <si>
    <t>Train derailment, 23/8/2021, Valea Albă - Balota</t>
  </si>
  <si>
    <t>The 12th wagon from the composition of the freight train no. 29114 derailed between Valea Albă and Balota railway stations.</t>
  </si>
  <si>
    <t>Valea Albă - Balota</t>
  </si>
  <si>
    <t>SC Rail Cargo Carrier Romania SRL</t>
  </si>
  <si>
    <t>Damage to the first bogie in the direction of travel from wagon no.33857814065-3.
The line was slightly damaged for about 278 meters.</t>
  </si>
  <si>
    <t xml:space="preserve">Causal factor:                                                                          
 load transfer of the left wheel of the guiding axle and implicitly the increase of the ration between the guiding force and the loads acting on this wheel, so exceeding the derailment stability limit, following the existence within the track, at the accident site, a track section where the track twist gradient was exceeding the accepted value for the running speed, an excessive cant, accentuated also by the difference between the values of the transversal level measured between the extreme axles of the wagon. </t>
  </si>
  <si>
    <t>Contributing factor: 
 non removal, at the regulated deadlines, the failures registered following the checking of the track geometry with the power car TMC.
Systemic factor: 
 non-performance of the periodical repairs for getting the corresponding maintenance at the lines, in order to keep the track geometry between the tolerances accepted, given the provision with insufficient material and human resources for these activities.</t>
  </si>
  <si>
    <t>FR-10117</t>
  </si>
  <si>
    <t>Train derailment, 26/8/2021, Saint-Hilaire-au-Temple</t>
  </si>
  <si>
    <t>deraillement of 13 wagons of a freight train carrying grain</t>
  </si>
  <si>
    <t>Saint-Hilaire-au-Temple</t>
  </si>
  <si>
    <t>FRET SNCF</t>
  </si>
  <si>
    <t>13 wagons overturned and heavily damaged, 200 metres of track destroyed.</t>
  </si>
  <si>
    <t>The main cause of the derailment was the failure of the low rail under the train. The old rail was affected by a longitudinal vertical cracking head defect, coded 213, which had developed over several years and was not detected by the rail monitoring actions.</t>
  </si>
  <si>
    <t>The rail failure is the consequence of several contributing factors :
- The renewal deficit of old reuse rails
- Rail couponing
- Increased rail stresses
- Non-detection of the vertical longitudinal cracking defect by the Heavy Ultrasonic Device
- Non-detection of the vertical longitudinal cracking defect by US surveyors
- Non-detection by Manager and Rails periodic tours</t>
  </si>
  <si>
    <t>RO-10118</t>
  </si>
  <si>
    <t>Train derailment, 27/8/2021, Nucet</t>
  </si>
  <si>
    <t>Six wagons from the composition of the freight train no.59401 (from the 9th to the 14th) derailed in Nucet railway station.</t>
  </si>
  <si>
    <t>Nucet</t>
  </si>
  <si>
    <t>Causal factor:                                                                          
 exceeding of maximum accepted limit of the track gauge, on the curve after the switch no.11 of the railway station Nucet, generated by the existence of a group of improper normal wooden sleepers. It led to the fall between the rails of the left wheels from the bogies of those 6 wagons derailed, in the running direction of the freight train no.59401.</t>
  </si>
  <si>
    <t xml:space="preserve">Contributing factors: 
 performance of inspections and controls without recording all the deficiencies, without setting effective measures and suitable deadlines for retrieval, it leading to keeping within the track a group of improper normal wooden sleepers;
 carrying of quarterly measurements of the trolley, on the lines from the railway stations, at longer times than those stipulated in the practice codes.
Systemic factors
 ineffective management of the risks associated to the danger of keeping in operation, within a curve, a group of improper normal wooden sleepers;
 ineffective management of risks associated to the danger represented by the performance of quarterly measurements, with a trolley, at longer times than those stipulated in the practice codes;
 provision with insufficient material and human resources, against the necessary ones, for carrying out the suitable maintenance at line and keeping the track geometry between the accepted tolerances.
</t>
  </si>
  <si>
    <t>IE-10375</t>
  </si>
  <si>
    <t>Other event, 27/8/2021, Between Newbridge and Kildare</t>
  </si>
  <si>
    <t xml:space="preserve">Collision btween train and object left on line by staff </t>
  </si>
  <si>
    <t>Between Newbridge and Kildare</t>
  </si>
  <si>
    <t>Damage to train</t>
  </si>
  <si>
    <t>The ES instructed the work party to access the work site without the authorisation of the Person in Charge of Possession (PICOP); a violation of the requirements set out in Section T, Part Three, of the IÉ Rule Book. The ES erroneously thought that the last train had passed through the worksite</t>
  </si>
  <si>
    <t>The Safety Tours, as set out in the “Safety Tours and Compliance Verification” document (CCE-SMS-008), were ineffective at capturing rule breaks prior to possessions being granted, such as work parties accessing the railway before the possession being granted and equipment left near the railway line overnight</t>
  </si>
  <si>
    <t>DK-10265</t>
  </si>
  <si>
    <t>Person hit by train at Jægerbrog Station</t>
  </si>
  <si>
    <t>n the morning on 02-09-2021 when it became light around kl. 06:14, train 642117 found that there was a person between the platform edge and the rails. The person was subsequently found dead.</t>
  </si>
  <si>
    <t>RO-10120</t>
  </si>
  <si>
    <t>Train derailment, 3/9/2021, Făgăraș</t>
  </si>
  <si>
    <t>The 10th wagon from the composition of the freight train no. 99974 derailed in Făgăraș railway station.</t>
  </si>
  <si>
    <t>Făgăraș</t>
  </si>
  <si>
    <t>SC Rail Force SRL</t>
  </si>
  <si>
    <t>Damage to the first bogie in the direction of travel from wagon no.84535489632-4.
The line was slightly damaged for about 109 meters.</t>
  </si>
  <si>
    <t>Causal factor:                                                                          
 there were at the accident site, a group of improper normal wooden sleepers, that were not ensuring the fastening of screws and that led to the exceeding of the maximum accepted limit of the gauge in operation, generating the loss of the support and guiding capacity of the rails.</t>
  </si>
  <si>
    <t xml:space="preserve">Contributing factors:
1. Performance of the technical control of the track at longer times than those stipulated by the practice codes, it favouring the decrease of this activity effectiveness and did not ensure the identification on time of the deterioration of the failures existing at the line 8 of the railway station Făgăraș.
2. Lack of schedule and non-removal, in accordance with the deadlines regulated, of the failures registered following the measurements made with the trolley.
3. Increase of the running speed over the value limited by the speed restriction, before the train passes by the speed restriction.
Systemic factors:
1. Non-performance of the periodical repairs, in order to make the corresponding maintenance of the lines and switches, for keeping the track geometry between the tolerances accepted, following the allocation of insufficient material and human resources for these activities. 
2. Deficiencies in the identification and assessment of risks generated by the own railway operations, done by the entity in charge with the track superstructure maintenance, regarding the risk ”derailment of railway vehicles”.  
3. Deficiencies in the identification and assessment of risks generated by the own railway operations, done by the entity in charge with the continuous professional training of the driver, regarding the risk ”derailment, collision, passing the signals in stop position”.
</t>
  </si>
  <si>
    <t>BG-10124</t>
  </si>
  <si>
    <t>Fire in passenger coach of passenger train № 50215 in Pernik marshalling yard on 04.09.2021</t>
  </si>
  <si>
    <t>Fire in passenger coach of passenger train in marshalling yard.</t>
  </si>
  <si>
    <t>Pernik marshalling yard</t>
  </si>
  <si>
    <t>"BDZ-Passenger Services" Ltd.</t>
  </si>
  <si>
    <t xml:space="preserve">External intervention - compulsorily ignition of components of the coach’s sound system. </t>
  </si>
  <si>
    <t>The most probable direct cause for the occurrence of the accident is forced ignition from an external source in the area of the loudspeaker and the matching transformer of the sound system located in the area for placing passengers' luggage above the seats in the coach.</t>
  </si>
  <si>
    <t>ES-10228</t>
  </si>
  <si>
    <t>Train derailment, 6/9/2021, El Prat (Barcelona)</t>
  </si>
  <si>
    <t>National ID 71/2021: Derailment at El Prat de Llobregat (line 200, kilometre 667+524).
A commuter train derailed at switch #4 in El Prat station. That switch had previously shown issues with its state verification, so a maintenance crew had been dispatched to the place. The crew had not been able to fully solve the issue, but they had flanged the switch to ensure it. However, when control center authorised a train to pass, it derailed. No personal damages, but traffic was interrupted, affecting many other trains.
The Spanish NIB decided to conduct a preliminary enquiry on this occurrence before deciding whether to make an investigation report or not. Preliminary enquiry concluded by April of 2022, and the NIB decided to conduct a complete investigation report on the incident, so it is notified now to the EUAR.</t>
  </si>
  <si>
    <t>El Prat (Barcelona)</t>
  </si>
  <si>
    <t>1.	The direct cause of the accident is the fact that train 25542 took switch #4 running on the direct track while this switch was positioned towards the diverted track. Train 25542 ran on the direct track because the Signaller authorized the train driver to overtake signal 6668, while it was indicating stop (so, passing the signal at danger).
2.	The Signaller authorized the train to overtake signal 6668 because the SIM team informed that it was positioned correctly towards the straight track.
3.	Switch #4 had detection loss of its position because its 4B motor did not fully complete its movement to diverted position because of some undetermined mechanical or electrical reason.</t>
  </si>
  <si>
    <t>Contributing factors
1.	The procedure established in the Spanish Railway Circulation Regulation to communicate with the Signaller was not used by the SIM team, therefore the indication to the Signaller of the position of switch #4 was not formalized. Not using this procedure increased the probabilities of failure in the transmission of information from the SIM team to the Signaller.
2.	When the Signaller authorized the train driver to overtake signal 6668, he did not prescribe him to check the position of switch #4. If it had been prescribed, the train driver of Rodalies train number 25542 would probably have seen the position of the switch.
3.	Previously to the detection loss of the position of switch #4, the system of automatic execution of routes, that was activated on signal 6668, commanded switch #4 to straight position, while the signaller commanded the execution of a route that was incompatible with the first one. This situation blocked the execution of the following commands to switch #4, so the detection loss of the position of the switch persisted. The system activated in 6668 signal was not deactivated by the signaller because its activity indication did not appear on the Signaller’s screen. This is because the software of that system does not have a functionality implemented that resolves the incompatibilities of that system with the signaller’s commands.
4.	The Instructions of Prat de Llobregat interlocking does not contemplate the incompatibilities between the automatic systems, such as the one mentioned in the previous paragraph, and the signallers’ commands, so it does not indicate that the operator must disconnect the automatic systems before executing certain orders.
Systemic factors
1.	There is a fairly common practice when solving problems related to detection loss of the position of switches, consisting in acting quickly and without formalizing the intervention by the SIM team, to only position the switch in a specific position. After that, during the scheduled activities of preventive maintenance (usually overnight), the problem of detection loss of the position of switches is solved.
2.	The terminology used to specify the position of switch #4 by SIM team, which is generalized, was confusing. There is no procedure to unequivocally name the status and position of trackside apparatus in the communications between the SIM teams and the signallers, during tests, verifications and corrective maintenance actions.</t>
  </si>
  <si>
    <t>DE-10143</t>
  </si>
  <si>
    <t>Train derailment, 8/9/2021, Bf Senftenberg</t>
  </si>
  <si>
    <t>Am 08.09.2021 gegen 07:43 Uhr entgleiste der Reisezug RB 18344 auf der Fahrt von Halbe nach Senftenberg bei der Einfahrt nach Gleis 4 im Bahnhof Senftenberg auf der Weiche S91 mit dem mittleren Teil des Triebzuges.</t>
  </si>
  <si>
    <t>Bf Senftenberg</t>
  </si>
  <si>
    <t>Die für den Zug RB 18344 eingestellte Fahrstraße wurde entgegen den Regelungen der Richtlinie 408 – Fahrdienstvorschrift – aufgelöst, bevor der Zug die Fahrstraßen‐Zugschlussstelle passiert hatte. Danach wurde die noch durch den Reisezug besetzte Weiche S91 umgestellt.</t>
  </si>
  <si>
    <t>CZ-10125</t>
  </si>
  <si>
    <t>Accident to persons caused by RS in motion, 22-09-2011, Boří les station (Czech Republic)</t>
  </si>
  <si>
    <t>A falling out of a conductor from the entrance door of a rolling stock during a ride of the regional passenger train No.11451</t>
  </si>
  <si>
    <t>Boří les station</t>
  </si>
  <si>
    <t>Without damage</t>
  </si>
  <si>
    <t>Article 20.2 of Directive (EU) 2016/798 – (a), (b), (c)</t>
  </si>
  <si>
    <t>Causal factor: 
• unexpected opening of the outside door of service compartment of diesel railcar during movement of the regional passenger train No. 11451.
Contributing factor: insufficient check and maintenance of the outside door of service compartment of diesel railcar resulting its unsuitable technical condition, which was manifested by close of the door in such a way that the difference between properly closed and unclosed door was not visible to the human eye.</t>
  </si>
  <si>
    <t>Systemic factor: checks and maintenance procedures to ensure adequate technical condition of diesel railcars series 854 did not determine the limit parameters of the lock and custodial mechanism of the outside door of service compartment of diesel railcar.</t>
  </si>
  <si>
    <t>NO-10128</t>
  </si>
  <si>
    <t>Infrastructure event, 26/9/2021, Vegårshei, Sørlandsbanen</t>
  </si>
  <si>
    <t>Fire in snow shed in relation to track grinding train.</t>
  </si>
  <si>
    <t>Vegårshei, Sørlandsbanen</t>
  </si>
  <si>
    <t>Snow shed burnt down, stop in traffic for 1,5 days.</t>
  </si>
  <si>
    <t>Rail grinding started fire</t>
  </si>
  <si>
    <t>Preventive measures are not compelled to, unclear responsibilities.</t>
  </si>
  <si>
    <t>NO-10127</t>
  </si>
  <si>
    <t>Fire in RS, 2/10/2021, Sarpsborg</t>
  </si>
  <si>
    <t>Fire in EL16 electrical locomotive.</t>
  </si>
  <si>
    <t>Sarpsborg</t>
  </si>
  <si>
    <t>. Damage on cabelling, engine 2 and ventilators.</t>
  </si>
  <si>
    <t>Mechanical failure in engine number two caused friction between engine components and whee. Friction caused sparks that ignited cabeling and fire spread to machine compartment.</t>
  </si>
  <si>
    <t>FI-10140</t>
  </si>
  <si>
    <t>Level crossing accident, 5/10/2021, Kaskinen, Seinäjoki–Kaskinen section of line (line number 1506), km 0529+956.</t>
  </si>
  <si>
    <t>A work train collided with a bus transporting schoolchildren at the level crossing, which is not equipped with a warning device. The bus was carrying seven passengers, two of whom were seriously injured. The remaining passengers and driver sustained light injuries. The work train was derailed, but the four people on the work train and carriage being pulled by it were not injured.</t>
  </si>
  <si>
    <t>Kaskinen, Seinäjoki–Kaskinen section of line (line number 1506), km 0529+956.</t>
  </si>
  <si>
    <t>Keitele-Museo Oy</t>
  </si>
  <si>
    <t>The bus was damaged beyond repair in the collision. The work train was derailed and damaged as a result of the collision. The track also sustained damage over a distance of approximately 30 metres.</t>
  </si>
  <si>
    <t>The driver had had problems with handling the vehicle and staying on the route, and the passengers had given strong feedback to the driver about those issues on the previous day. The concentration of the bus driver may have been disturbed and she did not detect an approaching train.</t>
  </si>
  <si>
    <t>The safety management of the bus company did not provide instructions on how to react in an exceptional situation, and partly for this reason, the orientation of the new driver remained deficient with regard to the route and the vehicle. In general, the bus transport sector does not have any requirements concerning safety management systems. 
A level crossing without a warning device and with deficient conditions on a track with a low traffic volume is a typical site of an accident in Finland.</t>
  </si>
  <si>
    <t>HU-10291</t>
  </si>
  <si>
    <t>Train derailment, 10/10/2021, Szeged-Rókus station</t>
  </si>
  <si>
    <t>Stopping train no. 7726 forwarded a cold locomotive, which was attached behind the pulling locomotive. As the train entered Szeged-Rókus station, the cold locomotive derailed with 4 axles and the first carriage derailed with 2 axles on the closure rail of point no. 10., due to a rail breakage.</t>
  </si>
  <si>
    <t>Railway line no. 135., Szeged-Rókus station</t>
  </si>
  <si>
    <t>The affectected point was destroyed. Both bogeys of the derailed locomotive are heavily damaged. The chassis of the first carriage was deformed by the buffers of the derailed locomotive.</t>
  </si>
  <si>
    <t>10/10/2021</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</si>
  <si>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vonat behaladása közben a kitérő közbenső sínje eltörött, amin a
vonatba sorozott villamos mozdony négy tengellyel, a mögötte lévő
személykocsi első kettő tengelyével kisiklott (4.2.1).
5.1.2 Hozzájáruló tényezők
Cselekmények, hibák, események vagy feltételek, amelyek azáltal befolyásolták
az eseményt, hogy növelték a bekövetkezés valószínűségét, felgyorsították a
hatásokat, vagy fokozták a következmények súlyosságát, de kiiktatásuk nem
akadályozta volna meg az esemény bekövetkezését:
a) a 10 sz. kitérő fa aljainak leromlott az állapota, ezért az alátámasztás
távolsága megnövekedtek, így a sínek igénybevétele is jelentősen megnőtt
(4.2.2).</t>
  </si>
  <si>
    <t>5.1.3 Rendszerszintű tényező
Szervezeti, vezetési, társadalmi vagy szabályozási jellegű ok-okozati vagy
hozzájáruló tényezők, amelyek a jövőben valószínűleg hatással lehetnek hasonló
és kapcsolódó eseményekre, különösen ideértve a szabályozási keretfeltételeket,
a biztonságirányítási rendszer kialakítását és alkalmazását, a személyzet
készségeit, az eljárásokat és a karbantartást:
a) az alkalmazott UH vizsgálattal nem lehetett felfedezni a balesethez vezető
hibát (4.4.1)</t>
  </si>
  <si>
    <t>DE-10144</t>
  </si>
  <si>
    <t>Train derailment, 12/10/2021, Bf Nördlingen</t>
  </si>
  <si>
    <t>Am 12.10.2021 gegen 14:13 Uhr entgleiste der Personenzug RB 57223 bei der Fahrt von Aalen Hbf nach Donauwörth bei der Einfahrt in den Bahnhof (Bf) Nördlingen auf der Weiche 208.</t>
  </si>
  <si>
    <t>Bf Nördlingen</t>
  </si>
  <si>
    <t>Entgegen den Vorgaben der Richtlinie 408.0251 Abschnitt 4 und des Betriebsstellenbuches für den Bf Nördlingen löste der Fahrdienstleiter die technische Sicherung der Einfahrzugstraße vorzeitig auf. Darauf folgend stellte er die Weiche 208 unter dem fahrenden Personenzug RB 57223 um.</t>
  </si>
  <si>
    <t>FR-10138</t>
  </si>
  <si>
    <t>Accident to persons caused by RS in motion, 12/10/2021, Ciboure, France</t>
  </si>
  <si>
    <t>4 persons, who happened to be migrants, are run over by a train. 3 of them died, and one was seriously injured.</t>
  </si>
  <si>
    <t>Ciboure</t>
  </si>
  <si>
    <t>trespassing on railway domain and fall to sleep of victims on the track</t>
  </si>
  <si>
    <t>HU-10139</t>
  </si>
  <si>
    <t>Train derailment, 15/10/2021, Miskolc-Rendező</t>
  </si>
  <si>
    <t>A freight wagon derailed on a switch.</t>
  </si>
  <si>
    <t>Miskolc-Rendező station</t>
  </si>
  <si>
    <t>H-RCH</t>
  </si>
  <si>
    <t>a) the wagon’s separated assembly got stuck in the track elements and derailed the wagon;
b) the braking system and its safety clevises were badly corroded and fell apart;
c) the fault was not yet present at the time of the inspection of the wagon and its imminent occurrence was not detectable.</t>
  </si>
  <si>
    <t>the condition of the wagon and its known defects were disregarded, or repairs were not carried out or were carried out incorrectly</t>
  </si>
  <si>
    <t>DK-10266</t>
  </si>
  <si>
    <t>Person hit by train at Skive</t>
  </si>
  <si>
    <t>When train 5401 was under deceleration for stopping at the platform in Skive track 2, the train hit "something", which subsequently turned out to be a person</t>
  </si>
  <si>
    <t>Unauthorised person at the track</t>
  </si>
  <si>
    <t>DE-10145</t>
  </si>
  <si>
    <t>Trains collision, 19/10/2021, Bf Flandersbach</t>
  </si>
  <si>
    <t xml:space="preserve">Am 19.10.2021 gegen 06:42 Uhr kollidierte der Güterzug GAG 68432, auf der Fahrt von Oberhausen West nach Flandersbach, mit einer unbeabsichtigt entlaufenen Fahrzeuggruppe auf der Weiche 01W3 des Bahnhofs Flandersbach. </t>
  </si>
  <si>
    <t>Bf Flandersbach</t>
  </si>
  <si>
    <t>DB Cargo AG; MGW Gleis- und Weichenbau-Gesellschaft mbH &amp; Co. KG</t>
  </si>
  <si>
    <t>Die in Gleis 3 abgestellte Fahrzeuggruppe war nicht ausreichend gegen unbeabsichtigtes Entlaufen gesichert. Aufgrund des starken Gefälles mit -12,1 ‰ von km 12,339 bis Einfahrsignal 01A war in diesem Bereich des Gleises 3 das Abstellen von Fahrzeugen verboten. Darüber hinaus wurde das Gleis 3 nach Abschluss von Oberbauarbeiten an den Fahrdienstleiter „Frei und Befahrbar“ gemeldet, obwohl das Gleis noch durch die Fahrzeuggruppe besetzt war.</t>
  </si>
  <si>
    <t>HU-10148</t>
  </si>
  <si>
    <t>SPAD, 21/10/2021, Császárszállás</t>
  </si>
  <si>
    <t>The freight train passed the signal at dander, and the safety system did not stopped it.</t>
  </si>
  <si>
    <t>Császárszállás</t>
  </si>
  <si>
    <t>the locomotive driver most likely failed to apply the brakes in time due to a micro-sleep</t>
  </si>
  <si>
    <t>the infrastructure manager does not consider the shortcomings of the safety installation (resulting from its design) as a risk to be managed</t>
  </si>
  <si>
    <t>DK-10281</t>
  </si>
  <si>
    <t>Accident to persons caused by RS in motion, 24/10/2021, Holmstrup (Denmark)</t>
  </si>
  <si>
    <t>Person hit by the train</t>
  </si>
  <si>
    <t>Between  Holmstrup and Odense</t>
  </si>
  <si>
    <t>It was an elderly demented man who had left a nearby care center without the staff noticing</t>
  </si>
  <si>
    <t>The person hit had previously been reported missing to the police, as he went on long walks, often far from the care centre. The man was equipped with an SOS/GPS alarm.</t>
  </si>
  <si>
    <t>CZ-10141</t>
  </si>
  <si>
    <t>Train derailment, 25/10/2021, Plzeň hl n station, Czech Republic</t>
  </si>
  <si>
    <t>Unauthorized movement of the shunting operation behind the shunting signal device Se 508 with consequent derailment at Plzeň hl n station</t>
  </si>
  <si>
    <t>Plzeň hlavní nádraží, district Jižní Předměstí station</t>
  </si>
  <si>
    <t>Causal factor:
• failure to respect the signal „Shunting forbidden” of the shunting signal device Se508 at Plzeň hlavní nádraží, district Jižní Předměstí station by the train driver of the shunting operation.                                                                                                                                                             Contributing factors:                                                                                   • unauthorized set in motion of the shunting operation without permission to shunting;
• unauthorized lighting of the signal „Shunting allowed” on the signal device Sc511 without previous grant of permission to shunting.</t>
  </si>
  <si>
    <t>CZ-10146</t>
  </si>
  <si>
    <t xml:space="preserve">Unauthorised train movement other than SPAD, 26-10-21, Lochovice station (Czech Republic) </t>
  </si>
  <si>
    <t>Uncontrolled movement of the diesel railcar from/for regional
passenger train No. 27716/27723.</t>
  </si>
  <si>
    <t>Lochovice station</t>
  </si>
  <si>
    <t>Causal factor:
• unsecure of the diesel railcar against unwanted movement by a train driver before its abandonment.</t>
  </si>
  <si>
    <t>CZ-10147</t>
  </si>
  <si>
    <t xml:space="preserve">Level crossing accident, 28-10-21, open line between Telč and Sedlejov stations (Czech Republic) </t>
  </si>
  <si>
    <t>Collision of the regional passenger train No. 1901 with a lorry at the level crossing No. P6433 between Sedlejov and Telč stations</t>
  </si>
  <si>
    <t>Open line between Sedlejov and Telč stations</t>
  </si>
  <si>
    <t>Total damage CZK 820 000,- (EU 33 374,-)</t>
  </si>
  <si>
    <t>Causal factor:
• an unauthorized entrance of the lorry at the level crossing No. P6433 at the time when the train No. 1901 was arriving, caused by behavior of the lorry driver, he did not react carefully enough and he did not make sure whether he could safely pass the level crossing.</t>
  </si>
  <si>
    <t>CZ-10149</t>
  </si>
  <si>
    <t>Trains collision, 31/10/2011, Open line between Albrechtice u Českého Těšína and Český Těšín stations</t>
  </si>
  <si>
    <t>Collision of the locomotive moving as shunting between operating control points for the stuck freight train No. 62054 with this train</t>
  </si>
  <si>
    <t>Open line between Albrechtice u Českého Těšína and Český Těšín stations</t>
  </si>
  <si>
    <t>Solo running locomotive (shunting between operating control points); freight train No. 62054</t>
  </si>
  <si>
    <t>CZK 513 310,- (€ 19 977,-); Rolling stock, Infrastructure</t>
  </si>
  <si>
    <t>Causal factor: 
• failure to stop of the shunting between operating control points No. 858011 in front of the standing locomotive of the stuck freight train No. 62054 due to failure to use the sanding equipment for prevention of wheel slide skid of wheels during breaking at place where it was reduced coefficient of adhesion rate and for deflect of collision by train driver of the shunting between operation control points.
Contributing factor:
• reduction of the coefficient of adhesion friction which is necessary for stop of the shunting between operating control points on the track line No. 2 between Český Těšín and Albrechtice u Českého Těšína stations; this situation was caused by lodgment of rutted vegetation (leaves) residues on the tops of the heads of both rail strings by the interaction of atmospheric humidity at the time of the accident.</t>
  </si>
  <si>
    <t>RO-10150</t>
  </si>
  <si>
    <t>Train derailment, 3/11/2021, Berbești - Popești Vâlcea</t>
  </si>
  <si>
    <t>The 19th wagon from the composition of the freight train no. 23686 derailed between Berbești and Popești Vâlcea railway stations.</t>
  </si>
  <si>
    <t>Berbești - Popești Vâlcea</t>
  </si>
  <si>
    <t>SNTFN „CFR Marfă” SA</t>
  </si>
  <si>
    <t>Damage to the first bogie in the direction of travel from wagon no.81536653500-4.
The line was slightly damaged for about 65 meters.</t>
  </si>
  <si>
    <t>Causal factor:                                                                          
 existence, at the accident site, a group of improper normal wooden sleepers, (that were no more able to ensure the suitable fastening of the rails and keeping the track gauge between the limits of tolerances accepted by the regulation framework), leading to the exceeding of the maximum accepted limit of the gauge in operation, generating the loss of the support and guiding capacity of the rails, under the dynamic action of the rolling stock.</t>
  </si>
  <si>
    <t>Contributing factor: 
 going beyond the deadlines stipulated by the applicable legislation, for the performance of the periodical repairs at the line, where the accident happened, keeping the high level of chocking the track bed with vegetation and coal dust, it damaging earlier the wooden sleepers (their rot). 
Systemic factor: 
 allocation of material and human resources under the requirements for the suitable maintenance of the lines, in order to keep the track geometry within the tolerances accepted.                                              lack of management of risks associated to the danger generated by the keeping in operation, within a curve with small radius, two or many improper normal wooden sleepers in turn.</t>
  </si>
  <si>
    <t>HU-10151</t>
  </si>
  <si>
    <t>Level crossing accident, 6/11/2021, Pápa</t>
  </si>
  <si>
    <t>Passenger train collided with a car, the earning light did not closed the road.</t>
  </si>
  <si>
    <t>Pápa</t>
  </si>
  <si>
    <t>Car destroyed.</t>
  </si>
  <si>
    <t>signal of warning light</t>
  </si>
  <si>
    <t>failure of detection track circuit</t>
  </si>
  <si>
    <t>SE-10152</t>
  </si>
  <si>
    <t>Train derailment, 7/11/2021, Open line between Sikträsk and Linaälv stations on Malmbanan in the north of Sweden</t>
  </si>
  <si>
    <t xml:space="preserve">Derailment of a train transporting fine irone ore powder. The train that consisted of a two locomotives and 68 wagons derailed with 40 wagons. </t>
  </si>
  <si>
    <t>Open line between Sikträsk and Linaälv stations on Malmbanan in the north of Sweden</t>
  </si>
  <si>
    <t>LKAB Malmtrafik AB</t>
  </si>
  <si>
    <t>Major damage to infrastructure and rolling stock</t>
  </si>
  <si>
    <t>The assessment is that the derailment was caused by a fatigue crack in the rail which triggered a rail break. The crack formation had not been identified or remedied under the infrastructure manager's system for preventive maintenance</t>
  </si>
  <si>
    <t>DK-10284</t>
  </si>
  <si>
    <t>Accident to persons caused by RS in motion, 7/11/2021, Valby (Denmark)</t>
  </si>
  <si>
    <t>Valby</t>
  </si>
  <si>
    <t>Inattention (affected)</t>
  </si>
  <si>
    <t>Alcohol or drugs</t>
  </si>
  <si>
    <t>FR-10153</t>
  </si>
  <si>
    <t>Level crossing accident, 8/11/2021, Héricy</t>
  </si>
  <si>
    <t>teenager is hit by commuter train at unsupervised pedestrian level crossing</t>
  </si>
  <si>
    <t>Héricy</t>
  </si>
  <si>
    <t>a teenager is severely injured</t>
  </si>
  <si>
    <t>The direct cause of the accident is the crossing of the railway tracks by the pedestrian without having perceived the imminent arrival of a train.</t>
  </si>
  <si>
    <t>The BEA-TT considers that the most probable accident scenario has as its main factor the fact that the attention paid by the pedestrian to his telephone and the supposed use of his headphones as well as the wearing of the hood may have reduced his ability to perceive and apprehend the movement of trains.
Beyond this hypothesis, several factors could also have contributed to the occurrence of this accident:
➢ the choice by the pedestrian to take a route that includes PN n° 27a, while several alternative routes include uneven crossings of the railway tracks.
➢ the intrinsic visibility of PN n° 27a for a pedestrian arriving from the east is permanently reduced by the presence of a house with a dense hedge, and, occasionally by the presence of dense fog on the day of the accident ;
➢ the absence of light or sound equipment to warn of the arrival of a train; however, this situation was in accordance with the regulations at the time of the accident.</t>
  </si>
  <si>
    <t>HR-10160</t>
  </si>
  <si>
    <t>SPAD, 11-11-21, railway station Novska (Croatia)</t>
  </si>
  <si>
    <t>On November 11, 2021, at 10:15 a.m. on the section of line M103 at KM 000 + 684, train number 89265 did not stop in front of the input signal "C" of station Novska, which signaled the signal sign "Stop" and 
passed the unsecured LC "71-Novska". Shortly afterwards, train number 89265 stopped and drove backwards over the unsecured LC and stopped again in front of the input signal "C". When the train 
number 89265 entered the station Novska from the station Lipovljani, the train passed the input signal marked "C" which signaled the signal sign "Stop", as a result of which the automatic stop device on the 
locomotive was activated. The train stopped at the maneuvering signal marked 61V at KM 000+340. There were no injuries or fatally injuries in the incident, as well as no material damage on the railway 
infrastructure and railway vehicles.</t>
  </si>
  <si>
    <t>Station Novska</t>
  </si>
  <si>
    <t xml:space="preserve">Transagent Rail </t>
  </si>
  <si>
    <t>There wasn't material damage to the railway infrastructure and railway vehicle.</t>
  </si>
  <si>
    <t>The causal factor of the incident in question was passing of train next to the input signal which prohibited further driving and also passing over the unsecured LC, caused by the reduced perception of the train driver (Chapter 3.1.7., 3.1.9.).</t>
  </si>
  <si>
    <t>Contributing factor:                                                                                - none.                                                                                                          Systemic factors:                                                                                               - train driver did not fully comply with the prescribed work processes, i.e. did not stop in front of the input signal which prohibited further driving and also passing over the unsecured LC (Chapter 3.1.7., 3.1.9.),                  - reduced risk perception by train driver when performing a work task due to concentration of alcohol in the body and fatigue (Chapter 3.1.9.),                                                                       - possible insufficient work experience of the operating train driver (Chapter 3.1.9.).</t>
  </si>
  <si>
    <t>AT-10189</t>
  </si>
  <si>
    <t>Level crossing accident, Line, Level crossing km 20,280 between Bf Hofstetten-Grünau and Bf Weinburg</t>
  </si>
  <si>
    <t xml:space="preserve">At a level crossing that was technically secured (light signals emitted), there was a collision with a passenger car at km 20,280. </t>
  </si>
  <si>
    <t>Level crossing km 20,280 between Bf Hofstetten-Grünau and Bf Weinburg</t>
  </si>
  <si>
    <t>NÖVOG</t>
  </si>
  <si>
    <t>The train and the passenger car were badly damaged. The infrastructure was also damaged.</t>
  </si>
  <si>
    <t>Causative factor: The collision of train 6809 with the car was caused by the car entering the level crossing which at that time signalled a stop for road traffic.
Contributing factor: Failure by the car driver to observe the set of lights.</t>
  </si>
  <si>
    <t>Not applicable</t>
  </si>
  <si>
    <t>NO-10156</t>
  </si>
  <si>
    <t>Wrong-side signaling failure, 27/11/2021, Jar Metro station (nearby Oslo)</t>
  </si>
  <si>
    <t>Investigation of wrong side signalling failure at Jar Metro station, Kolsåsbanen
On Saturday 27 November, an error occurred in the signalling system at Jar Metro station in Bærum municipality. A track circuit, which helps to keep track of where the individual trains are, failed so that no trains were registered at the station.
A track circuit is used to clarify whether a defined track section is occupied by a train or vacant. This is a safety-critical system to avoid collisions between trains.
In this case, the traffic manager discovered that the train had disappeared from the track section, and switched off the train route automation. The traffic control was handled manually by the traffic manager until the error was rectified later the same day.
The investigation will clarify the sequense of events and identify possible causal factors. Any underlying conditions that may have contributed to the derailment will be mapped and analysed.</t>
  </si>
  <si>
    <t>Jar Metro station (nearby Oslo)</t>
  </si>
  <si>
    <t>Track circuit relay stuck in closed position</t>
  </si>
  <si>
    <t>The NSIA has been unable to come to a definitive conclusion as to why the relay did not open when the track circuit was short-circuited by the vehicles, but it is likely that vane rotation was prevented by small metal fragments found in the bearings of the relay’s vane. It has not been possible to determine how the metal fragments entered the bearings. The relay is a sealed unit that is only opened at the factory. A possible explanation comes from the way these bearings were manufactured or stored at the factory, or from improper cleaning during reassembly after being overhauled.Siemens Mobility Ltd. has changed its assembly process after the incident. The pivot bearings are now cleaned with ultrasonic cleaners before assembly.</t>
  </si>
  <si>
    <t>RO-10154</t>
  </si>
  <si>
    <t>Train derailment, 28/11/2021, Luduș - Sărmășel</t>
  </si>
  <si>
    <t>The AMX 1600 motor-driven running as a passenger train no.16301 derailed from two bogies between Luduș and Sărmășel railway stations.</t>
  </si>
  <si>
    <t>Luduș - Sărmășel</t>
  </si>
  <si>
    <t>REGIO CĂLĂTORI SRL</t>
  </si>
  <si>
    <t>RC-CF TRANS SRL</t>
  </si>
  <si>
    <t>Damage to the 3rd and 4th bogies in the direction of travel from AMX 1600 motor-driven.
The line was slightly damaged for about 78 meters.</t>
  </si>
  <si>
    <t>Causal factor:                                                                          
 Existence within the track, at the accident site, a group of improper normal wooden sleepers, that were not allowing the fastening of the screws for fixing the metallic plates and preventing the movement of the plates along the sleepers, favouring in a such way, the increase of the track gauge over the maximum value accepted in operation.</t>
  </si>
  <si>
    <t xml:space="preserve">Contributing factor: 
Performance of the track technical inspection at periods of time higher than those stipulated in the practice codes, it favouring the decrease of the activity efficiency and did not duly ensure the identification of the deterioration of failures existing on the line Luduș – Sărmășel.
Systemic factors: 
1. Non-performance of periodical repair for getting the proper maintenance of the lines and keeping the track geometry between the tolerances accepted, following the grant of insufficient material and human resources for these activities.
2. Deficiencies in the identification and assessment of the risks generated by own railway operations carried out by the entity in charge with the maintenance of the track superstructure, regarding the risk „derailment of railway vehicles”. 
</t>
  </si>
  <si>
    <t>RO-10155</t>
  </si>
  <si>
    <t>Train derailment, 29/11/2021, Turceni</t>
  </si>
  <si>
    <t>The 15th and 16th wagons from the composition of the freight train no. 23644 derailed in Turceni railway station.</t>
  </si>
  <si>
    <t>Damage to both bogies  from wagon no.31536654628-3 and  to first bogie in the direction of travel from wagon no.81536651676-4.
The line was damaged for about 30 meters.</t>
  </si>
  <si>
    <t>Causal factor:                                                                          
 Leaving the line by the right wheel from the first axle from the wagon no.31536654628-3 (the 15th one of the train), in the running direction, following the longitudinal breakage between the web and the head of a small rail section introduced at the first joint from the tip of the switch no.6, it led to the appearance of a gap of 190 mm and generating the loss of the supporting and guiding capacity of the rails.</t>
  </si>
  <si>
    <t>Contributing factor: 
Existence within the track, at the accident site, of the next conditions:
- wrong composition of the unit „joint”, from the right side in the running direction, from the tip of the switch no.6; 
- a group of improper normal wooden sleepers;
- high level of the choking of the broken stone bed with coal dust, that led to: excessive humidity, muddy joints and hidden gaps in the track bed.
Systemic factors: 
1.Granting of material and human resources, under the requirements level for the performance of corresponding maintenance at the lines, in order to keep the track geometry between the tolerances accepted.
2. Lack of management of the risks associated to the danger generated by the keeping in operation, within a curve with small radius, two or more improper wooden sleepers in turn.</t>
  </si>
  <si>
    <t>IT-10168</t>
  </si>
  <si>
    <t>Trains collision with an obstacle, 1/12/2021, Cedegolo (Brescia)</t>
  </si>
  <si>
    <t>collision with boulders and subsequent derailment of Trenord train no. 1917, on Cedegolo, Brescia-Iseo-Edolo line</t>
  </si>
  <si>
    <t>Cedegolo (Brescia)</t>
  </si>
  <si>
    <t>FERROVIENORD</t>
  </si>
  <si>
    <t>detachment of rock from the wall above the entrance to the tunnel side Edolo located below the network paramassi</t>
  </si>
  <si>
    <t>ineffectiveness of the devices already adopted in relation to the fessurative phenomena present in that area;
absence of devices to monitor rock displacements on the slope;
absence of devices to give warning to the drivers about the presence of stone elements or other obstacles on the railway line.</t>
  </si>
  <si>
    <t>FI-10162</t>
  </si>
  <si>
    <t>Train derailment, 2/12/2021, Oulunkylä, Käpylä-Oulunkylä section of line (line number 1101), km 7+337.</t>
  </si>
  <si>
    <t>A rolling stock transport train consisting a Dv12 diesel locomotive, a 2 wagon metro train and a modified passenger coach was travelling from Ilmala depot to Vuosaari when connection between locomotive and metro train broke. Metro train collided with locomotive. Collision broke the automatic coupler from metro train. Coupler fell on to tracks and derailed the metro train's 1st bogie.</t>
  </si>
  <si>
    <t>Oulunkylä, Käpylä-Oulunkylä section of line (line number 1101), km 7+337.</t>
  </si>
  <si>
    <t>VR Yhtymä Oy</t>
  </si>
  <si>
    <t>Metro train's 1st wagon's end structure and under floor equipment were badly damaged.</t>
  </si>
  <si>
    <t>The train broke in two, because the towing adapter and the metro coupling malfunctioned at the same time. After the train broke up, the brakes of the measurement wagon did not function as planned due to the implementation of the temporary brake pipe, which caused the collision and derailment.</t>
  </si>
  <si>
    <t xml:space="preserve">The implementation of special transports and the equipment used in them, such as towing adapters, have not always been handled as critical to safety in rail traffic.
After several repaired metros had been transferred on the track as special transport, the risks of the locally made decisions in the transports were typically no longer assessed before a transport. The risk assessment had been made at an earlier planning stage. As the special transports continued, people started to consider the exceptional solutions used in the transports as normal. </t>
  </si>
  <si>
    <t>HR-10165</t>
  </si>
  <si>
    <t>Level crossing accident, 03-12-21, LC Blok 3 (between stations Zagreb Klara and Hrvatski Leskovac)</t>
  </si>
  <si>
    <t>On December 03, 2021 at 06:18 p.m. at the LC "Block 3", actively provided with light and sound signals and half-barriers, at KM 000+ 910 on line M404, between stations Zagreb Klara and Hrvatski Leskovac, was a collision of freight train number 81973 with two road motor vehicles. There were no fatalities or injuries in the accident, while there was more material damage to road motor vehicles and less to the locomotive of the freight train.</t>
  </si>
  <si>
    <t>LC Blok 3 (between stations Zagreb Klara and Hrvatski Leskovac)</t>
  </si>
  <si>
    <t>HZ Cargo</t>
  </si>
  <si>
    <t>There was more material damage to road motor vehicles and less to the locomotive of the freight train.</t>
  </si>
  <si>
    <t>The causal factor of the subject accident was passing of train number 81973 over the LC, which was not secured at the time the train passed, and collision of the train with two road motor vehicles that were crossing the unsecured LC at that moment (Chapter 3.2.1).</t>
  </si>
  <si>
    <t>Contributing factor: 
- 	reduced visibility due to night (Chapter 3.1.3).
System factor:
- 	failure of the signaling safety device for the protection of the railway-road crossing (Chapter 3.2.3), (turning off the device for securing the LC before the arrival of the train).</t>
  </si>
  <si>
    <t>RO-10159</t>
  </si>
  <si>
    <t>Train derailment, 6/12/2021, Barboși Triaj</t>
  </si>
  <si>
    <t>The first wagon from the composition of the freight train no. 30630-1 derailed in Barboși Triaj railway station.</t>
  </si>
  <si>
    <t>Barboși Triaj</t>
  </si>
  <si>
    <t>Damage to first bogie in the direction of travel from wagon no.833535421218-5.
The line was slightly damaged for about 60 meters.</t>
  </si>
  <si>
    <t>Causal factor:                                                                          
Existence, within the track, at the accident site, a group of improper normal wooden sleepers (that did no more ensure the suitable fastening of the inner rail of the curve and keeping of the track gauge between the limits of tolerances accepted by the regulation framework), leading to the exceeding of the maximum limit accepted for the track gauge in operation, it generating the loss of the supporting and guiding capacity of the rails, under the dynamic action of the rolling stock.</t>
  </si>
  <si>
    <t xml:space="preserve">Contributing factor: 
None.
Systemic factors: 
1. Insufficient material and human resources granted to the Line District no.3 Barboși Triaj for the line maintenance.
2. Ineffective management of the risk generated by the keeping within the track the improper sleepers.
</t>
  </si>
  <si>
    <t>HU-10161</t>
  </si>
  <si>
    <t>Notification of train collision with an obstacle at Szolnok at 07/12/2021</t>
  </si>
  <si>
    <t>The freight train no. 45999 collided with a bumping post at Szolnok station. The locomotiv derailed with two bogies. No one was injured.</t>
  </si>
  <si>
    <t>MVÁ Kft.</t>
  </si>
  <si>
    <t>The locomotive derailed.</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</si>
  <si>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VI. őrhely forgalmi szolgálattevője telefonon engedélyt adott a
45999 sz. vonat mozdonyvezetőjének a „Megállj!” állású jelző
melletti elhaladásra, annak ellenére, hogy nem győződött meg arról
minden kétséget kizáróan, hogy a mozdonyvezető a vonatával az
állomás melyik jelzőjénél áll (4.3.2.2).
b) a 45999 sz. vonat mozdonyvezetője a VI. őrhely forgalmi
szolgálattevőjétől telefonon kapott engedély alapján elindította a
vonatát és meghaladta Szolnok B elágazás „Megállj!” állású „K” jelű
bejárati jelzőjét, annak ellenére, hogy a telefonban nem egy főjelző,
hanem egy térközjelző melletti elhaladásra kapott engedélyt
(4.3.2.3).
5.1.2 Hozzájáruló tényezők
Cselekmények, hibák, események vagy feltételek, amelyek azáltal befolyásolták
az eseményt, hogy növelték a bekövetkezés valószínűségét, felgyorsították a
hatásokat, vagy fokozták a következmények súlyosságát, de kiiktatásuk nem
akadályozta volna meg az esemény bekövetkezését:
a) a mozdonyvezető ugyan adminisztrációs (jogi) értelemben véve
rendelkezett vonalismerettel az érintet vonalszakaszra, azonban
valós tudása és tapasztalata nem volt (4.3.2.3);
b) a környezeti körülmények és tényezők nehezítették a
mozdonyvezetőt a tájékozódásban és pozíciójának
meghatározásában (4.3.4);
c) a „Megállj!” állású főjelző mellett történő elhaladást követően a
mozdonyvezető eltörölte a vonatbefolyásoló „vörös” jelzését és
„TOLATÁS” üzemmódba kapcsolt (4.2.2);
d) az eset idején az elágazási biztosítóberendezés távvisszajelentése
nem működött (3.1.8), ezért a főrendelkező nem tudott
meggyőződni a 45999 sz. vonat valós helyzetéről és
félretájékoztatta a mozdonyvezetőt arról, hogy ki az érintett jelző
kezelője (4.3.2.1);
e) az eseményben érintett személyek szakmai tudása hiányos volt,
ezért az általuk tanúsított szakmai magatartás és tevékenység is
felületes volt (4.3.2):
 a főrendelkező keverte a bejárati és a kijárati jelzők
fogalmát,
 a VI. őrhely forgalmi szolgálattevője keverte az állomáson a
„feljáró” és „kijáró” vágányok elhelyezkedését,
 a mozdonyvezető keverte a főjelzők és az önműködő
térközjelzők színezését.</t>
  </si>
  <si>
    <t>5.1.3 Rendszerszintű tényező
Szervezeti, vezetési, társadalmi vagy szabályozási jellegű ok-okozati vagy
hozzájáruló tényezők, amelyek a jövőben valószínűleg hatással lehetnek hasonló
és kapcsolódó eseményekre, különösen ideértve a szabályozási keretfeltételeket,
a biztonságirányítási rendszer kialakítását és alkalmazását, a személyzet
készségeit, az eljárásokat és a karbantartást:
a) a mozdonyvezetőt alkalmazó vasúttársaság jogosulatlanul
vizsgáztatta le a mozdonyvezetőt vonalismeretből, többek közt az
érintett vonalszakaszra vonatkozóan is (4.3.3.1).</t>
  </si>
  <si>
    <t>IE-10397</t>
  </si>
  <si>
    <t>Operational event, 7/12/2021, Clontarf</t>
  </si>
  <si>
    <t xml:space="preserve">Train E240 (passenger service 15:40 hrs Howth to Bray) experienced wheel slide on approach to Signal DN287 (Signal DN287 is on approach to Clontarf Road from the Belfast end) and was unable to stop, passing the signal at danger. </t>
  </si>
  <si>
    <t>Clontarf</t>
  </si>
  <si>
    <t>·        Driver E240 had an over-reliance on the ATP system to control the speed of the train;</t>
  </si>
  <si>
    <t>The competency management system for drivers did not identify that drivers may be over-reliant on the ATP resulting in no requirement for DTEs to check for ATP penalty brake applications</t>
  </si>
  <si>
    <t>DK-10286</t>
  </si>
  <si>
    <t>Trains collision near miss,  8/12/2021, Maribo-Sakskøbing (Denmark)</t>
  </si>
  <si>
    <t>Train near miss a digger machine</t>
  </si>
  <si>
    <t>Between Maribo and Sakskøbing</t>
  </si>
  <si>
    <t>Lokaltog A/S</t>
  </si>
  <si>
    <t xml:space="preserve">The incident occurred as a result of the train was given permission (signal) to run out on the line between Maribo and Sakskøbing at the same time that a work crew was given permission (short blocking of line) to run an excavator/digger out on the track.
The cause was partly that
• When the Signaller gave the permission to the Supervisor of the railway workers, he had focus on the free line between Sakskøbing and Gränge and thereby placed his obstacle of signaling to the wrong trak section.
• Neither the Signaller nor the Supervisor of the railway workers complied the rules for short-term track blocking around local coverage (use of shorting strap). Blocking of the line was agreed/established at the same time where a train was ongoing from from Sakskøbing to Maribo, while at the same time the Signaller was busy with other tasks.
</t>
  </si>
  <si>
    <t xml:space="preserve">Failure to use a shorting strap (local coverage) disables the safety barriers that should prevent incidents (potential accidents) in such situations.
This seems to be because it was a custom not to establish and cover track barriers on the line correctly, there was a general opinion among all staff groups that you could use it, but that you necessarily shouldn't. Based on the information provided, the most widespread was that it was not used. That custom had apparently also spread to plan blocking of tracks, where it was also stated on the issued blocking circulars that shorting straps should not be used. Contributing to this custom could be that this line was the only line of Lokaltog A/S infrastructure where there are track isolations for train detection on the free track.
It is likely that the combination of the fact that it was entirely up to the Signaller to allow short-term track blocking (without prior planning) and on-the-day factors such as:
•the changed timetable
•the many tribal prey
•delays and call-outs
•the manual modes of operation
•dispositions and extra trains
•rush hour
may have influenced the Signaller to such an extent that the overview is lost.
</t>
  </si>
  <si>
    <t>CZ-10163</t>
  </si>
  <si>
    <t>Level crossing accident, 09/12/2021, open line between Jablonné nad Orlicí and Letohrad stations</t>
  </si>
  <si>
    <t>Collision of the regional passenger train No. 7153 with a lorry at the level crossing No. P4073 with consequent derailment between Jablonné nad Orlicí and Letohrad stations</t>
  </si>
  <si>
    <t>Open line between Jablonné nad Orlicí and Letohrad stations</t>
  </si>
  <si>
    <t>Total damage CZK 13 493 296,- (EUR 554 140,-)</t>
  </si>
  <si>
    <t>Causal factor:
• the lorry got stuck at loading gauge at the level crossing No. P4073 and it was not remove before the regional passenger train No. 7153 was arriving, caused by unexpected technical failure of the lorry.</t>
  </si>
  <si>
    <t>NO-10174</t>
  </si>
  <si>
    <t>Train derailment, 9/12/2021, Straumsnes station</t>
  </si>
  <si>
    <t>Investigation of derailment at Straumsnes station Ofotbanen 
Thursday 9 December approx. at 04 an ore wagon derailed at Straumsnes station in the direction of Sweden.
The derailment was discovered close to Rombak station where the driver stopped and found that car no. 12 had derailed with a bogie.
No people were injured in the derailment, but there was damage to the track between the stations Straumsnes and Rombak.
The investigation will clarify the sequense of events and identify possible causal factors. Any underlying conditions that may have contributed to the derailment will be mapped and analysed.</t>
  </si>
  <si>
    <t>Straumsnes station</t>
  </si>
  <si>
    <t>Damage to the track between the stations Straumsnes and Rombak. Some damage to iron ore wagon</t>
  </si>
  <si>
    <t>Uneaven loadong of wagon made it possible for a wheel to lift from the track</t>
  </si>
  <si>
    <t>No system was established for visual inspection of the interior of the ore wagons after unloading. The need for this was not identified in the risk assesment. The situation wa detected by an IM detector system, but the detector was not set up to warn the RU</t>
  </si>
  <si>
    <t>AT-10188</t>
  </si>
  <si>
    <t>Level crossing accident, 10/12/2021, Level crossing km 11,771 between Bf Reutte and Bf Vils</t>
  </si>
  <si>
    <t>At around 12:55 on 10 December 2021, train 5517 which was travelling from the direction of Vils towards Reutte in Tyrol collided with a small truck which was entering the crossing from the left at the level crossing which is located at km 11.771 between the stops Musau and Pflach and which was protected by means of acoustic signals issued by the rail vehicle.</t>
  </si>
  <si>
    <t>Level crossing km 11,771 between Bf Reutte and Bf Vils</t>
  </si>
  <si>
    <t>The railcar of train 5517 was damaged in the front (damage € 70,000). 
The damage to the small truck resulted in a total loss (damage € 15,000). Damage also occurred to the signs at the level crossing, a street light, and the wooden fence on an adjacent piece of private property.</t>
  </si>
  <si>
    <t>Causal factor
The causal factor for the collision was the simultaneous entry into the level crossing at km 11.771 by the small truck and train 5517.
The driver of the small truck entered the level crossing without sufficiently ascertaining whether a safe crossing is possible by viewing the road bed and attentively listening for any acoustic signals being issued by a rail vehicle in both directions of the track while approaching the crossing. The vehicle was also not stopped at the “stop sign” (mandatory sign “stop” in accordance with Section 2 no. 7 Rail Crossing Ordinance [EisbKrV 2012] and Section 52 no. 24 Road Traffic Act [StVO 1960]) beforehand.
Contributing factor
It was not possible to fully ascertain why the “attention” signal issued by the rail vehicle was not recognised by the driver of the small truck already during the approach to the level crossing, rather not until immediately before the collision, after the small truck had entered the crossing. It is possible that attention was focused at this time on the passenger car to which the driver of the small truck had yielded, causing the driver of the small truck to be distracted but to be unaware of this distraction, and attention may have also been focused on the slippery road conditions.</t>
  </si>
  <si>
    <t>IT-10167</t>
  </si>
  <si>
    <t>Accident to persons caused by RS in motion, 14/12/2021, Torino Orbassano</t>
  </si>
  <si>
    <t xml:space="preserve">fatal investment of a driver of Mercitalia train no. 49353, in Turin Orbassano bundle arrivals </t>
  </si>
  <si>
    <t>Torino Orbassano</t>
  </si>
  <si>
    <t>MIR (Mercitalia Rail)</t>
  </si>
  <si>
    <t>RFI (Rete Ferroviaria Italiana)</t>
  </si>
  <si>
    <t>no damage</t>
  </si>
  <si>
    <t>human error and non-compliant activities by drivers</t>
  </si>
  <si>
    <t>the two drivers have decided to carry out independently the coupling;
the cab design of locomotive E652 does not allow the driver in the cab to see who is in front of the locomotive;
rules describing the coupling of the vehicles by "verbal agreements" do not identify a specific communication protocol (terminology, signals, gestures, etc.) to use from operators.</t>
  </si>
  <si>
    <t>BG-10220</t>
  </si>
  <si>
    <t>Train derailment, 14/12/2021, Mezdra station</t>
  </si>
  <si>
    <t>Derailment of wagons from the composition of direct freight train № 20692 in Mezdra station on 14.12.2021.</t>
  </si>
  <si>
    <t>Mezdra station</t>
  </si>
  <si>
    <t>Damages caused to the derailed 5 wagons, rail track and facilities, signalling, modification of the train schedule.</t>
  </si>
  <si>
    <t>Derailment of the first bogie of the 13th wagon</t>
  </si>
  <si>
    <t>Spreading of the flange bracelet during the train movement, combined with the significant horizontal transverse forces when passing through the entrance of the station.</t>
  </si>
  <si>
    <t>DE-10205</t>
  </si>
  <si>
    <t>Train derailment, 16/12/2021, Hp Berlin Friedrichstraße (Nord-Süd-Tunnel)</t>
  </si>
  <si>
    <t>Am 16.12.2021 gegen 00:01 Uhr entgleiste der Zug S 2129 auf der Fahrt von Bernau (b Berlin) nach Blankenfelde (Kr Teltow-Fläming) im Bereich des Bahnhofs Berlin Nordbahnhof, im dazugehörigen Streckenabschnitt zwischen dem Bahnhofsteil Berlin Oranienburger Straße und dem Haltepunkt Berlin Friedrichstraße (Nord-Süd-Tunnel), etwa in km 1,82.</t>
  </si>
  <si>
    <t>Hp Berlin Friedrichstraße (Nord-Süd-Tunnel)</t>
  </si>
  <si>
    <t>S-Bahn Berlin GmbH</t>
  </si>
  <si>
    <t>Es entstanden Schäden an der Infrastruktur und an den Fahrzeugen.</t>
  </si>
  <si>
    <t xml:space="preserve">Nach bisherigen Erkenntnissen ist die Entgleisung auf fahrdynamische Einflüsse zurückzuführen, welche durch das Zusammenwirken von Fahrweg und Fahrzeug hervorgerufen wurden. </t>
  </si>
  <si>
    <t>PT-10185</t>
  </si>
  <si>
    <t>Accident to persons caused by RS in motion, 19/12/2021, Ermesinde station</t>
  </si>
  <si>
    <t>Collision of a train with a person using a passage between station platforms.</t>
  </si>
  <si>
    <t>Ermesinde station</t>
  </si>
  <si>
    <t>Comboios de Portugal, E.P.E.</t>
  </si>
  <si>
    <t>DK-10287</t>
  </si>
  <si>
    <t>Trains collision near miss,  21/12/2021, Ørholm-Fuglevad (Denmark)</t>
  </si>
  <si>
    <t>Trains collision near miss on a single track</t>
  </si>
  <si>
    <t>Between Ørholm and Fuglevad</t>
  </si>
  <si>
    <t>Based on the operation of the signal system, Playback/event log and witnesses' explanations, it is AIB Denmark assessment that train 240168 ran without permission (signal passed at danger) from Ørholm station and
out on the section towards Fuglevad, where train 240161 was heading towards the station.</t>
  </si>
  <si>
    <t>The fact that the line was not equipped with a train control system contributed to the fact that the unintentional start of a train from a station could, under somewhat different circumstances, have resulted in
a serious accident.
The study has identified certain human factors that cannot be denied to have
had an influence on the course of events.
It cannot be denied that the combination of the factors applicable on the day such as:
• the missed break
• the tight timetable
• the short turnaround times
• the monotonic driving
• the position of the sun
may have affected the driver's concentration to such an extent that starting from Ørholm station took place without permission.</t>
  </si>
  <si>
    <t>PT-10181</t>
  </si>
  <si>
    <t>Level crossing accident, 22/12/2021, (Linha do Alentejo), near Alcáçovas</t>
  </si>
  <si>
    <t>Collision of IC train 688 at private level crossing, causing the death of the car driver and the derailment of the train.</t>
  </si>
  <si>
    <t>Level crossing 128,209 (Linha do Alentejo), near Alcáçovas</t>
  </si>
  <si>
    <t>Substantial damage to DMU. Destruction of road vehicle.</t>
  </si>
  <si>
    <t>the accident resulted directly from the driver of the road vehicle not stopping before the LC, in order to assure himself that it was safe to cross.
It was not possible for the investigation to determine with certainty the factors that led the road driver to not adopt the expected and defined behaviour for crossing the LC, nor to stop in the face of the imminent approach of the IC 688 train. However, the scope deliberately defined for the investigation focused especially on the LC protection system and its compliance with the legal requirements for private LCs, aspects where the GPIAAF considered there was the greatest learning potential for the rail system.</t>
  </si>
  <si>
    <t>the investigation found that, despite the requirement expressed in the Level Crossing Regulation (RPN) for private LCs to be equipped, at least, with padlocked physical obstacles, the level crossing at PK 128,209 of the Linha do Alentejo had, for more than ten years, a free access to the railway, in parallel to the one that had originally been constituted in line with the applicable rules. In this way, the physical barrier obliging users to stop and perform various tasks before and after crossing the railway was missing.
This status of the LC was known by the rail infrastructure manager (IM), being implicitly accepted based on its own understanding of the RPN requirements. However, despite this LC having unique characteristics in the national rail network, the safety management system (sms) was not robust enough to guarantee two of its obligations: (i) that it was ensured that the LC conditions were in compliance with legal requirements and (ii) that the risk had been analysed in order to assess whether the conditions implemented were adequate for the intended level of safety, especially as the RPN provides that the IM may determine additional safety measures.
Additionally, the inspection actions over the national rail network and the supervision of the sms of the IM, both an obligation of the national safety authority (NSA), were not effective in identifying the non-compliance with the national rules of the LC, which had been lasting for more than ten years.</t>
  </si>
  <si>
    <t>DK-10282</t>
  </si>
  <si>
    <t>Defective wheel bearing, 23/12/2021, Hjørring (Denmark)</t>
  </si>
  <si>
    <t>Defective wheel bearing</t>
  </si>
  <si>
    <t>Hjørring</t>
  </si>
  <si>
    <t>The axle bearing probably failed as a result of increased axial play and/or damage as a result of foreign objects in the bearing.</t>
  </si>
  <si>
    <t>Among the contributing causes may be: 
- a maintenance manual which was not suitable for the work carried out 
- insufficient tightening.</t>
  </si>
  <si>
    <t>RO-10166</t>
  </si>
  <si>
    <t>Train derailment, 27/12/2021, Chiajna</t>
  </si>
  <si>
    <t>The 25th wagon from the composition of the freight train no. 67400 derailed in Chiajna railway station.</t>
  </si>
  <si>
    <t>Chiajna</t>
  </si>
  <si>
    <t>SC TIM RAIL CARGO SRL</t>
  </si>
  <si>
    <t>Damage to first bogie in the direction of travel from wagon no.33535320016-5.
The line was damaged for about 90 meters. A contact line pole was broken.</t>
  </si>
  <si>
    <t xml:space="preserve">Causal factor:                                                                          
  keeping within the track, at the accident site, a group of improper special wooden sleepers, in turn, whose technical condition could no more ensure the effective fastening of the metallic plates, following of it, in dynamic conditions, under the load applied by the wheels of the guiding axle of the wagon no.33535320016-5, the track gauge increased too much, allowing the fall from the left rail (inner rail of the curve) of the left wheel from this axle (in the running direction);
   failure at the wagon, represented by the thickness of the flange of wheel no.1 under the limit accepted in operation. </t>
  </si>
  <si>
    <t xml:space="preserve">Contributing factor: 
 performance of the fortnightly track inspection, by an incomplete team, at times higher than those stipulated by the practice codes, it favouring the decrease of this activity effectiveness, following the bad surveillance of the development of the failures existing at the switch no.19 from the railway station Chiajna.
 Systemic factors: 
 ineffective management of the risk associated to the danger generated by the keeping into operation the improper special wooden sleepers within the switch;
 provision with insufficient material and human resources in relation to the necessary one, in order to get the suitable maintenance of the lines and switches, for keeping the track geometry between the tolerances accepted.
 ineffective management of the railway undertaking for the danger represented by the non-identification of all failures existing at the wagons. 
</t>
  </si>
  <si>
    <t>CZ-10169</t>
  </si>
  <si>
    <t xml:space="preserve">Level crossing accident, 29-12-21, open line between Rožná and Bystřice nad Pernštejnem stations (Czech Republic) </t>
  </si>
  <si>
    <t>Collision of the regional passenger train No. 14901 with a lorry at the level crossing and consequent derailment.</t>
  </si>
  <si>
    <t xml:space="preserve"> open line between Rožná and Bystřice nad Pernštejnem stations, the level crossing No. P7054, km 69,846</t>
  </si>
  <si>
    <t>CZK 20 169 037,- (EUR 808 054,-); rolling stock, infrastructure, other</t>
  </si>
  <si>
    <t>Causal factor: 
• an unauthorized entrance of the lorry at the level crossing No. P7054 at the time when the train No. 14901 was arriving, caused by behavior of the driver of the lorry, who did not respect the light and acoustic warning of the level crossing safety equipment and did not make sure whether he could safely pass the level crossing.
Contributing factor: none.</t>
  </si>
  <si>
    <t>RO-10172</t>
  </si>
  <si>
    <t>Train derailment, 30/12/2021, Nazarcea</t>
  </si>
  <si>
    <t>8 wagons from the composition of the freight train no. 66648030 derailed in Nazarcea railway station.</t>
  </si>
  <si>
    <t>Nazarcea</t>
  </si>
  <si>
    <t>SC Grup Feroviar Român SA</t>
  </si>
  <si>
    <t>Damage to the bogies of the wagons no.89536950076-7, 89536950426-0, 89536950021-3, 89536950017-1, 83536652933-6, 89536950137-7, 89536950124-5 and 89536950129-4.
The line was damaged for about 130 meters.</t>
  </si>
  <si>
    <t>Causal factor:                                                                          
 keeping within the track, at the accident site, a group of improper normal wooden sleepers whose technical condition were no more able to ensure the effective fastening of the metallic plates, following of it, in dynamic condition, under the load applied by the wheels of the guiding axle from the wagon no.89536950076-7, the track gauge increased excessively and allowed the fall from the left rail (inner rail of the curve) of the left wheel (in the running direction) from that axle.</t>
  </si>
  <si>
    <t xml:space="preserve">Contributing factors: 
 irregular loading of the wagon no.89536950076-7 against the longitudinal axis, following of it the lateral forces applied to the rail by the wheels of the guiding axle increased and contributed in a such way to the increase of the track gauge;
 taking over the wagon no.83536658166-7, by the railway undertaking, without visually checking if the loading of the freight into this wagon complies with the provisions from Book I – „Principles” of the Loading rules issued by UIC.
Systemic factors: 
 ineffective management, of the infrastructure manager, of the risk associated to the danger of keeping within the track the improper sleepers;
 ineffective monitoring, of the infrastructure manager, of the line repairs and maintenance, carried out by the render of line maintenance on the noninteroperable track section where the accident happened; 
 failure in ensuring, by the railway undertaking, the conditions for the performance of checking the distribution of freight in wagons, during the delivery-reception of the wagons loaded, made between its representatives and those of the forwarder;
 the documents concluded between the railway undertaking and the freight forwarder did not meet with the provisions of the national regulation framework regarding the delivery-reception of the wagons loaded with freight.
</t>
  </si>
  <si>
    <t>LV-10175</t>
  </si>
  <si>
    <t>Train derailment, 1/1/2022, Zilupe, Ludza Municipality</t>
  </si>
  <si>
    <t>NIB LV</t>
  </si>
  <si>
    <t>January 1, 2022 at 15-55. at Zilupe railway station, on track No.5.  wagon No.52673068 of train No.2624 derailed due to bogie side frame breakage</t>
  </si>
  <si>
    <t>Zilupe, Ludza Municipality</t>
  </si>
  <si>
    <t>Latvia - Ltd “LDZ CARGO”</t>
  </si>
  <si>
    <t>Latvia - State join-stock company "Latvijas dzelzcels" (Latvian Railway)</t>
  </si>
  <si>
    <t>Track, switch, rolling stock</t>
  </si>
  <si>
    <t>The cause of the accident was the internal defects of the metal casting of the side frame of the bogie, which led to the formation of a fatigue crack during the operation of the part, the fracture of the side frame of the bogie during the movement of the train with the subsequent derailment of the wagon.</t>
  </si>
  <si>
    <t>Failure to discover an old fatigue crack in the side frame of the bogie during wagon maintenance became a contributing factor.</t>
  </si>
  <si>
    <t>HU-10240</t>
  </si>
  <si>
    <t>Level crossing accident, 01/01/2022, Tapolca</t>
  </si>
  <si>
    <t>the train № 9797 collided with an automobile at 9:50 a.m. on 1 January 2022 in the level crossing with warning lights № AS1159. The collision resulted in the death of four of the five people in the automobile and serious injuries to one.</t>
  </si>
  <si>
    <t>Tapolca</t>
  </si>
  <si>
    <t>The loco, and the signal demaged.</t>
  </si>
  <si>
    <t>the driver of the road vehicle failed to stop at the “Start of level crossing” sign, ignoring the red flashing warning light, and ran into the crossing when the train arrived.</t>
  </si>
  <si>
    <t>RO-10173</t>
  </si>
  <si>
    <t>Fire in RS, 2/1/2022, Crivina - Brazi</t>
  </si>
  <si>
    <t>A fire brust out at the locomotive of freight train no.56300.</t>
  </si>
  <si>
    <t>Crivina - Brazi</t>
  </si>
  <si>
    <t>The DA1547 locomotive was 30% affected by the fire.</t>
  </si>
  <si>
    <t xml:space="preserve">Causal factor:                                                                          
- operation of the diesel-electric locomotive DA1547 with the maximum accepted values of the current in the groups of the traction engines in operation, during the hauling of the freight train no.56300-1.
</t>
  </si>
  <si>
    <t>Contributing factor: 
- lack of correlation of the low hauling performances of the locomotive (having the group no.2 of traction engines cut off) with the effective tonnage of the freight train no.56300-1, by the proportional decrease of the tonnage stipulated in the working timetable of the freight trains.
 Systemic factor: 
- non-identification of the danger represented by „Hauling of the trains with locomotives whose technical condition does not allow the hauling of the tonnage stipulated in the working timetables”.</t>
  </si>
  <si>
    <t>IT-10253</t>
  </si>
  <si>
    <t>Rolling stock event, 4/1/2022, Barletta (Puglia)</t>
  </si>
  <si>
    <t>train 58006 of GTS Rail split into two parts, between wagons 7 and 8</t>
  </si>
  <si>
    <t>Barletta (Puglia)</t>
  </si>
  <si>
    <t>GTS Rail</t>
  </si>
  <si>
    <t xml:space="preserve">RFI SpA </t>
  </si>
  <si>
    <t>slight damage to the freight wagon;
no damage to railway infrastructure</t>
  </si>
  <si>
    <t>loss of the draw hook from the eyelet of the draw gear</t>
  </si>
  <si>
    <t>leakage of the pin that held the pull hook in place and unscrewing the retaining bolts that secured the pin to the draw gear</t>
  </si>
  <si>
    <t>RO-10176</t>
  </si>
  <si>
    <t>Train derailment, 7/1/2022, Filești - Cătușa</t>
  </si>
  <si>
    <t>Four wagons (from the 3th to the 6th) from the composition of the freight train no.77146 derailed in open line (broad gauge line) between Filesti and Catusa railway stations, one of which (the 3th) overturned.</t>
  </si>
  <si>
    <t>Filești - Cătușa</t>
  </si>
  <si>
    <t xml:space="preserve">Damage to the bogies and the box of the wagon no.52277464 (the 3th in composition of the train). Damage to the first wheelset ofthe wagon nr.52277464 (the 4th). Damage to all wheelsets of the wagon no.61517355 (the 5th). Damage to the first 3 wheelsets of the wagon no.67846610 (the 6th).
The line was damaged for about 51 meters. </t>
  </si>
  <si>
    <t>Causal factor:                                                                          
- existence within the track, at the accident site, a group of improper wooden sleepers (that could no more ensure the suitable fastening of the rails and keeping of the track gauge between the limits of the tolerances accepted by the regulation framework), led to the exceeding of the limits accepted for the track gauge in operation, it generating the loss of the support and guiding capacity of the rails, under the dynamic action of the rolling stock.</t>
  </si>
  <si>
    <t xml:space="preserve">Contributing factor: 
- exceeding of the accepted running speed, established by the speed restriction of 5 km/h, stipulated into the Notification Sheet of Restrictions, restriction that was not signalled along the line.
 Systemic factors: 
1. insufficient material and human resources supplied to the Lines District no.4 Galați Călători for the maintenance of the lines;
2. ineffective management of the risk generated by the keeping within the track of improper sleepers;
3. ineffective management of the risk generated by the danger represented by the exceeding by the trains of the maximum speeds, accepted by the line, of the maximum speeds from the working timetables or running slip.
</t>
  </si>
  <si>
    <t>HU-10177</t>
  </si>
  <si>
    <t>Runaway, 10/1/2022, Hidasnémeti</t>
  </si>
  <si>
    <t>Freight train ran away from Slovakia to Hungary, and stopped on a regional line.</t>
  </si>
  <si>
    <t>Hidasnémeti</t>
  </si>
  <si>
    <t>SK-PSP</t>
  </si>
  <si>
    <t>the brake valve of the diesel locomotive, which was forwarded at the end of the train closed but engaged, remained in the ‘running’ position, so during the walk-around check at Bárca station, Slovakia, the main brake of the train set was filled up due to the refilling and the air brake got released</t>
  </si>
  <si>
    <t>the railway company did not provide the necessary staff to carry out the brake test properly</t>
  </si>
  <si>
    <t>27/9/2022</t>
  </si>
  <si>
    <t>HU-10178</t>
  </si>
  <si>
    <t xml:space="preserve">SPAD, 10/01/2022, at Gödöllő station </t>
  </si>
  <si>
    <t>train № 23028 passed the exit signal at danger without authorisation by about 50 metres, the train № IC658-1, which was entering track II. of the station, stopped in front of the switch № 9, 125 metres from the train № 23028.</t>
  </si>
  <si>
    <t>Gödöllő</t>
  </si>
  <si>
    <t>the driver of the train № 23028 did not stop at the second exit signal V1a indicating “Danger”, because he did not detect it when approaching it or, if he did, he was not aware of its meaning.</t>
  </si>
  <si>
    <t>psychological testing is not a compulsory part of the periodic medical fitness tests for drivers, therefore any age-related mental performance deterioration of workers can be hidden.</t>
  </si>
  <si>
    <t>CZ-10179</t>
  </si>
  <si>
    <t xml:space="preserve">Trains collision, 13-01-22, Prosenice station (Czech Republic) </t>
  </si>
  <si>
    <t>Collision of the freight train No. 43404 with the freight train No. 52479 with consequent derailment.</t>
  </si>
  <si>
    <t xml:space="preserve"> Prosenice station</t>
  </si>
  <si>
    <t>Rail Cargo Carrier - Czech Republic, s.r.o.; ČD Cargo, a. s.</t>
  </si>
  <si>
    <t>Total damage CZK 28 479 130,- (EUR 1 187 125,-)</t>
  </si>
  <si>
    <t>Causal factors:
• the train driver of the freight train No. 43404 incorrectly evaluated information which was provide him before departure of the train;
• incorrect way of driving – exceeding the maximum permitted speed when the freight train No. 43404 moved at calling-on signal which it signaled by the main (entrance) signal device 1S of Prosenice station;
• failure to stop of the freight train No. 43404 in front of the main (departure) signal S1 of Prosenice station which signaled the signal „Stop”.
Contributing factor:
• unpreparedness (incompetence) of the train driver of the freight train No. 43404 to correctly analyze the information which was provide him before departure of the train and correctly interpretation calling-on signal which it signaled by the main (entrance) signal device and to act on its accordingly, affected by failure to graduate the training (practical part of the training – driving training) to the specified extent before passing the special professional competence exam.</t>
  </si>
  <si>
    <t>Systemic factor:
• the content and method of carrying out test of special professional competence set by legislation, in conjunction with the unified technological procedures of RU Rail Cargo Carrier – Czech Republic, s.r.o. did not capture an applicant (the train driver) who did not apply the knowledge which it acquired through training – he was not prepared for the independent performance of the work of a train driver in practice.</t>
  </si>
  <si>
    <t>DK-10283</t>
  </si>
  <si>
    <t>Broken wheels, 13/1/2022, Ejby (Denmark)</t>
  </si>
  <si>
    <t>Broken wheels on freight wagon</t>
  </si>
  <si>
    <t>Ejby</t>
  </si>
  <si>
    <t>Hector Rail</t>
  </si>
  <si>
    <t>A crack in the wheel propagated until failure</t>
  </si>
  <si>
    <t>Deficiencies in the maintenance system of an ECM led to several conditions each elevating the risk of wheel failure, and the inability to discover the conditons over a period of more than two years.</t>
  </si>
  <si>
    <t>PL-10186</t>
  </si>
  <si>
    <t>Level crossing accident, 14/1/2022, Kolbuszowa, km 46,925 line 071 at 10:48</t>
  </si>
  <si>
    <t>An occurrence at a rail-road crossing (hereafter referred to as a "level crossing" or "crossing," according to the Act on Road Traffic), involving a RAJ 33506 train invading a Citroen Jumper delivery road vehicle, which entered a Cat C crossing during signals emitted by traffic signals prohibiting entry on the crossing and audible signals emitted by acoustic devices.</t>
  </si>
  <si>
    <t>Kolbuszowa, km 46,925 line 071</t>
  </si>
  <si>
    <t>damaged one unit of the train no 33506 serviced by electric traction unit EN63B-108 and a delivery truck</t>
  </si>
  <si>
    <t xml:space="preserve">1) Failure by the driver of a road vehicle to obey the light signals given on traffic signals (alternating flashing red lights) and the audible signals emitted by acoustic devices involving passing the traffic signal despite the prohibition.
2) Continuing to pass the level crossing and entering the level crossing by the road vehicle, directly in front of the oncoming RAJ 33506 train.
</t>
  </si>
  <si>
    <t xml:space="preserve">1) Driver's failure to behave with special caution when approaching a level crossing, as provided for in Article 28(1) of the Act of June 20, 1997, Act on Road Traffic (i.e., Journal of Laws of 2021, item 450, as amended).
2) Restriction of the field of view of the level crossing for the driver of passenger train RAJ 33506, due to a train set running from the siding of PKN ORLEN S.A. standing on track No. 101 in front of the crossing. - Widełka Fuel Terminal. This train also restricted the field of vision for the driver of the road vehicle.
3) Explosion in the driver's cab of vapors emanating 
from damaged packages of flammable goods carried by the delivery truck, causing the door leading to the driver's cab to be torn off and severely injuring a train passenger.
</t>
  </si>
  <si>
    <t>DK-10362</t>
  </si>
  <si>
    <t>Accident to person involving rolling stock in motion , 14-01-2022, Carlsberg, Denmark</t>
  </si>
  <si>
    <t>Accident to person involving rolling stock in motion</t>
  </si>
  <si>
    <t>Person hit by train in track between Valby og Carlsberg Station</t>
  </si>
  <si>
    <t>Carlsberg</t>
  </si>
  <si>
    <t>Information received from another authority has clarified that the two individuals who pursued the third were Romanian nationals and knew each other. The third person was also not a Danish citizen, but in addition the identity of the third person remains unknown. The three people had all participated in some kind of party and were under the influence of alcohol and/or euphoric drugs. The two individuals pursued the third over a financial dispute. It has not been possible to clarify concretely what happened in the track outside the view of the cameras prior to the collision.</t>
  </si>
  <si>
    <t>Alcohol and/or euphoric drugs</t>
  </si>
  <si>
    <t>HU-10184</t>
  </si>
  <si>
    <t>SPAD at Bősárkány station on 16/01/2022</t>
  </si>
  <si>
    <t>The driver of a light engine entering Bősárkány station under proper signalling control unsuccessfully attempted to reset the locomotive’s gear selector and thereby eliminate tractive power. Even when the automatic brake was applied, the traction was not interrupted and the vehicle continued to tow with the brakes on. The driver continued his attempts to stop the locomotive on track II, but in the process, he passed the exit sign V2, which was in the position prohibiting further movement</t>
  </si>
  <si>
    <t>Bősárkány</t>
  </si>
  <si>
    <t>the IAG device that operates the servo motor for the step switch failed, so the locomotive continued to tow while the driver applied the brakes;</t>
  </si>
  <si>
    <t>Drivers’ current knowledge of the type and their decades of driving experience do not necessarily reflect their confidence in handling vehicles, and knowledge is not always at a skill level.</t>
  </si>
  <si>
    <t>DK-10305</t>
  </si>
  <si>
    <t>Level crossing accident, 18/1/2022, Strande-Harboøre</t>
  </si>
  <si>
    <t>Train collided with car on level crossing 60 N</t>
  </si>
  <si>
    <t>Between Strande and Harboøre.</t>
  </si>
  <si>
    <t>Midtjyske Jernbaner</t>
  </si>
  <si>
    <t>Infrastructure: damage to track after derailment. Train:  Damage to the front after the collision and the undercarriage / bogie after the derailment. Van: The van was rotally damaged.</t>
  </si>
  <si>
    <t>The cause of the accident was that the van did not stop before the level crossing.</t>
  </si>
  <si>
    <t>The factors which, i.a. to
• drive at low speed
• there was no other traffic on the small dirt road
• sitting in a hot car
• listen to the radio and talk to a colleague
may have contributed to the fact that the driver of the van at this crossing had reduced his attention so much that he neither reacted to the traffic sign nor noticed that the train was on its way.</t>
  </si>
  <si>
    <t>BG-10180</t>
  </si>
  <si>
    <t>Trains collision, 21-01-22,  at railway switch in Iliyantsi station</t>
  </si>
  <si>
    <t>Collision between the locomotives of two freight trains at railway switch in Iliyantsi station. Derailment of locomotives within occurred side collision, serviced DFT № 20691 and DFT № 20698, in Iliyantsi station on 21.01.2022</t>
  </si>
  <si>
    <t xml:space="preserve"> At railway switch in Iliyantsi station</t>
  </si>
  <si>
    <t>railway infrastructure, catenary, signalling, RRS</t>
  </si>
  <si>
    <t xml:space="preserve">unauthorized departure of DFT № 20698 </t>
  </si>
  <si>
    <t>unauthorized departure of train without meeting the regulatory requirements for sending trains, in adverse weather conditions in the dark part of the day</t>
  </si>
  <si>
    <t>HU-10183</t>
  </si>
  <si>
    <t>Trains collision at Kőbánya-Kispest on 21/01/2022</t>
  </si>
  <si>
    <t>train № E05 departing from Kőbánya-Kispest metro station on Turnout Track II collided with the train № E07 departing and exiting from Track III at the same time. Both vehicles derailed .</t>
  </si>
  <si>
    <t>Kőbánya-Kispest</t>
  </si>
  <si>
    <t>but there was considerable damage to the vehicles and infrastructure.</t>
  </si>
  <si>
    <t>a)    the driver of the train № E05 started his train from Track II despite the signal at danger, while the train № E07 was moving out, after responding to the signal, from Track III on a closed track route;</t>
  </si>
  <si>
    <t>during the complex reconstruction of the M3 metro line, which is still ongoing at the time of the accident, the relocation problem (known since 2007) of the track-side elements of the Autostop system installed at the Kőbánya-Kispest turnout area had not been solved.</t>
  </si>
  <si>
    <t>CZ-10187</t>
  </si>
  <si>
    <t>Train derailment, 29/1/2022, Teplice v Čechách</t>
  </si>
  <si>
    <t>Unauthorized movement of the regional passenger train No. 16936 behind the main signal device L3 and consequent derailment at Teplice v Čechách station</t>
  </si>
  <si>
    <t>Teplice v Čechách</t>
  </si>
  <si>
    <t>Total damage CZK 38 462,- (EUR 1 623,-)</t>
  </si>
  <si>
    <t>Causal factor:
• failure to respect the signal „Stop” of the main (departure) signal device L3 at
Teplice v Čechách station by the train driver of the regional passenger train No.
16936 after previous unauthorized set the train in motion without dispatching of train by allowed signal due:
      ◦ the train driver did not pay sufficient attention to observe this signal device;
      ◦ the train driver did not observe indication of cab signalling of automatic                train control although he had to non-standard operated dead-man button.</t>
  </si>
  <si>
    <t>/</t>
  </si>
  <si>
    <t>PL-10193</t>
  </si>
  <si>
    <t>Level crossing accident, 3/2/2022, plain line section Warlubie - Laskowice Pomorskie, km 437,386 line 131 at 6:14</t>
  </si>
  <si>
    <t>An occurrence at a level crossing involving passenger train IC 5600/1 of the Railway Undertaking PKP Intercity S.A., comprised of locomotive EU07A-002 and seven wagons, and a Mercedes INTEGRO bus run by PKS Grudziądz. The occurrence involved the train hitting right rear part of the bus, which stand on the crossing between closed half barriers, trying to leave the crossing. After the impact, the bus was thrown to the right side of track No. 2, in direction of the train to a distance of about 100 meters from the axis of the crossing.</t>
  </si>
  <si>
    <t>line section Warlubie - Laskowice Pomorskie, km 437,386 line 131 at 6:14</t>
  </si>
  <si>
    <t>damaged bus Mercedes and demaged locomotive type EU07A-002</t>
  </si>
  <si>
    <t>Bus entering the crossing during emission of signals by traffic signals prohibiting passing that signal.</t>
  </si>
  <si>
    <t xml:space="preserve">1) The inability of trucks and buses to exit the crossing with the half barriers closed without damaging infrastructure elements and traffic safety devices at the crossing, resulting from the following facilities, i.e.;
- Concrete fencing and a built-in S-4 traffic signal in the road gauge at the exit section of the crossing,
- A growing tree at a distance of 11 meters from the rail head and in front of the crossing,
- Road in a curve, sharp turn of the road to the left immediately after the crossing.
2) Failure of the bus driver to make a determined attempt to exit 
with breaking the half barriers.
</t>
  </si>
  <si>
    <t>CZ-10190</t>
  </si>
  <si>
    <t xml:space="preserve">Unauthorised train movement other than SPAD, 10-02-22, Děčín-Prostřední Žleb station (Czech Republic) </t>
  </si>
  <si>
    <t>Unsecured movement of the freight train No. 45326 behind the signal device No. L2 with signal allowing driving and entry between the shunt signals Se 14 and Se 15 where was standing the shunting operation.</t>
  </si>
  <si>
    <t>Děčín-Prostřední Žleb station, signal device No. L2, km 4,419</t>
  </si>
  <si>
    <t>freight train; shunting operation</t>
  </si>
  <si>
    <t>DB Cargo Czechia s.r.o. (freight train); IDS Cargo a.s. (shunting operation)</t>
  </si>
  <si>
    <t>RO-10191</t>
  </si>
  <si>
    <t>Train derailment, 14/2/2022, Bocicoi - Valea Vișeului</t>
  </si>
  <si>
    <t>The GM 1138 locomotive hauling passenger train no.4116 derailed from the first 2 axles, in the direction of travel, between Bocicoi and  Valea Vișeului railway stations.</t>
  </si>
  <si>
    <t>Bocicoi - Valea Vișeului</t>
  </si>
  <si>
    <t xml:space="preserve">Damage to the first bogie, the direction of travel, of the GM 1138 locomotive.
The line was damaged for about 79 meters. </t>
  </si>
  <si>
    <t xml:space="preserve">Causal factor:                                                                          
The causal factor consisted in the existence of serious wears at the springs HH from the locomotive, that in combination with the failures from the track geometry, led to the momentary exceeding of the derailment stability limit.
So, the exceeding of the derailment stability limit was generated by the increases of the lateral dynamic forces and by the load dynamic transferences, on the right wheel of the locomotive leading axle, it generating to the overclimbing of the rail by the flange of the mentioned wheel.
The dynamic forces/transferences above mentioned acted in combination, so, if any of them have been eliminated, it should have been prevented the accident occurrence.
</t>
  </si>
  <si>
    <t xml:space="preserve">Contributing factors: 
None.
Systemic factors: 
1. lack of monitoring of the HH springs technical parameters between          two planned repairs;
2. non-performance of the periodical repairs and of works for the removal      of the dangerous point, in order to keep the track geometry between        the accepted tolerances.
</t>
  </si>
  <si>
    <t>DE-10197</t>
  </si>
  <si>
    <t>Trains collision, 14/2/2022, Ebenhausen-Schäftlarn</t>
  </si>
  <si>
    <t>Am 14.02.2022 gegen 16:35 Uhr kollidierte der Personenzug S 6785 bei der Ausfahrt aus dem Bahnhof (Bf) Ebenhausen-Schäftlarn mit dem in km 17,76 stehenden Personenzug S 6776. Der Zug S 6776 sollte als S7 der S-Bahn München von Aying nach Wolfratshausen, der Zug S 6785 als S7 von Wolfratshausen nach Aying verkehren. Die Zugkollision ereignete sich auf der eingleisigen, elektrifizierten Hauptbahn Großhesselohe-Isartalbahnhof – Wolfratshausen im nördlichen Bereich des Bf Ebenhausen-Schäftlarn zwischen der Weiche W1 und dem Einfahrsignal (Esig) 1A in Höhe des Streckenkilometers 17,76. Die Strecke wird gemäß Verzeichnis der örtlich zulässigen Geschwindigkeiten (VzG) mit der Streckennummer 5507 geführt. Die Betriebsdurchführung auf der Strecke erfolgt nach den Regeln der DB-Richtlinie 408 –Fahrdienstvorschrift–. Die maximal zulässige Geschwindigkeit auf der Strecke beträgt 120 km/h, am Ereignisort 70 km/h bei einem Bremsweg von 700 m. Die Strecke ist mit digitalem Zugfunk GSM-R und punktförmiger Zugbeeinflussung (PZB) ausgerüstet.</t>
  </si>
  <si>
    <t>Ebenhausen-Schäftlarn</t>
  </si>
  <si>
    <t>Two EMU heavily destroyed by head-crash. Affected infrastructure damages.</t>
  </si>
  <si>
    <t>Nach dem Erkenntnisstand zum Zeitpunkt der Berichtserstellung war ein Arbeitsfehler des Triebfahrzeugführers (Tf) des Zuges S 6785 primär ursächlich für den Eintritt der Zugkollision in Ebenhausen-Schäftlarn. Er beachtete die betrieblichen Regeln nach Erhalt einer Zwangsbremsung durch die punktförmige Zugbeeinflussung (PZB) nicht und setzte die Fahrt unzulässig in Richtung des eingleisigen Streckenabschnittes in Richtung Baierbrunn fort.</t>
  </si>
  <si>
    <t>CZ-10194</t>
  </si>
  <si>
    <t xml:space="preserve">Trains collision with an obstacle, 17-02-22, open line between Žďárec u Skutče and Hlinsko v Čechách stations (Czech Republic) </t>
  </si>
  <si>
    <t>Collision of the regional passenger train No. 5315 with an obstacle (two fallen trees) with consequent derailment</t>
  </si>
  <si>
    <t>open line between Žďárec u Skutče and Hlinsko v Čechách stations, km 44,320</t>
  </si>
  <si>
    <t>CZK 709 247,- (€ 29 091,-); Rolling stock, infrastructure</t>
  </si>
  <si>
    <t>RO-10192</t>
  </si>
  <si>
    <t>Train derailment, 19/2/2022, Grozăvești</t>
  </si>
  <si>
    <t>The EA 011 locomotive hauling freight train no. 57553 derailed from the first boghie, in the direction of travel, in Grozăvești railway station.</t>
  </si>
  <si>
    <t>Grozăvești</t>
  </si>
  <si>
    <t>SC CARGO TRANS VAGON SA</t>
  </si>
  <si>
    <t xml:space="preserve">Damage to the first bogie, the direction of travel, of the EA 011 locomotive.
The line was damaged for about 87 meters. </t>
  </si>
  <si>
    <t>Causal factor: The increase of the ratio between the guiding force and the load acting on the guiding wheel so exceeding the derailment stability limit, following the combination of two conditions, respectively the irregular distribution of the loads on the wheels of the axle no.6 of the locomotive, following the insertion of some additions over the maximum limit accepted for the springs type Metalastik and the technical condition of the switch no.7.</t>
  </si>
  <si>
    <t xml:space="preserve">Contributing factors:
None
Systemic factors:
1. Provision with insufficient material and human resources, in relation to the necessary ones, in order to make the suitable maintenance of the line and keeping of the track geometry between the tolerances accepted.
2. Ineffective management of the risk associated to the danger of exceeding the tolerances accepted for the track geometry by the infrastructure manager.
3. Performance with deficiencies the identification and assessment of the risks generated by the railway operations run out by the keeper of the locomotive, respectively the failure in the identification of the derailment risk, following the danger represented by the change, over the time, the characteristics of the springs type Metalastik.
4. Ineffective management by RU of the risks generated by the danger represented by the non-withdrawal from the operation and use of the locomotives for the hauling of the freight trains after exceeding the norm of time regulated for the performance of the planned repair.
</t>
  </si>
  <si>
    <t>CZ-10195</t>
  </si>
  <si>
    <t>Train derailment, 21-02-2022, Letohrad station (Czech Republic)</t>
  </si>
  <si>
    <t>Unauthorized movement of the regional passenger train No. 1834 behind the main (departure) signal device L4, derailment over the derailer Vk7 and collision with detached rolling stock at station track No. 4c.</t>
  </si>
  <si>
    <t>Letohrad station, the main (departure) signal device L4, km 89,856.</t>
  </si>
  <si>
    <t>CZK 242 272,- (€ 9 950-); Rolling stock, infrastructure</t>
  </si>
  <si>
    <t>Causal factor: 
• failure to respect the signal „Stop” of the main (departure) signal device L4 by the train driver of the regional passenger train No. 1834 due to unconscious mistake of the train driver which manifested in the unauthorized movement of this train without dispatched the train No. 1834 from Letohrad station and the train driver visually did not convince whether the main (departure) signal device L4 at Letohrad station allows movement of the train.
Contributing factor: none.</t>
  </si>
  <si>
    <t>DE-10206</t>
  </si>
  <si>
    <t>Train derailment, 23/2/2022, Bf Rüsselsheim</t>
  </si>
  <si>
    <t>Am 23.02.2022 gegen 21:42 Uhr entgleiste die Zugfahrt S 35968 im Bahnhof Rüsselsheim auf der Weiche W 74 mit den letzten beiden Drehgestellen.</t>
  </si>
  <si>
    <t>Bf Rüsselsheim</t>
  </si>
  <si>
    <t>EMU derailled with 2 bogies, heavy damages.</t>
  </si>
  <si>
    <t xml:space="preserve">Die Untersuchungsschwerpunkte liegen derzeit im Bereich Eisenbahnbetrieb sowie der Leit- und Sicherungstechnik. </t>
  </si>
  <si>
    <t>RO-10196</t>
  </si>
  <si>
    <t>Train derailment, 24/2/2022, Alunu - Berbești</t>
  </si>
  <si>
    <t>Three wagons ( the 10th, the 15th and the 16th) from the composition of the freight train no.60566 derailed in open line between Alunu and Berbești railway stations.</t>
  </si>
  <si>
    <t>Alunu - Berbești</t>
  </si>
  <si>
    <t xml:space="preserve">Damage to the first bogie, in the running direction, of the wagon no.81536652870-2 (the 10th in composition of the train).                        Damage both bogies of the wagon no.81536651226-8 (the 15th in composition of the train).                                                                     Damage to the first bogie, in the running direction, of the wagon no.81536651347-2 (the 16th in composition of the train).
The line was damaged for about 234 meters. </t>
  </si>
  <si>
    <t xml:space="preserve">Causal factor
Existence within the track, at the accident site, a group of normal unsuitable wooden sleepers, that could no more ensure the proper fastening of the rails and keeping of the gauge between the limits of the tolerances accepted by the regulation framework, leading to the exceeding of the maximum limit accepted for the track gauge in operation, generating the loss of the support and guiding capacity of the rails, under the dynamic action of the rolling stock.
</t>
  </si>
  <si>
    <t xml:space="preserve">Contributing factors
1. Going beyond the deadlines, stipulated by the applicable legislation, for the performance of periodical repairs of the lines from the accident site, keeping a high cocking of the broken ballast with vegetation and coal dust, it led to the untimely deterioration (rot) of the wooden sleepers. 
2. Exceeding of the maximum load accepted on the axle at 10th wagon and at those three wagons in front of it.
Systemic factors
1. Provision with insufficient material and human resources for the performance, in accordance with the regulated deadlines, of the track periodical repairs (maintenance), in order to keep its geometry between the tolerances accepted.
2. Deficiencies in the identification and assessment of the risks, generated by the own railway operations run by the entity in charge with the maintenance of the track superstructure, regarding the risk ”derailment of railway vehicles”.
3. SNTFM performance with deficiencies of the identification and assessment of the risk of accident/incident generated by the running, into the composition of the freight train, of wagons loaded, whose maximum load accepted on the axle is exceeded.  
</t>
  </si>
  <si>
    <t>FR-10215</t>
  </si>
  <si>
    <t>Level crossing accident, 24/2/2022, Hochfelden</t>
  </si>
  <si>
    <t>collision between a passager train and a dump semi-trailer</t>
  </si>
  <si>
    <t>Hochfelden</t>
  </si>
  <si>
    <t>A bogie is derailed at the head of the train ; all four coaches affected ; 1000 m of track and level crossing installations damaged</t>
  </si>
  <si>
    <t>RO-10199</t>
  </si>
  <si>
    <t>Train derailment, 25/2/2022, Bucureștii Noi</t>
  </si>
  <si>
    <t>The  EA 725 locomotive, inactive at the end of the freight train no. 68400 derailed from the first axle in the direction of running in București Noi railway station.</t>
  </si>
  <si>
    <t>SC „TEHNOTRANS FEROVIAR” SRL</t>
  </si>
  <si>
    <t xml:space="preserve">Damage to the first bogie, the direction of travel, of the EA 725 locomotive.
The line was damaged for about 63 meters. </t>
  </si>
  <si>
    <t xml:space="preserve">Causal factor
 exceeding of the derailment stability limit, following the improper condition of the track, generated by keeping the track geometry out of the tolerances accepted in operation, that led to the overclimbing by the guiding wheel of the first bogie of the locomotive EA 725 on the exterior rail of the curve.
</t>
  </si>
  <si>
    <t xml:space="preserve">Contributing factors
 performance of the track technical inspection with unauthorized staff, it favoured the decrease of that activity effectiveness.
 ineffective monitoring of the development of the failures recorded with the track trolley. 
Systemic factors
 ineffective management of the risks associated to the danger generated by the exceeding of the tolerances accepted for the track geometry on a curve;
 provision with insufficient material and human resources, against the necessary ones, for the performance of the corresponding maintenance of the line and keeping of track condition between the accepted tolerances.
</t>
  </si>
  <si>
    <t>CZ-10200</t>
  </si>
  <si>
    <t>Trains collision, 10/3/2022, Odbočka Skály junction point (Czech Republic)</t>
  </si>
  <si>
    <t>Unauthorized movement of the freight train No. 60204 behind the signal device 1L with signal „Stop“, forced throw the switch No. 1XA, collision with the oncoming freight train No. 85012 and derailment first 2 wheelsets of the locomotive of the freight train No. 60204.</t>
  </si>
  <si>
    <t>Odbočka Skály junction point</t>
  </si>
  <si>
    <t>Total damage CZK 16 474 121,- (EUR 650 380,-)</t>
  </si>
  <si>
    <t>Causal factor:
• failure to respect the signal „Stop” of the main (entry) signal device 1L at Odbočka Skály junction point by the train driver of the freight train No. 60204.</t>
  </si>
  <si>
    <t>EE-10203</t>
  </si>
  <si>
    <t>Level crossing accident, 11/3/2022, Ropka level crossing</t>
  </si>
  <si>
    <t>NIB EE</t>
  </si>
  <si>
    <t>The passenger train drove into the truck from the side at the level crossing set up with automatic traffic light signaling and derailed.</t>
  </si>
  <si>
    <t>Ropka level crossing</t>
  </si>
  <si>
    <t>Eesti Liinirongid AS (Elron)</t>
  </si>
  <si>
    <t>AS Eesti Raudtee (EVR)</t>
  </si>
  <si>
    <t>2 wagon diesel train set, 75 m rail track, switch, signal etc.</t>
  </si>
  <si>
    <t>RO-10202</t>
  </si>
  <si>
    <t>Train derailment, 13/3/2022, Sărmășel - Lechința</t>
  </si>
  <si>
    <t>The AMX 1047 automotor running as a passenger train no. 11020 derailed from a bogie between the Sărmășel and Lechința railway stations.</t>
  </si>
  <si>
    <t>Sărmășel - Lechința</t>
  </si>
  <si>
    <t>SC ”Regio Călători” SRL</t>
  </si>
  <si>
    <t>SC ”RC-CF Trans” SRL</t>
  </si>
  <si>
    <t xml:space="preserve">Damage to the third bogie, the direction of travel, of the AMX 1047 automotor.
The line was damaged for about 28 meters. </t>
  </si>
  <si>
    <t xml:space="preserve">Causal factor  
Exceeding of the derailment stability limit, following the improper condition of the track, generated by keeping the track geometry out the tolerances accepted in operation.
</t>
  </si>
  <si>
    <t xml:space="preserve">Contributing factors:
1. Non-identification in good time of the deficiencies at the track superstructure, following the non-performance of the track inspections by staff in charge with traffic safety, according to the deadlines and order specified in the practice codes. 
2. Lack, in the last 6 years before the accident, the measurements made with the testing and recording car.
Systemic factors:
1. Provision with insufficient material and human resources, in relation to the necessary ones, for the performance of the line maintenance and keeping the track geometry between the tolerances accepted.
2. Deficiencies in the identification and assessment of the risks generated by the own railway operations of the entity in charge with the track superstructure maintenance regarding the risk „derailment of the railway vehicles”.  
</t>
  </si>
  <si>
    <t>CZ-10201</t>
  </si>
  <si>
    <t>Train derailment, 14/3/2022, Bílina station (Czech Republic)</t>
  </si>
  <si>
    <t>Derailment of the sixth rolling stock from 14 rolling stocks of the freight train No. 53030.</t>
  </si>
  <si>
    <t>Bílina station</t>
  </si>
  <si>
    <t>Total damage CZK 4 616 540,- (EUR 192 036,-)</t>
  </si>
  <si>
    <t>Causal factor:
• a ride of the freight train No. 53030 onto the switch No. 35 where the right point blade was in an unsatisfactory technical condition and enabled to climb of the rolling stock wheel on the top of rail.
Contributing factor:
• failure to detect of unsatisfactory condition of the point blade of the switch No. 35 by the infrastructure manager and failure to take own measure to ensure safety.</t>
  </si>
  <si>
    <t>CZ-10204</t>
  </si>
  <si>
    <t xml:space="preserve">Train derailment, 18-03-22, Obrnice station (Czech Republic) </t>
  </si>
  <si>
    <t>Derailment of 1 rolling stock of the shunting operation with consequent falling of supervisor of shunting, his collision with rolling stock, consequent collision the shunting operation with detached rolling stock, its derailment and collision with rail buffer stop at Obrnice station</t>
  </si>
  <si>
    <t>ORLEN Unipetrol Doprava s.r.o.</t>
  </si>
  <si>
    <t>Total damage CZK 445 046,- (EUR 18 962,-)</t>
  </si>
  <si>
    <t xml:space="preserve">Causal factor:                                                                                      • loss of the vertical wheel effort of the right wheel of front axle the first shunting rolling stock and consequent climbs up to top of rail.                                                                                                                           As a part of the investigation, the Czech National Investigation Body (NIB) dealt with following factors, including the effect of their mutual interaction:
1. dynamic centrifugal forces which made at moving off the shunting operation in left-hand curve and vertical wheel efforts which made to rolling stock with spread cargo, where ratio of axle load was approaching to limit value:
• location of container in rear part of two-axles rolling stock and thereby reduce the load of front axle of the rolling stock;
• location of cargo in rear part of container and thereby next reduce the load of front axle of the rolling stock;
• location of cargo in left part of container and thereby reduce the load of right wheel of front axle of the rolling stock.
2. differences in track geometry parameters in the surroundings point of derailment in:
• change in cross level – operation limit (over repair limit);
• direction of right-hand rail string (without over limit);
• height of right-hand rail string (without over limit);
• height of left-hand rail string (over observation limit).
Rate of impact individual factors to the occurrence, in which a state approaching the limits values was found, or in which deviations were found, was not possible to determine in a demonstrable way.
</t>
  </si>
  <si>
    <t>PT-10223</t>
  </si>
  <si>
    <t>Trains collision near miss, 19/3/2022, Francelos-Sul</t>
  </si>
  <si>
    <t>Unauthorized movement to the outside of a track possession by a work train that circulated between Gaia and Francelos-Sul stations with destination to a work site to the south, invading the path established for the passage of IC 723 that was approaching from the opposite direction.</t>
  </si>
  <si>
    <t>Francelos-Sul</t>
  </si>
  <si>
    <t>Not applicable: Works train not authorized to run on open line.</t>
  </si>
  <si>
    <t>IT-10276</t>
  </si>
  <si>
    <t>Trains collision, 19/3/2022, Rastignano, Bologna-Prato line</t>
  </si>
  <si>
    <t>Improper opening of a swing door of the 68450 freight train and subsequent side collision with the passenger train No. 35295 in transit on the adjacent track,</t>
  </si>
  <si>
    <t>Rastignano, Bologna-Prato line</t>
  </si>
  <si>
    <t>Mercitalia Rail (freight train) and Trenitalia (passenger train)</t>
  </si>
  <si>
    <t>damage to rolling stock</t>
  </si>
  <si>
    <t>An open swing door of train 68450</t>
  </si>
  <si>
    <t>door tampering by third parties, design of the wagon that has not taken into account undue opening actions and ineffective risk mitigation associated with intentional breaches.</t>
  </si>
  <si>
    <t>CZ-10208</t>
  </si>
  <si>
    <t xml:space="preserve">Train derailment, 23-03-22, Praha-Krč station (Czech Republic) </t>
  </si>
  <si>
    <t>Derailment of 1 rolling stock of the regional passenger train No. 9013</t>
  </si>
  <si>
    <t>Praha-Krč station, switch No. 32, km 5,542</t>
  </si>
  <si>
    <t>CZK 2 530 142,- (€ 102 518,-); Rolling stock, Infrastructure</t>
  </si>
  <si>
    <t>Causal factor: 
• an unauthorized operation of elements of the station interlocking plant of Praha-Krč station resulting in adjustment of the switch No. 32 when it was occupied by the moving rolling stocks of the train No. 9013, it was caused by an unintentional mistake (error) of the professionally qualified person operating the equipment, who did not use dependings of operated station interlocking plant of Praha-Krč station to complete the train route by automatic operation of the station interlocking plant and she did not allow entry of the train No. 9013 by normal operation of the main (entrance) signal device S.
Contributing factor: none.</t>
  </si>
  <si>
    <t>RO-10207</t>
  </si>
  <si>
    <t>Train derailment, 24/3/2022, Ciucea</t>
  </si>
  <si>
    <t>Two wagons ( the 13th and the 14th) from the composition of the freight train no.57557 derailed in Ciucea railway station.</t>
  </si>
  <si>
    <t>Ciucea</t>
  </si>
  <si>
    <t>SC „Cargo Trans Vagon” SA</t>
  </si>
  <si>
    <t xml:space="preserve">Significant damage to the 13th (no.33870764233-0) and 14th (33870764158-9) wagons from the train composition who derailed and overturned. 
The line was damaged for about 173 meters. </t>
  </si>
  <si>
    <t>Increase of the gauge value over the maximum value accepted in operation at the accident site, following the existence within the track, improper wooden stringer (bundles of beams), that did not allow the fastening of the screws for the fixing of the metallic plates, corroborated also with not-encasing of the wooden beams that support the running track on the stone structure.</t>
  </si>
  <si>
    <t xml:space="preserve">Contributing factors
1. Delivery/reception and coupling at the train of wagons with the maximum load on the axle exceeded;
2. Improper repair of the failures recorded following the measurements with the track trolley.
Systemic factors
1. Non-identification, by railway undertaking - OTF CARGO TRANS VAGON, of the danger represented by routing the train with one or more wagons infringing the Loading Provisions;
2. Non-identification of the danger and lack of control of risks resulting from the non-replacement of the unsuitable stringers within the ash pit and non-repair, upon the deadlines stipulated by the regulations in force, the failures found during the checking of the lines with the track measuring trolley, by the entity in charge with the track maintenance.
</t>
  </si>
  <si>
    <t>BG-10210</t>
  </si>
  <si>
    <t>Electric shock, 24.03.2022 in Locomotive depot Plovdiv</t>
  </si>
  <si>
    <t>Investigation of railway accident, occurred in Plovdiv locomotive depot during functional tests of locomotive № 91520043309-1 on 24.03.2022</t>
  </si>
  <si>
    <t>Locomotive Depot Plovdiv</t>
  </si>
  <si>
    <t>No IM involved in the accident.</t>
  </si>
  <si>
    <t>staff fatality</t>
  </si>
  <si>
    <t>electrocution of the employee (during troubleshooting in the engine compartment of the locomotive) by an electric shock with an alternating current of voltage 1500 V, 50 Hz</t>
  </si>
  <si>
    <t>The alternating current of voltage 1500 V, 50 Hz, flowed through the power circuit of the train heating as a result of uncoordinated actions of those involved experts in locomotive testing (lifting the locomotive pantograph and turning on 25 kV voltage, without disclosure)</t>
  </si>
  <si>
    <t>25/7/2022</t>
  </si>
  <si>
    <t>HU-10209</t>
  </si>
  <si>
    <t>Other, 26/3/2022, Maklár</t>
  </si>
  <si>
    <t>Passanger train stopped before a points on wrong position.</t>
  </si>
  <si>
    <t>Maklár</t>
  </si>
  <si>
    <t>HR-10214</t>
  </si>
  <si>
    <t>Accident to persons caused by RS in motion, 28-03-22, between stations Novska and Okucani</t>
  </si>
  <si>
    <t>On March 28, 2022, at 10:31 a.m., on the line M104 at KM 294+100, between stations Novska and Okučani, passenger train number 2011 struck and fatally injured an employee of company HZ Infrastruktura Ltd. Train number 2011 was traveling on the route Zagreb Main Station - Vinkovci, and the track worker was moving on the left track in front of train number 2011, performing an inspection of the left track on the section Okučani - Rajić.</t>
  </si>
  <si>
    <t>Between stations Novska and Okucani</t>
  </si>
  <si>
    <t>The total material damage is 238.90 EUR.</t>
  </si>
  <si>
    <t>The causal factors of the serious accident in question are: 
-	the track worker was inside the left track while performing his work task (Chapter 3.2.1.),  
-	the track worker did not take into account the risk of standing inside the left track nor did he look and listen for the approaching train number 2011 (Chapter 3.1.9.,  3.2.1.),
-	due to reduced attention and concentration, the track worker was not aware of the dangerous situation of the approaching train number 2011 (Chapter 3.2.1.).</t>
  </si>
  <si>
    <t>Contributing factors:
-	the passing and noise of another train (fast train number 210) which was driving on the right track (Chapter 3.2.1.),
-	the track worker is a long-term employee, and his experience and confidence probably preceded the moment of loss of attention and concentration and he was not as careful as he should have been on the day of the accident (Chapter 3.1.9.).
Systemic factors:
-	in the Risk Assessment of the HŽI Regional work unit for the maintenance of the construction infrastructure subsystem East, no safety measures were found to address with the risk of working on an open track for the position of a track worker (Chapter 4.1.1.).</t>
  </si>
  <si>
    <t>CZ-10211</t>
  </si>
  <si>
    <t>Train derailment, 01/4/2022, Bavorov operating point (Czech Republic)</t>
  </si>
  <si>
    <t>Derailment of the regional passenger train No. 18000 at Bavorov operating point. Unsecured movement of the regional passenger train No. 18000 with consequent derailment</t>
  </si>
  <si>
    <t>Bavorov operating point</t>
  </si>
  <si>
    <t>GW Train Regio a.s.</t>
  </si>
  <si>
    <t>Total damage CZK 91 496,- (EUR 3 738,-)</t>
  </si>
  <si>
    <t>Causal factor:
• the train driver of the regional passenger train No. 18000 did not respect the instruction by IM of the signal device Sv2 before entering on the spring switch No. 2sv at Bavorov operating control point, the regional passenger train No. 18000 did not stop before spring switch No. 2sv and the train driver did not check correct transfer of this switch.</t>
  </si>
  <si>
    <t>RO-10212</t>
  </si>
  <si>
    <t>Train derailment, 1/4/2022, Turceni</t>
  </si>
  <si>
    <t>Three wagons (the 9th, the 10th and the 11th) from the composition of the freight train no.64220 derailed in Turceni railway station.</t>
  </si>
  <si>
    <t>Damage to the second bogie, in the running direction, of the wagon no.81536654428-8 (the 9th in composition of the train).                           Damage both bogies of the wagon no.81536651679-8  (the 10th in composition of the train).                                                                     Damage to the first bogie, in the running direction, of the wagon no.81536666060-4  (the 11th in composition of the train).
The line was damaged for about 27 meters.                                            The switch no. 38 with the related electromechanism and the signal M30 were damaged.</t>
  </si>
  <si>
    <t xml:space="preserve">Causal factor
      Existence within the track, at the accident site, a group of improper normal wooden sleepers (that were no more able to ensure the suitable fastening of the rails and keeping of the track gauge between the limits of tolerances accepted by the regulation framework), generating the exceeding of the maximum limit accepted for the track gauge in operation, so leading to the loss of the rail capacity to support and guide, under the dynamic action of the rolling stock.
</t>
  </si>
  <si>
    <t xml:space="preserve">Contributing factor
      High chocking of the ballast with coal dust, excessive humidity (the water drainage being difficult following the chocking with coal dust) that generated the early rot of the wooden sleepers.
Systemic factors
      1.Provision with insufficient material and human resources for the performance, in accordance with the deadlines regulated, of the track periodical repairs (maintenance), in order to keep its geometry between the tolerances accepted. 
      2. Poor performance of the identification and assessment of the risks associated to the own railway operations, done by the entity in charge with the track superstructure maintenance, regarding the risk „derailment of the railway vehicles”.
</t>
  </si>
  <si>
    <t>RO-10213</t>
  </si>
  <si>
    <t>Train derailment, 2/4/2022, Craiova</t>
  </si>
  <si>
    <t>Two wagons (the 4the and the 5th) from the composition of the freight train no.66708 derailed in Craiova railway station.</t>
  </si>
  <si>
    <t>SC „Deutsche Bahn Cargo Romania” SRL</t>
  </si>
  <si>
    <t xml:space="preserve">Damage to the second bogie, in the running direction, of the wagon no.31842780080-6 (the 4th in composition of the train).                           Damage to the first bogie, in the running direction, of the wagon no.31802780505-6 (the 5th in composition of the train).                                                                                 
</t>
  </si>
  <si>
    <t>HU-10217</t>
  </si>
  <si>
    <t>Level crossing accident, 5/4/2022, Mindszent</t>
  </si>
  <si>
    <t>Passanger train crashed with truck, the train derailed.</t>
  </si>
  <si>
    <t>Mindszent</t>
  </si>
  <si>
    <t>the driver of the road vehicle entered the level crossing despite the flashing red light of the well-functioning warning light system.</t>
  </si>
  <si>
    <t>a) the unfavourable position of the sun made the checking of the warning lights difficult (but not impossible by their design);
b) the unfavourable forces of the collision caused the railway vehicle to derail and turn over;
b) parts have been released in the passenger compartment of the overturned railway vehicle, partly due to a design defect and partly due to a maintenance-operation defect.</t>
  </si>
  <si>
    <t>RO-10216</t>
  </si>
  <si>
    <t>Train derailment, 6/4/2022, Nazarcea</t>
  </si>
  <si>
    <t>One wagon (the 37th) from the composition of the freight train no.66683 derailed in Nazarcea railway station. The wagon no.33877853908-4 (the last one of the train), entered with the first bogie on the deflecting section 2 and the second bogie entered the direct line III, on the switch no.5 of the railway station.</t>
  </si>
  <si>
    <t>SC „Grup Feroviar Român” SA</t>
  </si>
  <si>
    <t>Damage to the both bogies, in the running direction, of the wagon no.33807966612-3 (the 37th in composition of the train).                       The line was damaged for about 60 meters.                                         The point machine of the switch no.5 was forced</t>
  </si>
  <si>
    <t>Operation of the switch no.5, in order to assure the passing route for the freight train no.66660006, before the complete parking of the freight train no.66683006.</t>
  </si>
  <si>
    <t xml:space="preserve">Contributing factors
1. Partial visual inspection of the freight train no.66683006.
2. Not-established stop of the freight train no.66683006, after passing by the entry signal X of the railway station Nazarcea and entering the line 2.
3. Lack of on-site control of the passing route for the freight train no.66660006.
4. Keeping of the interlocking system installations out of order for a long time.
Systemic factors
 Ineffective management of the risk associated to the danger of train running with the installation out of order.
</t>
  </si>
  <si>
    <t>DK-10295</t>
  </si>
  <si>
    <t>Accident to persons caused by RS in motion, 7/4/2022, Valby Langgade</t>
  </si>
  <si>
    <t>Person hit by commuter train</t>
  </si>
  <si>
    <t>Valby Langgade</t>
  </si>
  <si>
    <t>Unknown</t>
  </si>
  <si>
    <t>RO-10218</t>
  </si>
  <si>
    <t>Train derailment, 11/4/2022, Cojocna</t>
  </si>
  <si>
    <t>Hauling locomotive EA 798 of the passenger train no.3087 derailed in Cojocna railway station.</t>
  </si>
  <si>
    <t>Cojocna</t>
  </si>
  <si>
    <t xml:space="preserve">Damage to the first bogie, in the running direction, of the locomotive EA 798.                                                                                                The line was damaged for about 74 meters. </t>
  </si>
  <si>
    <t xml:space="preserve">Existence within the track, at the accident site, an area with constructive parts of the track superstructure damaged, it leading to the hit and overclimbing of the checkrail next to the crossing on ”deflecting section” of the switch no.7 from the railway station Cojocna, by the right wheels of the first bogie, in the running direction, from the locomotive EA 798, wheels running on the rail corresponding to the inner one of the curve (the running rail on switch ”deflecting section”).
It happened following the dynamic increase of the gauge value, it being generated by the improper condition of the special wooden sleepers and running of the right wheels to the track interior, outside the channel between the rail and checkrail. 
</t>
  </si>
  <si>
    <t xml:space="preserve">Systemic factor
Lack of periodical repairs and non-provision with sufficient material resources, in relation to the necessary one, for the performance of line maintenance and keeping of track between the tolerances accepted.
</t>
  </si>
  <si>
    <t>PL-10422</t>
  </si>
  <si>
    <t>Train derailment, 12/4/2022, station Poznań Główny , track 51, turnout 140</t>
  </si>
  <si>
    <t>Derailment of the locomotive EU07-1529 (train No 575001) during tandem operation because of shifting the switch under  locomotive in motion. The train consisted of 2 locomotives solo: EP07-1529 and SM42-1290</t>
  </si>
  <si>
    <t>station Poznań Główny , track 51, turnout 140</t>
  </si>
  <si>
    <t>Slight demages of the locomotive and the turnout</t>
  </si>
  <si>
    <t>RO-10219</t>
  </si>
  <si>
    <t>Train derailment, 13/4/2022, Drăgotești</t>
  </si>
  <si>
    <t>Hauling locomotive ED 050 of the freight train no.64208 derailed in Drăgotești railway station.</t>
  </si>
  <si>
    <t>Drăgotești</t>
  </si>
  <si>
    <t xml:space="preserve">Damage to the both bogies of the locomotive EA 798. The line was damaged for about 22 meters. </t>
  </si>
  <si>
    <t>Existence within the track, at the accident site, an area with the gradient of the track twist over the maximum value accepted for the traffic and of some counter-cants of the outer rail over the tolerances accepted in operation, it leading to the exceeding of the derailment stability limit.</t>
  </si>
  <si>
    <t xml:space="preserve">Contributing factor:
Ineffective monitoring of the development of the failures recorded with the trolley for the track measuring, it favouring their deterioration. 
Systemic factors:
• provision with insufficient human resources, against the necessary ones, to perform the suitable maintenance of line and keeping of track geometry between the tolerances accepted;
• ineffective management of the risk associated to the danger of exceeding the tolerances accepted for the track geometry by the infrastructure administrator.
</t>
  </si>
  <si>
    <t>CZ-10221</t>
  </si>
  <si>
    <t xml:space="preserve">Trains collision, 19-04-22, Bohumín station, district Vrbice (Czech Republic) </t>
  </si>
  <si>
    <t>Collision of the shunting operation with the standing locomotive.</t>
  </si>
  <si>
    <t>Bohumín station, district Vrbice, track No. 624, km 272,197</t>
  </si>
  <si>
    <t>Shunting operation, detached locomotive</t>
  </si>
  <si>
    <t>Rail Cargo Carrier - Czech Republic, s.r.o.</t>
  </si>
  <si>
    <t>CZK 19 331 295,- (EUR 791 455,-); rolling stocks</t>
  </si>
  <si>
    <t>Causal factor: 
• the shunting route was made from station track No. 604a of the Bohumín station, Bohumín-Vrbice district to station track No. 624, ie. to a place which the train driver of the shunting operation did not determine (as shunting manager) when arranging the shunting with the track dispatcher 3G of the Central dispatching workplace Přerov, which was caused:
◦ by his unconscious error (mistake) when he operated the station interlocking plant;
◦ it was failure check correct position of the shunting route, i.e. whether the shunting route was perform to the location specified at arranging the shunting.
Contributing factor: none.</t>
  </si>
  <si>
    <t>CZ-10222</t>
  </si>
  <si>
    <t xml:space="preserve">Unauthorized movement, 23-04-22, Jihlava station (Czech Republic)  </t>
  </si>
  <si>
    <t>Unauthorized movement of the regional passenger train No. 8376 behind the main (departure) signal device L5 with consequent entry into the train route of the regional passenger train No. 28305.</t>
  </si>
  <si>
    <t xml:space="preserve">Single track </t>
  </si>
  <si>
    <t>Regional passeger train</t>
  </si>
  <si>
    <t>Causal factor: 
• failure to respect signal „Stop" at the main (departure) signal device L5 at Jihlava station by the train driver of the regional passenger train No. 8376 caused by the driver's unconscious mistake, who did not notice the signal „Stop" while driving to the signal device L5.
Contributing factor: none.</t>
  </si>
  <si>
    <t>BE-10241</t>
  </si>
  <si>
    <t>Other event, 30/4/2022, Antwerpen-Noord</t>
  </si>
  <si>
    <t>Incidents and accidents during shunting operations
in the fan of sidings of Antwerpen-Noord during the first months of 2022</t>
  </si>
  <si>
    <t>Antwerpen-Noord</t>
  </si>
  <si>
    <t>ecco‐rail GmbH, Rail Cargo Carrier – Germany GmbH, DB Cargo AG.</t>
  </si>
  <si>
    <t>1 Locomotive and numkber of freight waggons heavily desatroyed. Line infrastructure locally destroyed.</t>
  </si>
  <si>
    <t>The direct cause for the most common occurrences is an inadequate brake control, namely a wagon group that is braked too much or too little.</t>
  </si>
  <si>
    <t>The various contributing factors are: 
1. the fact that the immobilisation of the wagons is not or insufficiently lifted when a wagon group is being prepared for shunting. 
2. the entered weight data to configure the brake control in the automatic shunting system do not correspond to the actual weight of the wagon group. 
3. a misjudgement of released brakes by the personnel during a pushed shunting movement. 
4. the fact that a stopblock is not or not properly placed on the destination track. 
5. the proper functioning of the automatic shunting system depends on the continuity of the set parameters. 
The various systemic factors are: 
1. the infrastructure manager has not planned risk mitigation measures in case of a malfunctioning weighing installation, and this despite the elevated risk as shown in its risk analysis. 
2. the railway undertaking receives insufficient data for generating complete statistics on the amount of wrongly entered weight data for wagons in the system.</t>
  </si>
  <si>
    <t>RO-10225</t>
  </si>
  <si>
    <t>Train derailment, 7/5/2022, Fetești</t>
  </si>
  <si>
    <t>One wagon (the 8th) from the composition of the freight train no.66704007 derailed in Fetești railway station.</t>
  </si>
  <si>
    <t>SC „Deutsche Bahn Cargo România” SRL</t>
  </si>
  <si>
    <t xml:space="preserve">Damage to the first bogie, in the running direction, of the wagon no.83536658178-2 (the 8th in composition of the train).                                                                                                          
The line was damaged for about 85 meters. </t>
  </si>
  <si>
    <t>Irregular loading of the wagon no.83536658178-2 in relation to its longitudinal axis, following of it the ratio between the guiding force and the load acting on the guiding wheel (4L) increase over the derailment stability limit.</t>
  </si>
  <si>
    <t>AT-10226</t>
  </si>
  <si>
    <t>Train derailment, 9/5/2022, between Bf Münchendorf und Bf Achau</t>
  </si>
  <si>
    <t xml:space="preserve">ROeEE (Raab-Oedenburg-Ebenfurter Eisenbahn AG) </t>
  </si>
  <si>
    <t>NO-10230</t>
  </si>
  <si>
    <t>Trains collision near miss, 11/05/2022, Bolna station</t>
  </si>
  <si>
    <t>On Wednesday 11.05.2022 a northbound passenger train had to initiate emergency brake to avoid collision with the last wagon in a crossing southbound freight train.
Bolna station is a manned station with single signalling system. The freight train was taken into track number 2, before the train dispatcher operated the track swith into normal position (track 1). The passenger train ran through the station, and had to initiate emergency brake to avoid collision. The last wagon of the freight train stood in track 1, but inside the switch.</t>
  </si>
  <si>
    <t>Bolna station</t>
  </si>
  <si>
    <t>SJ Norge AS</t>
  </si>
  <si>
    <t>None damage</t>
  </si>
  <si>
    <t>The local traffic controller did not notice that the rearmost wagon of the freight train was not within the fouling point</t>
  </si>
  <si>
    <t>Weakness in local training and unsuffiecient planning of the crossing on behalf of the traffic controller.</t>
  </si>
  <si>
    <t>HU-10356</t>
  </si>
  <si>
    <t>Train derailment, 13/5/2022, Zalaszentmihály-Pacsa</t>
  </si>
  <si>
    <t>Freight train derailed on a swith</t>
  </si>
  <si>
    <t>Zalaszentmihály-Pacsa</t>
  </si>
  <si>
    <t>GYSEV-CARGO Zrt.</t>
  </si>
  <si>
    <t>1 wagno destroyed, 2 switches destroyed</t>
  </si>
  <si>
    <t>Track maintenance</t>
  </si>
  <si>
    <t>CZ-10229</t>
  </si>
  <si>
    <t>Electric shock, 19/5/2022, Kolín station (Czech Republic)</t>
  </si>
  <si>
    <t>Injury of the employee of IM by electric current at repair of damaged contact line which originated in connection with ride of the regional passenger train No. 5005.</t>
  </si>
  <si>
    <t>Kolín station, station track No. 101a, km 348,152</t>
  </si>
  <si>
    <t>CZK 746,- (€ 30,-); Rolling stock</t>
  </si>
  <si>
    <t>Article 20.2 of Directive (EU) 2016/798 – a), c)</t>
  </si>
  <si>
    <t>Causal factors: 
• ride of the regional passenger train No. 5005 with raised the current collector over the section insulator No. 54 at Kolín station with connection of section contact line under voltage with disconnecting section of contact line without voltage, where it was perform work at device (repair of damaged contact line on the station track No. 101a), caused by series failures, when:
◦ the leader of work of Administration of electrotechnics and energetics Praha started work at device (contact line on the station track No. 101a) and he did not inform the line dispatcher 114 of Central dispatcher workplace Praha for requirement work at device and he did not arrange of conditions of work at device with him,
◦ the separate electrodispatcher ED3 of Administration of electrotechnics and energetics Praha did not inform the line dispatcher 114 of Central dispatcher workplace Praha directly about no entry ride of rolling stocks along the station tracks No. 100, 101, 101a and from the station tracks No. 103 to 109 at Kolín station, but he informed about this the operating dispatcher PD1 of Central dispatcher workplace Praha, who could not perform this guidance, but he did not bring up objection, which it had behind consequence distorted this guidance,
◦ the separate electrodispatcher ED3 of Administration of electrotechnics and energetics Praha did not give guidance the line dispatcher 114 of Central dispatcher workplace Praha (nor across mediator) about no entry ride of rolling stocks with raised the current collector along the station track No. 1d and part of central head of the first part of classification yard at Kolín station whose contact line was electric connected with contact line at place of work at device – contact line on the station track No. 101a; • wrong securing of contact line at place of work at device (repair of damaged contact line on the station track No. 101a at Kolín station). 
Contributing factor: none.</t>
  </si>
  <si>
    <t>DE-10233</t>
  </si>
  <si>
    <t>Trains collision, 19/5/2022, Hp Altheim (Hess) – Bf Dieburg</t>
  </si>
  <si>
    <t>Am 19.05.2022 kollidierte GAG 60101 gegen 04:04 Uhr zwischen dem Haltepunkt Altheim
(Hess) und dem Bahnhof Dieburg mit dem im Blockabschnitt stehenden DGS 42174.</t>
  </si>
  <si>
    <t>Altheim (Hess) - Dieburg</t>
  </si>
  <si>
    <t xml:space="preserve">The collision was due to a chain of events that originated in Babenhausen. Technical and procesual failures for sharing information about operated trains on the line took place via the reporting system. Signaller became confused about trains and status of a blocked line section. </t>
  </si>
  <si>
    <t>(see report exerps)</t>
  </si>
  <si>
    <t>DE-10307</t>
  </si>
  <si>
    <t>Train derailment, 21/5/2022, Bf Frankfurt (Oder) Oderbrücke</t>
  </si>
  <si>
    <t>Am 21.05.2022 gegen 09:53 Uhr entgleiste der Güterzug DGS 76293 auf der Fahrt von
Frankfurt (O) nach Frankfurt (Oder) Oderbrücke während der Einfahrt in den Bahnhof
Frankfurt (Oder) Oderbrücke mit dem ersten Drehgestell des an vorletzter Stelle fahrenden
Wagens.</t>
  </si>
  <si>
    <t>Bf Frankfurt (Oder) Oderbrücke</t>
  </si>
  <si>
    <t>Der Untersuchungsschwerpunkt liegt derzeit im Bereich der konstrukƟven Gestaltung sowie
der Beladung des entgleisten Fahrzeuges.</t>
  </si>
  <si>
    <t>RO-10231</t>
  </si>
  <si>
    <t>Rolling stock event, 24/5/2022, Piața Romană - Universitate</t>
  </si>
  <si>
    <t>In the running of metro train set no.15, path 04, the train consisting in the electric train set (TEM) no.1314-2314, between the metro stations Piața Romană and Universitate, the torque rod from the bogie no.2 of  the unit MP2 of the half-train no.2314 broke and hit the tunnel installations.</t>
  </si>
  <si>
    <t>Piața Romană - Universitate</t>
  </si>
  <si>
    <t xml:space="preserve">The torque rod of the bogie no.2 from the unit MP2 of the half-train no.2314, the current collector afferent to the same part (left side in the train running direction) and the bogie frame no.2 was damaged.               One insulator two protection covers from the rail 3rd  were damaged.   </t>
  </si>
  <si>
    <t>Causal factor                                                                                      Breakage of the torque rod from bogie no.2 of wagon MP2 of semi-train no.2314, the breakage being generated by the wrong application of the blasting with metallic shots, during the manufacturing of that rod.</t>
  </si>
  <si>
    <t xml:space="preserve">Contributing factors                                                                       None.                                                                                            Systemic factors                                                                         None. </t>
  </si>
  <si>
    <t>RO-10232</t>
  </si>
  <si>
    <t>Train derailment, 26/5/2022, Merișor</t>
  </si>
  <si>
    <t>The light locomotive EC 076 which running as train no.L88151 derailed and overturned in Merișor railway station.</t>
  </si>
  <si>
    <t>Merișor</t>
  </si>
  <si>
    <t>SC „Constantin Grup” SRL</t>
  </si>
  <si>
    <t xml:space="preserve">Heavily damage to the locomotive EC 076.                                            Following the derailment and overturning of the locomotive EC 076, three poles for the support of the contact line (poles LC 14, 16 and 17), geometry of the contact line was deranged on about 350 m, from which 200 m on the track II and 150 m on the line 3 from the railway station Merișor. </t>
  </si>
  <si>
    <t>Causal factor                                                                                     Over-speeding more than 2,5 times, of the maximum accepted speed on the line, by the locomotive EC 076 during its running on a left curve, in the running direction, following the improper working of the braking systems, generated by the unsoldering and detachment of the pipe for air supply of the brake cylinder no.4 and locomotive running with the distributor KE insulated, it leading to the increase of the lateral dynamic forces, so exceeding the derailment stability limit and leaving of the rail by the locomotive wheels.</t>
  </si>
  <si>
    <t xml:space="preserve">Contributing factors
None.
Systemic factors
None.
</t>
  </si>
  <si>
    <t>DK-10313</t>
  </si>
  <si>
    <t>Accident to persons caused by RS in motion, 29/05/2022, Ringsted-Vigerslev (Denmark)</t>
  </si>
  <si>
    <t>High speed passenger train hit a railway worker.</t>
  </si>
  <si>
    <t>Between Ringsted and Vigerslev km 53,6 track no 1.</t>
  </si>
  <si>
    <t>Danish Railways</t>
  </si>
  <si>
    <t>The collision occurred as a result of a railway worker was walking in the middle of a traffic lane without the necessary attention to the fact that a train was approaching from behind.</t>
  </si>
  <si>
    <t>Human routines, planning access routes</t>
  </si>
  <si>
    <t>NO-10236</t>
  </si>
  <si>
    <t>Level crossing accident, 31/5/2022, Hagamælen plo, Støren</t>
  </si>
  <si>
    <t>Colission between tractor and train</t>
  </si>
  <si>
    <t>Hagamælen level crossing, Støren</t>
  </si>
  <si>
    <t xml:space="preserve">SJ Norge AS </t>
  </si>
  <si>
    <t>BaneNOR SF</t>
  </si>
  <si>
    <t>The accident on 31 May 2022 at the Hagamælen level crossing occurred because the driver of a tractor drove onto the level crossing at the same time as a northbound train arrived.</t>
  </si>
  <si>
    <t>In the safety investigation, the Norwegian Safety Investigation Authority has not been able to conclude why the driver of the tractor did not stop in front of the level crossing. The report discusses, on a general basis, various reasons why road users might not handle level crossings in a safe manner. In particular, the Norwegian Safety Investigation Authority has shown that road users have a significant responsibility for ensuring that passing of the level crossing is safe, and that this responsibility is presumably greater than what is perceived by most road users. Research, reports and observations show that there are a large number of different reasons why road users inadvertently make mistakes in these situations and thus end up in a very dangerous situation. Furthermore, the Norwegian Accident Investigation Authority has cited various research and observations that the flashing red stop signal is not observed by road users. It is uncertain why, and the Norwegian Safety Investigation Authority believes that The Norwegian Public Roads Administration should conclude in their work on alternatives to flashing red stop signals in closed tunnels. The results from this work may also be relevant for level crossings.</t>
  </si>
  <si>
    <t>ES-10252</t>
  </si>
  <si>
    <t>Operational event, 1/6/2022, El Papiol (Barcelona)</t>
  </si>
  <si>
    <t>National ID 46/2022: Operational event at El Papiol (line 240, kilometre 82).
Commuter train #77721 reversed without authorization from El Papiol halt. Control Centre detected that movement, and tried to contact with the driver, to no avail. So, they stopped all the other trains in the section, and dispatched one of them via the other track, with instructions to contact with #77721. Finally they contacted with train #77721 and it stopped at the entrace signal of the next station. Driver of #77721 stated that she had mistaken El Papiol halt with Castellbisbal station, terminus station, and had begun the return trip. As she had problems with radio to contact with Control Centre, she began the return trip by herself. The driver had been 8 months on a sick leave and alleged current familiar issues.</t>
  </si>
  <si>
    <t>El Papiol (Barcelona)</t>
  </si>
  <si>
    <t>Causes:
A1. Confusion of Castellbisbal Station with El Papiol halt. Causal factor directly linked to previous staff management decisions as well as actions undertaken by the driver hours prior to the incident. 
A2. Decision to initiate the movement at El Papiol halt towards Molins de Rei. The movement started without proper communication with the TDO and the required train-checks. 
A3. Once on the move, impossibility to establish communication with the train #77721 before arriving at E4.
Contributing factors:
Contributing factors related to the casual factor A1
B1.1. Deviation of the attentional focus that led to the confusion of El Papiol halt with Castellbisbal station.
C.1.1.1. Attention to an electronic device during the rotation maneuvers that led to the deviation of the attentional focus and an inappropriate spatial appreciation of the end point of the itinerary.
D1.1.1.1. Lack of risk appreciation during the driving operation responsibilities.
C1.1.2. The driver´s transitory psycho-physical unfitness led to the deviation of the attentional focus.
D1.1.2.1. Lack of risk appreciation considering the unfitness to work prior to the service.
B1.2. The long off-work period prior to the incident is considered a contributing factor to the confusion of El Papiol halt with Castellbisbal station.
C1.2.1. Lack of psycho-physical appropriate examinations and procedures after long off-work periods.
C1.2.2. Insufficient communication, collaboration and coordination within the organization that would promote a trust environment between mentors and drivers, enabling premature detection of unfitness to work circumstances
C1.2.2. Insufficient communication, collaboration and coordination within the organization that would promote a trust environment between mentors and drivers, enabling premature detection of unfitness to work circumstances.
C1.2.3. Gaps within the access, refreshers and additional psycho-physical examinations resulting in the inappropriate assessment of the fitness to work. Furthermore, according to the current procedures the psycho-physical examinations can be trained and prepared by the drivers beforehand.
C1.2.4. Due to the lack of enough experienced staff, the driver was not shadowed when returning to the driving operations after the long off-work period.
B3.1. It was the first time that the driver would rotate at Castellbisbal station after returning to work. 
C3.1.1. Lack of a thorough understanding of the rotation maneuvers defined in the information provided by the RU to the driver well in advance to the commencement of the service. 
D1.3.1.1. Lack of procedures that guarantee that drivers fully comprehend the essential information of the assigned services.
D1.3.1.2. Lack of mentors and experienced staff that would promote communication, coordination, and collaboration with drivers, as well as solve the technical or personal challenges of the day-to-day tasks.
B1.4. Insufficient theoretical and practical training that would grant the appropriate performance of the technical and operational driving responsibilities. A lack of risk appreciation acknowledgment is also considered a contributing factor to the confusion of El Papiol halt with Castellbisbal station. 
C1.4.1. Misinterpretation of the signal “A” indicating the approach to a halt in the directi
C1.4.2. Rotating and reverse movement along track I.on of Molins de Rei to El Papiol halt.
Contributing factors to the causal factor A2
B2.1. Persistence of the deviation of the attentional focus minutes before initiating the reverse movement.
C2.1.1. Confusion of the permissive signal E´4 with the absolute signal located at Castellbisbal station, where the rotation movement should have started. 
C2.1.2. Initiation of the movement along track I even though the train number had already changed to an even number after the rotation maneuvers. 
B2.2. The driver did not notify the TDO its readiness to the depart before starting the movement, therefore, the Centralized Traffic Centre (CTC) was not aware of the reverse movement nor the change of the train number.
C2.1.1. The communication protocol at very congested stations where phone calls between drivers and TDOs are not operative consists of the notification across the Train-Radio of the entry in a specific channel, this is then interpreted by the TDOs as the trains are “Ready to depart”. Therefore, this informal protocol is considered a contributing factor to the initiation of the reverse movement.
B2.3. Prior to the commencement of the services, drivers use checklists and undertake train checks to assess whether essential train and operations requirements are met. Failing to have gone through all the prescribed checks is deemed as a contributing factor to the initiation of the movement.
C2.2.1. The current display of the checklists does not promote an assessment of all the elements disclosed in the lists, as there is an option that can be ticked as “All read” at the top of the checklists. 
Contributing factors to the casual factor A3
B3.1. Once the train #77721 initiated the movement and the TDO realized that the train had not arrived at Castellbisbal station, communication across the Train-Radio was attempted. However, communication was unsuccessful given that the driver had already modified the train number and the channel frequency in the direction towards Molins de Rei. This is considered as a contributing factor to the continuation of the movement. 
C3.1.1. The lack of appropriate training and application of the “Ready to Depart” procedures are considered a contributing factor.
B3.2. Failing to establish contact across the Train-Radio, the CTC contacted the RUMC so they could get hold of the driver. Contact was eventually achieved through the driver´s personal cell phone.
C3.2.1. Including a check accounting for the availability of the corporate cell phones prior to the commencement of the services would facilitate communications between drivers, the CTC and the RUMC across the appropriate channels without further delays.</t>
  </si>
  <si>
    <t>Systemic factors: 
FCS1. Lack of risk appreciation: attention to electronic devices during the rotation maneuvers; driving under unfit psycho-physical conditions; and initiation of the services without proper acknowledgement of the service information. 
FCS2. Lack of appropriate return to work procedures that guarantee the psycho-physical fitness of the personnel after long off-work periods. 
FCS3. Insufficient communication, collaboration, and coordination between mentors and drivers. Enhancing a trust environment within the organization would enable a premature detection of anomalous situations that may potentially impact driving tasks. 
FCS4. Gaps in the psycho-physical examinations and tests (access and refreshers) that guarantee the fitness of drivers.  
FCS5. Limitations on the availability of skilled and experienced personnel to train new starters as well as for the shadowing activities required for personnel returning after long off-work periods. 
FCS6. In need of reinforcing the mechanisms for the transmission of the service information to the drivers, promoting reading acknowledgement well in advance of the commencement of the services.
FCS7. Reinforcement of the theoretical and practical training programs to promote an in-depth knowledge of the installations and signaling technical requirements as well as the communication protocols with the Infrastructure Manager (IM), among other skillsets.
FCS8. Lack of formal notification procedures at very congested stations for the communications between the drivers and TDOs when the trains are ready to depart.</t>
  </si>
  <si>
    <t>CH-10239</t>
  </si>
  <si>
    <t>Trains collision, 2/6/2022, Zollikofen</t>
  </si>
  <si>
    <t>Two freight locomotives in multiple traction running as a locomotive train collided with the rear of an other freight train
train ready for departure.</t>
  </si>
  <si>
    <t>Zollikofen</t>
  </si>
  <si>
    <t xml:space="preserve">On 2 June 2022 at 11.36 am, in Zollikofen station, a locomotive train collided with the rear of a freight train comprising special vehicles for track construction work. This freight train was about to depart. The front locomotive of the locomotive train came to a stop on the low-floor wagon located at the rear of the freight train. The driver of the locomotive train sustained minor injuries.
</t>
  </si>
  <si>
    <t>The locomotive train collided with a stationary freight train about to depart Zollikofen station on 2 June 2022 because the locomotive train had passed a stop signal. The driver expected the next signal to be the exit stop signal. He did not notice the signal layout between the entry and exit signals.
Factors contributing to the accident:
•	The incorrect configuration of the ZUB 262ct by the maintenance team during maintenance work was not detected. This led to a failure of the train control system on the lead locomotive of the locomotive train.
•	The focus was on continuing the train's journey, not on the repairs conducted by the maintenance services – for which reason the train control system had been deactivated.
•	The journey was made without a second driver.</t>
  </si>
  <si>
    <t>FR-10271</t>
  </si>
  <si>
    <t>Trains collision near miss, 2/6/2022, Saint-Chamond</t>
  </si>
  <si>
    <t>a dumper truck fell from a bridge onto the tracks</t>
  </si>
  <si>
    <t>Saint-Chamond</t>
  </si>
  <si>
    <t>not applicable</t>
  </si>
  <si>
    <t>overhead catenary torn out</t>
  </si>
  <si>
    <t>SK-10234</t>
  </si>
  <si>
    <t>Trains collision, 3/6/2022, between Varín - Vrútky</t>
  </si>
  <si>
    <t>between Varín - Vrútky</t>
  </si>
  <si>
    <t>trains collisions, total material costs 4 112 863,72€</t>
  </si>
  <si>
    <t>IT-10270</t>
  </si>
  <si>
    <t>Train derailment, 3/6/2022, Rome (Prenestina)</t>
  </si>
  <si>
    <t>derailment of Trenitalia train n. 9311, high speed line Rome-Naples</t>
  </si>
  <si>
    <t>Rome (Prenestina)</t>
  </si>
  <si>
    <t xml:space="preserve">Rete Ferroviaria Italiana SpA (RFI) </t>
  </si>
  <si>
    <t>approximately EUR 4,2 million of rolling stock damage and 
about EUR 1,2 milion of infrastructure stock damage</t>
  </si>
  <si>
    <t>Improper maintenance</t>
  </si>
  <si>
    <t xml:space="preserve">thermal instability of the track </t>
  </si>
  <si>
    <t>DE-10279</t>
  </si>
  <si>
    <t>Am 03.06.2022 gegen 12:16Uhr entgleiste der Personenzug RB-D 59458 auf der Fahrt von Garmisch-Partenkirchen nach München Hbf zwischen den Bahnhöfen (Bf) Garmisch-Partenkirchen und Farchant in km 97,676.</t>
  </si>
  <si>
    <t>BG-10235</t>
  </si>
  <si>
    <t>Level crossing accident, 7/6/2022, between the stations Dimovo and Oreshets</t>
  </si>
  <si>
    <t>Collision of regional fast passenger train No7623 with loaded truck at level-crossing between the stations Dimovo and Oreshets</t>
  </si>
  <si>
    <t xml:space="preserve"> At level-crossing between the stations Dimovo and Oreshets</t>
  </si>
  <si>
    <t xml:space="preserve">illegal passage of the heavy goods vehicle through the railway level crossing without stopping at the prohibitory indication of the road traffic sign with two flashing red lights with a sound signal and road sign No. B2 </t>
  </si>
  <si>
    <t>when the heavy goods vehicle was traveling on the road parallel to the rail track, the driver of the vehicle turned left and entered the level crossing area, without heeding the indication of the signals of the traffic light located on the right, announcing the approach of FT No. 7623.</t>
  </si>
  <si>
    <t>CZ-10237</t>
  </si>
  <si>
    <t>Other, 07/06/2022, Otrokovice station</t>
  </si>
  <si>
    <t>Damage of contact line during entrance of the freight train No. 53742 to Otrokovice station with consequent fire of railway infrastructure equipment at Otrokovice and Tlumačov stations and Otrokovice – Tlumačov track section</t>
  </si>
  <si>
    <t>Otrokovice station</t>
  </si>
  <si>
    <t>Causal factor:
• movement of the freight train No. 53742 with raised the current collector in place of ordered ride with pulled down the current collector caused by failure to respect of portable signal device for electric operation which sign the signal „pull down the current collector”.
Causal factor of consequent fire of railway infrastructure equipment:
•failure to turn off the quick-switches in Nedakonice traction power station affected by a high setting value of their action (breaking current values).</t>
  </si>
  <si>
    <t>ES-10251</t>
  </si>
  <si>
    <t>Trains collision, 12/6/2022, Vila-seca (Tarragona)</t>
  </si>
  <si>
    <t>National ID 48/2022: Trains collision at Vila-seca (line 210, kilometre 90,015).
Train #95172, composed with two Captrain locomotives, departed from maintenance yard. While approaching Vila-seca junction, its driver contacted with Control Centre to report problems with brakes. It passed entrance signal EV2 of Vila-seca (that ordered to stop), forced the switch #11 and finaly collided with Renfe regional passenger train 18087, that had been stopped at Vila-seca. The collision caused injuries to 23 people, and serious injuries to 6 more people.</t>
  </si>
  <si>
    <t>Vila-seca (Tarragona)</t>
  </si>
  <si>
    <t>Captrain / Renfe Viajeros</t>
  </si>
  <si>
    <t>Damages in rolling stock of both trains, 6 people serious injuries, 23 minor injuries</t>
  </si>
  <si>
    <t>1.	Insufficient braking of the locomotives of train #95172.
2.	After having carried out an extraordinary wheel reprofiling operation on the 310 series locomotives, the brake rigging was not adjusted to the new diameter, so that seven of the sixteen brake pads did not touch the tread of their respective wheels.</t>
  </si>
  <si>
    <t>Contributing factors: 
1.	Brake tests were unable to detect brake insufficiency on 310 series locomotives.
Systemic factors: 
1.	Absence of a procedure within ECM's Maintenance Management System specifying the actions to be undertaken after wheel reprofiling works and thus requiring adjustment of the brake rigging. See Recommendation 48/2022-2.
2.	Lack of definition of brake test procedures both in RU’s SMS and in the locomotive driving manual when the locomotives run without being part of the train composition. See Recommendation 48/2022-1.
3.	Lack of specific procedures for setting up brake tests to detect braking problems related to mechanical elements on single locomotives and short trains. See Recommendation 48/2022-1.</t>
  </si>
  <si>
    <t>RO-10238</t>
  </si>
  <si>
    <t>Fire in RS, 13/6/2022, Zăvestreni</t>
  </si>
  <si>
    <t>A fire broke out at the tank wagon no. 82537942512-7, which was the first in the composition of the freight train no. 66306.</t>
  </si>
  <si>
    <t>Zăvestreni</t>
  </si>
  <si>
    <t xml:space="preserve">Causal factor
Improper fastening of the screws for fixing the cover of the loading domes of the wagon no.82537942512-7, that condition allowed the release of the gas vapors in that area and afterwards their ignition.
</t>
  </si>
  <si>
    <t xml:space="preserve">Contributing factor
The special weather conditions that favoured the occurrence of some local electric discharges at the support insulators type C, the local electric discharges generating some sparks that led to the ignition of the gas vapors released at the cover of loading dome from the upper part of first train wagon.
Systemic factor      
Lack, into the document concluded between the railway undertaking and the loader, of provisions regarding the control of the systems for locking/ensuring the units and subunits situated on the upper part of the tank wagons.
</t>
  </si>
  <si>
    <t>HU-10242</t>
  </si>
  <si>
    <t>Unauthorised train movement other than SPAD, 14/6/2022, Magyarbánhegyes</t>
  </si>
  <si>
    <t>Passenger train leave the station, but it had to wait for opposite train</t>
  </si>
  <si>
    <t>Magyarbánhegyes</t>
  </si>
  <si>
    <t>failure of driver</t>
  </si>
  <si>
    <t>system of traffic managemenet</t>
  </si>
  <si>
    <t>BE-10259</t>
  </si>
  <si>
    <t>Accident to persons caused by RS in motion, 15/6/2022, Wetteren</t>
  </si>
  <si>
    <t>Two workers from a subcontractor hit by a passenger train</t>
  </si>
  <si>
    <t>NMBS / SNCB</t>
  </si>
  <si>
    <t>Slight damage to the front of the locomotive + various train delays and cancellations</t>
  </si>
  <si>
    <t>CZ-10243</t>
  </si>
  <si>
    <t>Train derailment, 19/06/2022, Stupno, Czech Republic</t>
  </si>
  <si>
    <t>Derailment of the regional passenger train No. 17806 at Stupno operating point</t>
  </si>
  <si>
    <t>Stupno operating point</t>
  </si>
  <si>
    <t>PL-10248</t>
  </si>
  <si>
    <t>Trains collision, 20/6/2022, station Regalica, km 204,079 line 351 at 12:55</t>
  </si>
  <si>
    <t xml:space="preserve">While driving, the train ROM 88628/9 (POLREGIO Spółka Akcyjna) line Szczecin Główny - Kołobrzeg on track no. 2 from station Szczecin Port Central SPA in the direction of junction post Szczecin Zdroje, at the junction post Regalica in the turnout fouling point no. 3 there was a collision with the maintenance train Rob.1, which was standing at the turnout no. 1. </t>
  </si>
  <si>
    <t>station Regalica, km 204,079 line 351 at 12:55</t>
  </si>
  <si>
    <t>Preparation of the runway by the train dispatcher on duty, without checking that the runway for the ROM 88628/9 train is properly laid out and that there are no obstacles in the way.</t>
  </si>
  <si>
    <t xml:space="preserve">1) Commencement of the next stage of reconstruction of signaling equipment at the SPA post without restoring the full functionality of the Regalica junction post, i.e. restoring the dependence of the position of switch No. 1 in the minus position for course B22w "from SPA on track No. 2 to Szczecin Zdroje on track No. 2", which resulted in the lack of lateral protection for this line.
2) Enabled transmission of the enabling signal S10 on the semaphore B2 in absence of lateral protection for course B22w "from SPA on track No. 2 to Szczecin Zdroje on track No. 2".
3) Stopping train Rob.1 in the switch fouling point 3c/d, where it should not stop, upon the verbal order of the train dispatcher on duty, while entering mainline track No. 2 of railway line 351. 
4) Organization of the train traffic at Regalica junction post (sub-junction) without exit semaphores being incompatible with current regulations.
5) Lack of observation by the train dispatcher of sub-junction Regalica of passing trains from the place designated by technical regulations. 
6) Carrying out the technical acceptance of the traffic control system and commissioning at the Regalica junction post by the acceptance committee on 03.09.2021 in such a way that the lack of dependence of the B2 semaphore signals on switch position at turnout No. 1 has not been revealed.
7) Failure to disclose the lack of dependence of B2 semaphore indications on the position of turnout switch No. 1 during the diagnostic test performed on 11/15/2021.
</t>
  </si>
  <si>
    <t>RO-10244</t>
  </si>
  <si>
    <t>Fire in RS, 22/6/2022, Zăvestreni - Videle</t>
  </si>
  <si>
    <t>A fire brust out at the locomotive of passenger train no.349 between Zăvestreni and Videle railway stations. Later the fire spread to the first car in the train.</t>
  </si>
  <si>
    <t>Zăvestreni - Videle</t>
  </si>
  <si>
    <t xml:space="preserve">Causal factor: 
 appearance of an electric arc between the floor of the locomotive EA 889 and the electric cables that connect the batteries and the equipments block S7, following the deterioration of their insulation.
</t>
  </si>
  <si>
    <t xml:space="preserve">Contributing factor: 
 non-performance of planned repairs type RG at the locomotive EA 889, upon the stipulated times/km, repairs consisting in the replacement of all locomotive electric cables, and its keeping in operation, after exceeding the norm of time and km for the performance of planned repairs, repairs that had to ensure the necessary potential for safety, comfortable and security railway transports.
Systemic factors:
 ineffectiveness of the process for monitoring the measures set up for keeping under control the risks corresponding to the danger ”lack of compliance with the cycle of inspections and repairs at the rolling stock”;
 lack, within the operational procedure ”Planning of inspections and repairs at the locomotives, multiple-units and electric train set got by SNTFC „CFR Călători” SA - PO-0-8.1-15, of some provisions regarding the way to withdraw the locomotives/multiple units/electric train sets when they reach the norm of time/km, as well as non-appointment of staff responsible for the performance of that activity.
</t>
  </si>
  <si>
    <t>HU-10247</t>
  </si>
  <si>
    <t xml:space="preserve">Runaway, 26/06/2022, Mátészalka station </t>
  </si>
  <si>
    <t xml:space="preserve">the wagons of the train No. 32421, which had arrived earlier on track II of Mátészalka station and then was disconnected, ran away while the locomotive was being inspected, and then left the station area on railway line 113 in the direction of Kocsord Alsó. </t>
  </si>
  <si>
    <t>Mátészalka</t>
  </si>
  <si>
    <t xml:space="preserve">on wagon 3, within twelve minutes after the compressed air supply was removed, for reasons that cannot be clearly determined, the pressures in the the main air supply pipe space and the main air reservoir pipe space equalized, causing the pressure in the main air supply pipe space to raise above the value necessary to set the triple valves to release position, and so the brakes in the interconnected wagons 2 and 3 were released </t>
  </si>
  <si>
    <t xml:space="preserve">The contents of MÁV Zrt. E.2. Brake Instruction 6.1.2 are not always in line with the technical requirements for rolling stock, and it may be that a wagon that has been deemed to be in a safe condition during maintenance cannot meet the requirement to be secured against running away for the required period of 30 minutes, when only held stationary by air brakes. </t>
  </si>
  <si>
    <t>18/4/2023</t>
  </si>
  <si>
    <t>CZ-10245</t>
  </si>
  <si>
    <t xml:space="preserve">Trains collision, 27-06-22, Bohumín station (Czech Republic) </t>
  </si>
  <si>
    <t>Unauthorized movement (spad) of the express train No. 516 behind the main (departure) signal device L2, collision with the shunting operation and consequent derailment of 2 rolling stocks of the express train No. 516.</t>
  </si>
  <si>
    <t>Causal factors:
• failure to respect the signal „Stop” of the main (departure) signal device L2 at Bohumín station by the train driver of the express train No. 516 due to unconscious mistake of the train driver which manifested in the unauthorized movement of this train without dispatched from Bohumín station;
• it was not ensure to provide orientation breathing test on ingestion alcohol of the train driver of the express train No. 516 which got on to work (shift) late, by his superior employee in shift.
Contributing factor:
•the train driver of the express train No. 516 got on to work (shift) under the influence
(of alcohol) in condition of middle drunkenness.</t>
  </si>
  <si>
    <t>CZ-10246</t>
  </si>
  <si>
    <t xml:space="preserve">Electric shock, 27-06-22, Pardubice hl. n. station (Czech Republic) </t>
  </si>
  <si>
    <t>Injury of an employee in the working basket of a rail crane by electric current during unauthorized work at the contact line.</t>
  </si>
  <si>
    <t>Pardubice hl. n. station</t>
  </si>
  <si>
    <t>Causal factor:
• initiation work of the external subject at the time of an electrically unsecured workplace and failure to comply conditions for ensuring the safety and health protection of the employee in the working basket of a railway rail crane under the voltage-operated part of the contact line.
Contributing factor: none.</t>
  </si>
  <si>
    <t>RO-10250</t>
  </si>
  <si>
    <t>Train derailment, 29/6/2022, Sârca - Podu Iloaiei</t>
  </si>
  <si>
    <t>15 wagons (from 11th to 25th) from the composition of the freight train no. 56317027 derailed between Sârca and Podu Iloaiei railway stations. Of the 15 derailed wagons, 11 wagons overturned.</t>
  </si>
  <si>
    <t>Sârca - Podu Iloaiei</t>
  </si>
  <si>
    <t xml:space="preserve">Damage to the wagons no.58558339, 58536749, 58540675, 58550443, 53235206, 53224887, 58541517, 58535667, 58538539, 91729571, 94729654, 58547977, 58540345, 58561275 and 58524133.
The line was damaged for about 600 meters being damaged 60 concrete sleepers and the rail fastenings.                                                       High line and telecommunication installations were affected, being damaged 6 poles of the high line and its fastenings. The contact line and the communication optical fiber was damaged on 500 m.                     The infield close to the line was affected. . </t>
  </si>
  <si>
    <t xml:space="preserve">Causal factor
Existence within the constant-radius curve, before the derailment site, a track section with lateral displacement, that led to the lateral movement of the unit rail-sleepers to outside the curve, appeared following the increase the rail temperature, it generating, under the action of the dynamic forces, the exceeding of the derailment stability limit, finally getting a cross distortion with a rope length of 16,3 m and the maximum value of the track deflection of 92 mm, measured at the distortion wave rope.
</t>
  </si>
  <si>
    <t xml:space="preserve">Contributing factor
Exceeding with up to 16 km/h (about 25%) of the maximum speed established in the working timetable for the train category (the freight trains consisting in wagons CSI transposed).
Systemic factors
 lack of overhauls for putting the parts of the tracks in accordance with the parameters designed for the line, in order to ensure the safety traffic, with the established speeds and tonnages.
 ineffective management of the risk associated to the danger of loss the welded track stability, realized by the infrastructure manager.
</t>
  </si>
  <si>
    <t>CZ-10249</t>
  </si>
  <si>
    <t xml:space="preserve">Trains collision with an obstacle, 30-06-22, open line between Karlštejn and Zadní Třebaň stations (Czech Republic) </t>
  </si>
  <si>
    <t>Collision of the long distance passenger train No. 753 with an obstacle (stones from collapsed hillside) with consequent derailment of locomotive and 1 rolling stock</t>
  </si>
  <si>
    <t xml:space="preserve"> open line between Karlštejn and Zadní Třebaň stations, track line No. 1, km 28,285</t>
  </si>
  <si>
    <t>CZK 76 183 853,- (€ 3 079 380,-); Rolling stocks, infrastructure</t>
  </si>
  <si>
    <t>HU-10254</t>
  </si>
  <si>
    <t>Other, 30/06/2022, Budapest-Keleti station</t>
  </si>
  <si>
    <t>EuroNight train no. EN462 was about to leave Budapest-Keleti station towards München-Ost, when the energy supply of carriage no. 61 55 21-91 304-1 failed. After recognising the problem, a decision was made to detach the wagon from the train and change it to an operational one. Before starting the shunting movements, the train crew asked the passengers to disembark the train. Part of the passengers disembarked, the others stayed onboard. Meanwhile the pulling locomotive also broke down, so all the carriages of the train remained without power supply and the air conditioners stopped working. The shunting was started with a shunting locomotive that pulled out the broken-down locomotive and 7 carriages out of the 9 in the train. During the exchange of the failed car to an operating one, the temperature raised in the carriages rapidly (there had been a heat-wave since several days), which ended up in a panic among people stayed onboard. In order to get fresh air, one of the passengers broke out one window of the carriage no. 61 55 20-91 413-1, and the carriage doors were opened with the emergency openers. After that, the passengers started to disembark on a turnout track of the station and went back to the station building by foot between the tracks. Police was notified by the railway workers, who carried out a scene investigation. The scheduled departure time was 20:40 but the train left the station at 03:27 on the next day, and ran only to the border station at Hegyeshalom.</t>
  </si>
  <si>
    <t>One window of passenger carriage no. 61 55 20-91 413-1 was broken out by unkown passenger.</t>
  </si>
  <si>
    <t>CZ-10255</t>
  </si>
  <si>
    <t xml:space="preserve">Level crossing accident, 04-07-22, open line between Klatovy and Janovice nad Úhlavou stations (Czech Republic) </t>
  </si>
  <si>
    <t>Collision of the regional passenger train No. 17555 with a set of vehicles (tractor and trailer) at the level crossing No. P847 with consequent derailment between Klatovy and Janovice nad Úhlavou stations</t>
  </si>
  <si>
    <t>Open line between Klatovy and Janovice nad Úhlavou stations</t>
  </si>
  <si>
    <t>Total damage CZK 9 030 732,- (EU 377 539,-)</t>
  </si>
  <si>
    <t>Causal factor:
• an unauthorized entrance of the set of vehicles at the level crossing No. P847 at the time when the regional passenger train No. 17555 was arriving, caused by behavior of the driver of the set of vehicles, who did not respect the light and acoustic warning of the level crossing safety equipment and did not make sure whether he could safely pass the level crossing.</t>
  </si>
  <si>
    <t>RO-10258</t>
  </si>
  <si>
    <t>Train derailment, 8/7/2022, Turceni</t>
  </si>
  <si>
    <t>Two wagons (the 25th and the 26th) from the composition of the freight train no.64220 derailed in Turceni railway station.</t>
  </si>
  <si>
    <t xml:space="preserve">Damage both bogies of the wagon no.81536651483-5 (the 25th in composition of the train).                                                              Damage to the first bogie, in the running direction,  of the wagon no.81536651427-2  (the 26th in composition of the train).                                                                               
The line was damaged for about 188 meters. </t>
  </si>
  <si>
    <t xml:space="preserve">Causal factor
Existence within the track, at the accident site, under the connection rails of switch no. 32 from the railway station Turceni, a group of improper special wooden sleepers in turn, whose technical condition could no more ensure a safety fastening of the metallic plates. It led to the exceeding of the maximum limit accepted for the track gauge in operation, so generating the loss of the support and guiding capacity of the connection rails from the deflecting section of the switch, under the dynamic action of rolling stock. 
</t>
  </si>
  <si>
    <t xml:space="preserve">Contributing factor
Performance of inspections and controls without recording all the deficiencies, without setting corresponding measures and deadlines for fixing, it leading to the keeping within the track a group of improper special wooden sleepers.
Systemic factors:
• provision with an inadequate material and human resources, against the necessary ones, for the performance of suitable maintenance of line and keeping of track geometry between the tolerances accepted;
• ineffective management of the risk associated to the danger of exceeding the tolerances accepted for the track geometry, performed by the infrastructure administrator.
</t>
  </si>
  <si>
    <t>HU-10257</t>
  </si>
  <si>
    <t>Trains collision, 10/7/2022, Biatorbágy - Herceghalom</t>
  </si>
  <si>
    <t>Freight train collided with the previous train, 7 wagons derailed.</t>
  </si>
  <si>
    <t>Biatorbágy - Herceghalom</t>
  </si>
  <si>
    <t>H-GYSEV Cargo Zrt.; SK-PSZ AS</t>
  </si>
  <si>
    <t>7 wagons derailed</t>
  </si>
  <si>
    <t>HU-10256</t>
  </si>
  <si>
    <t>Trains collision, 11/07/2022, Balatonfüred station</t>
  </si>
  <si>
    <t>A shunting engine collided with a passenger train</t>
  </si>
  <si>
    <t>Balatonfüred</t>
  </si>
  <si>
    <t>2 engines</t>
  </si>
  <si>
    <t>unallowed shunting movement</t>
  </si>
  <si>
    <t>communication failure</t>
  </si>
  <si>
    <t>CZ-10268</t>
  </si>
  <si>
    <t>Derailment of the freight train No. 62066 at Bohumín station</t>
  </si>
  <si>
    <t>Derailment of one rolling stocks of the freight train No. 62066</t>
  </si>
  <si>
    <t>Total damage CZK 27 112 000,- (EUR 1 106 612,-)</t>
  </si>
  <si>
    <t>Causal factor:
• a set of defects on the railway superstructure of track No. 27 affecting the operation of the rolling stocks – exceeding the permitted positional deviations from the designed track position, insufficient frame rigidity of the rail grating, incl. failure to ensure the necessary frame rigidity and stability of the continuous welded rail and exceeding the limit operational deviations of the track geometry parameters, in conjunction with the defect of the right front bumper at position 2L, No. 3350, of the derailed towed rolling stock 31 54 3937 473-9 of the Res 320 series, whose higher suspension stiffness caused a reduction of safety against derailment at movement on right curves.</t>
  </si>
  <si>
    <t>FR-10278</t>
  </si>
  <si>
    <t>Rolling stock event, 14/7/2022, Graveson</t>
  </si>
  <si>
    <t>Locked brake on a wagon, which caused a violent fire in the environment.</t>
  </si>
  <si>
    <t>Graveson</t>
  </si>
  <si>
    <t>Fret SNCF</t>
  </si>
  <si>
    <t>Brake-blocks and bearing surface of whells are damaged on the wagon. 1000 ha of forest burnt.</t>
  </si>
  <si>
    <t>RO-10272</t>
  </si>
  <si>
    <t>Fire in RS, 19/7/2022, Biharia - Diosig</t>
  </si>
  <si>
    <t xml:space="preserve">A fire brust out at the locomotive DHC 410 who was inactive in the passenger train no.6811 between Biharia and Diosig railway stations. </t>
  </si>
  <si>
    <t>Biharia - Diosig</t>
  </si>
  <si>
    <t xml:space="preserve">As a result of this fire, the DHC 410 locomotive was damaged in a proportion of approximately 70%.                                                          The driver of the locomotive DHCe 410 suffered burns III at left foot and burns II at left hand, being necessary its getting into hospital for 24 days, those being generated during the intervention for fire extinguishing. </t>
  </si>
  <si>
    <t xml:space="preserve">Causal factor:
The fire was generated by the ignition of diesel leaked from the locomotive tank, through a whole, generated the most likely by the hit of the tank with a hard object (that could not be identified) being in the structure clearance.
</t>
  </si>
  <si>
    <t>IT-10311</t>
  </si>
  <si>
    <t>Accident to persons caused by RS in motion, 21/7/2022, Trani (Puglia)</t>
  </si>
  <si>
    <t>Fatal accident of a train passenger No. 23510, at Trani Station, on the Foggia - Bari line</t>
  </si>
  <si>
    <t>Trani (Puglia)</t>
  </si>
  <si>
    <t xml:space="preserve">Rete Ferroviaria Italiana (RFI) SpA </t>
  </si>
  <si>
    <t xml:space="preserve">Lack of passenger protection, called "sensitive edge",  when the emergency door opening handle is operated </t>
  </si>
  <si>
    <t>not detected</t>
  </si>
  <si>
    <t>IT-10312</t>
  </si>
  <si>
    <t>Fire in RS, 22/7/2022, Martina Franca (Taranto, Puglia)</t>
  </si>
  <si>
    <t>Fire on board the train No. 92140, at Martina Franca, 
on the Bari - Taranto line</t>
  </si>
  <si>
    <t>Martina Franca (Taranto, Puglia)</t>
  </si>
  <si>
    <t>Ferrovie del Sud Est - Trasporto Ferroviario</t>
  </si>
  <si>
    <t>Ferrovie del Sud Est - Esercizio Infrastruttura</t>
  </si>
  <si>
    <t>extensive damage to rolling stock, almost completely destroyed</t>
  </si>
  <si>
    <t>The lack of adhesion of the fuel line to the side of the train that caused the overflow of the diesel oil along the same pipe or the percolation of the same in the lower part of the compartment and the loss of insulation at some point in the mesh to protect the exhaust pipe that caused the accidental contact of the diesel with the exhaust pipe.</t>
  </si>
  <si>
    <t>Accumulation of foliage and other flammable material, mixed with diesel fuel, at the loop of the hull to protect the exhaust pipe and the supply pipe that increased the fire load in the compartment.</t>
  </si>
  <si>
    <t>CZ-10273</t>
  </si>
  <si>
    <t>Level crossing accident, 24/07/2022, Open line between Stráž u Tachova and Bor stations</t>
  </si>
  <si>
    <t>Collision of the regional passenger train No. 7214 with a car at the level crossing No. P751 with consequent derailment between Stráž u Tachova and Bor stations</t>
  </si>
  <si>
    <t>Open line between Stráž u Tachova operating control point and Bor station</t>
  </si>
  <si>
    <t>Total preliminary damage CZK 1 320 000,- (EUR 53 637,-)</t>
  </si>
  <si>
    <t>Causal factor:
• an unauthorized entrance of the car at the level crossing No. P751 at the time when the train No. 7214 was driving through the level crossing, caused by behavior of the car driver, who did not respect the light and acoustic warning of the level crossing safety equipment and did not make sure whether he could safely pass the level crossing.</t>
  </si>
  <si>
    <t>CZ-10274</t>
  </si>
  <si>
    <t>Level crossing accident, 24/07/2022,Open line between Zlín střed and Zlín-Malenovice stations</t>
  </si>
  <si>
    <t>Collision of the regional passenger train No. 14269 with the car at the level crossing No. P8232 with consequent derailment.</t>
  </si>
  <si>
    <t>open line between Zlín-Malenovice and Zlín střed stations, the level
crossing No. P8232, km 6,557</t>
  </si>
  <si>
    <t>CZK 2 315 301,- (€ 94 425,-); Rolling stocks, infrastructure, other</t>
  </si>
  <si>
    <t>Article 20.2 of Directive (EU) 2016/798 – a), b), c)</t>
  </si>
  <si>
    <t>Causal factors:
• failure of the traffic signal control equipment of crossroad when this crossroad was not control by light signals, as a basic safety element for ensure safety at the level crossing No. P8232 which was located in the crossroad;
• behavior of the car driver who had to at the same time fulfill several obligations for safe turning left in consequence with failure of the traffic signal control equipment and not controlled of the crossroad by light signals and he did not notice and react in time on limited visible warning of a level crossing signalling plant.
Contributing factors:
• The Czech Ministry of Transport gave an exception from binding article 4.2.1 of norm ČSN 73 6380 Railway level crossings and pedestrian crossings which was valid from February 1993, in version of change 1 from April 1996, on which basis was allowed use of building of the level crossing No. P8232 to builder. Wording of this exception is incorrect and not respect fact, that place of crossing roads is transport construction unit „crossroad” and „border of crossroad” must be distant from dangerous zone at level crossing approach on norm required or exception adjustable distance;
• an unreliable way of transmission information about failure of the traffic signal control equipment of crossroad to an employee of service organization, including absence of priorities for their elimination from the point of view of the danger to drivers of road vehicles at the level crossing No. P8232 during duration of the failure.</t>
  </si>
  <si>
    <t>Systemic factor:
• permission to use of building of the level crossing No. P8232 to builder on basis of the exception by the Czech Ministry of Transport, which contains unrealizable condition that the traffic signal control equipment of crossroad will be permanently in service and the yellow discontinuous light wont be use. This permission does not solve performance of transmission information about failure of the traffic signal control equipment of the crossroad to IM for adopt measure for ensure safety at the level crossing No. P8232.</t>
  </si>
  <si>
    <t>BG-10275</t>
  </si>
  <si>
    <t>Derailment of wagons from the composition of DFT No30592 in Yana-Kremikovtsi interstation</t>
  </si>
  <si>
    <t>Derailment of wagons from the composition of direct freight train in interstation</t>
  </si>
  <si>
    <t>Yana-Kremikovtsi interstation</t>
  </si>
  <si>
    <t>"Rail Cargo Carrier-Bulgaria" EOOD</t>
  </si>
  <si>
    <t>railway infrastructure, RRS -wagons</t>
  </si>
  <si>
    <t xml:space="preserve">The high temperatures in the rails caused their longitudinal displacement, combined with the dynamic forces induced by the passing freight train, which resulted in the track distortion under the train in the zone of the transition from continuously welded track to jointed track. </t>
  </si>
  <si>
    <t>Combination of factors. The high temperatures in the rails caused their longitudinal displacement, combined with the dynamic forces induced by the passing freight train, which resulted in the track distortion under the train in the zone of the transition from continuously welded track to jointed track. The lower resistance of the rail track on wooden sleepers compared to that on concrete sleepers has resulted in rail distortion in the derailment area.</t>
  </si>
  <si>
    <t>RO-10277</t>
  </si>
  <si>
    <t>Train derailment, 28/7/2022, Năvodari - Nazarcea</t>
  </si>
  <si>
    <t>Hauling locomotive DA 1537 of the freight train no.66358028 derailed between Năvodari and Nazarcea railway stations.</t>
  </si>
  <si>
    <t>Năvodari - Nazarcea</t>
  </si>
  <si>
    <t xml:space="preserve">Damage to the first bogie, in the running direction,  of the locomtive DA1537 .                                                                               
The line was damaged for about 40 meters. </t>
  </si>
  <si>
    <t xml:space="preserve">Causal factor
• existence within the track, at the accident site, a group of improper wooden sleepers, in turn, whose technical condition led, finally, to the increase of the gauge and of the cross level of the track over the limits accepted in operation, under the dynamic action of the rolling stock.
</t>
  </si>
  <si>
    <t xml:space="preserve">Contributing factor
• lack of repairs and maintenances of track according to the practice codes, it leading to keeping within the track a group of improper wooden sleepers;
Systemic factors
• inappropriate monitoring of the provider (regarding the performance of track repairs and maintenances) by SC GRUP FEROVIAR ROMÂN SA, like non-interoperable railway infrastructure manager;
• keeping within the track, for a long time, the speed restrictions;
• infringement of the provisions from the own procedures with direct implications in the guarantee by the infrastructure manager of the fact that the maintenance of the infrastructure is safely supplied and that meets with the specific needs of the track section where the derailment happened.
</t>
  </si>
  <si>
    <t>HU-10285</t>
  </si>
  <si>
    <t>SPAD, 28/07/2022, Vonyarcvashegy station</t>
  </si>
  <si>
    <t>Freight train no. 95725 passed the entry signal "B" of Vonyarcvashegy station at danger, while express train no. 19608 was entering the station near a clear signal on entry signal "A", at the opposite side of the station. The express train arrived on track no. I. The freight train stopped on point no. 1, which was set towards track no. II.</t>
  </si>
  <si>
    <t>Railway line no. 26., Vonyarcvashegy station</t>
  </si>
  <si>
    <t>V-Híd Vagyonkezelő Kft.</t>
  </si>
  <si>
    <t>HR-10297</t>
  </si>
  <si>
    <t>Level crossing accident, 01-08-22, LC Milja (between stations Meja-Škrljevo) (Croatia)</t>
  </si>
  <si>
    <t>On August 01, 2022, at 09:38 p.m., on the LC "Milja", actively secured (light, sound and half-bumper) on the line M202 Zagreb - Rijeka at km 634+828, engine train number 89717 ran into road passenger vehicle while operated on the route Rijeka - Ogulin.
In the accident, a passenger in a personal road vehicle was minor injured, and there was major material damage to the personal road vehicle and minor material damage to the locomotive of the train.</t>
  </si>
  <si>
    <t>LC Milja (between stations Meja-Škrljevo)</t>
  </si>
  <si>
    <t>RAIL CARGO CARRIER-CROATIA d.o.o.</t>
  </si>
  <si>
    <t>HŽ INFRASTRUKTURA d.o.o.</t>
  </si>
  <si>
    <t>There was great material damage to a personal road vehicle and less to a railway vehicle, while there was no material damage to the railway infrastructure.</t>
  </si>
  <si>
    <t>The causal factor of the subject accident was passing of train number 89717 over the LC on which the safety device was not activated and the collision of the train with a personal road vehicle that was crossing the unsecured LC at that moment (Chapter 3.2.1).</t>
  </si>
  <si>
    <t>Contributing factors:
- 	reduced visibility due to night (Chapter 3.1.3.),
- 	reduced visibility on an actively secured LC for drivers of road vehicles when the insurance device is not turned on, due to the configuration of the area around the LC (Chapter 3.1.3).
System factor:
- 	failure of the signaling safety device for the protection of the LC (Chapter 3.2.3) (disconnection of the device for securing the LC before the arrival of the train at it).</t>
  </si>
  <si>
    <t>RO-10280</t>
  </si>
  <si>
    <t>Train derailment, 9/8/2022, Cojocna</t>
  </si>
  <si>
    <t>One wagon (the 17th) from the composition of the freight train no.57010 derailed in Cojocna railway station.</t>
  </si>
  <si>
    <t>SC UNICOM TRANZIT SA</t>
  </si>
  <si>
    <t xml:space="preserve">Damage to the first bogie, in the running direction, of the wagon no.88537980230-3 (the 17th in composition of the train).                    The line was damaged for about 99 meters. </t>
  </si>
  <si>
    <t xml:space="preserve">Causal factor:
Unfastening of the tyre from wheel no.7, followed by turning and cross movement of it on the wheel rim, it leading to the change of the distance between the inner faces of the wheels tyres (gauge) of the pair of wheels corresponding to the wheels 7÷8 from the wagon no.88537980230-3 and its derailment. Unfastening of the tyre happened following the decrease, over the time, of the fastening forces between the wheel tyre and rim, because the thermic and mechanic strengths appeared in the operation of the pair of wheels, followed by the detachment of the assembly resulted from the fretting between the wheel tyre and rim. 
</t>
  </si>
  <si>
    <t xml:space="preserve">Contributing factors:
- non-identification of the unfastened tyre at wheel no.7 of the wagon no.88537980230-3, during the performance of technical inspections at the train no.57010, in the composition of which it was, between 5th-9th August 2022. 
- the thickness of the tyre in the plane of running thread, close to the limit accepted in operation.
Systemic factor:
Non-identification of the risks generated by the situations where, within the works performed during the technical inspections at the own trains, there are not identify the failures that can endanger the railway safety.
</t>
  </si>
  <si>
    <t>CZ-10315</t>
  </si>
  <si>
    <t xml:space="preserve">Level crossing accident, 10/08/2022, Lískovec u Frýdku station </t>
  </si>
  <si>
    <t>Collision of the regional passenger train No. 20119 with a lorry at the level crossing No. P7405 at Lískovec u Frýdku station</t>
  </si>
  <si>
    <t>Lískovec u Frýdku station</t>
  </si>
  <si>
    <t>Total damage CZK 26 249 950,- (EUR 1 111 344,-)</t>
  </si>
  <si>
    <t>Causal factor:
• an unauthorized entrance of the lorry at the level crossing No. P7405 at the time when the regional passenger train No. 20119 was arriving, caused by behavior of the lorry driver, who did not respect the light and acoustic warning of the level crossing safety equipment and did not make sure whether he could safely pass the level crossing.</t>
  </si>
  <si>
    <t>ES-10306</t>
  </si>
  <si>
    <t>Operational event, 15/8/2022, Manresa (Barcelona)</t>
  </si>
  <si>
    <t>National ID 70/2022: Operational event at Manresa (line 220, kilometre 301,7).
At Manresa station (in local control) a faulty commuter train unit needs to be dispatched from track 5, so another commuter unit is coupled at its head, so that the set can be dispatched as train #95218 to Sant Vicenç de Castellet. However, the combined set of train units do not fit on track 5 after coupling, so that the train passes the track's departure signal (3020/5). Consequently, the interlocking doesn't allow to complete the shunting, and it's necessary to manually authorise movements (including entry routes for incoming trains). After an interruption (due to the driver's rest time) the local signaller authorises the departure of train #95218 at 18:31 bound to Sant Vicenç, and prepares a subsequent entry route to track 4 for train #78443 (incoming from Sant Vicenç). He authorise incoming train to overpass the entry signal 3023, assuming that departing train #95218 has already departed. However, due to some start-up problems, train #95218 begins to move when the entry route for train #78443 is set, so it invades and breaks switch #19 (which had already been arranged for the entry route for train #78443). Both trains have incompatible routes (both must pass through switches 21 and 19), and they meet head-on, stopping when they are some 30 metres away, at the entry of the station. No personal injuries were caused. Spanish NSA has proposed to open an investigation on this incident.</t>
  </si>
  <si>
    <t>Manresa (Barcelona)</t>
  </si>
  <si>
    <t>1.	The signaller of Manresa station (MS) authorised train #78443 to overtake the entrance signal 3023 but it was not checked that the previously authorised movement (route from track 5 of the station to track 2 for train #95218) had not been yet executed. Both movements were not compatible. Non-compliance with Article 5.2.1.2. of the Spanish Railway Circulation Regulation.
2.	Train #95218 started to move whilst its running order was not valid as it did not depart immediately after receiving the authorisation. Non-compliance with Article 1.5.1.9. of the Spanish Railway Circulation Regulation.</t>
  </si>
  <si>
    <t>Contributing factors:
1.	RU Management Centre (RUMC) asked MS for a faulty rolling stock unit to be towed. The lack of experience and appropriate knowledge combined with a proactive attitude and willingness to solve this incident led MS to make decisions that created a degraded situation during the operations at the station. Signal-overtakings for entering and exiting of trains were required.
2.	The RUMC strictly indicated to MS that train #95218 should not be dispatched at that particular moment, when it could have already been done, and this was accepted by MS and the CTC dispatcher. This was an interference from the RUMC in the management of traffic at Manresa station, maintaining over time the degraded situation that was taking place.
3.	MS answered work-telephone calls that were not directly related to traffic whilst checking the dispatch of train #95218. This is considered as a distracting factor.
4.	Train #95218 driver took a break that he considered mandatory, when it was not, resulting in a disruption to the train's departure time and the station's operating conditions.
5.	There were problems in the communications between train #95218 driver and MS resulting in the incorrect transmission of information.
Systemic factors:
1.	The electrical interlocking at Manresa station has a series of peculiarities and limitations that lead to a high number of degraded situations that oblige signallers to intervene directly, without the protection of the interlocking.
2.	Existence of difficulties at Manresa station to check the dispatch of trains.
3.	Deficiency in the assertive skills of traffic agents which difficults to make effective their competence to manage the traffic, avoiding any possible interference by other railway staff.
4.	Direct communications between local signallers and the RUMCs.</t>
  </si>
  <si>
    <t>LT-10288</t>
  </si>
  <si>
    <t>Level crossing accident, 20/8/2022, Kazlų Rūda city</t>
  </si>
  <si>
    <t>Passenger train No. 147 collided with a car at a level crossing at Kazlų Rūda. The car driver and passenger were fataly injured.</t>
  </si>
  <si>
    <t>Kazlų Rūda city</t>
  </si>
  <si>
    <t>UAB "LTG Link"</t>
  </si>
  <si>
    <t>AB "LTG Infra"</t>
  </si>
  <si>
    <t>Locomotive front damaged, required aditional locotive to drag away. The automobile was damaged beyond repairs. Damage to infrastructure uknown yet.</t>
  </si>
  <si>
    <t>CZ-10290</t>
  </si>
  <si>
    <t xml:space="preserve">Trains collision, 20-08-22, Český Těšín station (Czech Republic) </t>
  </si>
  <si>
    <t>Collision of the uncoupled banking with the freight train No. 55077 and consequent derailment.</t>
  </si>
  <si>
    <t>Český Těšín station, station track No. 103, km 318,559</t>
  </si>
  <si>
    <t>CZK 1 419 253,- (€ 57 635,-); Rolling stocks, infrastructure</t>
  </si>
  <si>
    <t>Causal factors:
• non attaching of the uncoupled banking to the freight train No. 55077, its not connecting to the continuous automatic train brake of the train and allowing movement of the train with uncoupled banking;
• failure to verify of correct connection and pipeline integrity of the continuous automatic train brake of the freight train No. 55077 with the uncoupled banking by perform a simple brake test on the uncoupled banking (last rolling stock of the train).
Contributing factor: none</t>
  </si>
  <si>
    <t>HU-10289</t>
  </si>
  <si>
    <t>Train derailment, 25/8/2022, Nyékládháza</t>
  </si>
  <si>
    <t>13th wagon of freight train derailed by 2 axles, and re-reailed after 5,5 km.</t>
  </si>
  <si>
    <t>Nyékládháza</t>
  </si>
  <si>
    <t>IG Rail</t>
  </si>
  <si>
    <t>9000 concrete slippers, 2 LC signal, 1 switch destroyed</t>
  </si>
  <si>
    <t>DK-10304</t>
  </si>
  <si>
    <t>Railway embankment under rapid deterioration while a regional train was passing, 26-08-2022, between Troldhede and Kibæk</t>
  </si>
  <si>
    <t>Train passed an embankment which was under rapid deterioration due heavy rain.</t>
  </si>
  <si>
    <t>Line 35, between Troldhede and Kibæk</t>
  </si>
  <si>
    <t>Damage to rolling stock and infrastructure</t>
  </si>
  <si>
    <t>The embankment and aqueduct bridge at km 88.65 on line 35 between Troldhede and Kibæk were broken down by large amounts of water, which flowed in after an unusual rain event over the hydrological catchment area. It is likely that the water volumes caused the embankment to fail by one or more of three possible degradation mechanisms: Date 24-08-2023 Casenr. 2022-364 Side 2 af 3 • The water found its way through the embankment along any weaknesses. Possibly at the outer sides of the aqueduct bridge, its bottom, or at an unprotected ditch side, and took material with it. • The water ran through the ballast on top of the embankment, whereby the sand in the embankment began to be washed away. • The water gushing out of the outlet side of the aqueduct bridge washed material with it, collapsing the embankment from behind.</t>
  </si>
  <si>
    <t>The annual inspections of the aqueduct bridge in relation to drainage gave no indication of functional impairment, and an ongoing erosion of the ditch side near the entrance to the aqueduct bridge had not been registered and dealt with.</t>
  </si>
  <si>
    <t>RO-10292</t>
  </si>
  <si>
    <t>Fire in RS, 27/8/2022, Dornești</t>
  </si>
  <si>
    <t xml:space="preserve">A fire brust out into banking locomotive DA 1394 of the freight train no.57010 in Dornești railway station. </t>
  </si>
  <si>
    <t>Dornești</t>
  </si>
  <si>
    <t xml:space="preserve">The locomotive DA 1394 was affected (the water pump and the radiators of the diesel engine). </t>
  </si>
  <si>
    <t xml:space="preserve">Causal factor: 
- penetration of the isolation of the conductors from the command cables and appearance of short-circuit between the wires of these cables from the water pump of the locomotive DA1394, the cables getting the isolation old.
</t>
  </si>
  <si>
    <t xml:space="preserve">Contributing factors: 
- keeping in operation the locomotive DA1394 with old command cables, having the isolation old, it not being replaced at the last two planned repairs and being 14 years old, at least.
- improper cleaning condition of the cables hose, that had water, diesel and oil cumulations.
Systemic factors:
- non-identification of any danger regarding the keeping in operation the locomotives with the cables or other sub-parts having the isolation old;
- non-identification of any danger regarding the keeping in operation the locomotives with an improper cleading condition at the locomotive cables hoses;
- lack of a provision in the technical specification code: ERIV – L IV-06.2b ”Planned repairs type RR, RG at the diesel-electric locomotives of 2100 HP” regarding the obligation to replace the force/command cables during the overhauls, at least.
</t>
  </si>
  <si>
    <t>RO-10293</t>
  </si>
  <si>
    <t>Train derailment, 29/8/2022, Brașov Triaj</t>
  </si>
  <si>
    <t>Hauling locomotive EA 903 of the freight train no.86191 (consisting in two locomotives) derailed in Brașov Triaj railway station.</t>
  </si>
  <si>
    <t>Brașov Triaj</t>
  </si>
  <si>
    <t xml:space="preserve">Damage to the first bogie of the locomotive EA 903.                                                                                                          
The line was damaged for about 18 meters. </t>
  </si>
  <si>
    <t xml:space="preserve">Causal factor  
Inobservance of the conditions for parking the train no.86191 in the station and acceptance to pass from the running system to shunting without meeting with the conditions stipulated by the regulations in force.
</t>
  </si>
  <si>
    <t xml:space="preserve">No contributing factors.
No systemic factors. 
</t>
  </si>
  <si>
    <t>BE-10294</t>
  </si>
  <si>
    <t>Train derailment, 29/8/2022, Bressoux</t>
  </si>
  <si>
    <t>Derailment of a wagon of a freight train</t>
  </si>
  <si>
    <t>Bressoux</t>
  </si>
  <si>
    <t>Damages to the rolling stock (wagons nrs. 6 and 7 of the freight train) and to the infrastructure (sleepers, switches, Pandrol clips).</t>
  </si>
  <si>
    <t>It is assumed that the incorrect positioning of the load of cellulose bales in the container contributed to the centre of gravity moving towards the inside of the curve. Consequently, the resultant of the forces caused the offloading of the right-hand wheels on the first bogie of the wagon, lifting the wheels and causing them to derail.</t>
  </si>
  <si>
    <t>The contributing factor of the derailment is the loading of the cellulose bales into the container, which is non-compliant with the procedures provided for. After loading, the container doors were closed and sealed. Once the container was loaded onto the wagon, the anti-opening plate on the wagon chassis prevented the container doors from opening. Therefore, the railway undertaking cannot control the load of a container loaded on this type of wagon.</t>
  </si>
  <si>
    <t>HU-10296</t>
  </si>
  <si>
    <t>HU-10310</t>
  </si>
  <si>
    <t>Level crossing accident, 05/09/2022, between Kiskunhalas and Kunfehértó stations</t>
  </si>
  <si>
    <t>At the level crossing without technical protection, the passenger train № 7809 collided with an automobile. All of the seven occupants of the car deceased and the locomotive driver was slightly injured.</t>
  </si>
  <si>
    <t xml:space="preserve">between Kunfehértó and Kiskunhalas </t>
  </si>
  <si>
    <t xml:space="preserve">The loco demaged </t>
  </si>
  <si>
    <t>the driver of the automobile drove his vehicle into the level crossing when a train was approaching.</t>
  </si>
  <si>
    <t>DE-10308</t>
  </si>
  <si>
    <t>Trains collision, 7/9/2022, Bft Seelze Ost</t>
  </si>
  <si>
    <t>Am 07.09.2022 gegen 14:34 Uhr kollidierte der Güterzug DGV 92947 auf der Fahrt von Hausach nach Padborg bei der Einfahrt in den Bahnhofsteil Seelze Ost des Bf Seelze Rbf, mit im Gleis 815 abgestellten Wagen des Güterzuges EZ 51593.</t>
  </si>
  <si>
    <t>Bft Seelze Ost</t>
  </si>
  <si>
    <t>Spitzke Logistik GmbH (SLG)</t>
  </si>
  <si>
    <t>Es entstanden erhebliche Sachschäden an den beteiligten Eisenbahnfahrzeugen, dem Oberbau, der Leit- und Sicherungstechnik</t>
  </si>
  <si>
    <t>RO-10298</t>
  </si>
  <si>
    <t>Train derailment, 8/9/2022, Izvoru Oltului - Izvoru Mureșului</t>
  </si>
  <si>
    <t>One wagon (the 29th) from the composition of the freight train no.56012 derailed between Izvoru Oltului and Izvoru Mureșului railway stations.</t>
  </si>
  <si>
    <t>Izvoru Oltului - Izvoru Mureșului</t>
  </si>
  <si>
    <t xml:space="preserve">Damage to the first bogie, in the running direction, of the wagon no.58536368  (the 29th in composition of the train).                                                                               
The line was damaged for about 110 meters. </t>
  </si>
  <si>
    <t xml:space="preserve">Causal factor  
The technical condition of the wagon that had not clearances at the guides, diagonally.
</t>
  </si>
  <si>
    <t xml:space="preserve">Systemic factor
Improper keeping of the competences afferent to the job of technical examiner.
</t>
  </si>
  <si>
    <t>HR-10302</t>
  </si>
  <si>
    <t>Trains collision, 09-09-2022 (between the stations Okučani-Novska, near place Rajić) (Croatia)</t>
  </si>
  <si>
    <t>On September 09, 2022, at 09:28 p.m. local time, on the line M104 Novska-Tovarnik-state border, between the stations Okučani-Novska on the right track at km 294+485, an occurrence of the category "serious accident" occurred, a collision of passenger train number 2506 (HŽPP) to freight train number 41200 (ENNA TRANSPORT) which was stopped on the track in order to eliminate the perceived disturbance. In a serious accident, three people were fatally injured, the driver, conductor and a juvenile male passenger of passenger train number 2506. In total eleven passengers of the passenger train were injured, of which two were seriously injured and nine were minor injured.</t>
  </si>
  <si>
    <t>Between the stations Okučani-Novska, near place Rajić</t>
  </si>
  <si>
    <t xml:space="preserve"> HŽ Putnički prijevoz d.o.o. (passenger train) and ENNA TRANSPORT d.o.o. (freight train)</t>
  </si>
  <si>
    <t>Greater material damage was recorded on the railway infrastructure and involved railway vehicles, the total material damage amounts HRK 6.574.808.71 = EUR 872.627,08</t>
  </si>
  <si>
    <t xml:space="preserve">The causal factor of the serious accident in question that driving of passenger train number 2506 was not fully performed in accordance with written notices (Chapter 3.1.7.), passing of the passenger train number 2506 due to the activation of the driving by command button over the spatial signals 6222 and 6322 at the moment when there was a red light on it (that is, the "STOP" sign) instead of stopping and then after 383m behind spatial signal 6322 collision into the stopped freight train number 41200 due to the technical eliminated of the perceived disturbance (Chapter 3.1.7.). </t>
  </si>
  <si>
    <t>Contributing factors:
-	reduced visibility due to night and rainy weather (Chapter 3.1.3.),
-	reduced attention of the driver of the passenger train (end of the shift) (Chapter 3.2.1), 
-	a series of notifications and extensive information issued in the document SE-1 to the driver of the passenger train (a series of easy rides), which require additional attention and concentration while driving (Chapter 3.2.1.), 
-	the failure of LC's 60 and 61 (due to fire on August 30, 2022) as a result of which the SE-3 document was issued with additional notices for driving passenger train on the section Okučani- Novska (Chapter 3.2.1.), 
-	reduced perception of the risk by the driver while performing a work task (Chapter 3.2.1.),
-	technical perceived disturbance on a freight train, which caused it to stop on the railway track (Chapter 3.1.7.).
Systemic factors:
-	resetting of the signal security system for the APB insurance just before the occurrence of a serious accident (Chapter 4.1.1.).</t>
  </si>
  <si>
    <t>RO-10299</t>
  </si>
  <si>
    <t>Train derailment, 13/9/2022, Monor Gledin - Râpa de Jos</t>
  </si>
  <si>
    <t>Two wagons (the 24th and the 25th) from the composition of the freight train no.66014 derailed and overturned between Monor Gledin and Râpa de Jos railway stations.</t>
  </si>
  <si>
    <t>Monor Gledin - Râpa de Jos</t>
  </si>
  <si>
    <t xml:space="preserve">The wagons no.58513011 (the 24th in composition of the train) and no.53236691 (the 25th in composition of the train) was seriously damaged.  Light damage to the 26th wagon.                                                            
The line was damaged for about 330 meters. </t>
  </si>
  <si>
    <t xml:space="preserve">Causal factor  
Exceeding of the derailment stability limit, through the load transfer of the right wheel from the second axle of the wagon no.58513011, in the running direction, and the increase of the lateral force (guiding one) on this wheel, that ran on the exterior rail of the curve, following the existence of next nonconformities at the track superstructure and at the axle derailed:
• existence, at the accident site, an area with a value of distortion (measured using the ruler of 1m, put symmetrically against the joint gap from the exterior rail of the curve - point 0) over the accepted tolerances;
• exceeding of the tolerances accepted for the difference between the values of close deflections; 
• existence an excessive cant of the curve;
• exceeding of the upper accepted limit of the distance between the exterior faces of the wheel’s lips at the wagon axle.
</t>
  </si>
  <si>
    <t xml:space="preserve">Contributing factors
1. Acceptance in traffic, by SNTFM „CFR Marfă” SA, the wagon no.5851311 with a failure that was not allowing its running on Romanian railways (distance between the exterior faces of the wheels lips of an axle over the accepted value).
2. Wrong performance of periodical repairs with complete cleaning of the track bed and keeping in operation a railway superstructure whose shape and sizes did not comply with the shape and sizes of the track bed stipulated in the practice codes, for this reason the chocked track bed did not ensure the water draining, the track resilience and the stability of the unit rail-sleeper. 
Systemic factors
1. Lack of the Agreement regarding ”Regulation for the use of the wagons in international traffic” (PGV) that entered into force on 1st January 2009, with further amendments on 13th January 2022, of the limits accepted for the distance between the exterior faces of the wheels lips from an axle, measured between two points situated at 10 mm outside the wheels threads, close to the upper level of the rails. 
2. Deficiencies of SNTFM „CFR Marfă” SA in the identification of the dangers, that were generated into the railway operations performed by the contract partner.
3. Non ensuring by CNCFR „CFR” SA the staff with safety traffic responsibilities (inspectors of track and dangerous points, maintenance gang foremen).
</t>
  </si>
  <si>
    <t>CZ-10300</t>
  </si>
  <si>
    <t>Unauthorised train movement other than SPAD, 15/09/2022, at Hoštejn station</t>
  </si>
  <si>
    <t>Unsecured movement of the long distance passenger train No. 512 on an incorrect train route to track line occupied by oncoming regional passenger train No. 3775.</t>
  </si>
  <si>
    <t>Hoštejn station</t>
  </si>
  <si>
    <t>Long distance passenger train;
Regional passenger train</t>
  </si>
  <si>
    <t>Total damage CZK 9 097,- (EUR 377,-)</t>
  </si>
  <si>
    <t>Causal factor:
• permission to drive for train No. 512 at Hoštejn station at the calling-on signal along an incorrect train route from 2. station track towards the 1. track line to Krasíkov station occupied by the oncoming regional passenger train No 3775.
Contributing factor:
• failure to cancel the emergency locking of switches No. 15 and 16 at Hoštejn station placed in the turning direction after the previous train ride.</t>
  </si>
  <si>
    <t>RO-10301</t>
  </si>
  <si>
    <t>Train derailment, 17/9/2022, Năvodari - Nazarcea</t>
  </si>
  <si>
    <t>One wagon (first) from the composition of the freight train 66300016 derailed  between Năvodari and Nazarcea railway stations.</t>
  </si>
  <si>
    <t xml:space="preserve">Damage to the first bogie, in the running direction, of the wagon no.33537850290-0  (first in composition of the train).                              The line was damaged for about 20 meters.  </t>
  </si>
  <si>
    <t xml:space="preserve">Causal factor
• existence within the track, at the accident site, a group of improper wooden sleepers, in turn, whose technical condition led finally to the increase of the track gauge and cross level over the limits accepted in operation, under the dynamic action of rolling stock.
</t>
  </si>
  <si>
    <t xml:space="preserve">Contributing factor
• lack of track repairs and maintenance, according to the practice codes, it led to keeping within the track a group of improper wooden sleepers.
Systemic factors
• improper monitoring of the provider (regarding the performance of track repairs and maintenance) by the infrastructure manager;
• keeping within the track, for a long time, the speed restrictions;
• infringement of provisions of the own procedures, with direct implications in the infrastructure manager guarantee that the track maintenance is made safely, and it meets with the specific needs of the track section where the derailment happened.
</t>
  </si>
  <si>
    <t>RO-10303</t>
  </si>
  <si>
    <t>Train derailment, 20/9/2022, Sărmășel - Luduș</t>
  </si>
  <si>
    <t>The AMX 1704 multiple unit running as a passenger train no. 11011 derailed from a axle between the Sărmășel and Luduș railway stations.</t>
  </si>
  <si>
    <t>Sărmășel - Luduș</t>
  </si>
  <si>
    <t xml:space="preserve">Damage to the third axle, in the running direction of train, of the AMX 1704 multiple unit.
The line was slightly damaged for about 58 meters. </t>
  </si>
  <si>
    <t xml:space="preserve">Causal factor  
Exceeding the derailment stability limit, following the improper condition of the track, generated by keeping of the track geometry out the tolerances accepted in operation.
</t>
  </si>
  <si>
    <t xml:space="preserve">Contributing factors
1. Non-identification in good time the deficiencies at the track superstructure, following the lack of track inspections performed by the staff with duties in the traffic safety, according to the deadlines and the order specified in practice codes.
2. Lack, within the last 6 years, the measurements with the testing and recording car, respectively lack within the last 3 years the measurements with the track trolley. 
Systemic factors:
1. Provision with insufficient material and human resources, reporting to the necessary ones, for the performance of line maintenance and keeping the track geometry between the accepted tolerances.
2. Deficiencies in the identification and assessment of risks generated by the own railway operations, carried by the entity in charge with the maintenance of the track superstructure, regarding the risk „derailment of railway vehicles”. 
3. Improper performance of track condition monitoring.
</t>
  </si>
  <si>
    <t>RO-10314</t>
  </si>
  <si>
    <t>Train derailment, 2/10/2022, Borăscu</t>
  </si>
  <si>
    <t>Five wagons (the first 4 and the 6th) from the composition of the freight train no.64220 derailed in Borăscu railway station.</t>
  </si>
  <si>
    <t>Borăscu</t>
  </si>
  <si>
    <t xml:space="preserve">Track superstructure
Following the accident, the track superstructure was affected on about 81 m, as follows:
• 2 slidables broken on the right point;
• the beams between the points and stock rails broken;
• the vertical screws broken between the points and stock rails;
• the horizontal screws broken at the fish plates at the joint between the heel of the right stock rail and the connection rail (on the direct line);
• the horizontal screws broken at the fish plates from the joint between the tip of the check rail and the connection rail (on the direct line);
• a rail broken (the track panel no.1, right side of line no.1) and a rail curved upwards (track panel no.1, left side) at the heel of  crossing on the deflecting section;
• the deflecting section no.1 (curve after the switch no.4) was scraped from the centre to the direct line no.II, on 1 m length, on the end of the sleepers.
Rolling stock
Following the accident, 5 wagons derailed as follows:
• the second axle from the first bogie and both axles from the second bogie, from the wagon no.81536650844-9 (first wagon after the locomotive), derailed;
• both bogies of the wagon no.81536652687-0 (the second one after the locomotive), derailed;
• both bogies of wagon no.81536652628-2 (the 3rd one after the locomotive) derailed;
• first bogie of wagon no.81536652266-0 (the 4th one after the locomotive) derailed;
• the first axle of first bogie from the wagon no.81536653022-9 (the 6th one from the locomotive), derailed in the running direction.
The 5th wagon did not derail and rested on the direct line II.
The train ran derailed on about 90 m, then it stopped following the brake application by the driver.
Railway installations
After the accident, there were the next findings at the installations:
• the engine of switch motor no.4 burnt;
• in the room of relays, the fuse of 5A from the circuit for operation the motor of switch no.4, and the relay bond PM (switch opening) burnt.
</t>
  </si>
  <si>
    <t xml:space="preserve">Causal factor
Operation of switch no.4 (with the insulated switch track section 2-4si occupied), from plus (+) to minus (-), when the first wagon of the freight train no.64220 ran on it.
</t>
  </si>
  <si>
    <t xml:space="preserve">Contributing factor
Keeping the interlocking system (SCB) out of service for a long time. 
Systemic factor
Ineffective management of the risk associated to the danger of trains running with the installation out of service, for a long time. 
</t>
  </si>
  <si>
    <t>DK-10321</t>
  </si>
  <si>
    <t>Accident to persons caused by RS in motion, 2/10/2022, Nivå</t>
  </si>
  <si>
    <t>Unauthorised person on tracks hit by train</t>
  </si>
  <si>
    <t>Nivå</t>
  </si>
  <si>
    <t>Train and tracks needed cleaning</t>
  </si>
  <si>
    <t>A regional train hit a person who was on the tracks shortly after Nivå Station, in a railway area not open to the public.</t>
  </si>
  <si>
    <t>CZ-10317</t>
  </si>
  <si>
    <t xml:space="preserve">Level crossing accident, 07-10-22, open line between Libice nad Cidlinou and Poděbrady stations (Czech Republic) </t>
  </si>
  <si>
    <t>Collision of the shunting between operating control points with a car at level crossing.</t>
  </si>
  <si>
    <t>open line between Libice nad Cidlinou and Poděbrady stations, track line No. 1, the level crossing No. P3585, km 312,048.</t>
  </si>
  <si>
    <t>CZK 250 000,- (€ 10 198,-); Other</t>
  </si>
  <si>
    <t>Article 20.2 of Directive (EU) 2016/798 – c)</t>
  </si>
  <si>
    <t>FR-10354</t>
  </si>
  <si>
    <t>Other event, 9/10/2022, Modane</t>
  </si>
  <si>
    <t>Prolonged immobilization of a TGV train in the railway tunnel.
A high speed train stops in a long tunnel, following a fire alarm,
and due to insufficient traction, will only come out with help, 4h30 later.</t>
  </si>
  <si>
    <t>SNCF Voyages Italia</t>
  </si>
  <si>
    <t>SNCF Réseau and Rete Ferroviaria Italiana</t>
  </si>
  <si>
    <t>No damage but incident of high gravity</t>
  </si>
  <si>
    <t>CZ-10319</t>
  </si>
  <si>
    <t xml:space="preserve">Trains collision with an obstacle 10-10-22, Poříčany station (Czech Republic) </t>
  </si>
  <si>
    <t>Unauthorized movement of the freight train No. 55098 behind the main (departure)
signal device L4 with consequent collision with concrete buffer stop of dead-end
track and derailment at Poříčany station</t>
  </si>
  <si>
    <t>Total damage CZK 32 959 867,- (EUR 1 326 887,-)</t>
  </si>
  <si>
    <t>Causal factor:
• failure to respect the signal „Stop” of the main (departure) signal device L4 by the train driver of the freight train No. 55098 due to fallacious perception of previous signal of the main (entry) signal device 2L and not stop in front of the main (departure) signal device L4 with signal „Stop”.</t>
  </si>
  <si>
    <t>CZ-10318</t>
  </si>
  <si>
    <t xml:space="preserve">Level crossing accident, 11-10-22, Střítež nad Bečvou operating point and Valašské Meziříčí station (Czech Republic) </t>
  </si>
  <si>
    <t>Collision of the regional passenger train No. 14342 with a lorry at the level crossing No. P7414 with consequent derailment between Střítež nad Bečvou operating point and Valašské Meziříčí station</t>
  </si>
  <si>
    <t>Střítež nad Bečvou operating point and Valašské Meziříčí station</t>
  </si>
  <si>
    <t>Total damage CZK 19 548 932,- (EUR 826 943,-)</t>
  </si>
  <si>
    <t>Causal factor:
• an unauthorized entrance of the lorry at the level crossing No. P7414 at the time when the train No. 14342 was driving through the level crossing, caused by behavior of the lorry driver, who did not respect the light and acoustic warning of the level crossing safety equipment and did not make sure whether he could safely pass the level crossing.</t>
  </si>
  <si>
    <t>HU-10320</t>
  </si>
  <si>
    <t>Level crossing accident, 14/10/2022, Iklad (Hungary)</t>
  </si>
  <si>
    <t>Iklad</t>
  </si>
  <si>
    <t>train and truck destroyed</t>
  </si>
  <si>
    <t>HU-10322</t>
  </si>
  <si>
    <t>Fire in RS, 17/10/2022, Budapest, Metro line M1, Deák Ferenc tér station</t>
  </si>
  <si>
    <t xml:space="preserve">Passenger service no. M04/33, running on metro line M1 was arriving to Deák Ferenc tér station, when the driver saw in the platform mirror, that smoke is coming out from his train. After stopping at the station, passengers left both the train and the platform. The driver put out the fire with a fire extinguisher. During the scene investigation it was set out that the shoe of a traction motor cable broke out of the terminal block, and an electric arc set the surrounding cables on fire. </t>
  </si>
  <si>
    <t>Budapest, Metro line M1, Deák Ferenc tér station</t>
  </si>
  <si>
    <t>Investigation is in progress.</t>
  </si>
  <si>
    <t>the clip of a high-current motor cable broke in the junction box of the B-C tunnel duct, and the resulting electric arc caused a fir</t>
  </si>
  <si>
    <t>the use of Ganz MillFAV vehicles beyond their designed lifetime</t>
  </si>
  <si>
    <t>CZ-10323</t>
  </si>
  <si>
    <t xml:space="preserve">Level crossing accident, 20-10-22, between Brandýs nad Labem and Neratovice stations (Czech Republic) </t>
  </si>
  <si>
    <t>Collision of the regional passenger train No. 19406 with a lorry at the level crossing No. P2752 between Brandýs nad Labem and Neratovice stations</t>
  </si>
  <si>
    <t>Total damage CZK 470 514,- (EUR 19 181,-)</t>
  </si>
  <si>
    <t>HU-10324</t>
  </si>
  <si>
    <t>Train derailment at Kaposvár station on 21/10/2022</t>
  </si>
  <si>
    <t>Kaposvár</t>
  </si>
  <si>
    <t>HU-10325</t>
  </si>
  <si>
    <t>SPAD at Röszke on 23/10/2022</t>
  </si>
  <si>
    <t>The locomotive train no. 45660 SPAD at Röszke station. The locomotiv broke the locking mechanism of switch. No one was injured.</t>
  </si>
  <si>
    <t>Röszke</t>
  </si>
  <si>
    <t>MÁV Start Zrt.</t>
  </si>
  <si>
    <t>NO-10423</t>
  </si>
  <si>
    <t>Runaway, 23/10/2022, Alnabru freight terminal (Norway)</t>
  </si>
  <si>
    <t>Runaway locomotive on marshalling yard</t>
  </si>
  <si>
    <t>Alnabruterminalen</t>
  </si>
  <si>
    <t>Locomotive parked in downhill slope without sufficient brakeing power</t>
  </si>
  <si>
    <t>Lack of parking brake test, established and accepted practice of parking locomotives in track circuit 626, insufficient coordination of HSE work.</t>
  </si>
  <si>
    <t>CZ-10326</t>
  </si>
  <si>
    <t xml:space="preserve">Level crossing accident, 26-10-22, open line between Malšice and Sudoměřice u Bechyně operating control points (Czech Republic) </t>
  </si>
  <si>
    <t>Collision of the regional passenger train No. 28422 with a car at the level crossing No. P6309 between Malšice and Sudoměřice u Bechyně operating control points</t>
  </si>
  <si>
    <t>open line between Malšice and Sudoměřice u Bechyně operating
control points</t>
  </si>
  <si>
    <t>Causal factor:
• an unauthorized entrance of the car at the level crossing No. P6309 at the time when the train No. 28422 was arriving, caused by behavior of the driver of the car, who did not make sure whether he could safely pass the level crossing.</t>
  </si>
  <si>
    <t>CZ-10328</t>
  </si>
  <si>
    <t>Unauthorized movement (SPAD) of the service train No. 52519 behind the main
signal device Sc201 with signal „Stop” and entry to the train route for the regional
passenger train No. 6526 at Žatec station, section západ</t>
  </si>
  <si>
    <t>Unauthorized movement (SPAD) of the service train No. 52519 behind the main
signal device Sc201 with signal „Stop” and entry to the train route for the regional
passenger train No. 6526</t>
  </si>
  <si>
    <t>Žatec station, section západ</t>
  </si>
  <si>
    <t>service train;
Regional passenger train</t>
  </si>
  <si>
    <t>STRABAG Rail a.s.; RegioJet ÚK a.s.</t>
  </si>
  <si>
    <t>Causal factor:
• failure to respect the signal „Stop” of the main (route) signal device Sc201 at Žatec station, section západ by the train driver of the service train No. 52519 due to unconscious mistake of the train driver which manifested in the unauthorized movement of this train without dispatching when the train driver acceptanced instruction which was not determine for him.</t>
  </si>
  <si>
    <t>CZ-10327</t>
  </si>
  <si>
    <t>SPAD, 30-10-22, Vlastec station (Czech Republic)</t>
  </si>
  <si>
    <t>Unauthorized movement (SPAD) of the regional passenger train No. 8415 behind the main (departure) signal device S1 and entry to the train route for the regional
passenger train No. 8416</t>
  </si>
  <si>
    <t>Vlastec station</t>
  </si>
  <si>
    <t>Regional passenger trains</t>
  </si>
  <si>
    <t>Causal factor:
• setting the regional passenger train No. 8415 in motion without instruction by IM and failure to respect the signal „Stop” of the main (departure) signal device S1 by the train driver of this train.</t>
  </si>
  <si>
    <t>RO-10329</t>
  </si>
  <si>
    <t>Train derailment, 1/11/2022, Răcari</t>
  </si>
  <si>
    <t>9 wagons (from 24th to 32th) from the composition of the freight train no. 64316 derailed in Răcari railway station. Of the 9 derailed wagons, 3 wagons overturned.</t>
  </si>
  <si>
    <t>Răcari</t>
  </si>
  <si>
    <t xml:space="preserve">Causal factors
Abnormal working of the air distributor from the wagon no.81536654349-5, the 24th one in the train composition, led to the blocking of air removal from the brake cylinder and, implicitly, to the stop of the brake shoes releasing on the wheels of that wagon.
</t>
  </si>
  <si>
    <t xml:space="preserve">Contributing factor
Lack, within the technical inspection at the composition of the train involved, of the operations of blowing the dust separators from the first 3 train wagons with the automatic brake and, also, of the general air pipe on groups of 5÷10 wagons. 
Systemic factor
Lack of an assessment of the risks associated to the dangers generated by the lack, within the technical inspection at the composition, of the operations of blowing the general air pipe on groups of 5÷10 wagons. 
</t>
  </si>
  <si>
    <t>BG-10330</t>
  </si>
  <si>
    <t>Fire in RS, 3/11/2022, between the stations Kaspitchan and Provadia</t>
  </si>
  <si>
    <t>Fire during motion in passenger coaches of fast train (FT) composition between the stations Kaspitchan and Provadia</t>
  </si>
  <si>
    <t>between the stations Kaspitchan and Provadia</t>
  </si>
  <si>
    <t>BDZ-Passenger Services Ltd.</t>
  </si>
  <si>
    <t xml:space="preserve">ignition of the power inverter of the fluorescent lighting unit </t>
  </si>
  <si>
    <t>ignition of the power inverter of the fluorescent lighting unit in the corridor to the exit, in front of the toilet unit in the front part of the coach in the direction of train movement. The causes for that were complex</t>
  </si>
  <si>
    <t>PL-10352</t>
  </si>
  <si>
    <t>Other, 3/11/2022, passenger stop Krzęcice</t>
  </si>
  <si>
    <t>While disembarking from the last door of the fourth section of passenger train MOJ 32318/9 at the Krzcięcice passenger stop, a passenger with a 22-month-old child in a stroller fell off the train onto a track bench near a level crossing. The door of the railway vehicle through which the passenger exited was located about 20 meters from the platform, in a place that did not ensure safe exit of passengers. As a result of the occurrence, a 22-month-old child was injured, suffering a 
head injury and concussion, and was hospitalized from 11/04/2022 to 
11/07/2022. The child's guardian was not injured and there were no property
losses.</t>
  </si>
  <si>
    <t xml:space="preserve">passenger stop Krzęcice, km 244,636 line 8 </t>
  </si>
  <si>
    <t xml:space="preserve">POLREGIO S.A.  </t>
  </si>
  <si>
    <t>Driver stopped train MOJ 32318/9 in an inappropriate place that did not allow passengers to safely exit the last section.</t>
  </si>
  <si>
    <t xml:space="preserve">1) Lack of monitoring by the train manager of the place where the unit stops and travelers disembarking from the platform plane at Krzcięcice passenger stop.
2) Missing W32 indicators at the Krzcięcice passenger stop.
3) Suggestion to the driver that the length of the trains previously run that day was 64 m (three-car unit) instead of the actual train length of 87 m (four-car unit).
4) Failure to note by the passenger that there was no platform at the level of the open door and continuing to disembark backwards.
</t>
  </si>
  <si>
    <t>NO-10331</t>
  </si>
  <si>
    <t>Trains collision with an obstacle, 4/11/2022, near Heskestad station, on the Sørlandsbanen line (Norway)</t>
  </si>
  <si>
    <t>On Friday 4 November 2022 at approx. 0200 a freight train collided into a landslide near Heskestad on the Sørlandsbanen line. The landslide was 10 to 15 meters wide. In the collision, the train derailed with the locomotive and 6 of its 12 wagons.</t>
  </si>
  <si>
    <t>Near Heskestad station, on the Sørlandsbanen line</t>
  </si>
  <si>
    <t xml:space="preserve">A landslide had left a large stone in the track </t>
  </si>
  <si>
    <t>There was neither technical nor organisational measures to detect the stone, or to avoid a powerful impact with it.</t>
  </si>
  <si>
    <t>ES-10382</t>
  </si>
  <si>
    <t>Wrong-side signaling failure, 5/11/2022, Torelló (Barcelona)</t>
  </si>
  <si>
    <t>National ID 108/2022: Signalling failure (line 222, kilometre 84,649).
After a power failure two trains are stopped at both sides of Torelló station. Train #78350 stopped before closed signal E'2, and train #78355 stopped just after passing signal E1. The latter had stopped just after passing the signal and its beacon, although control screen at control centre didn't show that (the train was shown as placed before the signal), and its driver didn't inform the signaller of that. After power recovery, the signaller ordered the other train to enter in the station and ordered train #78355 train to "proceed until next signal", believing that "next signal" was E1 (that has been already passed). When the signaller saw the latter ocupying the entrance switches (instaed of stopping at signal E1) he ordered both trains to stop.
The Spanish NIB decided to conduct a preliminary enquiry on what happened (20/12/2022). After the first findings, it was decided to open a full fledged investigation.</t>
  </si>
  <si>
    <t>Torelló (Barcelona)</t>
  </si>
  <si>
    <t>Causes: 
-	The lack of understanding between the driver and the signaller due to an erroneous interpretation of the real position of 78355 train, which caused it to resume its journey, after being stopped due to the power cut, with the route dissolved towards track 2 at Torelló station.
-	The establishment of an entry route for 78350 train to track 2 at Torelló station, which was incompatible with the route that had been dissolved for train 78355.</t>
  </si>
  <si>
    <t>Contributing factors: 
-	The voltage cut in the catenary that caused 78350 and 78355 trains to stop on their approach routes to Torelló station.
-	The stopping of 78355 train with its first axle in the dead zone of the high frequency TC at the entrance to Torelló station, the driver's station having exceeded the position of this signal.
-	Lack of knowledge and guidelines on the condition of use of the high frequency TCs, due to the existence of a dead zone in which the occupation of the TC for the detection of trains cannot be guaranteed.
-	The dissolution of the route set for 78355 train without verifying its location.
-	The decision to suppress 78350 train at Torelló station where it would be temporarily parked. 
-	The recovery of the voltage by 78350 train prior to 78355 train.
Systemic factors: 
-	The non-existence of regulatory prescriptions of a general procedure restricting the dissolution and modification of established routes.
-	Regulatory and training deficiencies on the condition of use of train detection systems associated with signals.</t>
  </si>
  <si>
    <t>PT-10369</t>
  </si>
  <si>
    <t>Operational event, 6/11/2022, Vila Real de Santo António</t>
  </si>
  <si>
    <t>Regional train 5708 was ordered to stop by a police officer near a level crossing being bypassed by a crowd of participants in an organized marathon, taking place without any knowledge of the rail operations.</t>
  </si>
  <si>
    <t>Vila Real de Santo António</t>
  </si>
  <si>
    <t>Causal factors: Course of the sporting event through level crossing; Delay of train 5708 in relation to the scheduled time; Failure to comply with level crossing signs by participants in the sporting event.
Contributing factors: Police forces on site prioritized ordering the train to stop over enforcing the traffic ban instructions in the level crossing; Behavioural dynamics of the mass of participants in the race made the outcome of a possible police authority's attempt to enforce the level crossing signalling unpredictable; IM's analysis process on the constraints to be considered when carrying out the sporting activity did not include the railway component; In the wording of the IM opinion, the omission of consideration of the railway component is not noticeable to those involved in organizing the event, including police authorities.</t>
  </si>
  <si>
    <t>Procedures of the IM safety management system relating to the analysis of the conditions of use of level crossings for organized events were not robust to guarantee their application, being dependant of the individual actions of the workers involved and without control and verification mechanisms.</t>
  </si>
  <si>
    <t>IT-10335</t>
  </si>
  <si>
    <t>Train derailment, 7/11/2022, Pompei (Napoli)</t>
  </si>
  <si>
    <t>derailment of EAV train n. 4132, functionally isolated railway line Napoli - Torre Annunziata - Poggiomarino (Circumvesuviana)</t>
  </si>
  <si>
    <t>Pompei (Napoli)</t>
  </si>
  <si>
    <t>EAV (Ente Autonomo Volturno) srl</t>
  </si>
  <si>
    <t>minor damage to infrastructure and rolling stock</t>
  </si>
  <si>
    <t xml:space="preserve">Article 22 of Directive (EU) 2016/798 - (§6) </t>
  </si>
  <si>
    <t>The local manager committed a violation of the Regulation for the movement of trains</t>
  </si>
  <si>
    <t>1) Degraded circulation mode due to the failure of Track Circuit 2 that has excluded the automatisms normally provided by the Electric Central Equipment Routes (ACEI);
2) Maintenance of the ACEI not carried out;
3) Incorrect behaviour of the Local Executive;
4) The train 4132 exceeded control speed;
5) Pressure exerted by passengers;
6) Working hours of the Local Executive who had exceeded eight hours due to the failure of Track Circuit 2;
7) Local Executive's work space open to third parties resulting in possible distractions from its
duties.</t>
  </si>
  <si>
    <t>CZ-10332</t>
  </si>
  <si>
    <t xml:space="preserve">Train collision, 9/11/2022, Mělník station (Czech Republic) </t>
  </si>
  <si>
    <t>Unauthorized movement of the shunting operation behind the main (departure)
signal device S10 and consequent collision with the freight train No. 55530 at
Mělník station</t>
  </si>
  <si>
    <t>Mělník station</t>
  </si>
  <si>
    <t>Shunting operation;
Freight train</t>
  </si>
  <si>
    <t>Causal factor:
• unauthorized shunting behind the main (departure) signal device S10 with signal „Stop“, which preceded:
-the train driver of the drawn shunting operation did not find out signal code of the signal device S10 directly, although it was possible to verify the signal from train driver's footplate by several ways;
-faults in communication between the train driver of the drawn shunting operation and the head of the shunting operation during finding out of signal code of the signal device S10 over mediator, which leaded to set the drawn shunting operation in motion at failure guidance and continue in driving, although the train driver of the drawn shunting operation did not know signal of the signal device S10;                                -unauthorized giving guidance to set the drawn shunting operation in motion by the head of the shunting operation to the train driver of the drawn shunting operation without arrange of shunting with the station dispatcher and without permission to shunting.                                                                                                     Causes of continuance the accident plot (collision):
• the train driver of the drawn shunting operation continued in driving over 150 meters behind the signal device S10 only based on guidance „pull out“, which it did not entitle him for this ride;
• the signal man did not observe unoccupied settings train route for the freight train No. 55530 and he did not prevent danger ride of the drawn shunting operation.</t>
  </si>
  <si>
    <t>HU-10339</t>
  </si>
  <si>
    <t>Collision of trams, Budapest, 09/11/2022</t>
  </si>
  <si>
    <t>A tram running on line no. 1 in Budapest collided into the back of the preceiding tram, which was standing on the same track, waiting for the traffic signal to let it pass. 4 passengers and 1 staff suffered light injuries.</t>
  </si>
  <si>
    <t>Budapest, tramline no. 1, at Hungária blvd. - Mogyoródi rd. junction</t>
  </si>
  <si>
    <t>Budapest Transport Privately Held Corporation (BKV)</t>
  </si>
  <si>
    <t>DK-10334</t>
  </si>
  <si>
    <t>Accident to persons caused by RS in motion, 12/11/2022, Odense (Denmark)</t>
  </si>
  <si>
    <t>One person hit by train</t>
  </si>
  <si>
    <t>The person was in a place where there was no public access.</t>
  </si>
  <si>
    <t>Influence of Alcohol</t>
  </si>
  <si>
    <t>RO-10333</t>
  </si>
  <si>
    <t xml:space="preserve">Train derailment, 13/11/2022, Popești Vâlcea - Berbești </t>
  </si>
  <si>
    <t>Hauling locomotive DA 913 of the freight train no.6056513 derailed between Popești Vâlcea and Berbești railway stations.</t>
  </si>
  <si>
    <t xml:space="preserve">Popești Vâlcea - Berbești </t>
  </si>
  <si>
    <t xml:space="preserve">Damage to the first bogie, in the running direction, of the locomotive DA 913.                                                                                            
The line was slightly damaged for about 16,5 meters. </t>
  </si>
  <si>
    <t xml:space="preserve">Causal factor
Existence within the track, a section within the constant-radius curve, before the accident site, an area with the twist gradient exceeding the maximum value accepted for traffic, it led to the exceeding of the derailment stability limit.
</t>
  </si>
  <si>
    <t xml:space="preserve">Contributing factor
Exceeding of deadlines, stipulated by the applicable legislation, for the performance of periodical repairs at the lines at the accident site.            Systemic factors:
• provision with improper material and human resources, against the necessary ones, for the performance of suitable maintenance of the line and keeping the track geometry between the accepted tolerances;
• ineffective management of the risk associated to the danger of exceeding the tolerances accepted for the track geometry.
</t>
  </si>
  <si>
    <t>HU-10338</t>
  </si>
  <si>
    <t>SPAD, 13/11/2022, Beled</t>
  </si>
  <si>
    <t>At Beled station, freight train No. 48982-1 (Komplex Rail Kft.) passed exit signal K3 at danger. Meanwhile, the arriving passenger train (running in the opposite direction) no. 39820 (GYSEV Zrt.), stopped at Beled station's entry signal "A", which was at danger. The two trains stopped approximately 391 meters from each other.</t>
  </si>
  <si>
    <t>Line no. 16., Beled station</t>
  </si>
  <si>
    <t>Komplex Rail Kft.</t>
  </si>
  <si>
    <t>No material damage occurred.</t>
  </si>
  <si>
    <t>FR-10340</t>
  </si>
  <si>
    <t>Accident to persons caused by RS in motion, 14/11/2022, Donchery</t>
  </si>
  <si>
    <t>A dad and his daugther are run over by a freight train at a pedestrian passage between two platforms in a station. The daughter first got off a regional train, then they both crossed the tracks behind the regional train. The freight train came on the opposite track. Automatic luminous signaling was working.</t>
  </si>
  <si>
    <t>Donchery</t>
  </si>
  <si>
    <t>HR-10342</t>
  </si>
  <si>
    <t>Trains collision, 14-11-2022 (station Škrljevo) (Croatia)</t>
  </si>
  <si>
    <t>On November 14, 2023, at 02:19 a.m. on the line M202 at station Skrljevo on the third track at km 641+ 103, the freight train number 62077 ran into a group of 11 freight wagons left by train number 81278, which were waiting for the return of locomotive train number 81278 from station Soici and their dispatch to station Soici. 
As a result of the ran into of locomotive 91 78 1141 203-5 of freight train number 62077 on a group of wagons, there was significant damage to the locomotive as well as damage to eight freight wagons that were on the 3rd, 4th, and 6th tracks. 
The driver of freight train number 62077 was slightly injured in the accident and material damage was caused to the railway vehicles and infrastructure.</t>
  </si>
  <si>
    <t>Station Škrljevo</t>
  </si>
  <si>
    <t xml:space="preserve"> HŽ Cargo d.o.o. (freight train) and ENNA TRANSPORT d.o.o. (freight train)</t>
  </si>
  <si>
    <t>Greater material damage was recorded on the railway infrastructure and involved railway vehicles.</t>
  </si>
  <si>
    <t>The causative factor of the accident in question was the impact of freight train number 62077 on a group of 11 freight wagons from the disassembled freight train number 81278 on the 3rd track of the Škrljevo station. The collision occurred as a result of the improper handling of the block device by the internal train dispatcher at Škrljevo railway station, who gave permission to the train driver of train 62077 to pass by the entrance signal "B" which showed the signal sign "Stop", without personally making sure that 3. track free for passage (chapter 3.1.7.).</t>
  </si>
  <si>
    <t>Contributing factors: 
-	the passing of train number 62077 next to the entrance signal “B” showing the signal sign “Stop” (Chapter 3.1.7),
-	non-communication through the RDU system, communication outside the official closed system that is not recorded (Chapters 3.1.7 and 3.1.9),
-	the absence of an external train operator immediately before running into (Chapter 3.1.9),
-	use of the 3rd track (main pass track) at station Skrljevo for disbanding procedures for train number 81278 (Chapter 3.1.7),
-	improper handling of the block device by the internal train operator (Chapter 3.1.9),
-	reduced visibility due to night and rain (Chapter 3.1.3). 
Systemic factors: 
-	the procedures of the internal train operator regarding the reception of train number 62077 (Chapter 3.1.7),
-	 technological processes of the operation of internal and external train operator when disbanding trains at station Skrljevo, with the final destination in station Soici,</t>
  </si>
  <si>
    <t>SE-10343</t>
  </si>
  <si>
    <t>Level crossing accident during shunting at Värö bruk, 16/11/2022</t>
  </si>
  <si>
    <t>The shunting movement, with the shunter standing in front of the first freight car, collided with a timber loaded truck at an lever crossing without signals. The timber truck moved sideways before turning over with the freight car climbing up on its left side.</t>
  </si>
  <si>
    <t>Värö bruk</t>
  </si>
  <si>
    <t>Södra</t>
  </si>
  <si>
    <t>The timbertruck and the first freight car</t>
  </si>
  <si>
    <t>The direct cause of the accident was that the truck driver drove the truck over the track in the belief that there was no shunting movement approaching.</t>
  </si>
  <si>
    <t>At a system level, Södra, as infrastructure manager, has not managed the risks that arose when the unprotected level crossing began to be used by a large number of heavy road vehicles. A previous accident and several incidents were reported but were not handled in accordance with Södra's safety management system for railways. It can also be questioned whether the railway undertaking's measures as a result of the many reported incidents have been sufficient.
A contributing factor was that the sun was low in the sky, which dazzled the truck driver and created difficulties in distinguishing the shunting movement against the background, which overall reduced the possibility to see the shunting movement.
Another contributing factor was that the shunter operated the shunting movement at too high speed, which limited the truck driver's ability to correctly perceive the situation and also the shunters room for action before the collision. The increased kinetic energy adversely affected the damage that occurred as a result of the collision.
Finally, the shunters position in the front of the freight wagon contributed to the outcome of the accident. The position on the foot step did not provide any protection in the event of a collision.</t>
  </si>
  <si>
    <t>DE-10413</t>
  </si>
  <si>
    <t>Trains collision, 17/11/2022, Bf Meinersen – Hp Leiferde (b Gifhorn)</t>
  </si>
  <si>
    <t>Am 17.11.2022 gegen 03:26 Uhr kollidierte der Güterzug DGS 42593 auf der Fahrt von Antwerpen‐Noord (Belgien) nach Köthen Mi􀆩e zwischen dem Bahnhof Meinersen und dem Haltepunkt Leiferde (b Gi􀄬orn) mit dem vor dem LZB‐Block 86 stehenden Güterzug DGS 90977.</t>
  </si>
  <si>
    <t>Bf Meinersen – Hp Leiferde (b Gifhorn)</t>
  </si>
  <si>
    <t>Crossrail Benelux N.V., LOCON Logistik &amp; Consulting AG</t>
  </si>
  <si>
    <t>Das Triebfahrzeug (Tfz) des Zuges DGS 42593 wurde erheblich beschädigt. Drei mit Flüssiggas (Propan) beladende Kesselwagen entgleisten, kippten um und wurden stark beschädigt. Hierbei kam es an mindestens einem Wagen zum Austritt von Gefahrgut. Zwei leere, gedeckte Güterwagen mit Schiebewand entgleisten und wurden erheblich beschädigt.</t>
  </si>
  <si>
    <t>PT-10370</t>
  </si>
  <si>
    <t>SPAD, 18/11/2022, Estarreja</t>
  </si>
  <si>
    <t>Unauthorized movement to the outside of a track possession by a work train, invading the path of freight train 69825 that was approaching from the opposite direction.</t>
  </si>
  <si>
    <t>Estarreja</t>
  </si>
  <si>
    <t>HU-10336</t>
  </si>
  <si>
    <t>Train derailment, 19/11/2022, Komárom</t>
  </si>
  <si>
    <t>Band of wheel moved, and the wagon derailed by 1 axle.</t>
  </si>
  <si>
    <t>Komárom</t>
  </si>
  <si>
    <t>MÁV-RailTours Kft.</t>
  </si>
  <si>
    <t>one of the rims of the wagon, which was the eleventh wagon on the train, came off the wheel</t>
  </si>
  <si>
    <t>DK-10337</t>
  </si>
  <si>
    <t>Accident to persons caused by RS in motion, 19-11-2022,Kauslunde</t>
  </si>
  <si>
    <t xml:space="preserve"> Train hit a person</t>
  </si>
  <si>
    <t>Kauslunde</t>
  </si>
  <si>
    <t>The accident commission assesses that the accident happened because the two people wanted to take a shortcut to the platform at Kauslunde station via the track body, where there is no public access, instead of using the path under the railway and platform crossings with warning systems from the station side.</t>
  </si>
  <si>
    <t>FR-10341</t>
  </si>
  <si>
    <t>Train derailment, 23/11/2022, Carcassonne</t>
  </si>
  <si>
    <t>Derailment of the 25th wagon of a freight train when passing a switch, then continuation of the train for 7 km untill Carcassonne station where it was stopped. Two other wagons also derailled.</t>
  </si>
  <si>
    <t>Carcassonne</t>
  </si>
  <si>
    <t>Track destroyed for 7 km. Switches and platform in the station of Carcassonne damaged.
The wheels of the wagon which initially derailed are hollowed out as following a brake incident.</t>
  </si>
  <si>
    <t>RO-10344</t>
  </si>
  <si>
    <t>Trains collision, 1/12/2022, Gugești - Sihlea</t>
  </si>
  <si>
    <t>Between the railway stations Gugești and Sihlea, the freight train no.57402 started to run reversely the normal running direction and it collided with the freight train no.66706, that was stopped.</t>
  </si>
  <si>
    <t>Gugești - Sihlea</t>
  </si>
  <si>
    <t>SC TIM RAIL CARGO SRL and SC DEUTSCHE BAHN CARGO ROMÂNIA SRL</t>
  </si>
  <si>
    <t>From freight train no.57402 2 wagons derailed.
From freight train no.66706 derailed towing locomotive and 3 wagons derailed and overturned.
The both track was damaged as follows: track I for about 20 meters and the track II about 30 meters.                                                                 The catenary line installations was damaged between poles no.SBC141 and no.SBC144.</t>
  </si>
  <si>
    <t xml:space="preserve">Causal factor 
Release of the hand brakes of the wagons, that ensured keeping stopped the train and its movement towards the railway station Gugești (running back), following the decision error of the crew from the train no.57402, the train having no braking capacity, following the air exhaust into the braking installation. 
</t>
  </si>
  <si>
    <t xml:space="preserve">Contributing factor 
Physical and mental condition of the crew from the freight train no.57402, affected by stress and fatigue cumulated following the frequent exceeding of the maximum continuous duty accepted for the locomotive, lack of corresponding rest at home or outside of it, infringement of daily working time and of daily rest, as well as keeping for a long time on duty.
Systemic factors:
• lack of concrete provisions within General Procedure – Maximum continuous duty for the locomotive Code: PG-20 Ed:2 that establish tasks and duties for real time monitoring of the locomotive crew activity and avoiding the infringement of provisions from Order of Minister of Transports no.256/2013;
• lack of concrete provisions within Operational Procedure – Making of railway running process Code: PO-01 Ed:3 that establish tasks and duties for real time monitoring of the locomotive crew activity and avoiding the infringement of provisions from Law 53/2003 – Labour Code;
• existence of some deficiencies into the activity of identification and assessment of risk factors from Railway running process.
</t>
  </si>
  <si>
    <t>CZ-10345</t>
  </si>
  <si>
    <t>Trains collision, 5/12/2022, Kolín station</t>
  </si>
  <si>
    <t>Unauthorized movement of the shunting set of rolling stocks behind the shunting signal device Se49 with consequent collision with oncoming shunting set of rolling stocks</t>
  </si>
  <si>
    <t>ČD Cargo, a. s.; České dráhy, a. s.</t>
  </si>
  <si>
    <t>Total preliminary damage CZK 8 655 000,- (EUR 355 880,-)</t>
  </si>
  <si>
    <t>DE-10355</t>
  </si>
  <si>
    <t>Train derailment, 6/12/2022, Bf Saarbrücken Rbf</t>
  </si>
  <si>
    <t>Der Güterzug KT 41229 der DB Cargo AG entgleiste auf der Fahrt von Irun (Spanien) nach Saarbrücken Rbf Gruppe Nord im Bahnhof (Bf) Saarbrücken Rbf auf der Weiche 61 mit sechs Wagen.</t>
  </si>
  <si>
    <t>Bf Saarbrücken Rbf</t>
  </si>
  <si>
    <t>Es kam zu erheblichen Sachschäden an der Infrastruktur und den Fahrzeugen. Es entgleis-ten sechs Wagen, an einem Wagen kam es zum Austritt von Lebensmitteln. Die Weichen 60, 61 und 64 wurden komplett zerstört sowie zwei weitere, ca. 30 m lange Gleisab-schnitte, stark beschädigt.</t>
  </si>
  <si>
    <t>CZ-10346</t>
  </si>
  <si>
    <t>Level crossing accident, 08/12/2022, Open line between Moravský Písek and Bzenec přívoz stations (Czech Republic)</t>
  </si>
  <si>
    <t>Collision of the regional passenger train No. 4203 with the car at the level crossing No. P8156 with consequent derailment.</t>
  </si>
  <si>
    <t>open line between Bzenec přívoz and Moravský Písek stations, the
level crossing No. P8156, km 122,412</t>
  </si>
  <si>
    <t>CZK 19 471 669,- (€ 800 480,-); Rolling stock, infrastructure, other</t>
  </si>
  <si>
    <t>Causal factor:
• an unauthorized entrance of the car at the level crossing No. P8156 at the time when the regional passenger train No. 4203 was arriving, caused by behavior of the car driver, who did not respect the light and acoustic warning of the level crossing safety equipment with barriers.
Contributing factor: none</t>
  </si>
  <si>
    <t>CZ-10347</t>
  </si>
  <si>
    <t xml:space="preserve">Train derailment, 08-12-22, Brno-Maloměřice station (Czech Republic) </t>
  </si>
  <si>
    <t>Derailment of 3 rolling stocks of the freight train No. 60310 at Brno-Maloměřice station</t>
  </si>
  <si>
    <t>Brno-Maloměřice station</t>
  </si>
  <si>
    <t>Total damage CZK 6 558 249,- (EUR 268 671,-)</t>
  </si>
  <si>
    <t>Article 20.2 of Directive (EU) 2016/798 – a), b)</t>
  </si>
  <si>
    <t>Causal factor:
• a fracture of the locking hook and opening of the unheld switch tongue of the switch No. 48a from the stock rail while the freight train No. 60310 was moving over the switch.</t>
  </si>
  <si>
    <t>IT-10351</t>
  </si>
  <si>
    <t>Train derailment, 10/12/2022, Iseo (Brescia)</t>
  </si>
  <si>
    <t>derailment of TRENORD train n. 969, line Brescia-Iseo-Edolo</t>
  </si>
  <si>
    <t>Iseo (Brescia)</t>
  </si>
  <si>
    <t xml:space="preserve">infrastructures and rolling stock damages not yet quantified </t>
  </si>
  <si>
    <t>PL-10357</t>
  </si>
  <si>
    <t xml:space="preserve">Level crossing accident, 12/12/2022, section Koziegłowy - Poznań Piątkowo, km 11,788 line 395 </t>
  </si>
  <si>
    <t>An occurrence at a Category C level crossing during which a passenger car went directly in front of an incoming train during as road signals ordered not to go beyond them, which led to a collision of a freight train with the passenger car.</t>
  </si>
  <si>
    <t xml:space="preserve">section Koziegłowy - Poznań Piątkowo, km 11,788 line 395 </t>
  </si>
  <si>
    <t>damaged passenger car and slightly demages of the ET22-1082 locomotive</t>
  </si>
  <si>
    <t>Casual factor: Entry of a passenger car to a level crossing when a train was approaching that crossing.</t>
  </si>
  <si>
    <t xml:space="preserve">Contributing factors: 1) Failure of the driver of the road vehicle to take special caution before and after driving through the level crossing as the road signals ordered not to go beyond those signals, and failure to stop when the train was approaching. 
2) Activation by a train dispatcher of train-controlled automatic crossing system devices at a Category C level crossing, which caused prolonged operation of the signalling system lasting non-stop for 9 hours and 30 minutes. 
3) Absence of a 20 km/h speed limit for trains at the level crossing.
4) Reduced visibility of the head of trains at 5 metres for road users due to a container and a GSMR tower erected in the visibility triangle. 
</t>
  </si>
  <si>
    <t>ES-10367</t>
  </si>
  <si>
    <t>Trains collision, 13/12/2022, Els Guiamets (Tarragona)</t>
  </si>
  <si>
    <t>National ID 107/2022: Train collision at Els Guiamets (line 210, kilometre 535,45).
Freight train #55311 (Renfe Mercancías) stops because of a brake issue, between Els Guiamets and Mora la Nova (municipality of Tivissa), at 19:23. Freight train #55203 (also Renfe Mercancías) is circulating after it, in the same line and direction. Driver of second train sees a "closed permissive signal", that allows him to advanced but at low speed and ready to stop at any moment. This driver passes that signal (without stopping)  and proceeds in bad visibility conditions (night, heavy rain, tight curves). The driver calls to the control centre to ask what's the problem (after seeing the "closed permissive signal"), and is informed about the problem of the stopped train ahead. However, the second train reached the rear of the stopped train and was not able to stop on time to avoid the collision. As a result wagon #14 of the first train derails and climbs onto wagon #13. No personal damages. The driver of the second train points to the bad weather conditions, the poor visibility of rear signals of the stopped train, the steep of the line and braking problems.</t>
  </si>
  <si>
    <t>Els Guiamets (Tarragona)</t>
  </si>
  <si>
    <t>Renfe Mercancías</t>
  </si>
  <si>
    <t>Damages in 3 wagons and a locomotive, one of the wagons also derailed and with damages in one axle</t>
  </si>
  <si>
    <t>Human error of driver of train #55203, as he didn't adapt train speed to visibility conditions, as prescribed by “driving on sight” rules established by Railway Driving Regulation (articles 1.5.1.4, point 1, and 2.1.2.7, point 2) and RU's driver's handbook (articles 1.5.1.2, point 1, and 2.1.2.7, point 1).</t>
  </si>
  <si>
    <t>Contributing factors:
1.	"Driving on sight" in bad conditions (fog, night, curve in a trench).
2.	Calling to train dispatcher while driving on sight divided (or caught) the attention focus of the driver, so his attention to driving was insufficient.
3.	It was the first time this driver had to drive a train with a braking mode type "G", that has a longer response time. So, the driver probably lacked previous references about braking distances with this kind of trains and that had influence in how he performed "driving on sight".
4.	The decision of making a call while driving was concious, and it could have been influenced by lack of experience and lack of warning about the risks of driving on sight in bad conditions after passing a signal with a "P" ("permissive") sign.
Systemic factors:
5.	Current criteria about driving conditions after passing closed "permissive" signal (signal with a "P" sign that allow passing them when closed, after stopping and resuming march with "driving on sight" conditions).</t>
  </si>
  <si>
    <t>HU-10349</t>
  </si>
  <si>
    <t>Collision of trams, Budapest, 19/12/2022</t>
  </si>
  <si>
    <t>A tram heading to the depot from line no. 4 crashed into the back of the preceiding tram, which was also running on line no.4, carrying passengers. 1 staff and 1 passenger injured seriously, 4 passengers suffered light injuries, heavy damage occured.</t>
  </si>
  <si>
    <t>Budapest, tramline no. 4-6, "Boráros tér H" stop (Petőfi bridge, Pest-side)</t>
  </si>
  <si>
    <t>The two "Siemens Combino Supra NF12B/1 Budapest" type trams suffered heavy damage. 3 of the 6 modules on each tram seems to be unrepairable by the time of sending that report.</t>
  </si>
  <si>
    <t>FR-10385</t>
  </si>
  <si>
    <t>Level crossing accident, 26/12/2022, Ayse</t>
  </si>
  <si>
    <t>A Leman-Express regional train hits a car at a level crossing and stops 250 meters after it without having derailed. Following the collision, smoke escaped from the electric vehicle embedded under the motor car, followed by a fire.</t>
  </si>
  <si>
    <t>Ayse</t>
  </si>
  <si>
    <t>Collision and fire damages to the front of the train.</t>
  </si>
  <si>
    <t>RO-10348</t>
  </si>
  <si>
    <t>Train derailment, 29/12/2022, Timișoara Est</t>
  </si>
  <si>
    <t>One wagon (the 13th) from the composition of the freight train 66644 derailed in Timișoara Est railway station.</t>
  </si>
  <si>
    <t>Timișoara Est</t>
  </si>
  <si>
    <t>Damage to the both bogies of the wagon no.83536654463-2  (13th in composition of the train).                                                                      The metal pole at the tip of the point no. 53 between lines 2 and 3 was struck by the derailed wagon causing it reclines at 45 degrees and pull out from the foundation.                                                                       The line was damaged for about 75 meters.</t>
  </si>
  <si>
    <t xml:space="preserve">Causal factor
The railway accident happened by climbing of the active shoulder of the running surface of the curved point by the flange of guiding wheel from the wagon no.83536654463-2, that is the 13th one in the composition of the train (the wheel no.2 on the left side in the running direction), following the exceeding of the derailment stability limit, happened, the most probably, following the increase of the guiding force and decrease of the load acting on that wheel. It was possible following the exceeding of the variation accepted for the gauge, at most  2 mm/m and of the tolerances accepted in operation for the gauge on a track section before the accident site, on the track length between turnouts no.35 and 45 and on the switch of the turnout no.45, as well as following the exceeding of the tolerances accepted for the cross level at the turnout, it leading to the increase of the hunting oscillations of the axles, growing up the contact forces wheel-rail and decreasing the loads acting on the right wheels.   
</t>
  </si>
  <si>
    <t xml:space="preserve">Contributing factor
The value of the distance between the exterior faces of the wheels from the axles no.2, of 1411,5 mm, close to the low limit accepted in operation (1410 mm), it leading to the increase of the hunting oscillations of the axles, respectively the increase of the striking angle between the wheel no.2 and the curved point.
Systemic factors
Deficiencies in the identification and assessment of the risks generated by the own railway operations run out by the infrastructure administrator, regarding the associated risk of railway vehicles derailment.
Provision with insufficient material and human resources, against the necessary one, for the performance of the corresponding maintenance of the line and keeping the track geometry between the accepted tolerances.
</t>
  </si>
  <si>
    <t>PT-10371</t>
  </si>
  <si>
    <t>Train derailment, 1/1/2023, KM 121,830 and KM 70,610 of Linha do Douro</t>
  </si>
  <si>
    <t>Derailment of IR passenger train after colliding with landslide over the track and derailment of its rescue train after colliding with another landslide over the track.</t>
  </si>
  <si>
    <t>KM 121,830 and KM 70,610 of Linha do Douro</t>
  </si>
  <si>
    <t>CP - Comboios de Portugal. E.P.E.</t>
  </si>
  <si>
    <t>Damage to track and rolling stock.</t>
  </si>
  <si>
    <t>BG-10353</t>
  </si>
  <si>
    <t>Fire in RS, 6/1/2023, Mezdra South-Zverino interstation</t>
  </si>
  <si>
    <t>Fire during motion in locomotive No 91520044169-8, servicing fast train No 2610 along Mezdra South-Zverino interstation</t>
  </si>
  <si>
    <t>Mezdra South-Zverino interstation</t>
  </si>
  <si>
    <t>"BDZ-Passenger Services" EOOD</t>
  </si>
  <si>
    <t>SE NRIC</t>
  </si>
  <si>
    <t>Burnt aggregates and machinery in the engine compartment of the locomotive</t>
  </si>
  <si>
    <t>breaking the integrity of the flexible rubber joint of the first cooling circuit</t>
  </si>
  <si>
    <t>leakage of transformer oil; the high-temperature leaked oil exceeds the flash point, causing it ignition</t>
  </si>
  <si>
    <t>RO-10350</t>
  </si>
  <si>
    <t>Train derailment, 7/1/2023, Câmpia Turzii</t>
  </si>
  <si>
    <t>One wagon (first after locomotive) from the composition of the freight train no.56004 derailed in Câmpia Turzii railway station.</t>
  </si>
  <si>
    <t xml:space="preserve">Damage to second bogie in the running direction from the wagon no.31537982021-2  (first in composition of the train).                                                                                  </t>
  </si>
  <si>
    <t xml:space="preserve">Causal factor
The derailment happened following the coming of the end from the triangular axis, situated in front of axle no.3, between the rail and the wheel no.6, after the detachment of the hanger of the brake block holder from the assembly with the bogie frame, followed by the fall of the triangular axis on the safety stirrup piece and its breakage, because the vibrations generated by the flat areas from the wheel surface. 
</t>
  </si>
  <si>
    <t xml:space="preserve">Contributing factors
1. improper performance, in the railway station Dumbrăveni, of the temporary repairs of the flat areas on the running surface of the wheels from the second bogie in the running direction of the wagon nor.31537982021-2.
2. acceptance and keeping in traffic of the wagon no.31537982021-2, with a failure that did not allow it running loaded.
Systemic factor
Lack of an assessment of the risks associated to the dangers of acceptance and keeping in running a wagon with failures that did not allow its running loaded.
</t>
  </si>
  <si>
    <t>DE-10372</t>
  </si>
  <si>
    <t>Train derailment, 10/1/2023, Bf Peiting Ost</t>
  </si>
  <si>
    <t>Am 10.01.2023 gegen 07:23 Uhr entgleiste der Personenzug DPN 86505 bei der Einfahrt in den Bahnhof (Bf) Peiting Ost auf der spitz befahrenen Rückfallweiche RfW15 mit allen sechs Achsen.</t>
  </si>
  <si>
    <t>Bf Peiting Ost</t>
  </si>
  <si>
    <t>Bayerischen Regiobahn GmbH</t>
  </si>
  <si>
    <t>HR-10361</t>
  </si>
  <si>
    <t>Other accidents, 14-01-2023 (station Pula) (Croatia)</t>
  </si>
  <si>
    <t>On January 14, 2023, at 09:51 p.m., train number 4717 broke down and stopped between stations Vodnjana and Pula at km 114+600 on the track R101 DG - Buzet - Pula. At 10:53 p.m., the train self-started and moved uncontrollably in the direction of station Pula. Arriving and passing through the station Pula at 11:00 p.m. at km 000+186 (Industrial track "Uljanik"), passenger train number 4717 who was traveling on the route Lupoglav - Pula collided with a van parked on the industrial track.
No one was injured in the accident, and there was major material damage to the van road vehicle and minor material damage to the passenger train.</t>
  </si>
  <si>
    <t>Station Pula</t>
  </si>
  <si>
    <t xml:space="preserve"> HZ Putnicki prijevoz d.o.o. </t>
  </si>
  <si>
    <t>HZ INFRASTRUKTURA d.o.o.</t>
  </si>
  <si>
    <t>Minor material damage to the passenger train and railway infrastructure, while total damage was recorded on the van.</t>
  </si>
  <si>
    <t>The causal factor of the accident in question was the self-starting of passenger train number 4717 due to insufficiently applied handbrake (chapter 3.2).</t>
  </si>
  <si>
    <t>Contributing factors:
- 	failure of the device for supplying the braking system with compressed air before the accident (chapter 3.2),
- 	track slope 14.60 ‰ (chapter 3.2).
Systemic factor: 
- 	the procedure for testing the accuracy of the handbrake is not described in the Technical work instructions for the maintenance of the train 7122 series FIAT KALMAR (chapter 4.1).</t>
  </si>
  <si>
    <t>HU-10358</t>
  </si>
  <si>
    <t>SPAD, 16/01/2023, Tápiógyörgye</t>
  </si>
  <si>
    <t>At Tápiógyörgye station, regional passenger train No. 3341 (MÁV-START Zrt.) stopped after passing entry signal "C" at danger, just in front of the departing No. 7408 InterCity train (MÁV-START Zrt.). The two trains stopped approximately 85 meters from each other.</t>
  </si>
  <si>
    <t>Line 120a, Tápiógyörgye station</t>
  </si>
  <si>
    <t>CZ-10359</t>
  </si>
  <si>
    <t xml:space="preserve">Level crossing accident, 18-01-23, open line between Mirovice and Čimelice stations (Czech Republic) </t>
  </si>
  <si>
    <t>Collision of the regional passenger train No. 7947 with a lorry at the level crossing No. P509 with consequent derailment between Čimelice and Mirovice stations.</t>
  </si>
  <si>
    <t>open line between Mirovice and Čimelice stations, the level crossing No. P509, km 41,179.</t>
  </si>
  <si>
    <t>Total damage CZK 10 690 540,- (EUR 447 116,-)</t>
  </si>
  <si>
    <t>Causal factor:
• a deadlock of the lorry in the level crossing area caused by behavior of the driver of the lorry who reversed on slippery road.</t>
  </si>
  <si>
    <t>DK-10363</t>
  </si>
  <si>
    <t xml:space="preserve">Accident to persons caused by RS in motion, 19/1/2023, Ejby Station </t>
  </si>
  <si>
    <t>Train hit a person.</t>
  </si>
  <si>
    <t xml:space="preserve">Ejby Station </t>
  </si>
  <si>
    <t>Person was lying by the track.</t>
  </si>
  <si>
    <t>Under the influence of alcohol.</t>
  </si>
  <si>
    <t>PL-10366</t>
  </si>
  <si>
    <t>Trains collision, 19/1/2023, railway line section Szczecin Podjuchy - Szczecin Port Centralny SPA</t>
  </si>
  <si>
    <t>The train No. 684013/2 (Pol-Miedż Trans Spółka z o.o.) led by no. 111ED-009 between Głogów Wróblin and Recław, was sent from the Szczecin Podjuchy station at 6:28 p.m. on the permission signal on the exit signal and stopped in front of the entry signal to Szczecin Port Centralny SPA and waited for entry. The LTE train No. 785009 (182-055) (CTL Logistics Sp. z o.o.) from Rzepin to Szczecin Port Centralny SPB12 was sent at 6:37 p.m. from the Szczecin Podjuchy station, at the substitute signal "Sz", to the route track, occupied in towards the Szczecin Port Centralny SPA station. As a consequence, LTE train No. 785009 ran over the last wagon of train No. 684013/2. Damaged locomotive 182-055 of CTL Logistics and the last car no. 8451 5944675-4 (loading car with a stone) in train no. 684013/2 (Pol-Miedż Trans Spółka z o.o.).</t>
  </si>
  <si>
    <t>railway line section Szczecin Podjuchy - Szczecin Port Centralny SPA</t>
  </si>
  <si>
    <t xml:space="preserve">CTL Logistics S.A. and Polmiedź Trans Sp. z o o. </t>
  </si>
  <si>
    <t xml:space="preserve">demages of electric locoomotive and a coal wagon </t>
  </si>
  <si>
    <t>Dispatching train LTE 785009 (locomotive alone) from the Szczecin Podjuchy station to the Szczecin Port Centralny SPA station on a single-track route occupied by train TME 684013, which in consequence led to train LTE 785009 running into the rear of train TME 684013.</t>
  </si>
  <si>
    <t xml:space="preserve">1) Telephone confirmation of the arrival of train TME 684013 by the signaller at the Szczecin Port Centralny SPA train signalling point to the signaller at the Szczecin Podjuchy train signalling point, without verifying whether the train concerned entered the Szczecin Port Centralny station.
2) Telephone clearance by the signaller at the Szczecin Port Centralny SPA train signalling point for the signaller at the Szczecin Podjuchy train signalling point to dispatch train LTE 785009 from the Szczecin Podjuchy station when the route was occupied by train TME 684013.
3) Non-compliance with the content of telephone signalling messages in accordance with the templates provided in Supplement 2 to "Instruction on operating rail traffic Ir-1" when managing traffic on the basis of train signalling by telephone.
4) Failure by the signaller at the SPA point to establish contact despite being called twice by the driver of train TME 684013 after the change of the train communication channel and after that train stopped before the entrance semaphore B to SPA indicating the "Stop" signal.
5) Conversations unrelated to the operation of rail traffic with persons in the SPA traffic operation post building, leading to decreased concentration on the part of the signaller at the Szczecin Port Centralny SPA train signalling point.
6) Limited ability of the driver of train LTE 785009 to notice the Pc 5 train end signal (day) of a stationary train TME 684013 due to hours of darkness, position of the track curve and illumination of the construction site and lights of vehicles working at the construction site adjacent to the plain track.
</t>
  </si>
  <si>
    <t>AT-10364</t>
  </si>
  <si>
    <t>Trains collision, 20/1/2023, Station Fürnitz</t>
  </si>
  <si>
    <t>Train collision after signal passed at danger when passing a danger point between Z 41870 and Z 45484 at station Fürnitz.</t>
  </si>
  <si>
    <t>Station Fürnitz</t>
  </si>
  <si>
    <t>TX Logistik Transalpine GmbH and Rail Cargo Aurstria (RCA)</t>
  </si>
  <si>
    <t>IM 3.550.000,-€; Rail Cargo Austria AG 1.500.000,-€; TX Logistik Transalpine GmbH 3.500.000,-€; Inviroment currently unknown</t>
  </si>
  <si>
    <t>CZ-10360</t>
  </si>
  <si>
    <t xml:space="preserve">Level crossing accident, 21-01-23, between Ostrava-Svinov and Ostrava-Třebovice stations (Czech Republic) </t>
  </si>
  <si>
    <t>Collision of the long distance passenger train No. 843 with a car at the level
crossing No. P7724 at Ostrava-Třebovice station</t>
  </si>
  <si>
    <t>Ostrava-Třebovice station, the level crossing No. P7724, km 263,911.</t>
  </si>
  <si>
    <t>Total damage CZK 492 119,- (EUR 20 488,-)</t>
  </si>
  <si>
    <t>Causal factor:
• an unauthorized entrance of the car at the level crossing No. P7724 at the time when the long distance passenger train No. 843 was arriving, caused by behavior of the car driver, who did not respect the light and acoustic warning of the level crossing safety equipment and did not make sure whether he could safely pass the level crossing.</t>
  </si>
  <si>
    <t>FR-10386</t>
  </si>
  <si>
    <t>Level crossing accident, 24/1/2023, Cevins</t>
  </si>
  <si>
    <t>A regional service coach, with its driver as the sole occupant, became immobilized on the railway tracks at a level crossing. At the approach of a regional express train, the level crossing closed normally and the driver of the coach did not evacuate his vehicle before it was struck by the train traveling at the speed of order of 90 to 100 km/h.</t>
  </si>
  <si>
    <t>Cevins</t>
  </si>
  <si>
    <t>The coach is cut in two. The reversibility cabin at the head of the train, which struck the road vehicle, is disemboweled.</t>
  </si>
  <si>
    <t>RO-10365</t>
  </si>
  <si>
    <t>Train derailment, 26/1/2023, Bucureștii Noi</t>
  </si>
  <si>
    <t>Hauling locomotive EA 038 of the freight train no.57704 derailed in Bucureștii Noi railway station.</t>
  </si>
  <si>
    <t>CER-FERSPED SA</t>
  </si>
  <si>
    <t xml:space="preserve">Damage to first axle in the running direction from the locomotive EA 038. The line was damaged for about 10 meters.                                                                                </t>
  </si>
  <si>
    <t xml:space="preserve">Causal factor
 exceeding of the derailment stability limit, following the improper condition of the track, because of keeping the track geometry outside the tolerances accepted in operation.
</t>
  </si>
  <si>
    <t xml:space="preserve">Contributing factor
  ineffective monitoring of the track condition during the suspension of the track maintenance works. 
Systemic factors
 ineffective management of the risks associated to the danger generated by the exceeding of the tolerances accepted for the track geometry;
 provision with improper human and material resources, against the necessary ones, for the suitable maintenance of the line and keeping the track condition between the accepted tolerances.
</t>
  </si>
  <si>
    <t>IT-10368</t>
  </si>
  <si>
    <t>Train derailment, 26/1/2023, Pozzano (Napoli)</t>
  </si>
  <si>
    <t>derailment of EAV train n. 1195, functionally isolated railway line 
Napoli - Sorrento (Circumvesuviana)</t>
  </si>
  <si>
    <t>Pozzano (Napoli)</t>
  </si>
  <si>
    <t>ES-10383</t>
  </si>
  <si>
    <t>Fire in RS, 30/1/2023, Alcolea (Córdoba)</t>
  </si>
  <si>
    <t>National ID 11/2023: Fire in Rolling Stock at a gauge change installation (line 408, kilometre 431,26).
The pantograph of the 4th vehicle of train #10696 Barcelona-Cádiz caught fire while passing a gauge change installation in Alcolea. That morning the train had had problems with power supply and had changed one pantograph. As it changed the active pantograph in order to pass through the gauge change in Alcolea some electric arcs could have appeared and have caused the fire. Three passengers suffered smoke inhalation and were taken to hospital, and fire melted part of a passenger coach ceiling.</t>
  </si>
  <si>
    <t>Alcolea (Córdoba)</t>
  </si>
  <si>
    <t>Damages in rolling stock and 3 passenger with minor injuries</t>
  </si>
  <si>
    <t>DK-10374</t>
  </si>
  <si>
    <t>Level crossing event, 6/2/2023, Stenstrup-Svendborg level crossing 89 km 36,9.</t>
  </si>
  <si>
    <t xml:space="preserve">Train hit a person in a level crossing. </t>
  </si>
  <si>
    <t>Stenstrup-Svendborg level crossing 89 km 36,9.</t>
  </si>
  <si>
    <t>The person went onto the track even though the level crossing was activated</t>
  </si>
  <si>
    <t>It was very foggy</t>
  </si>
  <si>
    <t>CZ-10373</t>
  </si>
  <si>
    <t>Train collision with an obstacle, 7/2/2023,  Český Těšín station</t>
  </si>
  <si>
    <t>Train collision with an obstacle</t>
  </si>
  <si>
    <t>Collision of the regional passenger train No. 12853 with a rail buffer stop
and consequent derailment at Český Těšín station</t>
  </si>
  <si>
    <t xml:space="preserve"> Český Těšín station</t>
  </si>
  <si>
    <t>Total damage CZK 4 267 500,- (EUR 173 829,-)</t>
  </si>
  <si>
    <t>Causal factor:
• failure to stop of the regional passenger train No. 12853 in front of the main (route) signal device Lc238 at Český Těšín station with signal „Stop”, due to by incorrect driving style of the train driver of the regional passenger train No. 12853 to the signal „Speed 40 km/h and repetition of the warning signal" signaled by the main (route) signal device Lc236, which among others warning signalling the signal „Stop" at the following main signal, located at an insufficient braking distance, in conjunction with its incorrect determination of where he was with the train during movement on and along station track No. 238.</t>
  </si>
  <si>
    <t>PL-10379</t>
  </si>
  <si>
    <t>Train derailment, 7/2/2023, station Wrocław Brochów, km 1,701 line 349</t>
  </si>
  <si>
    <t xml:space="preserve">During entry of freight train no 654027 operated by rail carrier T&amp;C Sp. z o.o. on the Kłodzko Główne – Olsztyn Główny route onto track no. 1N at the Wrocław Brochów WBA station, railway line no. 349, the last freight wagon (the 45th wagon in the train set), type Eamnos no. 33 51 5839 055-9, derailed at turnout no. 501.
</t>
  </si>
  <si>
    <t>station Wrocław Brochów, km 1,701 line 349</t>
  </si>
  <si>
    <t>T &amp; C Ltd</t>
  </si>
  <si>
    <t>demages of freight coal wagon, demages of switches No 501, 502, 503 and 506 and rails joining switches.</t>
  </si>
  <si>
    <t>Breakage of the first axle of the first bogie of Eamnos wagon no. 33 51 5839 055-9.</t>
  </si>
  <si>
    <t>1) Inappropriate machining of the radius of transition of the wheel seat into the centre section of the axle, leading to the occurrence of a large gradient of tensional and compressive stress.
2) Formation of microcracks in the place subjected to machining.
3) Decreased strength along the axle cross section up to the critical moment at the place of the fatigue crack.
4) Introduction to service of a wheelset as a reusable set from the second-hand market without documented history of prior use.</t>
  </si>
  <si>
    <t>CZ-10376</t>
  </si>
  <si>
    <t xml:space="preserve">Trains collision with an obstacle, 13-02-23, open line between Červenka and Štěpánov stations (Czech Republic) </t>
  </si>
  <si>
    <t>Collision of the long distance passenger train No. 895 with an obstacle (fallen tree)</t>
  </si>
  <si>
    <t>open line between Červenka and Štěpánov stations, line track No. 1, km 69,426</t>
  </si>
  <si>
    <t>CZK 700 000,- (€ 29 486,-); Rolling stock, infrastructure</t>
  </si>
  <si>
    <t>CZ-10377</t>
  </si>
  <si>
    <t>Trains collision with an obstacle, 16/02/2023, Chlumčany u Dobřan station – LASSELSBERGER Chlumčany u Dobřan siding</t>
  </si>
  <si>
    <t>Collision of the pushing shunting operation with an obstacle (euro
pallets with flooring tiles) with consequent employee injury</t>
  </si>
  <si>
    <t>Chlumčany u Dobřan station – LASSELSBERGER Chlumčany u Dobřan siding</t>
  </si>
  <si>
    <t>Dr. ZENKL s.r.o. (IM of the siding)</t>
  </si>
  <si>
    <t>Total damage CZK 614 057,- (EUR 24 242,-)</t>
  </si>
  <si>
    <t>Causal factors:
• disrupt nominal structure gauge by due to the stored material and consequent failure to identify a long-lasting threat to the safe operation of the railway and railway transport;
• failure to identify an obstacle in the structure gauge of the operated track before giving the guidance to set the shunting operation in motion.</t>
  </si>
  <si>
    <t>PL-10387</t>
  </si>
  <si>
    <t>Level crossing accident, 20/2/2023, section Krzyżanowice - Chałupki, km 47,973 line 151</t>
  </si>
  <si>
    <t xml:space="preserve">Stopping of road truck  on the level crossing B category with automating signalisation and semibarriers while the freight train was approaching . The road truck stopped on the level crossing because of people who were passing the zebra crossing located near the level crossing. In the time the people were crossing the zebra pass, the semibarriers started closing and the car got stuck on the level crossing. </t>
  </si>
  <si>
    <t>section Krzyżanowice - Chałupki, km 47,973 line 151</t>
  </si>
  <si>
    <t>damages of road truck  and  ET22-1062 locomotive</t>
  </si>
  <si>
    <t>Inability of a road tractor with a semi-trailer to exit a Cat. B level crossing due to a passenger car stopping in front of a pedestrian crossing, followed by the road tractor with a semi-trailer being enclosed by an exit barrier, as a result of which a train ran into the road tractor.</t>
  </si>
  <si>
    <t xml:space="preserve">1. Inappropriate organisation of pedestrian traffic in the area of a level crossing.
2. The location of the pedestrian crossing at 2.5 m behind the exit barrier, hindering smooth passage and exit of road vehicles through and from the level crossing.
3. A passenger car stopping at the level crossing in front of the pedestrian crossing to give way to pedestrians, which prevented a road tractor with a semi-trailer following the passenger car from continuing to go.
4. Installation of lockable half-barriers on the exit lane from the level crossing, which prevented raising them manually.
5. Failure to implement recommendation no. 2) in Point 4.2 of the PKBWK's Annual Report 2018 concerning disassembly of exit barriers.
</t>
  </si>
  <si>
    <t>CZ-10378</t>
  </si>
  <si>
    <t xml:space="preserve">Train derailment, 22-02-23, Malšice operating control point (Czech Republic) </t>
  </si>
  <si>
    <t>Unsecured movement with consequent derailment of the regional passenger train No. 28424.</t>
  </si>
  <si>
    <t>Malšice operating control point, the spring switch No. 2sv, km 10,195.</t>
  </si>
  <si>
    <t>CZK 717 897,- (€ 30 329,-); Rolling stocks, infrastructure</t>
  </si>
  <si>
    <t>Causal factor:
• the spring switch No. 2sv with resetting point operating mechanism at Malšice operating control point was not transfer to preferential end position and subsequently entry the regional passenger train No. 28424 on this switch.
It was not possible determined potential causation regarding roles and obligations of IM and RU by verifiably way due to absence of diagnostic system of transmission indication of resetting point operating mechanism, i.e. information about state preferential end position of the spring switch No. 2sv with resetting point operating mechanism.
Contributing factor: none</t>
  </si>
  <si>
    <t>RO-10380</t>
  </si>
  <si>
    <t>Train derailment, 22/2/2023, Zalău Nord - Mirșid</t>
  </si>
  <si>
    <t>The ADH 1416 automotor running as a passenger train no. 4363 derailed from a bogie between the Zalău Nord and Mirșid railway stations.</t>
  </si>
  <si>
    <t>Zalău Nord - Mirșid</t>
  </si>
  <si>
    <t xml:space="preserve">Damage to the last but one bogie, in the running direction of train, of the ADH 1416 automotor.
The line was damaged for about 127 meters. </t>
  </si>
  <si>
    <t xml:space="preserve">Causal factor
Exceeding of the derailment stability limit, following the load transfer of the first right wheel, against the running direction, from the motorised coach no.1416 and increase of the lateral force (guiding one) on this wheel, that was running on the exterior rail of the curve, given the existence of the next nonconformities at the track superstructure and at the axle derailed: 
1. existence within the track, at the accident site, a track section with the gradient of the track twist over the maximum accepted value;
2. exceeding of the gauge variation between the points before the derailment point, as well as exceeding of tolerances in operation for the values of the close deflections and between the maximum and minimum deflections for a curve;
3. existence of some plastic distortions at the metalastic springs, that led to an insufficiency of vibrations absorbing effect and permanent static load transfers of the first right wheel from the motorised coach no.1416, in the running direction.
</t>
  </si>
  <si>
    <t xml:space="preserve">Contributing factor
Improper fixing of the failures registered following the control of the track geometry with the testing and recording car.
Systemic factors
1. lack of periodical repairs for keeping the corresponding maintenance of the lines and the track geometry between the accepted tolerances, following the provision with insufficient human resources for these activities.
2. failure in the getting by CNCFR ”CFR” SA the safety traffic staff (track and dangerous points gangers, foreman gangers in charge with the track maintenance);
3. keeping in running of the multiple unit ADH no.1416, after exceeding the deadline of time and km run, for the performance of planned repairs;
4. lack, within the technical specifications for the planned inspections, of some provisions for the control and maintenance of metalastic springs from the carrying bogie of the motorised coach, that composed the multiple unit type ADH.
</t>
  </si>
  <si>
    <t>IE-10404</t>
  </si>
  <si>
    <t>Broken Rail (Thermit weld) near Emly LC, 22/2/2023</t>
  </si>
  <si>
    <t>The rail had suffered a complete transverse fracture through the centreline of a Thermit weld. Fracture examination revealed a large, oxidised region in the web/foot and another similar area in the head that had relatively rough surfaces consisting of a multitude of sharp ‘peaks’ with dendritic ‘valleys’ and some associated regions that were entirely dendritic. These defects had occurred in the areas that are the last to solidify during alumino-thermic welding and had an appearance typical for either a hot tear or shrinkage. The remainder of the surface was typical of a recent rapid fracture. Metallographic examination confirmed the differences in topography between the various fracture features including a subtle difference between the entirely dendritic regions and that of the main defect, which incorporated the sharp peaks</t>
  </si>
  <si>
    <t>Emly LC</t>
  </si>
  <si>
    <t>Damage to rail</t>
  </si>
  <si>
    <t>The mechanism of failure of the weld (outlined in full in paragraphs 87 to 94), was likely
to be as a result of hot tearing, likely as the result of difficulties encountered by the Welders
with the Rail Tensors (the Person in Charge of Stressing did raise concerns about the
condition on the Rail Tensors on the day that the welding took place (paragraph 137))
whereby it was only on their third attempt that the welders gap was achieved and the
holding pressure remained static. The weld was then dropped and before it solidified the
Rail Tensors released enough to cause hot tearing; this release may have been slight
enough to not present on the pressure gauge (paragraph 138). The hot tear would not
have been detected, at this stage, by a visual examination by the Weld Supervisor or by
tests by the Ultrasonic Operator (paragraph 138).
The RAIU have identified the following possible causal factor to the hot tearing of the
weld:
• CaF-01 – The Rail Tensors did not operate correctly at the time of welding, resulting
in the Welders encountering difficulties pulling and holding the rail ends to the required
welders gap; which may have caused the Rail Tensors to release enough holding
pressure to cause a hot tear in the weld (paragraph 142).
No contributory factors were identified.</t>
  </si>
  <si>
    <t>The following was identified as a systemic factor in relation to the difficulties
encountered by the Welders:
• SF-01 – Technical Standard for the Stressing of Rail, CCE-TMS-323, did not include
guidance on actions for welders to take once difficulties were encountered with the
Rail Tensors (paragraph 143)</t>
  </si>
  <si>
    <t>IE-10403</t>
  </si>
  <si>
    <t>Broken rail (flash butt weld) near Newbridge on the 23rd of February 2023</t>
  </si>
  <si>
    <t>1.      The rail had suffered a complete transverse fracture at/near the centreline of a flash butt weld. Fracture examination showed that the failure had occurred rapidly from a darkly corroded crack extending from the toe of the foot on the gauge side to the web/foot transition and that this in turn had initiated from a flat, relatively featureless area at the toe. The edges of this region were rounded on one half of the fracture face with a corresponding ‘lip’ around the other half where the excess material from upsetting had been trimmed/sheared off when still hot. The only explanation for this profile was a lack of fusion at the toe when the upset was trimmed, later confirmed by metallographic examination where conclusive evidence of a lack of fusion was found along the surface including decarburisation, fissures and slag inclusions. The bulk microstructure of both rails consisted almost entirely of fine grained pearlite with a small volume fraction of ferrite indicative of a wear-resisting grade of rail steel whose grains had been refined by the heat-effect from the weld. Vickers hardness tests produced averages of 312HV30 (≈300HB) for rail 1 and 299HV30 (≈285HB) for rail 2, which likely indicated that the rails were of grade 260. However, rail foot hardness is not specified in the relevant standards and so further testing would be required (in the head) to confirm the grade; this was considered to be unnecessary, as it was not relevant to the failure mechanism. The microstructure of the upset zone was similar to that of the rails albeit with a coarser grain size and had a comparable hardness (312HV30 (≈300HB)).</t>
  </si>
  <si>
    <t>Newbridge</t>
  </si>
  <si>
    <t>DK-10389</t>
  </si>
  <si>
    <t>Accident to persons caused+E3607 by RS in motion, 24/2/2023, Padborg - Vejbæk</t>
  </si>
  <si>
    <t>One person walkin on the tracks, was hit by a train</t>
  </si>
  <si>
    <t>Padborg - Vejbæk</t>
  </si>
  <si>
    <t>ATM Unknown</t>
  </si>
  <si>
    <t>A person walked by the traks.</t>
  </si>
  <si>
    <t>Refugee, hwo was not known in the area.</t>
  </si>
  <si>
    <t>BG-10381</t>
  </si>
  <si>
    <t>Train derailment, 26/2/2023, Banya station</t>
  </si>
  <si>
    <t>Derailment of wagons from the composition of International Direct Freight Train No 40832 while entering in Banya station</t>
  </si>
  <si>
    <t>Banya station</t>
  </si>
  <si>
    <t>DB Cargo Rail Bulgaria EOOD</t>
  </si>
  <si>
    <t>Railway infrastructure, RRS wagons</t>
  </si>
  <si>
    <t>Broken leaf spring of the left wheel of the first wheel-set (a structurally inappropriate leaf spring on the first wheel set)</t>
  </si>
  <si>
    <t xml:space="preserve">After the replacement of the spring, inadmissible differences in the weight distribution on the left/right wheel of the first and second wheel-set appeared, since the spring has different geometric parameters and characteristics from the original one. </t>
  </si>
  <si>
    <t>RO-10384</t>
  </si>
  <si>
    <t>Train derailment, 28/2/2023, Apața - Augustin</t>
  </si>
  <si>
    <t>One wagon (the 8th) from the composition of the freight train no.67815 derailed between Apața and Augustin railway stations.</t>
  </si>
  <si>
    <t>Apața - Augustin</t>
  </si>
  <si>
    <t xml:space="preserve">Damage to the 3rd axle, in the running direction of train and to the air tank of the wagon no.33535320819-2.
The line was damaged for about 200 meters. </t>
  </si>
  <si>
    <t xml:space="preserve">Causal factor 
Improper condition of one part ensemble between the supports from the fixing collars of the air tank and the wagon frame, that led to the fall of the air tank between the rails.
</t>
  </si>
  <si>
    <t xml:space="preserve">Contributing factor
Existence on the surfaces of the wheels R1 and R2 of some flat areas with values over the maximum limit accepted for the running of loaded wagons.
Systemic factor
Inobservance, by the economic operator RSCO – keeper of the rolling stock, of the procedures for introduction, respectively reception and putting into operation, in and from the contract repairing unit (STM), of the rolling stock, according to the system procedures worked out by RSCO.
</t>
  </si>
  <si>
    <t>DK-10401</t>
  </si>
  <si>
    <t xml:space="preserve">Roskilde-Viby Sjælland, risk of train derailment, </t>
  </si>
  <si>
    <t>A train with high speed passed a place, where the track had risen after drilling under the track.</t>
  </si>
  <si>
    <t>Between Roskilde and Viby Sjælland</t>
  </si>
  <si>
    <t xml:space="preserve">Errors in track continuity or geometry, which inmmediately require closing og the tracks for safety reasons. </t>
  </si>
  <si>
    <t>Vertical irregularity caused by blow-up of return fluid from Horizontal Directional Drilling under the tracks. Insufficient barriers.</t>
  </si>
  <si>
    <t>Inadequate risk assessment</t>
  </si>
  <si>
    <t>EL-10464</t>
  </si>
  <si>
    <t>Train collision, 28/02/2023, Tempe Hellas (Greece)</t>
  </si>
  <si>
    <t>NIB EL</t>
  </si>
  <si>
    <t>Passenger train intercity IC62 route Athens-Thessaloniki was put by the Station Manager of larisa St at the oposite direction and collided with cargo train 63503 with route Thessaloniki to Athens at Tempe valley (Km 371+600)</t>
  </si>
  <si>
    <t>Tempe Valley</t>
  </si>
  <si>
    <t>Hellenic Train</t>
  </si>
  <si>
    <t>OSE</t>
  </si>
  <si>
    <t>passenger train ic62  destroyed (Siemens elecrtic tarction unit and 4 wagons Siemens/Bombardier UIC-Z1) and cargo train (2 Siemens elecrtic tarction unit and 4 wagons) totally destroyed</t>
  </si>
  <si>
    <t>PT-10529</t>
  </si>
  <si>
    <t>Operational event, 3/3/2023, Bombarral station</t>
  </si>
  <si>
    <t xml:space="preserve">Regional passenger train 6405 was ordered to enter a block while the track was under possesion for works. </t>
  </si>
  <si>
    <t>Bombarral station</t>
  </si>
  <si>
    <t>DK-10391</t>
  </si>
  <si>
    <t>Accident to persons caused by RS in motion, 8/3/2023, Peter Bangsvej Station</t>
  </si>
  <si>
    <t>A person in an electric wheelchair drove over the edge of the platform and was hit by a train.</t>
  </si>
  <si>
    <t>Peter Bangsvej Station</t>
  </si>
  <si>
    <t>Banedanamrk</t>
  </si>
  <si>
    <t>Damage to the front of the train</t>
  </si>
  <si>
    <t>Accidental touch of joystick on an electric wheelchair, caused it drove over the edge</t>
  </si>
  <si>
    <t>Handbag touched the joystick</t>
  </si>
  <si>
    <t>NO-10393</t>
  </si>
  <si>
    <t>Derailment at Narvik station 12.03.2023, Ofotbanen, train 9912</t>
  </si>
  <si>
    <t>Train 9912 derailed with 24 iron ore wagons at Narvik station.</t>
  </si>
  <si>
    <t>Narvik station</t>
  </si>
  <si>
    <t>Damage to 100 meters of rail and sleepers. Ground works. Damage to several wagons.</t>
  </si>
  <si>
    <t>Track fault</t>
  </si>
  <si>
    <t>Bad ground conditions</t>
  </si>
  <si>
    <t>RO-10390</t>
  </si>
  <si>
    <t>Trains collision, 13/3/2023, Roșiori Nord</t>
  </si>
  <si>
    <t>Passenger train no.1822 overtook and collided freight train no.50514 in Roșiori Nord railway station.</t>
  </si>
  <si>
    <t>Roșiori Nord</t>
  </si>
  <si>
    <t>SNTFC „CFR Călători” SA and SC Deutsche Bahn Cargo Romania SRL</t>
  </si>
  <si>
    <t xml:space="preserve">There were damages at the hauling locomotive of the passenger train no.1822 and at the last two wagons of freight train no.50514.                  3 cars from the upper platform of the second unit of the last but one wagon of freight train no.50514 overturned into the structure clearance of lines no.4 and 5 of the station and other 103 cars were damaged. </t>
  </si>
  <si>
    <t xml:space="preserve">Causal factors
- lack of braking measures for the train stop before the light entry signal YM of the railway station Roșiori Nord, who was on „STOP without pass the signal in stop position!” – a light red unit to the train;
- unjustified pushing, by the driver, of the button „Commanded passing of the signal in stop position” when the locomotive EA 637 ran by the inductor of the light entry signal YM of the railway station Roșiori Nord;
- delayed taking of braking measures and application of train service brake instead of a rapid one, after passing the light entry signal YM of the railway station Roșiori Nord in stop position.
</t>
  </si>
  <si>
    <t xml:space="preserve">Contributing factors 
- fatigue of the driver of passenger train no.1822;
- lack of immediate notification of the collision between the passenger train no.1822 and the freight one no.50514, that had to be made by the driver from the passenger train no.1822, it generating the increase of the consequences seriousness.
Systemic factors
- lack of an assessment of the risks generated by the danger represented by the unjustified/non-instruction pushing of the button „Commanded passing the signal in stop position” at the passing by the signals that order the stop;
- lack of an assessment of the risks generated by the danger represented by the noncompliance with the instruction provisions by the trains crew, regarding the obligation to notify soon the accidents/incidents occurrence.
</t>
  </si>
  <si>
    <t>RO-10392</t>
  </si>
  <si>
    <t>Train derailment, 17/3/2023, Beia - Cața</t>
  </si>
  <si>
    <t>One wagon (the 10th) from the composition of the freight train no.66358 derailed between Beia and Cața railway stations.</t>
  </si>
  <si>
    <t>Beia - Cața</t>
  </si>
  <si>
    <t xml:space="preserve">Damage to both bogies of the wagon no.31533960791-5.
The line was damaged for about 123 meters. </t>
  </si>
  <si>
    <t xml:space="preserve">Causal factor 
Not ensuring of the free ends of the chain used for the anchorage/fixing of the military equipment, backwards in the running direction, on the antepenultimate wagon of the train, and that wagon had holes in the floor where the lateral stanchions are put. 
</t>
  </si>
  <si>
    <t xml:space="preserve">Contributing factor
Improper assembling on the track bed of the check rail from the bridge km 262+858.
Systemic factors
1. Summary activity (unstudied) performed by SNTFM for the identification of the risks associated to the railway operations, keeping the competences of the jobs involved in the reception of the wagons loaded and monitoring of the activity in the stations assigned.
2. Improper monitoring (ineffective) of the line district activity by the staff having responsibilities of inspection and control within Track Section L2 Sighișoara and the railway county Brașov.
</t>
  </si>
  <si>
    <t>IT-10399</t>
  </si>
  <si>
    <t>Runaway and subsequent derailment, 21/3/2023, Pagani (Salerno)</t>
  </si>
  <si>
    <t>Runaway and subsequent derailment of freight wagons, 
line Napoli - Salerno</t>
  </si>
  <si>
    <t>Pagani (Salerno)</t>
  </si>
  <si>
    <t>MIR (Mercitalia Rail - holder)</t>
  </si>
  <si>
    <t>RO-10394</t>
  </si>
  <si>
    <t>Railway vehicle movement event, 25/3/2023, Galați</t>
  </si>
  <si>
    <t>On the shunting moving of the locomotive EC 128 for coupling to the passenger train no.7576 occurred the collision between the locomtive and the passenger car no.50532616090-8.</t>
  </si>
  <si>
    <t>Galați</t>
  </si>
  <si>
    <t xml:space="preserve">SNTFC „CFR Călători” SA </t>
  </si>
  <si>
    <t>As a result of the collision, the driving station "A" and both pantographs of locomotive EC 128 were damaged, and the passenger car no.50532616090-8 was seriously damaged at the end with the parking brake.
Concrete sleepers were affected by hitting the out-of-gauge parts from the locomotive and the pasenger car respectively.                                  The catenary related to line no. 4 was affected, breaking one of its support brackets.                                                                                Track circuits 4A and 4B were affected.</t>
  </si>
  <si>
    <t>RO-10395</t>
  </si>
  <si>
    <t>Train derailment, 28/3/2023, Berbești - Popești Vâlcea</t>
  </si>
  <si>
    <t>The bank engine of freight train no. 60566 derailed between Berbești and Popești Vâlcea railway stations.</t>
  </si>
  <si>
    <t xml:space="preserve">On the locomotive DA 1129, damage at first axle, in the running direction, the track cleaner (plough) deformed and the fuel tank broken with diesel leaks.
The line was damaged for about 97 meters. </t>
  </si>
  <si>
    <t xml:space="preserve">Causal factor
Hitting of buffing gear, fallen from the wagon no.81536653796-8, by the banking locomotive DA 1129, of the freight train no.60566, followed by the climbing of the exterior rail of the track by the left wheel of the first axle, in the running direction.
</t>
  </si>
  <si>
    <t xml:space="preserve">Contributing factors
 existence of an old crack of about 40% from the breaking surface of a screw ensuring the fastening of the front left buffing gear, in the running direction, on the front beam of the wagon no.81536653796-8;
 taking for transport the wagon no.81536653796-8, after being loaded by the beneficiary, and its coupling in the freight train no.60566, without being technically inspected by the staff competent in this respect;
 the additional collision forces, generated by the reactions appeared into the train, in its running, following the inconsistent coupling found between some wagons (6 active buffing gears improperly fastened).
Systemic factor
Lack of an assessment of the risks associated to the danger represented by the fall, along the running, of a part from a train wagon.
</t>
  </si>
  <si>
    <t>CZ-10396</t>
  </si>
  <si>
    <t>SPAD, 28/3/2023, Vlastec station</t>
  </si>
  <si>
    <t>Unauthorized movement (SPAD) of the regional passenger train No.
2070 behind the main signal device L1 with signal „Stop“ and entry to
the train route for the regional passenger train No. 2071.</t>
  </si>
  <si>
    <t>&lt;150 000 €</t>
  </si>
  <si>
    <t>Total damage CZK 12 431,- (EUR 488,-)</t>
  </si>
  <si>
    <t>Causal factor:
• failure to respect the signal „Stop” of the main (departure) signal device L1 at Vlastec station by the train driver of the regional passenger train No. 2070.</t>
  </si>
  <si>
    <t>NO-10398</t>
  </si>
  <si>
    <t>Trains collision with an obstacle, 28/3/2023, Fyllingsdalen terminal (Norway)</t>
  </si>
  <si>
    <t>Bybanen light rail collided with end-stop concrete block at approx. 14-15 km/h. Seven passangers got sent to emergency room or hospital with light to moderate injuries.</t>
  </si>
  <si>
    <t>Fyllingsdalen terminal</t>
  </si>
  <si>
    <t>Tide Buss og Bane AS</t>
  </si>
  <si>
    <t>Bybanen AS</t>
  </si>
  <si>
    <t>Damage to front of vehicle, intiriour and deformation of structural integrity of the LRV in WGT-6 and 7. Drivers seat moved backwards at impact.</t>
  </si>
  <si>
    <t>The immediate cause for the accident was that the light rail vehicle was not stopped at the platform as intended.</t>
  </si>
  <si>
    <t>A contributing factor to the extent of the accident was the strong deceleration as a result of the construction of the buffer stop. The buffer stop was designed in this way to avert an identified potential major accident. At the same time, the impact this construction could have on more frequently events with lower possible consequences was not assessed.
The Norwegian Safety Investigation Authority’s (NSIA) investigation has shown that there are challenges linked to Tide Buss and Bane's competence goals when training and certifying drivers, in relation to the time available for education.</t>
  </si>
  <si>
    <t>NL-10405</t>
  </si>
  <si>
    <t>Trains collision with an obstacle, 4/4/2023, Voorschoten</t>
  </si>
  <si>
    <t>NIB NL</t>
  </si>
  <si>
    <t>At approximately 3:25 a.m. on Tuesday, April 4, 2023, a freight train collided with a road/rail excavator. The excavator had been used for track maintenance and was returning to the onset location on a track that was taken out of service. For yet unknown reasons, the excavator was already (partially) on the in-use track of the freight train and they collided.  The excavator was supposed to cross that track later. Because of the collision the excavator landed on the adjacent in-use track, where it was struck by a passenger train. The passenger train derailed and landed partially in an adjacent meadow. The operator of the excavator was killed by the collision.  About 30 people from the trains were injured, 19 of whom were taken to the hospital.</t>
  </si>
  <si>
    <t>Netherlands</t>
  </si>
  <si>
    <t>Voorschoten</t>
  </si>
  <si>
    <t>DB Cargo; NS Reizigers B.V.</t>
  </si>
  <si>
    <t>Heavily damaged rolling stock. Track and extensive catenary damage.</t>
  </si>
  <si>
    <t>HU-10400</t>
  </si>
  <si>
    <t>Trains collision, 15/4/2023, Komárom</t>
  </si>
  <si>
    <t>Freight train arrived to an occupied track and collided with an other train.</t>
  </si>
  <si>
    <t>IG Rail s.r.o., Jelzőőr Kft, Train Hungary Zrt.</t>
  </si>
  <si>
    <t>the train arrived on the occupied F22 track due to an incorrect position of the switches</t>
  </si>
  <si>
    <t>the risk created by the reduction in staff over time has not been compensated by the infrastructure manager by the installation of interchange locks or other measures</t>
  </si>
  <si>
    <t>RO-10402</t>
  </si>
  <si>
    <t>Train derailment, 18/4/2023, Sânnicolau Mare - Cenad</t>
  </si>
  <si>
    <t>The AMX 556  automotor running as a passenger train no. 11187 derailed from a 3 axles between the Sânnicolau Mare and Cenad railway stations.</t>
  </si>
  <si>
    <t>Sânnicolau Mare - Cenad</t>
  </si>
  <si>
    <t xml:space="preserve">Damage to the first, third and five axle, in the running direction of train, of the AMX 556 automotor.
The line was slightly damaged for about 29 meters. </t>
  </si>
  <si>
    <t>IT-10406</t>
  </si>
  <si>
    <t>Train derailment, 20/4/2023, Firenze Castello</t>
  </si>
  <si>
    <t>derailment of GTS RAIL freight train n. 57034, line 
Prato - Firenze</t>
  </si>
  <si>
    <t>GTS RAIL</t>
  </si>
  <si>
    <t>damage to infrastructure and rolling stock not yet quantified</t>
  </si>
  <si>
    <t>HU-10407</t>
  </si>
  <si>
    <t>Notification of level crossing accident, 29/04/2023, Kisvárda - Fényeslitke (Hungary)</t>
  </si>
  <si>
    <t>The train no. EC149-2 collided with a car at the level crossing no. AS447 between Kisvárda and Fényeslitke stations. No one was injured. At the time of the accident the active level crossing protection system of AS447 was shut down.</t>
  </si>
  <si>
    <t>Kisvárda - Fényeslitke (AS447)</t>
  </si>
  <si>
    <t>The locomotive and the first wagon were damaged.</t>
  </si>
  <si>
    <t>AT-10408</t>
  </si>
  <si>
    <t>Trains collision, 30/4/2023, Station Kittsee</t>
  </si>
  <si>
    <t>Collision between Z 40592 and Z 44610 at station Kittsee.</t>
  </si>
  <si>
    <t>Station Kittsee</t>
  </si>
  <si>
    <t>RU 1: METRANS Railprofi Austria GmbH (RPA);
RU 2: Rail Cargo Austria Aktiengesellschaft (RCA);</t>
  </si>
  <si>
    <t>infrastruktur: 900.000
RU 1: RPA: 2.000.000
RU 2: RCA:800.000
total: 3.700.000</t>
  </si>
  <si>
    <t>DE-10412</t>
  </si>
  <si>
    <t>Accident to persons caused by RS in motion, 4/5/2023, Bf Hürth-Kalscheuren – Bf Brühl</t>
  </si>
  <si>
    <t xml:space="preserve">Am 04.05.2023 erfasste der IC 2005 auf der Strecke 2630 in km 10,8 zwischen den Betriebs-stellen Hürth-Kalscheuren und Brühl zwei sich im Gleis befindliche Personen. </t>
  </si>
  <si>
    <t>Bf Hürth-Kalscheuren – Bf Brühl</t>
  </si>
  <si>
    <t>HR-10410</t>
  </si>
  <si>
    <t>HU-10409</t>
  </si>
  <si>
    <t>Train derailment, 7/5/2023, Hajdúdhadház - Újfehértó</t>
  </si>
  <si>
    <t>Freight train derailed by 9 wagons</t>
  </si>
  <si>
    <t>PL-10418</t>
  </si>
  <si>
    <t>Infrastructure event, 8/5/2023, section Góra Włodowska - Zawiercie , km 212,400 line 4</t>
  </si>
  <si>
    <t xml:space="preserve">On 7 May 2023, at 00:01 hrs, track no. 2 of the Góra Włodowska - Zawiercie route was closed on a 24-hour basis for the purpose of modernisation of line no. 4 under an on-going project titled Modernisation of Railway Line No. 4 – Central Railway Line Stage II. On 08.05.2023, at around 07:00 hrs, the trackmaster in charge of the works arrived with workers by car to the site designated by the work organisation manager. The group was tasked with dismantling the rail attachments in closed track no. 2,  but commenced work on active track no. 1 instead. While the group was in the process of dismantling the rail attachments, train no. 14001 operated by the carrier PKP INTERCITY S.A. between Warszawa Wschodnia and Bohumin departed the Góra Włodowska station at 07:24 hrs. When at km 211.800 of the Góra Włodowska – Zawiercie route, the train driver noticed persons in high-visibility vests working on active track no. 1 on which his train was going. The train driver had been informed that the works would be carried out on track no. 2. When the train driver noticed the workers on the track on which he was going, he commenced emergency braking and at the same time gave the Rp1 "Attention" warning sound signal. The head of the train stopped at km 212.200, i.e. 200 m ahead of the working group, who were hastily leaving the trackway. </t>
  </si>
  <si>
    <t>Loss of the sense of direction by the trackmaster from the company carrying out the works, leading to the commencement of the dismantling of rail attachments in active track no. 1 instead of closed track no. 2.</t>
  </si>
  <si>
    <t xml:space="preserve">1) Organisation of work and designation of tasks to three groups ""disengaging" the track by an unauthorised employee, and the assignment by that employee of work to the trackmaster in the second group by instructing the latter by telephone on the kilometre at which the work should commence and the place of arrival, and by sending the so-called "map pin".
2) Before commencing the work, the trackmaster in charge of the second group of workers had not established the number of the plain track on the basis of the hectometre boards placed on catenary poles.
3) Absence of the work manager appointed in accordance with Interim Rules no. 8/2023 on traffic operation (...) at the location where the rails of the active track were disengaged.
4) Non-compliance by a further subcontractor with the provisions of agreement as regards the prohibition of commissioning work to further subcontractors, and admission of the company workers, without any knowledge or approval of the contracting entity and the main contractor, which had contributed to the lack of immediate supervision over them on the part of the investment supervision inspector.
5) Performance of railworks by workers without the Access Card permitting access to the area managed by PKP Polskie Linie Kolejowe S.A. in accordance with Instruction Id-21.
</t>
  </si>
  <si>
    <t>PL-10416</t>
  </si>
  <si>
    <t>Level crossing accident, 16/5/2023, section Komorów - Podkowa Leśna , km 18,805 line 47</t>
  </si>
  <si>
    <t>An occurrence at a Category D road-railway crossing (hereinafter referred to as "level crossing" in accordance with the Road Traffic Act) in which a Toyota Corolla passenger car entered the level crossing from its left side directly in front of the head of an oncoming train operated by carrier Warszawska Kolej Dojazdowa sp. z o. o. (hereinafter referred to as "WKD"), which caused a collision with the oncoming rail vehicle.</t>
  </si>
  <si>
    <t>Entry of the passenger car to the level crossing directly before passenger train no. 347 travelling from Warszawa Śródmieście WKD to Podkowa Leśna Główna on track no. 1.</t>
  </si>
  <si>
    <t>1) Failure to maintain special caution by the driver of the Toyota Corolla passenger car while approaching to and driving through the level crossing.
2) Failure of the Toyota Corolla passenger car to stop before the level crossing in connection with the "Stop" sign.
3) No reaction of the car driver to the "Caution" signal given by the driver of the train approaching the level crossing.
4) Hindered observation of the head of the train approaching the level crossing by the driver of the passenger car due to the location of apparatus cabinets in the vicinity of track no. 2 and the location of road signs at a road near track no. no 2 (F6-a board), which limited the visibility of the train head from the distance of 5 m from the outermost rail.</t>
  </si>
  <si>
    <t>RO-10411</t>
  </si>
  <si>
    <t>Trains collision, 17/5/2023, Toporu - Chiriacu</t>
  </si>
  <si>
    <t>Freight train no.79562 (light locomotive DA 1692) collided with freight train no.88342 (light locomotive DA 1566) between Toporu and Chiriacu railway stations.</t>
  </si>
  <si>
    <t>ES-10479</t>
  </si>
  <si>
    <t>Wrong-side signaling failure, 18/5/2023, Les Borges del Camp (Tarragona)</t>
  </si>
  <si>
    <t>National ID 43/2023: Signalling failure (line 210, kilometre 572).
Freight train #55115 (with dangerous goods) had an entry route set to track #1, at Les Borges del Camp station, where it was expected to stop. Entry signal was showing a yellow light (as expected), but (previous) advanced signal was showing a green light. This contradicted the operation rules for that station: the advanced signal should also show a yellow light, because distance for stopping is not enough. Had the train begin to brake at entry signal (as the lights ordered) it would have passed the station's exit signal (that was showing a red light). The train driver noticed this and triggered an emergency braking, avoiding the SPAD. Signals were checked and it was confirmed that advanced signal didn't comply with the operation rules. These station (and four others in the same line) had recently undergone a software updating, so it's suspected that this updating could have inadvertently changed the specific instructions for that signal, and this would had not been detected in the reviewing and implementation process.
The Spanish NIB decided to conduct a preliminary enquiry on what happened (07/06/2023). After the first findings, it was decided to open a full fledged investigation.</t>
  </si>
  <si>
    <t>Les Borges del Camp (Tarragona)</t>
  </si>
  <si>
    <t>DK-10419</t>
  </si>
  <si>
    <t>Accident to persons caused by RS in motion, 22/5/2023, Eskilstrup, 1 hsp. Km 137,40.</t>
  </si>
  <si>
    <t>Train hit a person</t>
  </si>
  <si>
    <t>Eskilstrup, 1 hsp. Km 137,40.</t>
  </si>
  <si>
    <t>Unauthorized movement in traks</t>
  </si>
  <si>
    <t>Movement in unknown territory</t>
  </si>
  <si>
    <t>SE-10415</t>
  </si>
  <si>
    <t>Train derailment, 27/5/2023, Blackvreten</t>
  </si>
  <si>
    <t>A-Train 7900 going from Stockholm to Arlanda Airport derailed with tre out of four wagons at Blackvreten at an approximate speed of 150 km/h. The train came to a stop after 900 meters. The end of the last wagon had then moved to the right, into the adjacent track. Two passengers recieved minor injuries.</t>
  </si>
  <si>
    <t>Blackvreten</t>
  </si>
  <si>
    <t>CZ-10414</t>
  </si>
  <si>
    <t xml:space="preserve">Level crossing accident, 28-05-23, open line between Krásná Lípa and Rumburk stations (Czech Republic) </t>
  </si>
  <si>
    <t>Collision of the regional passenger train No. 6660 with a car at the level crossing No. P3277.</t>
  </si>
  <si>
    <t>open line between Krásná Lípa and Rumburk stations, the level crossing No. P3277, km 89,133</t>
  </si>
  <si>
    <t>Article 20.2 of Directive (EU) 2016/798 – a)</t>
  </si>
  <si>
    <t>Causal factor:
• an unauthorized entrance of the car at the level crossing No. P3277 at the time when the regional passenger train No. 6660 was arriving, caused by behavior of the car driver, who did not respect the light and acoustic warning of the level crossing safety equipment and did not make sure whether she could safely pass the level crossing.
Contributing factor: none.</t>
  </si>
  <si>
    <t>CZ-10417</t>
  </si>
  <si>
    <t>Level crossing accident, 05-06-23, open line between Bystřice pod Hostýnem and Holešov stations (Czech Republic)</t>
  </si>
  <si>
    <t>Collision of the regional passenger train No. 3902 with the lorry at the level crossing No. P7263 with consequent derailment.</t>
  </si>
  <si>
    <t>open line between Bystřice pod Hostýnem and Holešov stations, the level crossing No. P7263, km 26,819.</t>
  </si>
  <si>
    <t>Causal factor:
• an unauthorized entrance of the lorry at the level crossing No. P7263 at the time when the train No. 3902 was arriving, caused by behavior of the driver of the lorry, who did not make sure whether he could safely pass the level crossing.
Contributing factor: none.</t>
  </si>
  <si>
    <t>RO-10420</t>
  </si>
  <si>
    <t>SPAD, 8/6/2023, Sighișoara</t>
  </si>
  <si>
    <t>The freight train no.66691-007 (got by the railway undertaking feroviar SC Grup Feroviar Român SA) with entry route to the deflecting section 5 (from Albești Târnava) overrun the exit signal X5 on stop position, it forced the switch no.26 and entered the entry route of the train no.57700-005 (got by the railway undertaking SC CER Fersped SA).</t>
  </si>
  <si>
    <t>Sighișoara</t>
  </si>
  <si>
    <t>CZ-10421</t>
  </si>
  <si>
    <t xml:space="preserve">Train derailment, 08-06-23, open line between Kolín and Kutná Hora hlavní nádraží stations (Czech Republic) </t>
  </si>
  <si>
    <t>Derailment of 2 rolling stocks of the freight train No. 53109</t>
  </si>
  <si>
    <t>open line between Kolín and Kutná Hora hlavní nádraží, line track No. 1, km 292,067</t>
  </si>
  <si>
    <t>FR-10430</t>
  </si>
  <si>
    <t>Level crossing accident, 19/6/2023, Clerjus</t>
  </si>
  <si>
    <t>Collision on a level crossing between a regional passenger train and a truck transporting a wind turbine tower</t>
  </si>
  <si>
    <t>Clerjus</t>
  </si>
  <si>
    <t>CZ-10424</t>
  </si>
  <si>
    <t xml:space="preserve">Level crossing accident, 21/6/2023,  between Liberec and Mníšek u Liberce stations </t>
  </si>
  <si>
    <t>Collision of the regional passenger train No. 6385 with a lorry at the level crossing No. P2819 between Liberec and Mníšek u Liberce stations</t>
  </si>
  <si>
    <t>Open line between Liberec and Mníšek u Liberce stations</t>
  </si>
  <si>
    <t>HR-10428</t>
  </si>
  <si>
    <t>Trains collision near miss, 22-06-2023 (station Susak Pecine) (Croatia)</t>
  </si>
  <si>
    <t>Station Sušak Pećine</t>
  </si>
  <si>
    <t>There was no material damage.</t>
  </si>
  <si>
    <t>FR-10425</t>
  </si>
  <si>
    <t>Operational event, 25/6/2023, Nuits</t>
  </si>
  <si>
    <t>Nearmiss of collision with a firefighter and
passagers on the tracks by trains</t>
  </si>
  <si>
    <t>Nuits</t>
  </si>
  <si>
    <t>CZ-10427</t>
  </si>
  <si>
    <t>SPAD, 6/7/2023, Ústí nad Labem hl. n.,</t>
  </si>
  <si>
    <t>Unauthorized movement (SPAD) of the freight train No. 55320 behind the signal device Lc205 and ride into train route for the oncoming long distance passenger train No. 677 at Ústí nad Labem hl. n., district north station</t>
  </si>
  <si>
    <t>Ústí nad Labem hl. n., district north station</t>
  </si>
  <si>
    <t>Total preliminary damage CZK/EUR 0,-</t>
  </si>
  <si>
    <t>HU-10426</t>
  </si>
  <si>
    <t>Train derailment, 9/7/2023, Kétpó</t>
  </si>
  <si>
    <t>9 wagons of the freight train deralied.</t>
  </si>
  <si>
    <t>Kétpó</t>
  </si>
  <si>
    <t>GYSEV Cargo Zrt.</t>
  </si>
  <si>
    <t>2 km track and 9 freight waggons destroyed</t>
  </si>
  <si>
    <t>CZ-10429</t>
  </si>
  <si>
    <t>Level crossing accident, 10/7/2023, Božice u Znojma station</t>
  </si>
  <si>
    <t>Božice u Znojma station</t>
  </si>
  <si>
    <t>BE-10439</t>
  </si>
  <si>
    <t>Electric shock, 10/7/2023, Quévy</t>
  </si>
  <si>
    <t>Death by electrocution of a pruner working on private land near the tracks</t>
  </si>
  <si>
    <t>Quévy</t>
  </si>
  <si>
    <t>BE-10440</t>
  </si>
  <si>
    <t>Trains collision near miss, 11/7/2023, Denderleeuw</t>
  </si>
  <si>
    <t>A passenger train with 30 passengers on board nearly collided with another (empty) passenger train that derailed 10 minutes earlier on an adjacent dead-end railway track while executing a shunting operation</t>
  </si>
  <si>
    <t>Denderleeuw</t>
  </si>
  <si>
    <t>Damage to the railway infrastructure (buffer and ballast bed at the end of the dead-end track as well as the rails on which the buffer is mounted), damage to rolling stock (automatic coupling, bogie, compressor module, bodywork, footboard, crash module)</t>
  </si>
  <si>
    <t>HU-10436</t>
  </si>
  <si>
    <t>Fire in rolling stock,17/07/2023, Hodász station</t>
  </si>
  <si>
    <t>In the rear power car of passenger train 6314 - running from Debrecen to Fehérgyarmat - the expansion tank of the cooling system blew up at Hodász station. The hot coolant and steam leaving the tank caused severe injuries to 1 passenger and light injuries to 5.</t>
  </si>
  <si>
    <t>Railway line no. 110, Hodász station</t>
  </si>
  <si>
    <t>Expansion tank of the cooling system on power car no. 95 55 0117 194-1 blew up.</t>
  </si>
  <si>
    <t>CZ-10431</t>
  </si>
  <si>
    <t xml:space="preserve">Trains collision, 18-07-23, testing railway Železniční zkušební okruh Cerhenice (Czech Republic) </t>
  </si>
  <si>
    <t>Collision of the shunting operation with detached rolling stocks and consequent derailment.</t>
  </si>
  <si>
    <t>testing railway Železniční zkušební okruh Cerhenice, track No. 3, km 0,184</t>
  </si>
  <si>
    <t>Shunting operation, detached rolling stocks</t>
  </si>
  <si>
    <t>Výzkumný Ústav Železniční, a.s.</t>
  </si>
  <si>
    <t>CZK 80 400 000,- (€ 3 375 315,-); Rolling stocks, infrastructure</t>
  </si>
  <si>
    <t>BG-10433</t>
  </si>
  <si>
    <t>Fire occurred in locomotive of passenger train No 80132 in Yambol station on 20.07.2023</t>
  </si>
  <si>
    <t>Fire occurred in a locomotive in station</t>
  </si>
  <si>
    <t>Yambol station</t>
  </si>
  <si>
    <t>BDZ Passenger Services EOOD</t>
  </si>
  <si>
    <t>RRS, locomotive</t>
  </si>
  <si>
    <t>broken valves of the second air compressor</t>
  </si>
  <si>
    <t>failures in the compressor and an increase in temperature during operation in the area of the power unit of the compressor</t>
  </si>
  <si>
    <t>RO-10432</t>
  </si>
  <si>
    <t>Train derailment, 1/8/2023, Roșiori Nord - Atârnați</t>
  </si>
  <si>
    <t>The multifunctional railroad equiment type FST 3500 Colmar no. 6698 which ran as train no. 96212 derailed between Roșiori Nord and Atârnați railway stations.</t>
  </si>
  <si>
    <t>Roșiori Nord - Atârnați</t>
  </si>
  <si>
    <t xml:space="preserve">On the multifunctional railroad equiment type FST 3500 Colmar no. 6698, damage at first axle in the running direction.
The line was slightly damaged (four concrete sleepers). </t>
  </si>
  <si>
    <t>CZ-10434</t>
  </si>
  <si>
    <t>SPAD, 04/08/2023, at Dluhonice overtaking station</t>
  </si>
  <si>
    <t>Unauthorized movement (SPAD) of the freight train No. 61010 behind the signal device L4 and ride into train route for the freight train No. 53446 at Dluhonice overtaking station</t>
  </si>
  <si>
    <t xml:space="preserve"> Dluhonice overtaking station</t>
  </si>
  <si>
    <t>RO-10435</t>
  </si>
  <si>
    <t>Fire in RS, 5/8/2023, Dumbrăveni</t>
  </si>
  <si>
    <t xml:space="preserve">A fire brust out into hauling locomotive BB 528 of the freight train no.58808 in Dumbrăveni railway station. </t>
  </si>
  <si>
    <t>Dumbrăveni</t>
  </si>
  <si>
    <t xml:space="preserve">The locomotive BB 528 was affected (mainly the central unit of ventilation control devices). </t>
  </si>
  <si>
    <t>SE-10437</t>
  </si>
  <si>
    <t>Train derailment, 07/08/2023, Iggesund - Hudiksvall</t>
  </si>
  <si>
    <t>An SJ train derailed on the Iggesund - Hudiksvall route with two out of four wagons. The derailment caused damages to the railway infrastructure and the railway vehicles. A few passengers suffered minor injuries. At the site, the embankment had been heavily damaged due to heavy rain.</t>
  </si>
  <si>
    <t>Iggesund - Hudiksvall</t>
  </si>
  <si>
    <t>Minor damage on vehicles, minor damage on infrastructre due to the derailment.</t>
  </si>
  <si>
    <t>RO-10438</t>
  </si>
  <si>
    <t>Train derailment, 9/8/2023, Cătușa</t>
  </si>
  <si>
    <t>Two wagons (first and second) from the composition of the freight train no.77546 derailed in open line in Catusa railway station (broad gauge line).</t>
  </si>
  <si>
    <t>Cătușa</t>
  </si>
  <si>
    <t>LIBERTY GALAȚI SA</t>
  </si>
  <si>
    <t xml:space="preserve">Damage to the second bogie, in the running direction, of the wagon no.61803136 (first in composition of the train) and to the  first bogie, in the running direction, of the wagon no.63121826 (second in composition of the train).
The line was damaged for about 8 meters. </t>
  </si>
  <si>
    <t>CH-10442</t>
  </si>
  <si>
    <t>Train derailment, 10/8/2023, Gottard base tunnel, Faido (TI)</t>
  </si>
  <si>
    <t>In the Gotthard base tunnel, in the area of the multifunction station
Faido, sixteen out of thirty freight wagons of a northbound freight train derailed.</t>
  </si>
  <si>
    <t>Gottard base tunnel, Faido (TI)</t>
  </si>
  <si>
    <t>SBB Cargo</t>
  </si>
  <si>
    <t>SBB Infrastructure</t>
  </si>
  <si>
    <t>2 Locomotive and 30 freight wagons (Damage: 16 out of 30 wagons)</t>
  </si>
  <si>
    <t>HU-10441</t>
  </si>
  <si>
    <t>Train derailment, 14/8/2023, Jánoshegy - Szépjuhászné</t>
  </si>
  <si>
    <t>The first wagon of passenger train no. 30123 derailed in a curve between Jánoshegy and Szépjuhászné station on the line of Children's Railway Budapest. No one was injured.</t>
  </si>
  <si>
    <t>Jánoshegy - Szépjuhászné (line km, 4.9)</t>
  </si>
  <si>
    <t>The track was damaged on ca. 30 metres.</t>
  </si>
  <si>
    <t>Other national rules/regulations (covering possible areas excluded in Art 2 §2 -(c))</t>
  </si>
  <si>
    <t>DK-10465</t>
  </si>
  <si>
    <t>Level crossing accident, 17/8/2023, Aarhus, Tueager</t>
  </si>
  <si>
    <t>Cyclist hit by light train</t>
  </si>
  <si>
    <t>Aarhus, Tueager</t>
  </si>
  <si>
    <t>Front end glass damage</t>
  </si>
  <si>
    <t>RO-10445</t>
  </si>
  <si>
    <t xml:space="preserve">Fire in RS, 23/8/2023, Târnăveni Vest - Jidvei </t>
  </si>
  <si>
    <t xml:space="preserve">A fire brust out into AMX 525 automotor who running in the composition of passenger train no.11316, between Târnăveni Vest and Jidvei railway stations. </t>
  </si>
  <si>
    <t xml:space="preserve">Târnăveni Vest - Jidvei </t>
  </si>
  <si>
    <t xml:space="preserve">The AMX 525 automotor was affected (the driving cab I, the apparatus block, the cooling installation, battery packs, seats and upper ceiling of the compartment). </t>
  </si>
  <si>
    <t>PL-10444</t>
  </si>
  <si>
    <t>Trains collision, 24/8/2023, station Skierniewice</t>
  </si>
  <si>
    <t>On 24.08.2023 at 12:05 during the entry of train No. 524009 (PKP Cargo S.A.) Nidzica - Sitkówka Nowiny, driven by locomotive ET41-121 (section B)  from track No. 2 (left) of the Radziwiłłów Maz. - Skierniewice on track no. 3 of Skierniewice station on the signal permitting the semaphore J2, there was a side collision at the junction crossing no. 11/13 (the beginning of the derailment at km 64.282, jumping over the left wheel of locomotive ET41-121 through the right spire Rz no. 13 - km 64.336) with train no. 93965 ("Koleje Mazowieckie - KM" Sp. z o.o.) Warszawa Wschodnia - Skierniewice, run EZT ER160-22 , coming from track No. 1 of the Radziwiłłów Maz. - Skierniewice, which omitted the J1 semaphore indicating the S1 signal. The front of train 524009 stopped at km 64.306 and the front of train 93965 at km 64.374. As a result of the accident, the first part of the ET41-121 locomotive was derailed with all bogies and the second part of this locomotive, with one bogie. The derailment tilted to the left, looking in the direction of travel, violating track gauge 2. The locomotive components were partially uncoupled. The second section of this locomotive was coupled by a screw coupling and air hoses to the train. As a result of the rupture of the switch of junction no. 13, the L826H type switch drive was damaged.</t>
  </si>
  <si>
    <t>station Skierniewice</t>
  </si>
  <si>
    <t>Koleje Mazowieckie Ltd and PKP CARGO S.A.</t>
  </si>
  <si>
    <t>demages of electric locoomotive ET41-121 (PKP Cargo) and a traction unit ER160-23 (Koleje Mazowiwckie)</t>
  </si>
  <si>
    <t>HU-10443</t>
  </si>
  <si>
    <t>Train derailment, 28/8/2023, Eplény</t>
  </si>
  <si>
    <t>The engine of passenger train derail by 1 axle.</t>
  </si>
  <si>
    <t>Eplény</t>
  </si>
  <si>
    <t>IT-10446</t>
  </si>
  <si>
    <t>Accident to persons caused by RS in motion, 30/8/2023, Brandizzo</t>
  </si>
  <si>
    <t xml:space="preserve">investment of workers on line by train no.14950, Turin - Milan line </t>
  </si>
  <si>
    <t>Brandizzo</t>
  </si>
  <si>
    <t>no damage to infrastructure and rolling stock</t>
  </si>
  <si>
    <t>RO-10447</t>
  </si>
  <si>
    <t>Fire in RS, 1/9/2023, Leș Bihor - Oradea Vest</t>
  </si>
  <si>
    <t xml:space="preserve">A fire brust out into the diesel unit no.95539781008-1 who running as second unit in the composition of passenger train no.3111 , between Leș Bihor and Oradea Vest railway stations. </t>
  </si>
  <si>
    <t>Leș Bihor - Oradea Vest</t>
  </si>
  <si>
    <t xml:space="preserve">The diesel unit no. 95539781008-1 and no.95539781009-9 was completely burned. </t>
  </si>
  <si>
    <t>DK-10467</t>
  </si>
  <si>
    <t>Other, 6/9/2023,Vigerslev</t>
  </si>
  <si>
    <t>3 track workers almost hit by train</t>
  </si>
  <si>
    <t>Vigerslev</t>
  </si>
  <si>
    <t>DK-10449</t>
  </si>
  <si>
    <t>Broken wheels, 9/9/2023, Nyborg</t>
  </si>
  <si>
    <t>Broken wheel on passengertrain while in service</t>
  </si>
  <si>
    <t>Nyborg</t>
  </si>
  <si>
    <t>Whheel, axle, bogie and wagon (vibrations)</t>
  </si>
  <si>
    <t>RO-10448</t>
  </si>
  <si>
    <t>Train derailment, 10/9/2023, Capu Midia</t>
  </si>
  <si>
    <t>Hauling locomotive DA 216 of the freight train no.67055010 derailed in Capu Midia railway station.</t>
  </si>
  <si>
    <t>SC „Grup feroviar Român” SA</t>
  </si>
  <si>
    <t xml:space="preserve">Damage to first and second axle in the running direction from the locomotive DA 216.                                                                                           The line was damaged for about 25 meters.                                                                                </t>
  </si>
  <si>
    <t>DK-10466</t>
  </si>
  <si>
    <t>Accident to persons caused by RS in motion, 10/9/2023, Holmstrup, Person fald at tog 70171</t>
  </si>
  <si>
    <t>Person climbed on to train on outside, fell off at high speed</t>
  </si>
  <si>
    <t>Holmstrup, Person fald at tog 70171</t>
  </si>
  <si>
    <t>DE-10500</t>
  </si>
  <si>
    <t>Train derailment, 10/9/2023, Geseke</t>
  </si>
  <si>
    <t>Am 10.09.2023 gegen 15:28 Uhr entgleiste die Sperrfahrt 59759 auf der Fahrt von der Anst Dyckerhoff nach Bf Geseke mit dem Triebfahrzeug und 14 Wagen.</t>
  </si>
  <si>
    <t>Geseke</t>
  </si>
  <si>
    <t>Eisenbahngesellschaft Potsdam EGP</t>
  </si>
  <si>
    <t>Freight train derailed, locomotive and number of waggons nearly destroyed, heavy damages at infrastructure.</t>
  </si>
  <si>
    <t>NO-10452</t>
  </si>
  <si>
    <t>Trains collision near miss, 11/9/2023, between Bolna and Dunderland on the Nordlandsbanen line</t>
  </si>
  <si>
    <t>Investigation of a serious rail incident between Dunderland and Bolna 
In connection with the completion of work in the track for Bane NOR SF on Nordlandsbanen on 11 September 2023, the section was declared ready for traffic before all track workers were out of the area. Under slightly different circumstances, this could have turned into a serious accident. 
Work with rockfall protection, drainage and ballast distribution was carried out between Dunderland and Bolna. Track worker groups from different companies worked on different locations on the same line section. When the train service was resumed, there were still personnel with a road-rail machine in the track. They left the track shortly before a freight train was passing.</t>
  </si>
  <si>
    <t>between Bolna and Dunderland on the Nordlandsbanen line</t>
  </si>
  <si>
    <t>CargoNET AS</t>
  </si>
  <si>
    <t>None, near miss</t>
  </si>
  <si>
    <t>CZ-10450</t>
  </si>
  <si>
    <t>Regional passenger train;
Freight train</t>
  </si>
  <si>
    <t>SK-10476</t>
  </si>
  <si>
    <t>Accident to persons caused by RS in motion, 17/9/2023, between Martin - Vrútky</t>
  </si>
  <si>
    <t>NIB  SK</t>
  </si>
  <si>
    <t>between Martin - Vrútky</t>
  </si>
  <si>
    <t>unauthorized movement of a person on the track</t>
  </si>
  <si>
    <t>FI-10451</t>
  </si>
  <si>
    <t>Trains collision, 20/9/2023, Tampere Viinikka marshalling yard, Helsinki-Tampere section of line (line number 01274), km 186+253</t>
  </si>
  <si>
    <t>Two freight trains operated vy VR Group Ltd collided at switch V803 at the north end of Tampere Viinikka marshalling yard. Train T3229 had just left from marshalling yard towards Parkano when train T3321 that was mowing backwards collided with it's 4th last wagon.</t>
  </si>
  <si>
    <t>6 timber wagons heavily damaged, track damaged.</t>
  </si>
  <si>
    <t>DK-10453</t>
  </si>
  <si>
    <t>Train hit a person, 24/09/2023, Køge</t>
  </si>
  <si>
    <t>Køge</t>
  </si>
  <si>
    <t>HR-10458</t>
  </si>
  <si>
    <t>Accident, 27-09-2023 (between stations Zagreb Zitnjak-Velika Gorica) (Croatia)</t>
  </si>
  <si>
    <t>On September 27, 2023, at 08:05 a.m., on the line M407 at KM 013+764, between stations Zagreb Zitnjak and Velika Gorica, locomotive train number 89135 struck and injured a worker. The worker was working on the road overpass recovery that passes over the railway line. There was no material damage to the railway vehicle or railway infrastructure.</t>
  </si>
  <si>
    <t>Between stations Zagreb Zitnjak-Velika Gorica</t>
  </si>
  <si>
    <t xml:space="preserve">Log Rail d.o.o. </t>
  </si>
  <si>
    <t>AT-10504</t>
  </si>
  <si>
    <t>Train derailment, 29/9/2023, Wels Vbf-Einfahrgruppe</t>
  </si>
  <si>
    <t>The train 44971 derailed on switch 511 because of an unknown reason.</t>
  </si>
  <si>
    <t>Wels Vbf-Einfahrgruppe</t>
  </si>
  <si>
    <t>IM 2.000.000,- €; Rail Cargo Austria AG 700.000,- €; Inviroment currently unknown</t>
  </si>
  <si>
    <t>RO-10454</t>
  </si>
  <si>
    <t>Train derailment, 3/10/2023, Augustin - Racoș</t>
  </si>
  <si>
    <t>One wagon (the 23rd) from the composition of the freight train no.66633 derailed between Augustin and Racoș railway stations.</t>
  </si>
  <si>
    <t>Augustin - Racoș</t>
  </si>
  <si>
    <t xml:space="preserve">Damage to both bogies of the wagon no.88537980117-2.
The line was damaged for about 3775 meters. </t>
  </si>
  <si>
    <t>CZ-10455</t>
  </si>
  <si>
    <t>Accident to persons caused by RS in motion, 3/10/2023, open line between Bělčice and Blatná stations</t>
  </si>
  <si>
    <t>Collision of the set train No. 98034 with the workers (the employees of the infrastructure manager) between Bělčice and Blatná stations</t>
  </si>
  <si>
    <t>open line between Bělčice and Blatná stations</t>
  </si>
  <si>
    <t>PL-10456</t>
  </si>
  <si>
    <t>Trains collision, 5/10/2023, station Gdynia Główna</t>
  </si>
  <si>
    <t>On 05.10.2023 at about 6:59 a.m., at the Gdynia Główna station, during the departure of the passenger train ROJ No. 50673 (EN57-1248, EN57-1250 of the carrier POLREGIO S. A., on the Malbork - Gdynia Chylonia route) from track No. 4, on the established route route, on the signal allowing on the exit semaphore K44t in the direction of the route No. 1, to the Gdynia Chylonia station, the Tm30 manoeuvring semaphore transmitting the signal Ms1 "Shunting prohibited" was omitted,  by a manoeuvring train SA138-004 (of POLREGIO S.A.), travelling from track No. 404 to track No. 21 (along an established route, the end of which was Tm30). Then the switch No. 64 was ripped open, the entrance to the one secured for the train. 50673 route, resulting in a head-on collision of railway vehicles in junction 61/45</t>
  </si>
  <si>
    <t>station Gdynia Główna</t>
  </si>
  <si>
    <t>POLREGIO SA and POLREGIO SA</t>
  </si>
  <si>
    <t>demages of EN57 electric traction unit and SA138 diesiel traction unit</t>
  </si>
  <si>
    <t>HU-10459</t>
  </si>
  <si>
    <t>Train derailment at Hegyeshalom on 05/10/2023</t>
  </si>
  <si>
    <t>The 8th wagon of freigth train no. 42338 derailed at Hegyeshalom station.
No one was injured.</t>
  </si>
  <si>
    <t>GYSEV CARGO Zrt.</t>
  </si>
  <si>
    <t>Wagon damage and track damage to a minimal extent.</t>
  </si>
  <si>
    <t>CZ-10457</t>
  </si>
  <si>
    <t>Accident to persons caused by RS in motion, 06-10-23, Brno-Židenice junction point (Czech Republic)</t>
  </si>
  <si>
    <t>Collision of the freigt train No. 82720 with a person (external worker who worked at open line).</t>
  </si>
  <si>
    <t>Brno-Židenice junction point, km 158,353</t>
  </si>
  <si>
    <t>NO-10460</t>
  </si>
  <si>
    <t>Train derailment, 16/10/2023, Åneby station</t>
  </si>
  <si>
    <t>Monday 16. October 2023 at 2100, train 251 derailed on the approach to Åneby station. There were no injuries, but the damage to the Flirt EMU, track and a new point was extensive. Shortly before the derailment, point 1 had been replaced with a new one. Some work remained to complete the works. The derailment occurred at the interface between the new point and the existing track  towards Nittedal.</t>
  </si>
  <si>
    <t>Åneby station Gjøvikbanen</t>
  </si>
  <si>
    <t>Vy Gjøvikbanen AS</t>
  </si>
  <si>
    <t>Damages to infrastructure and EMU</t>
  </si>
  <si>
    <t>CZ-10462</t>
  </si>
  <si>
    <t xml:space="preserve">Other, 16-10-23, between  	
Moravský Písek and Nedakonice stations (Czech Republic) </t>
  </si>
  <si>
    <t>Getting stuck of a passenger in train door of the regional passenger train No. 4219 with consequent fall down and collision with the freight train No. 45066 between  	
Moravský Písek and Nedakonice stations</t>
  </si>
  <si>
    <t>Open line between Moravský Písek and Nedakonice stations</t>
  </si>
  <si>
    <t>České dráhy, a. s.; Rail Cargo Carrier - Czech Republic, s.r.o.</t>
  </si>
  <si>
    <t>CZ-10461</t>
  </si>
  <si>
    <t xml:space="preserve">Level crossing accident, 17-10-23, Olomouc hl. n. station (Czech Republic) </t>
  </si>
  <si>
    <t>Collision of the regional passenger train No. 3542 with a lorry with consequent derailment and fire of the rolling stock, lorry and a car which it stood in front of the level crossing from opposite way.</t>
  </si>
  <si>
    <t>Olomouc hl. n. station, the level crossing No. P7519, km 0,580</t>
  </si>
  <si>
    <t>CZK 35 720 000,- (€ 1 451 737,-); Rolling stocks, infrastructure, other</t>
  </si>
  <si>
    <t>CZ-10463</t>
  </si>
  <si>
    <t>Trains collision, 19-10-23, Plzeň, the area behind the crossroad of Karlovarská and Bolevecká streets (Czech Republic)</t>
  </si>
  <si>
    <t>Collision of the tram No. 4 course 6 with the tram No. 1 course 7 in Plzeň, at Klatovská street</t>
  </si>
  <si>
    <t>Plzeň, the area behind the crossroad of Karlovarská and Bolevecká
streets</t>
  </si>
  <si>
    <t>Plzeňské městské dopravní podniky, a. s.</t>
  </si>
  <si>
    <t>18 passengers and 1 staff slightly injured.  Damage: CZK 1 363 771,- (€ 55 292,-); Rolling stocks, other</t>
  </si>
  <si>
    <t>Causal factor:
•failure to comply the conditions of running at sight at movement of the tram rolling stocks at mutual distance by the tram driver of the tram No. 4 course 6.
Contributing factor: none.</t>
  </si>
  <si>
    <t>RO-10468</t>
  </si>
  <si>
    <t>Train derailment, 24/10/2023, Costești - Miroși</t>
  </si>
  <si>
    <t>One wagon (the 13rd) from the composition of the freight train no.66764 derailed between Costești and Miroși railway stations.</t>
  </si>
  <si>
    <t>Costești - Miroși</t>
  </si>
  <si>
    <t xml:space="preserve">Damage to both bogies of the wagon no.33539339897-9.
The line was damaged for about 11500 meters. </t>
  </si>
  <si>
    <t>BE-10471</t>
  </si>
  <si>
    <t>Accident to persons caused by RS in motion, 27/10/2023, Bleret</t>
  </si>
  <si>
    <t>Rail worker hit by a passenger train</t>
  </si>
  <si>
    <t>Bleret</t>
  </si>
  <si>
    <t>Minor damages to the locomotive.
Train delays.</t>
  </si>
  <si>
    <t>RO-10469</t>
  </si>
  <si>
    <t>Fire in RS, 4/11/2023, Periam - Zădăreni</t>
  </si>
  <si>
    <t xml:space="preserve">A fire brust out into the diesel unit no.95539970533-9 who running as passenger train no.11160, between Periam and Zădăreni railway stations. </t>
  </si>
  <si>
    <t>Periam - Zădăreni</t>
  </si>
  <si>
    <t>SC Regio Călători SRL</t>
  </si>
  <si>
    <t>SC RC-CF Trans SRL</t>
  </si>
  <si>
    <t xml:space="preserve">At diesel unit no.95539970533 – 9, the engine control wiring, the diesel supply pipes, the diesel filter cartridges, the engine control computer, the hose from the engine purifier and the floors of the inspection cover were damaged. </t>
  </si>
  <si>
    <t>RO-10470</t>
  </si>
  <si>
    <t>Train derailment, 5/11/2022, Drăgotești - Borăscu</t>
  </si>
  <si>
    <t>8 wagons (from 1st to 8th) from the composition of the freight train no.65004 derailed between Drăgotești and Borăscu railway stations. Of the 8 derailed wagons, 2 wagons overturned.</t>
  </si>
  <si>
    <t>Drăgotești - Borăscu</t>
  </si>
  <si>
    <t xml:space="preserve">Damage to the wagons no.81536550268-1, 31536652674-3, 31536656363-5, 81536653314-0, 82536650384-5, 31536654925-3, 81536651835-6 and 81536650587-4 .
The line was damaged for about 120 meters. </t>
  </si>
  <si>
    <t>BG-10472</t>
  </si>
  <si>
    <t>Accident to persons caused by RS in motion, 7/11/2023, Voluyak railway line split post 4 Iliyantsi station, Bulgaria</t>
  </si>
  <si>
    <t>Run over of two employees (workers at railway section Sofia) of SE NRIC during work. Two persons ran over by shunting locomotive 9852205122-7 along Voluyak railway line split post 4 Iliyantsi station</t>
  </si>
  <si>
    <t>2 fatalities (employees of SE NRIC)</t>
  </si>
  <si>
    <t>CZ-10473</t>
  </si>
  <si>
    <t>Level crossing accident, 09-11-23, Pelhřimov station (Czech Republic)</t>
  </si>
  <si>
    <t>Collision of the regional passenger train No. 18404 with a lorry with consequent derailment.</t>
  </si>
  <si>
    <t>Pelhřimov station, the level crossing No. P6353, km 18,441</t>
  </si>
  <si>
    <t>CZK 2 700 000,- (€ 109 957,-); Rolling stock, infrastructure, other</t>
  </si>
  <si>
    <t>RO-10474</t>
  </si>
  <si>
    <t>Train derailment, 14/11/2023, Aradu Nou</t>
  </si>
  <si>
    <t>6 wagons (from 3rd to 8th) from the composition of the freight train no. 66653013 derailed in Aradu Nou railway station. Of the 6 derailed wagons, 2 wagons overturned.</t>
  </si>
  <si>
    <t>Aradu Nou</t>
  </si>
  <si>
    <t xml:space="preserve">Damage to the wagons no.33537868363-5 , 33537963637-6 , 83537963112-9, 83537951286-5,84537850299-9 and 33537849018-9.
The line was damaged for about 90 meters. </t>
  </si>
  <si>
    <t>HR-10477</t>
  </si>
  <si>
    <t>Train derailment, 14-11-2023 (station Zagreb Ranzirni) (Croatia)</t>
  </si>
  <si>
    <t>On November 14, 2023, at 09:50 a.m., on the line M402 at KM 003+422, at station Zagreb Ranzirni, 3 last wagons of the freight train number 81214 deralied. The train number 81214 was consisting of 31 loaded wagons of the Uagpps series. No one was injured in the accident, while there was more material damage to the railway vehicles and infrastructure.</t>
  </si>
  <si>
    <t>Station Zagreb Ranzirni</t>
  </si>
  <si>
    <t>Rail Cargo Carrier-Croatia d.o.o.</t>
  </si>
  <si>
    <t>There was more material damage to the railway vehicles and infrastructure.</t>
  </si>
  <si>
    <t>HU-10475</t>
  </si>
  <si>
    <t>Notification of trains collision at Sáp at 15/11/2023</t>
  </si>
  <si>
    <t>Freigth train no. 47847-2 passed the entry signal of Sáp station at danger and with ca. 60 km/h crashed into the stationary passenger train no. 6419.
3 people suffered severe ijuries and 2 people severed light injuries.</t>
  </si>
  <si>
    <t>Sáp</t>
  </si>
  <si>
    <t>MMV Zrt. (freight train), MÁV-START Zrt. (reg.pass.train)</t>
  </si>
  <si>
    <t>Both engines, wagons and track damaged.</t>
  </si>
  <si>
    <t>DE-10502</t>
  </si>
  <si>
    <t>Trains collision, 15/11/2023, Lauenbrück</t>
  </si>
  <si>
    <t>Am 15.11.2023 gegen 16:17 Uhr kollidierte der ICE 615 auf der Fahrt von Hamburg nach Stuttgart im Bf Lauenbrück mit Zug DBZ 24259 auf der Weiche 229.</t>
  </si>
  <si>
    <t>Lauenbrück</t>
  </si>
  <si>
    <t>Bentheimer Eisenbahn AG, DB Fernverkehr AG</t>
  </si>
  <si>
    <t>Long distance passenger train havily damaged,  regional train (at non-service operation) lightly damaged, any person injured.</t>
  </si>
  <si>
    <t>DE-10503</t>
  </si>
  <si>
    <t>Trains collision, 17/11/2023, Reichertshausen (Ilm)</t>
  </si>
  <si>
    <t>Am 17.11.2023 gegen 14:10 Uhr kollidierte der Personenzug ICE 703 auf der Fahrt von Hamburg Altona nach München Hbf im km 43,73 im Bereich der Weiche 405 des Bf Rei-chertshausen (Ilm) mit dem Personenzug RB 59139.</t>
  </si>
  <si>
    <t>Reichertshausen (Ilm)</t>
  </si>
  <si>
    <t>DB Regio AG, DB Fernverkehr AG</t>
  </si>
  <si>
    <t>Light damages at the 2 train heads, 4 staff and 3 passengers slightly injured.</t>
  </si>
  <si>
    <t>IT-10491</t>
  </si>
  <si>
    <t>Runaway, 22/11/2023, Domodossola</t>
  </si>
  <si>
    <t>runaway of freight train no.63437, without driver, 
by Preglia to Domodossola</t>
  </si>
  <si>
    <t>Domodossola</t>
  </si>
  <si>
    <t>DK-10507</t>
  </si>
  <si>
    <t>Accident to persons caused by RS in motion, 25/11/2023, Between København H. and Hvidovre Fjern, Line 1</t>
  </si>
  <si>
    <t>Unauthorized person hit by passing train</t>
  </si>
  <si>
    <t>Between København H. and Hvidovre Fjern, Line 1</t>
  </si>
  <si>
    <t>None described</t>
  </si>
  <si>
    <t>RO-10478</t>
  </si>
  <si>
    <t>Train derailment, 27/11/2023, Trușești - Todireni</t>
  </si>
  <si>
    <t>One wagon (the 11th) from the composition of the freight train no.66952027 derailed between Trușești and Todireni railway stations.</t>
  </si>
  <si>
    <t>Trușești - Todireni</t>
  </si>
  <si>
    <t>SC „RC-CF Trans” SRL</t>
  </si>
  <si>
    <t xml:space="preserve">Damage at first bogie in the running direction from the wagon no.83536651666-3.
The line was damaged for about 1400 meters. </t>
  </si>
  <si>
    <t>IT-10481</t>
  </si>
  <si>
    <t>Level crossing accident, 28/11/2023, Thurio, Sibari (Cosenza)</t>
  </si>
  <si>
    <t>Collision between train n. 5677 and truck at level crossing km 128+123, at Thurio, Sibari-Roccella line</t>
  </si>
  <si>
    <t>Thurio, Sibari (Cosenza)</t>
  </si>
  <si>
    <t>rolling stock destroyed by fire caused by collision with the truck</t>
  </si>
  <si>
    <t>RO-10483</t>
  </si>
  <si>
    <t>Train derailment, 28/11/2023, Voșlăbeni - Izvoru Mureșului</t>
  </si>
  <si>
    <t>Hauling locomotive EA 146 of the freight train no.66394 derailed between Voșlăbeni and Izvoru Mureșului railway stations.</t>
  </si>
  <si>
    <t>Voșlăbeni - Izvoru Mureșului</t>
  </si>
  <si>
    <t xml:space="preserve">Damage to first axle in the running direction from the locomotive EA 146.                                                                                           The line was damaged for about 105 meters.                                                                                </t>
  </si>
  <si>
    <t>FI-10480</t>
  </si>
  <si>
    <t>Train derailment, 30/11/2023, Tampere station, switch V171, Tampere - Seinäjoki section of line (line number 1303, km 188+44)</t>
  </si>
  <si>
    <t>Derailment of a freight train T7121 (Dr18 diesel-electric locomotive and 22 unloaded timber wagons) at switch V171, 1km north from Tampere station.</t>
  </si>
  <si>
    <t>Tampere station, switch V171, Tampere - Seinäjoki section of line (line number 1303, km 188+44)</t>
  </si>
  <si>
    <t>Fenniarail Ltd</t>
  </si>
  <si>
    <t>Finnish Transport Infrastructure Agency</t>
  </si>
  <si>
    <t>Undercarriage of locomotive heavily damaged, severe damage to track.</t>
  </si>
  <si>
    <t>LV-10482</t>
  </si>
  <si>
    <t>Accident to persons caused by RS in motion, 30/11/2023,  railway station Lielvārde</t>
  </si>
  <si>
    <t>on November 30, 2023 at On 10.14, an employee of the State Joint Stock Company "Latvijas dzelzceļš" Rail Administration was fatally injured by a diesel train of A/S "Pasažieru vilciens" at the Lielvārde railway station.</t>
  </si>
  <si>
    <t xml:space="preserve"> railway station Lielvārde</t>
  </si>
  <si>
    <t>Stock company “Pasažieru vilciens”</t>
  </si>
  <si>
    <t>State Stock company “Latvijas dzelzceļš”</t>
  </si>
  <si>
    <t>to be calculated</t>
  </si>
  <si>
    <t>RO-10484</t>
  </si>
  <si>
    <t>Train derailment, 1/12/2023, Capu Midia</t>
  </si>
  <si>
    <t>Three wagon (the 28th, the 29th and the 30th) from the composition of the freight train no.66602030 derailed in Capu Midia railway station.</t>
  </si>
  <si>
    <t xml:space="preserve">Damage at the running gear from the wagons no.84537850196-7, 88537960535-9 and 31537912335-1.
The line was damaged for about 30 meters, including the switch no.13. </t>
  </si>
  <si>
    <t>BG-10485</t>
  </si>
  <si>
    <t>Fire in locomotive serviced IFT No 464 along the interstation Zmeiovo-Tulovo, 1/12/2023</t>
  </si>
  <si>
    <t>Fire in an engine compartment of electric locomotive occurred during motion</t>
  </si>
  <si>
    <t>Zmeiovo-Tulovo interstation</t>
  </si>
  <si>
    <t>damages to the locomotive, damages to the railway infrastructure</t>
  </si>
  <si>
    <t>temperature overheating of the power unit 221, feeding the motor-compressor 235</t>
  </si>
  <si>
    <t>DE-10501</t>
  </si>
  <si>
    <t>Trains collision, 1/12/2023, Leipzig-Schönefeld</t>
  </si>
  <si>
    <t xml:space="preserve">Am 01.12.2023 gegen 11:40 Uhr kollidierte der einfahrende Zug DGS 95139 (SETG) in Höhe des Signals P mit dem stehenden Tfz für Zugfahrt 82962 (DB Systemtechnik). </t>
  </si>
  <si>
    <t>Leipzig-Schönefeld</t>
  </si>
  <si>
    <t>SETG, DB Systemtechnik</t>
  </si>
  <si>
    <t>2 locomotives damaged, 4 staff slightly injured</t>
  </si>
  <si>
    <t>DK-10488</t>
  </si>
  <si>
    <t>Accident to person caused by RS in motion, 03.12.2023, between Ballerup and Måløv</t>
  </si>
  <si>
    <t>Between Ballerup and Måløv, km 18,9</t>
  </si>
  <si>
    <t>Danish Railways (DSB)</t>
  </si>
  <si>
    <t>DK-10487</t>
  </si>
  <si>
    <t>Accident to person caused by RS in motion, 03.12.2023, between Nordhavn and Svanemøllen</t>
  </si>
  <si>
    <t>Nordhavn-Svanemøllen</t>
  </si>
  <si>
    <t>CZ-10489</t>
  </si>
  <si>
    <t>Collision of the freight train No. 54812 with the freight train No. 62102 at Česká Třebová station, 03/12/2023</t>
  </si>
  <si>
    <t>Unauthorized movement of the freight train No. 54812 behind the signal device ZL and collision with the freight train No. 62102 with consequent derailment</t>
  </si>
  <si>
    <t>Česká Třebová station</t>
  </si>
  <si>
    <t xml:space="preserve"> Station</t>
  </si>
  <si>
    <t>IDS CARGO, a. s.; ČD Cargo, a. s.</t>
  </si>
  <si>
    <t>Total preliminary damage CZK 169 130 000,- (EUR 6 908 905,-)</t>
  </si>
  <si>
    <t>PL-10517</t>
  </si>
  <si>
    <t>Accident to persons caused by RS in motion, 3/12/2023, station Jaszczów , km 201,000 line 7, track 1</t>
  </si>
  <si>
    <t>Riding by the passsenger train ROJ22401 onto 2 employees working in the track</t>
  </si>
  <si>
    <t>station Jaszczów , km 201,000 line 7, track 1</t>
  </si>
  <si>
    <t xml:space="preserve">No material demages </t>
  </si>
  <si>
    <t>RO-10486</t>
  </si>
  <si>
    <t>Other event, 4/12/2023, Azuga</t>
  </si>
  <si>
    <t>At the locomotive EA 583, hauling the passenger train no.1742 the lifted pantogaraph broke, it fell on the window from the first car and slightly injured three passengers.</t>
  </si>
  <si>
    <t>Azuga</t>
  </si>
  <si>
    <t>At the locomotive EA 583,the lifted pantogaraph broke. One window from the first car was broken.</t>
  </si>
  <si>
    <t>LT-10519</t>
  </si>
  <si>
    <t>Accident to a track worker caused by RS in motion, railway sidings in port of Klaipėda, Lithuania, 8/12/2023</t>
  </si>
  <si>
    <t>Locomotive with 39 freight wagons deparden from station Draugystė and drive towards port of Klaipėda company UAB "Birių krovinių terminalas". Nearby switch No. 611, train driver noticed a track worker on the track and pushed the signal and applied emergency brakes. The track worker was fatally injured by the RS.</t>
  </si>
  <si>
    <t>City of Klaipėda, connecting station Draugystė siding track No. 201', switch No. 611</t>
  </si>
  <si>
    <t>UAB "Gargždų geležinkelis"</t>
  </si>
  <si>
    <t>Owner - AB „Klaipėdos valstybinio jūrų uosto direkcija“
User - UAB „Birių krovinių terminalas“</t>
  </si>
  <si>
    <t>DK-10508</t>
  </si>
  <si>
    <t>Level crossing accident, 9/12/2023, Køge, levelcrossing 115</t>
  </si>
  <si>
    <t>Person using levelcrossing, hit and killed by train</t>
  </si>
  <si>
    <t>Køge, levelcrossing 115</t>
  </si>
  <si>
    <t>IT-10493</t>
  </si>
  <si>
    <t>Trains collision, 10/12/2023, Faenza - Forlì</t>
  </si>
  <si>
    <t>Trains collision no. 8828 and no. 1742, Faenza-Forlì line</t>
  </si>
  <si>
    <t>Faenza - Forlì</t>
  </si>
  <si>
    <t>Trenitalia and Tranitalia TPER</t>
  </si>
  <si>
    <t>damage to rolling stock not yet quantified</t>
  </si>
  <si>
    <t>HR-10494</t>
  </si>
  <si>
    <t>Trains collision, 11-12-2023 (between stations Meja-Skrljevo) (Croatia)</t>
  </si>
  <si>
    <t>On December 11, 2023, at 08:50 a.m., on the line M202 at km 635+155 between stations Meja and Škrljevo was trains collision. The freight train no. 81218 collided with a railway vehicle for special purposes. After the collision, freight train no. 81218 pushed the railway vehicle to km 640+300 and freight train no. 81218 derailed. During the derailment of freight train no. 81218 consisting of two locomotives and 19 freight wagons of the Tagnpps series loaded with corn, there was significant damage to one locomotive, to all freight wagons, to the railway vehicle for special purposes and to the railway infrastructure.</t>
  </si>
  <si>
    <t>Between stations Meja-Skrljevo</t>
  </si>
  <si>
    <t>There was significant material damage to the railway vehicles and infrastructure.</t>
  </si>
  <si>
    <t>RO-10490</t>
  </si>
  <si>
    <t>Train derailment, 13/12/2023, Beclean pe Someș</t>
  </si>
  <si>
    <t>5 wagons (18th, 19th, 21th, 22th and 23th) from the composition of the freight train no.66100412 derailed in Beclean pe Someș railway station.</t>
  </si>
  <si>
    <t>Beclean pe Someș</t>
  </si>
  <si>
    <t xml:space="preserve">Damage to the wagons no.31533540417-6, 31533540331-9, 31533540281-6, 31533540062-0 and 31533540003-3.
The line was damaged for about 110 meters. </t>
  </si>
  <si>
    <t>CZ-10492</t>
  </si>
  <si>
    <t xml:space="preserve">Train derailment, 13-12-23, Brumov operating control point (Czech Republic) </t>
  </si>
  <si>
    <t>Derailment of the regional passenger train No. 23203</t>
  </si>
  <si>
    <t>Brumov operating control point, the switch No. 4, km 5,683</t>
  </si>
  <si>
    <t>CZK 900 000,- (€ 36 765,-); Rolling stock, infrastructure</t>
  </si>
  <si>
    <t>Article 20.2 of Directive (EU) 2016/798 – b)</t>
  </si>
  <si>
    <t>SE-10495</t>
  </si>
  <si>
    <t>Derailment on Malmbanan at Vassujaure station (Sweden), 17/12/2023</t>
  </si>
  <si>
    <t>Investigation of a derailment at Malmbanan that occured at Vassijaue station. The first evodens of the derailment occured on the open line between Björkliden and Kopparåsen about 15 kilometres before the train stopped.</t>
  </si>
  <si>
    <t>Vassijaure</t>
  </si>
  <si>
    <t>LKAB</t>
  </si>
  <si>
    <t>Total loss of 10 freight wagons and major damage to infrastructre, switches, track, sleepers etc.</t>
  </si>
  <si>
    <t>CZ-10496</t>
  </si>
  <si>
    <t>Derailment at Stupno operating point, 18/12/2023</t>
  </si>
  <si>
    <t>Derailment of the regional passenger train No. 27307 on spring switch</t>
  </si>
  <si>
    <t>Operating point</t>
  </si>
  <si>
    <t>Total preliminary damage CZK 321 600,- (EUR 13 105,-)</t>
  </si>
  <si>
    <t>SI-10516</t>
  </si>
  <si>
    <t>Serious accident, 21-12-2023 (between stations Postojna - Prestranek) (Slovenia)</t>
  </si>
  <si>
    <t>NIB SI</t>
  </si>
  <si>
    <t>On 21 December 2023, at 9:16 a.m., local passenger train no. 2674, collided with workers, track work groups, who were performing maintenance work on the line, on line L-50, of the double-track electrified line Ljubljana - Sežana, between Postojna and Prestranek stations, at km 636.250. At work, the railway working group used gasoline-powered devices. Two workers lost their lives and two were seriously injured.</t>
  </si>
  <si>
    <t>SŽ_Potniški promet, d.o.o.</t>
  </si>
  <si>
    <t>SŽ-INFRASTRUKTURA d.o.o.</t>
  </si>
  <si>
    <t>SI-10518</t>
  </si>
  <si>
    <t>Between stations Postojna and Prestranek in km 636.250</t>
  </si>
  <si>
    <t>Front electro motor unit, 2 manual motor work machines</t>
  </si>
  <si>
    <t>CZ-10497</t>
  </si>
  <si>
    <t>Runaway, 22-12-2023 (between stations Meja-Skrljevo) (Croatia)</t>
  </si>
  <si>
    <t>Unsecured movement of 1 rolling stock from Praha-Malešice station with consequent movement to open line and passage of the rolling stock through Praha-Libeň and Praha-Vysočany stations</t>
  </si>
  <si>
    <t>Praha-Malešice station</t>
  </si>
  <si>
    <t>1 detached rolling stock</t>
  </si>
  <si>
    <t>RO-10498</t>
  </si>
  <si>
    <t>Train derailment, 22/12/2023, Zăvestreni</t>
  </si>
  <si>
    <t>Hauling locomotive EA 767 of the passenger train no.9304 derailed in Zăvestreni railway station.</t>
  </si>
  <si>
    <t xml:space="preserve">Damage to first axle in the running direction from the locomotive EA 767.                                                                                           The line was damaged for about 50 meters.                                                                                </t>
  </si>
  <si>
    <t>PT-10526</t>
  </si>
  <si>
    <t>Level crossing accident, 27/12/2023, Automatic level crossing at km 31,670 of Sado Line, at Cachofarra</t>
  </si>
  <si>
    <t>Collision of a passenger train with the trailer of a lorry blocked over the level crossing.</t>
  </si>
  <si>
    <t>Automatic level crossing at km 31,670 of Sado Line, at Cachofarra</t>
  </si>
  <si>
    <t>Damage to rolling stock, level crossing equipment and road vehicle.</t>
  </si>
  <si>
    <t>HU-10499</t>
  </si>
  <si>
    <t>Train derailment, 30/12/2023, Verőce - Nagymaros</t>
  </si>
  <si>
    <t>The 13th wagon of freigth train no. 44290 derailed on line between Verőce and Nagymaros station, then approx. 1 km away from the place of the derailment, while entering the station of Nagymaros, 8 more wagons of the train derailed and 2 of them overturned. No one was injured.</t>
  </si>
  <si>
    <t>Verőce - Nagymaros</t>
  </si>
  <si>
    <t>Track damage: ca. 1 million EUR + Wagon damage: ca. 250.000 EUR</t>
  </si>
  <si>
    <t>RO-10505</t>
  </si>
  <si>
    <t>Train derailment, 5/1/2024, Turceni</t>
  </si>
  <si>
    <t>One wagon (18th) from the composition of the freight train no.65096 derailed in Turceni railway station.</t>
  </si>
  <si>
    <t xml:space="preserve">Damage to the wagon no.31536651420-7.
The line was damaged for about 35 meters. </t>
  </si>
  <si>
    <t>RO-10506</t>
  </si>
  <si>
    <t>Train derailment, 5/1/2024, Balota</t>
  </si>
  <si>
    <t>Banking locomotive EA 478 of the freight train no.66240 derailed in Balota railway station.</t>
  </si>
  <si>
    <t>SC „Grup Feroviar  Român” SA</t>
  </si>
  <si>
    <t xml:space="preserve">Damage to first axle in the running direction from the locomotive EA 478.                                                                                                                                                                        </t>
  </si>
  <si>
    <t>RO-10509</t>
  </si>
  <si>
    <t>Train derailment, 10/1/2024, Popești Vâlcea - Băbeni</t>
  </si>
  <si>
    <t>One wagon (14th) from the composition of the freight train no.60566 derailed between Popești Vâlcea and Băbeni railway stations.</t>
  </si>
  <si>
    <t>Popești Vâlcea - Băbeni</t>
  </si>
  <si>
    <t xml:space="preserve">Damage to the wagon no.81536650824-1.
The line was damaged for about 1760 meters. </t>
  </si>
  <si>
    <t>PL-10513</t>
  </si>
  <si>
    <t>Level crossing accident, 10/1/2024, section Rogoźno Wielkopolskie - Budzyń , km 56,055 line 354</t>
  </si>
  <si>
    <t xml:space="preserve">Entry of a truck car in front of approaching  passenger  train which lead to the collision of a rail vehice and a truck car. </t>
  </si>
  <si>
    <t>section Rogoźno Wielkopolskie - Budzyń , km 56,055 line 354</t>
  </si>
  <si>
    <t>demages of a truck car, total demages of the electric traction unit EN57AL-1527, demages of 150 m of the railway track</t>
  </si>
  <si>
    <t>SE-10514</t>
  </si>
  <si>
    <t>Level crossing accident on the open line between Ryr and Uddevalla, 15/1/2024</t>
  </si>
  <si>
    <t>Level crossing accident between a commuter train and a truck.</t>
  </si>
  <si>
    <t>Ramseröd levelcrossing, on the open line between Ryr and Uddevalla, km 4+481.</t>
  </si>
  <si>
    <t>SJ AB (Götalandståg)</t>
  </si>
  <si>
    <t>Trailer totally damaged, front of the train damaged.</t>
  </si>
  <si>
    <t>RO-10510</t>
  </si>
  <si>
    <t>Train derailment, 16/1/2024, Leu</t>
  </si>
  <si>
    <t>11 wagons (from 20th to 30th) from the composition of the freight train no.68322 derailed in Leu railway station. Of the 11 derailed wagons, 2 wagons overturned.</t>
  </si>
  <si>
    <t>Leu</t>
  </si>
  <si>
    <t>SC Global Rail Solutions SRL</t>
  </si>
  <si>
    <t xml:space="preserve">Damage to the wagons no.33879382032-9, 33879330961-7, 33879339349-1, 33872334646-5 , 33879335843-7, 33879335092-1,33879339171-9, 33879332443-9 , 33879633879-3, 33879339029-9 and 33872335098-8 .
The line was damaged for about 160 meters. </t>
  </si>
  <si>
    <t>CZ-10511</t>
  </si>
  <si>
    <t>RO-10512</t>
  </si>
  <si>
    <t>Fire in RS, 23/1/2024, Mogoșeni - Beclean pe Someș</t>
  </si>
  <si>
    <t>A fire brust out into the car no.50532049112-7 (2nd) who running  in the composition of passenger train no.1830, between Mogoșeni and Beclean pe Someș railway stations. Later the fire spread to the third car of the train (car no.50532049115-0).</t>
  </si>
  <si>
    <t>Mogoșeni - Beclean pe Someș</t>
  </si>
  <si>
    <t xml:space="preserve">The bodies of the cars no. 50532049112-7 and no.50532049115-0 burned completely. </t>
  </si>
  <si>
    <t>CZ-10515</t>
  </si>
  <si>
    <t>Level crossing accident, 24-01-24, open line between Dětmarovice and Bohumín stations (Czech Republic)</t>
  </si>
  <si>
    <t>Collision of the express train No. 546 with a lorry with consequent derailment.</t>
  </si>
  <si>
    <t>open line between Dětmarovice and Bohumín stations, the level crossing No. P6512, km 281,911</t>
  </si>
  <si>
    <t>Express train</t>
  </si>
  <si>
    <t>CZK 37 000 000,- (€ 1 492 838,-); Rolling stocks, infrastructure, other</t>
  </si>
  <si>
    <t>BG-10523</t>
  </si>
  <si>
    <t>Derailment of IDFT No 4660 along interstation Lyubenovo-Predavatelna-Radnevo, 3/2/2024</t>
  </si>
  <si>
    <t>Derailment of two wagons of IDFT along interstation</t>
  </si>
  <si>
    <t>interstation Lyubenovo-Predavatelna-Radnevo. International direct freight train (IDFT) along the route Türkiye-Bulgaria-Romania-Germany</t>
  </si>
  <si>
    <t>Damages to the two derailed wagons, railway infrastructure and signalling in Radnevo station</t>
  </si>
  <si>
    <t>DK-10520</t>
  </si>
  <si>
    <t>Accident to persons caused by RS in motion, 5/2/2024, Thisted</t>
  </si>
  <si>
    <t>Person hit by a train</t>
  </si>
  <si>
    <t>Thisted</t>
  </si>
  <si>
    <t>FI-10522</t>
  </si>
  <si>
    <t>Level crossing accident, 6/2/2024, Kurkimäki timber loading yard, level crossing Kurkimäki lastaustie, km 444+392</t>
  </si>
  <si>
    <t>Unloaded timber wagons were being pusherdto loading area, when they collided with an uloaded timber truck in a level crossing. Conductor who was in the last wagon of the train, died in the collision.</t>
  </si>
  <si>
    <t>Kurkimäki timber loading yard, level crossing Kurkimäki lastaustie, km 444+392</t>
  </si>
  <si>
    <t>Finnish transport infrastructure agency</t>
  </si>
  <si>
    <t>End of timber wagon lightly damaged. Timber trailer lightly damaged.</t>
  </si>
  <si>
    <t>RO-10521</t>
  </si>
  <si>
    <t>Trains collision, 7/2/2024, Pantelimon</t>
  </si>
  <si>
    <t>Light locomotive DA180, who running as train no.86350, collided the last wagon from the freight train no.58182 in Pantelimon railway station.</t>
  </si>
  <si>
    <t>Pantelimon</t>
  </si>
  <si>
    <t>SC Grup Feroviar Român SA and SC United Railways SRL</t>
  </si>
  <si>
    <t>Damage to the wagon no.31523938179-3.</t>
  </si>
  <si>
    <t>DE-10525</t>
  </si>
  <si>
    <t>Trains collision near miss, 10/2/2024, Bf Bruchköbel – Bf Nidderau</t>
  </si>
  <si>
    <t>Am 10.02.2024 gegen 08:56 erfolgte ein Notruf durch den Fdl Nidderau: „alle Züge zwischen Bruchköbel und Nidderau anhalten“. Grund: Es befanden sich zwei Züge in einem Blockabschnitt.</t>
  </si>
  <si>
    <t>Bf Bruchköbel – Bf Nidderau</t>
  </si>
  <si>
    <t>SBB Cargo Deutschland GmbH, DB Fernverkehr AG</t>
  </si>
  <si>
    <t>DB InfraGO AG</t>
  </si>
  <si>
    <t>More than one train in one section, operation stopped by emergency call.</t>
  </si>
  <si>
    <t>NO-10527</t>
  </si>
  <si>
    <t>Runaway, 12/2/2024, Ekeberg line</t>
  </si>
  <si>
    <t xml:space="preserve">Investigation of a serious railway incident on the Ekeberg line, Oslo. 
On Monday 12 February 2024, a tractor trailer with rail wheels rolled down uncontrolled from the Ekebergparken tram stop in the direction of the city centre. The incident took place during construction work, while the track was closed to ordinary traffic. The tractor trailer collided with an excavator in the track, and stopped, approximately 250 meters further down. Under slightly different circumstances, this could have turned into a serious accident. </t>
  </si>
  <si>
    <t>Ekeberg line</t>
  </si>
  <si>
    <t>Minor material damages</t>
  </si>
  <si>
    <t>Other national rules/regulations (covering possible areas excluded in Art 2 §2 -(b))</t>
  </si>
  <si>
    <t>CZ-10524</t>
  </si>
  <si>
    <t>SPAD, 16/02/2024, at Havlíčkův Brod station</t>
  </si>
  <si>
    <t>Unauthorized movement (SPAD) of the shunting operation behind the signal device Se12 and entry to the train route for the oncoming regional passenger train No 8747 at Havlíčkův Brod station</t>
  </si>
  <si>
    <t>Havlíčkův Brod station</t>
  </si>
  <si>
    <t>Shunting operation;
Regional train</t>
  </si>
  <si>
    <t>Total preliminary damage CZK 70 000,- (EUR 2 751,-)</t>
  </si>
  <si>
    <t>RO-10528</t>
  </si>
  <si>
    <t>Trains collision, 27/2/2024, Timpuri Noi</t>
  </si>
  <si>
    <t>The metro train (TEM) 4, consisting in the TEM 1121-2121, running from the station Mihai Bravu to the station Timpuri Noi, on track II, passed the entry signal of the station Timpuri Noi on stop position and entered the deflecting section, on the cross-over 8-4 on the line 1 of this station, where it was parked the metro train 17, composed from TEM 1117-2117, these two metro trains coupling themselves.</t>
  </si>
  <si>
    <t>Timpuri Noi</t>
  </si>
  <si>
    <t xml:space="preserve">None.   </t>
  </si>
  <si>
    <t>RO-10530</t>
  </si>
  <si>
    <t>Train derailment, 1/3/2024, Jirov</t>
  </si>
  <si>
    <t>One wagon (3rd) from the composition of the freight train no.65094 derailed in Jirov railway station.</t>
  </si>
  <si>
    <t>Jirov</t>
  </si>
  <si>
    <t xml:space="preserve">Damage to the wagon no.81536653508-7.
The line was damaged for about 40 meters. </t>
  </si>
  <si>
    <t>CZ-10531</t>
  </si>
  <si>
    <t>Accident to persons caused by RS in motion, 05-03-24, open line between Rožnov pod Radhoštěm and Střítež nad Bečvou operating control points (Czech Republic)</t>
  </si>
  <si>
    <t>Collision of the regional passenger train No. 13206 with a person (worker of IM who worked at open line).</t>
  </si>
  <si>
    <t>open line between Rožnov pod Radhoštěm and Střítež nad Bečvou operating control points, km 9,112</t>
  </si>
  <si>
    <t>CZK 15 000,- (€ 592,-); Rolling stock</t>
  </si>
  <si>
    <t>DE-10534</t>
  </si>
  <si>
    <t>Trains collision, 7/3/2024, Mannheim Rbf.</t>
  </si>
  <si>
    <t>DGS 43373 fuhr aus Richtung Mannheim-Käfertal nach Gleis 602 der Gruppe K in Mannheim Rbf ein und fuhr am Halt zeigenden hochstehenden Zielsignal Ls 602II am Ende des Einfahrgleises 602 unzulässig vorbei. Anschließend fuhr der Zug die Weichen 324 und 325 c/d auf, kollidierte mit der am Berg A stehenden Rangierlok der DB Cargo AG und verschob diese um ca. 2 Loklängen.</t>
  </si>
  <si>
    <t>Mannheim Rbf.</t>
  </si>
  <si>
    <t>LTE Neterlands B.V., DB Cargo AG.</t>
  </si>
  <si>
    <t>BE-10535</t>
  </si>
  <si>
    <t>Trains collision with an obstacle, 12/3/2024, Belsele</t>
  </si>
  <si>
    <t>Collision between an empty passenger train and a railway crane</t>
  </si>
  <si>
    <t>Belsele</t>
  </si>
  <si>
    <t>1/ Damages to rolling stock: four bogies of the derailed train were damaged and another train suffered damage to the pantograph and fire-damage due to catenary ending up on the train. 
2/ Damages to infrastructure: approximately 350 metres of sleepers needs to be replaced, rails were bent by the falling crane and need to be replaced, broken rails due to contact with derailed wheel, catenary and signalling infrastructure damaged and needs to be replaced. 
3/ Railway crane was damaged beyond repair.
4/ Rail trafic was not possible for about 1 week.</t>
  </si>
  <si>
    <t>RO-10532</t>
  </si>
  <si>
    <t>Train derailment, 13/3/2024, Zoița - Râmnicu Sărat</t>
  </si>
  <si>
    <t>One wagon (26th) from the composition of the freight train no.66307 derailed between Zoița and Râmnicu Sărat railway stations.</t>
  </si>
  <si>
    <t>Zoița - Râmnicu Sărat</t>
  </si>
  <si>
    <t xml:space="preserve">Damage to the wagon no.83537963122-8.
The line was damaged for about 1635 meters. </t>
  </si>
  <si>
    <t>CZ-10533</t>
  </si>
  <si>
    <t>SPAD, 18/3/2024, Žalhostice station</t>
  </si>
  <si>
    <t>Unauthorized movement (SPAD) of the regional passenger train No. 25502 behind the main (departure) signal device S1 and entry to the train route for the oncoming regional passenger train No. 6131 at Žalhostice station</t>
  </si>
  <si>
    <t>Žalhostice station</t>
  </si>
  <si>
    <t>AŽD Praha, s.r.o.; České dráhy, a. s.</t>
  </si>
  <si>
    <t xml:space="preserve">Total preliminary damage CZK/EUR 0,- </t>
  </si>
  <si>
    <t>NO-10536</t>
  </si>
  <si>
    <t>Passing of signal in danger and derailment at Arna station Bergensbanen, 22/3/2024</t>
  </si>
  <si>
    <t>Train 5924 had low brake capacity, passed signal in danger and derailed after collition with buffer stop. Derailed with locomotive and wagons.</t>
  </si>
  <si>
    <t>Arna station, Bergensbanen</t>
  </si>
  <si>
    <t>Onrail AS</t>
  </si>
  <si>
    <t>Damage to locomotive, freight carriers, wagons and infrastructure.</t>
  </si>
  <si>
    <t>RO-10537</t>
  </si>
  <si>
    <t>Train derailment, 26/3/2024, Berbesți - Popești Vâlcea</t>
  </si>
  <si>
    <t>One wagon (13th) from the composition of the freight train no.60566 derailed between Popești Vâlcea and Băbeni railway stations.</t>
  </si>
  <si>
    <t>Berbesți - Popești Vâlcea</t>
  </si>
  <si>
    <t xml:space="preserve">Damage to the wagon no.81536653750-5.
The line was damaged for about 900 meters. </t>
  </si>
  <si>
    <t>EL-10538</t>
  </si>
  <si>
    <t>Red signal violation, 23/12/2023, SKA Railway Station</t>
  </si>
  <si>
    <t>Passenger train 1313 route Kiato-Pireaus didnt stop at a red signal at switch at SKA Railway Station and the Station Manager had to repeat the order in order to stop. No person injured , no damage to train or lines.</t>
  </si>
  <si>
    <t>SKA Railway Station</t>
  </si>
  <si>
    <t>No person injured , no damage to train or lines. Investigation due to repeating similar events</t>
  </si>
  <si>
    <t>EL-10539</t>
  </si>
  <si>
    <t>Trespasser hit by train near  Zevgolatio Station, 17/01/2024</t>
  </si>
  <si>
    <t xml:space="preserve">Passenger train 1313 route Kiato-Pireaus  hit a trespasser trying to cross the railway lines (not on level crossing) near Zevgolatio St. (at KM 118+400) </t>
  </si>
  <si>
    <t xml:space="preserve">Near Zevgolatio St. (at KM 118+400 of Athens -Kiato line)) </t>
  </si>
  <si>
    <t>The trespasser that was hit by the train is dead</t>
  </si>
  <si>
    <t>LV-10540</t>
  </si>
  <si>
    <t>Railway vehicle movement event, 24/2/2024, Šķirotava  park "B" Sorting station</t>
  </si>
  <si>
    <t>An uncontrollable rolling of 32 wagons from the sorting hill resulted in a side collision of these wagons with a freight train</t>
  </si>
  <si>
    <t>Šķirotava  park "B" Sorting station</t>
  </si>
  <si>
    <t>LDZ CARGO Ltd</t>
  </si>
  <si>
    <t>SJSC "Latvijas dzelzceļš"</t>
  </si>
  <si>
    <t>As a result of the collision, nine freight wagons were damaged, five of which derailed as a result of which the railway infrastructure was damaged - route traffic lights, road boxes, switches and their blowing devices</t>
  </si>
  <si>
    <t>HR-10541</t>
  </si>
  <si>
    <t>Level crossing accident, 15-02-2024, LC Nove Plavnice (between stations Sveti Ivan Zabno-Bjelovar) (Croatia)</t>
  </si>
  <si>
    <t>On February 15, 2024 at 04:55 p.m. at the LC "Nove Plavnice", actively provided with light and sound signals and half-barriers, at km 029+865 on the line L203, between stations Sveti Ivan Zabno-Bjelovar, was a collision of passenger train number 787 with the road motor vehicle. The driver of the road motor vehicle was seriously injured, while no one was injured in the passenger train. There was minor material damage to the railway infrastructure and the involved train, while the road motor vehicle was completely destroyed.</t>
  </si>
  <si>
    <t>LC Nove Plavnice (between stations Sveti Ivan Zabno-Bjelovar)</t>
  </si>
  <si>
    <t>HZ Putnicki prijevoz d.o.o.</t>
  </si>
  <si>
    <t>There was minor material damage to the railway infrastructure and the involved train, while the road motor vehicle was completely destroyed.</t>
  </si>
  <si>
    <t>SE-10542</t>
  </si>
  <si>
    <t>Train derailment, 24/2/2024, at Vassujaure station</t>
  </si>
  <si>
    <t>Investigation of a (second) derailment at Vassijaure station on Malmbanan Kiruna - Narvik. 2 - 3 unloaded iron ore wagons derailed west of Vassijaure station and was pulled along with the train for about 1 km. At Vassijaure station the derailment developed, forcing several wagons of the track, damaging catenary poles, causing the train to stop.</t>
  </si>
  <si>
    <t>Damage to more than six iron ore wagons, about 1 km of track, a switch and catenary line.</t>
  </si>
  <si>
    <t>RO-10543</t>
  </si>
  <si>
    <t>Fire in RS, 21/4/2024, Sântana - Utvinișu Nou</t>
  </si>
  <si>
    <t xml:space="preserve">A fire brust out into hauling locomotive DA 1544 of the freight train no.66290020 between Sântana and Utvinișu Nou railway stations. </t>
  </si>
  <si>
    <t>Sântana - Utvinișu Nou</t>
  </si>
  <si>
    <t xml:space="preserve">Following the fire at the locomotive DA 1544, there were burnt:
- auxiliary diesel engine;
- force cables of the electric engines 4 and 5;
- ventilation group of the bogie no.2;
- pump for the fuel transfer;
- indicators of the diesel engine
- air conditioning system existing on the celling of driving cab no.2
</t>
  </si>
  <si>
    <t>DE-10544</t>
  </si>
  <si>
    <t>Train derailment, 15/4/2024, Aachen West</t>
  </si>
  <si>
    <t>Am 15.04.2024 gegen 13:18 Uhr entgleiste der Güterzug DGS 47026 auf der Fahrt von Ba-sel nach Antwerpen (Belgien) im Bf Aachen West auf der Strecke 2550 in km 4,5.</t>
  </si>
  <si>
    <t>Aachen West</t>
  </si>
  <si>
    <t>CrossRail Benelux NV</t>
  </si>
  <si>
    <t>2 container waggons derailed. Switchs and signalling equipment damaged.</t>
  </si>
  <si>
    <t>DE-10545</t>
  </si>
  <si>
    <t>Trains collision, 16/4/2024, Worms Hbf</t>
  </si>
  <si>
    <t>Am 16.04.2024 gegen 8:54 Uhr fuhr die Rangierfahrt des EVU DB Regio AG bei der Fahrt von Gleis 10 nach Gleis 99 am Halt zeigenden Lichtsperrsignal LS 199 I vorbei. In der Folge kollidierte diese auf der Weiche W 67 als Flankenfahrt mit der Zugfahrt ICE 614 des EVU DB Fernverkehr AG.</t>
  </si>
  <si>
    <t>Worms Hbf</t>
  </si>
  <si>
    <t>DB InfraGo AG</t>
  </si>
  <si>
    <t>High speed passenger unit and regional transport unit derailed and lightly damaged.</t>
  </si>
  <si>
    <t>ERAIL Recommendation ID</t>
  </si>
  <si>
    <t>NEW Recommendation ID</t>
  </si>
  <si>
    <t>Recommendation title</t>
  </si>
  <si>
    <t>Issue date</t>
  </si>
  <si>
    <t>Recommendations text</t>
  </si>
  <si>
    <t>Language</t>
  </si>
  <si>
    <t>Occurrence</t>
  </si>
  <si>
    <t>NO-996/1</t>
  </si>
  <si>
    <t>To advice the Norwegian Railway Authority (NSA) to ensure that railway companies that are operating</t>
  </si>
  <si>
    <t>To advice the Norwegian Railway Authority (NSA) to ensure that railway companies that are operating in Norway have safety management systems that catches this kind of error in an early stage</t>
  </si>
  <si>
    <t>NO-996/2</t>
  </si>
  <si>
    <t>There should be done a going through concerning the routines for the communication between the traff</t>
  </si>
  <si>
    <t>There should be done a going through concerning the routines for the communication between the traffic controller and the rescue personnel considering ensuring fast and efficient communication.</t>
  </si>
  <si>
    <t>NO-99/1</t>
  </si>
  <si>
    <t>The Accident Investigation Board recommends the National Railway Authority that the Norwegian Nation</t>
  </si>
  <si>
    <t>The Accident Investigation Board recommends the National Railway Authority that the Norwegian National Rail Administration considers the suitability of their own routines for inspection, control and follow-up of tunnels, collaring and cutting etc, together with skill requirements and potential use of top competence.</t>
  </si>
  <si>
    <t>NO-99/2</t>
  </si>
  <si>
    <t>The Accident Investigation Board recommends the National Railway Authority that all traffic companie</t>
  </si>
  <si>
    <t>The Accident Investigation Board recommends the National Railway Authority that all traffic companies consider the securing / the fastening points of communication equipment, tools and utility equipment in drivers cabin and the engine room concerning emergency exits, to secure that equipment donâ€™t get lost and the locomotive drivers safety.</t>
  </si>
  <si>
    <t>NO-924/1</t>
  </si>
  <si>
    <t>Toget ble bremset ved at lokomotivet bremset med elektrisk nettbrems under innkjøringen til Kristian</t>
  </si>
  <si>
    <t>Toget ble bremset ved at lokomotivet bremset med elektrisk nettbrems under innkjøringen til Kristiansand stasjon. Havarikommisjonen anser at dette var uheldig ettersom innkjøringen foregikk i en komplisert S-kurvatur. Havarikommisjonen tilråder Statens jernbanetilsyn å anmode de aktuelle jernbanevirksomhetene på det nasjonale jernbanenettet å foreta en gjennomgang av i hvilke tilfeller det er uheldig å benytte nettbrems i lokomotivtrukne tog, og iverksette nødvendige tiltak.</t>
  </si>
  <si>
    <t>NO-913/1</t>
  </si>
  <si>
    <t>Ved gjennomføringer av de forskjellige reguleringene for området ved Viken planovergang har ikke de</t>
  </si>
  <si>
    <t>Ved gjennomføringer av de forskjellige reguleringene for området ved Viken planovergang har ikke de endrede konsekvensene for trafikkbildet til planovergangen blitt fanget opp. Havarikommisjonen mener det er viktig at det etableres formaliserte systemer som fanger opp og synliggjør det helhetlige risikobildet av foreslåtte endringer i nærmiljøet av jernbanen. Havarikommisjonen anbefaler Samferdselsdepartementet å se til at ansvarlige myndigheter gjennomgår og formaliserer kommunenes analyseverktøy med tanke på å gjøre disse utfyllende og tilstrekkelige for denne typen analyser.</t>
  </si>
  <si>
    <t>NO-891/1</t>
  </si>
  <si>
    <t>Evaluate the SMS for planning and controll of temporarily maintenance solutions</t>
  </si>
  <si>
    <t>NO-885/1</t>
  </si>
  <si>
    <t>The barriers established to prevent rail cars without brakes from breaking loose and rolling away fr</t>
  </si>
  <si>
    <t>The barriers established to prevent rail cars without brakes from breaking loose and rolling away from Alnabru have been inadequate. The Accident Investigation Board Norway recommends that the Norwegian Railway Authority order the Norwegian National Rail Administration to analyse the operational situation at Alnabru and to establish necessary barriers so that runaway rail cars cannot roll out of the station.</t>
  </si>
  <si>
    <t>NO-885/2</t>
  </si>
  <si>
    <t>Alnabru was not covered by the NNRAâ€™s system for risk identification because minor changes had taken</t>
  </si>
  <si>
    <t>Alnabru was not covered by the NNRAâ€™s system for risk identification because minor changes had taken place over time and not been significant enough for the need for an analysis to be apparent, and because the section analyses did not encompass the activities at Alnabru. The risk analyses available for Alnabru from both the NNRA and CargoNet AS are also inadequate with respect to work processes and barriers. They are excessively based on establishing risk figures for top events (top-to-bottom approach) and previous incidents. The Accident Investigation Board Norway recommends that the Norwegian Railway Authority order the Norwegian National Rail Administration and CargoNet AS to review and improve their systems for risk assessments and analyses.</t>
  </si>
  <si>
    <t>NO-885/3</t>
  </si>
  <si>
    <t>Alnabru lacked an overall safety management that could identify the risk that followed from the many</t>
  </si>
  <si>
    <t>Alnabru lacked an overall safety management that could identify the risk that followed from the many changes that had taken place over time. There was no safety function that could address and deal with safety-related information from both the NNRA and the railway undertakings at the overall level. The safety work was divided between many different line and support functions, and forums, internally and between the various organisations. The Accident Investigation Board Norway recommends that the Norwegian Railway Inspectorate order the Norwegian National Rail Administration and CargoNet AS to review and improve the way safety work is organised, in order to ensure the overall safety of freight terminals and shunting yards.</t>
  </si>
  <si>
    <t>NO-885/4</t>
  </si>
  <si>
    <t>The investigation has uncovered a lack of trust in and social acceptance of the reporting and noncon</t>
  </si>
  <si>
    <t>The investigation has uncovered a lack of trust in and social acceptance of the reporting and nonconformity system in the NNRA and CargoNet AS. In the case of both the NNRA and CargoNet AS, the main problem concerns the ability to communicate information between the various levels that are involved in identifying, assessing and reducing risk. The Accident Investigation Board Norway recommends that the Norwegian Railway Authority order the Norwegian National Rail Administration and CargoNet AS to improve their safety management, with a particular emphasis on collecting and processing information in order to improve the safety culture.</t>
  </si>
  <si>
    <t>NO-885/5</t>
  </si>
  <si>
    <t>The immediate cause of the accident was a misunderstanding between the local traffic controller and</t>
  </si>
  <si>
    <t>The immediate cause of the accident was a misunderstanding between the local traffic controller and the shunter. Neither the NNRA nor CargoNet AS had defined what should constitute safety-critical information, and they had not emphasised the establishment of a common reference framework to ensure unambiguous and efficient communication. No procedures had been established for the use of standard phrases and readback-hearback. The Accident Investigation Board Norway recommends that the Norwegian Railway Authority order the Norwegian National Rail Administration and the railway undertakings to review communication in connection with shunting operations, define safety-critical information, and establish barriers to prevent/detect misunderstandings.</t>
  </si>
  <si>
    <t>NO-885/6</t>
  </si>
  <si>
    <t>Two provisions that could potentially have prevented loss of control of the freight car set were not</t>
  </si>
  <si>
    <t>Two provisions that could potentially have prevented loss of control of the freight car set were not in use or known to the operating personnel at Alnabru. This shows that there were weaknesses in how governing documents were prepared, and in the way in which they are currently maintained and distributed in the NNRAâ€™s own organisation and in CargoNet AS. Governing documents do not adequately distinguish between barriers and information of a more general nature. The Accident Investigation Board Norway recommends that the Norwegian Railway Authority order the Norwegian National Rail Administration and CargoNet AS to update and distribute governing documents and ensure that they are understood.</t>
  </si>
  <si>
    <t>NO-885/7</t>
  </si>
  <si>
    <t>There are no barriers in the tracks towards Loenga or Oslo S that can divert, derail or stop runaway</t>
  </si>
  <si>
    <t>There are no barriers in the tracks towards Loenga or Oslo S that can divert, derail or stop runaway rolling stock in a controlled manner so as to prevent loss of human life and serious personal injuries. It is not possible for the traffic controller to release any main train routes instantly. The Accident Investigation Board Norway recommends that the Norwegian Railway Authority order the Norwegian National Rail Administration to consider whether it is necessary to establish barriers in order to protect the freight train track from Alnabru to Loenga, Hovedbanen and Oslo S station.</t>
  </si>
  <si>
    <t>NO-865/1</t>
  </si>
  <si>
    <t>immediate recommendation</t>
  </si>
  <si>
    <t>NO-843/1</t>
  </si>
  <si>
    <t>The railway undetakings should consider expediting scrapping axle bearings of the older type that ar</t>
  </si>
  <si>
    <t>The railway undetakings should consider expediting scrapping axle bearings of the older type that are still in use.</t>
  </si>
  <si>
    <t>NO-843/2</t>
  </si>
  <si>
    <t>The Norwegian National Rail Administration and the railway undertakings should review the problems r</t>
  </si>
  <si>
    <t>The Norwegian National Rail Administration and the railway undertakings should review the problems regarding damage to the wheels and bearings, and agree in their assessment of the potential for and frequency of damage so that any use of detectors along tracks or on trains can be assigned the correct priority in the safety management system.</t>
  </si>
  <si>
    <t>NO-841/1</t>
  </si>
  <si>
    <t>Review of the positioning of the signals at all stations in order to ensure that these are in accord</t>
  </si>
  <si>
    <t>Review of the positioning of the signals at all stations in order to ensure that these are in accordance with the technical regulations, and that any non-conformity to be documented.</t>
  </si>
  <si>
    <t>NO-841/2</t>
  </si>
  <si>
    <t>Barrier system should be upgraded so that it functions as a barrier against single-point failures to</t>
  </si>
  <si>
    <t>Barrier system should be upgraded so that it functions as a barrier against single-point failures to avoid two trains ending up on the same track without permission.</t>
  </si>
  <si>
    <t>NO-799/1</t>
  </si>
  <si>
    <t>Establish a system where train drivers and traffic controller train together</t>
  </si>
  <si>
    <t>NO-799/2</t>
  </si>
  <si>
    <t>Re-establish the system where recording of communication is controlled to check the conversation dis</t>
  </si>
  <si>
    <t>Re-establish the system where recording of communication is controlled to check the conversation discipline</t>
  </si>
  <si>
    <t>NO-782/1</t>
  </si>
  <si>
    <t>On Ørtfjell station there has been several similar incidents were the points have not been in the co</t>
  </si>
  <si>
    <t>On Ørtfjell station there has been several similar incidents were the points have not been in the correct position when the trains have passed. The station is equipped with a simple entry signal. The traffic controller at Ørtfjell is the only barrier that ensures that the points are in the correct position when â€œline-clearâ€ signal is given. It is therefore recommended that the Norwegian National Rail Administration establish barriers that prevent accidents and incidents at this station, and other stations with similar simple signals.</t>
  </si>
  <si>
    <t>NO-778/1</t>
  </si>
  <si>
    <t>improve the control of wheel flange lubrication</t>
  </si>
  <si>
    <t>NO-778/2</t>
  </si>
  <si>
    <t>evaluate if rail rinsing with high-pressured water should be done more frequent than week 38-45</t>
  </si>
  <si>
    <t>NO-778/3</t>
  </si>
  <si>
    <t>strengthen the training of subway drivers related to driving and braking</t>
  </si>
  <si>
    <t>NO-778/4</t>
  </si>
  <si>
    <t>improve the internal routines for information</t>
  </si>
  <si>
    <t>NO-739/1</t>
  </si>
  <si>
    <t>The risk associated with installing a potential source of fire (monitors) directly beneath the train</t>
  </si>
  <si>
    <t>The risk associated with installing a potential source of fire (monitors) directly beneath the train's ventilation duct was not identified on the airport train. Actual barriers against fire and smoke propagation to the passenger compartments were therefore not identified in Flytogetâ€™s safety management system, and proved to be inadequate. The AIBN recommends that the Norwegian Railway Inspectorate inform the rail companies about this failure in hazard identification so that they can make the necessary changes to their safety management systems.</t>
  </si>
  <si>
    <t>NO-739/2</t>
  </si>
  <si>
    <t>In a situation in which the driversâ€™ desks were disconnected, and which was marked by stress and a s</t>
  </si>
  <si>
    <t>In a situation in which the driversâ€™ desks were disconnected, and which was marked by stress and a shortage of time caused by the outbreak of fire and smoke in the train, the locomotive driver did not manage to make the emergency call via the GSM-R. The AIBN recommends that the Norwegian Railway Inspectorate order the rail companies to consider whether to improve the guidelines for the use of portable GSM-R telephones, and whether crews should be given further instruction and training in making emergency calls via the GSM-R telephone in other situations.</t>
  </si>
  <si>
    <t>NO-739/3</t>
  </si>
  <si>
    <t>In a situation in which there was a fire onboard a train on track 1 at the National Theatre station,</t>
  </si>
  <si>
    <t>In a situation in which there was a fire onboard a train on track 1 at the National Theatre station, the locomotive driver was unable to immediately locate the manual fire alarm call points installed on the platform. The AIBN recommends that the Norwegian Railway Inspectorate order the Norwegian National Rail Administration to consider improving the positioning of the fire alarms and /or signs at stations that are particularly susceptible to fire.</t>
  </si>
  <si>
    <t>NO-739/4</t>
  </si>
  <si>
    <t>The incident identified discrepancies between the expectations of the trainâ€™s crew and the manner in</t>
  </si>
  <si>
    <t>The incident identified discrepancies between the expectations of the trainâ€™s crew and the manner in which the notification and evacuation procedures and the ventilation system at the National Theatre station are intended to function. The AIBN recommends that the Norwegian Railway Inspectorate order the rails companies to consider whether to make regular briefings and inspection tours of stations with separate fire alarm and evacuation procedures a mandatory part of the competence requirements.</t>
  </si>
  <si>
    <t>NO-661/1</t>
  </si>
  <si>
    <t>The Norwegian National Rail Administration reviews the rules and winter preparedness regarding routi</t>
  </si>
  <si>
    <t>The Norwegian National Rail Administration reviews the rules and winter preparedness regarding routines for notifying the traffic controller about tracks which has not been cleared for snow to be closed for crossing of trains.</t>
  </si>
  <si>
    <t>NO-649/1</t>
  </si>
  <si>
    <t>Measures to improve communication procedures between the traffic controller and the locomotive drive</t>
  </si>
  <si>
    <t>Measures to improve communication procedures between the traffic controller and the locomotive driver</t>
  </si>
  <si>
    <t>NO-649/2</t>
  </si>
  <si>
    <t>To clarify the differences in terms of train operation between trains with train status and shunt st</t>
  </si>
  <si>
    <t>To clarify the differences in terms of train operation between trains with train status and shunt status</t>
  </si>
  <si>
    <t>NO-649/3</t>
  </si>
  <si>
    <t>To establish systems that ensures that communication to and from the traffic control centre is secur</t>
  </si>
  <si>
    <t>To establish systems that ensures that communication to and from the traffic control centre is securely stored</t>
  </si>
  <si>
    <t>NO-632/1</t>
  </si>
  <si>
    <t>Sikkerhetstilråding JB nr. 2009/T12: Ved brann i tog 449 ved Stjørdal stasjon fikk ikke brannvesene</t>
  </si>
  <si>
    <t>Sikkerhetstilråding JB nr. 2009/T12: Ved brann i tog 449 ved Stjørdal stasjon fikk ikke brannvesenet og de øvrige redningsetaten riktig stedsangivelse til toget slik at det var en usikkerhet om hvor toget hadde stoppet. Havarikommisjonen tilrår Statens jernbanetilsyn å be Jernbaneverket og trafikkutøvere å innskjerpe varslingsrutinene slik at disse følges slik at nødvendig og korrekt informasjon blir utvekslet mellom tog og togledersentral.</t>
  </si>
  <si>
    <t>NO-631/1</t>
  </si>
  <si>
    <t>Tidligere tilrådinger gitt etter hendelse Økern T-banestasjon kraftig røykutvikling</t>
  </si>
  <si>
    <t>NO-631/2</t>
  </si>
  <si>
    <t>â€¢ Oslo Sporveier/ Oslo T- banedrift bør vurdere en gjennomgang av opplæring med tanke på håndtering</t>
  </si>
  <si>
    <t>â€¢ Oslo Sporveier/ Oslo T- banedrift bør vurdere en gjennomgang av opplæring med tanke på håndtering av avvikshendelser (JB tilrådning nr 25/2004)</t>
  </si>
  <si>
    <t>NO-631/3</t>
  </si>
  <si>
    <t>â€¢ Oslo Sporveier/ Oslo T- banedrift bør etablere nye prosedyrer slik at det er klart hvem som skal u</t>
  </si>
  <si>
    <t>â€¢ Oslo Sporveier/ Oslo T- banedrift bør etablere nye prosedyrer slik at det er klart hvem som skal utføre korrigerende tiltak og hvordan kommunikasjonen skal foregå (JB tilrådning nr 26/2004)</t>
  </si>
  <si>
    <t>NO-631/4</t>
  </si>
  <si>
    <t>â€¢ Oslo Sporveier/ Oslo T- banedrift anbefales å vurdere tekniske løsninger for varsel ved brann/røyk</t>
  </si>
  <si>
    <t>â€¢ Oslo Sporveier/ Oslo T- banedrift anbefales å vurdere tekniske løsninger for varsel ved brann/røykutvikling på materiellet (JB tilrådning nr 27/2004)</t>
  </si>
  <si>
    <t>NO-631/5</t>
  </si>
  <si>
    <t>â€¢ Havarikommisjonen tilrår Oslo Sporveier AS å sikre områder med brannfarlige isolasjonsmaterialer s</t>
  </si>
  <si>
    <t>â€¢ Havarikommisjonen tilrår Oslo Sporveier AS å sikre områder med brannfarlige isolasjonsmaterialer slik at gnister fra elektriske komponenter ikke kan antenne isolasjonsmateriellet og gjennomgå vedlikeholdsrutiner for togmateriell med tanke på renhold i områder med elektriske komponenter (JB tilrådning nr. 5/2004)</t>
  </si>
  <si>
    <t>NO-631/6</t>
  </si>
  <si>
    <t>â€¢ AS Oslo Sporveier T-banedrift bør vurdere løsninger for de elektriske kablene i tunnelanleggene so</t>
  </si>
  <si>
    <t>â€¢ AS Oslo Sporveier T-banedrift bør vurdere løsninger for de elektriske kablene i tunnelanleggene som reduserer sannsynligheten for eksponering av røyk og potensielt giftige gasser ved en eventuell kabelbrann slik at de sikkerhetsmessig tilfredstiller kriteriene for røyktetthet og giftighet for sammenlignbar anlegg i tunneler (JB tilrådning nr. 16/2005)</t>
  </si>
  <si>
    <t>NO-631/7</t>
  </si>
  <si>
    <t>â€¢ AS Oslo Sporveier T-banedrift bør vurdere å utvikle â€fraselogiâ€ for sikkerhetskritisk kommunikasjo</t>
  </si>
  <si>
    <t>â€¢ AS Oslo Sporveier T-banedrift bør vurdere å utvikle â€fraselogiâ€ for sikkerhetskritisk kommunikasjon mellom togførere, trafikkledere og nødetatene. Videre at dette blir gjennomført i den daglige trafikkledelsen, samt at det i tillegg gjennomføres regelmessig trening i dette som del beredskapsøvelser (JB tilråding nr. 18/2005)</t>
  </si>
  <si>
    <t>NO-631/8</t>
  </si>
  <si>
    <t>â€¢ AS Oslo Sporveier T-banedrift bør vurdere å etablere et lettfattelig og logisk brukerpanel for nød</t>
  </si>
  <si>
    <t>â€¢ AS Oslo Sporveier T-banedrift bør vurdere å etablere et lettfattelig og logisk brukerpanel for nødkobling av kjørestrøm. Dette med tanke på at operatører ofte befinner seg i en særskilt stresset beredskapssituasjon (JB tilråding nr. 19/2005)</t>
  </si>
  <si>
    <t>NO-631/9</t>
  </si>
  <si>
    <t>â€¢ AS Oslo Sporveier T-banedrift bør vurdere å foreta en ny gjennomgang av sikkerhetstyringsystemet m</t>
  </si>
  <si>
    <t>â€¢ AS Oslo Sporveier T-banedrift bør vurdere å foreta en ny gjennomgang av sikkerhetstyringsystemet med hensikt:</t>
  </si>
  <si>
    <t>NO-560/1</t>
  </si>
  <si>
    <t>Raising awareness among tram drivers of the problems presented by blind zones</t>
  </si>
  <si>
    <t>NO-560/2</t>
  </si>
  <si>
    <t>The traffic pattern of trams entering and traversing junctions and roundabouts</t>
  </si>
  <si>
    <t>NO-560/3</t>
  </si>
  <si>
    <t>The suitability of having a tram line traversing roundabouts</t>
  </si>
  <si>
    <t>NO-560/4</t>
  </si>
  <si>
    <t>Alternative expedient warning systems in round aboat for other road users</t>
  </si>
  <si>
    <t>NO-560/5</t>
  </si>
  <si>
    <t>Look into the design of central islands in roundabouts</t>
  </si>
  <si>
    <t>NO-540/1</t>
  </si>
  <si>
    <t>The Accident Investigation Board Norway recommends that the Norwegian Railway Inspectorate order the</t>
  </si>
  <si>
    <t>The Accident Investigation Board Norway recommends that the Norwegian Railway Inspectorate order the Norwegian National Rail Administration to assess whether the applicable regulations for inspection and testing of wooden sleepers, the defined threshold values and the prescribed measures for dealing with unfulfilled requirements are adequate and are practised as intended.</t>
  </si>
  <si>
    <t>NO-540/2</t>
  </si>
  <si>
    <t>The Accident Investigation Board Norway recommends that the Norwegian Railway Inspectorate order Nor</t>
  </si>
  <si>
    <t>The Accident Investigation Board Norway recommends that the Norwegian Railway Inspectorate order Norwegian National Rail Administration to assess whether the guidelines, capacity and competence for processing and analysis of track examination results are sufficient to ensure a relevant form of information flow to operative personnel.</t>
  </si>
  <si>
    <t>NO-482/1</t>
  </si>
  <si>
    <t>Follow-up of quality control/approval of cable joints used for safety systems.</t>
  </si>
  <si>
    <t>NO-482/2</t>
  </si>
  <si>
    <t>Check whether other stations have corresponding solutions with respect to cable</t>
  </si>
  <si>
    <t>NO-482/3</t>
  </si>
  <si>
    <t>Consider a cable connection solution that enables simpler and safer disconnection</t>
  </si>
  <si>
    <t>NO-482/4</t>
  </si>
  <si>
    <t>The National Rail Administration will review the various systems and coordinate</t>
  </si>
  <si>
    <t>NO-465/1</t>
  </si>
  <si>
    <t>It is recommended that the National Railway Inspectorate order CargoNet AS to assess whether current</t>
  </si>
  <si>
    <t>It is recommended that the National Railway Inspectorate order CargoNet AS to assess whether current internal rules on brake testing, including expertise requirements, are adequate and are carried out as prescribed, and to supplement rules and training plans with instructions on fault localisation and responses to fault situations.</t>
  </si>
  <si>
    <t>NO-465/2</t>
  </si>
  <si>
    <t>. It is recommended that the National Railway Inspectorate check that railway enterprises leasing ro</t>
  </si>
  <si>
    <t>. It is recommended that the National Railway Inspectorate check that railway enterprises leasing rolling stock obtain access to all necessary documentation on its safe use and maintenance and send feedback on experiences to the owner of the stock and the registering authority.</t>
  </si>
  <si>
    <t>NO-464/1</t>
  </si>
  <si>
    <t>A point blad on a main track with high traffic volume broke and caused a derailment. The established</t>
  </si>
  <si>
    <t>A point blad on a main track with high traffic volume broke and caused a derailment. The established checking prosedures for discovering crack development is considered to be weaker for the point blades than for the main track. The national Railway inspectorate is recomended to order the Norwegian National Rail administration to assess wheter its regulations for pionts checking should include expicit provisiones for checking for cracs and also specify checking methods, checking areas, checking frequency and dokumentation requirements.</t>
  </si>
  <si>
    <t>NO-464/2</t>
  </si>
  <si>
    <t>The investigation work revealed circumstances indicating that the required procecces of local adopti</t>
  </si>
  <si>
    <t>The investigation work revealed circumstances indicating that the required procecces of local adoption of generic working procedures for checking and maintenance of point at Lillestrøm did not function as required. The National Railway inspectorate is recommended to order the Norwegian National Rail administration to assess whether the guidelines for local adoption of generic working procedures for checking of points ar adequate and are put into practice as intended.</t>
  </si>
  <si>
    <t>NO-401/1</t>
  </si>
  <si>
    <t>Safety recommendation JB no. 2007/21T</t>
  </si>
  <si>
    <t>NO-401/2</t>
  </si>
  <si>
    <t>Safety recommendation JB no. 2007/22T</t>
  </si>
  <si>
    <t>NO-396/1</t>
  </si>
  <si>
    <t>Consider establishing barriers that can avoid collisions due to single failur</t>
  </si>
  <si>
    <t>NO-396/2</t>
  </si>
  <si>
    <t>To evaluate the system for selection of applicants to the vacancies as tram driver</t>
  </si>
  <si>
    <t>NO-396/3</t>
  </si>
  <si>
    <t>To establish a system that secures communication between censor and instructors, and to use data fro</t>
  </si>
  <si>
    <t>To establish a system that secures communication between censor and instructors, and to use data from the registration system Synergi in the education of tram drivers</t>
  </si>
  <si>
    <t>NO-336/1</t>
  </si>
  <si>
    <t>The National Railway Inspectorate is recommended to order the Norwegian National Rail Administration</t>
  </si>
  <si>
    <t>The National Railway Inspectorate is recommended to order the Norwegian National Rail Administration to reassess the risks connected to operating the rail transport train, clarify the regulations and responsibilities, and consider making an mandatory total inspection of the train and load when closing the loading operation and starting a transport operation.</t>
  </si>
  <si>
    <t>NO-299/1</t>
  </si>
  <si>
    <t>The Norwegian Railway Inspectorate is recommended to ensure that Jernbaneverket keeps all level cros</t>
  </si>
  <si>
    <t>The Norwegian Railway Inspectorate is recommended to ensure that Jernbaneverket keeps all level crossings in a state compliant with Jernbaneverketâ€™s own technical regulations.</t>
  </si>
  <si>
    <t>NO-299/2</t>
  </si>
  <si>
    <t>The Norwegian Railway Inspectorate is recommended to request that Jernbaneverket considers a system</t>
  </si>
  <si>
    <t>The Norwegian Railway Inspectorate is recommended to request that Jernbaneverket considers a system that enables users of unsecured level crossings to contact Jernbaneverket prior to crossing to make sure this can be done safely.</t>
  </si>
  <si>
    <t>NO-299/3</t>
  </si>
  <si>
    <t>The Norwegian Railway Inspectorate is recommended to request that Jernbaneverket identifies current</t>
  </si>
  <si>
    <t>The Norwegian Railway Inspectorate is recommended to request that Jernbaneverket identifies current status and corrects any deviations with regard to signposting on all unsecured level crossings to bring this in compliance with the Signal Regulation.</t>
  </si>
  <si>
    <t>NO-299/4</t>
  </si>
  <si>
    <t>The Norwegian Railway Inspectorate is recommended to request NSB AS to consider the need for emergen</t>
  </si>
  <si>
    <t>The Norwegian Railway Inspectorate is recommended to request NSB AS to consider the need for emergency lighting and evacuation or breathing masks in the EL18 locomotiveâ€™s engine rooms.</t>
  </si>
  <si>
    <t>NO-299/5</t>
  </si>
  <si>
    <t>The Ministry of Transport is recommended to ensure that sufficient resources are allocated to the on</t>
  </si>
  <si>
    <t>The Ministry of Transport is recommended to ensure that sufficient resources are allocated to the ongoing project of closing as many as possible of the unsecured level crossings and to upgrade the remaining ones.</t>
  </si>
  <si>
    <t>NO-298/1</t>
  </si>
  <si>
    <t>The Norwegian Railway Inspectorate is recommended to ensure that Jernbaneverket reviews its RAMS pro</t>
  </si>
  <si>
    <t>The Norwegian Railway Inspectorate is recommended to ensure that Jernbaneverket reviews its RAMS process according to EN 50126 for all parts and phases for similar projects, both in itâ€™s own organisation and for subcontractors to ensure best possible compliance of the standard and its intentions. It should be created an understanding for the importance of this.</t>
  </si>
  <si>
    <t>NO-298/2</t>
  </si>
  <si>
    <t>The Norwegian Railway Inspectorate is recommended to ensure that Jernbaneverket is keeping focus on</t>
  </si>
  <si>
    <t>The Norwegian Railway Inspectorate is recommended to ensure that Jernbaneverket is keeping focus on the interface, both in the system and the operational part, when implementing new railway signalling plants.</t>
  </si>
  <si>
    <t>NO-298/3</t>
  </si>
  <si>
    <t>The Norwegian Railway Inspectorate is recommended to ensure that Jernbaneverket reviews the procedur</t>
  </si>
  <si>
    <t>The Norwegian Railway Inspectorate is recommended to ensure that Jernbaneverket reviews the procedure for handling reports concerning wrong-signal failure to see if it is adequate.</t>
  </si>
  <si>
    <t>NO-298/4</t>
  </si>
  <si>
    <t>The Norwegian Railway Inspectorate is recommended to ensure that Jernbaneverket works out an adequat</t>
  </si>
  <si>
    <t>The Norwegian Railway Inspectorate is recommended to ensure that Jernbaneverket works out an adequate way to store generic system documentation, including safety documentation, to ensure that this is being bound up in a structural way and that it is easy to get valid versions of documents for all of Jernbaneverkets systems and constructions.</t>
  </si>
  <si>
    <t>NO-298/5</t>
  </si>
  <si>
    <t>The Norwegian Railway Inspectorate is recommended to ensure that Jernbaneverket, when transferring p</t>
  </si>
  <si>
    <t>The Norwegian Railway Inspectorate is recommended to ensure that Jernbaneverket, when transferring projects from the development phase and putting them into service, has a bigger focus on identifying what kind of documentation that is needed for the running and maintenance of the railway signalling plant, and to have a system to continue to pursue and follow up the term of use, especially the RAMS related terms of use.</t>
  </si>
  <si>
    <t>NO-297/1</t>
  </si>
  <si>
    <t>The Railway Authority is recommended to ensure that Jernbaneverket improves their routines so that t</t>
  </si>
  <si>
    <t>The Railway Authority is recommended to ensure that Jernbaneverket improves their routines so that they are shore that the infrastructure is within the established mean of the limits of size.</t>
  </si>
  <si>
    <t>NO-297/2</t>
  </si>
  <si>
    <t>The Railway Authority is recommended to ensure that Jernbaneverket makes safety controls on stations</t>
  </si>
  <si>
    <t>The Railway Authority is recommended to ensure that Jernbaneverket makes safety controls on stations with the same type of platform as on Os station.</t>
  </si>
  <si>
    <t>NO-296/1</t>
  </si>
  <si>
    <t>The Railway Authority is recommended to ensure that Jernbaneverket consider the need of making new a</t>
  </si>
  <si>
    <t>The Railway Authority is recommended to ensure that Jernbaneverket consider the need of making new and updated safety analyzes for all sections of the line.</t>
  </si>
  <si>
    <t>NO-295/1</t>
  </si>
  <si>
    <t>The Railway Authority is recommended to ensure that CargoNet AS considers to bring about a fire prev</t>
  </si>
  <si>
    <t>The Railway Authority is recommended to ensure that CargoNet AS considers to bring about a fire prevention upgrade on this type of locomotives.</t>
  </si>
  <si>
    <t>NO-295/2</t>
  </si>
  <si>
    <t>The Accident Investigation Board also refers to the safety recommendation in report nr 2007/05, safe</t>
  </si>
  <si>
    <t>The Accident Investigation Board also refers to the safety recommendation in report nr 2007/05, safety recommendation nr 2007/12T.</t>
  </si>
  <si>
    <t>NO-294/1</t>
  </si>
  <si>
    <t>The Railway Authority is recommended to ensure Oslo Sporvognsdrift AS consider the need of improving</t>
  </si>
  <si>
    <t>The Railway Authority is recommended to ensure Oslo Sporvognsdrift AS consider the need of improving the system to control the mean of the limits of size for both wheels and tracks in the tram way system</t>
  </si>
  <si>
    <t>NO-294/2</t>
  </si>
  <si>
    <t>The Railway Authority is recommended to ensure Oslo Sporvognsdrift AS consider The need to ensure th</t>
  </si>
  <si>
    <t>The Railway Authority is recommended to ensure Oslo Sporvognsdrift AS consider The need to ensure that the determined mean of the limits of size is well known for the maintenance staff</t>
  </si>
  <si>
    <t>NO-293/1</t>
  </si>
  <si>
    <t>The Railway Authority is recommended to ensure that CargoNet AS considers the installation of the co</t>
  </si>
  <si>
    <t>The Railway Authority is recommended to ensure that CargoNet AS considers the installation of the condensers cabinet, and to improve the cooling system and the cleaning in the locomotives engine room.</t>
  </si>
  <si>
    <t>NO-293/2</t>
  </si>
  <si>
    <t>The Railway Authority is recommended to ensure that CargoNet AS considers a rebuilding of the oil co</t>
  </si>
  <si>
    <t>The Railway Authority is recommended to ensure that CargoNet AS considers a rebuilding of the oil cooling system that has untaught the oil spill in the engine room.</t>
  </si>
  <si>
    <t>NO-292/1</t>
  </si>
  <si>
    <t>The Railway Authority is recommended to ensure that Oslo T-banedrift AS consider to evaluate if the</t>
  </si>
  <si>
    <t>The Railway Authority is recommended to ensure that Oslo T-banedrift AS consider to evaluate if the qualification requirement to the traffic controller is sufficient to handle a power cut on the overhead power supply system</t>
  </si>
  <si>
    <t>NO-292/2</t>
  </si>
  <si>
    <t>The Railway Authority is recommended to ensure that Oslo T-banedrift AS consider to induct routines</t>
  </si>
  <si>
    <t>The Railway Authority is recommended to ensure that Oslo T-banedrift AS consider to induct routines to control the calibration of the different protective gear on the overhead power supply system</t>
  </si>
  <si>
    <t>NO-257/1</t>
  </si>
  <si>
    <t>Better protection of sections of mountain railway lines which are vulnerable to avalanges</t>
  </si>
  <si>
    <t>NO-257/2</t>
  </si>
  <si>
    <t>Better weather forecast services for mountain railway lines.</t>
  </si>
  <si>
    <t>NO-257/3</t>
  </si>
  <si>
    <t>Better communication and procedures between the Norwegian National Rail Administration and their mac</t>
  </si>
  <si>
    <t>Better communication and procedures between the Norwegian National Rail Administration and their machinery centre with regard to access to snow-clearing materials.</t>
  </si>
  <si>
    <t>REC-000181</t>
  </si>
  <si>
    <t>NO-1443/1</t>
  </si>
  <si>
    <t>Safety recommendation JB no. 2013/03T</t>
  </si>
  <si>
    <t>The points that were run through at Godlia on 31 May 2012 could have caused a railway accident. Necessary control and testing of the points had not been carried out before clearance was granted for their use. The infrastructure entity has an extensive management and control system, which includes several different documents describing how point machines are to be tested and inspected, and routine maintenance procedures include detailed checklists for inspection and audits of point machines. The basis for testing following repairs and replacements must be prepared in each individual case and contains little information about what should be tested and the purpose of the testing. The Accident Investigation Board Norway recommends that the Norwegian Railway Authority follow up to ensure that Oslo T-banedrift AS adjust and simplify the existing instructions and procedures relating to inspection and testing of Safety marked activities, to ensure that all necessary inspection and testing are carried out both in projects and in connection with ordinary maintenance.</t>
  </si>
  <si>
    <t>English</t>
  </si>
  <si>
    <t>REC-000387</t>
  </si>
  <si>
    <t>NO-1361/1</t>
  </si>
  <si>
    <t>Sikkerhetstilråding JB nr. 2012/09T</t>
  </si>
  <si>
    <t>Sikkerhetstilråding JB nr. 2012/09T Etter ulykken på Sydhavna (Sjursøya) i 2010 ble det i Jernbaneverket utført risikoanalyser for å kartlegge steder med fare for løpsk materiell. I forbindelse med dette arbeidet hadde man ved Voss stasjon identifisert muligheten for løpsk materiell fra lokstall og ned i togspor, men tiltakene anbefalt i risikoanalysen var ikke implementert. I etterkant av hendelsen har det vist seg at tiltakene som ble foreslått ikke lenger er vurdert som gode nok. Statens havarikommisjon for transport tilrår at Statens Jernbanetilsyn pålegger Jernbaneverket å verifisere at det ikke finnes steder i det norske jernbanenettet der hensatt materiell kan komme i drift på grunn av mangelfulle barrierer.</t>
  </si>
  <si>
    <t>Norwegian</t>
  </si>
  <si>
    <t>NO-1361/2</t>
  </si>
  <si>
    <t>Safety Recommendation JB No.: 2012 / 09T After the accident at Sydhavna (Sjursøya) in 2010, the National Rail Administration conducted risk assessments to identify areas with danger of runaway equipment. In connection with this work at Voss station possibilities of runaway materials from engine shed and down the train tracks were identified, but the measures recommended in the risk analysis were not implemented. After the incident, it has been shown that the measures proposed are no longer considered good enough. AIBN recommends that the State Railway Inspectorate imposes Rail Administration to verify that there are places in the Norwegian railway system where rolling stock may come into operation due to inadequate barriers.</t>
  </si>
  <si>
    <t>REC-000075</t>
  </si>
  <si>
    <t>NO-1359/1</t>
  </si>
  <si>
    <t>Safety recommendation RW no 2013/02T</t>
  </si>
  <si>
    <t>At the end of the passing tracks at Nykirke station, the line speed is reduced from 130 km/h to 70 km/h before a curved section. The speed at which the train was travelling was too high to manage the curve, and all the train's five carriages derailed and hit the cliff on the left-hand side of the tracks. Most of the Norwegian railway network is not equipped with a speed monitoring system capable of intervening if a train exceeds the line speed. The Accident Investigation Board Norway recommends that the Norwegian Railway Authority instruct the National Rail Administration to identify the places where large reductions in speed could pose a danger in connection with curves, and to implement sufficient barriers to improve safety in connection with large reductions in speed.</t>
  </si>
  <si>
    <t>REC-000027</t>
  </si>
  <si>
    <t>NO-1332/1</t>
  </si>
  <si>
    <t>Safety recommendation RW no. 2013/01T: Document that the railway legislation's requirements are met as far as supports and emergency supports for engines are concerned.</t>
  </si>
  <si>
    <t>The first thing that failed before the train derailed at Dombås, was the primary support (torque link) for one of the engines. After that, the engine was held in place by the emergency support, which is the final barrier before the engine comes lose. After a while, the emergency support also failed, so that the engine dropped towards the track. The railway legislation requires documentation to be available of the vehicle having been tested on the track with respect to operational loads and anti-derailment safety. It is the railway undertaking CargoNet AS that has overriding responsibility for the safety of the rolling stock it uses. The manufacturer Bombardier is carrying out work on track measurements in Norway, and calculation of expected service life and loads on the torque links and emergency supports for the engines. The AIBN recommends that the Norwegian Railway Authority follows up that CargoNet AS is able to document that the railway legislation's requirements are met as far as supports and emergency supports for engines are concerned, based on actual loads, including track power measurements carried out in Norway.</t>
  </si>
  <si>
    <t>NO-1258/1</t>
  </si>
  <si>
    <t>The Accident Investigation Board, Norway recommends that Statens jernbanetilsyn order Jernbaneverket</t>
  </si>
  <si>
    <t>The Accident Investigation Board, Norway recommends that Statens jernbanetilsyn order Jernbaneverket (IM) and the Railway Undertakings to verify how rules and regulations regarding the National Rail Network is understood and followed, how deviations are handled internally and these deviations are used actively as part of the companies training.</t>
  </si>
  <si>
    <t>REC-000087</t>
  </si>
  <si>
    <t>NO-1234/1</t>
  </si>
  <si>
    <t>Title 1</t>
  </si>
  <si>
    <t>Addresses the need to review existing emergency response procedures and instructions for extreme weather conditions to ascertain whether they are satisfactory.</t>
  </si>
  <si>
    <t>REC-000088</t>
  </si>
  <si>
    <t>NO-1234/2</t>
  </si>
  <si>
    <t>Title 2</t>
  </si>
  <si>
    <t>Addresses the the need to assess the existing weather preparedness to determine whether it is adequate or should be strengthened.</t>
  </si>
  <si>
    <t>NO-1169/1</t>
  </si>
  <si>
    <t>The Accident Investigation Board, Norway recommends that Statens jernbanetilsyn order Jernbaneverket (IM) to verify how rules and regulations regarding the National Rail Network and internal regulations for this kind of work are lived up to and maintained.</t>
  </si>
  <si>
    <t>NO-1168/1</t>
  </si>
  <si>
    <t>AIBN advices the Railway Administration to consider possible measures to upgrade the fire protection</t>
  </si>
  <si>
    <t>AIBN advices the Railway Administration to consider possible measures to upgrade the fire protection of existing snow tunnels.</t>
  </si>
  <si>
    <t>NO-1168/2</t>
  </si>
  <si>
    <t>AIBN advices the Directorate for Civil Protection and Emergency Planning to take greater responsibil</t>
  </si>
  <si>
    <t>AIBN advices the Directorate for Civil Protection and Emergency Planning to take greater responsibility for coordinating that fire safety and emergency preparedness in inaccessible places on the railroad fulfill expectations.</t>
  </si>
  <si>
    <t>NO-1166/1</t>
  </si>
  <si>
    <t>Statens Havarikommisjon for Transport anbefaler Samferdselsdepartementet at det blir gjort en vurder</t>
  </si>
  <si>
    <t>Statens Havarikommisjon for Transport anbefaler Samferdselsdepartementet at det blir gjort en vurdering av om det er en sikkerhetsmessig gevinst om Jernbaneverket gis egnede virkemidler til å håndtere denne type problemstillinger slik at takten i nedleggelse av planoverganger kan opprettholdes, eventuelt økes der dette er anbefalt ut fra en trafikksikkerhetsmessig vurdering.</t>
  </si>
  <si>
    <t>NO-1123/1</t>
  </si>
  <si>
    <t>The fire at Asper and other fires in diesel engines reveal that there is room for improvement in the</t>
  </si>
  <si>
    <t>The fire at Asper and other fires in diesel engines reveal that there is room for improvement in the control and maintenance system for several RU's. AIBN recommend that the NSA asks all relevant RU to describe how they prevent leakage in diesel engines that might lead to fires.</t>
  </si>
  <si>
    <t>REC-000323</t>
  </si>
  <si>
    <t>NO-1065/1</t>
  </si>
  <si>
    <t>Safety recommendation JB nr. 2011/12 T</t>
  </si>
  <si>
    <t>Construction activity was defined by the Oslo T-banedrift AS not to be covered by operating permit. Oslo T-banedrift AS (Metro) had in this process, contact the NSA and got the understanding that the NSA agreed with Oslo Tbanedrift AS. Since the Oslo T-banedrift AS defined project outside operating license, it was not followed up that the machine operators and maintenance operation took place after rules of operation permit. AIBN recommends that the State Railway Inspectorate to clarify what is included in regulations concerning construction sites, and other similar activities.</t>
  </si>
  <si>
    <t>NO-1064/1</t>
  </si>
  <si>
    <t>Maintenance routines to be updated</t>
  </si>
  <si>
    <t>NO-105/1</t>
  </si>
  <si>
    <t>At det ikke var utarbeidet prosedyre med sjekkliste for ut- og innkobling av veisikringsanlegg førte</t>
  </si>
  <si>
    <t>At det ikke var utarbeidet prosedyre med sjekkliste for ut- og innkobling av veisikringsanlegg førte ved denne hendelsen til at en viktig operasjon ble uteglemt før gjeninnkopling av anlegget. Havarikommisjonen tilråder tilsynsmyndigheten å påse at Jernbaneverket vurderer å innføre prosedyre med sjekkliste, for hvordan man skal forholde seg ved arbeider på planoverganger sikret med veisikringsanlegg.</t>
  </si>
  <si>
    <t>NO-105/2</t>
  </si>
  <si>
    <t>Dagens W-signaler har lav lysintensitet. Lokomotivføreren oppdaget for sent at signalet viste â€Plano</t>
  </si>
  <si>
    <t>Dagens W-signaler har lav lysintensitet. Lokomotivføreren oppdaget for sent at signalet viste â€Planovergangssignalet viser stopp foran planovergangenâ€. Avstanden fram til planovergangen var for kort til at han klarte å stanse toget. Havarikommisjonen tilråder tilsynsmyndigheten å påse at Jernbaneverket oppgraderer eksisterende røde/fiolette (stopp) signaler mot tog (W-signaler) slik at disse oppfyller de nye kravene i regelverket.</t>
  </si>
  <si>
    <t>NO-105/3</t>
  </si>
  <si>
    <t>En kontaktledningsmast var plassert i siktlinjen til W-signalet og begrenset sikten. Det er viktig a</t>
  </si>
  <si>
    <t>En kontaktledningsmast var plassert i siktlinjen til W-signalet og begrenset sikten. Det er viktig at det etableres en god samhandling mellom de forskjellige avdelinger i Jernbaneverket slik at en optimal løsning for sikt til signaler oppnås. Havarikommisjonen tilråder tilsynsmyndigheten å påse at Jernbaneverket vurderer om dagens rutiner for samarbeid ved fastlegging og opprettholdelse av sikt til signaler er gode nok.</t>
  </si>
  <si>
    <t>NO-1044/1</t>
  </si>
  <si>
    <t>En feil i det elektriske anlegget på en skiftetraktor av type skd.226 førte til at ettermating av ho</t>
  </si>
  <si>
    <t>En feil i det elektriske anlegget på en skiftetraktor av type skd.226 førte til at ettermating av hovedledningstrykk og styretrykk ble blokkert. Dette medførte videre at bruk av hydraulikkvekselen som dynamisk brems ble umulig og kontrollen over skiftet ble tapt. Havarikommisjonen tilrår at Statens jernbanetilsyn informerer eiere og brukere av skifttraktorer av type skd.226 og Z66 om denne feilmuligheten slik at det kan gjennomføres nødvendige endringer i prosedyrer og modifikasjoner på maskinene.</t>
  </si>
  <si>
    <t>NO-104/1</t>
  </si>
  <si>
    <t>Dagens rutiner for vedlikehold av støttebukk på godsvogn for semihenger og kontroll av lastsikring f</t>
  </si>
  <si>
    <t>Dagens rutiner for vedlikehold av støttebukk på godsvogn for semihenger og kontroll av lastsikring før avgang har i denne hendelsen vist seg å være mangelfulle. Statens havarikommisjon for transport tilrår Statens jernbanetilsyn å vurdere å pålegge Cargonet AS å endre rutiner for kontroll/ettersyn av støttebukk.</t>
  </si>
  <si>
    <t>NO-104/2</t>
  </si>
  <si>
    <t>Denne hendelsen synliggjør mangler i videreføringen av sikkerhetsstyringen fra jernbaneselskapet til</t>
  </si>
  <si>
    <t>Denne hendelsen synliggjør mangler i videreføringen av sikkerhetsstyringen fra jernbaneselskapet til datterselskaper og kontraktører. Statens havarikommisjon for transport tilrår at Statens jernbanetilsyn vurderer å fokusere spesielt på dette i sine revisjoner av jernbaneselskapene, herunder også trikk og T-bane.</t>
  </si>
  <si>
    <t>NO-102/1</t>
  </si>
  <si>
    <t>Det er sannsynlig at brannene i EL16.2216 og 2207 startet i omformerskapet for hjelpekraft som følge</t>
  </si>
  <si>
    <t>Det er sannsynlig at brannene i EL16.2216 og 2207 startet i omformerskapet for hjelpekraft som følge av uheldig montering av kondensatorene og utilstrekkelig kjøling.</t>
  </si>
  <si>
    <t>NO-102/2</t>
  </si>
  <si>
    <t>Oppstått brann eskalerte og spredte seg til øvrige deler av lokomotivet gjennom oljesøl på gulvet i</t>
  </si>
  <si>
    <t>Oppstått brann eskalerte og spredte seg til øvrige deler av lokomotivet gjennom oljesøl på gulvet i lokomotivets maskinrom.</t>
  </si>
  <si>
    <t>NO-102/3</t>
  </si>
  <si>
    <t>Statens jernbanetilsyn tilrådes å påse at CargoNet vurderer monteringsmetode for kondensatorene for</t>
  </si>
  <si>
    <t>Statens jernbanetilsyn tilrådes å påse at CargoNet vurderer monteringsmetode for kondensatorene for hjelpestrømskretsen, samt sørger for en bedre ventilasjon og renhold i lokomotivenes omformerskap.</t>
  </si>
  <si>
    <t>NO-1016/1</t>
  </si>
  <si>
    <t>Faren for brann i tog som følge av oljelekkasje i motorrom er ikke tilstrekkelig identifisert og hån</t>
  </si>
  <si>
    <t>Faren for brann i tog som følge av oljelekkasje i motorrom er ikke tilstrekkelig identifisert og håndtert i NSB AS sikkerhetsstyring for materiell av type Y1 selv om tilsvarende hendelser har forekommet på andre materielltyper. Havarikommisjonen tilrår Statens jernbanetilsyn å pålegge NSB AS å gjennomgå og vurdere togtypens konstruksjon, vedlikeholdsprogram og regler for bemanning, samt å gjennomføre eventuelle modifikasjoner, for å sikre at kravene til sikkerhet er tilfredsstilt.</t>
  </si>
  <si>
    <t>NO-101/1</t>
  </si>
  <si>
    <t>Det er sannsynlig at brannen i lokomotiv EL16.2210 skyldtes kortsluttning i høyspentkabel som følge</t>
  </si>
  <si>
    <t>Det er sannsynlig at brannen i lokomotiv EL16.2210 skyldtes kortsluttning i høyspentkabel som følge av degenerert isolasjon, på grunn av oljepåvirkning eller mekanisk slitasje. Statens jernbanetilsyn tilrådes å påse at CargoNet AS foretar brannforebyggende oppgraderinger av det elektriske anlegget i sine EL 16-lokomotiver.</t>
  </si>
  <si>
    <t>NO-100/1</t>
  </si>
  <si>
    <t>The Accident Investigation Board recommends The National Railway Authority to consider that the NSB</t>
  </si>
  <si>
    <t>The Accident Investigation Board recommends The National Railway Authority to consider that the NSB AS establishes procedures which secure the train conductor with convenient communication equipment.</t>
  </si>
  <si>
    <t>NO-100/2</t>
  </si>
  <si>
    <t>The Accident Investigation Board recommends The National Railway Authority to consider that the NSB AS secures good routines which secure the use of correct communication lines.</t>
  </si>
  <si>
    <t>NO-100/3</t>
  </si>
  <si>
    <t>The Accident Investigation Board recommends the National Railway Authority that the Norwegian National Rail Administration considers, in cooperation with all Railway undertakers, to establish a convenient communication line between the entire Traffic controller centres and all Railway undertakers operational centres.</t>
  </si>
  <si>
    <t>NO-100/4</t>
  </si>
  <si>
    <t>The Accident Investigation Board recommends the National Railway Authority that the Norwegian National Rail Administration considers, in cooperation with all Railway undertakers for personal transport, to make a list on convenient stations for evacuation for all sections on the line and put the list into the emergency plans for each section of the line.</t>
  </si>
  <si>
    <t>NO-100/5</t>
  </si>
  <si>
    <t>The Accident Investigation Board recommends the National Railway Authority that the NSB AS establish</t>
  </si>
  <si>
    <t>The Accident Investigation Board recommends the National Railway Authority that the NSB AS establishes procedures for evacuation in the section for emergency procedures.</t>
  </si>
  <si>
    <t>REC-000386</t>
  </si>
  <si>
    <t>NO-0167/1</t>
  </si>
  <si>
    <t>Safety recommendations JB no 2013/04 T</t>
  </si>
  <si>
    <t>Safety recommendations JB no 2013/04 T This incident is very similar to the level crossing accident near Hokksund in 2011 and at Viken level crossing near Gjøvik in 2009. The situations are similar, but in this case, we know for certain that the person was listening to music with earplugs, and that visibility was good. This kind of problem with earplugs is a recurring and increasing one, and the Accident Investigation Board Norway (AIBN) believes that greater focus and measures are required to combat the problem. The AIBN recommends the Norwegian Railway Inspectorate to advise the Norwegian National Rail Administration, in collaboration with other relevant infrastructure managers, to consider whether information campaigns are necessary about the use of earplugs, vigilance and mental alertness in traffic in general.</t>
  </si>
  <si>
    <t>REC-000324</t>
  </si>
  <si>
    <t>NO-0304/1</t>
  </si>
  <si>
    <t>Safety recommendation JB no 2013/06T</t>
  </si>
  <si>
    <t>The Norwegian National Rail Administration (NNRA) was aware of the risk of passing a stop signal at Dal station. It took nearly six years from the first reports about Dal station were recorded until physical changes were made to the signalling system. Previous investigation reports show several examples of accidents where the NNRA has been aware of the risk before an accident occurred. This risk concerns both reported undesirable incidents and maintenance thresholds that have been exceeded or not identified. The Accident Investigation Board Norway recommends that the Norwegian Railway Inspectorate follow up that the NNRA reviews and improves the processes that are designed to identify and assess reported cases that require immediate action</t>
  </si>
  <si>
    <t>REC-000197</t>
  </si>
  <si>
    <t>NO-0756/1</t>
  </si>
  <si>
    <t>Safety recommendation JB no 2014/01T</t>
  </si>
  <si>
    <t>The accident at Alnabru container terminal on 9 January 2013 occurred as a consequence of the shunting unit travelling towards track C31 at too high a speed to be able to stop within the available braking distance. When track C31 turned out to be occupied, the shunting unit was unable to stop before crashing into the rolling stock of train 5509. The brakes of the freight car set were not connected, and the shunting engine's brakes alone did not provide sufficient braking capacity. The AIBN takes a critical view of the fact that regulations and instructions are not complied with during shunting operations at Alnabru terminal. The AIBN recommends that the Norwegian Railway Authority follow up the railway enterprises at Alnabru with a view to reviewing the shunting procedures and ensuring that all operations are carried out in accordance with the regulations, shunting instructions and special local rules.</t>
  </si>
  <si>
    <t>REC-000198</t>
  </si>
  <si>
    <t>NO-0756/2</t>
  </si>
  <si>
    <t>Safety recommendation JB no 2014/02T</t>
  </si>
  <si>
    <t>The accidents at Alnabru station in recent years have shown that the local traffic controllers do not have optimal working conditions for traffic control. The traffic controllers have to move between control panels to set shunting routes and control signals, and they have a minimal overview. In connection with previous accidents as well as this one, the AIBN has pointed out that the traffic control centre at Alnabru is outdated and poorly adapted to the current organisation and activities at the terminal. The AIBN recommends that the Norwegian Railway Authority recommend that the Norwegian National Rail Administration consider upgrading the traffic control centre at Alnabru to achieve efficient and good work operations, a good exchange of information, overview and planning.</t>
  </si>
  <si>
    <t>REC-000196</t>
  </si>
  <si>
    <t>NO-0392/1</t>
  </si>
  <si>
    <t>Safety recommendations JB no 2013/05T</t>
  </si>
  <si>
    <t>The track, platform and railway terminal is owned by the Norwegian National Rail Administration, and Flytoget AS, NSB AS and Narvesen AS lease space in the terminal building. Flytoget AS is the only one of these parties that has procedures in place for the evacuation and clearance of the station area. The National Rail Administration in its capacity as infrastructure manager shall define requirements for the railway undertakings through the track access agreements, and thereby also define requirements for, inter alia, escape and evacuation plans and the coordination of routines and procedures. The Accident Investigation Board Norway recommends that the Norwegian Railway Authority review safety-related organisational factors at all stations that concern more than one enterprise. This is in order to clarify ownership and leasing matters, and to ensure that emergency response and evacuation procedures are functional and based on a correct interface between the National Railway Authority as the chief authority and the other enterprises.</t>
  </si>
  <si>
    <t>REC-000194</t>
  </si>
  <si>
    <t>NO-2426/1</t>
  </si>
  <si>
    <t>Safety recommendation JB no 2014/03T</t>
  </si>
  <si>
    <t>On Friday 17 May 2013, there was a collision between two trams at Sørli tram stop in Oslo. Tram 114 was standing still while passengers were alighting and boarding when it was hit by tram 104. Accidents and collisions in recent years underline the need for the public transport company Sporveien Trikken AS to carry out a new review of measures that can prevent collisions. The Norwegian Accident Investigation Board recommends that the Norwegian Railway Inspectorate follow up that Sporveien Trikken AS assess barriers that can prevent collisions between trams.</t>
  </si>
  <si>
    <t>REC-000079</t>
  </si>
  <si>
    <t>NO-2511/1</t>
  </si>
  <si>
    <t>Safety recommendation JB no 2014/04T</t>
  </si>
  <si>
    <t>On 22 July 2013, track buckling occurred at kilometre point 281.5 between Kvam and Sjoa on the Dovrebanen line. Hector Rail AB's northbound freight train 41631 derailed as a consequence of this. Three days prior to the incident, packing had been carried out due to uneven settlement of the track. It is assumed that the work that was done, together with high rail temperatures, temporarily weakened the track's lateral stability to a sufficient extent to cause buckling. The packing had not been followed up by daily inspection visits. The Accident Investigation Board Norway recommends that the Norwegian Railway Authority recommend that the Norwegian National Rail Administration review the inspection procedures for this type of track work, assess whether they are adequate and, if applicable, update the procedures.</t>
  </si>
  <si>
    <t>REC-000080</t>
  </si>
  <si>
    <t>NO-2511/2</t>
  </si>
  <si>
    <t>Safety recommendation JB no 2014/05T</t>
  </si>
  <si>
    <t>The purpose of establishing permanent geodetic control marks along the track is to define the track's position in an external local reference system. The method is based on comparing the theoretical position of the track with the position of the track relative to a set of geodetic control marks along the track. Excessive deviation between these positions indicates that the track has been displaced, and that stresses may have developed in the track. A lateral displacement towards the inside of a curve will reduce the fastening-down (neutral) temperature of the rails, and thus increase the stresses at high temperatures. Geodetic control marks had been surveyed at Heggerusta on the Dovrebanen line, but the marks had not been maintained. The Accident Investigation Board Norway recommends that the Norwegian Railway Authority recommend that the Norwegian National Rail Administration establish a binding progress schedule for updating existing track sections and for establishing geodetic/permanent geodetic control marks on any sections lacking such marks.</t>
  </si>
  <si>
    <t>REC-000385</t>
  </si>
  <si>
    <t>NO-2616/1</t>
  </si>
  <si>
    <t>Safety recommendation JB no 2014/06T</t>
  </si>
  <si>
    <t>On Friday 5 July 2013, a 17-year-old youth fell onto the track between the platform and the metro train at Høyenhall metro station and died. The person in question alighted at Høyenhall station tripped and fell onto the track while the train was leaving the station. The opening between the wagons is 60 cm x 40 cm, and wide enough for an adult person to fall onto the track. The Accident Investigation Board Norway recommends that the Norwegian Railway Authority follow up that Sporveien T-banen AS considers measures to reduce the probability of people falling between the platform and the train.</t>
  </si>
  <si>
    <t>REC-000081</t>
  </si>
  <si>
    <t>NO-2629/1</t>
  </si>
  <si>
    <t>Safety recommendation JB. no 2014/07T</t>
  </si>
  <si>
    <t>On Thursday 1 August 2013, train 123 hit a vehicle that had queued up on the Enebekk level crossing at the Østfold line. The Accident Investigation Board Norway (AIBN) points to a weakness of full barriers as a safety measure. If a vehicle is caught between the barriers, the train will still receive a clear signal in the level crossing signal. One relies on the visual observation of the vehicle by the train driver to prevent, or reduce the consequence of an impact. The Accident Investigation Board Norway recommends the Norwegian Railway Authority to ask the Norwegian National Rail Administration to evaluate object detection solutions for level crossings with a high risk of vehicles being trapped between the barriers.</t>
  </si>
  <si>
    <t>REC-000458</t>
  </si>
  <si>
    <t>NO-3012/1</t>
  </si>
  <si>
    <t>Safety recommendation JB no 2014/09T</t>
  </si>
  <si>
    <t>At the time of the derailment, Cargolink AS lacked a description of where wagons should be placed in a train and had not defined any requirements for functional interfaces for longitudinal transfer of traction and compression loads in the train. As part of the general and overriding requirements for the operation of trains on the national rail network, the Norwegian Train Operation Regulations state that it is the responsibility of each individual railway undertaking to analyse its own activities in order to ensure that it has adequate instructions and procedures in place that are harmonised with overriding requirements and the activities of other railway undertakings. The Accident Investigation Board Norway recommends that the Norwegian Railway Authority (Statens jernbanetilsyn) request that Cargolink AS review the risk analyses on which its internal procedures and instructions are based in order to ensure that they are comprehensive enough and ensure functional operation across interfaces with the national railway network and with the activities of other railway undertakings.</t>
  </si>
  <si>
    <t>REC-000465</t>
  </si>
  <si>
    <t>NO-3011/1</t>
  </si>
  <si>
    <t>Safety recommendation JB no 2014/08T</t>
  </si>
  <si>
    <t>The deceased did not notice that a light rail vehicle heading in the direction of the city centre was approaching the stop and therefore started to cross the track. Bergen Light Rail has emphasised openness and accessibility at its stops, and physical barriers such as guide fences and railings are little used, including at stops. The problem of separation has been solved visually by distinguishing between areas and marking places where pedestrians can cross. The Accident Investigation Board Norway proposes that the Norwegian Railway Inspectorate recommend Bybanen AS to identify measures that can substantiate that Bergen Light Rail's stops are designed in a manner that ensures that all users can cross safely. This includes users with an impaired ability to perceive and avoid dangerous situations, for example children, the elderly and people with other forms of functional impairment.</t>
  </si>
  <si>
    <t>REC-000082</t>
  </si>
  <si>
    <t>NO-3245/1</t>
  </si>
  <si>
    <t>Safety recommendation JB No 2015/01T</t>
  </si>
  <si>
    <t>On Thursday 23 January 2014, a tram derailed at a set of points at Jar station in Bærum. A contributing factor to the derailment was a sub-optimal fit between the tram wheels and the point blades. This matter had previously been brought to the attention of Sporveien Trikken AS, but the experience had not been sufficiently communicated to the rest of the organisation. In the AIBN's opinion, this was one reason why the risk was not assessed in connection with the Kolsås project. The Accident Investigation Board Norway recommends that the Norwegian Railway Authority (Statens jernbanetilsyn) request that Sporveien Oslo AS evaluate how knowledge and learning from previous derailments are shared and applied in the organisation, so that they can be used in preventive safety work both in operational tasks and in new projects</t>
  </si>
  <si>
    <t>REC-000023</t>
  </si>
  <si>
    <t>NO-3430/1</t>
  </si>
  <si>
    <t>Safety recommendation JB no 2015/02T</t>
  </si>
  <si>
    <t>On Sunday 9 February 2014, a pedestrian was hit by the eastbound metro train at Steinerud level crossing on the Holmenkollen line. The pedestrian died in the accident. The pedestrian passed the flexible end of the boom, which is an emergency exit, after it had been fully lowered. The investigation found that there have been many illegal crossings of level crossings along the metro network in Oslo. The Accident Investigation Board Norway recommends that the Norwegian Railway Authority request Sporveien T-banen AS to document that a risk assessment has been carried out of level crossing protection systems with emergency exits and that, as far as possible, they have been adapted to local conditions to prevent illegal crossing.</t>
  </si>
  <si>
    <t>REC-000078</t>
  </si>
  <si>
    <t>NO-3606/1</t>
  </si>
  <si>
    <t>Safety recommendation JB no 2015/03T</t>
  </si>
  <si>
    <t>On Tuesday 15 April 2014, a shunting unit from TX Logistik AB derailed north of Svene Pukkverk on the Numedalsbanen line. Eight of the 22 wagons carrying wood chippings derailed and extensive material damage was caused, both to the rolling stock and the infrastructure. Until the transport of wood chippings started, the Numedalsbanen line had been given low priority by the National Rail Administration, although, as part of the national rail network, it was supposed to be safe for traffic. The line had significant weaknesses that were not uncovered prior to the increase in traffic. The heavy trains carrying wood chippings subjected the line to strong forces, and only six months elapsed before rolling stock derailed. The Accident Investigation Board Norway recommends that the Norwegian Railway Authority (Statens jernbanetilsyn) take steps to ensure that decisions by the National Rail Administration (Jernbaneverket) to permit increased traffic on sections of line that have long been without ordinary traffic are based on the extent to which the section of line has been maintained prior to the increase in traffic, and all the requirements this entails as regards follow-up and monitoring of how the condition of the line develops.</t>
  </si>
  <si>
    <t>REC-000173</t>
  </si>
  <si>
    <t>NO-3974/1</t>
  </si>
  <si>
    <t>Safety recommendation JB No 2015/06T</t>
  </si>
  <si>
    <t>On 16 July 2014, a metro train collided with some drilling equipment that had come down through the tunnel ceiling in the Oppsal tunnel. The drilling equipment was used in connection with geotechnical surveying above the tunnel relating to the upgrading of the Østensjø line. Those involved in the project had failed to identify the risk of drilling through the tunnel ceiling in advance, and no measures had therefore been implemented to ensure the safety of train traffic. The AIBN recommends that the Norwegian Railway Authority ensures that Sporveien Tbanen AS, in its control of contractors, has a process in place to ensure that risk factors in connection with work on or near tracks are addressed, and that suppliers are provided with supporting information of relevance to the work to be carried out.</t>
  </si>
  <si>
    <t>REC-000631</t>
  </si>
  <si>
    <t>NO-4375/1</t>
  </si>
  <si>
    <t>Safety recommendation JB no 2015/07T</t>
  </si>
  <si>
    <t>On Monday 3 November 2014, freight train 5932 derailed from track 1 at Eidsvoll station because the points were incorrectly set. The track had been reopened that morning after alteration work in the station area. Checklists are prepared showing which components and functions are to be inspected in order to ensure that the system functions correctly. The person responsible for the final inspection at the traffic control centre was in possession of the test protocol and filled in the checklists, while an assistant was out in the field. The assistant did not have a copy of these documents. In this case inspection of the position of the points was overlooked. The Accident Investigation Board Norway recommends that the Norwegian Railway Authority recommend that the Norwegian National Rail Administration (Jernbaneverket) introduce requirements to provide assurance of redundancy and barriers so that checkpoints are not overlooked in connection with the performance of function tests and final inspections.</t>
  </si>
  <si>
    <t>REC-000632</t>
  </si>
  <si>
    <t>NO-4375/2</t>
  </si>
  <si>
    <t>Safety recommendation JB no 2015/08T</t>
  </si>
  <si>
    <t>On Monday 3 November 2014, freight train 5932 derailed from track 1 at Eidsvoll station because the points were incorrectly set. The track had been reopened that morning after alteration work in the station area. The track and interlocking system had been inspected and approved, but, in this case, the physical inspection of the position of the points was left out as a result of a misunderstanding. Jernbaneverket has not established fixed phrases for communication between the person responsible for the final inspection and assisting personnel. The AIBN recommends that the Norwegian Railway Authority recommend that the Norwegian National Rail Administration (Jernbaneverket) introduce fixed phrases for use in connection with testing and inspection of safety-critical functions related to the interlocking system.</t>
  </si>
  <si>
    <t>REC-000031</t>
  </si>
  <si>
    <t>NO-4722/1</t>
  </si>
  <si>
    <t>Safety recommendation JB No 2015/09 T</t>
  </si>
  <si>
    <t>On Monday 9 February 2015, train 411 collided with the buffer stops in track 23 at Trondheim Central Station. Due to bad weather, seawater had blown in over the station area. As the tracks were not used over the weekend, this left them slippery. Train 411 was the first train using the track that morning. The Accident Investigation Board Norway recommends that the Norwegian Railway Authority recommend that the Norwegian National Rail Administration (Jernbaneverket) review its instructions regarding measures in connection with unfavourable weather conditions, so that the risk factors in connection with coastal areas are identified and the necessary measures are implemented.</t>
  </si>
  <si>
    <t>REC-000070</t>
  </si>
  <si>
    <t>NO-4728/1</t>
  </si>
  <si>
    <t>Safety recommendation JB no 2016/01T</t>
  </si>
  <si>
    <t>At 20.15 on Monday 9 February 2015, freight train 5502 derailed at Grytå between Tunga and Haugastøl on the Bergen Line when it ran into a snowdrift. The train was pulled by a new type of locomotive. Operators that are to operate a section of line are required to carry out risk assessments in order to identify all technical and operational risk factors, but this had not uncovered the weaknesses in the positioning and design of the snowplough. The Accident Investigation Board Norway recommends that the Norwegian Railway Authority take steps to ensure that railway undertakings have procedures for and are aware of their duty to assess risks and implement adequate barriers when introducing new rolling stock in winter operations.</t>
  </si>
  <si>
    <t>REC-000267</t>
  </si>
  <si>
    <t>NO-4740/1</t>
  </si>
  <si>
    <t>Safety recommendation JB no 2016/02T</t>
  </si>
  <si>
    <t>On Tuesday 10 March 2015, the jib of a crane in work train 55208 hit a passenger train at Aker station in Oslo. Two barriers that should have prevented the jib from moving during transport failed in connection with this accident. More than 100 other railway cranes and crane wagons are available for use on the national railway network. If they are not sufficiently secured, they can represent the same type of risk. The Accident Investigation Board Norway recommends that the Norwegian Railway Authority ensures that the Norwegian National Rail Administration has sufficient barriers against movement in place on plant such as cranes etc. during transport on all rolling stock it owns or hires</t>
  </si>
  <si>
    <t>REC-000207</t>
  </si>
  <si>
    <t>NO-4801/1</t>
  </si>
  <si>
    <t>Safety recommendation JB No 2016/03T</t>
  </si>
  <si>
    <t>On 20 May 2015, an Lgjns freight wagon on train 45958 derailed near Oppegård on the Østfoldbanen line. Upon inspection after the derailment, fracture lines were detected in the form of small cracks on the surface of the longitudinal girder and concealed cracks in welds. They were found where the axle guards are fixed to the longitudinal girder, an area that is subjected to strong forces because of the design of the wagon. The Accident Investigation Board Norway recommends that the Norwegian National Rail Administration request Green Cargo AB to ensure that future welding work in the area where axle guards are fixed to the longitudinal girder on Lgjns wagons is carried out and documented in accordance with applicable welding norms.</t>
  </si>
  <si>
    <t>REC-000210</t>
  </si>
  <si>
    <t>NO-4801/2</t>
  </si>
  <si>
    <t>Safety recommendation JB No 2016/04T</t>
  </si>
  <si>
    <t>On 20 May 2015, an Lgjns freight wagon on train 45958 derailed near Oppegård on the Østfoldbanen line. The container on the wagon was more heavily loaded at the rear than at the front, but it was within the applicable rules for loading. This wagon type is more at risk of derailment than others because of the low weight of the wagon, short wheel base and large overhang. Uneven load distribution contributed to the wheel lift and the derailment. The Accident Investigation Board Norway recommends that the Norwegian National Rail Administration request Green Cargo AB to verify that the applicable loading principles are sufficient for this type of wagon.</t>
  </si>
  <si>
    <t>REC-000404</t>
  </si>
  <si>
    <t>NO-4899/1</t>
  </si>
  <si>
    <t>Non functioning derailer</t>
  </si>
  <si>
    <t>On Monday 5 October 2015, a locomotive ran out of control between Nyland yard and Alnabru terminal in Oslo during shunting. The driver tried to brake using the electrical resistance brakes, but rather than slowing down, the locomotive continued to accelerate to a speed of 103 km/h. After approximately 200 metres, the locomotive ran through a derailer without derailing and continued to the Alnabru terminal against a stop signal. The Accident Investigation Board Norway recommends that the Norwegian Railway Authority ask the Norwegian Railway administration to conduct a review of the regulations for train-protection installations, including to assess the design and function of derailers to ensure that they provide an adequate barrier capable of bringing the rolling stock to a halt.</t>
  </si>
  <si>
    <t>REC-000138</t>
  </si>
  <si>
    <t>NO-5041/1</t>
  </si>
  <si>
    <t>Safety recommendation JB No 2016/08T</t>
  </si>
  <si>
    <t>In the early hours of Friday 26 February 2016, a road-rail vehicle was engaged in maintenance work near Sinsen metro station. The brakes failed at the work site and the crew jumped from the moving vehicle. The vehicle rolled uncontrolled for 600 metres before it stopped. The brake system for the rail wheels does not meet the fail-safe requirements of the Legal Requirement Regulations. The Accident Investigation Board Norway recommends that the Norwegian Railway Authority request the undertakings to consider the introduction of restrictions on use of vehicles with this type of brake system.</t>
  </si>
  <si>
    <t>NO-5041/2</t>
  </si>
  <si>
    <t>Sikkerhetstilråding JB nr. 2016/08T Natt til fredag 26. februar 2016 var en skinnegående ledningsbil på et vedlikeholdsoppdrag ved Sinsen T-banestasjon. På arbeidsstedet sviktet bremsene, og mannskapet hoppet ut i fart. Kjøretøyet rullet ukontrollert 600 meter før det stoppet. Bremsesystemet for jernbanehjulene oppfyller ikke kravforskriften om å feile til sikker tilstand. Statens havarikommisjon for transport tilrår Statens jernbanetilsyn å be virksomhetene vurdere bruksbegrensninger for kjøretøy med denne typen bremsesystem.</t>
  </si>
  <si>
    <t>REC-000538</t>
  </si>
  <si>
    <t>NO-5063/1</t>
  </si>
  <si>
    <t>Safety recommendation JB No 2016/06T</t>
  </si>
  <si>
    <t>Statens havarikommisjon for transport tilrår Statens jernbanetilsyn å be Jernbaneverket gjennomgå og om mulig endre sporvalg, ved kryssinger med passasjerutveksling, der ankommende tog passerer over en personovergang.</t>
  </si>
  <si>
    <t>NO-5063/2</t>
  </si>
  <si>
    <t>The Accident Investigation Board Norway recommends that the Norwegian Railway Authority and Jernbaneverket review and, if possible revise, the track allocation pattern for trains that pass each other and exchange passengers, in places where the approaching train has to cross a pedestrian crossing.</t>
  </si>
  <si>
    <t>REC-000539</t>
  </si>
  <si>
    <t>NO-5063/3</t>
  </si>
  <si>
    <t>Safety recommendation JB No 2016/07T</t>
  </si>
  <si>
    <t>Statens havarikommisjon for transport tilrår Statens jernbanetilsyn å be Jernbaneverket gjennomgå og presisere sine krav til sikring av personoverganger på stasjoner, sett i sammenheng med en økende bruk av lyd på øret og smarttelefoner.</t>
  </si>
  <si>
    <t>NO-5063/4</t>
  </si>
  <si>
    <t>The Accident Investigation Board Norway recommends that the Norwegian Railway Authority request Jernbaneverket (the Norwegian National Rail Administration) to review and clarify its requirements for securing pedestrian crossings at all stations with regard to the increasing use of ear plugs and smart phones.</t>
  </si>
  <si>
    <t>REC-000139</t>
  </si>
  <si>
    <t>NO-5079/1</t>
  </si>
  <si>
    <t>Safety recommendation JB No 2017/01T</t>
  </si>
  <si>
    <t>On Friday 29 April 2016, a shunting stock backed into the side of an incoming freight train at Alnabru. The tracks at the scene of the incident are not equipped with a signalling system. Bane NOR SF has specific instructions for how to manage train and shunting routes in this area. In addition, there exists a recommended practice for the local traffic controller at Alnabru that contains work procedures for how to avoid collisions. The Accident Investigation Board Norway recommends that the Norwegian Railway Authority ensure that Bane NOR SF has sufficient barriers against collisions in areas that do not have a signalling system.</t>
  </si>
  <si>
    <t>REC-000171</t>
  </si>
  <si>
    <t>NO-5083/1</t>
  </si>
  <si>
    <t>Safety recommendation JB No 2017/02T</t>
  </si>
  <si>
    <t>On Sunday 8 May 2016, three persons climbed up onto a work train that was parked between Rudshøgda and Moelven stations on the Dovrebanen line. One person came into contact with the catenary line and died. The diesel-powered work train was undertaking ballast cleaning on the line during the weekend in question. The power supply was disconnected while the work took place, but was reconnected during breaks in the work. The current regulations do not provide sufficient guidelines for parking rolling stock during breaks in work. The Accident Investigation Board Norway (AIBN) recommends that the Norwegian Directorate for Civil Protection and Emergency Planning ask Bane NOR SF to carry out an internal risk assessment of the regulations and practice for connecting and disconnecting the power when rolling stock is parked on open lines.</t>
  </si>
  <si>
    <t>REC-000229</t>
  </si>
  <si>
    <t>NO-5096/1</t>
  </si>
  <si>
    <t>Safety recommendation JB No 2017/03T: Verify track corrections</t>
  </si>
  <si>
    <t>Sikkerhetstilråding JB nr. 2017/03T Den 31. mai 2016 sporet Green Cargo AB sitt godstog 5242 av i en solslyng rett nord for Bøn stasjon på Hovedbanen. En av faktorene som bidro til solslyngen var en sporfeil som hadde utviklet seg over tid. Bane NOR SF registrerte sporfeilen flere ganger, men den ble ikke utbedret. Statens havarikommisjon for transport tilrår Statens jernbanetilsyn å be Bane NOR SF gjennomgå og forbedre kontrollmekanismene som skal sikre at sporkorrigering blir utført og dokumentert.</t>
  </si>
  <si>
    <t>NO-5096/2</t>
  </si>
  <si>
    <t>On 31 May 2016, Green Cargo ABâ€™s freight train 5242 derailed due to buckling of the track just north of Bøn station on the Hovedbanen line. One of the factors that caused the buckling was a track fault that had developed over time. Bane NOR SF registered the track fault several times, but it was not repaired. The Accident Investigation Board Norway recommends that the Norwegian Railway Authority request Bane NOR SF to review and improve the control mechanisms that are supposed to ensure that track corrections are carried out and documented.</t>
  </si>
  <si>
    <t>REC-000234</t>
  </si>
  <si>
    <t>NO-5096/3</t>
  </si>
  <si>
    <t>Safety recommendation JB No 2017/04T: risk understanding at the interface between project-based work and day-to-day operations</t>
  </si>
  <si>
    <t>On 31 May 2016, Green Cargo ABâ€™s freight train 5242 derailed due to buckling of the track just north of Bøn station on the Hovedbanen line. Work had been carried out on the section prior to the derailment. Bane NOR SF was unable to identify the risk factors that caused increased vulnerability to buckling, neither those that were known to the operating organisation nor those that were introduced through the work performed the year before. The Accident Investigation Board Norway recommends that the Norwegian Railway Authority request Bane NOR SF to strengthen its process for ensuring a shared risk understanding at the interface between project-based work and day-to-day operations.</t>
  </si>
  <si>
    <t>REC-000630</t>
  </si>
  <si>
    <t>NO-5179/1</t>
  </si>
  <si>
    <t>Safety recommendation JB No 2017/05T</t>
  </si>
  <si>
    <t>On Monday 3 October 2016, a passenger train ran into a rockfall and derailed just north of Bjerka Station on the Nordland line. Most of the boulders fell into the rockfall ditch, but some boulders landed on the track. The rockfall started in an area that had been inspected and where protection measures had been implemented. The Accident Investigation Board Norway recommends that the Norwegian Railway Authority ensure that Bane NOR SF develops adequate procedures and methods to monitor slope stability resulting from changes in the climate and weather.</t>
  </si>
  <si>
    <t>REC-000327</t>
  </si>
  <si>
    <t>NO-5185/1</t>
  </si>
  <si>
    <t>Stop at the correct marks (Safety recommendation JB No 2017/06T)</t>
  </si>
  <si>
    <t>Safety recommendation JB No 2017/06T On 10 October 2016, a metro train stopped in an incorrect position at Romsås station, such that the two rearmost doors were beyond the end of the platform. A wheelchair user reversed out of the Train and sustained minor injuries when falling down between the track and the tunnel wall. There are no technical barriers that ensure that metro trains stop at the correct stop marks. The Accident Investigation Board Norway advises the Norwegian Railway Authority to ask Sporveien T-banen AS to implement measures to ensure that metro Trains stop more precisely at the correct stop marks.</t>
  </si>
  <si>
    <t>REC-000365</t>
  </si>
  <si>
    <t>NO-5193/1</t>
  </si>
  <si>
    <t>Safety recommendation JB No 2017/07T</t>
  </si>
  <si>
    <t>On Thursday 27 October 2016, a track maintenance vehicle started rolling uncontrolled towards Marnardal and derailed at a high speed after 5.6 km. The vehicle was operated by NJD Railvac AS for Bane NOR SF. This means that Bane NOR SF has an overarching responsibility for safety management in the supplierâ€™s activities. NJD Railvac AS had made changes to the vehicle without carrying out a risk assessment, and there were weaknesses in the operational practice. The Accident Investigation Board Norway recommends that the Norwegian Railway Authority request Bane NOR SF to strengthen its control of suppliersâ€™ safety management through its management of suppliers</t>
  </si>
  <si>
    <t>NO-5242/1</t>
  </si>
  <si>
    <t>Safety recommendation JB No 2018/01T</t>
  </si>
  <si>
    <t>On Thursday 2 February 2017, a 16-year-old girl died when she fell between the platform and a metro train leaving the station. Falling between the platform and the train entails a great risk of serious personal injury or death. Sporveien T-banen AS has previously concluded that physical barriers between the edge of the platform and the track would be too costly and uncertain a measure to introduce on existing platforms. The Accident Investigation Board Norway recommends that the Norwegian Railway Authority request Sporveien T-banen AS to consider measures to raise passenger awareness of the risk of falling onto the track.</t>
  </si>
  <si>
    <t>REC-000268</t>
  </si>
  <si>
    <t>NO-5242/2</t>
  </si>
  <si>
    <t>Safety recommendation JB No 2018/02T</t>
  </si>
  <si>
    <t>On Thursday 2 February 2017, a 16-year-old girl died when she fell between the platform and a metro train leaving the station. There are gaps big enough for a person to fall onto the track between each carriage and where the train sets are connected. The Accident Investigation Board Norway recommends that the Norwegian Railway Inspectorate follow up Sporveien T-banen ASâ€™s further work to consider measures on train sets to reduce the risk of persons falling between the train and the platform.</t>
  </si>
  <si>
    <t>REC-000269</t>
  </si>
  <si>
    <t>NO-5242/3</t>
  </si>
  <si>
    <t>Safety recommendation JB No 2018/03T</t>
  </si>
  <si>
    <t>On Thursday 2 February 2017, a 16-year-old girl died when she fell between the platform and a metro train leaving the station. At Holstein station, the distance between the side of the train and the edge of the platform was measured to 160 mm in a gentle curve. The ideal distance is approx. 100 mm for straight tracks, and the gap is bigger in curves. Regular inspection and maintenance of stations is required to ensure that they meet the distance requirements. Sporveien AS was planning to carry out an extra inspection of the distance between the train and the platform in December 2017. The Accident Investigation Board Norway recommends that the Norwegian Railway Inspectorate follow up that Sporveien T-banen AS has the distance between the train and the edge of the platform under control and that it is kept to a minimum.</t>
  </si>
  <si>
    <t>REC-000868</t>
  </si>
  <si>
    <t>NO-5278/1</t>
  </si>
  <si>
    <t>Access to tracks for work</t>
  </si>
  <si>
    <t>Sikkerhetstilråding JB nr. 2017/08T Den 11. mars 2017 kl. 0527 kolliderte et persontog med en gravemaskin som utførte arbeider for Bane NOR SF, sør for Lillehammer stasjon på Dovrebanen. Arbeidet ble gjort nattestid, fordelt på flere disponeringer mellom ordinær toggang. Arbeidsformen innebærer stor variasjon i aktivitetsnivå, som igjen kan påvirke årvåkenhet og risiko for feilhandlinger. Statens havarikommisjon for transport tilrår Statens jernbanetilsyn å be Bane NOR SF risikovurdere disponering som arbeidsform, for å øke sikkerheten ved arbeider som medfører stor variasjon i aktivitetsnivå.</t>
  </si>
  <si>
    <t>NO-5278/2</t>
  </si>
  <si>
    <t>Safety recommendation JB No 2017/08T At 05.27 on Saturday 11 March 2017, a passenger train collided with a road-rail excavator that was carrying out work for Bane NOR SF south of Lillehammer station on the Dovrebanen line. The work was carried out during the night, broken down into several short track possessions in between ordinary train operations. This work method involves great variations in the level of activity, which can in turn have a bearing on the workers' alertness and on the risk of errors. The Accident Investigation Board Norway recommends that the Norwegian Railway Authority request Bane NOR SF to conduct a risk assessment of track possessions as a work method in order to improve the safety of work involving great variations in level of activity.</t>
  </si>
  <si>
    <t>NO-5327/1</t>
  </si>
  <si>
    <t>Safety recommendation JB No 2018/06T</t>
  </si>
  <si>
    <t>On 14 April 2017, Green Cargo ABâ€™s freight train 45930 derailed on track 3 at Loenga station on the Hovedbanen line. A track fault exceeding the permitted limit value for twist was measured at the derailment site. Excavation work was carried out at the site 12 days before the derailment. The track fault was identified and Bane NOR made two attempts to correct it after the work was completed, but it nonetheless exacerbated up until the time of the derailment. The Accident Investigation Board Norway recommends that the Norwegian Railway Authority request Bane NOR SF to review and improve the procedures for follow-up after track corrections.</t>
  </si>
  <si>
    <t>REC-000633</t>
  </si>
  <si>
    <t>NO-5364/1</t>
  </si>
  <si>
    <t>Safety recommendation JB No 2018/08T</t>
  </si>
  <si>
    <t>On Sunday 18 June 2017, an employee was seriously injured when wagons started to roll uncontrolledly during shunting at Stavanger shunting yard. Bane NOR SF was the construction client and had overriding responsibility for safety in connection with the construction work. Runaway rolling stock was not assessed as a risk in the construction clientâ€™s safety, health and working environment plan. Moreover, the driver was not involved in the safe job analysis conducted the day before the work started, and subsequent changes to the assignment were not sufficiently communicated between the parties involved. The Accident Investigation Board Norway recommends that the Norwegian Railway Authority request Bane NOR SF to strengthen its safety management system with a view to detecting changes in circumstances in projects where the enterprise is the construction client.</t>
  </si>
  <si>
    <t>REC-000634</t>
  </si>
  <si>
    <t>NO-5364/2</t>
  </si>
  <si>
    <t>Safety recommendation JB No 2018/09T</t>
  </si>
  <si>
    <t>On Sunday 18 June 2017, an employee was seriously injured when wagons started to roll uncontrolledly during shunting at Stavanger shunting yard. A change in Bane NOR SFâ€™s regulations resulted in changes to the competence requirements for personnel qualified to assist during shunting. During this shunting operation, the driver had to carry out many of the tasks of a shunter. An increased workload can result in increased risk of incidents or accidents. The Accident Investigation Board Norway recommends that the Norwegian Railway Authority request Bane NOR SF to consider the consequences of the change in regulations regarding shunting competence.</t>
  </si>
  <si>
    <t>REC-000620</t>
  </si>
  <si>
    <t>NO-5382/1</t>
  </si>
  <si>
    <t>Safety recommendation JB No 2018/07T</t>
  </si>
  <si>
    <t>On Saturday 24 June and Wednesday 5 July 2017, two car drivers died in level crossing accidents on the Røros line. The crossing of such unsecured level crossings is based solely on the road user seeing or hearing the train in time. The barriers currently in use are not always sufficient to attract the attention of road users due to flaws in peopleâ€™s perception, understanding and behaviour. The Accident Investigation Board Norway recommends that the Norwegian Railway Authority ask Bane NOR SF to consider barriers that are better able to attract the attention of road users at unsecured level crossings.</t>
  </si>
  <si>
    <t>REC-000532</t>
  </si>
  <si>
    <t>NO-5464/1</t>
  </si>
  <si>
    <t>Safety recommendation JB No 2018/10T</t>
  </si>
  <si>
    <t>On Tuesday 3 October 2017, museum train 344 consisting of a locomotive and two passenger carriages derailed at Svorkmo station on the Thamshavn line. The derailment was caused by gauge spread resulting from the poor quality of the sleepers. Sleepers are S-marked objects, and this requires a particular focus in connection with maintenance and inspection etc. No tolerance limit values have been established for S-marked objects. The Accident Investigation Board Norway recommends that the Norwegian Railway Authority request the Museums of Sør-Trøndelag to review and improve the procedure for inspection and maintenance of S-marked objects.</t>
  </si>
  <si>
    <t>REC-000264</t>
  </si>
  <si>
    <t>NO-5478/1</t>
  </si>
  <si>
    <t>Safety recommendation JB No 2018/11T</t>
  </si>
  <si>
    <t>On Thursday 26 October 2017, the first carriage of CargoNet AS's train 8702 derailed at a set of points at Trondheim central station. A brake shoe was overlooked during the departure check, which lead to the derailment. It was dark and raining at the time, and a fence limited the possibility of walking along the side of the carriage. The Accident Investigation Board Norway recommends that the Norwegian Railway Authority request Bane NOR SF to consider, in consultation with the railway undertakings, measures to reduce the risk of inserted brake shoes being overlooked.</t>
  </si>
  <si>
    <t>REC-000266</t>
  </si>
  <si>
    <t>NO-5478/2</t>
  </si>
  <si>
    <t>Safety recommendation JB No 2018/12T</t>
  </si>
  <si>
    <t>On Thursday 26 October 2017, the first carriage of CargoNet AS's train 8702 derailed at a set of points at Trondheim central station. A brake shoe was overlooked during the departure check, which lead to the derailment. It is described in the railway undertakingâ€™s safety check procedure that it must be checked that there are no brake shoes on the tracks. Internal audits have uncovered cases of failure to comply with the procedure. The Accident Investigation Board Norway recommends that the Norwegian Railway Authority request CargoNet AS to ensure that the procedure for safety checks and function-testing of brakes is performed correctly.</t>
  </si>
  <si>
    <t>REC-000621</t>
  </si>
  <si>
    <t>NO-5550/1</t>
  </si>
  <si>
    <t>Safety recommendation JB No 2018/13T</t>
  </si>
  <si>
    <t>On Thursday 23 November 2017, the wind tipped an empty 25-foot swap body container off freight train 5790 near Finneid bridge south of Fauske station. The Nordlandsbanen line runs parallel with the E6 road at that point, and the swap body came to rest between the railway line and the road. Wind calculations show that a gust of wind must exceed 33 m/s to tip a swap body of this kind off a two-axle freight wagon. Bane NOR SFâ€™s instructions concerning measures to be taken in connection with adverse weather conditions are inadequate as regards the implementation of measures when strong winds are forecast. The Accident Investigation Board Norway recommends that the Norwegian Railway Authority request Bane NOR SF to expand its weather preparedness to include notifying railway undertakings of strong winds.</t>
  </si>
  <si>
    <t>REC-000624</t>
  </si>
  <si>
    <t>NO-5550/2</t>
  </si>
  <si>
    <t>Safety recommendation JB No 2018/14T</t>
  </si>
  <si>
    <t>On 23 November 2017, the wind tipped an empty 25-foot swap body container off freight train 5790 near Finneid bridge, south of Fauske station. The Nordlandsbanen line runs parallel with the E6 road at that point, and the swap body came to rest between the railway line and the road. Wind calculations show that gusts of wind in excess of 33 m/s can tip an empty 25-foot swap body off a two-axle freight wagon. It is currently not common practice to employ extra securing of empty or lightly loaded containers and swap bodies when strong winds are forecast. The Accident Investigation Board Norway recommends that the Norwegian Railway Authority request the railway undertakings to consider introducing guidelines for considering measures to ensure safe train operation when receiving notifications of strong winds from the infrastructure manager.</t>
  </si>
  <si>
    <t>REC-000109</t>
  </si>
  <si>
    <t>NO-5553/1</t>
  </si>
  <si>
    <t>Safety recommendation JB No 2018/17T</t>
  </si>
  <si>
    <t>At 23.29 on Saturday 16 December 2017, timber train 8061 was driven with an uncoupled auxiliary locomotive from Alnabru towards Lørenskog. At Grorud station it ran into the rearmost wagon so that logs fell off several wagons and ended up on the platform and in the tracks. A high stress level due to technical problems and delays, in addition to a disrupted sleep pattern, most likely had a negative impact on assessment and behaviour in the situation in question. The Accident Investigation Board Norway recommends that the Norwegian Railway Authority requests the railway undertakings to strengthen their safety management in order to identify increased risk of human errors in high-pressure operational situations</t>
  </si>
  <si>
    <t>REC-000627</t>
  </si>
  <si>
    <t>NO-5605/1</t>
  </si>
  <si>
    <t>Safety recommendation JB No 2018/15T</t>
  </si>
  <si>
    <t>At 23.06 on Tuesday 23 January 2018, train 135 collided with a road grader that had broken down at Høium level crossing on the Østfoldbanen line. The driver tried to warn of the danger, but had problems contacting the proper authority. No place name or contact information was posted at the level crossing. The Accident Investigation Board Norway recommends that the Norwegian Railway Authority recommend Bane NOR SF to post emergency telephone numbers and location information at all level crossings.</t>
  </si>
  <si>
    <t>REC-000629</t>
  </si>
  <si>
    <t>NO-5605/2</t>
  </si>
  <si>
    <t>Safety recommendation JB No 2018/16T</t>
  </si>
  <si>
    <t>At 23.06 on Tuesday 23 January 2018, train 135 collided with a road grader at Høium level crossing on the Østfoldbanen line. Because of the road grader's position between the barriers, the signal indicating that it was safe to proceed was displayed to the train driver. Bane NOR SF has no systems in place that can alert the train driver to obstacles at level crossings with road safety systems. The Accident Investigation Board Norway recommends that the Norwegian Railway Authority request Bane NOR SF to consider strengthening the barriers in the road safety systems in connection with the work to upgrade the signal system.</t>
  </si>
  <si>
    <t>REC-000626</t>
  </si>
  <si>
    <t>NO-5625/1</t>
  </si>
  <si>
    <t>The Accident Investigation Board Norway will not make any safety recommendations based on this ...</t>
  </si>
  <si>
    <t>The Accident Investigation Board Norway will not make any safety recommendations based on this safety investigation.</t>
  </si>
  <si>
    <t>REC-000416</t>
  </si>
  <si>
    <t>NO-5644/1</t>
  </si>
  <si>
    <t>Safety recommendation JB No 2018/04T</t>
  </si>
  <si>
    <t>Four in ten principal site safety supervisors have worked on or near tracks without permission. This has often been done intentionally because the work is deemed to be safe. Such an unfortunate practice circumvents important safety barriers and increases the risk of hazardous situations arising. The Accident Investigation Board Norway recommends that the Norwegian Railway Authority request Bane NOR SF to conduct an analysis of the underlying causes for work being carried out on or near tracks without permission, and take steps to counteract it.</t>
  </si>
  <si>
    <t>REC-000417</t>
  </si>
  <si>
    <t>NO-5644/2</t>
  </si>
  <si>
    <t>Safety recommendation JB No 2018/05T</t>
  </si>
  <si>
    <t>Principal site safety supervisors employed by enterprises other than Bane NOR SF find that they have less access to information before construction work. It could have a negative effect on safety if both groups do not have the same opportunity to facilitate safe work. The Accident Investigation Board Norway recommends that the Norwegian Railway Authority request Bane NOR SF to map the differences between internal and external principal site safety supervisorsâ€™ access to information and investigate what consequences this has for the facilitation of safe work on and near tracks.</t>
  </si>
  <si>
    <t>NO-5697/1</t>
  </si>
  <si>
    <t>Safety recommendation JB no 2019/01T</t>
  </si>
  <si>
    <t>On 21 May 2018, an explosion and subsequent fire occurred in the engine compartment of the El 14 locomotive of freight train 5301. The explosion occurred on an open section of line, but could have happened inside a tunnel or at a station, where the consequences would have been far more serious. There have been several similar incidents with this type of locomotive in the past, and the measures implemented have not been sufficient to resolve the problems. The Accident Investigation Board Norway recommends that the Norwegian Railway Authority recommend CargoNet AS to review and document preventive and consequence reduction measures in relation to such incidents.</t>
  </si>
  <si>
    <t>REC-000270</t>
  </si>
  <si>
    <t>NO-5698/1</t>
  </si>
  <si>
    <t>Safety recommendation JB No 2019/02T</t>
  </si>
  <si>
    <t>On Thursday 7 June 2018, a mobile elevating work platform (MEWP) collided and derailed on tunnel track 1 between Ensjø and Carl Berners plass metro stations. During on-tracking at a gradient of 40â€°, it started to run away. The operator had not received adequate instruction in how the brake system worked, and operated the MEWP in a way that caused the parking brakes to be deactivated. The Accident Investigation Board Norway recommends that the Norwegian Railway Authority request of Infrastructure Managers that they strengthen their supplier management with a view to detecting any lack of safety-critical competence in hired operators of this type of vehicle.</t>
  </si>
  <si>
    <t>REC-000623</t>
  </si>
  <si>
    <t>NO-5719/1</t>
  </si>
  <si>
    <t>Safety recommendation JB No 2019/03T</t>
  </si>
  <si>
    <t>On 1 July 2018, train 85811 sparked several forest and shrub fires along the Gjøvik line between Sandermosen and Hakadal. When the train was stopped for inspection at Hakadal station, unintended braking was found in one of the freight wagons. The fires along the track were caused by heat and sparks that developed as a result of friction between the wheels and brake blocks. An irregularity had been observed during the pre-departure brake test. It was remedied, but not followed up by an additional test. The Accident Investigation Board Norway recommends that the Norwegian Railway Authority propose that railway undertakings make sure they have procedures in place for carrying out additional tests in the event that irregularities arise during the brake test.</t>
  </si>
  <si>
    <t>REC-000559</t>
  </si>
  <si>
    <t>NO-5733/1</t>
  </si>
  <si>
    <t>Evaluate whether the fire safety requirements relating to hot work are effective, expedient and possible to control in relation to work carried out by suppliers</t>
  </si>
  <si>
    <t>Safety recommendation JB No 2019/04T On Wednesday 8 August 2018, a snow shed on the Ofotbanen line near Bjørnfjell station was completely destroyed by fire. Bane NOR SF had ordered maintenance to be carried out on the track that night as part of a bigger project. It is probable that that hot work caused the fire. An ore train passed through the snow shed just a few minutes before the fire was reported. The supplier did not comply with fire safety requirements. The client, Bane NOR SF, did not follow up fire safety requirements properly in connection with hot work carried out in the project. The Accident Investigation Board Norway recommends that the Norwegian Railway Authority request Bane NOR SF to evaluate whether the fire safety requirements relating to hot work are effective, expedient and possible to control in relation to work carried out by suppliers.</t>
  </si>
  <si>
    <t>REC-000563</t>
  </si>
  <si>
    <t>NO-5733/2</t>
  </si>
  <si>
    <t>Implement measures intended to improve the quality of suppliers' work in relation to safe job analyses</t>
  </si>
  <si>
    <t>Safety recommendation JB No 2019/05T On Wednesday 8 August 2018, a snow shed on the Ofotbanen line near Bjørnfjell station was completely destroyed by fire. Bane NOR SF had ordered maintenance to be carried out on the track that night as part of a bigger project. It is probable that that hot work caused the fire. An ore train passed through the snow shed just a few minutes before the fire was reported. The supplier's safe job analysis did not include hot work in the snow shed, and the use of safe job analyses in the project has not been in line with the intention. The Accident Investigation Board Norway recommends that the Norwegian Railway Authority request Bane NOR SF to implement measures intended to improve the quality of their suppliers' work in relation to safe job analyses.</t>
  </si>
  <si>
    <t>NO-5837/1</t>
  </si>
  <si>
    <t>Safety recommendation JB no 2019/06T</t>
  </si>
  <si>
    <t>On Wednesday 18 October 2018, a parked freight car set whose brakes were not properly engaged started to roll uncontrolledly from the Auma branch line on the Rørosbanen line. It is no longer a requirement that brake systems on freight cars be emptied of air and the brakes released. This causes the brakes to be released over time, and the freight cars may start to roll uncontrolledly. The Accident Investigation Board Norway recommends that the Norwegian Railway Authority request traffic operators to strengthen their procedures to ensure that the brakes on freight cars are properly engaged when parked.</t>
  </si>
  <si>
    <t>REC-000719</t>
  </si>
  <si>
    <t>NO-5868/1</t>
  </si>
  <si>
    <t>On Thursday 29 November 2018, a lorry driver died in a collision with a passenger train on an ...</t>
  </si>
  <si>
    <t>On Thursday 29 November 2018, a lorry driver died in a collision with a passenger train on an unsecured level crossing on the Rørosbanen line. This vehicle type's sight zones, in combination with the fact that the road and the railway were not perpendicular to each other, made it difficult to see the train. For such vehicles, even a slightly more acute angle between the railway tracks and the right side of the car will reduce the line of sight towards the tracks. The Accident Investigation Board Norway recommends that the Norwegian Railway Authority request Bane NOR SF to implement measures in relation to unsecured level crossings where heavy vehicles have limited possibility of positioning themselves at a right angle to the railway line at the level crossing.</t>
  </si>
  <si>
    <t>REC-000339</t>
  </si>
  <si>
    <t>NO-5871/1</t>
  </si>
  <si>
    <t>Safety recommendation JB nr. 2019/08T</t>
  </si>
  <si>
    <t>On Monday 17 December 2018 at approximately 03.00, a fire broke out and was followed by an explosion in a welding car containing gas cylinders in the metro tunnel between Ensjø and Helsfyr stations. Sporveien T-banen ASâ€™s risk assessments did not address the dangers of placing gas cylinders next to potential ignition sources on the welding car. The Accident Investigation Board Norway recommends that the Norwegian Railway Authority request Sporveien T-banen AS to strengthen its risk assessments to ensure that they include all use and storage of hazardous materials.</t>
  </si>
  <si>
    <t>REC-000024</t>
  </si>
  <si>
    <t>NO-5898/1</t>
  </si>
  <si>
    <t>Safety recommendation JB no 2020/01T</t>
  </si>
  <si>
    <t>On 16 January 2019, a light locomotive passed a stop signal at main approach signal D672 at Roa station when the driver did not get the expected braking effect. It was snowing, and the driver had therefore activated the locomotiveâ€™s snow brake feature. Its effect was not sufficient to prevent the build-up of snow and ice between the brake pads and brake discs. The Accident Investigation Board Norway requests that the Norwegian Railway Authority ensure that all railway undertakings make sure that vehicles equipped with a snow brake feature have appropriate settings adapted to the undertaking's activities.</t>
  </si>
  <si>
    <t>REC-000028</t>
  </si>
  <si>
    <t>NO-5945/1</t>
  </si>
  <si>
    <t>Safety recommendation JB no 2020/02T</t>
  </si>
  <si>
    <t>Søndag 24. februar 2019 omkom en ung person og to andre ungdommer ble alvorlig skadet da de klatret på et hensatt togsett inne på Filipstad driftsbanegård. Materielltypen var vurdert som ikke klatrevennlig, og var dermed ikke omfattet av Bane NORs krav om jevnlig inspeksjon. Statens havarikommisjon for transport tilrår Statens jernbanetilsyn å be Bane NOR SF sammen med materielleierne å risikovurdere materielltypenes klatrevennlighet med tanke på hensetting og behov for inspeksjon.</t>
  </si>
  <si>
    <t>NO-5945/2</t>
  </si>
  <si>
    <t>On Sunday 24 February 2019, one young person died and two were seriously injured when they climbed onto a parked train set at Filipstad train formation yard. The risk of third-party climbing was deemed to be low for this type of rolling stock, and it was therefore not covered by Bane NORâ€™s requirement for regular inspection. The Accident Investigation Board Norway recommends that the Norwegian Railway Authority requests Bane NOR SF together with the owners of rolling stock to conduct assessments of the risk of third-party climbing for different types of rolling stock with regard to parking and the need for inspection.</t>
  </si>
  <si>
    <t>REC-000033</t>
  </si>
  <si>
    <t>NO-5945/3</t>
  </si>
  <si>
    <t>Safety recommendation JB no 2020/03T</t>
  </si>
  <si>
    <t>On Sunday 24 February 2019, a young person died after suffering an electric shock at Filipstad train formation yard. Two other adolescents were seriously injured in the accident. Parts of the fencing in the area did not satisfy Bane NORâ€™s internal requirements. In addition, there were no â€˜Adgang forbudtâ€™ (â€˜No trespassingâ€™) signs on this part of the fence. The Accident Investigation Board Norway recommends that the Norwegian Railway Authority requests Bane NOR SF to review and ensure correct securing and signposting of all train formation yards.</t>
  </si>
  <si>
    <t>REC-000289</t>
  </si>
  <si>
    <t>NO-5955/1</t>
  </si>
  <si>
    <t>Safety recommendation JB no 2020/04T</t>
  </si>
  <si>
    <t>On Sunday 17 and Tuesday 26 March 2019, several windows in B7 carriages were smashed by ice and gravel. Three persons sustained cuts in connection with the latter incident. The windows are made up of an outer layer of toughened glass and an inner layer of laminated glass. In instances where both the outer and inner panes smash, the laminated glass should remain in the window frame and prevent the toughened glass from entering the passenger compartment. The Accident Investigation Board Norway recommends that the Norwegian Railway Directorate advise Norske Tog AS to assess whether the windows in Norwegian passenger carriages are sufficiently strong.</t>
  </si>
  <si>
    <t>REC-000337</t>
  </si>
  <si>
    <t>NO-5974/1</t>
  </si>
  <si>
    <t>Safety recommendation JB no 2020/06T</t>
  </si>
  <si>
    <t>On Wednesday 8 May 2019, the locomotive of shunting unit 39052 derailed at Oslo Central Station. The derailment was due to a track fault in an S-curve related to earlier work on the track. Bane NOR SF lacks relevant control procedures that over time are capable of identifying this type of track fault. Nor did Bane NOR SFâ€™s follow-up inspection identify the track fault before the track was reopened after the derailment. The Accident Investigation Board Norway recommends that the Norwegian Railway Authority request Bane NOR SF to ensure that it has adapted procedures in place for inspections following track work and accidents.</t>
  </si>
  <si>
    <t>REC-000342</t>
  </si>
  <si>
    <t>NO-6032/1</t>
  </si>
  <si>
    <t>Safety recommendation JB no 2020/05T</t>
  </si>
  <si>
    <t>On Thursday 25 July 2019, CargoNet ASâ€™s goods train 5790 derailed at milepost 303.3 between Majavatn and Namsskogan on the Nordlandsbanen line. The derailment was due to buckling that is related to earlier work on the track. The AIBN has conducted several investigations into derailments of this type. Several of the actions taken by Bane NOR SF after these investigations are deemed to also be relevant to this accident. It is therefore necessary to again address the problem of buckling and prior work on tracks. The Accident Investigation Board Norway recommends that, in order to identify areas for improvement, the Norwegian Railway Authority order Bane NOR SF to review and evaluate previously implemented measures.</t>
  </si>
  <si>
    <t>REC-000436</t>
  </si>
  <si>
    <t>NO-6035/1</t>
  </si>
  <si>
    <t>Sikkerhetstilråding JB nr. 2020/07T</t>
  </si>
  <si>
    <t>Onsdag 31. juli 2019 ca. kl. 1400 kjørte tog 1859 inn i tog 1860 som stod stille i spor 2 på Berekvam stasjon. Stasjonens kryssingsrutiner består av en rekke oppgaver som må gjøres i riktig rekkefølge, der menneskelige feilhandlinger kan føre til ulykker. Statens havarikommisjon for transport tilrår Statens jernbanetilsyn å be Bane NOR SF risikovurdere lokal praksis ved stasjoner med enkelt innkjørsignal med mål om å redusere muligheten for menneskelige feilhandlinger.</t>
  </si>
  <si>
    <t>NO-6035/2</t>
  </si>
  <si>
    <t>Safety recommendation JB no 2020/07T On Wednesday 31 July 2019, at approximately 14.00, train 1859 collided with train 1860, which was stationary in track 2 at Berekvam station. The station traffic control routines consist of a series of tasks that need to be done in the correct order, where human errors may lead to accidents. The Accident Investigation Board Norway recommends that the Norwegian Railway Authority request Bane NOR SF to risk assess local practices at stations with single-entry signals with the goal of reducing the possibility of human error.</t>
  </si>
  <si>
    <t>REC-000441</t>
  </si>
  <si>
    <t>NO-6035/3</t>
  </si>
  <si>
    <t>Sikkerhetstilråding JB nr. 2020/08T</t>
  </si>
  <si>
    <t>Onsdag 31. juli 2019 ca. kl. 1400 kjørte tog 1859 inn i tog 1860 som stod stille i spor 2 på Berekvam stasjon. Stasjonen har enkelt innkjørsignal, og i denne ulykken ble en sporveksel lagt til feil spor. Største tillatt hastighet på stedet var 30 km/t, men dette var ikke lavt nok til å unngå sammenstøt. Statens havarikommisjon for transport tilrår Statens jernbanetilsyn å be Bane NOR SF vurdere hastighetsnedsettelser på stasjoner med enkelt innkjørsignal der tilsvarende hendelse kan oppstå.</t>
  </si>
  <si>
    <t>NO-6035/4</t>
  </si>
  <si>
    <t>On Wednesday 31 July 2019, at approximately 14.00 , train 1859 collided with train 1860, which was stationary in track 2 at Berekvam station. The station has a single-entry signal, and in this accident, a point was by mistake set to the wrong track. The speed limit at the station was 30 km/h, but it was not sufficiently low to avoid collision. The Accident Investigation Board Norway recommends that the Norwegian Railway Authority request Bane NOR SF to consider speed reductions at stations with single-entry signal where similar accidents may happen.</t>
  </si>
  <si>
    <t>REC-000615</t>
  </si>
  <si>
    <t>NO-6100/1</t>
  </si>
  <si>
    <t>Safety recommendation JB no 2020/09T</t>
  </si>
  <si>
    <t>On Wednesday 25 September 2019, a locomotive travelling as part of a train derailed at Bryn station on the Hovedbanen line. The train derailed in a curve due to a track fault that had developed over time. The track fault consisted of both height misalignment and warping, neither of which Bane NOR SF considered to be critical when looked upon separately. The Norwegian Safety Investigation Authority recommends that the Norwegian Railway Authority request Bane NOR SF to ensure that the maintenance system addresses concurrent track faults.</t>
  </si>
  <si>
    <t>NO-6172/1</t>
  </si>
  <si>
    <t>Safety Recommendation Rail 2021/01T</t>
  </si>
  <si>
    <t>On Tuesday 28 January 2020, the driver of the car died when a passenger train collided with the car at a level crossing at Vikersund station. The level crossing was secured with full barriers. The car's
position between the barriers meant that the signal "The level crossing can be passed" was shown to the train. Bane NOR SF does not have systems that warn the train driver of obstacles at level crossings with road safety systems.
The Norwegian Safety Investigation Authority recommends that the Norwegian Railway Authority ask Bane NOR SF to further develop systems for detecting obstacles at level crossings.</t>
  </si>
  <si>
    <t>NO-6264/1</t>
  </si>
  <si>
    <t>Safety recommendation Rail no 2021/08T</t>
  </si>
  <si>
    <t>Safety recommendation Rail no 2021/08T
On Wednesday 29 April 2020, Vygruppen AS’s Train 811 collided with a tractor-trailer that was stuck on a secured level crossing in Borgestadbakken in Skien Municipality. Bane NOR SF’s measurements showed that the elevation of the level crossing exceeded their recommendations, but there are no procedures in place to ensure that this is followed up as a risk.
The Norwegian Safety Investigation Authority recommends that the Norwegian Railway Authority request Bane NOR SF to conduct a survey to determine what level crossings entail a risk of vehicles with low ground clearance and widely spaced axles getting stuck, and to inform the respective road owners of the results.</t>
  </si>
  <si>
    <t>NO-6264/2</t>
  </si>
  <si>
    <t>Safety recommendation Rail no 2021/09T</t>
  </si>
  <si>
    <t>Safety recommendation Rail no 2021/09T
On Wednesday 29 April 2020, Vygruppen AS’s Train 811 collided with a tractor-trailer that was stuck on a secured level crossing in Borgestadbakken in Skien Municipality. The alignment of the municipal road at the level crossing made passing by vehicles with low ground clearance difficult.
The municipality did not consider the road at the level crossing to fall within its area of
responsibility.
The Norwegian Safety Investigation Authority recommends that the Ministry of Transport inform public road owners of their overriding responsibility for road traffic safety and accessibility on their
roads, including at level crossings.</t>
  </si>
  <si>
    <t>NO-6264/3</t>
  </si>
  <si>
    <t>Safety recommendation Rail no 2021/10T</t>
  </si>
  <si>
    <t>Safety recommendation Rail no 2021/10T
On Wednesday 29 April 2020, Vygruppen AS’s Train 811 collided with a tractor-trailer that was stuck on a secured level crossing in Borgestadbakken in Skien Municipality. The alignment of the municipal road at the level crossing made passing by vehicles with low ground clearance difficult.
The Norwegian Public Roads Administration’s requirements and guidelines contain no information
about level crossings to support road owners in connection with road safety risk assessments.
The Norwegian Safety Investigation Authority recommends that the Norwegian Public Roads Administration offer all road owners guidance on risk assessment of level crossings.</t>
  </si>
  <si>
    <t>NO-6264/4</t>
  </si>
  <si>
    <t>Safety recommendation Rail no 2021/11T</t>
  </si>
  <si>
    <t>Safety recommendation Rail no 2021/11T
On Wednesday 29 April 2020, Vygruppen AS’s Train 811 collided with a tractor-trailer that was stuck on a secured level crossing in Borgestadbakken in Skien Municipality.
The alignment of the municipal road at the level crossing made passing by vehicles with low ground clearance difficult. Drivers lack sources of information that would enable them to identify the challenges that such level crossings entail.
The Norwegian Safety Investigation Authority recommends that the Norwegian Public Roads Administration further develop its information services so that they include information about level
crossings that pose particular challenges.</t>
  </si>
  <si>
    <t>NO-6139/1</t>
  </si>
  <si>
    <t>Safety recommendation JB no 2020/10T</t>
  </si>
  <si>
    <t>Safety recommendation JB no 2020/10T
On Saturday 7 December 2019, a person was killed when a freight train collided with the excavator he was sitting in. The person was employed by a contractor carrying out maintenance work for Bane NOR SF at Storforshei on the Nordlandsbanen line. The work was carried out through track possession between ordinary train operations. The work team used the timetable graph to plan their work as a supplement to the announcement.
The Norwegian Safety Investigation Authority recommends that the Norwegian Railway Authority request Bane NOR SF to map whether an unfortunate practice of using alternative sources of information to plan work on tracks has developed.</t>
  </si>
  <si>
    <t>NO-6139/2</t>
  </si>
  <si>
    <t>Safety recommendation JB no 2020/11T</t>
  </si>
  <si>
    <t>On Saturday 7 December 2019, a person was killed when a freight train collided with the excavator he was sitting in. The person was employed by a contractor carrying out maintenance work for Bane NOR SF at Storforshei on the Nordlandsbanen line. The work was carried out through track possession between ordinary train operations. A permission to work on tracks is communicated verbally.
The Norwegian Safety Investigation Authority recommends that the Norwegian Railway Authority request Bane NOR SF to look into possible measures to make work teams aware of track possession.</t>
  </si>
  <si>
    <t>NO-6330/1</t>
  </si>
  <si>
    <t>Rail no 2021/15T</t>
  </si>
  <si>
    <t>On Tuesday 23 June 2020, an uncoupled locomotive of the V4 type derailed between Hamar and Løten. The accident occurred when the locomotive passed a track fault consisting of both height misalignment and warping. This was the second derailment in two years involving this type of locomotive and similar track faults. The design of the locomotive results in running characteristics that make it vulnerable to this type of fault.
The Norwegian Safety Investigation Authority recommends that the Norwegian Railway Authority request Grenland Rail AS to conduct a risk assessment of the use of the V4 locomotive as regards its tolerance for height misalignments and warping.</t>
  </si>
  <si>
    <t>NO-6123/1</t>
  </si>
  <si>
    <t>Safety recommendation Rail no 2021/12T</t>
  </si>
  <si>
    <t>In 2019 and 2020, two derailments were caused by bearing failure in the same type of freight wagon from CargoNet AS, within the space of only five months. The investigation has shown that Mantena AS, the maintenance contractor, does not keep an overview of the type of damage found in bearings that are discarded during inspections. In accordance with the ECM Regulation (Commission Regulation (EU) No 445/2011), a railway undertaking may request such information when developing maintenance specifications, with a view to determining causes of damage.
The Norwegian Safety Investigation Authority recommends that the Norwegian Railway Authority request CargoNet AS to cooperate with Mantena AS to document the types of damage found in discarded axle bearings.</t>
  </si>
  <si>
    <t>NO-6123/2</t>
  </si>
  <si>
    <t>Safety recommendation Rail no 2021/13T</t>
  </si>
  <si>
    <t>In 2019 and 2020, two derailments were caused by bearing failure in the same type of freight wagon from CargoNet AS, within the space of only five months. The investigation has shown that current leakage erosion is found in a large proportion of the axle bearings used in CargoNet AS's ordinary operations. Such damage generally arises as a result of interaction with the infrastructure. How this occurs, whether the cause lies in the infrastructure and whether the same problem is experienced by railway undertakings other than Cargo Net AS are matters that should be further investigated.
The Norwegian Safety Investigation Authority recommends that the Norwegian Railway Authority request Bane NOR SF to coordinate collaboration between relevant players in order to register the causes, scope and severity of current leakage erosion in axle bearings.</t>
  </si>
  <si>
    <t>NO-6123/3</t>
  </si>
  <si>
    <t>Safety recommendation Rail no 2021/14T</t>
  </si>
  <si>
    <t>In 2019 and 2020, two derailments were caused by bearing failure in the same type of freight wagon from CargoNet AS, within the space of only five months. The faults in the axle bearings were not detected before the incidents occurred. By means of condition monitoring along the track, it is possible to detect different fault conditions in rolling stock before they become critical, but such systems are hardly used in Norway.
The Norwegian Safety Investigation Authority recommends that the Norwegian Railway Authority request Bane NOR SF to collaborate with relevant parties to examine the effectiveness of today's system and future needs for monitoring faults in rolling stock.</t>
  </si>
  <si>
    <t>NO-10078/1</t>
  </si>
  <si>
    <t>NO-10078/2</t>
  </si>
  <si>
    <t>NO-10078/3</t>
  </si>
  <si>
    <t>FI-953/1</t>
  </si>
  <si>
    <t>The party responsible for the upkeep of the track should systematically monitor and, when required,</t>
  </si>
  <si>
    <t>The party responsible for the upkeep of the track should systematically monitor and, when required, improve track maintenance and techniques for determining track avail-ability so that security is not unnecessarily compromised.</t>
  </si>
  <si>
    <t>FI-953/2</t>
  </si>
  <si>
    <t>Traffic control job rotation should ensure that demanding posts are familiar to traffic con-trollers</t>
  </si>
  <si>
    <t>Traffic control job rotation should ensure that demanding posts are familiar to traffic con-trollers by means of training and sufficient job rotation. With regard to training in the identification and handling of disturbances, and response procedures relating to them, special attention should be given to practices that do not compromise safety.</t>
  </si>
  <si>
    <t>FI-952/1</t>
  </si>
  <si>
    <t>The Leskinen/Leppämäki level crossing should be replaced by an interchange.</t>
  </si>
  <si>
    <t>FI-950/1</t>
  </si>
  <si>
    <t>Specification of the turnout cleaning instructions</t>
  </si>
  <si>
    <t>Work instructions for turnout cleaning related to winter maintenance should be specified, with special attention paid to ice removal.</t>
  </si>
  <si>
    <t>FI-872/1</t>
  </si>
  <si>
    <t>Heavy and long rows of wagons should be transported into the Neste Oil Oyj unloading terminal in Kil</t>
  </si>
  <si>
    <t>Heavy and long rows of wagons should be transported into the Neste Oil Oyj unloading terminal in Kilpilahti by pulling them with a locomotive.</t>
  </si>
  <si>
    <t>FI-872/2</t>
  </si>
  <si>
    <t>The orientation training given to shunting foremen should be carried out so that the per-son partici</t>
  </si>
  <si>
    <t>The orientation training given to shunting foremen should be carried out so that the per-son participating in the training accompanies the shunting unit as an extra crew member.</t>
  </si>
  <si>
    <t>FI-872/3</t>
  </si>
  <si>
    <t>An orientation plan and an orientation training card be drawn up, with the latter signed by both the</t>
  </si>
  <si>
    <t>An orientation plan and an orientation training card be drawn up, with the latter signed by both the orientation trainer and the trainee after the training is complete.</t>
  </si>
  <si>
    <t>FI-871/1</t>
  </si>
  <si>
    <t>The Tattaritie level crossing should be removed.</t>
  </si>
  <si>
    <t>FI-833/1</t>
  </si>
  <si>
    <t>S296 Unambiguous instructions concerning the tightening of the screw coupling in various car types should</t>
  </si>
  <si>
    <t>Unambiguous instructions concerning the tightening of the screw coupling in various car types should be drawn up.</t>
  </si>
  <si>
    <t>FI-833/2</t>
  </si>
  <si>
    <t>S297 To ensure that the cars remain stationary while the brakes are released by â€˜milkingâ€™, instructions o</t>
  </si>
  <si>
    <t>To ensure that the cars remain stationary while the brakes are released by â€˜milkingâ€™, instructions on the use of the handbrake should be drawn up.</t>
  </si>
  <si>
    <t>FI-833/3</t>
  </si>
  <si>
    <t>S298 Training in the use of device, which are important for safety reason, should be organised for restau</t>
  </si>
  <si>
    <t>Training in the use of device, which are important for safety reason, should be organised for restaurant car personnel also.</t>
  </si>
  <si>
    <t>FI-833/4</t>
  </si>
  <si>
    <t>S299 A preparedness plan for exceptional circumstances should be drawn up for traffic control.</t>
  </si>
  <si>
    <t>A preparedness plan for exceptional circumstances should be drawn up for traffic control.</t>
  </si>
  <si>
    <t>FI-829/1</t>
  </si>
  <si>
    <t>S285 The Lemettilä unprotected level crossing should be removed.</t>
  </si>
  <si>
    <t>The Lemettilä unprotected level crossing should be removed.</t>
  </si>
  <si>
    <t>FI-791/1</t>
  </si>
  <si>
    <t>Safety management at the transitional stage</t>
  </si>
  <si>
    <t>A risk assessment of technical safety systems as well as the planning, implementation, provision of instructions, and monitoring of safety-enhancing measures based on this assessment should be carried out in conjunction with all construction projects involving work on safety devices.</t>
  </si>
  <si>
    <t>FI-790/1</t>
  </si>
  <si>
    <t>The Finnish Transport Agency should define the station sidetracks to which trains com-prising heavy</t>
  </si>
  <si>
    <t>The Finnish Transport Agency should define the station sidetracks to which trains com-prising heavy Russian wagons can be directed. Clear restrictions should be imposed with regard to tracks that are unsuitable for heavy Russian wagons.</t>
  </si>
  <si>
    <t>FI-748/1</t>
  </si>
  <si>
    <t>The Ministry of Transport and Communications should ensure that such consistent gui-delines on the d</t>
  </si>
  <si>
    <t>The Ministry of Transport and Communications should ensure that such consistent gui-delines on the duty to clear the sightlines are issued as are acceptable to all parties.</t>
  </si>
  <si>
    <t>FI-744/1</t>
  </si>
  <si>
    <t>S283 Equipping the level crossing with a half-barrier</t>
  </si>
  <si>
    <t>The Kotkaniemi 1 level crossing should also be equipped with warning istallation with half-barriers.</t>
  </si>
  <si>
    <t>FI-737/1</t>
  </si>
  <si>
    <t>S291 Adjustments of the locking devices and switch contactors located next to them should be inspected re</t>
  </si>
  <si>
    <t>Adjustments of the locking devices and switch contactors located next to them should be inspected regularly and adjusted according to reference values.</t>
  </si>
  <si>
    <t>FI-737/2</t>
  </si>
  <si>
    <t>S292 How the mechanical switch lock become unlocked should be investigated under normal circumstances, as</t>
  </si>
  <si>
    <t>How the mechanical switch lock become unlocked should be investigated under normal circumstances, as well as control disturbances in the point switches.</t>
  </si>
  <si>
    <t>FI-737/3</t>
  </si>
  <si>
    <t>S293 The installation, inspections and maintenance of switches and their components should be seamlessly</t>
  </si>
  <si>
    <t>The installation, inspections and maintenance of switches and their components should be seamlessly documented.</t>
  </si>
  <si>
    <t>FI-737/4</t>
  </si>
  <si>
    <t>S294 To maintain control of the overall situation, a plan of action for accidents should be drawn up by t</t>
  </si>
  <si>
    <t>To maintain control of the overall situation, a plan of action for accidents should be drawn up by the infrastructure manager.</t>
  </si>
  <si>
    <t>FI-737/5</t>
  </si>
  <si>
    <t>S295 To deal effectively with exceptional situations, the forms of cooperation and the distribu-tion of d</t>
  </si>
  <si>
    <t>To deal effectively with exceptional situations, the forms of cooperation and the distribu-tion of duties and responsibilities should be clearly defined both at national and local level.</t>
  </si>
  <si>
    <t>FI-723/1</t>
  </si>
  <si>
    <t>Removal of the Köykäntie level crossing</t>
  </si>
  <si>
    <t>The Köykäntie unprotected level crossing should be removed.</t>
  </si>
  <si>
    <t>FI-676/1</t>
  </si>
  <si>
    <t>S282 The Ingvallsby unprotected level crossing should be removed.</t>
  </si>
  <si>
    <t>The Ingvallsby unprotected level crossing should be removed.</t>
  </si>
  <si>
    <t>FI-675/1</t>
  </si>
  <si>
    <t>The Hyvämäki level crossing wait platforms should be reconditioned and road junctures should be relo</t>
  </si>
  <si>
    <t>The Hyvämäki level crossing wait platforms should be reconditioned and road junctures should be relocated sufficiently far from the crossing. The level crossing should also be equipped with a warning installation with half-barriers.</t>
  </si>
  <si>
    <t>FI-658/1</t>
  </si>
  <si>
    <t>The Finnish Transport Agency should ensure that signal box adjustment and repair work inspections, a</t>
  </si>
  <si>
    <t>The Finnish Transport Agency should ensure that signal box adjustment and repair work inspections, and documentation relating to them, are supervised and the importance of inspection is emphasised in signal box maintenance training.</t>
  </si>
  <si>
    <t>FI-658/2</t>
  </si>
  <si>
    <t>S301 Marking card versions</t>
  </si>
  <si>
    <t>The Finnish Transport Agency should ensure that component versions are marked clearly and that personnel are made aware of different versions during maintenance actions.</t>
  </si>
  <si>
    <t>FI-656/1</t>
  </si>
  <si>
    <t>S276 Removal of the unprotected level crossing on the Pikakyläntie</t>
  </si>
  <si>
    <t>The unprotected level crossing of Teurastamo on the Pikakyläntie road should be removed.</t>
  </si>
  <si>
    <t>FI-656/2</t>
  </si>
  <si>
    <t>S277 Facilitating location of an accident site</t>
  </si>
  <si>
    <t>A variety of operators should develop systems and implement equipment to facilitate location of an accident site.</t>
  </si>
  <si>
    <t>FI-654/1</t>
  </si>
  <si>
    <t>S272 Moving signal E681 to a more visible location</t>
  </si>
  <si>
    <t>Signal E681 should be moved to a more visible location.</t>
  </si>
  <si>
    <t>FI-654/2</t>
  </si>
  <si>
    <t>S273 Limiting the area of set ATC construction areas</t>
  </si>
  <si>
    <t>Overly extensive ATC construction areas should be limited.</t>
  </si>
  <si>
    <t>FI-654/3</t>
  </si>
  <si>
    <t>S274 Developing the advance notification</t>
  </si>
  <si>
    <t>Advance notification (ET) provided to the engine driver should provide more specific information about ATC construction area conditions.</t>
  </si>
  <si>
    <t>FI-654/4</t>
  </si>
  <si>
    <t>275 Development of automatic train running control equipment (ATC)</t>
  </si>
  <si>
    <t>The running control monitors of locomotives and the information provided via these monitors should be developed in such a way that they provide better information during non-standard situations.</t>
  </si>
  <si>
    <t>FI-542/1</t>
  </si>
  <si>
    <t>S257 Reconditioning of the level crossing to make it safe for road traffic</t>
  </si>
  <si>
    <t>The sightlines of the level crossing should be improved and the wait platforms should be reconditioned to meet regulations and warning sign 171 should be installed.</t>
  </si>
  <si>
    <t>FI-542/2</t>
  </si>
  <si>
    <t>S258 Informing the parties in charge of road maintenance</t>
  </si>
  <si>
    <t>The Finnish Rail Administration should inform parties in charge of road maintenance about their obligation to build and maintain road segments leading to level crossings as set out in the relevant regulations. The Finnish Rail Administration should also appropriately inform of any track changes to be made and any shortcomings discovered during inspection rounds.</t>
  </si>
  <si>
    <t>REC-000259</t>
  </si>
  <si>
    <t>FI-542/3</t>
  </si>
  <si>
    <t>S256 Improving the visibility of barriers</t>
  </si>
  <si>
    <t>At the Suurisuo level crossing and similar level crossings, where it has been noted that sunlight hinders visibility, the visibility of barriers and warning signs should be improved by replacing red blinking filament lamps with blinking or flashing LED lights.</t>
  </si>
  <si>
    <t>FI-525/1</t>
  </si>
  <si>
    <t>S269 Deviation management</t>
  </si>
  <si>
    <t>The organisations responsible for the ownership, use, and maintenance of traffic control and safety equipment systems should improve and clarify the procedures by which deviations are identified and managed.</t>
  </si>
  <si>
    <t>FI-525/2</t>
  </si>
  <si>
    <t>S270 System management</t>
  </si>
  <si>
    <t>S270 The experts using traffic control systems on a daily basis should participate in the specifications, inspections, and start-up activities of these systems and also take part in the system administration during the life-cycle of the system.</t>
  </si>
  <si>
    <t>FI-509/1</t>
  </si>
  <si>
    <t>S261 Specifying the limits of the work area in rail work notifications</t>
  </si>
  <si>
    <t>Specifying the limits of the work area in rail work notifications: Rail work notifications should precisely define the outermost limits of work areas.</t>
  </si>
  <si>
    <t>FI-509/2</t>
  </si>
  <si>
    <t>S262 Creating routes with the VHP command in areas reserved for railway work</t>
  </si>
  <si>
    <t>Creating routes with the VHP command in areas reserved for railway work: Before executing the VHP command, the traffic controller should ensure that there are no other units at or within the vinicity of the turnout for which the command is given.</t>
  </si>
  <si>
    <t>FI-508/1</t>
  </si>
  <si>
    <t>S259 Removal of the Vehkatie level crossing</t>
  </si>
  <si>
    <t>The Vehkatie level crossing be removed.</t>
  </si>
  <si>
    <t>FI-508/2</t>
  </si>
  <si>
    <t>S260 Regular updates of location data in the ELS information systems of emergency response centres</t>
  </si>
  <si>
    <t>Emergency response centres regularly update the level crossing location data of their ELS systems to match the tasoristeys.fi database.</t>
  </si>
  <si>
    <t>FI-507/1</t>
  </si>
  <si>
    <t>S263 The Huikuri unprotected level crossing should be removed.</t>
  </si>
  <si>
    <t>FI-506/1</t>
  </si>
  <si>
    <t>S 264 Making it clear how brakes should be used</t>
  </si>
  <si>
    <t>Tram drivers should be taught to brake in the proper way.</t>
  </si>
  <si>
    <t>FI-506/2</t>
  </si>
  <si>
    <t>S 265 Training programme development</t>
  </si>
  <si>
    <t>Tram drivers should be provided with a personalised and logically progressing training programme.</t>
  </si>
  <si>
    <t>FI-506/3</t>
  </si>
  <si>
    <t>S 266 Monitoring of learning progress</t>
  </si>
  <si>
    <t>The training programme for driving performance should be documented.</t>
  </si>
  <si>
    <t>FI-506/4</t>
  </si>
  <si>
    <t>S 267 Fastening of floor hatches</t>
  </si>
  <si>
    <t>S 267 It should be ensured that tram floor hatches remain fastened in all conditions.</t>
  </si>
  <si>
    <t>FI-506/5</t>
  </si>
  <si>
    <t>S 268 First-aid kits for trams</t>
  </si>
  <si>
    <t>All trams should be equipped with a first-aid kit.</t>
  </si>
  <si>
    <t>REC-000132</t>
  </si>
  <si>
    <t>FI-502/1</t>
  </si>
  <si>
    <t>S213 Stopping as model of behaviour at unprotected level crossings</t>
  </si>
  <si>
    <t>Stopping at unguarded level crossings with the sightline along the railway only attained at a distance of 8 metres from the railway, be adopted as the regular model of behaviour</t>
  </si>
  <si>
    <t>REC-000133</t>
  </si>
  <si>
    <t>FI-502/2</t>
  </si>
  <si>
    <t>S214 Modification of sightline requirements</t>
  </si>
  <si>
    <t>The sightline requirements for level crossings should be modified so as to also consider the crossing of a level crossing without stopping in case a sufficient sightline along the railway is attained substantially before 8 metres from the railway.</t>
  </si>
  <si>
    <t>REC-000134</t>
  </si>
  <si>
    <t>FI-502/3</t>
  </si>
  <si>
    <t>S215 Perceptibility of train and level crossing</t>
  </si>
  <si>
    <t>The perceptibility of a train and a level crossing should be improved.</t>
  </si>
  <si>
    <t>REC-000135</t>
  </si>
  <si>
    <t>FI-502/4</t>
  </si>
  <si>
    <t>S216 Road speed limits before level crossings</t>
  </si>
  <si>
    <t>At a level crossing the maximum speed allowed on the road should be 50 km/h or lower as depending on the locality and the characteristics of the level crossing.</t>
  </si>
  <si>
    <t>REC-000136</t>
  </si>
  <si>
    <t>FI-502/5</t>
  </si>
  <si>
    <t>S217 Wait platform</t>
  </si>
  <si>
    <t>Such wait platforms of level crossings that feature a poor condition should be upgraded to meet the relevant RAMO specifications.</t>
  </si>
  <si>
    <t>REC-000137</t>
  </si>
  <si>
    <t>FI-502/6</t>
  </si>
  <si>
    <t>S218 Level crossing maintenance instructions</t>
  </si>
  <si>
    <t>Maintenance instructions should be drawn up for level crossings.</t>
  </si>
  <si>
    <t>FI-502/7</t>
  </si>
  <si>
    <t>S219 Restricting traffic at level crossings</t>
  </si>
  <si>
    <t>The railway keeper and the safety authority should be allowed to restict road vehicle traffic on level crossings.</t>
  </si>
  <si>
    <t>FI-502/8</t>
  </si>
  <si>
    <t>S220 Research program on train horns</t>
  </si>
  <si>
    <t>A study should be conducted on the use of whistles at level crossings.</t>
  </si>
  <si>
    <t>REC-000140</t>
  </si>
  <si>
    <t>FI-502/9</t>
  </si>
  <si>
    <t>S221 Importance of level crossings in route planning</t>
  </si>
  <si>
    <t>In their route plans, transport operators should consider possible crossings of railways. Railway crossings should be minimized and more safe crossings prioritized.</t>
  </si>
  <si>
    <t>REC-000141</t>
  </si>
  <si>
    <t>FI-502/10</t>
  </si>
  <si>
    <t>S222 Consideration of level crossings in planning</t>
  </si>
  <si>
    <t>In land use planning, special attention should be paid to safe railway crossing, and the building of new level crossings should be avoided.</t>
  </si>
  <si>
    <t>FI-501/1</t>
  </si>
  <si>
    <t>S239 Derailer safety lock</t>
  </si>
  <si>
    <t>It should not be possible to remove the key from a derailerâ€™s safety lock without also removing the derailer from the rail.</t>
  </si>
  <si>
    <t>FI-501/2</t>
  </si>
  <si>
    <t>S240 Snow ploughing</t>
  </si>
  <si>
    <t>Greater attention should be paid to shunting work safety during the ploughing of snow in rail yards.</t>
  </si>
  <si>
    <t>FI-500/1</t>
  </si>
  <si>
    <t>S209 Checking of the fastening of the clamp disc of the traction device wedge of Dr16 locomotive</t>
  </si>
  <si>
    <t>The Dr16 locomotive maintenance instructions should be supplemented by a checking of the fastening of the clamp disc of the traction device wedge.</t>
  </si>
  <si>
    <t>FI-497/1</t>
  </si>
  <si>
    <t>S223 Disturbances in the radio communication</t>
  </si>
  <si>
    <t>The operation of escort radios at Helsinki Central Railway Station must be inspected in order to identify any black spots in radio audibility and any external interference.</t>
  </si>
  <si>
    <t>FI-495/1</t>
  </si>
  <si>
    <t>S253 Transfer of storage containers</t>
  </si>
  <si>
    <t>The storage containers next to the track should be placed further away from the track so that they do not impair visibility.</t>
  </si>
  <si>
    <t>FI-494/1</t>
  </si>
  <si>
    <t>S250 Providing relevant information during shunting operations</t>
  </si>
  <si>
    <t>The engine driver should be informed about any derailers or other blocks on the track during shunting work.</t>
  </si>
  <si>
    <t>FI-493/1</t>
  </si>
  <si>
    <t>S 255 The Kauramaa level crossing should be removed.</t>
  </si>
  <si>
    <t>FI-492/1</t>
  </si>
  <si>
    <t>S243 Improving safety along the track before scheduled renovation invest-ments</t>
  </si>
  <si>
    <t>Actions to improve level crossing safety along the Lahti - Heinola track should be carried out before the initiation of scheduled renovation investments.</t>
  </si>
  <si>
    <t>FI-492/2</t>
  </si>
  <si>
    <t>S244 Review of track speed limits</t>
  </si>
  <si>
    <t>The speed limit along the Lahti - Heinola track should be reduced in the proximity of level crossings with poor sightline to the extent that this is reasonable possible.</t>
  </si>
  <si>
    <t>FI-491/1</t>
  </si>
  <si>
    <t>S251 Removal of the level crossing or its replacement by an interchange</t>
  </si>
  <si>
    <t>The Perälä unprotected level crossing should be removed or replaced by an interchange.</t>
  </si>
  <si>
    <t>FI-491/2</t>
  </si>
  <si>
    <t>S252 Re-design of the lower structure of Pendolino trainâ€™s nose</t>
  </si>
  <si>
    <t>The front structure of the Sm3 electric train should be redesigned to prevent cars from being wedged under the structure.</t>
  </si>
  <si>
    <t>FI-490/1</t>
  </si>
  <si>
    <t>S254 Location of local turnout control buttons</t>
  </si>
  <si>
    <t>Local turnout control buttons should be located as close to turnouts as possible</t>
  </si>
  <si>
    <t>FI-428/1</t>
  </si>
  <si>
    <t>S245 Speed limit for wagons carrying dangerous goods on nail-fastened secondary tracks</t>
  </si>
  <si>
    <t>Speed limit for wagons carrying dangerous goods on nail-fastened secon-dary tracks. A 20 km/h speed limit should be set for cars carrying dangerous goods on spike-fastened secondary tracks.</t>
  </si>
  <si>
    <t>FI-428/2</t>
  </si>
  <si>
    <t>S246 Condition monitoring of tracks used for the transport of dangerous goods</t>
  </si>
  <si>
    <t>Condition monitoring of tracks used for the transport of dangerous goods. Track and railway yard condition monitoring and rail fastening work should place special emphasis on routes and tracks used for the transport of dangerous goods.</t>
  </si>
  <si>
    <t>FI-368/1</t>
  </si>
  <si>
    <t>S241 The Korpi level crossing should be equipped with half-barriers.</t>
  </si>
  <si>
    <t>FI-368/2</t>
  </si>
  <si>
    <t>S143 Level crossings should be equipped with signboards displaying at least the name of the level cr</t>
  </si>
  <si>
    <t>S143 Level crossings should be equipped with signboards displaying at least the name of the level crossing and its location in the coordinates and relevant track-km. The signboard should be clearly visible in both running directions of the road.</t>
  </si>
  <si>
    <t>FI-368/3</t>
  </si>
  <si>
    <t>S211 The instructions for the drawing up of an emergency notice should be developed to en-sure that</t>
  </si>
  <si>
    <t>S211 The instructions for the drawing up of an emergency notice should be developed to en-sure that whenever urgent aid is needed from the rescue service, also the general emergency number is called from the incident site, in addition to the notifying of the traf-fic control unit.</t>
  </si>
  <si>
    <t>FI-368/4</t>
  </si>
  <si>
    <t>S212 The compliance of the localization data used by the railway with the data system of the Emergen</t>
  </si>
  <si>
    <t>S212 The compliance of the localization data used by the railway with the data system of the Emergency Response Centre Agencies shall be ensured, e.g. by installing the track-kilometre data in the data system of the Emergency Response Centre Agencies.</t>
  </si>
  <si>
    <t>FI-367/1</t>
  </si>
  <si>
    <t>S247 Function of the derailer</t>
  </si>
  <si>
    <t>A derailer should always have interdependence to the turnout which leads to the track in question. Especially railway yards where dangerous substances are handled should al-ways be built according to regulations.</t>
  </si>
  <si>
    <t>FI-361/1</t>
  </si>
  <si>
    <t>S242: Speed limit in rail curves in poor condition</t>
  </si>
  <si>
    <t>Track curves that are in poor condition should be identified and these curves should have a speed limit of 20 km/h for trains with an axis weight of 16â€“20 tons, until the nec-essary repairs have been completed.</t>
  </si>
  <si>
    <t>FI-360/1</t>
  </si>
  <si>
    <t>Design guidelines for curved turnouts</t>
  </si>
  <si>
    <t>Design guidelines should be prepared for curved turnouts.</t>
  </si>
  <si>
    <t>FI-360/2</t>
  </si>
  <si>
    <t>Rail geometry measurements during track construction</t>
  </si>
  <si>
    <t>Demanding surface construction projects should include rail geometry measurements before the track is taken into use. The measurements could be compared with set limit values.</t>
  </si>
  <si>
    <t>FI-165/1</t>
  </si>
  <si>
    <t>S238 Observance of freight train inspection instructions</t>
  </si>
  <si>
    <t>Greater care should be exercised during statutory freight train inspections, and any flaws observed should be acted upon more quickly than is currently the case.</t>
  </si>
  <si>
    <t>FI-164/1</t>
  </si>
  <si>
    <t>S234 Closing of the Pohja level crossing</t>
  </si>
  <si>
    <t>The Pohja level crossing should be closed and a replacement overpass be created at the Hilapparannantie bridge.</t>
  </si>
  <si>
    <t>FI-164/2</t>
  </si>
  <si>
    <t>S235 Lever crossings which can be closed with low costs</t>
  </si>
  <si>
    <t>S235 The Finnish Rail Administration should systematically locate crossings that have a bridge nearby or whose traffic can otherwise be directed through a safer route, removing them even though their volume and risk level might be low.</t>
  </si>
  <si>
    <t>FI-164/3</t>
  </si>
  <si>
    <t>S236 Traffic controllers should make an emergency alarm call to the right Emergency Centre</t>
  </si>
  <si>
    <t>Traffic controllers should have the capacity to place an emergency alarm call to the Emergency Response Centre in the ERC area in which the accident site is located.</t>
  </si>
  <si>
    <t>FI-163/1</t>
  </si>
  <si>
    <t>S237 The Sinkonen level crossing located in the Särkisalmi residential area should be removed.</t>
  </si>
  <si>
    <t>FI-146/1</t>
  </si>
  <si>
    <t>S231 Safety of shunting work</t>
  </si>
  <si>
    <t>The instructions for rail yard work should be supplemented to forbid going between moving cars in all situations.</t>
  </si>
  <si>
    <t>FI-146/2</t>
  </si>
  <si>
    <t>S232 Using of emergency response that corresponds to the type of accident</t>
  </si>
  <si>
    <t>The Emergency centre should use an emergency response that corresponds to the type of accident.</t>
  </si>
  <si>
    <t>FI-146/3</t>
  </si>
  <si>
    <t>S233 The grip of footwear used in rail yard work</t>
  </si>
  <si>
    <t>The grip of footwear used in rail yard work should be better than average under all weather and working conditions.</t>
  </si>
  <si>
    <t>FI-145/1</t>
  </si>
  <si>
    <t>S224 Avoiding unguarded level crossings when planning delivery routes</t>
  </si>
  <si>
    <t>Itella and other businesses performing deliveries can improve safety by avoiding unguarded level crossings when planning their delivery routes.</t>
  </si>
  <si>
    <t>FI-145/2</t>
  </si>
  <si>
    <t>S225 A warning sign between sorted mail stack</t>
  </si>
  <si>
    <t>A warning sign notifying of a dangerous location on the route, placed between sorted mail stacks being delivered, might act as a prompt to the mail carrier when he/she arrives at the dangerous location on the route.</t>
  </si>
  <si>
    <t>FI-145/3</t>
  </si>
  <si>
    <t>S226 A navigator/GPS device warning of dangerous locations</t>
  </si>
  <si>
    <t>A navigator/GPS device in the vehicle, should be installed warning of dangerous locations such as level crossings.</t>
  </si>
  <si>
    <t>FI-145/4</t>
  </si>
  <si>
    <t>S227 Use of safety belts in delivery vehicles</t>
  </si>
  <si>
    <t>Compulsory use of safety belts should be expanded to include delivery vehicle drivers and passengers, irrespective of the driving distance.</t>
  </si>
  <si>
    <t>REC-000252</t>
  </si>
  <si>
    <t>FI-1429/1</t>
  </si>
  <si>
    <t>S328 Changes to the turnout transport wagon</t>
  </si>
  <si>
    <t>The turnout transport wagon should be modified in such a manner that it can transport turnout elements, while ensuring that the wheel weight ratio complies with general loading instructions (1.25:1 at a maximum).</t>
  </si>
  <si>
    <t>REC-000253</t>
  </si>
  <si>
    <t>FI-1429/2</t>
  </si>
  <si>
    <t>S329 Loading instructions for turnout transport wagons</t>
  </si>
  <si>
    <t>Drafting of the turnout transport wagon's loading instructions should be completed so as to ensure that these instructions are unambiguous and precise and that compliance with them guarantees that loading is performed in accordance with the wheel weight ratio and rolling stock gauge determined in the general loading instructions.</t>
  </si>
  <si>
    <t>REC-000254</t>
  </si>
  <si>
    <t>FI-1429/3</t>
  </si>
  <si>
    <t>S330 Safety management system risk assessment</t>
  </si>
  <si>
    <t>The risk assessment element of the safety management system should also extend assessment to existing standardised activities.</t>
  </si>
  <si>
    <t>REC-000255</t>
  </si>
  <si>
    <t>FI-1429/4</t>
  </si>
  <si>
    <t>S331 Turnout maintenance</t>
  </si>
  <si>
    <t>In the turnout condition monitoring system, turnouts that have been found to be in poor condition should be repaired or replaced to ensure that they fulfil the measurement values and other requirements set for turnouts.</t>
  </si>
  <si>
    <t>REC-000256</t>
  </si>
  <si>
    <t>FI-1429/5</t>
  </si>
  <si>
    <t>S332 Instructions for turnout maintenance</t>
  </si>
  <si>
    <t>Unambiguous operational instructions regarding maintenance and traffic limitations should exist for cases in which the measurement values and acute limits determined for turnouts are exceeded.</t>
  </si>
  <si>
    <t>FI-141/1</t>
  </si>
  <si>
    <t>S180 The initiation training programmes for train operators</t>
  </si>
  <si>
    <t>The initiation training programmes for train operators should be extended to include all stations and railway yards within the area of responsibility of the train operators in question.</t>
  </si>
  <si>
    <t>FI-140/1</t>
  </si>
  <si>
    <t>The condition of the pivots of Russian wagons and their greasing</t>
  </si>
  <si>
    <t>The condition of the pivots of Russian wagons and their greasing should be ensured.</t>
  </si>
  <si>
    <t>FI-138/1</t>
  </si>
  <si>
    <t>Radiophone connection</t>
  </si>
  <si>
    <t>Communications on movements, to Rautaruukki works, as well, should be carried out by a recorded radiophone connection used by VR in shunting work.</t>
  </si>
  <si>
    <t>FI-138/2</t>
  </si>
  <si>
    <t>A system be designed for the safety control of manually operated turnouts</t>
  </si>
  <si>
    <t>Also for the control of manually operated turnouts, a system should be designed to control route safety. Whenever requisite, the system should emit a warning signal if the position of a turnout is erroneous and it should even prevent an entry to a turnout in an erroneous position.</t>
  </si>
  <si>
    <t>FI-138/3</t>
  </si>
  <si>
    <t>Shunting work for wagons carrying dangerous goods</t>
  </si>
  <si>
    <t>Shunting operations for wagons designed for the transportation of dangerous goods should not be carried out on railway yards which have no system for the monitoring of the turnout position.</t>
  </si>
  <si>
    <t>FI-137/1</t>
  </si>
  <si>
    <t>the Accident Investigation Board of Finland does not make any new recommendations,instead issuing a</t>
  </si>
  <si>
    <t>the Accident Investigation Board of Finland does not make any new recommendations,instead issuing a reminder that locomotive engineer training should emphasise risk of derailment at curves and points</t>
  </si>
  <si>
    <t>FI-134/1</t>
  </si>
  <si>
    <t>S201 Inspection of privately-owned tracks</t>
  </si>
  <si>
    <t>Privately-owned tracks operating dangerous goods carryings should be submitted to an annual inspection of the condition of the tracks and turnouts by a competent expert.</t>
  </si>
  <si>
    <t>FI-134/2</t>
  </si>
  <si>
    <t>Rail fastening by means of a j-form flat bar iron</t>
  </si>
  <si>
    <t>The Railway Technical Rules and Regulations (RAMO) should also include instructions on rail fastening by means of a j-form flat bar iron.</t>
  </si>
  <si>
    <t>REC-000308</t>
  </si>
  <si>
    <t>FI-1337/1</t>
  </si>
  <si>
    <t>S333 Low-cost warning devices</t>
  </si>
  <si>
    <t>SIA recommends that the Finnish Transport Safety Agency enables the implementation of low-cost warning devices and ensures that the Finnish Transport Agency continues its research into the suitability of low-cost warning devices and begins implementing these devices.</t>
  </si>
  <si>
    <t>REC-000130</t>
  </si>
  <si>
    <t>FI-1326/1</t>
  </si>
  <si>
    <t>S326 Visibility of the stop block</t>
  </si>
  <si>
    <t>Stop blocks should be painted well to ensure their visibility, and the blockâ€™s visibility improved by other means.</t>
  </si>
  <si>
    <t>REC-000131</t>
  </si>
  <si>
    <t>FI-1326/2</t>
  </si>
  <si>
    <t>S327 Railway yard work instructions</t>
  </si>
  <si>
    <t>The railway yard work instructions should be developed in order to take account of all situations arising from normal work. Safety-critical instructions should be presented as a checklist.</t>
  </si>
  <si>
    <t>FI-1132/1</t>
  </si>
  <si>
    <t>S309 Level crossing strategy</t>
  </si>
  <si>
    <t>A new strategy should be drawn up to improve level crossing safety, and a concrete plan with funding arrangements should be drafted based on this strategy.</t>
  </si>
  <si>
    <t>FI-1132/2</t>
  </si>
  <si>
    <t>S310 Level crossing safety evaluation</t>
  </si>
  <si>
    <t>The safety of each level crossing should be evaluated using new statistical analyses, in order to better specify the order in which level crossings should be secured or removed.</t>
  </si>
  <si>
    <t>FI-1132/3</t>
  </si>
  <si>
    <t>S311 Level crossing databases</t>
  </si>
  <si>
    <t>Databases on level crossing and their conditions should be merged into one and the database should be kept up to date.</t>
  </si>
  <si>
    <t>FI-1132/4</t>
  </si>
  <si>
    <t>S312 Database of accidents and incidents</t>
  </si>
  <si>
    <t>A single and common accident and deviation database for all those operating the railway system in Finland should be created.</t>
  </si>
  <si>
    <t>FI-1132/5</t>
  </si>
  <si>
    <t>S313 Traffic safety plans of the municipalities</t>
  </si>
  <si>
    <t>Level crossing safety should also be included in the provincial and municipal traffic safety plans.</t>
  </si>
  <si>
    <t>FI-1132/6</t>
  </si>
  <si>
    <t>S314 School transport route planning</t>
  </si>
  <si>
    <t>When planning school transportation, the municipalities should improve safety by avoiding level crossings without warning devices along the routes.</t>
  </si>
  <si>
    <t>FI-1132/7</t>
  </si>
  <si>
    <t>S315 The road speed limit and use of the STOP sign in level crossings</t>
  </si>
  <si>
    <t>Clear instructions should be drawn up regarding road traffic speed limits and use of the STOP sign at level crossings.</t>
  </si>
  <si>
    <t>FI-1132/8</t>
  </si>
  <si>
    <t>S316 Improving the level crossingâ€™s perceptivity</t>
  </si>
  <si>
    <t>Ways of improving the perceptivity of level crossings and their conditions of use and technical properties should be specified.</t>
  </si>
  <si>
    <t>FI-1132/9</t>
  </si>
  <si>
    <t>S317 Instructions to road maintainers</t>
  </si>
  <si>
    <t>Instructions on level crossings should be drawn up for road maintainers.</t>
  </si>
  <si>
    <t>FI-1132/10</t>
  </si>
  <si>
    <t>S318 Improving the visibility of train's front</t>
  </si>
  <si>
    <t>The visibility of fronts of locomotives and train units should be improved.</t>
  </si>
  <si>
    <t>REC-000110</t>
  </si>
  <si>
    <t>FI-1132/11</t>
  </si>
  <si>
    <t>S319 Planning Itella's delivery routes</t>
  </si>
  <si>
    <t>When planning delivery routes, Itella should improve safety by avoiding level crossings without warning devices.</t>
  </si>
  <si>
    <t>REC-000111</t>
  </si>
  <si>
    <t>FI-1132/12</t>
  </si>
  <si>
    <t>S320 The Rescue Services risk evaluation instructions</t>
  </si>
  <si>
    <t>Emergency Response Centre risk assessment instructions should be continuously updated and a national operator responsible for the instructions should be assigned.</t>
  </si>
  <si>
    <t>FI-1131/1</t>
  </si>
  <si>
    <t>S307 SA3 automatic coupler draft clips without screw holders should be replaced by ones with such holders</t>
  </si>
  <si>
    <t>SA3 automatic coupler draft clips without screw holders should be replaced by ones with such holders.</t>
  </si>
  <si>
    <t>FI-1131/2</t>
  </si>
  <si>
    <t>S308 Traffic controllers should be issued with clear instructions on how to obtain immediate advice in ex</t>
  </si>
  <si>
    <t>Traffic controllers should be issued with clear instructions on how to obtain immediate advice in exceptional situations, in order to solve the problem safely.</t>
  </si>
  <si>
    <t>FI-1130/1</t>
  </si>
  <si>
    <t>S321 Use of satellite location to assist in locating trains</t>
  </si>
  <si>
    <t>A satellite location system should be implemented as quickly as possible to assist in location.</t>
  </si>
  <si>
    <t>FI-1130/2</t>
  </si>
  <si>
    <t>S322 Checklist for pinpointing locomotive problems while on the line</t>
  </si>
  <si>
    <t>Locomotives and train units should be equipped with checklist-type problem solving diagrams, which would help the engine driver when a fault occurs in a locomotive on the line.</t>
  </si>
  <si>
    <t>FI-1130/3</t>
  </si>
  <si>
    <t>S323 Reflectors on the ends of the wagons</t>
  </si>
  <si>
    <t>Reflectors should be installed on the ends of wagons.</t>
  </si>
  <si>
    <t>FI-1130/4</t>
  </si>
  <si>
    <t>S324 Speed during assistance</t>
  </si>
  <si>
    <t>The speed of the assisting unit should be limited to 35 km/h, when it is driving to assist a train on the line.</t>
  </si>
  <si>
    <t>FI-1130/5</t>
  </si>
  <si>
    <t>S325 Use of the RAILI telephone</t>
  </si>
  <si>
    <t>The use of group calls should be made into a standard procedure in exceptional situations.</t>
  </si>
  <si>
    <t>FI-113/1</t>
  </si>
  <si>
    <t>S228 The crossing should be equipped with a half barrier equipment</t>
  </si>
  <si>
    <t>The Pahaoja unguarded level crossing should be equipped with a half barrier equipment.</t>
  </si>
  <si>
    <t>FI-113/2</t>
  </si>
  <si>
    <t>S229 Level crossing environment should be made safe for road traffic</t>
  </si>
  <si>
    <t>Level crossing environment should be made safe for road traffic.</t>
  </si>
  <si>
    <t>FI-113/3</t>
  </si>
  <si>
    <t>S230 The obstruction cleaning device of Dm12 rail bus</t>
  </si>
  <si>
    <t>The structure of the obstruction cleaning device of Dm12 rail bus should be such that it is either formed of one piece or possible additional parts are attached sufficiently well.</t>
  </si>
  <si>
    <t>FI-1129/1</t>
  </si>
  <si>
    <t>S304 Training and procedures in error situations</t>
  </si>
  <si>
    <t>Traffic control personnel should undergo regular training and drills on identifying hazards related to error situations and on applying predefined, safe procedures.</t>
  </si>
  <si>
    <t>FI-1129/2</t>
  </si>
  <si>
    <t>S305 Locatin trains</t>
  </si>
  <si>
    <t>Safety management should have a particular focus on punctuality and consistency of communication and on accurate location of trains.</t>
  </si>
  <si>
    <t>FI-1129/3</t>
  </si>
  <si>
    <t>S306 Emergency release of axle counting sections</t>
  </si>
  <si>
    <t>It should be a prerequisite for the emergency release of all axle counting sections, that the last axles counted at an axle counting point must be axles exiting the section.</t>
  </si>
  <si>
    <t>REC-000309</t>
  </si>
  <si>
    <t>FI-0365/1</t>
  </si>
  <si>
    <t>S334 Use of command based track blocking</t>
  </si>
  <si>
    <t>The Finnish Transport Agency should ensure that the command based track blocking is used effectively in centralised traffic control</t>
  </si>
  <si>
    <t>REC-000310</t>
  </si>
  <si>
    <t>FI-0365/2</t>
  </si>
  <si>
    <t>S335 Procedures for resetting axle counting system</t>
  </si>
  <si>
    <t>The Finnish Transport Agency should identify the best practices for resetting axle counting after trackwork and should include these practices in the railway traffic control manual.</t>
  </si>
  <si>
    <t>REC-000311</t>
  </si>
  <si>
    <t>FI-0365/3</t>
  </si>
  <si>
    <t>S336 Use of traffic restriction notification</t>
  </si>
  <si>
    <t>The Finnish Transport Agency should ensure that traffic restriction notifications are also used when stock is stored on tracks in traffic usage.</t>
  </si>
  <si>
    <t>REC-000312</t>
  </si>
  <si>
    <t>FI-0365/4</t>
  </si>
  <si>
    <t>S337 Practical implementation of risk management practices</t>
  </si>
  <si>
    <t>The Finnish Transport Safety Agency should ensure that concrete instructions are created for planned risk management procedures, that those executing the procedures are familiarised with them, and that the implementation of risk management procedures is monitored.</t>
  </si>
  <si>
    <t>REC-000084</t>
  </si>
  <si>
    <t>FI-2207/1</t>
  </si>
  <si>
    <t>S338 The use of error logs as a preventive tool</t>
  </si>
  <si>
    <t>The Finnish Transport Agency should establish a system and methodology for the analysis of the error logs of safety systems to ensure that repeated flaws endangering safety are detected.</t>
  </si>
  <si>
    <t>REC-000085</t>
  </si>
  <si>
    <t>FI-2207/2</t>
  </si>
  <si>
    <t>S339 Reporting safety equipment malfunctions requiring a critical command</t>
  </si>
  <si>
    <t>The Finnish Transport Agency should establish a system to ensure that the reason and justification for using a critical command are recorded. This justification will be used to show that no actual flaw remains in the system after the command has been used.</t>
  </si>
  <si>
    <t>REC-000086</t>
  </si>
  <si>
    <t>FI-2207/3</t>
  </si>
  <si>
    <t>S340 Preventing the inadvertent opening of switch locks at turnouts on main tracks</t>
  </si>
  <si>
    <t>The Finnish Transport Agency should convert the electric point machines of the trailable YV60-300-1:9 turnouts used on the main tracks, in order to prevent vibration caused by rolling stock from unlocking the switch lock.</t>
  </si>
  <si>
    <t>FI-2207/4</t>
  </si>
  <si>
    <t>S341 Competence related to turnout maintenance</t>
  </si>
  <si>
    <t>As the infrastructure manager, the Finnish Transport Agency should draw up a clearly defined turnout maintenance training programme and establish a system for continuous monitoring of the competencies of personnel carrying out turnout maintenance and adjustment work.</t>
  </si>
  <si>
    <t>REC-000459</t>
  </si>
  <si>
    <t>FI-2950/1</t>
  </si>
  <si>
    <t>S342 Developing trackwork safety training</t>
  </si>
  <si>
    <t>The Finnish Transport Agency will determine stricter minimum requirements for track-work safety training.</t>
  </si>
  <si>
    <t>REC-000460</t>
  </si>
  <si>
    <t>FI-2950/2</t>
  </si>
  <si>
    <t>S343 Focus of trackwork supervisors on traffic safety and technical tools</t>
  </si>
  <si>
    <t>The Finnish Transport Agency will ensure that trackwork supervisors focus on their traffic safety function, and develop better tools for trackwork supervisors for ensuring safety.</t>
  </si>
  <si>
    <t>REC-000461</t>
  </si>
  <si>
    <t>FI-2950/3</t>
  </si>
  <si>
    <t>S344 Safety incentives and sanctions in contract agreements</t>
  </si>
  <si>
    <t>The Finnish Transport Agency will include in all trackwork contracts the detailed financial consequences for the contractor arising from compliance or non-compliance with safety regulations.</t>
  </si>
  <si>
    <t>REC-000462</t>
  </si>
  <si>
    <t>FI-2950/4</t>
  </si>
  <si>
    <t>S345 Preparations for trackwork and clarification of responsibilities</t>
  </si>
  <si>
    <t>The Finnish Transport Agency will ensure that contracts include a separate and sufficient timeframe for planning trackwork and clarifying responsibilities before trackwork is begun.</t>
  </si>
  <si>
    <t>REC-000463</t>
  </si>
  <si>
    <t>FI-2950/5</t>
  </si>
  <si>
    <t>S346 Trackwork field monitoring</t>
  </si>
  <si>
    <t>The Finnish Transport Agency will increase the field monitoring of trackwork safety regulations by allocating appropriate resources for such work.</t>
  </si>
  <si>
    <t>REC-000464</t>
  </si>
  <si>
    <t>FI-2950/6</t>
  </si>
  <si>
    <t>S347 Developing the processing of rail traffic safety deviations</t>
  </si>
  <si>
    <t>The Finnish Transport Agency will allocate sufficient resources for developing the careful, systematic and rapid processing of safety deviations.</t>
  </si>
  <si>
    <t>REC-000329</t>
  </si>
  <si>
    <t>FI-4699/1</t>
  </si>
  <si>
    <t>2016-S11 The use of automation functions</t>
  </si>
  <si>
    <t>The Finnish Transport Agency should, in collaboration with Finrail Oy, ensure that, as a general rule, routes are created by the automated system.</t>
  </si>
  <si>
    <t>REC-000330</t>
  </si>
  <si>
    <t>FI-4699/2</t>
  </si>
  <si>
    <t>2016-S12 Uniform reporting and classification of deviations</t>
  </si>
  <si>
    <t>The Finnish Transport Safety Agency (Trafi) is obliged to create a uniform system for the reporting and classifying of deviations; one covering all actors.</t>
  </si>
  <si>
    <t>REC-000331</t>
  </si>
  <si>
    <t>FI-4699/3</t>
  </si>
  <si>
    <t>2016-S13 Management of the adoption of regulations and instructions</t>
  </si>
  <si>
    <t>The Finnish Transport Agency must ensure that the instructions directly affecting the work of traffic controllers are kept up to date and that they are not put into use without sufficient orientation of personnel.</t>
  </si>
  <si>
    <t>REC-000332</t>
  </si>
  <si>
    <t>FI-4699/4</t>
  </si>
  <si>
    <t>2016-S14 System changes and their deployment management</t>
  </si>
  <si>
    <t>The Finnish Transport Agency must ensure that new systems or modifications to existing systems are not introduced incomplete, or without sufficient orientation of the staff.</t>
  </si>
  <si>
    <t>REC-000333</t>
  </si>
  <si>
    <t>FI-4699/5</t>
  </si>
  <si>
    <t>2016-S15 Development of traffic control systems</t>
  </si>
  <si>
    <t>When procuring traffic control systems, the Finnish Transport Agency must take steps to ensure that any development needs emerging in a system can be implemented smoothly during the systemâ€™s lifespan.</t>
  </si>
  <si>
    <t>REC-000248</t>
  </si>
  <si>
    <t>FI-4721/1</t>
  </si>
  <si>
    <t>2015-S23 Guidelines on the use of level crossings in exceptional circumstances</t>
  </si>
  <si>
    <t>The Finnish Transport Agency must draft readily available guidelines for time-intensive, non-trackwork-related use of level crossings or other similar work that poses a risk of a collision.</t>
  </si>
  <si>
    <t>REC-000249</t>
  </si>
  <si>
    <t>FI-4721/2</t>
  </si>
  <si>
    <t>2015-S24 Use of seatbelts in tractors</t>
  </si>
  <si>
    <t>The Road Traffic Act must stipulate that those operating tractors and work machines must wear seatbelts when driving in traffic.</t>
  </si>
  <si>
    <t>REC-000250</t>
  </si>
  <si>
    <t>FI-4721/3</t>
  </si>
  <si>
    <t>2015-S25 Instructions for engine drivers in the event of an imminent collision</t>
  </si>
  <si>
    <t>Written guidelines for how to react to an imminent collision must be introduced in the training of engine drivers for specific types of train units and locomotives.</t>
  </si>
  <si>
    <t>REC-000340</t>
  </si>
  <si>
    <t>FI-4744/1</t>
  </si>
  <si>
    <t>2015-S30 Repairs of safety device malfunctions in the rolling stock</t>
  </si>
  <si>
    <t>The maintainer of the rolling stock must ensure and instruct the repairs of safety device malfunctions in the rolling stock better than at present.</t>
  </si>
  <si>
    <t>FI-4744/2</t>
  </si>
  <si>
    <t>2015-S31 Organizing of technical support for commuter trains</t>
  </si>
  <si>
    <t>The technical support for the Sm commuter trains is moved to the VR Operations Centre.</t>
  </si>
  <si>
    <t>REC-000353</t>
  </si>
  <si>
    <t>FI-4744/3</t>
  </si>
  <si>
    <t>2015-S32 Training of fault situations for engine drivers</t>
  </si>
  <si>
    <t>The engine driver training must pay more attention to resolving problems than before.</t>
  </si>
  <si>
    <t>REC-000241</t>
  </si>
  <si>
    <t>FI-4745/1</t>
  </si>
  <si>
    <t>Automatic activation of the ATP engine device [2015-S14]</t>
  </si>
  <si>
    <t>The ATP engine device must always be switched on.</t>
  </si>
  <si>
    <t>REC-000242</t>
  </si>
  <si>
    <t>FI-4745/2</t>
  </si>
  <si>
    <t>Alarm in the cabin that warns when the ATP engine device is not operating [2015-S15]</t>
  </si>
  <si>
    <t>Cabin equipment should give the engine driver a clear warning if the train's ATP engine device is not operating.</t>
  </si>
  <si>
    <t>REC-000243</t>
  </si>
  <si>
    <t>FI-4745/3</t>
  </si>
  <si>
    <t>Speed limit for a train on which the ATP engine device is not operating [R2015-S16]</t>
  </si>
  <si>
    <t>If a train's ATP engine device is not switched on, the train's speed should be restricted to a maximum of 80 km/h.</t>
  </si>
  <si>
    <t>REC-000244</t>
  </si>
  <si>
    <t>FI-4745/4</t>
  </si>
  <si>
    <t>Clear instructions on the use of private phones and other mobile devices during work [2015-S17]</t>
  </si>
  <si>
    <t>Clear instructions on the use of mobile devices by engine drivers while driving the train must be provided.</t>
  </si>
  <si>
    <t>REC-000245</t>
  </si>
  <si>
    <t>FI-4745/5</t>
  </si>
  <si>
    <t>Clear instructions on when and how the operation of a turnout should be checked. [R2015-S18]</t>
  </si>
  <si>
    <t>The Finnish Transport Agency should include in the turnout inspection instructions the situations where a train has or is suspected to have been driven onto a switch guided to the diverging track at a speed that is clearly higher than allowed for the switch type in question.</t>
  </si>
  <si>
    <t>REC-000247</t>
  </si>
  <si>
    <t>FI-4745/6</t>
  </si>
  <si>
    <t>VR Group's safety management system and engine driver training should include more content relating to the mastery of human factors [2015-S19]</t>
  </si>
  <si>
    <t>The Finnish Transport Safety Agency (Trafi) should demand that the subject matter of human factors will be emphasised more in both the safety management systems of railway operators and training in the field.</t>
  </si>
  <si>
    <t>REC-000430</t>
  </si>
  <si>
    <t>FI-4998/1</t>
  </si>
  <si>
    <t>2016-S27 Instructions on cable marking and the request form</t>
  </si>
  <si>
    <t>The Finnish Transport Agency shall renew the instructions on cable marking and adapt the cable marking request form so that the purchaser must comment on the protective measures to be used in the work.</t>
  </si>
  <si>
    <t>REC-000431</t>
  </si>
  <si>
    <t>FI-4998/2</t>
  </si>
  <si>
    <t>2016-S28 Requesting a trackwork permission for cable marking</t>
  </si>
  <si>
    <t>The Finnish Transport Agency must also find out if the instructions could be changed so that a trackwork permission could also be requested for cable marking without an advance notification (Advance information on train traffic (JETI)), if necessary.</t>
  </si>
  <si>
    <t>FI-5062/1</t>
  </si>
  <si>
    <t>2017-S3 Specifying the binding of slit coil packs</t>
  </si>
  <si>
    <t>SSAB specifies the binding of slit coil packs and verifies it by calculations, taking the stresses due to handling at the factory into account in addition to the lateral accelera-tions on the coil pack during railway transport.</t>
  </si>
  <si>
    <t>FI-5062/2</t>
  </si>
  <si>
    <t>2017-S4 Loading slit coil packs on a wagon</t>
  </si>
  <si>
    <t>VR finds out the best placement for the coils in the wagons in order to improve the run-ning characteristics of a loaded coil wagon and takes the results into account in the loading instructions.</t>
  </si>
  <si>
    <t>FI-5062/3</t>
  </si>
  <si>
    <t>2017-S5 Collecting and analysing safety information</t>
  </si>
  <si>
    <t>In order to identify risks, SSAB collects information about deviations related to binding, storage handling and transport, and deals with them.</t>
  </si>
  <si>
    <t>REC-000122</t>
  </si>
  <si>
    <t>FI-5111/1</t>
  </si>
  <si>
    <t>2017-S6 Supervision of shunting work</t>
  </si>
  <si>
    <t>The Finnish Transport Safety Agency (Trafi) and railway operators should improve the supervision of shunting work.</t>
  </si>
  <si>
    <t>REC-000123</t>
  </si>
  <si>
    <t>FI-5111/2</t>
  </si>
  <si>
    <t>2017-S7 The harmonisation of the usable lengths of railway yard tracks</t>
  </si>
  <si>
    <t>Infrastructure managers are responsible for ensuring that the usable track length in railway yards are consistent regardless of the system.</t>
  </si>
  <si>
    <t>REC-000124</t>
  </si>
  <si>
    <t>FI-5111/3</t>
  </si>
  <si>
    <t>2017-S8 Compliance with the rescue plan</t>
  </si>
  <si>
    <t>Railway undertakings should comply with local emergency plans in ports and other areas where other companies are also operating.</t>
  </si>
  <si>
    <t>REC-000125</t>
  </si>
  <si>
    <t>FI-5111/4</t>
  </si>
  <si>
    <t>2017-S9 Replacement of buffer stops</t>
  </si>
  <si>
    <t>Infrastructure managers should modernise buffer stops on tracks where shunting work is done related to the transport of dangerous goods.</t>
  </si>
  <si>
    <t>REC-000187</t>
  </si>
  <si>
    <t>FI-5158/1</t>
  </si>
  <si>
    <t>2017-S28 Restricting running as a train on tracks that are not under technical centralised traffic control</t>
  </si>
  <si>
    <t>The Finnish Transport Agency should restrict trains running on tracks that are not under technical centralised traffic control.</t>
  </si>
  <si>
    <t>REC-000188</t>
  </si>
  <si>
    <t>FI-5158/2</t>
  </si>
  <si>
    <t>2017-S29 Renewing the instructions on traffic control</t>
  </si>
  <si>
    <t>The Finnish Transport Agency should harmonise and clarify the instructions on centralised traffic control.</t>
  </si>
  <si>
    <t>REC-000189</t>
  </si>
  <si>
    <t>FI-5158/3</t>
  </si>
  <si>
    <t>2017-30 The obligation of an engine driver to keep a lookout in train traffic</t>
  </si>
  <si>
    <t>The Finnish Transport Safety Agency (Trafi) should order that engine drivers keep a lookout when in train traffic.</t>
  </si>
  <si>
    <t>REC-000172</t>
  </si>
  <si>
    <t>FI-5157/1</t>
  </si>
  <si>
    <t>2017-S22 Ensuring requirements for the operational safety of the metro</t>
  </si>
  <si>
    <t>Helsinki City Transport and the safety device supplier should investigate and analyse the requirements relating to the operational safety of the metro railway system thoroughly in order to avoid potential faults being carried across to the next system in the course of the current safety device revision.</t>
  </si>
  <si>
    <t>FI-5157/2</t>
  </si>
  <si>
    <t>2017-S23 Development of the safety management system</t>
  </si>
  <si>
    <t>The Finnish Transport Safety Agency should ensure that Helsinki City Transportâ€™s safety management system is developed so that it meets the requirements set by the European Railway Agency (ERA) for safety management systems.</t>
  </si>
  <si>
    <t>REC-000174</t>
  </si>
  <si>
    <t>FI-5157/3</t>
  </si>
  <si>
    <t>2017-S24 Development of the planning and coordination of night-time traffic</t>
  </si>
  <si>
    <t>Helsinki City Transport should schedule night-time metro trains and other units and draw up a driving programme for them.</t>
  </si>
  <si>
    <t>REC-000175</t>
  </si>
  <si>
    <t>FI-5157/4</t>
  </si>
  <si>
    <t>2017-S25 Development of the training system</t>
  </si>
  <si>
    <t>Helsinki City Transport should ensure that recommendations S265 and S266 given by the Safety Investigation Authority previously are extended to also apply to metro traffic.</t>
  </si>
  <si>
    <t>REC-000383</t>
  </si>
  <si>
    <t>FI-5386/1</t>
  </si>
  <si>
    <t>2018-S1 Contractor-specific safety management systems in trackwork</t>
  </si>
  <si>
    <t>Already at the competitive tendering phase for the project, the Finnish Transport Agency should require each main contractor participating in track projects to have its own safety management system that takes the special characteristics of the companies and work sites into consideration, and include monitoring of the realisation of these systems as part of its auditing process.</t>
  </si>
  <si>
    <t>FI-5386/2</t>
  </si>
  <si>
    <t>2018-S2 Instructions on the locations where rolling stock may be left standing and ensuring that it remains in place</t>
  </si>
  <si>
    <t>The Finnish Transport Agency should add instructions to the safety instructions of track maintenance (TURO) and the rail traffic and shunting work safety rules (Jt) on the locations where rolling stock may be left standing and the required procedures to secure it in place.</t>
  </si>
  <si>
    <t>FI-5386/3</t>
  </si>
  <si>
    <t>2018-S3 Connection of turnouts installed on a track section used by traffic to the monitoring of the centralised traffic control</t>
  </si>
  <si>
    <t>The Finnish Transport Agency should update Part 6, Safety devices, of the Railway Engi-neering Guidelines (RATO) so that the section of a turnout that sees traffic installed on a track section used by traffic must always be connected to the track circuit of the railway safety system as its own element and connected to the centralised traffic control monitoring immediately when technically possible.</t>
  </si>
  <si>
    <t>REC-000390</t>
  </si>
  <si>
    <t>FI-5386/4</t>
  </si>
  <si>
    <t>2018-S4 Development of the commissioning permit procedure for individual machines of the type in use</t>
  </si>
  <si>
    <t>The Finnish Transport Safety Agency should specify in more detail the checks required during a traffic worthiness inspection as well as the qualification and independence criteria for the party conducting the inspection.</t>
  </si>
  <si>
    <t>REC-000395</t>
  </si>
  <si>
    <t>FI-5386/5</t>
  </si>
  <si>
    <t>S346 On-site trackwork monitoring</t>
  </si>
  <si>
    <t>REC-000407</t>
  </si>
  <si>
    <t>FI-5479/1</t>
  </si>
  <si>
    <t>2018-S20 Development of risk assessment</t>
  </si>
  <si>
    <t>The Defence Forces develop the risk assessment of exercises in order to identify the actual risks and name those which are identified.</t>
  </si>
  <si>
    <t>REC-000408</t>
  </si>
  <si>
    <t>FI-5479/2</t>
  </si>
  <si>
    <t>2018-S21 Improving the safety of the most dangerous level crossings</t>
  </si>
  <si>
    <t>The Finnish Transport Agency and the Finnish Transport Safety Agency ensure that re-sources are allocated to improving the safety of, or removing, the most dangerous level crossings.</t>
  </si>
  <si>
    <t>REC-000409</t>
  </si>
  <si>
    <t>FI-5479/3</t>
  </si>
  <si>
    <t>2018-S22 Improved usability of seatbelts and monitoring usage</t>
  </si>
  <si>
    <t>The Finnish Defence Forces develop seatbelts in cargo space seating modules so that they are easier to use, and enhance their monitoring of the use of seatbelts.</t>
  </si>
  <si>
    <t>REC-000410</t>
  </si>
  <si>
    <t>FI-5479/4</t>
  </si>
  <si>
    <t>2018-S23 The establishment of an operational area command by the authorities should be routine</t>
  </si>
  <si>
    <t>The Ministry of the Interior ensure that an operational area command (OAC) is set up by the public authorities in the case of long-term or exceptional multi-authority tasks.</t>
  </si>
  <si>
    <t>REC-000396</t>
  </si>
  <si>
    <t>FI-5532/1</t>
  </si>
  <si>
    <t>2018-S14 Development of work guidance monitoring</t>
  </si>
  <si>
    <t>When approving safety management systems and persons who are responsible for the verification of personnel skills, the Finnish Transport Safety Agency makes sure that their skills verification methods are sufficient and skills verification is reported accordingly.</t>
  </si>
  <si>
    <t>REC-000399</t>
  </si>
  <si>
    <t>FI-5532/2</t>
  </si>
  <si>
    <t>2018-S15 Development of teaching tools</t>
  </si>
  <si>
    <t>Training institutions in the railway sector include simulator training in the training programme for shunting foremen.</t>
  </si>
  <si>
    <t>REC-000402</t>
  </si>
  <si>
    <t>FI-5532/3</t>
  </si>
  <si>
    <t>2018-S16 Instruction on track changes in railway yards</t>
  </si>
  <si>
    <t>The Finnish Transport Agency draw up written instructions for track changes in railway yards and ensure that the operators in the yards act according to the instructions.</t>
  </si>
  <si>
    <t>REC-000403</t>
  </si>
  <si>
    <t>FI-5532/4</t>
  </si>
  <si>
    <t>2018-S17 Emergency braking by radio control</t>
  </si>
  <si>
    <t>The Finnish Transport Safety Agency (Trafi) require that the radio control units used for shunting work have a separate, non-delayed emergency stop button.</t>
  </si>
  <si>
    <t>FI-5532/5</t>
  </si>
  <si>
    <t>2018-S18 Monitoring of the practical implementation of safety management systems</t>
  </si>
  <si>
    <t>The Finnish Transport Safety Agency begin monitoring the practical implementation of safety management systems.</t>
  </si>
  <si>
    <t>REC-000405</t>
  </si>
  <si>
    <t>FI-5532/6</t>
  </si>
  <si>
    <t>2018-S19 Use of emergency service routes during emergency calls</t>
  </si>
  <si>
    <t>The Emergency Response Centre add numbered emergency service routes for railwayyards to its system, and emergency duty officers be instructed to locate the accident site primarily through such routes.</t>
  </si>
  <si>
    <t>REC-000406</t>
  </si>
  <si>
    <t>FI-5532/7</t>
  </si>
  <si>
    <t>S194 Track numbering in railway yards</t>
  </si>
  <si>
    <t>Railway yard tracks should be equipped with number plates.</t>
  </si>
  <si>
    <t>REC-000020</t>
  </si>
  <si>
    <t>FI-5685/1</t>
  </si>
  <si>
    <t>2019-S1 Preventing congestion amongst RID transports</t>
  </si>
  <si>
    <t>Railway traffic operators, the Finnish Transport Infrastructure Agency and the competent authorities must develop means of preventing traffic congestion amongst transports with dangerous goods arriving from Russia. The acquisition and use of predictive information must be developed in particular.</t>
  </si>
  <si>
    <t>FI-5685/2</t>
  </si>
  <si>
    <t>2019-S2 Safety checks during the temporary preservation of RID wagons</t>
  </si>
  <si>
    <t>Railway operators and infrastructure managers must perform a risk assessment of the temporary storage of RID wagons in locations other than designated RID railway yards, and the due care and attention required under RID legislation must be observed.</t>
  </si>
  <si>
    <t>REC-000034</t>
  </si>
  <si>
    <t>FI-5685/3</t>
  </si>
  <si>
    <t>2019-S3 Development of the identification and management of risks related to rail traffic in safety management systems</t>
  </si>
  <si>
    <t>Railway operators and the Finnish Transport Infrastructure Agency must develop the identification and management of risks related to normal rail traffic in their safety management systems.</t>
  </si>
  <si>
    <t>REC-000035</t>
  </si>
  <si>
    <t>FI-5685/4</t>
  </si>
  <si>
    <t>2019-S4 Guidelines on ensuring that wagons remain in place</t>
  </si>
  <si>
    <t>The Finnish Transport Infrastructure Agency will draw up guidelines on keeping wagons stationary in the Finnish state rail network.</t>
  </si>
  <si>
    <t>REC-000036</t>
  </si>
  <si>
    <t>FI-5685/5</t>
  </si>
  <si>
    <t>R2019-5 Clarification of the role of the infrastructure manager</t>
  </si>
  <si>
    <t>The Finnish Transport Infrastructure Agency will inform stakeholders of its role and responsibilities.</t>
  </si>
  <si>
    <t>REC-000037</t>
  </si>
  <si>
    <t>FI-5685/6</t>
  </si>
  <si>
    <t>2019-6 Guidance for and definition of remote management during rescue operations</t>
  </si>
  <si>
    <t>The rescue services define the principles underlying remote management and the communication of the situational picture at the scene of the accident, and draw up guidelines on remote management.</t>
  </si>
  <si>
    <t>REC-000038</t>
  </si>
  <si>
    <t>FI-5685/7</t>
  </si>
  <si>
    <t>The Ministry of the Interior shall ensure that an operational area command (OAC) is set up by the public authorities in the case of long-term or exceptional multi-authority tasks.</t>
  </si>
  <si>
    <t>REC-000374</t>
  </si>
  <si>
    <t>FI-5869/1</t>
  </si>
  <si>
    <t>2019-S40 Improvement of the safety management of the waste collection process</t>
  </si>
  <si>
    <t>The safety management related to the waste collection process shall take comprehensively into account the requirements of the work processes and the identification of occupational safety and traffic safety risks. Instructions shall be drawn up for the work processes and the orientation of the employees, and they shall be documented. Processes for handling feedback shall be defined in order to improve the operations.</t>
  </si>
  <si>
    <t>REC-000377</t>
  </si>
  <si>
    <t>FI-5869/2</t>
  </si>
  <si>
    <t>2019-S41 Speed limits at level crossings</t>
  </si>
  <si>
    <t>The Finnish Transport and Infrastructure Agency and other road keepers should review all speed limits, particularly at unprotected level crossings, and ensure that comply with the guidelines.</t>
  </si>
  <si>
    <t>REC-000379</t>
  </si>
  <si>
    <t>FI-5869/3</t>
  </si>
  <si>
    <t>2019-S42 Management of the level crossing risks identified during track projects</t>
  </si>
  <si>
    <t>In its track projects, the Finnish Transport and Infrastructure Agency shall prepare a plan and a timetable for the correction of the risks identified at level crossings. It must not be possible to transfer the risks into the future as residual risks.</t>
  </si>
  <si>
    <t>REC-000381</t>
  </si>
  <si>
    <t>FI-5869/4</t>
  </si>
  <si>
    <t>2019-S43 Emergency lighting of the Sr3 locomotive</t>
  </si>
  <si>
    <t>VR Group shall change the emergency lighting of the Sr3 locomotive to meet the TSI requirements.</t>
  </si>
  <si>
    <t>FI-5869/5</t>
  </si>
  <si>
    <t>2019-S44 Ensuring the power supply of the data recorder</t>
  </si>
  <si>
    <t>An independent power supply is required for new rolling stock being type approved that guarantees the operation of the recorder for a minimum of 30 minutes after power has been cut off.</t>
  </si>
  <si>
    <t>FI-5869/6</t>
  </si>
  <si>
    <t>2019-S45 Improvement of the safety of the cabin windows of rolling stock</t>
  </si>
  <si>
    <t>Railway undertakings shall ensure that the cabin windows of the rolling stock are made of glass that does not cause additional injuries when breaking in an accident.</t>
  </si>
  <si>
    <t>FI-5869/7</t>
  </si>
  <si>
    <t>2019-S46 Review of the execution of railway clearance operations</t>
  </si>
  <si>
    <t>The Finnish Transport and Infrastructure Agency shall initiate a new review of the regulations concerning clearance work and clarify the roles of the actors in clearance operations.</t>
  </si>
  <si>
    <t>REC-000389</t>
  </si>
  <si>
    <t>FI-5869/8</t>
  </si>
  <si>
    <t>2019-S47 Instructions and supervision of the assessment of level crossing risks</t>
  </si>
  <si>
    <t>The Finnish Transport and Communications Agency shall define an approval process for the risk assessment of level crossings and supervise that the corrective measures are taken.</t>
  </si>
  <si>
    <t>REC-000589</t>
  </si>
  <si>
    <t>FI-6148/1</t>
  </si>
  <si>
    <t>2020-S19 Clarifying the instructions on GPS positioning in the trackwork permission process</t>
  </si>
  <si>
    <t>The Finnish Transport Infrastructure Agency orders the use of GPS positioning to be mandatory in locating trackwork.</t>
  </si>
  <si>
    <t>REC-000590</t>
  </si>
  <si>
    <t>FI-6148/2</t>
  </si>
  <si>
    <t>2020-S24 Use of location markers and track elements in the voice communications between centralised traffic control and the trackwork supervisor</t>
  </si>
  <si>
    <t>The Finnish Transport Infrastructure Agency harmonises the location instructions for the railway network so that location markers are used in addition to the track elements in the voice communications between centralised traffic control and the trackwork su-pervisor, if necessary.</t>
  </si>
  <si>
    <t>REC-000591</t>
  </si>
  <si>
    <t>FI-6148/3</t>
  </si>
  <si>
    <t>2020-S25 Harmonising the maps</t>
  </si>
  <si>
    <t>The Finnish Transport Infrastructure Agency harmonises the maps used for locating trackwork.</t>
  </si>
  <si>
    <t>REC-000592</t>
  </si>
  <si>
    <t>FI-6148/4</t>
  </si>
  <si>
    <t>2020-S26 Competence assurance in the trackwork training of companies</t>
  </si>
  <si>
    <t>The Finnish Transport Infrastructure Agency emphasises competence assurance in audit-ing the training of trackwork companies.</t>
  </si>
  <si>
    <t>REC-000648</t>
  </si>
  <si>
    <t>FI-6347/1</t>
  </si>
  <si>
    <t>2020-S27 Ensuring competence and the assimilation of information in online training</t>
  </si>
  <si>
    <t>Railway training institutions, infrastructure managers and railway operators develop their online training in order to ensure the assimilation of the required information and the professional competence of employees taking the courses.</t>
  </si>
  <si>
    <t>REC-000665</t>
  </si>
  <si>
    <t>FI-6347/2</t>
  </si>
  <si>
    <t>2020-S28 Improving the lighting of railway yards</t>
  </si>
  <si>
    <t>Infrastructure managers improve the lighting of railway yards with modern technology.</t>
  </si>
  <si>
    <t>REC-000666</t>
  </si>
  <si>
    <t>FI-6347/3</t>
  </si>
  <si>
    <t>2020-S29 Improving the lights of shunting locomotives</t>
  </si>
  <si>
    <t>Railway operators improve the lights of locomotives used for shunting with modern technology.</t>
  </si>
  <si>
    <t>REC-000667</t>
  </si>
  <si>
    <t>FI-6347/4</t>
  </si>
  <si>
    <t>2020-S30 Improving the clarity of railway yard signs</t>
  </si>
  <si>
    <t>The Finnish Transport Infrastructure Agency reviews track signs and ensure their visibility and unambiguity.</t>
  </si>
  <si>
    <t>REC-000668</t>
  </si>
  <si>
    <t>FI-6347/5</t>
  </si>
  <si>
    <t>2020-S31 Improving the processing of deviation reports</t>
  </si>
  <si>
    <t>The Finnish Transport and Communications Agency develops its safety deviation infor-mation system so that it can be used to follow the processing of deviations. Furthermore, the Finnish Transport and Communications Agency ensures that all operators in the rail-way industry have functional deviation management processes.</t>
  </si>
  <si>
    <t>REC-000669</t>
  </si>
  <si>
    <t>FI-6347/6</t>
  </si>
  <si>
    <t>2020-S32 Harmonization of shunting instructions</t>
  </si>
  <si>
    <t>The Finnish Transport Infrastructure Agency assumes overall responsibility for shunting work instructions in Finland by supplementing the Train Traffic and Shunting Safety Guidelines document in this regard. Operators can only be permitted to have supplemen-tary local guidelines drawn up in cooperation with other operators.</t>
  </si>
  <si>
    <t>REC-000670</t>
  </si>
  <si>
    <t>FI-6347/7</t>
  </si>
  <si>
    <t>2020-S33 Development of railway information systems</t>
  </si>
  <si>
    <t>The Finnish Transport Infrastructure Agency and railway operators improve the interoper-ability and usability of their information systems.</t>
  </si>
  <si>
    <t>REC-000671</t>
  </si>
  <si>
    <t>FI-6347/8</t>
  </si>
  <si>
    <t>2020-S34 Protecting train traffic from traffic entering from class 2 traffic control ar-eas</t>
  </si>
  <si>
    <t>The Finnish Transport Infrastructure Agency implement technical safeguards for protecting routes from traffic entering from class 2 traffic control areas.</t>
  </si>
  <si>
    <t>REC-000672</t>
  </si>
  <si>
    <t>FI-6347/9</t>
  </si>
  <si>
    <t>2020-S35 Railway emergency calls should be used routinely</t>
  </si>
  <si>
    <t>The Finnish Transport Infrastructure Agency, Finrail Oy, railway industry training institutions, railway operators and infrastructure managers stress the importance of making railway emergency calls in their basic and refresher training.</t>
  </si>
  <si>
    <t>FI-6270/1</t>
  </si>
  <si>
    <t>Side collision protection for rolling stock</t>
  </si>
  <si>
    <r>
      <t xml:space="preserve">The regulations do not take the protection of rolling stock equipment against side collisions into account. The lack of protection increases the risk of fire in diesel trains in particular. Diesel trains typically operate on track sections with a lot of passive level crossings. This means that there is a risk of side collisions.
</t>
    </r>
    <r>
      <rPr>
        <b/>
        <sz val="11"/>
        <color theme="1"/>
        <rFont val="Calibri"/>
        <family val="2"/>
        <scheme val="minor"/>
      </rPr>
      <t xml:space="preserve">The Safety Investigation Authority recommends that:
</t>
    </r>
    <r>
      <rPr>
        <i/>
        <sz val="11"/>
        <color theme="1"/>
        <rFont val="Calibri"/>
        <family val="2"/>
        <scheme val="minor"/>
      </rPr>
      <t xml:space="preserve">The European Union Agency for Railways add requirements on protection against side collisions to regulations on diesel trains. [2021-S1].
</t>
    </r>
    <r>
      <rPr>
        <sz val="11"/>
        <color theme="1"/>
        <rFont val="Calibri"/>
        <family val="2"/>
        <scheme val="minor"/>
      </rPr>
      <t xml:space="preserve">
Ready-made modules are used in building trains, which is cost-effective. Usability factors are the primary consideration in the placement of modules, while safety remains secondary. Railway operators are to investigate the possibilities of improving the protection against side collisions of the stock that is already in use.
</t>
    </r>
  </si>
  <si>
    <t>FI-6270/2</t>
  </si>
  <si>
    <t>Evacuation training for engine drivers</t>
  </si>
  <si>
    <r>
      <t xml:space="preserve">The engine driver plays a crucial role in the evacuation of regional trains since the driver is the only crew member on board. A risk assessment was conducted when train crews were cut from rail bus traffic. The risk assessment did not pay sufficient attention to evacuations or identify the need for additional engine driver training. The basic or supplementary training provided to engine drivers by VR does not include evacuation training or drills.
</t>
    </r>
    <r>
      <rPr>
        <b/>
        <sz val="11"/>
        <color theme="1"/>
        <rFont val="Calibri"/>
        <family val="2"/>
        <scheme val="minor"/>
      </rPr>
      <t xml:space="preserve">The Safety Investigation Authority recommends that the Finnish Transport and Communications Agency (Traficom) ensures that:
</t>
    </r>
    <r>
      <rPr>
        <i/>
        <sz val="11"/>
        <color theme="1"/>
        <rFont val="Calibri"/>
        <family val="2"/>
        <scheme val="minor"/>
      </rPr>
      <t>VR Group includes evacuation training in its engine driver training program. [2021-S2]</t>
    </r>
  </si>
  <si>
    <t>FI-6270/3</t>
  </si>
  <si>
    <t>Passenger safety on Dm12 rolling stock</t>
  </si>
  <si>
    <r>
      <t xml:space="preserve">If the train driver is incapacitated or the train has more than one car, passengers must be able to exit the train quickly on their own initiative in the event of a fire or other accident. The rail bus’s safety lights do not function if the batteries are D7136damaged, and the instructions for opening the doors are difficult to understand.
</t>
    </r>
    <r>
      <rPr>
        <b/>
        <sz val="11"/>
        <color theme="1"/>
        <rFont val="Calibri"/>
        <family val="2"/>
        <scheme val="minor"/>
      </rPr>
      <t xml:space="preserve">The Safety Investigation Authority recommends that the Finnish Transport and Communications Agency (Traficom) ensures that:
</t>
    </r>
    <r>
      <rPr>
        <i/>
        <sz val="11"/>
        <color theme="1"/>
        <rFont val="Calibri"/>
        <family val="2"/>
        <scheme val="minor"/>
      </rPr>
      <t>VR Group replaces the emergency opening instruction decals and ensure the functioning of safety lights on rail buses. [2021-S3]</t>
    </r>
  </si>
  <si>
    <t>FI-6270/4</t>
  </si>
  <si>
    <t>Use of location signs in the emergency call</t>
  </si>
  <si>
    <r>
      <t xml:space="preserve">A study commissioned by the Finnish Transport Infrastructure Agency on the use of location signs included a risk assessment of their impact on other parties. The impact on the ability of Emergency Response Centres to locate the scenes of accidents was not assessed.
</t>
    </r>
    <r>
      <rPr>
        <b/>
        <sz val="11"/>
        <color theme="1"/>
        <rFont val="Calibri"/>
        <family val="2"/>
        <scheme val="minor"/>
      </rPr>
      <t xml:space="preserve">The Safety Investigation Authority recommends that the Finnish Transport and Communications Agency (Traficom) ensures that:
</t>
    </r>
    <r>
      <rPr>
        <i/>
        <sz val="11"/>
        <color theme="1"/>
        <rFont val="Calibri"/>
        <family val="2"/>
        <scheme val="minor"/>
      </rPr>
      <t>The Finnish Transport Infrastructure Agency agrees with the Emergency Response Centre Administration on the use of location signs in railway emergency calls. [2021-S4]</t>
    </r>
  </si>
  <si>
    <t>FR-995/1</t>
  </si>
  <si>
    <t>fitting signals to LCs with trains with speed over 40km/h</t>
  </si>
  <si>
    <t>FR-995/2</t>
  </si>
  <si>
    <t>Improve the layout of the road at the concerned LC of Gimont</t>
  </si>
  <si>
    <t>FR-995/3</t>
  </si>
  <si>
    <t>Ban the HGVs from the concerned LC until improvements have been made</t>
  </si>
  <si>
    <t>FR-983/1</t>
  </si>
  <si>
    <t>Improve quality of maintenance operations in the concerned workshop</t>
  </si>
  <si>
    <t>FR-983/2</t>
  </si>
  <si>
    <t>Promote a compulsory certification for maintenance workshops</t>
  </si>
  <si>
    <t>FR-983/3</t>
  </si>
  <si>
    <t>Compare specifications of trackside detection systems existing in Europe</t>
  </si>
  <si>
    <t>FR-930/1</t>
  </si>
  <si>
    <t>make tests to assess actual stesses on wagon wheels</t>
  </si>
  <si>
    <t>FR-930/2</t>
  </si>
  <si>
    <t>rule out unmachined wagon wheels from european standards</t>
  </si>
  <si>
    <t>FR-930/3</t>
  </si>
  <si>
    <t>rule out unmachined wagon wheels from tank wagons</t>
  </si>
  <si>
    <t>FR-930/4</t>
  </si>
  <si>
    <t>improve attention of inspectors on detection of wheels cracks</t>
  </si>
  <si>
    <t>FR-930/5</t>
  </si>
  <si>
    <t>include inspection of wheels in EVIC</t>
  </si>
  <si>
    <t>FR-930/6</t>
  </si>
  <si>
    <t>improve wording of GCU concerning detection of cracked wheels</t>
  </si>
  <si>
    <t>FR-930/7</t>
  </si>
  <si>
    <t>Improve procedures for detection of cracked wheels during overhaul of wagons</t>
  </si>
  <si>
    <t>FR-930/8</t>
  </si>
  <si>
    <t>improve maintenance rules concerning tank wagons' wheels</t>
  </si>
  <si>
    <t>FR-817/1</t>
  </si>
  <si>
    <t>Consider periodic measuring of track cant</t>
  </si>
  <si>
    <t>FR-817/2</t>
  </si>
  <si>
    <t>Check wagon maintenance rules concerning clearances between frame and bogie</t>
  </si>
  <si>
    <t>FR-817/3</t>
  </si>
  <si>
    <t>improve rail flange lubrication of tracks with severe geometry characteristics</t>
  </si>
  <si>
    <t>FR-817/4</t>
  </si>
  <si>
    <t>improve protection procedures for accidents involving dangerous goods wagons</t>
  </si>
  <si>
    <t>FR-817/5</t>
  </si>
  <si>
    <t>improve quality of radio communications between drivers and dispatchers</t>
  </si>
  <si>
    <t>FR-800/1</t>
  </si>
  <si>
    <t>improve lorry drivers' training</t>
  </si>
  <si>
    <t>FR-800/2</t>
  </si>
  <si>
    <t>improve information concerning accesses and unloading areas</t>
  </si>
  <si>
    <t>FR-800/3</t>
  </si>
  <si>
    <t>improve internal organisation of logistic areas</t>
  </si>
  <si>
    <t>FR-747/1</t>
  </si>
  <si>
    <t>improve maintenance of farming machinery</t>
  </si>
  <si>
    <t>FR-747/2</t>
  </si>
  <si>
    <t>Equip dispatch centers with radio alerts systems</t>
  </si>
  <si>
    <t>FR-747/3</t>
  </si>
  <si>
    <t>Intruduce electric cut-out in dispatchers'manuals as a mean of topping trains in emergency</t>
  </si>
  <si>
    <t>FR-726/1</t>
  </si>
  <si>
    <t>Check training of staff involved in the procedure of sensible sendings; impose presence of RU's advi</t>
  </si>
  <si>
    <t>Check training of staff involved in the procedure of sensible sendings; impose presence of RU's adviser when sensible sendings are made by inexperienced senders.</t>
  </si>
  <si>
    <t>FR-726/2</t>
  </si>
  <si>
    <t>Improve the form for sensible sendings</t>
  </si>
  <si>
    <t>FR-726/3</t>
  </si>
  <si>
    <t>Check training of inspectors for sensible sendings</t>
  </si>
  <si>
    <t>FR-726/4</t>
  </si>
  <si>
    <t>improve drivers' manuals and regulations concerning measures to take in case of abnormal noises when</t>
  </si>
  <si>
    <t>improve drivers' manuals and regulations concerning measures to take in case of abnormal noises when crossing a freight train</t>
  </si>
  <si>
    <t>FR-725/1</t>
  </si>
  <si>
    <t>Improve road traffic magement system on the road concerned</t>
  </si>
  <si>
    <t>FR-725/2</t>
  </si>
  <si>
    <t>consider writing a guidance concerning road trafic management systems in vicinity of a level crossin</t>
  </si>
  <si>
    <t>consider writing a guidance concerning road trafic management systems in vicinity of a level crossing</t>
  </si>
  <si>
    <t>FR-725/3</t>
  </si>
  <si>
    <t>assess existing automatic obstacle detection systems on LCs</t>
  </si>
  <si>
    <t>FR-646/1</t>
  </si>
  <si>
    <t>improve signing and information of the viewers</t>
  </si>
  <si>
    <t>FR-646/2</t>
  </si>
  <si>
    <t>Improve specifications of the locks of railway portals</t>
  </si>
  <si>
    <t>FR-646/3</t>
  </si>
  <si>
    <t>inform travel agencies and coach drivers of the time necessary for the viewers to reach the buses af</t>
  </si>
  <si>
    <t>inform travel agencies and coach drivers of the time necessary for the viewers to reach the buses after the show</t>
  </si>
  <si>
    <t>FR-646/4</t>
  </si>
  <si>
    <t>Improve maintenance and monitoring of fences nad portals</t>
  </si>
  <si>
    <t>FR-646/5</t>
  </si>
  <si>
    <t>Improve signing or railway portals and fences</t>
  </si>
  <si>
    <t>FR-646/6</t>
  </si>
  <si>
    <t>identify hazardous installations near great stadiums and have their fences and portals checked by th</t>
  </si>
  <si>
    <t>identify hazardous installations near great stadiums and have their fences and portals checked by their owners</t>
  </si>
  <si>
    <t>FR-562/1</t>
  </si>
  <si>
    <t>improve controlled stop procedure</t>
  </si>
  <si>
    <t>FR-562/2</t>
  </si>
  <si>
    <t>improve information and instructions to passengers in the event of an evacuation</t>
  </si>
  <si>
    <t>FR-562/3</t>
  </si>
  <si>
    <t>reduce time needed to provide electrical protection to firefighters</t>
  </si>
  <si>
    <t>FR-562/4</t>
  </si>
  <si>
    <t>improve reliability of elements used for firefighting</t>
  </si>
  <si>
    <t>FR-562/5</t>
  </si>
  <si>
    <t>Examine improving the reliability and testing of amenity coach doors</t>
  </si>
  <si>
    <t>FR-562/6</t>
  </si>
  <si>
    <t>review the ventilation management procedures</t>
  </si>
  <si>
    <t>FR-514/1</t>
  </si>
  <si>
    <t>The infrastructure manager should remind thier staff of the measures to take when the road traffic</t>
  </si>
  <si>
    <t>The infrastructure manager should remind thier staff of the measures to take when the road traffic on a LC is subject to substancial increase</t>
  </si>
  <si>
    <t>FR-514/2</t>
  </si>
  <si>
    <t>when a new site is decided, the authorities should take timely measures to ensure the safety of the</t>
  </si>
  <si>
    <t>when a new site is decided, the authorities should take timely measures to ensure the safety of the trafic</t>
  </si>
  <si>
    <t>FR-504/1</t>
  </si>
  <si>
    <t>Improve design and insulation of the HT cables</t>
  </si>
  <si>
    <t>FR-504/2</t>
  </si>
  <si>
    <t>Improve procedures for calling emergency services in case of fire</t>
  </si>
  <si>
    <t>FR-504/3</t>
  </si>
  <si>
    <t>provide portable radio for train staff</t>
  </si>
  <si>
    <t>FR-503/1</t>
  </si>
  <si>
    <t>forbid transit of buses and HGV on LCs with very bad profile</t>
  </si>
  <si>
    <t>FR-503/2</t>
  </si>
  <si>
    <t>increase time of warning for LCs needing a longer time to cross</t>
  </si>
  <si>
    <t>FR-503/3</t>
  </si>
  <si>
    <t>add supplementary red lights for certain LCs</t>
  </si>
  <si>
    <t>FR-409/1</t>
  </si>
  <si>
    <t>Enforcement of regulations concerning exceptionnal consignments by road</t>
  </si>
  <si>
    <t>FR-409/2</t>
  </si>
  <si>
    <t>Organisation of exceptional consignments by road</t>
  </si>
  <si>
    <t>FR-409/3</t>
  </si>
  <si>
    <t>Improve training of drivers of road vehicles</t>
  </si>
  <si>
    <t>FR-403/1</t>
  </si>
  <si>
    <t>improve LC configuration to facilitate crossing by heavy road vehicles</t>
  </si>
  <si>
    <t>FR-403/2</t>
  </si>
  <si>
    <t>improve procedures for constuction sites affecting safety on level crossing</t>
  </si>
  <si>
    <t>FR-403/3</t>
  </si>
  <si>
    <t>Improve road signalling regulations in case of construction sites close to LCs</t>
  </si>
  <si>
    <t>FR-365/1</t>
  </si>
  <si>
    <t>Improve environnement of the crossings</t>
  </si>
  <si>
    <t>FR-365/2</t>
  </si>
  <si>
    <t>Improve usderstanding of the red flashing lights by road users</t>
  </si>
  <si>
    <t>FR-365/3</t>
  </si>
  <si>
    <t>Experiment new signalling</t>
  </si>
  <si>
    <t>FR-365/4</t>
  </si>
  <si>
    <t>Study new rolling stock design</t>
  </si>
  <si>
    <t>FR-365/5</t>
  </si>
  <si>
    <t>add video recording on trams</t>
  </si>
  <si>
    <t>REC-000042</t>
  </si>
  <si>
    <t>FR-1419/1</t>
  </si>
  <si>
    <t>Improve supervision of composite structures including cuttings or embankments</t>
  </si>
  <si>
    <t>REC-000043</t>
  </si>
  <si>
    <t>FR-1419/2</t>
  </si>
  <si>
    <t>Improve devices for alerting trains in case of collapse of cuttings and walls</t>
  </si>
  <si>
    <t>REC-000054</t>
  </si>
  <si>
    <t>FR-1419/3</t>
  </si>
  <si>
    <t>Take into account all available data concerning natural hazards</t>
  </si>
  <si>
    <t>Take into account data concerning natural hazards available in information and prevention files established by local and regional authorities.</t>
  </si>
  <si>
    <t>FR-1346/1</t>
  </si>
  <si>
    <t>Assurer lâ€™enregistrement et la traçabilité des communications de sécurité des régulateurs et des agents circulation à partir de leurs téléphones fixes de service.</t>
  </si>
  <si>
    <t>Assurer lâ€™enregistrement et la traçabilité des communications de sécurité des régulateurs et des agents circulation à partir de leurs téléphones fixes de service. Par ailleurs, le BEA-TT invite les exploitants ferroviaires exerçant sur le réseau ferré national à rappeler à leurs conducteurs les exigences de sécurité qui sâ€™attachent à la circulation en marche à vue en termes, notamment, de vigilance et de maîtrise de la vitesse de leur train, afin dâ€™être en mesure de lâ€™arrêter avant tout signal ou tout obstacle.</t>
  </si>
  <si>
    <t>French</t>
  </si>
  <si>
    <t>FR-1346/2</t>
  </si>
  <si>
    <t>Ensure the registration and tracking of safety related communications of regulators and traffic officers from their fix service phones. In addition, the BEA-TT invite railway companies operating on the national rail network to remind their drivers the safety requirements related to the on-going traffic in particular in terms of vigilance and speed control of the train in order to be able to stop before any signal or obstacle.</t>
  </si>
  <si>
    <t>REC-000040</t>
  </si>
  <si>
    <t>FR-1315/1</t>
  </si>
  <si>
    <t>Impprove safety of LCs without barriers</t>
  </si>
  <si>
    <t>Définir et mettre en oeuvre le programme national de sécurisation des passages à niveau à croix de St André</t>
  </si>
  <si>
    <t>FR-1315/2</t>
  </si>
  <si>
    <t>Define and implement a national program to secure crossings in Croix de St André</t>
  </si>
  <si>
    <t>REC-000041</t>
  </si>
  <si>
    <t>FR-1315/3</t>
  </si>
  <si>
    <t>Eliminate the concerned LC</t>
  </si>
  <si>
    <t>Supprimer le PN n°65 et dans l'attente en limiter l'accès strictement aux riverains</t>
  </si>
  <si>
    <t>FR-1315/4</t>
  </si>
  <si>
    <t>Remove PN # 65 and limit strictly access to residents</t>
  </si>
  <si>
    <t>REC-000228</t>
  </si>
  <si>
    <t>FR-1275/1</t>
  </si>
  <si>
    <t>Complement track maintenance criteria</t>
  </si>
  <si>
    <t>Consider adding a new geometrical parameter or improve the use of existing track parameters to detect efficiently and correct timely transversal track defects with long wavelenght.</t>
  </si>
  <si>
    <t>FR-1269/1</t>
  </si>
  <si>
    <t>Recommandation R1 (Réseau Ferré de France, Département d'Ille-et-Vilaine, Commune de Saint-Médard-sur-Ille, Préfecture d'Ille-et-Vilaine)</t>
  </si>
  <si>
    <t>Achever, dans les délais les plus rapides, la mise en Å“uvre des mesures de sécurisation du passage à niveau n°11 annoncées en novembre 2011, notamment, l'installation de radars permettant de détecter les franchissements indus des feux R24 clignotant au rouge et l'éloignement du passage à niveau du débouché de la voie communale n°10 sur la RD 106.</t>
  </si>
  <si>
    <t>FR-1269/2</t>
  </si>
  <si>
    <t>Complete, in the shortest possible time, the implementation of security measures the crossing No. 11 announced in November 2011, including the installation of radars to detect improper crossings R24 lights flashing red and remoteness of the crossing at the mouth of the local road No. 10 on the RD 106.</t>
  </si>
  <si>
    <t>REC-000021</t>
  </si>
  <si>
    <t>FR-1269/3</t>
  </si>
  <si>
    <t>Recommandation R2 (Direction Générale des Infrastructures, des Transports et de la Mer â€“ DGITM)</t>
  </si>
  <si>
    <t>1- Faire procéder à une évaluation des conditions de la mise en oeuvre de la politique d'amélioration de la sécurité des passages à niveau, portant notamment sur : les modalités d'établissement de la liste des passages à niveau dits « préoccupants » en terme de pertinence des critères de classement, de prise en compte des diagnostics de sécurité prévus par la circulaire du ministre chargé des transports de juillet 2008 et de validation de cette liste ; la clarification des démarches et des actions qu'induit l'inscription d'un passage à niveau dans cette liste, en particulier en matière de programmation des études et des travaux d'aménagement ou de suppression à y réaliser ; le pilotage de cette politique, en terme de suivi et de réorientations éventuelles des actions conduites ou à réaliser ; le rôle de l'instance nationale de coordination de la politique de suppression et d'aménagement des passages à niveau dans la mise en Å“uvre de cette politique. 2- Mettre en place les ajustements qui découleront de cette évaluation.</t>
  </si>
  <si>
    <t>FR-1269/4</t>
  </si>
  <si>
    <t>1 - Make an assessment of the conditions of implementation of the improved safety of level crossings, including on policy : the modalities for the establishment of the list of passages called " concern" level in terms of relevance ranking criteria , taking into account safety audits under the circular of the Minister for Transport in July 2008 and validating this list ; clarification of procedures and actions induced by the inclusion of a crossing in this list, especially in programming research and development work or deletion are performed; the control of this policy in terms of monitoring and possible shifts in actions conducted or performed; the role of national coordinating policy development and removal of level crossings in the implementation of this policy. 2 - Set up adjustments that result from this assessment.</t>
  </si>
  <si>
    <t>REC-000016</t>
  </si>
  <si>
    <t>FR-1192/1</t>
  </si>
  <si>
    <t>Recommandation R1 (SAEML CFC)</t>
  </si>
  <si>
    <t>Améliorer les conditions de formation et d'emploi des conducteurs en prenant en compte les spécificités que présente l'exploitation du réseau concerné, notamment en période d'affluence estivale.</t>
  </si>
  <si>
    <t>FR-1192/2</t>
  </si>
  <si>
    <t>Improve the conditions of employment and training of drivers taking into account the specificities that this network operations concerned, especially during the summer influx.</t>
  </si>
  <si>
    <t>REC-000017</t>
  </si>
  <si>
    <t>FR-1192/3</t>
  </si>
  <si>
    <t>Recommandation R2 (CTC, SAEML CFC, commune de Calvi)</t>
  </si>
  <si>
    <t>Organiser les cheminements des piétons entre les plages, le port et la ville de Calvi afin d'en canaliser les flux vers des traversées de la voie ferrée identifiées et aménagées. Dans ce cadre, clôturer, autant que faire se peut, l'emprise ferroviaire s'étendant entre le passage à niveau n°26A et les quais de la gare.</t>
  </si>
  <si>
    <t>FR-1192/4</t>
  </si>
  <si>
    <t>Organize to pedestrians between the beaches, the harbor and the town of Calvi in order to channel the flow to the identified and fitted railway crossings. In this context, close, as far as possible, the railway line extending between the level crossing No. 26A and station platforms.</t>
  </si>
  <si>
    <t>REC-000018</t>
  </si>
  <si>
    <t>FR-1192/5</t>
  </si>
  <si>
    <t>Recommandation R3 (CTC, SAEML CFC)</t>
  </si>
  <si>
    <t>Améliorer les conditions de cheminement et de stationnement des voyageurs en gare de Calvi par un dimensionnement adapté des quais et des espaces d'accès tenant compte de la période d'affluence estivale.</t>
  </si>
  <si>
    <t>FR-1192/6</t>
  </si>
  <si>
    <t>Improve conditions for routing and parking of travelers at the station Calvi by suitable design of the docks and access taking into account the period of summer influx.</t>
  </si>
  <si>
    <t>REC-000019</t>
  </si>
  <si>
    <t>FR-1192/7</t>
  </si>
  <si>
    <t>Recommandation R4 (CTC)</t>
  </si>
  <si>
    <t>Demander à l'exploitant des chemins de fer de la Corse de dresser un bilan de la gestion de la sécurité sur ce réseau portant notamment sur l'état des documents opérationnels et l'effectivité de leur mise en Å“uvre, et l'inviter à établir, en s'inspirant des pratiques des réseaux comparables en France et à l'étranger, un plan d'amélioration des conditions de sécurité de cette exploitation adapté à ses particularités et à ses perspectives d'évolution.</t>
  </si>
  <si>
    <t>FR-1192/8</t>
  </si>
  <si>
    <t>Ask the operator of Railways of Corsica to prepare the status of the safety management of the network including the status of operational documents and the effectiveness of their implementation, and invite them to establish, based practices in similar networks in France and abroad, a plan to improve safety conditions for this operation adapted to its peculiarities and its future prospects.</t>
  </si>
  <si>
    <t>REC-000032</t>
  </si>
  <si>
    <t>FR-1152/1</t>
  </si>
  <si>
    <t>R1</t>
  </si>
  <si>
    <t>Change regulations concerning the crossing of railways by execeptionnal freight transport vehicles or heavy goods vehicles with several trailers.</t>
  </si>
  <si>
    <t>FR-1152/2</t>
  </si>
  <si>
    <t>R2</t>
  </si>
  <si>
    <t>Improve training of drivers of guiding vehicles of exceptional loads to make them more aware of risks of railway crossings for long vehicles.</t>
  </si>
  <si>
    <t>REC-000013</t>
  </si>
  <si>
    <t>FR-1110/1</t>
  </si>
  <si>
    <t>Recommandation R1 (Nacco)</t>
  </si>
  <si>
    <t>En tant quâ€™entité en charge de la maintenance, introduire dans ses propres documents de maintenance et appliquer les critères dâ€™examen des axes sous véhicule définis dans le catalogue européen dâ€™inspection visuelle des essieux (EVIC) ; en tant que membre du Vereinigung der Privatgüterwagen Interessenten (VPI), intervenir pour faire aligner les critères du livret de maintenance de cette association professionnelle avec ceux de lâ€™EVIC.</t>
  </si>
  <si>
    <t>FR-1110/2</t>
  </si>
  <si>
    <t>As an entity in charge of maintenance, introduce its own maintenance documents and apply the review criteria in vehicle axes defined in the European visual inspection of the axles (EVIC) catalog, as a member of the Vereinigung der Privatgüterwagen Interessenten (VPI), respond to align the criteria booklet maintenance of this professional association with those of the EVIC.</t>
  </si>
  <si>
    <t>REC-000014</t>
  </si>
  <si>
    <t>FR-1110/3</t>
  </si>
  <si>
    <t>Recommandation R2 (autorité nationale de sécurité ferroviaire suédoise Transportstyrelsen par lâ€™intermédiaire de lâ€™organisme dâ€™enquêtes suédois Statens Haverikommission)</t>
  </si>
  <si>
    <t>Faire mettre en place, dans les ateliers de maintenance de wagons relevant de sa compétence, une organisation garantissant que les critères définis dans le catalogue européen dâ€™inspection visuelle des essieux (EVIC) seront systématiquement appliqués lors des examens des axes sous véhicule, quel que soit le niveau de lâ€™intervention demandée.</t>
  </si>
  <si>
    <t>FR-1110/4</t>
  </si>
  <si>
    <t>To implement in the maintenance workshops cars under its jurisdiction, an organization that ensures that the criteria set out in the European visual inspection of axles (EVIC) catalog will be consistently applied during the examination of axes in the vehicle, regardless the level of intervention required.</t>
  </si>
  <si>
    <t>REC-000015</t>
  </si>
  <si>
    <t>FR-1110/5</t>
  </si>
  <si>
    <t>Recommandation R3 (autorité nationale de sécurité ferroviaire suédoise Transportstyrelsen par lâ€™intermédiaire de lâ€™organisme dâ€™enquêtes suédois Statens Haverikommission)</t>
  </si>
  <si>
    <t>Vérifier, par des audits et des inspections, que les règles concernant la vérification et la réparation des axes dâ€™essieu sont correctement appliquées dans les ateliers de réparation des essieux relevant de sa compétence.</t>
  </si>
  <si>
    <t>FR-1110/6</t>
  </si>
  <si>
    <t>Verify, through audits and inspections, that the rules on verification and repair of axle shafts are properly applied in the repair of axles under its jurisdiction.</t>
  </si>
  <si>
    <t>REC-000022</t>
  </si>
  <si>
    <t>FR-1109/1</t>
  </si>
  <si>
    <t>Recommandation R1 : (Délégation à la Sécurité et à la Circulation Routières)</t>
  </si>
  <si>
    <t>Dans l'arrêté du 4 mai 2006 modifié relatif aux transports exceptionnels de marchandises, d'engins ou de véhicules et ensembles de véhicules comportant plus d'une remorque, modifier les règles de franchissement des voies ferrées qui y figurent à l'article 12 afin de les rendre plus facilement applicables par les transporteurs.</t>
  </si>
  <si>
    <t>FR-1109/2</t>
  </si>
  <si>
    <t>In the order of 4 May 2006 as amended relating to exceptional transport of goods, equipment or vehicles or combinations of vehicles with more than one trailer, change the rules of crossing the tracks therein in Article 12, to make them more easily applicable by the carriers.</t>
  </si>
  <si>
    <t>FR-1109/3</t>
  </si>
  <si>
    <t>Recommandation R2 : (Direction Générale des Infrastructures, des Transports et de la Mer)</t>
  </si>
  <si>
    <t>Inviter les préfets à faire installer, par les gestionnaires de voirie, des panneaux de signalisation appropriés à l'approche des passages à niveau identifiés par la SNCF comme présentant des difficultés de franchissement pour les véhicules surbaissés.</t>
  </si>
  <si>
    <t>FR-1109/4</t>
  </si>
  <si>
    <t>Invite prefects to install, by road managers, the appropriate signage when approaching the level crossings identified by the SNCF as causing difficulties in crossing by lowered vehicles.</t>
  </si>
  <si>
    <t>FR-1109/5</t>
  </si>
  <si>
    <t>Recommandation R3 : (Direction Générale des Infrastructures, des Transports et de la Mer)</t>
  </si>
  <si>
    <t>Faire concevoir par RFF et la SNCF et diffuser auprès des organisations professionnelles de transport routier une information portant sur la dangerosité particulière des traversées de passage à niveau pour les convois exceptionnels, et attirant, notamment, l'attention sur les précautions à prendre pour éviter d'y rester immobilisé et sur les situations pour lesquelles une protection doit être demandée au gestionnaire de l'infrastructure ferroviaire.</t>
  </si>
  <si>
    <t>FR-1109/6</t>
  </si>
  <si>
    <t>Make design by RFF and SNCF and disseminate among professional road transport organizations information on the particular danger in passing the level crossings for abnormal loads, underlining especially the precautions to avoid being trapped there and the situations for which the protection must be applied by the manager of the railway infrastructure.</t>
  </si>
  <si>
    <t>FR-1056/1</t>
  </si>
  <si>
    <t>Improve training of bus drivers to deal with unruly passengers</t>
  </si>
  <si>
    <t>FR-1056/2</t>
  </si>
  <si>
    <t>consider improvements of ground markings on level crossings</t>
  </si>
  <si>
    <t>REC-000422</t>
  </si>
  <si>
    <t>FR-0227/1</t>
  </si>
  <si>
    <t>Dans le cadre du retour dâ€™expérience conduit sur lâ€™application des procédés dâ€™assurance chantier et afin dâ€™éviter lâ€™apparition de pratiques déviantes, examiner les conditions qui permettraient de faciliter, en toute sécurité, lâ€™utilisation du procédé de garantie-équipement lors des travaux imprévus ayant un faible impact sur les circulations ferroviaires.</t>
  </si>
  <si>
    <t>FR-0227/2</t>
  </si>
  <si>
    <t>Under the feedback led on the implementation process of construction insurance and to avoid the emergence of deviant practices, review conditions that would facilitate safe, the use of process-equipment warranty when unforeseen work with low impact on rail traffic.</t>
  </si>
  <si>
    <t>REC-000423</t>
  </si>
  <si>
    <t>FR-0227/3</t>
  </si>
  <si>
    <t>Rappeler aux agents chargés des travaux sur les voies ferrées lâ€™exigence essentielle que constitue le strict respect des mesures de bouclage et de protection garantissant lâ€™absence de train qui ne serait pas en mesure de sâ€™arrêter avant les chantiers.</t>
  </si>
  <si>
    <t>FR-0227/4</t>
  </si>
  <si>
    <t>Remind officers work on the railways requirement is essential that strict compliance with the measures of closure and protection ensures that no train would not be able to stop before</t>
  </si>
  <si>
    <t>REC-000424</t>
  </si>
  <si>
    <t>FR-0227/5</t>
  </si>
  <si>
    <t>R3</t>
  </si>
  <si>
    <t>Assurer lâ€™enregistrement de toutes les communications en lien avec lâ€™exploitation effectuées à partir des téléphones de service des agents-circulation.</t>
  </si>
  <si>
    <t>FR-0227/6</t>
  </si>
  <si>
    <t>Ensure the registration of all communications related to the operation made from mobile service agents-circulation.</t>
  </si>
  <si>
    <t>REC-000158</t>
  </si>
  <si>
    <t>FR-1385/1</t>
  </si>
  <si>
    <t>monitor failure rate of insulators</t>
  </si>
  <si>
    <t>Monitor the failure rate of the insulators of the type involved in the accident. In case of significant increase, raplace the isolators of this type used on running tracks</t>
  </si>
  <si>
    <t>REC-000159</t>
  </si>
  <si>
    <t>FR-1385/2</t>
  </si>
  <si>
    <t>Inventory the characteristics of driver cab's windscreens and those of window heaters</t>
  </si>
  <si>
    <t>Inventory characteristics of glasses used in cab windscreens and those of window heaters. For glasses not complying with european standard EN 15152 or french standard NFF 15-818 or similar national standard, consider the possibility of improving the protection of drivers in winter conditions by systematic use of window heaters or replacing current glasses by more resilient ones.</t>
  </si>
  <si>
    <t>REC-000160</t>
  </si>
  <si>
    <t>FR-1385/3</t>
  </si>
  <si>
    <t>Improve european standard concerning windscreens of driver cabs</t>
  </si>
  <si>
    <t>Make sure that evolutions of EN 15152 concerning windscreens of driver cabs lead to an improvement of their resilience at all temperatures encountered on european networks, especially in winter conditions.</t>
  </si>
  <si>
    <t>REC-000314</t>
  </si>
  <si>
    <t>FR-2266/1</t>
  </si>
  <si>
    <t>recommandation R1 (Préfecture des Bouches-du-Rhône, ville de Marseille)</t>
  </si>
  <si>
    <t>Forbid access to level crossing n°1 by HGVs and other bulky vehicles</t>
  </si>
  <si>
    <t>REC-000044</t>
  </si>
  <si>
    <t>FR-2506/1</t>
  </si>
  <si>
    <t>Improve design quality and making of fishplatings especially in points and crossings</t>
  </si>
  <si>
    <t>Improve design quality and making of fishplatings especially in points and crossings. Respect tightening prescriptions during initial making and during maintenance operations.</t>
  </si>
  <si>
    <t>REC-000045</t>
  </si>
  <si>
    <t>FR-2506/2</t>
  </si>
  <si>
    <t>Clarify rules concerning actions following detection of loose or broken bolts in fishplates and rail fastenings</t>
  </si>
  <si>
    <t>Clarify rules concerning actions following detection of loose or broken bolts in fishplates and rail fastenings.</t>
  </si>
  <si>
    <t>REC-000046</t>
  </si>
  <si>
    <t>FR-2506/3</t>
  </si>
  <si>
    <t>Identify switches and crossings needing specific reinforced maintenance and make provisions allowing local or national arrangements to be taken</t>
  </si>
  <si>
    <t>Identify switches and crossings needing specific reinforced maintenance and make provisions allowing local or national arrangements to be taken.</t>
  </si>
  <si>
    <t>REC-000292</t>
  </si>
  <si>
    <t>FR-2506/4</t>
  </si>
  <si>
    <t>Periodical checking of general conditions of railway infrastructure</t>
  </si>
  <si>
    <t>Check regularly by external audits that the evolution of the average age of the components of the railway infrastructure meets the agreed objectives. Check also that the resources allocated to the maintenance are consistent with the actual conditions of the network.</t>
  </si>
  <si>
    <t>REC-000293</t>
  </si>
  <si>
    <t>FR-2506/5</t>
  </si>
  <si>
    <t>Improvement of the allocation of managerial staff in maintenance units</t>
  </si>
  <si>
    <t>Improve the allocation of managerial staff in maintenance units: â€¢ Avoid the concentration of young managerial staff in operational units; â€¢ Establish consistent management teams at the head of maintenance sectors; â€¢ Reduce managerial staff turnover in maintenance units, especially in the Paris region.</t>
  </si>
  <si>
    <t>REC-000294</t>
  </si>
  <si>
    <t>FR-2506/6</t>
  </si>
  <si>
    <t>Improvement of quality control of maintenance operations</t>
  </si>
  <si>
    <t>Include systematically in security audits , inspections of the actual state of a sample of recently maintained equipment in order to assess the adequacy of maintenance rules and the quality of their implementation.</t>
  </si>
  <si>
    <t>FR-2868/1</t>
  </si>
  <si>
    <t>Prevent access of low-floor vehicles to the municipal road No. 3 or improve the profile of the road near the level crossing No. 128</t>
  </si>
  <si>
    <t>FR-3173/1</t>
  </si>
  <si>
    <t>Le suivi et la suppression des demi-aiguillages dont lâ€™usinage du patin de type ancien présente un point anguleux</t>
  </si>
  <si>
    <t>According to the program established after the break of rail of Carbonne, to replace, according to the state of the track and the local conditions of exploitation, this kind of shunting with old type of manufacturing on which a break of rail would not be detectable by an electric circuit. At the same time, watch the implementation of the procedures strengthened by supervision of all the defects affecting these shuntings.</t>
  </si>
  <si>
    <t>FR-3173/2</t>
  </si>
  <si>
    <t>La détection des ruptures de rail par les circuits de voie non liés à des installations de sécurité</t>
  </si>
  <si>
    <t>On railway line's sections without electric circuits in the rails connected to the signaling system, take into account in operation procedures the risk of a rail's break in case of dysfunction of any installation based on an electric circuit in the rails.</t>
  </si>
  <si>
    <t>FR-3173/3</t>
  </si>
  <si>
    <t>La détection des ruptures de rails par les conducteurs des trains</t>
  </si>
  <si>
    <t>Study an evolution of the rules concerning trains's circulation, in case of a doubt on the nature of a shock felt in a train, a procedure lighter than the usual procedure of indicating an "abnormal shock", in particular for the railway line's sections without continuous electric circuits in the rails.</t>
  </si>
  <si>
    <t>REC-000280</t>
  </si>
  <si>
    <t>FR-3196/1</t>
  </si>
  <si>
    <t>R1 Nettoyage préventif des rails</t>
  </si>
  <si>
    <t>Update the regional organization for the prevention of slips, skids and wheel lockings. Add the section between Ax-les-thermes and Latour-de-Carol to the list of lines requiring preventive and corrective cleaning of rails.</t>
  </si>
  <si>
    <t>REC-000281</t>
  </si>
  <si>
    <t>FR-3196/2</t>
  </si>
  <si>
    <t>R2 manuels de procédures des régulateurs</t>
  </si>
  <si>
    <t>Improve procedures manuals of dispatchers to specify the measures to be taken in case of degraded adhesion</t>
  </si>
  <si>
    <t>REC-000282</t>
  </si>
  <si>
    <t>FR-3196/3</t>
  </si>
  <si>
    <t>R3 Organisation du dépot de Toulouse</t>
  </si>
  <si>
    <t>Improve organisation and quality of servicing of AGC trains in the Toulouse Depot.</t>
  </si>
  <si>
    <t>REC-000283</t>
  </si>
  <si>
    <t>FR-3196/4</t>
  </si>
  <si>
    <t>R4 Performance of AGC brakes</t>
  </si>
  <si>
    <t>Improve the braking performance of AGC trains in low adhesion conditions by : * lowering the deactivation speed of electromagnetic brakes; * checking the operation and filling of sandboxes on each pass in service station.</t>
  </si>
  <si>
    <t>REC-000265</t>
  </si>
  <si>
    <t>FR-0784/1</t>
  </si>
  <si>
    <t>R1 Screw couplings</t>
  </si>
  <si>
    <t>Resserrer et préciser l arègle de maintenance pour éliminer, sur vos wagons, les tendeurs d'attelages ne portant pas les marques de conformité à l anorme européenne ou à des normes nationales reconnues</t>
  </si>
  <si>
    <t>FR-0784/2</t>
  </si>
  <si>
    <t>R2 Brake distributor</t>
  </si>
  <si>
    <t>Rechercher, pour les distributeurs C3A et C3W, une modification permettant de garantir l'étanchéité du circuit du cylindre de frein jusqu'à -25°C</t>
  </si>
  <si>
    <t>FR-0784/3</t>
  </si>
  <si>
    <t>R3 Brake distributor</t>
  </si>
  <si>
    <t>Mettre en oeuvre la modification R2 sur vos wagons, après mise au point de celle-ci par le fournissseur.</t>
  </si>
  <si>
    <t>FR-0425/1</t>
  </si>
  <si>
    <t>Recommadation R1 (sncf-Infra, RFF)</t>
  </si>
  <si>
    <t>Improve the technical arrangements of LCs using track circuits for detection of trains.</t>
  </si>
  <si>
    <t>FR-0425/2</t>
  </si>
  <si>
    <t>Recommendation R2 (EPSF)</t>
  </si>
  <si>
    <t>Improve technical specification SAM S004 concerning the evaluation of compatibility of rolling stock with track circuits, especially for diesel locomotives or DMUs fitted with tread scrubbers</t>
  </si>
  <si>
    <t>REC-000313</t>
  </si>
  <si>
    <t>FR-0425/3</t>
  </si>
  <si>
    <t>Recommendation R3 (EPSF, SNCF-Infra)</t>
  </si>
  <si>
    <t>Build a return of experience concerning deshuntings involving diesel locomotives running light. Check if locomotives fitted with tread scrubbers have a failure rate significantly higher than the average.</t>
  </si>
  <si>
    <t>REC-000071</t>
  </si>
  <si>
    <t>FR-3902/1</t>
  </si>
  <si>
    <t>R1 Improving design of signal equipment shelters</t>
  </si>
  <si>
    <t>Prescribe shelters' designs providing perfect and long-lasting protection against intrusion of rodents. Improve internal arrangements for easy inspection of wires and equipments.</t>
  </si>
  <si>
    <t>REC-000072</t>
  </si>
  <si>
    <t>FR-3902/2</t>
  </si>
  <si>
    <t>R2 Improve detection of rodents' damages during inspections</t>
  </si>
  <si>
    <t>Prescribe the search for rodents' intrusions and damages during every maintenance intervention in signalling centers or signal shelters. Organise traceability of findings and give a time limit for repair.</t>
  </si>
  <si>
    <t>REC-000467</t>
  </si>
  <si>
    <t>FR-4412/1</t>
  </si>
  <si>
    <t>R1 (SNCF)</t>
  </si>
  <si>
    <t>Include quality check of painting methods in the certification process of wheelset maintenance workshops</t>
  </si>
  <si>
    <t>REC-000468</t>
  </si>
  <si>
    <t>FR-4412/2</t>
  </si>
  <si>
    <t>R2 (SNCF)</t>
  </si>
  <si>
    <t>Improve technical leaflet TR1 018 concerning repair of wheelset axles. Improve description of grinding operations. Improve training of concerned agents.</t>
  </si>
  <si>
    <t>REC-000469</t>
  </si>
  <si>
    <t>FR-4412/3</t>
  </si>
  <si>
    <t>R3 (SNCF)</t>
  </si>
  <si>
    <t>Remove and overhaul all wheelsets type 984 repaired by the workshop of Montigny during the year 2012.</t>
  </si>
  <si>
    <t>REC-000319</t>
  </si>
  <si>
    <t>FR-0061/1</t>
  </si>
  <si>
    <t>Recommandation R1</t>
  </si>
  <si>
    <t>Improve the training and the supervision of the young managers on operations on safety systems , by insisting on the specific apects of operations on switches.</t>
  </si>
  <si>
    <t>REC-000320</t>
  </si>
  <si>
    <t>FR-0061/2</t>
  </si>
  <si>
    <t>Recommandation R2</t>
  </si>
  <si>
    <t>Improve the douments relative to operations on safety systems by highlighting clearly the compulsory safety measures and by explaining the associated risks. Pursue the elaboration of operatiivel and educational handbooks for staff concerned by the different types of works on safety installations.</t>
  </si>
  <si>
    <t>REC-000321</t>
  </si>
  <si>
    <t>FR-0061/3</t>
  </si>
  <si>
    <t>Recommandation R3</t>
  </si>
  <si>
    <t>Commit an action plan to make sure of the reliability of the documents relative to the safey installations</t>
  </si>
  <si>
    <t>REC-000322</t>
  </si>
  <si>
    <t>FR-0061/4</t>
  </si>
  <si>
    <t>Recommandation R4</t>
  </si>
  <si>
    <t>Plan local procedures allowing to guarantee the relevance of the tests developed for small works on the safety installations .</t>
  </si>
  <si>
    <t>REC-000212</t>
  </si>
  <si>
    <t>FR-4694/1</t>
  </si>
  <si>
    <t>Recording of safety related telephone conversations</t>
  </si>
  <si>
    <t>Recommendation R1 (SNCF Réseau): Ensure the recording and tracing of telephone conversations between drivers and traffic controllers, signalmen and dispatchers</t>
  </si>
  <si>
    <t>FR-4709/1</t>
  </si>
  <si>
    <t>Recommendation R1 (Eurotunnel) Management of the risks associated with arcing with the overhead power line</t>
  </si>
  <si>
    <t>Improve its arrangements for mitigating the risk of over-height objects, payload or other parts of a lorry arcing with the overhead power line on Arbel wagons currently not fitted with full roof protection. Consideration of the hazards should include those associated with the vehicle being on fire (eg burning debris becoming loose).</t>
  </si>
  <si>
    <t>FR-4709/2</t>
  </si>
  <si>
    <t>Recommendation R2 (Eurotunnel): Continued monitoring of the improvements in fire detection system</t>
  </si>
  <si>
    <t>Conclude the current consultation with manufacturers looking at innovative systems to detect more rapidly and reliably any outbreak of fire, including whilst they are still confined in the cab of the vehicle concerned. If applicable, establish a programme for installation of any new systems that are identified. Put in place a process to continually monitor any technical improvements in the speed and reliability of fire detection systems.</t>
  </si>
  <si>
    <t>FR-4709/3</t>
  </si>
  <si>
    <t>Recommendation R3 (Eurotunnel): Limiting the likelihood of a train on fire stopping outside of the SAFE stations</t>
  </si>
  <si>
    <t>Review the decision making process in the event of the detection of a fire on a freight shuttle so as to initiate the stopping of the train quickly on approaching a SAFE station. Review RCC procedures in order to deal with cases of fire and concurrent power trips in an optimum way. Furthermore ET is invited to assess by testing or simulations, the distance freight shuttles can coast in the areas of the crossovers at various speeds for instance 140, 100 and 50km/h.</t>
  </si>
  <si>
    <t>REC-000190</t>
  </si>
  <si>
    <t>FR-4709/4</t>
  </si>
  <si>
    <t>Recommendation R4 (Eurotunnel) Improvements to the change management process</t>
  </si>
  <si>
    <t>Eurotunnel should review its change management process and its implementation to understand the reasons for the shortcomings identified in this investigation in the areas of hazard identification, risk assessment, provision of necessary control measures and feedback from the â€˜return of experienceâ€™. This review should include consideration of whether Eurotunnelâ€™s arrangements for internal checking of the safety studies undertaken as part of the implementation of the change management process are sufficient. Eurotunnel should make improvements to its procedures to ensure the correct identification of relevant hazards, accurate evaluation of the operational risks and that the necessary mitigation measures are correctly identified and implemented. Once its change management process has been improved, Eurotunnel is invited to review the appropriateness of the measures that have been put in place in response of recommendation 1.</t>
  </si>
  <si>
    <t>REC-000191</t>
  </si>
  <si>
    <t>FR-4709/5</t>
  </si>
  <si>
    <t>Recommendation R5 (Eurotunnel) Control of the work done by external bodies</t>
  </si>
  <si>
    <t>Review Eurotunnelâ€™s arrangements for ensuring that the scope and depth of any checks by external bodies is clearly defined and implement any necessary changes.</t>
  </si>
  <si>
    <t>REC-000192</t>
  </si>
  <si>
    <t>FR-4709/6</t>
  </si>
  <si>
    <t>Recommendation R6 (Eurotunnel) Optimising the use of the emergency transport system</t>
  </si>
  <si>
    <t>To improve the management of transport methods in the event of a fire in the tunnel so as to allow both evacuation of passengers in an acceptable time period, and the rapid commencement of firefighting operations.</t>
  </si>
  <si>
    <t>REC-000204</t>
  </si>
  <si>
    <t>FR-4732/1</t>
  </si>
  <si>
    <t>Reposition road signs</t>
  </si>
  <si>
    <t>Recommendation R1 (City of Montauban): Reposition according to the regulations the sign B13, implanted at the intersection of the path with the road 928, in a way that it is visible by a truck driver turning right from the road. Complete the road signs relative to the ban for vehicles of more than 3,5 tons</t>
  </si>
  <si>
    <t>REC-000205</t>
  </si>
  <si>
    <t>FR-4732/2</t>
  </si>
  <si>
    <t>Modification of road signs plates</t>
  </si>
  <si>
    <t>Recommendation R2 (City of Montauban): Remove plates " except local residents " on the present signs B13 and possibly replace them by plates " except authorized vehicles ".</t>
  </si>
  <si>
    <t>REC-000206</t>
  </si>
  <si>
    <t>FR-4732/3</t>
  </si>
  <si>
    <t>Widen LC or ban heavy trucks</t>
  </si>
  <si>
    <t>Recommendation R3 (City of Montauban and SNCF réseau) Implement one of the two following solutions: ban, by every possible means , the level crossing N 169 by the heavy trucks of more than 3,5 t, Or ? Widen the level crossing N 169 as well as its accesses from 5 to 6 meters (at least).</t>
  </si>
  <si>
    <t>FR-4735/1</t>
  </si>
  <si>
    <t>Renforcer la formation pratique et la supervision des jeunes agents pour les interventions de maintenance sur des installations anciennes et très particulières</t>
  </si>
  <si>
    <t>FR-4735/2</t>
  </si>
  <si>
    <t>Strengthen the practical training and supervision of young officers for maintenance work on old and very special installations</t>
  </si>
  <si>
    <t>REC-000437</t>
  </si>
  <si>
    <t>FR-4735/3</t>
  </si>
  <si>
    <t>Améliorer la qualité des référentiels locaux relatifs à la maintenance des installations anciennes très particulières</t>
  </si>
  <si>
    <t>FR-4735/4</t>
  </si>
  <si>
    <t>Improve the quality of local repositories relating to the maintenance of very old special installations</t>
  </si>
  <si>
    <t>REC-000438</t>
  </si>
  <si>
    <t>FR-4735/5</t>
  </si>
  <si>
    <t>Moderniser dan sles meilleurs délais les intsallations des postes 1 et 2 de paris-Gare-de-Lyon</t>
  </si>
  <si>
    <t>FR-4735/6</t>
  </si>
  <si>
    <t>Modernize as soon as possible the installations of posts 1 and 2 of Paris-Gare-de-Lyon station</t>
  </si>
  <si>
    <t>REC-000546</t>
  </si>
  <si>
    <t>FR-4773/1</t>
  </si>
  <si>
    <t>R1 Information of road transport undertakings</t>
  </si>
  <si>
    <t>Improve information of road transport undertakings concerning level crossings with difficult profile</t>
  </si>
  <si>
    <t>REC-000547</t>
  </si>
  <si>
    <t>FR-4773/2</t>
  </si>
  <si>
    <t>R2 Use of emergency telephones of LCs</t>
  </si>
  <si>
    <t>Change regulation concerning the use of emergency telephones of LCs to make clear that thess telephones must be used by road users in case of danger</t>
  </si>
  <si>
    <t>REC-000548</t>
  </si>
  <si>
    <t>FR-4773/3</t>
  </si>
  <si>
    <t>R3 Improve training of truck drivers</t>
  </si>
  <si>
    <t>Remind road transport undertakings that drivers must be trained tu use specialised rolling stock before being allowed to drive it on the open roads.</t>
  </si>
  <si>
    <t>REC-000239</t>
  </si>
  <si>
    <t>FR-4904/1</t>
  </si>
  <si>
    <t>Make studies and investigations to understand the process of the wheels getting dirty and loosing electric shunt. Consider fitting wheels scrubbers on railcars of the X73500 series.</t>
  </si>
  <si>
    <t>REC-000240</t>
  </si>
  <si>
    <t>FR-4904/2</t>
  </si>
  <si>
    <t>Consider systematic cleaning of rails after nenewal works</t>
  </si>
  <si>
    <t>FR-4904/3</t>
  </si>
  <si>
    <t>Restict the use of presetting of routes on secondary lines where loss of shunts are likely to occur</t>
  </si>
  <si>
    <t>FR-4904/4</t>
  </si>
  <si>
    <t>R4</t>
  </si>
  <si>
    <t>Think about the functionnalities of computerized signal boxes in small stations to make them more resilient to shunt losses.</t>
  </si>
  <si>
    <t>FR-4904/5</t>
  </si>
  <si>
    <t>R5</t>
  </si>
  <si>
    <t>Improve the return of experience on shunt losses by separating the different types of track circuits</t>
  </si>
  <si>
    <t>REC-000544</t>
  </si>
  <si>
    <t>FR-4917/1</t>
  </si>
  <si>
    <t>R1 Improvement of AGC EMUs</t>
  </si>
  <si>
    <t>Implement before end 2017 the modifications of the valves of the pneumatic brakes and before end of september 2019 the modifications of the 72V electric system.</t>
  </si>
  <si>
    <t>REC-000545</t>
  </si>
  <si>
    <t>FR-4917/2</t>
  </si>
  <si>
    <t>R2 Improve obstacle detector and protection of under carriage sensitive components</t>
  </si>
  <si>
    <t>Make explicit the rules concerning the optimal positionning of obstacle deflectors in the rolling stock gauge. Make useful prescriptions concerning the protection of velnerable under carriage organs.</t>
  </si>
  <si>
    <t>REC-000201</t>
  </si>
  <si>
    <t>FR-4943/1</t>
  </si>
  <si>
    <t>Clarify and improve the specifications of the acceptance testing of new high speed lines</t>
  </si>
  <si>
    <t>REC-000202</t>
  </si>
  <si>
    <t>FR-4943/2</t>
  </si>
  <si>
    <t>Improve the methods of preliminary risk analysis in order to detect the dangers of the concerned test campaign and inform the actors of the indentified risks</t>
  </si>
  <si>
    <t>REC-000203</t>
  </si>
  <si>
    <t>FR-4943/3</t>
  </si>
  <si>
    <t>Improve selection, training and certification of test driving crews</t>
  </si>
  <si>
    <t>FR-4943/4</t>
  </si>
  <si>
    <t>Give to the test driving crews the necessary tools and methods to safely calculate the braking distances and braking points. Define precisely the tasks of the different members of the test driving crews.</t>
  </si>
  <si>
    <t>FR-4943/5</t>
  </si>
  <si>
    <t>Improve the organisation of the management of the high speed test campaigns</t>
  </si>
  <si>
    <t>FR-4943/6</t>
  </si>
  <si>
    <t>R6</t>
  </si>
  <si>
    <t>For high speed tests, provide a sound recorder in the driving cab in order to record the conversations and the communications of the driving crew</t>
  </si>
  <si>
    <t>REC-000434</t>
  </si>
  <si>
    <t>FR-4971/1</t>
  </si>
  <si>
    <t>Recommendation R1</t>
  </si>
  <si>
    <t>Préciser les procédures d'utilisation des installations de sécurité du Point R de la gare de Laroche-Migennes et notamment en cas d'usage de la clé de secours</t>
  </si>
  <si>
    <t>FR-4971/2</t>
  </si>
  <si>
    <t>Specify the procedures for using security facilities Point R at Laroche-Migennes train station and especially in case of use of the emergency key</t>
  </si>
  <si>
    <t>REC-000435</t>
  </si>
  <si>
    <t>FR-4971/3</t>
  </si>
  <si>
    <t>Recommendation R2</t>
  </si>
  <si>
    <t>Préciser les rôles et missions des responsables opérationnels régionaux et nationaux en matière de sécurité afin de ne pas interférer avec les missions des opérateurs locaux.</t>
  </si>
  <si>
    <t>FR-4971/4</t>
  </si>
  <si>
    <t>Clarify the roles and missions of national and regional operational safety managers in order not to interfere with the missions of local operators.</t>
  </si>
  <si>
    <t>FR-5213/1</t>
  </si>
  <si>
    <t>R1 checking load proportionnal valves</t>
  </si>
  <si>
    <t>On a sample of 30 wagons belonging to the EX90 series, check the presure delivered by the load proportionnal valves in order to detect possible quality issue on this components</t>
  </si>
  <si>
    <t>FR-5213/2</t>
  </si>
  <si>
    <t>R2 training staff in charge of monitoring passing trains</t>
  </si>
  <si>
    <t>When training staff in charge of monitoring passing trains, explain the risks related to wagons running with flats on wheels. Remind them that there are no wheel impact detectors on the french railway network and hence, nobody but themselves is able to detect and stop the affected wagons.</t>
  </si>
  <si>
    <t>FR-5213/3</t>
  </si>
  <si>
    <t>R3 install wheel impact detectors</t>
  </si>
  <si>
    <t>develop and implement a national scheme for installing wheel impact and load detectors (WILD) in significant number on the conventional freight network</t>
  </si>
  <si>
    <t>FR-5227/1</t>
  </si>
  <si>
    <t>Implement as soon as possible on the entire fleet concerned equipped with speed monitoring on DMI ERTMS the removal of the computer bug, which leads to the extinction of the dashboard screen.</t>
  </si>
  <si>
    <t>REC-000127</t>
  </si>
  <si>
    <t>FR-5227/2</t>
  </si>
  <si>
    <t>Implement immediately for the transferred agents of SNCF Mobilités towards SNCF Réseau and having to take a job of traffic controller a complete module of training "Traffic Controller Double Track".</t>
  </si>
  <si>
    <t>REC-000128</t>
  </si>
  <si>
    <t>FR-5283/1</t>
  </si>
  <si>
    <t>Revise the rules for the supervision of service tracks with dangerous goods trains to include an ultrasonic rail check.</t>
  </si>
  <si>
    <t>REC-000129</t>
  </si>
  <si>
    <t>FR-5283/2</t>
  </si>
  <si>
    <t>Revisit and, if necessary, reinforce the maintenance rules on the effectiveness of rail fastenings to take account of particular demands for guiding traffic in areas of short radius curves.</t>
  </si>
  <si>
    <t>REC-000096</t>
  </si>
  <si>
    <t>FR-5502/1</t>
  </si>
  <si>
    <t>Revise the regional guidelines to be applied in the event of a disturbance of the BAPR on the Miramas - Marseille line by : - developing a document or tool allowing attachment of the passage of railway traffic at the entrance to each of the block sections of BAPR, the model of which is to be annexed to the procedure EIC PACA IN 00540 ; - repealing Article 216.3 of EIC PACA IN 00540 and referring to EIC IN 20155 ; - revising confusing terms.</t>
  </si>
  <si>
    <t>REC-000097</t>
  </si>
  <si>
    <t>FR-5502/2</t>
  </si>
  <si>
    <t>Ensure the training and maintenance of agents on the operation of the BAPR with axle counters in normal mode and in degraded mode, especially in the most unfavorable conditions such as the timing of circulations of identical compositions. Ensure that they are competent to take risks into account, in particular that, on the one hand, disturbances may be temporary and, on the other hand, the use of a device such as the axles counter reset may prematurely allow a return to normal facilities without them knowing. Ensure also their behavior vis-à-vis the respect of the instructions, in particular during exercises approaching the situations met.</t>
  </si>
  <si>
    <t>REC-000100</t>
  </si>
  <si>
    <t>FR-5502/3</t>
  </si>
  <si>
    <t>Realize for the Marseille-Miramas line, a retroactive safety study of impacts in nominal mode and degraded mode, and of technical solutions or procedures that can be implemented to contain the risks.</t>
  </si>
  <si>
    <t>REC-000555</t>
  </si>
  <si>
    <t>FR-5503/1</t>
  </si>
  <si>
    <t>R1 - Forbidding to public of the level crossing</t>
  </si>
  <si>
    <t>Set up, near the level crossing n°8, located on the way of Liberation in Bonneville-sur-Touques, a device prohibiting access to the level crossing to persons other than rights holders.</t>
  </si>
  <si>
    <t>REC-000558</t>
  </si>
  <si>
    <t>FR-5503/2</t>
  </si>
  <si>
    <t>R2 - Safety risk on open level crossings with high speed trains</t>
  </si>
  <si>
    <t>Carry out a study of the risks of "Saint-André cross" level crossings located on lines traveling at 140 km / h, taking into account the seriousness of the consequences, on the railway vehicle, of a collision, in addition to the notion of the moment of circulation of these level crossings. Present this study to a next National Crossing Instance, in order to upgrade, as the case may be, the National action plan concerning the "cross-Saint-André" level crossings.</t>
  </si>
  <si>
    <t>REC-000273</t>
  </si>
  <si>
    <t>FR-5595/1</t>
  </si>
  <si>
    <t>R1 - Level crossing equipment</t>
  </si>
  <si>
    <t>Establish, in coordination with SNCF Réseau and the Road Safety Delegation (RSD), a technical standard setting out performance and a conformity assesment procedure for level crossing equipment, as provided for in the road regulations relating to road safety. qualification of road equipment, as well as commissioning and implementation rules according to their characteristics and the constraints of the environment.</t>
  </si>
  <si>
    <t>REC-000275</t>
  </si>
  <si>
    <t>FR-5595/2</t>
  </si>
  <si>
    <t>R2 - Level crossing equipment</t>
  </si>
  <si>
    <t>Study equipments which emit continuous alert sound signal, since the lowering of half-barriers until their lifting, for all level crossing users. In the context of development of connected vehicles, study the feasibility of an alert inside the vehicle reporting the level crossing closure, associated with the GPS system and onboard mapping.</t>
  </si>
  <si>
    <t>REC-000276</t>
  </si>
  <si>
    <t>FR-5595/3</t>
  </si>
  <si>
    <t>R3 - Level crossing approach</t>
  </si>
  <si>
    <t>Study how to widen the existing crossroads on either side of the PN25 to facilitate heavy vehicles turning. If not, take the police action to prohibit turn left, to the level crossing, to these categories of vehicles.</t>
  </si>
  <si>
    <t>REC-000277</t>
  </si>
  <si>
    <t>FR-5595/4</t>
  </si>
  <si>
    <t>R4 - Level crossing approach</t>
  </si>
  <si>
    <t>Update and complete the level crossing safety circulars and their application documents so that safety diagnosis become a more complete risk analysis in order to take more relevant preventive measures.</t>
  </si>
  <si>
    <t>FR-5595/5</t>
  </si>
  <si>
    <t>R5 - Improving safety at level crossings</t>
  </si>
  <si>
    <t>Study the feasibility and install a front camera at the front of the train, in order to record events on infrastructure, readable in case of accident, and of a record period which can be limited to a few tens of minutes. Study the feasibility and install video cameras at least on certain level crossings, allowing to record events during the passage of trains in order to improve safety.</t>
  </si>
  <si>
    <t>REC-000284</t>
  </si>
  <si>
    <t>FR-5596/1</t>
  </si>
  <si>
    <t>R1 - Equipement of road vehicle</t>
  </si>
  <si>
    <t>Encourage the rapid publication of the European regulation providing the obligation for an event data recorder for the light passenger and commercial vehicles. Promote to the European authorities the collection by these means of operating parameters not only of security systems, but also of other equipment whose conditions of use constitute useful information for the reconstruction of the circumstances of accidents. Promote to the European authorities the extension to heavy goods vehicles and public transport vehicles of the obligation for an event data recorder.</t>
  </si>
  <si>
    <t>REC-000286</t>
  </si>
  <si>
    <t>FR-5704/1</t>
  </si>
  <si>
    <t>R1 - Recording of signal states</t>
  </si>
  <si>
    <t>Study the technical conditions in which the luminous signals of level crossings of the tracks by the public, can be equipped with records of their proof of operation. Define a modernization plan allowing, in a term to be specified, to equip them with these recoders.</t>
  </si>
  <si>
    <t>REC-000288</t>
  </si>
  <si>
    <t>FR-5704/2</t>
  </si>
  <si>
    <t>R2 - Train stopping position in the station</t>
  </si>
  <si>
    <t>Implement the displacement of the walk passage of Ecommoy in order to guarantee, for pedestrian crossings during a train stop at the station, visibility on the pictograms and, to a certain extent, on the passing trains. Identify similar situations of masking pictograms during the stopping of train on the entire network, and integrate this criterion when prioritizing improvement investments of crossings.</t>
  </si>
  <si>
    <t>REC-000291</t>
  </si>
  <si>
    <t>FR-5704/3</t>
  </si>
  <si>
    <t>R3 - Visibility of information signs</t>
  </si>
  <si>
    <t>Finalize the tests for improving warning signs at the crossings of tracks by strengthening the marking on the ground materializing the danger zone, by improving the ergonomics of signs and by adding a second mode of perception other than visual.</t>
  </si>
  <si>
    <t>FR-5704/4</t>
  </si>
  <si>
    <t>R4 - Information of public about risks in stations</t>
  </si>
  <si>
    <t>Study and deploy new information solutions for travelers who have to cross railway tracks, to raise their awareness of the risks and to lead them to adopt real preventive behaviors of these risks.</t>
  </si>
  <si>
    <t>REC-000298</t>
  </si>
  <si>
    <t>FR-5704/5</t>
  </si>
  <si>
    <t>R5 - Defenses against the risk of collision</t>
  </si>
  <si>
    <t>Draw lessons from the risk study carried out by SNCF Réseau on pedestrian level crossings of tracks, by testing defenses against the risk of collision with a train in the station in case of a lack of attention to the luminous signals, for example the presentation of a physical obstacle. These solutions, once validated, can be proposed in projects to secure crossings.</t>
  </si>
  <si>
    <t>REC-000796</t>
  </si>
  <si>
    <t>FR-5916/1</t>
  </si>
  <si>
    <t>R1 - Elimination of dodging on planned routes</t>
  </si>
  <si>
    <t>Implement at Nouan-le-Fuzelier and Theillay devices at the end of the platform that require compliance with the routes provided for entering or leaving the platforms and sufficiently dissuasive to prevent non-compliance with prohibited passages. Study the other guarded level crossings located near a passenger service point on lines at speeds greater than 160 km / h and, for those presenting a risk of non-compliance with prohibited passages, apply the same treatment to them.</t>
  </si>
  <si>
    <t>REC-000797</t>
  </si>
  <si>
    <t>FR-5916/2</t>
  </si>
  <si>
    <t>R2 - Improving the visibility of safety signs and directional signs</t>
  </si>
  <si>
    <t>Review the implementation of safety signs and directional signs in Nouan-le-Fuzelier in order to make them visible from the alternative routes and in order to dissuade early from taking prohibited routes.</t>
  </si>
  <si>
    <t>REC-000798</t>
  </si>
  <si>
    <t>FR-5916/3</t>
  </si>
  <si>
    <t>R3 - Knowledge of pedestrian accidents at level crossing</t>
  </si>
  <si>
    <t>Draw concrete conclusions from the risk study carried out on the safety of pedestrians at level crossings and implement an action plan accordingly to ensure that this risk is under control.</t>
  </si>
  <si>
    <t>FR-5915/1</t>
  </si>
  <si>
    <t>Reinforcement of the attach system of the external and deviated rail of some switch points</t>
  </si>
  <si>
    <t>Study, for simple switch points of small radius used by bogie circulations of strong wheelbase (high speed train, new electric multiple unit ...), a reinforcement of the attach system of the external rail of the deviated track, and, failing this or pending implementation, strengthen maintenance operations.</t>
  </si>
  <si>
    <t>FR-6019/1</t>
  </si>
  <si>
    <t>R1 - The legibility and visibility of the level crossing</t>
  </si>
  <si>
    <t>Study the improvement of the legibility of level crossing n°302 from the northern approach by acting in particular on vertical signs and vegetation.</t>
  </si>
  <si>
    <t>REC-000628</t>
  </si>
  <si>
    <t>FR-6019/2</t>
  </si>
  <si>
    <t>R2 - Management of traffic lights at the road junction</t>
  </si>
  <si>
    <t>Study the possibilities of arranging the lane allocation differently in the direction of travel from north to south, or even modifying the entry flows on level crossing n°302, for example by creating a right-turn lane. Examine the feasibility of assigning a right-turn light for users traveling on the boulevard and approaching level crossing n°302 from the north. This light would remain red when the level crossing is closed.</t>
  </si>
  <si>
    <t>REC-000636</t>
  </si>
  <si>
    <t>FR-6019/3</t>
  </si>
  <si>
    <t>R3 - Abundance of visual elements at level crossing n°302</t>
  </si>
  <si>
    <t>Study the elimination of the advertising elements present on the road edges which can contribute to distract the road users who approach the level crossing n°302. Eliminate the interference between directional traffic signs and warning or police traffic signs by keeping only the elements the most essential to safety.</t>
  </si>
  <si>
    <t>REC-000637</t>
  </si>
  <si>
    <t>FR-6019/4</t>
  </si>
  <si>
    <t>R4 - Abundance of visual elements at level crossing n°302</t>
  </si>
  <si>
    <t>Study the removal of advertising panels that may be present on railway edges and which can help distract road users approaching level crossing n°302.</t>
  </si>
  <si>
    <t>REC-000813</t>
  </si>
  <si>
    <t>FR-6021/1</t>
  </si>
  <si>
    <t>R1 - Recommendation on the automatic emergency braking system of the car</t>
  </si>
  <si>
    <t>Bring to international bodies the benefit of including the case of detection of lower barriers at level crossings in the list of use cases for the approval of automatic emergency braking systems.</t>
  </si>
  <si>
    <t>FR-6076/1</t>
  </si>
  <si>
    <t>R1 - Security management of entity in charge of maintenance</t>
  </si>
  <si>
    <t>Set up a management system for repetitive faults at the level of each wagon or wagon component, and decide on the methods for defining the actions to be taken in this case in order to guarantee that the rolling stock is kept in operation.</t>
  </si>
  <si>
    <t>FR-6076/2</t>
  </si>
  <si>
    <t>R2 - Behaviour of "LL" brake blocks</t>
  </si>
  <si>
    <t>Check with suppliers of "LL" brake blocks that their quality control system ensures that the products delivered are conform to the approved type.</t>
  </si>
  <si>
    <t>FR-6076/3</t>
  </si>
  <si>
    <t>R3 - Feedback on brake incident with "LL" blocks</t>
  </si>
  <si>
    <t>Reactivate the Joint Network Secretariat "wagon braking systems" to define measures to prevent the risk of damage to the running tables by digging into the wheels equipped with LL blocks during a brake incident.</t>
  </si>
  <si>
    <t>FR-6076/4</t>
  </si>
  <si>
    <t>R4 -  Approval test procedures for "LL" brake blocks</t>
  </si>
  <si>
    <t>Re-examine the approval test procedures for "LL" blocks, taking advantage of the feedback on the damage to the running tables by digging into the wheels during brake application incidents on wagons equipped with these brake blocks.</t>
  </si>
  <si>
    <t>FR-6107/1</t>
  </si>
  <si>
    <t>R1 - Traffic plan of the level crossing</t>
  </si>
  <si>
    <t>Modify the traffic plan in the area and the geometric design of the road junction to make impossible, on one hand for users arriving from Avenue Gounod to cross the level crossing, and on other hand to users having crossed the level crossing to access to Avenue Gounod.</t>
  </si>
  <si>
    <t>FR-6107/2</t>
  </si>
  <si>
    <t>R2 - Visibility of the level crossing</t>
  </si>
  <si>
    <t>Improve the visibility of the position signaling starting at activation of the level crossing.</t>
  </si>
  <si>
    <t>FR-6107/3</t>
  </si>
  <si>
    <t>R3 - Visibility of the level crossing</t>
  </si>
  <si>
    <t>Prohibit parking on the roadways leading to the level crossing within 30 metres before it, in order to improve the visibility of the flashing lights.</t>
  </si>
  <si>
    <t>FR-6107/4</t>
  </si>
  <si>
    <t>R4 - legibility of the level crossing in relation to advertising</t>
  </si>
  <si>
    <t>Remove the large advertising panels located in the immediate vicinity of the level crossing on the departmental road 21 and causing visual distractions that are detrimental to the visibility and legibility of the level crossing.</t>
  </si>
  <si>
    <t>R1 - ETCS signalling production processes</t>
  </si>
  <si>
    <t>Review the ETCS signalling production processes to ensure that a verification error is not propagated into the rest of the production process.</t>
  </si>
  <si>
    <t>R2 - Proof of reliability of signalling systems</t>
  </si>
  <si>
    <t>Study the implementation of formal method algorithms in the context of proving the reliability and safety of signalling systems.</t>
  </si>
  <si>
    <t>R3 - Experience feedback</t>
  </si>
  <si>
    <t>Formalise a process for exploiting precursors during verification and validation operations in order to investigate and address the root causes.</t>
  </si>
  <si>
    <t>R4 - Safety assessment methodology</t>
  </si>
  <si>
    <t>Revisit the safety assessment methodology regarding "system validation" according to CENELEC 50126 (and following standards) in order to ensure the validity of the assessment.</t>
  </si>
  <si>
    <t>REC-000232</t>
  </si>
  <si>
    <t>DE-0129/1</t>
  </si>
  <si>
    <t>Überarbeitung und Konkretisierung der Ril 800.0110 und 800.0120 mit dem Ziel, Trassierungen ...</t>
  </si>
  <si>
    <t>Überarbeitung und Konkretisierung der Ril 800.0110 und 800.0120 mit dem Ziel, Trassierungen außerhalb von Re-gelwerten und Sollvorgaben stärker zu reglementieren.</t>
  </si>
  <si>
    <t>German</t>
  </si>
  <si>
    <t>DE-0129/2</t>
  </si>
  <si>
    <t>Revision and operationalization of Ril 800.0110 and 800.0120 with the aim of alignments outside control values and target values more to regulate.</t>
  </si>
  <si>
    <t>REC-000233</t>
  </si>
  <si>
    <t>DE-0129/3</t>
  </si>
  <si>
    <t>Weitergehende Untersuchungen zur generellen Überprüfung der uneingeschränkten Eignung der ...</t>
  </si>
  <si>
    <t>Weitergehende Untersuchungen zur generellen Überprüfung der uneingeschränkten Eignung der Pufferbauart an langen Reisezugwagen im Schiebebetrieb unter besonderer Berücksichtigung der auftretenden Verspannkräfte und aller möglichen Randparameter im Netz. Sollte dieser Nachweis nicht zu führen sein, wird empfohlen diese Pufferbauart an langen Reisezugwagen im Schiebebetrieb nicht mehr zum Einsatz zu bringen.</t>
  </si>
  <si>
    <t>DE-0129/4</t>
  </si>
  <si>
    <t>Further studies on the general review of unrestricted suitability of buffer type on long passenger coaches in the shift operation under special consideration of the bracing forces occurring and all possible boundary parameters in the network. If this evidence does not have to be conducted, it is recommended to not use this buffer type on long passenger coaches in push mode.</t>
  </si>
  <si>
    <t>DE-978/1</t>
  </si>
  <si>
    <t>Lastgrenzen und Bremsverhältnisse</t>
  </si>
  <si>
    <t>Lastgrenzen und Bremsverhältnisse: Zur Einhaltung der Lastgrenzen und Bremsverhältnisse wird empfohlen das Verfahren der Übernahme von Ladungsgewichten von Dritten sowie die Bestimmungen zur Wagenuntersuchung durch Wagenmeister zu überprüfen und zu korrigieren.</t>
  </si>
  <si>
    <t>DE-978/2</t>
  </si>
  <si>
    <t>Load limits and braking percentages: To ensure that load limits and braking percentages are adhered to, it is recommended that the process of accepting consignment weights from third parties and the regulations for wagon examination by wagon examiners are reviewed and rectified.</t>
  </si>
  <si>
    <t>DE-978/3</t>
  </si>
  <si>
    <t>Bestimmungen zum Notruf und Nothaltauftrag</t>
  </si>
  <si>
    <t>Bestimmungen zum Notruf und Nothaltauftrag: Die Bestimmungen der 408.0581 3 (5) â€žNotrufâ€œ der Richtlinie â€žZüge fahren und Rangierenâ€œ mit folgendem Inhalt: â€žAls Triebfahrzeugführer, der eine durch Notruf eingeleitete Meldung nicht eindeutig aufnehmen oder verstehen kann, müssen Sie die Geschwindigkeit Ihres Zuges sofort auf höchstens 40 km/h verringern und so lange auf Sicht weiter fahren, bis sich aus der anschließenden Meldung ergibt, dass Sie nicht betroffen sind oder bis Sie die Ursache des Notrufes mit dem Fahrdienstleiter geklärt habenâ€œ. wurde mit Bekanntgabe 8 â€“ gültig zum 13.12.2009 â€“ neu aufgenommen. Die Elektronische Fahrten-Registrierung des CS 47925 und die Aussage des Triebfahrzeugführers belegen, dass der Triebfahrzeugführer des Zuges CS 47925 nach Erhalt der akustischen Anzeige mit dem Piktogramm â€žNotrufverbindungâ€œ auf dem GSM-R Fahrzeuggerät bei sofortiger Einleitung einer Schnellbremsung den Halt seines Zuges deutlich vor seinem tatsächlichen Halt hätte ausführen können. In Folge wären die Schäden an der Infrastruktur reduziert und die potenzielle Gefahr mit einem im Gegengleis fahrenden Zug zu kollidieren erheblich verringert worden. Unter Berücksichtigung der Entgleisungsfolgen und der potenziellen Gefährdung auch anderer Züge sollten die zum 13.12.2009 geänderte Bestimmung der Ril 408.0581 3 (5) entsprechend angepasst werden.</t>
  </si>
  <si>
    <t>DE-978/4</t>
  </si>
  <si>
    <t>Regulations for emergency calls and emergency stop instructions: New provisions were added to the â€˜Emergency callâ€™ module 408.0581 3 (5) of DB Guideline 408 â€œTrain movement and shuntingâ€ in notification No 8. The new text took effect on 13 December 2009; it reads as follows: When driving, if you cannot clearly hear or understand a message preceded by an emergency call, you must immediately reduce the speed of your train to a maximum of 40 km/h and run at sight until it becomes obvious from a subsequent message that you are not involved, or until you have clarified the reason for the emergency call with the signaller. The electronic journey recording equipment of train CS 47925 and the driverâ€™s own statement demonstrate that the driver of train CS 47925 could have stopped his train considerably earlier than the point he actually did so by initiating emergency braking immediately after receiving the acoustic warning with the â€˜emergency callâ€™ symbol on the locomotiveâ€™s GSM-R equipment. As a consequence, the damage to the infrastructure would have been reduced and the potential risk of a collision with a train running on the opposite line significantly diminished. Considering the consequences of derailment and the potential for endangering other trains, the amended provision in Guideline 408.0581 3 (5) which took effect on 13 December 2009 should be revised appropriately.</t>
  </si>
  <si>
    <t>DE-948/1</t>
  </si>
  <si>
    <t>Technische Veränderung der Klimaanlage dahingehend, dass bei einem notwendigen Reset oder Defekt des</t>
  </si>
  <si>
    <t>Technische Veränderung der Klimaanlage dahingehend, dass bei einem notwendigen Reset oder Defekt des Hei-zungs- oder Kälteteiles der Klimaanlage die Frischluftzu-fuhr und Luftumwälzung im Wagen erhalten bleibt.</t>
  </si>
  <si>
    <t>DE-948/2</t>
  </si>
  <si>
    <t>Technical change in the air-conditioning to the effect that when a necessary reset or defect in the heating or cooling portion of the air conditioner fresh air supply and air circulation remains in the wagon.</t>
  </si>
  <si>
    <t>DE-842/1</t>
  </si>
  <si>
    <t>Um im Notfall eine zügige und sichere Evakuierung von Reisenden zu gewährleisten, soll-ten die Anfo</t>
  </si>
  <si>
    <t>Um im Notfall eine zügige und sichere Evakuierung von Reisenden zu gewährleisten, soll-ten die Anforderungen an die Notein- und Notausstiegfenster (NEA) der Komponentenzulas-sung: EBA 05 G 08A (10/05) sowie bauartgleiche NEA hinsichtlich Funktionsfähigkeit (Kenn-zeichnung, Handhabung und Verletzungsgefahr) überprüft werden.</t>
  </si>
  <si>
    <t>DE-842/2</t>
  </si>
  <si>
    <t>In order to ensure a rapid and safe evacuation of passengers in an emergency, the requirements for the emergency entrance and exit window (NEA) of the component approval EBA 05 G 08A (10/05) and the same design as NEA should be checked for functionality (identification, handling and injury).</t>
  </si>
  <si>
    <t>DE-738/1</t>
  </si>
  <si>
    <t>Es sollte mindestens geprüft werden,ob eine Nachrüstung von Leuchtmelder im Blickfeld des Triebfahrz</t>
  </si>
  <si>
    <t>Es sollte mindestens geprüft werden,ob eine Nachrüstung von Leuchtmelder im Blickfeld des Triebfahrzeugführers erforderlich ist, die ihm eine angelegte bzw. nicht vollständig ge-löste Zusatzbremse auf dem Steuerwagen signalisiert,</t>
  </si>
  <si>
    <t>DE-738/2</t>
  </si>
  <si>
    <t>At least investigate whether it is necessary to retrofit warning lights within the driverâ€™s field of vision which would indicate to him that the straight air brake on the driving trailer had been applied or that it had not been completely released;</t>
  </si>
  <si>
    <t>DE-738/3</t>
  </si>
  <si>
    <t>Es sollte mindestens geprüft werden,ob betriebliche Maßnahmen bis hin zu einem Nutzungs-verbot der Z</t>
  </si>
  <si>
    <t>Es sollte mindestens geprüft werden,ob betriebliche Maßnahmen bis hin zu einem Nutzungs-verbot der Zusatzbremse im Fahrbetrieb - Steuerwagen voraus - anzustoßen sind,</t>
  </si>
  <si>
    <t>DE-738/4</t>
  </si>
  <si>
    <t>At least investigate whether operating measures up to prohibiting the use of straight air brakes when running with a driving trailer leading are to be instigated;</t>
  </si>
  <si>
    <t>DE-738/5</t>
  </si>
  <si>
    <t>Es sollte mindestens geprüft werden,ob der Ansaugschacht der Klimaanlage an anderer geeigneten Stell</t>
  </si>
  <si>
    <t>Es sollte mindestens geprüft werden,ob der Ansaugschacht der Klimaanlage an anderer geeigneten Stelle - außerhalb des Bereichs der Bremsanlage â€“ anzubringen ist.</t>
  </si>
  <si>
    <t>DE-738/6</t>
  </si>
  <si>
    <t>At least investigate whether the air intake for the air conditioning should be moved to another suitable site, away from the braking equipment.</t>
  </si>
  <si>
    <t>DE-591/1</t>
  </si>
  <si>
    <t>Zur Vermeidung â€žfehlerhafterâ€œ Gleisfreimeldungen durch Gleisstromkreise, sollte mindestens geprüft w</t>
  </si>
  <si>
    <t>Zur Vermeidung â€žfehlerhafterâ€œ Gleisfreimeldungen durch Gleisstromkreise, sollte mindestens geprüft werden, ob Triebfahrzeugführer, die Lokleerfahrten mit scheibengebremsten Triebfahrzeugen durchführen, den Fahrdienstleiter informieren müssen, wenn Sandstreueinrichtungen bedient oder automatisch ausgelöst wurden und das Triebfahrzeug zum Halten gekommen ist.â€œ</t>
  </si>
  <si>
    <t>DE-591/2</t>
  </si>
  <si>
    <t>Investigate, at least, whether drivers of light engines fitted with disc brakes should notify the signaller if sanding equipment has been used or initiated automatically and the locomotive has come to a stop so as to avoid wrong side indications by track circuits indicating that the track is clear.</t>
  </si>
  <si>
    <t>REC-000227</t>
  </si>
  <si>
    <t>DE-0550/1</t>
  </si>
  <si>
    <t>Im Rahmen der Planung und Zulassung von BÜSA, sollte im Ergebnis einer Risikobetrachtung die ...</t>
  </si>
  <si>
    <t>Im Rahmen der Planung und Zulassung von BÜSA, sollte im Ergebnis einer Risikobetrachtung die An-wendung der technischen BÜ-Sicherungen gem. § 11 Abs. 6 EBO konkretisiert und - mit der Zielstellung Schadensausmaße aufgrund liegengebliebener Fahr-zeuge im Gefahrenraum des BÜ möglichst zu minimie-ren - modifiziert werden.</t>
  </si>
  <si>
    <t>DE-0550/2</t>
  </si>
  <si>
    <t>As part of the planning and approval of the level crossing protection system, as a result of a risk assessment the application of the technical level crossing fuses should be specified according to § 11 point 6 of Railway Construction and Operating Rules and - be modified - with the goal to minimize the extent of losses due to possible stranded vehicles in the danger area of the level crossing.</t>
  </si>
  <si>
    <t>DE-0737/1</t>
  </si>
  <si>
    <t>Die Zeichen der Posten zum Anhalten des Straßenverkehrs soll-ten auch nach dem Anbringen der ...</t>
  </si>
  <si>
    <t>Die Zeichen der Posten zum Anhalten des Straßenverkehrs soll-ten auch nach dem Anbringen der Hilfsmittel gegeben werden. Diese Anforderung sollte in der Ril 456 konkretisiert und die ein-deutige Verwendung des Begriffs â€žHilfsmittelâ€œ in den korrespon-dierenden Anlagen 2 und 5 überarbeitet werden.</t>
  </si>
  <si>
    <t>DE-0737/2</t>
  </si>
  <si>
    <t>The signs of the items to stop the traffic should also be given after application of the aid. This requirement should be concretized in the Ril 456 and the unique use of the term "aid" in the corresponding Annexes 2 and 5 should be revised.</t>
  </si>
  <si>
    <t>REC-000260</t>
  </si>
  <si>
    <t>DE-0737/3</t>
  </si>
  <si>
    <t>Bei planbaren oder länger andauernden Außerbetriebnahmen von BÜSA und Einrichtung einer ...</t>
  </si>
  <si>
    <t>Bei planbaren oder länger andauernden Außerbetriebnahmen von BÜSA und Einrichtung einer Sicherung durch Posten, sollte das Risiko einer sicherheitsrelevanten Fehlhandlung des Pos-tens identifiziert werden, um eine akzeptable Maximaldauer der Postensicherung zu ermitteln und künftig festzuschreiben.</t>
  </si>
  <si>
    <t>DE-0737/4</t>
  </si>
  <si>
    <t>With predictable or prolonged shutdowns of rail crossing safety system and establishment of a security by post, the risk of a security failure of the action item should be identified in order to determine an acceptable maximum duration of the post backup and commit future.</t>
  </si>
  <si>
    <t>REC-000261</t>
  </si>
  <si>
    <t>DE-0737/5</t>
  </si>
  <si>
    <t>Bei planbaren oder länger andauernden Außerbetriebnahmen sollte eine Abstimmung mit den ...</t>
  </si>
  <si>
    <t>Bei planbaren oder länger andauernden Außerbetriebnahmen sollte eine Abstimmung mit den Verkehrsbehörden (z. B. Sonder BÜ-Schau) erfolgen.</t>
  </si>
  <si>
    <t>DE-0737/6</t>
  </si>
  <si>
    <t>With predictable or prolonged shutdowns the agreement with the transport authorities should take place (eg special LC-display).</t>
  </si>
  <si>
    <t>REC-000262</t>
  </si>
  <si>
    <t>DE-0737/7</t>
  </si>
  <si>
    <t>Bei planbaren oder länger andauernden Außerbetriebnahmen sollten mobile Schrankenanlagen mit ...</t>
  </si>
  <si>
    <t>Bei planbaren oder länger andauernden Außerbetriebnahmen sollten mobile Schrankenanlagen mit Lichtzeichen und Halb-schranken (z. B. TH BÜP), zur besseren Erkennbarkeit der Pos-tensicherung für den Straßenverkehrsteilnehmer, verstärkt zum Einsatz kommen. In diesem Zusammenhang sollten die Regeln zum Geben der Zeichen angepasst werden.</t>
  </si>
  <si>
    <t>DE-0737/8</t>
  </si>
  <si>
    <t>With predictable or prolonged shutdowns the mobile barrier systems with light signals and half-barriers (eg TH BÜP) for better visibility of the post backup for the road users, should be increasingly used. In this context, the rules should be adapted to the type of characters.</t>
  </si>
  <si>
    <t>REC-000263</t>
  </si>
  <si>
    <t>DE-0737/9</t>
  </si>
  <si>
    <t>Zum Schutz und zur besseren Erkennbarkeit sollten Posten Warnkleidung mit verbesserter ...</t>
  </si>
  <si>
    <t>Zum Schutz und zur besseren Erkennbarkeit sollten Posten Warnkleidung mit verbesserter Erkennbarkeit tragen (Klasse 3, mindestens Weste und Hose).</t>
  </si>
  <si>
    <t>DE-0737/10</t>
  </si>
  <si>
    <t>To protect and for better visibility warning clothing items should be carried with improved visibility (class 3, at least vest and pants).</t>
  </si>
  <si>
    <t>DE-0737/11</t>
  </si>
  <si>
    <t>Das Abdecken ungültiger Lichtzeichen sollte einheitlich und aus-schließlich mit Mitteln ...</t>
  </si>
  <si>
    <t>Das Abdecken ungültiger Lichtzeichen sollte einheitlich und aus-schließlich mit Mitteln entsprechend der Technischen Mitteilung erfolgen. Die Erkennbarkeit der Hilfsmittel sollte verbessert werden.</t>
  </si>
  <si>
    <t>DE-0737/12</t>
  </si>
  <si>
    <t>The light covering of invalid characters should be uniform and exclusively with resources in accordance with the technical note. The visibility of the tool should be improved.</t>
  </si>
  <si>
    <t>DE-0737/13</t>
  </si>
  <si>
    <t>Bei planbaren oder länger andauernden Außerbetriebnahmen sollten während der Dunkelheit ...</t>
  </si>
  <si>
    <t>Bei planbaren oder länger andauernden Außerbetriebnahmen sollten während der Dunkelheit verstärkt mobile Beleuchtungs-einrichtungen zum Einsatz kommen, wenn dadurch das Einse-hen des Kreuzungsbereichs erleichtert wird, auch wenn die Re-geln eine BÜ-Beleuchtung bisher nicht vorschrieben.</t>
  </si>
  <si>
    <t>DE-0737/14</t>
  </si>
  <si>
    <t>With predictable or prolonged shutdowns during the dark the mobile lighting equipment should be used, if it facilitates the visibility of the intersection area, even if the rules for level crossing lights are not prescribed so far.</t>
  </si>
  <si>
    <t>REC-000466</t>
  </si>
  <si>
    <t>DE-2924/1</t>
  </si>
  <si>
    <t>1. Minimierung des gegenwärtigen Verfahrens â€žBremsprobe-berechtigter am Zugâ€œ auf ein absolut ...</t>
  </si>
  <si>
    <t>Minimierung des gegenwärtigen Verfahrens â€žBremsprobe-berechtigter am Zugâ€œ auf ein absolut notwendiges Maß (Notfall, z.B. nach Störung während einer Zugfahrt, die eine Bremsprobe erforderlich macht)</t>
  </si>
  <si>
    <t>DE-2924/2</t>
  </si>
  <si>
    <t>Minimizing the current procedure â€˜â€™justified brake testing on trainâ€™â€™ to an absolutely necessary extent (emergency, for example after a disturbance during train journey, which makes a brake testing necessary)</t>
  </si>
  <si>
    <t>REC-000011</t>
  </si>
  <si>
    <t>DE-2924/3</t>
  </si>
  <si>
    <t>Bremsprobe im europaweiten Güterverkehr</t>
  </si>
  <si>
    <t>Mittel- und langfristig sollten technische Einrichtungen zur sicheren Durchführung von Bremsproben im europaweiten Güterverkehr zur Minimierung der menschlichen Fehlerrate zum Einsatz kommen.</t>
  </si>
  <si>
    <t>DE-2924/4</t>
  </si>
  <si>
    <t>In the medium and long term, technical installations should be used for the secure application of brake testing in the European level freight traffic to minimize the human error rate.</t>
  </si>
  <si>
    <t>REC-000302</t>
  </si>
  <si>
    <t>DE-3981/1</t>
  </si>
  <si>
    <t>Das Bewusstsein und die Kompetenz der Triebfahrzeugper-sonale im Umgang mit PZB-Zwangs¬brems¬ungen jeglicher Art durch gezielte Trainingsmaßnahmen kontinuierlich zu stärken.</t>
  </si>
  <si>
    <t>DE-3981/2</t>
  </si>
  <si>
    <t>To continuously strengthen awareness and competence of train employees when dealing with intermittent automatic train running control of emergency brake based on targeted training.</t>
  </si>
  <si>
    <t>DE-3981/3</t>
  </si>
  <si>
    <t>Die Nachrüstung der fahrzeugseitigen Zugbeeinflussungs-einrichtungen mit dem Schutzziel â€žeine Verbindungsauf-nahme nach PZB-Zwangsbremsungen vor einer Wiederan-fahrt herzustellenâ€œ, zu überprüfen und in Abhängigkeit des Ergebnisses weiterzuentwickeln.</t>
  </si>
  <si>
    <t>DE-3981/4</t>
  </si>
  <si>
    <t>To check and further develop based on the result, the retrofitting of the trackside train control system with the safety target ''to create a connection setup on intermittent automatic train running control of emergency brake'' before restarting.</t>
  </si>
  <si>
    <t>DE-755/1</t>
  </si>
  <si>
    <t>Festlegung eines abgestuften Inspektionsturnusses für die Untersuchung der Verspannung von Befestigu</t>
  </si>
  <si>
    <t>Festlegung eines abgestuften Inspektionsturnusses für die Untersuchung der Verspannung von Befestigungsmitteln in Gleisen und Weichen.</t>
  </si>
  <si>
    <t>DE-755/2</t>
  </si>
  <si>
    <t>Festlegung einer Prüfmethode zur Kontrolle des Verspannungszustandes von Befestigungsmitteln sowie v</t>
  </si>
  <si>
    <t>Festlegung einer Prüfmethode zur Kontrolle des Verspannungszustandes von Befestigungsmitteln sowie von entsprechenden Prüfgrößen.</t>
  </si>
  <si>
    <t>DE-745/1</t>
  </si>
  <si>
    <t>â€žZur Vermeidung eines weiteren Heißläufer bedingten Radsatzwellenbruches werden gegenwärtig folgende ...</t>
  </si>
  <si>
    <t>â€žZur Vermeidung eines weiteren Heißläufer bedingten Radsatzwellenbruches werden gegenwärtig folgende fahrzeugseitigen Maßnahmen empfohlen: â€¢ Austausch vernieteter Messingkäfige durch Lagerkäfige aus Kunststoff. â€¢ Überprüfung, ob der Anbau von Entgleisungsdetektoren bzw. Sensoren zur Heißläuferkennung zu einer messbaren Erhöhung der Entgleisungssicherheit beitragen kann.â€œ</t>
  </si>
  <si>
    <t>DE-745/2</t>
  </si>
  <si>
    <t>To avoid another hot box due to a wheelset axle break, the following vehicle-related measures are recommended at present: â€¢ To replace riveted brass cages with plastic bearing cages. â€¢ To check if the installation of derailment detectors or sensors might contribute to recognize a hot box in order to increase derailment safety.</t>
  </si>
  <si>
    <t>REC-000223</t>
  </si>
  <si>
    <t>DE-71/1</t>
  </si>
  <si>
    <t>Unter Berücksichtigung der Feststellungen im Rahmen der Unfalluntersuchung sowie der Erkenntnisse ...</t>
  </si>
  <si>
    <t>Unter Berücksichtigung der Feststellungen im Rahmen der Unfalluntersuchung sowie der Erkenntnisse aus dem Gutachten der metallurgischen Untersuchung dürften in Fachkreisen Überlegungen anzustellen sein, ob und inwieweit der Abstand zwischen Heißläuferortungs-anlagen (HOA) optimiert werden kann bzw. muss, um dem Umstand sich relativ schnell ent-wickelnder Heißläufer wirkungsvoller begegnen zu können.</t>
  </si>
  <si>
    <t>DE-71/2</t>
  </si>
  <si>
    <t>Taking into account the findings of the accident investigation and the findings from the evaluation of the metallurgical examination the considerations should be made in professional circles, whether and to what extent the distance between the hot runner positioning systems (HOA) can be optimized and must to the fact be relatively quickly developed to meet rapidly evolving relatively hot axles more effectively.</t>
  </si>
  <si>
    <t>DE-674/1</t>
  </si>
  <si>
    <t>Konkretisierung der Regelung zum Signalhaltfall</t>
  </si>
  <si>
    <t>DE-674/2</t>
  </si>
  <si>
    <t>Überprüfung der Projektierung des Signalhaltfalls bei vergleichbaren Stellwerken.</t>
  </si>
  <si>
    <t>DE-674/3</t>
  </si>
  <si>
    <t>Überprüfung, ob bei vergleichbaren Bahnhöfen eine selbsttätige Gleisfreimeldeanlage vorgesehen werde</t>
  </si>
  <si>
    <t>Überprüfung, ob bei vergleichbaren Bahnhöfen eine selbsttätige Gleisfreimeldeanlage vorgesehen werden sollte.</t>
  </si>
  <si>
    <t>DE-52/1</t>
  </si>
  <si>
    <t>1.Grundschaltung im Stellwerk Gnf anpassen - To modify the basic circuitry of the interlocking Gnf</t>
  </si>
  <si>
    <t>1.Grundschaltung im Stellwerk Gnf anpassen</t>
  </si>
  <si>
    <t>DE-52/2</t>
  </si>
  <si>
    <t>To modify the basic circuitry of the interlocking Gnf</t>
  </si>
  <si>
    <t>DE-52/3</t>
  </si>
  <si>
    <t>2. Alle Stellwerke der Bauform E43 überprüfen - To review all interlocking of the type E43</t>
  </si>
  <si>
    <t>2. Alle Stellwerke der Bauform E43 überprüfen</t>
  </si>
  <si>
    <t>DE-52/4</t>
  </si>
  <si>
    <t>To review all interlocking of the type E43</t>
  </si>
  <si>
    <t>DE-52/5</t>
  </si>
  <si>
    <t>Geeignete Maßnahmen an den entsprechenden Stellwerken vornehmen - To carry out appropriate measures</t>
  </si>
  <si>
    <t>Geeignete Maßnahmen an den entsprechenden Stellwerken vornehmen</t>
  </si>
  <si>
    <t>DE-52/6</t>
  </si>
  <si>
    <t>To carry out appropriate measures in the interlocking</t>
  </si>
  <si>
    <t>REC-000486</t>
  </si>
  <si>
    <t>DE-516/1</t>
  </si>
  <si>
    <t>Sicherheitsempfehlung für ICE-3 Triebzüge mit Radsatzwellen aus dem Werkstoff 34CrNiMo6</t>
  </si>
  <si>
    <t>â€žSicherheitsempfehlung für ICE-3 Triebzüge mit Radsatzwellen aus dem Werkstoff 34CrNiMo6 Aufgrund der im Rahmen der Untersuchungen der BAM festgestellten Gefügeinhomogenitäten ist eine Überprüfung der Eingangsdaten der Werkstoffe bei der Auslegung der Welle hinsichtlich des Dauerfestigkeitsnachweises durchzuführen.â€œ</t>
  </si>
  <si>
    <t>DE-516/2</t>
  </si>
  <si>
    <t>â€œSafety recommendation for ICE-3 multiple units with axles of material 34CrNiMo6 On the basis of the structural inhomogeneities found during the BAM studies, a verification of the input data of the materials shall be carried out in the design of the wave in respect of the proof of durability.â€™</t>
  </si>
  <si>
    <t>DE-452/1</t>
  </si>
  <si>
    <t>Zur Erhöhung der Entgleisungssicherheit im Hochgeschwindigkeitsverkehr sollte überprüft werden, ob w</t>
  </si>
  <si>
    <t>Zur Erhöhung der Entgleisungssicherheit im Hochgeschwindigkeitsverkehr sollte überprüft werden, ob weiterhin auf eine Einfriedung der Strecke oder Streckenabschnitte verzichtet werden kann bzw. durch andere Maßnahmen gleichgelagerte Ereignisse künftig verhindert werden können.</t>
  </si>
  <si>
    <t>DE-452/2</t>
  </si>
  <si>
    <t>Überprüfung und Optimierung der Erkennbarkeit der Fluchtwege und Notfallausrüstung in den Wagen.</t>
  </si>
  <si>
    <t>DE-452/3</t>
  </si>
  <si>
    <t>Überarbeitung der Ril 123 bezüglich Modul 123.150 Fremdrettung. Insbesondere ist eine klare Abtrennu</t>
  </si>
  <si>
    <t>Überarbeitung der Ril 123 bezüglich Modul 123.150 Fremdrettung. Insbesondere ist eine klare Abtrennung der Kompetenzen Notfallmanager / Notfallleitstelle / Einsatzleitung vorzu-nehmen.</t>
  </si>
  <si>
    <t>DE-452/4</t>
  </si>
  <si>
    <t>Überprüfung des betrieblichen Regelwerks hinsichtlich des Verhaltens des Betriebsperso-nals bei Koll</t>
  </si>
  <si>
    <t>Überprüfung des betrieblichen Regelwerks hinsichtlich des Verhaltens des Betriebsperso-nals bei Kollision auf Herdentiere.</t>
  </si>
  <si>
    <t>DE-452/5</t>
  </si>
  <si>
    <t>Erneute Einweisung und regelmäßige Unterweisung der zuständigen Rettungskräfte in die Örtlichkeiten</t>
  </si>
  <si>
    <t>Erneute Einweisung und regelmäßige Unterweisung der zuständigen Rettungskräfte in die Örtlichkeiten und sicherheitstechnischen Einrichtungen sowie Planung und Durchführung von Tunnelrettungsübungen.</t>
  </si>
  <si>
    <t>DE-1395/1</t>
  </si>
  <si>
    <t>Konkretisierung der Regelung zum Ein-und Ausgleisen von Zweiwegefahrzuegen</t>
  </si>
  <si>
    <t>Konkretisierung der Regelung zum Ein-und Ausgleisen von Zweiwegefahrzuegen auf der freien Strecke insbesondere der örtlichen Einweisung der Verantwortlichen.</t>
  </si>
  <si>
    <t>DE-1395/2</t>
  </si>
  <si>
    <t>Specification of rules for the rerailing and derailing of road-rail vehicles to an open track, in particular the introduction of responsible persons to local conditions.</t>
  </si>
  <si>
    <t>DE-1325/1</t>
  </si>
  <si>
    <t>In einer Risikobetrachtung sollten die Ein-trittswahrscheinlichkeiten und die Mengen künftig zu erwartender Regenspenden (Er-eignisauslösende Starkregenfälle) abge-schätzt werden. Im Anschluss daran sollten Gerinne/Entwässerungseinrichtungen nebst zugehörigen Einzugsgebieten einer Über-prüfung unterzogen werden mit dem Ziel, weitergehende notwendige Sicherungs-maßnahmen zu identifizieren und umzuset-zen.</t>
  </si>
  <si>
    <t>DE-1325/2</t>
  </si>
  <si>
    <t>In a risk assessment, the probability of occurrence and the amounts should be estimated of the expected rainfall intensities (event triggering heavy rainfall) in the future. Following this channel / drainage facilities should be subjected to a review together with associated catchment areas with the aim to identify and implement further necessary safeguards.</t>
  </si>
  <si>
    <t>REC-000218</t>
  </si>
  <si>
    <t>DE-1325/3</t>
  </si>
  <si>
    <t>Realisierung einer â€žanderen Fernsprech-verbindungâ€œ gemäß Ril 408.0581 zur Abga-be eines Nothaltauftrages durch Zugperso-nale auf Strecken ohne Streckenfernspre-cher.</t>
  </si>
  <si>
    <t>DE-1325/4</t>
  </si>
  <si>
    <t>Realization of "another telephone call" according to Directive 408.0581 to make an emergency stop order by on-train systems without line telephone.</t>
  </si>
  <si>
    <t>DE-1240/1</t>
  </si>
  <si>
    <t>Überprüfung, ob in den durchgehenden Hautgleisen von Bahnhöfen selbsttätige Gleisfreimeldeanlage vorgesehen werden sollten.</t>
  </si>
  <si>
    <t>DE-1240/2</t>
  </si>
  <si>
    <t>Check whether the main tracks of railway stations should be provided with automatic train detection system.</t>
  </si>
  <si>
    <t>REC-000215</t>
  </si>
  <si>
    <t>DE-1207/1</t>
  </si>
  <si>
    <t>Überprüfung der Triebfahrzeuge der Baureihe 112,114, und 143 hinsichtlich der Fahrmotorklemmstelle.</t>
  </si>
  <si>
    <t>Überprüfung, ob für Triebfahrzeuge der baugleichen BR 112, 114 und 143 Maßnahmen zur Erhöhung der Brandsi-cherheit an den Stromschienen und Fahrmotorklemmstellen (insbesondere der Fahrmotorklemmstelle 1 und 4) zur Vermeidung unzulässig hoher Übergangswiderstände und unterschiedlicher Stromaufteilung vorgesehen werden sollten.</t>
  </si>
  <si>
    <t>DE-1207/2</t>
  </si>
  <si>
    <t>Checking whether for traction vehicles BR 112, 114 and 143 measures to increase fire safety to the busbars and driving motor terminal points (in particular, the traction motor terminal point 1 and 4) should be provided to avoid unacceptably high contact resistances and different current distribution.</t>
  </si>
  <si>
    <t>DE-1085/1</t>
  </si>
  <si>
    <t>Nachrüstung aller Strecken mit Zugbeeinflussung, durch die ein Zug bei unzulässiger Vorbeifahrt an e</t>
  </si>
  <si>
    <t>Nachrüstung aller Strecken mit Zugbeeinflussung, durch die ein Zug bei unzulässiger Vorbeifahrt an einem Halt zeigenden Signal selbsttätig zum Halten gebracht werden kann</t>
  </si>
  <si>
    <t>DE-1085/2</t>
  </si>
  <si>
    <t>Retrofitting of all lines with train control systems that allow a train to stop automatically when a signal indicating a stop is not allowed to be passed</t>
  </si>
  <si>
    <t>DE-1085/3</t>
  </si>
  <si>
    <t>Bis zur Nachrüstung der Strecken mit Zugbeeinflussung gemäß lfd. Nr. 1 sollten zusätzliche Maßnahmen</t>
  </si>
  <si>
    <t>Bis zur Nachrüstung der Strecken mit Zugbeeinflussung gemäß lfd. Nr. 1 sollten zusätzliche Maßnahmen getroffen werden</t>
  </si>
  <si>
    <t>DE-1085/4</t>
  </si>
  <si>
    <t>Additional measures should be taken until lines are retrofitted with train influence in accordance with section 1.</t>
  </si>
  <si>
    <t>DE-4780/1</t>
  </si>
  <si>
    <t>1 Einsatz von nicht entflammbarem und verschleißfestem Material für die Diesel-Leckleitung unter ...</t>
  </si>
  <si>
    <t>1 Einsatz von nicht entflammbarem und verschleißfestem Material für die Diesel-Leckleitung unter Angabe einer max. Verwendungsdauer vorsehen. Brandverhindernde Maßnahmen am Turbolader und Abgasrohr durchführen. Konstruktive Anpassung der Kraftstoffrückführung vornehmen. 2 Nachrüstung von Branddetektoren mit automatischer Motorabschaltung bei allen Dieseltriebzügen der Bauart LINT</t>
  </si>
  <si>
    <t>DE-4780/2</t>
  </si>
  <si>
    <t>1 To use fire-resistant and wear-resistant material for the Diesel leakage line by indicating the maximum use duration. To apply fire prevention measures at the exhaust pipes and the turbochargers. To make a design adjustment of the fuel return system. 2 To upgrade the fire detectors with automatic motor switch-off on all diesel-driven trains of LINT type.</t>
  </si>
  <si>
    <t>REC-000001</t>
  </si>
  <si>
    <t>DE-4894/1</t>
  </si>
  <si>
    <t>5/2017 Die Tf sollten im Rahmen der regelmäßigen Fortbildung und Überwachung bzw. durch andere ...</t>
  </si>
  <si>
    <t>5/2017 Die Tf sollten im Rahmen der regelmäßigen Fortbildung und Überwachung bzw. durch andere geeignete Mittel zur strikten Einhaltung der Regeln im Zusammenhang mit Unregelmäßigkeiten an Fahrzeugen und Ladungen und den Maßnahmen bei drohender Gefahr angehalten werden. Hinsichtlich des Erkennens und Behebens von Wagenstörungen durch Tf sollte eine deutliche Verbesserung der Arbeitsausführung angestrebt werden. Die Tf sollten zur Bedeutung dieser Tätigkeiten besonders sensibilisiert werden, da unerkannte Störungen an den Fahrzeugen wegen oft nichtvorhandener Rückfalleben fast zwangsläufig zu schweren Unfällen führen.</t>
  </si>
  <si>
    <t>DE-4894/2</t>
  </si>
  <si>
    <t>6/2017 Die Qualitätsprüfung bei der Instandhaltung, entsprechend Unterstützungsprozess, U7.2.4.2 ist ggf. zu optimieren. Es ist dafür zur sorgen, dass zur Befundung von Radsätzen nur Mitarbeiter mit der nötigen Qualifikation zum Einsatz kommen und die Weisung DB Schenker Rail AG IWC( W)2014/10 strikt eingehalten wird.</t>
  </si>
  <si>
    <t>DE-4894/3</t>
  </si>
  <si>
    <t>7/2017 Die Fdl sollten im Rahmen der regelmäßigen Fortbildung und Überwachung zur strikten Einhaltung der Regeln 408.0553 und 408.0581 angehalten werden.</t>
  </si>
  <si>
    <t>DE-4894/4</t>
  </si>
  <si>
    <t>5/2017 The train driver should be obliged in the context of regular training and surveillance or by other relevant means to strictly apply the rules in connection with irregularities on vehicles and cargos and the measures. As for the recognition and repairing of defective wagons by the train driver, the objective set should be a large improvement of the workmanship. Train drivers should become more sensitive to those tasks, as non-recognized deficiencies at vehicles might cause serious accidents due to missing backup solutions.</t>
  </si>
  <si>
    <t>DE-4894/5</t>
  </si>
  <si>
    <t>6/2017 The quality check for the maintenance, according to the support procedure, U7.2.4.2 has to be optimized. To assure that, for the diagnostics of wheelsets is only made by staff who is qualified shall participate and the DB Schenker Rail AG IWC( W)2014/10 directive shall be strictly applied.</t>
  </si>
  <si>
    <t>DE-4894/6</t>
  </si>
  <si>
    <t>7/2017 The train dispatchers in the context of regular training and surveillance shall strictly apply the rules 408.0553 and 408.0581.</t>
  </si>
  <si>
    <t>REC-000290</t>
  </si>
  <si>
    <t>DE-5886/1</t>
  </si>
  <si>
    <t>Durch die Bruchanfälligkeit der aus Gießharz bestehenden Durchführungsbuchse an der Tasche des ...</t>
  </si>
  <si>
    <t>Durch die Bruchanfälligkeit der aus Gießharz bestehenden Durchführungsbuchse an der Tasche des Überspannungsableiters entsteht eine potentielle Gefahrenquelle bei einem Kurzschluss im Haupttransformator. Es wird empfohlen die aus Gießharz bestehende Durchführungsbuchse durch ein widerstandsfähigeres Material zu substituieren.</t>
  </si>
  <si>
    <t>DE-5886/2</t>
  </si>
  <si>
    <t>Due to the susceptibility to breakage of the cast resin bushing on the pocket of the surge arrester, a potential source of danger arises in the event of a short circuit in the main transformer. It is recommended to replace the resin bushing with a more resistant material.</t>
  </si>
  <si>
    <t>DE-5886/3</t>
  </si>
  <si>
    <t>Abweichend von anderen ICE-Baureihen befindet sich der Einbauort für den Überspannungsableiter ...</t>
  </si>
  <si>
    <t>Abweichend von anderen ICE-Baureihen befindet sich der Einbauort für den Überspannungsableiter unmittelbar unterflur am Haupttransformator. Es wird daher empfohlen, den Einbauort zu überprüfen und entsprechend zu modifizieren.</t>
  </si>
  <si>
    <t>DE-5886/4</t>
  </si>
  <si>
    <t>In contrast to other ICE series, the installation location for the surge arrester is directly below ground on the main transformer. It is therefore recommended that the installation location be checked and modified accordingly.</t>
  </si>
  <si>
    <t>REC-000814</t>
  </si>
  <si>
    <t>DE-6047/1</t>
  </si>
  <si>
    <t>Leistungsbewertung - Überwachung</t>
  </si>
  <si>
    <t>Es wird empfohlen, die Überwachung der Werkmeister LST während deren Arbeitsausführung gemäß den Anforderungen des Anhang II Punkt 6.1. Verordnung (EU) 2018/762 zur Erteilung von Sicherheitsgenehmigungen personenbezogen auszurichten.</t>
  </si>
  <si>
    <t>Train derailment, 06-08-19, Bad Friedrichshall Hbf (Germany)</t>
  </si>
  <si>
    <t>DE-6047/2</t>
  </si>
  <si>
    <t>It is recommended to monitor the workmanship of the LST during their work in accordance with the requirements of Annex II, point 6. 1. to align Regulation (EU) 2018/762 on the issue of safety authorisations in relation to persons.</t>
  </si>
  <si>
    <t>DE-6328/1</t>
  </si>
  <si>
    <t>2020/6</t>
  </si>
  <si>
    <t>Es wird empfohlen, die Bedingungen für das Zulas-sen von Zugfahrten über den BÜ „Posten 10“ unter ausschließlicher menschlicher Sicherheitsverant-wortung (Betriebsdurchführung im Störungsfall) um risikominimierende Maßnahmen zu erweitern.</t>
  </si>
  <si>
    <t>DE-6328/2</t>
  </si>
  <si>
    <t>2021/1</t>
  </si>
  <si>
    <t>Es wird empfohlen, die Bahnübergangstechnik, unter Berücksichtigung der vorherrschenden verkehrlichen Situation und unabhängig der laufenden Bestrebungen zur Beseitigung des BÜ, zu ersetzen.</t>
  </si>
  <si>
    <t>DE-6328/3</t>
  </si>
  <si>
    <t>2021/2</t>
  </si>
  <si>
    <t>Es wird empfohlen, Verkehrsschauen gem. den Bestimmungen der VwV-StVO zu § 45 mindestens alle 2 Jahre unter Beteiligung der Bahnunterneh-men durchzuführen.</t>
  </si>
  <si>
    <t>2021/3</t>
  </si>
  <si>
    <t>Um das Risiko von sicherheitskritischen Einwirkun-gen aus Abriss- und Rückbaumaßnahmen von Stra-ßenüberführungen auf die Durchführung eines si-cheren Eisenbahnbetriebs zu minimieren wird empfohlen, die technischen und planerischen Vo-raussetzungen einer Trennung des Bahntriebs von den Baumaßnahmen zu schaffen.</t>
  </si>
  <si>
    <t>AT-94/1</t>
  </si>
  <si>
    <t>Sensibilisierung der Tfzf aller in Österreich tätigen RU zu der Thematik - Nichtquittierung mit der</t>
  </si>
  <si>
    <t>Sensibilisierung der Tfzf aller in Österreich tätigen RU zu der Thematik - Nichtquittierung mit der Wachsamkeitstaste.</t>
  </si>
  <si>
    <t>AT-94/2</t>
  </si>
  <si>
    <t>Eine weitere Sicherheitsempfehlung entfällt auf Grund der Inkraftsetzung der neuen Bestimmungen des</t>
  </si>
  <si>
    <t>Eine weitere Sicherheitsempfehlung entfällt auf Grund der Inkraftsetzung der neuen Bestimmungen des § 27 der ÖBB DV V 3, Betriebsvorschrift, betreffend die einzustellende Bremsstellung in Abhängigkeit von der Zugart und dem Gewicht des Wagenzuges, mit 10. Dezember 2006.</t>
  </si>
  <si>
    <t>AT-688/1</t>
  </si>
  <si>
    <t>A-94/2010 Instandhaltungsarbeiten zur Behebung von SES sollten mittel- bis langfristig maschinell er</t>
  </si>
  <si>
    <t>A-94/2010 Instandhaltungsarbeiten zur Behebung von SES sollten mittel- bis langfristig maschinell erfolgen und dabei nachweislich messtechnisch dokumentiert werden. Begründung: Es können durch das händische Beheben eines Fehlers andere Fehler erzeugt werden.</t>
  </si>
  <si>
    <t>AT-688/2</t>
  </si>
  <si>
    <t>A-95/2010 Überprüfung, ob die Messdaten der maschinellen Messung streckensynchron erfolgen müssen. B</t>
  </si>
  <si>
    <t>A-95/2010 Überprüfung, ob die Messdaten der maschinellen Messung streckensynchron erfolgen müssen. Begründung: Fehler können dadurch nicht exakt geortet werden und die Behebung bringt an einer anderen Stelle ein Verschlechterung der Gleislage.</t>
  </si>
  <si>
    <t>AT-688/3</t>
  </si>
  <si>
    <t>A-96/2010 Definition von SES für die gegenseitige Höhenlage (Überhöhung) gemäß Entwurf zur TSI CR IN</t>
  </si>
  <si>
    <t>A-96/2010 Definition von SES für die gegenseitige Höhenlage (Überhöhung) gemäß Entwurf zur TSI CR INFRA Begründung: Gemäß Entwurf zur TSI CR INFRA, Punkt 4.2.9.4 wird eine SES für die Überhöhung definiert.</t>
  </si>
  <si>
    <t>AT-688/4</t>
  </si>
  <si>
    <t>A-97/2010 Überprüfung, ob bei der Definition von SES für die gegenseitige Höhenlage (Überhöhung) die</t>
  </si>
  <si>
    <t>A-97/2010 Überprüfung, ob bei der Definition von SES für die gegenseitige Höhenlage (Überhöhung) die Erkenntnisse des ORE B55/RP8, Figur 7 im DB IS 2 berücksichtigt werden müssen. Begründung: Wenn Überhöhung in den Bereich 2 liegt, muss die zulässige Gleisverwindung reduziert werden um die Gefahr einer Entgleisung gering zu halten.</t>
  </si>
  <si>
    <t>AT-688/5</t>
  </si>
  <si>
    <t>A-98/2010 Überprüfung des ÖBB-DB IS 2 bezüglich der zulässigen Instandhaltungsparameter (ES und SES)</t>
  </si>
  <si>
    <t>A-98/2010 Überprüfung des ÖBB-DB IS 2 bezüglich der zulässigen Instandhaltungsparameter (ES und SES) auf die zulässige Gleisverwindung im Zusammenhang mit der Gleisüberhöhung. Begründung: Bei den angewendeten SES werden die Bestimmungen des ORE B55/RP8 nicht eingehalten.</t>
  </si>
  <si>
    <t>AT-688/6</t>
  </si>
  <si>
    <t>A-99/2010 Anbringen einer ortsfesten Anlage für die Fahrkantenschmierung für diesen Streckenabschnit</t>
  </si>
  <si>
    <t>A-99/2010 Anbringen einer ortsfesten Anlage für die Fahrkantenschmierung für diesen Streckenabschnitt. Begründung: Reduktion des Reibungskoeffizienten am Spurkranz Î¼ um den Grenzwert (Y/Q) niedrig zu halten (siehe EN 14363, Bild A.2).</t>
  </si>
  <si>
    <t>AT-688/7</t>
  </si>
  <si>
    <t>A-100/2010 Sicherstellung, dass der Kuppelzustand im Zugverband den Bestimmungen der DV V3, § 16, Ab</t>
  </si>
  <si>
    <t>A-100/2010 Sicherstellung, dass der Kuppelzustand im Zugverband den Bestimmungen der DV V3, § 16, Abs. 4 entspricht (kein loser Kuppelzustand). Begründung: Einhaltung der DV V3 der ÖBB und ROeEE.</t>
  </si>
  <si>
    <t>AT-688/8</t>
  </si>
  <si>
    <t>A-101/2010 Herstellung der roten Umrandung der Anschrift der Handbremse zur Kennzeichnung als Bodenb</t>
  </si>
  <si>
    <t>A-101/2010 Herstellung der roten Umrandung der Anschrift der Handbremse zur Kennzeichnung als Bodenbedienbarkeit. Begründung: Bestimmung gemäß AVV, Anlage 11, Punkt 4.2.</t>
  </si>
  <si>
    <t>AT-688/9</t>
  </si>
  <si>
    <t>A-102/2010 Überprüfung, ob eine Anpassung der Aufzeichnung der Zug- /Bremskraftstufen der Registrier</t>
  </si>
  <si>
    <t>A-102/2010 Überprüfung, ob eine Anpassung der Aufzeichnung der Zug- /Bremskraftstufen der Registriereinrichtung des Tfz erfolgen kann. Begründung: Es kann derzeit nicht nachgewiesen werden, dass eine regelwerkskonforme Reduktion der E-Bremskraft bei einer Geschwindigkeit unter 50 km/h erfolgt.</t>
  </si>
  <si>
    <t>AT-688/10</t>
  </si>
  <si>
    <t>A-103/2010 Sicherstellung, dass die Bestimmungen für Ladungssicherung gemäß RIV â€“ Beladetarif eingeh</t>
  </si>
  <si>
    <t>A-103/2010 Sicherstellung, dass die Bestimmungen für Ladungssicherung gemäß RIV â€“ Beladetarif eingehalten werden.</t>
  </si>
  <si>
    <t>AT-686/1</t>
  </si>
  <si>
    <t>A-85/2010 Schulung der Mitarbeiter des Verschubdienstes durch Behandlung im Dienstunterricht. Anmerk</t>
  </si>
  <si>
    <t>A-85/2010 Schulung der Mitarbeiter des Verschubdienstes durch Behandlung im Dienstunterricht. Anmerkung: Österreichweit</t>
  </si>
  <si>
    <t>AT-686/2</t>
  </si>
  <si>
    <t>A-86/2010 Überprüfung, ob durch interne und/oder externe Gutachter ein Maß für die Homogenität der B</t>
  </si>
  <si>
    <t>A-86/2010 Überprüfung, ob durch interne und/oder externe Gutachter ein Maß für die Homogenität der Bremse in einem Güterzug ermittelt werden kann und zwar in Bezug auf Kombination folgender Parameter: â€¢ Fahrzeuge in Bremsart â€žGâ€œ oder â€žPâ€œ â€¢ leere und beladene Fahrzeuge â€¢ Bremse an einzelnen Wagen ausgeschaltet â€¢ Bremshundertstel einzelner Wagen unterschiedlich wie z.B.: Wagen mit der Anschrift â€žsâ€œ (Î» â‰¤ 70 %) oder â€žssâ€œ (Î» = 90 % bei 20 t Radsatzlast bei klotzgebremsten Rädern) â€¢ Wagen mit einer Radsatzlast von 22,5 t oder 25 t â€¢ Position im Zug</t>
  </si>
  <si>
    <t>AT-686/3</t>
  </si>
  <si>
    <t>A-87/2010 Überprüfung, ob in der Bremsstellung â€žGâ€œ bei einer Bremsung mittels elektrodynamischer Bre</t>
  </si>
  <si>
    <t>A-87/2010 Überprüfung, ob in der Bremsstellung â€žGâ€œ bei einer Bremsung mittels elektrodynamischer Bremse des Tfz die Bestimmungen des Merkblattes UIC 540 eingehalten werden. Begründung: Die Aufregelung auf 80 kN in 15 s weicht von den Vorgaben des Merkblattes UIC 540 ab (95 % des Bremszylinderdruckes müssen zwischen 18 und 30 s erreicht werden).</t>
  </si>
  <si>
    <t>AT-686/4</t>
  </si>
  <si>
    <t>A-88/2010 Überprüfung, ob bei der Tfz-Reihe 1016/1116 in Bremsart â€žG+Eâ€œ eine Ermittlung der Bremslei</t>
  </si>
  <si>
    <t>A-88/2010 Überprüfung, ob bei der Tfz-Reihe 1016/1116 in Bremsart â€žG+Eâ€œ eine Ermittlung der Bremsleistung und Anschrift am Tfz erforderlich ist.</t>
  </si>
  <si>
    <t>AT-686/5</t>
  </si>
  <si>
    <t>A-89/2010 Prüfung, ob eine normative Grundlage zur Berücksichtigung des Korrekturkoeffizient Îº (Fakt</t>
  </si>
  <si>
    <t>A-89/2010 Prüfung, ob eine normative Grundlage zur Berücksichtigung des Korrekturkoeffizient Îº (Faktor kappa gemäß Merkblatt UIC 544-1, Anlage K2), bei der Ermittlung der Bremshundertstel für Güterzüge mit Längen &gt; 500 m erforderlich ist. Begründung: Auf Grund der Neufassung der TSI OPE per 1. Jänner 2010 ist die Umsetzung dieser Sicherheitsempfehlung erforderlich.</t>
  </si>
  <si>
    <t>AT-686/6</t>
  </si>
  <si>
    <t>A-90/2010 Überprüfung, ob die normative Grundlage zur Bewertung der Wagen in Bremsart â€žGâ€œ im Zugverb</t>
  </si>
  <si>
    <t>A-90/2010 Überprüfung, ob die normative Grundlage zur Bewertung der Wagen in Bremsart â€žGâ€œ im Zugverband mit dem gemäß Merkblatt UIC 544-1, Punkt 9.2.5 genannten Faktor 0,75 erfolgen muss. Derzeit wird gemäß ÖBB DB 610, Anlage 3 ein Faktor 0,8 angewendet. Begründung: Auf Grund der Neufassung der TSI OPE per 1. Jänner 2010 ist die Umsetzung dieser Sicherheitsempfehlung erforderlich.</t>
  </si>
  <si>
    <t>AT-684/1</t>
  </si>
  <si>
    <t>48/2010 - 57/2010</t>
  </si>
  <si>
    <t>AT-682/1</t>
  </si>
  <si>
    <t>Bei Fahrzeugen mit der Gattungsnummer 4293 des Typs Laes559 und dem Ländercode â€ž80â€œ, ist durch das E</t>
  </si>
  <si>
    <t>Bei Fahrzeugen mit der Gattungsnummer 4293 des Typs Laes559 und dem Ländercode â€ž80â€œ, ist durch das Eisenbahnverkehrsunternehmen sicherzustellen, dass bei der wagentechnischen Untersuchung im Betrieb dieser Fahrzeuge der Schwerpunkt in der Kontrolle auf Tragfederbruch oder starke Aufsetzspuren am Federbund vom Laufwerk in der Fahrzeugmitte liegen. Begründung: Ein starker Abtrag am Federbund kann auch der Hinweis auf ein gebrochenes Hautfederblatt sein, da die Trapezfeder dadurch stärker einfedert und verstärkt gegen den Stößel schlägt. Fahrzeuge mit starken Aufsetzspuren oder Abtragungen am Federbund sind analog den Bestimmungen der Anlage 9 zum â€žAllgemeinen Vertrag für die Verwendung von Güterwagen (AVV)â€œ (ehemals Anlage XII RIV 2000) auszusetzen.</t>
  </si>
  <si>
    <t>AT-682/2</t>
  </si>
  <si>
    <t>Bei Fahrzeugen mit der Gattungsnummer 4293 des Typs Laes559 und dem Ländercode â€ž80â€œ, ist durch Maßna</t>
  </si>
  <si>
    <t>Bei Fahrzeugen mit der Gattungsnummer 4293 des Typs Laes559 und dem Ländercode â€ž80â€œ, ist durch Maßnahmen des Fahrzeugeigentümers sicherzustellen, dass â€¢ kein PKW direkt auf der Überfahrbrücke verladen wird und die verladenen PKW mit ausreichend Abstand zur Überfahr brücke positioniert werden, â€¢ die zulässigen Radsatzlasten eingehalten werden Begründung: Ergebnis der Fahrtechnischen Untersuchung (Pkt. 14.)</t>
  </si>
  <si>
    <t>AT-682/3</t>
  </si>
  <si>
    <t>Bei Fahrzeugen mit der Gattungsnummer 4293 des Typs Laes559 und dem Ländercode â€ž80â€œ ist durch Maßnah</t>
  </si>
  <si>
    <t>Bei Fahrzeugen mit der Gattungsnummer 4293 des Typs Laes559 und dem Ländercode â€ž80â€œ ist durch Maßnahme des Fahrzeugeigentümer sicherzustellen, dass keine Gleise mit einem Radius &lt; 150m befahren werden. Begründung: Ergebnis der Fahrtechnischen Untersuchung (Pkt. 14.)</t>
  </si>
  <si>
    <t>AT-682/4</t>
  </si>
  <si>
    <t>Bei Fahrzeugen mit der Gattungsnummer 4293 des Typs Laes559 und dem Ländercode â€ž80â€œ ist durch den Fa</t>
  </si>
  <si>
    <t>Bei Fahrzeugen mit der Gattungsnummer 4293 des Typs Laes559 und dem Ländercode â€ž80â€œ ist durch den Fahrzeugeigentümer sicherzustellen, dass diese Fahrzeuge bei einem Aufenthalt in einer Instandhaltungswerkstätte mit Nachdruck auf â€¢ Tragfederbruch, Abtragungen am Federbund, sowie auf Rissfreiheit des Federbundes und der Tragfederblätter am Laufwerk der Mittelachse und â€¢ Schäden an der Konstruktion Überfahrbrücke / Stößel / Bolzenverbindung und der zeichnungsgerechte Zustand derselben untersucht werden. Die Untersuchung muss mindestens einmal jährlich erfolgen. Begründung: Die vertikal wirkenden Stößelkräfte sowie die horizontal an der Bolzenverbindung Überfahrblech/Untergestell wirkenden Kräfte können von der vorhandenen Konstruktion Überfahrbrücke/ Stößel/ Bolzenverbindung nicht dauerhaft aufgenommen werden und führen zu Schäden an diesen Bauteilen, sowie am Tragfederbund. Die jährliche Untersuchung soll die erforderliche Rissfreiheit des Federbundes für der sicheren Betrieb der Fahrzeuge (Ergebnis der Fahrtec</t>
  </si>
  <si>
    <t>AT-681/1</t>
  </si>
  <si>
    <t>Möglichst rasche Beseitigung (Instandsetzung) länger andauernder Langsamfahrstellen (wie im Auszug a</t>
  </si>
  <si>
    <t>Möglichst rasche Beseitigung (Instandsetzung) länger andauernder Langsamfahrstellen (wie im Auszug aus ÖBBLa Mitte ersichtlich), vor allem in Großbahnhöfen, da diese eine Einschränkung der Qualität und der Betriebsicherheit (permanente Abbremsung und Beschleunigung, Übersichtlichkeit bzw. Lesbarkeit und Umsetzung für die Tfzf,....) darstellen.</t>
  </si>
  <si>
    <t>AT-680/1</t>
  </si>
  <si>
    <t>Sensibilisierung der Mitarbeiter bezüglich der Bestimmungen zur Anmeldung und Abhandlung einer â€žGefä</t>
  </si>
  <si>
    <t>Sensibilisierung der Mitarbeiter bezüglich der Bestimmungen zur Anmeldung und Abhandlung einer â€žGefährdeten Rotteâ€œ.</t>
  </si>
  <si>
    <t>AT-680/2</t>
  </si>
  <si>
    <t>Überprüfung und erforderlichenfalls Änderung der bestehenden Vorgaben für die Fdl - Ausbildung.</t>
  </si>
  <si>
    <t>AT-680/3</t>
  </si>
  <si>
    <t>Durchführung regelmäßiger Kontrollen der Arbeitsabläufe und der ordnungsgemäßen Anwendung der normat</t>
  </si>
  <si>
    <t>Durchführung regelmäßiger Kontrollen der Arbeitsabläufe und der ordnungsgemäßen Anwendung der normativen Vorgaben.</t>
  </si>
  <si>
    <t>AT-679/1</t>
  </si>
  <si>
    <t>Vermehrte und genauere Kontrollen der Verladung, vor allem bei Schüttgütern.</t>
  </si>
  <si>
    <t>AT-679/2</t>
  </si>
  <si>
    <t>Überprüfen, ob die Verwendung der AFB in allen Situationen (starkes Gefälle, enge Bogenradien, gegen</t>
  </si>
  <si>
    <t>Überprüfen, ob die Verwendung der AFB in allen Situationen (starkes Gefälle, enge Bogenradien, gegenläufige Weichenverbindungen, Weichen mit engen Radien im abzweigenden Schienenstrang) als zielführend erscheint. Anmerkung der UUB: Es ergibt sich aus Sicht der UUB bei der Verwendung der AFB ein Widerspruch zu den Bestimmungen der ÖBB-DV V3, Abschn. III, § 27, die ein zu starkes Auflaufen des Wagenzuges verhindern sollen.</t>
  </si>
  <si>
    <t>AT-679/3</t>
  </si>
  <si>
    <t>Stichprobenartige Überprüfung ob die Einrichtungen der Langsamfahrstellen an den Außenanlagen den Vo</t>
  </si>
  <si>
    <t>Stichprobenartige Überprüfung ob die Einrichtungen der Langsamfahrstellen an den Außenanlagen den Vorgaben in der La entsprechen.</t>
  </si>
  <si>
    <t>AT-679/4</t>
  </si>
  <si>
    <t>Stichprobenartige Überprüfung der Schmierung der Pufferteller und der Stößel/Hülse.</t>
  </si>
  <si>
    <t>AT-678/1</t>
  </si>
  <si>
    <t>10-achsige RoLa-Wagen der CFR (Nr.: 81 53 498 3 000 bis 159), welche mit konstruktionsgleichen Feder</t>
  </si>
  <si>
    <t>10-achsige RoLa-Wagen der CFR (Nr.: 81 53 498 3 000 bis 159), welche mit konstruktionsgleichen Federträgern ausgerüstet sind (wie die bei den ÖBB-Technische Services GmbH, Werk Knittelfeld untersuchten), erst nach einem Tausch der Federträger, wie bei RoLa- Wagen der RCA bereits eingebaut, einsetzen.</t>
  </si>
  <si>
    <t>AT-678/2</t>
  </si>
  <si>
    <t>Um eine Überschreitung der höchstzulässigen Zuladung der RoLa- Wagen zu vermeiden, bzw. durch unrich</t>
  </si>
  <si>
    <t>Um eine Überschreitung der höchstzulässigen Zuladung der RoLa- Wagen zu vermeiden, bzw. durch unrichtige Gewichtsangaben fehlerhafte Zugdaten zu erzeugen (z.B.: Bremsausmaß), sind sämtliche LKW vor Verladung (auch bei Verladung außerhalb Österreichs) zu verwiegen. Unregelmäßigkeiten sind zu erfassen und Maßnahmen zu setzen.</t>
  </si>
  <si>
    <t>AT-678/3</t>
  </si>
  <si>
    <t>Es ist sicherzustellen, dass bei der Anbringung des Zeichen â€žÖBBâ€œ an Fahrzeugen, die Genehmigungsunt</t>
  </si>
  <si>
    <t>Es ist sicherzustellen, dass bei der Anbringung des Zeichen â€žÖBBâ€œ an Fahrzeugen, die Genehmigungsunterlagen zum Verkehr auf den Strecken der ÖBB-Infrastruktur Betrieb AG nachweislich vorliegen.</t>
  </si>
  <si>
    <t>AT-678/4</t>
  </si>
  <si>
    <t>Überprüfungen von Wagen, die im Vereinbarungsraster das Zeichen â€žÖBBâ€œ tragen, ob für diese auch die</t>
  </si>
  <si>
    <t>Überprüfungen von Wagen, die im Vereinbarungsraster das Zeichen â€žÖBBâ€œ tragen, ob für diese auch die erforderlichen behördlichen Genehmigungen vorliegen.</t>
  </si>
  <si>
    <t>AT-678/5</t>
  </si>
  <si>
    <t>Im Zusammenhang mit den Anschriften am Fahrzeug (Punkt 11.4) ist zu überprüfen, inwieweit die Bestim</t>
  </si>
  <si>
    <t>Im Zusammenhang mit den Anschriften am Fahrzeug (Punkt 11.4) ist zu überprüfen, inwieweit die Bestimmungen des AVV bzw. der ÖBB-ZSB 31 in Hinblick auf die Eintragung â€žÖBBâ€œ im Vereinbarungsraster als â€žübernehmende Bahnenâ€œ IM oder unterschiedliche EVU betreffen.</t>
  </si>
  <si>
    <t>AT-678/6</t>
  </si>
  <si>
    <t>Es ist sicherzustellen, dass die notwendigen und erforderlichen Genehmigungsunterlagen für Wagen, di</t>
  </si>
  <si>
    <t>Es ist sicherzustellen, dass die notwendigen und erforderlichen Genehmigungsunterlagen für Wagen, die auf einer Infrastruktur zugelassen sind in entsprechender Form aufgelegt und unverzüglich abrufbar sind, daher wird die Implementierung eines nationalen Fahrzeugregisters vorgeschlagen.</t>
  </si>
  <si>
    <t>AT-677/1</t>
  </si>
  <si>
    <t>Einsatz von nachweislich rissgeprüften Drehgestellen, insbesondere bei Wagen mit Drehgestellen der B</t>
  </si>
  <si>
    <t>Einsatz von nachweislich rissgeprüften Drehgestellen, insbesondere bei Wagen mit Drehgestellen der Bauart wie bei Wagen 33 87 785 3 603-1.</t>
  </si>
  <si>
    <t>AT-677/2</t>
  </si>
  <si>
    <t>Einführung einer nutzungsbezogenen Wagenüberprüfung, angepasst auf das Fahrzeugalter wie z.B. Verkür</t>
  </si>
  <si>
    <t>Einführung einer nutzungsbezogenen Wagenüberprüfung, angepasst auf das Fahrzeugalter wie z.B. Verkürzung der Revisionsfristen â€¢ ab einem Fahrzeugalter von 30 Jahre und â€¢ einer Laufleistung ab 10 000 km/Jahr.</t>
  </si>
  <si>
    <t>AT-677/3</t>
  </si>
  <si>
    <t>Einführung eines Sicherheitschecks bei der Durchführung von außerplanmäßigen Instandhaltungen. Derze</t>
  </si>
  <si>
    <t>Einführung eines Sicherheitschecks bei der Durchführung von außerplanmäßigen Instandhaltungen. Derzeit werden nur die Schäden gemäß Schadensprotokoll behoben.</t>
  </si>
  <si>
    <t>AT-677/4</t>
  </si>
  <si>
    <t>Prüfung, ob eine normative Grundlage zur Berücksichtigung des Korrekturkoeffizient Îº (gemäß Merkblat</t>
  </si>
  <si>
    <t>Prüfung, ob eine normative Grundlage zur Berücksichtigung des Korrekturkoeffizient Îº (gemäß Merkblatt UIC 544-1), bei der Ermittlung der Bremshundertstel für Güterzüge mit Längen &gt; 500 m (Stand der Technik, jedoch nicht unfallkausal) erforderlich ist.</t>
  </si>
  <si>
    <t>AT-617/1</t>
  </si>
  <si>
    <t>Überprüfung, ob die Regelwerke für die Instandhaltung von Oberbauanlagen um eine â€žÜberprüfung des Kr</t>
  </si>
  <si>
    <t>Überprüfung, ob die Regelwerke für die Instandhaltung von Oberbauanlagen um eine â€žÜberprüfung des Kraftschlusses zwischen Schiene und Schwelleâ€œ zu ergänzen sind.</t>
  </si>
  <si>
    <t>AT-617/2</t>
  </si>
  <si>
    <t>Evaluierung der Grenzwerte hinsichtlich der angewandten Messmethode (Messgeschwindigkeit und auftret</t>
  </si>
  <si>
    <t>Evaluierung der Grenzwerte hinsichtlich der angewandten Messmethode (Messgeschwindigkeit und auftretende unausgeglichene Seitenbeschleunigung, Masse der Messeinrichtung, â€¦ ).</t>
  </si>
  <si>
    <t>AT-617/3</t>
  </si>
  <si>
    <t>ÖBB-Infrastruktur Betrieb AG, Infrastruktur-Service: Auf Grund der Tatsache, dass sich innerhalb ein</t>
  </si>
  <si>
    <t>ÖBB-Infrastruktur Betrieb AG, Infrastruktur-Service: Auf Grund der Tatsache, dass sich innerhalb einer Frist von 10 ½ Monaten der Erhaltungszustand der Gleisanlagen massiv verschlechtert hat, sind Fristen für die erforderlichen Inspektionen regulativ anzupassen. Diese Änderungen zu den normativen Grundlagen sind den ausführenden Mitarbeitern nachweislich zur Kenntnis zu bringen.</t>
  </si>
  <si>
    <t>AT-617/4</t>
  </si>
  <si>
    <t>Schulung der Mitarbeiter, bei der Zugvorbereitung, die Bremsberechnung gemäß ÖBB DV V3, § 28 durchzu</t>
  </si>
  <si>
    <t>Schulung der Mitarbeiter, bei der Zugvorbereitung, die Bremsberechnung gemäß ÖBB DV V3, § 28 durchzuführen.</t>
  </si>
  <si>
    <t>AT-617/5</t>
  </si>
  <si>
    <t>Schulung der Mitarbeiter bezüglich der erforderlichen Verständigung mittels Befehl gemäß ÖBB DV V3,</t>
  </si>
  <si>
    <t>Schulung der Mitarbeiter bezüglich der erforderlichen Verständigung mittels Befehl gemäß ÖBB DV V3, § 23.</t>
  </si>
  <si>
    <t>AT-615/1</t>
  </si>
  <si>
    <t>â€¢ Durchführung einer österreichweiten Informationskampagne über EK im Allgemeinen und das richtige V</t>
  </si>
  <si>
    <t>â€¢ Durchführung einer österreichweiten Informationskampagne über EK im Allgemeinen und das richtige Verhalten der Straßenverkehrsteilnehmer im Besonderen (z.B. Medien, Behörden, Autofahrervereinigungen, Fahrschulen udgl.).</t>
  </si>
  <si>
    <t>AT-615/2</t>
  </si>
  <si>
    <t>â€¢ Abhalten von besonderen Informationsveranstaltungen vor Ort über EK im Allgemeinen und das richtig</t>
  </si>
  <si>
    <t>â€¢ Abhalten von besonderen Informationsveranstaltungen vor Ort über EK im Allgemeinen und das richtige Verhalten der Straßenverkehrsteilnehmer im Besonderen (z.B. in Gemeinden, in Schulen, direkt bei Eisenbahnkreuzungen udgl.).</t>
  </si>
  <si>
    <t>AT-615/3</t>
  </si>
  <si>
    <t>â€¢ Schwerpunktaktion der Exekutive direkt vor Ort bei der EK.</t>
  </si>
  <si>
    <t>AT-595/1</t>
  </si>
  <si>
    <t>NNach Arbeiten an einem PZB Gleismagneten muss dessen Funktionalität und ordnungsgemäße Montage sich</t>
  </si>
  <si>
    <t>NNach Arbeiten an einem PZB Gleismagneten muss dessen Funktionalität und ordnungsgemäße Montage sichergestellt bleiben, da diese sicherungstechnische Einrichtung einen wesentlichen Beitrag zur Zugsicherung darstellt. Deshalb muss durch die OBB-Infrastruktur Betrieb AG mittels Arbeits- bzw. Verfahrensanweisungen sichergestellt werden, dass nach jeglichen Arbeiten an PZB Einrichtungen die Funktionalität und ordnungsgemäße Montage durch einen dementsprechend ausgebildeten Techniker vor Aufnahme des Betriebes bzw. der Aufhebung einer Gleissperre überprüft wird. - After work on a PZB track magnet must the functionality and the proper installation be insured, as this device is a basic element of the train safety system. Therefore it must be ensured by OBB-operation AG infrastructure by rules for work and procedures that after any work on the PZB devices the functionality and proper fitting has to be checked by well-trained technician accordingly before the start of the operation or the lifting of a track-ban.</t>
  </si>
  <si>
    <t>AT-595/2</t>
  </si>
  <si>
    <t>Nachhaltige Information und Unterweisung aller betroffenen Mitarbeiter der ISC der IM OBB-Infrastruk</t>
  </si>
  <si>
    <t>Nachhaltige Information und Unterweisung aller betroffenen Mitarbeiter der ISC der IM OBB-Infrastruktur Betrieb AG über die erforderlichen Schutzmaßnahmen für Arbeiten im Gleisbereich, im Rahmen der periodischen Schulungen die gemäß den Bestimmungen der Eisenbahn-Arbeitnehmerlnnenschutzverordnung abgehalten werden. ---- Sustainable information and training for all affected employees of the ISC within OBB infrastructure operation AG about the necessary safeguarding for work in the track area, as part of periodic training in accordance with the provisions of the Railway work-protection-regulation will be held.</t>
  </si>
  <si>
    <t>AT-589/1</t>
  </si>
  <si>
    <t>Überprüfung der Bestimmungen des § 14 Abs. 2 der ÖBB DV V 5, Zugleitbetrieb, im Hinblick auf Anwendb</t>
  </si>
  <si>
    <t>Überprüfung der Bestimmungen des § 14 Abs. 2 der ÖBB DV V 5, Zugleitbetrieb, im Hinblick auf Anwendbarkeit in der Praxis, wobei insbesondere darauf einzugehen wäre, wie die augenscheinliche Prüfung des guten Anliegens der Zungen-an die Backenschiene durch den Tfzf durchzuführen ist .(Art und Umfang der Prüfung, Standort für die Prüfung) - Reviewing the provisions of section 14 paragraph 2 of ÖBB DV V 5, Zugleitbetrieb, in terms of applicability in practice, with particular attention would address how the apparent test of the good intention of the tongue to the back rail by the Tfzf has been made ( The nature and extent of the examination, the site for inspection).</t>
  </si>
  <si>
    <t>AT-589/2</t>
  </si>
  <si>
    <t>Erstellung einer Checkliste mit den notwendigen Parametern für die Prüfung, welche dem Tfzf mit den</t>
  </si>
  <si>
    <t>Erstellung einer Checkliste mit den notwendigen Parametern für die Prüfung, welche dem Tfzf mit den erforderlichen Unterlagen für die Fahrt auszufolgen ist. - Creating a checklist with the necessary parameters for the check, which has to be handed out to the Tfzf with the necessary documents for the trip.</t>
  </si>
  <si>
    <t>AT-588/1</t>
  </si>
  <si>
    <t>AT-588/2</t>
  </si>
  <si>
    <t>AT-587/1</t>
  </si>
  <si>
    <t>Überprüfung aller baugleichen Fahrstraßensperrmagneten (von ÖBB-Infrastruktur bereits durchgeführt)</t>
  </si>
  <si>
    <t>Überprüfung aller baugleichen Fahrstraßensperrmagneten (von ÖBB-Infrastruktur bereits durchgeführt) - To check all identical magnet used for safeguarding a set route (just done by ÖBB-infrastructure)</t>
  </si>
  <si>
    <t>AT-583/1</t>
  </si>
  <si>
    <t>(1) Beseitigung der Widersprüchlichkeiten bei den Kompetenzen zur Abhandlung eines Notfalls/außerge</t>
  </si>
  <si>
    <t>(1) Beseitigung der Widersprüchlichkeiten bei den Kompetenzen zur Abhandlung eines Notfalls/außergewöhnlichen Ereignisses zwischen Notfallleiter und Fahrdienstleiter. Es sind für Notfallleiter eindeutige Arbeitsanweisungen zu verfassen, sowie dessen Kompetenzen und Zuständigkeiten festzulegen. Dies ist in geeigneter Form an alle Fdl zu kommunizieren.</t>
  </si>
  <si>
    <t>AT-583/2</t>
  </si>
  <si>
    <t>Von der ÖBB Infrastruktur Betrieb AG ist unverzüglich eine generelle Anweisung für derartige Einsätz</t>
  </si>
  <si>
    <t>Von der ÖBB Infrastruktur Betrieb AG ist unverzüglich eine generelle Anweisung für derartige Einsätze bahnfremder Dritter im Gefahrenraum der Gleise festzulegen. In dieser Anweisung sind die Maßnahmen nach Maßgabe der Grundsätze der Gefahrenverhütung (§ 7 ASchG) festzulegen. Ebenso sind auch die Zuständigkeiten für die Umsetzung der Maßnahmen ein-deutig klarzustellen und die Mitarbeiter darüber nachhaltig zu informieren.</t>
  </si>
  <si>
    <t>AT-583/3</t>
  </si>
  <si>
    <t>Laufende Abhaltung von Notfallübungen in Zusammenarbeit mit der Exekutive. Der Ablauf des Notfalltra</t>
  </si>
  <si>
    <t>Laufende Abhaltung von Notfallübungen in Zusammenarbeit mit der Exekutive. Der Ablauf des Notfalltrainings sowie die daraus gewonnenen Erkenntnisse sind in geeigneter Form und im erforderlichen Umfang mit den Mitarbeitern der Eisenbahninfrastrukturunternehmen, Eisenbahnverkehrsunternehmen und den Exekutivkräften zu kommunizieren.</t>
  </si>
  <si>
    <t>AT-583/4</t>
  </si>
  <si>
    <t>Die für Notfallbereichsbahnhöfe gemäß der ÖBB-DA Notfallmanagement vorgesehenen Ab-stimmungsgespräch</t>
  </si>
  <si>
    <t>Die für Notfallbereichsbahnhöfe gemäß der ÖBB-DA Notfallmanagement vorgesehenen Ab-stimmungsgespräche mit externen Hilfskräften sind auch zwischen allen bestehenden Notfall-leitungen und der Exekutive bundesweit durchzuführen. Gemäß § 8 ASchG haben Arbeitgeber bei der Durchführung der Schutzmaßnahmen zusam-menzuarbeiten, sie haben insbesondere ihre Tätigkeiten auf dem Gebiet der Gefahrenverhü-tung zu koordinieren sowie einander und ihre Arbeitnehmer zu informieren. Dies hat grund-sätzlich auf der Ebene der Arbeitgeber (im vorliegenden Fall der ÖBB Infrastruktur Betrieb AG einerseits und der Polizeibehörde andererseits) zu erfolgen.</t>
  </si>
  <si>
    <t>AT-583/5</t>
  </si>
  <si>
    <t>Nachevaluierung der Fahrdienstleiter-Arbeitsplätze in der Betriebsführungsstelle Wolfurt und in der</t>
  </si>
  <si>
    <t>Nachevaluierung der Fahrdienstleiter-Arbeitsplätze in der Betriebsführungsstelle Wolfurt und in der Notfallleitstelle der RVL-West in Zusammenarbeit mit dem Verkehrs-Arbeitsinspektorat.</t>
  </si>
  <si>
    <t>AT-583/6</t>
  </si>
  <si>
    <t>Die Mitarbeiter der Exekutive sind nachhaltig und laufend über das Verhalten im Gefahren-bereich von</t>
  </si>
  <si>
    <t>Die Mitarbeiter der Exekutive sind nachhaltig und laufend über das Verhalten im Gefahren-bereich von Gleisen zu unterweisen.</t>
  </si>
  <si>
    <t>AT-537/1</t>
  </si>
  <si>
    <t>Überprüfung des Betriebsverfahrens â€žAbfertigungâ€œ (z. B. Normen, Prozessabläufe, Zuständigkeiten</t>
  </si>
  <si>
    <t>AT-537/2</t>
  </si>
  <si>
    <t>Überprüfung der Notwendigkeit zusätzlicher PZB-Einrichtungen (500 Hz-Magnet bzw. Ergänzung</t>
  </si>
  <si>
    <t>AT-537/3</t>
  </si>
  <si>
    <t>Weitere Empfehlungen sind vom Ergebnis der gemäß Punkt 5 eingerichteten Sonderkommission</t>
  </si>
  <si>
    <t>AT-515/1</t>
  </si>
  <si>
    <t>â€¢ Sprachspeicheraufzeichnungen auf analogen Aufzeichnungsgeräten (ohne Zeiterfassung) sind durch ein</t>
  </si>
  <si>
    <t>â€¢ Sprachspeicheraufzeichnungen auf analogen Aufzeichnungsgeräten (ohne Zeiterfassung) sind durch einmaliges Aufsprechen des Datums zu kennzeichnen. Diese Sicherheitsempfehlung ist in weiterer Folge, unabhängig von der Örtlichkeit, umzusetzen. / On analog voice recorders (without registration) has to be recorded the date once. This safety recommendation has to be implemented in further consequence independent of the location.</t>
  </si>
  <si>
    <t>AT-515/2</t>
  </si>
  <si>
    <t>Zuglaufblätter sind nach Beendigung der Fahrten aufzubewahren und stichprobenartig zu überprüfen. Un</t>
  </si>
  <si>
    <t>Zuglaufblätter sind nach Beendigung der Fahrten aufzubewahren und stichprobenartig zu überprüfen. Unregelmäßigkeiten sind zu erfassen und entsprechende Maßnahmen zu setzen. Diese Sicherheitsempfehlung ist in weiterer Folge in allen Zugleitbetrieben umzusetzen. / The documents about the movements of trains have to be kept after completion and have to be checked by spot checks. Irregularities have to be gathered; appropriate measures have to be taken. Further on this safety recommendation has to be implemented on all lines which are operated in the operation-mode â€œZugleitbetriebâ€.</t>
  </si>
  <si>
    <t>AT-515/3</t>
  </si>
  <si>
    <t>Die Funktion der GPS-Einrichtungen sind vor Fahrtantritt zu überprüfen; Unregelmäßigkeiten sind dem</t>
  </si>
  <si>
    <t>Die Funktion der GPS-Einrichtungen sind vor Fahrtantritt zu überprüfen; Unregelmäßigkeiten sind dem Zugleitfahrdienstleiter zu melden (siehe Punkt 5.1). / The function of GPS-devices has to be checked before operation, irregularities has to be reported o the dispatcher (see section 5.1).</t>
  </si>
  <si>
    <t>AT-515/4</t>
  </si>
  <si>
    <t>Zuglaufmeldungen sind gemäß â€žDienstanweisung zur Durchführung des Zugleitbetriebes auf der Strecke B</t>
  </si>
  <si>
    <t>Zuglaufmeldungen sind gemäß â€žDienstanweisung zur Durchführung des Zugleitbetriebes auf der Strecke Bruckberg-Golfplatz - Krimmlâ€œ vom 3. April 2000 grundsätzlich über Zugleitfunk abzuwickeln. / The communication about the train movement has to been proceed in accordance with the â€žinstruction for the proceeding of the operation-mode â€œZugleitbetriebâ€ on the line Bruckberg-Golfplatz â€“ Krimmlâ€œ of April 3rd 2000 via radio for train disposition and train control in principle.</t>
  </si>
  <si>
    <t>AT-515/5</t>
  </si>
  <si>
    <t>Einführung eines Tageszugleit- und -zuglaufblattes (soll nur tagesbezogene Angaben enthalten). / Imp</t>
  </si>
  <si>
    <t>Einführung eines Tageszugleit- und -zuglaufblattes (soll nur tagesbezogene Angaben enthalten). / Implementation of a daily document oft he movement on trains (should contain only data of one day)</t>
  </si>
  <si>
    <t>AT-515/6</t>
  </si>
  <si>
    <t>Einführung eines technischen Zugleitsystems auf EDV-Basis in Verbindung mit den GPS-Erinnerungseinri</t>
  </si>
  <si>
    <t>Einführung eines technischen Zugleitsystems auf EDV-Basis in Verbindung mit den GPS-Erinnerungseinrichtungen zur Unterstützung der Fdl und der Tfzf auf Strecken mit Zugleitbetrieb gemäß der ÖBB DV V 5. / Implementation of technical computer-based system for operation mode â€žZugleitbetriebâ€œ in connection with the GPS-memory-devices to support the dispatchers and the train drivers on lines with the operation mode â€žZugleitbetriebâ€œ according with ÖBB DV V 5.</t>
  </si>
  <si>
    <t>AT-159/1</t>
  </si>
  <si>
    <t>Safety recommendation as immediate measure</t>
  </si>
  <si>
    <t>AT-159/2</t>
  </si>
  <si>
    <t>-7. Safety recommendations</t>
  </si>
  <si>
    <t>AT-1358/1</t>
  </si>
  <si>
    <t>Einleitung betrieblicher Maßnahmen</t>
  </si>
  <si>
    <t>Überprüfung, ob bei Ereignissen mit unbestimmten Folgen bis zur Klärung durch Mitarbeiter vor Ort, die benachbarten Gleise für alle Fahrten gesperrt werden müssen.</t>
  </si>
  <si>
    <t>AT-1358/2</t>
  </si>
  <si>
    <t>Examine whether, when there are incidents with uncertain consequences, all movements on adjacent tracks should be suspended until local staff have completed their investigations.</t>
  </si>
  <si>
    <t>REC-000083</t>
  </si>
  <si>
    <t>AT-1358/3</t>
  </si>
  <si>
    <t>Instandhaltung Kupplung</t>
  </si>
  <si>
    <t>Überprüfung, ob eine zusätzliche Sicherung des Sicherungssplintes durch einen Schweißpunkt zweckmäßig bzw. zulässig ist.</t>
  </si>
  <si>
    <t>AT-1358/4</t>
  </si>
  <si>
    <t>Examine whether it would be expedient and permissible to spot-weld the split pin for improved retention.</t>
  </si>
  <si>
    <t>AT-1356/1</t>
  </si>
  <si>
    <t>Aufarbeitung des Unfalls im Rahmen des Dienstunterrichtes mit allen Tfzf. Begründung: Sensibilisierung der Mitarbeiter hinsichtlich der Befreiung aus der restriktiven Geschwindigkeitsüberwachung.</t>
  </si>
  <si>
    <t>AT-1356/2</t>
  </si>
  <si>
    <t>Use the accident as an example in in-service teaching for all drivers. Justification: making staff members aware of the consequences of disengaging the restrictive speed monitoring.</t>
  </si>
  <si>
    <t>REC-000002</t>
  </si>
  <si>
    <t>AT-1356/3</t>
  </si>
  <si>
    <t>Die Anweisung zur Befreiung aus der 1000 Hz Geschwindigkeitsüberwachung (Punkt 6.3.1auf Seite 19) ist in diesem Zusammenhang äußerst kritisch zu Betrachten. Die mit dieser Anweisung einhergehende Verpflichtung zur Befreiung bringt nur auf jenen Strecken einen Sicherheitsvorsprung, die vollständig mit 500 Hz Magneten abgesichert sind. Beim Fehlen der 500 Hz Ausrüstung ist die Befreiung aus der Geschwindigkeitsüberwachung ein sicherheitstechnischer Rückschritt, da bei ungerechtfertigter oder irrtümlicher Befreiung keine technische Absicherung vorhanden ist, um eine unerlaubte Signalüberfahrung zu verhindern. Es wird empfohlen, die Anweisung TR-B 045-2008 vom 24.11.2008 außer Kraft zu setzen bis eine entsprechende Ausrüstung der Infrastruktur mit 500 Hz Magneten vorliegt.</t>
  </si>
  <si>
    <t>AT-1356/4</t>
  </si>
  <si>
    <t>The instruction to disengage the 1000 Hz speed monitoring (point 6.3.1 on page 19 [of the accident report]) is to be regarded especially critically in this context. The obligation to disengage which this instruction imposes only brings a safety benefit on those sections which are completely protected with 500 Hz magnets. If the 500 Hz magnets are not fitted, disengaging the speed monitoring represents a step backwards in safety terms since in the event of unjustified disengagement of the restrictive speed monitoring or its disengagement in error there is no protection to stop signals being passed at danger without authority. It is recommended that instruction TR-B 045-2008 of 24 November 2008 is suspended until the infrastructure is appropriately equipped with 500 Hz magnets.</t>
  </si>
  <si>
    <t>REC-000003</t>
  </si>
  <si>
    <t>AT-1356/5</t>
  </si>
  <si>
    <t>Tiile 3</t>
  </si>
  <si>
    <t>Es wird empfohlen die Ausrüstung der Infrastruktur mit 500 Hz Gleismagneten zu forcieren. Eine zusätzliche Ausrüstung der Hauptsignale mit 500 Hz Magneten bietet im Zusammenspiel mit der PZB 90 eine technische Absicherung um unerlaubte Signalüberfahrungen durch menschliches Fehlverhalten zu verhindern.</t>
  </si>
  <si>
    <t>AT-1356/6</t>
  </si>
  <si>
    <t>It is recommended to press for the infrastructure to be equipped with 500 Hz track magnets. Additionally, equipment of stop signals with 500 Hz magnets in conjunction with PZB 90 [intermittent automatic train control] would offer protection against human error to stop signals being passed at danger without authority.</t>
  </si>
  <si>
    <t>REC-000004</t>
  </si>
  <si>
    <t>AT-1356/7</t>
  </si>
  <si>
    <t>Title 4</t>
  </si>
  <si>
    <t>Es wird empfohlen zu überprüfen, ob für die Anweisung TR-B 045-2008 vom 24.11.2008 eine eisenbahnrechtliche Genehmigung der Behörde erforderlich wäre.</t>
  </si>
  <si>
    <t>AT-1356/8</t>
  </si>
  <si>
    <t>It is recommended to investigate whether there should be a requirement in railway law to have instruction TR B 045-2008 of 24 November 2008 approved by the authorities.</t>
  </si>
  <si>
    <t>REC-000005</t>
  </si>
  <si>
    <t>AT-1356/9</t>
  </si>
  <si>
    <t>Title 5</t>
  </si>
  <si>
    <t>Es wird eine Gefahrenevaluierung für den Bf Bruck an der Leitha empfohlen. Diese Evaluierung sollte in Zusammenarbeit von Infrastrukturbetreiber und Trakti-onsleister erfolgen.</t>
  </si>
  <si>
    <t>AT-1356/10</t>
  </si>
  <si>
    <t>A risk evaluation of the station at Bruck an der Leitha is recommended. The evaluation should be a joint task for the infrastructure manager and the traction provider.</t>
  </si>
  <si>
    <t>REC-000065</t>
  </si>
  <si>
    <t>AT-1354/1</t>
  </si>
  <si>
    <t>Signalsituierung</t>
  </si>
  <si>
    <t>Überprüfung, ob die Situierung des Signals "Gruppenpfeifpflock" den Vorgaben den technischen Aufstellungsrichtlinien für Eisenbahnkreuzungen sowie den Bestimmungen der Signalvorschrift des IM entspricht.</t>
  </si>
  <si>
    <t>AT-1354/2</t>
  </si>
  <si>
    <t>Consideration should be given to the question of whether the signal at the group whistle post complies with the provisions of Signalling Regulation V2 and with the installation guidelines set out in the Decree implementing the Level Crossings Regulation.</t>
  </si>
  <si>
    <t>REC-000012</t>
  </si>
  <si>
    <t>AT-1353/1</t>
  </si>
  <si>
    <t>Es wird eine Überprüfung der EK in Zusammenarbeit mit dem Eisenbahninfrastrukturunternehmen und dem Träger der Straßenbaulast vorgeschlagen. Begründung: Die letzte Überprüfung erfolgte 2004.</t>
  </si>
  <si>
    <t>AT-1353/2</t>
  </si>
  <si>
    <t>It is recommended that the level crossing is subjected to an investigation in conjunction with road maintenance authorities and the infrastructure manager. Justification: the last investigation was in 2004.</t>
  </si>
  <si>
    <t>AT-1353/3</t>
  </si>
  <si>
    <t>Sicherstellung, dass das Notfallmanagement umgesetzt wird. Begründung: Stellungnahme des Tfzf Z 5817.</t>
  </si>
  <si>
    <t>AT-1353/4</t>
  </si>
  <si>
    <t>Ensure that the emergency management [plan] is implemented. Justification: statement by the driver of train 5817.</t>
  </si>
  <si>
    <t>REC-000115</t>
  </si>
  <si>
    <t>AT-1351/1</t>
  </si>
  <si>
    <t>Für die fernmündliche/mündliche Zustimmung zur Fahrt sollte ein verbindlicher Wortlaut festgelegt werden (analog wie beim fernmündlichen/mündlichen Auftrag zur Fahrt an den Tfzf). Begründung: Um die fernmündliche/mündliche Zustimmung zur Fahrt eindeutig zu halten und um Verwechslungen mit allen anderen Gesprächen auszu-schließen.</t>
  </si>
  <si>
    <t>AT-1351/2</t>
  </si>
  <si>
    <t>A mandatory wording should be agreed for the telephone/verbal agreement to depart (similar to the telephone/verbal order to depart given to the train driver). Reason: To make the telephone/verbal agreement to depart clear and exclude confusion with all other conversations.</t>
  </si>
  <si>
    <t>REC-000117</t>
  </si>
  <si>
    <t>AT-1351/3</t>
  </si>
  <si>
    <t>Aufarbeitung des Unfalls im Rahmen des Dienstunterrichtes mit allen im Verschubdienst tätigen Mitarbeitergruppen (Tfzf und Verschieber).</t>
  </si>
  <si>
    <t>AT-1351/4</t>
  </si>
  <si>
    <t>Discussion of the accident during the training sessions with all the staff involved in the marshalling yard (drivers and shunters).</t>
  </si>
  <si>
    <t>AT-1202/1</t>
  </si>
  <si>
    <t>Überprüfung, dass durch geeignete mechanisierte Prüfverfahren die Rissbildung an Radscheiben (z. B. UT) detektiert werden kann.</t>
  </si>
  <si>
    <t>AT-1202/2</t>
  </si>
  <si>
    <t>Investigate whether the build up of cracks in wheels can be detected by means of suitable mechanised testing procedures (for example, ultrasonic testing).</t>
  </si>
  <si>
    <t>AT-1202/3</t>
  </si>
  <si>
    <t>Sicherstellung, dass alle Radscheiben der Charge 38249 aus dem Jahr 2001 auf Risse überprüft werden.</t>
  </si>
  <si>
    <t>AT-1202/4</t>
  </si>
  <si>
    <t>Ensure that all wheels of batch 38249 from 2001 are checked for cracks.</t>
  </si>
  <si>
    <t>AT-1202/5</t>
  </si>
  <si>
    <t>Title 3</t>
  </si>
  <si>
    <t>Überprüfung, ob die Regelwerke (z. B. AVV,â€¦) für die Behandlung der als thermisch stark beanspruchbar gekennzeichneten Radsätze und die mit raugussbremssohlen gebremst werden, an neue technische Erkenntnisse angepasst werden müssen. Begründung: Diese Rissbildung wurde durch die Prüfung der Eigenspannung nicht erkannt.</t>
  </si>
  <si>
    <t>AT-1202/6</t>
  </si>
  <si>
    <t>Investigate if the regulations (for example, GCU, â€¦) for handling wheelsets marked as being able to withstand high thermal stresses and braked with cast iron blocks should be updated to take account of new technical knowledge. Justification: this build up of cracks was not discovered by residual stress testing.</t>
  </si>
  <si>
    <t>AT-1202/7</t>
  </si>
  <si>
    <t>Überprüfung, ob die Regelungen für Gefällefahrten auf Steilstrecken bestimmte Parameter berücksichtigen müssen, wie: - Zuglängen und -tonnagen - Reihung von Tfz mit tauglicher (Hochleistungs-) E-Bremse am Zugschluss (Schaukelbetrieb) - Geschwindigkeiten und Bremsmethoden Dabei darf bei der Leistungsaufnahme bei Dauerbremsung gemäß EN 13979-1 Anhang F die Vergleichsberechnung mit der Gotthard-Südrampe nicht berschritten werden. Anmerkung: Da gemäß europäischer Vorgaben ein Teil der Verantwortung vom IM an die RU übertragen wird, sollte für die in Österreich häufig befahrenen exponierten Gefällestrecken ein einheitliches Regelwerk geltend für alle RU geschaffen werden.</t>
  </si>
  <si>
    <t>AT-1202/8</t>
  </si>
  <si>
    <t>Investigate whether the regulations for running downhill on steep gradients should take account of particular parameters such as: - train lengths and tonnages; - positioning of locomotives with suitable (high-performance) E-brakes at the back of trains (locomotive at both ends of the train) - speeds and braking methods In doing so, the reference values for energy absorption for drag braking in accordance with European standard EN 13979-1 Annex F, taken from the south slope to the Gotthard, may not be exceeded. Remark: since part of the infrastructure managerâ€™s responsibility has been transferred to railway undertakings in accordance with European guidelines, the question arises of whether a standard set of regulations applying to all railway undertakings should be drawn up for the exceptionally steep downhill sections run over frequently in Austria.</t>
  </si>
  <si>
    <t>AT-1202/9</t>
  </si>
  <si>
    <t>Überprüfung, ob diese Sicherheitsempfehlung auch in andern europäischen Ländern mit exponierten Gefällestrecken angewendet werden muss. Anmerkung: Beispielhaft sei hier die â€žKoperbahnâ€œ in Slowenien angeführt.</t>
  </si>
  <si>
    <t>AT-1202/10</t>
  </si>
  <si>
    <t>Investigate whether these safety recommendations should also be applied in other European countries with exceptionally steep sections. Remark: the line to Koper in Slovenia should be quoted as an example here.</t>
  </si>
  <si>
    <t>REC-000025</t>
  </si>
  <si>
    <t>AT-1202/11</t>
  </si>
  <si>
    <t>Title 6</t>
  </si>
  <si>
    <t>Überprüfung, ob die Regelwerke für die Berechnung von Radscheiben an höhere vertikale Lastannahmen angepasst werden müssen. Begründung: Die Regelwerke für die Berechnung von Radscheiben (UIC 510-5 und EN 13979-1) verwenden einen Faktor von 1,25. Für die fahrtechnische Zulassung von Güterwagen (UIC 518 und EN 14363) werden Beschleunigungen in vertikaler Richtung von z Smax lim = 5 m/s² im Wagenkasten zugelassen. Daraus lasst sich in vertikaler Richtung ein Faktor von &gt; 1,5 ableiten.</t>
  </si>
  <si>
    <t>AT-1202/12</t>
  </si>
  <si>
    <t>Investigate if the regulations for appraising wheels with high vertical design loads should be updated. Justification: the regulations for appraising wheels (UIC leaflet 510-5 and European standard EN 13979-1) use a factor of 1.25. An acceleration of the wagon body in the vertical direction of z Smax lim = 5 m/s² is permitted for the approval of wagons from the point of view of their dynamic behaviour (UIC leaflet 518 and European standard EN 14363). From that, a factor exceeding 1.5 in the vertical direction can be derived.</t>
  </si>
  <si>
    <t>REC-000026</t>
  </si>
  <si>
    <t>AT-1202/13</t>
  </si>
  <si>
    <t>Title 7</t>
  </si>
  <si>
    <t>Überprüfung, ob ein Symbol, das die Vergütung des Rades definiert in der EN 13262 aufgenommen werden muss. Begründung: Im nicht mehr veröffentlichtem UIC 812-3 war durch ein Symbol die Art der Vergütung definiert.</t>
  </si>
  <si>
    <t>AT-1202/14</t>
  </si>
  <si>
    <t>Investigate whether a symbol which indicates the tempering of the wheels should be incorporated into EN 13262. Justification: leaflet UIC 812-3 (which is no longer published) required the type of tempering to be defined by means of a symbol.</t>
  </si>
  <si>
    <t>AT-1200/1</t>
  </si>
  <si>
    <t>Sicherstellung, dass die Ergebnisse der wiederkehrenden Prüfungen der Betriebsanlagen (händischen Messung mit Messlehre oder Messung mit elektronischem Handmesswagen) vorgehalten werden. Begründung: Gemäß § 17 Abs 1 sind über diese Prüfungen (händische Messung mit Messlehre oder Messung mit elektronischem Handmesswagen) Aufzeichnungen zu führen.</t>
  </si>
  <si>
    <t>AT-1200/2</t>
  </si>
  <si>
    <t>Ensure that the results of repeated tests of operating installations (manual measuring with a gauge or measuring with an electronic measuring trolley) are retained. Justification: records are to be kept of these measurements (manual measuring with a gauge or measuring with an electronic measuring trolley) in accordance with section 17 paragraph 1 of the Railway Construction and Operation Regulations [EisbBBV].</t>
  </si>
  <si>
    <t>REC-000066</t>
  </si>
  <si>
    <t>AT-1200/3</t>
  </si>
  <si>
    <t>Sicherstellung, dass sonstige Hauptgleise ohne Einschränkung der planmäßigen Geschwindigkeit mittels Messwagen in kürzeren Fristen wiederkehrend überprüft werden müssen. Anmerkung: Gemäß DB IS2-T1 erfolgt die Überprüfung eines sonstigen Hauptgleises mit vmax &lt; 80 km/h, alle 2 Jahre durch eine händische Messung mit Messlehre oder Messung mit elektronischem Handmesswagen.</t>
  </si>
  <si>
    <t>AT-1200/4</t>
  </si>
  <si>
    <t>Ensure that other main lines on which normal speeds are not restricted are repeatedly checked at short intervals using measuring vehicles. Remark: in accordance with DB IS2-T1 the checks on other mainlines with vmax &lt; 80 km/h, must be carried out every two years using manual measurement with a gauge or measuring with an electronic measuring trolley.</t>
  </si>
  <si>
    <t>REC-000067</t>
  </si>
  <si>
    <t>AT-1200/5</t>
  </si>
  <si>
    <t>Sicherstellung, dass im DB IS2-T1, Punkt 3.1.6 die Angaben zur der 5-m- Verwindung von Übergangsbögen für die händische Messung (SES = 3,6 mm/m) den zulässigen Wert gemäß § 6 Abs 5 EisbBBV (= 2,5 mm) nicht überschreitet. Dabei muss das unbelastete Gleis berücksichtigt werden. Begründung: Die gemäß DB IS2-T1, Punkt 3.1.6 genannte SES überschreitet den zulässigen Wert gemäß § 6 Abs 5 EisbBBV um 44 %.</t>
  </si>
  <si>
    <t>AT-1200/6</t>
  </si>
  <si>
    <t>Ensure that the data for the 5 metre twist for transition curves given in DB IS2-T1, point 3.1.6 for manual measurement does not exceed the permitted value in accordance with section 6 paragraph 5 of the Railway Construction and Operation Regulations [EisbBBV] (= 2.5 mm) (immediate action limit = 3.6 mm/m). In doing so the unloaded track must be considered. Justification: the immediate action limit identified in DB IS2-T1, point 3.1.6 exceeds the permitted value according to section 6 paragraph 5 of the Railway Construction and Operation Regulations [EisbBBV] by 44%.</t>
  </si>
  <si>
    <t>REC-000068</t>
  </si>
  <si>
    <t>AT-1200/7</t>
  </si>
  <si>
    <t>Sicherstellung, dass durch einen kontinuierlichen Verbesserungsprozess unter Beteiligung interner und externer Experten der DB IS2-T1 an die geltenden TSI, EN und sonstigen Regelwerke angepasst wird.</t>
  </si>
  <si>
    <t>AT-1200/8</t>
  </si>
  <si>
    <t>Ensure that DB IS2-T1 is updated by means of a continuous improvement process involving internal and external experts to meet current technical specifications for interoperability, European EN standards and other regulations.</t>
  </si>
  <si>
    <t>AT-1199/1</t>
  </si>
  <si>
    <t>Behandlung von Gleislagefehler</t>
  </si>
  <si>
    <t>Sicherstellung, dass die Bestimmungen der Dienstvorschrift B12 â€žBehandlung von Schienenfehlernâ€œ auch auf die Behandlung von Gleisfehlern angewendet werden müssen.</t>
  </si>
  <si>
    <t>AT-1199/2</t>
  </si>
  <si>
    <t>Ensure that the provisions of Service Regulation B12 on the treatment of rail defects are also applied to the treatment of track defects.</t>
  </si>
  <si>
    <t>AT-1199/3</t>
  </si>
  <si>
    <t>Unterweisung der Mitarbeiter</t>
  </si>
  <si>
    <t>Sicherstellung, dass der Vorfall den Mitarbeitern des Bau- und Instandhaltungsdienstes im Zuge des Dienstunterrichtes zur Kenntnis gebracht wird. Begründung: Gemäß des vorliegenden Protokolls der Krisenbesprechung wurden keine Maßnahmen bezüglich Schulung des Personals gesetzt. Diese Maßnahmen müssen österreichweit getroffen werden.</t>
  </si>
  <si>
    <t>AT-1199/4</t>
  </si>
  <si>
    <t>Ensure that the incident is brought to the attention of the staff of the tracklaying and maintenance staff as part of their regular in-service training. Reason: According to the minutes of the accident investigation discussions, no measures had been taken to train staff. Such measures must be taken throughout Austria.</t>
  </si>
  <si>
    <t>AT-1199/5</t>
  </si>
  <si>
    <t>Kontrolltätigkeiten bei Gleisbauarbeiten</t>
  </si>
  <si>
    <t>Sicherstellungen, dass bei Bauarbeiten, die die Gleislagen beeinflussen können bzw. bei Arbeitsunterbrechung (z.B. Schichtende, Wochenende) eine regelmäßige Kontrolle der Gleislage erfolgt.</t>
  </si>
  <si>
    <t>AT-1199/6</t>
  </si>
  <si>
    <t>Ensure, when there is construction work that could influence the track geometry, that track geometry is checked on a regular basis as well as whenever work is stopped, for example at the end of a shift or at the end of a working week.</t>
  </si>
  <si>
    <t>REC-000069</t>
  </si>
  <si>
    <t>AT-1199/7</t>
  </si>
  <si>
    <t>Bauarbeiten unter fachlicher Aufsicht</t>
  </si>
  <si>
    <t>Sicherstellung, dass Bauarbeiten gemäß den in Österreich gültigen Dienstvorschriften für die Durchführung unter entsprechender fachlicher Aufsicht durchgeführt werden.</t>
  </si>
  <si>
    <t>AT-1199/8</t>
  </si>
  <si>
    <t>Ensure that tracklaying and maintenance work is performed in accordance with service instruction DB 601.02 and with a notice of work in progress [Betriebs- und Bauanweisung (Betra)] under appropriate specialised supervision.</t>
  </si>
  <si>
    <t>AT-1199/9</t>
  </si>
  <si>
    <t>Zusatzpersonal</t>
  </si>
  <si>
    <t>Überprüfung, ob bei derartigen Baustellen die Besetzung des betroffenen Bahnhofes mit einem betriebslenkenden Mitarbeiter (z.B. Fahrdienstleiter) ausreichend ist.</t>
  </si>
  <si>
    <t>AT-1199/10</t>
  </si>
  <si>
    <t>Examine whether, in the case of such tracklaying or maintenance sites, it is sufficient for the relevant station to be manned by a movements inspector.</t>
  </si>
  <si>
    <t>AT-1199/11</t>
  </si>
  <si>
    <t>Meldung durch Triebfahrzeugführer</t>
  </si>
  <si>
    <t>Überprüfung, ob bei Abgabe einer Meldung durch einen Triebfahrzeugführer am Beginn der Meldung ein definierter Wortlauf zu verwenden wäre (z.B. â€žENTGLEISUNGSGEFAHR DURCH UNRUHIGE GLEISLAGE!â€œ) Begründung: Auf Grund der Vielzahl von Meldungen und Informationen an den betriebslenkenden Mitarbeiter (z.B. Fahrdienstleiter) sollte die Bedeutung einer solchen Meldung hervorgehoben werden.</t>
  </si>
  <si>
    <t>AT-1199/12</t>
  </si>
  <si>
    <t>Examine whether a specific wording should be used by the driver at the start of an irregularity report, such as â€˜DERAILMENT RISK FROM UNSTABLE TRACK GEOMETRYâ€™. Reason: In view of the volume of reports and information received by the movements inspector, the importance of this report should be highlighted.</t>
  </si>
  <si>
    <t>AT-1106/1</t>
  </si>
  <si>
    <t>Sicherstellung, dass die Verschlusskappen der Fäkalientanks nach dem Absaugen von den Mitarbeitern d</t>
  </si>
  <si>
    <t>Sicherstellung, dass die Verschlusskappen der Fäkalientanks nach dem Absaugen von den Mitarbeitern der durchführenden Unternehmen wieder ordnungsgemäß befestigt werden.</t>
  </si>
  <si>
    <t>AT-1106/2</t>
  </si>
  <si>
    <t>Sicherstellung, dass fehlende oder beschädigte Sicherungsketten oder Sicherungsseile vor der Einreih</t>
  </si>
  <si>
    <t>Sicherstellung, dass fehlende oder beschädigte Sicherungsketten oder Sicherungsseile vor der Einreihung der Wagen in Züge angebracht wurden.</t>
  </si>
  <si>
    <t>REC-000104</t>
  </si>
  <si>
    <t>AT-1104/1</t>
  </si>
  <si>
    <t>Pufferschmierung</t>
  </si>
  <si>
    <t>Sicherstellung, dass bei der Zugbildung die Pufferteller ausreichend geschmiert sind (AVV, Anlage 9, Anhang 1,Punkt 5.2.3.1 und Punkt 5.2.3.2). Begründung: Laut aufliegenden ERRI-Berichten erhöhen sich bei mangelhaft bzw. ungeschmierten Puffern im Zugverband diePufferquerkräfte auf bis zu 100% im Vergleich zu ordnungsgemäß geschmierten Puffern.</t>
  </si>
  <si>
    <t>AT-1104/2</t>
  </si>
  <si>
    <t>Ensure that when trains are made up the buffer heads are sufficiently lubricated (GCU, Annex 9, Attachment 1, Point 5.2.3.1 and Point 5.2.3.2). Reason: According to published ERRI reports, if there are any poorly lubricated or un-lubricated buffers in the train the buffer side forces can be increased by up to 100% compared with correctly lubricated buffers.</t>
  </si>
  <si>
    <t>REC-000105</t>
  </si>
  <si>
    <t>AT-1104/3</t>
  </si>
  <si>
    <t>Gleislage</t>
  </si>
  <si>
    <t>Sicherstellung, dass bei Überschreitungen von Gleislageparametern diese auch messtechnisch dargestellt werden. Begründung: Das Erreichen der SES der maximalen Spurweite und das Überschreiten der ES der Längshöhe wurden im Einzelfehlerbericht nicht ausgewiesen.</t>
  </si>
  <si>
    <t>AT-1104/4</t>
  </si>
  <si>
    <t>Ensure that if the track position parameters are exceeded these are also shown in the form of measurements. Reason: It was not shown in the individual fault report that the maximum gauge immediate action limit (IAL) had been reached and the intervention limit (IL) of the longitudinal profile exceeded.</t>
  </si>
  <si>
    <t>REC-000106</t>
  </si>
  <si>
    <t>AT-1104/5</t>
  </si>
  <si>
    <t>Für enge Bögen unter 250 m Radius und mit Überhöhungen im Bereich 3 entsprechend ORE B55/RP8 wird empfohlendie Werte der Geschwindigkeitsstufe 80 &lt; v = 120 für die AS, ES, SES insbesondere der Längshöhe anzuwenden.Insbesondere dem Bogenende beim Übergang auf den Übergangsbogen ist bei engen Bögen ein besonderes Augenmerk zu schenken.</t>
  </si>
  <si>
    <t>AT-1104/6</t>
  </si>
  <si>
    <t>For tight curves under 250 m radius and with superelevations in area 3 corresponding to ORE B55/RP8 it is recommended that the values of the speed range 80 &lt; v â‰¤ 120 are used for the alert limit (AL), intervention limit and immediate intervention limit, in particular of the longitudinal profile. When going onto the transition curve, special attention should be given to the end of the curve, especially with tight curves.</t>
  </si>
  <si>
    <t>REC-000107</t>
  </si>
  <si>
    <t>AT-1104/7</t>
  </si>
  <si>
    <t>Es wird empfohlen, wenn gleichzeitig mehrere Gleislagefehler, die in ihrer Kombination zu einer wesentlichen Radentlastungund einem gleichzeitigem Anstieg der Radquerkraft führen, bereits einer Überschreitung der ES Sofortmaßnahmen zur Beseitigung des Gleislagefehler einzuleiten, um zu vermeiden, dass Grenzen der Fahrsicherheit wesentlich überschritten werden.</t>
  </si>
  <si>
    <t>AT-1104/8</t>
  </si>
  <si>
    <t>It is recommended that if there are several track faults at the same time, which combine to give a significant wheel unloading and a simultaneous increase of the wheel side force resulting in the intervention limit being exceeded, there should be immediate measures taken to resolve the track position error to avoid the safe limits of running being significantly exceeded.</t>
  </si>
  <si>
    <t>REC-000108</t>
  </si>
  <si>
    <t>AT-1104/9</t>
  </si>
  <si>
    <t>Es wird empfohlen, den Absolutbetrag der Längshöhe mit der AS, ES, SES zu vergleichen und in den Einzelfehlerbericht gemäß DB IS2-T1 aufzunehmen.</t>
  </si>
  <si>
    <t>AT-1104/10</t>
  </si>
  <si>
    <t>It is recommended that the absolute value of the longitudinal profile be compared with the alert limit, intervention limit and immediate action limit and put into the individual error report as specified in DB IS2 T1.</t>
  </si>
  <si>
    <t>AT-1104/11</t>
  </si>
  <si>
    <t>Es wird empfohlen, in einer unangekündigten jährlichen Schwerpunktaktion stichprobenartig bei Zügen die auf Steilstrecken verkehren, nachweislich zu überprüfen welche RU die Pufferschmierung ordnungsgemäß gemäß AVV durchführen. Die Prozesse der Überwachung und Sicherstellung eines ordnungsgemäßen Pufferzustandes sind von den RU zu optimieren.</t>
  </si>
  <si>
    <t>AT-1104/12</t>
  </si>
  <si>
    <t>It is recommended that on a random basis as an unannounced key annual campaign a check be carried out on trains which run on steep sections of the line to prove which RUs correctly carry out the buffer lubrication specified by the GCU. The processes for monitoring and guaranteeing the correct buffer condition shall be optimised by the RUs.</t>
  </si>
  <si>
    <t>AT-1104/13</t>
  </si>
  <si>
    <t>Es wird empfohlen, im DB IS2-T1 die bisherige Höhe der ES der gegenseitigen Höhenlage neu zu überdenken und die bisherigen ES als SES zu definieren.</t>
  </si>
  <si>
    <t>AT-1104/14</t>
  </si>
  <si>
    <t>It is recommended that in DB IS2-T1 the previous intervention limit height of both rails be reconsidered and the previous intervention limit be defined as an immediate action limit.</t>
  </si>
  <si>
    <t>REC-000112</t>
  </si>
  <si>
    <t>AT-1104/15</t>
  </si>
  <si>
    <t>Sicherstellung, dass im DB IS2-T1, Punkt 4.1, letzter Absatz den Bestimmungen der EN 13848-1 angepasst wird.</t>
  </si>
  <si>
    <t>AT-1104/16</t>
  </si>
  <si>
    <t>Ensure that the last paragraph of Point 4.1 of DB IS2-T1 is brought into line with the requirements of EN 13848-1.</t>
  </si>
  <si>
    <t>REC-000113</t>
  </si>
  <si>
    <t>AT-1104/17</t>
  </si>
  <si>
    <t>Gleislagefehler</t>
  </si>
  <si>
    <t>Sicherstellung, dass durch einem kontinuierlichen Verbesserungsprozesses unter Beteiligung interner und externer Experten der DB IS2-T1 an die geltenden TSI, EN und sonstigen Regelwerke aktualisiert wird. Weiteres sollte die Auswirkung von kombiniert auftretenden Gleislagefehler berücksichtigt werden.</t>
  </si>
  <si>
    <t>AT-1104/18</t>
  </si>
  <si>
    <t>Ensure that by a process of continuous improvement with the participation of internal and external experts DB IS2-T1 is revised to bring it into line with the current TSIs, ENs and other regulations. In addition, the effect of several track faults occurring together should be considered.</t>
  </si>
  <si>
    <t>REC-000114</t>
  </si>
  <si>
    <t>AT-1104/19</t>
  </si>
  <si>
    <t>Entgleisungsdedektoren</t>
  </si>
  <si>
    <t>Überprüfung, ob die Verwendung ortsfester Entgleisungsdetektoren vor Zwangspunkten mit Risikopotential wie Bahnhöfe, Brücken, Gleisabschnitte mit fester Fahrbahn, Tunnel u.s.w. erforderlich sind. Begründung: Bei Verwendung eines ortsfesten Entgleisungsdetektors vor dem Viadukt â€žKalte Rinne" hätte ermöglicht Z 47022 spätestens vor dem Ausfahrsignal des Bf Breitenstein anzuhalten.</t>
  </si>
  <si>
    <t>AT-1104/20</t>
  </si>
  <si>
    <t>Consider whether the use of fixed derailment detectors is necessary ahead of critical points with risk potential such as stations, bridges, track sections with slab track, tunnels, etc. Reason: Had a fixed derailment detector been fitted before the viaduct 'Kalte Rinne', train Z 47022 might have been able to stop at the latest before the departure signal of Breitenstein station.</t>
  </si>
  <si>
    <t>REC-000118</t>
  </si>
  <si>
    <t>AT-1104/21</t>
  </si>
  <si>
    <t>Es wird empfohlen, die technischen Voraussetzungen zu schaffen, um für die Ermittlung der gegenseitigen Höhenlage die Soll-Überhöhung mit der gemessenen Überhöhung vergleichen zu können.</t>
  </si>
  <si>
    <t>AT-1104/22</t>
  </si>
  <si>
    <t>It is recommended that the technical conditions be created so that for determining the height of each rail, the target superelevation can be compared with the measured superelevation.</t>
  </si>
  <si>
    <t>REC-000119</t>
  </si>
  <si>
    <t>AT-1104/23</t>
  </si>
  <si>
    <t>Änderung der Eingriffschwellen (ES)</t>
  </si>
  <si>
    <t>Es wird empfohlen, für die gegenseitige Höhenlage im DB IS2-T1 die bisherige Höhe der ES neu zu überdenken und die bisherigen ES als SES zu definieren.</t>
  </si>
  <si>
    <t>AT-1104/24</t>
  </si>
  <si>
    <t>It is recommended that, for the height of both rails in DB IS2 T1, the previous intervention limit height be reconsidered and the previous intervention limit be defined as an immediate action limit.</t>
  </si>
  <si>
    <t>REC-000142</t>
  </si>
  <si>
    <t>AT-1104/25</t>
  </si>
  <si>
    <t>Überprüfung, ob im Zuge des Qualitätsmanagementsystems im DB IS2-T1 ein Änderungsverzeichnis zur Dokumentenlenkung erforderlich ist.</t>
  </si>
  <si>
    <t>AT-1104/26</t>
  </si>
  <si>
    <t>Consider whether, as part of the quality management system, a list of amendments is necessary in DB IS2 T1 for document control purposes.</t>
  </si>
  <si>
    <t>REC-000143</t>
  </si>
  <si>
    <t>AT-1104/27</t>
  </si>
  <si>
    <t>Gleislagenormen / Gesetztesänderung</t>
  </si>
  <si>
    <t>Überprüfung, ob Teile des derart aktualisierten DB IS2-T1 durch Übernahme in die EisbBBV auf allen normalspurigen Eisenbahnen in Österreich angewendet werden muss. Begründung: Einheitliches Regelwerk für das Verhalten von Personal auf allen normalspurigen Eisenbahnen.</t>
  </si>
  <si>
    <t>AT-1104/28</t>
  </si>
  <si>
    <t>Consider whether the parts of DB IS2-T1 updated in this way must be used on all standard gauge railways in Austria by putting them in the Regulation on Railway Construction and Operation [Eisenbahnbau- und â€“betriebsverordnung â€“ EisbBBV]. Reason: Standard documentation for the behaviour of staff on all standard gauge railways.</t>
  </si>
  <si>
    <t>AT-1102/1</t>
  </si>
  <si>
    <t>Es wird empfohlen, die Grenzwerte der Soforteingriffsschwellen für Gleisverwindung im Instandhaltung</t>
  </si>
  <si>
    <t>Es wird empfohlen, die Grenzwerte der Soforteingriffsschwellen für Gleisverwindung im Instandhaltungsplan DB IS 2 des Infrastrukturbetreibers zu überprüfen, bzw. notwendigen Falls anzupassen um einen größeren Sicherheitsspielraum hinsichtlich der Entgleisungssicherheit von Fahrzeugen zu gewährleisten. Dies sollte speziell im Hinblick auf Gleisverwindungen bei gleichbleibenden Verwindungsgrenzen für europäische Fahrzeuge gemäß ERRI( ORE) B55 RP8 erfolgen (Grenzwert 3,7 mm/m).</t>
  </si>
  <si>
    <t>AT-1102/2</t>
  </si>
  <si>
    <t>Es wird empfohlen, einen Maßnahmenkatalog zu erstellen der für Langsamfahrstellen im Bogen und Überg</t>
  </si>
  <si>
    <t>Es wird empfohlen, einen Maßnahmenkatalog zu erstellen der für Langsamfahrstellen im Bogen und Übergangsbogen die maximal zulässige Geschwindigkeitsreduktion festlegt, die in einem Bogen bzw. Übergangsbogen aufgrund der tatsachlichen vorhandenen Überhöhung vorgeschrieben werden darf. Dies soll verhindern, dass bei Langsamfahrstellen, Geschwindigkeitsreduktionen in der Überhöhung erfolgen. Geschwindigkeitsreduktionen in Überhöhungen bewirken einen Mangel an freier Seitenbeschleunigung, welcher sich ungünstig auf die Radaufstandskraft, bzw. negativ auf den Entgleisungskoeffizient Y/Q auswirkt und somit die Entgleisungstendenz ungünstig beeinflusst.</t>
  </si>
  <si>
    <t>AT-1102/3</t>
  </si>
  <si>
    <t>Bei der derzeit laufenden Ausarbeitung von europaweit geltenden Instandhaltungsvorschriften sollte a</t>
  </si>
  <si>
    <t>Bei der derzeit laufenden Ausarbeitung von europaweit geltenden Instandhaltungsvorschriften sollte auch die Fahrzeugverwindung als notwendiger Parameter in Betracht gezogen werden. Es sollte begutachtet und implementiert werden, ab welchem Fahrzeugalter, in welchen Abständen und in welchem Umfang in den Instandhaltungswerkstätten die tatsächliche Fahrzeugverwindung überprüft werden muss. Dies soll sicherstellen, dass die zulässige Fahrzeugverwindung gemäß den Zulassungskriterien eines Eisenbahnfahrzeuges auch tatsächlich eingehalten wird.</t>
  </si>
  <si>
    <t>AT-1101/1</t>
  </si>
  <si>
    <t>Sicherstellung eines ausreichenden Schmierzustandes der Fahrkante (siehe Seite 20 ff).</t>
  </si>
  <si>
    <t>AT-1101/2</t>
  </si>
  <si>
    <t>Überprüfung der Grenzwerte für die zulässige Rampenneigung oder Verwindung bei Rampen in W gegenüber</t>
  </si>
  <si>
    <t>Überprüfung der Grenzwerte für die zulässige Rampenneigung oder Verwindung bei Rampen in W gegenüber Rampen in Übergangsbögen (siehe Seite 26 ff).</t>
  </si>
  <si>
    <t>AT-1101/3</t>
  </si>
  <si>
    <t>Definition in den Verfahrensanweisungen für die Freigabe eines Gl welche Normen und Richtlinien eing</t>
  </si>
  <si>
    <t>Definition in den Verfahrensanweisungen für die Freigabe eines Gl welche Normen und Richtlinien eingehalten werden müssen (siehe Seite 26 ff).</t>
  </si>
  <si>
    <t>AT-1101/4</t>
  </si>
  <si>
    <t>Definition der Maßnahmen die bei Nichteinhaltung der Grenzwerte gemäß ZOV 54 gesetzt werden müssen,</t>
  </si>
  <si>
    <t>Definition der Maßnahmen die bei Nichteinhaltung der Grenzwerte gemäß ZOV 54 gesetzt werden müssen, bevor ein Gl freigegeben wird. Aufnahme der im Rahmenvertrag gegebenen Formulierung: â€žBeseitigung aller Mängel vor Freigabe des Glâ€œ (siehe Seite 26 ff).</t>
  </si>
  <si>
    <t>AT-1101/5</t>
  </si>
  <si>
    <t>Die Grenzverwindungen in der Gleislage sind auch für â€žlangeâ€œ Wg anzupassen (siehe Seite 26 ff).</t>
  </si>
  <si>
    <t>AT-1101/6</t>
  </si>
  <si>
    <t>Bei der Angabe der Grenzwerte der Verwindung der Gleislage ist eine zusätzliche Einsenkung unter Las</t>
  </si>
  <si>
    <t>Bei der Angabe der Grenzwerte der Verwindung der Gleislage ist eine zusätzliche Einsenkung unter Last bzw. die damit gegebene Messunsicherheit des Messverfahrens zu berücksichtigen, wenn das Messverfahren für die Verwindung unter geringer Last (&lt; 10t) durchgeführt wird (siehe Seite 26 ff).</t>
  </si>
  <si>
    <t>AT-1101/7</t>
  </si>
  <si>
    <t>Untersuchung des lauftechnischen Verhaltens von â€žlangenâ€œ Containertragwagen in den bei den ÖBB zugel</t>
  </si>
  <si>
    <t>Untersuchung des lauftechnischen Verhaltens von â€žlangenâ€œ Containertragwagen in den bei den ÖBB zugelassenen Gleisgrenzverwindungen mit einer Risikoabschätzung nach EN 50126 und Beschäftigung mit dieser Materie im Rahmen des â€žCEN/TC256â€œ bzw. im Rahmen der aktuell anstehenden Revision der â€žTSI Wagonâ€œ (siehe Seite 26 ff).</t>
  </si>
  <si>
    <t>AT-1101/8</t>
  </si>
  <si>
    <t>Überprüfung ob durch eine Neusituierung der EK km 38,173 eine Verbesserung der Linienführung zu erre</t>
  </si>
  <si>
    <t>Überprüfung ob durch eine Neusituierung der EK km 38,173 eine Verbesserung der Linienführung zu erreichen wäre.</t>
  </si>
  <si>
    <t>AT-1100/1</t>
  </si>
  <si>
    <t>Bei Radsatzlager mit stahlvernieteten Messingkäfigen sind diese im Zuge einer Lageraufarbeitung gege</t>
  </si>
  <si>
    <t>Bei Radsatzlager mit stahlvernieteten Messingkäfigen sind diese im Zuge einer Lageraufarbeitung gegen solche aus Kunststoff tauschen. Begründung: Beim Befahren von Strecken mit hoher Bettungssteifigkeit des Oberbaues (z. B. â€žFeste Fahrbahnâ€œ auf Tunnelstrecken) kommt es vermehrt zu Brüchen der Stahlnieten der vernieteten Messingkäfige.</t>
  </si>
  <si>
    <t>AT-1100/2</t>
  </si>
  <si>
    <t>Prüfung, ob eine normative Grundlage zur Berücksichtigung des Korrekturkoeffizient Îº (Faktor kappa g</t>
  </si>
  <si>
    <t>Prüfung, ob eine normative Grundlage zur Berücksichtigung des Korrekturkoeffizient Îº (Faktor kappa gemäß Merkblatt UIC 544-1, Anlage K2), bei der Ermittlung der Bremshundertstel für Güterzüge mit Längen &gt; 500 m (Stand der Technik, jedoch nicht unfallkausal) erforderlich ist (siehe auch Untersuchungsbericht GZ BMVIT-795.075- II/BAV/UUB/SCH/2007). Begründung: Gemäß Notifizierung TSI 2004 (Homepage BMVIT http://www.bmvit.gv.at/verkehr/eisenbahn/recht/downloads/notifizi erung_tsi2004.pdf, Seite 11) ist das Merkblatt UIC 544-1 anzuwenden.</t>
  </si>
  <si>
    <t>AT-1100/3</t>
  </si>
  <si>
    <t>Überprüfung, ob die normative Grundlage zur Bewertung der Wagen in Bremsart â€žGâ€œ im Zugverband mit de</t>
  </si>
  <si>
    <t>Überprüfung, ob die normative Grundlage zur Bewertung der Wagen in Bremsart â€žGâ€œ im Zugverband mit dem gemäß Merkblatt UIC 544-1, Punkt 9.2.5 genannten Faktor 0,75 erfolgen muss (Stand der Technik, jedoch nicht unfallkausal). Derzeit wird gemäß ÖBB DB 610, Anlage 3 ein Faktor 0,8 angewendet. Begründung: Gemäß Notifizierung TSI 2004 (Homepage BMVIT http://www.bmvit.gv.at/verkehr/eisenbahn/recht/downloads/notifizi erung_tsi2004.pdf, Seite 11) ist das Merkblatt UIC 544-1 anzuwenden.</t>
  </si>
  <si>
    <t>AT-1100/4</t>
  </si>
  <si>
    <t>Überprüfung, ob die Prozessanweisung HOA/FOA/SOA einer behördliche Genehmigung zu unterziehen ist. B</t>
  </si>
  <si>
    <t>Überprüfung, ob die Prozessanweisung HOA/FOA/SOA einer behördliche Genehmigung zu unterziehen ist. Begründung: Diese Prozessanweisung regelt zum Teil das Verhalten von Mitarbeitern (Fdl und Tfzf).</t>
  </si>
  <si>
    <t>AT-1100/5</t>
  </si>
  <si>
    <t>Überprüfung, bis wann mittels einer elektronische Meldung an den Z (z. B. GMS-R), die Verständigung</t>
  </si>
  <si>
    <t>Überprüfung, bis wann mittels einer elektronische Meldung an den Z (z. B. GMS-R), die Verständigung des Tfzf über Heißläufer erfolgen kann. Begründung: Beim Anhalten von Z 45902 an einer zuvor gelegenen (noch zu definierenden) Stelle hätten die Folgen des Unfalles mit an Sicherheit grenzender Wahrscheinlichkeit geringer gehalten werden können.</t>
  </si>
  <si>
    <t>AT-0038/1</t>
  </si>
  <si>
    <t>A-2012/54</t>
  </si>
  <si>
    <t>Überprüfung ob eine Evaluierung der Eisenbahnkreuzung erforderlich ist (Begründung: Die Betriebsbewilligung erfolgte mit Bescheid vom 5. November 1993 (Zl. 227.152/6-II/21/93 vom Bundesministerium für öffentliche Wirtschaft und Verkehr).</t>
  </si>
  <si>
    <t>AT-0038/2</t>
  </si>
  <si>
    <t>Checking whether an evaluation of the level crossing is required (reason: the operation was carried out with a decision of 5 November 1993 (Zl 227.152/6-II/21/93 by the Federal Ministry for Public Economy and Transport).</t>
  </si>
  <si>
    <t>AT-0039/1</t>
  </si>
  <si>
    <t>A-2012/052</t>
  </si>
  <si>
    <t>Überprüfung, ob eine Evaluierung der EK erfolgen muss. Insbesondere ist die mittels Bescheid genehmigte Verkürzungder erforderlichen Einschaltstrecke um 10 m zu überprüfen. (Begründung: Die Betriebsbewilligung erfolgte mit Bescheid zur Inbetriebnahme vom 23. und 24. November 1998 erstellt vom Bundesministerium für Wissenschaft und Verkehr GZ: 227.120/14-II/C/15/98).</t>
  </si>
  <si>
    <t>AT-0039/2</t>
  </si>
  <si>
    <t>Verifying whether an evaluation must be made by the EC. In particular, to check the decision approving the shortening of the required switching track to 10 m. (Explanation: The operating license followed by a decision of starting operation on 23 and 24 November 1998 prepared by the Federal Ministry of Science and Transport GZ: 227.120/14-II/C/15/98).</t>
  </si>
  <si>
    <t>AT-0043/1</t>
  </si>
  <si>
    <t>Evaluierung der EK</t>
  </si>
  <si>
    <t>Überprüfung, ob eine Evaluierung der EK erfolgen muss. Begründung: Die Betriebsbewilligung erfolgt emit Bescheid vom 9. Jänner 1986.</t>
  </si>
  <si>
    <t>AT-0043/2</t>
  </si>
  <si>
    <t>Review whether the evaluation of the level crossing needs to be carried out. Explanation: The operating license was emitted with decision of 9 January 1986.</t>
  </si>
  <si>
    <t>AT-0064/1</t>
  </si>
  <si>
    <t>Gefahren durch Naturereignisse</t>
  </si>
  <si>
    <t>Sicherstellung, dass derart gefährdete Gleisabschnitte (Rote Zone) österreichweit durch die IM in einen Kataster "Gefahren durch Naturereignisse" aufgenommen werden müssen. Des Weiteren ist sicherzustellen, dass Gleisabschnitte in solchen Roten Zonen während und nach extremen Wettersituationen (Wasserportal der hydrographischen Dienste) nur auf Sicht befahren werden dürfen (V-Befehl).</t>
  </si>
  <si>
    <t>AT-0064/2</t>
  </si>
  <si>
    <t>Prescribe that all such endangered track sections (red zones) throughout Austria must be entered in a register of â€˜places at risk from natural phenomenaâ€™. Care must also be taken to ensure that during and after extremely inclement weather (see the water portal of the hydrographic offices), all drivers on sections of track in such red zones must run on sight and be provided with precautionary instructions.</t>
  </si>
  <si>
    <t>AT-0064/3</t>
  </si>
  <si>
    <t>Zugdaten</t>
  </si>
  <si>
    <t>Sicherstellung, dass die Angaben der Zugdaten der tatsächlichen Zugreihung entspricht.</t>
  </si>
  <si>
    <t>AT-0064/4</t>
  </si>
  <si>
    <t>Ensure that the train data indicated correspond to the actual composition of the train.</t>
  </si>
  <si>
    <t>AT-0064/5</t>
  </si>
  <si>
    <t>Berichtigung von Gewässerkarten</t>
  </si>
  <si>
    <t>Überprüfung, ob in den Gewässerkarten die richtige Bezeichnung "Kathalbach" lauten muss.</t>
  </si>
  <si>
    <t>AT-0064/6</t>
  </si>
  <si>
    <t>Check whether the stream ought to be named â€˜Kathalbachâ€™ on hydrographic maps.</t>
  </si>
  <si>
    <t>AT-0077/1</t>
  </si>
  <si>
    <t>Überprüfung mit mechanisierter Messeinrichtung</t>
  </si>
  <si>
    <t>Sicherstellung, dass nach Instandhaltungsarbeiten mittels mechanisierter Messeinrichtung (z. B. Messwagen) die Gleislage überprüft und danach freigegeben wird. Begründung: Die Freigabe erfolgte nach händischer Messung von vmax = 30 km/h auf vmax = 100 km/h.</t>
  </si>
  <si>
    <t>AT-0077/2</t>
  </si>
  <si>
    <t>Ensure that, after repair work, the track geometry is checked by a mechanised measuring device such as a test coach and is then reopened to traffic. Reason: The section was reopened after manual measurement from vmax = 30 km/h to vmax = 100 km/h.</t>
  </si>
  <si>
    <t>AT-0077/3</t>
  </si>
  <si>
    <t>Geschwindigkeitseinschränkung bei fehlender mechanisierter Messung</t>
  </si>
  <si>
    <t>Überprüfung, wenn eine Messung mittels mechanisierter Messeinrichtung (Messwagen oder Messdraisine) nicht durchgeführt werden kann, dass die Freigabe nur mit einer eingeschränkten Geschwindigkeit erfolgen darf. Begründung: Durch die Freigabe im gegenständlichen Fall erfolgte eine Steigerung der vorübergehend eingeschränkten Geschwindigkeit von 30 % auf Fahrplangeschwindigkeit.</t>
  </si>
  <si>
    <t>AT-0077/4</t>
  </si>
  <si>
    <t>Verify that where measurement cannot be carried out by means of a mechanised measuring device such as a test coach or measurement draisine, sections may only be reopened with speed restrictions. Reason: In the case in question, the reopening was accompanied by the lifting of the temporary restriction to 30% of the normal speed limit and the resumption of operation at timetabled speeds.</t>
  </si>
  <si>
    <t>AT-0077/5</t>
  </si>
  <si>
    <t>Abweichung vom Nominalwert der Radaufstandskräfte bei leeren Güterwagen</t>
  </si>
  <si>
    <t>Sicherstellung, dass die Abweichung vom Nominalwert der Radaufstandskräfte auch von leeren Güterwagen in einem Regelwerk festgelegt werden. Begründung: Für Güterwagen gibt es derzeit kein entsprechendes Regelwerk für die Aufstandskräfte im geraden und ebenen Gleis (für Tfz und Reisezugwagen ist dies in der TSI â€žLOK+PWâ€œ geregelt).</t>
  </si>
  <si>
    <t>AT-0077/6</t>
  </si>
  <si>
    <t>Ensure that permissible deviations from the nominal value for vertical wheel force are also laid down for empty freight wagons in a set of rules. Reason: There is currently no set of rules governing the vertical wheel force of freight wagons on straight and even track (for power units and passenger coaches, vertical wheel force is regulated by the technical specifications for interoperability (TSIs) for locomotives and passenger rolling stock).</t>
  </si>
  <si>
    <t>AT-0077/7</t>
  </si>
  <si>
    <t>Änderung der EN 13775-4</t>
  </si>
  <si>
    <t>Sicherstellung, dass die EN 13775-4 berichtigt wird. Begründung: Bei Einhaltung der Bestimmungen gemäß Messvorgang 27 der EN 13775-4 können die Federteller aufsitzen und Reibungsdämpfer (Bauart Lenoir) wird wirkungslos.</t>
  </si>
  <si>
    <t>AT-0077/8</t>
  </si>
  <si>
    <t>Ensure that standard EN 13775-4 is amended. Reason: If the specifications of measurement process 27 of standard EN 13775-4 are applied, the spring caps may sit too high and render the Lenoir friction plate ineffectual.</t>
  </si>
  <si>
    <t>AT-0078/1</t>
  </si>
  <si>
    <t>Evaluierung der Eisenbahnkreuzung</t>
  </si>
  <si>
    <t>Überprüfung, ob eine Evaluierung der Eisenbahnkreuzung erfolgen muss. Begründung: Die eisenbahnrechtliche Bewilligung ewrfolgte mit Bescheid vom Amt der Niederösterreichischen Landesregierung RU6-E-2586/001-2005 vom 26. August 2005.</t>
  </si>
  <si>
    <t>AT-0078/2</t>
  </si>
  <si>
    <t>Check whether an assessment of the level crossing is needed. Reason: Legal authorisation of the crossing was granted by statutory notice No RU6-E-2586/001-2005 from the State Government of Lower Austria, dated 26 August 2005.</t>
  </si>
  <si>
    <t>AT-0078/3</t>
  </si>
  <si>
    <t>Erneuerung der Bodenmarkierung</t>
  </si>
  <si>
    <t>Sicherstellung, dass die erforderlichen Bodenmarkierungen erneuert werden.</t>
  </si>
  <si>
    <t>AT-0078/4</t>
  </si>
  <si>
    <t>Ensure that the necessary road markings are renewed.</t>
  </si>
  <si>
    <t>REC-000047</t>
  </si>
  <si>
    <t>AT-0078/5</t>
  </si>
  <si>
    <t>Anpassung des österreichischen Schienenfahrzeug-Einstellungsregisters</t>
  </si>
  <si>
    <t>Sicherstellung, dass alle in Zügen eingereihten Fahrzeuge eine gültige Eintragung im Österreichischen Schienenfahrzeug-Einstellungsregister aufweisen.</t>
  </si>
  <si>
    <t>AT-0078/6</t>
  </si>
  <si>
    <t>Ensure that all rolling stock made up into trains have a valid registration in the Austrian Rail Vehicle Register.</t>
  </si>
  <si>
    <t>REC-000058</t>
  </si>
  <si>
    <t>AT-0081/1</t>
  </si>
  <si>
    <t>Überprüfung der Eisenbahnkreuzung</t>
  </si>
  <si>
    <t>Es wird eine Überprüfung der Eisenbahnkreuzung in Zusammenarbeit mit dem Eisenbahninfrastrukturunternehmen und dem Träger der Straßenbaulast vorgeschlagen. Es muss sichergestellt werden, dass alle bescheidmäßig vorgeschriebenen Straßenverkehrszeichen und Bodenmarkierungen angebracht sind.</t>
  </si>
  <si>
    <t>AT-0081/2</t>
  </si>
  <si>
    <t>It is proposed that the level crossing be checked in cooperation with the infrastructure company and the road maintenance authority. Care must be taken to ensure that all road signs and road markings prescribed by statutory regulations are in place.</t>
  </si>
  <si>
    <t>REC-000059</t>
  </si>
  <si>
    <t>AT-0081/3</t>
  </si>
  <si>
    <t>Veränderung betrieblicher Unterlagen (Zuglaufblatt)</t>
  </si>
  <si>
    <t>Überprüfung, ob in das Zuglaufblatt zu Fahrplanmuster 153 die Kopfdaten und die relevanten Daten aus den Spalten 2 und 3 des Fahrplanmusters 153 integriert werden können. Begründung: Zusammenfassung von Unterlagen für den Triebfahrzeugführer in ein Dokument.</t>
  </si>
  <si>
    <t>AT-0081/4</t>
  </si>
  <si>
    <t>Investigate whether the header data and the relevant information from columns 2 and 3 of the timetable template for route 153 can be incorporated into driversâ€™ log sheets for route 153. Reason: This would combine two pieces of paperwork carried by the train driver into a single document.</t>
  </si>
  <si>
    <t>REC-000062</t>
  </si>
  <si>
    <t>AT-0134/1</t>
  </si>
  <si>
    <t>Evaluierung der Eisenbahnkreuzung unter Zugrundelegung der mit 1. September 2012 in Kraft tretenden neuen gesetzlichen Bestimmungen.</t>
  </si>
  <si>
    <t>AT-0134/2</t>
  </si>
  <si>
    <t>Assess the level crossing pursuant to the provisions of the Level Crossings Regulation (Eisenbahnkreuzungsverordnung), which entered into force on 1 September 2012.</t>
  </si>
  <si>
    <t>REC-000063</t>
  </si>
  <si>
    <t>AT-0134/3</t>
  </si>
  <si>
    <t>Erneuerung der Bodenmarkierungen</t>
  </si>
  <si>
    <t>AT-0134/4</t>
  </si>
  <si>
    <t>REC-000064</t>
  </si>
  <si>
    <t>AT-0134/5</t>
  </si>
  <si>
    <t>Vereinfachung betrieblicher Unterlagen</t>
  </si>
  <si>
    <t>Überprüfung, ob in das Zuglaufblatt zu Fahrplanmuster 202 die Kopfdaten und die relevanten Daten aus den Spalten 2 und 3 des Fahrplanmusters 202 integriert werden können. Begründung: Vereinfachung der betrieblichen Unterlagen für den Triebfahrzeugführer (maimal eine Fahrplanunterlage für die Fahrt).</t>
  </si>
  <si>
    <t>AT-0134/6</t>
  </si>
  <si>
    <t>Check whether the header data and the relevant information from columns 2 and 3 of the timetable template for route 202 can be incorporated into driversâ€™ log sheets for route 202. Reason: This would combine two pieces of paperwork carried by the train driver into a single document.</t>
  </si>
  <si>
    <t>REC-000061</t>
  </si>
  <si>
    <t>AT-0136/1</t>
  </si>
  <si>
    <t>Evaluierung der Eisenbahnkreuzung gemäß den Bestimmungen der mit 1. September 2012 in Kraft tretenden neuen gesetzlichen Bestimmungen. In diesem Zusammenhang sollte auch geprüft werden, ob die Eisenbahnkreuzungen im km 26.618 und im km 26,654 sicherungstechnisch zu einer Eisenbahnkreuzung zusammengefasst werden können.</t>
  </si>
  <si>
    <t>AT-0136/2</t>
  </si>
  <si>
    <t>Assess the level crossing pursuant to the provisions of the Level Crossings Regulation (Eisenbahnkreuzungsverordnung), which entered into force on 1 September 2012. The assessment should include an examination of the feasibility of combining the two level crossings â€“ at kilometre points 26.618 and 26.654 â€“ into one level crossing for safety reasons.</t>
  </si>
  <si>
    <t>REC-000060</t>
  </si>
  <si>
    <t>AT-0140/1</t>
  </si>
  <si>
    <t>Überprüfung, ob eine Evaluierung der Eisenbahnkreuzung erfolgen muss. Diese umfasst insbesondere die Situierung der technischen Einrichtungen und Straßenverkehrszeichen bzw. Signale (z.B. Aufstellungspunkte, Sichtbarkeit der Einrichtungen, Bodenmakierungen udgl.).</t>
  </si>
  <si>
    <t>AT-0140/2</t>
  </si>
  <si>
    <t>Check whether an assessment of the level crossing is needed. In particular, this check includes the location of the technical installations and of road signs and signals (e.g. positioning and visibility of installations, stop lines, etc.).</t>
  </si>
  <si>
    <t>REC-000006</t>
  </si>
  <si>
    <t>AT-0141/1</t>
  </si>
  <si>
    <t>Sicherstellung, dass bei den durchzuführenden Überprüfung eine bescheidgemäße Ausführung (z. B. Straßenverkehrszeichen, Sichtbarkeit, â€¦) gegeben ist. In diesem Zusammenhang sind die erforderlichen Bodenmarkierung wieder herzustellen.</t>
  </si>
  <si>
    <t>AT-0141/2</t>
  </si>
  <si>
    <t>Ensure that all applicable statutes are considered when carrying out the investigation which is to be undertaken (for example, road traffic signs, visibility, etc.). In this context the road markings necessary are to be redone.</t>
  </si>
  <si>
    <t>REC-000007</t>
  </si>
  <si>
    <t>AT-0141/3</t>
  </si>
  <si>
    <t>Evaluierung der EK gemäß den Bestimmungen der mit 1. September 2012 in Kraft tretenden EisbKrV. Begründung: Die eisenbahnrechtliche Bewilligung erfolgte mit Bescheid vom Amt der Niederösterreichischen Landesregierung vom 22. März 1963.</t>
  </si>
  <si>
    <t>AT-0141/4</t>
  </si>
  <si>
    <t>Evaluate the level crossing in accordance with the requirements of the level crossing regulation [EisbKrV] which entered into force 1 September 2012. Justification: approval of the level crossing in terms of railway law was by a decision of the Lower Austria provincial regime on 22 March 1963.</t>
  </si>
  <si>
    <t>REC-000008</t>
  </si>
  <si>
    <t>AT-0141/5</t>
  </si>
  <si>
    <t>Überprüfung, ob in das Zuglaufblatt zu Fahrplanmuster 331 die Kopfdaten und die relevanten Daten aus den Spalten 2 und 3 des Fahrplanmusters 331 integriert werden können. Begründung: Damit sind zwei dem Tfzf vorliegenden schriftlichen Unterlagen in einem Dokument zusammengefasst.</t>
  </si>
  <si>
    <t>AT-0141/6</t>
  </si>
  <si>
    <t>Investigate whether the head data and the relevant data from the second and third columns of outline timetable 331 can be integrated into the train running sheet for outline timetable 331. Justification: in this way two of the written documents for the driver would be brought together into one document.</t>
  </si>
  <si>
    <t>REC-000182</t>
  </si>
  <si>
    <t>AT-0165/1</t>
  </si>
  <si>
    <t>Es wird empfohlen, die Überprüfung der Verschubabwicklung hinsichtlich Einhaltung der zulässiger ...</t>
  </si>
  <si>
    <t>Es wird empfohlen, die Überprüfung der Verschubabwicklung hinsichtlich Einhaltung der zulässiger Geschwindigkeit und Einhaltung der normativen Bestimmungen weiter zu intensivieren. In diesem Zusammenhang sollte auch geprüft werden, die zulässige Geschwindigkeit beim Verschub am Bf Wien Westbahnhof im Bereich des Stw 2 und Weichenposten 1 generell auf maximal 25 km/h zu beschränken (auch bei verbindlicher Verschubwegfreimeldung). Begründung: Bei der Verschubabwicklung gibt es derzeit keine technische Absicherung um Unfälle zu verhindern. Die sichere Abwicklung erfolgt ausschließlich durch den Faktor Mensch nach den jeweils geltenden normativen Bestimmungen. Deshalb ist es unentbehrlich zu überprüfen, dass diese normativen Bestimmungen auch eingehalten werden. Eine Beschränkung der Geschwindigkeit auf 25 km/h am Bf Wien Westbahnhof erscheint geeignet, Unfälle zu vermeiden oder wenigstens die Unfallfolgen zu minimieren.</t>
  </si>
  <si>
    <t>AT-0165/2</t>
  </si>
  <si>
    <t>It is recommended to further intensify the review of shunting settlement for compliance with the permitted speed and adherence to the normative provisions. In this context should also be considered to limit the allowable speed for shunting at Wien Westbahnhof station in the area of interlocking 2 and point 1 generally to a maximum of 25 km / h (even when binding shunting away-free message). Reason: In the shunting settlement there are no technical means to prevent accidents. The secure processing is conducted exclusively by the human factor to the applicable legislative provisions. Therefore, it is essential to check that these normative rules are respected. A limitation of the speed to 25 km / h on station Wien Westbahnhof appears likely to prevent accidents or at least minimize the consequences of accidents.</t>
  </si>
  <si>
    <t>REC-000009</t>
  </si>
  <si>
    <t>AT-0185/1</t>
  </si>
  <si>
    <t>Beseitigung von Unstimmigkeiten im Buchfahrplan hinsichtlich der Kilometrierung sowie die Überprüfung und Reduzierung von Geschwindigkeitsbrüchen im Buchfahrplan. Begründung: Um für dem Tfzf eine sichere Zuordnung der erlaubten Fahrplangeschwindigkeit zu ermöglichen.</t>
  </si>
  <si>
    <t>AT-0185/2</t>
  </si>
  <si>
    <t>Elimination of inconsistencies in the book timetable regarding the kilometrage and investigating and reducing the number of changes in permitted speed in the book timetable. Justification: in order to allow drivers to categorise the permissible speed shown in the timetable.</t>
  </si>
  <si>
    <t>REC-000010</t>
  </si>
  <si>
    <t>AT-0185/3</t>
  </si>
  <si>
    <t>Stichprobenförmige Überprüfung der zulässigen Geschwindigkeiten durch das Eisenbahnunternehmen oder die zuständige Eisenbahnbehörde. Begründung: Die Buchfahrplangeschwindigkeit wurde von Z 8718 um ca. 10 km/h überschritten.</t>
  </si>
  <si>
    <t>AT-0185/4</t>
  </si>
  <si>
    <t>Random speed checks made by the railway undertaking or the competent railway authority to ensure speeds are within permitted limits. Justification: train 8718 exceeded the book timetable speed by approximately 10 km/h.</t>
  </si>
  <si>
    <t>AT-0185/5</t>
  </si>
  <si>
    <t>Evaluierung der EK gemäß Bestimmungen der Eisenbahnkreuzungsverordnung 2012 â€“ EisbKrV.</t>
  </si>
  <si>
    <t>AT-0185/6</t>
  </si>
  <si>
    <t>Evaluate the level crossing in accordance with the requirements of the 2012 level crossing regulation [EisbKrV].</t>
  </si>
  <si>
    <t>REC-000055</t>
  </si>
  <si>
    <t>AT-1201/1</t>
  </si>
  <si>
    <t>A-27/2011</t>
  </si>
  <si>
    <t>Sicherstellung, dass so rasch wie möglich ein befestigtes Gerinne zwischen dem Forstweg und der Galerie hergestellt wird, damit sich ein derartiges Schadensereignis nicht wiederholen kann.</t>
  </si>
  <si>
    <t>AT-1201/2</t>
  </si>
  <si>
    <t>Ensuring that an entrenched channel between the forest and the gallery is made as soon as possible to ensure that such incident will not be repeated.</t>
  </si>
  <si>
    <t>REC-000056</t>
  </si>
  <si>
    <t>AT-1201/3</t>
  </si>
  <si>
    <t>A-28/2011</t>
  </si>
  <si>
    <t>Überprüfung, ob die Schotteranhäufung am Dach der Galerie in regelmäßigen Zeitabständen beseitigt werden muss.</t>
  </si>
  <si>
    <t>AT-1201/4</t>
  </si>
  <si>
    <t>Checking whether the accumulation of gravel on the roof of the gallery will be removed at regular time intervals.</t>
  </si>
  <si>
    <t>AT-1116/1</t>
  </si>
  <si>
    <t>A-21/2011</t>
  </si>
  <si>
    <t>Sicherstellung, dass bei der Zugbildung ein regelwerkskonformer Kuppelzustand hergestellt wird.</t>
  </si>
  <si>
    <t>AT-1116/2</t>
  </si>
  <si>
    <t>Ensuring that the composition of a train at a regular factory-compliant domed state is established.</t>
  </si>
  <si>
    <t>AT-1116/3</t>
  </si>
  <si>
    <t>A-22/2011</t>
  </si>
  <si>
    <t>Überprüfung, ob die Bestimmungen über Kuppeln in der DV V3, § 16, Absatz 4 präziser definiert werden müssen, wie z. B.: â€žNach Berühren der Pufferscheiben im geraden Gleis sind mehr als eine und nicht mehr als zwei volle Spindelumdrehungen durchzuführen, sodass der Kupplungsschwengel in der dafür vorgesehen Halterung platziert werden kann.â€œ</t>
  </si>
  <si>
    <t>AT-1116/4</t>
  </si>
  <si>
    <t>Checking whether the provisions relating to domes in the DV V3, § 16, paragraph 4, are precisely defined, such as: "After touching the buffer in the straight track wheels should perform more than one and not more than two full spindle revolutions, so that the clutch handle can be placed in the provided bracket.â€</t>
  </si>
  <si>
    <t>AT-1116/5</t>
  </si>
  <si>
    <t>A-23/2011</t>
  </si>
  <si>
    <t>Überprüfung des DB IS 2, Teil 1 Punkt 3.1.3 Standardabweichung der über 100 m gemittelten Längshöhe â€“ Werte für ES und SES.</t>
  </si>
  <si>
    <t>AT-1116/6</t>
  </si>
  <si>
    <t>Review of the DB IS 2, Part 1 item 3.1.3 of the standard deviation of 100 m averaged longitudinal height - values for ES and SES.</t>
  </si>
  <si>
    <t>AT-1116/7</t>
  </si>
  <si>
    <t>A-24/2011</t>
  </si>
  <si>
    <t>Übermittlung einer Tabelle der Gleislagefehler an die zuständige Eisenbahnbehörde. Dies Tabelle sollte jene Streckenabschnitte enthalten, wo es zu Überschreitungen der Standardabweichung der Längshöhen kommt und die geplanten Maßnahmen und den Zeitpunkt zu deren Behebung enthalten.</t>
  </si>
  <si>
    <t>AT-1116/8</t>
  </si>
  <si>
    <t>Sending a table of track position error to the competent railway authorities. This table should contain those sections where it exceeded the standard deviation of the longitudinal height and should include the planned measures and the date for their elimination.</t>
  </si>
  <si>
    <t>AT-1116/9</t>
  </si>
  <si>
    <t>A-25/2011</t>
  </si>
  <si>
    <t>Sicherstellung, dass für alle Geschwindigkeitsbereiche für die 3 m-Verwindung vom Mittelwert zum Spitzenwert gemäß DB IS 2 Teil 1 Punkt 3.1.6 und für die die gegenseitige Höhenlage gemäß DB IS 2 Teil 1 Punkt 3.1.7 SES festgelegt werden.</t>
  </si>
  <si>
    <t>AT-1116/10</t>
  </si>
  <si>
    <t>Ensuring that all speed ranges for the 3 m-twisting from the mean peak value are fixed in accordance with the DB IS 2 Part 1, point 3.1.6 and for the mutual height position in accordance with DB IS 2 1 point 3.1.7 SES.</t>
  </si>
  <si>
    <t>AT-1116/11</t>
  </si>
  <si>
    <t>A-26/2011</t>
  </si>
  <si>
    <t>Überprüfung, ob die für die Instandhaltung der Infrastruktur erforderlich Regelwerke von der Eisenbahnbehörde genehmigt werden müssen.</t>
  </si>
  <si>
    <t>AT-1116/12</t>
  </si>
  <si>
    <t>Checking whether for the maintenance of infrastructure the necessary regulations must be approved by the railway authority.</t>
  </si>
  <si>
    <t>REC-000161</t>
  </si>
  <si>
    <t>AT-1107/1</t>
  </si>
  <si>
    <t>A-17/2011</t>
  </si>
  <si>
    <t>Bei Autotransportwagen Type 23 87 437 2 xxx-x die eine solche oder ähnliche Ausführung der Verbindung und Aufhängung der Bremskupplung zwischen den beiden Wagenteilen haben ist bis zum Umbau der Fahrzeugreihe sicherzustellen das- die sichere Aufhängung und Befestigung der Bremskupplung vorhanden ist (Seilklemme vorhanden, Seilklemme fest angezogen, unbeschädigtes Drahtseil sowie Haltebügel),- die höhensichere Lage der Bremskupplung gewährleistet ist,- der Mindestabstand von 140 mm über Schienenoberkante für die Teile der Schraubenkupplung, die Teile der Bremskupplungen sowie des Aufhängesystems gegeben ist.Die Überprüfung dieser Parameter an den betroffen Fahrzeugen sollte durch eine Sonderuntersuchung in den Servicewerkstätten des Fahrzeugeigentümers erfolgen. Bis zum Abschluss der Sonderuntersuchung sollte durch den Fahrzeugeigentümer veranlasst werden, diese Parameter auch im Laufweg der Fahrzeuge z.B. bei Be- oder Entladung zu überprüfen.</t>
  </si>
  <si>
    <t>AT-1107/2</t>
  </si>
  <si>
    <t>For car transporter wagons of type 23 87 437 2 xxx-x which have that or a similar design of linkage and suspension of the brake coupling between the two wagon halves, ensure that until this class of vehicle can be rebuilt â€¢ the brake coupling is suspended and secured safely (two cable clips fitted, cable clips firmly secured, undamaged cable and securing loop), â€¢ safe support is provided for the brake coupling, â€¢ a minimum distance of 140 mm is provided between the rail level and screw coupling components, brake coupling components and the support system. These features should be checked by means of special examinations of the wagons in question in the vehicle ownerâ€™s servicing workshops. Until the special examinations are complete, the wagon owner should organise checking of these features in service, for example when loading or unloading.</t>
  </si>
  <si>
    <t>REC-000162</t>
  </si>
  <si>
    <t>AT-1107/3</t>
  </si>
  <si>
    <t>A-18/2011</t>
  </si>
  <si>
    <t>Bei Autotransportwagen Type 23 87 437 2 xxx-x die eine solche oder eine ähnliche Ausführung der Verbindung und Aufhängung der Bremskupplung zwischen den beiden Wagenteilen haben wird bis zum Umbau der Fahrzeugreihe empfohlen:- Stark beschädigte Sicherungsseile â€“ z. B. mit durchgescheuerten Litzen an den Biegestellen und ähnlich starken Korrosionsschäden müssen getauscht werden, auch wenn der Restquerschnitt die Gewichtskräfte noch sicher tragen könnte.- Bei Kontrollgängen nach Revisionsarbeiten kann durch einen einfachen Belastungsversuch (Tritt auf die Tragplatte der Kupplung) grob überprüft werden, ob die Seilklemmen überhaupt angezogen sind. Die Schlinge muss jedenfalls im Stande sein das Gewicht einer Person + das Schlauchgewicht einwandfrei zu tragen. Die Belastung ist natürlich so vorzunehmen, dass Verletzungen im Versagensfall ausgeschlossen werden können.- Bei erneuter Montage von gebrauchten Seilklemmen im Zuge einer Revision ist sicherzustellen, dass die Muttern an den Gewindestiften des Bügels noch ausreichende Gängigkeit besitzen. Ein frühzeitiges Anstehen an einem deformierten Gewindeteil muss ausgeschlossen werden. Auch Seilklemmen mit schwer gängigen Muttern sind sofort auszuscheiden.- Jede Tragschlinge soll immer mit zwei Seilklemmen geschlossen werden, auch wenn das aufgrund der geforderten Tragkraft nicht notwendig wäre.-Jede der beiden Muttern beider Seilklemmen soll mit einem Drehmoment von etwa 3Nm angezogen werden. Dabei ist ganz besonders darauf zu achten, dass der Anzug in Schritten und abwechselnd zwischen den Gewindestiften einer Klemme erfolgt, sodass der Bügel gleichmäßig eingezogen wird. Eine exakte Messung des Drehmomentes ist nicht erforderlich, wenn der Verformungszustand des Seiles im Klemmbereich gut kontrolliert werden kann.Durch Messung eines Kontrollmaßes, welches die lichte Höhe im Seilkanal im Vergleich zu einer mit richtigem Drehmoment angezogenen Seilklemme wiedergibt, kann die Bewertung vorgenommen werden. Zu beachten ist, dass dieses Maß vom Seiltyp abhängen kann, auch wenn die Nenndurchmesser der Seile jeweils gleich 6mm betragen.- Seilklemmen, bei denen der Einsatz von Bundmuttern vorgesehen ist (Drahtseilklemmen nach DIN 1142, oder Drahtseilklemme-1 nach EN13411-5) sollen auch mit solchen verwendet werden, da die Bohrungen in der Klemmplatte dies mitunter erfordern. Ist der Tausch nicht in allen Fällen zu bewerkstelligen, so muss der Kontrolle des Verformungszustandes des Seiles an der jeweiligenSeilklemme besonderes Augenmerk geschenkt werden. Die Ersatzweise Verwendung von Muttern mit passenden Scheiben wäremöglich. Die Handhabung dieser mehrteiligen Form vor Ort spricht aber eher gegen eine solche Lösung.Diese Maßnahmen sind durch den Fahrzeughalter mit entsprechenden Werkstättenanweisungen den jeweils zuständigen Servicewerkstätten bekanntzugeben.Begründung: Diese Maßnahmen sollen ein Versagen der Tragschlinge des Sicherungsseils ausschließen.</t>
  </si>
  <si>
    <t>AT-1107/4</t>
  </si>
  <si>
    <t>For car transporter wagons of type 23 87 437 2 xxx-x which have that or a similar design of linkage and suspension of the brake coupling between the two wagon halves, until this class of vehicle can be rebuilt, it is recommended that: - severely damaged securing cables, for example, those with strands worn through at the bends and similar severe damage from corrosion, must be replaced even when the remaining cross-section is able to support the loads applied safely. - In the checking processes after overhaul, a crude check of if the cable grips are screwed tight can be made by means of a simple load test (step on the supporting plate of the coupling). In any event, the sling must be in a position to support the weight of a person and the brake hose. Loading is of course to be carried out in such a way as to be able to exclude injuries if the cable gives way. - If used cable grips are to be re-fitted in the course of a general overhaul, there must be a check that the nuts still run properly on the threaded rods of the loops. Rods on which the nuts tighten too early because of a deformed threaded section must be rejected. Cable grips on which the nuts do not run properly are also to be rejected immediately. - Every supporting sling should always be supported with two cable grips even where the tensile forces do not require that. - Each of the two nuts of the two cable grips should be tightened with a torque of about 3 Nm. In doing so, special care is to be taken to ensure that they are tightened in stages alternating between the threaded rods of a grip, so that both sides of the loop are equally tightened. Measuring the torque exactly is not necessary if the distortion of the cable in the area around the grip can be checked satisfactorily. The evaluation may be made by measuring a check dimension which provides the clear height in the cable groove by comparison with one tightened up with the correct torque. It is to be noted that this dimension may depend on the type of cable, even if the nominal diameter of the cables is 6 mm in both cases. - Collar nuts should also be used on cable grips which are designed to be used with them (wire rope grips in accordance with DIN 1142 or wire rope grip-1 in accordance with EN13411-5) because the holes in the gripping plate sometimes require them. If it is not possible to manage an exchange in every case, special attention must be given to the condition of the cable and how it is deformed by the various cable grips. As an alternative, the use of nuts with suitable washers would be possible. The management of these multiple options on site rather argues against such an approach however. These points are to be actioned by the vehicle keeper providing appropriate workshop instructions to the workshops responsible for servicing in each case. Justification: these actions should exclude the failure of the supporting sling of the securing cable.</t>
  </si>
  <si>
    <t>REC-000163</t>
  </si>
  <si>
    <t>AT-1107/5</t>
  </si>
  <si>
    <t>A-19/2011</t>
  </si>
  <si>
    <t>Bei Autotransportwagen Type 23 87 437 2 xxx-x die eine solche oder ähnliche Ausführung der Verbindung und Aufhängung der Bremskupplung zwischen den beiden Wagenteilen haben, wird als mittelfristige Maßnahme empfohlen, die Bremskupplung zwischen den beiden Wagenteilen mit einer durchgehenden Luftleitung zu ersetzen. Begründung: Durch die freie Lage des Schraubflansch ohne Absperrhahn im Untergestell kann der Bremsschlauch an dieser Stelle um ca. 180° gebogen und derart abgedrückt werden, das keine Bremsluft entweichen kann. Diese fahrzeugspezifische Konstruktion weicht von den üblichen Konstruktionsmerkmalen gemäß UIC Codex 541-1 ab.</t>
  </si>
  <si>
    <t>AT-1107/6</t>
  </si>
  <si>
    <t>For car transporter wagons of type 23 87 437 2 xxx-x which have that or a similar design of linkage and suspension of the brake coupling between the two wagon halves, it is recommended as a medium term measure to replace the brake coupling between the two sections of the wagon by a through air pipe without a coupling. Justification: Because the screw flange is free-standing without a cut-off cock in the underframe, the brake-hose can be bent by some 180Ëš at this point and thus compressed so that no brake air can escape. This vehicle-specific construction deviates from the normal constructional characteristics defined in UIC leaflet 541-1. See the diagram below (source: UIC leaflet 541-1 Appendix B2) and Figure 34 Brake coupling in the middle of the vehicle on page 37.</t>
  </si>
  <si>
    <t>REC-000164</t>
  </si>
  <si>
    <t>AT-1107/7</t>
  </si>
  <si>
    <t>A-20/2011</t>
  </si>
  <si>
    <t>Für die Lagerung von Schienen zur Verschrottung und Schienen zur Wiederverwendung im Gleisbereich sollte die ZOV 48 und die ZSB 9 entsprechend an die ZOV 7 angepasst werden, um ein einheitliches Regelwerk zu schaffen.</t>
  </si>
  <si>
    <t>AT-1107/8</t>
  </si>
  <si>
    <t>ZOV 48 [Handling and storage of permanent way materials] and ZSB 9 [Keeping the track clear] covering stacking of rails for scrap and re-use on and around the track should be aligned as appropriate with ZOV 7 [Lineside structure gauge] to create a single set of regulations.</t>
  </si>
  <si>
    <t>REC-000448</t>
  </si>
  <si>
    <t>AT-0299/1</t>
  </si>
  <si>
    <t>Überprüfung der Betriebsabwicklung im IM Bf durch die Oberste Eisenbahnbehörde im BMVIT Anmerkung: ...</t>
  </si>
  <si>
    <t>Überprüfung der Betriebsabwicklung im IM Bf durch die Oberste Eisenbahnbehörde im BMVIT Anmerkung: Diese Sicherheitsempfehlung wurde als dringliche Sicherheitsempfehlung gemäß § 16 Abs. UUG 2005 mit GZ BMVIT-795.322/0002-IV/BAV/UUB/SCH/2012 vom 08. Oktober 2012 ausgesprochen und bleibt weiterhin aufrecht.</t>
  </si>
  <si>
    <t>AT-0299/2</t>
  </si>
  <si>
    <t>Review of operations management in IM Bf by the Supreme railway authority in BMVIT Note: This safety recommendation was as urgent safety recommendation in accordance with § 16 para UUG in 2005 GZ BMVIT-795.322/0002-IV/BAV/UUB/SCH/2012 of 08 October 2012 pronounced and remains upright.</t>
  </si>
  <si>
    <t>REC-000449</t>
  </si>
  <si>
    <t>AT-0299/3</t>
  </si>
  <si>
    <t>Sicherstellung, dass die Behebung der Störung einer sicherungstechnischen Einrichtung ohne Verzug in ...</t>
  </si>
  <si>
    <t>Sicherstellung, dass die Behebung der Störung einer sicherungstechnischen Einrichtung ohne Verzug in die Wege geleitet wird.</t>
  </si>
  <si>
    <t>AT-0299/4</t>
  </si>
  <si>
    <t>Ensure that the correct the interference a underwriting facility without delay is initiated.</t>
  </si>
  <si>
    <t>REC-000450</t>
  </si>
  <si>
    <t>AT-0299/5</t>
  </si>
  <si>
    <t>Die bestehenden betrieblichen und sicherungstechnischen Verfahren für die Weiterführung des ...</t>
  </si>
  <si>
    <t>Die bestehenden betrieblichen und sicherungstechnischen Verfahren für die Weiterführung des Betriebes beim Auftreten einer die reibungslose Betriebsabwicklung beeinträchtigenden Störung sicherungstechnischer Einrichtungen sind zu überprüfen und erforderlichenfalls neuen Erkenntnissen anzupassen.</t>
  </si>
  <si>
    <t>AT-0299/6</t>
  </si>
  <si>
    <t>The existing operational and underwriting procedures applicable to the operation of the business at a smooth operation processing debilitating disorder assurance technical facilities occurrence must be checked and, if necessary, adapt to new insights.</t>
  </si>
  <si>
    <t>REC-000451</t>
  </si>
  <si>
    <t>AT-0299/7</t>
  </si>
  <si>
    <t>Es ist die Möglichkeit zu prüfen, inwieweit bei Zählwerksdruckern eine eindeutige Zuordnung einer ...</t>
  </si>
  <si>
    <t>Es ist die Möglichkeit zu prüfen, inwieweit bei Zählwerksdruckern eine eindeutige Zuordnung einer zählwerkspflichtigen Handlung zu den betreffenden sicherungstechnischen Einrichtungen geschaffen werden kann.</t>
  </si>
  <si>
    <t>AT-0299/8</t>
  </si>
  <si>
    <t>It is necessary to consider the possibility of the extent to which an unambiguous assignment of a zählwerkspflichtigen action to the relevant underwriting facilities can be provided at Zählwerksdruckern.</t>
  </si>
  <si>
    <t>AT-0423/1</t>
  </si>
  <si>
    <t>Es wird empfohlen, die visuelle Prüfung (VT-Prüfung) eines bereiften Radsatzes nach jeder ...</t>
  </si>
  <si>
    <t>Es wird empfohlen, die visuelle Prüfung (VT-Prüfung) eines bereiften Radsatzes nach jeder Unterflurbearbeitung durch eine Magnetpulverprüfung (MT-Prüfung) zu ersetzen und diese in den Instandhaltungsplänen des ECM verbindlich vorzuschreiben.</t>
  </si>
  <si>
    <t>AT-0423/2</t>
  </si>
  <si>
    <t>After each underfloor treatment, it is recommended to replace the visual check of the tyred wheelset by a magnetic particle inspection and to make this mandatory in the maintenance task list of the ECM.</t>
  </si>
  <si>
    <t>AT-0423/3</t>
  </si>
  <si>
    <t>Es ist durch das EVU ÖBB-Produktion GmbH sicherzustellen, dass Radbrüche bzw. Radreifenbrüche sowie ...</t>
  </si>
  <si>
    <t>Es ist durch das EVU ÖBB-Produktion GmbH sicherzustellen, dass Radbrüche bzw. Radreifenbrüche sowie Achsbrüche gemäß MeldeVO-Eisb 2006 an die SUB gemeldet werden.</t>
  </si>
  <si>
    <t>AT-0423/4</t>
  </si>
  <si>
    <t>EVU ÖBB-Produktion GmbH has to make sure that tyre fractions or wheel tyre fractions and axle fractions are reported to the Federal Investigation Authority according to legislation MeldeVO-Eisb 2006.</t>
  </si>
  <si>
    <t>AT-2043/1</t>
  </si>
  <si>
    <t>Überprüfung der Betriebsstellenbeschreibung des IM-Bf (â€žVorgehensweise bei Zugfahrten von Übelbach ...</t>
  </si>
  <si>
    <t>Überprüfung der Betriebsstellenbeschreibung des IM-Bf (â€žVorgehensweise bei Zugfahrten von Übelbach über IM-Bf nach Graz Hbf) auf betriebliche Zweckmäßigkeit.</t>
  </si>
  <si>
    <t>AT-2043/2</t>
  </si>
  <si>
    <t>Review of the operations instructions of the IM-station ("Procedure for trains from Übelbach via IM Station to Graz Main Station) to operational effectiveness.</t>
  </si>
  <si>
    <t>REC-000208</t>
  </si>
  <si>
    <t>AT-2043/3</t>
  </si>
  <si>
    <t>Durchführung einer Signalstandortbestimmung des Schutzsignals â€žSch6â€œ im IM-Bf. Anmerkung: ...</t>
  </si>
  <si>
    <t>Durchführung einer Signalstandortbestimmung des Schutzsignals â€žSch6â€œ im IM-Bf. Anmerkung: Sichtbarkeit während der Dunkelheit in Hinsicht auf Blendung durch die Bahnsteigbeleuchtung und durch entgegenkommende Züge.</t>
  </si>
  <si>
    <t>AT-2043/4</t>
  </si>
  <si>
    <t>Performing signal positioning of the protection signal "SCH6" in IM-station. Note: visibility during the dark in terms of lighting and glare from the platform by oncoming trains.</t>
  </si>
  <si>
    <t>REC-000209</t>
  </si>
  <si>
    <t>AT-2043/5</t>
  </si>
  <si>
    <t>Überprüfung, ob an Stelle des Verschubsignals â€žV33â€œ ein Schutzsignal angebracht werden ...</t>
  </si>
  <si>
    <t>Überprüfung, ob an Stelle des Verschubsignals â€žV33â€œ ein Schutzsignal angebracht werden sollte. Anmerkung: dadurch kann nach dem Fahrtrichtungswechsel eine gesicherte Zugfahrt ab dem neu zu errichtenden Schutzsignal durchgeführt werden.</t>
  </si>
  <si>
    <t>AT-2043/6</t>
  </si>
  <si>
    <t>Check whether in the place of shunting signals "V33" a protection signal should be installed. Note: this can be carried out from the newly built protection signal after changing direction of a secured train.</t>
  </si>
  <si>
    <t>AT-2043/7</t>
  </si>
  <si>
    <t>Überprüfung, ob der vom IM am 17.Jänner 2013 und in weiterer Folge vom RU am 18. Jänner 2013 ...</t>
  </si>
  <si>
    <t>Überprüfung, ob der vom IM am 17.Jänner 2013 und in weiterer Folge vom RU am 18. Jänner 2013 übernommene Dienstauftrag ausschließlich vom IM-Bf zu beachten und umzusetzen ist. Anmerkung: Beachtung von zwei Signalen mit unterschiedlichen Standorten als Zustimmung zur Fahrt gemäß § 14 Betriebsvorschrift des IM.</t>
  </si>
  <si>
    <t>AT-2043/8</t>
  </si>
  <si>
    <t>Checking whether the IM from the 17 January 2013, and subsequently by RU from 18 January 2013, the acquired service contract is considered and implemented in the IM-station. Note: observance of two signals with different locations as consent to drive operating instructions pursuant to § 14 of the operating instructions of the IM.</t>
  </si>
  <si>
    <t>REC-000211</t>
  </si>
  <si>
    <t>AT-2043/9</t>
  </si>
  <si>
    <t>Überprüfung, ob durch den Einbau einer Weichenverbindung zwischen Gleis 6 und Gleis 2 südlich der ...</t>
  </si>
  <si>
    <t>Überprüfung, ob durch den Einbau einer Weichenverbindung zwischen Gleis 6 und Gleis 2 südlich der Bahnsteige 2 und 3 die Durchführung von Wendeverschubfahrten entfällt. Anmerkung: Bei Zügen aus Richtung Nebenbahn zur Weiterfahrt in Richtung Süden kann der Fahrtrichtungswechsel im Bereich des Bahnsteiges 3 durchgeführt werden und die Ausfahrt über ein zurückversetztes Ausfahrsignal â€žR8â€œ erfolgen.</t>
  </si>
  <si>
    <t>AT-2043/10</t>
  </si>
  <si>
    <t>Checking whether during installation of shunting connection between track 6 and track 2, south of platforms 2 and 3, the implementation of turning point of shunting trips is eliminated. Note: For trains coming from branch line to proceed towards the south direction change can be performed in the area of the platform 3 and place the exit via a back exit signal "R8".</t>
  </si>
  <si>
    <t>AT-2043/11</t>
  </si>
  <si>
    <t>Sicherstellung, dass in den Fahrplanunterlagen die Ankunftszeiten für Zug 1 ...</t>
  </si>
  <si>
    <t>Sicherstellung, dass in den Fahrplanunterlagen die Ankunftszeiten für Zug 1 übereinstimmen. Anmerkung: Unterschiedliche Angaben in den Buchfahrplänen und im veröffentlichten Fahrplan.</t>
  </si>
  <si>
    <t>AT-2043/12</t>
  </si>
  <si>
    <t>Ensuring that in the timetable documents the arrival times for train 1 match. Note: Different information in the book schedules and the published timetable.</t>
  </si>
  <si>
    <t>REC-000213</t>
  </si>
  <si>
    <t>AT-2043/13</t>
  </si>
  <si>
    <t>Sicherstellung, dass die in der Wagenliste angewendeten Massen und Bremsausmaße denen in der ...</t>
  </si>
  <si>
    <t>Sicherstellung, dass die in der Wagenliste angewendeten Massen und Bremsausmaße denen in der Fahrzeugdatenbank des IM festgelegten Werte entsprechen. Anmerkung: Unterschiedliche Werte.</t>
  </si>
  <si>
    <t>AT-2043/14</t>
  </si>
  <si>
    <t>Ensuring that the weight and brake characteristics contained in the wagons data sheet correspond to the values laid down in the vehicle database of the IM. Note: Different valuesâ€‹â€‹.</t>
  </si>
  <si>
    <t>REC-000214</t>
  </si>
  <si>
    <t>AT-2043/15</t>
  </si>
  <si>
    <t>Sicherstellung, dass die Fahrzeuganschriften der Bremsausmaße denen in der Fahrzeugdatenbank des IM ...</t>
  </si>
  <si>
    <t>Sicherstellung, dass die Fahrzeuganschriften der Bremsausmaße denen in der Fahrzeugdatenbank des IM festgelegten Werten entsprechen. Anmerkung: Unterschiedliche Werte.</t>
  </si>
  <si>
    <t>AT-2043/16</t>
  </si>
  <si>
    <t>Ensure that the brake characteristics data contained in the vehicle plates correspond to the values laid down in the vehicle database of the IM. Note: Different valuesâ€‹â€‹.</t>
  </si>
  <si>
    <t>AT-2043/17</t>
  </si>
  <si>
    <t>Sicherstellung, dass der in der Wagenliste angewendete Rechenalgorithmus zur Berechnung der ...</t>
  </si>
  <si>
    <t>Sicherstellung, dass der in der Wagenliste angewendete Rechenalgorithmus zur Berechnung der â€žVorhandenen Bremshundertstelâ€œ ein mathematisch plausibles Ergebnis liefert. Anmerkung: â€žWagenâ€œ und â€žWagen+Tfzâ€œ müssen in diesem Fall ein gleiches Ergebnis liefern (Rundung).</t>
  </si>
  <si>
    <t>AT-2043/18</t>
  </si>
  <si>
    <t>Ensure that in the wagon data sheet, the applied computational algorithm to calculate the "Existing braking percentage" gives a mathematically plausible result. Note: "car" and "car + traction unit" in this case must provide the same result (rounding).</t>
  </si>
  <si>
    <t>AT-2044/1</t>
  </si>
  <si>
    <t>Überprüfung, ob für die wiederkehrenden augenschein-lichen Kontrollen der allgemeinen ...</t>
  </si>
  <si>
    <t>Überprüfung, ob für die wiederkehrenden augenscheinlichen Kontrollen der allgemeinen Streckenaufsicht gemäß Regelwerk zur Instandhaltung der Oberbauanlagen ent-sprechende Checklisten für den Umfang der Prüfung für jeden Kontrollpunkt erstellt und verpflichtend angewendet werden müssen. Anmerkung: Alle zwei Monate hat eine Befahrung aller Gleise mit Gleisrang a durch den Bahnmeister zu erfolgen (kann bei Streckenrang 3G an den Gleismeister delegiert werden). Die Befahrung kann durch eine Begehung ersetzt werden.</t>
  </si>
  <si>
    <t>AT-2044/2</t>
  </si>
  <si>
    <t>To check whether for recurring visible controls of the general rail line surveillance in accordance with the rules of the maintenance plan of track installations, relevant checklists have to be created and made compulsory, based on the scope of control for each point to be checked. Note: Every two months, an inspection by driving on all the rail tracks with track level a has to be done by the head of station (if track level is 3G, the inspection can be delegated to the head of rail track). The inspection by driving can be replaced by walking on the rail tracks.</t>
  </si>
  <si>
    <t>REC-000341</t>
  </si>
  <si>
    <t>AT-2044/3</t>
  </si>
  <si>
    <t>Überprüfung des Instandhaltungsregelwerks für den Ober-bau Punkt 3.1.3 Standardabweichung ...</t>
  </si>
  <si>
    <t>Überprüfung des Instandhaltungsregelwerks für den Ober-bau Punkt 3.1.3 Standardabweichung Instandhaltungsre-gelwerken für den Oberbau der über 100 m gemittelten Längshöhe â€“ Werte für ES und SES. Begründung: Obwohl ES = 4 mm über eine Länge von 100 m überschritten war ist es nach der Behebung zu einer Entgleisung gekommen. (laut IM gab es im Jahr 2011 300 bis 500 solcher Abschnitte). Diese Sicherheitsempfehlung wurde unter der laufenden Jahresnummer A-23/2011 bereits ausgesprochen</t>
  </si>
  <si>
    <t>AT-2044/4</t>
  </si>
  <si>
    <t>To check the maintenance rules for track installations, point 3.1.3 Standard deviation maintenance rules for track installations of over 100 m averaged longitudinally-based height - values for the intervention threshold and the immediate intervention threshold. Justification: despite the fact that the intervention threshold = 4 mm was exceeded on a distance of 100 m, there has been a derailment after the correction of defects (according to the infrastructure manager, there were between 300 and 500 such issues in 2011). This safety recommendation had already been issued under the current year A-23/2011.</t>
  </si>
  <si>
    <t>AT-2044/5</t>
  </si>
  <si>
    <t>Überprüfung, ob Streckenabschnitte mit Überschreitung der ES der Standardabweichung der Längshöhe, ...</t>
  </si>
  <si>
    <t>Überprüfung, ob Streckenabschnitte mit Überschreitung der ES der Standardabweichung der Längshöhe, deren Behe-bung nicht kurzfristig und messtechnisch nachweisbar er-folgen kann, bis zur Behebung nur mit vmax 60 km/h befah-ren werden dürfen.</t>
  </si>
  <si>
    <t>AT-2044/6</t>
  </si>
  <si>
    <t>To check if it is possible to drive on rail track sections with a maximum speed of 60 km/h, when exceeding the intervention threshold of the standard deviation of the longitudinally-based height, for which correction of defects cannot be proven in a short term and based on measuring procedures, until defects are corrected.</t>
  </si>
  <si>
    <t>REC-000343</t>
  </si>
  <si>
    <t>AT-2044/7</t>
  </si>
  <si>
    <t>Sicherstellung, dass der Korrekturkoeffizient Ï° (Faktor â€žkappaâ€œ gemäß Merkblatt UIC 544-1, Anlage ...</t>
  </si>
  <si>
    <t>Sicherstellung, dass der Korrekturkoeffizient x (Faktor â€žkappaâ€œ gemäß Merkblatt UIC 544-1, Anlage K2), bei der Ermittlung der Bremshundertstel für Güterzüge mit Längen &gt; 500 m angewendet wird. Anmerkung: Diese Sicherheitsempfehlung wurde seit 2008 mehrmals ausgesprochen (zuletzt als A-2013/075) und vom IM mit Hinweise auf die Änderungen der TSI OPE Anlage T und der BV des IM (im behördlichen Genehmigungsverfahren), sowie der zukünftigen Zuständigkeit für die Bremsberechnung durch das jeweilige RU beantwortet. Solange gemäß den vorhandenen Regelwerken des IM vorgegangen wird, sind diese jedenfalls anzupassen.</t>
  </si>
  <si>
    <t>AT-2044/8</t>
  </si>
  <si>
    <t>To make sure that the correction coefficient x (â€žkappaâ€œ factor according to Factsheet UIC 544-1, annex K2) is applied, during the assessment of the braking percentage for freight trains with length &gt; 500 m. Note: This safety recommendation has been issued several times since 2008 (last as A-2013/075) and the answer by the infrastructure manager contained advice on changes of the TSI OPE annex T and the BV of the infrastructure manager (in the official authorisation process), and also the future competence for the brake calculation by the relevant RU. As long as existing rules of the infrastructure manager are applied, they have to be adapted.</t>
  </si>
  <si>
    <t>AT-1203/1</t>
  </si>
  <si>
    <t>Sicherstellung, dass die Maßnahmen des VK in die Instandhaltungsregelwerke für Fahrzeuge mit ...</t>
  </si>
  <si>
    <t>Sicherstellung, dass die Maßnahmen des VK in die Instandhaltungsregelwerke für Fahrzeuge mit bauartähnlichen Bremsen übernommen werden und die VK dieser Fahrzeuge davon verständigt werden.</t>
  </si>
  <si>
    <t>AT-1203/2</t>
  </si>
  <si>
    <t>Ensuring that the actions of the vehicle keeper are transferred to the maintenance rules for vehicles with similar design brakes and the vehicle keepers of these vehicles will be notified of it.</t>
  </si>
  <si>
    <t>AT-1203/3</t>
  </si>
  <si>
    <t>Überprüfung, ob durch Einbau von Bremsgestängesteller (gemäß Merkblätter UIC 542 und UIC 543) eine ...</t>
  </si>
  <si>
    <t>Überprüfung, ob durch Einbau von Bremsgestängesteller (gemäß Merkblätter UIC 542 und UIC 543) eine außerplanmäßige Instandhaltung vermieden werden kann. Begründung: Zum Zeitpunkt des Vorfalls waren die Bremsklotzsohlen fast bis auf die Hälfte abgenützt und dadurch der Bremszylinderhub schon in der Nähe des nachzustellenden Bereiches.</t>
  </si>
  <si>
    <t>AT-1203/4</t>
  </si>
  <si>
    <t>Checking whether by incorporation of slack adjuster (according to UIC leaflets 542 and 543) an unscheduled maintenance can be avoided. Reason: At the time of the incident the brake shoes were worn almost down to half and thus the slack already near the rematched area.</t>
  </si>
  <si>
    <t>AT-1203/5</t>
  </si>
  <si>
    <t>Überprüfung, ob die Anbringung von Thermoschutzlack an klotzgebremsten Radscheiben, dem SKl-Fahrer ...</t>
  </si>
  <si>
    <t>Überprüfung, ob die Anbringung von Thermoschutzlack an klotzgebremsten Radscheiben, dem SKl-Fahrer Hinweise auf Mängel und Unregelmäßigkeiten an der Bremsanlage gibt. Anmerkung: Übernahme in den DB 663 des IM.</t>
  </si>
  <si>
    <t>AT-1203/6</t>
  </si>
  <si>
    <t>Check whether by the installation of thermal protective coating to block braked wheel discs, the heavy small car (SKl) drivers get indications of defects and irregularities in the braking system. Note: Transfer to the DB 663 of the IM.</t>
  </si>
  <si>
    <t>REC-000050</t>
  </si>
  <si>
    <t>AT-1105/1</t>
  </si>
  <si>
    <t>A-072/2010</t>
  </si>
  <si>
    <t>Anpassung der Regelwerke an die Erkenntnisse der DB AG wie Auskehren der Schwellen zwischen den Schienen und Beseitigung der â€žAngsthaufenâ€œ seitlich der Schienen.</t>
  </si>
  <si>
    <t>AT-1105/2</t>
  </si>
  <si>
    <t>Adaptation of the regulations on the findings of the DB AG as regards sweeping out the sleepers between the rails and removing the "fear pile" side of the rails.</t>
  </si>
  <si>
    <t>REC-000051</t>
  </si>
  <si>
    <t>AT-1105/3</t>
  </si>
  <si>
    <t>A-073/2010</t>
  </si>
  <si>
    <t>Sicherstellung, dass vor Eintritt des Winters (auch in Teilen von Österreich und des angrenzenden Auslandes) die Maßnahmen gemäß A-071/2010 durchgeführt wurden.</t>
  </si>
  <si>
    <t>AT-1105/4</t>
  </si>
  <si>
    <t>Ensuring that prior to the entry of winter (in parts of Austria and neighboring countries) the measures referred to in A-071/2010 were performed.</t>
  </si>
  <si>
    <t>REC-000052</t>
  </si>
  <si>
    <t>AT-1105/5</t>
  </si>
  <si>
    <t>A-074/2010</t>
  </si>
  <si>
    <t>Sicherstellung, dass eine regelmäßige Beseitigung von Schnee- und Eispolster an Fahrzeugen erfolgt (z. B. Hinterstellung in geheizten Hallen, Unterflurreinigung).</t>
  </si>
  <si>
    <t>AT-1105/6</t>
  </si>
  <si>
    <t>Ensuring the regular removal of snow and ice pad carried on vehicles (such as the rear position in heated buildings, under-floor cleaning).</t>
  </si>
  <si>
    <t>REC-000053</t>
  </si>
  <si>
    <t>AT-1105/7</t>
  </si>
  <si>
    <t>A-075/2010</t>
  </si>
  <si>
    <t>Überprüfung, ob bei Vorhandensein von Schnee- und Eispolster an Fahrzeugen betriebliche Maßnahmen wie Reduktion der Geschwindigkeit auf vmax = 160 km/h erfolgt sollte.</t>
  </si>
  <si>
    <t>AT-1105/8</t>
  </si>
  <si>
    <t>Check whether in the presence of snow and ice pad on vehicles some operating measures should be done, such as reduction of speed to Vmax = 160 km/h.</t>
  </si>
  <si>
    <t>AT-0795/1</t>
  </si>
  <si>
    <t>Überprüfung, ob die Bestimmungen in den betrieblichen Regelwerke der ÖBB betreffend ...</t>
  </si>
  <si>
    <t>Überprüfung, ob die Bestimmungen in den betrieblichen Regelwerke der ÖBB betreffend Selbststellbetrieb zusammengefasst dargestellt werden können.</t>
  </si>
  <si>
    <t>AT-0795/2</t>
  </si>
  <si>
    <t>To check, if the provisions of the operational set of regulations of Austrian Federal Railways (ÖBB) regarding automatic route calling can be summarized.</t>
  </si>
  <si>
    <t>AT-0795/3</t>
  </si>
  <si>
    <t>Überprüfung, ob in den Bestimmungen der betrieblichen Regelwerke der ÖBB betreffend Einführen und ...</t>
  </si>
  <si>
    <t>Überprüfung, ob in den Bestimmungen der betrieblichen Regelwerke der ÖBB betreffend Einführen und Aufheben des fernmündlichen Rückmeldens ein Wortlaut zweckmäßig wäre.</t>
  </si>
  <si>
    <t>AT-0795/4</t>
  </si>
  <si>
    <t>To check, if it would be appropriate to mention the introduction and cancelling of telephone reporting in the provisions of the operational set of regulations of Austrian Federal Railways (ÖBB).</t>
  </si>
  <si>
    <t>REC-000144</t>
  </si>
  <si>
    <t>AT-0795/5</t>
  </si>
  <si>
    <t>Überprüfung, ob im Falle eines definierten Wortlautes für das Einführen des fernmündlichen ...</t>
  </si>
  <si>
    <t>Überprüfung, ob im Falle eines definierten Wortlautes für das Einführen des fernmündlichen Rückmeldens ein Zusatz â€žz.B. Selbststellbetrieb ist auszuschaltenâ€œ mit entsprechender Bestätigung â€žz.B. Selbststellbetrieb ist ausgeschaltetâ€œ zweckmäßig wäre.</t>
  </si>
  <si>
    <t>AT-0795/6</t>
  </si>
  <si>
    <t>To check, if for the definition of the introduction of telephone reporting, it would be appropriate to add â€˜â€™for example, automatic route calling has to be desactivatedâ€œ with the related confirmation â€˜â€™for example, automatic route calling is desactivated â€œ.</t>
  </si>
  <si>
    <t>REC-000145</t>
  </si>
  <si>
    <t>AT-0795/7</t>
  </si>
  <si>
    <t>Überprüfung der Wendezeiten für Züge der S 45 im Bf Wien Hütteldorf zur Gewährleistung der ...</t>
  </si>
  <si>
    <t>Überprüfung der Wendezeiten für Züge der S 45 im Bf Wien Hütteldorf zur Gewährleistung der ordnungsgemäßen Durchführung der vom Triebfahrzeugführer vorzunehmenden Tätigkeiten.</t>
  </si>
  <si>
    <t>AT-0795/8</t>
  </si>
  <si>
    <t>To check the tilting times for trains of the S 45 at railway station Wien Hütteldorf, so that train drivers will be able to fulfill their tasks according to the rules.</t>
  </si>
  <si>
    <t>REC-000146</t>
  </si>
  <si>
    <t>AT-0795/9</t>
  </si>
  <si>
    <t>Forcierung des Störtrainings an den sicherungstechnischen Einrichtungen, vor allem unmittelbar vor ...</t>
  </si>
  <si>
    <t>Forcierung des Störtrainings an den sicherungstechnischen Einrichtungen, vor allem unmittelbar vor Ort.</t>
  </si>
  <si>
    <t>AT-0795/10</t>
  </si>
  <si>
    <t>Promoting training about the disruption of safety-technical devices, in particular on-site.</t>
  </si>
  <si>
    <t>REC-000147</t>
  </si>
  <si>
    <t>AT-0795/11</t>
  </si>
  <si>
    <t>Überprüfung, ob in bestimmten Betriebsstellen unter Zugrundelegung konkreter Parameter (z.B. hohe ...</t>
  </si>
  <si>
    <t>Überprüfung, ob in bestimmten Betriebsstellen unter Zugrundelegung konkreter Parameter (z.B. hohe Dichte an Zug-, Verschub- und Nebenfahrten, umfangreiche betriebliche und sicherungstechnische Handlungen im Zusammenhang mit der Steuerung des Betriebes, Bauarbeiten, Störungen) ein Besetzung mit zwei Fahrdienstleitern mit exakt definierten Aufgaben zweckmäßig wäre.</t>
  </si>
  <si>
    <t>AT-0795/12</t>
  </si>
  <si>
    <t>To check if in any operational units on the basis of concrete parameters (for example high frequency of train, handling and subsidiary journeys, comprehensive functional and safety-technical actions related to operation control, construction work, disturbance), it would be appropriate to assign exactly defined tasks to two train dispatchers.</t>
  </si>
  <si>
    <t>REC-000148</t>
  </si>
  <si>
    <t>AT-0795/13</t>
  </si>
  <si>
    <t>Überprüfung, ob bei bestimmten Bauarten von Sicherungsanlagen konkrete manuelle Bedienhandlungen ...</t>
  </si>
  <si>
    <t>Überprüfung, ob bei bestimmten Bauarten von Sicherungsanlagen konkrete manuelle Bedienhandlungen dann unwirksam werden, wenn gleichzeitig automatisch ablaufende Schalthandlungen durch die Sicherungsanlagen vorgenommen werden. Es sollte sichergestellt werden, dass manuellen Bedienhandlungen in bestimmten Situationen jedenfalls Priorität eingeräumt wird.</t>
  </si>
  <si>
    <t>AT-0795/14</t>
  </si>
  <si>
    <t>To check if for special construction types of safety installations, concrete manual operations would be inefficient, if simultaneously automatic switch activities are activated by safety installations. To make sure that manual operations are a priority in specific situations.</t>
  </si>
  <si>
    <t>AT-2173/1</t>
  </si>
  <si>
    <t>Überprüfung, ob Bf mit ähnlicher technischer Ausstattung bei ähnlichen Betriebssituationen (Betra, ...</t>
  </si>
  <si>
    <t>Überprüfung, ob Bf mit ähnlicher technischer Ausstattung bei ähnlichen Betriebssituationen (Betra, ..) zweimännig besetzt werden müssen. Anmerkung: Aufteilung Bedienung und Kommunikation.</t>
  </si>
  <si>
    <t>AT-2173/2</t>
  </si>
  <si>
    <t>Checking whether Bf must be filled by two persons with similar technical equipment under similar operating conditions (Betra, ..). Note: Distribution Operation and communication.</t>
  </si>
  <si>
    <t>AT-2173/3</t>
  </si>
  <si>
    <t>Überprüfung, ob Streckenabschnitte, die nicht in eine Betriebsführungszentrale eingebunden sind, ...</t>
  </si>
  <si>
    <t>Überprüfung, ob Streckenabschnitte, die nicht in eine Betriebsführungszentrale eingebunden sind, durch befugte Aufsichtsorgane (Betriebskontrollor) in betrieblichen Belangen (auch Baustellenabwicklung) beaufsichtigt werden. Anmerkung: Wurde unter A-2013/044 ausgesprochen.</t>
  </si>
  <si>
    <t>AT-2173/4</t>
  </si>
  <si>
    <t>Checking whether sections of track that are not part of an operational command center, by authorized supervisory bodies (controller of function) in operational requirements (including site management) be supervised. Note: If defined under A-2013/044.</t>
  </si>
  <si>
    <t>AT-2173/5</t>
  </si>
  <si>
    <t>Überprüfung, ob Regelwerke für Nebenfahrten in ein gesammeltes Regelwerk mit Priorität auf die ...</t>
  </si>
  <si>
    <t>Überprüfung, ob Regelwerke für Nebenfahrten in ein gesammeltes Regelwerk mit Priorität auf die höchste Sicherheitsstufe übergeführt werden soll. Anmerkung: Die bestehenden Regelwerke lassen mehrere Auslegungen zu (Fahrten mit und ohne Signalfreistellung), sollten aber eindeutige Vorgaben für die Mitarbeiter enthalten.</t>
  </si>
  <si>
    <t>AT-2173/6</t>
  </si>
  <si>
    <t>Checking whether rules for side trips to be converted into a collected set of rules with priority to the highest level of security. Note: The existing regulations allow multiple interpretations (driving with and without signal exemption), but should be clear guidelines for staff included.</t>
  </si>
  <si>
    <t>AT-2173/7</t>
  </si>
  <si>
    <t>Überprüfung, ob in einer sogenannten â€žHauptbahn-VOâ€œ die behördlichen Zuständigkeiten und ...</t>
  </si>
  <si>
    <t>Überprüfung, ob in einer sogenannten â€žHauptbahn-VOâ€œ die behördlichen Zuständigkeiten und Bestimmungen für die Anforderungen an die jeweilige Strecke festgelegt werden müssen. Anmerkung: Zu einer Kollision eines Güterzuges mit einer Verschubfahrt in einem Tunnel wurde 2009 (ohne Zahl) bereits eine ähnliche Sicherheitsempfehlung ausgesprochen.</t>
  </si>
  <si>
    <t>AT-2173/8</t>
  </si>
  <si>
    <t>Checking whether the regulatory responsibilities and rules for the requirements on the particular route must be defined in a so-called "main railway VO". Note: For a collision of a freight train with a trip in a tunnel has already issued a similar safety recommendation in 2009 (without number).</t>
  </si>
  <si>
    <t>AT-2173/9</t>
  </si>
  <si>
    <t>Überprüfung, ob alle dispositiven Gespräche grundsätzlich fmdl erfolgen sollten. Anmerkung: ...</t>
  </si>
  <si>
    <t>Überprüfung, ob alle dispositiven Gespräche grundsätzlich fmdl erfolgen sollten. Anmerkung: Aufzeichnung auf Sprachspeicher.</t>
  </si>
  <si>
    <t>AT-2173/10</t>
  </si>
  <si>
    <t>Verify that all dispositive talks should basically FMDL. Note: Recording of voice storage.</t>
  </si>
  <si>
    <t>AT-2173/11</t>
  </si>
  <si>
    <t>Überprüfung, ob Regelwerke zur Bedienung der Sicherungsanlagen des IM (S), in ein ...</t>
  </si>
  <si>
    <t>Überprüfung, ob Regelwerke zur Bedienung der Sicherungsanlagen des IM (S), in ein behörden-genehmigungspflichtiges Regelwerk übernommen werden müssen.</t>
  </si>
  <si>
    <t>AT-2173/12</t>
  </si>
  <si>
    <t>Checking whether rules for the operation of the safety installations must be taken over IM (S) into a-agency subject to approval of rules.</t>
  </si>
  <si>
    <t>AT-2268/1</t>
  </si>
  <si>
    <t>Inspektionsfristen</t>
  </si>
  <si>
    <t>Überprüfung, ob auf Grund des Zustandes der Weichen (ab Erreichen einer Eingriffsschwelle) eine Verkürzung der Inspektionsfristen einschließlich Dokumentation erfolgen muss. Anmerkung: Auch bei Einrichtung von Langsamfahrstellen sollte der Zustand der Weichen bei einem verkürzten Inspektionsintervall überprüft und dokumentiert werden.</t>
  </si>
  <si>
    <t>AT-2268/2</t>
  </si>
  <si>
    <t>Checking whether due to the state of the switch (after reaching a threshold for intervention) must be made to shorten the inspection time limits including documentation. Note: Even with establishment of speed restrictions, the state of the switch should be checked and documented in a shortened inspection interval.</t>
  </si>
  <si>
    <t>AT-2268/3</t>
  </si>
  <si>
    <t>Gewichtskontrollen</t>
  </si>
  <si>
    <t>Sicherstellung, dass durch verstärkte Kontrollen Überladungen von Güterwagen verhindert werden. Anmerkung: Alle Möglichkeiten zur Verhinderung von Überladungen sind heranzuziehen. Zuglauf-Checkpoints fallen in den Verantwortungsbereich des IM.</t>
  </si>
  <si>
    <t>AT-2268/4</t>
  </si>
  <si>
    <t>Ensure that, with increased controls overloads of wagons can be prevented. Note: All the ways to prevent overloads are to be used. Train running checkpoints fall within the responsibility of the IM.</t>
  </si>
  <si>
    <t>AT-2268/5</t>
  </si>
  <si>
    <t>Kennzeichnung von überlasteten Radsätzen</t>
  </si>
  <si>
    <t>Überprüfung, ob die Kennzeichnung der Radsatzwelle - eines Radsatzes, bei dem die höchste Lastgrenze überschritten wurde - mit einem Kreuz in weißer Farbe gemäß Anlage 9, Anhang 8, Punkt 2 des AVV präzisiert werden sollte (Abmessungen, Farbqualität, ...).</t>
  </si>
  <si>
    <t>AT-2268/6</t>
  </si>
  <si>
    <t>Checking whether the identification of the axle - a wheel set, in which the highest load limit has been exceeded - with a cross in white paint in accordance with Appendix 9, Annex 8, paragraph 2 of the GCU should be specified (dimensions, color quality, ...).</t>
  </si>
  <si>
    <t>REC-000030</t>
  </si>
  <si>
    <t>AT-2325/1</t>
  </si>
  <si>
    <t>Überprüfung, ob durch eine Reduktion der Überhöhungen und damit verbundene Reduktion der zulässigen ...</t>
  </si>
  <si>
    <t>Überprüfung, ob durch eine Reduktion der Überhöhungen und damit verbundene Reduktion der zulässigen Höchstgeschwindigkeit auf Gleis 1 die Gefahr des Entgleisens von Güterwagen, der betreffenden Gattung in ungünstigem Beladezustand, reduziert. Anmerkung: Dadurch reduziert sich in den anschließenden Weichenbereichen von Gleis 1, Gleis 3 und Gleis 5 die maximale Überhöhung von 150 mm auf ca. 75 mm.</t>
  </si>
  <si>
    <t>AT-2325/2</t>
  </si>
  <si>
    <t>Checking whether by reducing the peaks and the associated reduction in the speed limit on track 1 derailment of freight cars, the relevant species in unfavorable loading condition is reduced. Note: This reduces the subsequent course ranges from track 1, track 3 and track 5, the maximum cant of 150 mm to about 75 mm.</t>
  </si>
  <si>
    <t>AT-2325/3</t>
  </si>
  <si>
    <t>Sicherstellung eines ausreichenden Schmierzustandes der Fahrkante. Anmerkung: Siehe EN 14363, ...</t>
  </si>
  <si>
    <t>Sicherstellung eines ausreichenden Schmierzustandes der Fahrkante. Anmerkung: Siehe EN 14363, Anhang A. Wenn dies auf Grund der Betriebssituation durch Fahrzeuge mit Spurkranzschmiereinrichtungen nicht ausreichend erfolgen kann, muss der ausreichende Schmierfilm der Fahrkante durch den Einsatz einer ortsfesten Schienenflankenschmiereinrichtung oder den Einsatz eines Schmierwagens sichergestellt werden (Bereits 2010 ausgesprochen).</t>
  </si>
  <si>
    <t>AT-2325/4</t>
  </si>
  <si>
    <t>Ensure sufficient lubrication condition of the running edge. Note: See EN 14363, Appendix A. If this can not be sufficient due to the operational situation by vehicles with wheel flange lubricators, the sufficient lubricating film of the running edge through the use of a fixed rail flank lubrication device or the use has a lubricating car be ensured (pronounced early as 2010).</t>
  </si>
  <si>
    <t>AT-2325/5</t>
  </si>
  <si>
    <t>Präzisierung des Anforderungskatalogs an Triebfahrzeuge für die Zulassung im Netz des IM bezüglich ...</t>
  </si>
  <si>
    <t>Präzisierung des Anforderungskatalogs an Triebfahrzeuge für die Zulassung im Netz des IM bezüglich Spurkranzschmierungen im Sinne der EN 15427. Anmerkung: Gründung eine Arbeitsgruppe zur Erstellung der Bedingungen für die Fahrkantenschmierung. Erstellung eines Bestandskatasters der ortsfesten Schienenflankenschmiereinrichtungen.</t>
  </si>
  <si>
    <t>AT-2325/6</t>
  </si>
  <si>
    <t>Clarification of the requirements catalog to drive vehicles for admission in the network of IM with respect to wheel flange lubrication in the EN 15427 senses. Note: establishment a working group to create the conditions for the traveling edge lubrication. Draw up an inventory cadastre of the stationary rail flank lubrication devices.</t>
  </si>
  <si>
    <t>AT-2325/7</t>
  </si>
  <si>
    <t>Überprüfung, ob bei Fehlen der gemäß UIC 472 geforderte Bewegungsfreiheit, die Relativ-Wankbewegung ...</t>
  </si>
  <si>
    <t>Überprüfung, ob bei Fehlen der gemäß UIC 472 geforderte Bewegungsfreiheit, die Relativ-Wankbewegung (Z-Achse) der beiden Fahrzeugteile durch die gemäß UIC 530-2 definierte Verwindesteifigkeit ct* (ursprünglich für Wagen mit zwei Drehgestellen bzw. Radsätzen) ausreichend ist. Anmerkung: UIC 472, Punkt 3.3 für Gelenkwagen geforderte Sicherstellung der im Betrieb geforderten Bewegungsfreiheit um die X-, Y- und Z-Achsen.</t>
  </si>
  <si>
    <t>AT-2325/8</t>
  </si>
  <si>
    <t>Checking whether the absence of the UIC 472 required freedom of movement, the relative rolling motion (Z axis) of the two vehicle parts ct * (originally for cars with two bogies and wheelsets) is sufficient by the UIC 530-2 defined Verwindesteifigkeit. Note: UIC 472, point 3.3 required for Gelenkwagen ensure the required operational freedom of movement around the X-, Y-and Z-axes.</t>
  </si>
  <si>
    <t>AT-2325/9</t>
  </si>
  <si>
    <t>Überprüfung der Zulassung â€žSggrsâ€œ, dabei sollte sichergestellt sein, dass die beiden Fahrzeugteile ...</t>
  </si>
  <si>
    <t>Überprüfung der Zulassung â€žSggrsâ€œ, dabei sollte sichergestellt sein, dass die beiden Fahrzeugteile bei Bogenstellung und Verhältnis der Drehgestellfahrmassen 1:3 des â€žSggrsâ€œ die Bestimmungen für die Entgleisungssicherheit, auf Gleisabschnitten die laut TSI xx Infra nicht ausgeschlossen sind, einhalten Anmerkung: Seitens der ERA ist geplant, im Rahmen der Task Force â€žTechnical Networkâ€œ solche und ähnliche technische Fragen zu behandeln.</t>
  </si>
  <si>
    <t>AT-2325/10</t>
  </si>
  <si>
    <t>Review of approval "Sggrs", it should be ensured that the two vehicle parts 1:3 of the "Sggrs" comply with bow position and relationship of the bogie drive masses of the provisions for safety against derailment, on sections of track xx the TSI Infra are not excluded, Note: the part of the ERA is planned to handle these and similar technical issues in the framework of the Task Force "Technical Network".</t>
  </si>
  <si>
    <t>AT-2325/11</t>
  </si>
  <si>
    <t>Überprüfung, ob das Verhältnis der Drehgestellfahrmassen 1:3 gemäß Punkt 3.3 des Beladetarifs für ...</t>
  </si>
  <si>
    <t>Überprüfung, ob das Verhältnis der Drehgestellfahrmassen 1:3 gemäß Punkt 3.3 des Beladetarifs für Gelenkwagen in allen Beladefällen zulässig ist. Begründung: Diese Bestimmung wurde ursprünglich für Wagen mit zwei Drehgestellen (Radsätzen) festgelegt.</t>
  </si>
  <si>
    <t>AT-2325/12</t>
  </si>
  <si>
    <t>Checking whether the ratio of the driving bogie masses 1:3 is permitted under paragraph 3.3 of the Beladetarifs for articulated cars in all Beladefällen. Reason: This provision was originally set for cars with two bogies (wheel sets).</t>
  </si>
  <si>
    <t>AT-2325/13</t>
  </si>
  <si>
    <t>Überprüfung, ob durch eine Neusituierung der EK km 38,273 eine Verbesserung der Linienführung zu ...</t>
  </si>
  <si>
    <t>Überprüfung, ob durch eine Neusituierung der EK km 38,273 eine Verbesserung der Linienführung zu erreichen wäre. Anmerkung: Bereits 2010 ausgesprochen.</t>
  </si>
  <si>
    <t>AT-2325/14</t>
  </si>
  <si>
    <t>Checking whether by a Neusituierung the EK km 38.273 to improve the lines could be achieved. Note: In 2010 pronounced.</t>
  </si>
  <si>
    <t>AT-2325/15</t>
  </si>
  <si>
    <t>Sicherstellung, dass der Korrekturkoeffizient ? (Faktor â€žkappaâ€œ gemäß Merkblatt UIC 544-1, Anlage K2), bei der Ermittlung der Bremshundertstel für Güterzüge mit Längen &gt; 500 m angewendet wird. Anmerkung: Bereits 2008, 2009 und 2010 ausgesprochen.</t>
  </si>
  <si>
    <t>AT-2325/16</t>
  </si>
  <si>
    <t>Ensuring that the correction coefficient? (Factor "kappa" in accordance with UIC Leaflet 544-1, Appendix K2), in determining the brake mass percentage for freight trains with lengths&gt; 500 m is applied. Note: Back in 2008, 2009 and 2010 expressed.</t>
  </si>
  <si>
    <t>REC-000316</t>
  </si>
  <si>
    <t>AT-2406/1</t>
  </si>
  <si>
    <t>Sicherstellung, dass die Festlegung von Sicherungsmaß-nahmen zum Schutz der im Gefahrenraum von ...</t>
  </si>
  <si>
    <t>Sicherstellung, dass die Festlegung von Sicherungsmaßnahmen zum Schutz der im Gefahrenraum von Gleisen tätigen Personen jedenfalls auf die Art der durchzuführenden Tätigkeiten abzustimmen ist. Durch eine optimierte Planung der Tätigkeiten ist sicherzustellen, dass die Sicherungsmaßnahmen im Sinne der Bestimmungen der EisbAV nur bei zwingendem Erfordernis anzuwenden sind (siehe Anmerkung der SUB zu Punkt 7).</t>
  </si>
  <si>
    <t>AT-2406/2</t>
  </si>
  <si>
    <t>To make sure that security measures taken to protect persons working on rail tracks in a danger area are in accordance with activities to be carried out. Based on the optimal planning of activities, it should be made sure that security measures in terms of provisions of the railway regulation should be taken only if absolutely necessary (see note of Federal Investigation Authority about point 7).</t>
  </si>
  <si>
    <t>REC-000317</t>
  </si>
  <si>
    <t>AT-2406/3</t>
  </si>
  <si>
    <t>Sicherstellung, dass bei sämtlichen für die betriebliche Kom-munikation verwendeten technischen ...</t>
  </si>
  <si>
    <t>Sicherstellung, dass bei sämtlichen für die betriebliche Kom-munikation verwendeten technischen Einrichtungen Sprachspeicheraufzeichnungen erfolgen und diese regelmäßig im Hinblick auf die Einhaltung der Gesprächsdisziplin, insbesondere der vorgeschriebenen Wortlaute, überprüft werden. Anmerkung der SUB: Gleichlautende Sicherheitsempfehlungen wurden bereits 2006 und 2007 ausgesprochen. In diesem Zusammenhang wäre auch festzustellen, dass die Kontrollen der aufgezeichneten Gespräche durch das Eisenbahnunterneh-men keine Verstöße gegen das DSG 2000 darstellen.</t>
  </si>
  <si>
    <t>AT-2406/4</t>
  </si>
  <si>
    <t>To make sure that for all technical installations used for operational communication, voice recording systems are set up and that these are regularly checked as far as discipline during discussions is concerned, especially the wording. Note of the Federal Investigation Authority: Similar safety recommendations had already been issued in 2006 and 2007. In this context, it should be checked that controls of recorded discussions are not breaching the law on protection of personal data (DSG 2000).</t>
  </si>
  <si>
    <t>REC-000318</t>
  </si>
  <si>
    <t>AT-2406/5</t>
  </si>
  <si>
    <t>Das Eisenbahnunternehmen hat durch verbindliche Vorgaben und eine lückenlose Aufsicht ...</t>
  </si>
  <si>
    <t>Das Eisenbahnunternehmen hat durch verbindliche Vorgaben und eine lückenlose Aufsicht sicherzustellen, dass Sicherungsmaßnahmen für Bauarbeiten im Bereich der Gleise entsprechend den rechtlichen Vorgaben festgelegt und umgesetzt werden und dabei insbesondere die eindeutige Rangordnung der Sicherungsmaßnahmen eingehalten wird (Kein Betreten des Gefahrenraumes, keine Fahrten, technische Schutzmaßnahmen nur wenn nachweislich keine anderen Maßnahmen möglich sind, dürfen organisatorische Sicherungsmaßnahmen unter Inkaufnahme des â€žFaktor Menschâ€œ zugelassen werden). Anmerkung der SUB: Quelle Verkehrs-Arbeitsinspektorat</t>
  </si>
  <si>
    <t>AT-2406/6</t>
  </si>
  <si>
    <t>The railway undertaking has to make sure, based on binding specifications and on continuous supervision, that security measures for construction work in the area of tracks are defined and applied in accordance with legal provisions and particularly the respect of explicit ranking of protection measures (not to enter the danger area; no driving; technical protection measures only if not possible to take any other measures; organisational security measures are allowed if referring to the â€˜human factorâ€™). Note of Federal Investigation Authority: Source Labour Inspectorate for Transport</t>
  </si>
  <si>
    <t>AT-2406/7</t>
  </si>
  <si>
    <t>Das Eisenbahnunternehmen hat organisatorische Vorkeh-rungen zu treffen (allgemeine Anordnungen, ...</t>
  </si>
  <si>
    <t>Das Eisenbahnunternehmen hat organisatorische Vorkehrungen zu treffen (allgemeine Anordnungen, Aufsicht), dass die erforderlichen Unterlagen für die Vorbereitung und Ausführung von Bauarbeiten zur Vermeidung von Planungs- und Umsetzungsfehlern vereinfacht und vereinheitlicht werden. Anmerkung der SUB: Quelle Verkehrs-Arbeitsinspektorat</t>
  </si>
  <si>
    <t>AT-2406/8</t>
  </si>
  <si>
    <t>The railway undertaking has to take organisational measures (general instructions, supervision), so that the necessary documents for preparing and implementing construction works in order to avoid any mistakes in planning and implementing become simplified and coherent. Note of Federal Investigation Authority: Source Labour Inspectorate for Transport</t>
  </si>
  <si>
    <t>AT-2406/9</t>
  </si>
  <si>
    <t>Das Eisenbahnunternehmen hat organisatorische Vorkehrungen zu treffen (allgemeine Anordnungen, Aufsicht), dass die erforderlichen Funktionen und Aufgaben bei der Ausführung von Bauarbeiten im Gefahrenraum von Gleisen vereinfacht und vereinheitlicht werden. Dabei ist sicherzustellen, dass alle von den Rechtsvorschriften geforderten Funktionen auf der Baustelle auch tatsächlich besetzt sind (z.B. Baustellenkoordinator, Aufsichtsperson gemäß § 4 BauV, Sicherungsaufsicht). Gleichzeitig wären die in den Rechtsvorschrif-ten nicht vorgegebenen â€žZusatzfunktionenâ€œ dahingehend zu überprüfen, ob sie tatsächlich einer Erhöhung der Sicherheit auf der Baustelle dienen oder womöglich einen gegenteiligen Effekt erzielen. Anmerkung der SUB: Quelle Verkehrs-Arbeitsinspektorat</t>
  </si>
  <si>
    <t>AT-2406/10</t>
  </si>
  <si>
    <t>The railway undertaking has to take organisational measures (general instructions, supervision), so that the necessary functions and tasks for preparing and implementing construction works in danger areas of rail tracks become simplified and coherent. It should be made sure that all working positions required by the legal provisions for construction sites are filled (for example, construction coordinator, supervisor in accordance with §4 of law on protection of construction workers). In addition, it has to be checked whether the â€˜additional functionsâ€™ which are not mentioned in the legal provisions are in fact enhancing safety or if they have an adverse effect. Note of Federal Investigation Authority: Source Labour Inspectorate for Transport</t>
  </si>
  <si>
    <t>AT-2406/11</t>
  </si>
  <si>
    <t>Das Eisenbahnunternehmen hat organisatorische Vorkehrungen zu treffen (allgemeine Anordnungen, Aufsicht), dass die erforderlichen Maßnahmen vor Beginn der Bauarbeiten eindeutig festgelegt und lückenlos eingehalten werden (z.B. Unterweisung über die Gefahren des Bahnbetriebes). Anmerkung der SUB: Quelle Verkehrs-Arbeitsinspektorat</t>
  </si>
  <si>
    <t>AT-2406/12</t>
  </si>
  <si>
    <t>The railway undertaking has to take organisational measures (general instructions, supervision), so that the necessary measures are explicitely defined and continuously applied before starting the construction works (for example, guidance about the hazards of the railway service). Note of Federal Investigation Authority: Source Labour Inspectorate for Transport</t>
  </si>
  <si>
    <t>AT-2406/13</t>
  </si>
  <si>
    <t>Das Eisenbahnunternehmen hat organisatorische Vorkehrungen zu treffen (allgemeine Anordnungen, Aufsicht), dass mit den Bauarbeiten erst begonnen wird, wenn alle erforderlichen Vorbereitungsmaßnahmen verlässlich abgeschlossen sind (z.B. Einweisung der Arbeitnehmer in sichere Bereiche, Einweisung der Sicherungsposten, Durchführung der Hörprobe, koordinierte Zustimmung zum Beginn der Arbeiten). Anmerkung der SUB: Quelle Verkehrs-Arbeitsinspektorat</t>
  </si>
  <si>
    <t>AT-2406/14</t>
  </si>
  <si>
    <t>The railway undertaking has to take organisational measures (general instructions, supervision), so that the construction works start only if all the required preparatory measures have been completed (for example, introduction of employees in secure areas, introduction of security officers, carrying out an audio test, coordinated approval for starting works). Note of Federal Investigation Authority: Source Labour Inspectorate for Transport</t>
  </si>
  <si>
    <t>AT-2406/15</t>
  </si>
  <si>
    <t>Zur Vermeidung gleichartiger Unfallereignisse bei Bauarbeiten im Gefahrenraum der Gleise wären ...</t>
  </si>
  <si>
    <t>Zur Vermeidung gleichartiger Unfallereignisse bei Bauarbeiten im Gefahrenraum der Gleise wären überdies im Rahmen der Eisenbahnaufsicht (Eisenbahnbehörden) weitergehende grundsätzliche Strukturmaßnahmen für die Sicherheit auf Baustellen im Bereich von Gleisen erforderlich: a.Unverzüglicher â€žKassasturzâ€œ über die derzeit bestehenden und nicht einheitlich gestalteten Regelungen für die Sicherheitsmaßnahmen auf Eisenbahnbaustellen. Im Rahmen dieser Überprüfung wären nicht rechtkonforme allgemeine Anordnungen, widersprüchliche â€žDoppelregelungenâ€œ oder unnotwendige Detailregelungen für einzelne Fachbereiche rigoros zu durchforsten. b.Unverzügliche Neubetrachtung der Besetzung von Koordinationsfunktionen auf Baustellen. Dabei wäre insbesondere auch sicherzustellen, dass die Koordination von Sicherungs- und Sicherheitsaufgaben auf Baustellen im Gefahrenraum der Gleise ausschließlich durch Arbeitnehmer erfolgt, die über ausreichende theoretische Kenntnisse und praktische Erfahrung über die Gefahren des Bahnbetriebes verfügen. c.Verringerung der Schnittstellen auf Baustellen im Gefah-renraum der Gleise und Überprüfung der Bautätigkeit von â€žEisenbahnverkehrsunternehmenâ€œ, die nur für diesen Zweck gegründet wurden. Anmerkung der SUB: Quelle Verkehrs-Arbeitsinspektorat</t>
  </si>
  <si>
    <t>AT-2406/16</t>
  </si>
  <si>
    <t>To avoid similar accidents during construction works in the danger area of rail tracks referring to railway supervision (railway authorities), additional basic structure measures for security on construction sites in the area of rail tracks are required: a.Immediate checking of existing and not coherent provisions for security measures on railway construction sites. Referring to this checking, general non-conformity directives, contradictory ''double rules'' or necessary detailed regulations for special areas are to be investigated. b.Immediate reconsideration of staffing of coordination functions on construction sites. In this area, it should particularly be made sure that the coordination of security and safety tasks on construction sites in danger areas of rail tracks will be implemented exclusively by workers, who have sufficient theoretical knowledge and practical experience about the hazards of the railway service. c.Reduction of interfaces on construction sites in danger areas of rail tracks and checking the construction tasks of ''Railway transport undertakings'', which have been created for this sole purpose. Note of Federal Investigation Authority: Source Labour Inspectorate for Transport</t>
  </si>
  <si>
    <t>REC-000356</t>
  </si>
  <si>
    <t>AT-2696/1</t>
  </si>
  <si>
    <t>Die Unterweisung zum Erwerb und Wiedererwerb der Ortskenntnis für die Verschubmannschaft sollte nur ...</t>
  </si>
  <si>
    <t>Die Unterweisung zum Erwerb und Wiedererwerb der Ortskenntnis für die Verschubmannschaft sollte nur durch ein Eisenbahnunternehmen in Zusammenarbeit mit dem Eisenbahninfrastrukturunternehmen erfolgen. Es muss sichergestellt werden, dass die Unterweisung mit Berücksichtigung der Größe einer Betriebsstelle und deren allfälliger Besonderheiten erfolgt. Für den Erwerb der Ortskenntnis im Verschub sollten Besichtigungen und eine Dienstschicht unter Anleitung eines ortskundigen Personals eines Eisenbahnunternehmens zwingend vorgesehen werden (Ausnahmen bei einfachen Betriebsverhältnissen). In diesem Zusammenhang wird auch empfohlen, die Bestimmungen in der Betriebsvorschrift des IM, Zusatz 16, zur Ortskenntnis der Verschubmannschaft zu überprüfen und anzupassen. Gemäß Betriebsvorschrift des IM, Zusatz 16, §42 sind für den Erwerb der Ortskenntnis Besichtigungen im erforderlichen Umfang durch einen ortskundigen Mitarbeiter erforderlich, bei Wiedererwerb der Ortskenntnis gemäß Betriebsvorschrift des IM, Zusatz 16 §45 Abs (1), ist jedoch eine geeignete Dienstschicht unter Anleitung eines ortskundigen Verschubmitarbeiters durchzuführen. Anmerkungen: Bei Verschubfahrten gibt es derzeit keine technische Absicherung um Unfälle zu verhindern. Die sichere Abwicklung erfolgt ausschließlich durch den Faktor Mensch nach den jeweils geltenden normativen Bestimmungen. Eine den Betriebs- und Anlagenverhältnissen entsprechende Ortskenntnis ist Grundvoraussetzung für die sichere Verschubdurchführung.</t>
  </si>
  <si>
    <t>AT-2696/2</t>
  </si>
  <si>
    <t>The instruction for the acquisition and re-acquisition of local knowledge for the Verschubmannschaft should only be done by a railway company in cooperation with the railway infrastructure company . It must be ensured that the instruction takes place with regard to the size of any one operating point and their peculiarities. For the acquisition of local knowledge in shunting visits and a service layer should be made mandatory under the guidance of a knowledgeable local staff of a railway undertaking (except for simple operation conditions) . In this context, it is also recommended to check and adjust the provisions in the operating instructions of the IM , additional 16 for the local knowledge of Verschubmannschaft . According to operating instructions of the IM , extra 16, § 42 visits to the extent required by a knowledgeable local staff are required for the acquisition of local knowledge for re-acquisition of local knowledge according to the operating instructions of the IM , additional 16 § 45 para ( 1), but a proper service layer is under carry out instructions of a knowledgeable local Verschubmitarbeiters . Notes: When shunting , there are no technical means to prevent accidents. The secure processing is conducted exclusively by the human factor to the applicable legislative provisions . An operating and system conditions corresponding local knowledge is essential for the safe Verschubdurchführung .</t>
  </si>
  <si>
    <t>AT-2716/1</t>
  </si>
  <si>
    <t>Um eine Stabilisierung des Gleisschotters zu gewährleisten, sollte der Gleisschotter in Bereichen wo ...</t>
  </si>
  <si>
    <t>Um eine Stabilisierung des Gleisschotters zu gewährleisten, sollte der Gleisschotter in Bereichen wo eine Schotterbettung bis ca. 4 cm unter der Schwellenoberkante nicht gewährleistet werden kann, durch Schotterverklebungen dauerhaft gebunden werden. Anmerkung: Vermeidung von Schotterwirbel durch infrastrukturelle Maßnahmen.</t>
  </si>
  <si>
    <t>AT-2716/2</t>
  </si>
  <si>
    <t>To ensure a stabilization of track ballast, the ballast in areas where should a ballast to about 4 cm below the top edge threshold can not be guaranteed to be permanently bound by Schotterverklebungen. Note: avoid gravel vertebrae by infrastructural measures.</t>
  </si>
  <si>
    <t>REC-000432</t>
  </si>
  <si>
    <t>AT-2716/3</t>
  </si>
  <si>
    <t>Es ist weitestgehend sicherzustellen, dass Schnee- und Eisablagerungen an Fahrzeugen vermieden ...</t>
  </si>
  <si>
    <t>Es ist weitestgehend sicherzustellen, dass Schnee- und Eisablagerungen an Fahrzeugen vermieden werden (z.B. durch Unterflurreinigung, Hinterstellung in geheizten Hallen und dgl.). Anmerkung: Vermeidung von Schotterwirbel durch fahrzeugseitige Maßnahmen.</t>
  </si>
  <si>
    <t>AT-2716/4</t>
  </si>
  <si>
    <t>It is largely to ensure that snow and ice accumulations are avoided on vehicles (eg underfloor cleaning, rear position in heated halls and the like). Note: avoid gravel vertebrae by vehicle-side measures.</t>
  </si>
  <si>
    <t>REC-000433</t>
  </si>
  <si>
    <t>AT-2716/5</t>
  </si>
  <si>
    <t>Die Anweisung BL-STA-00003-000020-12 â€žMaßnahmen bei Eisabwurf mit Schotterwirbelâ€¦..â€œ im Punkt 7.4 ...</t>
  </si>
  <si>
    <t>Die Anweisung BL-STA-00003-000020-12 â€žMaßnahmen bei Eisabwurf mit Schotterwirbelâ€¦..â€œ im Punkt 7.4 des Untersuchungsberichts ist durchaus als sicherheitsrelevante Anweisung zur Gewährleistung der Sicherheit des Betriebes zu betrachten. Es sollte geprüft werden ob diese Anweisung sowie allenfalls bestehende weitere Anweisungen in diesem Zusammenhang einem behördlichen Genehmigungsverfahren gemäß §21a Abs. 3 EisbG zu unterziehen wären.</t>
  </si>
  <si>
    <t>AT-2716/6</t>
  </si>
  <si>
    <t>The statement BL-STA-00003-000020 12 "measures with gravel ice shedding vortex ....." in Item 7.4 of the investigation report is reasonably anticipated to be safety-relevant instructions to ensure the safety of the operation. It should be examined whether this statement as well as any existing further instructions in this regard a regulatory approval process in accordance with § 21a para 3 EisbG would have to undergo.</t>
  </si>
  <si>
    <t>REC-000452</t>
  </si>
  <si>
    <t>AT-2717/1</t>
  </si>
  <si>
    <t>Überprüfung, ob eine entsprechende Expertise zur Beanspruchung von Radsätzen durch eine einseitig ...</t>
  </si>
  <si>
    <t>Überprüfung, ob eine entsprechende Expertise zur Beanspruchung von Radsätzen durch eine einseitig wirkende Gleisbremse erstellt werden muss. Begründung: Für die Berechnung der Beanspruchung der Radsatzwelle bei einer Abbremsung durch eine einseitig wirkende Gleisbremse (Bremsung eines Rades) liegen keine Gutachten sowie Erklärungen einer § 40-Person vor.</t>
  </si>
  <si>
    <t>AT-2717/2</t>
  </si>
  <si>
    <t>Checking whether the requisite expertise for exposing wheelsets must be created by a one-way track brake. Reason: For the calculation of the stress on the axle at a deceleration by a one-way track brake (braking of a wheel) There are no reports as well as statements of § 40-person.</t>
  </si>
  <si>
    <t>REC-000453</t>
  </si>
  <si>
    <t>AT-2717/3</t>
  </si>
  <si>
    <t>Überprüfung, ob die EN 13103 zur Berechnung der Bean-spruchung von Radsatzwellen auf einer einseitig ...</t>
  </si>
  <si>
    <t>Überprüfung, ob die EN 13103 zur Berechnung der Bean-spruchung von Radsatzwellen auf einer einseitig wirkenden Gleisbremse ausreichend ist. Anmerkung: Gemäß EN 13103 wurde vereinbart, dass das Torsionsmoment zwischen den Messkreisebenen bei einem Wert von 0,3 Pâ€™R bestimmt wird.</t>
  </si>
  <si>
    <t>AT-2717/4</t>
  </si>
  <si>
    <t>Checking whether the EN 13103 for the calculation to the load produced by the axles on a unidirectional track brake is sufficient. Note: According to EN 13103 has been agreed that the torsional moment between the measuring circuit levels is determined at a value of 0.3 P'R.</t>
  </si>
  <si>
    <t>REC-000454</t>
  </si>
  <si>
    <t>AT-2717/5</t>
  </si>
  <si>
    <t>Überprüfung, ob für die Beanspruchung von Radscheiben durch Gleisbremsen, die EN 13979-1 ausreichend ...</t>
  </si>
  <si>
    <t>Überprüfung, ob für die Beanspruchung von Radscheiben durch Gleisbremsen, die EN 13979-1 ausreichend ist. Anmerkung: Für die Beanspruchung von Radscheiben durch Gleisbremsen ist kein Berechnungsmodell bekannt.</t>
  </si>
  <si>
    <t>AT-2717/6</t>
  </si>
  <si>
    <t>Checking whether the stress of wheel discs by a rail brake, the EN 13979-1 is sufficient. Note: When claiming wheel discs by a rail brake no calculation model is known.</t>
  </si>
  <si>
    <t>REC-000455</t>
  </si>
  <si>
    <t>AT-2717/7</t>
  </si>
  <si>
    <t>Sicherstellung, dass Wagen mit Radsätzen, die eine nicht regelkonform überwalzte Radlauffläche ...</t>
  </si>
  <si>
    <t>Sicherstellung, dass Wagen mit Radsätzen, die eine nicht regelkonform überwalzte Radlauffläche aufweisen, nicht in der Abrollanlage behandelt werden. Anmerkung: Auf Grund der übermittelten Bilder kann davon ausgegangen werden, dass zumindest bei einem Fall eine nicht regelkonform überwalzte Radlauffläche als Ursache für die Entgleisung anzusehen ist.</t>
  </si>
  <si>
    <t>AT-2717/8</t>
  </si>
  <si>
    <t>Ensuring that car with wheels, which have a non-compliant over rolled wheel tread can not be treated in the Abrollanlage. Note: Due to the transmitted images can be assumed that at least in one case, a non-compliant over rolled wheel tread is to be regarded as the cause of the derailment.</t>
  </si>
  <si>
    <t>REC-000456</t>
  </si>
  <si>
    <t>AT-2717/9</t>
  </si>
  <si>
    <t>Überprüfung, ob der zulässige Höchstwert für Überwalzungen mit 5 mm gemäß EN 13103 Punkt 6.2.2.3 ...</t>
  </si>
  <si>
    <t>Überprüfung, ob der zulässige Höchstwert für Überwalzungen mit 5 mm gemäß EN 13103 Punkt 6.2.2.3 zulässig ist. Anmerkung: Werte des AVV in die EN übernehmen.</t>
  </si>
  <si>
    <t>AT-2717/10</t>
  </si>
  <si>
    <t>Checking whether the maximum value allowed for overrollings with 5 mm according to EN 13103 point 6.2.2.3 is allowed. Note: assume values â€‹â€‹of the GCU in the EN.</t>
  </si>
  <si>
    <t>AT-2739/1</t>
  </si>
  <si>
    <t>Überprüfung von Stoßlücken</t>
  </si>
  <si>
    <t>Sicherstellung, dass alle Strecken mit gelaschten Stoßlücken und ähnlichen Trassierungsparameter auf Anrisse bei den Laschenbefestigungen überprüft werden. Anmerkung z. B. Semmeringstrecke</t>
  </si>
  <si>
    <t>AT-2739/2</t>
  </si>
  <si>
    <t>Ensure that all routes with gelaschten shock gaps and similar route planning are checked for cracks when the tab mounts. Note, for example, Semmering Railway</t>
  </si>
  <si>
    <t>REC-000442</t>
  </si>
  <si>
    <t>AT-2739/3</t>
  </si>
  <si>
    <t>Vermeidung von Stoßlücken</t>
  </si>
  <si>
    <t>Überprüfung, ob auch in engen Gleisbögen durch einen erweiterten Einsatz von lückenlos verschweißten Gleisen, verlaschte Stoßlücken vermieden werden können.</t>
  </si>
  <si>
    <t>AT-2739/4</t>
  </si>
  <si>
    <t>Verification that can be avoided by an extended use of continuously welded rails, verlaschte shock gaps even in tight curves.</t>
  </si>
  <si>
    <t>REC-000443</t>
  </si>
  <si>
    <t>AT-2739/5</t>
  </si>
  <si>
    <t>Schienenbefestigungen</t>
  </si>
  <si>
    <t>Überprüfung, ob durch Verwendung von kippstabilisierenden Schienenbefestigungen eine Verbesserung des Spannungszustandes in den Schienen erzielt werden kann.</t>
  </si>
  <si>
    <t>AT-2739/6</t>
  </si>
  <si>
    <t>Checking if an improvement of the stress state can be achieved in the rails by using kippstabilisierenden rail fastenings.</t>
  </si>
  <si>
    <t>REC-000382</t>
  </si>
  <si>
    <t>AT-2745/1</t>
  </si>
  <si>
    <t>Veranlassung, dass die erforderlichen Bodenmarkierungen hergestellt werden. Anmerkung: aus Richtung ...</t>
  </si>
  <si>
    <t>Veranlassung, dass die erforderlichen Bodenmarkierungen hergestellt werden. Anmerkung: aus Richtung Rutesheimer Straße fehlen diese zur Gänze.</t>
  </si>
  <si>
    <t>AT-2745/2</t>
  </si>
  <si>
    <t>Reason to believe that the necessary road markings are made. Note: Rutesheimer road from the direction of these missing entirely.</t>
  </si>
  <si>
    <t>AT-2745/3</t>
  </si>
  <si>
    <t>Sicherstellung, dass die Vorrangregelungen entsprechend dem Bescheid vom 31. August 2007 ...</t>
  </si>
  <si>
    <t>Sicherstellung, dass die Vorrangregelungen entsprechend dem Bescheid vom 31. August 2007 ausgeführt werden. Begründung: Gewährleistung der ordnungsgemäßen Räumung der Eisenbahnkreuzung (Vorrangregelung an der Kreuzung Rutesheimer Straße/Punzenauweg).</t>
  </si>
  <si>
    <t>AT-2745/4</t>
  </si>
  <si>
    <t>Ensuring that the priority rules in accordance with the decision of 31 Executed August 2007 are. Reason: To ensure the proper clearance of the railway crossing (priority control at the intersection Rutesheimer Street / Punzenauweg).</t>
  </si>
  <si>
    <t>REC-000391</t>
  </si>
  <si>
    <t>AT-2744/1</t>
  </si>
  <si>
    <t>Sicherstellung, dass insbesondere â€“ im Anlassfall - bei relevanten Exkursionen der verantwortliche ...</t>
  </si>
  <si>
    <t>Sicherstellung, dass insbesondere â€“ im Anlassfall - bei relevanten Exkursionen der verantwortliche Lehrkörper die erforderlichen Sicherheitsunterweisungen bezüglich Verhalten auf Eisenbahnkreuzungen erfährt. Des Weiteren ist sicherzustellen, dass die bezughabenden Inhalte der Sicherheitsunterweisung auch an die zu beaufsichtigenden Schüler weitergegeben werden.</t>
  </si>
  <si>
    <t>AT-2744/2</t>
  </si>
  <si>
    <t>Ensuring that in particular - in the case in - with relevant excursions of responsible faculty the necessary safety training experiences on railroad crossings with respect to behavior. Furthermore, ensure that the contents of the relation-off safety instructions are also passed on to the students to be supervised.</t>
  </si>
  <si>
    <t>REC-000392</t>
  </si>
  <si>
    <t>AT-2744/3</t>
  </si>
  <si>
    <t>Bahn- und straßenseitige Überprüfung der EK. Dies umfasst insbesondere die Berücksichtigung der ...</t>
  </si>
  <si>
    <t>Bahn- und straßenseitige Überprüfung der EK. Dies umfasst insbesondere die Berücksichtigung der bestehenden Verkehrsverhältnisse sowie möglicher geänderter Parameter und die Situierung der technischen Einrichtungen und Straßenverkehrszeichen bzw. Signale (z.B. Aufstellungspunkte, Sichtbarkeit der Einrichtungen, Haltelinien, Baken udgl.).</t>
  </si>
  <si>
    <t>AT-2744/4</t>
  </si>
  <si>
    <t>Rail and road-side review of the EC. This includes in particular the consideration of the existing traffic conditions and possible changed parameters and the siting of the technical facilities and road signs and signals (such as placing points, visibility of the facilities, holding lines, beacons udgl.).</t>
  </si>
  <si>
    <t>REC-000393</t>
  </si>
  <si>
    <t>AT-2744/5</t>
  </si>
  <si>
    <t>Überprüfung, ob durch Anbringung eines akustischen Gefahrsignals an der EK (z. B. Läutewerk) ein ...</t>
  </si>
  <si>
    <t>Überprüfung, ob durch Anbringung eines akustischen Gefahrsignals an der EK (z. B. Läutewerk) ein Gewinn an Sicherheit erzielt werden kann.</t>
  </si>
  <si>
    <t>AT-2744/6</t>
  </si>
  <si>
    <t>Checking whether a sound by attachment Danger signal to the EC (eg alarm bell) a gain in Safety can be achieved.</t>
  </si>
  <si>
    <t>REC-000444</t>
  </si>
  <si>
    <t>AT-2743/1</t>
  </si>
  <si>
    <t>Überprüfung, ob die Bestimmungen für die Verwendung (ZSB 14) und Pflege von Hemmschuhen überarbeitet ...</t>
  </si>
  <si>
    <t>Überprüfung, ob die Bestimmungen für die Verwendung (ZSB 14) und Pflege von Hemmschuhen überarbeitet und an technische Erkenntnisse angepasst werden müssen. Begründung: Siehe DB AG 718.0105 Rangieren â€“ Aufgaben des Hemmschuhlegers vom 1. März 1996</t>
  </si>
  <si>
    <t>AT-2743/2</t>
  </si>
  <si>
    <t>Review shall be whether the provisions for the use (DSB 14) and revised care of skids and adapted to technical knowledge. Justification: See DB AG 718.0105 maneuvering - Duties of Hemmschuhlegers of 1 March 1996</t>
  </si>
  <si>
    <t>REC-000445</t>
  </si>
  <si>
    <t>AT-2743/3</t>
  </si>
  <si>
    <t>Überprüfung, ob im IS2-T1 Fristen für die Behebung von Mängel gemäß Punkt 2 â€“ Augenscheinliche ...</t>
  </si>
  <si>
    <t>Überprüfung, ob im IS2-T1 Fristen für die Behebung von Mängel gemäß Punkt 2 â€“ Augenscheinliche Kontrolle (allgemeine Streckenaufsicht) festgelegt werden müssen. Weiteres sollten bis zur Behebung erforderliche betriebliche Maßnahmen festgelegt werden. Erläuterung: Maßnahme im Bereich von Spritzstößen ein Verbot für Abbremsen mittels Hemmschuh aussprechen..</t>
  </si>
  <si>
    <t>AT-2743/4</t>
  </si>
  <si>
    <t>Checking whether the IS2-T1 deadlines for the correction of defects in accordance with point 2 - Apparent control (general line supervision) must be specified. More should be set up to correct operational measures required. Explanation: pronounce a ban on using drag braking action in the field of spray impact ..</t>
  </si>
  <si>
    <t>REC-000446</t>
  </si>
  <si>
    <t>AT-2743/5</t>
  </si>
  <si>
    <t>Aufarbeitung des Vorfalles im Dienstunterricht</t>
  </si>
  <si>
    <t>Aufarbeitung des Vorfalles im Dienstunterricht für Verschubbedienstete. Anmerkung: Österreichweit</t>
  </si>
  <si>
    <t>AT-2743/6</t>
  </si>
  <si>
    <t>Work-up of the incident in the service classes for Verschubbedienstete. Note: Throughout Austria</t>
  </si>
  <si>
    <t>REC-000447</t>
  </si>
  <si>
    <t>AT-2743/7</t>
  </si>
  <si>
    <t>Überprüfung, ob die Bestimmungen bezüglich der Verwendung von einlaschigen Hemmschuhe in der ZSB 14 ...</t>
  </si>
  <si>
    <t>Überprüfung, ob die Bestimmungen bezüglich der Verwendung von einlaschigen Hemmschuhe in der ZSB 14 noch relevant sind.</t>
  </si>
  <si>
    <t>AT-2743/8</t>
  </si>
  <si>
    <t>Checking whether the provisions regarding the use of einlaschigen chocks in the DSB 14 are still relevant.</t>
  </si>
  <si>
    <t>AT-2740/1</t>
  </si>
  <si>
    <t>Überprüfung, ob eine Evaluierung der EK erfolgen muss. Begründung: Die Betriebsbewilligung erfolgte ...</t>
  </si>
  <si>
    <t>Überprüfung, ob eine Evaluierung der EK erfolgen muss. Begründung: Die Betriebsbewilligung erfolgte mit Bescheid vom 14. Jänner 1988 (Zl. 226.327-1-II/2-1988 vom Bundesministerium für öffentliche Wirtschaft und Verkehr).</t>
  </si>
  <si>
    <t>AT-2740/2</t>
  </si>
  <si>
    <t>Checking if an evaluation of the EC must be done. Explanation: The operating license was made by decision of 14 January 1988 (Zl 226.327-1-II/2-1988 by the Federal Ministry for Public Economy and Transport).</t>
  </si>
  <si>
    <t>AT-2740/3</t>
  </si>
  <si>
    <t>Sicherstellung, dass alle in Zügen eingereihten Fahrzeuge eine gültige Eintragung im ...</t>
  </si>
  <si>
    <t>AT-2740/4</t>
  </si>
  <si>
    <t>Ensuring that all trains queued vehicles have a valid entry in the Austrian railway vehicle Register.</t>
  </si>
  <si>
    <t>REC-000394</t>
  </si>
  <si>
    <t>AT-2751/1</t>
  </si>
  <si>
    <t>Sicherstellung, dass vordringlich eine Überprüfung der EK km 13,985 gemäß § 103 Abs. 1 EisbKrV ...</t>
  </si>
  <si>
    <t>Sicherstellung, dass vordringlich eine Überprüfung der EK km 13,985 gemäß § 103 Abs. 1 EisbKrV durchgeführt wird. Anmerkung: Es konnte durch die SUB nicht überprüft werden, ob durch die Bauten und den Bewuchs im Bauverbotsbereich gemäß § 42 Abs 1EisbG 1957 eine Einschränkung der Hörbarkeit der akustischen Signale vom Schienenfahrzeug aus bewirkt werden.</t>
  </si>
  <si>
    <t>AT-2751/2</t>
  </si>
  <si>
    <t>Ensuring that an urgent review of the EK 13,985 km according to § 103 para 1 EisbKrV is performed. Note: It could not be verified whether a restriction on the audibility of the acoustic signals are caused by the rail car by the buildings and fouling in the construction ban area in accordance with § 42 para 1EisbG 1957 by the SUB.</t>
  </si>
  <si>
    <t>AT-2751/3</t>
  </si>
  <si>
    <t>Sicherstellung, dass vordringlich eine Überprüfung der EK km 13,985 gemäß § 103 Abs. 1 EisbKrV durchgeführt wird. Dabei ist auf die Bauten und den Bewuchs im Bauverbotsbereich zu achten. Anmerkung: Es konnte durch die SUB nicht überprüft werden, ob durch die Bauten und den Bewuchs im Bauverbotsbereich gemäß § 42 Abs 1 EisbG 1957 eine Einschränkung der Hörbarkeit der akustischen Signale vom Schienenfahrzeug aus bewirkt werden.</t>
  </si>
  <si>
    <t>AT-2751/4</t>
  </si>
  <si>
    <t>Ensuring that an urgent review of the EK 13,985 km according to § 103 para 1 EisbKrV is performed. It is important to pay attention to the buildings and fouling in the construction ban area. Note: It could not be verified by the SUB whether a limitation of the audibility of the acoustic signals are caused by the rail car by the buildings and fouling in the construction ban area in accordance with § 42 para 1 Railway Act, 1957.</t>
  </si>
  <si>
    <t>REC-000384</t>
  </si>
  <si>
    <t>AT-2750/1</t>
  </si>
  <si>
    <t>Abhalten von besonderen Informationsveranstaltungen vor Ort über EK im Allgemeinen und das ...</t>
  </si>
  <si>
    <t>Abhalten von besonderen Informationsveranstaltungen vor Ort über EK im Allgemeinen und das richtige Verhalten der Straßenverkehrsteilnehmer im Besonderen (z.B. in Gemeinden, in Schulen, direkt bei der EK udgl.).</t>
  </si>
  <si>
    <t>AT-2750/2</t>
  </si>
  <si>
    <t>Hold special briefings on local equity in general and the right Behavior of road users in particular (eg, in communities, in schools, directly to the EC udgl.).</t>
  </si>
  <si>
    <t>AT-2750/3</t>
  </si>
  <si>
    <t>Schwerpunktaktion der Exekutive direkt vor Ort bei der EK.</t>
  </si>
  <si>
    <t>AT-2750/4</t>
  </si>
  <si>
    <t>Focus action of the executive on the spot with the EC.</t>
  </si>
  <si>
    <t>AT-2750/5</t>
  </si>
  <si>
    <t>Schulung der im Linienverkehr eingesetzten Buslenker über das StVO-konforme Verhalten im Bereich ...</t>
  </si>
  <si>
    <t>Schulung der im Linienverkehr eingesetzten Buslenker über das StVO-konforme Verhalten im Bereich einer EK.</t>
  </si>
  <si>
    <t>AT-2750/6</t>
  </si>
  <si>
    <t>Training of bus drivers employed in regular service on the Highway Code-compliant behavior in a EK.</t>
  </si>
  <si>
    <t>AT-2750/7</t>
  </si>
  <si>
    <t>Überprüfung, inwieweit im Rahmen eines Pilotversuchs eine gesonderte Kennzeichnung des unmittelbaren ...</t>
  </si>
  <si>
    <t>Überprüfung, inwieweit im Rahmen eines Pilotversuchs eine gesonderte Kennzeichnung des unmittelbaren Kreuzungsbereiches zwischen Schiene und Straße aufgebracht werden kann.</t>
  </si>
  <si>
    <t>AT-2750/8</t>
  </si>
  <si>
    <t>Examine how, as a pilot experiment, a separate identification of the direct crossing region can be applied between rail and road.</t>
  </si>
  <si>
    <t>REC-000388</t>
  </si>
  <si>
    <t>AT-2750/9</t>
  </si>
  <si>
    <t>Errichtung einer Rotlichtüberwachungskamera zur Überwachung des Verhaltens der ...</t>
  </si>
  <si>
    <t>Errichtung einer Rotlichtüberwachungskamera zur Überwachung des Verhaltens der Straßenverkehrsteilnehmer bei haltzeigenden Lichtzeichen der EK.</t>
  </si>
  <si>
    <t>AT-2750/10</t>
  </si>
  <si>
    <t>Establishing a red light enforcement camera for monitoring the behavior of road users at stop light signs pointing the EC.</t>
  </si>
  <si>
    <t>AT-2748/1</t>
  </si>
  <si>
    <t>Sicherstellung, dass die Zug 1- Fahrzeuge den Bestimmungen der TSI HS RST und mit geltenden ...</t>
  </si>
  <si>
    <t>Sicherstellung, dass die Zug 1- Fahrzeuge den Bestimmungen der TSI HS RST und mit geltenden Regelwerken (EN) entspricht. Anmerkung: Eignung für das Befahren von Strecken mit hohen Tunnelanteilen (zumindest Bestimmungen gemäß EN 14067-5, Anhang B, B.1 bzw. RIC-Kennzeichnung )p( ).</t>
  </si>
  <si>
    <t>AT-2748/2</t>
  </si>
  <si>
    <t>Ensuring that the train 1 - vehicles comply with the provisions of the TSI HS RST and with applicable accounting standards (EN). Note: Suitable for driving on routes with high tunnel shares (at least according to EN 14067-5 regulations, Appendix B, B.1 or RIC marking) p ().</t>
  </si>
  <si>
    <t>AT-2748/3</t>
  </si>
  <si>
    <t>Sicherstellung, dass die Zug 1-Fahrzeuge eine Zugbegegnung mit Fahrzeugen mit Überschreitung des ...</t>
  </si>
  <si>
    <t>Sicherstellung, dass die Zug 1-Fahrzeuge eine Zugbegegnung mit Fahrzeugen mit Überschreitung des Regellichtraumprofiles unbeschadet ertragen. Anmerkung: Gilt auch für Zugbegegnungen mit jeweils 200 km/h.</t>
  </si>
  <si>
    <t>AT-2748/4</t>
  </si>
  <si>
    <t>Ensuring that the train cars 1 tolerate a train meeting with vehicles exceeding the standard track clearance Profiles without prejudice. Note: Also applies to trains passing with 200 km / h</t>
  </si>
  <si>
    <t>AT-2748/5</t>
  </si>
  <si>
    <t>Überprüfung, ob für Fahrzeuge, die nicht in Österreich ein Zulassungsverfahren erfahren haben, eine ...</t>
  </si>
  <si>
    <t>Überprüfung, ob für Fahrzeuge, die nicht in Österreich ein Zulassungsverfahren erfahren haben, eine ihrem Einsatz entsprechende behördliche Überprüfung und Netzverträglichkeitsprüfung erfahren müssen.</t>
  </si>
  <si>
    <t>AT-2748/6</t>
  </si>
  <si>
    <t>Checking whether a need to learn their use appropriate regulatory review and grid compatibility test for vehicles that have not experienced an authorization procedure in Austria.</t>
  </si>
  <si>
    <t>AT-2748/7</t>
  </si>
  <si>
    <t>Überprüfung, ob bei Mischverkehr (HS und konventioneller Verkehr) auf Hochgeschwindigkeitsstrecken ...</t>
  </si>
  <si>
    <t>Überprüfung, ob bei Mischverkehr (HS und konventioneller Verkehr) auf Hochgeschwindigkeitsstrecken vom IM über die TSI hinausgehende Anforderungen an die Druckertüchtigung der Fahrzeuge festgelegt werden müssen..</t>
  </si>
  <si>
    <t>AT-2748/8</t>
  </si>
  <si>
    <t>Checking whether for mixed traffic (HS and conventional traffic) must be set to high-speed lines from the IM via the TSI additional demands on the pressure upgrading of vehicles ..</t>
  </si>
  <si>
    <t>AT-2748/9</t>
  </si>
  <si>
    <t>Überprüfung, ob die Vorgaben für die Instandhaltung â€“ bei Änderung des Einsatzkonzepts der ...</t>
  </si>
  <si>
    <t>Überprüfung, ob die Vorgaben für die Instandhaltung â€“ bei Änderung des Einsatzkonzepts der Fahrzeuge â€“angepasst werden müssen.</t>
  </si>
  <si>
    <t>AT-2748/10</t>
  </si>
  <si>
    <t>Checking whether the guidelines for the maintenance - when changing the concept of operations of the vehicles-need to be adjusted.</t>
  </si>
  <si>
    <t>REC-000439</t>
  </si>
  <si>
    <t>AT-2748/11</t>
  </si>
  <si>
    <t>Überprüfung, ob die Anschrift der Funktion der Druckertüchtigung normativ geregelt werden ...</t>
  </si>
  <si>
    <t>Überprüfung, ob die Anschrift der Funktion der Druckertüchtigung normativ geregelt werden muss. Anmerkung: Anschriften analog RIC )p( und (p) auch für TSI-Fahrzeuge verbindlich vorschreiben (Entwurf EN 15877-2 Bahnanwendungen ? Kennzeichnungen von Schienenfahrzeugen Teil 2: Außenanschriften an Personenfahrzeugen, Triebfahrzeugeinheiten, Lokomotiven und Gleisbaumaschinen).</t>
  </si>
  <si>
    <t>AT-2748/12</t>
  </si>
  <si>
    <t>Check whether the address of the function of Pressure Sealed must be regulated normative. Note: Addresses analog RIC) p (and (p) for TSI vehicles binding prescribe (draft EN 15877-2 Railway applications labeling of railway vehicles Part 2: external addresses to private vehicles, train units, locomotives and railway construction machinery).</t>
  </si>
  <si>
    <t>REC-000440</t>
  </si>
  <si>
    <t>AT-2748/13</t>
  </si>
  <si>
    <t>Überprüfung, ob im RIC, Anlage 2, beim Ländercode 81 Sonderbedingungen für die Druckertüchtigung von ...</t>
  </si>
  <si>
    <t>Überprüfung, ob im RIC, Anlage 2, beim Ländercode 81 Sonderbedingungen für die Druckertüchtigung von Fahrzeugen auf Schnellfahrstrecken mit hohem Tunnelanteil festgelegt werden müssen. Anmerkung: Analog Sonderbestimmungen für den Fernverkehr in Deutschland.</t>
  </si>
  <si>
    <t>AT-2748/14</t>
  </si>
  <si>
    <t>Checking whether the country code 81 special conditions for the pressure retrofitting of vehicles on high-speed lines with a high proportion tunnel must be specified in the RIC, Appendix 2. Note: Analog Special provisions for long-distance transport in Germany.</t>
  </si>
  <si>
    <t>AT-2786/1</t>
  </si>
  <si>
    <t>Das Eisenbahnunternehmen hat organisatorische Vorkehrungen zu treffen (allgemeine Anordnungen, ...</t>
  </si>
  <si>
    <t>AT-2786/2</t>
  </si>
  <si>
    <t>The railway undertaking has to take organizational measures (general instructions, supervision), so that the necessary measures are explicitely defined and continuously applied (for example, guidance about the hazards of the railway service). Note of Federal Investigation Authority: Source Labour Inspectorate for Transport</t>
  </si>
  <si>
    <t>AT-2786/3</t>
  </si>
  <si>
    <t>AT-2786/4</t>
  </si>
  <si>
    <t>The railway undertaking has to take organizational measures (general instructions, supervision), so that the construction works start only if all the required preparatory measures have been completed (for example, introduction of employees in secure areas, introduction of security officers, carrying out an audio test, coordinated approval for starting works). Note of Federal Investigation Authority: Source Labour Inspectorate for Transport</t>
  </si>
  <si>
    <t>AT-2786/5</t>
  </si>
  <si>
    <t>Zur Vermeidung gleichartiger Unfallereignisse bei Bauarbeiten im Gefahrenraum der Gleise wären überdies im Rahmen der Eisenbahnaufsicht (Eisenbahnbehörden) weitergehende grundsätzliche Strukturmaßnahmen für die Sicherheit auf Baustellen im Bereich von Gleisen erforderlich: a. Unverzüglicher â€žKassasturzâ€œ über die derzeit bestehenden und nicht einheitlich gestalteten Regelungen für die Sicherheitsmaßnahmen auf Eisenbahnbaustellen. Im Rahmen dieser Überprüfung wären nicht rechtkonforme allgemeine Anordnungen, widersprüchliche â€žDoppelregelungenâ€œ oder unnotwendige Detailregelungen für einzelne Fachbereiche rigoros zu durchforsten. b. Unverzügliche Neubetrachtung der Besetzung von Koordinationsfunktionen auf Baustellen. Dabei wäre insbesondere auch sicherzustellen, dass die Koordination von Sicherungs- und Sicherheitsaufgaben auf Baustellen im Gefahrenraum der Gleise ausschließlich durch Arbeitnehmer erfolgt, die über ausreichende theoretische Kenntnisse und praktische Erfahrung über die Gefahren des Bahnbetriebes verfügen. c. Verringerung der Schnittstellen auf Baustellen im Gefahrenraum der Gleise und Überprüfung der Bautätigkeit von â€žEisenbahnverkehrsunternehmenâ€œ, die nur für diesen Zweck gegründet wurden. Anmerkung der SUB: Quelle Verkehrs-Arbeitsinspektorat</t>
  </si>
  <si>
    <t>AT-2786/6</t>
  </si>
  <si>
    <t>To avoid similar accidents during construction works in the danger area of rail tracks referring to railway supervision (railway authorities), additional basic structure measures for security on construction sites in the area of rail tracks: a.Immediate checking of existing and not coherent provisions for security measures on railway construction sites. Referrimg to this examination, general non-conformity directives, contradictory â€˜â€™double rulesâ€™â€™ or necessary detailed regulations for special areas are to be investigated. b.Immediate reconsideration of staffing of coordination functions on construction sites. In this area, it should particularly be made sure that the coordination of security and safety tasks on construction sites in danger areas of rail tracks will be implemented exclusively by workers, who have sufficient theoretical knowledge and practical experience about the hazards of the railway service. c.Reduction of interfaces on construction sites in danger areas of rail tracks and checking the construction tasks of â€˜â€™Railway transport undertakingsâ€™, which have been created for this sole purpose. Note of Federal Investigation Authority: Source: Labour Inspectorate for Transport</t>
  </si>
  <si>
    <t>REC-000048</t>
  </si>
  <si>
    <t>AT-2786/7</t>
  </si>
  <si>
    <t>Sicherstellung, dass bei der Erstellung der Betra alle relevanten Tätigkeiten und die daraus ...</t>
  </si>
  <si>
    <t>Sicherstellung, dass bei der Erstellung der Betra alle relevanten Tätigkeiten und die daraus erforderlichen betrieblichen Maßnahmen entsprechend aufgenommen werden. Dabei muss sichergestellt sein, dass diese eindeutig und unmissverständlich beschrieben werden.</t>
  </si>
  <si>
    <t>AT-2786/8</t>
  </si>
  <si>
    <t>To make sure that upon the elaboration of Betra, all relevant activities and the related measures are integrated. It has to be made sure that they are clear and not ambiguous.</t>
  </si>
  <si>
    <t>AT-3153/1</t>
  </si>
  <si>
    <t>Es wird eine Überprüfung der Eisenbahnkreuzung in Zusammenarbeit mit dem Eisenbahninfrastrukturunternehmen und dem Träger der Straßenbaulast vorgeschlagen. Begründung: Die Erstellung des Bescheides erfolgte 1962.</t>
  </si>
  <si>
    <t>AT-3153/2</t>
  </si>
  <si>
    <t>It is proposed to review the railway crossing in cooperation with the railway infrastructure company and the support for road construction. Explanation: The creation of the decision was made in 1962.</t>
  </si>
  <si>
    <t>AT-3179/1</t>
  </si>
  <si>
    <t>Überprüfung der Erhaltung</t>
  </si>
  <si>
    <t>Überprüfung, ob die Bestimmungen des Art 8 â€žStaatsvertragâ€œ bezüglich der Erhaltung der Anschlussgrenzstrecke eingehalten werden. Begründung: Abs 2 Jede Eisenbahnverwaltung beaufsichtigt, erhält und erneuert die gesamten Anlagen der auf ihrem Gebiet befindlichen Betriebswechselbahnhöfe und Anschlussgrenzstrecken.</t>
  </si>
  <si>
    <t>AT-3179/2</t>
  </si>
  <si>
    <t>Check whether the provisions of Article 8 "State contract" with respect to the conservation of the terminal boundary line are observed. Explanation: Paragraph 2 supervised Every railway administration, maintains and renews the entire plant still in their areas of operation interchange stations and terminal boundary stretches.</t>
  </si>
  <si>
    <t>AT-3180/1</t>
  </si>
  <si>
    <t>Sicherstellung, dass eine Begrenzung der zulässigen Überhöhung in Gleisbögen in der EisbBBV analog ...</t>
  </si>
  <si>
    <t>Sicherstellung, dass eine Begrenzung der zulässigen Überhöhung in Gleisbögen in der EisbBBV analog dem Schweizer Regelwerk und der EN 13803-1 (basierend auf ORE B55/RP 8) erfolgt. Anmerkung: Für Strecken mit anderer Spurweite sind diese Werte anzupassen.</t>
  </si>
  <si>
    <t>AT-3180/2</t>
  </si>
  <si>
    <t>Ensuring that a limit to the superelevation in curves in the EisbBBV analogous to the Swiss regulations and EN 13803-1 done (based on ORE B55/RP 8). Note: For lines of other trace width of these values â€‹â€‹have to be adjusted.</t>
  </si>
  <si>
    <t>AT-3180/3</t>
  </si>
  <si>
    <t>Für bestehende Strecken sollte die Überhöhung in Gleisbögen im Zuge von Baumaßnahmen an die ...</t>
  </si>
  <si>
    <t>Für bestehende Strecken sollte die Überhöhung in Gleisbögen im Zuge von Baumaßnahmen an die Bestimmungen der EN 13803-1 (basierend auf ORE B55/RP 8) angepasst werden.</t>
  </si>
  <si>
    <t>AT-3180/4</t>
  </si>
  <si>
    <t>For existing lines, the superelevation in curves in the course of construction to the requirements of EN 13803-1 should be adjusted (based on ORE B55/RP 8).</t>
  </si>
  <si>
    <t>AT-3180/5</t>
  </si>
  <si>
    <t>Sicherstellung, dass in den Regelwerken des IM die Überhöhung in Gleisbögen mit kleinen Halbmessern ...</t>
  </si>
  <si>
    <t>Sicherstellung, dass in den Regelwerken des IM die Überhöhung in Gleisbögen mit kleinen Halbmessern entsprechend den Bestimmungen der EN 13803-1 (basierend auf ORE B55/RP 8) begrenzt wird. Anmerkung: B 50-2 und B 52.</t>
  </si>
  <si>
    <t>AT-3180/6</t>
  </si>
  <si>
    <t>Ensuring that the superelevation in curves with small radii in accordance with the provisions of EN 13803-1 is limited (based on ORE B55/RP 8) in the regulations of the IM. Note: B 50-2 and B 52</t>
  </si>
  <si>
    <t>AT-3180/7</t>
  </si>
  <si>
    <t>Sicherstellung, dass der Übergang von Schienen mit einer niedrigen Seitenabnützung auf eine hohe ...</t>
  </si>
  <si>
    <t>Sicherstellung, dass der Übergang von Schienen mit einer niedrigen Seitenabnützung auf eine hohe Seitenabnützung am Schweißstoß in einem Regelwerk festgelegt wird. Anmerkung: Derzeit sind laut â€žInfo Schweißenâ€œ des IM bis zu einer Geschwindigkeit von 140 km/h auf einer Länge von 1 m eine Toleranz von 0,3 mm zugelassen.</t>
  </si>
  <si>
    <t>AT-3180/8</t>
  </si>
  <si>
    <t>Ensure that the transition of rails with a low to a high Seitenabnützung Seitenabnützung the weld joint is defined in a set of rules. Note: according to the present, "Info welding" of the IM up to a speed of 140 km / h on a length of 1 m with a tolerance of 0.3 mm are allowed.</t>
  </si>
  <si>
    <t>AT-3180/9</t>
  </si>
  <si>
    <t>Sicherstellung, dass in Gleisbögen mit einem Bogenhalbmesser r &lt; 175 m Leitschienen angebracht ...</t>
  </si>
  <si>
    <t>Sicherstellung, dass in Gleisbögen mit einem Bogenhalbmesser r &lt; 175 m Leitschienen angebracht werden, wenn keine ortsfeste Schienenflankenschmiereinrichtungen vorhanden sind.</t>
  </si>
  <si>
    <t>AT-3180/10</t>
  </si>
  <si>
    <t>Ensuring that are placed on curves with a radius r &lt;175 m rails when no stationary rail flank lubrication facilities are available.</t>
  </si>
  <si>
    <t>AT-3180/11</t>
  </si>
  <si>
    <t>Überprüfung, ob bei bestimmten Trassierungsmerkmalen bei einer Kombination von Gleislagefehlern eine ...</t>
  </si>
  <si>
    <t>Überprüfung, ob bei bestimmten Trassierungsmerkmalen bei einer Kombination von Gleislagefehlern eine Einschränkung der zulässigen Grenzwerte erfolgen muss. Anmerkung: Zusammenwirken von Spurweite, Richtung Längshöhe, Verwindung, â€¦. Durch Fortschreibung der Normenseirie EN 13803 und 13848.</t>
  </si>
  <si>
    <t>AT-3180/12</t>
  </si>
  <si>
    <t>Checking whether certain Trassierungsmerkmalen with a combination of defects in track geometry restricting the permissible limits must be made. Note: interaction between track width, height longitudinal direction, twisting, .... By extrapolation of Normenseirie EN 13803 and 13848th.</t>
  </si>
  <si>
    <t>AT-3180/13</t>
  </si>
  <si>
    <t>Sicherstellung, dass die maßlichen Abweichungen von den zulässigen Schienenprofilen in den ...</t>
  </si>
  <si>
    <t>Sicherstellung, dass die maßlichen Abweichungen von den zulässigen Schienenprofilen in den Mängellisten ausgewiesen werden. Anmerkung: Darstellung im Einzelfehlerbericht im Zuge der Gleislagemessung durch den IM.</t>
  </si>
  <si>
    <t>AT-3180/14</t>
  </si>
  <si>
    <t>Ensuring that the dimensional deviations are reported from the permissible rail profiles in the list of deficiencies. Note: Display in single bug report in the course of the track geometry measurement by the IM.</t>
  </si>
  <si>
    <t>REC-000073</t>
  </si>
  <si>
    <t>AT-3180/15</t>
  </si>
  <si>
    <t>Überprüfung, ob die Grenzwerte für die Spurerweiterung in Übergangsbögen und Form des Überganges ...</t>
  </si>
  <si>
    <t>Überprüfung, ob die Grenzwerte für die Spurerweiterung in Übergangsbögen und Form des Überganges geregelt werden müssen. Anmerkung: Gemäß Besprechung mit dem IM wird bei Gleisneulage der Spurweitenübergang linear ausgeführt. Entsprechende Dokumente liegen der SUB nicht vor.</t>
  </si>
  <si>
    <t>AT-3180/16</t>
  </si>
  <si>
    <t>Checking whether the limit values â€‹â€‹for track extension in transition curves and shape of the transition must be controlled. Note: According to meeting with the IM runs linearly with Gleisneulage the gauge transition. Such documents are not the SUB before.</t>
  </si>
  <si>
    <t>REC-000074</t>
  </si>
  <si>
    <t>AT-3180/17</t>
  </si>
  <si>
    <t>Sicherstellung, dass die Angaben der Wagenliste der tatsächlichen Wagenreihung entsprechen.</t>
  </si>
  <si>
    <t>AT-3180/18</t>
  </si>
  <si>
    <t>Ensuring that the information provided by the car list of the actual car sequence correspond.</t>
  </si>
  <si>
    <t>AT-3180/19</t>
  </si>
  <si>
    <t>Sicherstellung, dass das Tfz die für Betrieb, Instandhaltung und Arbeitnehmerschutz erforderlichen ...</t>
  </si>
  <si>
    <t>Sicherstellung, dass das Tfz die für Betrieb, Instandhaltung und Arbeitnehmerschutz erforderlichen Anschriften und Zeichen trägt. Anmerkung: Kennzeichnung â€žWarnung vor gefährlicher elektrischer Spannungâ€œ gemäß KennV.</t>
  </si>
  <si>
    <t>AT-3180/20</t>
  </si>
  <si>
    <t>Ensuring that the traction unit transmits the information necessary for the operation, maintenance and employee safety signs and markings. Note: Marking "Warning of dangerous electrical voltage" according KennV.</t>
  </si>
  <si>
    <t>AT-3181/1</t>
  </si>
  <si>
    <t>Abhalten von besonderen Informationsveranstaltungen vor Ort über EK im Allgemeinen und das richtige ...</t>
  </si>
  <si>
    <t>Abhalten von besonderen Informationsveranstaltungen vor Ort über EK im Allgemeinen und das richtige Verhalten der Straßenverkehrsteilnehmer im Beson-deren (z.B. in Gemeinden, in Schulen, direkt bei der EK udgl.).</t>
  </si>
  <si>
    <t>AT-3181/2</t>
  </si>
  <si>
    <t>Holding of special information sessions on the spot EK in general, and the correct behavior of road users in the specifics other (eg, in communities, in schools, directly to the EC udgl.).</t>
  </si>
  <si>
    <t>AT-3181/3</t>
  </si>
  <si>
    <t>Schulung der Mitarbeiter der Exekutive über das StVO-konforme Verhalten im Bereich einer EK in ...</t>
  </si>
  <si>
    <t>Schulung der Mitarbeiter der Exekutive über das StVO-konforme Verhalten im Bereich einer EK in Be-zug auf die EisbKrV 2012 und Schwerpunktaktion der Exekutive direkt vor Ort bei der EK.</t>
  </si>
  <si>
    <t>AT-3181/4</t>
  </si>
  <si>
    <t>Training of employees of the executive branch over the Highway Code-compliant behavior in the region of EK in loading train on the EisbKrV 2012 and focus action of the executive on the spot with the EC.</t>
  </si>
  <si>
    <t>AT-3181/5</t>
  </si>
  <si>
    <t>Überprüfung, ob die Errichtung einer Rotlichtüber-wachungskamera zur Überwachung des Verhaltens der ...</t>
  </si>
  <si>
    <t>Überprüfung, ob die Errichtung einer Rotlichtüber-wachungskamera zur Überwachung des Verhaltens der Straßenverkehrsteilnehmer bei haltzeigenden Lichtzeichen der EK erforderlich ist.</t>
  </si>
  <si>
    <t>AT-3181/6</t>
  </si>
  <si>
    <t>Checking whether the establishment of a red-light surveillance camera to monitor the behavior of road users is required for holding display light signs of EK.</t>
  </si>
  <si>
    <t>AT-3181/7</t>
  </si>
  <si>
    <t>Überprüfung, ob die gemäß EPIGUS Studie ange-brachten Bodenmarkierungen zur Kennzeichnung von ...</t>
  </si>
  <si>
    <t>Überprüfung, ob die gemäß EPIGUS Studie angebrachten Bodenmarkierungen zur Kennzeichnung von Konfliktstellen in die Bodenmarkierungsverordnung aufgenommen werden müssen.</t>
  </si>
  <si>
    <t>AT-3181/8</t>
  </si>
  <si>
    <t>Checking whether the EPIGUS study attached in accordance with road markings must be included for the identification of points of conflict in the ground marking Regulation.</t>
  </si>
  <si>
    <t>AT-3178/1</t>
  </si>
  <si>
    <t>Überprüfung, ob die Rissprüfung der Radsatzwellen mit Ultraschall in Bereichen mit Formecho durch ...</t>
  </si>
  <si>
    <t>Überprüfung, ob die Rissprüfung der Radsatzwellen mit Ultraschall in Bereichen mit Formecho durch eine Magnetpulverprüfung am ausgebauten Radsatz ergänzt werden muss. Begründung: Bei der Ultraschallprüfung der Radsatzwellen im eingebauten Zustand wurde infolge Formecho in Bereichen mit Durchmesseränderung Risse nicht erkannt.</t>
  </si>
  <si>
    <t>AT-3178/2</t>
  </si>
  <si>
    <t>Checking whether the crack testing of axles with ultrasound in areas must be supplemented with shape echo by a magnetic particle testing on the removed wheel. Reason: In the ultrasonic testing of axles in the installed condition was not recognized due to the form of echo in areas with change in diameter cracks.</t>
  </si>
  <si>
    <t>REC-000057</t>
  </si>
  <si>
    <t>AT-3178/3</t>
  </si>
  <si>
    <t>Im Abnahmeprüfzeugnis der Ultraschallprüfung der Radsatzwellen sollten die Stellen, die auf Grund ...</t>
  </si>
  <si>
    <t>Im Abnahmeprüfzeugnis der Ultraschallprüfung der Radsatzwellen sollten die Stellen, die auf Grund von Formechos nicht beurteilt wurden angeführt werden.</t>
  </si>
  <si>
    <t>AT-3178/4</t>
  </si>
  <si>
    <t>In Acceptance of ultrasonic testing of axles of the bodies were not assessed on the basis of form echoes should be cited.</t>
  </si>
  <si>
    <t>AT-3178/5</t>
  </si>
  <si>
    <t>Für die Instandhaltung der Radsätze sollten die minimal zulässigen Durchmesser der Radsatzwellen ...</t>
  </si>
  <si>
    <t>Für die Instandhaltung der Radsätze sollten die minimal zulässigen Durchmesser der Radsatzwellen festgelegt werden. Anmerkung: Nach einer Überarbeitung der Radsatzwelle.</t>
  </si>
  <si>
    <t>AT-3178/6</t>
  </si>
  <si>
    <t>For the maintenance of the wheel sets the minimum permitted diameter of the axles should be established. Note: After a revision of the axle.</t>
  </si>
  <si>
    <t>AT-3178/7</t>
  </si>
  <si>
    <t>Überprüfung, ob für die Radsätze von Tfz analog zu Güterwagen die Anforderungen des European ...</t>
  </si>
  <si>
    <t>Überprüfung, ob für die Radsätze von Tfz analog zu Güterwagen die Anforderungen des European Wheelset Traceability und des European Visible Inspection Catalogue angewendet werden sollen.</t>
  </si>
  <si>
    <t>AT-3178/8</t>
  </si>
  <si>
    <t>Verification that the requirements of the European Wheelset Traceability and the European Visible Inspection Catalogue to be applied for the wheelsets of Tfz analogous to freight cars.</t>
  </si>
  <si>
    <t>AT-3178/9</t>
  </si>
  <si>
    <t>Bei Einsatz am Netz des IM ÖBB sollte für das Tfz eine entsprechende Zulassung vorhanden sein oder ...</t>
  </si>
  <si>
    <t>Bei Einsatz am Netz des IM ÖBB sollte für das Tfz eine entsprechende Zulassung vorhanden sein oder das Tfz als außergewöhnliche Sendung verkehren. Begründung: Gemäß Fahrzeugdatenbank des IM ÖBB war die eingeschränkte Netzzulassung abgelaufen.</t>
  </si>
  <si>
    <t>AT-3178/10</t>
  </si>
  <si>
    <t>When used in a network of IM ÖBB appropriate approval should be available or operate the traction unit as an extraordinary mission for the traction unit. Reason: In accordance with vehicle database of the IM ÖBB the limited power of approval had expired.</t>
  </si>
  <si>
    <t>REC-000149</t>
  </si>
  <si>
    <t>AT-3311/1</t>
  </si>
  <si>
    <t>Die Ausbildungsinhalte für den Erwerb der Lenkerberechtigung sind zu überprüfen und - falls ...</t>
  </si>
  <si>
    <t>Die Ausbildungsinhalte für den Erwerb der Lenkerberechtigung sind zu überprüfen und - falls erforderlich - entsprechende Änderungen vorzunehmen. Aufnahme von Gesprächen mit dem Fachverband der Fahrschulen in der Wirtschaftskammer</t>
  </si>
  <si>
    <t>AT-3311/2</t>
  </si>
  <si>
    <t>The training contents to get the drivers licence are to be checked and, if necessary, modified accordingly. To initiate dialogue with the association of driving schools and the Chamber of Commerce.</t>
  </si>
  <si>
    <t>REC-000150</t>
  </si>
  <si>
    <t>AT-3311/3</t>
  </si>
  <si>
    <t>Durchführung von Informationskampagnen über EK im Allgemeinen und das richtige Verhalten der ...</t>
  </si>
  <si>
    <t>Durchführung von Informationskampagnen über EK im Allgemeinen und das richtige Verhalten der Straßenverkehrsteilnehmer im Besonderen (z.B. durch Medien, Behörden, Autofahrervereinigungen).</t>
  </si>
  <si>
    <t>AT-3311/4</t>
  </si>
  <si>
    <t>To launch information campaigns about railway level crossings in general and the right behaviour of road users in particular (for example, with media, authorities, car driver associations).</t>
  </si>
  <si>
    <t>REC-000151</t>
  </si>
  <si>
    <t>AT-3311/5</t>
  </si>
  <si>
    <t>Abhalten von besonderen Informationsveranstaltungen über EK im Allgemeinen und das richtige ...</t>
  </si>
  <si>
    <t>Abhalten von besonderen Informationsveranstaltungen über EK im Allgemeinen und das richtige Verhalten der Straßenverkehrsteilnehmer im Besonderen vor Ort (z.B. in Gemeinden, in Schulen, direkt bei Eisenbahnkreuzungen).</t>
  </si>
  <si>
    <t>AT-3311/6</t>
  </si>
  <si>
    <t>To organize special information events about railway level crossings in general and the right behaviour of road users in particular (for example, in municipalities, in schools, directly railway level crossings).</t>
  </si>
  <si>
    <t>REC-000152</t>
  </si>
  <si>
    <t>AT-3311/7</t>
  </si>
  <si>
    <t>Durchführung von Schwerpunktaktionen der Exekutive direkt vor Ort bei EK in Zusammenarbeit mit dem ...</t>
  </si>
  <si>
    <t>Durchführung von Schwerpunktaktionen der Exekutive direkt vor Ort bei EK in Zusammenarbeit mit dem jeweils zuständigen Eisenbahninfrastrukturunternehmen.</t>
  </si>
  <si>
    <t>AT-3311/8</t>
  </si>
  <si>
    <t>To launch priority actions of the executive members directly on-site at railway level crossings in cooperation with the competent infrastructure managers.</t>
  </si>
  <si>
    <t>AT-3313/1</t>
  </si>
  <si>
    <t>Sicherstellung, dass alle nicht zulässigen Sicherungsmittel zum Sichern stillstehender Fahrzeuge ...</t>
  </si>
  <si>
    <t>Sicherstellung, dass alle nicht zulässigen Sicherungsmittel zum Sichern stillstehender Fahrzeuge (wie z. B. sperrbare Klemmkeile) keine betriebliche Verwendung finden. Begründung: Bei dem Vorfall waren unzulässige Sicherungsmittel eingesetzt.</t>
  </si>
  <si>
    <t>AT-3313/2</t>
  </si>
  <si>
    <t>Ensure that all non-allowable securing means for securing stationary vehicles (such as lockable clamping wedges) are not business use. Reason: When the incident unacceptable securing means were used.</t>
  </si>
  <si>
    <t>REC-000089</t>
  </si>
  <si>
    <t>AT-3313/3</t>
  </si>
  <si>
    <t>Sicherstellung, dass die Bestimmungen der EisbKrV 2012, Hinsichtlich der möglichen vorübergehenden ...</t>
  </si>
  <si>
    <t>Sicherstellung, dass die Bestimmungen der EisbKrV 2012, Hinsichtlich der möglichen vorübergehenden Außerbetriebnahme von Eisenbahnkreuzungs-Sicherungsanlagen und die daraus resultierenden Maßnahmen im erforderlichen Umfang umgesetzt werden.</t>
  </si>
  <si>
    <t>AT-3313/4</t>
  </si>
  <si>
    <t>Ensuring that the provisions of EisbKrV 2012, to be implemented concerning possible temporary decommissioning of rail crossing safety systems and the resulting measures to the extent necessary.</t>
  </si>
  <si>
    <t>REC-000090</t>
  </si>
  <si>
    <t>AT-3313/5</t>
  </si>
  <si>
    <t>Überprüfung, ob Streckenabschnitte, die nicht in eine Betriebsführungszentrale eingebunden sind, durch befugte Aufsichtsorgane (Betriebskontrollor) in betrieblichen Belangen (auch Baustellenabwicklung) beaufsichtigt werden.</t>
  </si>
  <si>
    <t>AT-3313/6</t>
  </si>
  <si>
    <t>Checking whether sections of track that are not part of an operational command center, by authorized supervisory bodies (Betriebskontrollor) in operational requirements (including site management) be supervised.</t>
  </si>
  <si>
    <t>REC-000091</t>
  </si>
  <si>
    <t>AT-3313/7</t>
  </si>
  <si>
    <t>Sicherstellung, dass in der ÖBB 40 Punkt 2.9 Sichern von Fahrzeugen Punkt 2.9.1 der Begriff ...</t>
  </si>
  <si>
    <t>Sicherstellung, dass in der ÖBB 40 Punkt 2.9 Sichern von Fahrzeugen Punkt 2.9.1 der Begriff "sperrbare Hemmschuhe / Klemmkeile" durch den Begriff "sperrbare Hemmschuhe" ersetzt wird.</t>
  </si>
  <si>
    <t>AT-3313/8</t>
  </si>
  <si>
    <t>Ensuring that the ÖBB 40 point 2.9 Securing Vehicles Section 2.9.1, the term "lockable wheel clamps/clamping wedges" "lockable wheel clamps" is replaced by the term.</t>
  </si>
  <si>
    <t>REC-000092</t>
  </si>
  <si>
    <t>AT-3313/9</t>
  </si>
  <si>
    <t>Sicherstellung, dass in der Arbeitnehmerschutzrechtlichen Publikation "R 8" bezüglich der ÖBB 40 ...</t>
  </si>
  <si>
    <t>Sicherstellung, dass in der Arbeitnehmerschutzrechtlichen Publikation "R 8" bezüglich der ÖBB 40 Punkt 2.9 Sichern von Fahrzeugen Punkt 2.9.1 der Begriff "sperrbare Hemmschuhe / Klemmkeile" durch den Begriff "sperrbare Hemmschuhe" ersetzt wird. Anmerkung: in der Ausgabe der R 8 vom Oktober 2004 wurde der Begriff "Klemmk" am 18. April 2005 mit einem weißen Rechteck überdeckt und da-her unkenntlich. In den Ausgaben vom 1. Juni 2010 und Oktober 2011 fehlen diese Überdeckungen.</t>
  </si>
  <si>
    <t>AT-3313/10</t>
  </si>
  <si>
    <t>Ensuring that is in the employee protection legal publication "R 8" with respect to the ÖBB 40 point 2.9 Securing Vehicles Section 2.9.1, the term "lockable wheel clamps / clamping wedges" with the term "lockable wheel clamps" replaced. Note: in the output of R 8 October 2004, the term "Klemmk" on 18 April 2005 covered with a white rectangle and there-fore unrecognizable. In the expenditure of 1 June 2010 and October 2011 are missing these covers.</t>
  </si>
  <si>
    <t>REC-000093</t>
  </si>
  <si>
    <t>AT-3313/11</t>
  </si>
  <si>
    <t>Überprüfung, ob bei der "Streckenverladung" gemäß V3 § 89 - Son-derfälle der Abs. 3, Litera b) an ...</t>
  </si>
  <si>
    <t>Überprüfung, ob bei der "Streckenverladung" gemäß V3 § 89 - Son-derfälle der Abs. 3, Litera b) an die geänderten Bestimmungen durch den Wegfall der Zulässigkeit des sperrbaren Klemmkeils laut § 18 Abs. 2 anzupassen ist. Anmerkung: der vorgeschriebene sperrbare Hemmschuh verfügt nicht über einen verwahrungswürdigen Schlüssel.</t>
  </si>
  <si>
    <t>AT-3313/12</t>
  </si>
  <si>
    <t>Checking whether in the "track shipment" in accordance with § 89 V3 - is conform Special Cases of Section 3, Litera b) of the amended provisions by eliminating the admissibility of lockable clamping wedge according to § 18 paragraph 2. Note: the prescribed lockable stumbling block does not have a custody trusted key.</t>
  </si>
  <si>
    <t>REC-000094</t>
  </si>
  <si>
    <t>AT-3313/13</t>
  </si>
  <si>
    <t>Überprüfung, ob die in der Inkraftsetzungserläuterung 06/2006 be-züglich DV V3, § 18 "Sichern ...</t>
  </si>
  <si>
    <t>Überprüfung, ob die in der Inkraftsetzungserläuterung 06/2006 be-züglich DV V3, § 18 "Sichern stillstehender Fahrzeuge", Abs. 2, 4 - 5, im Beispiel auf Seite 20 die angegebenen Gefällewerte "2,5 - 5 %" in "2,5 - 5 â€°" geändert werden müssen.</t>
  </si>
  <si>
    <t>AT-3313/14</t>
  </si>
  <si>
    <t>Checking whether the enactment in the explanation 06/2006 be delay DV V3, § 18 "Backing stationary vehicles", paragraph 2, 4-5, in the example on page 20 the specified gradient values â€‹â€‹"2.5 to 5%" in "2.5 to 5 â€° "must be changed.</t>
  </si>
  <si>
    <t>REC-000095</t>
  </si>
  <si>
    <t>AT-3313/15</t>
  </si>
  <si>
    <t>Sicherstellen, dass die Formulierung im § 18 Abs. 6 der Betriebsvorschrift des IM auch auf einzeln ...</t>
  </si>
  <si>
    <t>Sicherstellen, dass die Formulierung im § 18 Abs. 6 der Betriebsvorschrift des IM auch auf einzeln abgestellte Wagen unmissverständlich zutrifft.</t>
  </si>
  <si>
    <t>AT-3313/16</t>
  </si>
  <si>
    <t>Make sure that the wording in § 18 paragraph 6 of the operating instructions of the IM on single parked car unmistakably true.</t>
  </si>
  <si>
    <t>AT-3313/17</t>
  </si>
  <si>
    <t>Überprüfung, dass unzulässige Arbeitsmittel dauerhaft aus dem Betriebsgeschehen ausgeschieden ...</t>
  </si>
  <si>
    <t>Überprüfung, dass unzulässige Arbeitsmittel dauerhaft aus dem Betriebsgeschehen ausgeschieden werden. Anmerkung: Prozessablauf, Übergangsfristen, Zuständigkeiten, Umsetzungsüberwachung, â€¦</t>
  </si>
  <si>
    <t>AT-3313/18</t>
  </si>
  <si>
    <t>Verification that illegal work equipment is permanently retired from the company's operations. Note: process flow, transition periods, responsibilities, implementation monitoring, ...</t>
  </si>
  <si>
    <t>AT-3313/19</t>
  </si>
  <si>
    <t>Überprüfung ob bei einer außer Betrieb gesetzten bzw. auf Ortsschalterbetrieb umgestellten EKSA die ...</t>
  </si>
  <si>
    <t>Überprüfung ob bei einer außer Betrieb gesetzten bzw. auf Ortsschalterbetrieb umgestellten EKSA die EK für Straßenverkehrsteilnehmer besonders gekennzeichnet werden muss, um eine erhöhte Aufmerksamkeit der Straßenverkehrsteilnehmer zu erzielen.</t>
  </si>
  <si>
    <t>AT-3313/20</t>
  </si>
  <si>
    <t>Checking whether a set out of service or converted to local switch operation EKSA the EK for road users must be specially marked, in order to achieve an increased attention of road users.</t>
  </si>
  <si>
    <t>REC-000098</t>
  </si>
  <si>
    <t>AT-3313/21</t>
  </si>
  <si>
    <t>Überprüfung ob bzw. unter welchen Bedingungen Wa-gen ohne bedienbare Handbremseinrichtung bei ...</t>
  </si>
  <si>
    <t>Überprüfung ob bzw. unter welchen Bedingungen Wagen ohne bedienbare Handbremseinrichtung bei Baustelleneinsätzen verwendet werden dürfen.</t>
  </si>
  <si>
    <t>AT-3313/22</t>
  </si>
  <si>
    <t>Verification may be whether and under what conditions wagons used without operated hand brake mechanism at construction site operations.</t>
  </si>
  <si>
    <t>REC-000099</t>
  </si>
  <si>
    <t>AT-3313/23</t>
  </si>
  <si>
    <t>Überprüfung ob eine behördliche Festlegung erfolgen muss, wie viel Prozent der Wagen einer Bauserie ...</t>
  </si>
  <si>
    <t>Überprüfung ob eine behördliche Festlegung erfolgen muss, wie viel Prozent der Wagen einer Bauserie mit einer bedienbaren Handbremseinrichtung ausgerüstet werden muss. Anmerkung: Derzeit existiert keine Regelung hierzu. Seitens der ERA ist geplant, im Rahmen der Task Force â€žTechnical Networkâ€œ solche und ähnliche technische Fragen zu behandeln.</t>
  </si>
  <si>
    <t>AT-3313/24</t>
  </si>
  <si>
    <t>Must be check whether an official definition, what percentage of the carriage of a production run with an operable brake device must be equipped. Note: Currently, no regulation exists at the moment. On the part of the ERA is planned to handle these and similar technical issues in the framework of the Task Force "Technical Network".</t>
  </si>
  <si>
    <t>REC-000102</t>
  </si>
  <si>
    <t>AT-3316/1</t>
  </si>
  <si>
    <t>Schulung der Tfzf bezüglich der besonderen Betriebsverhältnisse auf Strecken mit Zugleitbetrieb.</t>
  </si>
  <si>
    <t>REC-000103</t>
  </si>
  <si>
    <t>AT-3316/2</t>
  </si>
  <si>
    <t>Sicherstellung, dass die Haltelinien ergänzt bzw. neu aufgebracht werden. Anmerkung: Überprüfung, ...</t>
  </si>
  <si>
    <t>Sicherstellung, dass die Haltelinien ergänzt bzw. neu aufgebracht werden. Anmerkung: Überprüfung, ob unmittelbar vor der EK Bodenmarkierung gemäß EPIGUS Studie zur Kennzeichnung von Konfliktstellen angebracht werden müssen.</t>
  </si>
  <si>
    <t>AT-3316/3</t>
  </si>
  <si>
    <t>Überprüfung, ob ein Regelwerk für Fernbedienung von EKSA durch die Zugmannschaft erstellt werden ...</t>
  </si>
  <si>
    <t>Überprüfung, ob ein Regelwerk für Fernbedienung von EKSA durch die Zugmannschaft erstellt werden muss. Anmerkung: Es sind unterschiedliche Fernbediengeräte und Empfangseinrichtungen in Verwendung.</t>
  </si>
  <si>
    <t>AT-3315/1</t>
  </si>
  <si>
    <t>Überprüfung, ob die derzeitige Situierung von ZLCP zur Detektion von Heißläufern, insbesondere auf ...</t>
  </si>
  <si>
    <t>Überprüfung, ob die derzeitige Situierung von ZLCP zur Detektion von Heißläufern, insbesondere auf Strecken die durch eine BFZ gesteuert werden, ausreichend ist. Anmerkung: Im gegenständlichen Fall beträgt der Abstand zwischen den beiden ZLCP (HOA 1 und HOA 2) ca. 38,1 km.</t>
  </si>
  <si>
    <t>REC-000101</t>
  </si>
  <si>
    <t>AT-3315/2</t>
  </si>
  <si>
    <t>Überprüfung, ob durch akustische Detektion bei ZLCP Lagerschäden von RS-Lager vorzeitig erkannt ...</t>
  </si>
  <si>
    <t>Überprüfung, ob durch akustische Detektion bei ZLCP Lagerschäden von RS-Lager vorzeitig erkannt werden. Anmerkung: Die Grundlagen dazu sollte in einer Europäischen Arbeitsgruppe erarbeitet werden. Seitens der ERA ist geplant, im Rahmen der Task Force â€žTechnical Networkâ€œ solche und ähnliche technische Fragen zu behandeln.</t>
  </si>
  <si>
    <t>AT-3340/1</t>
  </si>
  <si>
    <t>Überprüfung, ob mit einem im Regelwerk vorgegebenen Wortlaut wie z. B â€žBETRIEBSGEFAHR, ...â€œ alle ...</t>
  </si>
  <si>
    <t>Überprüfung, ob mit einem im Regelwerk vorgegebenen Wortlaut wie z. B â€žBETRIEBSGEFAHR, ...â€œ alle Akteure auf die Situation aufmerksam gemacht werden. Anmerkung: Siehe auch Sicherheitsempfehlung A-2012/029.</t>
  </si>
  <si>
    <t>AT-3340/2</t>
  </si>
  <si>
    <t>To check whether all persons involved were informed about the situation by using the wording defined in the rules, for example â€˜â€™operational risk,â€¦â€™â€™ . Note: see also safety recommendation 2012/029.</t>
  </si>
  <si>
    <t>AT-3340/3</t>
  </si>
  <si>
    <t>Überprüfung, ob durch eine Profilüberprüfung bei Zuglauf-Checkpoints offene Türen und andere ...</t>
  </si>
  <si>
    <t>Überprüfung, ob durch eine Profilüberprüfung bei Zuglauf-Checkpoints offene Türen und andere Unregelmäßigkeiten an der Ladung vorzeitig erkannt werden können. Anmerkung: Derartige Anlagen sollten vor Bereichen mit Einbauten im Bedienungsraum bzw. seitlichen Sicherheitsabstand bis 2,500 m angewendet werden.</t>
  </si>
  <si>
    <t>AT-3340/4</t>
  </si>
  <si>
    <t>Based on a profile checking at the train movement checkpoints, to check whether there were open doors and other irregularities of the freight that could have been recognized in advance. Note: this equipment should be used in front of areas having installations in the operating room or with a lateral safety distance up to 2,500 m.</t>
  </si>
  <si>
    <t>REC-000334</t>
  </si>
  <si>
    <t>AT-3340/5</t>
  </si>
  <si>
    <t>Sicherstellung, dass durch den Fahrzeugdienst gemäß § 38 EisbEPV bezettelte und scheinbar ...</t>
  </si>
  <si>
    <t>Sicherstellung, dass durch den Fahrzeugdienst gemäß § 38 EisbEPV bezettelte und scheinbar abgesperrte Türen vor Fahrtantritt überprüft werden.</t>
  </si>
  <si>
    <t>AT-3340/6</t>
  </si>
  <si>
    <t>To make sure that before departure, according to railway legislation § 38 EisbEPV, labeled and apparently closed doors are checked by the vehicle service.</t>
  </si>
  <si>
    <t>REC-000335</t>
  </si>
  <si>
    <t>AT-3340/7</t>
  </si>
  <si>
    <t>AT-3340/8</t>
  </si>
  <si>
    <t>REC-000336</t>
  </si>
  <si>
    <t>AT-3340/9</t>
  </si>
  <si>
    <t>Sicherstellung, dass Zugbegleiter während der Fahrt auf offensichtliche Manipulation bei ...</t>
  </si>
  <si>
    <t>Sicherstellung, dass Zugbegleiter während der Fahrt auf offensichtliche Manipulation bei abgesperrten Türen achten. Anmerkung: Anpassung des § 64 DV V3.</t>
  </si>
  <si>
    <t>AT-3340/10</t>
  </si>
  <si>
    <t>To make sure that train attendants are able to check during the train trip any obvious manipulations of closed doors. Note: adaptation of § 64 DV V3.</t>
  </si>
  <si>
    <t>AT-3340/11</t>
  </si>
  <si>
    <t>Überprüfung, ob bei Befragungen von Mitarbeitern im Zuge der Voruntersuchungen von Ereignissen, den ...</t>
  </si>
  <si>
    <t>Überprüfung, ob bei Befragungen von Mitarbeitern im Zuge der Voruntersuchungen von Ereignissen, den Mitarbeitern die Beiziehung einer Person ihres Vertrauens ermöglicht werden muss. Anmerkung: Siehe Stellungnahme 1.</t>
  </si>
  <si>
    <t>AT-3340/12</t>
  </si>
  <si>
    <t>To check whether, when questioning employees during the preliminary investigation of incidents, it would be possible to grant to these employees a person in their confidence. Note: see position 1.</t>
  </si>
  <si>
    <t>REC-000338</t>
  </si>
  <si>
    <t>AT-3340/13</t>
  </si>
  <si>
    <t>Überprüfung, ob der Begriff â€žReisendeâ€œ in allen durch die Eisenbahnbehörden genehmigten Regelwerken ...</t>
  </si>
  <si>
    <t>Überprüfung, ob der Begriff â€žReisendeâ€œ in allen durch die Eisenbahnbehörden genehmigten Regelwerken (z. B. betriebliche Regelwerke) durch den Begriff â€žFahrgästeâ€œ ersetzt werden muss. Anmerkung: Siehe Stellungnahme 2.</t>
  </si>
  <si>
    <t>AT-3340/14</t>
  </si>
  <si>
    <t>To check whether the term â€˜â€˜travellersâ€˜â€˜ should be replaced by the term â€˜â€˜passengersâ€˜â€˜ in all the rules (for example, operational rules) approved by the railway authorities. Note: see position 2.</t>
  </si>
  <si>
    <t>AT-3340/15</t>
  </si>
  <si>
    <t>Überprüfung, dass der Begriff â€žReisendeâ€œ in allen Regelwerken (z. B. EisbBBV) durch den Begriff ...</t>
  </si>
  <si>
    <t>Überprüfung, dass der Begriff â€žReisendeâ€œ in allen Regelwerken (z. B. EisbBBV) durch den Begriff â€žFahrgästeâ€œ ersetzt wird. Anmerkung: Siehe Stellungnahme 2.</t>
  </si>
  <si>
    <t>AT-3340/16</t>
  </si>
  <si>
    <t>To check whether the term â€˜â€˜travellersâ€˜â€˜ should be replaced by the term â€˜â€˜passengersâ€˜â€˜ in all the rules (for example, railway legislation EisbBBV). Note: see position 2.</t>
  </si>
  <si>
    <t>REC-000413</t>
  </si>
  <si>
    <t>AT-3527/1</t>
  </si>
  <si>
    <t>AT-3527/2</t>
  </si>
  <si>
    <t>The railway undertaking has to make sure, based on binding specifications and on continuous supervision, that security measures for construction work in the area of tracks are defined and applied in accordance with legal provisions and particularly the respect of explicit ranking of protection measures (not to enter the danger area, no driving, technical protection measures only if not possible to take any other measures; organisational security measures can be allowed referring to the â€˜human factorâ€™). Note of the Federal Investigation Authority Source: Labour Inspectorate for Transport</t>
  </si>
  <si>
    <t>REC-000414</t>
  </si>
  <si>
    <t>AT-3527/3</t>
  </si>
  <si>
    <t>AT-3527/4</t>
  </si>
  <si>
    <t>REC-000415</t>
  </si>
  <si>
    <t>AT-3527/5</t>
  </si>
  <si>
    <t>Das Eisenbahnunternehmen hat organisatorische Vorkehrungen zu treffen (allgemeine Anordnungen, Aufsicht), dass die erforderlichen Funktionen und Aufgaben bei der Ausführung von Bauarbeiten im Gefahrenraum von Gleisen vereinfacht und vereinheitlicht werden. Dabei ist sicherzustellen, dass alle von den Rechtsvorschriften geforderten Funktionen auf der Baustelle auch tatsächlich besetzt sind (z.B. Baustellenkoordinator, Aufsichtsperson gemäß § 4 BauV, Sicherungsaufsicht). Gleichzeitig wären die in den Rechtsvorschriften nicht vorgegebenen â€žZusatzfunktionenâ€œ dahingehend zu überprüfen, ob sie tatsächlich einer Erhöhung der Sicherheit auf der Baustelle dienen oder womöglich einen gegenteiligen Effekt erzielen. Anmerkung der SUB: Quelle Verkehrs-Arbeitsinspektorat</t>
  </si>
  <si>
    <t>AT-3527/6</t>
  </si>
  <si>
    <t>AT-3527/7</t>
  </si>
  <si>
    <t>AT-3527/8</t>
  </si>
  <si>
    <t>The railway undertaking has to take organisational measures (general instructions, supervision), so that the necessary measures are explicitely defined and continuously applied (for example, guidance about the hazards of the railway service). Note of Federal Investigation Authority: Source Labour Inspectorate for Transport</t>
  </si>
  <si>
    <t>AT-3527/9</t>
  </si>
  <si>
    <t>AT-3527/10</t>
  </si>
  <si>
    <t>REC-000418</t>
  </si>
  <si>
    <t>AT-3527/11</t>
  </si>
  <si>
    <t>AT-3527/12</t>
  </si>
  <si>
    <t>REC-000419</t>
  </si>
  <si>
    <t>AT-3527/13</t>
  </si>
  <si>
    <t>Sicherstellung, dass bei der Erstellung der Betra alle relevanten Tätigkeiten und die daraus abgeleiteten Maßnahmen entsprechend aufgenommen werden. Dabei muss sichergestellt sein, dass diese eindeutig und unmissverständlich beschrieben werden.</t>
  </si>
  <si>
    <t>AT-3527/14</t>
  </si>
  <si>
    <t>REC-000325</t>
  </si>
  <si>
    <t>AT-3528/1</t>
  </si>
  <si>
    <t>AT-3528/2</t>
  </si>
  <si>
    <t>To check whether all persons involved were informed about the situation by using the wording defined in the rules, for example â€˜â€™operational risk,â€¦â€™â€™ Note: see also safety recommendation 2012/029.</t>
  </si>
  <si>
    <t>REC-000326</t>
  </si>
  <si>
    <t>AT-3528/3</t>
  </si>
  <si>
    <t>Überprüfung, ob bei der Herstellung lückenlos verschweißter Gleise im Bereich von Lärmschutzwänden ...</t>
  </si>
  <si>
    <t>Überprüfung, ob bei der Herstellung lückenlos verschweißter Gleise im Bereich von Lärmschutzwänden Temperaturbeeinflussungen durch mikroklimatische Einflüsse berücksichtigt werden müssen. Anmerkung: Durch Lärmschutzwände kann es infolge Sonneneinstrahlung und geänderte Belüftungsverhältnisse zu mikroklimatischen Temperaturänderungen kommen.</t>
  </si>
  <si>
    <t>AT-3528/4</t>
  </si>
  <si>
    <t>During the production process of seamlessly welded rail tracks, to check whether, as far as noise protection is concerned, temperature influence due to microclimatic changes should be taken into consideration. Note: Microclimatic temperature changes might occur due to solar radiation and changes in ventilation conditions.</t>
  </si>
  <si>
    <t>AT-3528/5</t>
  </si>
  <si>
    <t>Überprüfung, ob alle gültigen Anweisungen des IM (bis zur Aufnahme in ein anderes Regelwerk oder ...</t>
  </si>
  <si>
    <t>Überprüfung, ob alle gültigen Anweisungen des IM (bis zur Aufnahme in ein anderes Regelwerk oder deren Aufhebung) in ein gesammeltes Regelwerk (z. B. Anweisungsheft) aufgenommen werden müssen. Anmerkung: Derzeit sind auf der Homepage des IM mehr als 30 Anweisungen (von 2001 bis heute) für Mitarbeiter und RU veröffentlicht.</t>
  </si>
  <si>
    <t>AT-3528/6</t>
  </si>
  <si>
    <t>To check whether the valid instructions of the infrastructure manager (until included in another set of rules or abolished) should be included in a common set of rules (for example, instruction manual). Note: At present, more than 30 instructions are published on the homepage of the infrastructure manager (from 2001 until today) for staff and RU.</t>
  </si>
  <si>
    <t>AT-3529/1</t>
  </si>
  <si>
    <t>Überprüfung, ob für die wiederkehrenden augenschein-lichen Kontrollen der allgemeinen Streckenaufsicht gemäß Regelwerk 06.01.01 â€žInstandhaltungsplan Oberbau¬anlagenâ€œ entsprechende Checklisten für den Umfang der Prüfung für jeden Kontrollpunkt, bezugnehmend auf die Örtlichkeit und jahreszeitbedingt erstellt und verpflichtend angewendet werden müssen. Anmerkung: Alle zwei Monate hat eine Befahrung aller Gleise mit Gleisrang a durch den Bahnmeister zu erfolgen (kann bei Streckenrang 3G an den Gleismeister delegiert werden). Die Befahrung kann durch eine Begehung ersetzt werden. Während der Belaubungszeit im Frühling wird unter umständen ein zusätzlicher Überprüfungstermin erforderlich sein.</t>
  </si>
  <si>
    <t>AT-3529/2</t>
  </si>
  <si>
    <t>To check whether for recurring visible controls of the general rail line surveillance in accordance with rules 06.01.01 â€˜â€™Maintenance plan of track installationsâ€™â€™, relevant checklists have to be created and made compulsory, based on the scope of control for each point to be checked, taking into account the geographic location and the seasonal characteristics. Note: Every two months, an inspection by driving on all the rail tracks with track level has to be done by the head of station (if track level is 3G, the inspection can be delegated to the head of rail track). The inspection by driving can be replaced by walking on the rail tracks. An additional inspection might eventually be necessary during the blooming period in spring.</t>
  </si>
  <si>
    <t>AT-3591/1</t>
  </si>
  <si>
    <t>Sicherstellung, dass bei den gemäß Matrix definierten Haltepunkten eine Zufahrt für Notfalldienste ...</t>
  </si>
  <si>
    <t>Sicherstellung, dass bei den gemäß Matrix definierten Haltepunkten eine Zufahrt für Notfalldienste besteht (Feuerwehrzufahrt). Anmerkung: Beim gegenständlichen Vorfall musste die Feuer-wehr durch ein Firmengelände zufahren und ein verschlossenes Tor aufbrechen.</t>
  </si>
  <si>
    <t>AT-3591/2</t>
  </si>
  <si>
    <t>To ensure that there is an entry for emergency services (fire rescue path), according to the points defined in the Matrix. Note: In such an incident, the fire rescue had to travel through the company premises and to break a locked gate.</t>
  </si>
  <si>
    <t>REC-000076</t>
  </si>
  <si>
    <t>AT-3591/3</t>
  </si>
  <si>
    <t>Überprüfung, ob die Sicherungen der Reservebürsten z. B. durch Sicherungsbolzen mit Gewinde, Mutter ...</t>
  </si>
  <si>
    <t>Überprüfung, ob die Sicherungen der Reservebürsten z. B. durch Sicherungsbolzen mit Gewinde, Mutter und Schloss verbessert werden kann. Anmerkung: Auf Wunsch des VK wurde vom Fahrzeughersteller eine Sicherung mittels Gewinde, Mutter und Schloss sowie zu-sätzlicher Sicherungskette bereits in eine neu bestellte Schot-teraufnahmeeinheit, die 2015 ausgeliefert wird, eingebaut.</t>
  </si>
  <si>
    <t>AT-3591/4</t>
  </si>
  <si>
    <t>To check, if the safety devices of spare brushes could improve for example with threaded safety pins, bolts and locks. Note: Following the request of the transport service, the vehicle producer integrated a safety device with threaded safety pins, bolts and locks and also an additional safety chain in a new unit for receiving ballast, which will be delivered in 2015.</t>
  </si>
  <si>
    <t>REC-000077</t>
  </si>
  <si>
    <t>AT-3591/5</t>
  </si>
  <si>
    <t>Überprüfung, ob die Kennzeichnung von Kl und SKl mit den Hinweisen â€žVERSCHUBBEREIT ABGESTELLTâ€œ und ...</t>
  </si>
  <si>
    <t>Überprüfung, ob die Kennzeichnung von Kl und SKl mit den Hinweisen â€žVERSCHUBBEREIT ABGESTELLTâ€œ und â€žAUF HANDBREMSEN ACHTENâ€œ in die Regelwerke des IM aufgenommen werden müssen.</t>
  </si>
  <si>
    <t>AT-3591/6</t>
  </si>
  <si>
    <t>To check if the designation Kl and SKI with the indications â€žready to be displacedâ€œ und â€žplease observe hand brakesâ€œ should be integrated into the guidelines of the infrastructure manager.</t>
  </si>
  <si>
    <t>REC-000420</t>
  </si>
  <si>
    <t>AT-3174/1</t>
  </si>
  <si>
    <t>AT-3174/2</t>
  </si>
  <si>
    <t>The railway undertaking has to make sure, based on binding specifications and on continuous supervision, that security measures for construction work in the area of tracks are defined and applied in accordance with legal provisions and particularly the respect of explicit ranking of protection measures (not to enter the danger area, no driving, technical protection measures only if not possible to take any other measures; organisational security measures can be allowed referring to the â€˜human factorâ€™). Note of the Federal Investigation Authority: Source Labour Inspectorate for Transport</t>
  </si>
  <si>
    <t>REC-000421</t>
  </si>
  <si>
    <t>AT-3174/3</t>
  </si>
  <si>
    <t>AT-3174/4</t>
  </si>
  <si>
    <t>AT-3174/5</t>
  </si>
  <si>
    <t>AT-3174/6</t>
  </si>
  <si>
    <t>AT-3174/7</t>
  </si>
  <si>
    <t>AT-3174/8</t>
  </si>
  <si>
    <t>AT-3174/9</t>
  </si>
  <si>
    <t>AT-3174/10</t>
  </si>
  <si>
    <t>REC-000425</t>
  </si>
  <si>
    <t>AT-3174/11</t>
  </si>
  <si>
    <t>Zur Vermeidung gleichartiger Unfallereignisse bei Bauarbei-ten im Gefahrenraum der Gleise wären ...</t>
  </si>
  <si>
    <t>Zur Vermeidung gleichartiger Unfallereignisse bei Bauarbei-ten im Gefahrenraum der Gleise wären überdies im Rahmen der Eisenbahnaufsicht (Eisenbahnbehörden) weitergehende grundsätzliche Strukturmaßnahmen für die Sicherheit auf Baustellen im Bereich von Gleisen erforderlich: a. Unverzüglicher â€žKassasturzâ€œ über die derzeit bestehenden und nicht einheitlich gestalteten Regelungen für die Sicherheitsmaßnahmen auf Eisenbahnbaustellen. Im Rahmen dieser Überprüfung wären nicht rechtkonforme allgemeine Anordnungen, widersprüchliche â€žDoppelregelungenâ€œ oder unnotwendige Detailregelungen für einzelne Fachbereiche rigoros zu durchforsten. b. Unverzügliche Neubetrachtung der Besetzung von Koordinationsfunktionen auf Baustellen. Dabei wäre insbesondere auch sicherzustellen, dass die Koordination von Sicherungs- und Sicherheitsaufgaben auf Baustellen im Gefahrenraum der Gleise ausschließlich durch Arbeitnehmer erfolgt, die über ausreichende theoretische Kenntnisse und praktische Erfahrung über die Gefahren des Bahnbetriebes verfügen. c. Verringerung der Schnittstellen auf Baustellen im Gefahrenraum der Gleise und Überprüfung der Bautätigkeit von â€žEisenbahnverkehrsunternehmenâ€œ, die nur für diesen Zweck gegründet wurden. Anmerkung der SUB: Quelle Verkehrs-Arbeitsinspektorat</t>
  </si>
  <si>
    <t>AT-3174/12</t>
  </si>
  <si>
    <t>AT-4691/1</t>
  </si>
  <si>
    <t>Verschubarbeiten nur bei Tageslicht</t>
  </si>
  <si>
    <t>To make sure that in the Hasslacher work area, according to the provisions of article 24, paragraph 1 of the law on the protection of employees, the outside work spaces receive sufficient artificial lightning. Note of Federal Investigation Authority: If this legal provision cannot be respected, to make sure that these activities (for example, provision and collecting of vehicles,...) are only done during daylight.</t>
  </si>
  <si>
    <t>AT-4691/2</t>
  </si>
  <si>
    <t>Sicherstellung, dass in der AB Hasslacher gemäß den Bestimmungen des § 24 Abs. 1 ASchG die Arbeitsstätten im Freien während der Arbeitszeit ausreichend künstlich beleuchtet werden. Anmerkung SUB: Kann diese gesetzliche Bestimmung nicht eingehalten werden, muss sichergestellt werden, dass diese Tätigkeiten (z. B. Beistellung und Abholen von Wagen, ...) nur bei Tageslicht erfolgen.</t>
  </si>
  <si>
    <t>AT-4691/3</t>
  </si>
  <si>
    <t>Beleuchtung auf Anschlussbahnen</t>
  </si>
  <si>
    <t>Sicherstellung, dass bei der Bedienung von Anschlussbahnen in Österreich die Bestimmungen des § 24 Abs. 1 ASchG eingehalten werden. Anmerkung SUB: Dies sollte in den Bedienungsanweisungen festgelegt werden.</t>
  </si>
  <si>
    <t>AT-4691/4</t>
  </si>
  <si>
    <t>To make sure that during the operation of connecting railways in Austria, the provisions of article 24, paragraph 1 of the law on the protection of employees are respected. Note of Federal Investigation Authority: This should be stipulated in the operating instructions.</t>
  </si>
  <si>
    <t>AT-4691/5</t>
  </si>
  <si>
    <t>Verwahrung des Sperrschuhschlüssel</t>
  </si>
  <si>
    <t>Überprüfung, ob beim Verlassen der AB durch den Verschub der Sperrschuh immer aufgelegt und der Schlüssel im Schalthaus am Schlüsselbrett verwahrt werden muss. Anmerkung SUB: Anpassung der Bedienungsanweisungen.</t>
  </si>
  <si>
    <t>AT-4691/6</t>
  </si>
  <si>
    <t>To check if during the exit of the work area with shunting, the skid is always put on and the key kept on the keyboard at the switching station. Note of Federal Investigation Authority: To adapt the operating instructions.</t>
  </si>
  <si>
    <t>AT-4691/7</t>
  </si>
  <si>
    <t>Regelwerke für Anschlussbahnen</t>
  </si>
  <si>
    <t>Überprüfung, ob Bestimmungen für Anschlussbahnen in ein gesetzliches Regelwerk wie z. B. EisbBBV aufgenommen werden muss. Anmerkung SUB: Derzeit sind der SUB keine derartigen Regelwerke für Anschlussbahnen bekannt.</t>
  </si>
  <si>
    <t>AT-4691/8</t>
  </si>
  <si>
    <t>To check if the provisions for connecting railways should be integrated into a legal framework, such as the Regulation on construction and operation of railways, for example. Note of Federal Investigation Authority: At present, there are no similar regulations known by the Federal Investigation Authority.</t>
  </si>
  <si>
    <t>REC-000367</t>
  </si>
  <si>
    <t>AT-4788/1</t>
  </si>
  <si>
    <t>Es ist zu überprüfen, ob die Erfassungsbereiche der Sicherheitsüberwachungskameras optimiert werden ...</t>
  </si>
  <si>
    <t>Es ist zu überprüfen, ob die Erfassungsbereiche der Sicherheitsüberwachungskameras optimiert werden können oder ob zusätzliche Sicherheits-überwachungskameras zu installieren sind.</t>
  </si>
  <si>
    <t>AT-4788/2</t>
  </si>
  <si>
    <t>To check if the detection areas of the safety surveillance cameras could be optimized or if additional safety surveillance cameras should be installed.</t>
  </si>
  <si>
    <t>AT-4789/1</t>
  </si>
  <si>
    <t>Es ist zu prüfen, ob die Genehmigung von Anordnungen (z.B. Dienstvorschriften, Dienstanweisungen), ...</t>
  </si>
  <si>
    <t>Es ist zu prüfen, ob die Genehmigung von Anordnungen (z.B. Dienstvorschriften, Dienstanweisungen), die das Verhalten von Mitarbeitern regeln, ausnahmslos durch die Oberste Eisenbahnbehörde vorgenommen werden sollte.</t>
  </si>
  <si>
    <t>AT-4789/2</t>
  </si>
  <si>
    <t>To check if rules (for example, service regulations, service instructions), which determine the behavior of staff, should be subject to the approval of the Superior Railway Authority without any exception.</t>
  </si>
  <si>
    <t>REC-000299</t>
  </si>
  <si>
    <t>AT-4789/3</t>
  </si>
  <si>
    <t>Es ist sicherzustellen, dass Tätigkeiten, die in keinem un-mittelbaren Zusammenhang mit der ...</t>
  </si>
  <si>
    <t>Es ist sicherzustellen, dass Tätigkeiten, die in keinem un-mittelbaren Zusammenhang mit der Betriebsabwicklung stehen, nicht angeordnet werden dürfen. In diesem Zusammenhang ist anzumerken, dass gemäß den Bestim-mungen des § 132 Abs. 8 EisBBV den im Fahrdienst eingesetzten Bediensteten untersagt ist, während des Fahrbetriebes Empfangs- und Wiedergabegeräte für Ton und Bild zu anderen als betrieblichen Zwecken zu benützen.</t>
  </si>
  <si>
    <t>AT-4789/4</t>
  </si>
  <si>
    <t>To make sure that any activity which is not directly connected to the operational management should not be requested. In this context, it should be noted that according to the provisions of article 132, paragraph 8 of the Ordinance on the Construction and Operation of Railways, it is prohibited to staff providing transport services to use sound and image reception and reproduction devices for other than operational purposes.</t>
  </si>
  <si>
    <t>REC-000300</t>
  </si>
  <si>
    <t>AT-4789/5</t>
  </si>
  <si>
    <t>Es ist sicherzustellen, dass Änderungen bzw. Ergänzungen zu bestehenden Regelwerken für die ...</t>
  </si>
  <si>
    <t>Es ist sicherzustellen, dass Änderungen bzw. Ergänzungen zu bestehenden Regelwerken für die Betriebsabwicklung (z.B. Aktualisierung von Dienstanweisungen) entsprechend aktualisiert und kommuniziert werden.</t>
  </si>
  <si>
    <t>AT-4789/6</t>
  </si>
  <si>
    <t>To make sure that any modifications or addendums to existing regulations for operations management (for example, updating and service instructions) are updated and communicated accordingly.</t>
  </si>
  <si>
    <t>REC-000301</t>
  </si>
  <si>
    <t>AT-4789/7</t>
  </si>
  <si>
    <t>Es ist sicherzustellen, dass die Bestimmungen der Melde-VO-Eisb 2006 im Zusammenhang mit einer ...</t>
  </si>
  <si>
    <t>Es ist sicherzustellen, dass die Bestimmungen der Melde-VO-Eisb 2006 im Zusammenhang mit einer ordnungsge-mäßen Meldung von Unfällen und Störungen an die SUB eingehalten werden.</t>
  </si>
  <si>
    <t>AT-4789/8</t>
  </si>
  <si>
    <t>To make sure that the provisions of the Reporting ordinance 2006 will be taken into consideration when reporting accidents and disturbances to the safety investigation authority of Austria.</t>
  </si>
  <si>
    <t>REC-000529</t>
  </si>
  <si>
    <t>AT-4796/1</t>
  </si>
  <si>
    <t>EK Überprüfung nach EisbKrV</t>
  </si>
  <si>
    <t>Sicherstellung, dass vordringlich eine Überprüfung der EK km 20,931 gemäß § 103 Abs. 1 EisbKrV durchgeführt wird. Dabei ist auf die Bauten und den Bewuchs im Bauverbotsbereich zu achten. Anmerkung: Es konnte durch die SUB nicht überprüft werden, ob durch die Bauten und den Bewuchs im Bauverbotsbereich gemäß § 42 Abs 1 EisbG eine Einschränkung der Hörbarkeit der akustischen Signale vom Schienenfahrzeug aus bewirkt werden.</t>
  </si>
  <si>
    <t>AT-4796/2</t>
  </si>
  <si>
    <t>To ensure that an urgent control is applied at level crossing at km 20,931 according to article 103, paragraph 1 of the level crossing regulation. Attention should be specifically paid to buildings and vegetation in the restricted construction areas. Note: It was not possible to have checked by the federal safety investigation authority, if the railway vehicle might limit the audibility of acoustic signals on buildings and vegetation in the restricted construction areas according to article 42, paragraph 1 of the Railway Act.</t>
  </si>
  <si>
    <t>REC-000530</t>
  </si>
  <si>
    <t>AT-4796/3</t>
  </si>
  <si>
    <t>Sicherstellung, dass die Sichtbarkeit auf die Signale durch Baum- und Strauchbewuchs nicht ...</t>
  </si>
  <si>
    <t>Sicherstellung, dass die Sichtbarkeit auf die Signale durch Baum- und Strauchbewuchs nicht eingeschränkt ist. Anmerkung: Gemäß Regelwerk 06.01.01 â€žInstandhaltungsplan Oberbauanlagenâ€œ des IM hat alle zwei Monate eine Befahrung aller Gleise mit Gleisrang a durch den Bahnmeister zu erfolgen (kann bei Streckenrang 3G an den Gleismeister delegiert werden). Die Befahrung kann durch eine Begehung ersetzt werden. Während der Belaubungszeit im Frühling wird unter Umständen ein zusätzlicher Überprüfungstermin erforderlich sein. (siehe Sicherheitsempfehlung A-2014/017 vom 24. Juni 2014).</t>
  </si>
  <si>
    <t>AT-4796/4</t>
  </si>
  <si>
    <t>To ensure that the visibility of signals is not limited by trees and shrubs. Note: According to the set of regulations of 06.01.01 â€žMaintenance superstructuresâ€œ of the IM, every two months the railway inspector (for distance level 3G, this can be delegated to the track master) shall drive through all the tracks. This might be replaced by walking through. During the period coming into leaf in spring, an additional check might be necessary. (see safety recommendation A-2014/017 of 24th June 2014).</t>
  </si>
  <si>
    <t>REC-000531</t>
  </si>
  <si>
    <t>AT-4796/5</t>
  </si>
  <si>
    <t>Überprüfung, ob bei der jährlich zu erfolgenden Überprüfung der EK durch den IM gemäß § 9 Abs. 1 ...</t>
  </si>
  <si>
    <t>Überprüfung, ob bei der jährlich zu erfolgenden Überprüfung der EK durch den IM gemäß § 9 Abs. 1 unter Anwendung § 91 Abs. 4 EisbKrV, alle bescheidmäßig vorgeschriebenen Einrichtungen und Gefahrenzeichen überprüft werden müssen. Im Mangelfall sollten der Träger der Straßenbaulast und die Straßenaufsichtsbehörde informiert werden. Anmerkung: Die Gefahrenzeichen "Bahnübergang ohne Schranken" waren beim Lokalaugenschein der SUB am 27. Mai 2015 nicht angebracht und sind regelwerkskonform auch im Inspektionsbericht nicht als Mangel angeführt. Mängel die z. B. den Träger der Straßenbaulast betreffen sollten diesem unter Fristsetzung zur Behebung nachweislich zur Kenntnis zu gebracht werden.</t>
  </si>
  <si>
    <t>AT-4796/6</t>
  </si>
  <si>
    <t>To check if during the planned annual control of the level crossing by the IM, according to article 9 paragraph 1 with application of article 91 paragraph 4 of the level crossing regulation, all the officially prescribed installations and danger signs shall be checked. If failed to do so, the competent institution of road building and the road supervising authority shall be informed. Note: The danger signs "Railway crossing without barriers" did not exist during an on-site inspection by the federal safety investigation authority of May 27, 2015 and were not listed as defectuous in the inspection report. Problems related to the competent institution of road building, for example, should be explicitly made known to them under the time limit for rectification.</t>
  </si>
  <si>
    <t>AT-4796/7</t>
  </si>
  <si>
    <t>Sperre der EK bei nicht bescheidgemäßen Zustand</t>
  </si>
  <si>
    <t>Überprüfung, ob ab der Feststellung des nicht bescheidmäßigen Zustandes der EK bis zur Wiederherstellung des ordnungsgemäßen Zustandes (z. B. durch den Träger der Straßenbaulast, ...), die EK für den Straßenverkehr gesperrt werden muss. Anmerkung: Siehe § 44 Abs. 1 StVO. Festlegung in der EisbKrV.</t>
  </si>
  <si>
    <t>AT-4796/8</t>
  </si>
  <si>
    <t>To check whether the level crossing shall be blocked for road traffic from the time a defectuous state of the level crossing is observed until the normal function is restored (for example, by the competent institution of road building). Note: see article 44 paragraph 1 of road traffic act. To be defined in the level crossing regulation.</t>
  </si>
  <si>
    <t>REC-000533</t>
  </si>
  <si>
    <t>AT-4796/9</t>
  </si>
  <si>
    <t>Auflassung von Eisenbahnkreuzungen</t>
  </si>
  <si>
    <t>Überprüfung, ob im Zuge der Überprüfungen gemäß EisbKrV mehrere EK und nicht öffentliche Eisenbahnübergänge durch einzelne EK mit technischer Sicherung ersetzt werden können. Anmerkung: Im Streckenabschnitt zwischen Bf Wieselburg an der Erlauf und Bf Scheibbs befinden sich auf 15,488 km 61 EK und nicht technisch gesicherte Eisenbahnübergänge.</t>
  </si>
  <si>
    <t>AT-4796/10</t>
  </si>
  <si>
    <t>During inspections, to check whether several level crossings and non-public railway crossings might be replaced by individual level crossings with technical security features, according to the level crossing regulations. Note: In the section between railway station Wieselburg an der Erlauf and railway station Scheibbs, 61 level crossings and not technically secured railway crossings have been observed at 15,488 km.</t>
  </si>
  <si>
    <t>REC-000534</t>
  </si>
  <si>
    <t>AT-4796/11</t>
  </si>
  <si>
    <t>Informationsveranstaltungen</t>
  </si>
  <si>
    <t>AT-4796/12</t>
  </si>
  <si>
    <t>To organize special on-site information events about level crossings in general and the correct behavior of road users in particular (for example in municipalities, schools, directly at level crossings, etc.).</t>
  </si>
  <si>
    <t>REC-000535</t>
  </si>
  <si>
    <t>AT-4796/13</t>
  </si>
  <si>
    <t>Kontrolle des Straßenverkehrs beim Benutzer der EK durch die Polizei</t>
  </si>
  <si>
    <t>Wiederkehrende Schwerpunktkontrollen durch die Exekutive bezüglich des Verhaltens der Straßenverkehrsteilnehmer bei der Benützung von EK .</t>
  </si>
  <si>
    <t>AT-4796/14</t>
  </si>
  <si>
    <t>Regular targeted checks by the executive regarding the behavior of road users when using level crossings.</t>
  </si>
  <si>
    <t>REC-000536</t>
  </si>
  <si>
    <t>AT-4796/15</t>
  </si>
  <si>
    <t>Überprüfung, ob das in der EisbKrV festgelegte Verhalten der Straßenverkehrsteilnehmer bei der ...</t>
  </si>
  <si>
    <t>Überprüfung, ob das in der EisbKrV festgelegte Verhalten der Straßenverkehrsteilnehmer bei der Benutzung von EK in die StVO übernommen werden muss.</t>
  </si>
  <si>
    <t>AT-4796/16</t>
  </si>
  <si>
    <t>To check whether the behavior of road users defined in the road traffic act has to be taken into account when using level crossings.</t>
  </si>
  <si>
    <t>REC-000537</t>
  </si>
  <si>
    <t>AT-4796/17</t>
  </si>
  <si>
    <t>Anpassung DV B6</t>
  </si>
  <si>
    <t>Überprüfung, ob die DV B 6 der ÖBB â€žDienstvorschrift über die Sicherung schienengleicher Eisenbahnübergängeâ€œ an die Bestimmungen der EisbKrV angepasst werden muss. Anmerkung: Die letzte Änderung datiert vom 24. Juni 1987.</t>
  </si>
  <si>
    <t>AT-4796/18</t>
  </si>
  <si>
    <t>To check whether the DV B 6 of the ÖBB "Service Instructions on Safety of railway rail crossings" has to be adapted to the provisions of the level crossing regulation. Note: The last modification dates from 24 June 1987.</t>
  </si>
  <si>
    <t>REC-000515</t>
  </si>
  <si>
    <t>AT-4835/1</t>
  </si>
  <si>
    <t>Signal bridge</t>
  </si>
  <si>
    <t>Für zukünftig geplante Umbaumaßnahmen im Bereich der sicherungstechnischen Einrichtungen im Bf Leopoldau wird vorgeschlagen, eine Signal-brücke für die ES X005, Z012 und Y011 zu errichten. Anmerkung: Die betreffenden ES könnten ober-halb der Gleise in Gleismitte angebracht werden, wodurch die Gefahr einer möglichen Verwechslung durch eine eindeutige Gleiszuordnung minimiert werden könnte.</t>
  </si>
  <si>
    <t>AT-4835/2</t>
  </si>
  <si>
    <t>For future planned measures of reconstruction in the area of safety-related technical applications at the Leopoldau railway station, it is suggested to build a signal bridge for ES X005, Z012 and Y011. Note: The related ES installations could be fixed on the top of the tracks in the middle of the rail tracks, which means that the danger of a potential confusion might be minimized thanks to a clear track assignment.</t>
  </si>
  <si>
    <t>REC-000518</t>
  </si>
  <si>
    <t>AT-4835/3</t>
  </si>
  <si>
    <t>Signal labeling</t>
  </si>
  <si>
    <t>Die Signale â€žKennzeichnungâ€œ die zur Ankündigung von Hauptsignalen angebracht sein dürfen, sind für das ES X005 nicht mehr eindeutig zu erkennen. Die drei an den Oberleitungsmasten angebrachten Signale sind zum Teil schon sehr verwittert und unkenntlich und wären im Zuge der nächsten Inspektionsarbeiten zu ersetzen.</t>
  </si>
  <si>
    <t>AT-4835/4</t>
  </si>
  <si>
    <t>The signals ''labelling'', which can be installed to announce the main signals, are not recognizable for the ES X005. The three signals installed at the overhead line mast have already been partially destroyed and non-recognizable and should be replaced during the next inspection works.</t>
  </si>
  <si>
    <t>AT-5168/1</t>
  </si>
  <si>
    <t>Sicherstellung, dass die betrieblich nicht geschulten Fahrgastbetreuer mit einer Maßnahmenliste ...</t>
  </si>
  <si>
    <t>Sicherstellung, dass die betrieblich nicht geschulten Fahrgastbetreuer mit einer Maßnahmenliste bezüglich Regelwerke, Vorkommnisse und Mängel in ihrer Muttersprache ausgerüstet werden. Anmerkung: z. B. Bestimmungen bezüglich Absperren der Seiteneinstiegstüren.</t>
  </si>
  <si>
    <t>AT-5168/2</t>
  </si>
  <si>
    <t>To ensure that the passenger attendants, who do not have operational training, are equipped with a list of measures related to regulations, incidents and deficiencies in their mother tongue. Note: for example the provisions referring to blocking of the side entry doors.</t>
  </si>
  <si>
    <t>AT-5168/3</t>
  </si>
  <si>
    <t>Überprüfung, ob mittelfristig auf interoperablen Strecken der EU nur Personenwagen mit dem ...</t>
  </si>
  <si>
    <t>Überprüfung, ob mittelfristig auf interoperablen Strecken der EU nur Personenwagen mit dem Austauschmerkmal RIC mit einer seitenselektiven Türsteuerung analog der Forderung des ANSF eingesetzt werden dürfen.</t>
  </si>
  <si>
    <t>AT-5168/4</t>
  </si>
  <si>
    <t>To check if, on the medium term, on interoperating routes of the EU only passenger trains with the exchange feature RIC with a side selective door control, might be used upon the request of the ANSF.</t>
  </si>
  <si>
    <t>AT-5168/5</t>
  </si>
  <si>
    <t>Überprüfung, ob für Fahrzeuge aus Nachbarländern der Gemeinschaft die keine ...</t>
  </si>
  <si>
    <t>Überprüfung, ob für Fahrzeuge aus Nachbarländern der Gemeinschaft die keine Inbetriebnahmegenehmigungen gemäß Artikel 21 Punkt 12 der RL 2008/57/EG benötigen eine Eintragung im Europäischen Register genehmigter Fahrzeugtypen gemäß Artikel 34 der der RL 2008/57/EG erforderlich ist. Anmerkung: Dies betrifft Fahrzeuge mit RIC und RIV aus der Republik Belarus, der Russischen Föderation, Republik Moldau, Ukraine, Republik Türkei, Bosnien und Herzegowina, Republik Mazedonien, Montenegro, Republik Albanien, Republik Serbien, ....</t>
  </si>
  <si>
    <t>AT-5168/6</t>
  </si>
  <si>
    <t>To check, if the vehicles from neighbouring countries of the Community, which do not have authorizations for placing to service according to article 21 point 12 of the Directive 2008/57/EC, have to be included in the European Register of authorized types of vehicle according to article 34 of the Directive 2008/57/EC. Note: This is in particular related to vehicles with RIC and RIV from the Republic Belarus, the Russian Federation, the Republic of Moldavia, the Ukraine, the Republic of Turkey, Bosnia and Herzegovina, the Republic of Macedonia, Montenegro, the Republic of Albania, the Republic of Serbia, ....</t>
  </si>
  <si>
    <t>REC-000315</t>
  </si>
  <si>
    <t>AT-5168/7</t>
  </si>
  <si>
    <t>Überprüfung, ob Fahrzeuge die keine Eintragung im Europäischen Register genehmigter Fahrzeugtypen ...</t>
  </si>
  <si>
    <t>Überprüfung, ob Fahrzeuge die keine Eintragung im Europäischen Register genehmigter Fahrzeugtypen gemäß Artikel 34 der RL 2008/57/EG aufweisen, entweder nur als â€žAußergewöhnliche Sendungâ€œ oder mit einer Geschwindigkeitseinschränkung verkehren dürfen.</t>
  </si>
  <si>
    <t>AT-5168/8</t>
  </si>
  <si>
    <t>To check, if the vehicles which do are not included in the European Register of authorized types of vehicle according to article 34 of the Directive 2008/57/EC, are allowed to circulate only as an â€žExceptional consignmentâ€œ or with a speed restriction.</t>
  </si>
  <si>
    <t>AT-5168/9</t>
  </si>
  <si>
    <t>Überprüfung, ob die Regelwerke zur Meldung von Vorfällen zur Verbesserung der Verständigungskette ...</t>
  </si>
  <si>
    <t>Überprüfung, ob die Regelwerke zur Meldung von Vorfällen zur Verbesserung der Verständigungskette überarbeitet werden müssen. Anmerkung: DV V 3, § 97 und ZSB 26, § 4</t>
  </si>
  <si>
    <t>AT-5168/10</t>
  </si>
  <si>
    <t>To check, if the regulations for the notification of incidents for the improvement of the communication channels shall be revised. Note: DV V 3, § 97 and ZSB 26, § 4</t>
  </si>
  <si>
    <t>REC-000366</t>
  </si>
  <si>
    <t>AT-5211/1</t>
  </si>
  <si>
    <t>Die Bestimmungen der ÖBB DV V3 Betriebsvorschrift (§ 18) betreffend Sicherung stillstehender ...</t>
  </si>
  <si>
    <t>Die Bestimmungen der ÖBB DV V3 Betriebsvorschrift (§ 18) betreffend Sicherung stillstehender Fahrzeuge sind dahingehend zu überprüfen, ob bei der Sicherung still-stehender Fahrzeuge nicht nur die Neigungsverhältnisse sowie die Länge der abgestellten Fahrzeuge zu berück-sichtigen sind, sondern auch die Masse der abgestellten Fahrzeuge ein zu bewertender Faktor sein muss. Des Weiteren ist zu prüfen, inwieweit die in der DV V3 Betriebsvorschrift (§ 18 Abs. 5) genannte verpflichtende Verwendung des sperrbaren Hemmschuhs ohne Aus-nahme in fernbedienten Betriebsstellen zu erfolgen hat.</t>
  </si>
  <si>
    <t>AT-5211/2</t>
  </si>
  <si>
    <t>The provisions of ÖBB DV V3 operating regulations (§ 18) concerning the safety of stationary vehicles must be checked to ensure that not only the inclination conditions and the length of parked vehicles are taken into account when securing stationary vehicles, but also the number of parked vehicles must be a factor to be evaluated. In addition, it must be examined to what extent the obligatory use of the lockable brake shoe mentioned in DV V3 operating instructions (§ 18 (5)) has to be carried out without remote operation.</t>
  </si>
  <si>
    <t>REC-000368</t>
  </si>
  <si>
    <t>AT-5211/3</t>
  </si>
  <si>
    <t>Es wird empfohlen die von den Eisenbahnunternehmen durch ihre Eisenbahnaufsichtsorgane (gemäß § 30 ...</t>
  </si>
  <si>
    <t>Es wird empfohlen die von den Eisenbahnunternehmen durch ihre Eisenbahnaufsichtsorgane (gemäß § 30 EisbG 1957) festgestellten Unregelmäßigkeiten unmittelbar an die zuständigen Eisenbahnbehörden zu übermitteln.</t>
  </si>
  <si>
    <t>AT-5211/4</t>
  </si>
  <si>
    <t>It would be recommended to transmit any irregularities noticed by the railway undertakings through the supervising railway authorities (according to § 30 EisbG [railway legislation of Austria] 1957) directly to the competent railway authorities.</t>
  </si>
  <si>
    <t>REC-000380</t>
  </si>
  <si>
    <t>AT-5224/1</t>
  </si>
  <si>
    <t>Überprüfung, ob eine Weiterführung der stichprobenartigen Überprüfung gemäß EVIC durch das RU ...</t>
  </si>
  <si>
    <t>Überprüfung, ob eine Weiterführung der stichprobenartigen Überprüfung gemäß EVIC durch das RU fortgesetzt werden soll. Anmerkung: Dies betrifft auch andere Massengüterverkehre.</t>
  </si>
  <si>
    <t>AT-5224/2</t>
  </si>
  <si>
    <t>To check whether the RU should continue to carry out random sampling in accordance with EVIC. Note: This applies also to other bulk cargo transports.</t>
  </si>
  <si>
    <t>AT-5224/3</t>
  </si>
  <si>
    <t>Überprüfung, ob die permanente Überwachung von Güterwagen bezüglich Überladung durch ...</t>
  </si>
  <si>
    <t>Überprüfung, ob die permanente Überwachung von Güterwagen bezüglich Überladung durch Zuglauf-Checkpoints intensiviert werden muss. Anmerkung: Forderung bmvit IV/Sch2 Fachbereich Maschinen-technik im Zuge des Stellungnahmeverfahrens.</t>
  </si>
  <si>
    <t>AT-5224/4</t>
  </si>
  <si>
    <t>To check whether the permanent monitoring of freight wagons with regard to overloading has to be intensified by train checkpoints. Note: Requirement bmvit IV/Sch2 Faculty of Mechanical Engineering in the course of the commenting process.</t>
  </si>
  <si>
    <t>AT-5329/1</t>
  </si>
  <si>
    <t>Es ist zu prüfen, ob Fahrten mit fertig gebildeten Zügen von den Zugbildegleisen in Richtung Gleise ...</t>
  </si>
  <si>
    <t>Es ist zu prüfen, ob Fahrten mit fertig gebildeten Zügen von den Zugbildegleisen in Richtung Gleise an Bahnsteigen nach den Bestimmungen für Zugfahrten zu führen sind. Diese Prüfung erstreckt sich sinngemäß auch für Fahrten endender Züge in Richtung der Zugbildegleise. Begründung: Fertig gebildete Züge würden bei einer Signalüberfahrung (des letzten deckenden Hauptsignals) vom Zugsicherungssystem (z.B. PZB) überwacht werden.</t>
  </si>
  <si>
    <t>AT-5329/2</t>
  </si>
  <si>
    <t>It is necessary to check whether journeys with completed trains must be made from the train tracks towards the tracks at platforms in accordance with the provisions for train journeys. This test also applies, by analogy, to journeys of trains ending in the direction of the train tracks. Justification: Finished trains would be monitored by the train control system (e.g. PZB) during a signal overtaking experience (the last main signal).</t>
  </si>
  <si>
    <t>AT-5329/3</t>
  </si>
  <si>
    <t>Im Rahmen einer Signalstandortbestimmung ist die Sichtbarkeit und eindeutige Zuordnung der ...</t>
  </si>
  <si>
    <t>Im Rahmen einer Signalstandortbestimmung ist die Sichtbarkeit und eindeutige Zuordnung der Verschubsignale zu überprüfen. Begründung: Um die Sichtbarkeit und Wahrnehmung des Verschubsignales â€žV 282â€œ bei der Annäherung zu gewährleisten.</t>
  </si>
  <si>
    <t>AT-5329/4</t>
  </si>
  <si>
    <t>The visibility and clear allocation of the pushing signals shall be verified as part of a signal location determination. Justification: To ensure the visibility and perception of the â€˜V 282â€™ thrust signal on approach.</t>
  </si>
  <si>
    <t>AT-5329/5</t>
  </si>
  <si>
    <t>Es ist zu prüfen, ob das Verschubsignal â€žV 282â€œ vor die Weiche 279 (auf Höhe des Verschubsignal â€žV ...</t>
  </si>
  <si>
    <t>Es ist zu prüfen, ob das Verschubsignal â€žV 282â€œ vor die Weiche 279 (auf Höhe des Verschubsignal â€žV 276â€œ) versetzt werden kann. Begründung: Um die Weiche 279 als aktive Flankenschutzeinrichtung verwenden zu können, müsste der Standort des Verschubsignals â€žV 282â€œ zurückversetzt werden. Eine Überfahrung des Verschubsignals â€žV 282â€œ würde das Schienenfahrzeug auf das Stumpfgleis 552a leiten und damit eine Kollision mit einem anderen Schienenfahrzeug verhindern.</t>
  </si>
  <si>
    <t>AT-5329/6</t>
  </si>
  <si>
    <t>It shall be checked whether the V 282 prescribed by the transfer signal can be transferred before switch 279 (at the level of the V 276 prescribed by the transfer signal). Justification: In order to be able to use the switch 279 as an active flank protection device, the location of the transfer signal â€˜V 282â€™ would have to be reset. A passage of the transmission signal â€˜V 282â€™ would lead the rail vehicle onto the slipway 552a, thereby preventing a collision with another rail vehicle.</t>
  </si>
  <si>
    <t>REC-000235</t>
  </si>
  <si>
    <t>AT-5329/7</t>
  </si>
  <si>
    <t>Es ist zu prüfen, ob für Verschubfahrten fertig gebildeter Züge aus den Zugbildegleisen, die nicht ...</t>
  </si>
  <si>
    <t>Es ist zu prüfen, ob für Verschubfahrten fertig gebildeter Züge aus den Zugbildegleisen, die nicht bis zum planmäßig vorgesehenen Ziel (z.B. Gleis am Bahnsteig) geführt werden können, jedenfalls die Stelle bis zu der gefahren werden darf (z.B. ein haltzeigendes Verschubsignal) bekannt zu geben ist. Diese Prüfung erstreckt sich sinngemäß auch für Fahrten endender Züge in Richtung der Zugbildegleise. Begründung: Verringerung des Gefahrenpotentials durch Erhöhung der Wahrnehmung mittels fernmündlicher Kommunikation bei dem/der Tfzf.</t>
  </si>
  <si>
    <t>AT-5329/8</t>
  </si>
  <si>
    <t>It must be checked whether, for the shifts of completed trains from the train tracks, which cannot be led to the planned destination (e.g. track at the platform), in any case the place to which it is allowed to be driven (e.g. a stop signal of displacement) is to be announced. This test also applies, by analogy, to journeys of trains ending in the direction of the train tracks. Justification: Reducing the risk potential by increasing perception by means of telephony communication at the Tfzf.</t>
  </si>
  <si>
    <t>REC-000236</t>
  </si>
  <si>
    <t>AT-5329/9</t>
  </si>
  <si>
    <t>In weiterer Folge wäre jeweils zu prüfen, ob â€¢ in einer Verschubstraße das unmittelbar vor einem ...</t>
  </si>
  <si>
    <t>In weiterer Folge wäre jeweils zu prüfen, ob â€¢ in einer Verschubstraße das unmittelbar vor einem haltzeigendem Verschubsignal befindliche Verschubsignal in der Stellung â€žVERSCHUBVERBOT AUFGEHOBENâ€œ mit einem abweichenden Signalbild ausgerüstet werden kann (Funktion eines â€žVorsignalsâ€œ, z.B. weißes Blinklicht) Begründung: Vorankündigung des Haltebegriffs â€žVerschubverbotâ€œ. â€¢ bei haltzeigenden Verschubsignalen für die Stellung â€žVERSCHUBVERBOTâ€œ z.B. rote statt weiße Lichtpunkte zu verwenden sind. Bei Verwendung roter Lichtpunkte müssten bei einer eingestellten Zugstraße alle im Fahrweg der Zugfahrt befindlichen Verschubsignale grundsätzlich finster geschaltet werden. Begründung: Um Reizüberflutung durch eine Vielzahl von Verschubsignalen zu verringern und durch die Signalfarbe â€žRotâ€œ den Haltebegriff zu verdeutlichen. Weiters wird eine bessere Unterscheidung zwischen â€žVerschubverbotâ€œ und â€žVerschubverbot aufgehobenâ€œ erreicht.</t>
  </si>
  <si>
    <t>AT-5329/10</t>
  </si>
  <si>
    <t>Subsequently, it would be necessary to examine whether: ãƒ» the transfer signal in the â€˜SHIFT BAN RECOVEREDâ€™ position immediately before a stop-in-the-box signal can be equipped with a different signal image (function of â€˜pre-signalâ€™, e.g. white flashing light) in a loading line. Justification: Pre-announcement of the "no-use" stop term. ãƒ» for the â€˜SHIFT BANâ€™ position, for example, red light points instead of white light points shall be used. In the case of red light points, all the transmission signals in the train's travel path must be switched darkly on a set train path. Justification: In order to reduce irritant flooding with a variety of gluing signals and to clarify the handgrip by the signal color "red". Furthermore, a better distinction between the "ban on prescriptions" and the "ban on prescriptions" is achieved.</t>
  </si>
  <si>
    <t>AT-5456/1</t>
  </si>
  <si>
    <t>Es ist sicherzustellen, dass bei der Vorbeifahrt von Zügen am Bahnsteig 1 in der Haltestelle Puch ...</t>
  </si>
  <si>
    <t>Es ist sicherzustellen, dass bei der Vorbeifahrt von Zügen am Bahnsteig 1 in der Haltestelle Puch bei Hallein der Bereich vor dem Warteraum sowie am Bahnsteig 2 der Bereich vor den Stiegen Aufgang/Warteraum für die Bahnbenützenden als freizuhaltende Fläche verständlich gekennzeichnet und durch Lautsprecheransagen rechtzeitig darauf hingewiesen wird. Bis zur Umsetzung dieser Maßnahmen sollte in der Haltestelle Puch bei Hallein die Geschwindigkeiten für durchfahrende Güterzüge auf 60 km/h sowie für Reisezüge auf 100 km/h auf beiden Gleisen, in beiden Fahrtrichtungen begrenzt werden. Begründung: In der Haltestelle Puch bei Hallein ist durch die bauliche Situation mit hohen Strömungsgeschwindigkeiten am Bahnsteig 1 im Bereich des Warteraumes zu rechnen. Nach dem derzeit vor-liegenden Gutachten â€žPrüfbericht; Mess- und Versuchsfahrten 2004 auf der Strecke Wien West-Salzburg; Westbahnabschnitt Prinzersdorf bis Ybbs a.d.Donau; Aerodynamik: Messungen am Bahnsteig Pöchlarnâ€œ wurde die Geschwindigkeit für Güterzüge deshalb weiter reduziert, da gemäß diesem Gutachten bei Güterzügen mit stark unterschiedlichem Wagenmaterial sowie Güterzüge mit verladenen LKWâ€™s eine höhere Strömungsgeschwindigkeit bei vergleichsweise geringerer Zuggeschwindigkeit zu erwarten ist.</t>
  </si>
  <si>
    <t>AT-5456/2</t>
  </si>
  <si>
    <t>It shall be ensured that when trains pass at platform 1 at the Puch station at Hallein, the area in front of the waiting room and platform 2 the area in front of the access/waiting room is clearly marked as a free area for the rail users and indicated by loudspeakers in good time. Until these measures are implemented, at the Puch stop at Hallein, the speeds for freight trains in transit should be: limited to 60 km/h and 100 km/h for passenger trains on both tracks, in both directions of travel. Justification: At the Puch station near Hallein, due to the structural situation with high current speeds at platform 1, Area of waiting room to be expected. According to the present report entitled 'Test report; Measuring and testing trips 2004 on the Vienna West-Salzburg route; The western railway section Prinzersdorf to Ybbs a.d.Donau; Aerodynamics: Measurements on Platform Pöchlarn' has therefore been further reduced in speed for freight trains, since, according to this report, freight trains with very different wagon material and freight trains with loaded lorries are expected to have a higher speed at a relatively lower speed.</t>
  </si>
  <si>
    <t>AT-5456/3</t>
  </si>
  <si>
    <t>Es ist durch die Eisenbahninfrastrukturunternehmen sicherzustellen, dass Betriebsstellen mit ...</t>
  </si>
  <si>
    <t>Es ist durch die Eisenbahninfrastrukturunternehmen sicherzustellen, dass Betriebsstellen mit ähnlichen Verhältnissen, Lärmschutzwände als äußere Bahnsteigbegrenzung, Bahnsteigbreite 3,5 m oder weniger, erfasst und Maßnahmen entsprechend der Sicherheitsempfehlung A 2017/015 gesetzt werden. Diese Betriebsstellen sind der SUB bekannt zu geben um dort eventuell weitere Untersuchungen durchzuführen.</t>
  </si>
  <si>
    <t>AT-5456/4</t>
  </si>
  <si>
    <t>Railway infrastructure undertakings shall ensure that operating points with similar conditions, noise barriers as an external platform boundary, platform width not exceeding 3.5 m are covered and that measures are taken in accordance with: Safety recommendation A 2017/015. These operating points must be notified to the SUB in order to carry out further investigations.</t>
  </si>
  <si>
    <t>REC-000376</t>
  </si>
  <si>
    <t>AT-5499/1</t>
  </si>
  <si>
    <t>Es ist sicherzustellen, dass alle Triebzüge der Baureihe 4020 umgehend auf vergleichbare Mängel ...</t>
  </si>
  <si>
    <t>Es ist sicherzustellen, dass alle Triebzüge der Baureihe 4020 umgehend auf vergleichbare Mängel durch ein qualifiziertes Verfahren technisch untersucht werden. Die technischen Untersuchungen sind innerhalb einer Frist von 4 Wochen beginnend ab dem Datum der Zustellung der Sicherheitsempfehlung abzuschließen. Der NSA ist ein Bericht über die durchgeführten technischen Untersuchungen vorzulegen. Im Bericht sind jedenfalls auch die während der Untersuchung festgestellten Mängel mit Bezug zum jeweiligen Fahrzeug zu dokumentieren.</t>
  </si>
  <si>
    <t>AT-5499/2</t>
  </si>
  <si>
    <t>To assure that all the multiple units of the construction series 4020 are immediately technically examined by a qualified procedure to check for comparable deficiencies. The technical exams have to be finalized within four weeks starting from the date of the safety recommendation. A report about the applied technical exams has to be submitted to the NSA. Any deficiencies identified during the exam have to be stated in the report.</t>
  </si>
  <si>
    <t>REC-000177</t>
  </si>
  <si>
    <t>AT-5496/1</t>
  </si>
  <si>
    <t>Es ist zu prüfen, ob die Bauart des â€žsperrbaren Hemmschuhsâ€œ den Sicherheitsanforderungen für die ...</t>
  </si>
  <si>
    <t>Es ist zu prüfen, ob die Bauart des â€žsperrbaren Hemmschuhsâ€œ den Sicherheitsanforderungen für die Verwendung auf den Anlagen der Infrastrukturbetreiber entspricht. Eine Möglichkeit wäre, den â€žsperrbaren Hemmschuhâ€œ von einer gemäß § 40 Eisenbahngesetz 1957 verzeichneten Person überprüfen zu lassen. Ebenso denkbar wäre eine Typisierung des â€žsperrbaren Hemmschuhsâ€œ. Entsprechend dem Ergebnis der Überprüfung wäre der Einsatz des â€žsperrbaren Hemmschuhsâ€œ allenfalls neu festzulegen. Begründung: Die Konstruktion des beim Vorfall eingesetzten â€žsperrbaren Hemmschuhsâ€œ entspricht nicht der Konstruktion des Hemmschuhs der geprüften Bauart â€žForm 2â€œ. Die Eignung des sperrbaren Hemmschuhs wurde bisher nicht nachgewiesen. Dem Aufwand dieser Sicherheitsempfehlung durch Prüfung oder Typisierung in Verbindung mit allfälliger Neufassung betroffener Regelwerke, steht der Nutzen gegenüber, dass nur geeignete Sicherungsmittel zum Einsatz kommen, wodurch schwere Unfälle durch entrollte Schienenfahrzeuge (z.B. Kollisionen, Entgleisungen) verhindert werden können.</t>
  </si>
  <si>
    <t>AT-5496/2</t>
  </si>
  <si>
    <t>It is necessary to check whether the design of the "lockable inhibitor" complies with the safety requirements for use on the installations of the infrastructure managers. One possibility would be to have the "lockable barrier" checked by a person listed in accordance with Section 40 of the Railway Act 1957. It would also be conceivable to typify the "lockable inhibitor". According to the result of the review, the use of the "lockable inhibitor" would at most have to be redefined. Justification: The construction of the "lockable inhibitor" used in the incident does not correspond to the construction of the inhibitor of the tested type "Form 2". The suitability of the lockable inhibitor has not yet been proven. The effort of this safety recommendation by testing or typing in conjunction with any recasting of affected regulations is offset by the benefit of using only suitable safety means, which causes serious accidents due to untamed vehicles (e.g. collisions, derailments).</t>
  </si>
  <si>
    <t>REC-000179</t>
  </si>
  <si>
    <t>AT-5496/3</t>
  </si>
  <si>
    <t>Es ist sicherzustellen, dass bei Verschubarbeiten auf Gleisen bzw. Gleisabschnitten mit einer ...</t>
  </si>
  <si>
    <t>Es ist sicherzustellen, dass bei Verschubarbeiten auf Gleisen bzw. Gleisabschnitten mit einer Neigung von mehr als 2,5 â€° während bzw. unmittelbar nach dem Anstoß des Triebfahrzeuges auf nicht angekuppelte Wagen diese in Richtung des Gefälles auf Stillstand kontrolliert werden. Daher wird empfohlen, in den Regelwerken des IB (z.B. DV V3 (30.01)) eine Beobachtung verpflichtend vorzuschreiben. In einer Verfahrensanweisung ist festzulegen, welche Handlungen nach Beobachtung einer Entrollung zu setzen sind. Begründung: In einem Gefälle kann der durch den Anstoß erzeugte Energieimpuls nicht in gleicher Weise abgebaut werden, wie bei Gleisanlagen ohne Gefälle. Die Wahrscheinlichkeit einer Entrollung ist daher auf Gleisabschnitte mit Gefälle erhöht. Durch die empfohlene Beobachtung können etwaige Entrollungen unmittelbar erkannt und dementsprechend Maßnahmen gesetzt werden, um die Wahrscheinlichkeit eines Unfalls zu reduzieren bzw. dessen Auswirkungen zu vermindern.</t>
  </si>
  <si>
    <t>AT-5496/4</t>
  </si>
  <si>
    <t>It shall be ensured that, in the case of deferred work on tracks or sections of track with a slope of more than 2.5 % during or immediately after the impact of the traction vehicle on uncoupled wagons, these shall be checked for standstill in the direction of the gradient. It is therefore recommended that the IB regulations (e.g. DV V3 (30.01)) make observation mandatory. A procedural instruction shall specify which actions are to be taken after observing a troll. Justification: In a gradient, the energy pulse generated by the impact cannot be reduced in the same way as in track systems without gradients. The probability of unrolling is therefore increased to track sections with gradients. The recommended observation allows any uncontrol to be detected immediately and appropriate measures can be taken to reduce the likelihood of an accident or its effects.</t>
  </si>
  <si>
    <t>AT-5493/1</t>
  </si>
  <si>
    <t>In Verbindung mit A 2018/002 wird empfohlen das ES â€žAâ€œ so zu versetzten, dass Züge in Folge einer ...</t>
  </si>
  <si>
    <t>In Verbindung mit A 2018/002 wird empfohlen das ES â€žAâ€œ so zu versetzten, dass Züge in Folge einer unerlaubten Signalüberfahrung noch vor der EK im km 1,250 zum Stillstand kommen können. Begründung: Bei einer unerlaubten Signalüberfahrung kann ein Zusammenprall mit einem Straßenverkehrsteilnehmer eventuell verhindert werden.</t>
  </si>
  <si>
    <t>AT-5493/2</t>
  </si>
  <si>
    <t>In conjunction with A 2018/002, it is recommended to move the ES "A" in such a way that trains can come to a standstill before the EK in km 1,250 as a result of an unauthorised signal ingesrate experience. Reason: In the event of an unauthorised signaling experience, a collision with a road user may be prevented.</t>
  </si>
  <si>
    <t>AT-5493/3</t>
  </si>
  <si>
    <t>In Verbindung mit A 2018/001 wird die Platzierung einer Zugbeeinflussung (2000 Hz Magnet) am ...</t>
  </si>
  <si>
    <t>In Verbindung mit A 2018/001 wird die Platzierung einer Zugbeeinflussung (2000 Hz Magnet) am Standort des ES â€žAâ€œ und einer Zugbeeinflussung am VS â€žaâ€œ (1000 Hz Magnet) empfohlen. Begründung: Um die Folgen einer unerlaubten Signalüberfahrung zu minimieren.</t>
  </si>
  <si>
    <t>AT-5493/4</t>
  </si>
  <si>
    <t>In conjunction with A 2018/001, it is recommended that a train influence (2000 Hz magnet) be placed at the ES â€˜Aâ€™ site and a train influence on the VS â€˜aâ€™ (1000 Hz magnet). Justification: To minimize the consequences of unauthorized signal transitions.</t>
  </si>
  <si>
    <t>AT-5493/5</t>
  </si>
  <si>
    <t>Es wird empfohlen das VS â€žaâ€œ als Lichtsignal auszuführen. Begründung: Um den anerkannten Regeln der ...</t>
  </si>
  <si>
    <t>Es wird empfohlen das VS â€žaâ€œ als Lichtsignal auszuführen. Begründung: Um den anerkannten Regeln der Technik zu entsprechen und der Erwartungshaltung am Arbeitsplatz des Tfzf entgegen zu wirken.</t>
  </si>
  <si>
    <t>AT-5493/6</t>
  </si>
  <si>
    <t>It is recommended to run the VS "a" as a light signal. Reason: In order to comply with the recognised rules of technology and to counteract expectations at the workplace of the Tfzf.</t>
  </si>
  <si>
    <t>AT-5573/1</t>
  </si>
  <si>
    <t>Die Bestimmungen der ÖBB DV V3 Betriebsvorschrift (§ 18) betreffend Sicherung stillstehender Fahrzeuge sind zu überprüfen.</t>
  </si>
  <si>
    <t>Die Bestimmungen der ÖBB DV V3 Betriebsvorschrift (§ 18) betreffend Sicherung stillstehender Fahrzeuge sind dahingehend zu überprüfen, ob bei der Sicherung stillstehender Fahrzeuge nicht nur die Neigungsverhältnisse sowie die Länge der abgestellten Fahrzeuge zu berücksichtigen sind, sondern auch die Masse der abgestellten Fahrzeuge ein zu bewertender Faktor sein muss. Des Weiteren ist zu prüfen, inwieweit die in der DV V3 Betriebsvorschrift (§ 18 Abs. 5) genannte verpflichtende Verwendung des sperrbaren Hemmschuhs ohne Ausnahme in fernbedienten Betriebsstellen zu erfolgen hat.</t>
  </si>
  <si>
    <t>AT-5573/2</t>
  </si>
  <si>
    <t>The provisions of the ÖBB DV V3 operating regulation (§ 18) concerning the securing of stationary vehicles must be checked to ensure that not only the gradient conditions and the length of the stationary vehicles are taken into account when securing stationary vehicles, but also the mass of the stationary vehicles must be a factor to be assessed. It must also be examined to what extent the mandatory use of the lockable device referred to in DV V3 operating rules (§ 18(5)) must be carried out without exception in remotely operated operating points.</t>
  </si>
  <si>
    <t>AT-5604/1</t>
  </si>
  <si>
    <t>Ist bei dem Zugsicherungssystem PZB der Abstand zwischen einem Vorsignal und einem Einfahrsignal ...</t>
  </si>
  <si>
    <t>Ist bei dem Zugsicherungssystem PZB der Abstand zwischen einem Vorsignal und einem Einfahrsignal (wenn diesem ein Weichenbereich folgt), einem Ausfahr-, Zwischen-, Schutz- oder Deckungssignal größer als 1250 m und übersteigt die zulässige Geschwindigkeit 40km/h, wird empfohlen, dass ein 500 Hz-Magnet nachgerüstet wird. Ist eine durchgängige Überwachung gegeben (z.B. ein Signalnachahmer mit einer 1000 Hz Überwachung ist bereits vorhanden) kann auf die Nachrüstung verzichtet werden.â€œ Begründung: Die zusätzliche Absicherung mit 500 Hz-Magneten steigert das Sicherheitsniveau am Schienennetz, da mit einem vertretbaren Aufwand die Wahrscheinlichkeit von Kollisionen erheblich verringert werden kann. Mit der Umsetzung dieser Sicherheitsempfehlung wird verhindert, dass ein Zug nach Ende einer 1000 Hz-Geschwindigkeitsüberwachung, ohne technisch überwacht zu sein, auf ein â€žHaltâ€œ zeigendes Hauptsignal zufahren kann.</t>
  </si>
  <si>
    <t>AT-5604/2</t>
  </si>
  <si>
    <t>order to avoid future collisions due to, for example, signal overruns, it is recommended that, at least in the case of new constructions and major alterations of railway infrastructure (within the meaning of Section 1(4) of the EisbBBV), an appropriate route be provided for depending on the train protection system used. To this end, all the rules relevant to the subject would have to be adapted. Justification: As the incident under investigation shows, despite the implementation of Section 22(5) of the EisbBBV, there may be collisions between two trains. In order to counter this, it is useful that, in the case of new constructions and major conversions of railway infrastructure, provision should be made for a pathway in which a train stops (e.g. in spite of experience of signal noise) before a possible collision. Taking into account an appropriate protection route in the course of new constructions and major refurbishments, as well as the adaptation of the regulatory framework, represents a reasonable effort in relation to the improvement of the level of safety on the rail network.</t>
  </si>
  <si>
    <t>AT-5604/3</t>
  </si>
  <si>
    <t>Um künftige Kollisionen durch z.B. Signalüberfahrungen zu vermeiden, wird empfohlen, dass zumindest ...</t>
  </si>
  <si>
    <t>Um künftige Kollisionen durch z.B. Signalüberfahrungen zu vermeiden, wird empfohlen, dass zumindest bei Neubauten und umfassenden Umbauten von Schieneninfrastrukturanlagen (im Sinne des § 1 Abs. 4 EisbBBV) ein in Abhängigkeit vom eingesetzten Zugsicherungssystem angemessener Schutzweg vorgesehen wird. Hierfür wären alle für die Thematik relevanten Regelwerke anzupassen. Begründung: Wie der untersuchte Vorfall zeigt, kann es trotz der Umsetzung des § 22 Abs. 5 EisbBBV zu Kollisionen zweier Züge kommen. Um dieser Tatsache entgegenzuwirken, ist es zielführend, dass bei Neubauten und umfassenden Umbauten von Schieneninfrastrukturanlangen ein Schutzweg vorgesehen wird, in welchem ein Zug (z.B. trotz einer Signalüberfahrung) vor einer möglichen Kollision zum Stillstand kommt. Die Berücksichtigung eines angemessenen Schutzweges im Zuge von Neubauten und umfassenden Umbauten stellt, ebenso wie die Anpassung der Regelwerke, einen vertretbaren Aufwand im Verhältnis zur Steigerung des Sicherheitsniveaus am Schienennetz dar.</t>
  </si>
  <si>
    <t>AT-5604/4</t>
  </si>
  <si>
    <t>In order to avoid future collisions due to, for example, signal crossings, it is recommended that at least in the case of new constructions and extensive conversions of rail infrastructure systems (within the meaning of Section 1 (4) Of EisbBv), a system based on the train control system used should be appropriate protection path. For this purpose, all relevant rules for the topic would have to be adapted. Justification: As the incident under investigation shows, two trains may collide despite the implementation of Section 22(5) of the EisbBV. In order to counteract this fact, it is expedient that in the case of new buildings and extensive conversions of rail infrastructure extensions, a protective path is provided in which a train (e.g. despite a signal crossing experience) comes to a standstill before a possible collision. The consideration of an appropriate protective path in the course of new buildings and extensive conversions, as well as the adaptation of the regulations, represents a reasonable effort in relation to the increase in the safety level of the rail network.</t>
  </si>
  <si>
    <t>REC-000231</t>
  </si>
  <si>
    <t>AT-5670/1</t>
  </si>
  <si>
    <t>Es wird empfohlen, dass auf allen österreichischen Eisenbahninfrastrukturanlagen bei geschobenen ...</t>
  </si>
  <si>
    <t>Es wird empfohlen, dass auf allen österreichischen Eisenbahninfrastrukturanlagen bei geschobenen Verschubfahrten mit Fahrzeugen, welche mit Reisenden besetzt sind, für den/die MitarbeiterIn an der Spitze der Fahrt, die Verwendung einer Bremseinrichtung (z. B. Luftbremskopf) zwingend bestimmt wird. Diese Bremseinrichtung für den/die MitarbeiterIn an der Spitze der Fahrt soll als Rückfallebene für Notbremsungen dienen. Erkennt oder vermutet der/die MitarbeiterIn an der Spitze, â€¢ dass die Funkverbindung zu dem/der TriebfahrzeugführerIn gestört oder beeinträchtigt ist, â€¢ die Aufträge beim Heransprechen der Fahrt durch den/die TriebfahrzeugführerIn NICHT eingehalten werden, so kann der/die MitarbeiterIn an der Spitze die geschobene Verschubfahrt mit dieser Bremseinrichtung im Gefahrfall sofort anhalten. Hält sich der/die MitarbeiterIn an der Spitze eines Verschubteils im vordersten Fahrzeug im Bereich der Übergangstüre auf, um von dort aus den Verschubweg zu beobachten, so muss die Stirntüre gegebenenfalls einen Spalt breit geöffnet werden, damit das Zugseil des Luftbremskopfs bedient werden kann. Von dieser Sicherheitsempfehlung betroffene Regelwerke sind dahingehend anzupassen bzw. zu erweitern, sodass einem gefahrlosem Verschub von Fahrzeugen, die mit Reisenden besetzt sind, nichts entgegensteht. Begründung: Im Gefahrfall kann der/die MitarbeiterIn an der Spitze die Verschubfahrt unmittelbar mittels Notbremsung anhalten. Der geschätzte Aufwand für die Montage und Erprobung eines Luftbremskopfs beträgt maximal fünf Minuten. Dieser Zeitaufwand erscheint aufgrund des zu erwartenden Zugewinns an Sicherheit jedenfalls gerechtfertigt.</t>
  </si>
  <si>
    <t>AT-5670/2</t>
  </si>
  <si>
    <t>It is recommended that all railway infrastructure in Austria, in the case of pushed transport by means of vehicles manned by passengers, the use of a braking device (e.g. air brake head) is mandatory for the staff at the top of the journey. This braking device for the staff member at the top of the voyage is intended to be used as a fallback plane for emergency braking. Recognizes or suspects the staff member at the top of the list; ãƒ» the radio connection to the driver is disrupted or impaired, ãƒ» the orders are NOT met when the driver is approaching the journey; so the employee at the top may immediately stop the pushed transfer with this braking device in case of danger. If the staff member is at the top of a coupling in the front of the vehicle in the area of the transition door to observe the lift path from there, the front door may have to be opened wide in order to operate the airborne brake coupling. The rules covered by this safety recommendation must be adapted or extended to ensure that there is no risk of a transfer of vehicles manned by passengers. Justification: In the event of danger, the employee at the top may stop the transfer directly by emergency braking. The estimated time required to install and test an air brake head is not more than five minutes. In any event, this time-consuming process seems justified by the expected increase in security.</t>
  </si>
  <si>
    <t>AT-5746/1</t>
  </si>
  <si>
    <t>Es ist zu prüfen ob technische Vorkehrungen getroffen werden können um Geschwindigkeitsbrüche ...</t>
  </si>
  <si>
    <t>Es ist zu prüfen ob technische Vorkehrungen getroffen werden können um Geschwindigkeitsbrüche abzusichern. Begründung: Bei einer technischen Absicherung spielt der Faktor Mensch keine Rolle. Die technische Komponente muss menschliche Fehler abfangen.</t>
  </si>
  <si>
    <t>AT-5746/2</t>
  </si>
  <si>
    <t>It is necessary to check whether technical precautions can be taken to ensure speed breaks. Justification: In a technical protection, the human factor does not play a role. The technical component must intercept human errors.</t>
  </si>
  <si>
    <t>AT-5746/3</t>
  </si>
  <si>
    <t>Die Bedienungsanweisung für das RTMS mit dem Zusatzvermerk für Tfzf muss korrekt, vollständig, ...</t>
  </si>
  <si>
    <t>Die Bedienungsanweisung für das RTMS mit dem Zusatzvermerk für Tfzf muss korrekt, vollständig, schlüssig, leicht verständlich, aktuell und ordnungsgemäß formuliert werden. Begründung: Es ist sicherzustellen, dass nur jene Informationen für die Mitarbeiter zur Verfügung stehen, welche für seine Tätigkeiten zutreffen und durch das technische System erfüllt werden können.</t>
  </si>
  <si>
    <t>AT-5746/4</t>
  </si>
  <si>
    <t>The operating instructions for the RTMS, including the additional wording for Tfzf, shall be correctly, completely, conclusive, easily understandable, up-to-date and correctly formulated. Justification: It is necessary to ensure that only the information available to the staff that is relevant to their activities and that can be provided by the technical system is available.</t>
  </si>
  <si>
    <t>AT-5233/1</t>
  </si>
  <si>
    <t>A-2017/001</t>
  </si>
  <si>
    <t>Es wird empfohlen, die schienengleichen Bahnsteigzugänge in km 43,517 und in km 43,559 im Bahnhof Kirchstetten durch Absperrungen oder sonstige technische bzw. bauliche Maßnahmen zu sichern.
Bis zur Umsetzung dieser Sicherheitsempfehlung wird empfohlen, im Bahnhof Kirchstetten für jeweils einen der beiden schienengleichen Bahnsteigzugänge einen geeigneten Mitarbeiter zur Sicherung einzusetzen.
Begründung: Im Bahnhof Kirchstetten sind zwei schienengleiche Bahnsteigzugänge situiert, die gemäß §86 Abs. 2 EisbBBV beaufsichtigt werden müssen, wenn Fahrten zugelassen werden. Eine zeitgleiche Beaufsichtigung für beide Zugänge kann von einem Mitarbeiter mit an Sicherheit grenzender Wahrscheinlichkeit nicht gewährleistet werden.
Maßnahmen bezogen auf die dringlichen Sicherheitsempfehlungen.
NSA und IB haben folgende Maßnahmen gesetzt:
Nachevaluierung des IB am 06.02.2017</t>
  </si>
  <si>
    <t>AT-5233/2</t>
  </si>
  <si>
    <t>A-2017/002</t>
  </si>
  <si>
    <t>Es ist durch die Eisenbahninfrastrukturu nternehmen zu evaluieren, ob in anderen Betriebsstellen mit gleichgelagerten oder ähnlichen Verhältnissen Maßnahmen im Sinne der Sicherheitsempfehlung A-2017/001 umzusetzen sind.
Maßnahmen bezogen auf die dringlichen Sicherheitsempfehlungen.
NSA und IB haben folgende Maßnahmen gesetzt:
Die NSA teilte im jährlichen Bericht an die SUB („Überwachungsberichte Maßnahmen zu Sicherheitsempfehlungen Bericht an die SUB 2020“) [75] mit, dass der IB (datiert 17. April 2019) eine endgültige Liste der Betriebsstellen mit gleichgelagerten oder ähnlichen Verhältnissen wie am Bf Kirchstetten (Bahnsteig ohne Kennzeichnung des Aufenthaltsbereiches) [56] am 19. April 2019 übermittelt habe. Diese Liste wurde der SUB vom IB zur Verfügung gestellt. Die der Auflistung zugrundeliegenden Kriterien wurden mit der Oberflächenbeschaffenheit (ungeeignet eine Oberflächenkennzeichnung anzubringen) bzw. mit dem Fehlen der Kennzeichnung des Aufenthaltsbereiches am Bahnsteig, aufgrund der Breite der Bahnsteige, vom IB festgelegt.
Der IB hat im Begleitschreiben (datiert 17. April 2019) angekündigt [76], dass für alle aufgelisteten Betriebsstellen „Zur Herstellung eines verordnungskonformen Zustandes gemäß EisbSV § 2 […] mit entsprechend präzisierter Hausordnung und aussagekräftigen Hinweisschildern ausgestattet“ werden.
Aus der Liste [56] ist ersichtlich, dass zum Stichtag 17. April 2019 noch weitere 36 Betriebsstellen des IBs existierten, die aufgrund der Bahnsteigbreite keinen gekennzeichneten Aufenthaltsbereich aufwiesen.</t>
  </si>
  <si>
    <t>AT-5287/1</t>
  </si>
  <si>
    <t>A-2021/001</t>
  </si>
  <si>
    <t>Schnellstmögliche legistische Vorgabe zur Nachrüstung aller Fahrzeuge zumindest mit der Funktionalität der PZB 90 (Punktförmige Zugbeeinflussung 90).
Spätestens ab 01. Jänner 2022 dürfen Zugfahrten nicht mehr zugelassen werden, deren führende Fahrzeuge nicht zumindest mit der Funktionalität einer PZB 90 ausgestattet sind.
Begründung:
Der aus den 1960er Jahren stammenden Fahrzeugeinrichtung der Bauform PZB 60 fehlen wichtige Überwachungsfunktionen wie eine „kontinuierliche Geschwindigkeitsüberwachungskurve“ nach einer 1000 Hz oder einer 500 Hz Beeinflussung und die
„restriktive Geschwindigkeitsüberwachung“ nach einem Aufenthalt während der Überwachungsphase. Beim Überfahren
eines aktiven 500 Hz GM unter einer Geschwindigkeit von 65 km/h wird eine notwendige weitere Geschwindigkeitsreduktion technisch nicht überwacht. Durch die Ausrüstungspflicht mit einer Zugbeeinflussung der Funktionalität PZB 90 kann die Wahrscheinlichkeit von Signalüberfahrungen, und damit von Kollisionen, erheblich verringert werden.</t>
  </si>
  <si>
    <t>Bundesministerium für Klimaschutz, Umwelt, Energie, Mobilität, Innovation und Technologie</t>
  </si>
  <si>
    <t>AT-5287/2</t>
  </si>
  <si>
    <t>A-2021/002</t>
  </si>
  <si>
    <t>Konkretisierung der Bestimmungen des § 22 Abs 5 EisbBBV
betreffend die erforderlichen Längen von Schutzwegen zur Verhinderung von Unfällen aufgrund von Signalüberfahrungen.
Begründung:
Schutzwege werden derzeit gemäß § 22 Abs. 5 Z 1 EisbBBV regelmäßig nur in einer Länge von 50 m ausgeführt. Wichtige Einflussfaktoren auf die Bremsweglänge, wie die zulässige Geschwindigkeit oder die örtliche Topographie, bleiben somit unberücksichtigt, wodurch ein Anhalten des Zuges vor dem Gefahrenpunkt oftmals nicht möglich ist.
Die derzeitige Formulierung des § 22 Abs. 5 Z 1 EisbBBV ist daher missverständlich und wird in weiterer Folge falsch ausgelegt.</t>
  </si>
  <si>
    <t>19/20-1: assure the proper line blocking when dispatching train "manually".</t>
  </si>
  <si>
    <t>In training and retraining of dispatchers, insist that in single track lines with a working automating blocking, the blocking of the itinerary must be previously assured by the dispatcher in every dispatching made by signal passing authorization.
Final implementer: ADIF (IM)</t>
  </si>
  <si>
    <t>19/20-2: limitation automatic dispatching by GRP.</t>
  </si>
  <si>
    <t>Analyze possible technical restrictions to prevent GRP system from automatically dispatching trains when there is any safety issue at the destination station.
Final implementer: ADIF (IM)</t>
  </si>
  <si>
    <t>19/20-3: improvement of procedure for disabling GRP in stations with issues.</t>
  </si>
  <si>
    <t>Update de rules of the GRP system and the related training of dispatchers, in order to expressly state that GRP must be disabled in both stations (departure and arrival) when, because of any issue with installations, trains need to be dispatched by authorizing signal passing.
Final implementer: ADIF (IM)</t>
  </si>
  <si>
    <t>19/20-4: assure immediate detention of affected trains when a risk of collision is detected.</t>
  </si>
  <si>
    <t>In the training of dispatchers and signallers, insist that in the event of an imminent risk actuation must be immediate, using available means (closing of signals and blocking, emergency radio or even power shutdown), in order to guarantee an immediate detention of affected trains.
Final implementer: ADIF (IM)</t>
  </si>
  <si>
    <t>19/20-5: adjust station rulebook and signs at Control Centre to general regulation NAS 806.</t>
  </si>
  <si>
    <t>Adjust the Xeraco station local operating instructions to the general regulation NAS 806, with regard to the detection of runaway rolling stock. Also, adjust in the same way the signs that the Control Centre screen shows in that event.
Apply this, if necessary, to the local instructions of other stations in the line where the same circumstances happen.
Final implementer: ADIF (IM)</t>
  </si>
  <si>
    <t>PT-757/1</t>
  </si>
  <si>
    <t>To continue with the proposed cancellation of this level crossing and construction of a road access</t>
  </si>
  <si>
    <t>To continue with the proposed cancellation of this level crossing and construction of a road access under the Bridge Quebradas planed to start in 2010.</t>
  </si>
  <si>
    <t>PT-757/2</t>
  </si>
  <si>
    <t>Reduce the maximum train speed to 50 Km/h, given the risk of derailment over the bridge, after a sim</t>
  </si>
  <si>
    <t>Reduce the maximum train speed to 50 Km/h, given the risk of derailment over the bridge, after a similar collision.</t>
  </si>
  <si>
    <t>PT-757/3</t>
  </si>
  <si>
    <t>Strengthening of maintaining visibility for road users in all directions.</t>
  </si>
  <si>
    <t>PT-746/1</t>
  </si>
  <si>
    <t>The existence of stops differentiated between road and rail, together with the lack of standards for</t>
  </si>
  <si>
    <t>The existence of stops differentiated between road and rail, together with the lack of standards for the location of bus stops, and the fact that rail vehicle run at a considerable speed, increases the risk for the occurrence of accidents between transports and pedestrians.</t>
  </si>
  <si>
    <t>PT-746/2</t>
  </si>
  <si>
    <t>It is therefore imperative to take structural measures that will reduce the potential conflict betwe</t>
  </si>
  <si>
    <t>It is therefore imperative to take structural measures that will reduce the potential conflict between the transport modes and pedestrians.</t>
  </si>
  <si>
    <t>PT-746/3</t>
  </si>
  <si>
    <t>Taking into account the type of infrastructure at hand, and the fact of the need for the bus stop, t</t>
  </si>
  <si>
    <t>Taking into account the type of infrastructure at hand, and the fact of the need for the bus stop, the intervention should be advocated in terms of creating safe conditions for the existence of the bus stop towards Laranjeiro - Corroios.</t>
  </si>
  <si>
    <t>PT-746/4</t>
  </si>
  <si>
    <t>These measures should be complemented with the introduction of signage in order to obtain, from the</t>
  </si>
  <si>
    <t>These measures should be complemented with the introduction of signage in order to obtain, from the pedestrians, a higher concentration in the process of crossing the rail towards the road and vice-versa.</t>
  </si>
  <si>
    <t>PT-746/5</t>
  </si>
  <si>
    <t>Also taking into account the existence in the urban organisation of metro traffic, road traffic and</t>
  </si>
  <si>
    <t>Also taking into account the existence in the urban organisation of metro traffic, road traffic and pedestrians, it appears that there is a gap in the regulation of signalling information, vertical and horizontal, combining this new reality.</t>
  </si>
  <si>
    <t>PT-746/6</t>
  </si>
  <si>
    <t>It is also of the upmost convenience to take advantage of this opportunity to mention that it should</t>
  </si>
  <si>
    <t>It is also of the upmost convenience to take advantage of this opportunity to mention that it should be performed a study on the issue of safety of bus and metro stops in similar areas of that of the accident under consideration.</t>
  </si>
  <si>
    <t>PT-746/7</t>
  </si>
  <si>
    <t>It is recommended to keep under control the height of the bushes that are planted on the west side o</t>
  </si>
  <si>
    <t>It is recommended to keep under control the height of the bushes that are planted on the west side of the railway infrastructure, at the accident site, to avoid possible limitations on visibility, either for train drivers or for pedestrians.</t>
  </si>
  <si>
    <t>PT-724/1</t>
  </si>
  <si>
    <t>The Technical Committee of Inquiry recommend that before the reopening of this section of line, take</t>
  </si>
  <si>
    <t>The Technical Committee of Inquiry recommend that before the reopening of this section of line, take special measures to observe and act accordingly, in trenches and landfills in areas it considers most critical, using where appropriate the views of technical in the field of geotechnical analysis of these sites.</t>
  </si>
  <si>
    <t>PT-724/2</t>
  </si>
  <si>
    <t>Evaluated the circumstances under which ran the derailment, it is recommended to REFER, to undertake</t>
  </si>
  <si>
    <t>Evaluated the circumstances under which ran the derailment, it is recommended to REFER, to undertake studies for the installation of detection systems landslides, rocks that could jeopardize the movement of trains and to undertake the systematic monitoring of where is greater the instability of the land.</t>
  </si>
  <si>
    <t>PT-724/3</t>
  </si>
  <si>
    <t>The Technical Committee recommends of Inquiry that REFER submit its methodology for monitoring and m</t>
  </si>
  <si>
    <t>The Technical Committee recommends of Inquiry that REFER submit its methodology for monitoring and maintenance of the left bank of Tua, in relevant part to the rail, the analysis of an independent and experienced in order to obtain an opinion on the appropriateness of such approach to the structure of land in line with Tua.</t>
  </si>
  <si>
    <t>PT-614/1</t>
  </si>
  <si>
    <t>In order to prevent further accidents, it must be immediately corrected the deficiencies, with resto</t>
  </si>
  <si>
    <t>In order to prevent further accidents, it must be immediately corrected the deficiencies, with restoring of standard values of all parameters of track, on the section in question</t>
  </si>
  <si>
    <t>PT-614/2</t>
  </si>
  <si>
    <t>As has been said that derailment ago cannot be separated from that occurred on 06.06.2008, on the sa</t>
  </si>
  <si>
    <t>As has been said that derailment ago cannot be separated from that occurred on 06.06.2008, on the same line. In both cases, the parameters of track shown unacceptable values, and that is the root cause of accidents, and so, before being reopened the track to exploitation, the verification of the conditions of geometric parameters must be done, along all the line, and to proceed for their rectification where appropriate</t>
  </si>
  <si>
    <t>PT-614/3</t>
  </si>
  <si>
    <t>It should also be produced a standard for the metric tracks, equivalent to the existing IT.VIA.018,</t>
  </si>
  <si>
    <t>It should also be produced a standard for the metric tracks, equivalent to the existing IT.VIA.018, which will used as the benchmark for this type of track</t>
  </si>
  <si>
    <t>PT-614/4</t>
  </si>
  <si>
    <t>Should the organs of the companies involved, with direct responsibility in the interaction Rolling S</t>
  </si>
  <si>
    <t>Should the organs of the companies involved, with direct responsibility in the interaction Rolling Stock - track, establish mechanisms for exchange of knowledge and share them and disseminating them to organizations, including the officials on the ground in order to enable them to carry on their profession adequately.</t>
  </si>
  <si>
    <t>PT-613/1</t>
  </si>
  <si>
    <t>. In order to prevent further accidents, must be immediately corrected the track, with restoring of</t>
  </si>
  <si>
    <t>. In order to prevent further accidents, must be immediately corrected the track, with restoring of the standardized values in all the track parameters in the Section concerned.</t>
  </si>
  <si>
    <t>PT-613/2</t>
  </si>
  <si>
    <t>Whereas The circumstantial references in which the accident occurred; It is proposed as a recommenda</t>
  </si>
  <si>
    <t>Whereas The circumstantial references in which the accident occurred; It is proposed as a recommendation that the IM-REFER engage together with the RU-CP, to initiate the joint study of the quality track parameters to which the track shall obey, so that these unwanted events do not repeat again, and giving knowledge of this study to the safety authority for railways, the Institute for Mobility and Inland Transport.</t>
  </si>
  <si>
    <t>PT-241/1</t>
  </si>
  <si>
    <t>To the operator CP, to reinforce the training to the train drivers to comply with the established re</t>
  </si>
  <si>
    <t>To the operator CP, to reinforce the training to the train drivers to comply with the established regulatory speeds.</t>
  </si>
  <si>
    <t>PT-241/2</t>
  </si>
  <si>
    <t>To the infrastructure manager REFER, to grant regulatory visibility distances of level crossings.</t>
  </si>
  <si>
    <t>PT-241/3</t>
  </si>
  <si>
    <t>To the infrastructure manager REFER, to reclassify this LC to an upper level on safety due to its hi</t>
  </si>
  <si>
    <t>To the infrastructure manager REFER, to reclassify this LC to an upper level on safety due to its high circulation traffic.</t>
  </si>
  <si>
    <t>PT-241/4</t>
  </si>
  <si>
    <t>Or, to eliminate this LC.</t>
  </si>
  <si>
    <t>PT-241/5</t>
  </si>
  <si>
    <t>To the infrastructure manager REFER, to put the railway signals for the train driver to activate the</t>
  </si>
  <si>
    <t>To the infrastructure manager REFER, to put the railway signals for the train driver to activate the horn at regulatory distances.</t>
  </si>
  <si>
    <t>PT-224/1</t>
  </si>
  <si>
    <t>It was recommended to the Maintenance Company EMEF-MRM of Entroncamento, when doing the braking test</t>
  </si>
  <si>
    <t>It was recommended to the Maintenance Company EMEF-MRM of Entroncamento, when doing the braking tests, these are carried out with simulated load and to record the result thereof in the appropriate fields</t>
  </si>
  <si>
    <t>PT-4418/1</t>
  </si>
  <si>
    <t>Rolling stock door opening command system</t>
  </si>
  <si>
    <t># 2016/01: IMT is recommended to ensure that, within a time-frame accepted by it, CP assesses the risks to passengers resulting from the opening of automatic doors at unsafe locations, and implements the measures considered adequate to mitigate, as far as reasonable, the identified risks.</t>
  </si>
  <si>
    <t>PT-4418/2</t>
  </si>
  <si>
    <t># 2016/02: IMT is recommended to ensure that, as soon as possible and while the measures resulting from the risk assessment mentioned in safety recommendation 2016/01 are not applied, CP implements an operating procedure on rolling stock with automatic doors, where necessary, so that the enabling of normal door command to the passengers control is only effective after safety conditions to do so are confirmed.</t>
  </si>
  <si>
    <t>PT-4418/3</t>
  </si>
  <si>
    <t># 2016/03: IMT is recommended to evaluate, as soon as possible, whether safety recommendations 2016/01 and 2016/02 are relevant to other RUs operating on the national railway network, and to promote the measures considered adequate.</t>
  </si>
  <si>
    <t>PT-4418/4</t>
  </si>
  <si>
    <t>Human factors</t>
  </si>
  <si>
    <t># 2016/04: IMT is recommended to ensure that, within a time-frame accepted by it, CP establishes procedures with quantified objectives in order to effectively monitor the human factors potentially capable of affecting negatively the performance of the drivers, based on international best practice in the transportation industry.</t>
  </si>
  <si>
    <t>PT-4418/5</t>
  </si>
  <si>
    <t>Operating procedures</t>
  </si>
  <si>
    <t># 2016/05: IMT is recommended to ensure that, as soon as possible, the operating proceduresâ€™ framework applicable to emergencies is evaluated and, if necessary, reviewed, in order as to minimize the risk of error by the intended users regarding actions to be taken.</t>
  </si>
  <si>
    <t>PT-4418/6</t>
  </si>
  <si>
    <t>Communication clarity</t>
  </si>
  <si>
    <t># 2016/06: IMT is recommended to ensure that, within a time-frame accepted by it, CP establishes communications protocols, for use between their operational staff and between them and the IM control centres, adequate to minimize the risk of information not being transmitted accurately in emergency situations, so that the issuing agent gets assurance that the receiving agent fully understood the content of the information and receives confirmation that the required actions were implemented.</t>
  </si>
  <si>
    <t>PT-4418/7</t>
  </si>
  <si>
    <t>Training</t>
  </si>
  <si>
    <t># 2016/07: IMT is recommended to ensure that, within a time-frame accepted by it, CP establishes a training program adequate for staff expected to intervene in emergencies, to develop competencies, proficiency and confidence in applying, under stress, the required procedures.</t>
  </si>
  <si>
    <t>REC-000490</t>
  </si>
  <si>
    <t>PT-4739/1</t>
  </si>
  <si>
    <t>Nr. 2016/08: Layout of the level crossing were the accident happened</t>
  </si>
  <si>
    <t>IMT is recommended that, within a timeframe that it finds acceptable, the Infrastructure Manager Infraestruturas de Portugal, S.A. study and implements adequate improvements to level crossing 324,964 (Algarve line), based on good and best international practice on the subject, in order as to maximize the conspicuity to road users of the crossing and its road signals and signs, especially under adverse low sun conditions.</t>
  </si>
  <si>
    <t>REC-000491</t>
  </si>
  <si>
    <t>PT-4739/2</t>
  </si>
  <si>
    <t>Nr. 2016/09: Criteria for the design of level crossings</t>
  </si>
  <si>
    <t>IMT is recommended that, within a timeframe that it finds acceptable, the Infrastructure Manager Infraestruturas de Portugal, S.A. strengthens its requirements regarding the design procedure for level crossings, in order as to guarantee that the individual risks of each crossing under design are considered explicitly and that those risks are shown to be controlled by adequate technical solutions.</t>
  </si>
  <si>
    <t>REC-000493</t>
  </si>
  <si>
    <t>PT-4739/3</t>
  </si>
  <si>
    <t>Nr. 2016/10: Level crossing design guidance</t>
  </si>
  <si>
    <t>IMT is recommended to produce, within one year, a code or guide to be used as reference by rail and road infrastructure managers in designing, changing or improving level crossings and its road approaches, taking into consideration the relevant knowledge of road engineering, in order as to give guidance on using best international practice regarding, as a minimum, (i) an integrated design of the level crossings considering their road approaches, (ii) the layout and type of its components, (iii) the technical solutions adequate to mitigate identified risks.</t>
  </si>
  <si>
    <t>REC-000494</t>
  </si>
  <si>
    <t>PT-4739/4</t>
  </si>
  <si>
    <t>Nr. 2016/11: Risk analysis</t>
  </si>
  <si>
    <t>IMT is recommended that, within a timeframe that it finds acceptable, the Infrastructure Manager Infraestruturas de Portugal, S.A. strengthens their procedures regarding the risk analysis of level crossings, in order as to ensure that there are structured and documented procedures in the safety management system for the systematic analysis of risks at level crossings and the definition of the corresponding control measures.</t>
  </si>
  <si>
    <t>REC-000496</t>
  </si>
  <si>
    <t>PT-4739/5</t>
  </si>
  <si>
    <t>Nr. 2016/12: Risk analysis</t>
  </si>
  <si>
    <t>IMT is recommended that, within a timeframe that it finds acceptable, the Infrastructure Manager Infraestruturas de Portugal, S.A. establishes structured procedures in its safety management system for a systematic, regular and documented analysis of the history of safety occurrences at each level crossing, so as to identify evidenced potential safety risks.</t>
  </si>
  <si>
    <t>REC-000497</t>
  </si>
  <si>
    <t>PT-4739/6</t>
  </si>
  <si>
    <t>Nr. 2016/13: Recording of safety relevant information</t>
  </si>
  <si>
    <t>IMT is recommended that, within a timeframe that it finds acceptable, the Infrastructure Manager Infraestruturas de Portugal, S.A. strengthens the procedures in its safety management system to ensure the accuracy of the safety relevant information recorded in its data base as to the type of occurrences on level crossings.</t>
  </si>
  <si>
    <t>REC-000498</t>
  </si>
  <si>
    <t>PT-4739/7</t>
  </si>
  <si>
    <t>Nr. 2016/14: Internal monitoring of the SMS</t>
  </si>
  <si>
    <t>IMT is recommended that, within a timeframe that it finds acceptable, the Infrastructure Manager Infraestruturas de Portugal, S.A. reviews its internal audit plan to the safety management system, so that the processes relevant to level crossings are subjected to regular audits aiming at their effective monitoring and continuous improvement.</t>
  </si>
  <si>
    <t>REC-000499</t>
  </si>
  <si>
    <t>PT-4739/8</t>
  </si>
  <si>
    <t>Nr. 2016/15: Supervision of SMS application</t>
  </si>
  <si>
    <t>IMT is recommended to strengthen their supervision of the Infrastructure Manager and Railway Undertakings safety management systems, giving priority to the processes of the IM Infraestruturas de Portugal, S.A. relevant to level crossings and to their internal monitoring and continuous improvement.</t>
  </si>
  <si>
    <t>REC-000500</t>
  </si>
  <si>
    <t>PT-4739/9</t>
  </si>
  <si>
    <t>Nr. 2016/16: Staff competence maintenance</t>
  </si>
  <si>
    <t>IMT is recommended that, within a timeframe that it finds acceptable, the Railway Undertaking CP â€“ Comboios de Portugal, E.P.E. establishes the necessary actions to guarantee the maintenance of competences of its staff susceptible to act as â€œGestor de Emergência Localâ€ (local emergency manager â€“ Railway Undertaking), so as to be aware of the importance of direct contact, through any of the available means, with the command centres, for the effective management of the emergency while the local emergency manager â€“ Infrastructure Manager is not present at the site.</t>
  </si>
  <si>
    <t>REC-000501</t>
  </si>
  <si>
    <t>PT-4739/10</t>
  </si>
  <si>
    <t>Nr. 2016/17: Training</t>
  </si>
  <si>
    <t>IMT is recommended that, within a timeframe that it finds acceptable, the Railway Undertaking CP â€“ Comboios de Portugal, E.P.E. establishes the necessary actions to guarantee that its staff susceptible to act as â€œGestor de Emergência Localâ€ (local emergency manager â€“ Railway Undertaking), are aware of the existence, role and authority of the operations theatre Rescue Operations Commander at the accident site, as well as of the interaction between them defined on national rule IET 96.</t>
  </si>
  <si>
    <t>REC-000502</t>
  </si>
  <si>
    <t>PT-4739/11</t>
  </si>
  <si>
    <t>Nr. 2016/18: Layout of the level crossing were the accident happened</t>
  </si>
  <si>
    <t>Câmara Municipal de Lagoa (Lagoa municipality) is recommended to study and implement, within the shortest timeframe possible and in concertation with the rail Infrastructure Manager Infraestruturas de Portugal, S.A., adequate improvements to the road approaches to level crossing 324,964 (Algarve line), based on good and best international practice on the subject and relevant knowledge of road engineering, in order as to maximize to road users the conspicuity of the crossing and of its road signals, as well as to induce drivers to adopt the necessary precaution.</t>
  </si>
  <si>
    <t>REC-000503</t>
  </si>
  <si>
    <t>PT-4739/12</t>
  </si>
  <si>
    <t>Nr. 2016/19: Procedures for emergencies in rail environment</t>
  </si>
  <si>
    <t>Comando-Geral da Guarda Nacional Republicana is recommended to take the necessary actions to guarantee that their agents present on the site of a rail emergency comply to the operational hierarchy at the site defined in the Integrated System for Rescue and Protection Operations.</t>
  </si>
  <si>
    <t>REC-000504</t>
  </si>
  <si>
    <t>PT-4739/13</t>
  </si>
  <si>
    <t>Nr. 2016/20: Crew psychological fitness</t>
  </si>
  <si>
    <t>IMT is recommended that, within a timeframe that it finds acceptable, the Railway Undertaking CP â€“ Comboios de Portugal, E.P.E. study the impact on safety of the risks that accidents involving persons hit by trains may have on their crews psychological health when they continue on duty, and, if necessary according to the results of the study, implement the adequate mitigating measures.</t>
  </si>
  <si>
    <t>REC-000507</t>
  </si>
  <si>
    <t>PT-4739/14</t>
  </si>
  <si>
    <t>Nr. 2016/21: Regulations concerning level crossings</t>
  </si>
  <si>
    <t>IMT is recommended to make a general review of the legal and regulatory framework concerning level crossings, to ensure that the crossings and their road approaches are considered and managed in an integrated manner by the respective infrastructure managers, and that, without prejudice of the definition of minimum requirements, focus is made that the layout, equipments and signals of each level crossing and road approaches result from a safety risk assessment, thus harmonizing the legal framework regarding level crossings with the safety requirements legally established for the activity of infrastructure manager.</t>
  </si>
  <si>
    <t>REC-000508</t>
  </si>
  <si>
    <t>PT-4739/15</t>
  </si>
  <si>
    <t>Nr. 2016/22: IM rules concerning level crossings</t>
  </si>
  <si>
    <t>IMT is recommended that, within a timeframe that it finds acceptable, the Infrastructure Manager Infraestruturas de Portugal, S.A. reviews its internal rules and technical documents concerning level crossings, so as to ensure that there is uniformity and clear identification of level crossingsâ€™ characteristics relevant to safety according to their defined types.</t>
  </si>
  <si>
    <t>REC-000509</t>
  </si>
  <si>
    <t>PT-4739/16</t>
  </si>
  <si>
    <t>Nr. 2016/23: Statistical treatment of accidents at level crossings</t>
  </si>
  <si>
    <t>ANSR is recommended to consider integrating level crossing accidents and fatalities in the relevant road statistics, when the accidents arenâ€™t caused by a technical malfunction on the rail systems at the level crossings, in order as to allow for a more accurate analysis of road safety.</t>
  </si>
  <si>
    <t>PT-4771/1</t>
  </si>
  <si>
    <t>N.º 2018/01</t>
  </si>
  <si>
    <t>Recomenda-se ao IMT que, em prazo por si considerado aceitável, a IP proceda à análise e avaliação do risco das PN guardadas (permanentemente ou de forma ocasional â€“ por exemplo em situação de avaria de PN automática) para as situações em que o fecho das barreiras não é feito imediatamente após o aviso pela estação, e defina e introduza as medidas de controlo de risco que decorram dessa análise e avaliação.</t>
  </si>
  <si>
    <t>Portuguese</t>
  </si>
  <si>
    <t>PT-4771/2</t>
  </si>
  <si>
    <t>It is recommended to the NSA that, within a period that it considers acceptable, the IM should analyze and evaluate the risk of manned LXs (permanently or occasionally - for example in situations of failures of automatic LXs) for situations in which the closing of the barriers is not made immediately after the station's warning, and define and introduce the risk control measures that result from such analysis and evaluation.</t>
  </si>
  <si>
    <t>PT-4771/3</t>
  </si>
  <si>
    <t>N.º 2018/02</t>
  </si>
  <si>
    <t>Recomenda-se ao IMT que, em prazo por si considerado aceitável, a IP implemente procedimentos ou sistema técnico adequados a garantir que o risco de as PN guardadas não estarem com as barreiras fechadas à passagem dos comboios seja tão reduzido quanto razoavelmente possível, tendo em consideração, entre outros aspetos que sejam relevantes, estudos de fiabilidade e desempenho humano e as características de exploração associadas a cada PN guardada. Fundamento: FCau-09, CPro-08, CPro-09</t>
  </si>
  <si>
    <t>PT-4771/4</t>
  </si>
  <si>
    <t>It is recommended to the NSA that, within a time frame that it considers acceptable, the IM implements appropriate procedures or technical systems to ensure that the risk that the manned LXs are not with closed barriers to the passage of trains is as small as reasonably possible, taking into consideration, among other relevant aspects, human performance and reliability studies, and the operating characteristics associated with each manned LX.</t>
  </si>
  <si>
    <t>PT-4771/5</t>
  </si>
  <si>
    <t>N.º 2018/03</t>
  </si>
  <si>
    <t>Recomenda-se ao IMT que, em prazo por si considerado aceitável, a IP reveja o seu processo de seleção, avaliação e acompanhamento dos agentes que asseguram a guarda das PN manuais de forma a reforçar os métodos para assegurar que estes têm as aptidões físicas, cognitivas e comportamentais em cada momento necessárias a garantir uma fiabilidade tão elevada quanto possível no desempenho da sua função. Fundamento: CPro-02, CPro-07, CPro-08</t>
  </si>
  <si>
    <t>PT-4771/6</t>
  </si>
  <si>
    <t>It is recommended to the NSA that, within a timeframe that it considers acceptable, the IM reviews the selection, evaluation and follow-up of the agents who guard the manned LXs, to reinforce methods to ensure that they have the necessary physical, cognitive and behavioral fitness necessary to ensure the highest reliability possible in the performance of their functions. Justification: CPro-02, CPro-07, CPro-08</t>
  </si>
  <si>
    <t>PT-4771/7</t>
  </si>
  <si>
    <t>N.º 2018/04</t>
  </si>
  <si>
    <t>Recomenda-se ao IMT que, em prazo por si considerado aceitável, a IP desenvolva as ações necessárias a fomentar junto dos seus trabalhadores o reporte, voluntário e anónimo, de falhas ou outros aspetos relevantes para a segurança, assegurando que as mesmas são sujeitas a tratamento adequado numa lógica de prevenção e melhoria contínua. Fundamento: CPro-03</t>
  </si>
  <si>
    <t>PT-4771/8</t>
  </si>
  <si>
    <t>It is recommended to the NSA that, within a period that it considers acceptable, the IM takes the necessary action to encourage its employees to report, on a voluntary and anonymous basis, any failures or other safety-related aspects, ensuring that the reports are subjected to treatment for prevention and continuous improvement.</t>
  </si>
  <si>
    <t>REC-000426</t>
  </si>
  <si>
    <t>PT-4771/9</t>
  </si>
  <si>
    <t>N.º 2018/05</t>
  </si>
  <si>
    <t>Recomenda-se ao IMT que, em prazo por si considerado aceitável, a IP reveja os seus procedimentos de forma a garantir que a informação relativa às condições de saúde dos trabalhadores, naquilo que seja relevante para a segurança, tenha uma circulação e tratamento adequados por parte dos órgãos operacionais relevantes. Fundamento: FCau-07, FCon-01, FCon-02</t>
  </si>
  <si>
    <t>PT-4771/10</t>
  </si>
  <si>
    <t>It is recommended to the NSA that, within a timeframe it considers acceptable, the IM reviews its procedures to ensure that the information on the health conditions of workers relevant for safety, has the necessary and adequate treatment.</t>
  </si>
  <si>
    <t>REC-000427</t>
  </si>
  <si>
    <t>PT-4771/11</t>
  </si>
  <si>
    <t>N.º 2018/06</t>
  </si>
  <si>
    <t>Recomenda-se ao IMT que, em prazo por si considerado aceitável, a IP identifique as lacunas no seu sistema de reporte e tratamento de ocorrências relevantes para a segurança que permitiram que os dois incidentes anteriores a 17-04-2015 não tenham sido registados em eGOC, e introduza as correções necessárias para minimizar o risco de que tal tipo de ausência de reporte e tratamento volte a acontecer. Fundamento: CPro-02</t>
  </si>
  <si>
    <t>PT-4771/12</t>
  </si>
  <si>
    <t>It is recommended to IMT that, within a timeframe that ir considers acceptable, the IM identifies gaps in its system for reporting and handling safety-relevant events that have allowed the two incidents prior to April 17 no to be reported, and introduce the necessary corrections to minimize the risk that such a lack of reporting and treatment will happen again.</t>
  </si>
  <si>
    <t>REC-000428</t>
  </si>
  <si>
    <t>PT-4771/13</t>
  </si>
  <si>
    <t>N.º 2018/07</t>
  </si>
  <si>
    <t>Recomenda-se ao IMT que, em prazo por si considerado aceitável, a CP identifique as lacunas no seu sistema de reporte e tratamento de ocorrências relevantes para a segurança que permitiram que os dois incidentes anteriores a 17-04-2015 não tenham sido registados em SIGO, e introduza as correções necessárias para minimizar o risco de que tal tipo de ausência de reporte e tratamento volte a acontecer. Fundamento: CPro-04</t>
  </si>
  <si>
    <t>PT-4771/14</t>
  </si>
  <si>
    <t>It is recommended to IMT that, within a timeframe that ir considers acceptable, the RU (CP) identifies gaps in its system for reporting and handling safety-relevant events that have allowed the two incidents prior to April 17 no to be reported, and introduce the necessary corrections to minimize the risk that such a lack of reporting and treatment will happen again.</t>
  </si>
  <si>
    <t>REC-000429</t>
  </si>
  <si>
    <t>PT-4771/15</t>
  </si>
  <si>
    <t>N.º 2018/08</t>
  </si>
  <si>
    <t>Recomenda-se ao IMT que, em prazo por si considerado aceitável, a IP implemente procedimentos adequados a garantir que, após uma falha para a segurança que decorra de desempenho humano aquém do definido, o trabalhador em causa apenas possa continuar ou retomar o exercício de funções de segurança após avaliação formal da sua aptidão para o efeito que tenha em consideração, entre outros fatores que sejam considerados relevantes, as suas condições físicas e psicológicas, a sua adequação e proficiência para a função, e o risco imediato para a segurança. Fundamento: OSup-01</t>
  </si>
  <si>
    <t>PT-4771/16</t>
  </si>
  <si>
    <t>It is recommended to IMT that, in a timeframe it considers acceptable, the IM puts in place the appropriate procedures to ensure that, after a safety failure that results from a deficiency in human performance, the worker concerned may only continue or resume safety functions after a formal assessment, taking into account, among other factors considered relevant, his physical and psychological conditions, suitability and proficiency for the function, and the immediate risk to safety.</t>
  </si>
  <si>
    <t>PT-4821/1</t>
  </si>
  <si>
    <t>N.º 2018/09</t>
  </si>
  <si>
    <t>Recomenda-se ao IMT que, em prazo por si considerado aceitável, a CP proceda à implementação de sistema de controlo estruturado, explícito e documentado de forma a garantir que a programação/utilização do material circulante pela ETF é compatível com as linhas para as quais está autorizado. Fundamento: Fcau-01, FCau-02, CSub-04, CPro-01</t>
  </si>
  <si>
    <t>PT-4821/2</t>
  </si>
  <si>
    <t>It is recommended to IMT that, in a period it considers acceptable, the RU (CP) implements a structured, explicit and documented control system to ensure that the scheduling / use of its rolling stock is compatible with the lines for which is authorized.</t>
  </si>
  <si>
    <t>PT-4821/3</t>
  </si>
  <si>
    <t>N.º 2018/10</t>
  </si>
  <si>
    <t>Recomenda-se ao IMT que, em prazo por si considerado aceitável, a IP avalie o risco de não ter um sistema de controlo estruturado, explícito e documentado para assegurar que o material circulante utilizado efetivamente pelas ETF na sua rede está autorizado regulamentarmente para cada troço percorrido, e aplique os mecanismos de mitigação que decorram dessa análise. Fundamento: CSub-04, CPro-01</t>
  </si>
  <si>
    <t>PT-4821/4</t>
  </si>
  <si>
    <t>It is recommended to the NSA that, in a timeframe it considers acceptable, the IM assesses the risk of not having a structured, explicit and documented control system to ensure that the rolling stock effectively used by RUs in its network is legally authorized for each section, and implements the mitigation measures resulting from this analysis.</t>
  </si>
  <si>
    <t>PT-4821/5</t>
  </si>
  <si>
    <t>N.º 2018/11</t>
  </si>
  <si>
    <t>Recomenda-se ao IMT que, em prazo por si considerado aceitável, a CP e a IP reforcem os seus procedimentos de difusão da regulamentação aos trabalhadores de forma a melhorarem a monitorização da efetiva aquisição do conhecimento por aqueles que têm de a aplicar. Fundamento: FCau-01, FCau-03, FCau-04, FCau-05, CSub-06</t>
  </si>
  <si>
    <t>PT-4821/6</t>
  </si>
  <si>
    <t>It is recommended to the NSA that, within a timeframe that it considers acceptable, the IM and the RU (CP) reinforce their respective procedures for disseminating rules to workers in order to improve the monitoring of the effective acquisition of knowledge by those who have to apply it.</t>
  </si>
  <si>
    <t>PT-4949/1</t>
  </si>
  <si>
    <t>Rec. 2020/01: Minimizing the risk of vehicles operating outside their design or authorization conditions</t>
  </si>
  <si>
    <t>The NSA is recommends that, within a period considered acceptable by that safety authority, GMF, as the entity in charge of maintenance, with the participation of the vehicle holder, takes the necessary actions to reduce as low as reasonably possible the risk of Uacs type wagons of series 83 94 930 5 001 to 070 to circulate outside their conditions of authorization with regard to mass distribution.</t>
  </si>
  <si>
    <t>PT-4949/2</t>
  </si>
  <si>
    <t>Rec. 2020/02: Identification and control of the risk of sequences of isolated defects in the geometric parameters of the track infrastructure</t>
  </si>
  <si>
    <t>The NSA is recommended that, within a period considered acceptable by that safety authority, the IM Infraestruturas de Portugal, SA, establishes a scheduled action plan in order to define the most appropriate way to analyze and control the risk of cyclic top, and the combination of other isolated track defects, namely and not limited to, through the collection of information, experiences and practices on the subject from other European IMs and the continued participation in the international working group on the standard regarding the quality of the geometric parameters of the road, focusing on the characterization of â€œsequences of isolated defectsâ€ and their combination, aiming to introduce in their procedures the resulting appropriate mitigation measures.</t>
  </si>
  <si>
    <t>PT-4949/3</t>
  </si>
  <si>
    <t>Rec. 2020/03: Definition of the anomalies on trains that should give rise to the activation of the radio alarm signal</t>
  </si>
  <si>
    <t>The NSA is recommended that, within the maximum period of one year and with the collaboration of the railway undertakings and of the infrastructure manager, the rule EIT 57 is reviewed in order to include in an unambiguous way and with easy interpretation by the users, the types and symptoms of anomalies associated with the running of trains that must give rise to the immediate activation of an alarm signal by the ground personnal with safety functions.</t>
  </si>
  <si>
    <t>PT-4949/4</t>
  </si>
  <si>
    <t>Rec. 2020/04: Consideration of the actual weight of Uacs type wagons in the trains' consist and brake bulletins</t>
  </si>
  <si>
    <t>The NSA is recommended that, in the shortest possible time, railway undertakings that incorporate Uacs type wagons of the series 83 94 930 5 001 to 070, or others in which this measure is relevant, establish, in articulation with their respective loaders, procedures that ensure that in the trains' consist and brake bulletins the real gross weight of the vehicles is always considered.</t>
  </si>
  <si>
    <t>PT-4949/5</t>
  </si>
  <si>
    <t>Rec. 2020/05: Registration in the trains' consist and brake bulletins of the actual sequence of vehicles</t>
  </si>
  <si>
    <t>The NSA is recommended that, within a period considered acceptable by that safety authority, railway undertakings review their procedures in order as to ensure that the trains' consist and brake bulletin always records the actual sequence of vehicles.</t>
  </si>
  <si>
    <t>REC-000354</t>
  </si>
  <si>
    <t>PT-5172/1</t>
  </si>
  <si>
    <t>Rec. 2020/06: High pressure fuel system inspection procedures for DMU 592.0 and 592.2 series diesel engines</t>
  </si>
  <si>
    <t>It is recommended that the NSA, in the shortest possible time and not more than six months, takes the appropriate actions to ensure that the procedures of ERM Renfe Mantenimiento regarding the inspection of the high pressure fuel system of the DMU 592.0 and 592.2 series diesel engines are revised in order to guarantee an effective and timely detection of anomalies that could compromise the integrity of this system, and that the staff that carries out these inspections is properly trained in the failures identified in the past, so as to better target the possible defects. NOTE: This recommendation is addressed to the NSA insofar as, while Directive (EU) 2016/798 is not transposed in all EU Member States, the NIB does not have the legal power to address recommendations to authorities in other Member States. Thus, this was considered to be the most effective way of ensuring that this recommendation is considered, within the framework of cooperation agreements between NSAs.</t>
  </si>
  <si>
    <t>PT-5172/2</t>
  </si>
  <si>
    <t>Rec. 2020/07: Identification of accident / incident patterns in the operation of rolling stock and introduction of risk control measures</t>
  </si>
  <si>
    <t>The NSA is recommended that, within a period considered acceptable by that security authority, the RU Comboios de Portugal, E.P.E. reviews its safety management system regarding the strengthening of the procedures related to the analysis of safety occurrences in the operation of rolling stock, so as to ensure that there is an objective criterion to identify, in a documented way, recurring events that constitute a risk for its activity, users and workers, and that the necessary preventive measures are taken to reduce that risk to a as low as reasonable level.</t>
  </si>
  <si>
    <t>PT-5286/1</t>
  </si>
  <si>
    <t>Rec. 2019/13: Integration of human factors in the SMS and implementation of just culture principles</t>
  </si>
  <si>
    <t>It is recommended to the NSA (IMT) that, in connection with the renewal of authorization procedures and the safety certificates of railway undertakings, and within the regular monitoring procedure for the operation of their Safety Management Systems, it ensures that rail companies integrate human factors into their SMSs in accordance with the guidelines drawn up by the European Union Railway Agency, and encourages the introduction or development of just culture principles, so that an environment of mutual trust with workers is established, favorable to the notification of safety incidents without fear of being penalized for actions, omissions, or decisions commensurate with their experience, training, and circumstances. Basis: FCau-01, FCau-04, FCau-06, FCau-07, CSub-01, CSub-02, CPro-01, CPro-02, CPro-03</t>
  </si>
  <si>
    <t>REC-000257</t>
  </si>
  <si>
    <t>PT-5286/2</t>
  </si>
  <si>
    <t>Rec. 2019/14: Maintenance procedures for manual switches</t>
  </si>
  <si>
    <t>It is recommended to the NSA (IMT) that, within a timeframe considered acceptable by that authority, the IM (IP) complements the inspection procedures of the manual switches, in order to allow a timely detection of anomalies in all the components identified as safety critical through a full analysis of their operation. Basis: FCau-09, CSub-03, CPro-04</t>
  </si>
  <si>
    <t>REC-000258</t>
  </si>
  <si>
    <t>PT-5286/3</t>
  </si>
  <si>
    <t>Rec- 2019/15: Check of paths at stations</t>
  </si>
  <si>
    <t>The NSA (IMT) is recommended that, within a timeframe considered acceptable by that authority, the IM (IP) reinforces within those responsible for operation in stations with manually operated switches, the rationale and importance of complying with the regulatory obligation to confirm the proper establishment of the routes. Basis: FCau-02, FCau-05, CPro-03</t>
  </si>
  <si>
    <t>PT-5286/4</t>
  </si>
  <si>
    <t>Rec. 2019/16: Check of signalling and paths by drivers</t>
  </si>
  <si>
    <t>The NSA (IMT) is recommended that, within a timeframe considered acceptable by that authority, the RU (CP) reinforces within the drivers the rationale and importance of paying the utmost attention to signaling and itinerary status in order to be prepared to slowdown or stop in accordance with the circumstances, as set out in paragraph 14.4 of Chapter 4 of operating rule IOP 2. Basis: FCau-02, FCau-03, FCon-01, CPro-03</t>
  </si>
  <si>
    <t>PT-5321/1</t>
  </si>
  <si>
    <t>Rec- 2019/01 - Infrastructure Manager's maintenance procedures, staff training and control of service providers</t>
  </si>
  <si>
    <t>The NSA is recommended to monitor and verify the implementation, within a period of time deemed appropriate by that authority, of the actions taken by Infraestruturas de Portugal, S.A. registered in chapter 5 of the investigation report.</t>
  </si>
  <si>
    <t>PT-5321/2</t>
  </si>
  <si>
    <t>Rec - 2019/02: Supervision of the infrastructure manager's safety management system by the NSA</t>
  </si>
  <si>
    <t>It is recommended that the NSA, within the framework of the supervision actions on the IM's SGS, and taking into account the conclusions of the present investigation, verify the robustness of the processes related to: - control of maintenance work carried out by service providers, - Internal audits for monitoring and continuous improvement of processes, - Risk analysis of maintenance processes.</t>
  </si>
  <si>
    <t>PT-5321/3</t>
  </si>
  <si>
    <t>Rec - 2019/01: Railway Undertaking SGS procedures to ensure that the vehicles on its trains are fit for purpose</t>
  </si>
  <si>
    <t>The NSA is recommended that the RU, within the shortest feasible period of time, strengthens and complements the procedures of its SMS in order to adequately control the risk of the unrestricted use on its trains of wagons with safety related anomalies, as well as strengthens its interaction processes with the respective ECMs, in the terms set out in points 9.3, 9.4 and 11 of the implementing guide for Article 14a of Directive 2004/49 / EC and Regulation (EU) 445/2011, published by the European Railway Agency (ERA-GUI-100 v2.0).</t>
  </si>
  <si>
    <t>PT-5321/4</t>
  </si>
  <si>
    <t>Rec - 2019/04: Supervision by the NSA of the use conditions of Uacs 83 71 930 5 XXX-X wagons</t>
  </si>
  <si>
    <t>The NSA is recommended to take the necessary action, within the shortest possible time, in accordance with point 9.7 of the implementing guide to Article 14a of Directive 2004/49 / EC and Regulation (EU) No 445/2011, published by the European Railway Agency (ERA-GUI-100 v2.0), to ensure that the RU inspection regime and the maintenance performed by the ECM on Uacs 83 71 930 5 XXX-X wagons used in Portugal, are duly compatibilized and updated, taking into account the anomalies detected in the present investigation. Note: This recommendation is addressed to the NSA on the ground that, while Directive (EU) 2016/798 is not transposed into the national law of each Member State, entities of a Member State have no obligation to take into account or to respond to recommendations made by the NIB of another Member State. However, under Regulation 445/2011, certain prerogatives are set out for the NSAs when, within the supervision of the activity of the RUs, findings are made regarding the activity of the ECMs. In this way, the option taken is considered to be the most effective way to reach the objective of the recommendation, within the present legal framework.</t>
  </si>
  <si>
    <t>PT-5321/5</t>
  </si>
  <si>
    <t>Rec - 2019/05: Supervision by the NSA</t>
  </si>
  <si>
    <t>It is recommended that the NSA, in the shortest possible time, guarantees the conditions for the effective implementation of a multi-annual plan for the auditing of the IM and RUs Safety Management Systems, within the scope of its ongoing supervisory action as the national railway safety authority, considering that it has not been able to carry out the audits provided for in its annual planning.</t>
  </si>
  <si>
    <t>PT-5321/6</t>
  </si>
  <si>
    <t>Rec - 2019/06: Control of safety protection measures in railway works</t>
  </si>
  <si>
    <t>It is recommended to the NSA that, within a timeframe considers acceptable by that authority, the IM reviews the procedures of its SMS in order to ensure that, in the case of interventions carried out in a railway environment, safety measures for the protection of workers, appropriate to the risk areas occupied by them, are established for this purpose, with the appropriate control and verification mechanisms carried out by specialized personnel, irrespective of the timing of the planning of the interventions.</t>
  </si>
  <si>
    <t>PT-5321/7</t>
  </si>
  <si>
    <t>Rec - 2019/07: Supervision of the ECM by the competent authority</t>
  </si>
  <si>
    <t>It is recommended that the NSA transmits to its counterpart in Spain the findings made in this report regarding the impossibility of full traceability of some of the safety components of the UACs 83 71 930 5 XXX-X wagons, so that their ECM takes the necessary actions to ensure the traceability of the configuration of the vehicles, including in particular, but not exclusively, the respective safety components.</t>
  </si>
  <si>
    <t>PT-4991/1</t>
  </si>
  <si>
    <t>2018/12</t>
  </si>
  <si>
    <t>It is recommended to the NSA that, within a timeframe that it considers acceptable, the IM establishes quantified procedures regarding the management of competencies of its agents authorized as drivers and second-men of railway vehicles, clearly defining its job description and requirements for this function, in order as to review their training plan and to establish a competence maintenance plan based on the practices normally used in the railway industry, taking particularly into account the human factors relevant to the fact that their principal functions are not driving and second-man.</t>
  </si>
  <si>
    <t>PT-4991/2</t>
  </si>
  <si>
    <t>Recomenda-se ao IMT que, em prazo por si considerado aceitável, a IP estabeleça procedimentos quantificados para que os agentes autorizados a assegurar a condução e acompanhamento dos VME adquirem e mantêm as aptidões, competências e proficiência necessárias e adequadas àquelas funções, sendo bem definido o seu conteúdo funcional e requisitos nestes domínios, no âmbito do sistema de gestão de competências, por forma a rever o plano de formação e estabelecer um plano de manutenção de competências baseado nos requisitos geralmente considerados na indústria de transporte ferroviário, tendo especialmente em consideração as especificidades afetando os fatores humanos inerentes ao facto da sua função principal não ser a de maquinista e de agente de apoio.</t>
  </si>
  <si>
    <t>PT-4991/3</t>
  </si>
  <si>
    <t>2018/13</t>
  </si>
  <si>
    <t>It is recommended to the NSA that, within a three-month period, the IM establishes the procedures necessary for their second-men not being entrusted with functions other than those relating to driver assistance.</t>
  </si>
  <si>
    <t>PT-4991/4</t>
  </si>
  <si>
    <t>Recomenda-se ao IMT que, em prazo não superior a três meses, a IP estabeleça procedimentos que garantam que os agentes de acompanhamento dos VME não são incumbidos de outras funções para além daquelas de apoio à condução.</t>
  </si>
  <si>
    <t>PT-4991/5</t>
  </si>
  <si>
    <t>2018/14</t>
  </si>
  <si>
    <t>It is recommended to the NSA that, within a three-month period, the IM establishes the procedures and practices necessary for guaranteeing that the operation of on-track machines in lines open to traffic is always made according to the applicable rules.</t>
  </si>
  <si>
    <t>PT-4991/6</t>
  </si>
  <si>
    <t>Recomenda-se ao IMT que, em prazo não superior a três meses, a IP estabelece nos CCO procedimentos e mecanismos de controlo adequados a garantir que a circulação dos VME em linhas abertas à exploração se efetua sempre cumprindo as condições regulamentares.</t>
  </si>
  <si>
    <t>PT-4991/7</t>
  </si>
  <si>
    <t>2018/15</t>
  </si>
  <si>
    <t>It is recommended that, within a timeframe that the NSA considers acceptable, the IM guarantees that the contact means between the Operational Control Centres and the on-track machines running on lines open to traffic, have equivalent functionalities, reliability and availability to those required for RU trains.</t>
  </si>
  <si>
    <t>PT-4991/8</t>
  </si>
  <si>
    <t>Recomenda-se ao IMT que, em prazo por si considerado aceitável, a IP garanta que os meios de contacto entre os CCO e os VME, em linhas abertas à exploração, tenham funcionalidades, fiabilidade e disponibilidade equivalentes àqueles requeridos para os comboios das ETF.</t>
  </si>
  <si>
    <t>PT-4991/9</t>
  </si>
  <si>
    <t>2018/16</t>
  </si>
  <si>
    <t>It is recommended that, within a timeframe that the NSA considers acceptable, the IM guarantees that all trains on lines open to traffic have a similar risk of SPAD, reassessing the risk of lack of ATP in on-track machines, taking into consideration the SPAD history of those vehicles, and reinforcing the existing risk control measures so that it will be equivalent to RU trains.</t>
  </si>
  <si>
    <t>PT-4991/10</t>
  </si>
  <si>
    <t>Recomenda-se ao IMT que, em prazo por si considerado aceitável, a IP garanta que todas as circulações em via aberta à exploração se efetuam em condições de segurança equivalentes no que diz respeito ao risco de SPAD, efetuando uma reanálise do risco correspondente à inexistência do sistema CONVEL naqueles veículos tendo em consideração o histórico de SPAD com VME, e reforçando as medidas de controlo do risco existentes para que este seja equivalente ao admitido para os comboios das ETF.</t>
  </si>
  <si>
    <t>REC-000470</t>
  </si>
  <si>
    <t>PT-4991/11</t>
  </si>
  <si>
    <t>2018/17</t>
  </si>
  <si>
    <t>It is recommended that, within a timeframe that the NSA considers acceptable, the IM establishes a training program to give the Operational Control Centres operators the necessary proficiency to act in a quick and effective way in case of a SPAD, by developing and training procedures for the possible SPAD scenarios.</t>
  </si>
  <si>
    <t>PT-4991/12</t>
  </si>
  <si>
    <t>Recomenda-se ao IMT que, em prazo por si considerado aceitável, a IP estabeleça um programa de treino adequado para garantir que o pessoal dos CCO tenha a proficiência para atuar da forma mais célere e eficaz perante um SPAD, consoante a situação, através do estabelecimento de procedimentos estudados, sistematizados e treinados para casos possíveis de ultrapassagens indevidas de sinais.</t>
  </si>
  <si>
    <t>REC-000471</t>
  </si>
  <si>
    <t>PT-4991/13</t>
  </si>
  <si>
    <t>2018/18</t>
  </si>
  <si>
    <t>It is recommended to the NSA that, within a six-month period, it prepares the ordinances provided for in Law no. 16/2011 of May 3rd, in order to provide for legally established procedures for the recognition of training courses and entities with competence to carry out the medical examinations and psychological assessment of train crews.</t>
  </si>
  <si>
    <t>PT-4991/14</t>
  </si>
  <si>
    <t>Recomenda-se ao IMT que, num prazo não superior a seis meses, prepare as portarias previstas na Lei n.º 16/2011 de 3 de maio, de modo a dar provimento ao estipulado legalmente quanto aos procedimentos de reconhecimento dos cursos de formação e das entidades com competência para a realização dos exames médicos e de avaliação psicológica.</t>
  </si>
  <si>
    <t>REC-000472</t>
  </si>
  <si>
    <t>PT-4991/15</t>
  </si>
  <si>
    <t>2018/19</t>
  </si>
  <si>
    <t>It is recommended that, within a timeframe that the NSA considers acceptable, the IM establishes communication protocols appropriate to guarantee that the Operational Control Centres transmit all information relevant to the recipient in a thorough and objective formulation.</t>
  </si>
  <si>
    <t>PT-4991/16</t>
  </si>
  <si>
    <t>Recomenda-se ao IMT que, em prazo por si considerado aceitável, a IP estabeleça protocolos de comunicação adequados de modo a garantir que os CCO transmitem toda a informação relevante para o destinatário da comunicação de uma forma integral e objetiva.</t>
  </si>
  <si>
    <t>PT-5209/1</t>
  </si>
  <si>
    <t>2018/21: Risk management of level crossings</t>
  </si>
  <si>
    <t>The NSA is recommended that, within a period considered acceptable by that safety authority, the IM Infrastructuras de Portugal, SA evaluates the level crossings on the national rail network in order to detect possible similar cases on which their operating regime is not adequate to crossing conditions for heavy road vehicles that can use them, implementing the risk control measures that it considers appropriate.</t>
  </si>
  <si>
    <t>PT-5209/2</t>
  </si>
  <si>
    <t>2018/22: Legal framework of level crossings</t>
  </si>
  <si>
    <t>The NSA is recommended to review the legal framework for level crossings, in order to clarify the definition of minimum levels of risk control measures of level crossings, also harmonizing this regulatory framework with the current safety requirements established for the exercise of the railway infrastructure management activity based on the analysis, control and monitoring of the specific risks for the activity. Note: This recommendation is correlated and should be dealt with in conjunction with recommendation 2016/21, which is still pending closing and which is reiterated in this report.</t>
  </si>
  <si>
    <t>PT-5209/3</t>
  </si>
  <si>
    <t>2018/23: Road layout at level crossing</t>
  </si>
  <si>
    <t>It is recommended that the Municipality of Santarém, in conjunction with the railway infrastructure manager, and within the shortest possible time, implement on the road where the level crossing is inserted the appropriate changes in order to ensure that the conditions for crossing said level crossing by all road vehicles that are authorized there, under normal conditions, are compatible with the applicable legal requirements and the operating regime defined for the level crossing.</t>
  </si>
  <si>
    <t>PT-5209/4</t>
  </si>
  <si>
    <t>2018/24: Legalframework, training and awareness raising of road drivers</t>
  </si>
  <si>
    <t>It is recommended that the NSA and the National Road Safety Authority, within the scope of their respective competences and in close coordination with IM Infraestruturas de Portugal, SA, establish an action plan with a view to promoting the training and awareness of road drivers regarding safe behaviours to be adopted when using level crossings, including when in emergency situations, namely in the case of vehicles being blocked between barriers, studying the practices and results of other more advanced countries in this matter.</t>
  </si>
  <si>
    <t>PT-5209/5</t>
  </si>
  <si>
    <t>2018/25: Interaction between the National Civil Protection Authority and the IM during an emergency</t>
  </si>
  <si>
    <t>The National Civil Protection Authority and the IM Infraestruturas de Portugal, SA are recommended to reinforce, in the shortest possible time, among their agents capable of leading their respective parties in a railway emergency, the clarification as to the application of the existing procedures in relation to each party competences on site, stressing the need to take into account the minimization of disruption to rail traffic, taking into account the risks that could affect passengers on board detained trains.</t>
  </si>
  <si>
    <t>REC-000271</t>
  </si>
  <si>
    <t>PT-5209/6</t>
  </si>
  <si>
    <t>2018/26: IM internal control processes</t>
  </si>
  <si>
    <t>The NSA is recommended that, within a period considered acceptable by that security authority, the IM Infraestruturas de Portugal, SA takes the necessary measures to ensure that operational communications to and from the Control Command Centers, regardless of the equipment used, are recorded and archived, so that they can subsequently be subject to analysis, either within the scope of the monitoring and investigation processes of events provided for in the IM Safety Management System, or in the case of investigation of accidents or incidents carried out by authorized external entities.</t>
  </si>
  <si>
    <t>REC-000272</t>
  </si>
  <si>
    <t>PT-5209/7</t>
  </si>
  <si>
    <t>2018/27: Training of crews for emergency communications</t>
  </si>
  <si>
    <t>The NSA is recommended that, within a period considered acceptable by that security authority, the RU Comboios de Portugal, E.P.E. reinforce the training of train crews in order to ensure that, in the event of an accident, the defined procedures are applied in order to give priority to informing the IM Command Control Centre of the area where they are, through the available communication means.</t>
  </si>
  <si>
    <t>PT-5209/8</t>
  </si>
  <si>
    <t>2018/20:</t>
  </si>
  <si>
    <t>The IMT is recommended that, in the shortest possible time and while the road vehicles continue to pass under conditions incompatible with its operational characteristics, the IM Infraestruturas de Portugal, SA implements the necessary measures to reduce to a level as low as reasonable the risk of recurrence of a similar accident.</t>
  </si>
  <si>
    <t>REC-000662</t>
  </si>
  <si>
    <t>PT-5681/1</t>
  </si>
  <si>
    <t>Rec. 2019/08: Supervision of measures taken by RU</t>
  </si>
  <si>
    <t>The NSA is recommended to oversee the effective implementation of the measures undertaken by the RU CP and not yet completed, as described in chapter 5 of the report.</t>
  </si>
  <si>
    <t>REC-000664</t>
  </si>
  <si>
    <t>PT-5681/2</t>
  </si>
  <si>
    <t>Rec. 2019/09: Monitoring by the RU of the risk control measures implemented by its security service providers for its own workers</t>
  </si>
  <si>
    <t>The NSA is recommended that, within a timeframe deemed acceptable by that authority, the RU CP strengthens its control procedures for monitoring of service providers, in particular to ensure that it conducts prior analysis and validation with respect to operating safety, to the way in which the service of the security guards should be carried out, as well as to the confirmation that any of the security guards only perform duties after receiving appropriate training specifically on the risks particular to railway environment.</t>
  </si>
  <si>
    <t>PT-5681/3</t>
  </si>
  <si>
    <t>Rec 2019/10: Assessment of the need to replicate in other locations measures already taken at the accident site</t>
  </si>
  <si>
    <t>The NSA is recommended that, within a timeframe deemed acceptable by that authority, the RU CP assesses whether the measures taken for Lisboa Santa Apolónia stabling yard, as described in chapter 5 of the report, should be adopted similarly in other railway installations where it has security surveilance services contracted, implementing the appropriate actions resulting from this assessment.</t>
  </si>
  <si>
    <t>PT-5681/4</t>
  </si>
  <si>
    <t>Rec. 2019/11: Procedures for monitoring shunting movements</t>
  </si>
  <si>
    <t>The NSA is recommended that, within a timeframe deemed acceptable by that authority, the RU CP strengthens its control and supervision procedures for compliance with the rules applicable to rolling stock shunting movements, in order to detect possible routine infringement practices and eliminate the conditions that favour them.</t>
  </si>
  <si>
    <t>PT-5681/5</t>
  </si>
  <si>
    <t>Rec. 2019/12: Use of high-visibility clothing in railway environment</t>
  </si>
  <si>
    <t>The NSA is recommended that, within a timeframe deemed acceptable by that authority, the RU CP takes appropriate action to enforce the obligation to wear appropriate high visibility clothing by all its agents and by employees of its contractors who have to be at a location where there is a risk for being hit by rolling stock in motion; the NSA should also assess whether there is a need for equal action in other RUs and IMs.</t>
  </si>
  <si>
    <t>PT-5759/1</t>
  </si>
  <si>
    <t>Rec. 2018/28: Analysis and evaluation of infrastructure equipment risk to operations</t>
  </si>
  <si>
    <t>The NSA is recommended that, within a timeframe considered acceptable by that safety authority, the IM carries out an analysis so as to identify any other safety-critical mechanical infrastructure equipment that should be subjected to a risk assessment, namely those in which there is no evidence of such assessment having been performed, implementing the resulting mitigation measures.</t>
  </si>
  <si>
    <t>PT-5759/2</t>
  </si>
  <si>
    <t>Rec. 2018/29: Analysis and evaluation of the risk of operating infrastructure equipment</t>
  </si>
  <si>
    <t>The NSA is recommended that, within a period considered acceptable by that safety authority, the RU Comboios de Portugal establishes a program for carrying out risk analysis and assessment of the use of infrastructure equipment that is operated by the personnel under its responsibility, in which there is no evidence of having already undergone such a procedure.</t>
  </si>
  <si>
    <t>PT-5759/3</t>
  </si>
  <si>
    <t>2018/30: Staff training relating to shunting regimes</t>
  </si>
  <si>
    <t>The NSA is recommended that, within a period considered acceptable by that safety authority, the RU Comboios de Portugal reinforces its training procedures and program, clarifying in an objective and practical manner the rules regarding the shunting regimes to be applied and the procedures to be followed, so that the relevant staff develops the appropriate proficiency to their unequivocal and consistent compliance in any situation.</t>
  </si>
  <si>
    <t>REC-000690</t>
  </si>
  <si>
    <t>PT-6120/1</t>
  </si>
  <si>
    <t>Rec. Nr. 2020/06: Control of safety measures implemented by service providers</t>
  </si>
  <si>
    <t>The NSA is recommended to, within a timeframe considered acceptable by that authority, have the IM assess the feasibility of reinforcing the control procedures for its service providers regarding the safety measures defined for executing works, namely, among other aspects which it identifies as appropriate in relation to those already existing: â€¢ that the start of the work being conditioned to an explicit and documented verification, at the location, that the planned safety measures are adequate to the way the work will be carried out, â€¢ that conditions exist for the implementation of the safety measure; â€¢ that workers are safety briefed by their leader, covering in particular the way in which the work must be carried out in view of the safety measures to be implemented.</t>
  </si>
  <si>
    <t>REC-000691</t>
  </si>
  <si>
    <t>PT-6120/2</t>
  </si>
  <si>
    <t>Rec. Nr. 2020/07: Training requirements for service providersâ€™ workers relating to safety in works performed in rail environment</t>
  </si>
  <si>
    <t>The NSA is recommended to, within a timeframe considered acceptable by that authority, have the IM re-evaluate the training requirements related to work safety in the railway environment for the workers of its service providers, namely by defining, among others, the adequacy of the training method to the contents, the minimum training duration and the way to guarantee the effective apprehension of the contents.</t>
  </si>
  <si>
    <t>REC-000692</t>
  </si>
  <si>
    <t>PT-6120/3</t>
  </si>
  <si>
    <t>Rec. Nr. 2020/08: Policies to raise awareness among service providers' workers about risks in the railway environment associated with the consumption of psychoactive substances</t>
  </si>
  <si>
    <t>The NSA is recommended to, within a timeframe considered acceptable by that authority, have the IM establish requirements so that its service providers have adequate policies regarding active and frequent awareness of risks in the railway environment associated with the consumption of psychoactive substances.</t>
  </si>
  <si>
    <t>Safety Recommendation 2021/01 - Reassessment of the effectiveness of IM sms processes</t>
  </si>
  <si>
    <t>Safety Recommendation 2021/01: It is recommended that the Infrastructure Manager, within a
maximum period of six months, carries out a documented reassessment of the effectiveness of its
safety management system processes, testing them against the objectives of the SMS, the safety
objectives and the commitments in the company's "Safety Policy" with regard to the continuous
improvement and increase in railway safety, namely the processes corresponding to the legal
requirements relating to:
― Identification of risks, implementation of control measures and monitoring of the effectiveness
of these measures,
― Learning from safety events and implementing corrective measures,
― Implementation of recommendations and proposals for improvement,
including the evaluation regarding the availability of technical and human resources to fully comply
with those requirements with regard to monitoring the effectiveness of risk control measures, the
investigation and analysis of events relevant to safety, the adoption of measures to improve safety
and to monitor their status of implementation.
The corrective measures resulting from this reassessment shall be implemented within a timeframe
to be defined by the National Safety Authority.</t>
  </si>
  <si>
    <t>Safety Recommendation 2021/02 - Risk control of trains without TPS while running on TPS equipped lines</t>
  </si>
  <si>
    <t>Safety Recommendation 2021/02: It is recommended to the NSA that, within a maximum period of
one year, it undertakes a risk analysis of the conditions of operation on lines equipped with TPS of
trains without TPS, or with it inactive, is carried out in order to assess the suitability of the current
operational rules for the various types of vehicles, taking into account the factors that may be
considered relevant, including but not limited to:
― the admissibility of running ahead of schedule;
― the absence of operational indications in the train orders;
― the absence of a departure order confirmed by the traffic management,
implementing the control measures that may result from this analysis.
While such analysis is not completed, the relevance and suitability of extending to other trains with
TPS out of service, the additional measures adopted for the operation of OTMs following the accident
of 31-07-2020 at Soure, should be considered as soon as possible.</t>
  </si>
  <si>
    <t>Safety Recommendation 2021/03 - IM drivers’ competence management</t>
  </si>
  <si>
    <t>Safety Recommendation 2021/03: It is recommended that the IM, within a maximum period of six
months, carries out a documented reassessment of its entire process and competence management
plan of its agents who carry out the functions of driving railway vehicles on open track, with regard to
the competences related to this function, covering the various relevant aspects, including but not
limited to:
― initial training,
― continuing training,
― the guarantee of proficiency of agents,
― monitoring the performance of the function.
This should take into account the best practices in the railway industry and, explicitly, the knowledge
in the field of human factors, namely, and among other relevant aspects, the environment and
vehicles in which the function is performed, and the fact that the driving in open track consists is a
residual proportion of these workers activity.
The corrective measures resulting from this reassessment should be implemented within a timeframe
to be defined by the NSA.</t>
  </si>
  <si>
    <t>Safety Recommendation 2021/04 - Integration of human factor in signalling design and installation</t>
  </si>
  <si>
    <t>Safety Recommendation 2021/04: It is recommended that the IM, within a timeframe to be accepted
by the NSA, includes in its internal procedures and standards impacting the visualization and
interpretation of railway signals’ aspects, the mandatory consideration of the knowledge and good
practices in the field of human factors, as results from current European and national legislation, also
ensuring that the contribution of workers’ representatives is taken into account when installing the
signals.
In this context, an action plan should also be established to verify, according to the principles of this
recommendation, at least existing signals in which there is a record of more than one SPAD, as well as
those in which there are reports of visualization or interpretation difficulties in the past or in the
future</t>
  </si>
  <si>
    <t>Safety Recommendation 2021/05 - Guidance for emergency signs in railway vehicles</t>
  </si>
  <si>
    <t>Safety Recommendation 2021/05: It is recommended to the NSA that, within a maximum period of
one year, in close coordination with the railway undertakings and taking into account the applicable
regulations and good international practices in the transport industry, it establishes, through an
instrument that it deems appropriate, a guidance defining minimum requirements and good practices
for interior and exterior emergency signs to be used in railway vehicles for transporting passengers,
aiming, whenever possible and applicable, to harmonize the pictograms with the standardized
designs, their content and the location of the information.</t>
  </si>
  <si>
    <t>Safety Recommendation 2021/06 - External emergency signage for CPA 4000 EMUs</t>
  </si>
  <si>
    <t>Safety Recommendation 2021/06: It is recommended that the RU, within a maximum period of six
months and without prejudice to Safety Recommendation 2021/05, improves the signage of the
external emergency opening handles of the automatic doors of the CPA 4000 EMUs, taking into
account good international practices and desirably with advice from the National Emergency Service,
also assessing whether it is beneficial to introduce such an improvement in other rolling stock with
automatic doors</t>
  </si>
  <si>
    <t>Safety Recommendation 2021/07 - VCC type maintenance vehicles</t>
  </si>
  <si>
    <t>Safety Recommendation 2021/07: It is recommended that the IM, within a timeframe defined by the
NSA, carries out an assessment of the risks for the VCC crews arising from the collision of the vehicle
with an object on the track, taking into account, among other relevant aspects,
― the interior arrangement of the vehicles,
― the tools, materials and other objects on board and their attachment and protection,
implementing the protective measures that result from this analysis.</t>
  </si>
  <si>
    <t>Safety Recommendation 2021/08 - IM and RU improvement actions supervision</t>
  </si>
  <si>
    <t>Considering that the NIB decided not to issue safety recommendations in some areas that were
already subject to improvement intentions by the railway organisations involved, it is considered
appropriate to make the following recommendation:
Safety Recommendation 2021/08:
It is recommended to the NSA that it regularly monitors the actions taken by the involved railway
organisations regarding the proposals/recommendations contained in their respective internal
reports relating to the accident and which have not yet been implemented, establishing an adequate
timeframe for the implementation of each one of them.</t>
  </si>
  <si>
    <t>Safety Recommendation 2021/09 - Control of the risk of SPADs on lines not equipped with TPS</t>
  </si>
  <si>
    <t>Safety Recommendation 2021/09: It is recommended to the NSA that, within a maximum period of
one year, it carries out an appropriate assessment of the risk of SPAD and non-compliance with
significant reductions in maximum speed, on track not equipped with TPS, taking into account, but
not limited to:
― the operational conditions of the infrastructure,
― the existing traffic on each section, including its intensity and whether dangerous goods are
transported,
― scientific knowledge about human factors,
― the history of SPAD and failure to comply with speed limitations, on lines not equipped with TPS,
implementing any measures that may result from this analysis.
It should also consider the inclusion in this assessment of the admissibility of the existence of shunting
signals without TPS opening to equipped general lines</t>
  </si>
  <si>
    <t>Safety Recommendation 2021/10 - Establishment of the maximum permitted alcohol level for the performance of safety-critical functions</t>
  </si>
  <si>
    <t>Safety Recommendation 2021/10: It is recommended to the NSA that, within a maximum period of
one year, based on scientific knowledge on the matter and good practices in the transport industry, it
promotes the necessary actions to legally establish the maximum alcohol level allowed for train
drivers. Additionally, it should promote the assessment of whether such legal provision should also
cover all other workers performing safety-critical functions, even if, eventually, with different limit
values.</t>
  </si>
  <si>
    <t>DK-1310/1</t>
  </si>
  <si>
    <t>Lack of national or international standards</t>
  </si>
  <si>
    <t>DK-2013 R 1 &amp; R 2: The Accident Investigation Board recommends that applicable national and international standards for approval of brake systems for rolling stock are reviewed so that the accumulated functionality of the brake system is documented in all applications and under all operating conditions, including the adhesion conditions that must be regarded as probable in daily operation.</t>
  </si>
  <si>
    <t>DK-1310/2</t>
  </si>
  <si>
    <t>Documentation of braking performance</t>
  </si>
  <si>
    <t>DK-2013 R 3: The Accident Investigation Board recommends that the Danish Transport Authority ensure that the IC4 train type braking performance be documented in all applications, including the adhesions conditions that may be expected to occur in daily operation.</t>
  </si>
  <si>
    <t>DK-1310/3</t>
  </si>
  <si>
    <t>Recording correct data on the actual distance travelled and the actual speed</t>
  </si>
  <si>
    <t>DK-2013 R 4: The Accident Investigation Board recommends that the Danish Transport Authority ensure that the IC4 train type records correct data on the actual distance travelled and the actual speed</t>
  </si>
  <si>
    <t>DK-565/1</t>
  </si>
  <si>
    <t>The infrastructure manager must analyse the relations between interlocking and ATC to identify other</t>
  </si>
  <si>
    <t>The infrastructure manager must analyse the relations between interlocking and ATC to identify other places where this situation might occur</t>
  </si>
  <si>
    <t>DK-565/2</t>
  </si>
  <si>
    <t>The infrastructure manager must change the rules and regulations temporarily until the technical sol</t>
  </si>
  <si>
    <t>The infrastructure manager must change the rules and regulations temporarily until the technical solutions derived from # 1 has been implemented</t>
  </si>
  <si>
    <t>DK-986/1</t>
  </si>
  <si>
    <t>The NSA and the Road Authority must consider if it is (still) safe to let slow moving vehicles with</t>
  </si>
  <si>
    <t>The NSA and the Road Authority must consider if it is (still) safe to let slow moving vehicles with the driver placed higher than in normal trucks pass level crossings</t>
  </si>
  <si>
    <t>DK-986/2</t>
  </si>
  <si>
    <t>The NSA and the Road Authority must plan or review plans for closing level crossings without barriers</t>
  </si>
  <si>
    <t>The NSA and the Road Authority must plan or review plans for closing level crossing without barriers or to supplement such level crossings with barriers</t>
  </si>
  <si>
    <t>DK-2316/1</t>
  </si>
  <si>
    <t>NSA to assure that risk in building og rebuilding phases are handled properly</t>
  </si>
  <si>
    <t>På baggrund af den manglende sammenhæng mellem vejsignal V1â€™s opstilling rettet mod det nye vejforløb i stedet for det eksisterende og det forhold at risikoanalyser mv. var rettet mod anlæggets endelige udformning, anbefaler Havarikommissionen: 1. at Trafikstyrelsen sikrer at jernbaneinfrastrukturforvaltere også vurderer og håndterer risici ved ændringer som sker løbende i ombygningsfasen.</t>
  </si>
  <si>
    <t>Danish</t>
  </si>
  <si>
    <t>DK-2316/2</t>
  </si>
  <si>
    <t>Given the lack of correlation between the path signal V1â€™s lineup directed towards the new road course instead of the existing one and due to the fact that the risk assessment etc. had been done for the system's final configuration, the Accident Investigation Board of Denmark (Havarikommissionen) recommends that: 1. the Transport Authority ensures that rail infrastructure managers also assess and manage the risks of changes that occur regularly in the rebuilding phase.</t>
  </si>
  <si>
    <t>DK-987/1</t>
  </si>
  <si>
    <t>DSB must (re)evaluate all wiring and the design all tubes on the new engines for the IC3 MTU</t>
  </si>
  <si>
    <t>DK-781/1</t>
  </si>
  <si>
    <t>Look into the possibilities of minimizing the number of heavy road vehicles that uses the level cros</t>
  </si>
  <si>
    <t>Look into the possibilities of minimizing the number of heavy road vehicles that uses the level crossings</t>
  </si>
  <si>
    <t>DK-781/2</t>
  </si>
  <si>
    <t>To establish a regime to ensure that the safety level of each level crossing are regularly assessed</t>
  </si>
  <si>
    <t>To establish a regime to ensure that the safety level of each level crossing are regularly assessed by a combination of police, rail and road infrastructure managers and the respective safety authorities</t>
  </si>
  <si>
    <t>DK-566/1</t>
  </si>
  <si>
    <t>The RU (DSB) and the NSA must evaluate the education and the training in the seldom use of lineside</t>
  </si>
  <si>
    <t>The RU (DSB) and the NSA must evaluate the education and the training in the seldom use of lineside signals and use of "left track" for drivers are up to the necessary standards</t>
  </si>
  <si>
    <t>DK-50/1</t>
  </si>
  <si>
    <t>The NSA shal analyse if it is safe to allow the use of mobile phone when drivin a train and set rule</t>
  </si>
  <si>
    <t>The NSA shal analyse if it is safe to allow the use of mobile phone when drivin a train and set rules according to the result of the analysis</t>
  </si>
  <si>
    <t>DK-50/2</t>
  </si>
  <si>
    <t>The NSA analyses the use of ATC in combination with level crossings and the railway safety, and act</t>
  </si>
  <si>
    <t>The NSA analyses the use of ATC in combination with level crossings and the railway safety, and act i accordance with the result of this analysis</t>
  </si>
  <si>
    <t>DK-49/1</t>
  </si>
  <si>
    <t>Inquire into the necessity to classify â€žThermiteâ€œ as dangerous goods, and ensure that a possible cla</t>
  </si>
  <si>
    <t>Inquire into the necessity to classify â€žThermiteâ€œ as dangerous goods, and ensure that a possible classification shall be done in agreement with the inquiry</t>
  </si>
  <si>
    <t>DK-49/2</t>
  </si>
  <si>
    <t>The infrastructure managers requirements for transport of dangerous goods shall be taken into consid</t>
  </si>
  <si>
    <t>The infrastructure managers requirements for transport of dangerous goods shall be taken into consideration at the safety certification of the infrastructure manager</t>
  </si>
  <si>
    <t>DK-49/3</t>
  </si>
  <si>
    <t>Requirements for equipping rail maintenance machines with fire fighting devices and protection devic</t>
  </si>
  <si>
    <t>Requirements for equipping rail maintenance machines with fire fighting devices and protection devices for the crew especially in relation to transport of dangerous goods and driving in tunnels</t>
  </si>
  <si>
    <t>DK-49/4</t>
  </si>
  <si>
    <t>The NSA ensures that the infrastructure manager â€žBanedanmarkâ€œ through the safety organisation guaran</t>
  </si>
  <si>
    <t>The NSA ensures that the infrastructure manager â€žBanedanmarkâ€œ through the safety organisation guarantee that the necessary maintenance and the matching recordings are present</t>
  </si>
  <si>
    <t>DK-49/5</t>
  </si>
  <si>
    <t>NSA ensures, that the rules for traffic with rail maintenance machines are revised especially the ru</t>
  </si>
  <si>
    <t>NSA ensures, that the rules for traffic with rail maintenance machines are revised especially the rules about driving in train similar situations and transport of fx gas cylinders</t>
  </si>
  <si>
    <t>DK-49/6</t>
  </si>
  <si>
    <t>NSA ensures, that the education and in service training of rail maintenance machine drivers are revi</t>
  </si>
  <si>
    <t>NSA ensures, that the education and in service training of rail maintenance machine drivers are revised especially the necessary knowledge about error detection, the brake system, running through tunnels (special tunnel rules in Denmark), train formation, and handling of dangerous goods</t>
  </si>
  <si>
    <t>DK-49/7</t>
  </si>
  <si>
    <t>NSA ensures, that the NSA together with the infrastructure managers, the train operator companies, t</t>
  </si>
  <si>
    <t>NSA ensures, that the NSA together with the infrastructure managers, the train operator companies, the police and the rescue services analyses the procedures of alarm calls</t>
  </si>
  <si>
    <t>DK-49/8</t>
  </si>
  <si>
    <t>NSA ensures, that â€žSund and Beltâ€œ (the infrastructure manager of the tunnel and bridge crossing the</t>
  </si>
  <si>
    <t>NSA ensures, that â€žSund and Beltâ€œ (the infrastructure manager of the tunnel and bridge crossing the Great Belt) together with the rescue services analyses the strategy for ventilation in the tunnel</t>
  </si>
  <si>
    <t>DK-49/9</t>
  </si>
  <si>
    <t>NSA ensures, That the infrastructure managers together with the rescue services revises the rules fo</t>
  </si>
  <si>
    <t>NSA ensures, That the infrastructure managers together with the rescue services revises the rules for use of the rescue vehicles in the tunnels.</t>
  </si>
  <si>
    <t>DK-48/1</t>
  </si>
  <si>
    <t>The NSA shall make sure that the level crossing rules are brought up to date</t>
  </si>
  <si>
    <t>DK-48/2</t>
  </si>
  <si>
    <t>The NSA shall consider whether it is safe to have level crossings with no barriers or user operated</t>
  </si>
  <si>
    <t>The NSA shall consider whether it is safe to have level crossings with no barriers or user operated barriers with a line speed &gt; 75 km/h</t>
  </si>
  <si>
    <t>DK-48/3</t>
  </si>
  <si>
    <t>The NSA shall consider whether it is safe to have level crossings with no barriers or user operated barriers crossing more than one track</t>
  </si>
  <si>
    <t>DK-46/1</t>
  </si>
  <si>
    <t>Change the function of the level crossing signaling system to comply with normal function of such sy</t>
  </si>
  <si>
    <t>Change the function of the level crossing signaling system to comply with normal function of such systems i Denmark</t>
  </si>
  <si>
    <t>DK-357/1</t>
  </si>
  <si>
    <t>The NSA shall ensure that all RU's evaluates the safety level of their door locking systems</t>
  </si>
  <si>
    <t>DK-357/2</t>
  </si>
  <si>
    <t>The NSA shal consider the need for national rules for door locking systems</t>
  </si>
  <si>
    <t>The NSA shall consider the need for national rules for door locking systems</t>
  </si>
  <si>
    <t>DK-356/1</t>
  </si>
  <si>
    <t>Give the drivers a timetable with all permanent and temporary speed restrictions for the specific tr</t>
  </si>
  <si>
    <t>Give the drivers a timetable with all permanent and temporary speed restrictions for the specific train on the specific date</t>
  </si>
  <si>
    <t>DK-356/2</t>
  </si>
  <si>
    <t>Before end of 2006 make sure that it is safe to pass all speed restrictions that hasn't been properl</t>
  </si>
  <si>
    <t>Before end of 2006 make sure that it is safe to pass all speed restrictions that hasn't been properly marked with signals and ATC</t>
  </si>
  <si>
    <t>DK-356/3</t>
  </si>
  <si>
    <t>All procedures and instructions for handling of temporary speed restrictions must be evaluated to en</t>
  </si>
  <si>
    <t>All procedures and instructions for handling of temporary speed restrictions must be evaluated to ensure that it won't be possible for trains to pass TSR's withoout proper warning via "slow orders" and marking with signals and ATC</t>
  </si>
  <si>
    <t>DK-356/4</t>
  </si>
  <si>
    <t>IM shall establish procedures for maintenance of km-markings along the lines</t>
  </si>
  <si>
    <t>DK-171/1</t>
  </si>
  <si>
    <t>Look into the safety precautions when a train has to pass a switch that is not in control / locked</t>
  </si>
  <si>
    <t>REC-000049</t>
  </si>
  <si>
    <t>DK-1142/1</t>
  </si>
  <si>
    <t>[DK.2014 R3] Havarikommissionen anbefaler, at Trafikstyrelsen sammen med DSB revurderer behov for ...</t>
  </si>
  <si>
    <t>[DK.2014 R3] Havarikommissionen anbefaler, at Trafikstyrelsen sammen med DSB revurderer behov for brand- og røgdetektering, røgdetekteringsanlæggets funktionalitet og anvendelse som sikkerhedsbarriere.</t>
  </si>
  <si>
    <t>DK-1142/2</t>
  </si>
  <si>
    <t>[DK.2014 R3] AIB recommends that the Transport Authority together with DSB reconsider the needs for fire and smoke detection, the smoke detection system functionality and their use as a safety barrier.</t>
  </si>
  <si>
    <t>DK-2192/1</t>
  </si>
  <si>
    <t>AIB DK recommends that NSA DK assess the safety of crossings that are generally used for public ...</t>
  </si>
  <si>
    <t>AIB DK recommends that NSA DK assess the safety of crossings that are generally used for public transport other than access to and from the trains are sufficient with the current precaution.</t>
  </si>
  <si>
    <t>DK-2192/2</t>
  </si>
  <si>
    <t>AIB DK recommends that NBA DK ensures that Banedanmark has and applies procedures for replacing and ...</t>
  </si>
  <si>
    <t>AIB DK recommends that NBA DK ensures that Banedanmark has and applies procedures for replacing and checking safety-critical components in the interlocking.</t>
  </si>
  <si>
    <t>REC-000484</t>
  </si>
  <si>
    <t>DK-5318/1</t>
  </si>
  <si>
    <t>Risc analysis as a result of safety changes since 1999</t>
  </si>
  <si>
    <t>NSA DK must ensure that risk assessment of passenger safety at Kværndrup and Stenstrup stations is carried out, including whether the applicable regulations have been complied with since 1999 (changed traffic, increased travel speed, etc.) and ensure that necessary safety measures are implemented.</t>
  </si>
  <si>
    <t>REC-000487</t>
  </si>
  <si>
    <t>DK-5318/2</t>
  </si>
  <si>
    <t>Risc analysis of passenger crossings with out protection</t>
  </si>
  <si>
    <t>NSA DK shall ensure that a risk analysis is carried out on the safety of persons at platform crossings where no warning facilities or other similar fuses have been established, including whether the applicable provisions are sufficient. The risk analysis should also include other crossings between platforms that can be perceived by passengers as platform corrsings (internal crossings for vehicles)</t>
  </si>
  <si>
    <t>DK-5318/3</t>
  </si>
  <si>
    <t>Rules for warning systems and signage at platform message signing</t>
  </si>
  <si>
    <t>NSA DK must ensure that clear and relevant rules are established for the use of warning systems and signage at platforms</t>
  </si>
  <si>
    <t>DK-5315/1</t>
  </si>
  <si>
    <t>AIB DK recommends that NSA DK ensure that the safety conditions of the crossings are reviewed and ...</t>
  </si>
  <si>
    <t>AIB DK recommends that NSA DK ensure that the safety conditions of the crossings are reviewed and that any improvements due to the review do not await completion of the (new) signal program.</t>
  </si>
  <si>
    <t>DK-5650/1</t>
  </si>
  <si>
    <t>DK-2017 R 5 af 06.12.2017</t>
  </si>
  <si>
    <t>The AIB DK recommends that the Traffic and Housing Agency (NSA) ensure that there are guidelines for students in the field of rail safety education, i.e. if and, where appropriate, the conditions under which students may perform safety work in whole or in part without supervision.</t>
  </si>
  <si>
    <t>DK-5650/2</t>
  </si>
  <si>
    <t>AIB DK recommends that the Traffic and Housing Agency (NSA) together with Banedanmark (IM) ensure ...</t>
  </si>
  <si>
    <t>AIB DK recommends that the Traffic and Housing Agency (NSA) together with Banedanmark (IM) ensure that potentially safety-critical duties are captured and corrected through security management systems.</t>
  </si>
  <si>
    <t>DK-5650/3</t>
  </si>
  <si>
    <t>AIB DK recommends that the Traffic and Housing Agency (NSA), together with Banedanmark (NSA) and ...</t>
  </si>
  <si>
    <t>AIB DK recommends that the Traffic and Housing Agency (NSA), together with Banedanmark (NSA) and relevant operators, ensure that the ATC instruction conditions for resuming driving after ATC emergency braking are respected.</t>
  </si>
  <si>
    <t>DK-5310/1</t>
  </si>
  <si>
    <t>AIB DK recommends that the Traffic Authority (NSA DK) imply that the conditions in and at the ...</t>
  </si>
  <si>
    <t>AIB DK recommends that the Traffic Authority (NSA DK) imply that the conditions in and at the crossing are changed so that cyclists can not approach the track inadvertently than the normal safety distance of 1.75 meters.</t>
  </si>
  <si>
    <t>DK-5314/1</t>
  </si>
  <si>
    <t>Sikre systematisk udveksling af sikkerhedsrelateret information</t>
  </si>
  <si>
    <t>[DK-2014 R5] Trafikstyrelsen vurderer behovet for en struktur til at sikre formaliseret udveksling af sikkerhedsrelevant information â€“ herunder oplysninger om lokale forhold som f.eks. fald på stationen, der kan forårsage igangsætning af ikke (tilstrækkeligt) afbremsede tog â€“ mellem jernbanevirksomheder indbyrdes og med infrastrukturforvalteren.</t>
  </si>
  <si>
    <t>DK-5314/2</t>
  </si>
  <si>
    <t>Sikre stationsdækkende togkontrolanlæg på Padborg station og at alle tog kan benytte dette</t>
  </si>
  <si>
    <t>[DK-2014 R4] Trafikstyrelsen vurderer behovet for stationsdækkende virksomt togkontrolanlæg, hvor der er fuldt samspil mellem faste og mobile anlæg, således at der på Padborg station opnås samme sikkerhedsniveau som på øvrige fjernbanestationer med fast togkontrolanlæg.</t>
  </si>
  <si>
    <t>REC-000492</t>
  </si>
  <si>
    <t>DK-5688/1</t>
  </si>
  <si>
    <t>Evaluation of safety at platform crossings</t>
  </si>
  <si>
    <t>NSA DK shall provide assesment of safety of all public platform crossings in Denmark</t>
  </si>
  <si>
    <t>REC-000495</t>
  </si>
  <si>
    <t>DK-5688/2</t>
  </si>
  <si>
    <t>Safety measures at platform crossings</t>
  </si>
  <si>
    <t>NSA DK, in continuation of IM DK (Banedanmark) report dated 31.05.2018 "Follow-up to the safety of Banedanmark's public platform crossings", will assess whether the current safety measures at platform crossings are sufficient and current in relation to current usage patterns and passenger behavior and in conjunction with the improvements in safety measures introduced and has been introduced at level crossings. It is noted that the recommendation also includes platform crossings outside Banedanmark area (private railways)</t>
  </si>
  <si>
    <t>REC-000479</t>
  </si>
  <si>
    <t>DK-5689/1</t>
  </si>
  <si>
    <t>SMS</t>
  </si>
  <si>
    <t>NSA DK ensures assessment of IM (Banedanmark) safety management system, in relation to whether or not the safety management system handles new safety-relevant information that is not the result of an accident or incident.</t>
  </si>
  <si>
    <t>REC-000482</t>
  </si>
  <si>
    <t>DK-5689/2</t>
  </si>
  <si>
    <t>Level crossing protection</t>
  </si>
  <si>
    <t>NSA DK shall ensure risk assessment conducted in order to assess whether the activation time in warning systems should be dependent on the speed of the trains.</t>
  </si>
  <si>
    <t>REC-000732</t>
  </si>
  <si>
    <t>DK-5889/1</t>
  </si>
  <si>
    <t>DK-2019 R 2 af 18.12.2019. Havarikommissionen anbefaler, at Trafik- Bygge- og Boligstyrelsen sikrer at sikkerhedsledelsessystemet hos DB Cargo Scandinavia A/S fremadrettet indhenter sikkerhedsrelevant viden hos medarbejdere og andre involverede, og håndteret dette i virksomhedens sikkerhedsledelsessystem.</t>
  </si>
  <si>
    <t>DK-2019 R 2 af 18.12.2019 Havarikommissionen anbefaler, at Trafik- Bygge- og Boligstyrelsen sikrer at sikkerhedsledelsessystemet hos DB Cargo Scandinavia A/S fremadrettet indhenter sikkerhedsrelevant viden hos medarbejdere og andre involverede, og håndteret dette i virksomhedens sikkerhedsledelsessystem.</t>
  </si>
  <si>
    <t>DK-5889/2</t>
  </si>
  <si>
    <t>DK-2019 R 2 of 18.12.2019 The Accident Investigation Board recommends that the Danish Transport, Construction and Housing Authority ensures that, going forward, the safety management system of DB Cargo Scandinavia A/S collects safety-relevant knowledge from staff members and other involved parties and that the companyâ€™s safety management system addresses any such information.</t>
  </si>
  <si>
    <t>REC-000735</t>
  </si>
  <si>
    <t>DK-5889/3</t>
  </si>
  <si>
    <t>DK-2019 R 1 af 18.12.2019 Havarikommissionen anbefaler, at ERA sikrer at alt sikkerhedskritisk udstyr (f.eks. tilbehør) på godsvogne identificeres og håndteres i det europæiske vedligeholdelsesregime.</t>
  </si>
  <si>
    <t>DK-5889/4</t>
  </si>
  <si>
    <t>DK-2019 R 1 0f 18.12.2019 The Accident Investigation Board recommends that ERA ensures that all safety-critical equipment (such as accessories) on freight wagons is identified and addressed in the European maintenance regime.</t>
  </si>
  <si>
    <t>REC-000737</t>
  </si>
  <si>
    <t>DK-5889/5</t>
  </si>
  <si>
    <t>DK-2019 R 3 af 18.12.2019 Havarikommissionen anbefaler, at Trafik- Bygge- og Boligstyrelsen sikrer at Banedanmark og A/S Storebælt gennemfører analyse af behov for opdaterede sikkerhedsmæssige krav til vind-restriktioner og kvalitet af vindmålinger, samt sikrer at bl.a. stormberedskabet er bekendt med de sikkerhedsmæssige grænser</t>
  </si>
  <si>
    <t>DK-2019 R 4 af 18.12.2019 Havarikommissionen anbefaler, at Trafik- Bygge- og Boligstyrelsen sikrer at DSB undersøger muligheden for forbedret fastgørelse af lyspaneler på litra MG (IC4 togtypen) og i nødvendigt omfang implementerer forbedringerne.</t>
  </si>
  <si>
    <t>DK-5889/6</t>
  </si>
  <si>
    <t>DK-2019 R 4 0f 18.12.2019 The Accident Investigation Board recommends that the Danish Transport, Construction and Housing Authority ensures that DSB looks into the possibility of improving the fastening of lighting panels on the MG class (the IC4 train type) and implements the improvements to the necessary extent</t>
  </si>
  <si>
    <t>REC-000739</t>
  </si>
  <si>
    <t>DK-5889/7</t>
  </si>
  <si>
    <t>DK-2019 R 3 af 18.12.2019 Havarikommissionen anbefaler, at Trafik- Bygge- og Boligstyrelsen sikrer at Banedanmark og A/S Storebælt gennemfører analyse af behov for opdaterede sikkerhedsmæssige krav til vindrestriktioner og kvalitet af vindmålinger, samt sikrer at bl.a. stormberedskabet er bekendt med de sikkerhedsmæssige grænser.</t>
  </si>
  <si>
    <t>DK-5889/8</t>
  </si>
  <si>
    <t>DK-2019 R 3 of 18.12.2019 The Accident Investigation Board recommends that the Danish Transport, Construction and Housing Authority ensures that Banedanmark and A/S Storebælt carry out an analysis of the need for updated safety requirements with regard to wind restrictions and the quality of wind measurements and make sure that among other the storm emergency team is aware of the safety threshold values.</t>
  </si>
  <si>
    <t>LU-5259/1</t>
  </si>
  <si>
    <t>Update the train driver assistance system MEMOR II+</t>
  </si>
  <si>
    <t>Impose for all rolling stocks circulating on the national rail network, using the train driver assistance system MEMOR II+, to update homogeneously the system with an alert system informing the train driver of the position of the advance signals.</t>
  </si>
  <si>
    <t>LU-5259/2</t>
  </si>
  <si>
    <t>Implementation ETCS</t>
  </si>
  <si>
    <t>Replace, as quickly as possible, on the entire national rail network, the train driver assistance system Memor II + with the unified ETCS control-command system.</t>
  </si>
  <si>
    <t>LU-5259/3</t>
  </si>
  <si>
    <t>Communication of irregularities and damages</t>
  </si>
  <si>
    <t>Encourage the driving staff to systematically communicate to the infrastructure manager, as soon as possible and by the first means at their disposal, any irregularity and damage observed to the railway infrastructure.</t>
  </si>
  <si>
    <t>LU-5259/4</t>
  </si>
  <si>
    <t>Driving Data analysis</t>
  </si>
  <si>
    <t>Ensure that each railway undertaking carries out a systematic analysis of the recorded driving data in order to detect any anomalies.</t>
  </si>
  <si>
    <t>REC-000153</t>
  </si>
  <si>
    <t>LU-5259/5</t>
  </si>
  <si>
    <t>awareness-raising campaigns and checks regarding the use of cellphones during driving tasks</t>
  </si>
  <si>
    <t>Encourage the railway undertakings to carry out awareness-raising campaigns as well as checks with regard to the application of the regulations on the use of cellphones when performing tasks related to driving trains.</t>
  </si>
  <si>
    <t>REC-000154</t>
  </si>
  <si>
    <t>LU-5259/6</t>
  </si>
  <si>
    <t>dangers linked to the weather conditions</t>
  </si>
  <si>
    <t>Ask the railway undertakings to carry out information campaigns on the behavior to be adopted by operating personnel in relation to the dangers linked to the weather conditions.</t>
  </si>
  <si>
    <t>REC-000156</t>
  </si>
  <si>
    <t>LU-5259/7</t>
  </si>
  <si>
    <t>review the maintenance procedures of the ground system Memor II +</t>
  </si>
  <si>
    <t>Carry out a risk analysis of the ground system Memor II + in order to review the related maintenance procedures.</t>
  </si>
  <si>
    <t>LU-5259/8</t>
  </si>
  <si>
    <t>risk analysis for all the safety systems</t>
  </si>
  <si>
    <t>Require a risk analysis for all the safety systems on the national rail network</t>
  </si>
  <si>
    <t>LU-5259/9</t>
  </si>
  <si>
    <t>Set up appropriate security measures according the result of risk analysis</t>
  </si>
  <si>
    <t>Set up, in accordance with the observations made during the risk analysis (REC-000159), appropriate security measures to make up for any weakness observed.</t>
  </si>
  <si>
    <t>LU-5259/10</t>
  </si>
  <si>
    <t>proactive culture of notification of safety-related events</t>
  </si>
  <si>
    <t>Have all procedures related to the proactive culture of notification of safety-related events analyzed and supplemented, if necessary, so that the staff is motivated to report these types of events</t>
  </si>
  <si>
    <t>LU-5259/11</t>
  </si>
  <si>
    <t>front camera device</t>
  </si>
  <si>
    <t>Equip railway rolling stock as well as trams with a front camera device equipped with a data recorder.</t>
  </si>
  <si>
    <t>IT-944/1</t>
  </si>
  <si>
    <t>It is recommended to the National Safety Authority (ANSF) to verify the implementation of the obliga</t>
  </si>
  <si>
    <t>It is recommended to the National Safety Authority (ANSF) to verify the implementation of the obligations provided in ANSF Directive No. 1/dir/2010 so that, at all stages of transport, terminalisation and shunting, appropriate procedures are provided in order to clarify the allocation of responsibilities of the trains carrying dangerous goods, even in case of unexpected extension of the delivery or receipt of the train very late or earlier than the scheduled time, considering also the possibility of introducing any elements of deterrence in cases of failure on the enforcement of the correct procedures to follow by rail operators.</t>
  </si>
  <si>
    <t>IT-944/2</t>
  </si>
  <si>
    <t>It is recommended to the National Safety Authority (ANSF) to undertake or pursue coordinated actions</t>
  </si>
  <si>
    <t>It is recommended to the National Safety Authority (ANSF) to undertake or pursue coordinated actions with the National Safety Authorities of neighbouring Countries, aimed at intensification of the already planned checks on trains carrying dangerous goods.</t>
  </si>
  <si>
    <t>IT-740/1</t>
  </si>
  <si>
    <t>Recommendation n.1</t>
  </si>
  <si>
    <t>To establish supranational laws for the maintenance and monitoring activities aimed at the safe transport of railway wagons carrying dangerous goods, individuating "mandatory" operational procedures to apply to maintenance activities on rolling stock and components as well as for reassembly activities performed within the European Union and also in the territories of non-EU member states belonging to COTIF and having the scope and validity to ensure their effects on all wagons circulating in the European Union territories. Those "mandatory" procedures must be a complement to the best practices already adopted for maintenance in the rail sector, avoiding redundancies and duplications . For this purpose it is recommended that: ï‚§the European Railway Agency in its position of a board for the trend orientation of the NSAs ï‚§the OTIF ï‚§the Italian National Agency for Railway Safety - ANSF ï‚§The Ministry of Infrastructures and Transports (Department for Transports, shipping, informative and statistics systems ) strive in order that will be started and completed the implementation of a regulatory framework for maintenance, described in theirs essential aspects in the subsequent recommendations from No. 2 to No. 10.</t>
  </si>
  <si>
    <t>IT-740/2</t>
  </si>
  <si>
    <t>Recommendation n.2</t>
  </si>
  <si>
    <t>To constitute, within the organization with the maximum international partnership, a single register (European and/or international Data-Base) of rolling stock carrying dangerous goods, circulating on the railway networks of the territories referred to Recommendation No. 1. This register shall include computer data suitable for the identification of the rolling stocks carrying dangerous goods, in terms of: technical and homologation data, date of construction and/or reassembly, maintenance history of theirs major components for safety, mileage of wagons and of theirs components</t>
  </si>
  <si>
    <t>IT-740/3</t>
  </si>
  <si>
    <t>Recommendation n.3</t>
  </si>
  <si>
    <t>To establish a general rule of application of sanctions against the subjects involved in various processes that have behaved in a different manner from those provided by the rules and regulations that could be defined in consequence of the Recommendations from n. 2 to n. 10 These sanctions have to be imposed by the national organizations responsible for safety with regard to the territory under their jurisdiction, without prejudice to the right of each Member State to adopt measures restricting the circulation.</t>
  </si>
  <si>
    <t>REC-000193</t>
  </si>
  <si>
    <t>IT-740/4</t>
  </si>
  <si>
    <t>Recommendation n.4</t>
  </si>
  <si>
    <t>To introduce in the rules the prediction of maintenance interventions for safety purposes that have to be carried out with "temporal" frequency and with "fixed distances". These methodologies have to be used in combination and in correlation. This need arises from the increased use of the wagons and important components for the rail safety resulting from the modification of the legal arrangement and organizational architecture of the sector in Europe. That forecast must also include the principle of intensification of the frequency of the checks in function of the progress of the age of wagons carrying dangerous goods.</t>
  </si>
  <si>
    <t>IT-740/5</t>
  </si>
  <si>
    <t>Recommendation n.5</t>
  </si>
  <si>
    <t>To establish an obligation requirement of certification of the authorized personal that performs maintenance aimed at the safety of transport, on rolling stocks transporting dangerous goods circulating within the European Union. The certification must be set under the control of the member states and it must exclude any hypothesis of self-certification.</t>
  </si>
  <si>
    <t>REC-000195</t>
  </si>
  <si>
    <t>IT-740/6</t>
  </si>
  <si>
    <t>Recommendation n.6</t>
  </si>
  <si>
    <t>To establish a rule that defines a limited service life of important components for rail safety. In order to prevent train accidents is necessary to introduce a maximum time limit for the use of components related to safety (axles, wheels, bushings, suspension, etc.), taking into account the concept of cyclic fatigue, to which certain mechanical components are subjected to during their operational life.</t>
  </si>
  <si>
    <t>IT-740/7</t>
  </si>
  <si>
    <t>Recommendation n.7</t>
  </si>
  <si>
    <t>To introduce a requirement for full traceability of all axels and components that a specific working group has to study to highlight as "fundamental" for safety and for the dynamic stability of the wagons, with particular regard to components subjected to cyclic efforts. At the time of the activity of maintenance and/or reassembly, the subject responsible must: â€¢ uniquely identify the components of the rolling stock on which maintenance is performed by punching an identification code (if not already punched). This code must be affixed already by the manufacturers at the time of production according to procedures to be defined. â€¢ Insert in the Data-Base described in Recommendation No. 2, the evidence of transactions on the component, which must be identified as described in the previous paragraph, all its structural and geometrical data collected, the maintenance work performed, the execution date and the date scheduled for further maintenance. This Database will be accessible - for inspection - by entities that are responsible for controls and - for the operation â€“ by all the certified and notified responsible for the maintenance. All test results of a sensitive nature (Non Destructive Testing, ultrasound tests, Magnetoscopic checks, work sheets, etc.) performed on the components which are important for safety of rail transport will be placed in the same Database in hidden or clear format but not manipulatable, in order to verify at a later time the state of the component or the evolution of any defects or anomalies detected during the entire life of the component itself.</t>
  </si>
  <si>
    <t>IT-740/8</t>
  </si>
  <si>
    <t>Recommendation n.8</t>
  </si>
  <si>
    <t>To establish a requirement for the destruction of components important for safe transport, for which it isn't possible to reconstruct the history of maintenance and operational through a continuous tracking. If the history of the component is not completely clear, it is necessary to require its destruction, giving the proof this to the safety organizations. This condition must be realized since the first useful opportunity in correspondence to a normal maintenance carried out according to the maintenance plan expected. the first phase of application of the rule needs a short period of transition to the new protocol for the components already in circulation. Beyond this period they must be destroyed anyway.</t>
  </si>
  <si>
    <t>IT-740/9</t>
  </si>
  <si>
    <t>Recommendation n.9</t>
  </si>
  <si>
    <t>To define, on the basis of legal requirements to be introduced in consequence of the previous recommendations, a procedure for conducting inspections on those responsible for the maintenance of wagons carrying dangerous goods or their components. These inspections must be made by Railway Undertakings (RU) as a part of its Safety Management System (SMS) to ensure safe operation of its part of the system. The supervisory role of NSAs on RUs remains unchanged. Therefore, Railway Undertakings must include in their Safety Management System adequate check procedures on the staff responsible for maintenance of the rolling stock that RUs haul.</t>
  </si>
  <si>
    <t>REC-000199</t>
  </si>
  <si>
    <t>IT-740/10</t>
  </si>
  <si>
    <t>Recommendation n.10</t>
  </si>
  <si>
    <t>To impose the use of Detectors of Derailment Devices (DDD) for all wagons carrying dangerous goods, starting from the older ones. The application of such devices must make possible to activate automatic actions of brakes, needing an evolution of the detection techniques as much as possible free from false alarms. These devices should also be installed necessarily on the wagons carrying normal freights when they are in composition with those carrying dangerous goods. To provide for the production of new wagons, the obligation to adopt such devices taking into account possible technological developments towards more advanced solutions, also in terms of selectivity and modulation of the braking reactions.</t>
  </si>
  <si>
    <t>REC-000200</t>
  </si>
  <si>
    <t>IT-740/11</t>
  </si>
  <si>
    <t>Recommendation n.11</t>
  </si>
  <si>
    <t>To set up by the Italian Infrastructure Managers an analytical study on the current distribution on the territory of the Italian railway network of thermical bushings revelators, taking into account the topological layout of the railway network, including railway interconnections and the multiple paths that can be runned by trains. The study is intended to highlight the paths longer than 60 km that are not yet covered by the revelators and that have to be equipped immediately by automatic systems, in order to overcome the current procedure that admits a possible visual detection.</t>
  </si>
  <si>
    <t>IT-740/12</t>
  </si>
  <si>
    <t>Recommendation n.1 (investigation part 2)</t>
  </si>
  <si>
    <t>The NSA (ANSF) will consider to bind the Infrastructure Manager (RFI Spa) so that, as an alternative, the IM: â€¢ studies and implement a targeted plan of gradual removal of the "planimetric adjustment vertical pegs" following a process that starts from the sites most exposed, for degree of urbanization of contiguous areas, replacing them with control systems for the horizontal and vertical alignment of the geometric stability of the curves, systems characterized by a null value compared to the risk of setting a potential tool for cutting and/or tearing; â€¢ initiate a gradual installation of systems of protection and confinement of the same "planimetric adjustment vertical pegs" which cancel out the inherent potential to become a tool for cutting and tearing, still following the hierarchical principle of the primacy of the sites most exposed for degree of urbanization neighbor.</t>
  </si>
  <si>
    <t>IT-740/13</t>
  </si>
  <si>
    <t>Recommendation n.2 (investigation part 2)</t>
  </si>
  <si>
    <t>The NSA (ANSF) will consider the opportunity to ask to the Infrastructure Manager (RFI Spa) to carry out an analysis and a consequent overall assessment of the potential risk of setting a cutting tool and/or laceration, by objects or components of the 'infrastructure that are not technically disposable or replaceable: this in order to reduce the risk.</t>
  </si>
  <si>
    <t>IT-637/1</t>
  </si>
  <si>
    <t>necessità di un approntamento di modifiche funzionali alla gestione del taglio trazione per interven</t>
  </si>
  <si>
    <t>necessità di un approntamento di modifiche funzionali alla gestione del taglio trazione per intervento del pressostato di stacco trazione della locomotiva slave, atte a ridurre i livelli di sollecitazione nei ganci di traino</t>
  </si>
  <si>
    <t>IT-637/2</t>
  </si>
  <si>
    <t>opportunità della registrazione dell'andamento della pressione nella condotta generale in particolar</t>
  </si>
  <si>
    <t>opportunità della registrazione dell'andamento della pressione nella condotta generale in particolare in corrispondenza dei locomotori di testa e di coda</t>
  </si>
  <si>
    <t>IT-637/3</t>
  </si>
  <si>
    <t>necessità del dimensionamento dei tenditori a seguito della scrupolosa valutazione delle sollecita</t>
  </si>
  <si>
    <t>necessità del dimensionamento dei tenditori a seguito della scrupolosa valutazione delle sollecitazioni massime reali</t>
  </si>
  <si>
    <t>IT-637/4</t>
  </si>
  <si>
    <t>necessità di sostituzione dei tenditori per i quali ci fossero dubbi sul corretto dimensionamento</t>
  </si>
  <si>
    <t>IT-637/5</t>
  </si>
  <si>
    <t>opportunità di una verifica della disciplina riguardante le piombature delle leve di allarme</t>
  </si>
  <si>
    <t>IT-637/6</t>
  </si>
  <si>
    <t>necessità di una revisione della disciplina delle procedure atte a registrare lo stato del materiale</t>
  </si>
  <si>
    <t>necessità di una revisione della disciplina delle procedure atte a registrare lo stato del materiale rotabile e la posizione degli organi di controllo a seguito di incidente o inconveniente ferroviario</t>
  </si>
  <si>
    <t>IT-577/1</t>
  </si>
  <si>
    <t>Valutare la possibilità di eventuali integrazioni delle disposizioni regolamentari, ovvero alle pres</t>
  </si>
  <si>
    <t>Valutare la possibilità di eventuali integrazioni delle disposizioni regolamentari, ovvero alle prescrizioni di esercizio da parte di RFI ai sensi dell'art.6 comma 2 lettera b) del d.lgs. 162/2007, con indicazioni che possano fornire ulteriori garanzie alla sicurezza della circolazione dei mezzi ferroviari, con particolare riguardo a quanto accaduto nell'incidente in oggetto</t>
  </si>
  <si>
    <t>IT-577/2</t>
  </si>
  <si>
    <t>Valutare l'opportunità di svolgere ulteriori azioni di formazione e di sensibilizzazione del persona</t>
  </si>
  <si>
    <t>Valutare l'opportunità di svolgere ulteriori azioni di formazione e di sensibilizzazione del personale</t>
  </si>
  <si>
    <t>IT-577/3</t>
  </si>
  <si>
    <t>Studiare la possibilità di installare dispositvi che rendano la marcia poco confortevole per i condu</t>
  </si>
  <si>
    <t>Studiare la possibilità di installare dispositvi che rendano la marcia poco confortevole per i conduttori, come suonerie non tacitabili o addirittura l'arresto del locomotore se il dispositivo di limitazione automatica della velocità di manovra a 30 km/h sia disinserito</t>
  </si>
  <si>
    <t>IT-577/4</t>
  </si>
  <si>
    <t>Studiare la possibilità di installare dispositivi che rendano poco confortevole per gli operatori la</t>
  </si>
  <si>
    <t>Studiare la possibilità di installare dispositivi che rendano poco confortevole per gli operatori la permanenza in cabina ACEI tramite suonerie di allarme non tacitabili, e attivi subito dopo l'inserimento dell'allarme acustico e luminoso di un segnale non funzionante</t>
  </si>
  <si>
    <t>IT-577/5</t>
  </si>
  <si>
    <t>Miglioramento del programma manutentivo dei segnali e delle infrastrutture, al fine di migliorare la</t>
  </si>
  <si>
    <t>Miglioramento del programma manutentivo dei segnali e delle infrastrutture, al fine di migliorare la visibilità dei segnali medesimi da parte degli operatori</t>
  </si>
  <si>
    <t>IT-559/1</t>
  </si>
  <si>
    <t>Utilizzare il regime di interruzione di binario, quando possibile</t>
  </si>
  <si>
    <t>IT-559/2</t>
  </si>
  <si>
    <t>Incrementare il livello di sicurezza qualora sia necessario ricorrere al regime di liberalizzazione</t>
  </si>
  <si>
    <t>Incrementare il livello di sicurezza qualora sia necessario ricorrere al regime di liberalizzazione di binario su avvistamento</t>
  </si>
  <si>
    <t>IT-521/1</t>
  </si>
  <si>
    <t>Interest the Infrastructure Manager (RFI) in verify an opportunity to provide for the installation o</t>
  </si>
  <si>
    <t>Interest the Infrastructure Manager (RFI) in verify an opportunity to provide for the installation of electrical signaling, operated by the central electrically controlled shunting (ACEI), for the switch of the rail link, so as to constitute a redundant safety.</t>
  </si>
  <si>
    <t>IT-521/2</t>
  </si>
  <si>
    <t>Recommend a more effective supervisory action by the IM (RFI) structures on the type of connecting l</t>
  </si>
  <si>
    <t>Recommend a more effective supervisory action by the IM (RFI) structures on the type of connecting lines like the one mentioned.</t>
  </si>
  <si>
    <t>IT-521/3</t>
  </si>
  <si>
    <t>Eventually interest the IM (RFI) and Trenitalia in carry out further training and staff awareness on</t>
  </si>
  <si>
    <t>Eventually interest the IM (RFI) and Trenitalia in carry out further training and staff awareness on the subject of active and passive safety in the workplaces and in particular in the management of the rail movement.</t>
  </si>
  <si>
    <t>REC-000371</t>
  </si>
  <si>
    <t>IT-1424/1</t>
  </si>
  <si>
    <t>The National Safety Authority (ANSF) assess the possibility to inhibit the movement, on the entire national territory, also promoting a similar extent, through ERA, at the level of other Community networks, freight wagons that have undergone maintenance operations prior to the date of 21/12/2012 as having ECM or maintenance company ÖBB TS; this is because, just as of this date, this company has provided operational provisions, in relation to the maintenance and assembly of wheelsets, which meets the EN13260 standard. Up to that date had been foreseen by ÖBB TS a check which took account only of the trend chart of the pressing on, to verify compliance with the standard UIC 813; the NSA (ANSF) also assess the possibility of extending this provision also to wagons of other companies / keepers who may have used similar methods of wheel-axles assembly.</t>
  </si>
  <si>
    <t>REC-000372</t>
  </si>
  <si>
    <t>IT-1424/2</t>
  </si>
  <si>
    <t>The National Safety Authority (ANSF) assess the possibility to inhibit the movement of all the cars and wagons with wheelsets (whatever the date of the last maintenance) who do not respond to the cold pressing on instructions provided by the EN 13260, as indications that arising from the investigation show profiles of inadequacy from the point of view of safety of the UIC 813 .As part of that check will also be considered whether to initiate a confrontation with the UIC and the CEN, to verify the feasibility of increasing the minimum interference value established by the aforementioned UIC 813 and EN 13260. The investigation shows that the mere compliance with these minimum values, is reflected in the safety because these values do not provide sufficient margins against pressing out.</t>
  </si>
  <si>
    <t>REC-000373</t>
  </si>
  <si>
    <t>IT-1424/3</t>
  </si>
  <si>
    <t>The National Safety Authority (ANSF), as part of the possible confrontation with the UIC and the CEN referred to in Recommendation No. 2, consider whether to propose, in this context, the activation of a process of approval of the lubricants to be used in pressing on operations.</t>
  </si>
  <si>
    <t>IT-1424/4</t>
  </si>
  <si>
    <t>The National Safety Authority (ANSF), must make sure that, within the framework of actions for the structuring of a European regulatory framework for maintenance which provides for the traceability of operations and certain operating protocols, highlight the need for in the operations of pressing-on of wheelsets must be highlighted the pressing-on diagrams, the value of the wheel-axle interference and the values of roughness, in the hub of the wheel as in the wheel seat of the axle, and that these values are the result of measurements.</t>
  </si>
  <si>
    <t>IT-1408/1</t>
  </si>
  <si>
    <t>Recommendation No. 1 (urgent)</t>
  </si>
  <si>
    <t>It is recommended to the Infrastructure Manager to carry out a thorough self-check of the maintenance of the entire system of the infrastructure of the station Roma Termini for the faster possible restoration of optimal conditions of the track equipment state.</t>
  </si>
  <si>
    <t>IT-1408/2</t>
  </si>
  <si>
    <t>Recommendation No.2</t>
  </si>
  <si>
    <t>It is recommended to the NSA to work in order to verify that the Infrastructure Manager provides to conclude the thorough analysis of the state of repair of the entire system of the infrastructure of the Roma Termini station to restore optimal conditions of the state of the track equipment as required by the urgent recommendation issued on 30.04.2012, or to ensure that the Infrastructure Manager has already done the requirements described above.</t>
  </si>
  <si>
    <t>IT-1408/3</t>
  </si>
  <si>
    <t>Recommendation No.3</t>
  </si>
  <si>
    <t>It is recommended to the NSA to note which actions for the assessment of the maintenance status of the switches present in the station yards of the entire national rail network have been taken by the Infrastructure Manager.</t>
  </si>
  <si>
    <t>REC-000274</t>
  </si>
  <si>
    <t>IT-1408/4</t>
  </si>
  <si>
    <t>Recommendation No.4</t>
  </si>
  <si>
    <t>It is recommended to the NSA to examine the effectiveness of the procedures put in place by the IM to verify its perform checks for the suitability for work of track equipment that heve to be exhaustiveive, systematic and traceable and to ascertain what procedures are in progress or are already have been taken to achieve the objective of ensuring implementation of operation. The examination shall aim in particular to verify the effectiveness of procedures for planning and subsequent execution of all actions necessary, including the replacement of the couple stock rail - blame rail , where a planimetric cusp on these elements or other wear phenomena on the switches arise.</t>
  </si>
  <si>
    <t>IT-1392/1</t>
  </si>
  <si>
    <t>It is recommended to the NSA to promote an activity by the Infrastructure Manager, ensuring that areas identified for stop of the train in case of "selective hotbox alarm" in order to ensure safe technical assessments by the staff, are adequate in terms of size, establishing for that purpose, and where necessary, the minimum requirements, including the practicability of the place and sufficient visibility conditions</t>
  </si>
  <si>
    <t>IT-1392/2</t>
  </si>
  <si>
    <t>It is recommended to the NSA to promote the following initiatives by the Infrastructure Manager and the Railway Undertakings, to ensure that the relief of the thermal state, during checks to bearings, is as free as possible from subjective interpretations: - continuity in the training and skills of the crew involved in the verification of the recording of the thermal state of the bearings, on how to conduct the checks, keeping in account the returns of experience, as the result of incidents that have occurred in the past; - modification of the template M40 RTB annexed to the Disposition No. 48/2001 regarding the "Statement to exploit the hot-box detectors (RTB)" by inserting the appropriate boxes in which are shown the temperatures detected by the RTB following absolute and/or relative selective alarm (measures available to the Control Room); - availablility to the driving personnel of thetrains marching on railway lines equipped with hot-box detectors a suitable tool for thermal pad, necessary to judge objectively the opportunity to continue or not the run of the train.</t>
  </si>
  <si>
    <t>IT-1392/3</t>
  </si>
  <si>
    <t>It is recommended to the NSA to raise awareness of the railway companies permitting them to integrate properly the existing procedures of detail, issued pursuant to art. 1, paragraph 8, of the Disposition No. 48/2001, so that it may be inferred unequivocally: - the technical tools provided; - the limit temperatures, by type of material, for which it must be proceeded in the removal of the material in question from operation;</t>
  </si>
  <si>
    <t>IT-1392/4</t>
  </si>
  <si>
    <t>It is recommended to the NSA to promote specific actions, for the verification of freight trains, in order to achieve a higher level of reliability of the real weight of the load, also in relation to the maximum axle load</t>
  </si>
  <si>
    <t>IT-1392/5</t>
  </si>
  <si>
    <t>It is recommended to the NSA to make a reference to the observance of the provisions governing the procedures for the operation of a shunting movement of a train without a conductor as within a unattended station operated in remote control, as in the specific case of retrocession, also considering possible improvement actions of those provisions</t>
  </si>
  <si>
    <t>IT-1366/1</t>
  </si>
  <si>
    <t>It is recommended to the National Safety Authority works to ensure that the RU Trenitalia SpA carries out a reorganization of procedures for document management, introducing a communication protocol, called on its suppliers to check for updates and changes on the documentation, both for design and maintenance</t>
  </si>
  <si>
    <t>IT-1366/2</t>
  </si>
  <si>
    <t>It is recommended to the National Safety Authority works to ensure that the RU Trenitalia SpA implements an editing action or processing of the procedures of the control system, through which the technical staff provides for the verification of the workings at their end, both if these are carried out in-house or outsourced, also by the predisposition and the use of a specific check list</t>
  </si>
  <si>
    <t>IT-1366/3</t>
  </si>
  <si>
    <t>It is recommended to the National Safety Authority works to ensure that the RU Trenitalia SpA draws up action for the reorganization of technical documentation in the archive, in particular that relating to safety devices</t>
  </si>
  <si>
    <t>IT-1366/4</t>
  </si>
  <si>
    <t>It is recommended to the National Safety Authority works to ensure that the RU Trenitalia SpA modifies, in a short time and in compliance with the provisions or existing standards, the design of the door (which currently has a contact that reveals the closing of the door at 98%, information that is not used for the control of the block-port), so that centralized control of the state of the port also uses this information to give the signal that doors have been locked on the desk of the train driver</t>
  </si>
  <si>
    <t>IT-1366/5</t>
  </si>
  <si>
    <t>It is recommended to the National Safety Authority works to ensure that the RU Trenitalia SpA ensures continuity in the training and skills of staff accompaniment, with respect to methods of using in a timely and immediately incisive of devices provided for reporting emergencies. This, ensuring the timeliness of the updating at the adoption of provisions by the Infrastructure Manager in connection with the use of GSM-R</t>
  </si>
  <si>
    <t>IT-1366/6</t>
  </si>
  <si>
    <t>It is recommended to the National Safety Authority works to ensure that the RU Trenitalia SpA, when revisioning safety devices, guaranteesthe normal use of skilled workers and the use of original or equivalent spare partsl.</t>
  </si>
  <si>
    <t>IT-1366/7</t>
  </si>
  <si>
    <t>It is recommended that the National Safety Authority works to ensure that the Infrastructure Manager draws up and implements a plan of measures and checks of the coverage of the GSM-R network and, if it isnecessary, draws up improvement actions, particularly along routes with the presence of tunnels.</t>
  </si>
  <si>
    <t>IT-1365/1</t>
  </si>
  <si>
    <t>It is recommended to the NSA (ANSF) to invite the IM (RFI SpA) to assess the opportunity of replacing the current system of half-gates LC with a complete barriers LC, so as to constitute a deterrent to inappropriate behavior of road users, given the high traffic in the area</t>
  </si>
  <si>
    <t>IT-1365/2</t>
  </si>
  <si>
    <t>It is recommended to the NSA (ANSF) to invite the IM (RFI SpA) to extend the analysis in recommendation n.1 to other half-gates LCs where similar considerations can be applied.</t>
  </si>
  <si>
    <t>IT-1288/1</t>
  </si>
  <si>
    <t>It is recommended to the National Safety Authority (ANSF) to verify, as part of their audit procedures, that the Infrastructure Manager has provided, within its Safety Management System, punctual verification activities against their own local structures, so that the specific provisions of the current regulations governing the conduct of safety services and control of railway artifacts, are met in a fair and consistent way. Under these regulations the Infrastructure Manager also must give proper priority to the aspect of prevention, in order to intervene early with retraining activities, when the stability chechks of artefacts denounce hazard. It is suggested that this task will be performed by the Infrastructure Manager through the use of qualified professionals.</t>
  </si>
  <si>
    <t>REC-000230</t>
  </si>
  <si>
    <t>IT-1288/2</t>
  </si>
  <si>
    <t>It is recommended to the National Safety Authority (ANSF) that, in the work already undertaken with the Directive 1/dir/2010 and concerning the task entrusted to the Infrastructure Manager to conduct a thorough hydro geologic risk analysis (landslides, rockfalls, erosion, subsidence of the infrastructure, etc.) tho which various portions of the infrastructure are exposed in different parts of the Italian territory, and as the ANSF gave, in response to specific other previous Recommendation, specific infomation to this NIB with note 08824/12 of 15.11.2012, point E, invite the Infrastructure Manager to assess the feasibility in technical and economic terms, the implementation of a plan of installation of alarm sensors for natural hazards (position alarms reagents to soil deftrmations, type vibrations, etc.) on those points, from the aforementioned risk analysis, will prove worthy of specific and continuous monitoring.</t>
  </si>
  <si>
    <t>IT-1248/1</t>
  </si>
  <si>
    <t>Si raccomanda allâ€™ANSF di curare che vengano svolte indagini generalizzate dalle imprese ferroviarie e/o dai detentori di carri, intesa a verificare, sui rotabili di proprietà di tali enti, circolanti sul territorio nazionale, innanzitutto la consistenza numerica e la distribuzione delle aste di traino del tipo che ha subito sul rotabile incidentato la rottura fragile per disuniformità localizzata della caratteristica di â€œdurezzaâ€ del materiale. Da tale indagine ricognitiva complessiva, sia sul piano strettamente numerico, che sul piano distributivo, dovrà prendere le mosse una analisi, a cura ed a carico dei soggetti medesimi, su un ristretto campione, ma significativo in senso statistico, tesa a misurare lâ€™eventuale esistenza e consistenza del fenomeno della disuniformità localizzata di durezza su tali specifiche aste di traino. Quanto sopra, al fine di verificare, ancora in senso statistico, il potenziale rischio di rottura fragile del materiale, provocato dalla modifica del suo grado di duttilità nelle sezioni più critiche dellâ€™organo. Lâ€™analisi dovrà mettere in evidenza - in particolare - se esistono significative correlazioni fra: - le eventuali evenienze negative che emergeranno dallo studio e - lâ€™utilizzo di tali dispositivi in convogli che viaggiano, come nel caso dellâ€™incidente, in composizione bloccata con la compresenza di dispositivi di altro tipo sullo stesso convoglio. Lâ€™intero studio, coordinato dallâ€™ANSF, dovrà anche evidenziare, sulla base dei risultati, se possa ricorrere la necessità di emanare norme tecniche più specifiche per lâ€™attività manutentiva sui componenti di questa natura nei casi di convogli bloccati (sia per architettura progettuale che per costanza dâ€™uso in tale forma). Per maggiori dettagli si rimanda alla Relazione disponibile allâ€™indirizzo internet prima indicato.</t>
  </si>
  <si>
    <t>Italian</t>
  </si>
  <si>
    <t>IT-1248/2</t>
  </si>
  <si>
    <t>The ANSF is advised to arrange for Railway Undertakings (RUs) and/or waggon holders to conduct a wide-ranging survey of their own rolling stock in use in Italy, with the aim above all of checking the numbers and the distribution of coupling bars of the type which, on the rolling stock involved in the accident, had snapped due to localised distortion. This wide-ranging numerical and distributive audit should form the basis of an analysis to be conducted by the RUs and holders themselves on a restricted, but statistically significant sample, concentrating on revealing the possible existence of metal fatigue on those specific coupling bars and how widespread the phenomenon is. The above has the overall aim of ascertaining (statistically) the potential risk of snapping caused by changes to the degree of brittleness in the most critical parts of couplings. The analysis should, in particular, show whether there is any significant correlation between: - any negative contingencies which might emerge from the study and - the use of such devices in trains travelling, as in the case in point, in fixed formations in which there are such devices, but of a different type, in use on the same train. The whole study, coordinated by the ANSF, should also show, based on the results obtained, whether there is any need to promulgate more specific technical standards for maintenance work on components of this kind in use on trainsets which cannot be divided (be it for design reasons or habitual use in such formats). For more details, kindly refer to the report available under the internet address indicated above.</t>
  </si>
  <si>
    <t>IT-1204/1</t>
  </si>
  <si>
    <t>It is recommended to the National Safety Authority (ANSF) to take actions aimed at the implementatio</t>
  </si>
  <si>
    <t>It is recommended to the National Safety Authority (ANSF) to take actions aimed at the implementation, by the Infrastructure Manager, of actions to correct and improve the maintenance status of track equipment (switches) present in the station where the derailment occurred, focusing the attention to the state of conservation of the sleepers, on the geometry of the rail (surfaces of the band of contact with the wheel) and the connecting devices between the rails (thermal expansion joints and "batten" junctions ).</t>
  </si>
  <si>
    <t>IT-1204/2</t>
  </si>
  <si>
    <t>Given that events similar to that examined have occurred in other yards of the railway network an</t>
  </si>
  <si>
    <t>Given that events similar to that examined have occurred in other yards of the railway network and that the wheel-rail interaction at low-speed appears to play a substantial role, it is recommended to the National Safety Authority (ANSF) to strengthen the measures for checking the status of track equipment maintenance (switches) present in the yards of the stations of the Italian Railway Network, focusing on the conservation status of the sleepers, the geometry of the rail (surfaces of the band of contact with the wheel) and the rail connecting devices (thermal expansion joints and "batten" junctions ).</t>
  </si>
  <si>
    <t>IT-1204/3</t>
  </si>
  <si>
    <t>It is recommended to the National Safety Authority (ANSF) to start a study with the stakeholders on</t>
  </si>
  <si>
    <t>It is recommended to the National Safety Authority (ANSF) to start a study with the stakeholders on the effects of different levels of lathe work treads of the wheels, when analyzing the behavior wheel-rail contact in attrition conditions .</t>
  </si>
  <si>
    <t>IT-1204/4</t>
  </si>
  <si>
    <t>It is recommended to the Infrastructure Manager to preserve immediately all evidence in the areas o</t>
  </si>
  <si>
    <t>It is recommended to the Infrastructure Manager to preserve immediately all evidence in the areas of infrastructure affected by accidents or incidents, detecting with suitable equipment the infrastructural details . These surveys will be performed as soon as possible, giving cognizance and evidence for the purposes of investigation with certain date and time , and also to avoid a late action to interfere with the restoration of the operation.</t>
  </si>
  <si>
    <t>IT-1193/1</t>
  </si>
  <si>
    <t>Urgent</t>
  </si>
  <si>
    <t>The IM should work, by carrying out awareness-raising activities for users that have already been identified, of which the full utility is shared, working in cooperation with the competent local authorities responsible for roads, for the implementation of an information system (including billboards or high suitable information devices, and evocative of the specific criticality at the LC km 1 +265 of the route Monza - Arcore), in order to prevent further accidents.</t>
  </si>
  <si>
    <t>IT-1193/2</t>
  </si>
  <si>
    <t>The National Safety Authority (ANSF) should work so that the Infrastructure Manager takes reasonable measures for the general improvement of the recognition and visibility of level crossings, also through changes in local viability, in agreement with the public authorities responsible for the management of the roads characterized by the presence of level crossings.</t>
  </si>
  <si>
    <t>IT-1193/3</t>
  </si>
  <si>
    <t>The Directorate General for Road Safety of the Ministry of Infrastructure and Transport should assess all appropriate action to be taken in order to propose to the Legislative Office modifications or improvements of the legal framework and/or of the regulations, so that the recognition of level crossings on the road side will be improved, increasing the effectiveness of orientation and positioning of visual signaling systems and providing the appropriate repetition of road signs from all directions of approach to the intersection, taking into account the actual conditions of the morphology of the access roads to the LC.</t>
  </si>
  <si>
    <t>IT-1193/4</t>
  </si>
  <si>
    <t>The National Safety Authority (ANSF) should work so that the Infrastructure Manager shall indicate to road users the behavior in the subsequent Recommendation No. 4, by installing appropriate and effective signs and/or billboards inside the LC, clearly visible - even from the driving seat - by a road user that is stuck inside the LC, considering the possibility to install them on the internal side of the barriers.</t>
  </si>
  <si>
    <t>REC-000165</t>
  </si>
  <si>
    <t>IT-1193/5</t>
  </si>
  <si>
    <t>Taking into account that the Legislative Decree no. 285 of 30.4.1992 "Nuovo Codice della Strada" (â€œNew Road Rulesâ€), states in Article 147 - "Behavior at level crossings" - paragraph 4 and 5: c.4 "Road users must promptly clear the level crossing. In the event of a forced stop of the vehicle, the driver should try to take it off the rails or, in the case of physical impossibility, must do everything he can to avoid any danger to persons and to make sure that drivers of rail vehicles must be warned in time of the existence of the danger"; the Directorate General for the Motorization of the Ministry of Infrastructure and Transport should assess an appropriate action in order to propose to the Legislative Office a normative statement, which aims to ensure that can be met consistent changes in the legislative framework of the â€œRoad Rulesâ€ and its implementing regulations, which tend to emphasize explicitly that the driver of the vehicle that is left among the barriers of a LC after their closure should implemented the conduct consisting of heeling and consequent breakdown of the LC barriers and that this behavior is practice that aims to ensure the condition of impending danger. Likewise, it must also be highlighted that, in the case of stationary vehicle between the closed barriers and in not marching condition, the action of manual breakdown made by the road user, in many types of railway facility, active control systems of rail traffic and therefore such action favors the arrest of oncoming trains. The Directorate General for the Motorization should then evaluate appropriate actions to be taken to ensure that the previous basic knowledge to be taught at the level of training of drivers in the framework of issuing driving licenses.</t>
  </si>
  <si>
    <t>REC-000166</t>
  </si>
  <si>
    <t>IT-1193/6</t>
  </si>
  <si>
    <t>The National Safety Authority (ANSF) should work so that the Infrastructure Manager increases the spread of the devices that make it possible to check the freedom of crossing equivalent in its effects to LCs equipped with â€œCCTVâ€ and â€œautomatic protection systemsâ€, adopting an implementation plan that considers as a priority the installation of devices at LCs identified as critical. Such a plan should also take into account the requirements of priorities set out in paragraph 4.24 of the "Railway Traffic Rules" by ANSF and of the LCs identified in Chapter 2.3 of the â€œAnalytical study on the subject of accidents at level crossingsâ€ elaborated by this NIB.</t>
  </si>
  <si>
    <t>REC-000167</t>
  </si>
  <si>
    <t>IT-1193/7</t>
  </si>
  <si>
    <t>The National Safety Authority (ANSF) should consider whether to include the generalized installation at LCs by the Infrastructure Manager of informative panels showing the identification of the LC and the phone number to contact in order to report promptly and effectively to the personnel responsible of supervision of the circulation the presence of a obstruction on the railway in correspondence of the LC.</t>
  </si>
  <si>
    <t>REC-000168</t>
  </si>
  <si>
    <t>IT-1193/8</t>
  </si>
  <si>
    <t>The Directorate General for Road Safety of the Ministry of Infrastructure and Transport should assess an appropriate action to take in order to propose to the Legislative Office modifications or improvements of the legal framework and/or the implementing regulations so that systems for the automatic detection of road traffic offenses at the level crossing can be installed, by the owners of the roads, in order to discourage inappropriate behavior of road users.</t>
  </si>
  <si>
    <t>REC-000169</t>
  </si>
  <si>
    <t>IT-1193/9</t>
  </si>
  <si>
    <t>The National Safety Authority (ANSF) should work so that the Infrastructure Manager monitors the actual closure time of LCs and adopts appropriate solutions to ensure that such time is typically contained within a maximum time value that does not cause the erroneous and / or risky behavior in road user.</t>
  </si>
  <si>
    <t>REC-000170</t>
  </si>
  <si>
    <t>IT-1193/10</t>
  </si>
  <si>
    <t>The National Safety Authority (ANSF) should consider whether to provide for the general adoption by the Infrastructure Manager of a suitable barrier morphology that is compatible with the existing plants and that can be a physical element of deterrence to the passage of pedestrians and cyclists under the turned down barriers.</t>
  </si>
  <si>
    <t>IT-1186/1</t>
  </si>
  <si>
    <t>The IM should takes action, working in cooperation with the competent local authorities responsible for the roads, in order to prevent further events, to the immediate adjustments and the eventual integration of both advance warning signals and visual and audible signaling devices placed in at the LC in the side of "Strada Manara". These devices must be located so as to be visible from the road as far away as possible, and checking the consistency of road signs of "Strada Manara" and the routes of access to it, both in relation to the prohibitions signs for heavy vehicles placed on the "Road Pontasso" and in relation to the actual circulability of heavy vehicles on the road Manara in relation to minimum requirements for registration of such vehicles in the cornering maneuver approaching the LC</t>
  </si>
  <si>
    <t>IT-1186/2</t>
  </si>
  <si>
    <t>IT-1186/3</t>
  </si>
  <si>
    <t>IT-1186/4</t>
  </si>
  <si>
    <t>IT-1186/5</t>
  </si>
  <si>
    <t>REC-000176</t>
  </si>
  <si>
    <t>IT-1186/6</t>
  </si>
  <si>
    <t>IT-1186/7</t>
  </si>
  <si>
    <t>REC-000178</t>
  </si>
  <si>
    <t>IT-1186/8</t>
  </si>
  <si>
    <t>IT-1186/9</t>
  </si>
  <si>
    <t>REC-000180</t>
  </si>
  <si>
    <t>IT-1186/10</t>
  </si>
  <si>
    <t>IT-1162/1</t>
  </si>
  <si>
    <t>expand and transform the train control system installed in Preglia</t>
  </si>
  <si>
    <t>It is recommended to RFI SpA to expand and transform the train control system installed in Preglia, providing in the route Iselle - Domodossola the installation of a hot-box detector, a blocked brakes detector, a system for verification of the wheel load, localization of fire and spillage of chemical products and verification of the gauge, as already present on the Swiss side. For a maximum guarantee of effectiveness of the intervention and to obtain consistent results on the specific Italian route - which, it should be remembered, is directed and managed by SBB -, it is highly hoped that such systems can be part of the â€œNetworking the wayside train monitoring systemsâ€ of SBB CFF FFS.</t>
  </si>
  <si>
    <t>IT-1162/2</t>
  </si>
  <si>
    <t>implement the actions required to verify the overall security of the Simplon tunnel</t>
  </si>
  <si>
    <t>It is recommended to the Italian Ministry of Infrastructures and Transports - Department for Infrastructures, and Department for Transports, Navigation and Information Technology Systems and Statistics, in cooperation with the competent Helvetic Authorities, pursuant to the existing bilateral agreements, to implement the actions required to verify the overall security of the Simplon tunnel, with particular reference to the number of cross-connections between tubes I and II of the tunnel, and install signalling such that they can be easily recognized also by train passengers, consistent with the provisions of the European Commission Decision of 20 December 2007 concerning the technical specification for interoperability relating to â€œsafety in railway tunnels in the trans-European conventional and high-speed railways" and the Decree of the Italian Ministry of Infrastructure and Transport of 28 October 2005 "Safety in Railway Tunnels".</t>
  </si>
  <si>
    <t>IT-1162/3</t>
  </si>
  <si>
    <t>verify the application of control procedures of semitrailers in the departure station of the train</t>
  </si>
  <si>
    <t>It is recommended to the National Safety Authority (ANSF), as part of its auditing activities, to verify the application of control procedures of semitrailers in the departure station of the train, to check that the tarpaulins (in the side and in the roof) are positioned correctly and that the rear doors are properly closed.</t>
  </si>
  <si>
    <t>IT-1162/4</t>
  </si>
  <si>
    <t>verify the application of quality controls</t>
  </si>
  <si>
    <t>It is recommended to the National Safety Authority (ANSF), as part of its auditing activities, to verify the application of quality controls provided by the "Conditions for the exchange of technical inspection of the wagons", Annex 9 of the Uniform Contract Application, by the Railway Undertakings operating under the Exchange Technical Visit at the station of Domodossola II.</t>
  </si>
  <si>
    <t>IT-1162/5</t>
  </si>
  <si>
    <t>evaluate the opportunity of requiring the repetition of the full origin visit in case of long stops of freight trains</t>
  </si>
  <si>
    <t>It is recommended to the National Safety Authority (ANSF) to evaluate the opportunity of requiring the repetition of the full origin visit in case of long stops of freight trains.</t>
  </si>
  <si>
    <t>IT-1160/1</t>
  </si>
  <si>
    <t>necessary training and qualifications of staff of subcontractors</t>
  </si>
  <si>
    <t>Within the Safety Management System, provide for appropriate measures to ensure that the staff of subcontractors is provided with the necessary training and qualifications required to ensure that such personnel would be able to perform all the manoeuvres necessary to ensure the safety of operation in emergency situations;</t>
  </si>
  <si>
    <t>IT-1160/2</t>
  </si>
  <si>
    <t>Carry out a study finalized to the realization of an automatic system</t>
  </si>
  <si>
    <t>Carry out a study finalized to the realization of an automatic system (eg. an "emergency button"), of which equip the contractors that work close to the railway line. In the period necessary for the construction and application of this device, provide the contractors of a mobile communication device of the RFI network, enabled only to emergency calls, in order to allow to send in block the operation in emergency situations, in times much faster than using a mobile communication apparatus</t>
  </si>
  <si>
    <t>IT-1160/3</t>
  </si>
  <si>
    <t>Set up a procedure to ensure the presence on the work sites of the safety coordinator</t>
  </si>
  <si>
    <t>Set up a procedure to ensure the presence on the work sites of the safety coordinator, for the implementation of the provisions of Article 92 of Legislative Decree 81/2008 (National legislation concerning protection of health and safety in the workplaces</t>
  </si>
  <si>
    <t>IT-1160/4</t>
  </si>
  <si>
    <t>Set up a procedure to be included in the Safety Management System, aimed at the assessment of the rolling stock just involved in incidents or accidents</t>
  </si>
  <si>
    <t>Set up a procedure to be included in the Safety Management System, aimed at the assessment of the rolling stock just involved in incidents or accidents by technical personnel with appropriate professional training provided throughout the country,. This in order to make technical evaluations that do not refer the decision of resumption of normal driving only to the driving staff which could be subject to constraints of operational nature. Until the aforementioned verification will be performed, degraded driving conditions must be imposed</t>
  </si>
  <si>
    <t>IT-1136/1</t>
  </si>
  <si>
    <t>It is recommended to the Infrastructure Manager, RFI SpA, to start an activity to verify the health of buildings insistent on the railway line where the incident happened, which possess structural characteristics and age similar to those of the bridge collapsed. The IM at the same time should take care to carry out investigations and audits on the masses of the trains there circulating, including in relation to the results of the checks carried out on the current state of the buildings. These activities may be extended to other parts of the rail network that exhibit the characteristics of construction and age similar to those of the buildings in question.</t>
  </si>
  <si>
    <t>IT-1136/2</t>
  </si>
  <si>
    <t>It is recommended to the NSA, as part of its audit activity on the IM RFI SpA and its Safety Management System, also already taken, to pay particular attention to the evaluation of the supervisory and monitoring activity to be carried by the Infrastructure Manager on the buildings and the proper, timely and effective implementation of the existing provisions.</t>
  </si>
  <si>
    <t>IT-1084/1</t>
  </si>
  <si>
    <t>The Infrastructure Manager will take care to invoke those involved in railway yards (internal staff</t>
  </si>
  <si>
    <t>The Infrastructure Manager will take care to invoke those involved in railway yards (internal staff or outsourcers) to a more careful observance of the regulations on work safety and a more effective adoption of correct procedures to match the standards of safety in the workplaces. This activity may be conducted also invoking stakeholders to the execution of the specific preventive training activity to their employees about the specific uncontrollable risks in different sites and assessment of the implementation of the necessary self briefing by the workers on the prevention measures to be adopted . It is also recommended to the Infrastructure Manager to check that specific clauses will be inserted in the contract documents, in case of outsourcing of works. It is also recommended to the Infrastructure Manager to implement an inspection activity on construction sites , both planned and casual, in order to ensure proper compliance with the rules, in order to remove, in serious cases, the subjects and/or compani</t>
  </si>
  <si>
    <t>IT-1084/2</t>
  </si>
  <si>
    <t>The National Safety Authority (ANSF) will verify that the machine object of the accident, which was</t>
  </si>
  <si>
    <t>The National Safety Authority (ANSF) will verify that the machine object of the accident, which was modified in its structure and its size as a result of the impositions of the authoritiy for safety and health at workplaces (ASL of Montalbano Jonico), needs a new technical admission, in order to prevent possible safety problems in railway operation, if it needs to travel on the railway network</t>
  </si>
  <si>
    <t>IT-1084/3</t>
  </si>
  <si>
    <t>The National Safety Authority (ANSF) must impose that the Infrastructure Manager and the Railway Und</t>
  </si>
  <si>
    <t>The National Safety Authority (ANSF) must impose that the Infrastructure Manager and the Railway Undertakings should inform the NSA if a modification to the infrastructure or to the rolling stock is imposed by any authority other than the NSA, so that the compatibility with standards, regulations and provisions for safety of railway operation can be checked.</t>
  </si>
  <si>
    <t>IT-1078/1</t>
  </si>
  <si>
    <t>Having in mind that the direct and immediate causes of the event are due to maintenance deficiencie</t>
  </si>
  <si>
    <t>Having in mind that the direct and immediate causes of the event are due to maintenance deficiencies of a switch located in the Villa San Giovanni station, which caused the derailment of the locomotive and of the first wagon of the freight train 57369, it is recommended to the Infrastructure Manager to ensure that the procedures, implemented in the â€œarea compartmentâ€ where the event occurred, give certainty of solving maintenance, when technical abnormalities or criticalities of the infrastructure are detected or reported, or even critical parts of the infrastructure.</t>
  </si>
  <si>
    <t>IT-1078/2</t>
  </si>
  <si>
    <t>It is recommended to the National safety Authority (ANSF) to verify the correctness and effectivenes</t>
  </si>
  <si>
    <t>It is recommended to the National safety Authority (ANSF) to verify the correctness and effectiveness of the procedures included in the Safety Management System RFI SpA with regard to the activities of the professionals involved in the maintenance checks, such as the operators called â€œTrunk works Chiefâ€ and the â€œSafety Installations Area Chiefâ€ .</t>
  </si>
  <si>
    <t>IT-1078/3</t>
  </si>
  <si>
    <t>When there are incidents or accidents , it is recommended to the Infrastructure Manager to immediat</t>
  </si>
  <si>
    <t>When there are incidents or accidents , it is recommended to the Infrastructure Manager to immediately identify and preserve the affected areas to allow an accurate relief through the use of appropriate means. Furthermore, these reliefs must be executed with the higest speed and care, giving cognizance and evidence time for the purposes of investigation with certain date and, and also avoid substantial effects on the reactivation of the operation.</t>
  </si>
  <si>
    <t>IT-1077/1</t>
  </si>
  <si>
    <t>Couplings maintenance needs systematic monitoring of performance</t>
  </si>
  <si>
    <t>IT-1077/2</t>
  </si>
  <si>
    <t>Maintenance checks should be performed by two different people("four-eyes principle", not spot tests</t>
  </si>
  <si>
    <t>Maintenance checks should be performed by two different people("four-eyes principle", not spot tests).</t>
  </si>
  <si>
    <t>IT-0049/1</t>
  </si>
  <si>
    <t>It is recommended to the National Safety Authority to ensure that the IM RFI sensitize their structures and their staff to comply with the provisions relating to the maintenance of the rail elements of the stations, with particular regard to cases where for the character of the interventions it is necessary the exclusion from the operations of the section subjected tomaintenance and as a consequence instructs the staff to maintenance operations to behave rigidly respectful of the maintenance management system. This one should cover operational methods actually consistent with the conditions of use of the infrastructure and of the facilities and it must clarify under which restrictive conditions can be kept in operation in relation to the various types of maintenance. This in order to have evidence and tracking of operating conditions under which it is carried out each maintenance activity.</t>
  </si>
  <si>
    <t>IT-0049/2</t>
  </si>
  <si>
    <t>It is recommended to the National Safety Authority to ensure that the IM RFI studies a intrinsically safe procedure, intended to prevent personnel for maintenance work to act without explicit consent of the operative traffic controller, with particular reference to places on the lines controlled by remote centers</t>
  </si>
  <si>
    <t>IT-0303/1</t>
  </si>
  <si>
    <t>Recommendation No.1 (Urgent)</t>
  </si>
  <si>
    <t>The NSA will invite the IM to work, working together with the competent local authorities responsible for roads, to prevent further incidental occurrences, that are put in place all necessary measures for the immediate adjustment to the current laws, both for the advance warning signals and for visual and audible signaling devices placed in correspondence of the LC, placing them so that they can be visible from all approach roads to the same LC and as far away as possible (repeating if necessary), and found also the consistency of road signs with the actual allowed circulation of heavy vehicles in road crossings the LC in question, in relation to minimum requirements for registration of such tracks cornering approach maneuvers to the crossings themselves.</t>
  </si>
  <si>
    <t>IT-0303/2</t>
  </si>
  <si>
    <t>The NSA must make sure that the IM consider how to ensure at LCs a notice period (time between turning on the red light of the light signal and the beginning of lowering the barriers) that takes into account: â€¢ situations that may affect the motion of road vehicles (eg the presence of road crossings close to the LC); â€¢ the length of vehicle allowed to move; â€¢ the actual distance between the barriers of input and output calculated along the direction of motion of road vehicles. Considering the current criteria used by the IM it is recommended to evaluate for all LCs a minimum notice period of: â€¢ 5 seconds for roads with a ban on the movement of vehicles exceeding 11 meters in length; â€¢ 7 seconds for roads without any limitation regarding the length of vehicles. It is recommended to evaluate an increase in these minimum times in specific cases (such as, for example, may be those in which the LC are in the vicinity of intersections, for which the speed of approach could be very low because of the fact that the vehicle road could start from standstill to engage the intersection facing the PL, or in cases where the LCs are customarily subject to intense traffic for which the road vehicle is forced to stop just behind the barriers and then to start from standstill): as a hypothesis, not exhaustive for the analysis, which will be made by the IM, the existing literature provides respective increases of up to 10 seconds and up to 12 seconds for the two cases described above. It is also recommended to evaluate further increases in these times in the order of 1 second every 3 m exceeding 15 m in length of crossing road or the actual distance between the barriers. In the case of LC with complete and unique barriers, to the minimum notice conceived and defined as above, it is recommended to evaluate the possibility of adding one last time franc, which is necessary to release the crossing, having the vehicle to overcome in the entire length also the second barrier in the direction of travel. It is suggested to evaluate a further 5 seconds delay for this function.</t>
  </si>
  <si>
    <t>IT-0303/3</t>
  </si>
  <si>
    <t>The NSA must take actions towards the IM so that the works aimed at the suppression of LC and already implemented, such as in the specific case of the LC of Cisternino, are in the shortest possible time put into operation with the consequent suppression of the LC as soon as administrative procedures have been completed.</t>
  </si>
  <si>
    <t>REC-000278</t>
  </si>
  <si>
    <t>IT-0302/1</t>
  </si>
  <si>
    <t>Recommendation No.1 (urgent)</t>
  </si>
  <si>
    <t>REC-000279</t>
  </si>
  <si>
    <t>IT-0302/2</t>
  </si>
  <si>
    <t>IT-0302/3</t>
  </si>
  <si>
    <t>IT-0462/1</t>
  </si>
  <si>
    <t>Recommendation No.1</t>
  </si>
  <si>
    <t>The NSA should work so that the IM provides a proper risk analysis, aimed at verifying the conditions of existence of the ownership of approved persons for the crossing of the private LCs, ordering the suppression where was found to have become ceased the encirclement of funds or a current lack of interest in crossing the railway line from private parties for the achievement of the property and, therefore, the possibility of performing agreement for the suppression of those level crossings to which the low use makes evident this opportunity.</t>
  </si>
  <si>
    <t>IT-0462/2</t>
  </si>
  <si>
    <t>The NSA must ensure that the IM takes action to check for private LCs that remain in use by the assessments and any subsequent actions resulting from the analysis referred to in Recommendation No. 1, the level of risk of their use in accordance with the parameters of visibility and the maximum authorized speed on the section of railway line concerned. Following this analysis, the IM shall take one of the following appropriate measures to reduce the level of risk: â€¢ adoption of protection devices similar to those used for public LCs; â€¢ adoption of protection devices at least equivalent to those of public LCs in terms of type of signaling on the road side, if it is satisfied that the level of risk is comparable to the systems referred to in the previous point; and yet, without the use of protective devices, but alternatively to the preceding points: â€¢ definition of specifications for each LC related to the distance of clear visibility and the speed of the train, to define the minimum time required for the passage and the liberation of the railway, as well as methods and ways to implement them in total safety. These specifications, whose proper analysis and definition falls within the responsibility of the IM, will have to find clear indication in the conventional relationship between IM and owner of the ground served. The agreement must clearly state that the obligation to fulfill the transit in accordance with the conditions laid down in the Convention lies with the owner of the ground or the person delegated by the owner and that this requirement can not be fulfilled by others not mentioned in the agreement itself. This possibility can be implemented only if it submits a level of risk that is not higher than what would be achieved by adopting protective devices discussed in the preceding points. Whatever will be the action taken, also different for each crossing, must always be such as to substantially bring down the level of danger in any climate and lighting conditions.</t>
  </si>
  <si>
    <t>REC-000347</t>
  </si>
  <si>
    <t>IT-0698/1</t>
  </si>
  <si>
    <t>It is necessary to apply explanatory signs on how to open the doors, in both regular operating conditions and in emergency conditions. In case of opening of doors in emergency, signs currently applied does not make explicit in a clear and comprehensive way that, once turned the emergency handle, it is necessary to activate the mechanical release controlled by the lever at the bottom on the door. This recommendation also comes from the variety of opening /closing control systems on coaches that appear of the same type to a traveler.</t>
  </si>
  <si>
    <t>REC-000348</t>
  </si>
  <si>
    <t>IT-0698/2</t>
  </si>
  <si>
    <t>It seems necessary to evaluate the efficiency of training and maintenance of skills of the staff on board. In particular, not being present on the trains the recording of sound advertisements, it is believed that, in the transitional phase, to consider possibility of targeted inspections could be helpful.</t>
  </si>
  <si>
    <t>REC-000349</t>
  </si>
  <si>
    <t>IT-0698/3</t>
  </si>
  <si>
    <t>As far as possible, it seems necessary to improve the maintenance procedures of the passenger doors of the coaches type Z1, taking into account that: a. the pneumatic system currently installed has a complex and difficult maintenance; b. the rubber components on the doors, such as the external door seals, are often damaged or not present due to the sliding of moving parts with the fixed ones; c. the conditions of some components, such as the return springs, can only be verified at the time of maintenance operations that require the disassembly of the entire door. Alternatively to the previous points, must be evaluated the possibility of replacement of the upper pneumatic operator actuator with others, for example electrically operated, which are of greater reliability and easier maintenance.</t>
  </si>
  <si>
    <t>REC-000350</t>
  </si>
  <si>
    <t>IT-0698/4</t>
  </si>
  <si>
    <t>It must be modified the application of the seal system to the "bypass" tap that, in the present configuration, is manipulable.</t>
  </si>
  <si>
    <t>REC-000351</t>
  </si>
  <si>
    <t>IT-0698/5</t>
  </si>
  <si>
    <t>Though numerous regulations (DEIF 4.4 - ISPAT - PGOS), an easily usable procedure which would make sure to check the presence of the seal on the emergency handle when the coaches leave the parking area or the depot must be exemplified. Where it already existis, it must be implemented point by point.</t>
  </si>
  <si>
    <t>IT-2188/1</t>
  </si>
  <si>
    <t>No. 1</t>
  </si>
  <si>
    <t>It is recommended to the National Safety Authority to ensure that the railway company Trenitalia SpA analyzes and evaluates the possibility of introducing amendments to the Maintenance Plans, providing, if necessary, carrying out all the necessary checks to ensure the integrity and state of wear of the joints compensating the exhaust pipe of the hot gas turbine locomotive D445, and, in general, carrying out specific checks on all components for which there are only disassembly and reassembly works in the periodic review.</t>
  </si>
  <si>
    <t>IT-2188/2</t>
  </si>
  <si>
    <t>No. 2</t>
  </si>
  <si>
    <t>It is recommended to the National Safety Authority to ensure that the railway company Trenitalia SpA analyzes and evaluates the possibility of introducing technical changes for components subject to both specific and heavy thermal cycles involving stress if from checks indicated in the recommendation No.1 arises that for these components can not be guaranteed the necessary margins of operational safety</t>
  </si>
  <si>
    <t>IT-2188/3</t>
  </si>
  <si>
    <t>No. 3</t>
  </si>
  <si>
    <t>It is recommended to the National Safety Authority to ensure that the railway undertakings that possess the type D445 locomotives in its fleet of rolling stock, in the shortest possible time, the making of a generalized campaign of thorough inspection of all joints compensators of this type of locomotives , operating both with visual and instrumental controls and even with "non-destructive" checks.</t>
  </si>
  <si>
    <t>IT-2188/4</t>
  </si>
  <si>
    <t>No. 4</t>
  </si>
  <si>
    <t>It is recommended to the National Safety Authority to ensure that the Railway Undertakings that have in their fleet of rolling stock locomotives type D445 evaluate the possibility of modifying the type of sprinkler system, transforming it into "automatic" dual-threshold intervention of the probes (1st threshold optical acoustic alarm, 2nd threshold activation of the automatic extinguishing dispensing), in analogy to systems installed on other types of rolling stock.</t>
  </si>
  <si>
    <t>IT-2417/1</t>
  </si>
  <si>
    <t>n. 1</t>
  </si>
  <si>
    <t>It is recommended to the National Safety Authority (ANSF) to ensure that the keepers of the wagons type Laaers 152 increase the frequency of checks of the running gear provided by maintenance plans, with particular attention to the complex axle bearing- journal, and to assess their effectiveness, in order to make the circulation of the same wagons compatible with the safety of operation.</t>
  </si>
  <si>
    <t>IT-2417/2</t>
  </si>
  <si>
    <t>n. 2</t>
  </si>
  <si>
    <t>It is recommended to the NSA (ANSF) to request to the keepers to carry out checks on the whole axle bearing - journal (and possibly on other critical components for the safety of rail traffic), whenever the rolling stock is remitted in circulation after a long stop, particularly if preventative measures have not been already taken to mitigate the risks arising from a prolonged stop.</t>
  </si>
  <si>
    <t>IT-2417/3</t>
  </si>
  <si>
    <t>n.3</t>
  </si>
  <si>
    <t>It is recommended to the NSA (ANSF) to ensure that are put in place effective actions to avoid underestimation of warnings from interfaces of the thermical check systems for axle bearings. Information on anomalies of thermal state of the bearings must be sent to stakeholders (keepers and railway undertakings) to enable a predictive analysis on the state of efficiency of rolling stock.</t>
  </si>
  <si>
    <t>IT-2417/4</t>
  </si>
  <si>
    <t>n. 4</t>
  </si>
  <si>
    <t>It is recommended to the NSA (ANSF) to verify that the information relating to systems for the temperature check of axle bearings and notices of abnormalities are made visible so easy for operators of control centers, in order to increase the effectiveness of information already provided by the equipment.</t>
  </si>
  <si>
    <t>IT-2427/1</t>
  </si>
  <si>
    <t>It is recommended to the National Safety Agency to raise awareness to the Railway Companies ensuring that a verification of the operational arrangements relating to the operation of coupling / uncoupling cars, and is valued the opportunity to integrate the modalities of stationing cars through a precise sequence of activities, including, for example: â€¢ the car concerned must first be stably immobilized, perhaps even using the parking brake, ensuring that the "brakes indicators", if any, the color is red; â€¢ before beginning the decoupling maneuver, the appointee must have available on site, as required, a sufficient number of movable scotch blocks to place, as soon as possible, according to current standards, and in any case immediately after disconnecting the electro-pneumatic pipes and having immobilized the vehicle concerned; â€¢ during the maneuver movable scotch blocks will be placed, however, before the maneuvering locomotive is commanded to get away after the decoupling.</t>
  </si>
  <si>
    <t>IT-2431/1</t>
  </si>
  <si>
    <t>It is recommended to the National Safety Authority to raise the RU Trenord for control of instructive and informative activities to the drivers the content of the provisions enacted in order to verify their effectiveness. It is also recommended to the NSA to determine whether the same RU, in its Safety Management System, provides for the drivers the execution of a first verification of the correct understanding of the rules, following the release of an update or new issuance and, thereof, a second verification aimed at maintaining the relative skills related to it.</t>
  </si>
  <si>
    <t>IT-2903/1</t>
  </si>
  <si>
    <t>It is recommended to the NSA to strive so that the RU introduces additions or changes to maintenance plans for the operations to be performed on static converters ARSA, providing: a. visual inspections more accurate and better specified; b. checks and instrumental testing, such as the measurement of the capacitance value of the capacitors, the measure of the resistors in precharge and discharge, c. the execution of these checks to tighter deadlines</t>
  </si>
  <si>
    <t>IT-2903/2</t>
  </si>
  <si>
    <t>It is recommended to the NSA to strive so that the RU makes a rapid campaign of careful checks (visual and instrumental) on the capacitors of all locomotives of its fleet of rolling stock belonging to the second series of electric locomotives E656 and E655, equipped with static converter ARSA 120 kVA</t>
  </si>
  <si>
    <t>IT-2903/3</t>
  </si>
  <si>
    <t>n. 3</t>
  </si>
  <si>
    <t>It is recommended to the NSA to strive so that the RU assesses whether to equip with automatic sprinkler systems all locomotives E655</t>
  </si>
  <si>
    <t>IT-2903/4</t>
  </si>
  <si>
    <t>It is recommended to the NSA to strive so that the RU assesses whether to integrating the instrumentation of the driving benches of all locomotives E655, providing the presence of reports relating to conditions of short circuit of electrical components in the cabin HT, in order to avoid undue reclosing of the rapid switch in the presence of equipment in short circuit</t>
  </si>
  <si>
    <t>IT-2903/5</t>
  </si>
  <si>
    <t>n. 5</t>
  </si>
  <si>
    <t>It is recommended to the NSA to suggest to the IM a reflection on the effectiveness and the possibility of actions for improvement of the coordination of emergency assistance in situations related to accidents, particularly with regard to procedures and communications between staff of RU, of IM and every person responsible for technical rescue activities, health and civil protection. This is also the purpose of the identification of the points of these events as precise as possible and topographically defined and for the achievement of the places by rescue from road side.</t>
  </si>
  <si>
    <t>IT-2903/6</t>
  </si>
  <si>
    <t>n. 6</t>
  </si>
  <si>
    <t>It is recommended to the NSA to strive so that every RU provides for the transport of dangerous goods the use of locomotives equipped with automatic sprinkler systems</t>
  </si>
  <si>
    <t>IT-2903/7</t>
  </si>
  <si>
    <t>n. 7</t>
  </si>
  <si>
    <t>It is recommended to the NSA to notify to the IM the need to verify the procedures, in order to achieve a timely and controlled detachment of the power line and the immediate grounding, in the presence of an alert of the development of a fire to the rolling stock that is given and confirmed by the driver. In addition, must be considered the need to reduce substantially the time required for the placement of the grounding equipment, also through an assessment of the IM on the possibility of implementing a delegation to external parties (eg. RUs, firefighters, etc. .), without having to wait for the arrival on site of the staff of the IM. This is to prevent a similar event, that if not promptly controlled, can generate a serious accident, both in case of transport of dangerous goods and in the case of passenger transport.</t>
  </si>
  <si>
    <t>IT-3170/1</t>
  </si>
  <si>
    <t>The NSA (ANSF) must take actions so that the Infrastructure Manager, in order to improve safety in the use of emergency keys ("TIPL"), introduces a interlock logic between the actual reopening of the barriers of LC and the verification of electrical conditions of empty route, also using, where possible, connections and circuits already existing between the neighboring stations.</t>
  </si>
  <si>
    <t>IT-3170/2</t>
  </si>
  <si>
    <t>n.2</t>
  </si>
  <si>
    <t>The NSA (ANSF) must take actions so that at regulatory level in the event of a serious accident or involving the intervention of the prosecution service or of the NIB, in the period immediately after the accident, the retention of data of all recording devices in trafficking / incident locations and routes and in neighboring stations is maximally protected.</t>
  </si>
  <si>
    <t>IT-3170/3</t>
  </si>
  <si>
    <t>The NSA (ANSF) must work to ensure that the Infrastructure Manager constraints more effectively and in a traceable way the access to safety equipment for maintenance, to authorization by the regulator of the circulation, which will be required to adopt - in cooperation with the maintainer - appropriate safety measures. The ANSF must activate with the IM a general reflection on the topic.</t>
  </si>
  <si>
    <t>IT-3171/1</t>
  </si>
  <si>
    <t>n.1</t>
  </si>
  <si>
    <t>It is recommended to the NSA (ANSF) to strive so that the IM (RFI SpA) continues the analysis to check - also based on an update of the series of weather events of particular intensity - the effective compliance of the classification of singular points to real data. in the points identified as at risk, it will be recommended to the IM to take appropriate preventive measures, commensurate with the risk conditions themselves.</t>
  </si>
  <si>
    <t>IT-3171/2</t>
  </si>
  <si>
    <t>It is recommended to the NSA (ANSF) to consider the possibility of activating a process of coordination of the medium-term, aimed at involving institutions responsible for land management, aimed at the coordinated management of hydrogeological safety issues, for its implications on the safety of infrastructures and transport.</t>
  </si>
  <si>
    <t>IT-3171/3</t>
  </si>
  <si>
    <t>It is recommended to the NSA (ANSF) to strive so that RUs predispose improvements in driving safety of rolling stock and habitability conditions</t>
  </si>
  <si>
    <t>IT-3172/1</t>
  </si>
  <si>
    <t>It is recommended to the NSA to ensure that the RU puts in place a better activity in education and training of the maneuver staff, with regard to the content of the provisions enacted, both in general and in the specifications of the system. In particular, it is recommended to set up a system which provides for the maneuver staff an initial verification of correct understanding of the regulations (following the release of an update or new issuance ), and subsequent checks, aimed at maintaining skills related to it, to be carried out both at regular intervals and if it is found to be non-compliance with procedures.</t>
  </si>
  <si>
    <t>IT-3172/2</t>
  </si>
  <si>
    <t>It is recommended to the NSA to strive so that the RU considers the need to make changes to DEIF n ° 02/24 of 03/28/2013, in particular in paragraph 5, in order to better highlight the consistency of DEIF with paragraph 19.19 of the RCF and with the provision ANSF n °. 002010/2014 of 03.18.2014, in order to clarify the scope of mandatory execution of the movements of maneuver with the ATP system inserted or, alternatively, with the double agent.</t>
  </si>
  <si>
    <t>IT-3172/3</t>
  </si>
  <si>
    <t>It is recommended to the NSA to strive so that the RU considers the need to make changes to DEIF n ° 24.2 of 28.3.2013, pointing out that with regard to the movements of RS from the stations to the marshalling yards and vice versa, these must be made with the ATP active or, alternatively, with the double agent.</t>
  </si>
  <si>
    <t>IT-3172/4</t>
  </si>
  <si>
    <t>It is recommended to the NSA to strive so that the IM in the realization of interventions involving the partial interruption of a dead-end rail, takes care to minimize the duration of the use of temporary installations for the delimitation of the rail opened to operation, taking care to establish, already during the preparation of the working program , timing and methods of installation of the buffers.</t>
  </si>
  <si>
    <t>IT-3198/1</t>
  </si>
  <si>
    <t>It is recommended to the NSA (ANSF) to strive so that the IM continues the analysis to test (also based on an update of the series of weather events of particular intensity) effective correspondence of the classification of singular points to real data. At the risky points identified, the IM will be advised to take appropriate preventive measures, commensurate with the risk conditions.</t>
  </si>
  <si>
    <t>IT-3491/1</t>
  </si>
  <si>
    <t>It is recommended to the NSA to ensure that the IM assesses to replace the half barriers level crossing with one with complete barriers (eg. with double barriers), in consideration of the intense road traffic of heavy and light vehicles that affects the level crossing.</t>
  </si>
  <si>
    <t>IT-3518/1</t>
  </si>
  <si>
    <t>It is recommended to the National Safety Authority to strive so that the RU Trenitalia SpA assess a convenient timing for the adoption of a design change for the carriage doors of the low floor bellows type. This change, while allowing the opening of the door in an emergency, should not allow, when implemented the closure from the driver, the reopening if not with an action taken by staff.</t>
  </si>
  <si>
    <t>IT-3518/2</t>
  </si>
  <si>
    <t>It is recommended to the National Safety Authority to strive so that the RU Trenitalia SpA checks that it is correctly implemented the check list at the time of reactivation of safety systems following a maintenance of the second level, so that to check the correct wiring of the DIS (Driver Information System)</t>
  </si>
  <si>
    <t>IT-3518/3</t>
  </si>
  <si>
    <t>It is recommended to the National Safety Authority to strive so that the RU Trenitalia SpA introduces a special procedure that, as a result of repeated identical alerts entered on the "book with the request of the repairs" leads the Railway Undertaking to put the issue to the check of technicians of higher level than those present on the marshalling yards</t>
  </si>
  <si>
    <t>IT-3898/1</t>
  </si>
  <si>
    <t>Given that the technical standards of IM and RUs are often dated, the NSA (ANSF) must promote towards stakeholders the updating of technical standards / operational requirement, with particular attention to the uniqueness of the terms used in them, the simplicity of reading and consistency, in a general perspective of simplification and recasting of existing rules.</t>
  </si>
  <si>
    <t>IT-3898/2</t>
  </si>
  <si>
    <t>The NSA (ANSF) should work towards the IM and the RUs to ensure that all communications between the driving personnel and the shunting personnel - regardless of the type of communication device used - are recorded.</t>
  </si>
  <si>
    <t>IT-4712/1</t>
  </si>
  <si>
    <t>It is recommended to the NSA(ANSF) to ensure that the RUs put in place a better education and training to the maneuver staff, regarding the content of the provisions enacted, both general and specific for the facility. In particular, it is recommended to set up a system which provides for the maneuver staff performing an initial verification of correct understanding of the regulations (following release of an update or new emission of regulations), and subsequent verification targeted at maintaining the relevant skills related to it, to be carried out both at regular intervals and when it is detected failure to comply with regulations.</t>
  </si>
  <si>
    <t>IT-4712/2</t>
  </si>
  <si>
    <t>It is recommended to the NSA (ANSF) to ensure that the RUs provide to identify and define in detail the implementation modalities of the correct and effective parking of vehicles parked on the tracks, also with specific provisions, including devices required for this purpose, taking into account the characteristics of the line and the vehicles, the expected duration of the stop and all other actual operating conditions, according to what is stated in paragraph 20 of the RCF issued by Decree No. 4/2012 of 09/08/2012 ANSF, in order to avoid undue movement of vehicles without staff onboard.</t>
  </si>
  <si>
    <t>IT-4746/1</t>
  </si>
  <si>
    <t>Si raccomanda al Ministero delle Infrastrutture e dei Trasporti (MIT) e, in particolare, alla Direzione Generale per i Sistemi di Trasporto ad Impianti Fissi e il Trasporto Pubblico Locale ed alla Direzione Generale per il Trasporto e le Infrastrutture Ferroviarie di adoperarsi per rafforzare le attività di controllo e di repressione delle violazioni riguardanti sia lâ€™accesso non autorizzato alla proprietà ferroviaria sia lâ€™attraversamento dei binari e dei passaggi a livello regolarmente chiusi, rendendo lâ€™effetto sanzionatorio maggiormente efficace in modo da costituire un deterrente ai comportamenti imprudenti degli utenti ferroviari. In particolare si raccomanda di adoperarsi, nellâ€™ambito di una più ampia e necessaria rivisitazione del Decreto del Presidente della Repubblica n. 753 dellâ€™11/07/1980: a) per estendere al maggior numero di operatori la facoltà di comminare le sanzioni; b) per elevare lâ€™ammontare delle sanzioni amministrative, commisurandolo alla gravità della violazione.</t>
  </si>
  <si>
    <t>IT-4746/2</t>
  </si>
  <si>
    <t>It is recommended to the Ministry of Infrastructure and Transport (MIT) and, in particular, to the General Direction of Fixed Installations Transport Systems and Public Local Transport and to the General Direction of Transport and Railway Infrastructure to work towards reinforcing the control and repression activities of violations for unauthorized access to railway property and the crossing of both the tracks and the level crossings regularly closed, making the sanctioning effect more efficient to constitute a deterrent to reckless behaviour of rail users. It is in particular recommended to work in this direction as part of a larger and necessary review of presidential decree of the Republic n. 753 dellâ€™11/07/1980: a) to extend as much as possible the number of operators to impose sanctions; b) to increase the number of administrative penalties, based on the seriousness of violations.</t>
  </si>
  <si>
    <t>IT-4746/3</t>
  </si>
  <si>
    <t>Si raccomanda allâ€™Agenzia Nazionale per la Sicurezza delle Ferrovie e alla Direzione Generale per i Sistemi di Trasporto ad Impianti Fissi e il Trasporto Pubblico Locale del MIT di adoperarsi affinché nelle attività di educazione alla sicurezza individuale nel sistema dei trasporti ferroviari, previste per ridurre il rischio degli investimenti di persone: a) siano coinvolte tutte le tipologie di utenza (diversificate per età, nazionalità, genere, ruolo, condizione sociale, etc.); b) siano coinvolti - nellâ€™ambito di un più ampio intervento di regolazione informativa - soggetti istituzionali e non, in modo da realizzare sinergie su tematiche di sicurezza comuni alle diverse modalità di trasporto; c) sia data maggior rilevanza alla tematica, peraltro trasversale tra le differenti modalità di trasporto, della perdita di percezione del rischio a seguito di un utilizzo improprio di telefoni cellulari e apparecchiature elettroniche, con particolare riferimento al loro uso con cuffie o auricolari; d) siano applicati i principi derivanti delle scienze comportamentali, in particolare per quanto riguarda lâ€™influenza di alcuni fattori (culturali, ambientali, religiosi, anagrafici, di nazionalità, etc.) sulla corretta percezione del rischio e sui conseguenti comportamenti degli utenti ferroviari.</t>
  </si>
  <si>
    <t>IT-4746/4</t>
  </si>
  <si>
    <t>It is recommended to the National Agency for Railway Safety and to the General Direction of Fixed Installations Transport Systems and Public Local Transport of the MIT to work towards activities about individual safety education in the railway transport systems, aimed to reduce le risk of investments in persons who: a) are involved in all the typologies of users (diversified by age, nationality, gender, role, social status, etc.); b) are involved â€“ in the context of a larger intervention of regulation â€“ institutional subjects and not, to be able to realize the synergy on safety thematics common to diverse modes of transport; c) have greater relevance to the topic, however, across the different modes of transport, following the perception of risk loss of improper use of mobile phones and electronic equipment, with particular reference to their use with headphones or earphones; d) ensure compliance with the principles deriving from behavioral sciences, particularly as regards the influence of some factors (cultural, environmental, religious, personal, nationality, etc.) on the correct perception of the risk and consequent behavior of railway users.</t>
  </si>
  <si>
    <t>IT-4746/5</t>
  </si>
  <si>
    <t>Si raccomanda allâ€™Agenzia Nazionale per la Sicurezza delle Ferrovie e alla Direzione Generale per i Sistemi di Trasporto ad Impianti Fissi e il Trasporto Pubblico Locale del MIT di adoperarsi affinché i Proprietari e i Gestori delle Infrastrutture Ferroviarie: a) effettuino preliminarmente lâ€™analisi e la valutazione delle criticità presenti nelle aree di stazione e loro pertinenze e nel sedime ferroviario in generale, al fine di realizzare una mappatura delle zone ad elevata probabilità di investimento di persone (anche misurata sulla base dei dati storici relativi alla frequenza di indebita presenza di persone sulla sede ferroviaria); b) prevedano, nelle zone ad elevata probabilità di investimento di persone, lâ€™adozione di idonee misure di sicurezza preventive, valutando lâ€™opportunità di: b.1) dotare le stazioni, ove non ancora installate, di telecamere di videosorveglianza, come strumento di prevenzione, controllo e vigilanza; b.2) intervenire per rendere di difficile valicabilità i punti di accesso non autorizzato alla sede ferroviaria, ad esempio: - ampliando o modificando le recinzioni e i parapetti posizionati in ambito stazione a protezione e impedimento dellâ€™accesso alle aree ferroviarie; - installando pannelli a terra del tipo antisconfinamento, nei casi in cui gli stessi non interferiscano con la sicurezza degli addetti degli operatori ferroviari; b.3) eliminare o rendere non fruibili alle persone non autorizzate i manufatti e gli edifici in disuso (compresi quelli realizzati abusivamente) presenti nelle aree ferroviarie; b.4) ubicare, nelle stazioni dotate di sovra/sottopassi, gli attraversamenti a raso - ove non siano eliminabili - a grande distanza dagli accessi alle banchine. c) avviino una sperimentazione - laddove ciò sia tecnicamente possibile, non comporti riduzione della sicurezza per gli operatori e del regime di esercizio e sia significativa sulla base delle criticità rilevate - per: c.1) inserire delle strisce luminose o luci (eventualmente unite ad un avvisatore acustico) in corrispondenza della linea gialla di banchina che si attivino preavvisando lâ€™arrivo del treno sui binari prospicienti, anche tenendo conto di quanto già realizzato da alcuni Gestori dellâ€™Infrastruttura di altri Stati in ambito UE; c.2) rendere impraticabile lâ€™attraversamento dei binari, sia singoli che in affiancamento, mediante barriere fisiche sia verticali che a terra (tipo pannelli antisconfinamento); d) coinvolgano, al fine di fornire un valido supporto alle attività di controllo e sorveglianza delle aree ferroviarie svolte dai Gestori dellâ€™Infrastruttura e dalla Polfer, altri soggetti competenti - a livello istituzionale e non - nelle attività di assistenza alle persone che utilizzano le aree ferroviarie come ricovero diurno o notturno;</t>
  </si>
  <si>
    <t>IT-4746/6</t>
  </si>
  <si>
    <t>It is recommended to the National Agency for Railway Safety and to the General Direction of Fixed Installations Transport Systems and Public Local Transport of the MIT to work aim the following, so that the owners d and the Managers of Railway Infrastructure: a) to carry out preliminarily the analysis and the evaluation of critical issues at the station premises and their area, and in the railway premises in general, in order to create a mapping of areas with a high probability of investment of people (also measured on the basis of historical data relating to frequency of undue presence of persons on the railway headquarters); b) to plan, in zones with a high probability of investment of people, the adoption of suitable preventive security measures, considering: b.1) to equip the stations with video surveillance cameras, where not yet installed, as a tool for prevention, control and surveillance; b.2) to intervene at difficult crossing points of unauthorized access to the railway, for example: - to expand or modify the fences and rails positioned in the area to protect the station and preventing access by railway areas; - to install panels on the ground of anti-overrunning type, in cases where the same do not interfere with the safety of workers of the railway operators; b.3) to remove or to make inaccessible to unauthorized persons artefacts and disused buildings (including those made illegally) present in railway areas; b.4) to locate, the stations fitted with over / underpasses, crossings at grade are - if not eliminated - well ahead of the entrances to the docks. c) to try - where this is technically possible, not to reduce safety for the operators, and when a critical situation comes up- to: c.1) to enter the bright stripes or lights (possibly combined with a horn) at the yellow line of the station premises is forewarning the arrival of the train on the rails facing, even taking into account what has been achieved by some infrastructure managers from other Member within the EU; c.2) to use both vertical and physical barriers to the ground; d) to involve, in order to provide valuable support to the control and surveillance activities carried out by railway infrastructure managers and railway police, other relevant actors - at the institutional level and not - in the provision of assistance to people using the railway areas as day or night shelter;</t>
  </si>
  <si>
    <t>IT-4746/7</t>
  </si>
  <si>
    <t>Recommendation n. 4</t>
  </si>
  <si>
    <t>Si raccomanda allâ€™Agenzia Nazionale per la Sicurezza delle Ferrovie e alla Direzione Generale per i Sistemi di Trasporto ad Impianti Fissi e il Trasporto Pubblico Locale del MIT di coinvolgere altri soggetti competenti - a livello istituzionale e non - nelle attività di controllo e monitoraggio degli insediamenti (complessi residenziali/commerciali, centri sportivi/ricreativi, Centri Accoglienza Richiedenti Asilo, Campi Nomadi, etc.) che, essendo in prossimità della rete ferroviaria, risultano essere potenzialmente a rischio investimento di persone, come peraltro già avvenuto, a causa di indebita introduzione di estranei nella sede ferroviaria e/o di attraversamento dei binari.</t>
  </si>
  <si>
    <t>IT-4746/8</t>
  </si>
  <si>
    <t>It is recommended to the National Agency for Railway Safety and to the General Direction of Fixed Installations Transport Systems and Public Local Transport of the MIT to involve other relevant actors - at the institutional or not level - in the control and monitoring of settlements (residential / commercial complexes, leisure / sports centers, reception centers Asylum Seekers, Nomads camps, etc.) which, being close to the railway network , appear to be potentially at risk investment of people, as has already happened, because of undue introduction of debris into the seat rail and / or crossing the tracks.</t>
  </si>
  <si>
    <t>IT-4746/9</t>
  </si>
  <si>
    <t>Recommendation n. 5</t>
  </si>
  <si>
    <t>Si raccomanda allâ€™Agenzia Nazionale per la Sicurezza delle Ferrovie di adoperarsi affinché il Gestore dellâ€™Infrastruttura R.F.I. S.p.A., tenuto conto dellâ€™elevato numero di pericolati incidenti e di investimenti di persone avvenuti nel periodo dal 01.01.2014 al 31.03.2015 sia nella stazione di Torre del Lago che nella tratta ferroviaria ricompresa tra la stazione medesima e Pisa, si attivi con specifici interventi, anche infrastrutturali, per impedire alle persone non autorizzate sia lâ€™accesso alla tratta ferroviaria che collega Torre del Lago a Pisa sia lâ€™attraversamento dei binari in ambito della Stazione di Torre del Lago.</t>
  </si>
  <si>
    <t>IT-4746/10</t>
  </si>
  <si>
    <t>It is recommended to the National Agency for Railway Safety to ensure that the Railways Infrastructure Manager R.F.I. SpA, given the high number of dangerous accidents and investment of people that occurred in the period from 1.1.2014 to 03.31.2015 is in Torre del Lago station on the rail track to Pisa, to take action with specific interventions, including infrastructural ones, to prevent any unauthorized person to have access to the railway line that connects Torre del Lago to Pisa.</t>
  </si>
  <si>
    <t>REC-000397</t>
  </si>
  <si>
    <t>IT-4746/11</t>
  </si>
  <si>
    <t>Recommendation n. 6</t>
  </si>
  <si>
    <t>Si raccomanda allâ€™Agenzia Nazionale per la Sicurezza delle Ferrovie e alla Direzione Generale per i Sistemi di Trasporto ad Impianti Fissi e il Trasporto Pubblico Locale del MIT di adoperarsi affinché i Proprietari ed i Gestori delle Infrastrutture Ferroviarie: a) effettuino preliminarmente lâ€™analisi e la valutazione delle criticità presenti in ambito Passaggi a Livello, al fine di realizzare una mappatura di quelli risultanti essere a elevata probabilità di investimento di persone (anche misurata sulla base dei dati storici relativi alla frequenza di indebita presenza di persone sulla sede ferroviaria); b) prevedano, nei Passaggi a Livello risultanti essere a elevata probabilità di investimento di persone, lâ€™adozione di idonee misure di sicurezza preventive per incidere sulla frequenza dellâ€™evento pericoloso, riducendone quindi la probabilità di accadimento; c) prevedano, nellâ€™ambito della individuazione delle misure di sicurezza preventive di cui al punto precedente: c.1) la modifica dei Passaggi a Livello con barriere complete dotando le stesse di idonei dispositivi atti ad impedire il passaggio dei pedoni sotto le aste quando abbassate ed eliminando eventuali varchi laterali; c.2) interventi per rendere impraticabile lâ€™accesso diretto dai Passaggi a Livello ad altre aree ferroviarie, ampliando o modificando le recinzioni e i parapetti esistenti oppure installando pannelli a terra del tipo antisconfinamento;</t>
  </si>
  <si>
    <t>IT-4746/12</t>
  </si>
  <si>
    <t>It is recommended to the National Agency for Railway Safety and to the General Direction of Fixed Installations Transport Systems and Public Local Transport of the MIT to ensure that Owners and Managers of Railway Infrastructure: a) to carry out preliminarily the analysis and evaluation of critical situations at level crossings, in order to prepare a mapping of those resulting to be high probability of investment of people (also measured on the basis of historical data relating to the frequency of undue presence of persons on the railway headquarters); b) to provide, at level crossings resulting in high probability investment of people, adopting suitable preventive security measures to affect the hazardous event frequency, thus reducing the probability of occurrence; c) to provide, as part of the identification of preventative security measures referred to in the previous paragraph: c.1) the change of level crossings with barriers complete equipping themselves with suitable devices to prevent the passage of pedestrians in the auctions when lowering and eliminating any lateral openings; c.2) the interventions to prevent the direct access from level crossings to other railway areas, expanding or modifying existing fences and railings or by installing panels;</t>
  </si>
  <si>
    <t>REC-000398</t>
  </si>
  <si>
    <t>IT-4746/13</t>
  </si>
  <si>
    <t>Recommendation n. 7</t>
  </si>
  <si>
    <t>Si raccomanda allâ€™Agenzia Nazionale per la Sicurezza delle Ferrovie di adoperarsi affinché il Gestore dellâ€™Infrastruttura Ferroviaria italiana R.F.I. S.p.A., tenuto conto degli incidenti e dei pericolati incidenti causati dalla presenza di estranei sulla sede ferroviaria in prossimità dei Passaggi a Livello in ambito del Comune di Montecatini Terme, si attivi per realizzare: a) la modifica dei Passaggi a Livello esistenti dotando le barriere mobili di idonei dispositivi atti ad impedire il passaggio dei pedoni sotto le aste quando abbassate ed eliminando eventuali varchi laterali; b) interventi per rendere impraticabile lâ€™accesso diretto dai Passaggi a Livello non di stazione ad altre aree ferroviarie, ampliando o modificando le barriere e i parapetti esistenti oppure installando pannelli a terra del tipo antisconfinamento.</t>
  </si>
  <si>
    <t>IT-4746/14</t>
  </si>
  <si>
    <t>It is recommended to the National Agency for Railway Safety to ensure that the Italian Rail Infrastructure Manager R.F.I. S.p.A., taking account the incidents and dangerous accidents caused by the presence of strangers on the seat near the railway level crossings in the area of the Municipality of Montecatini Terme, to proceed to: a) the modification of the existing level crossings equipping mobile barriers of suitable devices to prevent the passage of pedestrians when lowering and eliminating any lateral openings; b) the interventions to prevent the direct access at non-level crossings of the station to other railway areas, expanding or modifying existing barriers and parapets or by installing panels.</t>
  </si>
  <si>
    <t>IT-4746/15</t>
  </si>
  <si>
    <t>Recommendation n. 8</t>
  </si>
  <si>
    <t>Si raccomanda allâ€™Agenzia Nazionale per la Sicurezza delle Ferrovie e alla Direzione Generale per i Sistemi di Trasporto ad Impianti Fissi e il Trasporto Pubblico Locale del MIT di adoperarsi affinché i Proprietari dellâ€™Infrastruttura ferroviaria, i Gestori e le Imprese Ferroviarie si coordinino per: a) effettuare preliminarmente lâ€™analisi e la valutazione delle criticità relative ai possibili fenomeni di sovraffollamento delle banchine nelle stazioni ferroviarie, al fine di realizzare una mappatura di quelle risultanti essere potenzialmente a rischio per la sicurezza dei viaggiatori; b) affrontare con le Amministrazioni Locali la problematica del sovraffollamento delle banchine valutando, tra lâ€™altro, la possibilità di regolamentare - in determinati periodi, giorni e ore dellâ€™anno - lâ€™affluenza nelle stazioni e gli accessi diretti in banchina; c) valutare la possibilità - qualora non riescano a garantire un adeguato livello di sicurezza in una specifica stazione ferroviaria e in analogia a quanto avviene per le stazioni delle metropolitane - di sopprimere la fermata nelle situazioni di sovraffollamento di cui al precedente punto b.</t>
  </si>
  <si>
    <t>IT-4746/16</t>
  </si>
  <si>
    <t>It is recommended to the National Agency for Railway Safety and to the General Direction of Fixed Installations Transport Systems and Public Local Transport of the MIT to ensure that Owners Railway Infrastructure, the Managers and the railway companies should coordinate to: a) carry out preliminarily the analysis and evaluation of critical issues related to potential overcrowding phenomena of the docks at railway stations, in order to realize a mapping of those resulting potentially be at risk for the safety of the passengers; b) deal with local administrations the problem of overcrowding of the docks considering, among other things, the ability to regulate - at certain times, days and hours of the year - the turnout at stations and direct access at the dock; c) the possibility - if they can not ensure an adequate level of security in a specific railway station and in analogy to what happens for the underground stations - to suppress the stop in overcrowded situations referred to in point b.</t>
  </si>
  <si>
    <t>REC-000400</t>
  </si>
  <si>
    <t>IT-4746/17</t>
  </si>
  <si>
    <t>Recommendation n. 9</t>
  </si>
  <si>
    <t>Si raccomanda allâ€™Agenzia Nazionale per la Sicurezza delle Ferrovie di adoperarsi affinché il Gestore dellâ€™Infrastruttura Ferroviaria e le Imprese Ferroviarie, tenuto conto degli incidenti avvenuti nella Stazione di Manarola, si coordinino con lâ€™Amministrazione Locale per adottare specifiche misure per regolamentare lâ€™affluenza nella stazione e lâ€™accesso diretto in banchina al fine di evitare pericolosi fenomeni di sovraffollamento.</t>
  </si>
  <si>
    <t>IT-4746/18</t>
  </si>
  <si>
    <t>It is recommended to the National Agency for the Safety of Railways to ensure that the Railway Infrastructure Manager and the railway companies, taking into account the incidents in Manarola station, to coordinate with the local government to adopt specific measures to regulate the turnout in the station and the direct access on the dock in order to avoid overcrowding of dangerous phenomena.</t>
  </si>
  <si>
    <t>REC-000401</t>
  </si>
  <si>
    <t>IT-4746/19</t>
  </si>
  <si>
    <t>Recommendation n. 10</t>
  </si>
  <si>
    <t>Si raccomanda allâ€™Agenzia Nazionale per la Sicurezza delle Ferrovie e alla Direzione Generale per i Sistemi di Trasporto ad Impianti Fissi e il Trasporto Pubblico Locale del MIT di prescrivere alle Imprese Ferroviarie lâ€™attrezzaggio con telecamere frontali a bordo del materiale rotabile per registrare le immagini nel senso di marcia del treno.</t>
  </si>
  <si>
    <t>IT-4746/20</t>
  </si>
  <si>
    <t>It is recommended to the National Agency for the Safety of Railways and the Directorate General for Transport Systems for Fixed Installation and MIT Public Transport Local to prescribe the Railway Companies a tool with front cameras on board the rolling stock to record images in the sense of the train is running.</t>
  </si>
  <si>
    <t>IT-4746/21</t>
  </si>
  <si>
    <t>Recommendation n. 11</t>
  </si>
  <si>
    <t>Si raccomanda allâ€™Agenzia Nazionale per la Sicurezza delle Ferrovie e alla Direzione Generale per il Trasporto e le Infrastrutture Ferroviarie del MIT di adoperarsi a livello comunitario affinché venga recepito nelle specifiche tecniche di interoperabilità (STI) lâ€™attrezzaggio con telecamere frontali a bordo del materiale rotabile.</t>
  </si>
  <si>
    <t>IT-4746/22</t>
  </si>
  <si>
    <t>It is recommended to the National Agency for the Safety of Railways and the Directorate General for Transport and Infrastructure MIT Stations to work at Community level in order to be incorporated in the technical specifications for interoperability (TSI) equipping with front cameras on board material rolling stock.</t>
  </si>
  <si>
    <t>IT-4746/23</t>
  </si>
  <si>
    <t>Recommendation n. 12</t>
  </si>
  <si>
    <t>Si raccomanda allâ€™Agenzia Nazionale per la Sicurezza delle Ferrovie e alla Direzione Generale per i Sistemi di Trasporto ad Impianti Fissi e il Trasporto Pubblico Locale del MIT di adoperarsi affinché le Imprese Ferroviarie provvedano a segnalare ai Gestori delle Infrastrutture ogni indebita presenza in aree e impianti ferroviari di persone estranee al servizio, al fine dellâ€™implementazione e aggiornamento della mappa delle zone in ambito ferroviario con elevata probabilità di investimento di persone.</t>
  </si>
  <si>
    <t>IT-4746/24</t>
  </si>
  <si>
    <t>It is recommended that the National Agency for the Safety of Railways and the General Directorate for to Fixed and Transport Systems Transport Systems Public MIT Local work towards ensuring that the RUs following action report to the Managers of Infrastructure undue presence in areas and facilities rail of unauthorized persons in order implementation and updating of the map of the areas in the railway sector with high probability investment of people.</t>
  </si>
  <si>
    <t>IT-4837/1</t>
  </si>
  <si>
    <t>Si raccomanda allâ€™Agenzia Nazionale per la Sicurezza delle Ferrovie che, in coerenza con i principi di sicurezza della circolazione ferroviaria di cui al Decreto ANSF n. 4/2012 del 09/08/2012, con riferimento alle linee convenzionali la cui velocità massima consentita è superiore a 200 km/h, nellâ€™ambito della verifica di compatibilità delle caratteristiche tecniche di un veicolo con quelle dellâ€™infrastruttura venga effettuata anche lâ€™analisi degli effetti aerodinamici generati dallâ€™interazione del veicolo con lâ€™infrastruttura e con le altre tipologie di veicoli ammessi a circolare sulla stessa, considerando le condizioni più gravose riscontrabili (ad esempio, lâ€™incrocio in galleria tra differenti tipologie di veicoli, velocità, sezione e lunghezza delle gallerie, ecc.).</t>
  </si>
  <si>
    <t>IT-4837/2</t>
  </si>
  <si>
    <t>It is recommended that the National Agency of Railway Safety which, in coherence with the safety principles of rail traffic referred to in the ANSF Decree n. 4/2012 of 09/08/2012, with reference to the conventional lines where the maximum speed allowed is above 200 km/h, in the context of verification of the compatibility of technical characteristics of a vehicle with those of the infrastructure and also the analysis of the aerodynamic effects generated by the interaction of the vehicle with the infrastructure is carried out and with the other types of vehicles allowed to circulate on the same, whereas the most demanding conditions encountered (for example, the intersection in the tunnel between different types of vehicle, speed section and length of the galleries, etc.).</t>
  </si>
  <si>
    <t>IT-4837/3</t>
  </si>
  <si>
    <t>Si raccomanda allâ€™Agenzia Nazionale per la Sicurezza delle Ferrovie di prevedere, in coerenza con i principi di sicurezza della circolazione ferroviaria di cui al Decreto ANSF n. 4/2012 del 09/08/2012, con riferimento alle linee convenzionali la cui velocità massima consentita è superiore a 200 km/h, che: ïƒ˜ le imprese ferroviarie mettano a disposizione dei soggetti interessati le caratteristiche dei propri veicoli (rilevanti ai fini degli effetti aerodinamici) ed eventualmente anche gli stessi veicoli al fine di consentire lâ€™effettuazione, nelle condizioni più gravose, di verifiche e prove riguardanti lâ€™interazione di un veicolo (oggetto di analisi) con lâ€™infrastruttura e con le altre tipologie di veicoli già ammesse a circolare sulla stessa; ïƒ˜ i Gestori delle infrastrutture mettano a disposizione dei soggetti interessati le informazioni relative alle caratteristiche delle proprie reti, necessarie allâ€™analisi degli effetti aerodinamici che si generano nellâ€™interazione tra lâ€™infrastruttura e i veicoli e nellâ€™incrocio tra i veicoli stessi; ïƒ˜ nelle procedure di interfaccia tra il Gestore dellâ€™infrastruttura e le imprese ferroviarie si tenga conto dellâ€™analisi degli effetti aerodinamici che si generano nellâ€™interazione tra lâ€™infrastruttura e i veicoli e nellâ€™incrocio tra i veicoli stessi.</t>
  </si>
  <si>
    <t>IT-4837/4</t>
  </si>
  <si>
    <t>It is recommended that the National Agency of Railway Safety which, in coherence with the safety principles of rail traffic referred to in the ANSF Decree n. 4/2012 of 09/08/2012, with reference to the conventional lines where the maximum speed allowed is above 200 km/h that: railway undertakings make available to interested parties the characteristics of their vehicles (relevant for the purposes of the same vehicles to aerodynamic effects) and possibly also to enable the performance, in the toughest conditions, verified and tested on the interaction of a vehicle (subject to analysis) with the infrastructure and with other types of vehicles already admitted to circulate on the same; infrastructure managers make available to interested parties the information on the characteristics of their networks, necessary to the analysis of the aerodynamic effects that occur in the interaction between infrastructure and vehicles, and the intersection between the vehicles themselves; in interface procedures between the infrastructure manager and railway undertakings are taken into account the analysis of the aerodynamic effects that occur in the interaction between infrastructure and vehicles, and the intersection between the vehicles themselves.</t>
  </si>
  <si>
    <t>IT-4837/5</t>
  </si>
  <si>
    <t>Si raccomanda allâ€™Agenzia Nazionale per la Sicurezza delle Ferrovie di valutare lâ€™opportunità di proporre in sede internazionale una integrazione alle specifiche tecniche di interoperabilità, con riferimento allâ€™analisi degli effetti aerodinamici che si generano nellâ€™interazione tra lâ€™infrastruttura e i veicoli e nellâ€™incrocio tra i veicoli stessi su linee convenzionali la cui velocità massima consentita è superiore a 200 km/h.</t>
  </si>
  <si>
    <t>IT-4837/6</t>
  </si>
  <si>
    <t>It is recommended that the National Agency for the Safety of Railways to assess whether to present at international integration to the technical specifications for interoperability, with reference to the analysis of the aerodynamic effects that occur in the interaction between infrastructure and vehicles and the intersection between the vehicles themselves on conventional lines whose maximum speed exceeds 200 km/h.</t>
  </si>
  <si>
    <t>IT-4909/1</t>
  </si>
  <si>
    <t>Since the analysis of the regulatory framework and the answers given by the concerned parties emerges a weak point in the safety system in railway sidings since responsibilities for control and maintenance of safetyare not uniquely defined it is recommended to the Ministry of Infrastructures and Transport - Directorate General for Railway Transport and Infrastructures, to the Ministry of Infrastructures and Transport - Directorate General for Fixed Installation Transport Systems and Local Public Transport, to the National Safety Authority and the Infrastructure Manager to set up a joint table that provides to renew the regulatory framework concerning railway sidings, giving exact responsibilities to a clearly and uniquely identified and appropriately monitored subject.</t>
  </si>
  <si>
    <t>IT-4909/2</t>
  </si>
  <si>
    <t>It is recommended to the NSA to ensure that the RUs are pursuing a better education and training to the maneuver staff, about the content of the provisions enacted, both general and of those specifications of the system. In particular, it is recommended to set up a system which provides for the maneuver staff performing an initial verification of correct understanding of the regulations (following the release of an update or new issuance thereof), and subsequent checks, aimed at maintaining skills, to be carried out both at regular intervals and if it is found to be non-compliance with those instruments</t>
  </si>
  <si>
    <t>IT-4909/3</t>
  </si>
  <si>
    <t>It is recommended to the NSA to ensure that the RUs, with appropriate provisions, shall identify and define in detail the implementation modalities of the correct and effective stationing of vehicles parked on the tracks, according to what is stated in paragraph 20 of the RCF issued with Decree No ANSF. 4/2012 of 09/08/2012, including vehicles parked on the tracks inside the connections on which, as in this case, there may be an incident that generates an accident on the railway line; the mode of implementation must take into account the characteristics of the line and of the connections, vehicles and all other actual operation, with particular regard to the procedures for the management of restraining of vehicles and action taken in order to prevent the undue removal of them, in order to avoid the risk of runaways.</t>
  </si>
  <si>
    <t>IT-4909/4</t>
  </si>
  <si>
    <t>It is recommended to the NSA to ensure that the RUs shall intensify the activities of verification of proper compliance with the technical specifications that manage the interface between different RUS, with regard to unambiguous definition of the activities of assignment of activities of immobilization of the rolling stock. The RUs shall also ensure to intensify audits, with particular regard to the activities of immobilization of the rolling stock and the procedures for the management and removal of immobilization devices</t>
  </si>
  <si>
    <t>IT-4909/5</t>
  </si>
  <si>
    <t>It is recommended to the NSA to ensure that the IM will intensify monitoring of safety activities carried out in terminals, even with the installation (at the expense of the Company connected) of CCTV aimed at recording and monitoring these activities by IM</t>
  </si>
  <si>
    <t>IT-4909/6</t>
  </si>
  <si>
    <t>It is recommended to the NSA to ensure that the IM will reassess and eventually update the analysis of risks arising from third parties, including the relation to the improper handling of rolling stock, in order to identify and adopt solutions to mitigate risk.</t>
  </si>
  <si>
    <t>REC-000355</t>
  </si>
  <si>
    <t>IT-4944/1</t>
  </si>
  <si>
    <t>It is recommended to the City of Borore to suspend the maneuver of turning on the right on Via Cimitero coming from Via Leonardo da Vinci, for road vehicles with lenght not compatible with a safe crossing of the LC km 140 + 487 and to authorize such a maneuver only to vehicles for which the requirements of curve negotiation are respected. In addition, the horizontal and vertical road signs in proximity of the LC km 140 + 487 must satisfy the requirements of Articles 87 and 148 of Presidential Decree 16/12/1992 No. 495 (Regulations for execution and implementation of the traffic laws).</t>
  </si>
  <si>
    <t>IT-4944/2</t>
  </si>
  <si>
    <t>It is recommended to the NSA to ensure that the Infrastructure Manager RFI SpA will make visible the appearance of the traffic lights on all the road routes converging on LC km 140 + 487 of the line Macomer - Cagliari.</t>
  </si>
  <si>
    <t>REC-000357</t>
  </si>
  <si>
    <t>IT-4944/3</t>
  </si>
  <si>
    <t>It is recommended to the NSA and to the Directorate General for Transport Systems with Fixed Installation and Local Public Transport of the Ministry of Infrastructures Transport (MIT) to ensure that owners and managers of rail infrastructures should adapt every public LC equipped with traffic lights to the provisions of Articles 184 and 186 of Presidential Decree 16/12/1992 No. 495 (Regulations of execution and implementation of the traffic laws) and of the standard UNI 11117: 2009, section 5.2, by providing the repetition of traffic lights, where traffic routes converging on LC imply parallels with the railway.</t>
  </si>
  <si>
    <t>REC-000358</t>
  </si>
  <si>
    <t>IT-4944/4</t>
  </si>
  <si>
    <t>It is recommended to the NSA and to the Directorate General for Transport Systems with Fixed Installation and Local Public Transport of the Ministry of Infrastructures Transport (MIT) to ensure that the owners and the infrastructure managers of the roads realize traffic light systems timely subservient to the operation of the LC where adjacent to a LC road junctions are present and obstacles to the smooth vehicular flow are possible.</t>
  </si>
  <si>
    <t>REC-000359</t>
  </si>
  <si>
    <t>IT-4944/5</t>
  </si>
  <si>
    <t>It is recommended to the NSA to monitor the progress of the installation of devices that are designed to verify the clearance of LCs with full barriers, in the cases provided by the Rules for Railway Traffic - crossing with barriers at a considerable distance from each other, intense heavy traffic or difficult and tortuous road layout; - obstacles to the regular road runoff, due to intersections or other; where it has not already been planned the elimination of the LC.</t>
  </si>
  <si>
    <t>REC-000360</t>
  </si>
  <si>
    <t>IT-4944/6</t>
  </si>
  <si>
    <t>It is recommended to the Directorate General for Transport Systems with Fixed Installation and Local Public Transport of the Ministry of Infrastructures Transport (MIT) to ensure that the owners and the infrastructure managers of the railways install devices that are designed to verify the clearance of LCs, in the following cases: - crossing with barriers at a considerable distance from each other, intense heavy traffic or difficult and tortuous road layout; - obstacles to the regular road runoff, due to intersections or other; where it has not already been planned the elimination of the LC.</t>
  </si>
  <si>
    <t>REC-000361</t>
  </si>
  <si>
    <t>IT-4944/7</t>
  </si>
  <si>
    <t>It is recommended to the NSA to ensure that the IM RFI SpA makes more discoverable by road users the telephone number to call in case of emergency, indicated on road signs located within LCs.</t>
  </si>
  <si>
    <t>REC-000362</t>
  </si>
  <si>
    <t>IT-4944/8</t>
  </si>
  <si>
    <t>It is recommended to the NSA to engage the IM RFI SpA to start a test on some LCs with full barriers and high frequency of vehicle entrapment, aimed at: - placing on the inside of the barriers a pictogram or an inscription indicating to drivers of trapped vehicles to continue breaking down barriers; - monitoring the effectiveness of the solutions adopted on LCs subject of the test; evaluating, at the end of the test, the opportunity to put the pictogram or the inscription on the barriers of all LCs not equipped with devices that are designed to verify the clearance of the LC.</t>
  </si>
  <si>
    <t>REC-000363</t>
  </si>
  <si>
    <t>IT-4944/9</t>
  </si>
  <si>
    <t>Without prejudice to the responsibility of owners and infrastructure managers of roads, it is recommended to the NSA and to the Directorate General for Transport Systems with Fixed Installation and Local Public Transport of the Ministry of Infrastructures Transport (MIT) to ensure that infrastructure managers of railways verify and inform the Directorate General for Railway and Maritime Investigations (NIB-IT) on possible partial or total absence of the road signs provided by the traffic laws in the vicinity of LCs.</t>
  </si>
  <si>
    <t>REC-000364</t>
  </si>
  <si>
    <t>IT-4944/10</t>
  </si>
  <si>
    <t>It is recommended to the Directorate General for Transport Systems with Fixed Installation and Local Public Transport of the Ministry of Infrastructures Transport (MIT), to the owners and to the infrastructure managers of railways to define a suppression plan of LCs that will be based on objective criteria.</t>
  </si>
  <si>
    <t>IT-4944/11</t>
  </si>
  <si>
    <t>It is recommended to the NSA and to the Directorate General for Transport Systems with Fixed Installation and Local Public Transport of the Ministry of Infrastructures Transport (MIT) to ensure that the owners and the infrastructure managers of railways transmit to the Directorate General for Railway and Maritime Investigations (NIB-IT), at least annually, by January 31 of each year and with reference to the situation at 31 December of the previous year, a report highlighting any delay in the elimination of those LCs where the elimination has already been planned, whether due to conflicts with the owners of the road crossings, to failure to respect conventions or any other reason, specifying in detail causes and responsibilities.</t>
  </si>
  <si>
    <t>IT-5134/1</t>
  </si>
  <si>
    <t>Si raccomanda al Ministero delle Infrastrutture e dei Trasporti di rendere coerente, ai fini dello ...</t>
  </si>
  <si>
    <t>Si raccomanda al Ministero delle Infrastrutture e dei Trasporti di rendere coerente, ai fini dello sviluppo e del miglioramento della sicurezza del sistema ferroviario, la normativa italiana con quella europea per quanto concerne la corretta individuazione delle reti funzionalmente isolate, secondo quanto indicato allâ€™articolo 2, comma 2, lettera b) della Direttiva 2004/49/CE del 29.04.2004.</t>
  </si>
  <si>
    <t>IT-5134/2</t>
  </si>
  <si>
    <t>The Ministry of Infrastructures and Transport is recommended to make the Italian legislation consistent with the European legislation as regards the correct identification of functionally isolated networks in order to develop and improve the safety of the railway system in accordance with Article 2, paragraph 2, subpara. b) of Directive 2004/49/EC of 29 April 2004.</t>
  </si>
  <si>
    <t>IT-5134/3</t>
  </si>
  <si>
    <t>Si raccomanda al Ministero delle Infrastrutture e dei Trasporti di adoperarsi affinché il decreto ...</t>
  </si>
  <si>
    <t>Si raccomanda al Ministero delle Infrastrutture e dei Trasporti di adoperarsi affinché il decreto del Presedente della Repubblica 11 luglio 1980, n. 753, sia opportunamente integrato provvedendo affinché la segnalazione degli incidenti, prevista dallâ€™articolo 93, sia estesa agli inconvenienti, cioè a qualsiasi evento, diverso da un incidente, che incida o possa incidere sulla sicurezza dellâ€™esercizio.</t>
  </si>
  <si>
    <t>IT-5134/4</t>
  </si>
  <si>
    <t>The Ministry of Infrastructures and Transport is recommended to work to ensure that the decree of the President of the Republic of 11 July 1980 no. 753 is appropriately integrated by ensuring that the accident reporting, provided for in Article 93, is extended to incidents, namely any event, other than an accident, which affects or may affect the safety of operation.</t>
  </si>
  <si>
    <t>IT-5134/5</t>
  </si>
  <si>
    <t>Si raccomanda al Ministero delle Infrastrutture e dei Trasporti di valutare lâ€™opportunità che le ...</t>
  </si>
  <si>
    <t>Si raccomanda al Ministero delle Infrastrutture e dei Trasporti di valutare lâ€™opportunità che le segnalazioni degli incidenti e degli inconvenienti che si verificano in tutti i servizi collettivi di pubblico trasporto terrestre siano trasmesse ad un organismo investigativo indipendente per consentire, tra lâ€™altro, lâ€™analisi di precursori di incidenti gravi finalizzata alla prevenzione.</t>
  </si>
  <si>
    <t>IT-5134/6</t>
  </si>
  <si>
    <t>The Ministry of Infrastructures and Transport is recommended to assess the advisability of reporting accidents and incidents, occurring in all public inland transport services, to an independent investigation body to allow, inter alia, the analysis of elements leading to serious accidents aimed at prevention.</t>
  </si>
  <si>
    <t>REC-000411</t>
  </si>
  <si>
    <t>IT-5134/7</t>
  </si>
  <si>
    <t>Si raccomanda alla Direzione Generale per i sistemi di trasporto ad impianti fissi e il trasporto ...</t>
  </si>
  <si>
    <t>Si raccomanda alla Direzione Generale per i sistemi di trasporto ad impianti fissi e il trasporto pubblico locale del Ministero delle Infrastrutture e dei Trasporti di adoperarsi, per le ferrovie di propria competenza, affinché le aziende ferroviarie che utilizzano il regime di blocco telefonico verifichino che nei Regolamenti Circolazione Treni sia presente, nel caso di inoltro di un treno al seguito di un altro treno, un controllo diretto ad opera di terzi sullâ€™operazione di sicurezza che deve compiere il Dirigente Locale per inviare il secondo treno, in analogia al controllo dei treni incrocianti che deve essere effettuato dal personale di bordo.</t>
  </si>
  <si>
    <t>IT-5134/8</t>
  </si>
  <si>
    <t>The General Directorate for fixed transport systems and local public transport of the Ministry of Infrastructures and Transport is recommended to make every effort, in the context of the railways under its own competence, to ensure that the railway undertakings using the telephone blocking system verify that the Train Movement Regulation contains, in the case of movement of a train following another train, a direct control by third parties on the safety operation that must be carried out by the Local Traffic Manager to authorize the second train, by analogy with the control of the crossing trains which must be carried out by the onboard staff.</t>
  </si>
  <si>
    <t>REC-000412</t>
  </si>
  <si>
    <t>IT-5134/9</t>
  </si>
  <si>
    <t>Si raccomanda allâ€™Agenzia Nazionale per la Sicurezza delle Ferrovie e alla Direzione Generale per i ...</t>
  </si>
  <si>
    <t>Si raccomanda allâ€™Agenzia Nazionale per la Sicurezza delle Ferrovie e alla Direzione Generale per i sistemi di trasporto ad impianti fissi e il trasporto pubblico locale del Ministero delle Infrastrutture e dei Trasporti di adoperarsi, per le ferrovie di propria competenza, affinché le aziende ferroviarie che utilizzano il regime di blocco telefonico verifichino che la compilazione dei Protocolli di Circolazione sia coerente con la situazione effettiva dei materiali rotabili che il Dirigente Locale sta gestendo, evitando la presenza di parti di registro non compilate riferibili a veicoli non più presenti nellâ€™ambito di stazione.</t>
  </si>
  <si>
    <t>IT-5134/10</t>
  </si>
  <si>
    <t>The Italian National Safety Authority for Railways and the General Directorate for fixed transport systems and local public transport of the Ministry of Infrastructures and Transport are recommended to make every effort, in the context of the railways under its own competence, to ensure the railway undertakings using the telephone blocking system, verify that the filling out of the Movement Protocols is consistent with the actual situation of the rolling stock that the Local Traffic Manager is managing, avoiding the presence of blanks in the register ascribable to vehicles no longer present in the station.</t>
  </si>
  <si>
    <t>IT-5134/11</t>
  </si>
  <si>
    <t>Si raccomanda allâ€™Agenzia Nazionale per la Sicurezza delle Ferrovie di provvedere affinché ...</t>
  </si>
  <si>
    <t>Si raccomanda allâ€™Agenzia Nazionale per la Sicurezza delle Ferrovie di provvedere affinché Ferrotramviaria S.p.A. adotti misure atte a inibire lâ€™accesso di terzi (viaggiatori e personale non autorizzato) ai locali destinati al personale che opera nella sala del Dirigente Locale.</t>
  </si>
  <si>
    <t>IT-5134/12</t>
  </si>
  <si>
    <t>The Italian National Safety Authority for Railways is recommended to make every effort to ensure that Ferrotramviaria S.p.A. (IM) adopts measures to prohibit access by third parties (travelers and unauthorized staff) to premises intended for staff working in the Local Traffic Managerâ€™s room.</t>
  </si>
  <si>
    <t>IT-5134/13</t>
  </si>
  <si>
    <t>Si raccomanda allâ€™Agenzia Nazionale per la Sicurezza delle Ferrovie e alla Direzione Generale per i sistemi di trasporto ad impianti fissi e il trasporto pubblico locale del Ministero delle Infrastrutture e dei Trasporti di verificare, per le ferrovie di rispettiva competenza, che sia i gestori dellâ€™infrastruttura che le imprese ferroviarie abbiano in essere idonee attività di audit/ispezione sul proprio personale avente mansioni di sicurezza, finalizzate al mantenimento delle competenze</t>
  </si>
  <si>
    <t>IT-5134/14</t>
  </si>
  <si>
    <t>The Italian National Safety Authority for Railways and the General Directorate for fixed transport systems and local public transport of the Ministry of Infrastructures and Transport are recommended to verify, in the context of the railways under its own competence, that both the infrastructure managers and the railway undertakings have adequate audit/inspection activities in place on their staff holding safety duties, aimed at maintaining the competences.</t>
  </si>
  <si>
    <t>IT-5276/1</t>
  </si>
  <si>
    <t>Si raccomanda allâ€™Agenzia Nazionale per la Sicurezza delle Ferrovie e alla Direzione Generale per i sistemi di trasporto ad impianti fissi e il trasporto pubblico locale del Ministero delle Infrastrutture e dei Trasporti di adoperarsi affinché i Gestori delle infrastrutture e le Imprese Ferroviarie sensibilizzino il proprio personale incaricato di effettuare le operazioni di stazionamento dei rotabili sullâ€™importanza di tali attività, in particolare per quanto riguarda la verifica dellâ€™efficacia del freno di stazionamento anche mediante lâ€™effettuazione della prova di trazione.</t>
  </si>
  <si>
    <t>IT-5276/2</t>
  </si>
  <si>
    <t>It is recommended to the National Agency for Safety of Railways and to the General Directorate for systems of transport to fixed installations and the local public transport of the Ministry of Infrastructures and Transport to make sure that the Infrastructure Managers and the Railway Companies make their staff aware responsible for carrying out the rolling stock stationing operations on the importance of these activities, in particular with regard to checking the effectiveness of the parking brake also by performing the traction test.</t>
  </si>
  <si>
    <t>IT-5276/3</t>
  </si>
  <si>
    <t>Si raccomanda allâ€™Agenzia Nazionale per la Sicurezza delle Ferrovie e alla Direzione Generale per i sistemi di trasporto ad impianti fissi e il trasporto pubblico locale del Ministero delle Infrastrutture e dei Trasporti di adoperarsi affinché i Gestori delle infrastrutture e le Imprese Ferroviarie verifichino che il proprio personale incaricato di effettuare le operazioni di controllo dei rotabili si accerti della corretta funzionalità del dispositivo di registrazione cartaceo (zona tachigrafica)</t>
  </si>
  <si>
    <t>IT-5276/4</t>
  </si>
  <si>
    <t>It is recommended to the National Agency for Safety of Railways and to the General Management for systems of transport to fixed installations and local public transport of the Ministry of Infrastructures and Transport to make sure that the Infrastructure Managers and the Railway Companies verify that their personnel in charge of carrying out the control operations of rolling stock make sure of the correct functionality of the paper recording device (tachograph area)</t>
  </si>
  <si>
    <t>IT-5276/5</t>
  </si>
  <si>
    <t>Si raccomanda allâ€™Agenzia Nazionale per la Sicurezza delle Ferrovie e alla Direzione Generale per i sistemi di trasporto ad impianti fissi e il trasporto pubblico locale del Ministero delle Infrastrutture e dei Trasporti di verificare - per le ferrovie di rispettiva competenza - che i Gestori delle infrastrutture e le Imprese Ferroviarie abbiano in essere idonee attività di audit/ispezione sul proprio personale avente mansioni di sicurezza, finalizzate al mantenimento delle competenze e ad accertare il corretto recepimento delle procedure da effettuare da parte del suddetto personale</t>
  </si>
  <si>
    <t>IT-5276/6</t>
  </si>
  <si>
    <t>It is recommended to the National Agency for Safety of Railways and to the General Management for systems of transport to fixed installations and local public transport of the Ministry of Infrastructures and Transport to check - for the railways of their respective competence - that the Infrastructure Managers and the Railway Companies have in place appropriate audit / inspection activities on their personnel with safety duties, aimed at maintaining their skills and ascertaining the correct implementation of the procedures to be carried out by the aforementioned personnel</t>
  </si>
  <si>
    <t>IT-5276/7</t>
  </si>
  <si>
    <t>Si raccomanda allâ€™Agenzia Nazionale per la Sicurezza delle Ferrovie e alla Direzione Generale per il ...</t>
  </si>
  <si>
    <t>Si raccomanda allâ€™Agenzia Nazionale per la Sicurezza delle Ferrovie e alla Direzione Generale per il trasporto e le infrastrutture ferroviarie del Ministero delle Infrastrutture e dei Trasporti di provvedere affinché sia valutata - in analogia a quanto previsto per altre tipologie di rotabili di differenti sistemi di trasporto - la possibilità di inserire, fra i requisiti essenziali di sicurezza delle pertinenti S.T.I., la funzione di immobilizzazione automatica del mezzo allâ€™atto dello stazionamento</t>
  </si>
  <si>
    <t>IT-5276/8</t>
  </si>
  <si>
    <t>It is recommended to the National Agency for Safety of Railways and to the Directorate General for Transport and Railway Infrastructures of the Ministry of Infrastructure and Transport to ensure that it is evaluated - in analogy to what is expected for other types of rolling stock of different transport systems - the possibility of including, among the essential safety requirements of the relevant TSIs, the automatic immobilization function of the vehicle at the time of stationing</t>
  </si>
  <si>
    <t>IT-5330/1</t>
  </si>
  <si>
    <t>Si raccomanda allâ€™Agenzia Nazionale per la Sicurezza delle Ferrovie e alla Direzione Generale per i sistemi di trasporto ad impianti fissi e il trasporto pubblico locale del Ministero delle Infrastrutture e dei Trasporti di adoperarsi affinché i Gestori delle infrastrutture sensibilizzino il proprio personale incaricato di effettuare la prova freno dei mezzi dâ€™opera sullâ€™importanza della prova stessa e verifichino il corretto recepimento delle procedure da effettuare da parte del suddetto personale. In particolare, il Gestore RFI S.p.A. dovrà valutare eventualmente, a seguito dei controlli effettuati, lâ€™opportunità di inserire nellâ€™ICMO (Istruzione per la Circolazione dei Mezzi dâ€™Opera) un riferimento esplicito allâ€™IEFCA.</t>
  </si>
  <si>
    <t>IT-5330/2</t>
  </si>
  <si>
    <t>The Italian National Safety Authority for Railways and the General Directorate for fixed transport systems and local public transport of the Ministry of Infrastructures and Transport are recommended to make sure that the Infrastructure Managers raise the awareness of their staff in charge of carrying out the brake test on work vehicles about the importance of the test itself and verify the correct implementation of the procedures to be carried out by the aforementioned staff. In particular, the IM R.F.I. S.p.A. shall evaluate, if deemed necessary after specific checks, the possibility to include an explicit reference to the IEFCA in the ICMO (Instruction for the Movement of Work Vehicles).</t>
  </si>
  <si>
    <t>IT-5330/3</t>
  </si>
  <si>
    <t>Si raccomanda allâ€™Agenzia Nazionale per la Sicurezza delle Ferrovie e alla Direzione Generale per i sistemi di trasporto ad impianti fissi e il trasporto pubblico locale del Ministero delle Infrastrutture e dei Trasporti di adoperarsi affinché i Gestori delle infrastrutture sensibilizzino il personale preposto alla verifica dei mezzi dâ€™opera ammessi a circolare sulle proprie reti sullâ€™importanza dei controlli visivi sui veicoli, con particolare riferimento ai componenti di sicurezza.</t>
  </si>
  <si>
    <t>IT-5330/4</t>
  </si>
  <si>
    <t>The Italian National Safety Authority for Railways and the General Directorate for fixed transport systems and local public transport of the Ministry of Infrastructures and Transport are recommended to make sure that the Infrastructure Managers raise the awareness of the staff in charge of the checks of the work vehicles allowed to travel on their networks about the importance of visual checks on vehicles, with particular attention to safety components.</t>
  </si>
  <si>
    <t>IT-5330/5</t>
  </si>
  <si>
    <t>Si raccomanda allâ€™Agenzia Nazionale per la Sicurezza delle Ferrovie e alla Direzione Generale per i sistemi di trasporto ad impianti fissi e il trasporto pubblico locale del Ministero delle Infrastrutture e dei Trasporti di adoperarsi affinché le imprese ferroviarie che effettuano i trasferimenti dei mezzi dâ€™opera in composizione ai treni verifichino la puntuale applicazione delle pertinenti norme di esercizio.</t>
  </si>
  <si>
    <t>IT-5330/6</t>
  </si>
  <si>
    <t>The Italian National Safety Authority for Railways and the General Directorate for fixed transport systems and local public transport of the Ministry of Infrastructures and Transport are recommended to make every effort to ensure that the railway undertakings transferring the work vehicles in trains, verify the timely application of the relevant operating rules.</t>
  </si>
  <si>
    <t>IT-5330/7</t>
  </si>
  <si>
    <t>Si raccomanda allâ€™Agenzia Nazionale per la Sicurezza delle Ferrovie e alla Direzione Generale per i sistemi di trasporto ad impianti fissi e il trasporto pubblico locale del Ministero delle Infrastrutture e dei Trasporti di adoperarsi affinché i Gestori delle infrastrutture accertino che le modifiche ai mezzi dâ€™opera vengano preventivamente autorizzate e correttamente registrate sui libretti e sui manuali di manutenzione, incrementando i relativi controlli secondo le procedure vigenti.</t>
  </si>
  <si>
    <t>IT-5330/8</t>
  </si>
  <si>
    <t>The Italian National Safety Authority for Railways and the General Directorate for fixed transport systems and local public transport of the Ministry of Infrastructures and Transport are recommended to make every effort to ensure that the Infrastructure Managers verify that the modifications to the work vehicles are previously authorized and correctly recorded in the booklets and maintenance manuals, increasing the relevant controls according to the procedures in force.</t>
  </si>
  <si>
    <t>IT-5363/1</t>
  </si>
  <si>
    <t>Si raccomanda allâ€™Agenzia Nazionale per la Sicurezza delle Ferrovie ed alla Direzione Generale per i ...</t>
  </si>
  <si>
    <t>Si raccomanda allâ€™Agenzia Nazionale per la Sicurezza delle Ferrovie ed alla Direzione Generale per i sistemi di trasporto ad impianti fissi e il trasporto pubblico locale del Ministero delle Infrastrutture e dei Trasporti, nei rispettivi ambiti di competenza, di adoperarsi affinché le imprese ferroviarie verifichino che la propria documentazione regolamentare espliciti in maniera completa e dettagliata le modalità di uso di tutte le apparecchiature il cui utilizzo ha riflessi sulla sicurezza dellâ€™esercizio ferroviario (ad esempio, per quanto concerne lâ€™utilizzo delle cosiddette â€œfunicelleâ€ dellâ€™impianto frenante dellâ€™automotrice Aln 668 serie 1900), valutando inoltre la possibilità di esplicitare nella documentazione in uso agli operatori gli eventuali rischi derivanti da un loro utilizzo non corretto.</t>
  </si>
  <si>
    <t>IT-5363/2</t>
  </si>
  <si>
    <t>It is recommended to the National Safety Authority for Railways and to the General Directorate for systems of fixed transport installations and local public transports of the Ministry of Infrastructures and Transport, to ensure in their respective areas of competence, that railway undertakings verify that their regulatory documentation explains in a complete and detailed manner the methods of use of all the equipment whose use has consequences on the safety of the railway operation (for example, with regard to the use of the so-called "cords" of the braking system of the self-propelled Aln 668 series 1900), also evaluating the possibility of explaining in the documentation used to operators the possible risks deriving from their incorrect use.</t>
  </si>
  <si>
    <t>IT-5363/3</t>
  </si>
  <si>
    <t>Si raccomanda allâ€™Agenzia Nazionale per la Sicurezza delle Ferrovie ed alla Direzione Generale per i sistemi di trasporto ad impianti fissi e il trasporto pubblico locale del Ministero delle Infrastrutture e dei Trasporti, nei rispettivi ambiti di competenza, di sensibilizzare le II.FF. al rispetto di quanto disposto dallâ€™Allegato VI al D.lgs. 247/2010, in particolare affinché lâ€™utilizzo in servizio di tipologie di veicoli non compresi nellâ€™elenco riportato nel Certificato Complementare Armonizzato posseduto dal personale di condotta sia preceduto da un adeguato processo di integrazione delle competenze professionali, comprensivo anche di tirocinio pratico di condotta, processo che deve scaturire dallâ€™accertamento preventivo del fabbisogno formativo integrativo, effettuato nel rispetto delle procedure del Sistema di Gestione della Sicurezza inerenti la Gestione delle Competenze.</t>
  </si>
  <si>
    <t>IT-5363/4</t>
  </si>
  <si>
    <t>It is recommended to the National Safety Authority for Railways and to the General Directorate for systems of fixed transport installations and local public transports of the Ministry of Infrastructures and Transport, to ensure in their respective areas of competence, to raise awareness on the II.FF. compliance with the provisions of Annex VI of Legislative Decree no. 247/2010, in particular so that in-service use of vehicle types not included in the list on the harmonized complementary certificate held by the drivers is preceded by an appropriate process of integration of professional skills, also including practical training , a process that must result from the prior assessment of the supplementary training needs, carried out in compliance with the procedures of the Safety Management System inherent to the Skills Management.</t>
  </si>
  <si>
    <t>IT-5363/5</t>
  </si>
  <si>
    <t>Si raccomanda allâ€™Agenzia Nazionale per la Sicurezza delle Ferrovie ed alla Direzione Generale per i sistemi di trasporto ad impianti fissi e il trasporto pubblico locale del Ministero delle Infrastrutture e dei Trasporti di verificare, nei rispettivi ambiti di competenza, che le II.FF. adottino â€“ in relazione allo scambio del personale di bordo, in particolare di quello addetto alla condotta, fra treni incrocianti in località di servizio intermedie - unâ€™idonea regolamentazione delle operazioni connesse (inclusa la tempistica necessaria al personale subentrante per prendere in carico il nuovo veicolo) e dellâ€™attribuzione di responsabilità fra i soggetti coinvolti, con conseguente tracciabilità del passaggio di consegne</t>
  </si>
  <si>
    <t>IT-5363/6</t>
  </si>
  <si>
    <t>It is recommended to the National Safety Authority for Railways and to the General Directorate for systems of fixed transport installations and local public transports of the Ministry of Infrastructures and Transport, to ensure in their respective areas of competence, that the II.FF. adopt - in relation to the exchange of on-board personnel, in particular drivers, between cross-over trains in intermediate service locations â€“ an adapted regulation of related operations (including the timing necessary for the new personnel to take charge of the new vehicle) and the assignment of responsibilities among the parties involved, with relevant traceability of the transition process.</t>
  </si>
  <si>
    <t>IT-5363/7</t>
  </si>
  <si>
    <t>Si raccomanda allâ€™Agenzia Nazionale per la Sicurezza delle Ferrovie ed alla Direzione Generale per i sistemi di trasporto ad impianti fissi e il trasporto pubblico locale del Ministero delle Infrastrutture e dei Trasporti di adoperarsi, nei rispettivi ambiti di competenza, affinché ciascun operatore ferroviario (impresa ferroviaria o gestore dellâ€™infrastruttura), in caso di acquisizione in locazione di materiale rotabile proveniente da altro operatore, definisca chiaramente, nei relativi contratti, oltre alle condizioni di carattere amministrativo ed economico, anche le specifiche tecniche di riferimento (manuali di uso, manutenzione, depannage, ecc.), che devono costituire riferimento per le attività di aggiornamento formativo di cui alla Raccomandazione n. 2</t>
  </si>
  <si>
    <t>IT-5363/8</t>
  </si>
  <si>
    <t>It is recommended to the National Safety Authority for Railways and to the General Directorate for systems of fixed transport installations and local public transports of the Ministry of Infrastructures and Transport, to ensure in their respective areas of competence, that each railway operator (railway undertaking or infrastructure manager), in case of leasing of rolling stock from another operator, clearly defines, in the related contracts, in addition to the administrative and economic conditions, also the technical reference specifications (manuals for use, maintenance, repair, etc.), which must be a reference for the training updating activities referred to in Recommendation no. 2.</t>
  </si>
  <si>
    <t>REC-000874</t>
  </si>
  <si>
    <t>IT-5440/1</t>
  </si>
  <si>
    <t>si raccomanda allâ€™Agenzia Nazionale per la Sicurezza delle Ferrovie e alla Direzione Generale per i ...</t>
  </si>
  <si>
    <t>si raccomanda allâ€™Agenzia Nazionale per la Sicurezza delle Ferrovie e alla Direzione Generale per i sistemi di trasporto ad impianti fissi e il trasporto pubblico locale del Ministero delle Infrastrutture e dei Trasporti di adoperarsi - per le ferrovie di rispettiva competenza - affinché i Gestori delle infrastrutture e le Imprese Ferroviarie sensibilizzino il proprio personale incaricato di effettuare le operazioni di stazionamento dei rotabili sullâ€™importanza di tali attività</t>
  </si>
  <si>
    <t>IT-5440/2</t>
  </si>
  <si>
    <t>it is recommended to the National Agency for Safety of Railways and to the General Management for systems of transport to fixed installations and local public transport of the Ministry of Infrastructures and Transport to work - for the railways of their respective competences - so that the Infrastructure Managers and the Railway Companies make their staff responsible for carrying out the stationing operations of the rolling stock on the importance of these activities</t>
  </si>
  <si>
    <t>REC-000877</t>
  </si>
  <si>
    <t>IT-5440/3</t>
  </si>
  <si>
    <t>si raccomanda allâ€™Agenzia Nazionale per la Sicurezza delle Ferrovie e alla Direzione Generale per i sistemi di trasporto ad impianti fissi e il trasporto pubblico locale del Ministero delle Infrastrutture e dei Trasporti di verificare - per le ferrovie di rispettiva competenza - che i Gestori delle infrastrutture e le Imprese Ferroviarie abbiano in essere idonee attività di audit/ispezione sul proprio personale avente mansioni di sicurezza, finalizzate al mantenimento delle competenze e ad accertare il corretto recepimento delle procedure da effettuare da parte del suddetto personale</t>
  </si>
  <si>
    <t>IT-5440/4</t>
  </si>
  <si>
    <t>it is recommended to the National Agency for Safety of Railways and to the General Management for systems of transport to fixed installations and local public transport of the Ministry of Infrastructures and Transport to verify - for the railways of their respective competence - that the Infrastructure Managers and the Railway Companies have in place suitable activities of audit / inspection of personnel with safety duties, aimed at maintaining skills and ascertaining the correct implementation of the procedures to be carried out by the aforementioned personnel</t>
  </si>
  <si>
    <t>REC-000880</t>
  </si>
  <si>
    <t>IT-5440/5</t>
  </si>
  <si>
    <t>si raccomanda allâ€™Agenzia Nazionale per la Sicurezza delle Ferrovie di richiedere al Gestore RFI ...</t>
  </si>
  <si>
    <t>si raccomanda allâ€™Agenzia Nazionale per la Sicurezza delle Ferrovie di richiedere al Gestore RFI S.p.A. lâ€™inserimento nellâ€™ICMO (Istruzione per la Circolazione dei Mezzi dâ€™Opera) di un riferimento alle istruzioni per lo stazionamento dei mezzi dâ€™opera e di valutare lâ€™opportunità di estendere analoga raccomandazione agli altri Gestori delle infrastrutture</t>
  </si>
  <si>
    <t>IT-5440/6</t>
  </si>
  <si>
    <t>it is recommended to the National Agency for Rail Safety to ask the Manager RFI S.p.A. the insertion in ICMO (Instruction for the Circulation of Opera Means) of a reference to the instructions for the stationing of the means of work and to evaluate the opportunity to extend a similar recommendation to the other Infrastructure Managers</t>
  </si>
  <si>
    <t>IT-5439/1</t>
  </si>
  <si>
    <t>Si raccomanda allâ€™azienda Ferrovie del Sud-Est di provvedere affinché, in condizioni di ...</t>
  </si>
  <si>
    <t>Si raccomanda allâ€™azienda Ferrovie del Sud-Est di provvedere affinché, in condizioni di disconnessione per guasto ad uno o più posti periferici del sistema C.T.C. sulle tratte a binario semplice, laddove i posti di servizio telecomandati interessati dai guasti non siano presenziati o presenziabili, il personale dei treni intervenga nel controllo degli incroci</t>
  </si>
  <si>
    <t>IT-5439/2</t>
  </si>
  <si>
    <t>It is recommended that the company Ferrovie del Sud-Est ensures that, under conditions of disconnection due to failure, one or more peripheral stations of the C.T.C. system, on single-track sections, where the remote-controlled service stations affected by the faults are not present or included, the train staff shall intervene in the control of crossings.</t>
  </si>
  <si>
    <t>IT-5439/3</t>
  </si>
  <si>
    <t>Si raccomanda allâ€™Agenzia Nazionale per la Sicurezza delle Ferrovie ed alla Direzione Generale per i sistemi di trasporto ad impianti fissi e il trasporto pubblico locale del Ministero delle Infrastrutture e dei Trasporti, nei rispettivi ambiti di competenza, di assicurarsi che i gestori delle infrastrutture, in condizioni di degrado degli impianti dovute a guasti tecnici, abbiano individuato modalità operative che garantiscano lâ€™accettabilità dei rischi connessi a tali condizioni, prevedendo anche la rimodulazione del servizio (ad esempio il presenziamento dei posti telecomandati, la riduzione di velocità dei convogli, la sospensione del servizio con attivazione di altra modalità di trasporto).</t>
  </si>
  <si>
    <t>IT-5439/4</t>
  </si>
  <si>
    <t>It is recommended to the National Safety Authority for Railways and to the General Directorate for systems of fixed transport installations and local public transports of the Ministry of Infrastructures and Transport, to ensure in their respective areas of competence, that the infrastructure managers, in conditions of degradation of the installations due to technical failures, they have identified operating procedures that guarantee the acceptability of the risks connected to these conditions, also providing for the remodulation of the service (for example the presence of remote controlled stations, the speed reduction of the trains, the suspension of the service with activation of another mode of transport).</t>
  </si>
  <si>
    <t>IT-5439/5</t>
  </si>
  <si>
    <t>Si raccomanda allâ€™Agenzia Nazionale per la Sicurezza delle Ferrovie ed alla Direzione Generale per i sistemi di trasporto ad impianti fissi e il trasporto pubblico locale del Ministero delle Infrastrutture e dei Trasporti di chiedere ai gestori delle infrastrutture una valutazione delle potenziali criticità legate alle interferenze che si possono generare fra DCO operanti contemporaneamente nel medesimo ambiente, e che possono determinare, in particolari circostanze, confusione sui rispettivi ambiti di competenza e perdita di cognizione delle reali condizioni di circolazione dei treni.</t>
  </si>
  <si>
    <t>IT-5439/6</t>
  </si>
  <si>
    <t>It is recommended to the National Safety Authority for Railways and to the General Directorate for systems of fixed transport installations and local public transports of the Ministry of Infrastructures and Transport, to ask the infrastructure managers to make an assessment of potential critical issues related to the interference that may occur between DCOs operating simultaneously in the same environment, and which may, in particular circumstances, lead to confusion on the respective areas of competence and loss of knowledge of the actual train traffic conditions.</t>
  </si>
  <si>
    <t>IT-5439/7</t>
  </si>
  <si>
    <t>Si raccomanda allâ€™Agenzia Nazionale per la Sicurezza delle Ferrovie ed alla Direzione Generale per i sistemi di trasporto ad impianti fissi e il trasporto pubblico locale del Ministero delle Infrastrutture e dei Trasporti di verificare, nei rispettivi ambiti di competenza, che sia i gestori dellâ€™infrastruttura che le imprese ferroviarie mettano in atto, per il personale impegnato in attività di sicurezza, idonee e strutturate attività di: ï‚· formazione, cui deve far seguito, in maniera continuativa nel corso degli anni, unâ€™adeguata attività di mantenimento delle competenze possedute, ï‚· controllo del rispetto delle disposizioni contenute nei vigenti regolamenti ed attuazione di tempestive azioni correttive di eventuali comportamenti non conformi, in particolare nei casi in cui il rischio di errore umano non sia mitigato dalla presenza di dispositivi tecnologici.</t>
  </si>
  <si>
    <t>IT-5439/8</t>
  </si>
  <si>
    <t>It is recommended to the National Safety Authority for Railways and to the General Directorate for systems of fixed transport installations and local public transports of the Ministry of Infrastructures and Transport, to check in their respective areas of responsibility, both the infrastructure managers and the railway companies put in place, for the personnel engaged in safety activities, suitable and structured activities of: - training, which must be followed continuously over the years by an adequate activity of maintaining the skills possessed, - control of compliance with the provisions contained in current regulations and implementation of prompt corrective actions for any non-compliant behaviour, in particular in cases where the risk of human error is not mitigated by the presence of technological devices.</t>
  </si>
  <si>
    <t>IT-5439/9</t>
  </si>
  <si>
    <t>Si raccomanda allâ€™Agenzia Nazionale per la Sicurezza delle Ferrovie ed alla Direzione Generale per i sistemi di trasporto ad impianti fissi e il trasporto pubblico locale del Ministero delle Infrastrutture e dei Trasporti di verificare, nei rispettivi ambiti di competenza, che, al continuo reiterarsi di guasti di sistemi di sicurezza, quale, come nel caso in esame, del blocco conta-assi, i gestori delle infrastrutture procedano alla tempestiva individuazione delle cause tecniche che determinano i guasti ed alla susseguente, ed altrettanto tempestiva, realizzazione dei necessari interventi risolutivi definitivi.</t>
  </si>
  <si>
    <t>IT-5439/10</t>
  </si>
  <si>
    <t>It is recommended to the National Safety Authority for Railways and to the General Directorate for systems of fixed transport installations and local public transports of the Ministry of Infrastructures and Transport, to check in their respective areas of responsibility, that for the continuous reiteration of failures of security systems, such as, as in the present case, the axle-blocking, the infrastructure managers proceed to the timely identification of the technical causes that determine the failures and to the subsequent, and equally timely, application of the necessary definitive interventions.</t>
  </si>
  <si>
    <t>REC-000613</t>
  </si>
  <si>
    <t>IT-5442/1</t>
  </si>
  <si>
    <t>Si raccomanda allâ€™Agenzia Nazionale per la Sicurezza delle Ferrovie e alla Direzione Generale per i sistemi di trasporto ad impianti fissi e il trasporto pubblico locale del Ministero delle Infrastrutture e dei Trasporti di valutare lâ€™opportunità che i gestori delle infrastrutture, in caso di intervento di altri addetti (personale reperibile o altro personale di ausilio) a supporto del regolatore della circolazione, ne definiscano i ruoli, i compiti e le modalità operative</t>
  </si>
  <si>
    <t>IT-5442/2</t>
  </si>
  <si>
    <t>It is recommended to the National Agency for Safety of Railways and to the General Directorate for systems of transport to fixed installations and local public transport of the Ministry of Infrastructures and Transport to evaluate the opportunity that the infrastructure managers, in case of intervention of other employees (staff available or other support staff) to support the traffic regulator, define the roles, tasks and operating methods</t>
  </si>
  <si>
    <t>IT-5442/3</t>
  </si>
  <si>
    <t>Si raccomanda allâ€™Agenzia Nazionale per la Sicurezza delle Ferrovie e alla Direzione Generale per i sistemi di trasporto ad impianti fissi e il trasporto pubblico locale del Ministero delle Infrastrutture e dei Trasporti di sensibilizzare i gestori delle infrastrutture affinché predispongano - nellâ€™applicazione del Regolamento Delegato (EU) 2018/762 e in analogia a quanto già adottato nel settore aereo e marittimo - un processo di selezione, formazione e mantenimento delle competenze del personale avente mansioni di sicurezza orientato, oltre alle competenze tecniche, anche a quelle non tecniche, con particolare riferimento alle abilità cognitive, relazionali ed organizzative, necessarie per conseguire una efficace performance in tutte le condizioni operative (normali, degradate, di emergenza)</t>
  </si>
  <si>
    <t>IT-5442/4</t>
  </si>
  <si>
    <t>It is recommended to the National Agency for Safety of Railways and to the General Management for systems of transport to fixed installations and the local public transport of the Ministry of Infrastructures and Transport to sensitize the infrastructure managers so that they prepare - in the application of the Delegated Regulation (EU) 2018/762 and in analogy with what was already adopted in the aviation and maritime sectors - a process of selection, training and maintenance of the skills of personnel with safety-related tasks, in addition to technical skills, including non-technical ones, with particular reference to the cognitive, relational and organizational skills necessary to achieve an effective performance in all operating conditions (normal, degraded, emergency)</t>
  </si>
  <si>
    <t>REC-000616</t>
  </si>
  <si>
    <t>IT-5442/5</t>
  </si>
  <si>
    <t>Si raccomanda al Ministero delle Infrastrutture e dei Trasporti, al fine del miglioramento della ...</t>
  </si>
  <si>
    <t>Si raccomanda al Ministero delle Infrastrutture e dei Trasporti, al fine del miglioramento della sicurezza ferroviaria attraverso lâ€™implementazione della â€œjust cultureâ€, di promuovere - in coordinamento con le altre Amministrazioni competenti in materia - una revisione delle norme che disciplinano la sicurezza nel settore dei trasporti prevedendo, a seguito di un pericolato, di un incidente o di un inconveniente, la punibilità delle persone coinvolte solo nei casi di colpa grave, violazione intenzionale o atto doloso, escludendo i casi in cui le azioni, omissioni o decisioni adottate dalle stesse siano proporzionali alla loro esperienza e addestramento. La discriminazione tra questâ€™ultimi comportamenti, da ritenersi accettabili e/o inevitabili, e quelli invece inaccettabili dovrebbe essere stabilita - caso per caso - da una struttura tecnica indipendente prima dellâ€™avvio di unâ€™eventuale azione penale.</t>
  </si>
  <si>
    <t>IT-5442/6</t>
  </si>
  <si>
    <t>914/5000 It is recommended to the Ministry of Infrastructures and Transport, in order to improve railway safety through the implementation of the "just culture", to promote - in coordination with the other administrations competent in the matter - a review of the rules governing safety in the sector of transport by providing, as a result of a pericular, an accident or an inconvenience, the punishment of the persons involved only in cases of gross negligence, intentional violation or willful act, excluding the cases in which the actions, omissions or decisions taken by the same are proportional to their experience and training. The discrimination between these behaviors, to be considered acceptable and / or unavoidable, and those that are unacceptable should be established - case by case - by an independent technical structure before the start of a possible criminal action.</t>
  </si>
  <si>
    <t>REC-000618</t>
  </si>
  <si>
    <t>IT-5442/7</t>
  </si>
  <si>
    <t>Si raccomanda al Ministero delle Infrastrutture e dei Trasporti e allâ€™Agenzia Nazionale per la ...</t>
  </si>
  <si>
    <t>Si raccomanda al Ministero delle Infrastrutture e dei Trasporti e allâ€™Agenzia Nazionale per la Sicurezza delle Ferrovie, al fine del miglioramento della sicurezza ferroviaria attraverso lâ€™implementazione della â€œjust cultureâ€, di promuovere la segnalazione spontanea, da parte del personale, di eventi significativi per l'individuazione di potenziali pericoli e carenze in materia di sicurezza, anche prevedendo un intervento legislativo - in coordinamento con le altre Amministrazioni competenti in materia - che escluda lâ€™assoggettabilità a procedimenti disciplinari e penali del personale che effettua tali segnalazioni</t>
  </si>
  <si>
    <t>IT-5442/8</t>
  </si>
  <si>
    <t>It is recommended to the Ministry of Infrastructure and Transport and to the National Agency for Rail Safety, in order to improve railway safety through the implementation of the "just culture", to promote spontaneous reporting by staff of events significant for the identification of potential hazards and safety gaps, including by providing for legislative intervention - in coordination with the other administrations competent in the matter - which excludes the admissibility of disciplinary and criminal proceedings of personnel making such reports</t>
  </si>
  <si>
    <t>REC-000619</t>
  </si>
  <si>
    <t>IT-5442/9</t>
  </si>
  <si>
    <t>Si raccomanda allâ€™Agenzia Nazionale per la Sicurezza delle Ferrovie, al fine del miglioramento della ...</t>
  </si>
  <si>
    <t>Si raccomanda allâ€™Agenzia Nazionale per la Sicurezza delle Ferrovie, al fine del miglioramento della sicurezza ferroviaria attraverso lâ€™implementazione della â€œjust cultureâ€, di attivarsi con gli operatori ferroviari affinché, nel proprio contesto organizzativo, promuovano la segnalazione spontanea, da parte del personale, degli eventi significativi per l'individuazione di potenziali pericoli e carenze in materia di sicurezza, escludendone lâ€™assoggettabilità a procedimenti disciplinari.</t>
  </si>
  <si>
    <t>IT-5442/10</t>
  </si>
  <si>
    <t>It is recommended to the National Agency for the Safety of Railways, in order to improve railway safety through the implementation of the "just culture", to engage with railway operators so that, in their organizational context, they promote spontaneous reporting by staff of significant events for the identification of potential hazards and safety deficiencies, excluding their subjectivity to disciplinary procedures.</t>
  </si>
  <si>
    <t>IT-5482/1</t>
  </si>
  <si>
    <t>Si raccomanda allâ€™Agenzia Nazionale per la Sicurezza delle Ferrovie di valutare lâ€™opportunità che i ...</t>
  </si>
  <si>
    <t>Si raccomanda allâ€™Agenzia Nazionale per la Sicurezza delle Ferrovie di valutare lâ€™opportunità che i detentori di locomotori appartenenti al gruppo D445 o simili dotino tali locomotori di dispositivi automatici di spegnimento dellâ€™impianto di preriscaldamento del motore diesel allorché si rilevi il movimento del rotabile</t>
  </si>
  <si>
    <t>IT-5482/2</t>
  </si>
  <si>
    <t>It is recommended that the National Railway Safety Agency consider whether the owners of locomotives belonging to group D445 or similar should equip such locomotives with automatic switching off devices for the diesel pre-heating system when the movement of the rolling stock is detected</t>
  </si>
  <si>
    <t>IT-5482/3</t>
  </si>
  <si>
    <t>Si raccomanda allâ€™Agenzia Nazionale per la Sicurezza delle Ferrovie di provvedere affinché i ...</t>
  </si>
  <si>
    <t>Si raccomanda allâ€™Agenzia Nazionale per la Sicurezza delle Ferrovie di provvedere affinché i detentori di locomotori appartenenti al gruppo D445 o simili valutino lâ€™adozione di misure di protezione da eventuali fiamme che si possono sviluppare allâ€™interno del cassone contenente il dispositivo Webasto, anche a veicolo fermo (ad esempio la protezione delle griglie di aereazione del motore diesel presenti in prossimità del vano della caldaia di preriscaldo del motore). Analoga attenzione andrà posta per proteggere altre apparecchiature sotto cassa, il cui cattivo o mancato funzionamento, a causa dellâ€™alta temperatura, potrebbe determinare lâ€™aggravarsi delle conseguenze di un eventuale incendio</t>
  </si>
  <si>
    <t>IT-5482/4</t>
  </si>
  <si>
    <t>The National Railway Safety Agency is recommended to ensure that the holders of locomotives belonging to group D445 or similar consider the adoption of protection measures against any flame that may be developed within the device containing the device Webasto, even when the vehicle is stationary (e.g. protection of diesel engine grids in the vicinity of the engineâ€™s heat boiler room). Similar attention will be paid to protect other equipment under the casing, whose bad or non-functioning, due to the high temperature, could worsen the consequences of a possible fire</t>
  </si>
  <si>
    <t>IT-5482/5</t>
  </si>
  <si>
    <t>Si raccomanda allâ€™Agenzia Nazionale per la Sicurezza delle Ferrovie di adoperarsi affinché i ...</t>
  </si>
  <si>
    <t>Si raccomanda allâ€™Agenzia Nazionale per la Sicurezza delle Ferrovie di adoperarsi affinché i detentori di locomotori appartenenti al gruppo D445 o simili valutino lâ€™adozione di misure di protezione dagli incendi dei cablaggi delle apparecchiature elettriche dellâ€™impianto antincendio e delle altre apparecchiature di sicurezza, che corrono allâ€™interno della cassa e sottocassa.</t>
  </si>
  <si>
    <t>IT-5482/6</t>
  </si>
  <si>
    <t>The National Railway Safety Agency is recommended to ensure that the owners of locomotives belonging to the D445 group or similar assess the adoption of fire protection measures for the wiring of the electrical equipment of the fire-fighting system and other safety equipment, that run inside the case and underbody.</t>
  </si>
  <si>
    <t>IT-5482/7</t>
  </si>
  <si>
    <t>Si raccomanda allâ€™Agenzia Nazionale per la Sicurezza delle Ferrovie di adoperarsi affinché i detentori di locomotori appartenenti al gruppo D445 o simili valutino lâ€™adozione di una alimentazione elettrica autonoma dellâ€™impianto antincendio</t>
  </si>
  <si>
    <t>IT-5482/8</t>
  </si>
  <si>
    <t>The National Railway Safety Agency is recommended to make sure that the owners of locomotives belonging to the D445 group or similar assess the adoption of an autonomous power supply for the fire-fighting system.</t>
  </si>
  <si>
    <t>IT-5482/9</t>
  </si>
  <si>
    <t>Si raccomanda allâ€™Agenzia Nazionale per la Sicurezza delle Ferrovie di adoperarsi affinché le ...</t>
  </si>
  <si>
    <t>Si raccomanda allâ€™Agenzia Nazionale per la Sicurezza delle Ferrovie di adoperarsi affinché le imprese ferroviarie che utilizzano locomotori appartenenti al gruppo D445 o simili garantiscano che le procedure relative allâ€™impiego di locomotori che viaggiano impresenziati consentano lâ€™alimentazione elettrica per gli impianti antincendio e il loro funzionamento in condizioni di sicurezza</t>
  </si>
  <si>
    <t>IT-5482/10</t>
  </si>
  <si>
    <t>It is recommended that the National Railway Safety Agency should ensure that railway undertakings using locomotives belonging to group D445 or similar ensure that the procedures for the use of locomotives traveling unattended allow electrical supply for fire-fighting systems and their safe operation</t>
  </si>
  <si>
    <t>IT-5482/11</t>
  </si>
  <si>
    <t>Si raccomanda allâ€™Agenzia Nazionale per la Sicurezza delle Ferrovie di adoperarsi affinché i detentori di locomotori valutino lâ€™adozione di tecnologie meccaniche/pneumatiche, azionabili manualmente anche dallâ€™esterno del rotabile, in aggiunta allâ€™alimentazione elettrica, per lâ€™azionamento degli impianti antincendio</t>
  </si>
  <si>
    <t>IT-5482/12</t>
  </si>
  <si>
    <t>The National Railway Safety Agency is recommended to ensure that locomotive owners assess the adoption of mechanical/pneumatic technologies, which can be manually operated from outside the rolling stock, in addition to the power supply, for the operation of fire-fighting systems</t>
  </si>
  <si>
    <t>IT-5482/13</t>
  </si>
  <si>
    <t>Si raccomanda allâ€™Agenzia Nazionale per la Sicurezza delle Ferrovie di verificare lo stato di ...</t>
  </si>
  <si>
    <t>Si raccomanda allâ€™Agenzia Nazionale per la Sicurezza delle Ferrovie di verificare lo stato di implementazione della raccomandazione n. 4 emanata in occasione dellâ€™investigazione relativa allâ€™incidente occorso il 27.03.2013 al treno 3024 dellâ€™impresa ferroviaria Trenitalia S.p.A., nella stazione di Firenze Cascine, consistente nellâ€™incendio del locomotore D445.1039, recepita dallâ€™ANSF e trasformata in prescrizione a tutte le imprese con provvedimento prot. 009157/2013 del 17.12.2013</t>
  </si>
  <si>
    <t>IT-5482/14</t>
  </si>
  <si>
    <t>It is recommended that the National Railway Safety Agency verify the implementation status of recommendation no. 4 issued on the occasion of the investigation into the accident occurred on 27.03.2013 on train 3024 of the railway company Trenitalia SpA, in the Florence Cascine station, consisting of the fire of the D445.1039 locomotive, implemented by the ANSF and converted into a requirement to all undertakings by means of measure No 009157/2013 of 17.12.2013.</t>
  </si>
  <si>
    <t>IT-5482/15</t>
  </si>
  <si>
    <t>Si raccomanda allâ€™Agenzia Nazionale per la Sicurezza delle Ferrovie di adoperarsi affinché i detentori di locomotori appartenenti al gruppo D445 o simili, migliorino le operazioni di pulizia del locale motore termico in modo tale da mantenere tale locale il più possibile sgombro da accumulo di olii, lubrificanti vari e residui di gasolio, in particolare in corrispondenza della vasca di raccolta dei colaticci, per evitare rischi di inneschi di incendio e per ridurre il carico di incendio</t>
  </si>
  <si>
    <t>IT-5482/16</t>
  </si>
  <si>
    <t>The National Railway Safety Agency is recommended to ensure that the owners of locomotives belonging to the D445 group or similar, improve the cleaning operations of the heat engine room in order to keep this room as free as possible from oil accumulation, various lubricants and diesel residues, in particular at the at the leachate collection tank, in order to avoid fire risk and to reduce the fire load</t>
  </si>
  <si>
    <t>IT-5482/17</t>
  </si>
  <si>
    <t>Si raccomanda allâ€™Agenzia Nazionale per la Sicurezza delle Ferrovie di verificare che lâ€™impresa ...</t>
  </si>
  <si>
    <t>Si raccomanda allâ€™Agenzia Nazionale per la Sicurezza delle Ferrovie di verificare che lâ€™impresa ferroviaria Mercitalia Rail abbia in essere efficaci attività di formazione, audit ed ispezione sul proprio personale addetto alla condotta dei locomotori in merito al condizionamento dei locomotori diesel</t>
  </si>
  <si>
    <t>IT-5482/18</t>
  </si>
  <si>
    <t>It is recommended that the National Railway Safety Agency verify that the railway undertaking Mercitalia Rail has in place effective training, auditing and inspection activities on its train drivers with regard to the conditioning of diesel locomotives</t>
  </si>
  <si>
    <t>IT-5481/1</t>
  </si>
  <si>
    <t>Soggetti Responsabili della Manutenzione (SRM) revisionino i loro piani di manutenzione definendo ...</t>
  </si>
  <si>
    <t>Soggetti Responsabili della Manutenzione (SRM) revisionino i loro piani di manutenzione definendo appropriati intervalli chilometrici manutentivi per i controlli non distruttivi (NDT), rendendoli adeguati alle caratteristiche tecniche e geometriche del materiale rotabile: nello specifico detti piani di manutenzione devono essere in funzione del diametro delle ruote dei carri ribassati circolanti nel territorio nazionale e registrati nel RIN.</t>
  </si>
  <si>
    <t>IT-5481/2</t>
  </si>
  <si>
    <t>The entities in charge of maintenance to review their maintenance plans by defining the appropriate mileage maintenance intervals for non-destructive testing, making them suitable for the technical and geometrical characteristics of the rolling stock: specifically, these maintenance plans must be based on the diameter the wheels of the lowered carriages circulating in the national territory and registered in the National Vehicle Register.</t>
  </si>
  <si>
    <t>IT-5481/3</t>
  </si>
  <si>
    <t>L'ANSF ed il Ministero Infrastrutture e dei Trasporti, valutino l'opportunità di promuovere nelle ...</t>
  </si>
  <si>
    <t>L'ANSF ed il Ministero Infrastrutture e dei Trasporti, valutino l'opportunità di promuovere nelle sedi opportune la definizione di un nuovo standard normativo specifico per tutte le tipologie di veicoli non normati dalla EN 15313:2016 "Requisiti per l'impiego in esercizio delle sale montate - Manutenzione delle sale montate in esercizio e fuori d'opera"</t>
  </si>
  <si>
    <t>IT-5481/4</t>
  </si>
  <si>
    <t>The National Safety Authority for Railways (ANSF) and the Ministry of Infrastructures and Transport, evaluate the opportunity to promote in the appropriate forums the definition of a new specific regulatory standard for all types of vehicles not regulated by EN 15313: 2016 "Requirements for the use in service of wheelsets - Maintenance of the wheelsets in operation and out of service"</t>
  </si>
  <si>
    <t>IT-5510/1</t>
  </si>
  <si>
    <t>Si raccomanda allâ€™Agenzia Nazionale per la Sicurezza delle Ferrovie di adoperarsi affinché le IF ...</t>
  </si>
  <si>
    <t>Si raccomanda allâ€™Agenzia Nazionale per la Sicurezza delle Ferrovie di adoperarsi affinché le IF sensibilizzino il personale tecnico sullâ€™importanza del regolare svolgimento della manutenzione dei dispositivi relativi al rotolamento degli assili, ponendo particolare attenzione allâ€™assemblaggio degli elementi strutturali del complesso boccola e al controllo delle corrette geometrie dei profili ruota.</t>
  </si>
  <si>
    <t>IT-5510/2</t>
  </si>
  <si>
    <t>The National Railway Safety Agency is recommended to ensure that RUs raise awareness among technical staff of the importance of the smooth maintenance of the track-side rolling equipment, with particular attention being paid to assembling the structural elements of the axle box and checking the correct geometry of the wheel profiles.</t>
  </si>
  <si>
    <t>IT-5510/3</t>
  </si>
  <si>
    <t>Si raccomanda allâ€™Agenzia Nazionale per la Sicurezza delle Ferrovie di adoperarsi presso le IF ...</t>
  </si>
  <si>
    <t>Si raccomanda allâ€™Agenzia Nazionale per la Sicurezza delle Ferrovie di adoperarsi presso le IF affinché comprovino, ove prevista, la ridondanza funzionale dei sistemi di sorveglianza termica sui dispositivi meccanici correlati direttamente alle condizioni di sicurezza di marcia del rotabile. Qualora la ridondanza non sia comprovata, i sistemi sono da ritenersi inefficienti e le IF devono individuare e porre in essere le opportune azioni mitigative al fine di garantire equivalenti condizioni di sicurezza di marcia del rotabile</t>
  </si>
  <si>
    <t>IT-5510/4</t>
  </si>
  <si>
    <t>The National Railway Safety Agency is recommended to work at the RUs to provide proof, where provided, of the functional redundancy of thermal monitoring systems on mechanical devices that are directly related to the safety of the rolling stock. Where redundancy is not proven, the systems shall be considered inefficient and the RUs must identify and put in place appropriate mitigating actions to ensure equivalent rolling stock safety conditions.</t>
  </si>
  <si>
    <t>IT-5510/5</t>
  </si>
  <si>
    <t>Si raccomanda allâ€™Agenzia Nazionale per la Sicurezza delle Ferrovie di adoperarsi affinché le IF verifichino la fattibilità di prevedere, sui treni equipaggiati con sistemi RTB di bordo, livelli di allarme termico attivabili non solo in base alla elaborazione di valori istantanei di temperatura ma anche mediante valutazione dei relativi gradienti temporali</t>
  </si>
  <si>
    <t>IT-5510/6</t>
  </si>
  <si>
    <t>The National Railway Safety Agency is recommended to ensure that the RUs check the feasibility of anticipating, on trains equipped with on-board HABD, the temperature alert levels that can be activated not only on the basis of the development of instantaneous temperature values, but also by assessing the relative gradients in time.</t>
  </si>
  <si>
    <t>IT-5510/7</t>
  </si>
  <si>
    <t>Si raccomanda allâ€™Agenzia Nazionale per la Sicurezza delle Ferrovie di adoperarsi presso i GI ...</t>
  </si>
  <si>
    <t>Si raccomanda allâ€™Agenzia Nazionale per la Sicurezza delle Ferrovie di adoperarsi presso i GI affinché riesaminino, sempre sulla base della Normativa Europea EN 15437-1/2009, le procedure di acquisizione e di elaborazione dei dati termici rilevati dagli apparati RTB di terra, con particolare riferimento al processo di validazione delle misurazioni.</t>
  </si>
  <si>
    <t>IT-5510/8</t>
  </si>
  <si>
    <t>The National Railway Safety Agency is recommended to work with the IMs to review, again on the basis of European legislation EN 15437-1/2009, the procedures for the acquisition and processing of thermal data collected by RTB track systems, with particular reference to the process of validating measurements.</t>
  </si>
  <si>
    <t>IT-5510/9</t>
  </si>
  <si>
    <t>Si raccomanda allâ€™Agenzia Nazionale per la Sicurezza delle Ferrovie di adoperarsi affinché i GI ...</t>
  </si>
  <si>
    <t>Si raccomanda allâ€™Agenzia Nazionale per la Sicurezza delle Ferrovie di adoperarsi affinché i GI verifichino la fattibilità di prevedere, per gli RTB di terra, livelli di allarme termico sulle singole boccole attivabili non solo in base alla elaborazione dei valori di temperatura acquisiti dal singolo RTB ma anche mediante lâ€™analisi del relativo gradiente basato sulle misure rilevate dagli RTB allâ€™avanzare del treno</t>
  </si>
  <si>
    <t>IT-5510/10</t>
  </si>
  <si>
    <t>It is recommended that the National Railway Safety Agency ensure that IMs check the feasibility of setting up, for track-side TBs, thermal alarm levels on individual axle boxes that can be activated not only by processing the temperature values acquired by the individual RTB but also by analyzing the relative gradient based on the measurements taken by the RTBs as the train progresses</t>
  </si>
  <si>
    <t>IT-5551/1</t>
  </si>
  <si>
    <t>Si raccomanda allâ€™Agenzia Nazionale per la Sicurezza delle Ferrovie di verificare che i gestori ...</t>
  </si>
  <si>
    <t>Si raccomanda allâ€™Agenzia Nazionale per la Sicurezza delle Ferrovie di verificare che i gestori dellâ€™infrastruttura mettano in atto, per il personale impegnato in attività di visita in linea, idonee attività di formazione, mantenimento delle competenze e verifica della corretta esecuzione dei compiti, con particolare riguardo allâ€™identificazione dei difetti allâ€™armamento che possono comportare vincoli allâ€™esercizio ferroviario o necessitino di programmazione di interventi di carattere straordinario ed alla necessità di programmare controlli straordinari ad ultrasuoni nelle tratte in galleria in presenza di infiltrazioni dâ€™acqua.</t>
  </si>
  <si>
    <t>IT-5551/2</t>
  </si>
  <si>
    <t>It is recommended to the National Railway Safety Agency to check that infrastructure managers implement -for staff involved in visiting railway lines- suitable training activities, maintenance of skills and verification of the correct task execution, in particular the identification of defects in the equipment which might lead to restrictions in the railway operation or might need a programming of interventions of extraordinary character and might lead to programming extraordinary ultrasonic controls in the sections of the tunnel due to water infiltrations.</t>
  </si>
  <si>
    <t>IT-5551/3</t>
  </si>
  <si>
    <t>Si raccomanda allâ€™Agenzia Nazionale per la Sicurezza delle Ferrovie di verificare che le imprese ...</t>
  </si>
  <si>
    <t>Si raccomanda allâ€™Agenzia Nazionale per la Sicurezza delle Ferrovie di verificare che le imprese ferroviarie mettano in atto, per il personale di condotta, idonee attività di formazione e di mantenimento delle competenze, con particolare riguardo allâ€™importanza del rispetto del Regolamento per la Circolazione Ferroviaria emanato con Decreto ANSF n. 4/2012 del 9 agosto 2012, articolo 13.2</t>
  </si>
  <si>
    <t>IT-5551/4</t>
  </si>
  <si>
    <t>It is recommended to the National Railway Safety Agency to check that the railway undertakings implement -for their drivers- suitable training and maintenance activities, taking into account in particular the importance of compliance with the Railway Circulation Regulations issued by ANSF Decree no. 4/2012 of 9 August 2012, article 13.2</t>
  </si>
  <si>
    <t>IT-5551/5</t>
  </si>
  <si>
    <t>Si raccomanda allâ€™Agenzia Nazionale per la Sicurezza delle Ferrovie di adoperarsi affinché il ...</t>
  </si>
  <si>
    <t>Si raccomanda allâ€™Agenzia Nazionale per la Sicurezza delle Ferrovie di adoperarsi affinché il gestore dellâ€™infrastruttura RFI SpA verifichi lâ€™opportunità di aggiornare i documenti di verbalizzazione delle visite al binario previsti dalle Disposizioni operative di dettaglio per la visita linea ordinaria nei settori â€œArmamento e sedeâ€ e â€œTEâ€, in modo che questi contengano indicazioni per lâ€™operatore in merito alle difettosità riscontrate almeno nellâ€™ultima visita precedente ed allâ€™eventuale stato della risoluzione e realizzi uno strumento informatico in grado di analizzare lâ€™andamento delle condizioni dellâ€™armamento al fine di identificare situazioni di rapido degrado a partire dalle informazioni presenti sui rapporti delle visite in linea.</t>
  </si>
  <si>
    <t>IT-5551/6</t>
  </si>
  <si>
    <t>It is recommended to the National Railway Safety Agency to ensure that the RFI SpA infrastructure manager checks the possibility to update the reporting of railway lines visits as mentioned in the Detailed Operational Provisions for routine railway line visits in the "Infrastrusture and Seat" and "Electric traction" sectors, so that these contain indications for the operator regarding the defects found at least during the last previous visit and the eventual state of the resolution and create an IT tool able to analyze the progress of the conditions of the infrastructure in order to identify situations of rapid degradation, starting from the existing information on the reports of visits.</t>
  </si>
  <si>
    <t>IT-5551/7</t>
  </si>
  <si>
    <t>Si raccomanda allâ€™Agenzia Nazionale per la Sicurezza delle Ferrovie di adoperarsi affinché il gestore dellâ€™infrastruttura RFI SpA aggiorni le proprie procedure relative al presidio manutentivo adottato per lâ€™infrastruttura ferroviaria prevedendo il coinvolgimento diretto dei livelli tecnici di responsabilità superiori rispetto allâ€™operatore che rileva situazioni critiche sulla linea e prevedendo il coinvolgimento diretto delle strutture centrali responsabili della programmazione di interventi di manutenzione straordinaria nel caso in cui si presentino anomalie non risolvibili in modo definitivo con interventi a cura delle DTP.</t>
  </si>
  <si>
    <t>IT-5551/8</t>
  </si>
  <si>
    <t>It is recommended to the National Railway Safety Agency to ensure that the manager of the RFI SpA infrastructure updates their procedures relating to the maintenance of railway infrastructures by ensuring the direct involvement of the technical levels of superior responsibilities with respect to the operator that detects critical situations on the line and ensuring the direct involvement of the central structures responsible for planning extraordinary maintenance interventions if anomalies cannot be resolved definitively with the interventions of the Local Production Departments.</t>
  </si>
  <si>
    <t>IT-5551/9</t>
  </si>
  <si>
    <t>Si raccomanda allâ€™Agenzia Nazionale per la Sicurezza delle Ferrovie di adoperarsi affinché il gestore dellâ€™infrastruttura RFI SpA aggiorni Il Regolamento per la Circolazione dei Treni e lâ€™Istruzione per il servizio del personale di condotta delle locomotive (IPCL), rendendoli coerenti con quanto previsto dal Regolamento per la Circolazione Ferroviaria di ANSF nel caso in cui, durante la marcia del treno, lâ€™agente di condotta rilevi anormalità allâ€™infrastruttura ferroviaria o al binario percorso, esplicitando che la comunicazione dellâ€™anomalia rilevata da parte dellâ€™agente di condotta debba essere effettuata al regolatore della circolazione in luogo del â€œdirigenteâ€ o altra terminologia utilizzata per indicarlo.</t>
  </si>
  <si>
    <t>IT-5551/10</t>
  </si>
  <si>
    <t>It is recommended to the National Railway Safety Agency to ensure that the manager of the RFI SpA infrastructure updates the Regulations for Train Circulation and the Instructions for the service of the locomotive staff (IPCL), making them consistent with the provisions of the Regulations for the Railway Circulation of National Safety Authority for Railways (ANSF) in which case, during the train's journey, the driver shall detect abnormalities in the railway infrastructure or track, stating that the communication of the anomaly detected by the driver must be carried out by the signaller instead of the "manager" or other terminology used to indicate this.</t>
  </si>
  <si>
    <t>IT-5584/1</t>
  </si>
  <si>
    <t>Si raccomanda allâ€™Agenzia Nazionale per la Sicurezza delle Ferrovie di verificare che i gestori dellâ€™infrastruttura mettano in atto idonee attività di formazione, mantenimento delle competenze e verifica della corretta esecuzione dei compiti per il personale deputato ad attività di visita in linea o responsabile delle stesse, con particolare riguardo allâ€™importanza che riveste la necessità di provvedere, laddove previsto, al controllo ad ultrasuoni manuale per verificare se allâ€™interno della rotaia si siano innescate fenditure che possono provocare rotture di rotaia, allâ€™identificazione dei difetti allâ€™armamento che possono comportare vincoli allâ€™esercizio ferroviario o necessitino di programmazione di interventi di carattere straordinario (in particolare sui giunti) ed alla corretta verbalizzazione di quanto riscontrato nel corso delle visite in linea</t>
  </si>
  <si>
    <t>IT-5584/2</t>
  </si>
  <si>
    <t>It is recommended that the National Railway Safety Agency ensure that infrastructure managers carry out appropriate training, maintenance of skills and verification of the proper performance of tasks for staff involved in on-line or responsible visit activities, in particular with regards to the importance of carrying out, where appropriate, manual ultrasound checks to verify whether cracks have occurred within the rail which may lead to breakdowns of rail, identification of defects in switches and crossings which may lead to constraints on the operation of the railway or require the programming of extraordinary operations (in particular on joints) and the correct recording of what was found during the on-line visits</t>
  </si>
  <si>
    <t>IT-5584/3</t>
  </si>
  <si>
    <t>In considerazione dellâ€™importanza che riveste la diagnostica ultrasonica ai fini della riduzione dei ...</t>
  </si>
  <si>
    <t>In considerazione dellâ€™importanza che riveste la diagnostica ultrasonica ai fini della riduzione dei rischi di rottura delle rotaie e dei diversi incidenti che tali rotture hanno provocato in tempi recenti, si raccomanda allâ€™Agenzia Nazionale per la Sicurezza delle Ferrovie di avviare con i gestori delle infrastrutture ferroviarie un processo finalizzato a rendere la diagnostica ad ultrasuoni uno strumento perfettamente integrato con il programma di vigilanza sullâ€™infrastruttura, soprattutto per quanto riguarda la percezione dello stesso da parte degli operatori</t>
  </si>
  <si>
    <t>IT-5584/4</t>
  </si>
  <si>
    <t>In view of the importance of ultrasonic diagnostics in reducing the risk of breakage of rails and of the various accidents which have occurred recently, it is recommended that the National Railway Safety Agency launch a process with railway infrastructure managers to make ultrasonic diagnostics a tool fully integrated with the infrastructure monitoring program, especially with regard to the perception of the infrastructure by operators</t>
  </si>
  <si>
    <t>IT-5584/5</t>
  </si>
  <si>
    <t>Si raccomanda allâ€™Agenzia Nazionale per la Sicurezza delle Ferrovie di valutare con i gestori ...</t>
  </si>
  <si>
    <t>Si raccomanda allâ€™Agenzia Nazionale per la Sicurezza delle Ferrovie di valutare con i gestori dellâ€™infrastruttura lâ€™opportunità che i giunti isolanti incollati diventino oggetto di specifica verifica durante le visite in linea</t>
  </si>
  <si>
    <t>IT-5584/6</t>
  </si>
  <si>
    <t>The National Railway Safety Agency is recommended to evaluate with the infrastructure managers the opportunity that glued insulating joints become the subject of specific verification during online visits</t>
  </si>
  <si>
    <t>IT-5584/7</t>
  </si>
  <si>
    <t>si raccomanda allâ€™Agenzia Nazionale per la Sicurezza delle Ferrovie di valutare lâ€™opportunità che i ...</t>
  </si>
  <si>
    <t>si raccomanda allâ€™Agenzia Nazionale per la Sicurezza delle Ferrovie di valutare lâ€™opportunità che i gestori dellâ€™infrastruttura introducano la verifica di allineamento della superficie di rotolamento tra i controlli da compiere sui giunti isolanti incollati in opera, in analogia a quanto già viene verificato in sede di fabbricazione dei giunti</t>
  </si>
  <si>
    <t>IT-5584/8</t>
  </si>
  <si>
    <t>The National Railway Safety Agency is recommended to assess the appropriateness of the infrastructure managers introducing the check of alignment of the rolling surface between the checks to be carried out on the insulating joints operated, in line with the checks already carried out in the manufacture of joints</t>
  </si>
  <si>
    <t>REC-000116</t>
  </si>
  <si>
    <t>IT-5584/9</t>
  </si>
  <si>
    <t>Si raccomanda allâ€™Agenzia Nazionale per la Sicurezza delle Ferrovie di valutare il processo di ...</t>
  </si>
  <si>
    <t>Si raccomanda allâ€™Agenzia Nazionale per la Sicurezza delle Ferrovie di valutare il processo di monitoraggio adottato dal gestore dellâ€™infrastruttura RFI SpA, con particolare riferimento alla sua attuazione, alle modalità e alle tempistiche con cui il gestore dellâ€™infrastruttura deve concretizzare il superamento delle non conformità rilevate e le azioni mitigative individuate per risolvere problematiche emerse in sede di monitoraggio</t>
  </si>
  <si>
    <t>IT-5584/10</t>
  </si>
  <si>
    <t>The National Railway Safety Agency is recommended to evaluate the monitoring process adopted by the infrastructure manager RFI SpA, with particular reference to its implementation, the methods and timescales with which the infrastructure manager must implement the overcoming of the detected non-conformities and the mitigating actions identified to solve problems that emerged during monitoring</t>
  </si>
  <si>
    <t>IT-5700/1</t>
  </si>
  <si>
    <t>Monitoring of previously issued recommendations</t>
  </si>
  <si>
    <t>Si raccomanda allâ€™Agenzia Nazionale per la Sicurezza delle Ferrovie ed al Dipartimento per i trasporti, la navigazione, gli affari generali ed il personale del Ministero delle Infrastrutture e dei Trasporti di verificare lâ€™effettivo recepimento, da parte dei soggetti destinatari, delle raccomandazioni emanate, ai sensi dellâ€™art. 24 del D.Lgs. n. 162/2007, dallâ€™Organismo Investigativo a conclusione di precedenti indagini svolte su incidenti ai passaggi a livello, e di darne riscontro alla Direzione Generale per le Investigazioni Ferroviarie e Marittime.</t>
  </si>
  <si>
    <t>IT-5700/2</t>
  </si>
  <si>
    <t>It is recommended that the National Railway Safety Agency and the Department for Transport, Navigation, General Affairs and Personnel of the Ministry of Infrastructure and Transport verify the effective implementation by the recipients of the recommendations issued , pursuant to art. 24 of Legislative Decree no. 162/2007, by the Investigative Body at the conclusion of previous investigations carried out on accidents at level crossings, and to give feedback to the General Directorate for Railway and Maritime Investigations.</t>
  </si>
  <si>
    <t>IT-5700/3</t>
  </si>
  <si>
    <t>implementation of Commission delegated regulation 2018/762</t>
  </si>
  <si>
    <t>Si raccomanda allâ€™Agenzia Nazionale per la Sicurezza delle Ferrovie e alla Direzione Generale per i sistemi di trasporto ad impianti fissi e il trasporto pubblico locale del Ministero delle Infrastrutture e dei Trasporti di adoperarsi affinché i gestori delle infrastrutture ferroviarie ottemperino a quanto previsto nel Regolamento Delegato (UE) 2018/762 della Commissione e nelle â€œLinee guida per la progettazione e lâ€™implementazione di un Sistema di Gestione della Sicurezza nel settore ferroviarioâ€ dellâ€™Agenzia Ferroviaria Europea, anche per quanto concerne lâ€™analisi dei rischi importati da parti terze nei passaggi a livello. Le azioni mitigative che verranno individuate, ove necessario in cooperazione con gli enti proprietari della strada e le altre amministrazioni interessate, devono includere, in un ordine di priorità per ciascuna delle seguenti categorie, i passaggi a livello: i) da sopprimere senza la realizzazione di opere sostitutive; ii) da sopprimere previa realizzazione di opere sostitutive; iii) che necessitano di specifici interventi, di carattere tecnologico e normativo, in ambito ferroviario (anche con riferimento a quanto previsto al punto 4.24 del Regolamento Circolazione Ferroviaria di ANSF) e/o stradale. Lâ€™Agenzia Nazionale per la Sicurezza delle Ferrovie, tenuto conto di quanto emerso nel corso della presente indagine, deve verificare che i seguenti gestori dellâ€™infrastruttura ottemperino in via prioritaria alla presente raccomandazione: - RFI S.p.A., relativamente al PL km 12+413 sulla tratta Rodallo-Caluso ed ai passaggi a livello presenti sulla tratta Bojano-Guardiaregia; - FER S.r.l., relativamente al passaggio a livello n. 28 (Km 14+185 e 14+200) della linea Modena-Sassuolo.</t>
  </si>
  <si>
    <t>IT-5700/4</t>
  </si>
  <si>
    <t>It is recommended that the National Railway Safety Agency and the Directorate General for transport systems for fixed installations and local public transport of the Ministry of Infrastructure and Transport ensure that railway infrastructure managers comply with the provisions of the Delegated Regulation (EU) 2018/762 of the Commission and in the "Guidelines for the design and implementation of a Safety Management System in the railway sector" of the European Railway Agency, also as regards the analysis of the risks imported by third parties in level crossings. The mitigation actions that will be identified, where necessary in cooperation with the street owners and other interested administrations, must include, in a priority order for each of the following categories, level crossings: i) to be suppressed without the implementation of replacement works; ii) to be canceled following the completion of replacement works; iii) that require specific technological and regulatory interventions in the railway sector (also with reference to the provisions of point 4.24 of the ANSF Railway Regulations) and / or road regulations. The National Agency for Railway Safety, taking into account what emerged during this investigation, must verify that the following infrastructure managers comply with this recommendation as a priority: - RFI S.p.A., relating to the PL 12 + 413 km on the Rodallo-Caluso section and the level crossings on the Bojano-Guardiaregia section; - FER S.r.l., relating to level crossing no. 28 (Km 14 + 185 and 14 + 200) of the Modena-Sassuolo line.</t>
  </si>
  <si>
    <t>IT-5700/5</t>
  </si>
  <si>
    <t>Risk assessment related to the third parties in the level crossing</t>
  </si>
  <si>
    <t>Si raccomanda allâ€™Agenzia Nazionale per la Sicurezza delle Ferrovie e alla Direzione Generale per i sistemi di trasporto ad impianti fissi e il trasporto pubblico locale del Ministero delle Infrastrutture e dei Trasporti di adoperarsi affinché i gestori delle infrastrutture ferroviarie tengano conto, nella analisi dei rischi importati da parti terze nei passaggi a livello, anche di parametri esogeni riferiti al contesto in cui i PL sono inseriti. Con specifico riferimento ai pericoli di indebito attraversamento e di tallonamento di barriere da parte di veicoli, tra i parametri esogeni che i gestori possono ad esempio prendere in esame, si evidenziano in particolare: - caratteristiche geometriche (dimensioni longitudinali e trasversali, profilo altimetrico, etc.), classificazione funzionale (urbana, locale, rurale, etc.), senso di circolazione (unico, doppio), limitazioni al transito per determinate categorie di veicoli e limiti di velocità della strada di attraversamento del PL; - intensità e composizione del traffico stradale (autovetture, autocarri autotreni e autoarticolati, autobus, macchine agricole, etc); - angolo di intersezione tra strada e ferrovia, presenza di curve o dossi stradali, presenza di incroci, rotatorie o altro tipo di intersezioni stradali (eventualmente regolati da semafori) in prossimità del passaggio a livello; - densità abitativa e presenza di aree industriali/produttive o particolari (es. aree di cava) in prossimità del PL.</t>
  </si>
  <si>
    <t>IT-5700/6</t>
  </si>
  <si>
    <t>It is recommended that the National Railway Safety Agency and the Directorate-General for transport systems for fixed installations and the local public transport of the Ministry of Infrastructure and Transport take steps to ensure that the rail infrastructure managers take the risk analysis into account imported from third parties in level crossings, including exogenous parameters referring to the context in which the LCs are inserted. With specific reference to the dangers of undue crossing and towing of barriers by vehicles, among the exogenous parameters that the managers can, for example, take into consideration are shown in particular: - geometrical characteristics (longitudinal and transversal dimensions, altimetric profile, etc.), functional classification (urban, local, rural, etc.), direction of circulation (single, double), transit restrictions for specific vehicle categories and speed limits of the LC crossing road; - intensity and composition of road traffic (cars, trucks, lorries, buses, agricultural machines, etc.); - intersection angle between road and railway, presence of curves or road bumps, presence of intersections, roundabouts or other type of road intersections (possibly regulated by traffic lights) near the level crossing; - population density and presence of industrial / productive or particular areas (eg quarry areas) near the LC.</t>
  </si>
  <si>
    <t>IT-5700/7</t>
  </si>
  <si>
    <t>Sharing of the risk analysis by the infrastructure manager</t>
  </si>
  <si>
    <t>Si raccomanda allâ€™Agenzia Nazionale per la Sicurezza delle Ferrovie e alla Direzione Generale per i sistemi di trasporto ad impianti fissi e il trasporto pubblico locale del Ministero delle Infrastrutture e dei Trasporti di adoperarsi affinché i gestori delle infrastrutture ferroviarie, nellâ€™analisi degli incidenti o inconvenienti che avvengono nei passaggi a livello, estendano alle parti terze la ricerca delle cause dirette, indirette e a monte, al fine di identificare e valutare le eventuali criticità e sollecitare lâ€™adozione, anche da parte di soggetti esterni alla ferrovia (enti proprietari della strada, altre amministrazioni interessate, etc.), delle necessarie misure mitigative.</t>
  </si>
  <si>
    <t>IT-5700/8</t>
  </si>
  <si>
    <t>It is recommended that the National Railway Safety Agency and the Directorate-General for transport systems for fixed installations and the local public transport of the Ministry of Infrastructure and Transport ensure that rail infrastructure managers, in the analysis of accidents or inconveniences that occur in level crossings, extend to third parties the search for direct, indirect and upstream causes, in order to identify and assess any critical issues and solicit adoption, even by subjects outside the railway (road owners) , other interested administrations, etc.), of the necessary mitigative measures.</t>
  </si>
  <si>
    <t>IT-5700/9</t>
  </si>
  <si>
    <t>verification of the visibility of the traffic light signaling devices of the LCs</t>
  </si>
  <si>
    <t>Si raccomanda allâ€™Agenzia Nazionale per la Sicurezza delle Ferrovie e alla Direzione Generale per i sistemi di trasporto ad impianti fissi e il trasporto pubblico locale del Ministero delle Infrastrutture e dei Trasporti di adoperarsi affinché i gestori delle infrastrutture ferroviarie, in ottemperanza a quanto previsto dagli artt. 186 e 187 del DPR n. 445/1992 e dallâ€™art. 5.2 della norma UNI 11117:2009, verifichino la corretta visibilità dalla strada dei dispositivi di segnalazione semaforica dei PL, prevedendone la ripetizione nei casi in cui tale visibilità risulti insufficiente.</t>
  </si>
  <si>
    <t>IT-5700/10</t>
  </si>
  <si>
    <t>It is recommended that the National Railway Safety Agency and the Directorate-General for transport systems for fixed installations and the local public transport of the Ministry of Infrastructure and Transport ensure that the rail infrastructure managers, in compliance with the provisions of the Articles. 186 and 187 of the DPR n. 445/1992 and by art. 5.2 of the UNI 11117: 2009 standard, verify the correct visibility from the road of the traffic light signaling devices of the LC, providing for their repetition in cases where such visibility is insufficient.</t>
  </si>
  <si>
    <t>IT-5700/11</t>
  </si>
  <si>
    <t>Proposal for a legislative amendment to the Road Code</t>
  </si>
  <si>
    <t>Si raccomanda allâ€™Ufficio Legislativo ed al Dipartimento per i trasporti, la navigazione, gli affari generali ed il personale del Ministero delle Infrastrutture e dei Trasporti di valutare lâ€™opportunità di proporre una modifica del Codice della Strada che preveda lâ€™accertamento delle violazioni di cui allâ€™articolo 147 (â€œComportamento ai passaggi a livelloâ€) per mezzo di appositi dispositivi o apparecchiature di rilevamento, in analogia a quanto già previsto allâ€™articolo 201, comma 1bis, del Codice stesso per il rilevamento automatico di altre tipologie di infrazioni.</t>
  </si>
  <si>
    <t>IT-5700/12</t>
  </si>
  <si>
    <t>573/5000 It is recommended that the Legislative Office and the Department for Transport, Navigation, General Affairs and Personnel of the Ministry of Infrastructure and Transport assess the advisability of proposing a modification of the Highway Code which foresees the ascertainment of violations of referred to in Article 147 ("Level crossing behavior") by means of special detection devices or equipment, similar to that already provided for in Article 201, paragraph 1bis, of the Code itself for the automatic detection of other types of infringements .</t>
  </si>
  <si>
    <t>IT-5700/13</t>
  </si>
  <si>
    <t>Si raccomanda allâ€™Ufficio Legislativo ed al Dipartimento per i trasporti, la navigazione, gli affari generali ed il personale del Ministero delle Infrastrutture e dei Trasporti di valutare lâ€™opportunità di proporre una modifica del Codice della Strada che preveda un aumento delle sanzioni per violazioni di cui allâ€™articolo 147 (â€œComportamento ai passaggi a livelloâ€), nei casi in cui le stesse siano commesse alla guida di veicoli per il trasporto di persone o cose con massa superiore alle 3,5t, tenuto conto del loro maggior impatto sulla sicurezza dei trasporti.</t>
  </si>
  <si>
    <t>IT-5700/14</t>
  </si>
  <si>
    <t>It is recommended that the Legislative Office and the Department for Transport, Navigation, General Affairs and Personnel of the Ministry of Infrastructure and Transport assess the advisability of proposing a modification of the Highway Code that provides for an increase in penalties for violations of article 147 ("Level crossing behavior"), in cases where they are committed to driving vehicles for the transport of persons or goods with a mass greater than 3.5 tons, taking into account their greater impact on the transport safety.</t>
  </si>
  <si>
    <t>IT-5700/15</t>
  </si>
  <si>
    <t>improvement of the procedures and amendments to the regulations in force relating to the authorization of exceptional transport</t>
  </si>
  <si>
    <t>Si raccomanda allâ€™Ufficio Legislativo ed al Dipartimento per i trasporti, la navigazione, gli affari generali ed il personale del Ministero delle Infrastrutture e dei Trasporti di adoperarsi affinché il D.Lgs. 30 aprile 1992, n. 285 (Codice della Strada) e il relativo Regolamento di esecuzione e di attuazione (DPR 495/1992) siano opportunamente integrati prevedendo che, per il rilascio della specifica autorizzazione alla circolazione di trasporti e di veicoli eccezionali (art. 10 comma 6 del CdS) sia obbligatorio, in caso di attraversamento di passaggi a livello su linee ferroviarie, ottenere un nullaosta del gestore dellâ€™infrastruttura ferroviaria, a garanzia della sicurezza dell'attraversamento. Nelle more dellâ€™attuazione della suindicata integrazione normativa, si raccomanda al Dipartimento per i trasporti, la navigazione, gli affari generali ed il personale di emanare con immediatezza un provvedimento, indirizzato agli enti proprietari ed ai concessionari delle strade, che preveda, per il richiedente lâ€™autorizzazione alla circolazione di trasporti e di veicoli eccezionali, lâ€™obbligo di ottenere, in caso di attraversamento di passaggi a livello, uno specifico nullaosta da parte del gestore dellâ€™infrastruttura ferroviaria. Si raccomanda al Dipartimento per i trasporti, la navigazione, gli affari generali ed il personale ed al Dipartimento per le infrastrutture, i sistemi informativi e statistici del Ministero delle Infrastrutture e dei Trasporti, tenuto conto dellâ€™attuale complessità del quadro normativo riguardante la circolazione dei veicoli eccezionali e dei trasporti in condizioni di eccezionalità, e al fine di evitare che possibili difformità applicative possano avere ripercussioni negative sulla sicurezza dei trasporti, di valutare lâ€™opportunità di riordinare lâ€™intera disciplina in materia di veicoli eccezionali e trasporti in condizioni di eccezionalità, in coordinamento con le altre Amministrazioni competenti.</t>
  </si>
  <si>
    <t>IT-5700/16</t>
  </si>
  <si>
    <t>It is recommended that the Legislative Office and the Department for Transport, Navigation, General Affairs and Personnel of the Ministry of Infrastructure and Transport ensure that the Legislative Decree of 30 April 1992, n. 285 (Highway Code) and the related Implementation and Implementation Regulation (Presidential Decree 495/1992) are appropriately integrated by providing that, for the issue of the specific authorization for the circulation of transport and exceptional vehicles (Article 10 paragraph 6 of the CdS) it is mandatory, in the event of crossing level crossings on railway lines, to obtain a permit from the railway infrastructure manager, to guarantee the safety of the crossing. Pending the implementation of the aforementioned regulatory integration, it is recommended that the Department for Transport, Navigation, General Affairs and Personnel immediately issue a provision, addressed to the owners and road concessionaires, which provides, for the applicant the authorization for the circulation of transport and exceptional vehicles, the obligation to obtain, in the event of crossing level crossings, a specific permit from the railway infrastructure manager. It is recommended that the Department for Transport, Navigation, General Affairs and Personnel and the Department for Infrastructures, the information and statistical systems of the Ministry of Infrastructure and Transport, taking into account the current complexity of the regulatory framework concerning the circulation of exceptional vehicles and transport in exceptional conditions, and in order to prevent possible application differences from occurring have negative repercussions on transport safety, to evaluate the opportunity to reorganize the entire regulation on exceptional vehicles and transport in exceptional conditions, in coordination with other competent Administrations.</t>
  </si>
  <si>
    <t>IT-5700/17</t>
  </si>
  <si>
    <t>Improvement traffic management at LC km 16+516, line Luino-Gallarate</t>
  </si>
  <si>
    <t>Si raccomanda allâ€™Agenzia Nazionale per la Sicurezza delle Ferrovie di adoperarsi affinché il gestore dellâ€™infrastruttura ferroviaria RFI S.p.A. valuti come prioritaria, per il PL Km 16+516 della linea Luino-Gallarate, lâ€™installazione di un dispositivo che consenta di verificare la libertà dellâ€™attraversamento.</t>
  </si>
  <si>
    <t>IT-5700/18</t>
  </si>
  <si>
    <t>It is recommended to the National Railway Safety Agency to ensure that the railway infrastructure manager RFI S.p.A. evaluate as a priority, for the PL 16 + 516 of the Luino-Gallarate line, the installation of a device that allows verifying the freedom of crossing.</t>
  </si>
  <si>
    <t>IT-5700/19</t>
  </si>
  <si>
    <t>Improvement of road traffic management at LC 16+516, line Luino-Gallarate</t>
  </si>
  <si>
    <t>Si raccomanda al Comune di Ternate (VA) ed alla Provincia di Varese, in qualità di enti proprietari/gestori delle strade interessate, di adeguare alle vigenti disposizioni normative (Codice della Strada e relativo Regolamento di esecuzione e di attuazione) le strade di avvicinamento e di attraversamento (Via Palude) del PL Km 16+516 della linea ferroviaria Luino-Gallarate. In particolare si segnala la necessità di intervenire sulle seguenti criticità: a) errato posizionamento di parte della segnaletica stradale verticale che regolamenta la circolazione stradale di Via Palude provenendo dalla rotatoria sulla SP18 in direzione del PL 16+516, e precisamente: i) cartello di transito vietato ai veicoli o complessi di veicoli aventi lunghezza superiore a 9 metri; ii) cartello che segnala un pericoloso restringimento della carreggiata su entrambi i lati. b) assenza di segnaletica stradale verticale (pannelli distanziometrici con 3, 2 e 1 striscia rossa, posti rispettivamente a 150, 100 e 50 metri prima del passaggio a livello) nel tratto di Via Palude compreso tra la rotatoria sulla SP18 ed il PL stesso; c) assenza di segnaletica stradale verticale e orizzontale di avviso e pericolo passaggio a livello con barriere nel tratto di Via Palude compreso tra Via Ori e il PL stesso; d) caratteristiche geometriche di Via Palude, in particolare a ridosso ed immediatamente dopo lâ€™attraversamento della sede ferroviaria, in considerazione del doppio senso di marcia vigente. In particolare la limitata larghezza della strada (4 m circa) sembra non garantire la circolazione in sicurezza non solo dei mezzi pesanti per i quali è comunque vietato il transito (lunghezze maggiori di 9 m e peso superiore alle 5 t.) ma, più in generale, anche di altri veicoli a cui invece in transito è attualmente consentito (ad es. nel caso di incrocio sulla sede ferroviaria di due veicoli di grandi dimensioni quali suv, furgoni, camper, mezzi agricoli, etc.).</t>
  </si>
  <si>
    <t>IT-5700/20</t>
  </si>
  <si>
    <t>It is recommended that the Municipality of Ternate (VA) and the Province of Varese, as the owner / operator of the roads concerned, adapt the approach roads to the current regulatory provisions (Highway Code and its Implementing and Implementation Regulations). crossing (Via Palude) of the PL 16 + 516 Km of the Luino-Gallarate railway line. In particular, we highlight the need to intervene on the following critical issues: a) incorrect positioning of part of the vertical road signs that regulate the road traffic on Via Palude coming from the roundabout on the SP18 in the direction of PL 16 + 516, namely: i) transit sign prohibited to vehicles or vehicle complexes longer than 9 meters; ii) sign indicating a dangerous narrowing of the carriageway on both sides. b) absence of vertical road signs (distance plates with 3, 2 and 1 red strip, placed respectively at 150, 100 and 50 meters before the level crossing) in the section of Via Palude between the roundabout on the SP18 and the LC itself; c) absence of vertical and horizontal road signs for warning and danger level crossing with barriers in the section of Via Palude between Via Ori and the PL itself; d) geometrical characteristics of Via Palude, in particular close behind and immediately after crossing the railway site, in consideration of the double direction in force. In particular, the limited width of the road (approximately 4 m) does not seem to guarantee the safe circulation not only of heavy vehicles for which transit is in any case forbidden (lengths greater than 9 m and weight exceeding 5 tonnes) but, more generally , also of other vehicles to which instead in transit is currently allowed (for example in the case of crossing on the railway site of two large vehicles such as SUVs, vans, campers, agricultural vehicles, etc.).</t>
  </si>
  <si>
    <t>IT-5700/21</t>
  </si>
  <si>
    <t>improvement of road traffic management al LCs, line Venafro-Termoli section Bojano-Guardaregia</t>
  </si>
  <si>
    <t>Si raccomanda ai Comuni di Bojano e Guardiaregia, alla Provincia di Campobasso ed allâ€™ANAS S.p.A., in qualità di enti proprietari/gestori delle strade interessate, di adeguare alle vigenti disposizioni normative (Codice della Strada e relativo Regolamento di esecuzione e di attuazione) le strade di avvicinamento e di attraversamento dei passaggi a livello presenti sulla tratta ferroviaria Bojano-Guardiaregia. In particolare si segnala la necessità di intervenire sulle seguenti criticità: a) parziale assenza della segnaletica stradale verticale e orizzontale di avviso e pericolo presenza di passaggio a livello; b) parziale assenza di segnaletica stradale verticale che regolamenta la circolazione stradale, con particolare riferimento ai divieti di transito per veicoli o complessi di veicoli eccedenti una determinata lunghezza;</t>
  </si>
  <si>
    <t>IT-5700/22</t>
  </si>
  <si>
    <t>It is recommended that the Municipalities of Bojano and Guardiaregia, the Province of Campobasso and ANAS SpA, in their capacity as owners / managers of the roads involved, adapt the current regulations (Road Code and its Implementing and Implementing Regulations) to approach and crossing roads of level crossings on the Bojano-Guardiaregia railway line. In particular, we highlight the need to intervene on the following critical issues: a) partial absence of vertical and horizontal road signs and warning of the presence of level crossing; b) partial absence of vertical road signs which regulate road traffic, with particular reference to transit prohibitions for vehicles or vehicle complexes exceeding a certain length;</t>
  </si>
  <si>
    <t>IT-5700/23</t>
  </si>
  <si>
    <t>Improvement traffic management at LCs, line Modena-Sassuolo</t>
  </si>
  <si>
    <t>Si raccomanda allâ€™Agenzia Nazionale per la Sicurezza delle Ferrovie di adoperarsi affinché il gestore dellâ€™infrastruttura ferroviaria FER S.r.l. valuti come prioritaria, per il PL n. 28 (Km 14+185 e 14+200) della linea Modena-Sassuolo, installazione di un dispositivo che consenta di verificare la libertà dellâ€™attraversamento</t>
  </si>
  <si>
    <t>IT-5700/24</t>
  </si>
  <si>
    <t>It is recommended to the National Railway Safety Agency to make sure that the railway infrastructure manager FER S.r.l. evaluates as a priority, for LC no. 28 (Km 14 + 185 and 14 + 200) of the Modena-Sassuolo line, installation of a device that allows verifying the freedom of crossing</t>
  </si>
  <si>
    <t>IT-5700/25</t>
  </si>
  <si>
    <t>Improvement of visibility of traffic light signals at LCs from road side</t>
  </si>
  <si>
    <t>Si raccomanda allâ€™Agenzia Nazionale per la Sicurezza delle Ferrovie di adoperarsi affinché il gestore dellâ€™infrastruttura ferroviaria FER S.r.l., in ottemperanza a quanto previsto dagli artt. 186 e 187 del DPR n. 445/1992 e dallâ€™art. 5.2 della norma UNI 11117:2009, verifichi la corretta visibilità dalla strada dei dispositivi di segnalazione semaforica del PL n. 28 (PL km 14+185 e Km 14+200), prevedendone la ripetizione nei casi in cui tale visibilità risulti insufficiente.</t>
  </si>
  <si>
    <t>IT-5700/26</t>
  </si>
  <si>
    <t>It is recommended to the National Railway Safety Agency to ensure that the railway infrastructure manager FER S.r.l., in compliance with the provisions of articles 186 and 187 of the DPR n. 445/1992 and by art. 5.2 of the UNI 11117: 2009 standard, verifies the correct visibility from the street of the traffic light signaling devices of the PL n. 28 (PL km 14 + 185 and Km 14 + 200), providing for their repetition in cases where this visibility is insufficient.</t>
  </si>
  <si>
    <t>IT-5700/27</t>
  </si>
  <si>
    <t>Improvement of road traffic management at LC (Km 14+185 e 14+200), line Modena-Sassuolo</t>
  </si>
  <si>
    <t>Si raccomanda al Comune di Sassuolo ed alla Provincia di Modena, in qualità di enti proprietari/gestori delle strade interessate, di adeguare alle vigenti disposizioni normative (Codice della Strada e relativo Regolamento di esecuzione e di attuazione) le strade di avvicinamento e di attraversamento al PL n. 28 (Km 14+185 e 14+200) della linea Modena-Sassuolo. In particolare si segnala la necessità di intervenire sulle seguenti criticità: a) presenza di folto fogliame, originato da arbusti e alberi posti sul limitare del marciapiede, che riduce la visibilità della segnaletica verticale sulla SP467R - direzione da Reggio Emilia verso Modena - in prossimità del PL km 14+200; b) assenza della segnaletica di avvertimento di interferenza con la linea ferroviaria sia sulla Circonvallazione Sassuolo Nord-Est provenendo da Prignano (sud), sia sulla strada che, in uscita dal complesso cimiteriale limitrofo, immette nella rotatoria; c) esigua lunghezza (circa 30 m) del tratto stradale della SP467R (direzione Reggio Emilia-Modena) che, superato il PL km 14+200, immette nella rotatoria. Lâ€™elevato traffico di mezzi pesanti spesso causa lâ€™incolonnamento di due o più autoarticolati in attesa di immettersi nella rotatoria, con il rischio che i successivi veicoli in coda - in caso di regolare chiusura della barriera del PL e arrivo di un treno - non riescano a liberare in tempo utile il passaggio a raso sul binario</t>
  </si>
  <si>
    <t>IT-5700/28</t>
  </si>
  <si>
    <t>t is recommended that the Municipality of Sassuolo and the Province of Modena, as the owner / operator of the roads involved, adapt the approach and crossing roads to the current regulatory provisions (Highway Code and its Implementing and Implementation Regulations) PL n. 28 (Km 14 + 185 and 14 + 200) of the Modena-Sassuolo line. In particular, we highlight the need to intervene on the following critical issues: a) presence of thick foliage, originating from shrubs and trees placed on the edge of the pavement, which reduces the visibility of vertical signs on the SP467R - direction from Reggio Emilia towards Modena - near the PL km 14 + 200; b) absence of warning signs of interference with the railway line both on the Sassuolo Nord-Est ring road coming from Prignano (south), and on the road which, leaving the adjacent cemetery complex, enters the roundabout; c) short length (about 30 m) of the road section of the SP467R (direction Reggio Emilia-Modena) which, after crossing the PL km 14 + 200, enters the roundabout. The heavy traffic of heavy vehicles often causes the queue of two or more articulated lorries waiting to enter the roundabout, with the risk that the subsequent vehicles in the queue - in the event of regular closure of the PL barrier and the arrival of a train - do not succeed in freeing the passage to level on the track in good time</t>
  </si>
  <si>
    <t>IT-5723/1</t>
  </si>
  <si>
    <t>Si raccomanda allâ€™Agenzia Nazionale per la Sicurezza delle Ferrovie di considerare lâ€™opportunità che ...</t>
  </si>
  <si>
    <t>Si raccomanda allâ€™Agenzia Nazionale per la Sicurezza delle Ferrovie di considerare lâ€™opportunità che i gestori dellâ€™infrastruttura intraprendano attività di studio e ricerca tese al miglioramento delle modalità e dei dispositivi di valutazione del livello di inquinamento idrogeologico della sede ferroviaria, utili al rafforzamento della sorveglianza nei territori individuati nel proprio database di rischio ed alla verifica dellâ€™efficacia dei provvedimenti correlati alla variabilità delle caratteristiche dellâ€™esercizio ferroviario</t>
  </si>
  <si>
    <t>IT-5723/2</t>
  </si>
  <si>
    <t>The National Railway Safety Agency is recommended to consider the opportunity for infrastructure managers to undertake study and research activities aimed at improving the methods and devices for assessing the level of hydrogeological pollution of the railway site, useful for strengthening surveillance in the territories identified in its risk database and verification of the effectiveness of the measures related to the variability of the characteristics of the railway operation</t>
  </si>
  <si>
    <t>IT-5723/3</t>
  </si>
  <si>
    <t>Si raccomanda allâ€™Agenzia per la Sicurezza delle Ferrovie di adoperarsi affinché i gestori ...</t>
  </si>
  <si>
    <t>Si raccomanda allâ€™Agenzia per la Sicurezza delle Ferrovie di adoperarsi affinché i gestori dellâ€™infrastruttura individuino e verifichino periodicamente i territori che, in analogia alla tratta di linea oggetto dello svio, presentano un maggiore rischio idrogeologico e pongano in atto azioni di mitigazione dei fenomeni di degrado delle caratteristiche strutturali e geometriche della sede ferroviaria</t>
  </si>
  <si>
    <t>IT-5723/4</t>
  </si>
  <si>
    <t>The Railway Safety Agency is recommended to ensure that infrastructure managers identify and regularly check the areas which, in line with the section of the line being diverted, present a greater hydrogeological risk and implement phenomena to mitigate the phenomena. degradation of the structural and geometric characteristics of the railway site</t>
  </si>
  <si>
    <t>REC-000121</t>
  </si>
  <si>
    <t>IT-5723/5</t>
  </si>
  <si>
    <t>Si raccomanda allâ€™Agenzia Nazionale per la Sicurezza delle Ferrovie di verificare che i gestori dellâ€™infrastruttura abbiano in essere idonee attività di formazione, audit ed ispezione sul proprio personale, con particolare riferimento alla conoscenza delle istruzioni e delle procedure, da seguire in caso di riscontro di non conformità emerse nel corso delle visite in linea e alla definizione di congruenti tempistiche per lâ€™attivazione delle soluzioni manutentive</t>
  </si>
  <si>
    <t>IT-5723/6</t>
  </si>
  <si>
    <t>The National Railway Safety Agency is recommended to verify that the infrastructure managers have suitable training, auditing and inspection activities on their staff, with particular reference to the knowledge of the instructions and procedures, to be followed in the event of verification of non-conformities that emerged during the on-line visits and the definition of congruent timing for the activation of the maintenance solutions</t>
  </si>
  <si>
    <t>IT-5723/7</t>
  </si>
  <si>
    <t>Si raccomanda allâ€™Agenzia Nazionale per la Sicurezza delle Ferrovie di verificare che le imprese ferroviarie mettano in atto idonee attività di formazione, mantenimento delle competenze e verifica della corretta esecuzione dei compiti per il personale di condotta, richiamando lâ€™attenzione su procedure da porre in atto in caso di non coerente comportamento del rotabile rispetto alle condizioni di marcia preimpostate, per cause non immediatamente evidenziabili dalla strumentazione di bordo (ad esempio, prolungata diminuzione della velocità di un rotabile in assenza di convenzionali resistenze al moto di livelletta o di curva).</t>
  </si>
  <si>
    <t>IT-5723/8</t>
  </si>
  <si>
    <t>The National Railway Safety Agency is recommended to verify that railway companies put in place appropriate training, maintenance of skills and verification of the correct performance of tasks for the drivers, drawing attention to procedures to be implemented in the event of inconsistent rolling stock behavior compared to pre-set running conditions, due to reasons not immediately highlighted by on-board equipment (e.g. prolonged reduction of the speed of a rolling stock in the absence of conventional resistance to on-board equipment) level or curve motion).</t>
  </si>
  <si>
    <t>IT-5723/9</t>
  </si>
  <si>
    <t>Si raccomanda allâ€™Agenzia per la Sicurezza delle Ferrovie di monitorare le sperimentazioni sui ...</t>
  </si>
  <si>
    <t>Si raccomanda allâ€™Agenzia per la Sicurezza delle Ferrovie di monitorare le sperimentazioni sui Derailment Detection Devices (DDD) tuttora in atto e, in caso di esiti positivi anche in considerazione dellâ€™evoluzione tecnologica, di valutare, insieme a DiGIFeMa, lâ€™opportunità di riproporne nelle sedi internazionali lâ€™adozione sui veicoli ferroviari</t>
  </si>
  <si>
    <t>IT-5723/10</t>
  </si>
  <si>
    <t>The Railway Safety Agency is recommended to monitor the experiments on the Derailment Detection Devices (DDD) still in progress and, in case of positive results also in consideration of the technological evolution, to evaluate, together with DiGIFeMa, the opportunity to propose their adoption on railway vehicles at international level</t>
  </si>
  <si>
    <t>IT-5970/1</t>
  </si>
  <si>
    <t>Si raccomanda allâ€™Agenzia Nazionale per la Sicurezza delle Ferrovie di richiedere a Mercitalia Rail ...</t>
  </si>
  <si>
    <t>Si raccomanda allâ€™Agenzia Nazionale per la Sicurezza delle Ferrovie di richiedere a Mercitalia Rail di mantenere in essere i provvedimenti adottati con nota della Direzione Tecnica di Mercitalia Rail del 19.11.2018 e richiamati con nota ANSF del 08.07.2019 riguardanti lâ€™utilizzo di locomotive dei gruppi D445 e D345 ai treni aventi in composizione carri carichi con merce RID (ovvero carri vuoti non bonificati i cui ultimi prodotti contenuti siano stati merci RID), fino a quando non saranno state individuate azioni mitigative delle cause dirette individuate, atte a garantire lâ€™accettabilità del rischio secondo quanto previsto dal quadro normativo vigente. Lâ€™ANSF valuti la possibilità di estendere tale raccomandazione alle altre imprese ferroviarie e ai servizi di trasporto passeggeri</t>
  </si>
  <si>
    <t>IT-5970/2</t>
  </si>
  <si>
    <t>It is recommended that the National Railway Safety Agency request Mercitalia Rail to maintain the measures taken by note of the Technical Directorate of Mercitalia Rail of 19.11.2018 and recalled by note ANSF of 08.07.2019 concerning the use of locomotives in groups D445 and D345 5 to trains consisting of wagons loaded with RID goods (i.e. unupgraded empty wagons the last products of which were RID goods), until mitigation actions of the identified direct causes have been identified to ensure risk acceptability in accordance with the applicable regulatory framework. The ANSF shall consider the possibility of extending this recommendation to other railway undertakings and passenger transport services</t>
  </si>
  <si>
    <t>IT-5970/3</t>
  </si>
  <si>
    <t>Si raccomanda allâ€™Agenzia Nazionale per la Sicurezza delle Ferrovie di adoperarsi affinché i Soggetti Responsabili della Manutenzione dispongano un controllo straordinario di tutti i dispositivi di tranciamento della membrana delle valvole erogatrici del fluido contenuto nelle bombole dellâ€™impianto antincendio, sui locomotori appartenenti al gruppo D445, onde verificarne la corretta taratura e funzionalità e dispongano controlli periodici, con adeguata frequenza, al fine di accertare il mantenimento di detti requisiti nel tempo. Analoga verifica dovrà essere effettuata sugli impianti antincendio di simile tipologia installati su altri locomotori</t>
  </si>
  <si>
    <t>IT-5970/4</t>
  </si>
  <si>
    <t>It is recommended that the National Railway Safety Agency ensure that the Entities responsible for maintenance have an extraordinary check of all the fluid flow-discharge devices contained in the fire-fighting system's cylinders, on the locomotives in group D445, in order to verify their correct calibration and functionalities and that they have regular checks, with appropriate frequency, to ensure that these requirements are maintained over time ... Similar verification should be carried out on fire-fighting systems of this type installed on other locomotives</t>
  </si>
  <si>
    <t>REC-000216</t>
  </si>
  <si>
    <t>IT-5970/5</t>
  </si>
  <si>
    <t>Si raccomanda allâ€™Agenzia Nazionale per la Sicurezza delle Ferrovie di verificare che lâ€™impresa ferroviaria Mercitalia Rail abbia in essere efficaci attività di selezione, formazione, audit ed ispezione del personale addetto alla condotta dei locomotori ed alla verifica degli impianti antincendio prima della partenza del convoglio.</t>
  </si>
  <si>
    <t>IT-5970/6</t>
  </si>
  <si>
    <t>The National Railway Safety Agency is recommended to verify that the railway undertaking Mercitia Rail has in place effective selection, training, auditing and inspection activities of the staff involved in the conduct of the locomotives and the verification of the fire-fighting systems before the train starts.</t>
  </si>
  <si>
    <t>REC-000217</t>
  </si>
  <si>
    <t>IT-5970/7</t>
  </si>
  <si>
    <t>Si raccomanda allâ€™Agenzia Nazionale per la Sicurezza delle Ferrovie di adoperarsi affinché le imprese ferroviarie valutino la possibilità di utilizzo di apposite check list, da parte dellâ€™Agente di Condotta, prima della partenza, la cui spunta può essere determinante sulla possibilità dâ€™uso del locomotore</t>
  </si>
  <si>
    <t>IT-5970/8</t>
  </si>
  <si>
    <t>The National Railway Safety Agency is recommended to ensure that railway undertakings assess the possibility of using appropriate checklists by the Conduct Agent prior to departure, the check of which can be decisive for the possibility of use of the locomotive.</t>
  </si>
  <si>
    <t>IT-5970/9</t>
  </si>
  <si>
    <t>Si raccomanda allâ€™Agenzia Nazionale per la Sicurezza delle Ferrovie di adoperarsi affinché i Soggetti Responsabili della Manutenzione garantiscano il funzionamento e lâ€™affidabilità di tutte le sonde termiche che determinano lâ€™invio del segnale di allarme antincendio allâ€™Agente di Condotta</t>
  </si>
  <si>
    <t>IT-5970/10</t>
  </si>
  <si>
    <t>The National Railway Safety Agency is recommended to ensure that the Maintenance Managers ensure the operation and reliability of all thermal probes that lead to the sending of the fire alarm signal to the driver.</t>
  </si>
  <si>
    <t>IT-5988/1</t>
  </si>
  <si>
    <t>RELIABILITY TRAINING PROCESSES</t>
  </si>
  <si>
    <t>The NSA is recommended to verify that the railway undertakings have made detailed provisions in the training process for the personnel in charge of driving the trains. These provisions should concern in particular: - the criteria for identifying the tutoring staff for the new agents authorized to conduct and escort the trains during the planned training activities. This is to guarantee them a complete and correct transmission of information and skills; - the identification of specific tasks and attribution of the relative responsibilities to the personnel involved in the training process (trainers, tutors); - the preparation of an evaluation document in which to report the individual activities carried out by the students in the training process and the related final result.</t>
  </si>
  <si>
    <t>IT-5988/2</t>
  </si>
  <si>
    <t>The NSA is recommended to evaluate the opportunity to update the criteria necessary to guarantee both an adequate level of reliability and traceability of the training processes and the maintenance of the qualifications and certification of the personnel employed.</t>
  </si>
  <si>
    <t>IT-5988/3</t>
  </si>
  <si>
    <t>VERIFICATION OF DIFFORMITY or MISALIGNMENT between the IMs and RUs PROCEDURES</t>
  </si>
  <si>
    <t>The NSA is recommended to make sure that the RU Trenord and the IM FerrovieNord check whether their regulations, instructions and provisions show any discrepancies or misalignments regarding the procedures to be followed and the activities to be carried out by the driver and the conductor before the departure of a train from a signal-protected station. If so, the necessary changes must be made to standardize the regulatory texts with each other and in conformity with the safety principles in force. This is in order to eliminate possible erroneous behaviors by the on-board personnel due to an misunderstanding of the aforementioned texts. The NSA should also consider the opportunity to extend this verification to other infrastructure managers and other railway undertakings.</t>
  </si>
  <si>
    <t>IT-5988/4</t>
  </si>
  <si>
    <t>TRAIN PROTECTION SYSTEM (TPS)</t>
  </si>
  <si>
    <t>The NSA is recommended to evaluate the opportunity that the verification measures on the signals are redundant, on single track sections not equipped with an automatic train protection system.</t>
  </si>
  <si>
    <t>IT-5988/5</t>
  </si>
  <si>
    <t>TRAIN DRIVING MONITORING</t>
  </si>
  <si>
    <t>The NSA is recommended to verify that the RUs carry out activities to monitor the train driving process with adequate frequency, checking both the train data information systems (DIS) and the presence and efficiency of the individual equipment service technologies.</t>
  </si>
  <si>
    <t>IT-5988/6</t>
  </si>
  <si>
    <t>EMERGENCY PROCEDURES â€“ TRAINING FOR PERSONNEL AND PASSENGERS</t>
  </si>
  <si>
    <t>The NSA is recommended to request the IMs and RUs to verify the effectiveness of: - training, audit and inspection activities for its personnel on the procedures to be followed in an emergency situation, in order to guarantee the safety of passengers and to prevent further emergencies - communication activities aimed at educating passengers about the procedures to be followed and the correct behaviors to take in an emergency situation (accident, inconvenience, train stopped in line or in tunnels, etc.). These activities should be shared between IMs and RUs.</t>
  </si>
  <si>
    <t>IT-6040/1</t>
  </si>
  <si>
    <t>vehicle maintenance plans</t>
  </si>
  <si>
    <t>It is recommended that the NSA (ANSF) works to ensure that the interested parties introduce, in the vehicle maintenance plans, procedures to check the components that have a direct influence on the safety of the railway operation. These procedures should be oriented towards the integrated use of several types of NDT [Visual test (VT), Magnetic Particles (MPI), Liquid Penetrant (LPI), Ultrasonic test (UT), Radiographic test (RT), Eddy current testing (ECT)].</t>
  </si>
  <si>
    <t>REC-000346</t>
  </si>
  <si>
    <t>IT-6040/2</t>
  </si>
  <si>
    <t>Execution of the Non-Destructive Testings</t>
  </si>
  <si>
    <t>It is recommended that the NSA (ANSF) works to ensure that the interested parties define, for the execution of the Non-Destructive Testings, detailed Technical Specifications which, in accordance with current sector regulations, contain at least: â€¢ the type of instrumentation to be used and the relative methods for carrying out the controls, with an explanation of all the necessary reference parameters, â€¢ the skills of the operating personnel employed, in any case adhering to what is specified in the relevant ANSF Guidelines Rev.1 of 09/09/2018, â€¢ the preventive planning of activities for the entire temporal development of the service, â€¢ the methods for monitoring the activities during the execution of the NDT operators that however should be implemented by personnel with adequate skills, â€¢ the methods for recording the results of the tests, so as to give documentary evidence of the values of the parameters detected and in any case to ensure the subsequent carrying out of comparative analysis of the results of checks carried out in different periods. In the case of entrusting the service to an external contractor, the following elements must also be defined: â€¢ the methods of managing the interface and monitoring, including the prior acquisition of the risk assessment document of the external supplier, in order to ascertain that the same document has adequately assessed the risks associated with its activities and implemented the corresponding control measures. This assessment document should also ensure its consistency with the monitoring measures implemented by the rail operator based on its risk assessment</t>
  </si>
  <si>
    <t>IT-6040/3</t>
  </si>
  <si>
    <t>Procedures for training and skill qualification activities</t>
  </si>
  <si>
    <t>Given the fact that visual inspections are quantitatively prevalent among the activities envisaged in the maintenance plans, it is recommended that the NSA (ANSF) works so that the interested parties implement suitable training activities, procedures for maintaining skills and verifying the correct execution of the tasks dedicated to the staff responsible for carrying out these checks. For this purpose, the possible submission of the aforementioned personnel to structured qualification processes should also be envisaged, in accordance with the relevant ANSF Guidelines.</t>
  </si>
  <si>
    <t>IT-6040/4</t>
  </si>
  <si>
    <t>Improving check procedures in the scheduled mantainance plans</t>
  </si>
  <si>
    <t>It is recommended that the NSA (ANSF) works to ensure that the interested parties ascertain the possible presence, in the maintenance plans of the vehicles, of inconsistencies relating to the deadlines (temporal / kilometric) concerning the scheduled maintenance, including checks and controls, of components having direct influence on the safety of railway operations. In this case, the resolution of these inconsistencies should be taken.</t>
  </si>
  <si>
    <t>REC-000352</t>
  </si>
  <si>
    <t>IT-6040/5</t>
  </si>
  <si>
    <t>Implementation of traceabilty systems for the NDT</t>
  </si>
  <si>
    <t>It is recommended that the NSA (ANSF) works to ensure that the interested parties start benchmarking activities aimed at implementing traceability systems for the NDT carried out on the components that have a direct influence on the safety of railway operations</t>
  </si>
  <si>
    <t>IT-6242/1</t>
  </si>
  <si>
    <t>Failure to analyze the risk of road vehicle presence inside the LC barriers</t>
  </si>
  <si>
    <t>NSA is recommended to make sure that IM define obstacle conditions, such as road vehicle, which does not interfere within the PL barriers and identify the mitigation actions that may be necessary to allow. This should be done considering also the risk of movement of the obstacle, the transit of railway vehicles with acceptable risk, when obstacles are present within the barriers for which the driver can stop the train promptly.</t>
  </si>
  <si>
    <t>IT-5977/1</t>
  </si>
  <si>
    <t>Raccomandazione n. 1</t>
  </si>
  <si>
    <t>Si raccomanda all’Agenzia Nazionale per la Sicurezza delle Ferrovie e delle Infrastrutture Stradali e
Autostradali di adoperarsi affinché i gestori dell’infrastruttura ferroviaria attuino l’interruzione della circolazione su tutti i binari adiacenti in caso di interventi di manutenzione, di qualunque entità o durata che devono essere effettuati in punti singolari della rete ferroviaria convenzionale (gallerie, viadotti, ecc), in tutti i casi in cui tale interruzione sia prevista nel Regolamento per la Circolazione Ferroviaria; ovvero verifichino, nei casi in cui sussistano le condizioni per il mantenimento della circolazione sul binario adiacente a quello interrotto, l’efficacia delle misure adottate in attuazione agli 4.32b e 22.2 del Regolamento per la circolazione Ferroviaria (Decreto ANSF 4/2012 del 9.8.2012), rafforzandole se necessario.</t>
  </si>
  <si>
    <t>Raccomandazione n. 2</t>
  </si>
  <si>
    <t>Si raccomanda all’Agenzia Nazionale per la Sicurezza delle Ferrovie e delle Infrastrutture Stradali e Autostradali di adoperarsi affinché i gestori dell’infrastruttura ferroviaria:
- verifichino l’efficacia dei controlli sulle imprese appaltatrici che svolgono lavori
sull’infrastruttura ferroviaria assicurandosi della presenza su ogni mezzo d’opera di
personale con le necessarie abilitazioni e adeguata formazione nei confronti della
circolazione ferroviaria; 
- forniscano la verifica dell’efficacia degli strumenti di controllo della corretta compilazione, in tutte le loro parti (compresa l’apposizione della firma) e nelle tempistiche previste, di tutti i moduli necessari alla concessione dell’interruzione e alla riattivazione all’esercizio;
- verifichino la congruenza dei documenti, relativi al cantiere, scambiati tra gestore e imprese appaltatrici, in caso di possibili interferenze con la circolazione ferroviaria;
- verifichino l’efficacia della formazione del proprio personale e di quello delle imprese
appaltatrici, in materia di protezione dei cantieri, relativamente alle protezioni e al
comportamento da adottare nelle lavorazioni eseguite su un binario interrotto per evitare di interferire con la circolazione dei treni sul binario attiguo in esercizio o in alternativa per interrompere quest’ultimo binario in caso di sopravvenute necessità.</t>
  </si>
  <si>
    <t>ES-991/1</t>
  </si>
  <si>
    <t>Setting a checking program for carrying out periodic readings of trains´ data register devices in or</t>
  </si>
  <si>
    <t>Setting a checking program for carrying out periodic readings of trains´ data register devices in order to check if the drivers comply with rules.</t>
  </si>
  <si>
    <t>ES-991/2</t>
  </si>
  <si>
    <t>Carrying out an inspection of Ferrol-Pravia line section, auscultating the track in order to check i</t>
  </si>
  <si>
    <t>Carrying out an inspection of Ferrol-Pravia line section, auscultating the track in order to check if its parameters comply with the standard: " Feve. NFI track 002 - Geometrial Parameters" . Also, checking wether the track parameters are appropiate to the speed limit of the railway line.</t>
  </si>
  <si>
    <t>ES-990/1</t>
  </si>
  <si>
    <t>Keeping on doing inspections, every 30.000 km,of the non-substituted bush, according the established</t>
  </si>
  <si>
    <t>Keeping on doing inspections, every 30.000 km,of the non-substituted bush, according the established specifications and standards.</t>
  </si>
  <si>
    <t>ES-990/2</t>
  </si>
  <si>
    <t>Keeping on replacing the original bush by the new-designed one, according with that´s established. S</t>
  </si>
  <si>
    <t>Keeping on replacing the original bush by the new-designed one, according with that´s established. Speed on the replacement in case a problem is detected in the inspections mentioned in the fisrt recommendation.</t>
  </si>
  <si>
    <t>ES-990/3</t>
  </si>
  <si>
    <t>Establishing an specific follow-up programme of new bushes until they are totally validated. Once th</t>
  </si>
  <si>
    <t>Establishing an specific follow-up programme of new bushes until they are totally validated. Once they´re validated, there´ll be maintained as usual.</t>
  </si>
  <si>
    <t>ES-938/1</t>
  </si>
  <si>
    <t>Insisting on the strict fulfilling of the procedure "Tren - hotel ELIPSOS" by the on-board staff</t>
  </si>
  <si>
    <t>ES-938/2</t>
  </si>
  <si>
    <t>insisting on the fulfillment of article 313 of General Operating Rules by the guards</t>
  </si>
  <si>
    <t>ES-936/1</t>
  </si>
  <si>
    <t>Establishing a survey program for performing periodical readings of the train´s data recording devic</t>
  </si>
  <si>
    <t>Establishing a survey program for performing periodical readings of the train´s data recording device in order to check whether the behaviour of the train drivers complies with regulations.</t>
  </si>
  <si>
    <t>ES-923/1</t>
  </si>
  <si>
    <t>Performing an audit, external to Siderurgica Requena, S.A.,on the following aspects:1. Quality contr</t>
  </si>
  <si>
    <t>Performing an audit, external to Siderurgica Requena, S.A.,on the following aspects:1. Quality control and related documents of pressing on of wheels process 2. Checking the state, control and calibration of the tools for pressing on of wheels and its measurement systems</t>
  </si>
  <si>
    <t>ES-922/1</t>
  </si>
  <si>
    <t>Insisting, through training schemes addressed to drivers and shunters, on the strict observance of t</t>
  </si>
  <si>
    <t>Insisting, through training schemes addressed to drivers and shunters, on the strict observance of the rules as established in the General Operating Rules and in the "Prevention Procedure POP/20"</t>
  </si>
  <si>
    <t>ES-9/1</t>
  </si>
  <si>
    <t>Repairing the fence</t>
  </si>
  <si>
    <t>ES-9/2</t>
  </si>
  <si>
    <t>Reinforcing the fence where the transit is busier</t>
  </si>
  <si>
    <t>ES-899/1</t>
  </si>
  <si>
    <t>Adapting the LC´s road signage to what is settled in the relevant rule (Disposition, 2nd august 2000</t>
  </si>
  <si>
    <t>Adapting the LC´s road signage to what is settled in the relevant rule (Disposition, 2nd august 20001, related to LC), in particular the detention line</t>
  </si>
  <si>
    <t>ES-899/2</t>
  </si>
  <si>
    <t>Adapting the conditions of the LC to what is settled in the relevant rule (Disposition, 2nd august 2</t>
  </si>
  <si>
    <t>Adapting the conditions of the LC to what is settled in the relevant rule (Disposition, 2nd august 20001, related to LC),either changing the type of protection either modifying the visibility distance.</t>
  </si>
  <si>
    <t>ES-897/1</t>
  </si>
  <si>
    <t>Insisting in training schemes addressed to track maintenance staff which emphasize the importance of</t>
  </si>
  <si>
    <t>Insisting in training schemes addressed to track maintenance staff which emphasize the importance of strictly following the command hierarchy and of accurately fulfilling the rules when working at track meanwhile trains are operating.</t>
  </si>
  <si>
    <t>ES-897/2</t>
  </si>
  <si>
    <t>Performing inspections aimed to neutralize the non-compliances of the rules that are established for</t>
  </si>
  <si>
    <t>Performing inspections aimed to neutralize the non-compliances of the rules that are established for track works.</t>
  </si>
  <si>
    <t>ES-886/1</t>
  </si>
  <si>
    <t>When carrying out works on interlocking or blocking systems, an analysis and evaluation system of th</t>
  </si>
  <si>
    <t>When carrying out works on interlocking or blocking systems, an analysis and evaluation system of the installation company actions will be established, by the installation company,in accordance with the standard UNE-EN 50126 and the project safety plan and its additional protocols (safety case).</t>
  </si>
  <si>
    <t>ES-886/2</t>
  </si>
  <si>
    <t>In the case that the carrying out of these works affects the safety of the railway plant (signals, b</t>
  </si>
  <si>
    <t>In the case that the carrying out of these works affects the safety of the railway plant (signals, balusters, switch gear, etc.),the following measures should be taken: -interruption of the runnings, or if not possible, the establishment of an alternative blocking system that guarantees the safety of the circulation. -once finished the works, and before allowing the return to normal circulation, it will be checked on site that the safety of the railway plant (signals, balusters, switch gear, etc.) is in accordance with the estipulated standards. -the above conditions will be set out in the corresponding special order, specifying: -actions to be taken, those responsible for such actions and the required safety conditions, -the stoppage periods during the carrying out of the tests, -making sure that, during the testing period, the signalling concurs with the real railway traffic. All the above will be the result of a documented risk analysis to be done in conjuction with the installation company.</t>
  </si>
  <si>
    <t>ES-886/3</t>
  </si>
  <si>
    <t>the process of the company safety and quality managment system (related to the safety installation p</t>
  </si>
  <si>
    <t>the process of the company safety and quality managment system (related to the safety installation plant- both new and modified - and given the running of train is allowed) will be reviewed in order to avoid similar situations as ones given in this accident.In these cases, duties and responsabilities of the person in charge of placing the installation in service (since is the one who knows the technical risks produced by such situations) will be clarified. the company safety teams will control that the actions to verify/validate the systems or subsystems to be installed (or a modification of those) are carried out effectively. Besides, these teams will agree the actions to be done on site prior the placement in service. Before authorizing the placement of the installation in service (both new or a modification of existing one), all the above will have documentary evidence (particularized according to the project in question).</t>
  </si>
  <si>
    <t>ES-874/1</t>
  </si>
  <si>
    <t>Analyzing the feasibility of shortening the timing of maintenance actions on infrastructure componen</t>
  </si>
  <si>
    <t>Analyzing the feasibility of shortening the timing of maintenance actions on infrastructure components, similar to those which have been involved in this accident</t>
  </si>
  <si>
    <t>ES-874/2</t>
  </si>
  <si>
    <t>Analyzing the feasibility of increasing the "on foot inspections" on infrastructure components with</t>
  </si>
  <si>
    <t>Analyzing the feasibility of increasing the "on foot inspections" on infrastructure components with similar conditions to those used in Pinar de las Rozas station</t>
  </si>
  <si>
    <t>ES-873/1</t>
  </si>
  <si>
    <t>To review and update the procedure for the operation of gauge changing facility, containing the late</t>
  </si>
  <si>
    <t>To review and update the procedure for the operation of gauge changing facility, containing the latest modifications that have been done, checking that the duties of the operators, under extraordinary circumstances (e.g. snow or ice) are clearly defined.</t>
  </si>
  <si>
    <t>ES-873/2</t>
  </si>
  <si>
    <t>A detection system of drooping lockers will be permanently activated, with and indicator of lack of</t>
  </si>
  <si>
    <t>A detection system of drooping lockers will be permanently activated, with and indicator of lack of energy. The switches for turning on- off of the system will be sealed.</t>
  </si>
  <si>
    <t>ES-873/3</t>
  </si>
  <si>
    <t>To duplicate the detection system of unlocked lockers, improving the protection of micro switch to a</t>
  </si>
  <si>
    <t>To duplicate the detection system of unlocked lockers, improving the protection of micro switch to avoid sporadic actions which activate this system when there is not a real incidence.</t>
  </si>
  <si>
    <t>ES-873/4</t>
  </si>
  <si>
    <t>To consider the feasibility of installing a warning system for the train driver in order to, when a</t>
  </si>
  <si>
    <t>To consider the feasibility of installing a warning system for the train driver in order to, when a problem occurs, stop the train.</t>
  </si>
  <si>
    <t>ES-873/5</t>
  </si>
  <si>
    <t>To consider the feasibility of installing a warning system when the wheel doesnâ€™t move and produce a</t>
  </si>
  <si>
    <t>To consider the feasibility of installing a warning system when the wheel doesnâ€™t move and produce a warning for braking the train.</t>
  </si>
  <si>
    <t>ES-855/1</t>
  </si>
  <si>
    <t>Analyzing the feasability of increasing the timing of treatment of risky cuttings.</t>
  </si>
  <si>
    <t>ES-854/1</t>
  </si>
  <si>
    <t>Performing training schemes, concerning the settling of routes at this type of interlocking, mainly</t>
  </si>
  <si>
    <t>Performing training schemes, concerning the settling of routes at this type of interlocking, mainly aimed to new staff and personnel without enough know how about this kind of facilities.</t>
  </si>
  <si>
    <t>ES-852/1</t>
  </si>
  <si>
    <t>Addressee: Feve. Putting into effect the corrective measures that were established on the Traffic</t>
  </si>
  <si>
    <t>Addressee: Feve. Putting into effect the corrective measures that were established on the Traffic Safety Committee (30 March 2006) related to actions to be taken in those areas, in the province of Asturias, where track runs between cuttings. These measures are: Special surveillance of the infrastructure (by train and on foot), scheduling exploration hauls and establishing temporary speed restrictions at risky situations Carrying out protection works, essentially: setting up of meshes, concrete reinforcements, anchorings, screens, rock fills, retaining walls and tunnels extension. Conducting a study about stability of slope of embankmentin sections that are considered critical. Annual and systematic investment for this specific problem.</t>
  </si>
  <si>
    <t>ES-840/1</t>
  </si>
  <si>
    <t>At stations where there is a distribution of responsibilities concerning traffic tasks, a special or</t>
  </si>
  <si>
    <t>At stations where there is a distribution of responsibilities concerning traffic tasks, a special order must be established for defining the precise duties for every single staff and their relationship.</t>
  </si>
  <si>
    <t>ES-840/2</t>
  </si>
  <si>
    <t>Performing an analysis on the quality of initial training and retraining of those responsible for tr</t>
  </si>
  <si>
    <t>Performing an analysis on the quality of initial training and retraining of those responsible for traffic, regarding the traffic management in unusual conditions. Based on the results, the necessary actions to improve this will be established.</t>
  </si>
  <si>
    <t>ES-840/3</t>
  </si>
  <si>
    <t>The different departments involved in the execution of the work will have to develop a common protoc</t>
  </si>
  <si>
    <t>The different departments involved in the execution of the work will have to develop a common protocol of action for ensuring the coordination of the activities to accomplish.</t>
  </si>
  <si>
    <t>ES-840/4</t>
  </si>
  <si>
    <t>The special orders will have to specify which facilities are under modification and the state they a</t>
  </si>
  <si>
    <t>The special orders will have to specify which facilities are under modification and the state they are at in the different stages of implementation of the works. Traffic personnel will be notified about the changes affecting them.</t>
  </si>
  <si>
    <t>ES-840/5</t>
  </si>
  <si>
    <t>Those responsible for the execution of works will have to intensify their efforts to convey to all t</t>
  </si>
  <si>
    <t>Those responsible for the execution of works will have to intensify their efforts to convey to all those involved the need of knowing the content and scope of the assigned tasks. In addition, each team member which is responsible of staff will clearly pass the relevant instructions on and ensure they have been fully understood.</t>
  </si>
  <si>
    <t>ES-840/6</t>
  </si>
  <si>
    <t>Passing the need for the strict compliance with Section 5.3 of Presidency Circular No 1 (January 1st</t>
  </si>
  <si>
    <t>Passing the need for the strict compliance with Section 5.3 of Presidency Circular No 1 (January 1st, 2005) on to the traffic control office of Barcelona.</t>
  </si>
  <si>
    <t>ES-839/1</t>
  </si>
  <si>
    <t>Insisting on the enforcement of the existing security management system, emphasizing the training on</t>
  </si>
  <si>
    <t>Insisting on the enforcement of the existing security management system, emphasizing the training on the strict observance of the rules as established in the General Operating Rules, on the influence of psychological processes in driving and on the verification of train drivers fitness.</t>
  </si>
  <si>
    <t>ES-838/1</t>
  </si>
  <si>
    <t>Adapting the traffic sign according the current reglamentation on the protection of level crossings</t>
  </si>
  <si>
    <t>ES-815/1</t>
  </si>
  <si>
    <t>Building a fencing in the area to prevent faulty paths</t>
  </si>
  <si>
    <t>ES-813/1</t>
  </si>
  <si>
    <t>No recommendations are made in respect of this accident</t>
  </si>
  <si>
    <t>ES-812/1</t>
  </si>
  <si>
    <t>Reinforcing the maintenance plans in those specific areas of the infrastructure where there are syst</t>
  </si>
  <si>
    <t>Reinforcing the maintenance plans in those specific areas of the infrastructure where there are systemic problems with the tracks´s parameters of the track, thereby achieving that tracks meet established tolerances.</t>
  </si>
  <si>
    <t>ES-809/1</t>
  </si>
  <si>
    <t>Establishing a system to ensure an adequate traceability of the interventions carried out on the axl</t>
  </si>
  <si>
    <t>Establishing a system to ensure an adequate traceability of the interventions carried out on the axles.</t>
  </si>
  <si>
    <t>ES-809/2</t>
  </si>
  <si>
    <t>Including, in the maintenance plan, an ultrasonic inspection to allow the location of cracks.</t>
  </si>
  <si>
    <t>ES-809/3</t>
  </si>
  <si>
    <t>Establishing quality checking instructions for the necking process of the axles.</t>
  </si>
  <si>
    <t>ES-808/1</t>
  </si>
  <si>
    <t>ES-807/1</t>
  </si>
  <si>
    <t>The training schemes of those which are responsible for traffic operations should insist on those du</t>
  </si>
  <si>
    <t>The training schemes of those which are responsible for traffic operations should insist on those duties which involve the setting of routes using switches of boure lock type</t>
  </si>
  <si>
    <t>ES-806/1</t>
  </si>
  <si>
    <t>Insisting on the implementation of general recommendation issued in the document: "CIAF, Study on pe</t>
  </si>
  <si>
    <t>Insisting on the implementation of general recommendation issued in the document: "CIAF, Study on people being knocked down in open line, stations or halts and level crossing. Years 2005-2008, considering, for this accident, the situation of disabled persons.</t>
  </si>
  <si>
    <t>ES-804/1</t>
  </si>
  <si>
    <t>ES-8/1</t>
  </si>
  <si>
    <t>Keeping the perimeter fence in optimal conditions</t>
  </si>
  <si>
    <t>ES-788/1</t>
  </si>
  <si>
    <t>To establish procedures and inspection forms for: 1. Checking the existence of notches or fixing mar</t>
  </si>
  <si>
    <t>To establish procedures and inspection forms for: 1. Checking the existence of notches or fixing marks produced by the railway wheel lathe; 2. Inspecting the affected area using a magnetoscopy method for checking cracks; 3. Removing such notches. These procedures will affect to all wheels that have been turned with the lathe which causes this kind of marks.</t>
  </si>
  <si>
    <t>ES-788/2</t>
  </si>
  <si>
    <t>2. Establish for each series of vehicles an action plan, indicating the maintenance scheduled for ea</t>
  </si>
  <si>
    <t>2. Establish for each series of vehicles an action plan, indicating the maintenance scheduled for each of those procedures to be introduced in. Introduction of this action plan into the Maintenance Plans.</t>
  </si>
  <si>
    <t>ES-788/3</t>
  </si>
  <si>
    <t>3. Track the results of these procedures, if successful, move them to the maintenance plan for these</t>
  </si>
  <si>
    <t>3. Track the results of these procedures, if successful, move them to the maintenance plan for these type of axels</t>
  </si>
  <si>
    <t>ES-788/4</t>
  </si>
  <si>
    <t>4. When turning the wheels use fixing systems which ensure any mark or notches are made to the wheel</t>
  </si>
  <si>
    <t>4. When turning the wheels use fixing systems which ensure any mark or notches are made to the wheel. For this procedure a quality form will be fill in indicating there is no mark neither notch. If there would be any, these will be removed according to the maintenance procedure</t>
  </si>
  <si>
    <t>ES-788/5</t>
  </si>
  <si>
    <t>5. All of these recommendations have to be informed to those Railway Undertakers that could have whe</t>
  </si>
  <si>
    <t>5. All of these recommendations have to be informed to those Railway Undertakers that could have wheels turned in railway wheel lathe that made notches or marks. These RUs will have to adapt their maintenance plan introducing a similar action plan. Also, they will check the wheels delivered from the manufacturers are free of these marks and notches.</t>
  </si>
  <si>
    <t>ES-774/1</t>
  </si>
  <si>
    <t>The training schemes of those which are responsible for traffic operations should include in them th</t>
  </si>
  <si>
    <t>The training schemes of those which are responsible for traffic operations should include in them the managment of these operations in unusual conditions, both at initial and successive trainings.</t>
  </si>
  <si>
    <t>ES-773/1</t>
  </si>
  <si>
    <t>Addressee: RU; Insisting on the enforcement of the existing security management system, emphasizing</t>
  </si>
  <si>
    <t>Addressee: RU; Insisting on the enforcement of the existing security management system, emphasizing the training on the strict observance of the rules as established in the General Operating Rules, on the influence of psychological processes in driving and on the verification of train drivers fitness.</t>
  </si>
  <si>
    <t>ES-772/1</t>
  </si>
  <si>
    <t>ES-771/1</t>
  </si>
  <si>
    <t>ES-770/1</t>
  </si>
  <si>
    <t>ES-769/1</t>
  </si>
  <si>
    <t>ES-768/1</t>
  </si>
  <si>
    <t>ES-729/1</t>
  </si>
  <si>
    <t>ES-728/1</t>
  </si>
  <si>
    <t>Enhancing the warning signs which urge to use the authorized ways for crossing the tracks at all sta</t>
  </si>
  <si>
    <t>Enhancing the warning signs which urge to use the authorized ways for crossing the tracks at all stations and halts platforms, not to mention the obligation that every traveler has to cross the railway tracks with caution.</t>
  </si>
  <si>
    <t>ES-727/1</t>
  </si>
  <si>
    <t>It is recommended the maintenance of the fence, already repaired after the accident.</t>
  </si>
  <si>
    <t>ES-707/1</t>
  </si>
  <si>
    <t>ES-705/1</t>
  </si>
  <si>
    <t>The municipality of the town is recommended to improve access to the level crossing and install the</t>
  </si>
  <si>
    <t>The municipality of the town is recommended to improve access to the level crossing and install the signage in accordance with paragraph 2.1.2. Article 9 of the Order of 2 August 2001 in terms of suppression and protection of level crossings.</t>
  </si>
  <si>
    <t>ES-704/1</t>
  </si>
  <si>
    <t>No recommendations are made as a subway has recently been inaugurated replacing the existing LC</t>
  </si>
  <si>
    <t>ES-703/1</t>
  </si>
  <si>
    <t>No recommendations are made as there are a footbridge linking platforms and signs stating the risks</t>
  </si>
  <si>
    <t>No recommendations are made as there are a footbridge linking platforms and signs stating the risks of crossing the tracks. Also, a subway is being built near to the passenger facilities</t>
  </si>
  <si>
    <t>ES-702/1</t>
  </si>
  <si>
    <t>Feve has to review its plan for retraining the train drivers and make emphasis in attitudes and beha</t>
  </si>
  <si>
    <t>Feve has to review its plan for retraining the train drivers and make emphasis in attitudes and behaviours which</t>
  </si>
  <si>
    <t>ES-701/1</t>
  </si>
  <si>
    <t>Studying the suitability of placing a fence in the vicinity</t>
  </si>
  <si>
    <t>ES-700/1</t>
  </si>
  <si>
    <t>Complying the rule Orden FOM/2520/2006, of 27th july, in connection with, first, the conditions need</t>
  </si>
  <si>
    <t>Complying the rule Orden FOM/2520/2006, of 27th july, in connection with, first, the conditions needed for getting the certifications and the qualifications for enabling railway staff work safely and, second, the centres of training and assesment of their psychophysical aptness.</t>
  </si>
  <si>
    <t>ES-700/2</t>
  </si>
  <si>
    <t>Implementing a procedure to verify that the driving and support staff of Adif trains, where appropri</t>
  </si>
  <si>
    <t>Implementing a procedure to verify that the driving and support staff of Adif trains, where appropriate, meet the requirements of the rule Orden FOM/2520/2006, of 27th july.</t>
  </si>
  <si>
    <t>ES-700/3</t>
  </si>
  <si>
    <t>Analyzing the possibility of a regulatory change for this kind of trains (machinery of track with no</t>
  </si>
  <si>
    <t>Analyzing the possibility of a regulatory change for this kind of trains (machinery of track with no ASFA system and without data recording devices) when traveling on a commercial track for either being hauled by a recovery train (equiped with the aforementioned systems) either traveling when just a manually controlled block system has been established.</t>
  </si>
  <si>
    <t>ES-699/1</t>
  </si>
  <si>
    <t>Addressee: AI; To develop a maintenance plan for infrastructure such as the one involved in the acci</t>
  </si>
  <si>
    <t>Addressee: AI; To develop a maintenance plan for infrastructure such as the one involved in the accident</t>
  </si>
  <si>
    <t>ES-699/2</t>
  </si>
  <si>
    <t>Addressee: AI; To establish a plan for periodic testing and maintenance for the infrastructure such</t>
  </si>
  <si>
    <t>Addressee: AI; To establish a plan for periodic testing and maintenance for the infrastructure such as the one involved in the accident</t>
  </si>
  <si>
    <t>ES-699/3</t>
  </si>
  <si>
    <t>Addressee: NSA, To conduct an study for replacing, in these kind of particular areas, the track on b</t>
  </si>
  <si>
    <t>Addressee: NSA, To conduct an study for replacing, in these kind of particular areas, the track on ballast by slab track</t>
  </si>
  <si>
    <t>ES-698/1</t>
  </si>
  <si>
    <t>Checking that the communication systems between train drivers and the CTC work properly to ensure a</t>
  </si>
  <si>
    <t>Checking that the communication systems between train drivers and the CTC work properly to ensure a seamless communication between them and guarantee the perfect understanding between the interlocutors.</t>
  </si>
  <si>
    <t>ES-698/2</t>
  </si>
  <si>
    <t>Carry out an audit to assess the degree of compliance with the procedures for registration of commun</t>
  </si>
  <si>
    <t>Carry out an audit to assess the degree of compliance with the procedures for registration of communications (telephone messages).</t>
  </si>
  <si>
    <t>ES-698/3</t>
  </si>
  <si>
    <t>Insist on the enforcement of the rules for the communications, as well as maintaining adequate atten</t>
  </si>
  <si>
    <t>Insist on the enforcement of the rules for the communications, as well as maintaining adequate attention to driving, especially when driving in unusual circumstances.</t>
  </si>
  <si>
    <t>ES-697/1</t>
  </si>
  <si>
    <t>Due to the characteristics of the accident, no recommendations are made. Nevertheless, there is a ra</t>
  </si>
  <si>
    <t>Due to the characteristics of the accident, no recommendations are made. Nevertheless, there is a railway project under way that could imply the removal of the level crossing</t>
  </si>
  <si>
    <t>ES-696/1</t>
  </si>
  <si>
    <t>Studying, by the competent authorities, the possibility of fencing the area in order to avoid people</t>
  </si>
  <si>
    <t>Studying, by the competent authorities, the possibility of fencing the area in order to avoid people crossing from one place to another</t>
  </si>
  <si>
    <t>ES-695/1</t>
  </si>
  <si>
    <t>The Directorate General of Railways should remove all signage related to the Level Crossing which ha</t>
  </si>
  <si>
    <t>The Directorate General of Railways should remove all signage related to the Level Crossing which has already been removed</t>
  </si>
  <si>
    <t>ES-694/1</t>
  </si>
  <si>
    <t>Feve has to review its plan for retraining the train drivers and make emphasis in attitudes and behaviours which could lead to a risky situations</t>
  </si>
  <si>
    <t>ES-693/1</t>
  </si>
  <si>
    <t>Due to the characteristics of the accident and being that the removal of this level crossing is unde</t>
  </si>
  <si>
    <t>Due to the characteristics of the accident and being that the removal of this level crossing is under its way, no</t>
  </si>
  <si>
    <t>ES-692/1</t>
  </si>
  <si>
    <t>ES-673/1</t>
  </si>
  <si>
    <t>Due to the characteristics of the accident and as the removal of this level crossing is scheduled, n</t>
  </si>
  <si>
    <t>Due to the characteristics of the accident and as the removal of this level crossing is scheduled, no recommendations are made</t>
  </si>
  <si>
    <t>ES-672/1</t>
  </si>
  <si>
    <t>No recommendations are made as there are a fence and a footbridge.</t>
  </si>
  <si>
    <t>ES-671/1</t>
  </si>
  <si>
    <t>Since the project for the removal of this level crossing is already drafted, it is recommended to sp</t>
  </si>
  <si>
    <t>Since the project for the removal of this level crossing is already drafted, it is recommended to speed it up.</t>
  </si>
  <si>
    <t>ES-670/1</t>
  </si>
  <si>
    <t>RU: Ensuring that all railway vehicles that are put into circulation must comply with the establishe</t>
  </si>
  <si>
    <t>RU: Ensuring that all railway vehicles that are put into circulation must comply with the established maintenance schedule.</t>
  </si>
  <si>
    <t>ES-670/2</t>
  </si>
  <si>
    <t>IM: Conducting a campaign of inspections to analyze the degree of compliance with rolling stock main</t>
  </si>
  <si>
    <t>IM: Conducting a campaign of inspections to analyze the degree of compliance with rolling stock maintenance plans.</t>
  </si>
  <si>
    <t>ES-670/3</t>
  </si>
  <si>
    <t>Maintenance centre: Ensuring that in its workshops the maintenance works are performed according to</t>
  </si>
  <si>
    <t>Maintenance centre: Ensuring that in its workshops the maintenance works are performed according to the requirements of the maintenance schedule.</t>
  </si>
  <si>
    <t>ES-670/4</t>
  </si>
  <si>
    <t>RU: Intensifying driving training under adverse conditions of braking.</t>
  </si>
  <si>
    <t>ES-669/1</t>
  </si>
  <si>
    <t>Feve has to ensure that the historical rolling stock that travels on Feve´s network complies with th</t>
  </si>
  <si>
    <t>Feve has to ensure that the historical rolling stock that travels on Feve´s network complies with the rules regarding the maintenance and authorized to operate as it´s set out in its Material Safety Standard</t>
  </si>
  <si>
    <t>ES-668/1</t>
  </si>
  <si>
    <t>The operational orders published for controlling the perfomance of major railway works (in particula</t>
  </si>
  <si>
    <t>The operational orders published for controlling the perfomance of major railway works (in particular, those that must be compatible with the railway traffic) should clearly specify who is the solely responsible to contact the Operating Manager, which is the responsible for authorizing or calling the execution of such work off .</t>
  </si>
  <si>
    <t>ES-668/2</t>
  </si>
  <si>
    <t>Due to the high risk of human error in this type of work, should be considered supressing the rail t</t>
  </si>
  <si>
    <t>Due to the high risk of human error in this type of work, should be considered supressing the rail traffic during the execution of these works. If this would not be possible, a Telephonic railway signalling system should be used instead, while performing the works.</t>
  </si>
  <si>
    <t>ES-668/3</t>
  </si>
  <si>
    <t>The different departments involved in the execution of the work will have to develop a common protocol of action for ensuring the coordination of the activities to accomplish</t>
  </si>
  <si>
    <t>ES-655/1</t>
  </si>
  <si>
    <t>ES-653/1</t>
  </si>
  <si>
    <t>In sight of the accidents that happen in railway works and due to their importance for railway safet</t>
  </si>
  <si>
    <t>In sight of the accidents that happen in railway works and due to their importance for railway safety operations</t>
  </si>
  <si>
    <t>ES-652/1</t>
  </si>
  <si>
    <t>Due to the characteristics of the accident, no recommendations are made</t>
  </si>
  <si>
    <t>ES-651/1</t>
  </si>
  <si>
    <t>ES-650/1</t>
  </si>
  <si>
    <t>Studying, by the competent authority, the possibility of fencing tne station surroundings</t>
  </si>
  <si>
    <t>ES-650/2</t>
  </si>
  <si>
    <t>Studying the suitability of placing signals warning about the danger of crossing the tracks</t>
  </si>
  <si>
    <t>ES-650/3</t>
  </si>
  <si>
    <t>Studying, by the competent authority, the construction of a pedestrian way for crossing the tracks a</t>
  </si>
  <si>
    <t>Studying, by the competent authority, the construction of a pedestrian way for crossing the tracks at different level</t>
  </si>
  <si>
    <t>ES-644/1</t>
  </si>
  <si>
    <t>It is recommended, as a provisional measure, repainting the already existing "no trespassing" sign a</t>
  </si>
  <si>
    <t>It is recommended, as a provisional measure, repainting the already existing "no trespassing" sign and placing three more, one in each side of the tracks and at the access point to the viaduct.</t>
  </si>
  <si>
    <t>ES-644/2</t>
  </si>
  <si>
    <t>As a final measure, it is recommended, since this is an habitual way for pedestrians, studying by th</t>
  </si>
  <si>
    <t>As a final measure, it is recommended, since this is an habitual way for pedestrians, studying by the competent authorities the possibility of building a footbridge over the river. This way, non railway users would avoid using the viaduct.</t>
  </si>
  <si>
    <t>ES-609/1</t>
  </si>
  <si>
    <t>As the fence, after the accident, has already been repaired, it is recommended to Adif to take the a</t>
  </si>
  <si>
    <t>As the fence, after the accident, has already been repaired, it is recommended to Adif to take the accurate measures to keep it in good conditions.</t>
  </si>
  <si>
    <t>ES-608/1</t>
  </si>
  <si>
    <t>ES-607/1</t>
  </si>
  <si>
    <t>Although the LC is scheduled to be removed, while the works don´t start it´s recommended to the comp</t>
  </si>
  <si>
    <t>Although the LC is scheduled to be removed, while the works don´t start it´s recommended to the competent authority to adapt the road signage to the legislation.</t>
  </si>
  <si>
    <t>ES-606/1</t>
  </si>
  <si>
    <t>ES-605/1</t>
  </si>
  <si>
    <t>ES-604/1</t>
  </si>
  <si>
    <t>Studying, by the competent authorities, the possibility of fencing the station´s car park, avoiding</t>
  </si>
  <si>
    <t>Studying, by the competent authorities, the possibility of fencing the station´s car park, avoiding people crossing at unauthorised places</t>
  </si>
  <si>
    <t>ES-603/1</t>
  </si>
  <si>
    <t>While the level crossing is not removed (already scheduled by the works â€œLínea Tarragona-Barcelona-</t>
  </si>
  <si>
    <t>While the level crossing is not removed (already scheduled by the works â€œLínea Tarragona-Barcelona- Francia. Tramo: Granollers â€“ Maçanet. Pasos inferiores entre andenes en los apeaderos de Santa María de Palautordera y Hostalricâ€, it is recommended to place a sign warning about the risks of going through this board crossing</t>
  </si>
  <si>
    <t>ES-602/1</t>
  </si>
  <si>
    <t>Reminding the Directorate General of Railways of including this level crossing in the "Removal and e</t>
  </si>
  <si>
    <t>Reminding the Directorate General of Railways of including this level crossing in the "Removal and enhacement of level crossings program" when the budget allow it.</t>
  </si>
  <si>
    <t>ES-601/1</t>
  </si>
  <si>
    <t>Since the removal of this level crossing is already scheduled, there is no recommendations</t>
  </si>
  <si>
    <t>ES-600/1</t>
  </si>
  <si>
    <t>Evaluating, by the competent authority, the convenience of improving the signage, installing a fence</t>
  </si>
  <si>
    <t>Evaluating, by the competent authority, the convenience of improving the signage, installing a fence or building a way to cross the tracks through a different level (subway or footbridge).</t>
  </si>
  <si>
    <t>ES-599/1</t>
  </si>
  <si>
    <t>ES-598/1</t>
  </si>
  <si>
    <t>ES-597/1</t>
  </si>
  <si>
    <t>It is recommended, to the competent authority, to place signals warning that crossing the tracks is</t>
  </si>
  <si>
    <t>It is recommended, to the competent authority, to place signals warning that crossing the tracks is forbidden and also that there is a footbridge 200 metres far</t>
  </si>
  <si>
    <t>ES-596/1</t>
  </si>
  <si>
    <t>Since there is a pedestrians subway and signals warning that crossing the tracks is forbidden, no re</t>
  </si>
  <si>
    <t>Since there is a pedestrians subway and signals warning that crossing the tracks is forbidden, no recommendations are made.</t>
  </si>
  <si>
    <t>ES-594/1</t>
  </si>
  <si>
    <t>Studying, by the competent authorities, the possibility of fencing tne station surroundings and taki</t>
  </si>
  <si>
    <t>Studying, by the competent authorities, the possibility of fencing tne station surroundings and taking steps forward avoiding people crossing at unauthorised places</t>
  </si>
  <si>
    <t>ES-593/1</t>
  </si>
  <si>
    <t>ES-590/1</t>
  </si>
  <si>
    <t>ES-586/1</t>
  </si>
  <si>
    <t>Adif is recommended to take the necessary measures for pilots to comply with the provisions of the G</t>
  </si>
  <si>
    <t>Adif is recommended to take the necessary measures for pilots to comply with the provisions of the General Operating Rules</t>
  </si>
  <si>
    <t>ES-585/1</t>
  </si>
  <si>
    <t>Since there have been some railway accidents in the area (villages dividen by the railway) it is rec</t>
  </si>
  <si>
    <t>Since there have been some railway accidents in the area (villages dividen by the railway) it is recommended to the competent authority to build pedestrians ways which allow permeability</t>
  </si>
  <si>
    <t>ES-582/1</t>
  </si>
  <si>
    <t>ES-581/1</t>
  </si>
  <si>
    <t>No recommendations are made, since there is an arrangement for building a subway at the station and</t>
  </si>
  <si>
    <t>No recommendations are made, since there is an arrangement for building a subway at the station and also for fencing the urban area off</t>
  </si>
  <si>
    <t>ES-580/1</t>
  </si>
  <si>
    <t>ES-555/1</t>
  </si>
  <si>
    <t>ES-554/1</t>
  </si>
  <si>
    <t>Repairing the gaps in the fencing, particularly in the route Vilassar-Mataró, where there is regular</t>
  </si>
  <si>
    <t>Repairing the gaps in the fencing, particularly in the route Vilassar-Mataró, where there is regular movement of people</t>
  </si>
  <si>
    <t>ES-554/2</t>
  </si>
  <si>
    <t>Building a footbridge which would avoid people crossing the tracks</t>
  </si>
  <si>
    <t>ES-553/1</t>
  </si>
  <si>
    <t>ES-552/1</t>
  </si>
  <si>
    <t>Since there are many of these kind of accidents in the South Area of Madrid, it is reccommended to c</t>
  </si>
  <si>
    <t>Since there are many of these kind of accidents in the South Area of Madrid, it is reccommended to conduct an study in order to identify places used as unauthorised ways of crossing the tracks and see if it´s possible their removal</t>
  </si>
  <si>
    <t>ES-551/1</t>
  </si>
  <si>
    <t>ES-550/1</t>
  </si>
  <si>
    <t>Arrange publicity and education on the risks of crossing the tracks at unauthorised places</t>
  </si>
  <si>
    <t>ES-549/1</t>
  </si>
  <si>
    <t>Reinforcing the fence</t>
  </si>
  <si>
    <t>ES-549/2</t>
  </si>
  <si>
    <t>ES-548/1</t>
  </si>
  <si>
    <t>Arrange publicity and education on the safe use of station pedestrian crossings</t>
  </si>
  <si>
    <t>ES-547/1</t>
  </si>
  <si>
    <t>Although the non-compliance of the General Operating Rules wasn´t the cause of the accident, it is r</t>
  </si>
  <si>
    <t>Although the non-compliance of the General Operating Rules wasn´t the cause of the accident, it is recommended to ask the regulator for changing the regulations on track works safety</t>
  </si>
  <si>
    <t>ES-545/1</t>
  </si>
  <si>
    <t>ES-544/1</t>
  </si>
  <si>
    <t>Closing the faulty path</t>
  </si>
  <si>
    <t>ES-543/1</t>
  </si>
  <si>
    <t>ES-486/1</t>
  </si>
  <si>
    <t>It is recommended to close the LC down as it does not comply with those settled by the Railway Secto</t>
  </si>
  <si>
    <t>It is recommended to close the LC down as it does not comply with those settled by the Railway Sector Act (Act 39/2003)</t>
  </si>
  <si>
    <t>ES-485/1</t>
  </si>
  <si>
    <t>Since the removal of this level crossing is already scheduled,no recommendations are made</t>
  </si>
  <si>
    <t>ES-484/1</t>
  </si>
  <si>
    <t>Arrange publicity and education on the safe use of level crossings</t>
  </si>
  <si>
    <t>ES-458/1</t>
  </si>
  <si>
    <t>Due to the characteristics of the accident and being that the removal of this level crossing is under its way, no recommendations are made</t>
  </si>
  <si>
    <t>ES-457/1</t>
  </si>
  <si>
    <t>Since the level crossing is in accordance with the regulations, its removal is not recommended. Neve</t>
  </si>
  <si>
    <t>Since the level crossing is in accordance with the regulations, its removal is not recommended. Nevertheless,it is recommended to the council of the village to provide the level crossing of the relevant road signs.</t>
  </si>
  <si>
    <t>ES-451/1</t>
  </si>
  <si>
    <t>Since there is a footbridge near this place and the level crossing is planned to be removed, there i</t>
  </si>
  <si>
    <t>Since there is a footbridge near this place and the level crossing is planned to be removed, there is no recommendations to make.</t>
  </si>
  <si>
    <t>ES-435/1</t>
  </si>
  <si>
    <t>ES-434/1</t>
  </si>
  <si>
    <t>Since the removal of this level crossing is already scheduled, it is recommended to speed it up.</t>
  </si>
  <si>
    <t>ES-41/1</t>
  </si>
  <si>
    <t>This flag stop is planned to be changed by a subway, so there is no recommendations to make in respe</t>
  </si>
  <si>
    <t>This flag stop is planned to be changed by a subway, so there is no recommendations to make in respect of this accident</t>
  </si>
  <si>
    <t>ES-41/2</t>
  </si>
  <si>
    <t>To install fixed signage outlining the risks of using the staff crossing</t>
  </si>
  <si>
    <t>ES-40/1</t>
  </si>
  <si>
    <t>This LC is planned to be removed, as part of a redefinition of the railway line.</t>
  </si>
  <si>
    <t>ES-39/1</t>
  </si>
  <si>
    <t>It is recommended, at the stations where there are subways, to install fixed signage outlining the r</t>
  </si>
  <si>
    <t>It is recommended, at the stations where there are subways, to install fixed signage outlining the risks of crossing the tracks instead of the subway</t>
  </si>
  <si>
    <t>ES-39/2</t>
  </si>
  <si>
    <t>Arrange publicity and education on the risks of crossings the tracks</t>
  </si>
  <si>
    <t>ES-37/1</t>
  </si>
  <si>
    <t>Reparation, as soon as possible, of the fence</t>
  </si>
  <si>
    <t>ES-37/2</t>
  </si>
  <si>
    <t>To install fixed signage outlining the risks of crossing the tracks through faulty paths.</t>
  </si>
  <si>
    <t>ES-36/1</t>
  </si>
  <si>
    <t>Reinforcing the perimeter fence</t>
  </si>
  <si>
    <t>ES-35/1</t>
  </si>
  <si>
    <t>ES-34/1</t>
  </si>
  <si>
    <t>Provision, care and up-keep of fixed signage by the local government</t>
  </si>
  <si>
    <t>ES-33/1</t>
  </si>
  <si>
    <t>Regular inspections to check the condition of equipment and to confirm compliance with standards and</t>
  </si>
  <si>
    <t>Regular inspections to check the condition of equipment and to confirm compliance with standards and legislation</t>
  </si>
  <si>
    <t>ES-32/1</t>
  </si>
  <si>
    <t>ES-31/1</t>
  </si>
  <si>
    <t>The victim had stepped into the tracks through a faulty path so the recommendation is to repair the</t>
  </si>
  <si>
    <t>The victim had stepped into the tracks through a faulty path so the recommendation is to repair the fence</t>
  </si>
  <si>
    <t>ES-30/1</t>
  </si>
  <si>
    <t>To provide retraining courses to the staff</t>
  </si>
  <si>
    <t>ES-29/1</t>
  </si>
  <si>
    <t>ES-28/1</t>
  </si>
  <si>
    <t>ES-27/1</t>
  </si>
  <si>
    <t>Improve level crossing visibility</t>
  </si>
  <si>
    <t>ES-27/2</t>
  </si>
  <si>
    <t>A study on the feasibility of changing the protection to a one of the type C</t>
  </si>
  <si>
    <t>ES-26/1</t>
  </si>
  <si>
    <t>ES-25/1</t>
  </si>
  <si>
    <t>Building a fence, where it was necessary, alongside this railway line</t>
  </si>
  <si>
    <t>ES-24/1</t>
  </si>
  <si>
    <t>Arrange publicity and education on the use of crossings</t>
  </si>
  <si>
    <t>ES-233/1</t>
  </si>
  <si>
    <t>ES-233/2</t>
  </si>
  <si>
    <t>Arrange publicity and education on the risks of crossing and walking through the tracks</t>
  </si>
  <si>
    <t>ES-232/1</t>
  </si>
  <si>
    <t>Arrange publicity and education on the risks of crossing the tracks</t>
  </si>
  <si>
    <t>ES-232/2</t>
  </si>
  <si>
    <t>To remove the two staff crossings at this station</t>
  </si>
  <si>
    <t>ES-230/1</t>
  </si>
  <si>
    <t>Promote raising campaigns aimed at influencing the public to respect the traffic rules and signs and</t>
  </si>
  <si>
    <t>Promote raising campaigns aimed at influencing the public to respect the traffic rules and signs and in the proper use of the transit areas</t>
  </si>
  <si>
    <t>ES-230/2</t>
  </si>
  <si>
    <t>To study the feasibility of removing the level crossing. If is not possible, try to change the level</t>
  </si>
  <si>
    <t>To study the feasibility of removing the level crossing. If is not possible, try to change the level of protection</t>
  </si>
  <si>
    <t>ES-23/1</t>
  </si>
  <si>
    <t>Repairing the fence where the person stepped into the tracks</t>
  </si>
  <si>
    <t>ES-23/2</t>
  </si>
  <si>
    <t>ES-22/1</t>
  </si>
  <si>
    <t>Arrange publicity and education on the use of subway crossings</t>
  </si>
  <si>
    <t>ES-22/2</t>
  </si>
  <si>
    <t>Arrange publicity and education on the risks of crossing the tracks through unauthorised places</t>
  </si>
  <si>
    <t>ES-219/1</t>
  </si>
  <si>
    <t>Arrange publicity and education on the risks of getting on /off a train when it is leaving</t>
  </si>
  <si>
    <t>ES-216/1</t>
  </si>
  <si>
    <t>Repairing and reinforcing the fence</t>
  </si>
  <si>
    <t>ES-216/2</t>
  </si>
  <si>
    <t>ES-215/1</t>
  </si>
  <si>
    <t>Promote campaigns aimed to instruct the public about the dangers of crossing or wandering around the</t>
  </si>
  <si>
    <t>Promote campaigns aimed to instruct the public about the dangers of crossing or wandering around the railroad tracks</t>
  </si>
  <si>
    <t>ES-214/1</t>
  </si>
  <si>
    <t>Repairing and reinforcing the fence where it was necessary</t>
  </si>
  <si>
    <t>ES-213/1</t>
  </si>
  <si>
    <t>To enhance surveillance at stations</t>
  </si>
  <si>
    <t>ES-213/2</t>
  </si>
  <si>
    <t>To improve the fixed signage outlining the risks of crossing the tracks</t>
  </si>
  <si>
    <t>ES-212/1</t>
  </si>
  <si>
    <t>To carry out a research to review the safety conditions at the station</t>
  </si>
  <si>
    <t>ES-212/2</t>
  </si>
  <si>
    <t>To install fixed signage outlining that using the staff crossing is banned</t>
  </si>
  <si>
    <t>ES-211/1</t>
  </si>
  <si>
    <t>As there is already a project to remove this flag stop, no recommendations are made</t>
  </si>
  <si>
    <t>ES-211/2</t>
  </si>
  <si>
    <t>Nevertheless, it would be recommendable to arrange publicity and education on the risks of crossing</t>
  </si>
  <si>
    <t>Nevertheless, it would be recommendable to arrange publicity and education on the risks of crossing the tracks.</t>
  </si>
  <si>
    <t>ES-210/1</t>
  </si>
  <si>
    <t>ES-21/1</t>
  </si>
  <si>
    <t>Arrange publicity and education on the use of crossings the tracks</t>
  </si>
  <si>
    <t>ES-209/1</t>
  </si>
  <si>
    <t>To build a fence, at this point, both side the tracks; 400 metres before and after the footbridge wh</t>
  </si>
  <si>
    <t>To build a fence, at this point, both side the tracks; 400 metres before and after the footbridge which is over the accident place.</t>
  </si>
  <si>
    <t>ES-209/2</t>
  </si>
  <si>
    <t>Arrange publicity and education on the risks of crossing a walking through the tracks</t>
  </si>
  <si>
    <t>ES-207/1</t>
  </si>
  <si>
    <t>ES-207/2</t>
  </si>
  <si>
    <t>ES-206/1</t>
  </si>
  <si>
    <t>To place a proper fixed signal according to the Orden MInisterial 02.08.2001</t>
  </si>
  <si>
    <t>ES-206/2</t>
  </si>
  <si>
    <t>ES-205/1</t>
  </si>
  <si>
    <t>To install fixed signage in order to improve of safety at this kind of crossing</t>
  </si>
  <si>
    <t>ES-204/1</t>
  </si>
  <si>
    <t>ES-20/1</t>
  </si>
  <si>
    <t>Provide retraining courses</t>
  </si>
  <si>
    <t>ES-19/1</t>
  </si>
  <si>
    <t>ES-189/1</t>
  </si>
  <si>
    <t>To remove two of the three board crossings (both at the end of the platform)</t>
  </si>
  <si>
    <t>ES-189/2</t>
  </si>
  <si>
    <t>To install fixed signage (audible and light devices) at the crossing which is in the middle of the p</t>
  </si>
  <si>
    <t>To install fixed signage (audible and light devices) at the crossing which is in the middle of the platform</t>
  </si>
  <si>
    <t>ES-189/3</t>
  </si>
  <si>
    <t>To keep the barrow crossing as access for persons with impaired mobility</t>
  </si>
  <si>
    <t>ES-188/1</t>
  </si>
  <si>
    <t>To remove the staff crossing</t>
  </si>
  <si>
    <t>ES-188/2</t>
  </si>
  <si>
    <t>To light properly the subway crossing</t>
  </si>
  <si>
    <t>ES-188/3</t>
  </si>
  <si>
    <t>To keep the way to the subway clean of weeds</t>
  </si>
  <si>
    <t>ES-17/1</t>
  </si>
  <si>
    <t>ES-17/2</t>
  </si>
  <si>
    <t>Carry out initiatives to reduce the potential risks of the staff crossings</t>
  </si>
  <si>
    <t>ES-17/3</t>
  </si>
  <si>
    <t>Building footbridges or subways instead of these staff crossings</t>
  </si>
  <si>
    <t>ES-16/1</t>
  </si>
  <si>
    <t>ES-15/1</t>
  </si>
  <si>
    <t>ES-1437/1</t>
  </si>
  <si>
    <t>41/12-1 (Audit on corrective maintenance actions)</t>
  </si>
  <si>
    <t>Based on the document Safety Management System of the Adif´s General Directorate of Operations and Engineering, perform an audit of the corrective maintenance actions for the infraestructure that are carried out in the Tarragona area in order to verify if the relevant standards are properly applied.</t>
  </si>
  <si>
    <t>ES-1423/1</t>
  </si>
  <si>
    <t>40/12-1 (ASFA baluster)</t>
  </si>
  <si>
    <t>Analysing the feasability of providing ASFA balusters to all the mechanical signals of the station in order to mitigate the risks in the running of trains. If so, analyse applying this measure to other stations.</t>
  </si>
  <si>
    <t>ES-1420/1</t>
  </si>
  <si>
    <t>34/12-1 - Training schemes (train drivers)</t>
  </si>
  <si>
    <t>Training schemes delivered to train drivers should emphasized on those attitudes and behaviours which are a source of risk, insisting on the strict observance of Feve´s handbooks: General Operating Rules and Signalling Rules</t>
  </si>
  <si>
    <t>ES-1420/2</t>
  </si>
  <si>
    <t>34/12-2 - Signal beacon</t>
  </si>
  <si>
    <t>To study the feasibility of providing to signal S1/1 L of a signal beacon.</t>
  </si>
  <si>
    <t>ES-14/1</t>
  </si>
  <si>
    <t>This level crossing is planned to be removed. Instead, a subway is going to be built</t>
  </si>
  <si>
    <t>ES-1398/1</t>
  </si>
  <si>
    <t>28/12-1 (Maximum speed limit)</t>
  </si>
  <si>
    <t>To study the feasibility of setting a systematic procedure for monitoring and assessing the compliance of the maximum speed limit by the train drivers.</t>
  </si>
  <si>
    <t>ES-1396/1</t>
  </si>
  <si>
    <t>22/12-1 (Strict observance of the General Operating Rules)</t>
  </si>
  <si>
    <t>To transmit to those responsibles of traffic management and of railway works to strictly observe those articles of the General Operating Rules related to the performance of railway works.</t>
  </si>
  <si>
    <t>ES-1396/2</t>
  </si>
  <si>
    <t>22/12-2 (Avoiding human error)</t>
  </si>
  <si>
    <t>To establish a human error prevention programme when doing railway works aimed to traffic and infrastructure staff.</t>
  </si>
  <si>
    <t>ES-1377/1</t>
  </si>
  <si>
    <t>10/12-1 ASFA baluster</t>
  </si>
  <si>
    <t>To study the feasibility of installing ASFA balusters with a fixed background for speed control (L7) in those tracks with buffer stop and a large number of passenger trains running</t>
  </si>
  <si>
    <t>ES-1377/2</t>
  </si>
  <si>
    <t>10/12-2 Buffer stop</t>
  </si>
  <si>
    <t>To study the feasibility of installing buffer stops that could take up and absorb the impact of the trains in those tracks where a large number of passenger trains finish their journey</t>
  </si>
  <si>
    <t>ES-1376/1</t>
  </si>
  <si>
    <t>63/11-1 (Gauge changing)</t>
  </si>
  <si>
    <t>To establish a special surveillance of the mechanism for locking/unlocking in the BRAVA axles´changing gauge device until the foreseen modification in its fastening is done (welding).</t>
  </si>
  <si>
    <t>ES-1343/1</t>
  </si>
  <si>
    <t>7/12-1 Running at sight (marcha a la vista)</t>
  </si>
  <si>
    <t>To study the feasibility of banning the setting of a theoretical speed when train´s running at sight.</t>
  </si>
  <si>
    <t>ES-1343/2</t>
  </si>
  <si>
    <t>7/12-2 Permissive signal (señal permisiva)</t>
  </si>
  <si>
    <t>To study the feasibility of changing, in areas with similar characteristics to these, those distant signals - that are permissive signals - to main signals.</t>
  </si>
  <si>
    <t>ES-1341/1</t>
  </si>
  <si>
    <t>5/12-1 Geometric parameters</t>
  </si>
  <si>
    <t>To restablish, in the line section where the accident happened, the values for the geometric parameters according the standard "NFI vía 001" to achieve a safe train operation.</t>
  </si>
  <si>
    <t>ES-1341/2</t>
  </si>
  <si>
    <t>5/12-2 Enhancement of superstructure</t>
  </si>
  <si>
    <t>To study the feasibility of enhancing the superstructure of the area where the accident happened in order to avoid premature track warpings.</t>
  </si>
  <si>
    <t>ES-1341/3</t>
  </si>
  <si>
    <t>5/12-3 Maintenance works</t>
  </si>
  <si>
    <t>When performing track examinations and areas with values out of tolerance are found, to act immediately on those carrying out maintenance works.</t>
  </si>
  <si>
    <t>ES-1339/1</t>
  </si>
  <si>
    <t>04/12-1 Compliance by train drivers</t>
  </si>
  <si>
    <t>Stress the compliance with the normative by train drivers, in particular with article 2.27.00 Chapter II â€œOperation of trainsâ€ of RCT.</t>
  </si>
  <si>
    <t>ES-1312/1</t>
  </si>
  <si>
    <t>61/11-1 (Staff training)</t>
  </si>
  <si>
    <t>Expanding the training and recycling session that was imparted to the foreman of Chamartín station to the rest of the foremen of the railway line.</t>
  </si>
  <si>
    <t>ES-1306/1</t>
  </si>
  <si>
    <t>50/11-1 (Train driver´s training)</t>
  </si>
  <si>
    <t>Training schemes addressed to train drivers will emphasize the attitudes and behaviours which are a source of risk for the operation, insisting on the strict observance of General Operating Rules of Feve.</t>
  </si>
  <si>
    <t>ES-13/1</t>
  </si>
  <si>
    <t>Building a fence at urban places, where it was necessary, alongside this railway line</t>
  </si>
  <si>
    <t>ES-1282/1</t>
  </si>
  <si>
    <t>47/11-1 (guidelines to follow by the traffic managers and train drivers when an overrun of a signal is authorized)</t>
  </si>
  <si>
    <t>Recommendation that was made in final report 24/11 is reiterated: Defining clear and logical guidelines to follow by the traffic managers and train drivers when an overrun of a signal is authorized and a verification of the position of the points is needed, and adapting the regulations to new technologies (high speed).</t>
  </si>
  <si>
    <t>ES-1282/2</t>
  </si>
  <si>
    <t>Se reitera la recomendación hecha en el expediente 24/11: Establecer pautas de actuación claras y lógicas para el personal de circulación y conducción, en los casos de rebases de señal con orden de comprobación de los aparatos de vía, adaptando la normativa a las nuevas tecnologías.</t>
  </si>
  <si>
    <t>Spanish</t>
  </si>
  <si>
    <t>ES-1282/3</t>
  </si>
  <si>
    <t>47/11-2 (Strengthening content training programs for train driving licence in relation to the technical knowledges about high speed switch gear)</t>
  </si>
  <si>
    <t>Recommendation that was made in final report 24/11 is reiterated: To study the feasibility of strengthening the content of the training programs for obtaining the train driving licence in relation to the technical knowledges about high speed switch gear and in particular about the points.</t>
  </si>
  <si>
    <t>ES-1282/4</t>
  </si>
  <si>
    <t>Se reitera la recomendación hecha en el expediente 24/11: Analizar la viabilidad de reforzar los contenidos de los programas de formación para la obtención del título de conducción y reciclajes en lo referente a los conocimientos técnicos sobre aparatos de vía y especialmente de los desvíos, cuando coinciden en un enclavamiento diferentes anchos.</t>
  </si>
  <si>
    <t>ES-1282/5</t>
  </si>
  <si>
    <t>47/11-3 (intensifying the training for traffic managers that manage 3rd rail railway lines)</t>
  </si>
  <si>
    <t>To assess the suitability of intensifying the training for traffic managers that manage 3rd rail railway lines, in particular on the knowledge of the fixed plant under their responsibility and on the compliance of standard Aviso nº43 of Traffic Safety Directorate (Adif).</t>
  </si>
  <si>
    <t>ES-1282/6</t>
  </si>
  <si>
    <t>Evaluar la conveniencia de intensificar la formación de los jefes de circulación que gestionan líneas dotadas de tercer carril, en lo relativo al conocimiento de las instalaciones que tienen a su cargo y en el cumplimiento del Aviso nº 43 de la Dirección de Seguridad en la Circulación (DSC) de Adif.</t>
  </si>
  <si>
    <t>ES-1255/1</t>
  </si>
  <si>
    <t>44/11-1 (Compliance with standard)</t>
  </si>
  <si>
    <t>To strictly comply with the standard "Technical Instruction to load containers" produced by Ben Trade Cables Iberica, S.A.</t>
  </si>
  <si>
    <t>ES-1253/1</t>
  </si>
  <si>
    <t>40/11-1 (Station interlocking)</t>
  </si>
  <si>
    <t>40/11-1 - To analyze the feasability of including within the Granollers-Centre station´s interlocking track 7 and its routes as if it were a running track.</t>
  </si>
  <si>
    <t>ES-1220/1</t>
  </si>
  <si>
    <t>36/11-1 (Weekly works minutes)</t>
  </si>
  <si>
    <t>The weekly works´minutes must list all the specific actions to be performed as well as the machinery that is planned to use.</t>
  </si>
  <si>
    <t>ES-1220/2</t>
  </si>
  <si>
    <t>El acta semanal de trabajos deberá recoger las actividades concretas a ejecutar y la maquinaria prevista a emplear, así como los accesos de ésta.</t>
  </si>
  <si>
    <t>ES-1220/3</t>
  </si>
  <si>
    <t>36/11-2 (Track inspections)</t>
  </si>
  <si>
    <t>To study the feasability of increasing the number of inspections of the track works involving staff with safety responsibilities.</t>
  </si>
  <si>
    <t>ES-1220/4</t>
  </si>
  <si>
    <t>Analizar la viabilidad de incrementar las visitas de inspección a trabajos en vía por el personal con responsabilidad en la seguridad.</t>
  </si>
  <si>
    <t>ES-1220/5</t>
  </si>
  <si>
    <t>36/11-3 (Training plans)</t>
  </si>
  <si>
    <t>In the training plans for works foremen, to emphasize those regulatory issues related to track works.</t>
  </si>
  <si>
    <t>ES-1220/6</t>
  </si>
  <si>
    <t>En las acciones formativas a los encargados de trabajos incidir en los aspectos reglamentarios sobre trabajos en vía.</t>
  </si>
  <si>
    <t>ES-1219/1</t>
  </si>
  <si>
    <t>To analyze the feasibility of replacing the entire stretch of wooden sleepers by othesr made of conc</t>
  </si>
  <si>
    <t>To analyze the feasibility of replacing the entire stretch of wooden sleepers by othesr made of concrete or, failing that, to replace the ones in bad condition with other of the same material.</t>
  </si>
  <si>
    <t>ES-1175/1</t>
  </si>
  <si>
    <t>Given the dispersal of the regulations, to assess the suitability of drawing up a standard for deliv</t>
  </si>
  <si>
    <t>Given the dispersal of the regulations, to assess the suitability of drawing up a standard for delivery conditions of the track after the completion of the works on it, whether this occurs in normal or degraded conditions.</t>
  </si>
  <si>
    <t>ES-1174/1</t>
  </si>
  <si>
    <t>Including in all authorizations of works, which contain detailed requirements concerning actions tha</t>
  </si>
  <si>
    <t>Including in all authorizations of works, which contain detailed requirements concerning actions that somehow could affect the safe movement of trains, a section that clearly establishes that the detailed requirements are addressed in the initial meeting of safety and health (which is done before the works start).</t>
  </si>
  <si>
    <t>ES-1173/1</t>
  </si>
  <si>
    <t>Emphasizing to the staff (all those related to operations and driving activities) on the necessity o</t>
  </si>
  <si>
    <t>Emphasizing to the staff (all those related to operations and driving activities) on the necessity of complying with the standards, in particular when performing shunting of coupling and uncoupling.</t>
  </si>
  <si>
    <t>ES-1173/2</t>
  </si>
  <si>
    <t>To study the feasibility of putting up, in this station and others with similar characteristics, a g</t>
  </si>
  <si>
    <t>To study the feasibility of putting up, in this station and others with similar characteristics, a gradient sign.</t>
  </si>
  <si>
    <t>ES-1173/3</t>
  </si>
  <si>
    <t>Based on Trasona station´s characteristics, and according to what is laid down on article 6/12/00 of</t>
  </si>
  <si>
    <t>Based on Trasona station´s characteristics, and according to what is laid down on article 6/12/00 of General Operating Rules, to study the feasibility of writing down an standing order for performing shuntings in the aforementioned station.</t>
  </si>
  <si>
    <t>ES-1150/1</t>
  </si>
  <si>
    <t>To study the feasibility of improving the visibility of the exit signal S1/1 at Rubi station.</t>
  </si>
  <si>
    <t>ES-1150/2</t>
  </si>
  <si>
    <t>To study the feasibility of adding, in the document for operating Rubi station, requirements for the</t>
  </si>
  <si>
    <t>To study the feasibility of adding, in the document for operating Rubi station, requirements for the appliances,as long as those were placed immediately after a sign, to be well arranged based on the established route .</t>
  </si>
  <si>
    <t>ES-1149/1</t>
  </si>
  <si>
    <t>Defining clear and logical guidelines to follow by the traffic managers and train drivers when an ov</t>
  </si>
  <si>
    <t>Defining clear and logical guidelines to follow by the traffic managers and train drivers when an overrun of a signal is authorized and a verification of the position of the points is needed, and adapting the regulations to new technologies (high speed).</t>
  </si>
  <si>
    <t>ES-1149/2</t>
  </si>
  <si>
    <t>To study the feasibility of strengthening the content of the training programs for obtaining the tra</t>
  </si>
  <si>
    <t>To study the feasibility of strengthening the content of the training programs for obtaining the train driving licence in relation to the technical knowledges about high speed switch gear and in particular about the points.</t>
  </si>
  <si>
    <t>ES-1148/1</t>
  </si>
  <si>
    <t>To implement the neccesary measures to perform the communicatins with the train drivers according to</t>
  </si>
  <si>
    <t>To implement the neccesary measures to perform the communicatins with the train drivers according to the rules, as well as mantaining adequate attention to driving, especially when driving in unusual circumstances.</t>
  </si>
  <si>
    <t>ES-1133/1</t>
  </si>
  <si>
    <t>To embody to the maintenance plan of the rolling stock (series 440-470 ) the new procedure for the i</t>
  </si>
  <si>
    <t>To embody to the maintenance plan of the rolling stock (series 440-470 ) the new procedure for the inspection of electrical outlets and the axle´s contact area.</t>
  </si>
  <si>
    <t>ES-1133/2</t>
  </si>
  <si>
    <t>To study what other type of rolling stock is susceptible of suffering damage in its axles due to a m</t>
  </si>
  <si>
    <t>To study what other type of rolling stock is susceptible of suffering damage in its axles due to a malfunction of the electrical outlets, then adding similar measures in its maitenance plan.</t>
  </si>
  <si>
    <t>ES-1133/3</t>
  </si>
  <si>
    <t>To study the inclusion in the maintenance plan of the series 440-470 an ultrasonic inspection in one</t>
  </si>
  <si>
    <t>To study the inclusion in the maintenance plan of the series 440-470 an ultrasonic inspection in one intermidiate intervention between the R ones</t>
  </si>
  <si>
    <t>ES-1121/1</t>
  </si>
  <si>
    <t>15/11-1 (ASFA Baluster)</t>
  </si>
  <si>
    <t>To follow the performance of the ASFA baluster of signal 2268 (preceding caution signal E`2) in order to detect malfunctions.</t>
  </si>
  <si>
    <t>ES-1121/2</t>
  </si>
  <si>
    <t>Vigilancia del comportamiento de la baliza ASFA de pie de señal de la 2268 (anterior a la avanzada Eâ€™2 de Flaçá) con objeto de detectar funcionamientos anómalos de la misma.</t>
  </si>
  <si>
    <t>ES-1121/3</t>
  </si>
  <si>
    <t>15/11-2 (ASFA cab equipment)</t>
  </si>
  <si>
    <t>To follow the performance of the ASFA cab equipment of train 212 in order to detect if it works properly.</t>
  </si>
  <si>
    <t>ES-1121/4</t>
  </si>
  <si>
    <t>Seguimiento del comportamiento del equipo ASFA embarcado en el tren 212, con el objeto de detectar si su funcionamiento es correcto.</t>
  </si>
  <si>
    <t>ES-1111/1</t>
  </si>
  <si>
    <t>To modify the fastening system of the bearing screws of the locking mechanism for the BRAVA-axles.</t>
  </si>
  <si>
    <t>ES-1111/2</t>
  </si>
  <si>
    <t>To study, design and implement a system to ensure the screws fastening for the BRAVA-axles.</t>
  </si>
  <si>
    <t>ES-11/1</t>
  </si>
  <si>
    <t>As there is already a project to remove the two local crossings, it is recommended to start it as so</t>
  </si>
  <si>
    <t>As there is already a project to remove the two local crossings, it is recommended to start it as soon as possible.</t>
  </si>
  <si>
    <t>ES-1087/1</t>
  </si>
  <si>
    <t>To adapt the LC according to that is laid down in the LC rule (Orden de 2 agosto de 2001, por la que</t>
  </si>
  <si>
    <t>To adapt the LC according to that is laid down in the LC rule (Orden de 2 agosto de 2001, por la que se desarrolla el artículo 235 del Reglamento de la Ley de Ordenación de los Transportes Terrestres, en materia de supresión y protección de pasos a nivel):</t>
  </si>
  <si>
    <t>ES-1079/1</t>
  </si>
  <si>
    <t>Adapting the LC´s road signage to what is settled in the relevant rule (Disposition, 2nd august 20001, related to LC)</t>
  </si>
  <si>
    <t>ES-1058/1</t>
  </si>
  <si>
    <t>To study the feasibility of placing mechanisms into the axle-box overheating detectors in order to c</t>
  </si>
  <si>
    <t>To study the feasibility of placing mechanisms into the axle-box overheating detectors in order to control any variation of risky temperatures, to establish correlated and computerized chains in real time to monitoring the heating between consecutive detectors placed in the same railway line</t>
  </si>
  <si>
    <t>ES-1058/2</t>
  </si>
  <si>
    <t>To conduct a study of the maintenance standards´ consistency (NTMâ€™s y MMCâ€™s) in order to amend them</t>
  </si>
  <si>
    <t>To conduct a study of the maintenance standards´ consistency (NTMâ€™s y MMCâ€™s) in order to amend them if necessary.</t>
  </si>
  <si>
    <t>ES-1058/3</t>
  </si>
  <si>
    <t>Performing an audit to verify that the maintenance standards (NTMâ€™s) relating to the grease boxes an</t>
  </si>
  <si>
    <t>Performing an audit to verify that the maintenance standards (NTMâ€™s) relating to the grease boxes and the bearings 800.302.01 y 800.302.00 are applied</t>
  </si>
  <si>
    <t>ES-1058/4</t>
  </si>
  <si>
    <t>To study the convenience of making amendments in the existing standards relating the axle-box overhe</t>
  </si>
  <si>
    <t>To study the convenience of making amendments in the existing standards relating the axle-box overheating detectors alarms</t>
  </si>
  <si>
    <t>ES-1058/5</t>
  </si>
  <si>
    <t>To insist on the necessity of testing for drugs and alcohol to those involved in an accident</t>
  </si>
  <si>
    <t>ES-1057/1</t>
  </si>
  <si>
    <t>During the periodic inspection of the infrastructure, emphasizing on the condition of the fasteners</t>
  </si>
  <si>
    <t>ES-1057/2</t>
  </si>
  <si>
    <t>Insisting on the necessity of carrying out a periodic and appropriate maintenance of all elements of</t>
  </si>
  <si>
    <t>Insisting on the necessity of carrying out a periodic and appropriate maintenance of all elements of the infrastructure</t>
  </si>
  <si>
    <t>ES-1043/1</t>
  </si>
  <si>
    <t>Insisting on the strict observance of the General Operating Rules, specially in degraded situations</t>
  </si>
  <si>
    <t>Insisting on the strict observance of the General Operating Rules, specially in degraded situations as this one.</t>
  </si>
  <si>
    <t>ES-1043/2</t>
  </si>
  <si>
    <t>The training schemes of those which are responsible for traffic operations should include practical</t>
  </si>
  <si>
    <t>The training schemes of those which are responsible for traffic operations should include practical training for degraded situations.</t>
  </si>
  <si>
    <t>ES-1042/1</t>
  </si>
  <si>
    <t>To study the feasibility of placing an indicating signal for the 1S/I signal due its special conditi</t>
  </si>
  <si>
    <t>To study the feasibility of placing an indicating signal for the 1S/I signal due its special conditions (place in a curve and transition from double line to two single lines). Also check the rest of the exit signals at the station.</t>
  </si>
  <si>
    <t>ES-1041/1</t>
  </si>
  <si>
    <t>Adapting the LC´s signage to what is settled in the relevant rule (Disposition, 2nd august 20001, re</t>
  </si>
  <si>
    <t>Adapting the LC´s signage to what is settled in the relevant rule (Disposition, 2nd august 20001, related to LC)</t>
  </si>
  <si>
    <t>ES-1041/2</t>
  </si>
  <si>
    <t>To reinforce the LC´s signage in the area where it intersects with the entrance to the station</t>
  </si>
  <si>
    <t>ES-1041/3</t>
  </si>
  <si>
    <t>To remove the half-barrier which is unnecessary according to the direction of the traffic. Also put</t>
  </si>
  <si>
    <t>To remove the half-barrier which is unnecessary according to the direction of the traffic. Also put in place the acoustic devices which are missed.</t>
  </si>
  <si>
    <t>ES-1040/1</t>
  </si>
  <si>
    <t>When applying for authorization to General Directorate of Railway Infrastructure to set a provisiona</t>
  </si>
  <si>
    <t>When applying for authorization to General Directorate of Railway Infrastructure to set a provisional LC (due railway works) will attach a LC´s risk analysis, based on the works´ characteristics and needs, the characteristics of the railway traffic and the management of the railway line where the LC is intended to be set.</t>
  </si>
  <si>
    <t>ES-1040/2</t>
  </si>
  <si>
    <t>The authorization to set the provisional LC should include the necessary measures for protection and</t>
  </si>
  <si>
    <t>The authorization to set the provisional LC should include the necessary measures for protection and regulation according the particular characteristics of the railway works and the affected line, based on the risk analysis that will be delivered by the infrastructure manager in application for the authorization. The protective measures should comply with any of the types of protection that are laid down in the LC rule (Orden de 2 agosto de 2001, por la que se desarrolla el artículo 235 del Reglamento de la Ley de Ordenación de los Transportes Terrestres, en materia de supresión y protección de pasos a nivel).</t>
  </si>
  <si>
    <t>ES-1040/3</t>
  </si>
  <si>
    <t>To implement the necessary technical means to record the conversations kept between those in charge</t>
  </si>
  <si>
    <t>To implement the necessary technical means to record the conversations kept between those in charge of railway traffic and those (pilots) in charge of the provisional LC.</t>
  </si>
  <si>
    <t>ES-1040/4</t>
  </si>
  <si>
    <t>ES-1040/5</t>
  </si>
  <si>
    <t>To include, in the safety plans, systematic visits to provisional LCs that are set due to railway wo</t>
  </si>
  <si>
    <t>To include, in the safety plans, systematic visits to provisional LCs that are set due to railway works â€“ carried out by the safety staff - to verify the right application of the appropriate standing order.</t>
  </si>
  <si>
    <t>ES-1039/1</t>
  </si>
  <si>
    <t>It´s recommended to the competent authority to adapt the road signage to the legislation.</t>
  </si>
  <si>
    <t>ES-1037/1</t>
  </si>
  <si>
    <t>REC-000185</t>
  </si>
  <si>
    <t>ES-0138/1</t>
  </si>
  <si>
    <t>50/12-1 Maintenance instructions</t>
  </si>
  <si>
    <t>Defining within the maintenance instructions the activity of lubricating the pins in order to make this activity effective. In order to ensure the above, the maintainer will train the workers that will perform such activity and carry out aleatory checkings of a right performance</t>
  </si>
  <si>
    <t>REC-000186</t>
  </si>
  <si>
    <t>ES-0138/2</t>
  </si>
  <si>
    <t>50/12-2 Study on different materials</t>
  </si>
  <si>
    <t>Asking a technologist for a study about other materials that minimise the worn out and the need of lubrication</t>
  </si>
  <si>
    <t>ES-0139/1</t>
  </si>
  <si>
    <t>51/12-1 (Maintenance standard)</t>
  </si>
  <si>
    <t>In the light of the results, to establish an specific standard when repairing wheelsets without the axle box´s screw plug, specifying the checks and measurements to be made in bearings and axles, along with an inspection card for recording the actions that have been made This standard could be incorporated into the existing Technical Standard for maintaining wheelsets.</t>
  </si>
  <si>
    <t>ES-0139/2</t>
  </si>
  <si>
    <t>51/12-2 (Retraining courses)</t>
  </si>
  <si>
    <t>To insist on the retraining courses for driving staff about the convenience of verifying the communication mode and channel that are allocated are the proper ones.</t>
  </si>
  <si>
    <t>ES-0139/3</t>
  </si>
  <si>
    <t>51/12-3 (Axle-box overheating detectors alarms)</t>
  </si>
  <si>
    <t>Recommendation nº4 issued in the investigation report 63/2010 is reiterated: "To study the convenience of making amendments in the existing standards relating the axle-box overheating detectors alarms."</t>
  </si>
  <si>
    <t>ES-359/1</t>
  </si>
  <si>
    <t>The LC is planned to remove in short time, so, it´s recommended to launch campaigns to sensitize peo</t>
  </si>
  <si>
    <t>The LC is planned to remove in short time, so, it´s recommended to launch campaigns to sensitize people of the risks of being and crossing at unauthorised places.</t>
  </si>
  <si>
    <t>ES-309/1</t>
  </si>
  <si>
    <t>ES-309/2</t>
  </si>
  <si>
    <t>it´s recommended to the competent authority (Langreo city council) to adapt the road signage to the</t>
  </si>
  <si>
    <t>it´s recommended to the competent authority (Langreo city council) to adapt the road signage to the legislation.</t>
  </si>
  <si>
    <t>ES-309/3</t>
  </si>
  <si>
    <t>To launch campaigns for people to observe the proper ways of crossing tracks and to sensitize them a</t>
  </si>
  <si>
    <t>To launch campaigns for people to observe the proper ways of crossing tracks and to sensitize them about the risks of crossing tracks.</t>
  </si>
  <si>
    <t>ES-290/1</t>
  </si>
  <si>
    <t>To remove the faulty paths and fencing the area in order to separate the urban zone from the railway</t>
  </si>
  <si>
    <t>To remove the faulty paths and fencing the area in order to separate the urban zone from the railway area</t>
  </si>
  <si>
    <t>ES-289/1</t>
  </si>
  <si>
    <t>Fencing the area to avoid the access to a near beach</t>
  </si>
  <si>
    <t>ES-289/2</t>
  </si>
  <si>
    <t>To intensify the Development Ministry´s plan of fencing</t>
  </si>
  <si>
    <t>ES-289/3</t>
  </si>
  <si>
    <t>To launch campaigns for people to know the risks of being and crossing tracks at unauthorised place</t>
  </si>
  <si>
    <t>To launch campaigns for people to know the risks of being and crossing tracks at unauthorised places</t>
  </si>
  <si>
    <t>ES-288/1</t>
  </si>
  <si>
    <t>Reviewing the existing fencing in the area</t>
  </si>
  <si>
    <t>ES-288/2</t>
  </si>
  <si>
    <t>ES-288/3</t>
  </si>
  <si>
    <t>ES-287/1</t>
  </si>
  <si>
    <t>To sensitize people to observe the warningn signs and proper ways of crossing tracks</t>
  </si>
  <si>
    <t>ES-287/2</t>
  </si>
  <si>
    <t>To place signage warning about the risks of crossing tracks</t>
  </si>
  <si>
    <t>ES-287/3</t>
  </si>
  <si>
    <t>To intensify the vigilance and the information through public address system of the proximity of tra</t>
  </si>
  <si>
    <t>To intensify the vigilance and the information through public address system of the proximity of trains</t>
  </si>
  <si>
    <t>ES-286/1</t>
  </si>
  <si>
    <t>Reviewing the fencing in order to identify faulty paths</t>
  </si>
  <si>
    <t>ES-286/2</t>
  </si>
  <si>
    <t>To launch campaigns for people to know the risks of crossing tracks through unauthorised places</t>
  </si>
  <si>
    <t>ES-285/1</t>
  </si>
  <si>
    <t>Fencing the whole area</t>
  </si>
  <si>
    <t>ES-285/2</t>
  </si>
  <si>
    <t>ES-285/3</t>
  </si>
  <si>
    <t>To launch campaigns for people to know the risks of crossing tracks through inappropiate ways</t>
  </si>
  <si>
    <t>ES-246/1</t>
  </si>
  <si>
    <t>To promote a campaign, aimed to drivers, on training and recycling about General Operating Rules and</t>
  </si>
  <si>
    <t>To promote a campaign, aimed to drivers, on training and recycling about General Operating Rules and Drivers Manual, stressing their strict observance.</t>
  </si>
  <si>
    <t>ES-246/2</t>
  </si>
  <si>
    <t>To remind drivers they must inform about any failure they could see on the installations or the syst</t>
  </si>
  <si>
    <t>To remind drivers they must inform about any failure they could see on the installations or the system performance</t>
  </si>
  <si>
    <t>ES-246/3</t>
  </si>
  <si>
    <t>Review and modify the Renfe´s standard â€œTechnical description of automatic half-barriersâ€ and, accor</t>
  </si>
  <si>
    <t>Review and modify the Renfe´s standard â€œTechnical description of automatic half-barriersâ€ and, accordingly, adapt Chapter 8 of Drivers Manual.</t>
  </si>
  <si>
    <t>ES-246/4</t>
  </si>
  <si>
    <t>Review the reliability of similar installations taking into account previous incidents that have hap</t>
  </si>
  <si>
    <t>Review the reliability of similar installations taking into account previous incidents that have happened in the last months, in order to investigate whether these troubles occur in other parts of the railway network.</t>
  </si>
  <si>
    <t>ES-246/5</t>
  </si>
  <si>
    <t>The Digital ASFA system is under development, consisting in receiving punctual information from the</t>
  </si>
  <si>
    <t>The Digital ASFA system is under development, consisting in receiving punctual information from the safety fixed installation but with an enhancement in monitoring of trainâ€™s speed. Therefore, once the equipment is validated and homologated by the competent authority, its installation is carried out as soon as possible.</t>
  </si>
  <si>
    <t>ES-238/1</t>
  </si>
  <si>
    <t>ES-237/1</t>
  </si>
  <si>
    <t>To study if neccessary to fence troubled places in the accident area</t>
  </si>
  <si>
    <t>ES-237/2</t>
  </si>
  <si>
    <t>ES-236/1</t>
  </si>
  <si>
    <t>ES-236/2</t>
  </si>
  <si>
    <t>To fence troubled places alongside this railway line</t>
  </si>
  <si>
    <t>ES-235/1</t>
  </si>
  <si>
    <t>To repair the fence as soon as possible, to close this faulty path</t>
  </si>
  <si>
    <t>ES-235/2</t>
  </si>
  <si>
    <t>To intensify the vigilance in these kind of places and launch campaigns for people to learn about th</t>
  </si>
  <si>
    <t>To intensify the vigilance in these kind of places and launch campaigns for people to learn about the risks of crossing the tracks through inappropriate places</t>
  </si>
  <si>
    <t>ES-234/1</t>
  </si>
  <si>
    <t>ES-234/2</t>
  </si>
  <si>
    <t>To launch campaigns for people to know the risks of crossing tracks inappropiately</t>
  </si>
  <si>
    <t>ES-231/1</t>
  </si>
  <si>
    <t>ES-231/2</t>
  </si>
  <si>
    <t>To consider to remove the board crossing, keeping it just if neccesary</t>
  </si>
  <si>
    <t>ES-231/3</t>
  </si>
  <si>
    <t>In the case it can´t be removed, studying the feasability of placing warning lights and acoustic dev</t>
  </si>
  <si>
    <t>In the case it can´t be removed, studying the feasability of placing warning lights and acoustic devices at the crossing</t>
  </si>
  <si>
    <t>ES-218/1</t>
  </si>
  <si>
    <t>As there is a projecto to remove the LC, it´s recommended to launch a campaing to use LC properly</t>
  </si>
  <si>
    <t>ES-217/1</t>
  </si>
  <si>
    <t>Reinforce the existing signage and inform through public address system the proximity of trains. Fur</t>
  </si>
  <si>
    <t>Reinforce the existing signage and inform through public address system the proximity of trains. Further, to study the feasability of building an underpass.</t>
  </si>
  <si>
    <t>ES-0308/1</t>
  </si>
  <si>
    <t>61/12-1 (Wagon´s maintenance documentation)</t>
  </si>
  <si>
    <t>To update maintenance documentation of the car transporter wagons type Lek (use by Transfesa) matching the axles´maintenance work cycle with the maintenance work type R of the wagons</t>
  </si>
  <si>
    <t>ES-0308/2</t>
  </si>
  <si>
    <t>61/12-2 (Axles type 66)</t>
  </si>
  <si>
    <t>To establish (agreed with Transfesa) the adaptation and setting up plan of axles type 65 for wagons type Leks (axles type 66) and monitor its implementation and outcome.</t>
  </si>
  <si>
    <t>ES-0308/3</t>
  </si>
  <si>
    <t>61/12-3 (Guard´s journal)</t>
  </si>
  <si>
    <t>To study the feasibility of adding to the guard´s journal the number of axles per wagon in order to easily identify the wagon with an axle overheating</t>
  </si>
  <si>
    <t>ES-0308/4</t>
  </si>
  <si>
    <t>61/12-4 (Retraining)</t>
  </si>
  <si>
    <t>To retrain staff at Miranda´s control office (supervising this type of alarms) in axles overheating alarms management</t>
  </si>
  <si>
    <t>ES-0308/5</t>
  </si>
  <si>
    <t>61/12-5 (Hot axle detector operating manual)</t>
  </si>
  <si>
    <t>To review the operating manual of the hot axle detectors that are installed in the General Interest Railway Network in order to avoid a wrongly train number assignation</t>
  </si>
  <si>
    <t>ES-0308/6</t>
  </si>
  <si>
    <t>61/12-6 (Hot axle detectors standard)</t>
  </si>
  <si>
    <t>Recommendation nº1 issued in the investigation report 51/2012 is reiterated: To study the convenience of making amendments in the existing standards relating the hot axle detectors</t>
  </si>
  <si>
    <t>ES-0358/1</t>
  </si>
  <si>
    <t>64/12-1 (Rolling stock)</t>
  </si>
  <si>
    <t>Whereas the measures already taken are appropriate, it´s recommended to study the feasibility of use them for rolling stock in similar circumstances</t>
  </si>
  <si>
    <t>ES-0652/1</t>
  </si>
  <si>
    <t>71/12-1 Average Daily Traffic (ADT)</t>
  </si>
  <si>
    <t>Asking the path´s owner (Miguelturra´s council) the current value of the average daily traffic indicator, as soon as possible</t>
  </si>
  <si>
    <t>ES-0652/2</t>
  </si>
  <si>
    <t>71/12-2 Adapatation of ADT</t>
  </si>
  <si>
    <t>Once the current value of ADT is known, adapting the level crossing characteristics according the rule "Order of 2 August 2001 in terms of suppression and protection of level crossings", by whoever has the responsibility</t>
  </si>
  <si>
    <t>ES-0655/1</t>
  </si>
  <si>
    <t>74/12-1 (Braking system)</t>
  </si>
  <si>
    <t>To study the parking brake system operation of this model and of any other model with similar system. To assess its modification and the change of the consistency of its maintenance.</t>
  </si>
  <si>
    <t>REC-000375</t>
  </si>
  <si>
    <t>ES-0655/2</t>
  </si>
  <si>
    <t>74/12-2 (Audit maintenance cycles)</t>
  </si>
  <si>
    <t>To perform an audit on the fulfilment of the maintenance cycles of the metric gauge´s rolling stock.</t>
  </si>
  <si>
    <t>ES-0655/3</t>
  </si>
  <si>
    <t>74/12-3 (Measures for runaway risk)</t>
  </si>
  <si>
    <t>To order the necessary measures to ensure the safety faced with the risk of runaways at stations with similar characteristics to Laviana station (departure/destination of journey and/or a gradient in the stabling area towards the main line).</t>
  </si>
  <si>
    <t>ES-0799/1</t>
  </si>
  <si>
    <t>77/12-1 (Track monitoring)</t>
  </si>
  <si>
    <t>To intensify track monitoring in the area until the works that are planned are fulfilled.</t>
  </si>
  <si>
    <t>ES-0800/1</t>
  </si>
  <si>
    <t>01/13-1 Maintenance plan for central interlock points</t>
  </si>
  <si>
    <t>To include, in the maintenance plan for the central interlock points (document PEIS002F01.R06), an operation to complement the visual inspection. This would be carried out by checking the mechanical state of the pin and its oxidation. The periodicity would be defined by the features and the operating conditions of the points.</t>
  </si>
  <si>
    <t>ES-2077/1</t>
  </si>
  <si>
    <t>12/13-1 Procedure for monitoring speed limit</t>
  </si>
  <si>
    <t>ES-2077/2</t>
  </si>
  <si>
    <t>12/13-2 Audit for metric gauge rolling stock</t>
  </si>
  <si>
    <t>Recommendation nº2 issued in the investigation report 74/2012 is reiterated: To perform an audit on the fulfilment of the maintenance cycles of the metric gauge´s rolling stock.</t>
  </si>
  <si>
    <t>ES-2079/1</t>
  </si>
  <si>
    <t>13/13-1 Standard IG-66 - Metric gauge network</t>
  </si>
  <si>
    <t>As soon as possible, the standard IG-66 shall be a mandatory rule applicable in the metric gauge network</t>
  </si>
  <si>
    <t>ES-2079/2</t>
  </si>
  <si>
    <t>13/13-2 Qualify as a loader (Ministerial Order FOM/2872/2010) - Metric Gauge Network</t>
  </si>
  <si>
    <t>As soon as possible, to add the rule for qualifying as a loader, established in the Orden FOM/2872/2010,5 noviembre, to the the metric gauge network regulations.</t>
  </si>
  <si>
    <t>ES-2149/1</t>
  </si>
  <si>
    <t>15/13-1 Rule road parapet</t>
  </si>
  <si>
    <t>In the construction projects, to study the feasibility of requiring the enforcement of the rule â€œOrden Circular 23/2008 sobre criterios de aplicación de pretiles metálicos en carreteraâ€ (General Directorate for roads)</t>
  </si>
  <si>
    <t>ES-2149/2</t>
  </si>
  <si>
    <t>15/13-2 Detection of obstacles devices</t>
  </si>
  <si>
    <t>In those situations, and as long as it´s practicable, when both railway and road traffic advise to do so, to study the feasiblity of installing detection of obstacles devices and linking them to the railway signalling</t>
  </si>
  <si>
    <t>ES-2251/1</t>
  </si>
  <si>
    <t>33/13-1 Inventory of stations</t>
  </si>
  <si>
    <t>Recommendation issued in the investigation report 0045/2009 is reiterated: Insisting on the implementation of general recommendation issued in the document "CIAF, Study on people being knocked down in open line, stations or halts and level crossing. Years 2005-20082" that is to carry out an inventory of stations and halts of the General Interest Spanish Railway Network covering some different parameters in order to perform a risk analysis. Based on these results, an action plan could be developed.</t>
  </si>
  <si>
    <t>REC-000285</t>
  </si>
  <si>
    <t>ES-2252/1</t>
  </si>
  <si>
    <t>35/13-1 Simulation programmes train drivers - driving with deteriorate conditions</t>
  </si>
  <si>
    <t>On training programmes for train drivers, to perform simulations running with rolling stock in deteriorate conditions,checking that they know how to perform, prior starting driving, and how to apply the appropriate standards for the rolling stock and its operation.</t>
  </si>
  <si>
    <t>ES-2352/1</t>
  </si>
  <si>
    <t>36/13-1 Technical recommendation 2/2014 (Guidelines to avoid axles deterioration) - Updating axles maintenance manual - Heavy track maintenance machinery</t>
  </si>
  <si>
    <t>Once the Railway General Directorate has issued the Technical Recommendation 2/2014 (Guidelines to avoid axles deterioration during their use and maintenance) to all the companies that own heavy track maintenance machinery, the Railway General Directorate is recommended to ask these companies to introduce in the maintenance manual the appropriate sections of the aforementioned technical recommendation in order to fulfil it.</t>
  </si>
  <si>
    <t>ES-2353/1</t>
  </si>
  <si>
    <t>42/13-1 Turnouts - Specific inspection plan - Access tracks to railway facilities - High traffic</t>
  </si>
  <si>
    <t>To develop a specific inspection plan for turnouts giving access to railway facilities with high traffic. Given the existence of safety deficiencies, act accordingly.</t>
  </si>
  <si>
    <t>ES-2408/1</t>
  </si>
  <si>
    <t>44/13-1 Bead - BRAVA axle - Gauge change device</t>
  </si>
  <si>
    <t>To analyze the possibility of speeding up the implement of the proposed measure (bead)</t>
  </si>
  <si>
    <t>ES-2410/1</t>
  </si>
  <si>
    <t>43/13-1 Protections for track works: short-circuit /signals - Experimental Special Order nº 58 - Track circuits</t>
  </si>
  <si>
    <t>To include within the regulations covering the works described in this investigation report, in particular within the Experimental Special Order nº 58, the mandatory use of protections by the means of short-circuit tools (lines with electrical track circuits) and signals (in lines without electrical track circuits).</t>
  </si>
  <si>
    <t>ES-2409/1</t>
  </si>
  <si>
    <t>48/13-1 Track buckle - Urgent treatment area - Establishing procedures for corrective measures</t>
  </si>
  <si>
    <t>Establishing procedures for ensuring the adoption of corrective measures of track faults that are detected and classified as urgent treatment. Until then, taking the necessary actions to prevent risks in traffic</t>
  </si>
  <si>
    <t>ES-2424/1</t>
  </si>
  <si>
    <t>16/13-1 Responsible among contract staff</t>
  </si>
  <si>
    <t>The person in charge of Adif will make sure and request that, among the maintenance contract staff, there´s a responsible of verifying the right operations for a safe railway traffic.</t>
  </si>
  <si>
    <t>ES-2566/1</t>
  </si>
  <si>
    <t>54/13-1 Speed restriction signals - Signpost</t>
  </si>
  <si>
    <t>To regulate that all speed reductions from a certain range are signposted on the track with fixed speed restriction signals.</t>
  </si>
  <si>
    <t>ES-2566/2</t>
  </si>
  <si>
    <t>54/13-2 Speeding - ASFA balises for braking</t>
  </si>
  <si>
    <t>For these situations (significant reductions of speed), to manage the progressive introduction of balises that could help controlling the speed of the trains, so, in case of exceeding the speed limit of the next rail section, the train could be braked. For achieving this, to boost the necessary technological developments of the ASFA Digital system.</t>
  </si>
  <si>
    <t>ES-2566/3</t>
  </si>
  <si>
    <t>54/13-3.1 Procedures within Renfe Operadora´s SMS: effective preventive management of deficiencies</t>
  </si>
  <si>
    <t>To reinforce the procedures within the Renfe Operadora´s safety management system (SMS) for the safety-related deficiencies that are detected in any level to be extended to the functionally established channels for their analysis and consideration, thus ensuring their effective preventive management.</t>
  </si>
  <si>
    <t>ES-2566/4</t>
  </si>
  <si>
    <t>54/13-3.2 Procedures within RUs´SMS: effective preventive management of deficiencies</t>
  </si>
  <si>
    <t>The National Railway Safety Authority (NSA) shall ensure the extension of the recommendation 54/13-3.1 to the other railway undertakers.</t>
  </si>
  <si>
    <t>ES-2566/5</t>
  </si>
  <si>
    <t>54/13-4 Joint Committees for safety of rail traffic</t>
  </si>
  <si>
    <t>The National Railway Safety Authority (NSA) shall analyze restoring the Joint Committees for the safety of rail traffic where risks situations arising from driving-vehicle-track interaction could be assessed, which will be attended by representatives of Adif and the railway undertakers and supervised by the NSA.</t>
  </si>
  <si>
    <t>ES-2566/6</t>
  </si>
  <si>
    <t>54/13-5 Risk analysis - hazards interaction different subsystems</t>
  </si>
  <si>
    <t>In the process of putting into service new railway lines and bypasses, to include an specific risk analysis that shows the identification and management of potential hazards arising from the interaction of the different subsystems, under normal and deteriorated conditions of operation, and their linkages with train drivers and operations staff that take part in the running of a train from the beginning to the end of a railway line or bypass, and its connection with the existing network. To analyze the feasibility of its implementation in the different stages of construction process also. To promote, in the lines already in service and in those cases where is justified, putting into practice the aforementioned risk analysis.</t>
  </si>
  <si>
    <t>ES-2566/7</t>
  </si>
  <si>
    <t>54/13-6 Regulate communications with train drivers - Avoid distractions</t>
  </si>
  <si>
    <t>To include in the regulation, and hand it on to the RUs for its inclusion in their SMS, the appropriate arrangements for the communications with the train drivers being on the train cab to be carried out in a safe way in order to avoid likely distractions.</t>
  </si>
  <si>
    <t>ES-2566/8</t>
  </si>
  <si>
    <t>54/13-7.1 Renfe Operadora impelmentation audio and video recording system into cabs</t>
  </si>
  <si>
    <t>To foster the progressive implementation of an audio recording system into the driving cabs. To analyze the feasibility of also install a video recording system.</t>
  </si>
  <si>
    <t>ES-2566/9</t>
  </si>
  <si>
    <t>54/13-7.2 RUs impelmentation audio and video recording system into cabs</t>
  </si>
  <si>
    <t>The National Railway Safety Authority (NSA) shall ensure the extension of the recommendation 54/13-7.1 to the other railway undertakers.</t>
  </si>
  <si>
    <t>ES-2762/1</t>
  </si>
  <si>
    <t>62/13-1 Track car - Electrification car - Maintenance Plan - Supervision</t>
  </si>
  <si>
    <t>To study the feasability of modifying the maintenance plans of this type of cars so that the dismantling of grease boxes and the inspections of the axles by means of ultrasonic and magnetoscopy techniques are performed in a higher number of supervisions, not only those of a higher level as planned in the maintenance plans, in order to shorten the time span between the aforementioned interventions</t>
  </si>
  <si>
    <t>ES-2898/1</t>
  </si>
  <si>
    <t>60/13-1 Metric gauge network - Lost of shunt - Track circuit - Relays system</t>
  </si>
  <si>
    <t>To identify within the metric gauge network the systems that are similar to the one described in this report in order to analyze their performance and to study potential improvement actions</t>
  </si>
  <si>
    <t>ES-2898/2</t>
  </si>
  <si>
    <t>60/13-2 Metric gauge network - Modification of maintenance plan- Relays system</t>
  </si>
  <si>
    <t>To include in the maintenance plan actions that are aimed to review and verify the performance of the relays systems with similar features to those described in this report. The review and verification shall be made with the periodicity and consistency specified in the manufacturer´s technical specifications.</t>
  </si>
  <si>
    <t>ES-2898/3</t>
  </si>
  <si>
    <t>60/13-3 Metric gauge network - 3800 model- Reduction of sandblasting flow</t>
  </si>
  <si>
    <t>To analyze the feasability of reducing, in the 3800 model, the sandblasting flows, adapting them to the existing recommendations</t>
  </si>
  <si>
    <t>ES-2900/1</t>
  </si>
  <si>
    <t>66/13-1 Modification transition ERTMS ASFA Digital - Train at a standstill - Model 130</t>
  </si>
  <si>
    <t>To analyze the feasability of introducing the necessary modifications in the model 130 in order to allow the transition from ERTMS to ASFA Digital avoiding the need of doing that when the train is at a standstill. To extend this recommendation, where appropriate, to the other models which could have this problem.</t>
  </si>
  <si>
    <t>ES-2902/1</t>
  </si>
  <si>
    <t>69/13-1 Retraining courses - Traffic staff - Malpractice - Degraded conditions</t>
  </si>
  <si>
    <t>Within the retraining courses addressed to traffic staff to insist on the risk of performing malpractices although those had the purpose of trying to make feasible the railway traffic in degraded conditions</t>
  </si>
  <si>
    <t>ES-3364/1</t>
  </si>
  <si>
    <t>05/14-1 Reiteration of recommendation 43/13-1 - Protections for track works: short-circuit /signals - Experimental Special Order nº 58 - Track circuits</t>
  </si>
  <si>
    <t>Recommendation 43/13-1 is reiterated: "To include within the regulations covering the works described in this investigation report, in particular within the Experimental Special Order nº 58, the mandatory use of protections by the means of short-circuit tools (lines with electrical track circuits) and signals (in lines without electrical track circuits)".</t>
  </si>
  <si>
    <t>ES-3667/1</t>
  </si>
  <si>
    <t>26/14-1 Modification of maintenance plan - Wagon Y21/25T - Use of VS inspection template - Rotation parameters - Takargo - GMF</t>
  </si>
  <si>
    <t>Considering appropriate the measures that have been already taken these measures are passed on to the AESF for analysing the convenience of implementation in other entities of maintenance: Takargo and GMF's measures: modification of maintenance plans for introducing a new operation for checking the rotation parameters reviewing of all rotation parameters values for the wagon of the same model</t>
  </si>
  <si>
    <t>ES-3876/1</t>
  </si>
  <si>
    <t>Establishment of a surveillance plan until the "Project for an emergency works for reinforcing the ...</t>
  </si>
  <si>
    <t>Establishment of a surveillance plan until the "Project for an emergency works for reinforcing the infrastructure for drainage and restitution of superstructure between kilometre points 367+200 and 370+100 of Bif.Alicante- Alicante railway line" is totally accomplished.</t>
  </si>
  <si>
    <t>ES-3877/1</t>
  </si>
  <si>
    <t>36/14-1 Board crossing - Replacement - Different level crossing</t>
  </si>
  <si>
    <t>Initiate steps in order to replace the current pass between station platforms by a flyover</t>
  </si>
  <si>
    <t>ES-3877/2</t>
  </si>
  <si>
    <t>36/14-2 Warning post sign</t>
  </si>
  <si>
    <t>Whilst the current crossing exists, reinforce the signalling of the crossing, placing warning post signs reminding the pedestrians the need to watch out and be sure a train is no coming</t>
  </si>
  <si>
    <t>ES-3877/3</t>
  </si>
  <si>
    <t>36/14-3 Workgroup about accidentability in stations - Railway Safety State Agency</t>
  </si>
  <si>
    <t>Boosting the activity of the NSA's workgroup about accidentability in stations</t>
  </si>
  <si>
    <t>REC-000378</t>
  </si>
  <si>
    <t>ES-4197/1</t>
  </si>
  <si>
    <t>41/14-1 Q1 system - Connector - Switch - Maintenance Plan - Model 252</t>
  </si>
  <si>
    <t>Reviewing the maintenance plan of HS locomotive model 252 for adding, within the maintenance performances that are deemed appropriate, a checking of the tighten of the connectors of system Q1's switch, recording this operation too. In the same way, within the maintenance performances that are deemed appropriate, a visual inspection will be performed to verify the absence of oil leaks in the connection area of the main transformer</t>
  </si>
  <si>
    <t>ES-4197/2</t>
  </si>
  <si>
    <t>41/14-2 Fire detection system - Model 252</t>
  </si>
  <si>
    <t>Enhancing the fire detecting system that is installed in these locomotives in order to this system to detect the starting of fires of similar nature</t>
  </si>
  <si>
    <t>ES-4198/1</t>
  </si>
  <si>
    <t>42/14-1 Inspection campaign - Weekly proceedings for planned works - Pancorbo - Management</t>
  </si>
  <si>
    <t>To conduct an specific inspection campaign to check the correct completion of the weekly proceedings for planned works within the operational management of Pancorbo's scope (Burgos).</t>
  </si>
  <si>
    <t>ES-4198/2</t>
  </si>
  <si>
    <t>42/14-2 Inspection campaign - Regulation - Job foreman - Pancorbo - Management</t>
  </si>
  <si>
    <t>To conduct an specific inspection campaign to check job foremen's sound knowledge about the applicable regulation within the operational management of Pancorbo's scope (Burgos).</t>
  </si>
  <si>
    <t>ES-4199/1</t>
  </si>
  <si>
    <t>44/14-1 Manteinance Plan - Systematic replacement - Joint (rake) - Cycle GVG</t>
  </si>
  <si>
    <t>Including in the maintenance plan the systematic replacement of the joint (rake) in GVG operating cycles (1.200.000 kilometres) and above. Such replacement will also be carried out in operations where disassembly of the coupling system is performed.</t>
  </si>
  <si>
    <t>ES-4199/2</t>
  </si>
  <si>
    <t>44/14-2 Modifiction of raker - Gearing - Gauge change device</t>
  </si>
  <si>
    <t>Tracing of the investigations concerning the modification of the rakes and new gearing of the gauge change device. An implementation plan for the outcome.</t>
  </si>
  <si>
    <t>ES-4199/3</t>
  </si>
  <si>
    <t>44/14-3 Translation forces measurement - Gauge changing</t>
  </si>
  <si>
    <t>Finishing the implementation of all modifications foreseen for the measurement of the translation forces written down in section 5 of the final report. Modifying the pertinent maintenance documentation</t>
  </si>
  <si>
    <t>ES-4200/1</t>
  </si>
  <si>
    <t>51/14-1 Temporary speed restriction - Inspection visits</t>
  </si>
  <si>
    <t>To boost the exectuion of project â€œSegunda intervención en refuerzo de asentamientos Colombresâ€ in order to restore normal traffic conditions. Meanwhile, temporary speed restriction and inspection visits mus be kept</t>
  </si>
  <si>
    <t>ES-4324/1</t>
  </si>
  <si>
    <t>52/14-1 Driving staff - Retraining - Running at sight</t>
  </si>
  <si>
    <t>To insist on the retraining courses for driving staff about complying the running at sight prescriptions</t>
  </si>
  <si>
    <t>ES-4325/1</t>
  </si>
  <si>
    <t>53/14-1 Analysis of similar situations - Dificulty on perception - Signal indication</t>
  </si>
  <si>
    <t>Considering appropriate the measures that have been already taken, it's recommended: Adif (IM) and the Rus will jointly analyze if within the network there're signals which are dificult to be perceived due to glare, then adopting the appropriate measures</t>
  </si>
  <si>
    <t>ES-4493/1</t>
  </si>
  <si>
    <t>60/14-1 Road signage - Level crossing - Regulation of Law Ordenación de los Transportes Terrestres - Orden FOM de 2 de agosto de 2001</t>
  </si>
  <si>
    <t>To adjust the signage of the access road to the LC (kilometre point 130+742 of L/512 Zafra-Huelva Cargas) to the provisions of article 9.2 of Orden FOM de 2 de agosto de 2001</t>
  </si>
  <si>
    <t>ES-4493/2</t>
  </si>
  <si>
    <t>60/14-2 LC removal - Overpass</t>
  </si>
  <si>
    <t>To analyze the feasability of removing the LC (kilometre point 130+742 of L/512 Zafra-Huelva Cargas) taking advantage of the existence of a nearby overpass</t>
  </si>
  <si>
    <t>ES-4493/3</t>
  </si>
  <si>
    <t>60/14-3 Changes in legislation - LC Type B - LC Type A - Line of sight distance - Reglamento de la Ley de Ordenación de los Transportes Terrestres - Orden FOM de 2 de agosto de 2001</t>
  </si>
  <si>
    <t>To study the feasability of changing the current legislation; in particular article 12 of Orden FOM de 2 de agosto de 2001 in order to equip all type A LC with a type B protection and those where the real line of sight distance, in one of the LC's quadrants, is less than the technical one regardless of the AxT value [traffic time : A (road car)x T (train)]</t>
  </si>
  <si>
    <t>ES-4493/4</t>
  </si>
  <si>
    <t>60/14-4 Action plan - LC Type B - LC Type A - active warning system for road user</t>
  </si>
  <si>
    <t>To study the feasability of working on an action plan to turn type A level crossings into type B ones so that, according to the risk of every single one, all the LC within the railway network are equipped with an active warning system for the road user</t>
  </si>
  <si>
    <t>ES-4494/1</t>
  </si>
  <si>
    <t>61/14-1 Preventive track maintenance - Corrective track maintenance</t>
  </si>
  <si>
    <t>To boost the performance of maintenance, both preventive and corrective, in order to keep track EV of Tarragona Clasificación station in safety conditions for traffic</t>
  </si>
  <si>
    <t>REC-000225</t>
  </si>
  <si>
    <t>ES-4726/1</t>
  </si>
  <si>
    <t>05/15-1 Swaping signal around - Signal beacon - Visibility of signal</t>
  </si>
  <si>
    <t>To study the feasability of swaping signal 3646 around in order to improve its visibility and provide it with a signal beacon, when appropriate</t>
  </si>
  <si>
    <t>REC-000226</t>
  </si>
  <si>
    <t>ES-4726/2</t>
  </si>
  <si>
    <t>05/15-2 Safety Management System (SMS) Renfe Operadora - Safety Management System (SMS) Adif - Procedure - Traceability of practical training activities</t>
  </si>
  <si>
    <t>To request railway undertakings and infrastructure managers to include within their SMS a procedure to facilitate the traceability of training activities, in particular those of practical nature. In this procedure it should be specified, for every single training activity, the different types of activities to be established by those who are responsibles for</t>
  </si>
  <si>
    <t>ES-4726/3</t>
  </si>
  <si>
    <t>05/15-3 Safety Management System (SMS) Renfe Operadora - Safety Management System (SMS) Adif - Implementation deadline - Resolution 23rd december 2015, by Spanish Agency for railway safety, for the establishment of basic training itineraries and their minimum teaching load for train drivers training programmes</t>
  </si>
  <si>
    <t>To define a deadline for RU and IM to incorporate within their SMS those provisions contained in Resolution 23rd december 2015 by AESF (BOE 27/01/2016) and therefore be fully operational.</t>
  </si>
  <si>
    <t>ES-4753/1</t>
  </si>
  <si>
    <t>10/15-1: Non-conformity procedure review</t>
  </si>
  <si>
    <t>Review and/or supplement the general procedure PG-104-003-003 "Non-Conformity, Corrective, Preventive and Improvement Actions" in order to detail and concretize the treatment and management of nonconformities when detected by the maintenance personnel in inspections and surveillance of infrastructure, with the aim of improving the operation of that procedure and ensuring its compliance.</t>
  </si>
  <si>
    <t>ES-4753/2</t>
  </si>
  <si>
    <t>10/15-2: Knowledge of non-conformity procedure by staff</t>
  </si>
  <si>
    <t>After reviewing and / or supplementing the general procedure PG-104-003-003 "Non- Conformities, Corrective, Preventive and Improvement Actions" as stated in Recommendation 10/15-1, check that the system is operational and ensure that it is known by the involved personnel.</t>
  </si>
  <si>
    <t>ES-4755/1</t>
  </si>
  <si>
    <t>12/15-1: Substitution of sleepers</t>
  </si>
  <si>
    <t>Emphasis is placed on the implementation of CIAF recommendation 32/11-1: "To analyze the feasibility of replacing the entire stretch of wooden sleepers by others made of concrete or, failing that, to replace the ones in bad condition with other of the same material", carrying out the execution of the "Project to substitute wooden sleepers for concrete in the 4 kilometer section".</t>
  </si>
  <si>
    <t>ES-4755/2</t>
  </si>
  <si>
    <t>12/15-2: Comply with inspection visits</t>
  </si>
  <si>
    <t>To comply with the periodicity and quality of the inspection visits â€œon footâ€ established for this line, and to reconsider its conditions of circulation, according to the control cards and the detected nonconformities - managing these.</t>
  </si>
  <si>
    <t>ES-4756/1</t>
  </si>
  <si>
    <t>15/15-1: to require the IM to develop a SMS</t>
  </si>
  <si>
    <t>The NSA must require the APG (Gijón Port Authority) to develop a Security Management System, as established in the third additional provision of RD 810/2007, which approves the Regulation on safety in the circulation of the Spanish Railway Network of General Interest.</t>
  </si>
  <si>
    <t>ES-4756/2</t>
  </si>
  <si>
    <t>15/15-2: Measures to prevent uncontrolled movements</t>
  </si>
  <si>
    <t>Analyze the feasibility of implementing measures to prevent uncontrolled movements of rolling stock (drift) from the Port of Gijón to reach the point of physical connection with the Adif facilities.</t>
  </si>
  <si>
    <t>ES-4756/3</t>
  </si>
  <si>
    <t>15/15-3: Rolling stock maintenance monitoring</t>
  </si>
  <si>
    <t>Monitor compliance with the maintenance plan for rolling stock circulating through the Port of Gijón facilities.</t>
  </si>
  <si>
    <t>ES-4756/4</t>
  </si>
  <si>
    <t>15/15-4: Enabling traffic controllers</t>
  </si>
  <si>
    <t>According to the Adif-APG Convention, enable the traffic controllers that act in the connection of the port with the Railway Network of General Interest, administered by Adif.</t>
  </si>
  <si>
    <t>ES-4756/5</t>
  </si>
  <si>
    <t>15/15-5: Rolling stock maintenance</t>
  </si>
  <si>
    <t>Ensure compliance with the maintenance interventions cycles of the mobile material property of UTE APG Rail (the involved RU).</t>
  </si>
  <si>
    <t>REC-000039</t>
  </si>
  <si>
    <t>ES-4756/6</t>
  </si>
  <si>
    <t>15/15-6: "Dead man" device checking</t>
  </si>
  <si>
    <t>Check periodically, by responsible personnel of the RU, the good condition of the "Dead Man" device in their rolling stock.</t>
  </si>
  <si>
    <t>ES-4823/1</t>
  </si>
  <si>
    <t>30/15-1: Analyze signals relocation to reduce confusión risk</t>
  </si>
  <si>
    <t>To analyze, as a definitive solution, the feasibility of relocating the exit signal(s) S BSN M3 (and BSN M4) of Barcelona-Sants station to another place, where the risk of confusion by the driving staff could be reduced.</t>
  </si>
  <si>
    <t>ES-4824/1</t>
  </si>
  <si>
    <t>28/2015-1 Retraining courses for drivers should insist upon the different behaviour of rolling stock ...</t>
  </si>
  <si>
    <t>Retraining courses for drivers should insist upon the different behaviour of rolling stock (acceleration and braking), depending on the circulation circumstances.</t>
  </si>
  <si>
    <t>ES-4824/2</t>
  </si>
  <si>
    <t>28/2015-2</t>
  </si>
  <si>
    <t>Continental Rail should include in its SMS a procedure with general criteria for suspension, revocation and recovery of qualifications following a human error, considering its graveness.</t>
  </si>
  <si>
    <t>REC-000220</t>
  </si>
  <si>
    <t>ES-4825/1</t>
  </si>
  <si>
    <t>23/15-1 Procedure ADIF-PE-301-001-VÍA-03 - Inspection of infrastructure and track</t>
  </si>
  <si>
    <t>To modify the procedure ADIF-PE-301-001-VÍA-03 to incorporate in the management of the geometry of crossovers</t>
  </si>
  <si>
    <t>REC-000221</t>
  </si>
  <si>
    <t>ES-4825/2</t>
  </si>
  <si>
    <t>23/15-2 Inspection Plan - Safe running - Geometry of crossover</t>
  </si>
  <si>
    <t>To define an inspection plan of the geometry of crossovers that are in main track. If any safety deficiency were found, act upon it in order to restablish the conditions for the safe running of trains.</t>
  </si>
  <si>
    <t>ES-4896/1</t>
  </si>
  <si>
    <t>39/15-1: Axle box maintenance improving</t>
  </si>
  <si>
    <t>In the case of detection of water inside an axle box during maintenance interventions IM2, IM3 or IM4 performed on 599 vehicles, the axle change will be programmed. Until this change is made, a monitoring and verifying protocol will be applied to the axle in all preventive interventions.</t>
  </si>
  <si>
    <t>ES-4896/2</t>
  </si>
  <si>
    <t>39/15-2: Check the amount of kilometers since last revision of different axles, when they have different origin</t>
  </si>
  <si>
    <t>When changing an axle of a vehicle 599, it shall be checked that the amount of travelled kilometers since the last complete revision of that axis and its bearings is equal to or less than that of the train on which itâ€™s being mounted, measured since the last R1 or R2 revision performed on it.</t>
  </si>
  <si>
    <t>ES-4905/1</t>
  </si>
  <si>
    <t>43/15-1: stocked material next to the tracks should be secured</t>
  </si>
  <si>
    <t>Stocked rails next to operating tracks should be properly secured, by fixing their ends, when they are expected to stay on site for a long time.</t>
  </si>
  <si>
    <t>REC-000303</t>
  </si>
  <si>
    <t>ES-4912/1</t>
  </si>
  <si>
    <t>46/15-1: training on correct use of cabins</t>
  </si>
  <si>
    <t>In the training and recycling of drivers, stress the obligation of driving in the cabin facing the march when shunting (when possible), in order to have the maximum perception of the operation.</t>
  </si>
  <si>
    <t>REC-000307</t>
  </si>
  <si>
    <t>ES-4912/2</t>
  </si>
  <si>
    <t>46/15-2: training on correct communication of occurrences</t>
  </si>
  <si>
    <t>In the training and recycling of drivers, stress the importance of communicate occurrences to the responsible of circulation, through channels according to the rules of procedure and in the least time possible.</t>
  </si>
  <si>
    <t>ES-4912/3</t>
  </si>
  <si>
    <t>46/15-3: improvement of the SMS of the RU</t>
  </si>
  <si>
    <t>Recommendation REC-000382 is reiterated: Continental Rail should include in its SMS a procedure with general criteria for suspension, revocation and recovery of qualifications following a human error, considering its graveness.</t>
  </si>
  <si>
    <t>ES-4913/1</t>
  </si>
  <si>
    <t>49/15-1: Re-training on degraded situations</t>
  </si>
  <si>
    <t>In the re-training courses for driving staff, insist especially on unusual circumstances and degraded situations, such as supplementary telephone block</t>
  </si>
  <si>
    <t>ES-4913/2</t>
  </si>
  <si>
    <t>49/15-2: Ensuring driver's correct information</t>
  </si>
  <si>
    <t>Develop and implement the appropriate means to ensure that drivers get the notices and instructions that affect them, before performing their services. The medium level managers must remind drivers the application of the circulation conditions reflected in those documents, before the services.</t>
  </si>
  <si>
    <t>ES-4913/3</t>
  </si>
  <si>
    <t>49/15-3: Instructions that regulate works should be more detailed</t>
  </si>
  <si>
    <t>The instructions that regulate works should be more detailed, describing at all times how those works affect the elements of safety installations, especially signals and other components.</t>
  </si>
  <si>
    <t>ES-4913/4</t>
  </si>
  <si>
    <t>49/15-4: Risk analysis in early stages of projects</t>
  </si>
  <si>
    <t>Risk analysis should be carried out in previous phases of the project, in order to correctly mitigate detected risks and verify them in later stages (interlocking designing, verification and tests; field tests, mitigation measures at field tests, verification of documents, verification of correct risk mitigation, etc.) When works are regulated by an Instruction, work should be done on its content, scope, and fundamental lines of development. Traceability, communication and information exchange should be established between the preparation of the risk study and the instruction.</t>
  </si>
  <si>
    <t>ES-4913/5</t>
  </si>
  <si>
    <t>49/15-5: Staff should communicate any incident as soon as possible</t>
  </si>
  <si>
    <t>In the re-training courses for staff that intervenes in circulation, insist on the need of early communication of any incidence that could affect to safety of circulation.</t>
  </si>
  <si>
    <t>ES-4953/1</t>
  </si>
  <si>
    <t>52/15-1: driving time controlling</t>
  </si>
  <si>
    <t>To establish, within the Continental Railâ€™s SMS, a procedure that establishes the necessary measures to verify the compliance of the working hours of the train drivers, according to the actual train graph and, in the event of degraded situation, to readjust driving times and prevent their non-compliance.</t>
  </si>
  <si>
    <t>ES-4953/2</t>
  </si>
  <si>
    <t>52/15-2: Include driving time control procedures in the RU's SMS</t>
  </si>
  <si>
    <t>Incorporate, into the SMS of Continental Rail, the Technical Recommendations 7/2014 of the General Directorate of Railways on control procedures of maximum driving time.</t>
  </si>
  <si>
    <t>ES-4953/3</t>
  </si>
  <si>
    <t>52/15-3: Include in the RU's SMS criteria for suspension, revocation and recovery of qualifications</t>
  </si>
  <si>
    <t>Itâ€™s reiterated the recommendation 28/15-2 of CIAF: Continental Rail should include in its SMS a procedure with general criteria for suspension, revocation and recovery of qualifications following a human error, considering its graveness.</t>
  </si>
  <si>
    <t>ES-4969/1</t>
  </si>
  <si>
    <t>58/15-1: new plan for axle boxes</t>
  </si>
  <si>
    <t>Require the vehicle owner to establish a new plan for testing and mounting new axle boxes in the involved rolling stock (66-type axles in wagons "Leks"), ensuring its compliance.</t>
  </si>
  <si>
    <t>ES-4969/2</t>
  </si>
  <si>
    <t>58/15-2: Intensifying of maintenance of current axle boxes.</t>
  </si>
  <si>
    <t>Until the implementation of the new plan (as referred in recommendation 58/15-1), which will substitute the current 66-type axle boxes, to intensify the maintenance of these, with an additional manteinance plan, in order to assure its correct functioning.</t>
  </si>
  <si>
    <t>ES-5038/1</t>
  </si>
  <si>
    <t>10/16-1: infrastructure renovation</t>
  </si>
  <si>
    <t>Given the high cargo traffic and accident rate of this section, it should be considered an extensive renovation of infrastructure, drainage and tracks.</t>
  </si>
  <si>
    <t>ES-5038/2</t>
  </si>
  <si>
    <t>10/16-2: compliance with IM's SMS</t>
  </si>
  <si>
    <t>Strict compliance, in this section (Line 210, section Flix-Reus), of the tracksâ€™ monitoring processes established in the SMS.</t>
  </si>
  <si>
    <t>ES-5059/1</t>
  </si>
  <si>
    <t>12/16-1: ditch reinforcement</t>
  </si>
  <si>
    <t>Study the possibilities for a stabilization of the ditch, with the necessary means.</t>
  </si>
  <si>
    <t>ES-5060/1</t>
  </si>
  <si>
    <t>14/16-1: improvement of the SMS of the RU</t>
  </si>
  <si>
    <t>Revise the SMS of the RU (Acciona Rail) in order to include a procedure with general criteria for recovery of qualifications after suspension or revocation following a human error, considering its graveness. The Technical Recommendation 4/2016 of the AESF (Spanish NSA) should be taken into account.</t>
  </si>
  <si>
    <t>ES-5060/2</t>
  </si>
  <si>
    <t>14/16-2: assessment of RU's procedures regarding to drivers</t>
  </si>
  <si>
    <t>The NSA must assess the procedures of the RU regarding the treatment of driving staff after occurrences that affect rail circulation safety.</t>
  </si>
  <si>
    <t>ES-5078/1</t>
  </si>
  <si>
    <t>21/16-1: training of control staff</t>
  </si>
  <si>
    <t>In the training and re-training of signaller and control staff, insist in the importance of the verification of the track circuit correct performance, and the necessity of verification of the lenght of the trains.</t>
  </si>
  <si>
    <t>ES-5078/2</t>
  </si>
  <si>
    <t>21/16-2: rust control at switches</t>
  </si>
  <si>
    <t>Establish a plan for inspection of rust at switches in main tracks, to ensure the correct functioning of track circuits and prevent "false clearances".</t>
  </si>
  <si>
    <t>ES-5078/3</t>
  </si>
  <si>
    <t>21/16-3: control of rust in rails</t>
  </si>
  <si>
    <t>Include the control of excessive rust in the track checking procedures of the SMS of the IM.</t>
  </si>
  <si>
    <t>ES-5078/4</t>
  </si>
  <si>
    <t>21/16-4: verification of track circuits</t>
  </si>
  <si>
    <t>Include in the IM's SMS a procedure for verification of the correct functioning of track circuits.</t>
  </si>
  <si>
    <t>ES-5106/1</t>
  </si>
  <si>
    <t>27/16-1: drivers' training</t>
  </si>
  <si>
    <t>In training and retraining of drivers (especially in that related to route knowledge), itâ€™s necessary to insist in the importance of keeping speed to that prescribed by rules, and to pay constant attention to signals, especially to those that order the driver to prepare for a stop.</t>
  </si>
  <si>
    <t>ES-5165/1</t>
  </si>
  <si>
    <t>41/16-1: prevent 'habit-based' driving</t>
  </si>
  <si>
    <t>Prevent â€œhabit-basedâ€ driving through driversâ€™ training contents.</t>
  </si>
  <si>
    <t>ES-5165/2</t>
  </si>
  <si>
    <t>41/16-2: line knowledge improving by increasing travel frequency</t>
  </si>
  <si>
    <t>Increase the frequency of service of the allocated drivers, and the number of accompanied travels, in order to consolidate line knowledge.</t>
  </si>
  <si>
    <t>ES-5165/3</t>
  </si>
  <si>
    <t>41/16-3: Risk Assessment updating.</t>
  </si>
  <si>
    <t>Update the Risk Assessment of this service, considering the findings of this investigation and newest regulatory framework.</t>
  </si>
  <si>
    <t>ES-5165/4</t>
  </si>
  <si>
    <t>41/16-4: create guides for a correct risk assessment.</t>
  </si>
  <si>
    <t>Elaborate guides for correct risk assessment (by RUs) in international services, specially considering human factor and findings of this investigation.</t>
  </si>
  <si>
    <t>ES-5165/5</t>
  </si>
  <si>
    <t>41/16-5: create an adequate procedure for checking of track circuits by using trains.</t>
  </si>
  <si>
    <t>Elaborate an adequate procedure for track circuits checkings with RUâ€™s trains, with coordination protocols, clear responsibility allocation and traceability.</t>
  </si>
  <si>
    <t>REC-000183</t>
  </si>
  <si>
    <t>ES-5165/6</t>
  </si>
  <si>
    <t>41/16-6: cabin audio recording and front cameras for investigation purposes.</t>
  </si>
  <si>
    <t>Study the options for installation of cabin audio recording and front cameras, for investigation purposes.</t>
  </si>
  <si>
    <t>ES-5175/1</t>
  </si>
  <si>
    <t>36/16-1: training in shunting speed limits</t>
  </si>
  <si>
    <t>In the training and re-training of drivers, insist in the speed limits when shunting.</t>
  </si>
  <si>
    <t>ES-5175/2</t>
  </si>
  <si>
    <t>36/16-2: training on shunting for signallers</t>
  </si>
  <si>
    <t>In the training and re-training of signallers, insist in the correct awareness of planned shunting manoeuvres, in order to detect possible unsafe movements.</t>
  </si>
  <si>
    <t>ES-5191/1</t>
  </si>
  <si>
    <t>43/16-1: ensure rail inspection effectiveness</t>
  </si>
  <si>
    <t>Adopt the necessary measures (at human, material, technical and procedural levels) to ensure the effectiveness of rail inspections, by detecting any possible flaw.</t>
  </si>
  <si>
    <t>ES-5191/2</t>
  </si>
  <si>
    <t>43/16-2: harmonize rail inspection procedures</t>
  </si>
  <si>
    <t>Adapt the different SMSâ€™ procedures and IMâ€™s regulations to avoid any discrepancy among them.</t>
  </si>
  <si>
    <t>ES-5205/1</t>
  </si>
  <si>
    <t>51/16-1: Update and unify operation and safety rules of interlocking systems</t>
  </si>
  <si>
    <t>Update and unify the operation and safety rules of electric and electronic interlocking systems, considering the new functionalities and detected issues with current systems.</t>
  </si>
  <si>
    <t>ES-5205/2</t>
  </si>
  <si>
    <t>51/16-2: Revise functioning of interlocking systems with a similar technology</t>
  </si>
  <si>
    <t>Revise the functioning of those interlocking systems with a similar technology to that involved in the occurrence, especially regarding to itinerary cancellation.</t>
  </si>
  <si>
    <t>ES-5205/3</t>
  </si>
  <si>
    <t>51/16-3: Training of signalling staff</t>
  </si>
  <si>
    <t>In the training of signalling staff, insist in the importance of a correct itinerary setting and cancellation (according to the rules).</t>
  </si>
  <si>
    <t>ES-5205/4</t>
  </si>
  <si>
    <t>51/16-4: Training of driving staff</t>
  </si>
  <si>
    <t>In the training of driving staff, insist in the importance of adapting march to stipulations and keeping constant attention to signals, highlighting that backward signals can order to stop. Moreover, risks associated to pre-set speed and to wrong channels of radiotelephone must be stressed.</t>
  </si>
  <si>
    <t>ES-5214/1</t>
  </si>
  <si>
    <t>56/16-1: training on communicating Rolling stock anomalies</t>
  </si>
  <si>
    <t>In training of drivers, insist in the necessity of communicating to the control centre any anomaly that have been detected in the Rolling stock, in compliance with procedure RV-SGS-PE-SPG-14.</t>
  </si>
  <si>
    <t>ES-5214/2</t>
  </si>
  <si>
    <t>56/16-2: study fuel leaks in rolling stock (series 592)</t>
  </si>
  <si>
    <t>Analyse in depth the anomalies that cause fuel leaks in this rolling stock (Renfe series 592), in order to adopt measures (beyond those adopted in 2012) to minimize its number.</t>
  </si>
  <si>
    <t>ES-5240/1</t>
  </si>
  <si>
    <t>01/17-1: reminder of recommendation 43/16-1, "ensure effectiveness of rail inspections"</t>
  </si>
  <si>
    <t>Be reminded the recommendation 43/16-1 (CIAF report 43/2016 â€“ Busdongo), â€œAdopt the necessary measures (at human, material, technical and procedural levels) to ensure the effectiveness of rail inspections, by detecting any possible flawâ€.</t>
  </si>
  <si>
    <t>ES-5240/2</t>
  </si>
  <si>
    <t>01/17-2: Improve tracking of maintenance actions</t>
  </si>
  <si>
    <t>Improve tracking of maintenance actions and communications between Track Under-directorate and maintenance management.</t>
  </si>
  <si>
    <t>REC-000540</t>
  </si>
  <si>
    <t>ES-5240/3</t>
  </si>
  <si>
    <t>01/17-3: Ensure that ultrasonic auscultations are made within the due term</t>
  </si>
  <si>
    <t>Adopt necessary measures to ensure that ultrasonic auscultations are made within the due term (as established by procedures), including complementary measures to be adopted in the event of unavailability of auscultation means.</t>
  </si>
  <si>
    <t>REC-000542</t>
  </si>
  <si>
    <t>ES-5240/4</t>
  </si>
  <si>
    <t>01/17-4: Keep maintenance records for longer time</t>
  </si>
  <si>
    <t>Modify maintenance procedures in order to keep the operation records, at least, for the time the rails stay in service.</t>
  </si>
  <si>
    <t>ES-5270/1</t>
  </si>
  <si>
    <t>7/17-1: Implement new blocking system in that section of the line</t>
  </si>
  <si>
    <t>Proceed and implement new blocking system B.L.A.U. with CTC and digital ASFA system in the section Arahal â€“ Fuente Piedra, currently under project supervision</t>
  </si>
  <si>
    <t>ES-5270/2</t>
  </si>
  <si>
    <t>7/17-2: Drivers' training on special characteristics of lines and on adhering to the signals</t>
  </si>
  <si>
    <t>In drivers' training, insist on the crucial importance of adapting march to prescriptions and keeping constant attention to orders of track signals. Practical content of line habilitation training should be adequated to its characteristics (in this case, mechanical signals without driving assistance).</t>
  </si>
  <si>
    <t>REC-000224</t>
  </si>
  <si>
    <t>ES-5271/1</t>
  </si>
  <si>
    <t>12/17-1: Road signals restoration in level crossing</t>
  </si>
  <si>
    <t>Restore the road signals in the approaching to the level crossing, in compliance with current regulations.</t>
  </si>
  <si>
    <t>ES-5271/2</t>
  </si>
  <si>
    <t>12/17-2: Institutional action for level crossings maintenance</t>
  </si>
  <si>
    <t>Promote an institutional action, with the participation of Provincial Councils, Autonomous Communities or Central Government, to provide adequate resources for maintenance and improvement of municipally-owned level crossings.</t>
  </si>
  <si>
    <t>ES-5334/1</t>
  </si>
  <si>
    <t>20/17-1: training on importance of attention</t>
  </si>
  <si>
    <t>In driversâ€™ training courses, stress the importance of constantly attend to signals when driving and the necessity of correctly adjust speed to driving conditions and prescriptions.</t>
  </si>
  <si>
    <t>ES-5334/2</t>
  </si>
  <si>
    <t>20/17-2: prevention of SPADs through incompatibility of itineraries</t>
  </si>
  <si>
    <t>Study the creation of incompatibilities between itineraries through the scissors crossing T72 (where the train stopped after the SPAD, creating the danger situation), considering existing speed limitations.</t>
  </si>
  <si>
    <t>ES-5334/3</t>
  </si>
  <si>
    <t>20/17-3: SMS procedures for designing of operations in stations</t>
  </si>
  <si>
    <t>Include in the SMS of the IM (ADIF) general and specific procedures that define processes, scope and level of detail when designing station operations, considering previous risk analysis.</t>
  </si>
  <si>
    <t>ES-5347/1</t>
  </si>
  <si>
    <t>24/17-1: method for monitoring rails in switches</t>
  </si>
  <si>
    <t>Establish a proper methodology to monitorize intern state of rails in switches, including procedures and techniques from the SMS. Apply this methodolgy in conventional and high speed network.</t>
  </si>
  <si>
    <t>ES-5347/2</t>
  </si>
  <si>
    <t>24/17-2: definition of life cycles for parts of switches</t>
  </si>
  <si>
    <t>Study the definition of a life cycle for different elements of switches and crossings, from a scientific-technic point of view. Consider experience of other countries.</t>
  </si>
  <si>
    <t>REC-000120</t>
  </si>
  <si>
    <t>ES-5347/3</t>
  </si>
  <si>
    <t>24/17-3: study on behaviour of parts of switch</t>
  </si>
  <si>
    <t>Make a detailed study on evolution of internal state of parts of switches in relation with usage, in order to know its behaviour and prevent possible failures. Consider experience of other countries.</t>
  </si>
  <si>
    <t>ES-5370/1</t>
  </si>
  <si>
    <t>25/17-1: Revise maintenance plan</t>
  </si>
  <si>
    <t>Study the maintenance plan in order to make possible readjustments in the timing and scope of interventions on suspension elements. This could be extended to other similar wagons with this type of suspensions, to prevent similar occurrences.</t>
  </si>
  <si>
    <t>ES-5370/2</t>
  </si>
  <si>
    <t>25/17-2: Control of the condition of suspensions</t>
  </si>
  <si>
    <t>Since it's difficult to see suspension elements (such as leaf springs) on track, it's necessary to develop an effective procedure for controlling their condition.</t>
  </si>
  <si>
    <t>ES-5433/1</t>
  </si>
  <si>
    <t>30/17-1: reiteration of recommendation 10/16-1 (ERAIL id. REC-000334)</t>
  </si>
  <si>
    <t>Reiteration of recommendation 10/16-1 â€œinfrastructure renovationâ€ (ERAIL id. REC-000334): "Given the high cargo traffic and accident rate of this section, it should be considered an extensive renovation of infrastructure, drainage and tracks".</t>
  </si>
  <si>
    <t>REC-000639</t>
  </si>
  <si>
    <t>ES-5433/2</t>
  </si>
  <si>
    <t>30/17-2: reiteration of recommendation 10/16-2 (ERAIL id. REC-000335)</t>
  </si>
  <si>
    <t>Reiteration of recommendation 10/16-2 â€œcompliance with IM's SMSâ€ (ERAIL id. REC-000335): "Strict compliance, in this section (Line 210, section Flix-Reus), of the tracksâ€™ monitoring processes established in the SMS".</t>
  </si>
  <si>
    <t>REC-000721</t>
  </si>
  <si>
    <t>ES-5434/1</t>
  </si>
  <si>
    <t>35/17-1: training on correct use of preset speed</t>
  </si>
  <si>
    <t>Insist, in trainings, on the correct use of preset speed. Manuals and training documents must be revised to avoid any reference that could be understood as considering preset speed as the â€œnormalâ€ or â€œdefaultâ€ driving mode, or regarding it as an â€œautomaticâ€ driving mode. Also, itâ€™s recommended to use information from train recorders to analyse the actual use of preset speed.</t>
  </si>
  <si>
    <t>REC-000722</t>
  </si>
  <si>
    <t>ES-5434/2</t>
  </si>
  <si>
    <t>35/17-2: posible technical limitation of preset speed misuse</t>
  </si>
  <si>
    <t>Study the feasibility of technical limitations that can prevent the use of preset speed with low speeds, avoiding its use in shunting, station entrances or other speed limitations that require a higher attention from drivers.</t>
  </si>
  <si>
    <t>REC-000723</t>
  </si>
  <si>
    <t>ES-5434/3</t>
  </si>
  <si>
    <t>35/17-3: raise awareness about risk derived from insufficient rest</t>
  </si>
  <si>
    <t>Train and raise awareness, through training process and specific campaigns, about: â€¢ The importance of meeting resting and sleeping times. â€¢ Healthy habits regarding to resting and eating. â€¢ Correct perception of the risk that derives from an insufficient rest.</t>
  </si>
  <si>
    <t>REC-000724</t>
  </si>
  <si>
    <t>ES-5434/4</t>
  </si>
  <si>
    <t>35/17-4: detection of possible sleep disorders of drivers</t>
  </si>
  <si>
    <t>In driversâ€™ periodic medical controls, include tests or questionnaires aimed to detect any sleep disorder, so that preventive measures can be taken.</t>
  </si>
  <si>
    <t>REC-000726</t>
  </si>
  <si>
    <t>ES-5434/5</t>
  </si>
  <si>
    <t>35/17-5: study devices to complement "Dead Man"</t>
  </si>
  <si>
    <t>Promote, with different industry stakeholders, an analysis on possible devices that could complement â€œDead Manâ€ in order to prevent drowsiness situations.</t>
  </si>
  <si>
    <t>REC-000728</t>
  </si>
  <si>
    <t>ES-5434/6</t>
  </si>
  <si>
    <t>35/17-6: assure correct state of buffer stops</t>
  </si>
  <si>
    <t>Assure correct design, maintenance and working of hydraulic buffers (especially in tracks with high passenger traffic), establishing the necessary procedures.</t>
  </si>
  <si>
    <t>REC-000729</t>
  </si>
  <si>
    <t>ES-5434/7</t>
  </si>
  <si>
    <t>35/17-7: reiteration of recommendations of occurrence 10/12 (REC-000033 and REC-000034)</t>
  </si>
  <si>
    <t>Implement the recommendations of occurrence 10/12 (REC-000033 and REC-000034), related to buffers with high number of passenger trains; moreover, study the possibility of increasing distance between buffers and stopping points, to reduce collision risk.</t>
  </si>
  <si>
    <t>ES-5434/8</t>
  </si>
  <si>
    <t>Implement the recommendations of occurrence 10/12, related to buffers with high number of passenger trains; moreover, study the possibility of increasing distance between buffers and stopping points, to reduce collision risk.</t>
  </si>
  <si>
    <t>REC-000731</t>
  </si>
  <si>
    <t>ES-5434/9</t>
  </si>
  <si>
    <t>35/17-8: improve traceability of shifts in situations of strike or other anomalies</t>
  </si>
  <si>
    <t>In order to assure correct recording and traceability of the assignment of shifts in situations of strike or other service anomalies, improve procedures where necessary.</t>
  </si>
  <si>
    <t>ES-5435/1</t>
  </si>
  <si>
    <t>38/17-1: due procedures and risk assessment of modifications in electric interlockings.</t>
  </si>
  <si>
    <t>Assure that any modification of any original electric interlocking, at any of its stages (designing, contracting and execution) comply with the established procedures, with an independent risk study and assessment.</t>
  </si>
  <si>
    <t>ES-5435/2</t>
  </si>
  <si>
    <t>38/17-2: complementary mitigation of risks after interlocking failures.</t>
  </si>
  <si>
    <t>After any occurrence or failure in an interlocking caused by a wrong-side failure, adopt complementary measures to mitigate risks until the interlocking substitution or modification. These measures can include suppression of more permissive signals, switch disconnection and/or immobilization, movement blocking, speed limitationsâ€¦</t>
  </si>
  <si>
    <t>ES-5435/3</t>
  </si>
  <si>
    <t>38/17-3: rules for enabling and verifying interlockings after reparations or modifications.</t>
  </si>
  <si>
    <t>Develop and include in SMS enabling rules for electric interlocking, to be applied after reparation or substitution of installations and before their enabling, including verification of electric working and concordance between actual position and that showed at control desks.</t>
  </si>
  <si>
    <t>REC-000550</t>
  </si>
  <si>
    <t>ES-5441/1</t>
  </si>
  <si>
    <t>40/17-1: training of drivers in unusual situations</t>
  </si>
  <si>
    <t>The training of drivers should include the Technical Recommendation 2/2019 issued by AESF (Spanish NSA), regarding to training in unusual operation situations.</t>
  </si>
  <si>
    <t>REC-000551</t>
  </si>
  <si>
    <t>ES-5441/2</t>
  </si>
  <si>
    <t>40/17-2: SMS procedures for informing drivers</t>
  </si>
  <si>
    <t>The RUâ€™s SMS should develop and implement the due procedures to properly inform drivers about those documents that affect them, including traceability of these communications.</t>
  </si>
  <si>
    <t>REC-000552</t>
  </si>
  <si>
    <t>ES-5441/3</t>
  </si>
  <si>
    <t>40/17-3: tracking of drivers' performance</t>
  </si>
  <si>
    <t>Improve/develop SMSâ€™ procedures for tracing driversâ€™ performance, in order to assess and detect risk situations, including the different actions to take (complying with AESF Technical Recommendation 4/2016).</t>
  </si>
  <si>
    <t>REC-000553</t>
  </si>
  <si>
    <t>ES-5441/4</t>
  </si>
  <si>
    <t>40/17-4: improve SMS provisions for telephonic block in incidences or works</t>
  </si>
  <si>
    <t>Incorporate to the SMSâ€™ documents the provisions of the AESF â€œGuide Sheet for applying Railway Traffic Regulations F-RCF-01/2019â€, regarding to telephonic block in case of incidences or works.</t>
  </si>
  <si>
    <t>ES-5443/1</t>
  </si>
  <si>
    <t>43/17-1: training of driving staff</t>
  </si>
  <si>
    <t>Training of driving staff must insist in: - keeping continuous attention to indications of side signals. - compulsory use of ASFA and safety recorders from the beginning of the travels. - use of safety wedges for immobilization of rolling stock whenever a braking problem is detected.</t>
  </si>
  <si>
    <t>ES-5443/2</t>
  </si>
  <si>
    <t>43/17-2: using of safety wedges with locomotive</t>
  </si>
  <si>
    <t>Include in the driving manual of this kind of locomotives the compulsory use of safety wedges in extended stops.</t>
  </si>
  <si>
    <t>ES-5752/1</t>
  </si>
  <si>
    <t>25/2018-1: separation of wires carrying commands and energy.</t>
  </si>
  <si>
    <t>It is needed to identify those interlockings in which cables to the field equipments incorporate wires conveying controls and indication commands and wires supplying power in the same multiconductor and, if necessary, to change those cables .</t>
  </si>
  <si>
    <t>ES-5752/2</t>
  </si>
  <si>
    <t>25/2018-2: Consider wire longevity in programming of inspections.</t>
  </si>
  <si>
    <t>The procedures contained in the SMS of the IM, related to wiring condition inspections, should consider wires longevity taking into account their date of manufacture and time in service, considering, if necessary, the expected live of the cable.</t>
  </si>
  <si>
    <t>ES-5752/3</t>
  </si>
  <si>
    <t>25/2018-3: Proper updating of documentation about interlocking.</t>
  </si>
  <si>
    <t>Verify and update, if necessary, the documentation in the stations so that any modification in the interlocking or its facilities is properly recorded.</t>
  </si>
  <si>
    <t>ES-5752/4</t>
  </si>
  <si>
    <t>25/2018-4: Reviewing and updating of procedures for interlockings.</t>
  </si>
  <si>
    <t>The operational programs and rule book A-type procedures for railway interlockings should be reviewed and updated to the current Operation and Safety regulations and include any potential incompatibilities between entry routes to stations. The operational programs and procedures for railway interlockings should be reviewed and updated to the existing Operation and Safety regulations, and include any potential incompatibilities between entry routes to stations.</t>
  </si>
  <si>
    <t>ES-5840/1</t>
  </si>
  <si>
    <t>55/2017-1: Identification of sections with risk of flooding.</t>
  </si>
  <si>
    <t>Design a protocol for identification and reviewing of places and sections with risk of flooding by overflow of rivers and brooks that could affect railways.</t>
  </si>
  <si>
    <t>ES-5840/2</t>
  </si>
  <si>
    <t>55/2017-2: Better coordination of information from Hydrographic Administration about floods.</t>
  </si>
  <si>
    <t>Study the implementation of a protocol or operative procedure for coordination of information about possible floods or overflows detected by Hydrographic Administrations (that could affect railways) and for the interpretation of those data.</t>
  </si>
  <si>
    <t>ES-5840/3</t>
  </si>
  <si>
    <t>2017/55-03: Adapt Contingency Plan to extraordinary phenomena.</t>
  </si>
  <si>
    <t>Study the modification of the â€œOccurrence Managing and Prevention Manualâ€ (Sheet #2) of IMâ€™s Contingency Plan, with regard to treatment of rain and extraordinary phenomena.</t>
  </si>
  <si>
    <t>REC-000522</t>
  </si>
  <si>
    <t>ES-5858/1</t>
  </si>
  <si>
    <t>46/18-1: revision of IM's procedure for heavy rains</t>
  </si>
  <si>
    <t>To revise the IMâ€™s contingency procedure for heavy rains and its SMS with regard to infrastructure monitoring and maintenance, in order to fix their detected insufficiencies.</t>
  </si>
  <si>
    <t>REC-000523</t>
  </si>
  <si>
    <t>ES-5858/2</t>
  </si>
  <si>
    <t>46/18-2: compliance of road C-58 with railway protection regulations</t>
  </si>
  <si>
    <t>To revise the compliance of the road C-58 with regulations to protect the railway infrastructure.</t>
  </si>
  <si>
    <t>REC-000524</t>
  </si>
  <si>
    <t>ES-5858/3</t>
  </si>
  <si>
    <t>46/18-3: to identify other walls in similar circumstances</t>
  </si>
  <si>
    <t>To identify similar walls with similar cicumstances (crossing with other infrastructures and/or water drainages) that, as in this case, could put at risk its stability.</t>
  </si>
  <si>
    <t>REC-000526</t>
  </si>
  <si>
    <t>ES-5858/4</t>
  </si>
  <si>
    <t>46/18-4: adequate drainage of road C-58 to avoid damages to railway</t>
  </si>
  <si>
    <t>To communicate to the administrator of the road C-58 that they have to improve and adequate its drainage system to prevent the diversion of rain water to the railway.</t>
  </si>
  <si>
    <t>REC-000841</t>
  </si>
  <si>
    <t>ES-6166/1</t>
  </si>
  <si>
    <t>63/2019-1: correct procedures when signals apparently contradict beacons</t>
  </si>
  <si>
    <t>Insist, with regard to drivers, in the importance of following the established rules in the event of apparent contradiction between signals and indications of ASFA (driving assistance system). Also insist in the correct procedure that must be applied after an emergency braking triggered by ASFA after passing a stop signal.</t>
  </si>
  <si>
    <t>REC-000842</t>
  </si>
  <si>
    <t>ES-6166/2</t>
  </si>
  <si>
    <t>63/2019-2: importance of "running at sight" for safety</t>
  </si>
  <si>
    <t>Training of drivers must insist in the importance of â€œrunning at sight until next signalâ€ when rules order so, no matter what the advanced beacons indicate. Consider including in trainings simulations and assessments on the different conditions and situations.</t>
  </si>
  <si>
    <t>REC-000843</t>
  </si>
  <si>
    <t>ES-6166/3</t>
  </si>
  <si>
    <t>63/2019-3: possible revision of driving regulation regarding the implicated signal</t>
  </si>
  <si>
    <t>Consider a possible revision of procedures for acting at signals FF7B (stop signal with â€œpermissiveâ€ indication that allows passing with â€œrunning on sightâ€ speed), when it orders to stop.</t>
  </si>
  <si>
    <t>ES-6255/1</t>
  </si>
  <si>
    <t xml:space="preserve">28/2019 - 1: </t>
  </si>
  <si>
    <t>Revise the tasks assigned to signalers in terminus stations and in those with a certain technical complexity. Implement procedures for control&amp;command task assignment in those stations, both in normal situations with high workload and in degraded conditions.</t>
  </si>
  <si>
    <t>ES-6255/2</t>
  </si>
  <si>
    <t xml:space="preserve">28/2019 - 2: </t>
  </si>
  <si>
    <t>Risk Analysis in new actuations on infrastructure (especially in renewals or modifications in interlocking and other safety installations) should take into account the hazards detected from its functioning experience, especially in abnormal conditions.</t>
  </si>
  <si>
    <t>ES-6255/3</t>
  </si>
  <si>
    <t xml:space="preserve">28/2019 - 3: </t>
  </si>
  <si>
    <t>In Risk Analysis, take into account that Safety Cases made by contractors and suppliers for their equipments are not enough: it’s necessary to make a Risk Analysis of the whole integrated system, considering possible abnormal situations.</t>
  </si>
  <si>
    <t>ES-6201/1</t>
  </si>
  <si>
    <t>04/2020 - 1</t>
  </si>
  <si>
    <t>Formalize switch verification protocols (considering their characteristics), with other checks beyond visual and acoustic ones, so that correct coupling and locking of switches are guaranteed after repairing and adjustment works, before allowing circulation.
Addressee: AESF (NSA Spain)
Final implementer:Adif and Adif-AV (involved IMs)</t>
  </si>
  <si>
    <t>ES-6201/2</t>
  </si>
  <si>
    <t>04/2020 - 2</t>
  </si>
  <si>
    <t>Ensure suitability of staff working in urgent repairing works, taking into account their training, experience and qualifications, when required.
Addressee: AESF (NSA Spain)
Final implementer:Adif and Adif-AV (involved IMs)</t>
  </si>
  <si>
    <t>ES-6201/3</t>
  </si>
  <si>
    <t>04/2020 - 3</t>
  </si>
  <si>
    <t>Contract specifications for maintenance services must include conditions and specific safety requirements and its corresponding monitoring mechanisms. They also must guarantee coordination with other contractors and the rest of the IM organization.
Addressee: AESF (NSA Spain)
Final implementer:Adif and Adif-AV (involved IMs)</t>
  </si>
  <si>
    <t>ES-5925/1</t>
  </si>
  <si>
    <t>12/2019 - 1: training of signallers at stations (final implementer: IM)</t>
  </si>
  <si>
    <t>1.1 Reinforce practical training of signallers at stations on correct use of local control panels.
1.2 Reinforce practical training of signallers at stations on the regulatory procedure for dispatching trains from tracks without exit signal and in abnormal conditions (according to AESF Technical Recommendation RT 2/2019).</t>
  </si>
  <si>
    <t>ES-5925/2</t>
  </si>
  <si>
    <t>12/2019 - 2: training in communication protocols between signallers and dispatchers (final implementer: IM)</t>
  </si>
  <si>
    <t>When delivering training and retraining programs to dispatchers and signallers, insist on the importance of complying with the information sharing protocols (NAR standards 3/16 and 6/18 within the Adif SMS).</t>
  </si>
  <si>
    <t>ES-5925/3</t>
  </si>
  <si>
    <t>12/2019 - 3: revision of communication protocols between signallers and dispatchers (final implementer: IM)</t>
  </si>
  <si>
    <t>Consider the revision of NAR 6/18 standard with the aim of detailing the protocols, relationships, and action criteria regarding the sharing of information between traffic operators.</t>
  </si>
  <si>
    <t>ES-5925/4</t>
  </si>
  <si>
    <t>12/2019 - 4: training of driving staff in exceptional situations (final implementer: RU)</t>
  </si>
  <si>
    <t>Reinforce the training programs for driving staff on the regulatory procedures to follow in exceptional situations, such as opposite direction movements, or the dispatching of trains from tracks without an exit signal, both theoretically and practically.</t>
  </si>
  <si>
    <t>ES-5925/5</t>
  </si>
  <si>
    <t>12/2019 - 5: upgrading of Manresa station to prevent routing mistakes (final implementer: IM)</t>
  </si>
  <si>
    <t>Consider the upgrading of Manresa station to install an exit signal in all its transit tracks.
Also, check if this situation (track lacking an exit signal) occurs in other facilities such as commuter terminus, transit stations and railway stations where there is a transition from single-track to double-track (and vice versa), and take appropriate actions.</t>
  </si>
  <si>
    <t>ES-5925/6</t>
  </si>
  <si>
    <t>12/2019 - 6: monitoring for detecting non-compliances in the dispatiching of trains from tracks without an exit signal (final implementer: IM &amp; RUs)</t>
  </si>
  <si>
    <t>6.1 Reinforce railway station monitoring and audit activities to detect and correct non-compliance with the regulatory procedures on the dispatch of trains from tracks without an exit signal.
6.2 Reinforce monitoring of on-board personnel regarding their compliance with the rules on the dispatch from tracks without an exit signal and opposite direction movements.</t>
  </si>
  <si>
    <t>ES-5925/7</t>
  </si>
  <si>
    <t>12/2019 - 7: implementing procedures for issues with train identification at Control Centre (final implementer: IM)</t>
  </si>
  <si>
    <t>Implement procedures for traffic operators for dealing with issues such as missing train numbers, false track occupancies and number duplication.
In addition to this, consider the upgrading of the CTC interface to include specific warnings for these situations (specifying, at the same time, how to comply with the first point of article 5.1.4.2 in NAS 201 standard within Adif SMS).</t>
  </si>
  <si>
    <t>EE-2658/1</t>
  </si>
  <si>
    <t>Replacing of traffic lights</t>
  </si>
  <si>
    <t>Consider replacing of Raasiku level crossing traffic lights with light-emitting diode traffic lights as top priority.</t>
  </si>
  <si>
    <t>EE-2658/2</t>
  </si>
  <si>
    <t>Equipping with barriers</t>
  </si>
  <si>
    <t>In the course of modernization of the Raasiku level crossing find a possibility to equip it with barriers.</t>
  </si>
  <si>
    <t>EE-3559/1</t>
  </si>
  <si>
    <t>Signal sign for the railway rolling stock</t>
  </si>
  <si>
    <t>Work out position concerning the location of the pipe signal on the territory of the station for the trains, approaching the Raasiku level crossing from the direction of Tallinn.</t>
  </si>
  <si>
    <t>EE-3559/2</t>
  </si>
  <si>
    <t>Traffic environment for the road users</t>
  </si>
  <si>
    <t>Work out position to improve drivers' recognition of risk situation in traffic environment while approaching the Raasiku level crossing, in order to improve traffic safety and help drivers to choose rational and safe driving style and observance of all enforced traffic regulation requirements.</t>
  </si>
  <si>
    <t>EE-3559/3</t>
  </si>
  <si>
    <t>Training of drivers</t>
  </si>
  <si>
    <t>Work out educational material for drivers' training in the subject of railway safety.</t>
  </si>
  <si>
    <t>EE-3559/4</t>
  </si>
  <si>
    <t>Level crossing traffic lights at crossroads</t>
  </si>
  <si>
    <t>Work out generalized positions and in case of need design measures for their implemenatation, in order to provide the road, leading to the road directly crossing the level crossing with railway crossing lights.</t>
  </si>
  <si>
    <t>EE-900/1</t>
  </si>
  <si>
    <t>The railway infrastructure manager should schedule the completion of the construction of the new Män</t>
  </si>
  <si>
    <t>The railway infrastructure manager should schedule the completion of the construction of the new Männiku level crossing in cooperation with the completion of the asphalting works of the access roads, organised by the North Regional Road Administration.</t>
  </si>
  <si>
    <t>EE-900/2</t>
  </si>
  <si>
    <t>The railway infrastructure manager should organise closing of the Männiku level crossing at the same</t>
  </si>
  <si>
    <t>The railway infrastructure manager should organise closing of the Männiku level crossing at the same time the new level crossing is opened for traffic.</t>
  </si>
  <si>
    <t>EE-900/3</t>
  </si>
  <si>
    <t>The local municipality should inform the institutions and companies that often use the Männiku level</t>
  </si>
  <si>
    <t>The local municipality should inform the institutions and companies that often use the Männiku level crossing of the accidents that have taken place on abovementioned level crossing, with the request to give additional information to the drivers of the hazards of the level crossing.</t>
  </si>
  <si>
    <t>EE-900/4</t>
  </si>
  <si>
    <t>The local municipality should consolidate positions and resources of the interested parties for cons</t>
  </si>
  <si>
    <t>The local municipality should consolidate positions and resources of the interested parties for construktion of a quarry side access road to the modern Männiku level crossing.</t>
  </si>
  <si>
    <t>EE-900/5</t>
  </si>
  <si>
    <t>The local municipality should apply temporary measures until closing of the Männiku level crossing i</t>
  </si>
  <si>
    <t>The local municipality should apply temporary measures until closing of the Männiku level crossing in order to avoid the situations where the cars cross the quarry side inner curve upon making the right turn. This measure would secure the better visibility for the driver at the priority sign.</t>
  </si>
  <si>
    <t>EE-845/1</t>
  </si>
  <si>
    <t>The Rail IM should present his evaluation of the visibility of signalling lights in case of the low</t>
  </si>
  <si>
    <t>The Rail IM should present his evaluation of the visibility of signalling lights in case of the low counter sun; and in accordance with the position of the National Surveillance Authority to increase the dimensions of the background screens of the signalling lights, especially for the autumn-winter-spring periods of the next few years.</t>
  </si>
  <si>
    <t>EE-845/2</t>
  </si>
  <si>
    <t>The road administrator should consider transfarence of the Pikkjärve level crossing to a different l</t>
  </si>
  <si>
    <t>The road administrator should consider transfarence of the Pikkjärve level crossing to a different level and direction of road traffic of the near-by level crossings to the viaduct his priority task; and apply measures to complete the construction of the viaduct at the fixed date.</t>
  </si>
  <si>
    <t>EE-810/1</t>
  </si>
  <si>
    <t>The railway infrastructure manager should consider it his priority task to build out a modern Mannik</t>
  </si>
  <si>
    <t>The railway infrastructure manager should consider it his priority task to build out a modern Manniku level crossing</t>
  </si>
  <si>
    <t>EE-810/2</t>
  </si>
  <si>
    <t>The IM should apply measures, together with NSA and Saku Commune Local Government, to solve legal pr</t>
  </si>
  <si>
    <t>The IM should apply measures, together with NSA and Saku Commune Local Government, to solve legal problems, which secure the connection of the planned level crossing with the existing road network.</t>
  </si>
  <si>
    <t>EE-810/3</t>
  </si>
  <si>
    <t>The IM should secure equipping of the planned level crossing with automatic level crossing lights.</t>
  </si>
  <si>
    <t>EE-810/4</t>
  </si>
  <si>
    <t>The IM should apply measures to close down the other neighbourhood level crossings, after the planne</t>
  </si>
  <si>
    <t>The IM should apply measures to close down the other neighbourhood level crossings, after the planned level crossing has been taken into use.</t>
  </si>
  <si>
    <t>EE-810/5</t>
  </si>
  <si>
    <t>The NSA should control that the planned level crossing is equipped with devices, conforming to moder</t>
  </si>
  <si>
    <t>The NSA should control that the planned level crossing is equipped with devices, conforming to modern requirements.</t>
  </si>
  <si>
    <t>EE-810/6</t>
  </si>
  <si>
    <t>Tha NSA should apply measures to close down the level crossings with little traffic intensity, locat</t>
  </si>
  <si>
    <t>Tha NSA should apply measures to close down the level crossings with little traffic intensity, located in the neighbourhood, in order to guide traffic flows to the new, safer level crossing.</t>
  </si>
  <si>
    <t>EE-810/7</t>
  </si>
  <si>
    <t>The police should in the months to come and under the framework of traffic surveillance tighten traf</t>
  </si>
  <si>
    <t>The police should in the months to come and under the framework of traffic surveillance tighten traffic control on the Manniku level crossing, to check how drivers observe requrements, established with traffic signs.</t>
  </si>
  <si>
    <t>EE-756/1</t>
  </si>
  <si>
    <t>To compose risk analysis on the Tiksoja level crossing, based on the AS EVR Infra railway infrastruc</t>
  </si>
  <si>
    <t>To compose risk analysis on the Tiksoja level crossing, based on the AS EVR Infra railway infrastructure safety management system.</t>
  </si>
  <si>
    <t>EE-756/2</t>
  </si>
  <si>
    <t>To form a position, based on the Tiksoja level crossing risk analysis, about possible additional equ</t>
  </si>
  <si>
    <t>To form a position, based on the Tiksoja level crossing risk analysis, about possible additional equipping of the level crossing with barriers or implementing measures for expanding scope of visibility.</t>
  </si>
  <si>
    <t>EE-756/3</t>
  </si>
  <si>
    <t>For the police - by way of traffic surveillance to tighten control over road traffic near the Tiksoj</t>
  </si>
  <si>
    <t>For the police - by way of traffic surveillance to tighten control over road traffic near the Tiksoja level crossing to check observance of established speed limits.</t>
  </si>
  <si>
    <t>EE-756/4</t>
  </si>
  <si>
    <t>To the NSA - to control composition of AS Eesti Raudtee risk analysis and to give an evaluation to t</t>
  </si>
  <si>
    <t>To the NSA - to control composition of AS Eesti Raudtee risk analysis and to give an evaluation to the adequacy of conclusions and their implementation plan from the position of railway safety.</t>
  </si>
  <si>
    <t>EE-756/5</t>
  </si>
  <si>
    <t>To the local municipality with cooperation of AS Eesti Raudtee - to find possibilities to vacate the</t>
  </si>
  <si>
    <t>To the local municipality with cooperation of AS Eesti Raudtee - to find possibilities to vacate the residential building, limiting the visibility of Tiksoja level crossing from inhabitants.</t>
  </si>
  <si>
    <t>EE-722/1</t>
  </si>
  <si>
    <t>The IM should equip the Vägeva level crossing with modern traffic lights, equipped with triple-head</t>
  </si>
  <si>
    <t>The IM should equip the Vägeva level crossing with modern traffic lights, equipped with triple-head LED-type lamps.</t>
  </si>
  <si>
    <t>EE-722/2</t>
  </si>
  <si>
    <t>The NSA should map technical, legal and organisational problems, connected with on-board equipment i</t>
  </si>
  <si>
    <t>The NSA should map technical, legal and organisational problems, connected with on-board equipment information display of locomotives or any other self-moving railway rolling stock or any other way of data display concerning operation of level crossing traffic signalling lights and, depending on the way the above information is obtained, the possible purpose of recording such data by the on-board equipment.</t>
  </si>
  <si>
    <t>EE-722/3</t>
  </si>
  <si>
    <t>The NSA should map the technical, legal and organisational problems in order to implement automatic</t>
  </si>
  <si>
    <t>The NSA should map the technical, legal and organisational problems in order to implement automatic control and data recording systems of level crossing traffic lights or to improve and expand the usage of presently existing systems and to promote working methods with the railway infrastructure managers.</t>
  </si>
  <si>
    <t>EE-722/4</t>
  </si>
  <si>
    <t>The NSA should form its position concerning the perspective necessity to provide the rolling stock e</t>
  </si>
  <si>
    <t>The NSA should form its position concerning the perspective necessity to provide the rolling stock engineer's workstation with information on the operation of traffic lights on the next coming level crossing.</t>
  </si>
  <si>
    <t>EE-722/5</t>
  </si>
  <si>
    <t>The NSA should form its position concerning the perspective necessity to elaborate level crossing tr</t>
  </si>
  <si>
    <t>The NSA should form its position concerning the perspective necessity to elaborate level crossing traffic lights automatic control and operation registration system by the railway infrastructure managers.</t>
  </si>
  <si>
    <t>EE-722/6</t>
  </si>
  <si>
    <t>The NSA should implement measures to make the Vägeva level crossing safer by installing a traffic li</t>
  </si>
  <si>
    <t>The NSA should implement measures to make the Vägeva level crossing safer by installing a traffic light with more intensive source of light radiation.</t>
  </si>
  <si>
    <t>EE-643/1</t>
  </si>
  <si>
    <t>To take a position how to forward to locomotive teams warning notices of defects, which are in compl</t>
  </si>
  <si>
    <t>To take a position how to forward to locomotive teams warning notices of defects, which are in compliance with norms, detected on the undercarriage of the locomotive in the course of technical maintenace, with the aim to keep the aforementioned defects under higher attention of the locomotive teams.</t>
  </si>
  <si>
    <t>EE-643/2</t>
  </si>
  <si>
    <t>To review the regulation "List of works, performed on the locomotive under technical maintenace TO-1</t>
  </si>
  <si>
    <t>To review the regulation "List of works, performed on the locomotive under technical maintenace TO-1" and to spcify it with explicit obligations of the locomotive teams in respect of control over protective means against details, dropping on the track.</t>
  </si>
  <si>
    <t>EE-643/3</t>
  </si>
  <si>
    <t>In the framework of in-house training it is necessary to shape in locomotive teams firm connections</t>
  </si>
  <si>
    <t>In the framework of in-house training it is necessary to shape in locomotive teams firm connections between knowledge and their useage in everyday life, which takes the form of working habit while performing supervision of the locomotive.</t>
  </si>
  <si>
    <t>EE-643/4</t>
  </si>
  <si>
    <t>To bring performance of technical maintenance of the locomotives, administered by the undertaking an</t>
  </si>
  <si>
    <t>To bring performance of technical maintenance of the locomotives, administered by the undertaking and running on Estonian public tracks into compliance with the rquirements, stipulated in the Railways Act.</t>
  </si>
  <si>
    <t>EE-643/5</t>
  </si>
  <si>
    <t>To specify operating restrictions of the safety management system in order to bring them into compli</t>
  </si>
  <si>
    <t>To specify operating restrictions of the safety management system in order to bring them into compliance with the conception of the "Railway Safety Directive" 2004/49/EC and Railways Act.</t>
  </si>
  <si>
    <t>EE-627/1</t>
  </si>
  <si>
    <t>The railway operator must update its safety management system to execute maintenace, exploitation an</t>
  </si>
  <si>
    <t>The railway operator must update its safety management system to execute maintenace, exploitation and supervision of rolling stock speed recorders. It is necessary to secure systematic use of equipment and availability, preservation and usage of all fixed data to increase traffic safety.</t>
  </si>
  <si>
    <t>EE-627/2</t>
  </si>
  <si>
    <t>The railway operator must update its safety management system, in the framework of which it is neces</t>
  </si>
  <si>
    <t>The railway operator must update its safety management system, in the framework of which it is necessary to specify the extent of liability of official persons and to establish procedure for execution of supervision over technical condition of rail track and for proceeding of the results.</t>
  </si>
  <si>
    <t>EE-627/3</t>
  </si>
  <si>
    <t>The railway operator must update its safety management system and establish procedure for risk asses</t>
  </si>
  <si>
    <t>The railway operator must update its safety management system and establish procedure for risk assessment. It is necessary to define liability and methods for all units in obtaining, preserving, forwarding and proceeding of data, but also for implementing measures in accordance with their competence.</t>
  </si>
  <si>
    <t>EE-627/4</t>
  </si>
  <si>
    <t>The railway operator must draw up risk analysis on railway infrastructure condition in Aluvere swamp</t>
  </si>
  <si>
    <t>The railway operator must draw up risk analysis on railway infrastructure condition in Aluvere swamp.</t>
  </si>
  <si>
    <t>EE-627/5</t>
  </si>
  <si>
    <t>The railway operator must establish intra-company measures to secure adhernence to speed limits.</t>
  </si>
  <si>
    <t>EE-627/6</t>
  </si>
  <si>
    <t>NSA must work out control over usage of AS Kunda Trans rolling stock speed recorders and operation o</t>
  </si>
  <si>
    <t>NSA must work out control over usage of AS Kunda Trans rolling stock speed recorders and operation of intra-company supervision.</t>
  </si>
  <si>
    <t>EE-627/7</t>
  </si>
  <si>
    <t>NSA must work out implementation of such supervisory measures over AS Kunda Trans that direct the op</t>
  </si>
  <si>
    <t>NSA must work out implementation of such supervisory measures over AS Kunda Trans that direct the operator to systematic collection and analysis of data, to drawing conclusions from the data and systematic use of additional measures, proceeding from the said data in order to increase rail traffic safety.</t>
  </si>
  <si>
    <t>EE-483/1</t>
  </si>
  <si>
    <t>To rewiew the "Level crossing construction, maintenance and exploitation instruction" with the view´</t>
  </si>
  <si>
    <t>To rewiew the "Level crossing construction, maintenance and exploitation instruction" with the view´of making it more flexible, following the proposals made during the annual inspection of the commission for additional fitting of level crossing with the railway crossing traffic lights, if the vision field of the loco driver concerning a level crossing without automatic fitting remains under 1000 meter and if previous rail accidents have happened on the said level crossing.</t>
  </si>
  <si>
    <t>EE-483/2</t>
  </si>
  <si>
    <t>To review the intra-company agreements and regulations, wich regulate the working and recreation tim</t>
  </si>
  <si>
    <t>To review the intra-company agreements and regulations, wich regulate the working and recreation time of the locomotive teams and to compare their articles with the conception of the "Working Time and Recreation Time Act". To spscify the intra-company regulations.</t>
  </si>
  <si>
    <t>EE-483/3</t>
  </si>
  <si>
    <t>To examine the condition of the Suigu level crossing covering and to reinforce the rigid fastening o</t>
  </si>
  <si>
    <t>To examine the condition of the Suigu level crossing covering and to reinforce the rigid fastening of the wooden slabs.</t>
  </si>
  <si>
    <t>EE-483/4</t>
  </si>
  <si>
    <t>To request that the rolling stock divison of the Southwest Rail Ltd (Edelaraudtee AS) exercise contr</t>
  </si>
  <si>
    <t>To request that the rolling stock divison of the Southwest Rail Ltd (Edelaraudtee AS) exercise control over the provisions of the "Working Time and Recreation Time Act" in respect of the locomotive teams.</t>
  </si>
  <si>
    <t>EE-329/1</t>
  </si>
  <si>
    <t>It is necessary to inspect in accordance with the stated order the pass of the Paldiski level crossi</t>
  </si>
  <si>
    <t>It is necessary to inspect in accordance with the stated order the pass of the Paldiski level crossing and to correct and update the data in the pass, including the indicators that characterise the traffic intensity.</t>
  </si>
  <si>
    <t>EE-329/2</t>
  </si>
  <si>
    <t>Based on the actual data of the traffic intensity it is necessary to assign the second category to t</t>
  </si>
  <si>
    <t>Based on the actual data of the traffic intensity it is necessary to assign the second category to the Paldiski level crossing and to provide the said level crossing with the stated level crossing traffic lights.</t>
  </si>
  <si>
    <t>EE-329/3</t>
  </si>
  <si>
    <t>It is necessary to analyse together with the drivers of the company the facts of the occured acciden</t>
  </si>
  <si>
    <t>It is necessary to analyse together with the drivers of the company the facts of the occured accident, presented in this report and to promote the attitude of conscious awareness before crossing the level crossing; also to underline the necessity of intentional attitude in estimating the actual traffic situation.</t>
  </si>
  <si>
    <t>EE-291/1</t>
  </si>
  <si>
    <t>The trucking operator together with drivers should analyse the circumstances of the accident, payi</t>
  </si>
  <si>
    <t>The trucking operator together with drivers should analyse the circumstances of the accident, paying special attention to the dangers, accompanying crossing of the level crossing and their prevention.</t>
  </si>
  <si>
    <t>EE-291/2</t>
  </si>
  <si>
    <t>The railway infrastructure manager should consider as its priority to supplement the Toila level cro</t>
  </si>
  <si>
    <t>The railway infrastructure manager should consider as its priority to supplement the Toila level crossing with automatic traffic lights.</t>
  </si>
  <si>
    <t>EE-291/3</t>
  </si>
  <si>
    <t>To correct the railway enterprise level crossing database with relevant data.</t>
  </si>
  <si>
    <t>EE-291/4</t>
  </si>
  <si>
    <t>Railway trade enterprise must secure that the locomotive drivers team be allowed to work in accordan</t>
  </si>
  <si>
    <t>Railway trade enterprise must secure that the locomotive drivers team be allowed to work in accordance with the requirements, stipulated in the "Work and Recreation Time Act" of the Estonian Republic.</t>
  </si>
  <si>
    <t>EE-291/5</t>
  </si>
  <si>
    <t>To ask the Labour Inspectorate to check, whether the "Work and Recreation Time Act" provisions are f</t>
  </si>
  <si>
    <t>To ask the Labour Inspectorate to check, whether the "Work and Recreation Time Act" provisions are followed in respect of the locomotive drivers teams.</t>
  </si>
  <si>
    <t>EE-271/1</t>
  </si>
  <si>
    <t>To install priority signs "Stop and Give Way" to the level crossing.</t>
  </si>
  <si>
    <t>EE-271/2</t>
  </si>
  <si>
    <t>To organise evaluation of road traffic intensity on the level crossing.</t>
  </si>
  <si>
    <t>EE-271/3</t>
  </si>
  <si>
    <t>To amend the road pass data of the Männiku level crossing with the relevant data.</t>
  </si>
  <si>
    <t>EE-271/4</t>
  </si>
  <si>
    <t>To organise road traffic over a rationally selected level crossing, at the result of which the other</t>
  </si>
  <si>
    <t>To organise road traffic over a rationally selected level crossing, at the result of which the other, less used level crossings in the neighbourhood shall be closed down.</t>
  </si>
  <si>
    <t>EE-148/1</t>
  </si>
  <si>
    <t>To inform the members of the commission by the time of the next spring-summer inspection of the acci</t>
  </si>
  <si>
    <t>To inform the members of the commission by the time of the next spring-summer inspection of the accident that happened on the Hertu level crossing. The commission must look over and submit its assessment on the neighbouring grassland from the aspect of visibility of an approaching train and its direction from a low private car window, and in case of necessity approach the owner of the grassland for the sufficient maintenance of the said grassland.</t>
  </si>
  <si>
    <t>EE-1060/1</t>
  </si>
  <si>
    <t>Elektriraudtee AS should establish in the engine driverâ€™s job description requirements concerning night heating.</t>
  </si>
  <si>
    <t>Elektriraudtee AS should establish in the engine driverâ€™s job description and in the other work organisational acts requirements and responsibilities concerning night heating and keeping in running order of train sets in turning points and under extraordinary winter weather.</t>
  </si>
  <si>
    <t>EE-1060/2</t>
  </si>
  <si>
    <t>Elektriraudtee AS should establish procedures for handing over of train sets for night heating</t>
  </si>
  <si>
    <t>Elektriraudtee AS should establish procedures for handing over of train sets for night heating and keeping in running order in turning points and under extraordinary winter weather together with the obligation of direct mutual communication between both parties.</t>
  </si>
  <si>
    <t>EE-1060/3</t>
  </si>
  <si>
    <t>Elektriraudtee AS should establish and organise implementation of additional measures for checking a alcoholic intoxication.</t>
  </si>
  <si>
    <t>Elektriraudtee AS should establish and organise implementation of additional measures for checking alcoholic intoxication of the workers who maintain train sets in turning points.</t>
  </si>
  <si>
    <t>EE-1060/4</t>
  </si>
  <si>
    <t>Elektriraudtee AS should improve maintenance principles and the control system for checking of the brake shoes.</t>
  </si>
  <si>
    <t>Elektriraudtee AS should improve maintenance principles and the control system for checking of the technical condition of the brake shoes of electric trains.</t>
  </si>
  <si>
    <t>EE-1060/5</t>
  </si>
  <si>
    <t>AS EVR Cargo should examine the position of VEPS cab recording equipment</t>
  </si>
  <si>
    <t>AS EVR Cargo should examine the position of VEPS cab recording equipment and the interval of recording of collected information in the C36-7 series locomotives, in order to secure recording of information in the above equipment in case of collision with another rolling stock.</t>
  </si>
  <si>
    <t>EE-1060/6</t>
  </si>
  <si>
    <t>AS EVR Cargo should examine possibilities of the existing equipment of Metrotec.</t>
  </si>
  <si>
    <t>AS EVR Cargo should examine possibilities of the existing equipment of Metrotec, working on the principle of GPS and the C36-7 series cab equipment TTX-REC-M6V2 for recording data concerning traffic and traffic safety, so that in case of necessity we could use their recorded information upon investigation of railway accidents.</t>
  </si>
  <si>
    <t>EE-1060/7</t>
  </si>
  <si>
    <t>AS EVR Infra should organise direction of electric train sets for the night standstill in the Aegviidu station to the track where admittance to the main track does not depend on organisation of rail traffic through the station.</t>
  </si>
  <si>
    <t>AS EVR Infra should organise direction of electric train sets for the night standstill in the Aegviidu station to the track where admittance to the main track does not depend on organisation of rail traffic through the station. For that purpose it is recommended to install a catch bar or a catch switch to the standing tracks of the Aegviidu station before departure signal or to implement some other measures.</t>
  </si>
  <si>
    <t>EE-1060/8</t>
  </si>
  <si>
    <t>AS EVR Infra should draw up a checklist of readings for the monitors of the regional train dispatchers.</t>
  </si>
  <si>
    <t>AS EVR Infra should draw up a checklist of readings for the monitors of the regional train dispatchers indicating to all kind of emergencies, equipment breakdowns and hazard situations, together with the list of different reasons, which might provoke them. To secure availability of the checklist in the dispatchersâ€™ place of work and make sure that train dispatchers are familiar with its contents.</t>
  </si>
  <si>
    <t>EE-1060/9</t>
  </si>
  <si>
    <t>AS EVR Infra should implement measures for improving the control system of station track encoding.</t>
  </si>
  <si>
    <t>EE-1060/10</t>
  </si>
  <si>
    <t>AS EVR Infra should examine different possibilities of avoiding intentional and unsanctioned starting of rolling stock.</t>
  </si>
  <si>
    <t>AS EVR Infra should examine different possibilities of avoiding intentional and unsanctioned starting of rolling stock on the rails and to establish implementation of the most suitable of these possibilities.</t>
  </si>
  <si>
    <t>EE-1060/11</t>
  </si>
  <si>
    <t>Elektriraudtee AS to use the materials in training for drivers</t>
  </si>
  <si>
    <t>Elektriraudtee AS to use the materials from this part of in-service training for drivers of electric trains in order to improve recognition of serious emergency situations and develop fast and rational behavioural habits in order to minimize possible damages caused by serious accidents.</t>
  </si>
  <si>
    <t>EE-1060/12</t>
  </si>
  <si>
    <t>AS EVR Cargo to use the materials in training for drivers.</t>
  </si>
  <si>
    <t>AS EVR Cargo to use the materials from this accident as part of in-service training for drivers of electric trains in order to improve recognition of serious emergency situations and develop fast and rational behavioural habits in order to minimize possible damages caused by serious accidents.</t>
  </si>
  <si>
    <t>EE-1060/13</t>
  </si>
  <si>
    <t>AS EVR Infra to use materials in training for train dispatchers.</t>
  </si>
  <si>
    <t>AS EVR Infra to use materials of the accident as part of in-service training for train dispatchers in order to improve recognition of indicators of a serious accident and develop rational behavioural habits.</t>
  </si>
  <si>
    <t>EE-1060/14</t>
  </si>
  <si>
    <t>Roads and railway division of the Ministry of Economic Affairs and Communications to implement measures for improving rail safety policy.</t>
  </si>
  <si>
    <t>Roads and railway division of the Ministry of Economic Affairs and Communications to implement measures for improving rail safety policy in order to modernise and specify the possibilities for implementation of the ETCS traffic control system and GSM-R radio communication on the national level and to define in detail the staged time limits for implementing them on national public railroads</t>
  </si>
  <si>
    <t>EE-1060/15</t>
  </si>
  <si>
    <t>Technical Surveillance Authority to plan improvement of impossible access to the main track without the permission of the dispatcher.</t>
  </si>
  <si>
    <t>Technical Surveillance Authority (NSA) to plan improvement of the "Rules of technical use of railway" with provisions under which a motorized transportation rolling stock without an engine driver is allowed to stay on a turning back point only where access to the main track is impossible without the permission of the dispatcher or assistant station master.</t>
  </si>
  <si>
    <t>EE-1060/16</t>
  </si>
  <si>
    <t>Technical Surveillance Authority to form a position wich guarantees the motorized transportation rolling stock with no driver staying on tracks from where access to the main track without permission of the train traffic regulator is impossible.</t>
  </si>
  <si>
    <t>Technical Surveillance Authority to form a position for granting construction permissions for reconstruction of station tracks of public railway wich guarantees the motorized transportation rolling stock with no engine driver staying only on such station tracks from where access to the main track without permission of the train traffic regulator is impossible.</t>
  </si>
  <si>
    <t>EE-1060/17</t>
  </si>
  <si>
    <t>Technical Surveillance Authority to plan revision of clause 152 of the "Rules of technical use of railway".</t>
  </si>
  <si>
    <t>Technical Surveillance Authority to plan revision of clause 152 of the "Rules of technical use of railway" with the purpose of specifying the organisation of monitoring motorized transportation rolling stock which is in running order on railway infrastructure.</t>
  </si>
  <si>
    <t>EE-1060/18</t>
  </si>
  <si>
    <t>Technical Surveillance Authority to plan revision of the "Rules of technical use of railway" with stricter requirements.</t>
  </si>
  <si>
    <t>Technical Surveillance Authority to plan updating the "Rules of technical use of railway" with stricter requirements on the security systems of the on-board equipment of motorized transprtation rolling stock.</t>
  </si>
  <si>
    <t>EE-5277/1</t>
  </si>
  <si>
    <t>Social campaign in the framework of traffic safety</t>
  </si>
  <si>
    <t>To find means for organisation of a social campaign in the framework of traffic safety, which would concentrate on the importance and role of road traffic user for secure crossing of level crossings.</t>
  </si>
  <si>
    <t>EE-5277/2</t>
  </si>
  <si>
    <t>Additional exploitation instruction</t>
  </si>
  <si>
    <t>NSA: To request that PLC Estonian Regular Train Service (Elron) carry out additional exploitation instruction for the train driver's enterprise that had been involved in the accident "Flirt type multiple unit brake use instruction Ver.02"</t>
  </si>
  <si>
    <t>REC-000577</t>
  </si>
  <si>
    <t>EE-5609/1</t>
  </si>
  <si>
    <t>Installation of a warning sign</t>
  </si>
  <si>
    <t>To install together with the additional warning sign 125 "Level crossing ahead of you" on the same pole the warning sign 112 "Level crossing without barrier".</t>
  </si>
  <si>
    <t>REC-000578</t>
  </si>
  <si>
    <t>EE-5609/2</t>
  </si>
  <si>
    <t>To install at the Kulna level crossing upon exiting forest road the compulsory speed restriction traffic sign.</t>
  </si>
  <si>
    <t>REC-000579</t>
  </si>
  <si>
    <t>EE-5609/3</t>
  </si>
  <si>
    <t>To enchance the status of supervision commission</t>
  </si>
  <si>
    <t>To plan proposals to the Ministry of Economic Affairs and Communications that enable to increase the status of the level crossing supervision commission by enhancing its authority and working tasks.</t>
  </si>
  <si>
    <t>REC-000580</t>
  </si>
  <si>
    <t>EE-5609/4</t>
  </si>
  <si>
    <t>To adjust the level crossing into active</t>
  </si>
  <si>
    <t>To advise the Estonian Railway PLC to take the installation of automatic signalization of Kulna level crossing into its priority list.</t>
  </si>
  <si>
    <t>REC-000581</t>
  </si>
  <si>
    <t>EE-5609/5</t>
  </si>
  <si>
    <t>Organisation of Document management system</t>
  </si>
  <si>
    <t>To instruct the Estonian Railway PLC to revise the principles of document management system in order to secure the harmonisation of substance of different data systems in reasonable time.</t>
  </si>
  <si>
    <t>SI-928/1</t>
  </si>
  <si>
    <t>Since road vehicles frequently circumvent lowered half barriers at level crossings where the lowered</t>
  </si>
  <si>
    <t>Since road vehicles frequently circumvent lowered half barriers at level crossings where the lowered half barriers protect only one half of the road, i.e. the lane in the travelling direction and not the opposite lane, a gradual modification of protection at this type of level crossing, with half barriers for both lanes from both directions or barriers extending over the entire width of the road, is recommended.</t>
  </si>
  <si>
    <t>SI-867/1</t>
  </si>
  <si>
    <t>Protection at Puconci 2 level crossing at km 44+435 between Murska Sobota and Dankovci stations shou</t>
  </si>
  <si>
    <t>Protection at Puconci 2 level crossing at km 44+435 between Murska Sobota and Dankovci stations should be upgraded â€“ owing to the micro-location of the level crossing and noise barriers (the level crossing is located within the area of the junction and noise barriers diminish the ability to register the colour of half-barriers) â€“ with half-barriers for all the lanes.</t>
  </si>
  <si>
    <t>SI-850/1</t>
  </si>
  <si>
    <t>In the case of regular or extraordinary maintenance of traction vehicles, especially the maintenance</t>
  </si>
  <si>
    <t>In the case of regular or extraordinary maintenance of traction vehicles, especially the maintenance of their vital components (i.e. braking systems, tread profiles and safety devices), traceability must be provided on the basis of detailed internal regulations for individual types of vehicles.</t>
  </si>
  <si>
    <t>SI-850/2</t>
  </si>
  <si>
    <t>Maribor Traction Section (Sekcija za vleko Maribor) must amend the EV-41 record of track information</t>
  </si>
  <si>
    <t>Maribor Traction Section (Sekcija za vleko Maribor) must amend the EV-41 record of track information with section 30-34, the curve between Teznoâ€“Maribor Studenci, a regional railway line without an AS device at the US-C entry signal.</t>
  </si>
  <si>
    <t>SI-850/3</t>
  </si>
  <si>
    <t>The PS-C pre-signal Maribor Studenci must be marked with signal 25 as prescribed: â€œPre-signal markin</t>
  </si>
  <si>
    <t>The PS-C pre-signal Maribor Studenci must be marked with signal 25 as prescribed: â€œPre-signal markingâ€ located at a distance that is up to 5% shorter than the braking distance.</t>
  </si>
  <si>
    <t>SI-850/4</t>
  </si>
  <si>
    <t>Instructions, including a detailed description of the device and how to operate it, should be drawn</t>
  </si>
  <si>
    <t>Instructions, including a detailed description of the device and how to operate it, should be drawn up for devices (chain spindles) used by guards at level crossings protected with half-barriers or barriers, for the lowering or raising of these barriers manually.</t>
  </si>
  <si>
    <t>SI-765/1</t>
  </si>
  <si>
    <t>Since lowered half-barriers are often circumvented at level crossings where the lowered half-barrier</t>
  </si>
  <si>
    <t>Since lowered half-barriers are often circumvented at level crossings where the lowered half-barrier protects only half of the road, i.e. the lane in the travelling direction and not the opposite lane, a gradual modification of protection at this type of level crossings with half-barriers for both lanes from both directions or barriers extending over the entire width of the road is recommended.</t>
  </si>
  <si>
    <t>SI-667/1</t>
  </si>
  <si>
    <t>To improve safety during maintenance works being carried out while trains are operating.</t>
  </si>
  <si>
    <t>SI-662/1</t>
  </si>
  <si>
    <t>For the purposes of safety at the level crossing between Blanca and Sevnica stations at km 481+840,</t>
  </si>
  <si>
    <t>For the purposes of safety at the level crossing between Blanca and Sevnica stations at km 481+840, the maximum permitted speed of trains must be limited to 60km/h on the left-hand track from the direction of Sevnica for 370 m ahead of the crossing, and to 65 km/h on the right-hand track from the direction of Blanca for 400 m ahead of the crossing.</t>
  </si>
  <si>
    <t>SI-660/1</t>
  </si>
  <si>
    <t>To meet the requirements of traffic management, the railway infrastructure managing authority â€“ Slov</t>
  </si>
  <si>
    <t>To meet the requirements of traffic management, the railway infrastructure managing authority â€“ Slovenske Å¾eleznice d.o.o. â€“ should develop two special Instructions on the operation and handling of devices protecting the LC-Solkan level crossing, 1 and 2, which are to form part of the Station Rules of Anhovo and Nova Gorica stations.</t>
  </si>
  <si>
    <t>SI-660/2</t>
  </si>
  <si>
    <t>In compliance with the regulations in force, the job titles of the traffic-management staff handling</t>
  </si>
  <si>
    <t>In compliance with the regulations in force, the job titles of the traffic-management staff handling signalling and safety devices must be corrected.</t>
  </si>
  <si>
    <t>SI-660/3</t>
  </si>
  <si>
    <t>57. Article 57 of the Rules on traffic signs and equipment on public roads, Uradni list RS, No 56/20</t>
  </si>
  <si>
    <t>57. Article 57 of the Rules on traffic signs and equipment on public roads, Uradni list RS, No 56/2000 of 31 May 2000 must be amended.</t>
  </si>
  <si>
    <t>SI-648/1</t>
  </si>
  <si>
    <t>Amendment to the second paragraph of Article 96 of the Traffic Rules published in Uradni list RS, N</t>
  </si>
  <si>
    <t>Amendment to the second paragraph of Article 96 of the Traffic Rules published in Uradni list RS, No. 123, of 28 December 2007</t>
  </si>
  <si>
    <t>SI-648/2</t>
  </si>
  <si>
    <t>Amendment to Article 169 of the Traffic Rules published in Uradni list RS, No. 123, of 28 December 2</t>
  </si>
  <si>
    <t>Amendment to Article 169 of the Traffic Rules published in Uradni list RS, No. 123, of 28 December 2007</t>
  </si>
  <si>
    <t>SI-648/3</t>
  </si>
  <si>
    <t>Harmonisation of the provision under paragraph 1 of Article 189 of the Traffic Rules published in Ur</t>
  </si>
  <si>
    <t>Harmonisation of the provision under paragraph 1 of Article 189 of the Traffic Rules published in Uradni list RS, No. 123, of 28 December 2007</t>
  </si>
  <si>
    <t>SI-648/4</t>
  </si>
  <si>
    <t>Amendment to the provisions of Article 183 of the Traffic Rules published in Uradni list RS, No. 123</t>
  </si>
  <si>
    <t>Amendment to the provisions of Article 183 of the Traffic Rules published in Uradni list RS, No. 123, of 28 December 2007</t>
  </si>
  <si>
    <t>SI-648/5</t>
  </si>
  <si>
    <t>Amendment to the provisions under Article 186 of the Traffic Rules published in Uradni list RS, No.</t>
  </si>
  <si>
    <t>Amendment to the provisions under Article 186 of the Traffic Rules published in Uradni list RS, No. 123, of 28 December 2007</t>
  </si>
  <si>
    <t>SI-648/6</t>
  </si>
  <si>
    <t>Amendment to Article 189 of the Traffic Rules published in Uradni list RS, No. 123, dated 28 Decembe</t>
  </si>
  <si>
    <t>Amendment to Article 189 of the Traffic Rules published in Uradni list RS, No. 123, dated 28 December 2007</t>
  </si>
  <si>
    <t>SI-641/1</t>
  </si>
  <si>
    <t>I-37 traffic signs signalling the approach to an unprotected level crossing</t>
  </si>
  <si>
    <t>SI-641/2</t>
  </si>
  <si>
    <t>Road humps should be installed</t>
  </si>
  <si>
    <t>SI-636/1</t>
  </si>
  <si>
    <t>The managing railway staff in charge of rail traffic must undergo training on an ongoing basis, with</t>
  </si>
  <si>
    <t>The managing railway staff in charge of rail traffic must undergo training on an ongoing basis, with particular emphasis being laid on the implementation of traffic management in exceptional situations, such as at times of unexpected and expected lockings and failures of interlocking devices.</t>
  </si>
  <si>
    <t>SI-541/1</t>
  </si>
  <si>
    <t>Additional marking of the level crossing for the benefit of road users by means of I-37 road signs (</t>
  </si>
  <si>
    <t>Additional marking of the level crossing for the benefit of road users by means of I-37 road signs (approaching the level crossing of the road with a railway line without barriers or half-barriers).</t>
  </si>
  <si>
    <t>SI-541/2</t>
  </si>
  <si>
    <t>Reducing the maximum permitted speed of road vehicles an appropriate distance before the level cross</t>
  </si>
  <si>
    <t>Reducing the maximum permitted speed of road vehicles an appropriate distance before the level crossing, for the BrÅ¡ljin-Zalog direction, from the present 50 km/h down to a maximum 30 km/h.</t>
  </si>
  <si>
    <t>SK-940/1</t>
  </si>
  <si>
    <t>Addressed to RU and owner of the locomotive: Take measures for controlling the speed during the shif</t>
  </si>
  <si>
    <t>Addressed to RU and owner of the locomotive: Take measures for controlling the speed during the shifting and running mode of the train and take adherence of the numbers of people in the cabin.</t>
  </si>
  <si>
    <t>SK-940/2</t>
  </si>
  <si>
    <t>Addressed to IM: Take measures for recording the orders for shifting or running by technical devices</t>
  </si>
  <si>
    <t>Addressed to IM: Take measures for recording the orders for shifting or running by technical devices.</t>
  </si>
  <si>
    <t>SK-1404/1</t>
  </si>
  <si>
    <t>Take measures and controlling the prescribed labels in wagons for assuring passengers security.</t>
  </si>
  <si>
    <t>SK-1403/1</t>
  </si>
  <si>
    <t>Take measures for controlling the functionality of blocking and closing the wagons door â€žB" series.</t>
  </si>
  <si>
    <t>SK-1403/2</t>
  </si>
  <si>
    <t>SK-0326/1</t>
  </si>
  <si>
    <t>Addressed to IM:</t>
  </si>
  <si>
    <t>Take measures in the railway station during the shifting - outfit the controllers of the track and patrolmen by transmitter with the aim to be in touche with employee who manages the operations.</t>
  </si>
  <si>
    <t>SK-0487/1</t>
  </si>
  <si>
    <t>Recommendation Addressed to RU</t>
  </si>
  <si>
    <t>Obligation of train driver to notify himself to dispatcher when leaving the initial station.</t>
  </si>
  <si>
    <t>SK-0487/2</t>
  </si>
  <si>
    <t>Changing the numbering and the categorization of the trains.</t>
  </si>
  <si>
    <t>SK-0487/3</t>
  </si>
  <si>
    <t>Addressed to IM</t>
  </si>
  <si>
    <t>Indicate the restrictions of the journey in the timetable for drivers.</t>
  </si>
  <si>
    <t>SK-0495/1</t>
  </si>
  <si>
    <t>take measures to better monitoring the movement of trains by employees involved in the preparation and putting the rail road</t>
  </si>
  <si>
    <t>SK-0495/2</t>
  </si>
  <si>
    <t>Addressed to RU</t>
  </si>
  <si>
    <t>do controls on the accuracy, completeness and detail of inspections carried out on the starting and ending freight trains</t>
  </si>
  <si>
    <t>SK-2032/1</t>
  </si>
  <si>
    <t>Recommendation addressee to RU</t>
  </si>
  <si>
    <t>take measures - retrain the employee of RU about the Rule Z 17 and consider the possibility to stop activity of the train driver for 2 years according national law</t>
  </si>
  <si>
    <t>SK-2034/1</t>
  </si>
  <si>
    <t>RU (ZSSK and CREW) take measures toward of their employee.</t>
  </si>
  <si>
    <t>SK-2034/2</t>
  </si>
  <si>
    <t>IM review the possibility of implementing the GSM-R.</t>
  </si>
  <si>
    <t>SK-2034/3</t>
  </si>
  <si>
    <t>IM and RU (ZSSK) do joint control while riding the train ZSSK, aimed at transmission of signals in identical track section (Sala - collision point).</t>
  </si>
  <si>
    <t>SK-2103/1</t>
  </si>
  <si>
    <t>SK-2103/2</t>
  </si>
  <si>
    <t>SK-2256/1</t>
  </si>
  <si>
    <t>Take measures aimed on propagation what to do when the accident occurred on level crossing.</t>
  </si>
  <si>
    <t>SK-3220/1</t>
  </si>
  <si>
    <t>RU adopt measures towards driver of the locomotive</t>
  </si>
  <si>
    <t>SK-3220/2</t>
  </si>
  <si>
    <t>RU and IM do discourse about this accident for all drivers of the locomotive</t>
  </si>
  <si>
    <t>SK-3220/3</t>
  </si>
  <si>
    <t>RU carry out more number of inspections drivers of locomotive</t>
  </si>
  <si>
    <t>SK-3654/1</t>
  </si>
  <si>
    <t>At the accident place make control ride and measuring of the decreasing of slope</t>
  </si>
  <si>
    <t>REC-000222</t>
  </si>
  <si>
    <t>SK-3654/2</t>
  </si>
  <si>
    <t>RU carry out random checks on the wagon series Fafs and initial technical inspection before the ...</t>
  </si>
  <si>
    <t>RU carry out random checks on the wagon series Fafs and initial technical inspection before the train leave the station.</t>
  </si>
  <si>
    <t>SK-0014/1</t>
  </si>
  <si>
    <t>RU and IM inform the employee (on position engine-driver and conductor) about this accident</t>
  </si>
  <si>
    <t>SK-4897/1</t>
  </si>
  <si>
    <t>Recommendation addressed to IM</t>
  </si>
  <si>
    <t>consider the possibility of transmission signals on-board a vehicle on all lines</t>
  </si>
  <si>
    <t>SK-4897/2</t>
  </si>
  <si>
    <t>retrain the employee of RU about the methodology what to do when train is dispatched by conductor and engine-driver has not outlook on signals</t>
  </si>
  <si>
    <t>SK-4930/1</t>
  </si>
  <si>
    <t>IM examine if the rules obtains all needed provisions (eg .: instruction of train running technique) ...</t>
  </si>
  <si>
    <t>IM examine if the rules obtains all needed provisions (eg .: instruction of train running technique) and in case of absence of this provision - suggest ways how to incorporate them to the rules of IM which are binding for the railway undertaking,</t>
  </si>
  <si>
    <t>SK-4930/2</t>
  </si>
  <si>
    <t>The RU shall conduct controls of train drivers and mentoring about train running technique, with ...</t>
  </si>
  <si>
    <t>The RU shall conduct controls of train drivers and mentoring about train running technique, with focus on keeping the specified speed</t>
  </si>
  <si>
    <t>SK-4930/3</t>
  </si>
  <si>
    <t>The RU will conduct random controls of devices for speed recording and notify the results of ...</t>
  </si>
  <si>
    <t>The RU will conduct random controls of devices for speed recording and notify the results of controls to NIB SK during the years 2015 and 2016</t>
  </si>
  <si>
    <t>SK-4930/4</t>
  </si>
  <si>
    <t>NSA will assess whether the RU is fulfilling the conditions of safety certificate and whether its ...</t>
  </si>
  <si>
    <t>NSA will assess whether the RU is fulfilling the conditions of safety certificate and whether its activity are in accordance with national safety regulations</t>
  </si>
  <si>
    <t>SK-4931/1</t>
  </si>
  <si>
    <t>RU conduct controls of train drivers and lessons from practice for train operation, with a focus on ...</t>
  </si>
  <si>
    <t>RU conduct controls of train drivers and lessons from practice for train operation, with a focus on monitoring the signalling device</t>
  </si>
  <si>
    <t>SK-4932/1</t>
  </si>
  <si>
    <t>IM examine the possibility of installing more indicating devices which draw attention to the ...</t>
  </si>
  <si>
    <t>IM examine the possibility of installing more indicating devices which draw attention to the unsatisfactory technical condition of the rail vehicle (hot bearings...), regardless of the direction the train running. Also IM examine the possibility watching train transport by employees from both sides of the train.</t>
  </si>
  <si>
    <t>SK-4933/1</t>
  </si>
  <si>
    <t>SK-4983/1</t>
  </si>
  <si>
    <t>IM examine the possibility of innovation labeling system of crossings (identification number must be ...</t>
  </si>
  <si>
    <t>IM examine the possibility of innovation labeling system of crossings (identification number must be easily recognizable by stating name of the station/location and suitable position of label on crossing device)</t>
  </si>
  <si>
    <t>SK-4983/2</t>
  </si>
  <si>
    <t>IM examine the possibility of providing contact phone numbers on train staff in all documentation ...</t>
  </si>
  <si>
    <t>IM examine the possibility of providing contact phone numbers on train staff in all documentation accessible for dispatching system, so the dispatcher can train crew notify about the need to acute security measures</t>
  </si>
  <si>
    <t>SK-4983/3</t>
  </si>
  <si>
    <t>IM examine the possibility of extending coverage of radiofrequency signal at railway lines with aim ...</t>
  </si>
  <si>
    <t>IM examine the possibility of extending coverage of radiofrequency signal at railway lines with aim to improve possibility to notify the train crew and other employees of the need to acute security measures</t>
  </si>
  <si>
    <t>SK-4983/4</t>
  </si>
  <si>
    <t>IM examine the possibility of extending of information to the public and the authorities about the ...</t>
  </si>
  <si>
    <t>IM examine the possibility of extending of information to the public and the authorities about the correct reporting procedure of obstacles on the track and correct reporting of location of the place with obstacles which threaten the safety (car on a level crossing, fallen bridgeâ€¦)</t>
  </si>
  <si>
    <t>SK-4983/5</t>
  </si>
  <si>
    <t>IM examine the possibility of correction the reporting procedures of the obstacles on the track, ...</t>
  </si>
  <si>
    <t>IM examine the possibility of correction the reporting procedures of the obstacles on the track, when Integrated Rescue System (tel.112) inform dispatching of IM with aim to accelerate the transfer of information. Also IM consider the possibility of cooperation with police forces and integrated rescue system for organizing joint training of security threats</t>
  </si>
  <si>
    <t>SK-4983/6</t>
  </si>
  <si>
    <t>IM and RU examine possibility for organizing joint training of dispatching in situation about ...</t>
  </si>
  <si>
    <t>IM and RU examine possibility for organizing joint training of dispatching in situation about obstacles on the track which threaten the safety</t>
  </si>
  <si>
    <t>SK-4983/7</t>
  </si>
  <si>
    <t>RU consider possibility of creation â€œred lineâ€ for urgent calls, when crew must interrupt all ...</t>
  </si>
  <si>
    <t>RU consider possibility of creation â€œred lineâ€ for urgent calls, when crew must interrupt all running activities</t>
  </si>
  <si>
    <t>SK-4983/8</t>
  </si>
  <si>
    <t>RU examine the possibility of extending coverage of radiofrequency signal at locomotives with aim to ...</t>
  </si>
  <si>
    <t>RU examine the possibility of extending coverage of radiofrequency signal at locomotives with aim to improve possibility to notify the train crew and other employees of the need to acute security measures</t>
  </si>
  <si>
    <t>SK-5261/1</t>
  </si>
  <si>
    <t>IM and RU check the possibility how to make better connection between engine-driver and train ...</t>
  </si>
  <si>
    <t>IM and RU check the possibility how to make better connection between engine-driver and train dispatcher by mobile phone or walkie-talkie</t>
  </si>
  <si>
    <t>SK-5262/1</t>
  </si>
  <si>
    <t>IM check the possibility for obtain funds for the purpose of increasing safety on railways by ...</t>
  </si>
  <si>
    <t>IM check the possibility for obtain funds for the purpose of increasing safety on railways by swapping crossing on grade-separated junction or by establishing system of crossing monitoring by camera</t>
  </si>
  <si>
    <t>SK-5262/2</t>
  </si>
  <si>
    <t>NSA check the progress of implementation an appointed task to IM and RU to make better connection ...</t>
  </si>
  <si>
    <t>NSA check the progress of implementation an appointed task to IM and RU to make better connection between engine-driver and train dispatcher by mobile phone or walkie-talkie</t>
  </si>
  <si>
    <t>SK-5262/3</t>
  </si>
  <si>
    <t>IM check the conditions of crossings and connected roads and discuss eventual failings with steward ...</t>
  </si>
  <si>
    <t>IM check the conditions of crossings and connected roads and discuss eventual failings with steward of roads</t>
  </si>
  <si>
    <t>SK-5262/4</t>
  </si>
  <si>
    <t>NSA check the possibility to modify the rules with the aim to create only grade-separated junction ...</t>
  </si>
  <si>
    <t>NSA check the possibility to modify the rules with the aim to create only grade-separated junction and disturb grade crossing</t>
  </si>
  <si>
    <t>SK-5267/1</t>
  </si>
  <si>
    <t>IM check the possibility of more frequently controls of switches and rail tracks with not only the ...</t>
  </si>
  <si>
    <t>IM check the possibility of more frequently controls of switches and rail tracks with not only the time factor since the last inspection but also with emphasis on age and frequency of use with the aim to prevent the accident</t>
  </si>
  <si>
    <t>SK-5267/2</t>
  </si>
  <si>
    <t>IM check the possibility to create analyse of causes of breaking tracks and switches not only with ...</t>
  </si>
  <si>
    <t>IM check the possibility to create analyse of causes of breaking tracks and switches not only with the time factor but also with emphasis on frequency of use or in context of producer and the defects in the same delivery, with the aim to prevent the serious accident like a derailment or collisions</t>
  </si>
  <si>
    <t>SK-5267/3</t>
  </si>
  <si>
    <t>NSA check the possibility of corporations with another NSA in assessing the safety policy and safety ...</t>
  </si>
  <si>
    <t>NSA check the possibility of corporations with another NSA in assessing the safety policy and safety management system by other infrastructure managers in order to prevent defects</t>
  </si>
  <si>
    <t>REC-000246</t>
  </si>
  <si>
    <t>SK-5337/1</t>
  </si>
  <si>
    <t>NSA shall examine the effectiveness of the training, examinations and checks and shall keep a list ...</t>
  </si>
  <si>
    <t>NSA shall examine the effectiveness of the training, examinations and checks and shall keep a list of drivers so that it is clear to whom the driver's license has been withdrawn and who have made an accident and when they have taken a new professional examination</t>
  </si>
  <si>
    <t>SK-5598/1</t>
  </si>
  <si>
    <t>The NSA will examine how the railway undertaking ensures that train drivers are informed of changes ...</t>
  </si>
  <si>
    <t>The NSA will examine how the railway undertaking ensures that train drivers are informed of changes in the timetable and relevant regulations; How are checks drivers in this area as well as how many checks have been carried out with the railway undertaking in 2017</t>
  </si>
  <si>
    <t>SK-5608/1</t>
  </si>
  <si>
    <t>The NSA will examine the options to make the relevant regulations more flexible and their ...</t>
  </si>
  <si>
    <t>The NSA will examine the options to make the relevant regulations more flexible and their application so as to limit, as far as possible, the creation of additional level crossings and to make the process of their interference and substitution more efficient.</t>
  </si>
  <si>
    <t>SK-5608/2</t>
  </si>
  <si>
    <t>The NSA will assess the safety management system, the safety objectives and the IM security policy ...</t>
  </si>
  <si>
    <t>The NSA will assess the safety management system, the safety objectives and the IM security policy with regard to the need to reduce the number of level crossings.</t>
  </si>
  <si>
    <t>SK-5679/1</t>
  </si>
  <si>
    <t>The NSA will examine security management system of the ZSSK Cargo carrier and the method of driving ...</t>
  </si>
  <si>
    <t>The NSA will examine security management system of the ZSSK Cargo carrier and the method of driving trains by train drivers who are not the employees of the carrier.</t>
  </si>
  <si>
    <t>SK-5679/2</t>
  </si>
  <si>
    <t>The ZSSK Cargo carrier will adjust the conditions for the carriage of its trains by train drivers ...</t>
  </si>
  <si>
    <t>The ZSSK Cargo carrier will adjust the conditions for the carriage of its trains by train drivers who are not its employees</t>
  </si>
  <si>
    <t>SK-5921/1</t>
  </si>
  <si>
    <t>IM and RU explore the possibilities of creating technical and technological measures and how to ...</t>
  </si>
  <si>
    <t>IM and RU explore the possibilities of creating technical and technological measures and how to prevent the situation in a station where the arc in front of the exit sign may lead to incorrect perception of exit signal. RU will instruct train driverson the correct procedure for leaving the train at such stations.</t>
  </si>
  <si>
    <t>REC-000658</t>
  </si>
  <si>
    <t>SK-6125/1</t>
  </si>
  <si>
    <t>IM shall examine and consider the possibility of introducing new security features, such as the ...</t>
  </si>
  <si>
    <t>IM shall examine and consider the possibility of introducing new security features, such as the crossing barrier</t>
  </si>
  <si>
    <t>REC-000457</t>
  </si>
  <si>
    <t>SK-6284/1</t>
  </si>
  <si>
    <t>The IM will consider the possibility of changing location of "nadrazny" in such a way to allow him ...</t>
  </si>
  <si>
    <t>The IM will consider the possibility of changing location of "nadrazny" in such a way to allow him to have view what is happening at the marshalling yard.</t>
  </si>
  <si>
    <t>HR-3784/1</t>
  </si>
  <si>
    <t>SP 3/15</t>
  </si>
  <si>
    <t>Upravitelj infrastrukture trebao bi kroz sustav upravljanja sigurnoÅ¡Ä‡u osigurati da se ljudske sposobnosti i ograniÄenja, te utjecaj istih na performanse zaposlenika uzmu u obzir primjenom priznatih metoda iz podruÄja koja se bave utjecajem ljudskog Äimbenika na obavljanje radnih zadataka i sigurnost</t>
  </si>
  <si>
    <t>Croatian</t>
  </si>
  <si>
    <t>National Investigation Body of Croatia</t>
  </si>
  <si>
    <t>HR-3784/2</t>
  </si>
  <si>
    <t>Through its processes Infrastructure Manager and Railway Undertakings, in the SMS should ensure that human capabilities and limitations and the influences on human performance are addressed by applying human factors knowledge and using recognised methods</t>
  </si>
  <si>
    <t>HR-3862/1</t>
  </si>
  <si>
    <t>Train derailment, 11.7.2014., Novi Marof - BudinÅ¡cina (Croatia)</t>
  </si>
  <si>
    <t>Radi poboljÅ¡anja sigurnosti Å¾eljezniÄkog sustava u Zakonu o sigurnosti i interoperabilnosti Å¾eljezniÄkog sustava potrebno je proÅ¡iriti definiciju Å¾eljezniÄkog prijevoznika (sukladni Direktivi 2004/49 /EZ), kako bi se osiguralo da sigurnost cjelokupnog Å¾eljezniÄkog sustava poÅ¡tuje svako poduzeÄ‡e koje koristi Å¾eljezniÄku infrastrukturu koja nije iskljuÄena na temelju Älanka2. stavka 2. Direktive 2004/49/EZ, neovisno o tome je li to primarna djelatnost poduzeÄ‡a ili ne.</t>
  </si>
  <si>
    <t>HR-3862/2</t>
  </si>
  <si>
    <t>To improve the safety of the railway system in the Law on safety and interoperability of the railway system, expand the definition of railway undertaking (in accordance with Directive 2004/49 / EC), to ensure that the safety of the whole railway system respects every undertaking that uses the railway infrastructure that is not excluded on the basis of article 2, paragraph 2 of Directive 2004/49/EC, regardless of whether it is the primary activity of the company or not.</t>
  </si>
  <si>
    <t>HR-4043/1</t>
  </si>
  <si>
    <t>SP2/15</t>
  </si>
  <si>
    <t>In order to improve railway safety system (reducing risk of fire in railway vehicles do to malfunction of onboard electrical installations) AIA has issued a safety recommendation to National Safety Authority (NSA): SP 2/15: Maintenance Companies during an inspection of electrical installations in railway vehicles should implement inspection method which includes inspection of electrical installations in working conditions, with technique like thermal camera or similar (chapter 8.5).</t>
  </si>
  <si>
    <t>HR-4132/1</t>
  </si>
  <si>
    <t>Earthworks</t>
  </si>
  <si>
    <t>SP 7/15: Infrastructure manager should develop a system of assessment of slopes from which would follow objective timeline and amount of works that have to be done in reinforcement of slopes based on threat that a slope is have on safety of the railway system (chapter 4.2, 4.3 i 4.6).</t>
  </si>
  <si>
    <t>HR-4132/2</t>
  </si>
  <si>
    <t>SP 7/15: Upravitelj infrastrukture trebao bi izraditi sustav vrednovanja pokosa iz kojeg bi se utvrdio objektivan redoslijed sanacije pojedinih pokosa temeljem opasnosti koju predstavljaju za odvijanje Å¾eljezniÄkog prometa (poglavlje 4.2, 4.3 i 4.6).</t>
  </si>
  <si>
    <t>HR-4226/1</t>
  </si>
  <si>
    <t>SP1/14</t>
  </si>
  <si>
    <t>SP1/14 Hrvatske ceste d.o.o. (Croatian Roads Ltd., The Road infrastructure manager) should displace traffic signs which informs road vehicle drivers they are approaching level crossing in such order, that the level crossing light signals should be visible to drivers</t>
  </si>
  <si>
    <t>HR-4226/2</t>
  </si>
  <si>
    <t>SP2/14</t>
  </si>
  <si>
    <t>Infrastructure manager (HÅ½ Infrastrukutra) and Hrvatske ceste d.o.o. (Croatian Roads Ltd.) should reprogram traffic lights (semaphore) at the pedestrian road crossing in close vicinity of this level crossing in such order that it shows flashing yellow light when the railway level crossing signal is active</t>
  </si>
  <si>
    <t>HR-4226/3</t>
  </si>
  <si>
    <t>SP3/14</t>
  </si>
  <si>
    <t>Odsjek za promet i komunalnu infrastrukturu Krapinsko-zagorske Å¾upanije (Local road infrastructure manager) and Hrvatske ceste should determine the maximum length of road vehicles that shall not pass this level crossing, because of the evident fact that road vehicles with length over 14 m cannot pass this level crossing in one instance, because of special configuration of the road and level crossing.</t>
  </si>
  <si>
    <t>HR-4226/4</t>
  </si>
  <si>
    <t>SP1/15</t>
  </si>
  <si>
    <t>Infrastructure manager, HÅ½ Infrasturkutra ltd, should install automatic half-bailers on level crossing in city of Krapina in km 016+730 on the line R106 .</t>
  </si>
  <si>
    <t>HR-4373/1</t>
  </si>
  <si>
    <t>Inspection of load</t>
  </si>
  <si>
    <t>SP 5/15 Å½eljezniÄki prijevoznici koji se bave prijevozom tereta, trebali bi od poÅ¡iljatelja zatraÅ¾iti potvrdu/dokaz da je teret ili dijelovi tereta dostatno pakirani i kao takvi sigurni za transport (poglavlja 4.2 i 4.3).</t>
  </si>
  <si>
    <t>HR-4373/2</t>
  </si>
  <si>
    <t>SP 5/15 Railway undertakings (RU) that are engaged in transport of cargo goods, from the owner of a good (load), should ask for a certificate/proof that the goods or parts of good sufficiently packed and safe for transport (chapters 4.2 and 4.3).</t>
  </si>
  <si>
    <t>HR-4707/1</t>
  </si>
  <si>
    <t>SP 6/15</t>
  </si>
  <si>
    <t>Agencija za istraÅ¾ivanje nesreÄ‡a u zraÄnom, pomorskom i Å¾eljezniÄkom prometu u cilju poboljÅ¡anja sigurnosti Å¾eljezniÄkog sustava izdaje Gradu Samoboru slijedeÄ‡u sigurnosnu preporuku: SP 6/15 SluÅ¾be nadleÅ¾ne za odrÅ¾avanje prometnice trebale bi odrÅ¾avati zelenilo pored prometnice u blizini Å¾eljezniÄko-cestovnog prijelaza Kupinec na naÄin da prometni znakovi budu vidljivi sudionicima u prometu (poglavlje 5.5).</t>
  </si>
  <si>
    <t>HR-4707/2</t>
  </si>
  <si>
    <t>As a result of this investigation, the Air, Maritime and Railway Accidents Investigation Agency (AIA) have issued one safety recommendation to the City of Samobor: SP 6/15 Local Maintenance Company should keep the plants next to the road near the level crossing in the shape that the traffic signs are visible to road users.</t>
  </si>
  <si>
    <t>HR-4708/1</t>
  </si>
  <si>
    <t>Inspection of gauges and S&amp;C</t>
  </si>
  <si>
    <t>SP 4/15 Infrastructure manager in forms regarding inspection of gauges and switches and crossings should input data about conditions of slippers fitting equipment (chapter 7.4.2 and 10).</t>
  </si>
  <si>
    <t>HR-4708/2</t>
  </si>
  <si>
    <t>Upravitelj infrastrukture trebao bi u dokumentaciju o obavljenom pregledu kolosijeka osim rezultata mjerenja (slika 6) upisivati i podatke o stanju gornjeg i donjeg ustroja kolosijeka (poglavlja 7.4.2 i 10).</t>
  </si>
  <si>
    <t>HR-4738/1</t>
  </si>
  <si>
    <t>Opremanje Å½CP-a Upgrading protection on the level crossing</t>
  </si>
  <si>
    <t>SP 1/16: Upravitelj infrastrukture trebao bi Å½CP koji se nalazi na pruzi M604 u km 235+100 opremiti zvuÄnim i svjetlosnim znacima. SP 1/16: The Infrastructure manager should the level crossing, located on the M604 at kilometer 235 + 100, equipped with sound and light signs.</t>
  </si>
  <si>
    <t>HR-4738/2</t>
  </si>
  <si>
    <t>SP 1/16: The Infrastructure manager should the level crossing, located on the M604 at kilometer 235 + 100, equipped with sound and light signs.</t>
  </si>
  <si>
    <t>HR-4738/3</t>
  </si>
  <si>
    <t>Dopuna prometne signalizacije Amendment traffic signals</t>
  </si>
  <si>
    <t>SP 2/16: Pomaknuti znakove (â€žAndrijin kriÅ¾â€œ A47 i â€žSTOPâ€œ B02) na minimalnu udaljenost od tri metra od najbliÅ¾e traÄnice s obje strane Å¾eljezniÄkoâ€cestovnog prijelaza. (poglavlje 5.5.2). SP 2/16: Relocate the traffic signs A47 (Andrews cross) and B02 (STOP) to a minimal distance of three meters from nearest rail on both side of the level crossing (chapter 5.5.2).</t>
  </si>
  <si>
    <t>HR-4738/4</t>
  </si>
  <si>
    <t>SP 2/16: Relocate the traffic signs A47 (Andrews cross) and B02 (STOP) to a minimal distance of three meters from nearest rail on both side of the level crossing (chapter 5.5.2).</t>
  </si>
  <si>
    <t>HR-4738/5</t>
  </si>
  <si>
    <t>Pomicanje prometnih znakova moving traffic signs</t>
  </si>
  <si>
    <t>SP 3/16: Sukladno pomicanju znakova â€ iscrtati oznake na kolniku H01, H03, H11 i H43 (poglavlje 5.5.2). SP 3/16: According the new positions of traffic signs â€“ draw signs on the road H01, H03, H11 and H43 (chapter 5.5.2).</t>
  </si>
  <si>
    <t>HR-4738/6</t>
  </si>
  <si>
    <t>SP 3/16: According the new positions of traffic signs â€“ draw signs on the road H01, H03, H11 and H43 (chapter 5.5.2).</t>
  </si>
  <si>
    <t>HR-4738/7</t>
  </si>
  <si>
    <t>postaviti prometne znakova Putt traffic signs</t>
  </si>
  <si>
    <t>SP 4/16: Postaviti znakove B38 i C01 o prvenstvu prolaska (poglavlje 5.5.2). SP 4/16: Putt signs B38 and C01 about priority passing (chapter 5.5.2).</t>
  </si>
  <si>
    <t>HR-4738/8</t>
  </si>
  <si>
    <t>SP 4/16: Putt signs B38 and C01 about priority passing (chapter 5.5.2).</t>
  </si>
  <si>
    <t>HR-4738/9</t>
  </si>
  <si>
    <t>Redovno odrÅ¾avanje trokuta preglednosti Regular maintenance of the triangle transparency</t>
  </si>
  <si>
    <t>SP 5/16: Redovito odrÅ¾avati vegetaciju u zoni Å¾eljezniÄkoâ€cestovnog prijelaza zbog poboljÅ¡anja preglednosti (poglavlje 5.5.2). SP 5/16: Regularly maintain of vegetation around the level crossing (chapter 5.5.2).</t>
  </si>
  <si>
    <t>HR-4738/10</t>
  </si>
  <si>
    <t>SP 5/16: Regularly maintain of vegetation around the level crossing (chapter 5.5.2).</t>
  </si>
  <si>
    <t>HR-4805/1</t>
  </si>
  <si>
    <t>AIN 06 SR 11/2016</t>
  </si>
  <si>
    <t>PruÅ¾atelji usluga manevriranja trebali bi razraditi proces manevriranja za pojedine serije vagona, te bi s istim trebali upoznati sve manevarske radnike (poglavlje 5.4.5.).</t>
  </si>
  <si>
    <t>HR-4805/2</t>
  </si>
  <si>
    <t>Providers of shunting services should elaborate a process of shunting for particular series rolling stocks and should introduce that to all shunting personal (chapter 5.4.5.).</t>
  </si>
  <si>
    <t>HR-4820/1</t>
  </si>
  <si>
    <t>SP 6/16 Incpection of traingle of visibility by IM</t>
  </si>
  <si>
    <t>SP 6/16: Infrastructure manager should introduce a system of control triangle of visibility on passive level crossings according National Regulation on all lines (chapters 7.9 and 9).</t>
  </si>
  <si>
    <t>HR-4820/2</t>
  </si>
  <si>
    <t>SP 6/16: Upravitelj infrastrukture trebao bi na svim prugama uspostaviti sustav kontrole trokuta preglednosti sukladno Pravilniku o naÄinu osiguravanja prometa na Å¾eljezniÄko-cestovnim i pjeÅ¡aÄkim prijelazima preko pruge (NN 111/15). (poglavlja 7.9 i 9).</t>
  </si>
  <si>
    <t>HR-4820/3</t>
  </si>
  <si>
    <t>SP 7/16 Limitation of trains speed limite</t>
  </si>
  <si>
    <t>SP 7/16: on passive level crossings, where there is no sufficient triangle of visibility, speed limit of trains should be limited to the real situation (chapters 7.9. and 8.2).</t>
  </si>
  <si>
    <t>HR-4820/4</t>
  </si>
  <si>
    <t>SP 7/16 Na pasivno osiguranim Å¾eljezniÄko-cestovnim prijelazima, na kojima nije zadovoljen trokut preglednosti prilagoditi brzinu vlaka stvarnom stanju na terenu (raspoloÅ¾ivom trokutu preglednosti â€“ poglavlje 7.9. i 8.2).</t>
  </si>
  <si>
    <t>HR-4820/5</t>
  </si>
  <si>
    <t>SP 8/16 Protect the Level Crossing with automated halve barriers</t>
  </si>
  <si>
    <t>SP 8/16 Å½CP Å vogari opremiti aktivnom zaÅ¡titom (poglavlje 9).</t>
  </si>
  <si>
    <t>HR-4820/6</t>
  </si>
  <si>
    <t>SP 8/16: The LC Å vogari should be equipped with active protection (chapter 9).</t>
  </si>
  <si>
    <t>HR-4820/7</t>
  </si>
  <si>
    <t>SP 9/16 Traffic signs</t>
  </si>
  <si>
    <t>SP 9/16 OpÄ‡ina Å½minj treba prometnicu prema Å½CP-u Å vogari opremiti propisanom prometnom signalizacijom (poglavlje 7.7.4).</t>
  </si>
  <si>
    <t>HR-4820/8</t>
  </si>
  <si>
    <t>SP 9/16: Community of Å½minj should equip the road toward the Level crossing Å vogari with adequate traffic signs (chapter 7.7.4).</t>
  </si>
  <si>
    <t>HR-4820/9</t>
  </si>
  <si>
    <t>SP 10/16 Inspection of triangle of visibility by the Local Community</t>
  </si>
  <si>
    <t>SP 10/16 OpÄ‡ina Å½minj trebala bi uspostaviti sustav kontrole trokuta preglednosti i koordinirati isti s Upraviteljem infrastrukture, te napraviti plan odrÅ¾avanja trokuta preglednosti koji je pod ingerencijom OpÄ‡ine (poglavlja 7.7.1, 7.7.4. i 7.7.6).</t>
  </si>
  <si>
    <t>HR-4820/10</t>
  </si>
  <si>
    <t>SP 10/16: Community of Å½minj should established a System of control of visibility in triangle of visibility and coordinates it with the Infrastructure manager and establishes a Plan of maintenance of triangle of visibility</t>
  </si>
  <si>
    <t>HR-4970/1</t>
  </si>
  <si>
    <t>AIN/06-SR-1/2017</t>
  </si>
  <si>
    <t>AIN/06-SR-1/2017: UzevÅ¡i u obzir utjecaj graÄ‘evinskih objekata unutar infrastrukturnog pojasa na teÅ¾inu ove nesreÄ‡e upravitelj, Infrastrukture trebao bi u SMS-u uspostaviti proceduru procjene rizika iz koje bi se vidjelo da li objekti unutar infrastrukturnog pojasa mogu imati utjecaja na posljedice nekog Å¡tetnog dogaÄ‘aja (poglavlje 8.2.17), temeljem Äega bi se mogao izraditi prijedlog mjera za postupanje s takvim objektima.</t>
  </si>
  <si>
    <t>HR-4970/2</t>
  </si>
  <si>
    <t>AIN/06-SR-1/2017 Taking into account the impact of objects within the Infrastructural area on the outcome of the Accident, the Infrastructure Manager should in the SMS to establish a risk assessment procedure from which to see whether objects within the infrastructural belt can influence the result of an adverse event (section 8.2.17 ), based on which it could draw up a proposal of measures for dealing with such facilities.</t>
  </si>
  <si>
    <t>HR-4970/3</t>
  </si>
  <si>
    <t>AIN/06-SR-2/2017</t>
  </si>
  <si>
    <t>AIN/06-SR-2/2017: Obzirom na uÄestalost incidenata i nesreÄ‡a u kojima je sudjelovalo strojno osoblje kada je promet bio reguliran evidencijama prometne sigurnosti, Å¾eljezniÄki prijevoznici trebali bi prilikom redovnog pouÄavanja strojnog osoblja posvetiti veÄ‡u pozornost na propisane postupke kod zaprimanja i razumijevanja sadrÅ¾aja evidencija prometne sigurnosti (poglavlje 8.2.2.)</t>
  </si>
  <si>
    <t>HR-4970/4</t>
  </si>
  <si>
    <t>AIN/06-SR-2/2017: Taking into account the frequency of incidents and accidents in which participated train driver when the traffic was regulated with written orders by Traffic managers, Railway undertakings should in their education process of train drivers devote more attention to acceptance of written orders and understanding the contents of the orders (chapter 8.2.2.)</t>
  </si>
  <si>
    <t>REC-000238</t>
  </si>
  <si>
    <t>HR-5089/1</t>
  </si>
  <si>
    <t>Education of IM workers</t>
  </si>
  <si>
    <t>Upravitelj infrastrukture tijekom pouÄavanja i Å¡kolovanja izvrÅ¡nih radnika trebao bi viÅ¡e pozornosti posvetiti na propisane postupke u sluÄajevima kad se pojavljuju opasnosti vezane za neukljuÄivanje SS-ureÄ‘aj, a koje izravno utjeÄu na sigurnost prometa (poglavlje 4.3.2).</t>
  </si>
  <si>
    <t>HR-5089/2</t>
  </si>
  <si>
    <t>The Infrastructure Manager, during regular education program of executive workers, should pay more attention to the training of the personal in prescribed procedures when an incident involving malfunctioning of a signaling and safety occurs (chapter 4.3.2).</t>
  </si>
  <si>
    <t>HR-5114/1</t>
  </si>
  <si>
    <t>Packaging and securing of roller coils</t>
  </si>
  <si>
    <t>Taking into account the accident and the fact that in some previous cases come to the movement of some roller coils on pallets, the owner of the wagon should make an analysis of the way in which packaging and securing of roller coils is in conformity with the UIC Loading Guidelines, and according the analysis make measures to prevent future accidents.</t>
  </si>
  <si>
    <t>HR-5114/2</t>
  </si>
  <si>
    <t>UzevÅ¡i u obzir predmetnu nesreÄ‡u te Äinjenicu da je i ranije znalo doÄ‡i po pomicanja kotura lima na paletama, vlasnik vagona bi trebao napraviti analizu naÄina pakiranja kotura limova iz koje bi se moglo utvrditi koliko je ovakav naÄin pakiranja sukladan UIC smjernicama za utovar i poduzeti mjere na sprjeÄavanju buduÄ‡ih nesreÄ‡a.</t>
  </si>
  <si>
    <t>HR-5160/1</t>
  </si>
  <si>
    <t>Local traffic regulation</t>
  </si>
  <si>
    <t>Upravitelj infrastrukture trebao bi za prometovanje â€žZâ€œ kolosijekom kolodvora Zagreb RanÅ¾irni razraditi proceduru upravljanja prometom Å¾eljezniÄkih vozila (poglavlja 3.8 i 3.10).</t>
  </si>
  <si>
    <t>HR-5160/2</t>
  </si>
  <si>
    <t>The Infrastructure manager should developed a procedure that should regulate traffic from ant on the â€œZâ€ truck (chapters 3.8 and 3.10).</t>
  </si>
  <si>
    <t>HR-5186/1</t>
  </si>
  <si>
    <t>PouÄavanje vozaÄa TMD-a</t>
  </si>
  <si>
    <t>AIN/06 SR 5/2017 : Obzirom na niz Äimbenika koji su utjecali da doÄ‘e do predmetne nesreÄ‡e ukljuÄeno druÅ¡tvo Äiji je radnik vozaÄ TMD-a trebalo bi u svom SUS-u definirati postupke pomoÄ‡u kojih bi imalo toÄan uvid o struÄnim osposobljenostima strojnog osoblja ovisno o seriji vozila i dionici pruge (poglavlja 4.3.1. i 4.3.5.).</t>
  </si>
  <si>
    <t>HR-5186/2</t>
  </si>
  <si>
    <t>AIN/06 SR 5/2017 : Given a number of factors influencing the Accident, the Company whose train driver was involved in the Accident should define in its SMS procedures that would give the Company accurate insight into the skill of the machine personnel depending on the series of vehicles and track sections (Chapters 4.3.1. and 4.3.5.).</t>
  </si>
  <si>
    <t>HR-5186/3</t>
  </si>
  <si>
    <t>Postupci kod poÄavanja vozaÄa TMD-a u sluÄ‡ajevima pribliÅ¾avanja Å½CP-u</t>
  </si>
  <si>
    <t>AIN/06 SR 6/2017: Obzirom na broj incidenata, nesreÄ‡a i ozbiljnih nesreÄ‡a na Å¾eljezniÄko-cestovnim prijelazima u kojima je sudjelovalo strojno osoblje, druÅ¡tva koja posjeduju vuÄna vozila koja prometuju po infrastrukturi pod nadleÅ¾nosti druÅ¡tva HÅ½ Infrastruktura d.o.o., trebala bi prilikom redovnog i izvanrednog pouÄavanja strojnog osoblja posvetiti veÄ‡u pozornost na propisane postupke strojnog osoblja kod pribliÅ¾avanja Å¾eljezniÄko-cestovnim prijelazima (poglavlje 3.5.4.).</t>
  </si>
  <si>
    <t>HR-5186/4</t>
  </si>
  <si>
    <t>AIN/06 SR 6/2017: Given a number of incidents, accidents and serius accident on the level crossings in which participated train drivers, companies that own towed vehicles running on infrastructure under the authority of the company HÅ½ Infrastruktura Ltd should in their education process of train driver, pay more attention to the prescribed procedures of train drivers when approaching level crossings (Chapter 3.5.4.).</t>
  </si>
  <si>
    <t>HR-5198/1</t>
  </si>
  <si>
    <t>Dopuna Pravilnika o tehniÄkim uvjetima za prometno-upravljaÄki i signalno-sigurnosni Å¾eljezniÄki infrastrukturni sustav AIN/06 SR 8/2017</t>
  </si>
  <si>
    <t>AIN/06 SR 8/2017: U Pravilniku o tehniÄkim uvjetima za prometno-upravljaÄki i signalno-sigurnosni Å¾eljezniÄki infrastrukturni sustav (NN 97/15) u Äl. 10 st 1 odredbu o praÄ‡enju rada trebalo bi proÅ¡iriti i na Å½CP-e koji su izvedeni kao automatski ureÄ‘aji.</t>
  </si>
  <si>
    <t>HR-5198/2</t>
  </si>
  <si>
    <t>AIN / 06 SR 8/2017: In the Regulations on Technical Conditions for the Traffic Control and Signalling and Safety Railway Infrastructure System (OG 97/15) in the Art. 10 point 1: work monitoring rule should be extend to the LC that are derived as automatic devices.</t>
  </si>
  <si>
    <t>HR-5198/3</t>
  </si>
  <si>
    <t>Dopuna Pravilnika o tehniÄkim uvjetima za prometno-upravljaÄki i signalno-sigurnosni Å¾eljezniÄki infrastrukturni sustav (NN 97/15) u Äl. 10 st 3 trebalo bi navesti koje su to dodatne mjere koje je upravitelj infrastrukture duÅ¾an uvesti. AIN/06 SR 9/2017</t>
  </si>
  <si>
    <t>AIN/06 SR 9/2017: U Pravilniku o tehniÄkim uvjetima za prometno-upravljaÄki i signalno-sigurnosni Å¾eljezniÄki infrastrukturni sustav (NN 97/15) u Äl. 10 st 3 trebalo bi navesti koje su to dodatne mjere koje je upravitelj infrastrukture duÅ¾an uvesti.</t>
  </si>
  <si>
    <t>HR-5198/4</t>
  </si>
  <si>
    <t>AIN / 06 SR 9/2017: In the Ordinance on Technical Conditions for Traffic Control and Signalling and-Safety Railway Infrastructure (OG 97/15) in Art. 10 point 3 should be clarified what additional measures the infrastructure manager is obliged to introduce.</t>
  </si>
  <si>
    <t>HR-5198/5</t>
  </si>
  <si>
    <t>Dodatne mjere za pouzdano uklanjanje induciranih smetnji AIN/06 SR 10/2017</t>
  </si>
  <si>
    <t>AIN/06 SR 10/2017: Upravitelj infrastrukture trebao bi poduzeti mjere za pouzdano uklanjanje induciranih smetnji koje mogu utjecati na rad signalno-sigurnosne postojeÄ‡e opreme, pri Äemu bi naglasak trebao biti na primjeni pasivnih mjera koje su pouzdanije i dugoroÄno jeftinije.</t>
  </si>
  <si>
    <t>HR-5198/6</t>
  </si>
  <si>
    <t>AIN / 06 SR 10/2017: The Infrastructure Manager should take measures to reliably eliminate the induced interference that could affect the operation of signalling and safety equipment, with the emphasis being on the use of passive measures that are more reliable and in the long run cheaper.</t>
  </si>
  <si>
    <t>HR-5198/7</t>
  </si>
  <si>
    <t>Dopuna uputa proizvoÄ‘aÄa AIN/06 SR 11/2017</t>
  </si>
  <si>
    <t>AIN/06 SR 11/2017: ProizvoÄ‘aÄ opreme trebao bi u svojim uputama navesti da u uvjetima velikih elektromagnetskih oneÄiÅ¡Ä‡enja izvan granica odreÄ‘enih meÄ‘unarodnim normama, odnosno, utjecaja stabilnih i mobilnih postrojenja elektriÄne vuÄe koji se pokazuju kroz prevelike inducirane napone u postojeÄ‡im signalnim kabelima bez redukcijskog faktora (neoklopljenim kabelima), da sklop TDR14 (bez odgovarajuÄ‡e zaÅ¡tite) moÅ¾e biti osjetljiv na inducirane elektromagnetske smetnje.</t>
  </si>
  <si>
    <t>HR-5198/8</t>
  </si>
  <si>
    <t>AIN / 06 SR 11/2017: The manufacturer of the equipment should in instructions put information that TRD 14 device, in conditions where there are large quantities of electromagnetic disturbances in signalling cables (outside of limits defined in international standards), can be susceptible to induced electromagnetic interference.</t>
  </si>
  <si>
    <t>HR-5290/1</t>
  </si>
  <si>
    <t>Maintenance of the Infrastructure</t>
  </si>
  <si>
    <t>AIN/06 SR 1/2018: Upravitelj infrastrukture trebao bi uspostaviti procese odrÅ¾avanja kolosijeka namijenjenih za manevarski rad takve da se tijekom procesa kontrole stanja kolosijeka moÅ¾e utvrditi stvarno stanje kolosijeka Å¡to ukljuÄuje i nosivost kolosijeka i druge relevantne pokazatelje (poglavlje 4.2.2.).</t>
  </si>
  <si>
    <t>HR-5290/2</t>
  </si>
  <si>
    <t>AIN/06 SR 1/2018: The Infrastructure Manager should establish track maintenance processes of shunting yards, such that in track maintenance process can be determine actual track condition including track loads and other relevant indicators (Chapter 4.2.2).</t>
  </si>
  <si>
    <t>HR-5290/3</t>
  </si>
  <si>
    <t>Coordination between organisational units of IM</t>
  </si>
  <si>
    <t>AIN/06 SR 2/2018: Upravitelj infrastrukture trebao bi kroz redovne sastanke organizacijskih jedinica, koje se bave upravljanjem prometa i odrÅ¾avanjem infrastrukture, uskladiti tehnoloÅ¡ke procese tih jedinica koje utjeÄu na rad jedni drugih (poglavlja 4.2.2. i 4.2.3).</t>
  </si>
  <si>
    <t>HR-5290/4</t>
  </si>
  <si>
    <t>AIN/06 SR 2/2018: The Infrastructure Manager should, through regular meetings of organizational units dealing with traffic management and infrastructure maintenance, coordinate the technological processes of these units that affect each other's work (Chapters 4.2.2 and 4.2.3).</t>
  </si>
  <si>
    <t>HR-5324/1</t>
  </si>
  <si>
    <t>AIN/06 SR 3/2018</t>
  </si>
  <si>
    <t>AIN/06 SR 3/2018: Vlasnik vozila trebao bi dopuniti Plan Å¡kolovanja ukljuÄenih radnika na prijemu/otpremi vagona vezano uz pregled funkcionalnosti vrata na putniÄkim vagonima u prijemnim/otpremnim kolodvorima.</t>
  </si>
  <si>
    <t>HR-5324/2</t>
  </si>
  <si>
    <t>AIN/06 SR 3/2018: The owner of the vehicle should supplement the Training Plain NPV/PV workers related to the inspection of the door function on passenger wagons at the receiving / shipped stations</t>
  </si>
  <si>
    <t>HR-5686/1</t>
  </si>
  <si>
    <t>AIN/06 SR 1/2019</t>
  </si>
  <si>
    <t>AIN/06 SR 1/2019: Upravitelj infrastrukture trebao bi prilikom modernizacije signalno sigurnosnog ureÄ‘aja kolodvora Kutina TP ukinuti grupni izlazni signal oznake CT 6-9 i postaviti pojedinaÄne svjetlosne signale za vozne putove izlaza sa 6, 7, 8 i 9 kolosijeka.</t>
  </si>
  <si>
    <t>HR-5686/2</t>
  </si>
  <si>
    <t>AIN/06 SR 1/2019: The Infrastructure Manager should, when modernizing the Kutina TP Station, abolish the group output signal CT 6-9 and set the individual light signals for the 6, 7, 8 and 9 track</t>
  </si>
  <si>
    <t>HR-5686/3</t>
  </si>
  <si>
    <t>AIN/06 SR 2/2019</t>
  </si>
  <si>
    <t>AIN/06 SR 2/2019: UkljuÄeni prijevoznik trebao bi unutar Plana i programa redovitog pouÄavanja strojovoÄ‘a posvetiti veÄ‡u pozornost na sadrÅ¾aje vezane za poslovne specifiÄnosti u okviru tehnoloÅ¡kog procesa rada po pojedinim kolodvorima ili pruÅ¾nim dionicama.</t>
  </si>
  <si>
    <t>HR-5686/4</t>
  </si>
  <si>
    <t>AIN/06 SR 2/2019: The involved Railway undertaker should pay greater attention to the content related to business specifics within the technological process of operation at individual stations or railway sections within the Plan and the regular training program of the driver.</t>
  </si>
  <si>
    <t>REC-000614</t>
  </si>
  <si>
    <t>HR-5706/1</t>
  </si>
  <si>
    <t>AIN/06 SR 3/2019</t>
  </si>
  <si>
    <t>Å½eljezniÄki prijevoznik trebao bi u Okvirnom planu i programu pouÄavanja izvrÅ¡nih radnika posvetiti viÅ¡e pozornosti na radne postupke vezane uz postupak manevriranja sukladno Pravilniku o naÄinu i uvjetima za obavljanje sigurnog tijeka Å¾eljezniÄkog prometa</t>
  </si>
  <si>
    <t>HR-5706/2</t>
  </si>
  <si>
    <t>The Railway Undertaking should pay more attention to the workflows related to the coupling process in the Framework Plan and Executive Training Program, in accordance with the Rules on the Methods and Conditions for Performing the Safe Run of Rail Transport</t>
  </si>
  <si>
    <t>HR-5786/1</t>
  </si>
  <si>
    <t>AIN/06 SR 1/2020</t>
  </si>
  <si>
    <t>AIN/06 SR 1/2020 : Grad Pula trebao bi na Å½CP Vernalska dopuniti i obnoviti prometnu signalizaciju sukladno propisanom</t>
  </si>
  <si>
    <t>HR-5786/2</t>
  </si>
  <si>
    <t>AIN/06 SR 1/2020 : The City of Pula should supplement and renew the traffic signals at the LC Vernalska in accordance with the regulations</t>
  </si>
  <si>
    <t>REC-000488</t>
  </si>
  <si>
    <t>HR-5786/3</t>
  </si>
  <si>
    <t>AIN/06 SR 2/2020</t>
  </si>
  <si>
    <t>AIN/06 SR 2/2020 : Grad Pula trebao bi na Å½CP Vernalska van pruÅ¾nog pojasa provoditi redovni nadzor i odrÅ¾avanje vegetacije u cilju odrÅ¾avanja trokuta preglednosti</t>
  </si>
  <si>
    <t>HR-5786/4</t>
  </si>
  <si>
    <t>AIN/06 SR 2/2020 : The City of Pula should be at the level crossing Vernalska outside the railway area conduct regular monitoring and maintenance of vegetation in order to maintain visibility of the triangle</t>
  </si>
  <si>
    <t>REC-000489</t>
  </si>
  <si>
    <t>HR-5786/5</t>
  </si>
  <si>
    <t>AIN/06 SR 3/2020</t>
  </si>
  <si>
    <t>AIN/06 SR 3/2020 : Grad Pula treba pokrenuti potrebne radnje u svezi pristupne ceste izmeÄ‘u dijela kuÄ‡a oko DV MaslaÄak i Å½CP Å ijana, a u cilju ukidanja Å½CP Vernalska</t>
  </si>
  <si>
    <t>HR-5786/6</t>
  </si>
  <si>
    <t>AIN/06 SR 3/2020 : The City of Pula should initiate the procedure of resolving property legal relations regarding the access road between the part of the houses around DV MaslaÄak and LC Å ijana, with the aim of suspension LC Vernalska</t>
  </si>
  <si>
    <t>HR-5786/7</t>
  </si>
  <si>
    <t>AIN/06 SR 4/2020</t>
  </si>
  <si>
    <t>AIN/06 SR 4/2020 : Grad Vodnjan trebao bi na Å½CP Vernalska dopuniti i obnoviti prometnu signalizaciju sukladno propisanom</t>
  </si>
  <si>
    <t>HR-5786/8</t>
  </si>
  <si>
    <t>AIN/06 SR 4/2020 : The City of Vodnjan should supplement and renew the traffic signals at the LC Vernalska in accordance with the regulations</t>
  </si>
  <si>
    <t>HR-5786/9</t>
  </si>
  <si>
    <t>AIN/06 SR 5/2020</t>
  </si>
  <si>
    <t>AIN/06 SR 5/2020 : Grad Vodnjan trebao bi na Å½CP Vernalska van pruÅ¾nog pojasa provoditi redovni nadzor i odrÅ¾avanje vegetacije u cilju odrÅ¾avanja trokuta preglednosti</t>
  </si>
  <si>
    <t>HR-5786/10</t>
  </si>
  <si>
    <t>AIN/06 SR 5/2020 : The City of Vodnjan should be at the level crossing Vernalska outside the railway area conduct regular monitoring and maintenance of vegetation in order to maintain visibility of the triangle</t>
  </si>
  <si>
    <t>HR-5786/11</t>
  </si>
  <si>
    <t>AIN/06 SR 6/2020</t>
  </si>
  <si>
    <t>AIN/06 SR 6/2020 : Grad Vodnjan trebao bi na prilaznom kolniku Å½CP Vernalska poduzeti dodatne mjere u svezi odvodnje oborinskih voda i rasutog materijala sa kolnika</t>
  </si>
  <si>
    <t>HR-5786/12</t>
  </si>
  <si>
    <t>AIN/06 SR 6/2020 : The City of Vodnjan should take appropriate measures on the access road of the Vernalska Railway Station regarding the drainage of rainwater and bulk material from the road</t>
  </si>
  <si>
    <t>HR-5786/13</t>
  </si>
  <si>
    <t>AIN/06 SR 7/2020</t>
  </si>
  <si>
    <t>AIN/06 SR 7/2020 : Upravitelj infrastrukture treba ponovno zatraÅ¾iti od Grada Pula suglasnost za ukidanje Å½CP Vernalska u KM 118+861 na pruzi R101.</t>
  </si>
  <si>
    <t>HR-5786/14</t>
  </si>
  <si>
    <t>AIN/06 SR 7/2020 : The infrastructure manager should again request the consent of the City of Pula for the suspension of the Vernalska railway station in KM 118 + 861 on the R101 line.</t>
  </si>
  <si>
    <t>REC-000527</t>
  </si>
  <si>
    <t>HR-5799/1</t>
  </si>
  <si>
    <t>AIN/06 SR8/2020</t>
  </si>
  <si>
    <t>AIN/06 SR8/2020: U sluÄajevima kada su signalno sigurnosni ureÄ‘aji na prugama opremljenim APB-om u kvaru (smetnje, zauzeÄ‡a ili sl.), a nadleÅ¾na osoba ne moÅ¾e pouzdano utvrditi razlog kvara APB-a u meÄ‘ukolodvorskom razmaku, upravitelj infrastrukture trebao bi propisati da prvi vlak koji prometuje u tom meÄ‘ukolodvorskom razmaku vozi sa Vmax 30 km/h, a svi slijedeÄ‡i vlakovi sukladno propisanim odredbama mogu se kretati brzinom od Vmax 100 km/h u predmetnom meÄ‘ukolodvorskom razmaku.</t>
  </si>
  <si>
    <t>HR-5799/2</t>
  </si>
  <si>
    <t>AIN/06 SR8/2020: In cases when signal safety devices on lines equipped with APB are faulty (interference, occupancy, etc.) and the competent person cannot reliably determine the reason for failure of APB in the inter-station distance, the Infrastructure Manager should prescribe that the first train operating at that interstation distance runs at Vmax 30 km/h, and all subsequent trains in accordance with the prescribed provisions may run at a speed of Vmax 100 km/h at the inter-station distance in question.</t>
  </si>
  <si>
    <t>HR-5799/3</t>
  </si>
  <si>
    <t>AIN/06 SR9/2020</t>
  </si>
  <si>
    <t>DIV grupa d.o.o. prilikom izvoÄ‘enja radova na Å¾eljezniÄkim prugama, a naroÄito na onim prugama koje su inaÄe otvorene za redovan Å¾eljezniÄki promet, a za potrebe odrÅ¾avanja ili obnove zatvorene za redovan Å¾eljezniÄki promet, trebala bi detaljno razraditi postupke pri izvoÄ‘enju radova u Planovima izvoÄ‘enja radova te posebno naglasiti da nakon svakog zavrÅ¡etka radova i zatvora pruge istu treba pregledati kako bi se na dokazan naÄin uvjerili da su svi elementi pruge ispravni i da na pruzi nema ostataka materijala.</t>
  </si>
  <si>
    <t>HR-5799/4</t>
  </si>
  <si>
    <t>DIV group d.o.o. when performing works on railways, and especially on those lines that are otherwise open for regular railway traffic, and for the needs of maintenance or renovation closed for regular railway traffic, it should elaborate in detail the procedures for performing works in the Work Plans and especially emphasize that after each completion of works and closure of the line, it should be examinated in order to make sure that all elements of the line are accurately and that there are no material remains on the line.</t>
  </si>
  <si>
    <t>REC-000604</t>
  </si>
  <si>
    <t>HR-5979/1</t>
  </si>
  <si>
    <t>AIN/06 SR 10/2020</t>
  </si>
  <si>
    <t>AIN/06 SR 10/2020: The Infrastructure Manager should install an additional device for measuring wind speed in accordance with the changes in the environment from the north above the Å krljevo station.</t>
  </si>
  <si>
    <t>HR-5979/2</t>
  </si>
  <si>
    <t>AIN/06 SR 10/2020: Upravitelj infrastrukture trebao bi sukladno nastalim promjenama na okoliÅ¡u iz smjera sjevera iznad kolodvora Å krljevo ugraditi dodatni ureÄ‘aj za mjerenje brzine vjetra.</t>
  </si>
  <si>
    <t>REC-000605</t>
  </si>
  <si>
    <t>HR-5979/3</t>
  </si>
  <si>
    <t>AIN/06 SR 11/2020</t>
  </si>
  <si>
    <t>AIN/06 SR 11/2020: Upravitelj infrastrukture trebao bi dopuniti Uputu HÅ½-451, nakon Å¡to se provede dodatna analiza uvjeta za prijevoz praznih kontejnera tipa High Cube obzirom na bruto vrijednosti mase kontejnera.</t>
  </si>
  <si>
    <t>HR-5979/4</t>
  </si>
  <si>
    <t>AIN/06 SR 11/2020: The Infrastructure Manager should update Instruction HÅ½-451, after an additional analysis of the conditions for transport of empty containers of the High Cube type with regard to the gross values of containers mass.</t>
  </si>
  <si>
    <t>REC-000820</t>
  </si>
  <si>
    <t>HR-6106/1</t>
  </si>
  <si>
    <t>AIN/06 SR 12/2020</t>
  </si>
  <si>
    <t>Obzirom na niz Äimbenika koji su utjecali na nastanak predmetne nesreÄ‡e, Å¾eljezniÄki prijevoznici bi trebali u svoj sustav upravljanja sigurnoÅ¡Ä‡u uvesti obvezu, najmanje jednom godiÅ¡nje obvezni nadzor strojovoÄ‘a od strane ovlaÅ¡tene osobe, dok upravljaju vlakom na prugama otvorenim za redovan Å¾eljezniÄki promet.</t>
  </si>
  <si>
    <t>HR-6106/2</t>
  </si>
  <si>
    <t>According to a number of factors influencing the accident in question, railway undertakings should introduce in their safety management system at least once a year the compulsory supervision of train drivers by an authorized person while operating the train on lines open to regular rail traffic.</t>
  </si>
  <si>
    <t>HR-6009/1</t>
  </si>
  <si>
    <t>AIN/06 SR 13/2020</t>
  </si>
  <si>
    <t>The certified workshops for the maintenance of railway vehicles in the territory of the Republic of Croatia, in cases when installing axles older than forty years, should conduct ultrasonic testing of at least two persons qualified for the specified type of testing.</t>
  </si>
  <si>
    <t>HR-6226/1</t>
  </si>
  <si>
    <t>AIN/06-SR-1/2021</t>
  </si>
  <si>
    <t>Railway undertakings should pay more attention to the prescribed procedures for the departure and passage of trains at stations and intermediate stations during regular training of mechanical staff.</t>
  </si>
  <si>
    <t>HR-6109/1</t>
  </si>
  <si>
    <t>AIN/06-SR-2/2021</t>
  </si>
  <si>
    <t>During the next major reparation (VP) of locomotives of serie 1141 subserie 000, the railway undertaking should consider equipping them with an electrodynamic brake.</t>
  </si>
  <si>
    <t>HR-6133/1</t>
  </si>
  <si>
    <t>Given the frequency of incidents and accidents involving machine staff when traffic was regulated by traffic safety records, railway undertakings should pay more attention to the prescribed procedures for receiving and understanding regular training of machine staff content of traffic safety records.</t>
  </si>
  <si>
    <t>Train derailment, 03-12-19, Križevci (Croatia)</t>
  </si>
  <si>
    <t>HR-6311/1</t>
  </si>
  <si>
    <t>AIN/06-SR-03/2021</t>
  </si>
  <si>
    <t>The Infrastructure Manager should on the sections of railway lines where are installed signal safety devices for securing LCs type KŽCP-DK-EM manufactured by Končar KET (equipped with on-off system type MS2000), and on which it is reduced traffic intensity (oxidation is possible on the running part of the track), develop additional procedures regarding the reliability of device operation when trains operate through the mentioned LCs.</t>
  </si>
  <si>
    <t>AIN/06-SR-04/2021</t>
  </si>
  <si>
    <t>The Infrastructure Manager should apply the simplest solution to achieve control of lowering the barriers which are handled manually at all crossing points upon receipt of the pre-announcement train dispatch.</t>
  </si>
  <si>
    <t>BE-6236/1</t>
  </si>
  <si>
    <t>Additional finding #2; recommendation</t>
  </si>
  <si>
    <t>The Investigation Body recommends that bus companies ensure that bus drivers are made more aware of the dangers of level crossings and that their bus drivers are more familiar with the procedures for contacting the dispatching office.</t>
  </si>
  <si>
    <t>BG-10063/1</t>
  </si>
  <si>
    <t>Recommendation 1</t>
  </si>
  <si>
    <t>Recommendation 1 proposes to conduct an extraordinary briefing of the personnel related to the safety of the transport in “DB Cargo Bulgaria” EOOD and NRIC, to be acquainted with the content of the final report.</t>
  </si>
  <si>
    <t>BG-10063/2</t>
  </si>
  <si>
    <t>Recommendation 2</t>
  </si>
  <si>
    <t>Recommendation 2 proposes to NRIC to re-equip the platform scales in the operating points of wagons freighting for precise and accurate measurement of the loaded wagons both on axles and on wheels.</t>
  </si>
  <si>
    <t>BG-10063/3</t>
  </si>
  <si>
    <t>Recommendation 3</t>
  </si>
  <si>
    <t>Recommendation 3 proposes NRIC together with Voestalpine Railway Systems Bulgaria OOD to amend and supplement the “Manual for installation, operation and maintenance of a spring rocker arm with two arms”, to write down the parametric data for repair and maintenance in compliance with the norms for railway switches safe operation.</t>
  </si>
  <si>
    <t>BG-10063/4</t>
  </si>
  <si>
    <t>Recommendation 4</t>
  </si>
  <si>
    <t>Recommendation 4 proposes NRIC to allocate to the "Railroad and Railway Equipment" and "Signaling and Telecommunications" Units responsible for the maintenance of UIC 60 switches equipped with a 550-B turn out switch device , Spherolock locking system and spring rocker ram with two arms, the manipulations for the repair and maintenance of the electrical and mechanical part to be performed jointly according to their competencies.</t>
  </si>
  <si>
    <t>BG-10063/5</t>
  </si>
  <si>
    <t>Recommendation 5</t>
  </si>
  <si>
    <t>Recommendation 5 proposes, in order to improve the safety of the railway infrastructure, that NRIC should entrust the maintenance of certain stations equipped with UIC 60 switches to Voestalpine Railway Systems Bulgaria OOD, which should be responsible for their maintenance and technical condition in compliance with the norms for safe operation.</t>
  </si>
  <si>
    <t>BG-10063/6</t>
  </si>
  <si>
    <t>Recommendation 6</t>
  </si>
  <si>
    <t>Recommendation 6 proposes NRIC to update the Instruction for work with the rolling stock control system in the section Sofia - Plovdiv, in the part minimum speed for measuring and registering the parameters of passing rolling stock, in order to accurately and completely data registering.</t>
  </si>
  <si>
    <t>BG-10063/7</t>
  </si>
  <si>
    <t>Recommendation 7</t>
  </si>
  <si>
    <t>Recommendation 7 proposes to DB Cargo Bulgaria EOOD to conduct training of the locomotive personnel in an accredited institution for acquiring professional qualification for the respective series of locomotives in accordance with the requirements of Art. 18, item 6 of the Vocational Education and Training Act and Art. 44, para. 1, item 1 of Ordinance № 56 of 14.02.2003.</t>
  </si>
  <si>
    <t>BG-10064/1</t>
  </si>
  <si>
    <t>Recommendation 1 proposes that BDZ PS Ltd. revise the control scheme of the fans in the locomotive in order to exclude interference of the subjective factor (the locomotive driver), observing the requirements of the Regulations for depot repair and maintenance of electric locomotives of BDZ (LS 0103 / 01.01 .1979) - §13 and of the Regulations for factory repair of electric locomotives series 44.000 and 45.000 (PLS 127/05) -§13.</t>
  </si>
  <si>
    <t>BG-10064/2</t>
  </si>
  <si>
    <t>Recommendation 2 proposes that BDZ PS Ltd. limit the access for forced “impact” of an electronic relay for voltage control of the Y3 fans, by obligatory sealing and performing periodic scheduled control for serviceability and functionality.</t>
  </si>
  <si>
    <t>BG-10064/3</t>
  </si>
  <si>
    <t>Recommendation 3 proposes SE NRIC to inspect the facilities and devices for traction power supply, related to the detection and elimination of faults leading to low supply voltage in the catenary during the movement of trains in the section Zimnitsa - Aytos.</t>
  </si>
  <si>
    <t>BG-10068/1</t>
  </si>
  <si>
    <t>Recommendation 1 proposes “BDZ-Cargo” Ltd. to improve the technical service of the inter-bogie coupler of locomotive series 46000, respecting the technical documentation requirements for repair and maintenance.</t>
  </si>
  <si>
    <t>BG-10068/2</t>
  </si>
  <si>
    <t>Recommendation 2 proposes “BDZ-Cargo” Ltd. to perform the following technical operations during the planned repairs of locomotive series 46.000:
- Dismantling and measurement of the force-deformation characteristics to all the rubber-metal packs with subsequent setting (defining their optimal placement);
- Adjustment (balancing) the spring system of the locomotives, in order to level/equalize the vertical load on the wheels and reach „best adjustment condition“.</t>
  </si>
  <si>
    <t>BG-10068/3</t>
  </si>
  <si>
    <t>Recommendation 3 proposes „BDZ-Cargo” Ltd. to construct and implement an electronic stand/device for adjustment of the parameters and testing inter-bogie coupler of locomotive series 46000 with objective registration of the measured parameters and issuance of electronic protocol for the condition and adjustments.</t>
  </si>
  <si>
    <t>BG-10068/4</t>
  </si>
  <si>
    <t>Recommendation 4 proposes SE NRIC to arrange third track in Kostenets station as per the requirements of item 3.3.12.7 and item 3.36 for counter curves without cant without transitional curves, and without interim straight line of the Instruction for rail track and rail switches planning and maintenance.</t>
  </si>
  <si>
    <t>BG-10081/1</t>
  </si>
  <si>
    <t xml:space="preserve">Control of the commissions for carrying out the monthly and six-monthly audits </t>
  </si>
  <si>
    <t xml:space="preserve"> By recommendation 1 is proposed the SE NRIC to strengthen the control of the commissions for carrying out the monthly and six-monthly audits of the railway switches in the stations.</t>
  </si>
  <si>
    <t>BG-10081/2</t>
  </si>
  <si>
    <t>Bring switch № 11 in Stolnik station in accordance with the Technical requirements for the railway infrastructure</t>
  </si>
  <si>
    <t>By recommendation 2 is proposed the SE NRIC to bring switch № 11 in Stolnik station in accordance with the Technical requirements for the railway infrastructure (NRIC TSRI) and the Instruction for construction and maintenance of the railway track and switches, as no violation of art. 49, para. 6, item 2 of Ordinance № 58 / 2.08.2006 is permitted.</t>
  </si>
  <si>
    <t>BG-10081/3</t>
  </si>
  <si>
    <t>BDZ Cargo Ltd. to adjust the spring system of the locomotives</t>
  </si>
  <si>
    <t>By recommendation 3 is proposed BDZ Cargo Ltd. to adjust (balance) periodically the spring system of the locomotives, in order to equalize the vertical load in the wheels.</t>
  </si>
  <si>
    <t xml:space="preserve">1.  Acquaint the interested staff with the content of the report.          </t>
  </si>
  <si>
    <t>Recommendation 1 proposes that SE NRIC and BDZ-Cargo Ltd. acquaint the interested staff with the content of this report.</t>
  </si>
  <si>
    <t>Periodic trainings of SE NRIC technical staff.</t>
  </si>
  <si>
    <t>Recommendation 2 proposes SE NRIC to organize periodic trainings in order to refresh the knowledge of the technical staff, track and structures controller, head of section on track and structure maintenance/joint RRS, technical manager of RRS group and transport construction technician regarding the requirements of “Instructions for construction and maintenance of the track and switches”.</t>
  </si>
  <si>
    <t>BDZ Cargo Ltd. to control loading process when transporting bulk cargo.</t>
  </si>
  <si>
    <t>Recommendation 3 proposes that BDZ-Cargo Ltd. controls the process of loading the wagons when transporting bulk cargo.</t>
  </si>
  <si>
    <t>Acquainting the interested staff of the railway undertaking and railway infrastructure manager with the SR</t>
  </si>
  <si>
    <t xml:space="preserve"> Recommendation 1 proposes that SE NRIC and BRC EAD acquaint the interested staff with the content of the report.</t>
  </si>
  <si>
    <t>SE NRIC compliance with the requirements set out in Art. 89 of Ordinance № 59</t>
  </si>
  <si>
    <t>Recommendation 2 proposes SE NRIC to comply with the requirements set out in Art. 89 of Ordinance № 59 on the activities related to the reconstruction of the railway infrastructure.</t>
  </si>
  <si>
    <t xml:space="preserve">SE NRIC higher control during and until the completion of the repairs of the railway infrastructure </t>
  </si>
  <si>
    <t>Recommendation 3 proposes that SE NRIC increases the control during and until the completion of the repairs of the railway infrastructure by assignment (with an external contractor) and in an economic way and the inspection “Transport safety” (including the regional inspections) to carry out inspections on the spot for observance of the norms for bringing the parameters of the rail track in compliance with the norms.</t>
  </si>
  <si>
    <t xml:space="preserve">SE NRIC development and approval of uniform technologies for repair and maintenance of the rail track </t>
  </si>
  <si>
    <t>Recommendation 4 proposes SE NRIC to develop and approve uniform technologies for repair and maintenance of the rail track regarding the types of performed repair activities</t>
  </si>
  <si>
    <t xml:space="preserve">Two failures of the inner protective lining from a tank car Zacns serie N-310-02 - dangerous goods release </t>
  </si>
  <si>
    <t xml:space="preserve"> The preliminary results of the investigations lead to the conclusion that the protective lining of the Zacns tank cars of the N-310-02 series does not always provide the necessary protection against contact of the dangerous goods with the steel tank and that consequently the steel tank can be breached by corrosive processes.
A dangerous goods leak from a tank car represents a significant risk to staff, passengers, the public and the environment.
In accordance with Article 26 (2) of Directive (EU) 2016/798 of the European Parliament and of the Council of 11 May 2016 on railway safety, the NIB-CH recommends that the NSA-CH forward the following safety recommendation to the supervisory authority of the Member State where the wagons are registered (NSA-NL) and to the supervisory authority of a Member State where the responsible ECM is based (NSA-FR).
NIB-CH recommends that all Zacns tank car of the N-310-02 series with the HAW-H94 protective lining be taken out of service and that the protective lining be inspected by an independent body. 
At the same time and taking into account the results of the inspection, NIB-CH recommends clarifying whether other tank-car with comparable protective linings could be affected and taking appropriate measures
</t>
  </si>
  <si>
    <t>AIN/06-SR-05/2021</t>
  </si>
  <si>
    <t>The Railway Undertaking (TH) should review and update its safety management system, i.e. the part related to the Instructions for train drivers, and specify procedure for properly securing the train from self-starting by introducing brake handle position specifications, in order to 
eliminate the negative and frequent impact of the human error factor.</t>
  </si>
  <si>
    <t>NIB Croatia</t>
  </si>
  <si>
    <t>AIN/06-SR-06/2021</t>
  </si>
  <si>
    <t>The Railway Undertaking (TH) should assess the risks posed by the danger of "improper train insurance", especially for machinery personnel who have recently passed the training test, and eliminate it by adopting additional measures to reduce the risk of human error.</t>
  </si>
  <si>
    <t>CZ-6306/1</t>
  </si>
  <si>
    <t>Addressed to the Czech National Safety Authority (the NSA):                                               • in cooperation with the relevant IMs and the Ministry of Transport, we recommend that the NSA focus systematically, comprehensively and according to a binding and feasible plan on the issue of the level crossings, which are secured only by the warning crosses and at the same time the line speed on them is greater than 60 kph, and increase safety on them – cancel or replace them with the level crossings intended exclusively for walking, secure them with a flashing light level crossing warning system with barriers, etc., and regularly monitor and subsequently evaluate how this plan is being implemented and take the necessary related measures in connection with the results of evaluation.</t>
  </si>
  <si>
    <t>CZ-6306/2</t>
  </si>
  <si>
    <t>Addressed to the Czech Ministry of Transport in cooperation with the NSA:
• to initiate a change and amendment of the "joint inspections of the level crossings" into the Act No. 266/1994 Coll., Decree No. 177/1995 Coll. and into other relevant legislation in the field of roads. Safety of the level crossing would be comprehensively evaluated in accordance with the clearly defined criteria, in terms of railway and road transport during the joint inspection of the level crossing at least with the participation of the IM and the owner (or an administrator) of the road (if appropriate with the participation of a representative of the Police of the Czech Republic);
• to establish an obligation for this type of inspections so that the data obtained on The level crossing and the road will be detected, recorded, compared and confirmed, it would be responded to them and the results would be taken into account and the appropriate measures would be adopted, including control of their fulfillment, and the documentation would be kept so that it could be used for
follow-up activities in the future;
• to initiate and amend legislation to enable the IM or owners of the adjacent roads to use a road safety audit during the inspections of the level crossings. During the road safety audit, a comprehensive check focused on assessment of construction, technical and operational characteristics of the road and their impact on safety of road and railway transport would be executed. The amended legislation should ensure that the results will be taken into account and that appropriate measures will be adopted, including monitoring of their implementation.</t>
  </si>
  <si>
    <t>CZ-6306/3</t>
  </si>
  <si>
    <t>Addressed to the NSA in cooperation with the Municipal Authority of Kostelec nad Orlicí as
road administrative authority in case of the second and third class roads and tertiary roads
in the administrative area of the municipality with the extended powers Kostelec nad Orlicí:      
• in cooperation with the IM (Správa železnic, státní organizace) and the Municipal Authority of Borohrádek, to ensure safety of road and railway transport at the level crossing No. P4875, with the regard to the issue of the proximity of the road No.III/3172 and the level crossing, with the regard to the location of the road sign B 11 „Motor vehicles prohibited” behind the level crossing at the border of the adjacent forest and with the regard to the problems with the sighting distance for the slowest road vehicle Lp at this level crossing.</t>
  </si>
  <si>
    <t>DK-2017 R 4 af 24.10.2017</t>
  </si>
  <si>
    <t>Havarikommissionen anbefaler, at DSB sikrer, at praktikplaner for omskoling af lokomotivførere indeholder kørselssituationer med ”uregelmæssigheder”, der kan forekomme i daglig drift i et omfang, der sikrer, at lokomotivføreren bliver fortrolig med disse situationer. Det skal endvidere sikres, at alle kørselssituationer i praktikplanen gennemføres og vurderes af kørelærerne som grundlag for lokomotivførerens videre godkendelse.</t>
  </si>
  <si>
    <t>DK-2018 R 1 31.01.2018</t>
  </si>
  <si>
    <t>Lokaltog sikrer at gældende regler for montering af låsebolte og eftersyn af sporskifter sikret med
låsebolte er opdaterede og kendt af alle berørte medarbejdere.</t>
  </si>
  <si>
    <t>DK-2018 R 2 31.01.2018</t>
  </si>
  <si>
    <t>Lokaltog ved brug af f.eks. Banedanmarks sikkerhedsrelaterede konstruktioner sikrer modtagelse af
information om ændrede sikkerhedsmæssige normer, anvendelsesbetingelser mv.</t>
  </si>
  <si>
    <t>DK-2018 R 6 af 13.11.2018</t>
  </si>
  <si>
    <t>Banedanmark fører tilsyn med - især kortvarige - porspærringer med henblik på at tilse at sikkerhedsbestemmelserne overholdes af såvel SR-arbejdsledere som stationsbestyrere, vagthavende og trafikal(e) driftsansvarlige - herunder sikrer, at hensynet til toggang og prioritering af entreprenørernes arbejde på intet tidspunkt medfører at sikkerhedsbestemmelser tilsidesættes.</t>
  </si>
  <si>
    <t>DK-2018 R 7 af 13.11.2018</t>
  </si>
  <si>
    <t>Banedanmark bør vurdere hvorvidt bestemmelserne i SR om anvendelse af kortvarige sporspærringer i forlængelse af ovenstående skal ændres, således at Banedanmark sikrer at kortvarige sporspærringer ikke må anvendes, når sporet bliver ufarbart, f.eks. når gravemaskiner – også kortvarigt – skal
ind i sporet. Desuden bør Banedanmark sikre at reglerne for kortvarige sporspærringer – i overensstemmelse med SSB 30/2017, 07/2018 og senest SSB 26/2018 ikke kan anvendes i spor uden sporisolation (SR bilag 8), uden etablering af supplerende barrierer (til erstatning for anvendelse af kortslutningsstrop).</t>
  </si>
  <si>
    <t>DK-2021 R 1 af d. 28-4-2021</t>
  </si>
  <si>
    <t>Anbefaling 1
Sikkerhedskritisk viden om ballastsilovognenes håndtering, som var beskrevet i
entreprenørens betjeningsvejledning, blev ikke videregivet til det personale som skulle
udfærdige og godkende jernbanesikkerhedsplanen.
DK-2021 R 1 af d. 28-4-2021
Havarikommissionen anbefaler at Trafikstyrelsen sikrer, at Banedanmark ved
infrastrukturarbejder både i planlægnings-, godkendelses- og udførelsesfaserne tager højde
for materiellets kendte risici.</t>
  </si>
  <si>
    <t>DK-2021 R 2 af d. 28-4-2021</t>
  </si>
  <si>
    <t>Anbefaling 2
Forskellig opfattelse af beskrivelsen af sikkerhedsmæssige forhold, herunder især
rammerne for anvendelse af ”arbejdsbevægelse i spor”, har givet anledning til
misforståelser eller til utilsigtet tilsidesættelse af sikkerhedsbestemmelserne.
DK-2021 R 2 af d. 28-4-2021
Havarikommissionen anbefaler at Trafikstyrelsen sikrer, at Banedanmark over for relevante
medarbejdergrupper (herunder entreprenører) sikrer, at der ved beskrivelse af de
sikkerhedsmæssige forhold ikke levnes rum til fortolkning</t>
  </si>
  <si>
    <t>DK-2021 R 3 af d. 01-10-2021</t>
  </si>
  <si>
    <t xml:space="preserve">
Idet fremkørslen og anvendelsen af maskiner – lifte – i stedet for stillads var ikke omfattet af jernbanesikkerhedsplanen, og fremkørslen skete inden sporet var spærret, blev jernbanesikkerheden udsat for fare.
Havarikommissionen anbefaler, at Trafikstyrelsen sikrer, at Banedanmark indfører procedurer, der dels sikrer at jernbanesikkerhedsplanen løbende revurderes med involverede parter og opdateres i forhold til ændringer i forhold til de aktuelle arbejder, f.eks. ved byggemøder, og at Banedanmark fører effektive tilsyn både med at Jernbanesikkerhedsplanen er
dækkende og at den følges. Såfremt placering af materiel til og fra arbejde i sporspærring kan påvirke jernbanesikkerheden, bør det sikres, at der træffes de fornødne sikkerhedsforanstaltninger.</t>
  </si>
  <si>
    <t>IE-6291/1</t>
  </si>
  <si>
    <t>202103-01</t>
  </si>
  <si>
    <r>
      <t xml:space="preserve">CoF-01 – The functions of Mid-Section CCTV Crossing allow for LCCOs to take alternative actions, to those prescribed in the Athlone &amp; Mallow Level Crossing Control Centre Instructions, in that they can operate the “Signal Controls” to cancel and request the level crossing’s protecting signals instead of pressing the “Emergency Alert” button
</t>
    </r>
    <r>
      <rPr>
        <b/>
        <i/>
        <sz val="11"/>
        <color theme="1"/>
        <rFont val="Calibri"/>
        <family val="2"/>
        <scheme val="minor"/>
      </rPr>
      <t>Recommendation text:</t>
    </r>
    <r>
      <rPr>
        <sz val="11"/>
        <color theme="1"/>
        <rFont val="Calibri"/>
        <family val="2"/>
        <scheme val="minor"/>
      </rPr>
      <t xml:space="preserve">
Iarnród Éireann – Infrastructure Manager (IÉ-IM) Signalling, Electrical and Telecommunications (SET) should, using a risk-based approach, consider the suitability of the “Signal Controls” functions for Mid-Section CCTV Crossings; should they be deemed to have an unacceptable level of risk, they should be removed from the LCCO’s console.</t>
    </r>
  </si>
  <si>
    <t>NIB Ireland -Railway Accident Investigation Unit (RAIU)</t>
  </si>
  <si>
    <t>IE-6291/2</t>
  </si>
  <si>
    <t>202103-02</t>
  </si>
  <si>
    <r>
      <t xml:space="preserve">CoF-01 – The functions of Mid-Section CCTV Crossing allow for LCCOs to take alternative actions, to those prescribed in the Athlone &amp; Mallow Level Crossing Control Centre Instructions, in that they can operate the “Signal Controls” to cancel and request the level crossing’s protecting signals instead of pressing the “Emergency Alert” button
</t>
    </r>
    <r>
      <rPr>
        <b/>
        <i/>
        <sz val="11"/>
        <color theme="1"/>
        <rFont val="Calibri"/>
        <family val="2"/>
        <scheme val="minor"/>
      </rPr>
      <t>Recommendation text:</t>
    </r>
    <r>
      <rPr>
        <sz val="11"/>
        <color theme="1"/>
        <rFont val="Calibri"/>
        <family val="2"/>
        <scheme val="minor"/>
      </rPr>
      <t xml:space="preserve">
IÉ-IM SET should, consider introducing a time delay between the “Crossing Clear” buttons to prevent the LCCO pressing the second Crossing Clear button until the first Crossing Clear button times out. This time can be spent checking the confines of the level crossing for vehicles, pedestrians, or other obstructions.</t>
    </r>
  </si>
  <si>
    <t>IE-6291/3</t>
  </si>
  <si>
    <t>202103-03</t>
  </si>
  <si>
    <r>
      <t xml:space="preserve">The MOP did not clear the confines of the level crossing when the warning lights and bell activated to indicated that the barriers were about to lower for an approaching train
</t>
    </r>
    <r>
      <rPr>
        <b/>
        <i/>
        <sz val="11"/>
        <color theme="1"/>
        <rFont val="Calibri"/>
        <family val="2"/>
        <scheme val="minor"/>
      </rPr>
      <t>Recommendation text:</t>
    </r>
    <r>
      <rPr>
        <sz val="11"/>
        <color theme="1"/>
        <rFont val="Calibri"/>
        <family val="2"/>
        <scheme val="minor"/>
      </rPr>
      <t xml:space="preserve">
IÉ-IM Chief Civil Engineer (CCE) should examine the feasibility of installing signage inside the barriers of CCTV level crossings warning MOPs what actions to take in the event of becoming trapped</t>
    </r>
  </si>
  <si>
    <t>IE-6291/4</t>
  </si>
  <si>
    <t>202103-04</t>
  </si>
  <si>
    <r>
      <t xml:space="preserve">CaF-02 – LCCO1 did not see the MOP prior to pressing the “Crossing Clear” buttons
</t>
    </r>
    <r>
      <rPr>
        <b/>
        <i/>
        <sz val="11"/>
        <color theme="1"/>
        <rFont val="Calibri"/>
        <family val="2"/>
        <scheme val="minor"/>
      </rPr>
      <t>Recommendation text:</t>
    </r>
    <r>
      <rPr>
        <sz val="11"/>
        <color theme="1"/>
        <rFont val="Calibri"/>
        <family val="2"/>
        <scheme val="minor"/>
      </rPr>
      <t xml:space="preserve">
IÉ-IM should develop a means to make MOPs more visible should they become trapped inside level crossing barriers and position themselves adjacent to level crossing furniture or other infrastructure; where this cannot be achieved consideration should be given to examining possible initiatives or technologies that could be introduced to provide aid and assistance to LCCOs in identifying persons/obstacles that maybe trapped within the confines of a level crossing</t>
    </r>
  </si>
  <si>
    <t>IE-6291/5</t>
  </si>
  <si>
    <t>202103-05</t>
  </si>
  <si>
    <r>
      <t xml:space="preserve">The MOP did not clear the confines of the level crossing when the warning lights and bell activated to indicated that the barriers were about to lower for an approaching train.
</t>
    </r>
    <r>
      <rPr>
        <b/>
        <i/>
        <sz val="11"/>
        <color theme="1"/>
        <rFont val="Calibri"/>
        <family val="2"/>
        <scheme val="minor"/>
      </rPr>
      <t>Recommendation text:</t>
    </r>
    <r>
      <rPr>
        <sz val="11"/>
        <color theme="1"/>
        <rFont val="Calibri"/>
        <family val="2"/>
        <scheme val="minor"/>
      </rPr>
      <t xml:space="preserve">
IÉ-IM should introduce measures to deter pedestrians from using unauthorised routes onto CCTV Level Crossings</t>
    </r>
  </si>
  <si>
    <t>IE-6291/6</t>
  </si>
  <si>
    <t>202103-06</t>
  </si>
  <si>
    <r>
      <t xml:space="preserve">The MOP did not clear the confines of the level crossing when the warning lights and bell activated to indicated that the barriers were about to lower for an approaching train.
</t>
    </r>
    <r>
      <rPr>
        <b/>
        <i/>
        <sz val="11"/>
        <color theme="1"/>
        <rFont val="Calibri"/>
        <family val="2"/>
        <scheme val="minor"/>
      </rPr>
      <t>Recommendation text:</t>
    </r>
    <r>
      <rPr>
        <sz val="11"/>
        <color theme="1"/>
        <rFont val="Calibri"/>
        <family val="2"/>
        <scheme val="minor"/>
      </rPr>
      <t xml:space="preserve">
IÉ-IM should conduct a focussed review on the instances of MOP entrapment at Sydney Parade (LC XR004) and Serpentine Avenue (LC XR002) with a view of identifying any actions that can be taken to prevent the re-occurrence of MOP entrapments.</t>
    </r>
  </si>
  <si>
    <t>RO-6290/1</t>
  </si>
  <si>
    <t>no.1</t>
  </si>
  <si>
    <t>The investigation commission concludes that the accident happened in the conditions of the factors identified, that led to the train running with a drag shoe at the wheel, provided that the staff of the infrastructure administrator and of the railway undertaking did not meet with its duties, duties established in the practice codes and in the job descriptions, the reference documents not being updated or missing. It generated the non-removal of a drag shoe from the wheel (first right wheel in the running direction of the wagon no. 24874363779-0), when the train started to run, leading to the wagon derailment.                                                                                  Considering the nonconformities found during this accident investigation, for the prevention of some accidents with similar causes, the investigation commission considers necessary to issue some   safety recommendations:                                                                    1.    Romanian Railway Safety Authority – ASFR shall make sure that CNCF „CFR” SA, like infrastructure administrator, will take the measures necessary so, the changes of working routines disposed for ensuring the health safety, following the pandemic Covid-19, not affect the activity process, especially in the subunits directly involved in the operation activity.</t>
  </si>
  <si>
    <t>RO-6290/2</t>
  </si>
  <si>
    <t>no.2</t>
  </si>
  <si>
    <t xml:space="preserve">The investigation commission concludes that the accident happened in the conditions of the factors identified, that led to the train running with a drag shoe at the wheel, provided that the staff of the infrastructure administrator and of the railway undertaking did not meet with its duties, duties established in the practice codes and in the job descriptions, the reference documents not being updated or missing. It generated the non-removal of a drag shoe from the wheel (first right wheel in the running direction of the wagon no. 24874363779-0), when the train started to run, leading to the wagon derailment.                                                                                  Considering the nonconformities found during this accident investigation, for the prevention of some accidents with similar causes, the investigation commission considers necessary to issue some   safety recommendations:                                                                    2. Romanian Railway Safety Authority – ASFR shall make sure that DBCR, like railway undertaking, will make an analysis of the risk associated to the danger of not carrying the duties by the own staff, provided that 3 employees of the company did not simultaneously meet with their duties. </t>
  </si>
  <si>
    <t>UK-972/1</t>
  </si>
  <si>
    <t>Network Rail should use the circumstances of this accident to remind authorised users who are also b</t>
  </si>
  <si>
    <t>Network Rail should use the circumstances of this accident to remind authorised users who are also businesses of their responsibilities to brief staff and contractors on the safe use of user worked crossings (paragraph 194b).</t>
  </si>
  <si>
    <t>UK-972/2</t>
  </si>
  <si>
    <t>Network Rail should consider ways of managing the risk at user worked crossings equipped with teleph</t>
  </si>
  <si>
    <t>Network Rail should consider ways of managing the risk at user worked crossings equipped with telephones where long waiting times can arise as a result of the signaller having no means of knowing where trains are located, and implement any reasonably practicable measures identified (paragraph 195a).</t>
  </si>
  <si>
    <t>UK-972/3</t>
  </si>
  <si>
    <t>Network Rail should review the relevant procedures in its Operations Manual and make, as a minimum,</t>
  </si>
  <si>
    <t>Network Rail should review the relevant procedures in its Operations Manual and make, as a minimum, the following requirements explicit: a. correspondence should be sent to all authorised users when trigger risk assessments are to be undertaken inviting them to participate, as well as when routine risk assessments are planned; b. engagement with authorised users should be sought as part of the response to near-miss incidents; c. reference to information held within the controlling signal box such as requests to use the crossing and the occurrence book should be a mandatory element of data gathering for all risk assessments; and d. where businesses are authorised users and have a facility in close proximity to the crossing, independent sources (such as site logs) should be sought and used, where possible, to obtain intelligence on crossing usage for all risk assessments (paragraph 195b and 195c).</t>
  </si>
  <si>
    <t>UK-972/4</t>
  </si>
  <si>
    <t>Taking account of the accident on 17 August 2010 and intelligence in this report about the extent of</t>
  </si>
  <si>
    <t>Taking account of the accident on 17 August 2010 and intelligence in this report about the extent of misuse at the crossing, Network Rail should, in conjunction with Anglian Water, make a thorough and realistic assessment of the risk at Sewage Works Lane UWC, making allowance for local factors at the crossing that influence the risk to users, with a view to identifying and implementing measures to reduce the risk to all users at the crossing. This assessment must include consideration of options to manage the risk of misuse arising from long waiting times for road users (paragraphs 195e and 195f).</t>
  </si>
  <si>
    <t>UK-972/5</t>
  </si>
  <si>
    <t>Network Rail should review its level crossing management processes to establish the costs and benefi</t>
  </si>
  <si>
    <t>Network Rail should review its level crossing management processes to establish the costs and benefits of making data gathering, processing and risk assessment of a level crossing the responsibility of a single person or a dedicated team with a comprehensive understanding of the operating environment at that crossing, and make changes to those processes as appropriate in the light of the outcome from the review (paragraphs 195e, 195f and 195g).</t>
  </si>
  <si>
    <t>UK-972/6</t>
  </si>
  <si>
    <t>Owners of class 156 units should assess whether or not there is a case for improving the crashworthi</t>
  </si>
  <si>
    <t>Owners of class 156 units should assess whether or not there is a case for improving the crashworthiness performance of the tables on Class 156 units and implement any measures found to be reasonably practicable. When undertaking this assessment, the owners should seek the co-operation of operators of Class 156 units (paragraph 196).</t>
  </si>
  <si>
    <t>UK-970/1</t>
  </si>
  <si>
    <t>LUL should, with assistance from Tube Lines, review and, where necessary, amend processes and practi</t>
  </si>
  <si>
    <t>LUL should, with assistance from Tube Lines, review and, where necessary, amend processes and practices so that adequate design, checking, approval and testing is provided for new and modified engineering trains and rail mounted plant. The processes and practices should include specifying and allocating sufficient staff with appropriate qualifications, defining the individual responsibilities and providing effective coordination between them (paragraphs 216b, 216d, 216e, 216f, 220a and 220b).</t>
  </si>
  <si>
    <t>UK-970/2</t>
  </si>
  <si>
    <t>In respect of engineering trains and rail mounted plant supplied by (or through) TransPlant: LUL sho</t>
  </si>
  <si>
    <t>In respect of engineering trains and rail mounted plant supplied by (or through) TransPlant: LUL should, with assistance from Tube Lines, review all existing approvals to determine whether the inputs to the approval process were sufficient to give reasonable assurance that adequate safety standards are met by safety critical equipment, operating procedures and documentation. If inputs were insufficient to give this assurance, LUL, with assistance from Tube Lines, should introduce a time-bound process to implement the measures needed to comply with appropriate safety standards (paragraphs 216b, 216d, 216e, 216f, 220a and 220b).</t>
  </si>
  <si>
    <t>UK-970/3</t>
  </si>
  <si>
    <t>LUL should, with assistance from Tube Lines, review and, where necessary, amend the processes and pr</t>
  </si>
  <si>
    <t>LUL should, with assistance from Tube Lines, review and, where necessary, amend the processes and practices used to investigate allegedly defective equipment. This review should cover the specification and implementation of adequate testing and the assessment of both defects and test results (paragraph 217).</t>
  </si>
  <si>
    <t>UK-970/4</t>
  </si>
  <si>
    <t>LUL should, with assistance from Tube Lines, review and clarify the responsibilities of all staff wh</t>
  </si>
  <si>
    <t>LUL should, with assistance from Tube Lines, review and clarify the responsibilities of all staff who may be involved in the recovery of engineering trains and rail mounted plant. Where necessary, processes should be implemented to provide these staff with appropriate instructions, training and practice. This training process should include appropriate actions to be taken if problems, or possible improvements, are identified during training (paragraphs 216c, 218, 219 and 220c).</t>
  </si>
  <si>
    <t>UK-970/5</t>
  </si>
  <si>
    <t>LUL should, with assistance from Tube Lines, provide guidance and instructions to ensure a safe syst</t>
  </si>
  <si>
    <t>LUL should, with assistance from Tube Lines, provide guidance and instructions to ensure a safe system of work to recover vehicles with defective or ineffective braking (paragraphs 216a, 216b and 220a).</t>
  </si>
  <si>
    <t>UK-970/6</t>
  </si>
  <si>
    <t>LUL should audit Tube Linesâ€™ supplier quality assurance system, as applied to TransPlantâ€™s suppliers</t>
  </si>
  <si>
    <t>LUL should audit Tube Linesâ€™ supplier quality assurance system, as applied to TransPlantâ€™s suppliers, with particular emphasis on ensuring that responsibilities for design, checking and approval are clearly defined and then allocated only to people and organisations which have been verified as having the necessary competencies. LUL should close out this audit after ensuring that Tube Lines have undertaken any necessary corrective actions (paragraph 221).</t>
  </si>
  <si>
    <t>UK-970/7</t>
  </si>
  <si>
    <t>LUL should review the level of assurance provided by LULâ€™s audit regime for the design elements of s</t>
  </si>
  <si>
    <t>LUL should review the level of assurance provided by LULâ€™s audit regime for the design elements of safety critical services provided to LUL, by Tube Lines and its suppliers. If the existing audit regime does not provide an adequate level of assurance, LUL should introduce a time-bound process to implement the measures needed to achieve an adequate level of assurance (paragraph 221).</t>
  </si>
  <si>
    <t>UK-968/1</t>
  </si>
  <si>
    <t>Network Rail should review and enhance its processes for gathering intelligence about neighbouring l</t>
  </si>
  <si>
    <t>Network Rail should review and enhance its processes for gathering intelligence about neighbouring land where there may be a higher risk of tree fall affecting the railway. This might be achieved by modifying the remit for the national tree survey, before this is repeated, and/or by providing suitable guidance to local off-track teams (paragraph 95).</t>
  </si>
  <si>
    <t>UK-968/2</t>
  </si>
  <si>
    <t>Network Rail should develop and implement a plan, or adapt and enhance existing plans, to communicat</t>
  </si>
  <si>
    <t>Network Rail should develop and implement a plan, or adapt and enhance existing plans, to communicate with those of its neighbours whose land is considered to present a high risk of tree fall affecting the railway. The objective should be to inform them about their responsibilities and the threat their trees may present to the railway (paragraph 94).</t>
  </si>
  <si>
    <t>UK-968/3</t>
  </si>
  <si>
    <t>Network Rail should brief its signallers about the importance of reaching a clear understanding abou</t>
  </si>
  <si>
    <t>Network Rail should brief its signallers about the importance of reaching a clear understanding about the location of the incident/accident when taking any safety-critical call. Such understanding should make reference to signal numbers and/or mileposts unless it is impractical for this information to be provided (paragraph 96a).</t>
  </si>
  <si>
    <t>UK-968/4</t>
  </si>
  <si>
    <t>First Great Western should review its policy for the use of mobile telephones to take account of Rai</t>
  </si>
  <si>
    <t>First Great Western should review its policy for the use of mobile telephones to take account of Rail Industry Standard on the Use of Mobile Telephonic Equipment in Driving Cabs, RIS-3776-TOM. This review should include consideration of how to make current emergency contact numbers available to traincrew (paragraph 96b).</t>
  </si>
  <si>
    <t>UK-960/1</t>
  </si>
  <si>
    <t>Liebherr-Great Britain Ltd should undertake modifications to the type 1033, and similar RRVs (those</t>
  </si>
  <si>
    <t>Liebherr-Great Britain Ltd should undertake modifications to the type 1033, and similar RRVs (those RRVs with this type of interlocking design), to avoid the scenario where a machine that is in a free-wheel state is prevented from raising or lowering either rail axle. This should be achieved without the need for the machine operator to override the interlock function (paragraphs 204a, 204c).</t>
  </si>
  <si>
    <t>UK-960/2</t>
  </si>
  <si>
    <t>Liebherr-Great Britain Ltd should undertake a review of the design of the human-machine interface on</t>
  </si>
  <si>
    <t>Liebherr-Great Britain Ltd should undertake a review of the design of the human-machine interface on the type 1033, with particular reference to: ergonomics/labelling of buttons; and counter-intuitive operating procedures and specific operation of the HA and VA controls in the RRV machine cab; and implement the findings of this review on existing machines, and amend its procedures to require an ergonomic assessment to be included in the design process (paragraph 205a).</t>
  </si>
  <si>
    <t>UK-960/3</t>
  </si>
  <si>
    <t>Network Rail should undertake a review of the safety requirements that it specifies for RRVs, with t</t>
  </si>
  <si>
    <t>Network Rail should undertake a review of the safety requirements that it specifies for RRVs, with the objective of determining an appropriate safety integrity level (SIL) for any safety functions that are required within the control systems of the machine, and implementing verification and approval arrangements that are appropriate for this SIL. This should, among other things, provide assurance that potential failure modes of interlocks, and similar safety systems, have been identified and suitably mitigated (with reference to actions taken following the RAIBâ€™s RRV Class Investigation recommendations 1 &amp; 2) (paragraph 206).</t>
  </si>
  <si>
    <t>UK-960/4</t>
  </si>
  <si>
    <t>Network Rail should undertake a review of the role of the machine controller for all types of RRV du</t>
  </si>
  <si>
    <t>Network Rail should undertake a review of the role of the machine controller for all types of RRV during on and off-tracking, with particular emphasis on whether it is necessary for the controller to advise the machine operator on whether the rail wheels of the RRV are fully deployed (with reference to the RAIBâ€™s RRV Class Investigation recommendation 2). This review should take into account the potential for operator error and/or the malfunction of the machine (paragraph 205).</t>
  </si>
  <si>
    <t>UK-933/1</t>
  </si>
  <si>
    <t>Train operators should, for locations where hazards exist immediately beyond a level crossing such a</t>
  </si>
  <si>
    <t>Train operators should, for locations where hazards exist immediately beyond a level crossing such as high risk signals, bay platforms or stations with permissive working, highlight within their route risk assessments and route learning and briefing material the possibility of drivers encountering unexpected low adhesion conditions at that crossing and the risk arising from wheel slide (paragraph 79b).</t>
  </si>
  <si>
    <t>UK-929/1</t>
  </si>
  <si>
    <t>In respect of earthworks in Scotland, Network Rail should review its existing arrangements for the c</t>
  </si>
  <si>
    <t>In respect of earthworks in Scotland, Network Rail should review its existing arrangements for the clearance of vegetation to enable examinations and evaluations of earthworks to be carried out. If this review indicates that the current arrangements do not enable a sufficient understanding of their condition of earthworks to be obtained, and if there is no alternative means of assessing the risks associated with such slopes, Network Rail should define the extent of vegetation clearance that is required to enable examinations and evaluations to be carried out, and then implement a strategy for achieving it (paragraph 137a).</t>
  </si>
  <si>
    <t>UK-929/2</t>
  </si>
  <si>
    <t>In respect of all cuttings equal to, or greater than, three metres high through mixed ground of soil</t>
  </si>
  <si>
    <t>In respect of all cuttings equal to, or greater than, three metres high through mixed ground of soil and rock, Network Rail should implement arrangements so that (paragraphs 137b and 139b): in accordance with NR/L3/CIV/065, examination results are reported for both the soil and rock materials; and both the soil slope hazard index and the rock slope hazard index are reported.</t>
  </si>
  <si>
    <t>UK-929/3</t>
  </si>
  <si>
    <t>Network Rail should amend its earthworks management system so that (paragraphs 137g and 139c): earth</t>
  </si>
  <si>
    <t>Network Rail should amend its earthworks management system so that (paragraphs 137g and 139c): earthwork examiners and earthwork examining engineers record on all examination reports whether, in their professional judgement, the condition ratings determined by the SSHI and RSHI are a reasonable reflection of slope condition; where examiners and examining engineers disagree with the SSHI and/or RSHI condition ratings, their judgement of the slope condition rating should be recorded on the examination report and taken into account when deciding how to manage the earthwork; and any inconsistencies between condition ratings from successive examinations should be identified and resolved</t>
  </si>
  <si>
    <t>UK-929/4</t>
  </si>
  <si>
    <t>In the light of experience, and the associated application of professional judgement, Network Rail s</t>
  </si>
  <si>
    <t>In the light of experience, and the associated application of professional judgement, Network Rail should review the process for planning remediation works which includes using the Earthworks Prioritisation Model and, if necessary, make any changes to it so that the likelihood of remedial works being carried out before the occurrence of the failure of earthworks is improved (paragraphs 138 and 139a).</t>
  </si>
  <si>
    <t>UK-929/5</t>
  </si>
  <si>
    <t>Network Rail should review the algorithm which calculates the rock slope hazard index so that its ou</t>
  </si>
  <si>
    <t>Network Rail should review the algorithm which calculates the rock slope hazard index so that its output gives a more realistic indication of a railway rock cuttingâ€™s condition (paragraph 139c).</t>
  </si>
  <si>
    <t>UK-929/6</t>
  </si>
  <si>
    <t>First ScotRail should assess the risk of lighting diffusers and other saloon panels in the interiors</t>
  </si>
  <si>
    <t>First ScotRail should assess the risk of lighting diffusers and other saloon panels in the interiors of trains that it operates becoming displaced in the event of an accident such that they may cause injuries to those on board. Any necessary remedial measures to reduce the risk should be implemented (paragraph 139d).</t>
  </si>
  <si>
    <t>UK-919/1</t>
  </si>
  <si>
    <t>Freight operators should ensure that their operating instructions include a â€˜pull testâ€™ when wagons</t>
  </si>
  <si>
    <t>Freight operators should ensure that their operating instructions include a â€˜pull testâ€™ when wagons are to be left to rely on their handbrakes for a time (DB Schenker reports that it has already taken this action).</t>
  </si>
  <si>
    <t>UK-919/2</t>
  </si>
  <si>
    <t>VTG should check that its maintenance plans incorporate the latest maintenance recommendations of su</t>
  </si>
  <si>
    <t>VTG should check that its maintenance plans incorporate the latest maintenance recommendations of suppliers of safety critical components used on the vehicles and update as necessary.</t>
  </si>
  <si>
    <t>UK-919/3</t>
  </si>
  <si>
    <t>Operators of wagons fitted with SAB/Haldex AA1 type slack adjusters should, in conjunction with the</t>
  </si>
  <si>
    <t>Operators of wagons fitted with SAB/Haldex AA1 type slack adjusters should, in conjunction with the maintainers and owners as appropriate, ensure that the maintenance plans are reviewed to confirm that they incorporate the manufacturerâ€™s current recommendations on their inspection and maintenance. Network Rail PWRA should issue a private owners circular letter to this effect to PWRA members.</t>
  </si>
  <si>
    <t>UK-919/4</t>
  </si>
  <si>
    <t>RSSB should investigate the practicability of distribution of safety information from other industr</t>
  </si>
  <si>
    <t>RSSB should investigate the practicability of distribution of safety information from other industries to the rail industry with regard to components that are common to both industries.</t>
  </si>
  <si>
    <t>UK-919/5</t>
  </si>
  <si>
    <t>Operators of freight wagons should, in conjunction with the maintainers and owners as appropriate, r</t>
  </si>
  <si>
    <t>Operators of freight wagons should, in conjunction with the maintainers and owners as appropriate, review their VIBT procedures for handbrake testing to ensure that they include checking that the handbrake is fully effective. Network Rail PWRA should issue a private owners circular letter to this effect to PWRA members.</t>
  </si>
  <si>
    <t>UK-919/6</t>
  </si>
  <si>
    <t>DB Schenker should confirm whether the operating restriction on wagons with only one brake disc per</t>
  </si>
  <si>
    <t>DB Schenker should confirm whether the operating restriction on wagons with only one brake disc per axle is still required and, if so, arrange for the restriction to be published.</t>
  </si>
  <si>
    <t>UK-908/1</t>
  </si>
  <si>
    <t>London Underground, in consultation with Tube Lines, should arrange for all data on track faults ide</t>
  </si>
  <si>
    <t>London Underground, in consultation with Tube Lines, should arrange for all data on track faults identified by asset inspection equipment, such as the asset inspection train, to be presented clearly. The procedures for managing the data should indicate how required remedial actions are planned, prioritised and executed by those in receipt of the data (paragraph 148b).</t>
  </si>
  <si>
    <t>UK-908/2</t>
  </si>
  <si>
    <t>London Underground, in consultation with Tube Lines, should review standard 1-159 â€˜Track- dimension</t>
  </si>
  <si>
    <t>London Underground, in consultation with Tube Lines, should review standard 1-159 â€˜Track- dimension and tolerancesâ€™ with a view to making changes to the standard or take other appropriate steps to make it easier for patrollers and inspectors to identify and record issues of concern (paragraph 151a).</t>
  </si>
  <si>
    <t>UK-908/3</t>
  </si>
  <si>
    <t>Tube Lines should review and revise its patrol route risk assessments, and inspection routes, taking</t>
  </si>
  <si>
    <t>Tube Lines should review and revise its patrol route risk assessments, and inspection routes, taking account of human factors issues, to ensure there is sufficient time available to complete thorough and detailed patrolling and inspection activities in accordance with relevant standards (paragraph 149a).</t>
  </si>
  <si>
    <t>UK-908/4</t>
  </si>
  <si>
    <t>Tube Lines should review its training and competence management processes for patrollers and inspect</t>
  </si>
  <si>
    <t>Tube Lines should review its training and competence management processes for patrollers and inspectors. The review should aim to establish a comprehensive training programme for each grade of staff and a regular cycle of rigorous competence assessments (paragraphs 148a and 149b).</t>
  </si>
  <si>
    <t>UK-908/5</t>
  </si>
  <si>
    <t>Tube Lines should modify its processes to include the requirement to actively monitor and assess saf</t>
  </si>
  <si>
    <t>Tube Lines should modify its processes to include the requirement to actively monitor and assess safety critical vacancies within its asset maintenance organisation. Where key vacancies are identified the reasons for not filling the post should be explored and assessments undertaken to understand and control the risk arising. The review of key vacancies should not be limited to management grades but should include key personnel, such as those involved in asset inspections and asset condition recording (paragraph 151d).</t>
  </si>
  <si>
    <t>UK-908/6</t>
  </si>
  <si>
    <t>Tube Lines should improve its assurance processes to ensure a robust system of assurance activities</t>
  </si>
  <si>
    <t>Tube Lines should improve its assurance processes to ensure a robust system of assurance activities is undertaken, with particular emphasis on practical activities. The activities should target the quality of track patrols and inspections, and the identification and prioritisation of faults. The improvements should include a process for following-up and rectifying issues identified (paragraphs 150a, and 151d).</t>
  </si>
  <si>
    <t>UK-908/7</t>
  </si>
  <si>
    <t>London Underground should improve its assurance processes to ensure that issues identified during au</t>
  </si>
  <si>
    <t>London Underground should improve its assurance processes to ensure that issues identified during audit and surveillance of Tube Lines track maintenance activities are actively monitored and addressed by Tube Lines in a timely manner (paragraph 150a).</t>
  </si>
  <si>
    <t>UK-908/8</t>
  </si>
  <si>
    <t>London Underground, in partnership with its track maintainers, should review standard 1-159 â€˜Track-</t>
  </si>
  <si>
    <t>London Underground, in partnership with its track maintainers, should review standard 1-159 â€˜Track- dimension and tolerancesâ€™ with the aim of providing guidance on the assessment of risk from ML faults. The guidance should address how the effect of other ML or SS faults in the same location or immediate vicinity should be evaluated so that impending problems at particular locations can be identified (paragraph 151b).</t>
  </si>
  <si>
    <t>UK-908/9</t>
  </si>
  <si>
    <t>Tube Lines should review current technologies and, following production of an action plan, implement</t>
  </si>
  <si>
    <t>Tube Lines should review current technologies and, following production of an action plan, implement any that can assist patrollers and inspectors. This should include the consideration of the use of hand-held computer devices to record and classify faults and geometry recording equipment that can be moved along the track to record parameters such as track gauge and twist (paragraph 148a).</t>
  </si>
  <si>
    <t>UK-890/1</t>
  </si>
  <si>
    <t>Network Rail should assess the hazards and risk at each of its junctions where working with lookout</t>
  </si>
  <si>
    <t>Network Rail should assess the hazards and risk at each of its junctions where working with lookout protection is currently permitted with the objective of producing for each a set of predefined Safe Systems of Work taking into account local factors. These should identify the acceptability of this method of working, the protection arrangements for each part of the junction or work activity, and the specific position of safety (paragraph 155).</t>
  </si>
  <si>
    <t>UK-890/2</t>
  </si>
  <si>
    <t>Network Rail should evaluate the behaviour of staff working on the track at locations with extended</t>
  </si>
  <si>
    <t>Network Rail should evaluate the behaviour of staff working on the track at locations with extended sighting times. The objective of this evaluation shall be: a. to understand the methods adopted by track workers at such locations; b. to assess the risk introduced by extended warning times; c. to assess the risk introduced by any alternative working practices that may be identified by staff; and d. to consider the need for additional guidance to the COSS and other safety critical staff. Based on its understanding of current behaviour gained from this evaluation, Network Rail should establish a safe system of work to cover activities at locations with extended sighting times (paragraph 136).</t>
  </si>
  <si>
    <t>UK-887/1</t>
  </si>
  <si>
    <t>Network Rail should put in place a system that requires that all safe systems of work documents, inc</t>
  </si>
  <si>
    <t>Network Rail should put in place a system that requires that all safe systems of work documents, including any subsequent changes, are independently checked by a competent person, and audit compliance with it.</t>
  </si>
  <si>
    <t>UK-887/2</t>
  </si>
  <si>
    <t>Network Rail should determine why its management systems did not prevent the unsafe system of work b</t>
  </si>
  <si>
    <t>Network Rail should determine why its management systems did not prevent the unsafe system of work being used for the relaying and make the necessary changes to prevent recurrence. The investigation should also consider why staff did not attempt to invoke the worksafe procedure and how the worksafe procedure can be made more effective.</t>
  </si>
  <si>
    <t>UK-887/3</t>
  </si>
  <si>
    <t>Network Rail should extend the work it is undertaking to improve the methods and criteria used when</t>
  </si>
  <si>
    <t>Network Rail should extend the work it is undertaking to improve the methods and criteria used when selecting staff to undertake safety leadership roles to include consideration of the training and assessment of those staff who are already qualified in those roles.</t>
  </si>
  <si>
    <t>UK-887/4</t>
  </si>
  <si>
    <t>Network Rail should review the adequacy of its arrangements for the routine checking of compliance w</t>
  </si>
  <si>
    <t>Network Rail should review the adequacy of its arrangements for the routine checking of compliance with the rule book within possessions, including checks on compliance with rule book module OTP in respect of adjacent lines open to traffic. The review should consider the frequency of such checks and the competency of those involved. Any improvements identified as part of this review should be implemented.</t>
  </si>
  <si>
    <t>UK-866/1</t>
  </si>
  <si>
    <t>Bombardier Transportation, in conjunction with Voith, should undertake a design review of the final</t>
  </si>
  <si>
    <t>Bombardier Transportation, in conjunction with Voith, should undertake a design review of the final drive gearboxes and axles used on the Meridian and Voyager fleets (Class 220, 221 and 222) and, where appropriate, implement design and maintenance improvements, including verification of the over-temperature detection, to reduce the risk from loss of output bearing interference fits on the axles (paragraphs 189, 191a).</t>
  </si>
  <si>
    <t>UK-866/2</t>
  </si>
  <si>
    <t>ROSCOs and other Contracting Entities (purchasers of rolling stock), and Entities in Charge of Maint</t>
  </si>
  <si>
    <t>ROSCOs and other Contracting Entities (purchasers of rolling stock), and Entities in Charge of Maintenance (responsible for overhaul of rolling stock) should review, and where appropriate improve, the design, manufacture and overhaul procedures used for final drive gearboxes in their current and future fleets, in particular those featuring hollow axles, by checking that they adequately address the following factors: reduction in the size of output bearing seats due to shrinkage arising from other nearby interference fits and/or wear during service; bearing bore growth during the service life of the bearing (eg obtained by measuring a sample of bearings); bearing seats being made undersize; and detection of overheating output bearings.</t>
  </si>
  <si>
    <t>UK-866/3</t>
  </si>
  <si>
    <t>Bombardier Transportation should review the final drive oil sampling regime on the Meridian and simi</t>
  </si>
  <si>
    <t>Bombardier Transportation should review the final drive oil sampling regime on the Meridian and similar fleets (including consideration of sampling frequency and consistency, action levels, oil colour and use of cumulative trending) and, where necessary, make changes to maximise effectiveness in detecting impending failures (paragraph 189e).</t>
  </si>
  <si>
    <t>UK-866/4</t>
  </si>
  <si>
    <t>East Midlands Trains should provide practical, rolling stock specific, initial and refresher trainin</t>
  </si>
  <si>
    <t>East Midlands Trains should provide practical, rolling stock specific, initial and refresher training, that includes the simulation of on-board emergency and out-of-course situations. This should enable drivers and train crew to maintain their understanding of, and familiarity with, correct alarm handling in various scenarios (paragraphs 190 and 191c).</t>
  </si>
  <si>
    <t>UK-861/1</t>
  </si>
  <si>
    <t>DB Schenker should investigate the design and the maintenance arrangements of the hopper doors of PG</t>
  </si>
  <si>
    <t>DB Schenker should investigate the design and the maintenance arrangements of the hopper doors of PGA type wagons and their control gear, and evaluate whether it is feasible to devise a means by which the open, closed or locked status of the door can be more clearly indicated to the operator than is the case at present, and implement this change if it is reasonably practicable to do so (paragraphs 79b and 81).</t>
  </si>
  <si>
    <t>UK-861/2</t>
  </si>
  <si>
    <t>DB Schenker should issue to its staff and relevant customers guidance and instructions on how to cor</t>
  </si>
  <si>
    <t>DB Schenker should issue to its staff and relevant customers guidance and instructions on how to correctly operate the doors of all the types of wagons in use by the company, and how to check that the doors of wagons are secured closed. As part of this work, DB Schenker should review the visibility of wagon doors and the means of ensuring suitable levels of lighting to enable staff to check them (paragraphs 79b and 81).</t>
  </si>
  <si>
    <t>UK-861/3</t>
  </si>
  <si>
    <t>DB Schenker should carry out a review of the training, monitoring and competence of all ground staff</t>
  </si>
  <si>
    <t>DB Schenker should carry out a review of the training, monitoring and competence of all ground staff, with particular reference to the use of PGA wagons and the supervision and operation of yards. This review should include: the training of staff in the preparation and examination of trains before departure; and instructions to staff on when train preparation and examination should be done. The results of this review should be implemented as appropriate (paragraph 80).</t>
  </si>
  <si>
    <t>UK-861/4</t>
  </si>
  <si>
    <t>DB Schenker should investigate the reasons why formal safety validation of organisational changes (i</t>
  </si>
  <si>
    <t>DB Schenker should investigate the reasons why formal safety validation of organisational changes (including risk assessment) did not take place in respect of the changes implemented at Acton Yard in 2009-10, and implement any recommendations arising from this investigation (paragraph 83).</t>
  </si>
  <si>
    <t>UK-861/5</t>
  </si>
  <si>
    <t>DB Schenker should devise and implement a procedure for handling reports of defective wagons that ar</t>
  </si>
  <si>
    <t>DB Schenker should devise and implement a procedure for handling reports of defective wagons that are received from sources outside the company (paragraph 84).</t>
  </si>
  <si>
    <t>UK-844/1</t>
  </si>
  <si>
    <t>Network Rail should identify level crossings operated by railway staff where a single human error co</t>
  </si>
  <si>
    <t>Network Rail should identify level crossings operated by railway staff where a single human error could result in the road being opened to the railway when a train is approaching. At each such crossing, Network Rail should consider and, where appropriate, implement engineered safeguards. Safeguards for consideration should include additional reminder appliances, alarms to warn of the approach of trains, approach locking, locking of the route, run-by controls, and local interlocking of train detection and signalling systems with level crossing controls (paragraphs 175 and 178).</t>
  </si>
  <si>
    <t>UK-844/2</t>
  </si>
  <si>
    <t>Network Rail should enhance its level crossing risk management process to include identification, as</t>
  </si>
  <si>
    <t>Network Rail should enhance its level crossing risk management process to include identification, assessment and management of the risk associated with: human error by signallers and crossing keepers; operational arrangements, in particular with regard to the ability of operators to cope with interruptions, such as telephone calls, and other out-of-course events; equipment design, in particular where it is not compliant with latest design standards; and maintenance and inspection arrangements, particularly where these are used to identify and remedy any equipment functional and performance deficiency. The process should allow for sufficient liaison between the relevant engineering and operational departments. When addressing risks identified by the implementation of the revised process, Network Rail should prioritise the implementation of required mitigation measures to level crossings where consequences of operator error are severe and not protected by engineered safeguards (paragraphs 171, 172a, 172b, 173,</t>
  </si>
  <si>
    <t>UK-844/3</t>
  </si>
  <si>
    <t>Network Rail should develop and implement (paragraph 176a): criteria for when it is necessary to for</t>
  </si>
  <si>
    <t>Network Rail should develop and implement (paragraph 176a): criteria for when it is necessary to formally assess the need to bring existing signalling and level crossing assets in line with latest design standards; and a process to record the findings of such assessments.</t>
  </si>
  <si>
    <t>UK-844/4</t>
  </si>
  <si>
    <t>Network Rail should assess the risk associated with the use of TRUST, and similar information system</t>
  </si>
  <si>
    <t>Network Rail should assess the risk associated with the use of TRUST, and similar information systems, by signallers when undertaking safety critical activities, and implement appropriate mitigation measures. This assessment should include a review of the extent to which signallers may be distracted or misled, and the influence of factors such as the location and orientation of any associated equipment (paragraphs 171 and 172b).</t>
  </si>
  <si>
    <t>UK-836/1</t>
  </si>
  <si>
    <t>Freight operating companies, in conjunction with the Rail Safety and Standards Board, should make a</t>
  </si>
  <si>
    <t>Freight operating companies, in conjunction with the Rail Safety and Standards Board, should make a proposal to review module TW1 of the Rule Book in order to establish if additional measures (such as bringing trains to a stand when starting to descend from summits) are required for trains working on steep gradients when snow is falling or being disturbed. The requirements and guidance within DB Schenkerâ€™s special operating advice notices for working in extreme weather conditions and the Rail Freight Operations Groupâ€™s code of practice for operating freight services in winter should be examined for their suitability as a basis for these additional requirements (paragraphs 211a, 211b, 212c and 216a).</t>
  </si>
  <si>
    <t>UK-836/2</t>
  </si>
  <si>
    <t>Network Rail, in consultation with train operators, should assess any lines which include steep grad</t>
  </si>
  <si>
    <t>Network Rail, in consultation with train operators, should assess any lines which include steep gradients in order to establish if additional risk control measures (such as bringing trains to a stand prior to descending from summits) may be required during periods when snow is falling or being disturbed by the passage of trains. Any steep gradients assessed as requiring additional risk control measures in these conditions should be designated in the appropriate sectional appendix and marked by the use of lineside snow signs (paragraphs 211a, 211b, 212c and 216a).</t>
  </si>
  <si>
    <t>UK-836/3</t>
  </si>
  <si>
    <t>Network Rail, in consultation with train operators, should assess the risks of an accumulation of sn</t>
  </si>
  <si>
    <t>Network Rail, in consultation with train operators, should assess the risks of an accumulation of snow being left on or close to the line as a result of the prolonged use of miniature snow ploughs to clear lines of snow. Any appropriate risk control measures (such as additional instructions within route winter working arrangements) that are identified should be implemented (paragraphs 213a, 214a and 217a).</t>
  </si>
  <si>
    <t>UK-836/4</t>
  </si>
  <si>
    <t>Network Rail should consider if there are additional measures which could reduce the overrun risk at</t>
  </si>
  <si>
    <t>Network Rail should consider if there are additional measures which could reduce the overrun risk at signal AC336 and implement those measures found to be reasonably practicable to introduce. This consideration should include the undertaking of a detailed assessment as required by Network Rail standard NR/L2/SIG/14201. Network Rail should have regard to the guidance and requirements regarding trap points within Railway Group Guidance Note GI/GN 7606 and Railway Group Standard GK/RT 0064 and should specifically consider the risks to the public of an overrun at this signal. Network Rail should also review where trap points have been used to control overrun risk at similar locations in order to establish that any secondary risks introduced by their use have been adequately assessed and mitigated (paragraph 219).</t>
  </si>
  <si>
    <t>UK-835/1</t>
  </si>
  <si>
    <t>Freight operating companies in conjunction with the Rail Safety and Standards Board should make a pr</t>
  </si>
  <si>
    <t>Freight operating companies in conjunction with the Rail Safety and Standards Board should make a proposal to review the existing arrangements in section 18.2 of module TW1 of the Rule Book for running brake tests in snowy conditions. The review should consider the practicalities of carrying out running brake tests when driving locomotive hauled trains on rising gradients and identify how these rules can be modified if drivers have not carried out a running brake test for more than five minutes. Options for consideration should include a requirement that drivers of locomotive-hauled trains should make a full service brake application and sufficiently retard their train as soon as they have passed over a summit and onto a descending gradient (paragraphs 142a, 142b, 143b and 146a).</t>
  </si>
  <si>
    <t>UK-835/2</t>
  </si>
  <si>
    <t>Freight operating companies should carry out a review of the safety impact of their freight trains o</t>
  </si>
  <si>
    <t>Freight operating companies should carry out a review of the safety impact of their freight trains operating in snowy conditions. The review should take into account the likelihood of different types of rolling stock disturbing lying snow and the consequent impact on the operation of their brake equipment. The findings should inform a consideration of the need for rolling stock specific risk control measures to be imposed when justified by the conditions. These could include reducing the maximum permitted speed of some types of train, additional actions by train staff and the re-routing of certain types of rolling stock away from adverse winter weather or from routes containing steep gradients (paragraphs141a, 141b, 143a, 144a and 146b).</t>
  </si>
  <si>
    <t>UK-835/3</t>
  </si>
  <si>
    <t>Freight operating companies in conjunction with the Rail Safety and Standards Board should make a proposal to modify the existing arrangements in section 18.3 of module TW1 of the Rule Book, by making this rule applicable to all trains (paragraphs 141a, 141b, 143a, 144a and 146b).</t>
  </si>
  <si>
    <t>UK-831/1</t>
  </si>
  <si>
    <t>Network Rail should enhance its level crossing standards to include detail on the design of the inte</t>
  </si>
  <si>
    <t>Network Rail should enhance its level crossing standards to include detail on the design of the interface between the crossing surface and the road. This should include a specification of the length of material relative to the crossing surface that is required to provide a consistent and safe crossing surface for all level crossing users. When developing a new standard, or amending an existing standard, account should be taken of other crossing features such as cattle guards (paragraphs 95a and 96a).</t>
  </si>
  <si>
    <t>UK-831/2</t>
  </si>
  <si>
    <t>Network Rail should enhance its level crossing inspection standards and checklist forms, and the dat</t>
  </si>
  <si>
    <t>Network Rail should enhance its level crossing inspection standards and checklist forms, and the data collection forms used in the level crossing risk assessment process, to highlight the potential hazards from inconsistent crossing surfaces to small wheels such as those on wheelchairs and childrenâ€™s pushchairs and arrange suitable training/briefing for staff using the forms (paragraphs 95b and 96b).</t>
  </si>
  <si>
    <t>UK-831/3</t>
  </si>
  <si>
    <t>Network Rail should, taking account of research in this country and developments overseas (paragraph</t>
  </si>
  <si>
    <t>Network Rail should, taking account of research in this country and developments overseas (paragraph 83), review methods for minimising the hazards from the flangeway gap at level crossings, particularly those that are skewed relative to the roadway or path, to users with small-wheeled equipment, such as wheelchairs and pushchairs, with a view to evaluating the costs and benefits of options for improving the safety of users of level crossings (paragraph 95d).</t>
  </si>
  <si>
    <t>UK-831/4</t>
  </si>
  <si>
    <t>Network Rail should conduct a review of the adequacy of its arrangements for addressing the timely c</t>
  </si>
  <si>
    <t>Network Rail should conduct a review of the adequacy of its arrangements for addressing the timely correction of deficiencies when safety-related work at level crossings has not been completed in accordance with an agreed specification. Any reasonably practicable measures identified during this review should be implemented (paragraph 97).</t>
  </si>
  <si>
    <t>UK-822/1</t>
  </si>
  <si>
    <t>Network Rail should consider ways to reduce the risk of lookouts moving dangerously close to trains</t>
  </si>
  <si>
    <t>Network Rail should consider ways to reduce the risk of lookouts moving dangerously close to trains and if appropriate make arrangements to physically identify a safe position by: a.marking its limits on the ground; b. placing barriers at its limits; c. placing a rest in a safe position to allow a lookout to remain in comfort; or d. other appropriate arrangements.</t>
  </si>
  <si>
    <t>UK-822/2</t>
  </si>
  <si>
    <t>The ambulance services of the United Kingdom should consider ways to reduce the risk of ambulance dr</t>
  </si>
  <si>
    <t>The ambulance services of the United Kingdom should consider ways to reduce the risk of ambulance drivers being unable to find places on the railway that do not have postcodes and if appropriate make arrangements for them to navigate to those places using: a. grid references; or b. other appropriate arrangements.</t>
  </si>
  <si>
    <t>UK-819/1</t>
  </si>
  <si>
    <t>Network Rail should positively identify which structures require checking for obstructions against u</t>
  </si>
  <si>
    <t>Network Rail should positively identify which structures require checking for obstructions against upstream faces, and how frequently. Such checks should be mandatory and the process for delivering them should be enhanced such that those who perform the task have the time, competence and information available to do the job effectively (paragraph 103a).</t>
  </si>
  <si>
    <t>UK-819/2</t>
  </si>
  <si>
    <t>Network Rail should provide means by which members of the public can report obstructions or other de</t>
  </si>
  <si>
    <t>Network Rail should provide means by which members of the public can report obstructions or other defects, particularly at locations where public access exists. This could include the provision of bridge identification plates giving a telephone number similar to those provided at low headroom highway bridges, together with a location description, map reference and structure number (paragraph 104a).</t>
  </si>
  <si>
    <t>UK-819/3</t>
  </si>
  <si>
    <t>Network Rail should re-consider the purpose of the role currently performed by the examining enginee</t>
  </si>
  <si>
    <t>Network Rail should re-consider the purpose of the role currently performed by the examining engineer and then identify the information and resources (including time) that are required to undertake the task effectively (paragraph 105a). This may include: requiring bridge examiners positively to confirm that particular requirements for different types of bridge have been considered during an examination, for example by means of a checklist within the examination report (paragraph 65); requiring bridge examiners to submit elevation photographs of bridges spanning watercourses, which show the surface of the water at each pier and abutment, and direction of flow for the purpose of identifying obstructions (paragraph 64); and requiring bridge examiners to submit supplementary photographs in support of a visual examination report to enhance the level of information available to the examining engineer (paragraph 68).</t>
  </si>
  <si>
    <t>UK-819/4</t>
  </si>
  <si>
    <t>Network Rail should review its underwater examination task lists nationwide to check for further omi</t>
  </si>
  <si>
    <t>Network Rail should review its underwater examination task lists nationwide to check for further omissions, and require that underwater examinations are normally undertaken in advance of scour assessments to enable a fuller picture of a structureâ€™s condition to be realised (paragraph 105b).</t>
  </si>
  <si>
    <t>UK-819/5</t>
  </si>
  <si>
    <t>The Environment Agency should, in conjunction with railway infrastructure owners, introduce processe</t>
  </si>
  <si>
    <t>The Environment Agency should, in conjunction with railway infrastructure owners, introduce processes to allow the immediate reporting of obstructions in watercourses where these occur adjacent to railway structures such as bridge piers or abutments, and regardless of whether there is an associated flooding risk (paragraph 105c).</t>
  </si>
  <si>
    <t>UK-819/6</t>
  </si>
  <si>
    <t>Network Rail should review the guidance provided for non-specialist staff who may be required to ass</t>
  </si>
  <si>
    <t>Network Rail should review the guidance provided for non-specialist staff who may be required to assess the failure of track support in the vicinity of a structure, and determine whether it is safe for trains to run over that structure (paragraph 106).</t>
  </si>
  <si>
    <t>UK-818/1</t>
  </si>
  <si>
    <t>Network Rail should instigate a process to: Identify all locations where unsatisfactory operation of</t>
  </si>
  <si>
    <t>Network Rail should instigate a process to: Identify all locations where unsatisfactory operation of off track drainage is a significant risk to railway safety. Identifying these locations should be assisted by use of information being collected as part of Network Railâ€™s on-going drainage asset surveys, knowledge already required for adverse weather planning and data being obtained from on-going studies to identify locations where ground topography concentrates water flows. For all such locations establish a programme to: Determine for each location the site specific parameters which are sufficient to ensure satisfactory off track drainage performance. These parameters should include ditch sizes and the extent to which roots may remain in place. The parameters shall be verified by a drainage professional. Maintain off track drainage to comply with these parameters.</t>
  </si>
  <si>
    <t>UK-818/2</t>
  </si>
  <si>
    <t>Network Rail should examine the extent of compliance with its requirements for the management of ear</t>
  </si>
  <si>
    <t>Network Rail should examine the extent of compliance with its requirements for the management of earthworks in Southeast Territory and put in place management processes to ensure full compliance. These processes should cover: Briefing staff and, if necessary, clarifying standards, so that all earthwork evaluations take full account of all relevant historical records already held by Network Rail, and any other readily available records. (If necessary, Network Rail should modify its archive retrieval system to allow efficient recovery of these records.) Improving compliance with the NR/L2/CIV/086 requirement that all earthworks in â€˜poorâ€™ condition are subject to re-evaluation whenever examinations show their condition has worsened. Providing a comprehensive extreme weather plan (including actions unrelated to flood and scour) in accordance with TRK/1010 for the Wessex Route and for any other areas where extreme weather plans are not fully compliant with TRK/1010. Current practice should be included in these pl</t>
  </si>
  <si>
    <t>UK-818/3</t>
  </si>
  <si>
    <t>Network Rail should modify the earthwork re-examination process so that earthwork examiners must pos</t>
  </si>
  <si>
    <t>Network Rail should modify the earthwork re-examination process so that earthwork examiners must positively confirm the accuracy of all examination data including any data which remains unchanged from the previous examination.</t>
  </si>
  <si>
    <t>UK-818/4</t>
  </si>
  <si>
    <t>Network Rail should determine, and subsequently keep under review, both the actual workload of the E</t>
  </si>
  <si>
    <t>Network Rail should determine, and subsequently keep under review, both the actual workload of the E&amp;DT and whether existing resources are sufficient. If not sufficient, Network Rail should provide additional resources to suit the workload.</t>
  </si>
  <si>
    <t>UK-818/5</t>
  </si>
  <si>
    <t>Network Rail should modify its earthwork standards to require that the earthwork examination process</t>
  </si>
  <si>
    <t>Network Rail should modify its earthwork standards to require that the earthwork examination process includes checking that the drainage observations included in the examination report are consistent with any drain location and drain performance information known to maintenance teams.</t>
  </si>
  <si>
    <t>UK-785/1</t>
  </si>
  <si>
    <t>Network Rail should revise its current competency training programme for all staff involved in track</t>
  </si>
  <si>
    <t>Network Rail should revise its current competency training programme for all staff involved in track inspection to include reference to the visual identification of abnormal running band and its relationship with chair shuffle and wide gauge as an indication of dynamic gauge problems and potential risk of derailment (paragraph 108c).</t>
  </si>
  <si>
    <t>UK-785/2</t>
  </si>
  <si>
    <t>Network Rail should develop a proposal for the periodic measurement of dynamic gauge at potentially</t>
  </si>
  <si>
    <t>Network Rail should develop a proposal for the periodic measurement of dynamic gauge at potentially vulnerable locations not covered by a track recording vehicle, and implement the identified measures, as appropriate (paragraph 111c).</t>
  </si>
  <si>
    <t>UK-785/3</t>
  </si>
  <si>
    <t>Network Rail should ensure that its procedures for planning audits are amended to include a requirem</t>
  </si>
  <si>
    <t>Network Rail should ensure that its procedures for planning audits are amended to include a requirement for those undertaking audits of infrastructure maintenance activities to include as an input to the development of the audit plan a review of the findings from previous relevant audits and action taken, irrespective of whether the associated action is open or closed (paragraph 112).</t>
  </si>
  <si>
    <t>UK-784/1</t>
  </si>
  <si>
    <t>SVR should review and revise as appropriate the adequacy of its procedures for managing the risk ari</t>
  </si>
  <si>
    <t>SVR should review and revise as appropriate the adequacy of its procedures for managing the risk arising from track conditions. This should include, but not be limited to, reference to periodicity of checks, measurement techniques, maintenance and safety limits on track geometry and actions to be taken on reaching those limits. Where external documents are referenced, SVR should make these available to their staff. Associated management arrangements should be recorded in the SMS.</t>
  </si>
  <si>
    <t>UK-784/2</t>
  </si>
  <si>
    <t>SVR should revise its SMS to reference the engineering department company standards.</t>
  </si>
  <si>
    <t>UK-784/3</t>
  </si>
  <si>
    <t>SVR should re-brief all staff and volunteers on the SMS and their responsibilities within it.</t>
  </si>
  <si>
    <t>UK-784/4</t>
  </si>
  <si>
    <t>SVR should review their management structure with the aim of making changes to improve the communica</t>
  </si>
  <si>
    <t>SVR should review their management structure with the aim of making changes to improve the communication of safety related information within the railway.</t>
  </si>
  <si>
    <t>UK-784/5</t>
  </si>
  <si>
    <t>SVR should put in place procedures to ensure that audits of compliance with the SMS are carried out</t>
  </si>
  <si>
    <t>SVR should put in place procedures to ensure that audits of compliance with the SMS are carried out in a timely and effective manner.</t>
  </si>
  <si>
    <t>UK-783/1</t>
  </si>
  <si>
    <t>Eurostar should review, and amend if appropriate, the design and/or maintenance of the lightning arr</t>
  </si>
  <si>
    <t>Eurostar should review, and amend if appropriate, the design and/or maintenance of the lightning arrester spark gap electrodes to further reduce the risk of reduction in the length of the gap (paragraph 168).</t>
  </si>
  <si>
    <t>UK-783/2</t>
  </si>
  <si>
    <t>ABB Power should review its quality management processes as they relate to the installation, testing</t>
  </si>
  <si>
    <t>ABB Power should review its quality management processes as they relate to the installation, testing and commissioning of safety related railway equipment (paragraph 169).</t>
  </si>
  <si>
    <t>UK-783/3</t>
  </si>
  <si>
    <t>Network Rail and EDF should investigate the possibility of reducing the risk associated with damaged</t>
  </si>
  <si>
    <t>Network Rail and EDF should investigate the possibility of reducing the risk associated with damaged OHLE of the tramway type used at St Pancras International falling onto station platforms. This investigation should include, but not be limited to:improved electrical protection system (e.g. to deliver a more rapid response);improved support for the contact wire;enhanced resilience of the contact wire;avoiding the use of automatic reclosure of circuit breakers supplying the tramway OHLE above platform tracks (paragraph 170).</t>
  </si>
  <si>
    <t>UK-783/4</t>
  </si>
  <si>
    <t>Network Rail should review, and if appropriate amend, the requirements for the performance of electr</t>
  </si>
  <si>
    <t>Network Rail should review, and if appropriate amend, the requirements for the performance of electrification systems being brought into use so that the electrical protection system, the OHLE and its rating provide an adequate margin of protection against all reasonably foreseeable electrical hazards (paragraph 169).</t>
  </si>
  <si>
    <t>UK-783/5</t>
  </si>
  <si>
    <t>Network Rail (CTRL) should investigate the possibility either of causing a suitably worded reminder,</t>
  </si>
  <si>
    <t>Network Rail (CTRL) should investigate the possibility either of causing a suitably worded reminder, which must be responded to, to appear automatically on the EMMIS controllerâ€™s screen warning of the safety process to be followed before closing a circuit breaker which has opened on automatic reclosure or of introducing other effective means of reminding the controller of the correct procedure to be followed (paragraph 170)</t>
  </si>
  <si>
    <t>UK-783/6</t>
  </si>
  <si>
    <t>NR (CTRL) should review the induction procedures for new shift managers so that they are made aware</t>
  </si>
  <si>
    <t>NR (CTRL) should review the induction procedures for new shift managers so that they are made aware of: the safety procedures to be followed in response to any matter arising from the operation of the OHLE; the importance of carrying out the emergency isolation procedure immediately; and the procedures to be followed by EMMIS controllers to recover the situation following an automatic trip while ensuring safety (paragraph 171).</t>
  </si>
  <si>
    <t>UK-783/7</t>
  </si>
  <si>
    <t>Network Rail (CTRL) should make permanent the temporary instruction to EMMIS controllers that staff</t>
  </si>
  <si>
    <t>Network Rail (CTRL) should make permanent the temporary instruction to EMMIS controllers that staff at St Pancras are to be contacted to confirm that all persons are in positions of safety before attempting to reclose a circuit breaker supplying the station that has opened automatically (paragraph 176).</t>
  </si>
  <si>
    <t>UK-780/1</t>
  </si>
  <si>
    <t>Network Rail should enhance the maintenance and inspection instructions relating to road traffic lig</t>
  </si>
  <si>
    <t>Network Rail should enhance the maintenance and inspection instructions relating to road traffic light signals, and brief staff accordingly, with the objective of ensuring that the backboards to level crossing road traffic light signals are maintained to provide the best possible contrast between a lit red light unit and its backboard (paragraph 135b).</t>
  </si>
  <si>
    <t>UK-780/2</t>
  </si>
  <si>
    <t>Network Rail should consider amending the level crossing risk management toolkit to include the huma</t>
  </si>
  <si>
    <t>Network Rail should consider amending the level crossing risk management toolkit to include the human factors issue and associated risk reduction measure relating to the potential distraction caused by highway speed limit signs and other signs positioned close to level crossings (paragraph 135c).</t>
  </si>
  <si>
    <t>UK-780/3</t>
  </si>
  <si>
    <t>Network Rail should obtain a full understanding of the risk at Halkirk level crossing by taking acco</t>
  </si>
  <si>
    <t>Network Rail should obtain a full understanding of the risk at Halkirk level crossing by taking account of all relevant local factors such as the accident and incident history, as well as the results from ALCRM. The results of this assessment should be used to determine whether it would be reasonably practicable to upgrade the crossing with half barriers, or to implement other measures to deliver an equivalent level of safety (paragraph 136a).</t>
  </si>
  <si>
    <t>UK-780/4</t>
  </si>
  <si>
    <t>Network Rail should issue improved guidance, and brief its staff, on assessing the risk from factors</t>
  </si>
  <si>
    <t>Network Rail should issue improved guidance, and brief its staff, on assessing the risk from factors that are not currently included in the All Level Crossing Risk Model when carrying out risk assessments and making decisions on implementing risk reduction measures at crossings. This should include methods to be adopted when taking into account local factors such as the previous incident and accident history (paragraph 136a).</t>
  </si>
  <si>
    <t>UK-780/5</t>
  </si>
  <si>
    <t>Network Rail should improve the guidance to staff and brief its staff who undertake the inspection a</t>
  </si>
  <si>
    <t>Network Rail should improve the guidance to staff and brief its staff who undertake the inspection and maintenance of level crossings on how they should check that road traffic light signals are correctly aligned and how this differs from them being visible (paragraph 137a).</t>
  </si>
  <si>
    <t>UK-780/6</t>
  </si>
  <si>
    <t>Network Rail should review the design of long hoods that can be fitted at level crossings and implem</t>
  </si>
  <si>
    <t>Network Rail should review the design of long hoods that can be fitted at level crossings and implement any necessary changes identified to make them more effective. Guidance should also be issued to its staff on the specific circumstances of site orientation and prevailing lighting so that their use is optimal (paragraph 137b).</t>
  </si>
  <si>
    <t>UK-779/1</t>
  </si>
  <si>
    <t>Conwy County Borough Council should conduct a competent technical evaluation of the points and cross</t>
  </si>
  <si>
    <t>Conwy County Borough Council should conduct a competent technical evaluation of the points and crossings on the Great Orme Tramway. This should include an analysis of the failure modes and their effects. Risks identified should be documented and control measures incorporated in the safety management system and procedures. Control measures should include, but not be limited to, checks, measurements and inspections and their periodicity, limits on track geometry and other components which affect the operation of the points and actions to be taken on reaching those limits.</t>
  </si>
  <si>
    <t>UK-779/2</t>
  </si>
  <si>
    <t>Conwy County Borough Council should ensure that comprehensive and competent audits are carried out t</t>
  </si>
  <si>
    <t>Conwy County Borough Council should ensure that comprehensive and competent audits are carried out to identify any deficiencies associated with the operation and maintenance of the Tramway. The audits should include checks of the condition of tramway equipment and surveillance of safety critical work activities.</t>
  </si>
  <si>
    <t>UK-758/1</t>
  </si>
  <si>
    <t>DB Schenker should put in place a system to assess and mitigate, so far as is reasonably practicable</t>
  </si>
  <si>
    <t>DB Schenker should put in place a system to assess and mitigate, so far as is reasonably practicable, the risk arising from twisted frames on container wagons and audit compliance with it. This should include an update of procedure EI WF/81 to reflect the types of wagon to which it is applied and to clarify where packings are to be placed.</t>
  </si>
  <si>
    <t>UK-758/2</t>
  </si>
  <si>
    <t>Network Rail should check, on a risk basis, other sites where WCRM S&amp;C Alliance has installed track</t>
  </si>
  <si>
    <t>Network Rail should check, on a risk basis, other sites where WCRM S&amp;C Alliance has installed track to verify that it has been designed and installed correctly and should implement corrective action where necessary.</t>
  </si>
  <si>
    <t>UK-758/3</t>
  </si>
  <si>
    <t>Network Rail should update its processes for track management to include checks that the rail fasten</t>
  </si>
  <si>
    <t>Network Rail should update its processes for track management to include checks that the rail fastening components are of the correct type for the particular rail and sleeper combination.</t>
  </si>
  <si>
    <t>UK-758/4</t>
  </si>
  <si>
    <t>Network Rail should update its track recording information handling process to deal with gauge varia</t>
  </si>
  <si>
    <t>Network Rail should update its track recording information handling process to deal with gauge variation and should issue guidance to staff on minimum actions to be taken at each alarm level.</t>
  </si>
  <si>
    <t>UK-750/1</t>
  </si>
  <si>
    <t>BTS management should develop and document a company-wide policy for the determination and applicati</t>
  </si>
  <si>
    <t>BTS management should develop and document a company-wide policy for the determination and application of speed limits throughout the network. This should include a maximum speed for non-stopping trams through tram-stops. They should also develop, document, train and brief a speed limit signage policy.</t>
  </si>
  <si>
    <t>UK-750/2</t>
  </si>
  <si>
    <t>BTS should develop and document an effective and consistent system to monitor compliance with speed</t>
  </si>
  <si>
    <t>BTS should develop and document an effective and consistent system to monitor compliance with speed limits among tram drivers, and adjust BTS recruitment, training and compliance procedures as necessary to increase levels of compliance.</t>
  </si>
  <si>
    <t>UK-731/1</t>
  </si>
  <si>
    <t>Network Rail should develop a comprehensive document for the maintenance and repair of jointed track</t>
  </si>
  <si>
    <t>Network Rail should develop a comprehensive document for the maintenance and repair of jointed track, which brings together best practice, existing, and any new requirements and implement procedures so that it is used by relevant staff as the principal reference for jointed track. The document should include monitoring and controlling rail creep, setting and checking of expansion gaps in 120 ft rails in rail creep sites, ballast disturbance in hot weather, seasonal briefings to track patrollers and maintainers and rail temperature monitoring.</t>
  </si>
  <si>
    <t>UK-731/2</t>
  </si>
  <si>
    <t>Network Rail should identify all sections of jointed track on its infrastructure which have 120 ft r</t>
  </si>
  <si>
    <t>Network Rail should identify all sections of jointed track on its infrastructure which have 120 ft rail lengths in rail creep sites and introduce a process for monitoring such sites, undertaking remedial work as necessary in preparation for the 2010 hot weather season onwards.</t>
  </si>
  <si>
    <t>UK-731/3</t>
  </si>
  <si>
    <t>Network Rail should identify rail creep sites at which Panlock keys should be replaced (in accordanc</t>
  </si>
  <si>
    <t>Network Rail should identify rail creep sites at which Panlock keys should be replaced (in accordance with NR/SP/TRK/102) and those sites at which they should be retained (to prevent risks from other types of track faults) and arrange for replacement at the identified locations, monitoring such sites in the interim.</t>
  </si>
  <si>
    <t>UK-731/4</t>
  </si>
  <si>
    <t>Network Rail should re-brief its signallers on the requirements of GE/RT8000, module TS1, clause 17</t>
  </si>
  <si>
    <t>Network Rail should re-brief its signallers on the requirements of GE/RT8000, module TS1, clause 17.1, to clarify that when a track defect is reported which, by its nature and severity, could endanger trains (including track buckles), trains should not be used to examine the line, and include this in signallersâ€™ competency based assessments.</t>
  </si>
  <si>
    <t>UK-731/5</t>
  </si>
  <si>
    <t>Northern Rail should promote appropriate changes to clause 16.1 of module TW1 of GE/RT8000, so that</t>
  </si>
  <si>
    <t>Northern Rail should promote appropriate changes to clause 16.1 of module TW1 of GE/RT8000, so that there is a specific requirement on drivers to come to a clear understanding with signallers as to what the maximum speed should be when examining the line.</t>
  </si>
  <si>
    <t>UK-708/1</t>
  </si>
  <si>
    <t>Network Rail should review the operation of the All Level Crossing Risk Model with respect to sighti</t>
  </si>
  <si>
    <t>Network Rail should review the operation of the All Level Crossing Risk Model with respect to sighting times at footpath crossings, to establish whether the sensitivity of the model to variations in sighting can be improved, and should modify the model if this review shows that it is reasonably practicable to do so (paragraph 105).</t>
  </si>
  <si>
    <t>UK-708/2</t>
  </si>
  <si>
    <t>Network Rail should review the way it manages the risk to users at footpath level crossings, with th</t>
  </si>
  <si>
    <t>Network Rail should review the way it manages the risk to users at footpath level crossings, with the objective of highlighting to assessors when sighting is below the mandated standard, and providing clear guidance on the action to be taken if sub-standard sighting is identified during data collection or assessment (paragraph 108).</t>
  </si>
  <si>
    <t>UK-708/3</t>
  </si>
  <si>
    <t>Network Rail should provide guidance to risk assessors on the circumstances in which there is likely</t>
  </si>
  <si>
    <t>Network Rail should provide guidance to risk assessors on the circumstances in which there is likely to be safety value in providing additional marking of the final decision point at footpath and bridleway crossings, and the best means of doing so (paragraph 116).</t>
  </si>
  <si>
    <t>UK-68/1</t>
  </si>
  <si>
    <t>The RAIB makes no recommendations as a result of its investigation</t>
  </si>
  <si>
    <t>UK-67/1</t>
  </si>
  <si>
    <t>For the Liverpool Loop, Network Rail supported by Merseyrail should carry out a risk assessment of t</t>
  </si>
  <si>
    <t>For the Liverpool Loop, Network Rail supported by Merseyrail should carry out a risk assessment of the compatibility between the rolling stock and the infrastructure and create an appropriate maintenance regime that may require going beyond current maintenance standards applicable to the track and to the trains. The risk assessment should consider parameters relating to track and trains, the operation of trains and the environment such as speed including TSRs,curvature and stiffness. It should also consider how these elements interact at the wheel-rail interface. Network Rail should also extend this study to see if the effect of lowered speed restrictions increasing gauge spreading forces could exist elsewhere on their system.</t>
  </si>
  <si>
    <t>UK-67/2</t>
  </si>
  <si>
    <t>Network Rail should review and change the competence assurance system covering the staff that mainta</t>
  </si>
  <si>
    <t>Network Rail should review and change the competence assurance system covering the staff that maintain the track in the Liverpool Loop tunnel to ensure that it is appropriate to the special features of its construction.</t>
  </si>
  <si>
    <t>UK-67/3</t>
  </si>
  <si>
    <t>Network Rail should review and enhance, where appropriate, its current instructions on the use of ti</t>
  </si>
  <si>
    <t>Network Rail should review and enhance, where appropriate, its current instructions on the use of tie-bars in order to clarify under what circumstances their use is appropriate and to prevent situations (as occurred on the Loop) where an over-reliance on their use may occur at the expense of carrying out more permanent repairs.</t>
  </si>
  <si>
    <t>UK-67/4</t>
  </si>
  <si>
    <t>Network Rail should require that any dispensations on the six months timescale applying to the use o</t>
  </si>
  <si>
    <t>Network Rail should require that any dispensations on the six months timescale applying to the use of tie-bars should be justified by risk assessment and formally authorised at Territory level.</t>
  </si>
  <si>
    <t>UK-67/5</t>
  </si>
  <si>
    <t>Network Rail should carry out studies to predict the fatigue life of tie-bars in different applicati</t>
  </si>
  <si>
    <t>Network Rail should carry out studies to predict the fatigue life of tie-bars in different applications and ensure consistency with standards and practice to deliver tie-bars that are fit-for-purpose for all situations.</t>
  </si>
  <si>
    <t>UK-67/6</t>
  </si>
  <si>
    <t>Taking the outcome of the work in Recommendation 1 above, Network Rail should review the level of re</t>
  </si>
  <si>
    <t>Taking the outcome of the work in Recommendation 1 above, Network Rail should review the level of resources - both staff and supervision - available to the Merseyrail Track Maintenance Engineer and ensure enough are provided to implement and then sustain the appropriate maintenance regime required for the Liverpool Loop.</t>
  </si>
  <si>
    <t>UK-67/7</t>
  </si>
  <si>
    <t>Network Rail should implement a system to regularly clean the track bed of the Liverpool Loop Tunnel</t>
  </si>
  <si>
    <t>Network Rail should implement a system to regularly clean the track bed of the Liverpool Loop Tunnel so that the build up of corrosive contaminants is minimised.</t>
  </si>
  <si>
    <t>UK-67/8</t>
  </si>
  <si>
    <t>Merseyrail should implement improvements to the emergency lighting system fitted to the class 507 an</t>
  </si>
  <si>
    <t>Merseyrail should implement improvements to the emergency lighting system fitted to the class 507 and 508 trains to increase the duration for which it is effective in an emergency.</t>
  </si>
  <si>
    <t>UK-666/1</t>
  </si>
  <si>
    <t>LUL should formalise guidelines, or other safeguards, to assist signallers when a train passes a sig</t>
  </si>
  <si>
    <t>LUL should formalise guidelines, or other safeguards, to assist signallers when a train passes a signal protecting a junction at danger (paragraph 134b).</t>
  </si>
  <si>
    <t>UK-666/2</t>
  </si>
  <si>
    <t>LUL should make use of simulation techniques (including simulators) to enable signallers to practise</t>
  </si>
  <si>
    <t>LUL should make use of simulation techniques (including simulators) to enable signallers to practise their response in degraded working conditions, including communication with train operators (paragraph 134c).</t>
  </si>
  <si>
    <t>UK-666/3</t>
  </si>
  <si>
    <t>LUL should improve the arrangements for training, rehearsing and auditing the use of safety critical</t>
  </si>
  <si>
    <t>LUL should improve the arrangements for training, rehearsing and auditing the use of safety critical communication skills to reinforce compliance, particularly among occasional users (paragraph 135). This should establish the principle of a defined person having lead responsibility in all safety critical communications.</t>
  </si>
  <si>
    <t>UK-666/4</t>
  </si>
  <si>
    <t>LULâ€™s medical advisory service should reissue its guidance to managers to clarify the categories of</t>
  </si>
  <si>
    <t>LULâ€™s medical advisory service should reissue its guidance to managers to clarify the categories of staff to whom working restrictions apply for specific types of medication (paragraph 136).</t>
  </si>
  <si>
    <t>UK-666/5</t>
  </si>
  <si>
    <t>LULâ€™s medical advisory service, when providing guidance to managers, should consider whether staff s</t>
  </si>
  <si>
    <t>LULâ€™s medical advisory service, when providing guidance to managers, should consider whether staff subject to medical working time restrictions should be permitted to work anything other than the standard roster for that individual (paragraph 137).</t>
  </si>
  <si>
    <t>UK-666/6</t>
  </si>
  <si>
    <t>LUL should re-brief staff on their procedures to require a post-incident report to be prepared by th</t>
  </si>
  <si>
    <t>LUL should re-brief staff on their procedures to require a post-incident report to be prepared by the person(s) directly involved, and provide staff with the opportunity to do this (paragraph 138).</t>
  </si>
  <si>
    <t>UK-665/1</t>
  </si>
  <si>
    <t>While maintaining the requirement that one maintenance tester should be in overall charge of the tes</t>
  </si>
  <si>
    <t>While maintaining the requirement that one maintenance tester should be in overall charge of the testing, Network Rail should revise its maintenance documentation such as the SMTH to make it explicitly clear that if installation work is carried out off site in advance of site work, this pre-work should be tested if practicable at that stage (paragraphs 204a, b and 208d).</t>
  </si>
  <si>
    <t>UK-665/2</t>
  </si>
  <si>
    <t>Network Rail should revise its procedures so that where planned project work is carried out under th</t>
  </si>
  <si>
    <t>Network Rail should revise its procedures so that where planned project work is carried out under the SMTH, the arrangements for testing of the completed works (and any partially completed works) should be planned and documented in advance and briefed to those undertaking the work prior to the commencement of those works (paragraphs 204c, 206a and 208c).</t>
  </si>
  <si>
    <t>UK-665/3</t>
  </si>
  <si>
    <t>In respect of points testing, Network Rail should clarify and brief their staff as to: whether or no</t>
  </si>
  <si>
    <t>In respect of points testing, Network Rail should clarify and brief their staff as to: whether or not the signallerâ€™s indications should be monitored during the out of correspondence test (paragraphs 204d and 209a); the method of carrying out the detection test of HW type point machines (paragraph 209b); and the need to continually monitor the detection relays during the manual operation of points when the out of correspondence test is being carried out. The points should be moved at a rate that allows any false operation of the relays during their travel to be observed (paragraph 209c).</t>
  </si>
  <si>
    <t>UK-665/4</t>
  </si>
  <si>
    <t>Network Rail should consider the introduction of a process that is suitable for planned small-scale</t>
  </si>
  <si>
    <t>Network Rail should consider the introduction of a process that is suitable for planned small-scale enhancement projects of the type originally conceived for the HW1000 point machine renewal project in Scotland. Consideration should be given to the inclusion of the following elements in any new process: a project specification; the issue of design drawings; a strategy for the testing, including the resources required; the appointment of the tester in advance; a written test plan; and a system that documents the completion of specific stages of the testing (paragraphs 205a, 208a, b, c and d).</t>
  </si>
  <si>
    <t>UK-665/5</t>
  </si>
  <si>
    <t>Network Rail should review the adequacy of the system of written records arising from work carried o</t>
  </si>
  <si>
    <t>Network Rail should review the adequacy of the system of written records arising from work carried out under the SMTH so that the completion of specific stages of work covered by the SMTH gives rise to specific records of what has been done (paragraph 208a).</t>
  </si>
  <si>
    <t>UK-665/6</t>
  </si>
  <si>
    <t>Network Rail should revise its current system for the updating of amended maintenance drawings with</t>
  </si>
  <si>
    <t>Network Rail should revise its current system for the updating of amended maintenance drawings with the aim of reducing the time taken to do so. This should include prescribing clear timescales in standards (paragraph 209d).</t>
  </si>
  <si>
    <t>UK-664/1</t>
  </si>
  <si>
    <t>Carillion Construction Ltd, through its Carillion Rail business unit, should review its processes fo</t>
  </si>
  <si>
    <t>Carillion Construction Ltd, through its Carillion Rail business unit, should review its processes for mobilisation of projects following contract award, so that these processes include arrangements for staff to become familiar with the areas in which they will work, and the provision of suitable and sufficient resources to facilitate this (paragraphs 144a, 145b, 146a, 154).</t>
  </si>
  <si>
    <t>UK-664/2</t>
  </si>
  <si>
    <t>Carillion Construction Ltd, through its SkyBlue Rail business unit, should revise its operating proc</t>
  </si>
  <si>
    <t>Carillion Construction Ltd, through its SkyBlue Rail business unit, should revise its operating procedures to include processes to enable people supplied to work in safety critical roles to be familiar with the locations where they are to work, either by previous experience or, where this is not the case, with familiarisation by an appropriate means provided by the client (paragraphs 144a, 145b).</t>
  </si>
  <si>
    <t>UK-664/3</t>
  </si>
  <si>
    <t>Carillion Construction Ltd, through its Carillion Rail business unit, should review its safety manag</t>
  </si>
  <si>
    <t>Carillion Construction Ltd, through its Carillion Rail business unit, should review its safety management policies and procedures relevant to the protection of people on or near the line that are used in the North London Railway Infrastructure Project and revise them where necessary, so that they are complete and coherent and describe a safety management system that is suitable and effective for the protection of the people who are working on or affected by the project (paragraph 152).</t>
  </si>
  <si>
    <t>UK-647/1</t>
  </si>
  <si>
    <t>Docklands Light Railway Ltd should establish criteria for the location of point position indicators.</t>
  </si>
  <si>
    <t>Docklands Light Railway Ltd should establish criteria for the location of point position indicators. These criteria should form the basis of a review of the sighting of all point position indicators and subsequent improvements. This should include factors such as: the height and angle of the point position indicator above rail height; the position of the point position indicator in relation to the track alignment; and the conspicuity of point position indicators when unlit</t>
  </si>
  <si>
    <t>UK-647/2</t>
  </si>
  <si>
    <t>Docklands Light Railway Ltd, in consultation with Serco Docklands, should review the alarm managemen</t>
  </si>
  <si>
    <t>Docklands Light Railway Ltd, in consultation with Serco Docklands, should review the alarm management systems in the SMC, and implement any enhancements necessary to maximise the effectiveness of controllers during degraded modes of operations. The review should include: the number of alarms generated and their value to controllers; how they are displayed; actions in response to the alarms; the filters available to the controllers; and control room procedures and guidance</t>
  </si>
  <si>
    <t>UK-647/3</t>
  </si>
  <si>
    <t>Serco Docklands should re-brief its staff on procedure SOP/M-3.08, â€˜Service Bulletins, Traffic Notic</t>
  </si>
  <si>
    <t>Serco Docklands should re-brief its staff on procedure SOP/M-3.08, â€˜Service Bulletins, Traffic Notices, Emergency Notices and Restrictionsâ€™ to make clear that passenger service agents should report unlit point position indicators and that this information is passed by controllers to maintainers immediately (paragraph 263).</t>
  </si>
  <si>
    <t>UK-647/4</t>
  </si>
  <si>
    <t>Docklands Light Railway Ltd should replace all point position indicators with ones that are more con</t>
  </si>
  <si>
    <t>Docklands Light Railway Ltd should replace all point position indicators with ones that are more conspicuous (when lit) as soon as reasonably practicable (paragraph 263).</t>
  </si>
  <si>
    <t>UK-647/5</t>
  </si>
  <si>
    <t>Serco Docklands should establish and implement management arrangements for monitoring and reviewing</t>
  </si>
  <si>
    <t>Serco Docklands should establish and implement management arrangements for monitoring and reviewing the performance of controllers in order to assess the levels of compliance with current procedures and implement a system to ensure appropriate actions are taken to address any deficiencies identified (paragraph 262).</t>
  </si>
  <si>
    <t>UK-647/6</t>
  </si>
  <si>
    <t>Docklands Light Railway Ltd, in consultation with Serco Docklands should review and revise as approp</t>
  </si>
  <si>
    <t>Docklands Light Railway Ltd, in consultation with Serco Docklands should review and revise as appropriate its processes for ensuring adequate control of changes to the design and operations of the railway. This review should encompass: the management of interfaces between the operating railway, designers, installers and testers; that operational implications of design changes are correctly identified and understood; and methods of making all relevant parties, management and staff aware of changes to the method of working.</t>
  </si>
  <si>
    <t>UK-647/7</t>
  </si>
  <si>
    <t>Serco Docklands should carry out a review of training related to operations in emergency shunt mode</t>
  </si>
  <si>
    <t>Serco Docklands should carry out a review of training related to operations in emergency shunt mode and implement any enhancements necessary to maximise the effectiveness of the staff involved. This review should have the objective of: resolving the discrepancy between the emergency shunt procedure and the training; ensuring that the training and testing material includes suitable and sufficient information on â€˜trailingâ€™ points; and improving the arrangements for assessing staff competence for emergency shunt mode operations.</t>
  </si>
  <si>
    <t>UK-640/1</t>
  </si>
  <si>
    <t>Network Rail should advise UPS of the arrangements to inform it immediately a road vehicle enters th</t>
  </si>
  <si>
    <t>Network Rail should advise UPS of the arrangements to inform it immediately a road vehicle enters the railway from the depot (paragraph 66c).</t>
  </si>
  <si>
    <t>UK-640/2</t>
  </si>
  <si>
    <t>UPS should assess the risk of vehicle incursion from the depot onto the railway and make arrangement</t>
  </si>
  <si>
    <t>UPS should assess the risk of vehicle incursion from the depot onto the railway and make arrangements so that: a. those risks are eliminated or reduced, by placing a barrier at the railway boundary that is sufficient to prevent vehicle incursion onto the track, or other equally effective measures (paragraph 66d); and b. its emergency procedures require its staff to inform Network Rail immediately a road vehicle enters the railway (paragraph 66c).</t>
  </si>
  <si>
    <t>UK-640/3</t>
  </si>
  <si>
    <t>Network Rail should: a. establish a method for assessing its infrastructure to identify the sites wh</t>
  </si>
  <si>
    <t>Network Rail should: a. establish a method for assessing its infrastructure to identify the sites where the risk of incursion from private land is highest; and b. liaise with private land controllers, the Health and Safety Executive and local authorities to secure the improvement of the identified sites by those responsible for them.</t>
  </si>
  <si>
    <t>UK-64/1</t>
  </si>
  <si>
    <t>EWS should put in place a system to ensure all staff engaged in train preparation duties are re-brie</t>
  </si>
  <si>
    <t>EWS should put in place a system to ensure all staff engaged in train preparation duties are re-briefed and regularly assessed on the requirement to carry out checks on every wagon, by using the handbrake indicator and brake rigging as appropriate to the vehicle design, in addition to operating the wheel or lever, to confirm that the handbrake is fully released, in accordance with GO/RT3056 sect C4.1 &amp; E6.4 (white pages) (paragraph 160).</t>
  </si>
  <si>
    <t>UK-64/2</t>
  </si>
  <si>
    <t>EWS should put in place a system to ensure all staff engaged in train preparation duties are re-briefed and regularly assessed on the requirement for performing the roll-by examination on departure of each train from yards where such examinations are mandated (paragraphs 161 and 167).</t>
  </si>
  <si>
    <t>UK-64/3</t>
  </si>
  <si>
    <t>Freight Operators should undertake a review of the effectiveness of the roll-by examination as a saf</t>
  </si>
  <si>
    <t>Freight Operators should undertake a review of the effectiveness of the roll-by examination as a safeguard against the risk of trains departing from designated freight yards in an unfit condition and, where reasonably practicable, implement measures identified as a result. The review should include, as a minimum, consideration of whether:</t>
  </si>
  <si>
    <t>UK-64/4</t>
  </si>
  <si>
    <t>Freight Operators should:â€¢*Determine appropriate limits for handbrake application force, consistent</t>
  </si>
  <si>
    <t>Freight Operators should:â€¢*Determine appropriate limits for handbrake application force, consistent with the requirement for ease of operation;â€¢*Put systems in place to ensure that handbrakes on SSA and other fleets are maintained to these limits; and *Put systems in place to ensure that handbrake indicators are maintained to provide reliable indication to staff.â€¢</t>
  </si>
  <si>
    <t>UK-64/5</t>
  </si>
  <si>
    <t>Freight Operators and Network Rail should jointly investigate the optimum strategy to reduce the ris</t>
  </si>
  <si>
    <t>Freight Operators and Network Rail should jointly investigate the optimum strategy to reduce the risk from vehicles with handbrakes left on entering traffic, considering a combination of measures including:â€¢* Mandating roll-by tests at freight yards;â€¢* Fitting handbrake interlocks to freight wagons;â€¢*Locating HWDs to pick up skidding wheels or dragging brakes on vehicle emerging from freight yards in order to reduce the residual risk from any vehicles not fitted with handbrake interlocks; and instigate changes to appropriate standards so as to ensure consistent practice across the UK. Paragraphs 160, 161 and 162)</t>
  </si>
  <si>
    <t>UK-638/1</t>
  </si>
  <si>
    <t>Network Rail should identify metal bridges having features that could conceal corrosion occurring on</t>
  </si>
  <si>
    <t>Network Rail should identify metal bridges having features that could conceal corrosion occurring on critical structural parts. It should take intervention action as necessary to secure the safety of trains and the public.</t>
  </si>
  <si>
    <t>UK-638/2</t>
  </si>
  <si>
    <t>Network Rail should develop criteria for when hidden critical structural parts of bridges should be</t>
  </si>
  <si>
    <t>Network Rail should develop criteria for when hidden critical structural parts of bridges should be examined, and apply them to its processes for the management of bridges.</t>
  </si>
  <si>
    <t>UK-638/3</t>
  </si>
  <si>
    <t>Network Rail should produce and implement guidance on what methods should be routinely used to exami</t>
  </si>
  <si>
    <t>Network Rail should produce and implement guidance on what methods should be routinely used to examine parts of metal bridges that are permanently hidden by ballast, waterproofing arrangements, or other similar construction features (such as work to remove concealing features or use of remote inspection probes). It should require those undertaking bridge examinations to use such methods, as appropriate, when examinations are demanded by the criteria developed in response to Recommendation 2.</t>
  </si>
  <si>
    <t>UK-638/4</t>
  </si>
  <si>
    <t>Network Rail should review its standards and procedures for the design and approval of new and modif</t>
  </si>
  <si>
    <t>Network Rail should review its standards and procedures for the design and approval of new and modified bridges, and their implementation, and make necessary changes to confirm that: the designer identifies the parts that need to be periodically inspected in order to verify structural integrity; the designer designs the works with access to permit examination of such parts; the checker of the design confirms that the design includes suitable provision for the routine examination of such parts; designs that do not meet the criteria listed above are not approved for construction; and procedures for the examination of such works take into account the inspection needs identified by the designer, and the access means provided.</t>
  </si>
  <si>
    <t>UK-638/5</t>
  </si>
  <si>
    <t>Network Rail should review its processes for the management of bridges, and their implementation, an</t>
  </si>
  <si>
    <t>Network Rail should review its processes for the management of bridges, and their implementation, and make changes to confirm that: a single list referencing the most up-to-date information regarding the history, condition and assessed capacity of each bridge is made available, in an appropriate format, to those making decisions regarding its structural safety; there is a formal means of alerting Network Rail to urgent findings arising from assessment work; all decisions regarding exposing hidden critical structural parts during examinations, and the justification supporting these decisions, are included in the bridge records; the evaluation process includes consideration of the corroded condition of load bearing members, and guidance so that the effects of corrosion are understood and taken into account; all decisions regarding intervention actions critical to the structural integrity of the bridge, made as a result of an evaluation, or otherwise, are recorded with the bridge records, including a record of t</t>
  </si>
  <si>
    <t>UK-638/6</t>
  </si>
  <si>
    <t>Network Rail should review its processes and make necessary changes so that previously reported defe</t>
  </si>
  <si>
    <t>Network Rail should review its processes and make necessary changes so that previously reported defects affecting structural integrity that are not reported in subsequent examinations and inspections are identified; the revised processes should be such that all such discrepancies are resolved.</t>
  </si>
  <si>
    <t>UK-638/7</t>
  </si>
  <si>
    <t>Network Rail should identify all underbridge assessments where, for load bearing members, there have</t>
  </si>
  <si>
    <t>Network Rail should identify all underbridge assessments where, for load bearing members, there have been reports of severe corrosion that has not been accounted for, or critical dimensions have been assumed, and take suitable steps to secure the safety of trains and the public.</t>
  </si>
  <si>
    <t>UK-638/8</t>
  </si>
  <si>
    <t>Network Rail should review its procedures for the assessment of structures, and make necessary chang</t>
  </si>
  <si>
    <t>Network Rail should review its procedures for the assessment of structures, and make necessary changes, to: forbid the use of key dimensional information for load bearing members that has not been verified, either on site, or from as-built drawings; and specify the criteria for when the corroded condition of load bearing members must be assessed.</t>
  </si>
  <si>
    <t>UK-638/9</t>
  </si>
  <si>
    <t>Network Rail should review its procedures for the management of structures, and their implementation</t>
  </si>
  <si>
    <t>Network Rail should review its procedures for the management of structures, and their implementation, and make changes to confirm that reports of urgent defects are: reliably delivered to the correct personnel; and used to develop and implement appropriate actions.</t>
  </si>
  <si>
    <t>UK-638/10</t>
  </si>
  <si>
    <t>Network Rail should evaluate the feasibility of using the track geometry data recorded by its track</t>
  </si>
  <si>
    <t>Network Rail should evaluate the feasibility of using the track geometry data recorded by its track measurement trains so that trends can be seen that could be used to identify underbridges that may have degraded to an unsafe condition. If reasonably practicable, it should develop and implement appropriate analysis tools and processes and make these available to engineers responsible for the management of structures and track.</t>
  </si>
  <si>
    <t>UK-628/1</t>
  </si>
  <si>
    <t>DB Schenker should carry out a review of the activities at its terminals, and introduce systems to m</t>
  </si>
  <si>
    <t>DB Schenker should carry out a review of the activities at its terminals, and introduce systems to minimise the incidence of out of gauge loads. This review and the subsequent actions taken should address, in particular: the arrangements for monitoring the performance of staff; the training and assessment of staff; methods of verifying the gauge compliance of trains leaving terminals; interfaces between the different systems used to manage container traffic; and the procedures used for processing information relating to dangerous goods traffic. (paragraphs 160, 161c, 161d, 166)</t>
  </si>
  <si>
    <t>UK-628/2</t>
  </si>
  <si>
    <t>DB Schenker should examine the feasibility of revising the container storage and handling arrangemen</t>
  </si>
  <si>
    <t>DB Schenker should examine the feasibility of revising the container storage and handling arrangements at Wakefield Europort to reduce the likelihood of confusion between different box sizes, and implement any appropriate changes which are identified (paragraphs 160, 161a).</t>
  </si>
  <si>
    <t>UK-628/3</t>
  </si>
  <si>
    <t>DB Schenker should, in co-operation with other system users as appropriate, request that the ERIC sy</t>
  </si>
  <si>
    <t>DB Schenker should, in co-operation with other system users as appropriate, request that the ERIC system be revised to highlight alert messages that may be safety critical (paragraph 161e).</t>
  </si>
  <si>
    <t>UK-626/1</t>
  </si>
  <si>
    <t>Jarvis Rail should enhance its management systems so that the systems of work intended to be impleme</t>
  </si>
  <si>
    <t>Jarvis Rail should enhance its management systems so that the systems of work intended to be implemented by Controllers of Site Safety within work sites are pre-planned by a competent person. The method of protection should be clearly indicated on the Task Briefing Sheets and on COSS Forms (paragraphs 124a, 124b, 124c and 124h).</t>
  </si>
  <si>
    <t>UK-626/2</t>
  </si>
  <si>
    <t>Jarvis Rail should enhance its risk assessments to include Trac Rail Transposers and the inclusion o</t>
  </si>
  <si>
    <t>Jarvis Rail should enhance its risk assessments to include Trac Rail Transposers and the inclusion of any risk mitigation measures in documented working arrangements (this should include an assessment of the exclusion zone around the machines and its enforcement). Jarvis Rail should subsequently brief all relevant staff (and in particular Engineering Supervisors and Controllers of Site Safety) on the hazards identified and the nature of the exclusion zone (paragraphs 124b, 124c, 124d and 124f).</t>
  </si>
  <si>
    <t>UK-626/3</t>
  </si>
  <si>
    <t>Jarvis Rail should enhance its management systems to deliver clear communications at all work sites</t>
  </si>
  <si>
    <t>Jarvis Rail should enhance its management systems to deliver clear communications at all work sites so that all Controllers of Site Safety are made aware of work to take place at that site, when it will occur and the implications for their system of work (paragraphs 124c and 124e).</t>
  </si>
  <si>
    <t>UK-626/4</t>
  </si>
  <si>
    <t>Network Rail should review the conditions permitting the installation of fences next to tracks open</t>
  </si>
  <si>
    <t>Network Rail should review the conditions permitting the installation of fences next to tracks open to traffic at normal line speed in order to facilitate their greater provision adjacent to work sites (paragraph 124a).</t>
  </si>
  <si>
    <t>UK-626/5</t>
  </si>
  <si>
    <t>Jarvis Rail, in consultation with Network Rail, should investigate the provision of lighting which c</t>
  </si>
  <si>
    <t>Jarvis Rail, in consultation with Network Rail, should investigate the provision of lighting which can be installed with sufficient stability adjacent to lines open to traffic (paragraphs 124g and 125).</t>
  </si>
  <si>
    <t>UK-626/6</t>
  </si>
  <si>
    <t>Network Rail, in consultation with the users of Trac Rail Transposers, should review the conditions</t>
  </si>
  <si>
    <t>Network Rail, in consultation with the users of Trac Rail Transposers, should review the conditions of their operation, when they work in close proximity to lines that are open to traffic, with particular reference to the effect of the exclusion zone on the safe passage of trains (paragraph 121).</t>
  </si>
  <si>
    <t>UK-623/1</t>
  </si>
  <si>
    <t>Network Rail should consider how signallers working on their own can affirm that they have taken the</t>
  </si>
  <si>
    <t>Network Rail should consider how signallers working on their own can affirm that they have taken the correct actions when implementing procedures to cope with equipment failures that result in a degraded level of safety, and issue requirements to the routes on this subject. The guidance should identify whether there are any circumstances under which it will be mandatory for signallers to obtain verification of their actions by a second competent person, taking into account risk associated with speeds, frequency of movements and traffic type and include consideration of human factors (paragraph 200b).</t>
  </si>
  <si>
    <t>UK-623/2</t>
  </si>
  <si>
    <t>Network Rail, Western Route should review the current roster pattern at Westbury Power Signal Box to</t>
  </si>
  <si>
    <t>Network Rail, Western Route should review the current roster pattern at Westbury Power Signal Box to reduce the duration of, or eliminate, twelve-hour night shifts and make changes to the roster as appropriate (paragraph 201).</t>
  </si>
  <si>
    <t>UK-623/3</t>
  </si>
  <si>
    <t>Network Rail should develop criteria to determine the circumstances under which proposed or amended</t>
  </si>
  <si>
    <t>Network Rail should develop criteria to determine the circumstances under which proposed or amended rosters to be worked by signallers and other safety-critical staff should be evaluated using the Fatigue and Risk Index or other suitable assessment tools (with the aim of ensuring that defined thresholds are not exceeded) and provide guidance to the routes on this subject (paragraph 202a).</t>
  </si>
  <si>
    <t>UK-623/4</t>
  </si>
  <si>
    <t>Network Rail should amend its company standard NR/SP/ERG/003 to include an extended set of limits on</t>
  </si>
  <si>
    <t>Network Rail should amend its company standard NR/SP/ERG/003 to include an extended set of limits on working time for safety-critical staff, considering the scope and range of parameters applied to air traffic controllers, the guidance contained in the ROGS regulations, use of both the fatigue and risk elements of the Fatigue and Risk Index and advice from their human factors department (paragraph 202b).</t>
  </si>
  <si>
    <t>UK-623/5</t>
  </si>
  <si>
    <t>The ORR should agree with Network Rail appropriate timescales for the implementation of Recommendati</t>
  </si>
  <si>
    <t>The ORR should agree with Network Rail appropriate timescales for the implementation of Recommendation 4 and devise a programme of intervention to ensure that Network Rail develops and implements adequate measures, as described in Recommendation 4, to address the risk arising from fatigue within those timescales. If the ORR is not satisfied that Network Railâ€™s proposals to change standard NR/SP/ERG/003 address the risk, or consider that insufficient progress is being made, the ORR should consider devising and implementing its own set of working time limits to be applied to Network Railâ€™s safety-critical staff (paragraph 202c).</t>
  </si>
  <si>
    <t>UK-623/6</t>
  </si>
  <si>
    <t>Network Rail should include on its Recommendations Review Panels a representative from the human fac</t>
  </si>
  <si>
    <t>Network Rail should include on its Recommendations Review Panels a representative from the human factors department with full membership status (paragraph 202d).</t>
  </si>
  <si>
    <t>UK-623/7</t>
  </si>
  <si>
    <t>Network Rail should develop and implement a monitoring system that will enable its Recommendations R</t>
  </si>
  <si>
    <t>Network Rail should develop and implement a monitoring system that will enable its Recommendations Review Panels to identify recurring causes in all investigations into accidents and incidents on, or relevant to, its network and to enable them to identify whether previous responses to relevant recommendation have been effective (paragraph 202e).</t>
  </si>
  <si>
    <t>UK-623/8</t>
  </si>
  <si>
    <t>Network Rail, Western Route should arrange for signallers to practise a range of infrequently encoun</t>
  </si>
  <si>
    <t>Network Rail, Western Route should arrange for signallers to practise a range of infrequently encountered situations (such as the introduction of pilot working) on a simulator at regular intervals within the three-year competence cycle (paragraph 203).</t>
  </si>
  <si>
    <t>UK-623/9</t>
  </si>
  <si>
    <t>Network Rail should introduce simulated emergency exercises for all controllers who have not experie</t>
  </si>
  <si>
    <t>Network Rail should introduce simulated emergency exercises for all controllers who have not experienced handling NRN emergency messages during the three-year competence cycle (paragraph 204).</t>
  </si>
  <si>
    <t>UK-623/10</t>
  </si>
  <si>
    <t>Network Rail should amend company standard NR/L3/OCS/043/2.1 to identify key information to be gathe</t>
  </si>
  <si>
    <t>Network Rail should amend company standard NR/L3/OCS/043/2.1 to identify key information to be gathered by controllers when receiving an NRN emergency call, or when they are advised of an accident having made a NRN emergency call, and ensure that training and reference material for controllers encompasses this change (paragraph 205).</t>
  </si>
  <si>
    <t>UK-622/1</t>
  </si>
  <si>
    <t>Network Rail should a.revise its method of automatic level crossing inspection and assessment so tha</t>
  </si>
  <si>
    <t>Network Rail should a.revise its method of automatic level crossing inspection and assessment so that it identifies road traffic signals that are difficult to discern because of the effect of sunlight, lamp unit performance and alignment; and b.draw up and implement a programme to improve the identified crossings, with those presenting the highest risk improved ahead of those of lower risk.</t>
  </si>
  <si>
    <t>UK-622/2</t>
  </si>
  <si>
    <t>Network Rail should review and revise its management systems to confirm that it carries out its leve</t>
  </si>
  <si>
    <t>Network Rail should review and revise its management systems to confirm that it carries out its level crossing inspections and assessments correctly and completely. It should pay particular attention to making certain that it: a.issues its staff with the appropriate versions of the standards, documents and procedures they require; b.upgrades crossings when required to do so, and considers upgrade or closure when the opportunity arises; c. identifies high risk crossings where the required site visits have not taken place; d. carries out the site visits arising from 2(c) to identify and assess measures to reduce risk; and e. implements those measures that are approved, improving the crossings presenting the highest risk ahead of those of lower risk.</t>
  </si>
  <si>
    <t>UK-622/3</t>
  </si>
  <si>
    <t>Cumbria County Council should have the â€˜STOPâ€™ road markings entirely removed from the road surfaces</t>
  </si>
  <si>
    <t>Cumbria County Council should have the â€˜STOPâ€™ road markings entirely removed from the road surfaces adjacent to the crossingâ€™s north and south approaches.</t>
  </si>
  <si>
    <t>UK-622/4</t>
  </si>
  <si>
    <t>Network Rail should replace the south facing â€˜ANOTHER TRAIN COMINGâ€™ signal at Wraysholme crossing wi</t>
  </si>
  <si>
    <t>Network Rail should replace the south facing â€˜ANOTHER TRAIN COMINGâ€™ signal at Wraysholme crossing with an improved signal or other method that is discernible by users in all foreseeable conditions.</t>
  </si>
  <si>
    <t>UK-622/5</t>
  </si>
  <si>
    <t>The Office of Rail Regulation should revise its guidance on automatic open locally monitored level c</t>
  </si>
  <si>
    <t>The Office of Rail Regulation should revise its guidance on automatic open locally monitored level crossings to: a. recognise that local and seasonal events may result in temporarily increased road vehicle use; and b. advise on how any such increased road vehicle use should be considered when calculating maximum train speed.</t>
  </si>
  <si>
    <t>UK-616/1</t>
  </si>
  <si>
    <t>Network Rail and NET should install signs at the outer extremes of the Bayles and Wylies level cross</t>
  </si>
  <si>
    <t>Network Rail and NET should install signs at the outer extremes of the Bayles and Wylies level crossing, and at the exits from the central refuge, warning pedestrians who are about to cross the lines that trains and trams can approach in either direction at any time on both the railway and the tramway (paragraph 169).</t>
  </si>
  <si>
    <t>UK-616/2</t>
  </si>
  <si>
    <t>Network Rail and Nottinghamshire County Council should jointly assess the lighting of Bayles and Wyl</t>
  </si>
  <si>
    <t>Network Rail and Nottinghamshire County Council should jointly assess the lighting of Bayles and Wylies level crossing, and if necessary alter it so that it is adequate for pedestrians to clearly see where they are walking when crossing the line (paragraph 169).</t>
  </si>
  <si>
    <t>UK-616/3</t>
  </si>
  <si>
    <t>Network Rail, together with NET, should re-assess Bayles and Wylies crossing and establish if the in</t>
  </si>
  <si>
    <t>Network Rail, together with NET, should re-assess Bayles and Wylies crossing and establish if the installation of additional protective measures, such as a miniature warning light system, are required (paragraph 169).</t>
  </si>
  <si>
    <t>UK-616/4</t>
  </si>
  <si>
    <t>Network Rail should revise their procedures for assessing and inspecting level crossings so that the</t>
  </si>
  <si>
    <t>Network Rail should revise their procedures for assessing and inspecting level crossings so that they allow for differing conditions in hours of darkness, allowing for the variable levels of luminous intensity from train night-time headlights, the variable duration of train horns and their sound levels relative to ambient noise and for the period when drivers do not sound their horns (paragraph 169).</t>
  </si>
  <si>
    <t>UK-616/5</t>
  </si>
  <si>
    <t>Network Rail should amend their processes to re-assess crossings when circumstances at the location</t>
  </si>
  <si>
    <t>Network Rail should amend their processes to re-assess crossings when circumstances at the location have changed to include instances when lines have, or are planned to be, closed (paragraph 169).</t>
  </si>
  <si>
    <t>UK-616/6</t>
  </si>
  <si>
    <t>Network Rail should revise its management processes for inspecting and assessing level crossings to</t>
  </si>
  <si>
    <t>Network Rail should revise its management processes for inspecting and assessing level crossings to compare previous inspections and assessments, and identify and resolve any substantial variations in the data presented (paragraph 170).</t>
  </si>
  <si>
    <t>UK-616/7</t>
  </si>
  <si>
    <t>The Rail Safety and Standards Board should evaluate the risk from the operation of trains with less</t>
  </si>
  <si>
    <t>The Rail Safety and Standards Board should evaluate the risk from the operation of trains with less luminous intensity from night-time headlights than that required from current railway group standards. If the risk is considered unacceptable the RSSB should propose, in accordance with the group standards code, changes to railway group standards to require all trains operating on the Network Rail system to be brought up to, and maintained at, an acceptable standard of luminous intensity within a defined timescale (paragraph 167).</t>
  </si>
  <si>
    <t>UK-616/8</t>
  </si>
  <si>
    <t>Nexus and Network Rail should review the pedestrian level crossings at South Drive and Benton Squar</t>
  </si>
  <si>
    <t>Nexus and Network Rail should review the pedestrian level crossings at South Drive and Benton Square jointly and apply any relevant learning points from this investigation to them (paragraph 170).</t>
  </si>
  <si>
    <t>UK-579/1</t>
  </si>
  <si>
    <t>Network Rail should complete its reviews of Llanbadarn ABCL and implement any actions that it deems</t>
  </si>
  <si>
    <t>Network Rail should complete its reviews of Llanbadarn ABCL and implement any actions that it deems reasonably practicable to improve the safety of the crossing (paragraphs 151 and 154</t>
  </si>
  <si>
    <t>UK-579/2</t>
  </si>
  <si>
    <t>Network Rail should amend the timings of Forden crossing so that it is possible for drivers to obser</t>
  </si>
  <si>
    <t>Network Rail should amend the timings of Forden crossing so that it is possible for drivers to observe a flashing white aspect on the driverâ€™s crossing indicator when passing the special speed restriction board (paragraph 140).</t>
  </si>
  <si>
    <t>UK-579/3</t>
  </si>
  <si>
    <t>The Rail Safety and Standards Board should make a proposal, in accordance with the Railway Group Sta</t>
  </si>
  <si>
    <t>The Rail Safety and Standards Board should make a proposal, in accordance with the Railway Group Standards Code, to amend paragraph 4.2 of module TW8 of the Rule Book so as to make explicit that a driver should start to control his speed at once if he observes a flashing red aspect when passing the special speed restriction board of a locally monitored automatic crossing (paragraph 141).</t>
  </si>
  <si>
    <t>UK-579/4</t>
  </si>
  <si>
    <t>Arriva Trains Wales should review its training (and training material) for drivers who have to drive</t>
  </si>
  <si>
    <t>Arriva Trains Wales should review its training (and training material) for drivers who have to drive over locally monitored automatic crossings to make clear the meaning of the position of the special speed restriction board, and the need to control the speed of the train if the driverâ€™s crossing indicator is not showing a flashing white aspect when a driver passes it (paragraph 141).</t>
  </si>
  <si>
    <t>UK-579/5</t>
  </si>
  <si>
    <t>Network Rail should review the ALCRM assessment for Llanbadarn ABCL to take into account the risk of</t>
  </si>
  <si>
    <t>Network Rail should review the ALCRM assessment for Llanbadarn ABCL to take into account the risk of a Vale of Rheidol Railway train causing a flashing red aspect of the driverâ€™s crossing indicator to display when a train arrives on the Network Rail line, and the short sighting time to the down direction special speed restriction board, and, if appropriate, take any actions identified as reasonably practicable (paragraph 145).</t>
  </si>
  <si>
    <t>UK-579/6</t>
  </si>
  <si>
    <t>Network Rail should complete its assessment of the other locally monitored automatic crossings on it</t>
  </si>
  <si>
    <t>Network Rail should complete its assessment of the other locally monitored automatic crossings on its network (paragraph 149).</t>
  </si>
  <si>
    <t>UK-579/7</t>
  </si>
  <si>
    <t>Network Rail should, if required in the light of Recommendation 6, amend crossing timings so that it</t>
  </si>
  <si>
    <t>Network Rail should, if required in the light of Recommendation 6, amend crossing timings so that it is possible for drivers to observe the white flashing aspect on the driverâ€™s crossing indicator before they reach the special speed restriction board (paragraph 149).</t>
  </si>
  <si>
    <t>UK-579/8</t>
  </si>
  <si>
    <t>Network Rail should implement monitoring of the compliance by signalling maintenance staff on the Ca</t>
  </si>
  <si>
    <t>Network Rail should implement monitoring of the compliance by signalling maintenance staff on the Cambrian Lines with the requirement in RT/SMS/Test/071 to contact the signaller before working on locally controlled automatic crossings, so as to be able to take steps to address any deficiencies identified (paragraph 150).</t>
  </si>
  <si>
    <t>UK-572/1</t>
  </si>
  <si>
    <t>Tramtrack Croydon Ltd (trading as London Tramlink) should, following its assessment of the risks at</t>
  </si>
  <si>
    <t>Tramtrack Croydon Ltd (trading as London Tramlink) should, following its assessment of the risks at footpath crossings on its system, and where it is appropriate and practicable to do so, modify the crossings so that users are influenced to look both ways before crossing, and cyclists are encouraged to slow down sufficiently (by means such as the provision of barriers, signs and/or markings), to give them time to become aware of approaching trams (paragraphs 87b, 88b).</t>
  </si>
  <si>
    <t>UK-558/1</t>
  </si>
  <si>
    <t>EWS should include napping within its fatigue management system and implement it as a fatigue counte</t>
  </si>
  <si>
    <t>EWS should include napping within its fatigue management system and implement it as a fatigue counter-measure if the assessed risk of fatigue indicates that it is necessary (paragraph 195).</t>
  </si>
  <si>
    <t>UK-558/2</t>
  </si>
  <si>
    <t>If the assessed risk of fatigue requires napping as a fatigue counter-measure, EWS should provide fa</t>
  </si>
  <si>
    <t>If the assessed risk of fatigue requires napping as a fatigue counter-measure, EWS should provide facilities so that naps may be taken at locations where drivers take breaks and build sufficient time into rosters for taking naps and recovery afterwards (paragraph 196).</t>
  </si>
  <si>
    <t>UK-558/3</t>
  </si>
  <si>
    <t>The RSSB should initiate research to investigate whether a technique to deliberately shorten a night</t>
  </si>
  <si>
    <t>The RSSB should initiate research to investigate whether a technique to deliberately shorten a nightâ€™s sleep when changing from day shift to night shift and following this by sleep in the afternoon could be a viable means of reducing the risk of fatigue during the subsequent nightshift (paragraph 197).</t>
  </si>
  <si>
    <t>UK-558/4</t>
  </si>
  <si>
    <t>The RSSB should investigate and if reasonably practicable instigate a change to Railway Group Standa</t>
  </si>
  <si>
    <t>The RSSB should investigate and if reasonably practicable instigate a change to Railway Group Standard GO/RT3251 so that screening for sleep disorders is required as part of the system of regular medical surveillance applied to train drivers and following incidents/accidents where fatigue has been identified as a possible causal or contributory factor (paragraph 198).</t>
  </si>
  <si>
    <t>UK-558/5</t>
  </si>
  <si>
    <t>EWS should produce simple, targeted guidance for train drivers that provides clear advice on how the</t>
  </si>
  <si>
    <t>EWS should produce simple, targeted guidance for train drivers that provides clear advice on how they should conduct their lifestyles outside work so that levels of alertness are adequate when at work. The guidance should include the specific issue of how drivers should prepare for a first night shift (paragraph 200).</t>
  </si>
  <si>
    <t>UK-558/6</t>
  </si>
  <si>
    <t>EWS should implement a system to rebrief at intervals the guidance issued as a result of Recommendat</t>
  </si>
  <si>
    <t>EWS should implement a system to rebrief at intervals the guidance issued as a result of Recommendation 5 above and include the families of drivers in the briefing if possible (paragraph 200).</t>
  </si>
  <si>
    <t>UK-558/7</t>
  </si>
  <si>
    <t>The RSSB should initiate research to investigate the practicalities of implementing personal respons</t>
  </si>
  <si>
    <t>The RSSB should initiate research to investigate the practicalities of implementing personal responsibility statements and/or sleep contracts, and to investigate the benefits these could provide in reducing the risk of fatigue of persons working in the railway industry (paragraph 201).</t>
  </si>
  <si>
    <t>UK-558/8</t>
  </si>
  <si>
    <t>EWS should implement a system where standard, simple questions are asked of drivers when being check</t>
  </si>
  <si>
    <t>EWS should implement a system where standard, simple questions are asked of drivers when being checked face to face for fitness for duty in order to identify cases of very long spells without sleep and alert managers to cases of particularly high levels of fatigue (paragraphs 202 to 203).</t>
  </si>
  <si>
    <t>UK-558/9</t>
  </si>
  <si>
    <t>Network Rail should extend the right hand switch rail of trap points 52A to direct a derailed train</t>
  </si>
  <si>
    <t>Network Rail should extend the right hand switch rail of trap points 52A to direct a derailed train clear of the adjacent line (paragraphs 204 to 207).</t>
  </si>
  <si>
    <t>UK-558/10</t>
  </si>
  <si>
    <t>Network Rail should reposition the SPT fitted to signal 53 so that it is located before the signal c</t>
  </si>
  <si>
    <t>Network Rail should reposition the SPT fitted to signal 53 so that it is located before the signal close to where drivers are required to stop if the signal is at danger at the position required by their companiesâ€™ PDP (paragraph 209).</t>
  </si>
  <si>
    <t>UK-557/1</t>
  </si>
  <si>
    <t>London Underground Ltd should amend site management procedures to record the satisfactory completion</t>
  </si>
  <si>
    <t>London Underground Ltd should amend site management procedures to record the satisfactory completion of pre-use brake checks. This should consider predelivery and on-site physical inspections recognising that the current tests are only partially effective (paragraphs 116 and 124).</t>
  </si>
  <si>
    <t>UK-557/2</t>
  </si>
  <si>
    <t>London Underground Ltd should ensure that standards which relate to trolley design and acceptance re</t>
  </si>
  <si>
    <t>London Underground Ltd should ensure that standards which relate to trolley design and acceptance require assessment and mitigation of risks associated with unauthorised modification of brake systems (paragraph 117).</t>
  </si>
  <si>
    <t>UK-557/3</t>
  </si>
  <si>
    <t>London Underground Ltd should ensure that existing trolleys are assessed against the requirements of</t>
  </si>
  <si>
    <t>London Underground Ltd should ensure that existing trolleys are assessed against the requirements of Recommendation 2 (paragraph 117).</t>
  </si>
  <si>
    <t>UK-557/4</t>
  </si>
  <si>
    <t>London Underground Ltd and Network Rail should conduct studies into trolley design with an objective</t>
  </si>
  <si>
    <t>London Underground Ltd and Network Rail should conduct studies into trolley design with an objective of improving the ergonomic issues connected with propelling and braking hand trolleys (paragraph 118).</t>
  </si>
  <si>
    <t>UK-557/5</t>
  </si>
  <si>
    <t>London Underground Ltd together with Metronet and Tube Lines, should review and determine how to ens</t>
  </si>
  <si>
    <t>London Underground Ltd together with Metronet and Tube Lines, should review and determine how to ensure Track Trolley Operators are aware of and know how to apply the controls to mitigate the risks relating to gradients when operating track trolleys (paragraph 117).</t>
  </si>
  <si>
    <t>UK-557/6</t>
  </si>
  <si>
    <t>London Underground Ltd should ensure that the training of Track Trolley Operators includes the provi</t>
  </si>
  <si>
    <t>London Underground Ltd should ensure that the training of Track Trolley Operators includes the provision of appropriate reference material to carry on site (paragraph 123).</t>
  </si>
  <si>
    <t>UK-557/7</t>
  </si>
  <si>
    <t>London Underground Ltd should revise the Site Person in Charge training and reference material to en</t>
  </si>
  <si>
    <t>London Underground Ltd should revise the Site Person in Charge training and reference material to ensure that the SPICâ€™s responsibilities for accident and incident reporting to London Underground Ltd are defined (paragraph 122).</t>
  </si>
  <si>
    <t>UK-557/8</t>
  </si>
  <si>
    <t>London Underground Ltd, Metronet and Tubelines, if applicable, should ensure that all contracts and</t>
  </si>
  <si>
    <t>London Underground Ltd, Metronet and Tubelines, if applicable, should ensure that all contracts and subcontracts for work on the network are aligned in respect of legal accident and incident reporting requirements (paragraph 122).</t>
  </si>
  <si>
    <t>UK-557/9</t>
  </si>
  <si>
    <t>The Network Rail M&amp;EE Networking Group should consider the participation of LUL and the Infracos in</t>
  </si>
  <si>
    <t>The Network Rail M&amp;EE Networking Group should consider the participation of LUL and the Infracos in its activities (paragraph 126).</t>
  </si>
  <si>
    <t>UK-539/1</t>
  </si>
  <si>
    <t>Network Rail should identify, through the examination process, any other wall on the network which h</t>
  </si>
  <si>
    <t>Network Rail should identify, through the examination process, any other wall on the network which has a similar construction to the block wall at Kemble, and is also a free standing wall in front of a natural slope. Network Rail should consider the stability of such walls against any likely loading, taking due account of the blockage of weep holes and other drainage problems. Network Rail should instigate remedial action as appropriate (paragraphs 112, 113).</t>
  </si>
  <si>
    <t>UK-539/2</t>
  </si>
  <si>
    <t>Network Rail should undertake a review of the classification of walls on their infrastructure so tha</t>
  </si>
  <si>
    <t>Network Rail should undertake a review of the classification of walls on their infrastructure so that the purpose of each wall is correctly identified in the records and notified to structures examiners. Network Rail should inform structures examiners about any changes in the classification of structures that they are to examine in the current programme (paragraph 113).</t>
  </si>
  <si>
    <t>UK-538/1</t>
  </si>
  <si>
    <t>HST owners, National Express East Coast and other HST operators should re-examine the set-up and mai</t>
  </si>
  <si>
    <t>HST owners, National Express East Coast and other HST operators should re-examine the set-up and maintenance requirements for HST luggage van doors to promote safer operation. They should include consideration of previous incidents, original design drawings and maintenance experience. As a result they should amend their procedures as necessary, paying particular attention to inspection of the centre trolleys, pins and rollers; set-up and attachment of cam blocks; checking main lock spring rates; and correct set-up of main lock engagement with the striker plate.</t>
  </si>
  <si>
    <t>UK-538/2</t>
  </si>
  <si>
    <t>HST owners and operators should consider whether peened centre pins should be replaced by a more rel</t>
  </si>
  <si>
    <t>HST owners and operators should consider whether peened centre pins should be replaced by a more reliably fixed pin. If the use of peened pins is continued, consideration should be given to positioning the pinsâ€™ heads towards the door and the peening towards the luggage van (paragraph 86 6th bullet and 88).</t>
  </si>
  <si>
    <t>UK-538/3</t>
  </si>
  <si>
    <t>National Express East Coast should put in place procedures mandating the monitoring of the frequency</t>
  </si>
  <si>
    <t>National Express East Coast should put in place procedures mandating the monitoring of the frequency of luggage van doors being found open in traffic and the factors that may be causing this. The procedures should also require that corrective actions should be identified and put in place (paragraph 86 2nd bullet and 87 2nd bullet).</t>
  </si>
  <si>
    <t>UK-538/4</t>
  </si>
  <si>
    <t>National Express East Coast should modify their Defective On-Train Equipment Contingency Plan to def</t>
  </si>
  <si>
    <t>National Express East Coast should modify their Defective On-Train Equipment Contingency Plan to define Bounds Green as a servicing depot for HSTs. They should consider in detail, what safety precautions should be put in place before a train can enter service from such a depot with unrepaired defective on-train equipment and generate procedures to enable staff to put such precautions in place. Such procedures should include a reliable method of securing HST luggage van doors out of service and clearly differentiate between passenger and non-passenger doors (paragraphs 86 5th bullet and 89 2nd bullet).</t>
  </si>
  <si>
    <t>UK-538/5</t>
  </si>
  <si>
    <t>HST owners and operators of rolling stock with similar designs of luggage van door (in particular Mk</t>
  </si>
  <si>
    <t>HST owners and operators of rolling stock with similar designs of luggage van door (in particular Mk 3 and Mk 4 Driving Van Trailers) should consider the applicability of Recommendations 1, 2 and 3 to their operations and act upon them where applicable.</t>
  </si>
  <si>
    <t>UK-536/1</t>
  </si>
  <si>
    <t>Network Rail should review its procedures for the operation of Poplar Farm crossing with the aim of</t>
  </si>
  <si>
    <t>Network Rail should review its procedures for the operation of Poplar Farm crossing with the aim of identifying improvements that would reduce the possibility of errors being made in the operation of the crossing. This review should include consideration of: current and future road and rail traffic levels; and measures to reduce the likelihood of crossing keepers mistaking the location of trains indicated by â€˜train in sectionâ€™ (paragraph 67). All reasonably practicable improvements should be implemented (paragraphs 63, 65a, 65b).</t>
  </si>
  <si>
    <t>UK-536/2</t>
  </si>
  <si>
    <t>Network Rail should revise its current method of crossing inspections to take account of:local facto</t>
  </si>
  <si>
    <t>Network Rail should revise its current method of crossing inspections to take account of:local factors relating to the method of operation of crossings; and changes in traffic levels.Crossing risk assessors should be advised through the process referred to above of any identified changes that are likely to increase crossing risk (paragraph 65c).</t>
  </si>
  <si>
    <t>UK-535/1</t>
  </si>
  <si>
    <t>GMPTE should work with SML to put in place processes to identify, manage and rectify any section of</t>
  </si>
  <si>
    <t>GMPTE should work with SML to put in place processes to identify, manage and rectify any section of operational track that becomes non-compliant to the agreed standards. It should put in place arrangements to ensure compliance with the processes. The processes should require time bound plans to renew or repair, as appropriate, and implementation of suitable mitigation measures to manage the derailment risk until the track is brought back within the standards (paragraphs 133 and 134b) .</t>
  </si>
  <si>
    <t>UK-535/2</t>
  </si>
  <si>
    <t>GMPTE should review its Metrolink organisational structure, policy and procedures to confirm that th</t>
  </si>
  <si>
    <t>GMPTE should review its Metrolink organisational structure, policy and procedures to confirm that they are sufficient for it to exercise its responsibilities under the Health and Safety at Work Act. Its consideration should include the need for an identified head of safety, documentation describing the arrangements for management of safety (including, but not limited to, identification and management of risk, and audit arrangements to confirm implementation and compliance) and provision of sufficient competent resource (paragraphs 134c and 136).</t>
  </si>
  <si>
    <t>UK-535/3</t>
  </si>
  <si>
    <t>SML shall review its arrangements for managing safety when assets are outside of normal maintenance</t>
  </si>
  <si>
    <t>SML shall review its arrangements for managing safety when assets are outside of normal maintenance tolerances. If these require implementation of interim measures, for example removal of the keep, the arrangements should require demonstration that the interim measures are practical and will achieve the required risk mitigation. Additionally, the arrangements should require procedures to be developed to cover the activities, taking consideration of the associated risks. SML should implement any changes identified as necessary (paragraph 134a).</t>
  </si>
  <si>
    <t>UK-535/4</t>
  </si>
  <si>
    <t>SML should carry out a review to check whether its SMS is suitable and sufficient to manage the risk</t>
  </si>
  <si>
    <t>SML should carry out a review to check whether its SMS is suitable and sufficient to manage the risks from its operations and make any necessary changes. Following this, it should ensure that all staff are aware of the SMS arrangements that apply to them, and that the arrangements are complied with (paragraphs 134d and 136).</t>
  </si>
  <si>
    <t>UK-535/5</t>
  </si>
  <si>
    <t>The ORR should review its processes, in light of the findings of this investigation, to satisfy itse</t>
  </si>
  <si>
    <t>The ORR should review its processes, in light of the findings of this investigation, to satisfy itself that there is sufficient guidance as to the circumstances under which its inspectors should verify the implementation of, and compliance with, a duty holderâ€™s submissions (paragraph 136).</t>
  </si>
  <si>
    <t>UK-534/1</t>
  </si>
  <si>
    <t>The intention of this recommendation is to reinforce existing arrangements within Network Rail for C</t>
  </si>
  <si>
    <t>The intention of this recommendation is to reinforce existing arrangements within Network Rail for COSS packs to be prepared and implemented by staff with adequate geographical knowledge of the locality. Network Rail should: a. re-brief the requirements (now in standard NR/L2/OHS/019) for the COSS pack to be prepared and checked by individuals who have geographical knowledge of the relevant area and for COSSs to have geographical knowledge of the area in which they are to work; b. take steps to achieve compliance with the requirements defined in 1a; and c. conduct a compliance audit after a suitable period of time to confirm that these requirements defined in 1a are being implemented satisfactorily (paragraphs 166a and 166b).</t>
  </si>
  <si>
    <t>UK-534/2</t>
  </si>
  <si>
    <t>The intention of this recommendation is to: ï¬ promote the involvement of the â€˜end-userâ€™ in designing</t>
  </si>
  <si>
    <t>The intention of this recommendation is to: ï¬ promote the involvement of the â€˜end-userâ€™ in designing the paperwork that they use on site;secure the COSSâ€™s involvement in the planning of the safe system of work that they will implement on site; and ï¬ achieve a consistent and user-friendly appearance for the COSS pack (including the RT9909 form).Network Rail should, in its current project to overhaul the RIMINI planning process: a. involve those who will use the information on site in developing a revised format for the COSS pack (and the RT9909 form); b. include a role for the COSS in the planning of their safe system of work; and c. improve the format of the COSS pack (and the RT9909 form), with particular emphasis on the clarity and consistency of information presented, including, but not limited to: consistency in the method for identifying key locations such as the site of work, limits of possession and access points; clarity over the information that is required in each section of the new forms; the op</t>
  </si>
  <si>
    <t>UK-534/3</t>
  </si>
  <si>
    <t>The intention of this recommendation is to encourage Network Rail to expedite the provision of track</t>
  </si>
  <si>
    <t>The intention of this recommendation is to encourage Network Rail to expedite the provision of track layout signage at access points.</t>
  </si>
  <si>
    <t>UK-534/4</t>
  </si>
  <si>
    <t>The intention of this recommendation is to reinforce existing requirements on the content of PICOPâ€™s</t>
  </si>
  <si>
    <t>The intention of this recommendation is to reinforce existing requirements on the content of PICOPâ€™s briefing meetings within the London delivery unit of Network Railâ€™s Western route. Network Rail should modify the format and content of the PICOPâ€™s briefing meeting held in the London delivery unit of Western route to conform with the requirements of NR/L2/MTC/PL0056 and in particular, arrange for the PICOP, Engineering Supervisor and direct representatives of those who are to be involved in the following weekâ€™s possessions to be present (paragraph 167f).</t>
  </si>
  <si>
    <t>UK-534/5</t>
  </si>
  <si>
    <t>The intention of this recommendation is for Network Rail to review the extent to which existing requ</t>
  </si>
  <si>
    <t>The intention of this recommendation is for Network Rail to review the extent to which existing requirements on the contents of PICOPâ€™s briefing meetings are being respected nationally and take action to promote compliance with the contents of standard NR/L2/MTC/PL0056.Network Rail should: a. investigate the extent to which PICOPâ€™s briefing meetings comply with the requirements of NR/L2/MTC/PL0056 nationally, taking steps to achieve wider compliance, as necessary; and b. consider the development of standard forms to assist those leading meetings referred to in NR/L2/MTC/PL0056 to cover all of the items on the agenda (paragraphs 106 and 167f).</t>
  </si>
  <si>
    <t>UK-534/6</t>
  </si>
  <si>
    <t>The intention of this recommendation is for Network Rail to review the adequacy of its audit arrange</t>
  </si>
  <si>
    <t>The intention of this recommendation is for Network Rail to review the adequacy of its audit arrangements in view of the longstanding non-compliance of the London area of Western territory with NR/PRC/MTC/PL0056, and make improvements as necessary. Network Rail should conduct a review of its audit arrangements as applied to possession planning to establish how it was possible for the PICOPâ€™s briefing meeting at Paddington to have been non-compliant with the requirements of NR/PRC/MTC/PL0056 for an extended period of time, making changes, as necessary, for adequate scrutiny of possession planning arrangements nationally (paragraph 168c).</t>
  </si>
  <si>
    <t>UK-534/7</t>
  </si>
  <si>
    <t>The intention of this recommendation is for Network Rail to promote an equitable balance of work bet</t>
  </si>
  <si>
    <t>The intention of this recommendation is for Network Rail to promote an equitable balance of work between safety-critical staff in work sites and possessions including development of specific guidance on how to keep work sites as short as possible.Network Rail should issue guidance to routes on how to achieve an equitable balance of work between safety-critical staff within possessions and how to avoid the workload of any individual being excessive (including, but not limited to, complying with the rule book requirement to keep work sites as short as possible and briefing the guidance in Module 14 of standard NR/L3/MTC/PL0175) (paragraphs 167g and 169).</t>
  </si>
  <si>
    <t>UK-534/8</t>
  </si>
  <si>
    <t>The intention of this recommendation is for Network Rail to consider whether its current arrangement</t>
  </si>
  <si>
    <t>The intention of this recommendation is for Network Rail to consider whether its current arrangements for assessment in the line are being properly implemented in Western route.Network Rail should conduct a review of arrangements within Western route for assuring that those employees undertaking assessments in the line are being monitored in accordance with the requirements identified in Network Railâ€™s own procedures and take steps to rectify any deficiencies found (paragraph 170).</t>
  </si>
  <si>
    <t>UK-533/1</t>
  </si>
  <si>
    <t>Freightliner should examine if appropriate mitigation action can be taken that will reduce the risk</t>
  </si>
  <si>
    <t>Freightliner should examine if appropriate mitigation action can be taken that will reduce the risk of derailment of FSA/FTA wagons when travelling over the track vertical alignment profiles which could reasonably be encountered in service. This should take into account the full range of load conditions and train speeds permitted for the wagons. Freightliner should implement any appropriate mitigation found during this examination.</t>
  </si>
  <si>
    <t>UK-533/2</t>
  </si>
  <si>
    <t>Network Rail should carry out a review to assure itself that staff at Colchester Maintenance Deliver</t>
  </si>
  <si>
    <t>Network Rail should carry out a review to assure itself that staff at Colchester Maintenance Delivery Unit are correctly undertaking the following tasks: supervisorâ€™s visual inspections, particularly the inspection of drainage, and the reporting of drainage defects; and the inspection of the line following the completion of work and the re-opening of the line to traffic.</t>
  </si>
  <si>
    <t>UK-533/3</t>
  </si>
  <si>
    <t>Network Rail should review the arrangements by which Colchester Maintenance Delivery Unit manages: r</t>
  </si>
  <si>
    <t>Network Rail should review the arrangements by which Colchester Maintenance Delivery Unit manages: repeated track geometry defects; repeated eighth-mile sections where the track geometry exceeds maximum and target standard deviation values; and implement any necessary improvements.</t>
  </si>
  <si>
    <t>UK-533/4</t>
  </si>
  <si>
    <t>Network Rail should: review the arrangements within Colchester Maintenance Delivery Unit that allow</t>
  </si>
  <si>
    <t>Network Rail should: review the arrangements within Colchester Maintenance Delivery Unit that allow staff to undertake inspections of the line within areas; identify where there are difficulties of access, such as red-zone prohibited areas; and implement any necessary improvements.</t>
  </si>
  <si>
    <t>UK-533/5</t>
  </si>
  <si>
    <t>Network Rail should revise â€˜Track Maintenance Handbookâ€™ NR/L3/TRK/002 Issue 4 to add a requirement t</t>
  </si>
  <si>
    <t>Network Rail should revise â€˜Track Maintenance Handbookâ€™ NR/L3/TRK/002 Issue 4 to add a requirement to undertake appropriate formal planning and briefing of staff prior to undertaking preventative maintenance tasks within its remit.</t>
  </si>
  <si>
    <t>UK-533/6</t>
  </si>
  <si>
    <t>Network Rail should revise its procedures relating to the reporting of broken rails to require: the</t>
  </si>
  <si>
    <t>Network Rail should revise its procedures relating to the reporting of broken rails to require: the production of formal action plans which will identify the actions proposed to prevent reoccurrence; a formal approval process for such action plans; and formal periodic review of progress against the action plans by an appropriate competent person.</t>
  </si>
  <si>
    <t>UK-533/7</t>
  </si>
  <si>
    <t>Network Rail should revise work instruction NR/L3/TRK/002/G06 Issue 2.0 relating to the replacement</t>
  </si>
  <si>
    <t>Network Rail should revise work instruction NR/L3/TRK/002/G06 Issue 2.0 relating to the replacement of timber bearers, in order to add a requirement for an appropriate post-installation check of the work-site for ballast consolidation.</t>
  </si>
  <si>
    <t>UK-532/1</t>
  </si>
  <si>
    <t>Network Rail should review its Safety Management System, and procedures, to satisfy itself that the</t>
  </si>
  <si>
    <t>Network Rail should review its Safety Management System, and procedures, to satisfy itself that the following points are covered before approving construction work, particularly by third-parties, on or over the operational railway:</t>
  </si>
  <si>
    <t>UK-532/2</t>
  </si>
  <si>
    <t>London Underground Limited, Rail for London, the Heritage Rail Association, the Light Rail Engineeri</t>
  </si>
  <si>
    <t>London Underground Limited, Rail for London, the Heritage Rail Association, the Light Rail Engineering Group and Northern Ireland Railways should establish processes so that information is available to any potential suppliers of similar projects or assets regarding the issues raised within this report (paragraph 326).</t>
  </si>
  <si>
    <t>UK-532/3</t>
  </si>
  <si>
    <t>Network Rail should establish procedures so that information is available to operations staff where</t>
  </si>
  <si>
    <t>Network Rail should establish procedures so that information is available to operations staff where construction activities could reasonably affect the safety of the railway. These should include, in particular: the provision of emergency contact details for identified project representatives out-of-hours (paragraph 315); and information on the location of each site, and the signal numbers necessary to protect the line (paragraph 324).</t>
  </si>
  <si>
    <t>UK-532/4</t>
  </si>
  <si>
    <t>Network Rail should expand NR/L2/OCS/250, the National Emergency Plan to: make provision for maintai</t>
  </si>
  <si>
    <t>Network Rail should expand NR/L2/OCS/250, the National Emergency Plan to: make provision for maintaining or extending the command structure in place following the exit of the emergency services from the site to ensure that post-incident activities are managed properly (paragraph 318); reinforce arrangements for managing non-railway organisations during the incident recovery phase and prevent persons being exposed to risk due to a lack of site coordination (paragraph 314d); and require route controllers to positively confirm what trains are involved in an incident, establish the location and ensure communication with all trains requiring assistance (paragraph 319).</t>
  </si>
  <si>
    <t>UK-532/5</t>
  </si>
  <si>
    <t>Network Rail should enhance the incident management training given to operations staff to reflect th</t>
  </si>
  <si>
    <t>Network Rail should enhance the incident management training given to operations staff to reflect the requirements of Recommendation 4.</t>
  </si>
  <si>
    <t>UK-532/6</t>
  </si>
  <si>
    <t>The Health and Safety Executive should: draw the attention of the Standing Committee on Structural S</t>
  </si>
  <si>
    <t>The Health and Safety Executive should: draw the attention of the Standing Committee on Structural Safety (SCOSS) to the issues identified in this report regarding the safe use of PTFE in construction to ensure a wider promulgation amongst the civil engineering community (paragraph 311c); and approach companies known to be involved in moving large loads using PTFE to check they have appropriate guidance and internal procedures to address the safe use of PTFE (paragraph 328).</t>
  </si>
  <si>
    <t>UK-532/7</t>
  </si>
  <si>
    <t>National Express East Anglia should review their procedures relating to the appointment of a TOLO, o</t>
  </si>
  <si>
    <t>National Express East Anglia should review their procedures relating to the appointment of a TOLO, or other site representative, in response to major railway incidents involving passengers (paragraph 321).</t>
  </si>
  <si>
    <t>UK-531/1</t>
  </si>
  <si>
    <t>Network Rail should investigate the development and subsequent adoption of practical alternative wor</t>
  </si>
  <si>
    <t>Network Rail should investigate the development and subsequent adoption of practical alternative working methods that will provide protection of staff when undertaking regular specific maintenance activities such as work on switches and crossings, and that will provide for the safety of trains. If practicable it should introduce these alternative working methods (paragraphs 181 to 182 and 207).</t>
  </si>
  <si>
    <t>UK-531/2</t>
  </si>
  <si>
    <t>Network Rail should introduce a system whereby staff undertaking a specific maintenance activity can</t>
  </si>
  <si>
    <t>Network Rail should introduce a system whereby staff undertaking a specific maintenance activity can obtain clear guidance that a particular form of protection is suitable and provides for the safety of staff and trains. It should include clear guidance on when T2 and T12 protection may and may not be used and their applicability to specific types of work which may affect the â€˜safety of the trackâ€™ and the â€˜safety of trainsâ€™. (paragraphs 195 and 201).</t>
  </si>
  <si>
    <t>UK-531/3</t>
  </si>
  <si>
    <t>Network Rail, in conjunction with the RSSB, should clearly define what is meant by the terms such as</t>
  </si>
  <si>
    <t>Network Rail, in conjunction with the RSSB, should clearly define what is meant by the terms such as:ï¬ â€˜affect the safety of the lineâ€™; ï¬ â€˜affect the safety of trainsâ€™; ï¬ â€˜affect the safety of train workingâ€™; and ï¬ â€˜affect the normal passage of trainsâ€™ (paragraphs 201 and 202).</t>
  </si>
  <si>
    <t>UK-530/1</t>
  </si>
  <si>
    <t>The Festiniog Railway Company should establish the number of consecutive defective baseplates that c</t>
  </si>
  <si>
    <t>The Festiniog Railway Company should establish the number of consecutive defective baseplates that could lead to an unacceptable risk of a derailment (paragraphs 67a and f).</t>
  </si>
  <si>
    <t>UK-530/2</t>
  </si>
  <si>
    <t>The Festiniog Railway Company should develop techniques to detect baseplate deterioration with a suf</t>
  </si>
  <si>
    <t>The Festiniog Railway Company should develop techniques to detect baseplate deterioration with a sufficient safety margin to prevent an unacceptable level of risk of derailment (paragraph 67f).</t>
  </si>
  <si>
    <t>UK-530/3</t>
  </si>
  <si>
    <t>The Festiniog Railway Company should amend its track maintenance procedures and instructions, so tha</t>
  </si>
  <si>
    <t>The Festiniog Railway Company should amend its track maintenance procedures and instructions, so that: They are consistent with one another (paragraph 68a). They implement the techniques identified from Recommendation 2. They contain a requirement to clear away debris around pressed steel baseplates at suitable intervals, and always when investigating track faults, so as to allow close inspection of the timber and baseplate. The intervals should be determined from the work done in response to Recommendations 1 and 2 (paragraph 67e). They list parameters that must be measured and recorded when investigating track faults and, where they do not already exist, include tolerances and relevant actions. This list must include track gauge and take account of relevant industry guidance (paragraph 67d).</t>
  </si>
  <si>
    <t>UK-530/4</t>
  </si>
  <si>
    <t>The Festiniog Railway Company should revise their system of track inspection and defect recording su</t>
  </si>
  <si>
    <t>The Festiniog Railway Company should revise their system of track inspection and defect recording such that overdue actions are either rectified or reassessed and reprioritised (paragraph 67g).</t>
  </si>
  <si>
    <t>UK-530/5</t>
  </si>
  <si>
    <t>The Festiniog Railway Company should implement a change control procedure for standing instructions</t>
  </si>
  <si>
    <t>The Festiniog Railway Company should implement a change control procedure for standing instructions requiring that any risks arising from proposed changes to standing instructions are assessed, addressed and controlled as appropriate (paragraph 68b).</t>
  </si>
  <si>
    <t>UK-529/1</t>
  </si>
  <si>
    <t>Network Rail should introduce a procedure that will provide a written record of instructions between</t>
  </si>
  <si>
    <t>Network Rail should introduce a procedure that will provide a written record of instructions between the Engineering Supervisor, train driver and â€˜competent personâ€™ with verbal read back to confirm an understanding of the planned movement (paragraphs 230 and 231).</t>
  </si>
  <si>
    <t>UK-529/2</t>
  </si>
  <si>
    <t>Network Rail should incorporate a challenge stage within the planning process so that possession and</t>
  </si>
  <si>
    <t>Network Rail should incorporate a challenge stage within the planning process so that possession and work site length are minimised and that planned train movements are operationally risk assessed (paragraph 234 (c)).</t>
  </si>
  <si>
    <t>UK-529/3</t>
  </si>
  <si>
    <t>Network Rail should modify procedures so that, if a specific risk is identified from the risk assess</t>
  </si>
  <si>
    <t>Network Rail should modify procedures so that, if a specific risk is identified from the risk assessment (Recommendation 2), such as train movements over long distances within a work site, the risk is documented in the hazard list within the PICOP pack (paragraph 234 (c)).</t>
  </si>
  <si>
    <t>UK-529/4</t>
  </si>
  <si>
    <t>Balfour Beatty should introduce a process so that staff involved with train movements within the wor</t>
  </si>
  <si>
    <t>Balfour Beatty should introduce a process so that staff involved with train movements within the work site have accurate knowledge of train positions (paragraph 233 (b)).</t>
  </si>
  <si>
    <t>UK-529/5</t>
  </si>
  <si>
    <t>Network Rail should modify the Engineering Supervisors Training Manual to accurately reflect the spe</t>
  </si>
  <si>
    <t>Network Rail should modify the Engineering Supervisors Training Manual to accurately reflect the specification within its company standard relating to the requirement on the Engineering Supervisor to give precise and explicit instructions to drivers or a â€˜competent personâ€™ (paragraph 240).</t>
  </si>
  <si>
    <t>UK-529/6</t>
  </si>
  <si>
    <t>Rail Safety and Standards Board should make a proposal, in accordance with the Railway Group Standar</t>
  </si>
  <si>
    <t>Rail Safety and Standards Board should make a proposal, in accordance with the Railway Group Standards code, to introduce a requirement to modify the modules within the Rule Book relating to the requirement on the Engineering Supervisor so as to require him to give precise and explicit instructions to the driver or â€˜competent personâ€™ as shown in the Network Rail company standard NR/SP/CTM/021 (paragraph 240).</t>
  </si>
  <si>
    <t>UK-529/7</t>
  </si>
  <si>
    <t>Network Rail in conjunction with Rail Safety and Standards Board should make a proposal, in accordan</t>
  </si>
  <si>
    <t>Network Rail in conjunction with Rail Safety and Standards Board should make a proposal, in accordance with the Railway Group Standards code, to define the competence and limitations of the role of a â€˜competent personâ€™ authorised by the Engineering Supervisor, so that this role can only pass on the instruction to the driver given by the Engineering Supervisor on the movement of trains within a work site but cannot guide or manage such movements (paragraph 233 (a)).</t>
  </si>
  <si>
    <t>UK-528/1</t>
  </si>
  <si>
    <t>Network Rail should assess the risk to crossing users from slippery surfaces at all footpath, bridle</t>
  </si>
  <si>
    <t>Network Rail should assess the risk to crossing users from slippery surfaces at all footpath, bridleway and user worked crossings, and take appropriate measures, such as the provision of a non-slip surface, to reduce them so far as is reasonably practicable (paragraph 143b).</t>
  </si>
  <si>
    <t>UK-528/2</t>
  </si>
  <si>
    <t>Network Rail should review the operation of the â€˜Ellipseâ€™ computer system and the associated process</t>
  </si>
  <si>
    <t>Network Rail should review the operation of the â€˜Ellipseâ€™ computer system and the associated processes for managing work orders, and ensure that appropriate controls are in place to prevent the premature or inadvertent closure of work orders (paragraph 143c).</t>
  </si>
  <si>
    <t>UK-528/3</t>
  </si>
  <si>
    <t>Network Rail should revise document NR/SP/OPS/100 to provide better guidance for risk assessors at l</t>
  </si>
  <si>
    <t>Network Rail should revise document NR/SP/OPS/100 to provide better guidance for risk assessors at level crossings on what level of upgrading of the crossing to improve safety can be regarded as reasonably practicable (paragraph 145a).</t>
  </si>
  <si>
    <t>UK-528/4</t>
  </si>
  <si>
    <t>Network Rail should revise the guidance it gives to staff inspecting level crossings, ensuring that</t>
  </si>
  <si>
    <t>Network Rail should revise the guidance it gives to staff inspecting level crossings, ensuring that the importance of the correct position and layout of the warning signs is adequately emphasised (paragraph 131).</t>
  </si>
  <si>
    <t>UK-527/1</t>
  </si>
  <si>
    <t>Eurotunnel should review its operating and maintenance procedures to ensure the availability of the</t>
  </si>
  <si>
    <t>Eurotunnel should review its operating and maintenance procedures to ensure the availability of the correct chocks in each wagon so far as is reasonably practicable (paragraph 97).</t>
  </si>
  <si>
    <t>UK-527/2</t>
  </si>
  <si>
    <t>Eurotunnel should review, and improve if appropriate, the communications procedures for drivers of c</t>
  </si>
  <si>
    <t>Eurotunnel should review, and improve if appropriate, the communications procedures for drivers of coaches aimed at ensuring their vehicles are correctly secured (paragraph 98).</t>
  </si>
  <si>
    <t>UK-527/3</t>
  </si>
  <si>
    <t>Eurotunnel should review the announcements made prior to the departure of shuttles to ensure they in</t>
  </si>
  <si>
    <t>Eurotunnel should review the announcements made prior to the departure of shuttles to ensure they include a warning to passengers not to remain in the vehicle roadway during the transit (paragraph 99).</t>
  </si>
  <si>
    <t>UK-526/1</t>
  </si>
  <si>
    <t>Docklands Light Railway Ltd should implement arrangements to require that all organisations contract</t>
  </si>
  <si>
    <t>Docklands Light Railway Ltd should implement arrangements to require that all organisations contracted to work on DLR infrastructure and stations should implement measures to improve the visibility of equipment representing a derailment risk when used at night (paragraph 235).</t>
  </si>
  <si>
    <t>UK-526/2</t>
  </si>
  <si>
    <t>Carillion JM Ltd should clarify the role of the senior PICOW to provide them with guidance on the me</t>
  </si>
  <si>
    <t>Carillion JM Ltd should clarify the role of the senior PICOW to provide them with guidance on the method, nature and extent of the supervision of PICOWs that they are required to carry out (paragraph 235)</t>
  </si>
  <si>
    <t>UK-526/3</t>
  </si>
  <si>
    <t>Docklands Light Railway Ltd, in consultation with Serco Docklands, should introduce modifications to</t>
  </si>
  <si>
    <t>Docklands Light Railway Ltd, in consultation with Serco Docklands, should introduce modifications to the control system to remove the need for controllers to manually enter temporary speed restrictions after the re-booting of the system(s) and to simplify the checking of the correct speed restriction data (paragraph 236).</t>
  </si>
  <si>
    <t>UK-526/4</t>
  </si>
  <si>
    <t>Serco Docklands should review its competency management system and the way in which it is currently</t>
  </si>
  <si>
    <t>Serco Docklands should review its competency management system and the way in which it is currently delivering training to passenger service agents and control centre controllers. The objective of this review shall be to assess the adequacy of existing arrangements (including resources available for training and the methods of delivery) and to identify ways of improving the overall levels of competence. Serco Docklands should take suitable actions to implement the findings of the review (paragraph 237).</t>
  </si>
  <si>
    <t>UK-526/5</t>
  </si>
  <si>
    <t>Serco Docklands should undertake a review of its management arrangements for the monitoring, audit a</t>
  </si>
  <si>
    <t>Serco Docklands should undertake a review of its management arrangements for the monitoring, audit and review of activities at the level of operational and engineering staff. The findings of this review should be translated into effective corrective actions where appropriate (paragraph 238).</t>
  </si>
  <si>
    <t>UK-526/6</t>
  </si>
  <si>
    <t>Serco Docklands should undertake an in-depth assessment of the adequacy of the current rules and pro</t>
  </si>
  <si>
    <t>Serco Docklands should undertake an in-depth assessment of the adequacy of the current rules and procedures and implement improvements as appropriate. This assessment should encompass:the level of compliance with existing rules and procedures; identification of activities currently being undertaken that are not addressed by existing procedures; the interface with concessionaires (linked to Recommendation 9); and management systems to ensure compliance (e.g. audits).</t>
  </si>
  <si>
    <t>UK-526/7</t>
  </si>
  <si>
    <t>management systems to ensure compliance (e.g. audits).</t>
  </si>
  <si>
    <t>UK-526/8</t>
  </si>
  <si>
    <t>Serco Docklands should review what risks a sweep train is intended to reduce, and in the light of th</t>
  </si>
  <si>
    <t>Serco Docklands should review what risks a sweep train is intended to reduce, and in the light of this review should revise the adequacy of the mitigation measures linked to the operation of the first train of the day. This should include an assessment of the appropriateness of a range of possible measures including:operation of sweep trains with no passengers;better lighting around the trackside to enable sighting of obstructions (trainborne and/or trackside); and reduction of the speed of sweep trains.</t>
  </si>
  <si>
    <t>UK-526/9</t>
  </si>
  <si>
    <t>Carillion JM Ltd should review its process for maintaining method statements as the design and proje</t>
  </si>
  <si>
    <t>Carillion JM Ltd should review its process for maintaining method statements as the design and project evolves. The process should include a check that the method statement states the actual tools and plant being used (paragraph 240).</t>
  </si>
  <si>
    <t>UK-526/10</t>
  </si>
  <si>
    <t>Docklands Light Railway Ltd should review and amend the current contractual and working arrangements</t>
  </si>
  <si>
    <t>Docklands Light Railway Ltd should review and amend the current contractual and working arrangements with the objective of ensuring that Serco Docklands and City Greenwich Lewisham Rail plc (and further DLR concessionaires) work to one common rule book and coherent operating procedures (paragraph 243).</t>
  </si>
  <si>
    <t>UK-524/1</t>
  </si>
  <si>
    <t>Network Rail should investigate whether it is reasonably practicable to install a predictor miniatur</t>
  </si>
  <si>
    <t>Network Rail should investigate whether it is reasonably practicable to install a predictor miniature stop light warning system, capable of warning users of the approach of fast trains and if a second train is coming, at this location, and whether safety benefits would be gained from such an installation (paragraphs 136 and 144).</t>
  </si>
  <si>
    <t>UK-524/2</t>
  </si>
  <si>
    <t>Network Rail should issue an updated policy or standard to improve the control of fencing at unprote</t>
  </si>
  <si>
    <t>Network Rail should issue an updated policy or standard to improve the control of fencing at unprotected crossings, such that decision points are not forced to the minimum dimension or sighting distances unnecessarily compromised (paragraph 136b).</t>
  </si>
  <si>
    <t>UK-524/3</t>
  </si>
  <si>
    <t>Network Rail should, at unprotected crossings where the location of the decision point is between th</t>
  </si>
  <si>
    <t>Network Rail should, at unprotected crossings where the location of the decision point is between the instruction sign and the track and therefore potentially counter-intuitive, propose measures to clearly mark the point at which the final decision to cross should be made for acceptance by the ORR. This is for the benefit of crossing users and for the guidance of persons making inspections of the crossing (paragraph 137).</t>
  </si>
  <si>
    <t>UK-524/4</t>
  </si>
  <si>
    <t>Network Rail should incorporate in their procedures: a. arrangements to routinely pass the findings</t>
  </si>
  <si>
    <t>Network Rail should incorporate in their procedures: a. arrangements to routinely pass the findings of level crossing assessments and inspections between operations and maintenance departments, so that the organisation achieves a co-ordinated view of the condition of those assets (paragraph 139); and b. an audit process to identify errors, inconsistencies or the application of inappropriate mitigation measures in crossing inspection reports (paragraph 140).</t>
  </si>
  <si>
    <t>UK-524/5</t>
  </si>
  <si>
    <t>Network Rail should review their methods for assessing warning times, as the current arrangements wh</t>
  </si>
  <si>
    <t>Network Rail should review their methods for assessing warning times, as the current arrangements which rely on calculations and the measurement of distances using optical equipment have been shown to be unreliable, particularly on curved track. This should include consideration of permanently identifying the sighting distances to be achieved, so that visibility can be positively verified from each decision point when crossings are inspected to improve the objectivity of these assessments (paragraph 141).</t>
  </si>
  <si>
    <t>UK-524/6</t>
  </si>
  <si>
    <t>Network Rail should consider providing a permanent solution to the restricted visibility from the do</t>
  </si>
  <si>
    <t>Network Rail should consider providing a permanent solution to the restricted visibility from the down side of Tackley crossing by profiling the embankment to the south-west of the crossing and removing surplus material (paragraph 142).</t>
  </si>
  <si>
    <t>UK-523/1</t>
  </si>
  <si>
    <t>Network Rail should review and amend the design and maintenance of the layout at Moor Street South j</t>
  </si>
  <si>
    <t>Network Rail should review and amend the design and maintenance of the layout at Moor Street South junction or implement other measures to reduce the risk of it becoming out of specification within the monitoring interval (paragraph 103).</t>
  </si>
  <si>
    <t>UK-523/2</t>
  </si>
  <si>
    <t>Network Rail should develop methods to improve the identification of voids in lightly used track and</t>
  </si>
  <si>
    <t>Network Rail should develop methods to improve the identification of voids in lightly used track and provide this as guidance to their inspection staff. Where this is a critical factor, consideration should be given to other methods of determining voids by measurement. This may include use of a track recording vehicle or void measurement using void meters (paragraph 104).</t>
  </si>
  <si>
    <t>UK-523/3</t>
  </si>
  <si>
    <t>DB Schenker Rail (UK) Ltd should review their maintenance and operation procedures so that VIBT inte</t>
  </si>
  <si>
    <t>DB Schenker Rail (UK) Ltd should review their maintenance and operation procedures so that VIBT intervals are compliant with the stated specification (paragraph 105).</t>
  </si>
  <si>
    <t>UK-522/1</t>
  </si>
  <si>
    <t>The Downpatrick and County Down Railway should make arrangements to:maintain the excavator so that i</t>
  </si>
  <si>
    <t>The Downpatrick and County Down Railway should make arrangements to:maintain the excavator so that it distributes its weight appropriately in low ride mode; amend the operating and maintenance manual to prohibit an operator adjusting weight distribution by feel; and train and assess its staff in the correct method of machine operation.</t>
  </si>
  <si>
    <t>UK-522/2</t>
  </si>
  <si>
    <t>Northern Ireland Railways and McLaughlin and Harvey should each put in place a process for planning</t>
  </si>
  <si>
    <t>Northern Ireland Railways and McLaughlin and Harvey should each put in place a process for planning work that: considers all the factors that may affect the safe operation of road rail vehicles; and identifies the arrangements to eliminate or mitigate those factors as part of a safe system of work</t>
  </si>
  <si>
    <t>UK-522/3</t>
  </si>
  <si>
    <t>Northern Ireland Railways should:clearly identify the members of staff who have a responsibility to</t>
  </si>
  <si>
    <t>Northern Ireland Railways should:clearly identify the members of staff who have a responsibility to ensure the safety of vehicle movements in worksites; brief the process identified in Recommendation 2 to those staff members; and make the process form part of training and assessment for those staff members.</t>
  </si>
  <si>
    <t>UK-522/4</t>
  </si>
  <si>
    <t>Northern Ireland Railways should put in place a process for the periodic inspection and assessment o</t>
  </si>
  <si>
    <t>Northern Ireland Railways should put in place a process for the periodic inspection and assessment of road rail vehicles and their associated wagons that they or their contractors undertake before permitting operation on their infrastructure (paragraph 70).</t>
  </si>
  <si>
    <t>UK-436/1</t>
  </si>
  <si>
    <t>Freight Operating Companies running wagons fitted with non-compliant UIC spigots, should review the</t>
  </si>
  <si>
    <t>Freight Operating Companies running wagons fitted with non-compliant UIC spigots, should review the threshold speeds in NIR 2350 above which special measures are taken when conveying empty or lightweight containers in windy conditions and check that the following factors are taken into account: local wind acceleration effects due to topography, on routes they cover;minimum container weights and container sizes being transported; and; design of the wagons used (e.g. conventional or spine type underframe).</t>
  </si>
  <si>
    <t>UK-436/2</t>
  </si>
  <si>
    <t>Freight Operating Companies running wagons fitted with UIC spigots should check that the spigots com</t>
  </si>
  <si>
    <t>Freight Operating Companies running wagons fitted with UIC spigots should check that the spigots comply with UIC 571-4 and ensure non-compliant wagons are identified for special operational measures when carrying empty or lightweight containers in windy conditions. Particular attention should be given to the lateral spacing and the inward angular rotation of the spigots (paragraphs 193j, 194).</t>
  </si>
  <si>
    <t>UK-436/3</t>
  </si>
  <si>
    <t>Freight Operating Companies running wagons fitted with non-compliant UIC spigots, should develop and</t>
  </si>
  <si>
    <t>Freight Operating Companies running wagons fitted with non-compliant UIC spigots, should develop and implement solutions to reliably retain empty or lightweight containers in windy conditions, in order to eliminate the need for special measures in the long term (paragraph 193d).</t>
  </si>
  <si>
    <t>UK-436/4</t>
  </si>
  <si>
    <t>Freight Operating Companies running wagons fitted with UIC spigots should review and, where necessar</t>
  </si>
  <si>
    <t>Freight Operating Companies running wagons fitted with UIC spigots should review and, where necessary, amend their maintenance instructions for spigots to comply with the service checks specified in UIC 571-4 appendix C (paragraph 194).</t>
  </si>
  <si>
    <t>UK-436/5</t>
  </si>
  <si>
    <t>The Office of Rail Regulation should make a proposal to the European Rail Agency to clarify the sect</t>
  </si>
  <si>
    <t>The Office of Rail Regulation should make a proposal to the European Rail Agency to clarify the section on spigots in the freight vehicle TSI so that wagon designers are made aware of the function and operating principles of UIC spigots, and explicit warning is given about the dangers of fold-down spigots with inboard hinges (paragraphs 193d-f).</t>
  </si>
  <si>
    <t>UK-436/6</t>
  </si>
  <si>
    <t>RSSB should make a proposal, in accordance with Railway Group Standards Code, to introduce a require</t>
  </si>
  <si>
    <t>RSSB should make a proposal, in accordance with Railway Group Standards Code, to introduce a requirement for load retention devices so that such devices are checked against their original specification, whether to RGS or not, as part of the vehicle certification process. For the specific case of UIC spigots, explanatory guidance should be provided about the function and operating principle of UIC spigots and the dangers of fold-down spigots with inboard hinges (paragraphs 193d - i, 196).</t>
  </si>
  <si>
    <t>UK-436/7</t>
  </si>
  <si>
    <t>RSSB should make a proposal to its stakeholders to review whether the implementation of the vehicle</t>
  </si>
  <si>
    <t>RSSB should make a proposal to its stakeholders to review whether the implementation of the vehicle certification process in the UK adequately addresses risk introduced by new or refurbished vehicles. This review should include the scrutiny of safety critical equipment designed and built to non-Railway Group Standards (e.g. UIC codes). If necessary, RSSB should propose changes in accordance with Railway Group Standards Code to cover any identified gaps and provide guidance to the UK rail industry on retrospective review (paragraph 197).</t>
  </si>
  <si>
    <t>UK-436/8</t>
  </si>
  <si>
    <t>Network Rail should review the compatibility of the wind trigger speeds and durations at which mitig</t>
  </si>
  <si>
    <t>Network Rail should review the compatibility of the wind trigger speeds and durations at which mitigating action is taken on the network, with the overturning wind speed limits specified in Railway Group Standard GM/RT2142, taking account of local wind acceleration effects due to topography, such as embankments (paragraph 198).</t>
  </si>
  <si>
    <t>UK-436/9</t>
  </si>
  <si>
    <t>RSSB should review whether the current minimum container weight of 1.6 tonnes specified in the Railw</t>
  </si>
  <si>
    <t>RSSB should review whether the current minimum container weight of 1.6 tonnes specified in the Railway Group Standard GO/RM3056 section J, adequately accounts for container size with respect to operations in windy conditions, and make a proposal in accordance with the Railway Group Standards Code to make any necessary changes to this or other standards or guidance on freight train operation (paragraph 199).</t>
  </si>
  <si>
    <t>UK-436/10</t>
  </si>
  <si>
    <t>Freight Operating Companies running FEA-B wagons, should review the status of compliance of these wa</t>
  </si>
  <si>
    <t>Freight Operating Companies running FEA-B wagons, should review the status of compliance of these wagons against the whole vehicle overturning requirement of Railway Group Standard GM/RT2142 for all relevant container sizes and, if necessary, take appropriate steps to change their operations with these wagons in windy conditions (paragraph 200).</t>
  </si>
  <si>
    <t>UK-430/1</t>
  </si>
  <si>
    <t>NVR should investigate and urgently implement measures to reduce the risk of people being able to ac</t>
  </si>
  <si>
    <t>NVR should investigate and urgently implement measures to reduce the risk of people being able to accidentally open the doors of their ex-DSB coaches, and any other carriages on the railway employing internal door handles. Their considerations should include, either singly or in combination :</t>
  </si>
  <si>
    <t>UK-429/1</t>
  </si>
  <si>
    <t>Network Rail should make adequate arrangements for the safe pedestrian use of West Lodge crossing.</t>
  </si>
  <si>
    <t>Network Rail should make adequate arrangements for the safe pedestrian use of West Lodge crossing. They should pay particular attention to the use of the crossing in darkness: the visibility of the relevant crossing features, the legibility of warning signs and the legibility of instructions for the use of the telephone (paragraph 89).</t>
  </si>
  <si>
    <t>UK-429/2</t>
  </si>
  <si>
    <t>Network Rail should identify any footpath crossings that do not provide adequate arrangements to pro</t>
  </si>
  <si>
    <t>Network Rail should identify any footpath crossings that do not provide adequate arrangements to protect users, and draw up and implement a programme to improve them. The programme should prioritise the order in which the crossings are improved, with crossings presenting the highest risk improved ahead of those of lower risk (paragraph 91a).</t>
  </si>
  <si>
    <t>UK-429/3</t>
  </si>
  <si>
    <t>Network Rail should revise its management systems so that the findings of level crossing inspections</t>
  </si>
  <si>
    <t>Network Rail should revise its management systems so that the findings of level crossing inspections and assessments are acknowledged, prioritised and acted upon to provide arrangements that adequately protect users (paragraph 91a)</t>
  </si>
  <si>
    <t>UK-429/4</t>
  </si>
  <si>
    <t>Network Rail should revise its methods of crossing inspection and assessment so that they confirm th</t>
  </si>
  <si>
    <t>Network Rail should revise its methods of crossing inspection and assessment so that they confirm that arrangements to protect users and safeguard the railway:a)remain adequate in all normal and foreseeable operating conditions (paragraph 91b); and(b) make allowance for the mobility of likely users (paragraph 92).</t>
  </si>
  <si>
    <t>UK-425/1</t>
  </si>
  <si>
    <t>Network Rail and London Eastern Railway (National Express East Anglia) should carry out an exercise</t>
  </si>
  <si>
    <t>Network Rail and London Eastern Railway (National Express East Anglia) should carry out an exercise to improve the quality of safety critical communications between drivers and signallers. This should be monitored by the Communications Review Group system (paragraph 134).</t>
  </si>
  <si>
    <t>UK-425/2</t>
  </si>
  <si>
    <t>Network Rail, with the train operating companies, should evaluate the quality of communications betw</t>
  </si>
  <si>
    <t>Network Rail, with the train operating companies, should evaluate the quality of communications between drivers and signallers when drivers have to go onto the track. This assessment should include the adequacy of the arrangements, and Network Rail should make any necessary improvements to the process. The Communications Review Group system may provide an appropriate means of gathering data for use in this evaluation (paragraph 135).</t>
  </si>
  <si>
    <t>UK-425/3</t>
  </si>
  <si>
    <t>London Eastern Railway (National Express East Anglia) should review the competence management arrang</t>
  </si>
  <si>
    <t>London Eastern Railway (National Express East Anglia) should review the competence management arrangements for fitters acting as designated persons against recognised good practice (such as the ORR Railway Safety Publication 1 â€˜Developing and Maintaining Staff Competenceâ€™), so that the occasions on which this qualification is used are recorded and used to inform the choice of recertification interval and nature of refresher training (paragraph 135).</t>
  </si>
  <si>
    <t>UK-425/4</t>
  </si>
  <si>
    <t>Network Rail should devise and implement a more suitable method for recording occurrences at signal</t>
  </si>
  <si>
    <t>Network Rail should devise and implement a more suitable method for recording occurrences at signal boxes and signalling centres which are not normally required to record the passage of each train (paragraph 136).</t>
  </si>
  <si>
    <t>UK-425/5</t>
  </si>
  <si>
    <t>London Eastern Railway (National Express East Anglia) should introduce arrangements to provide all s</t>
  </si>
  <si>
    <t>London Eastern Railway (National Express East Anglia) should introduce arrangements to provide all staff undertaking Designated Person duties with suitable and sufficient information to enable them to identify and plan safe access to locations where they may have work (paragraph 137).</t>
  </si>
  <si>
    <t>UK-424/1</t>
  </si>
  <si>
    <t>Network Rail should assess the risks to the safety of workers and the infrastructure which may arise</t>
  </si>
  <si>
    <t>Network Rail should assess the risks to the safety of workers and the infrastructure which may arise from the transit and operation of road vehicles onto land near the running line, for the purpose of delivering materials. This should include consideration of:a) the alarm systems that Network Rail require to be fitted to tipper lorries delivering to their sites indicating when the body is raised and b) how road vehicles are to be controlled when operating on Network Rail land near the running line</t>
  </si>
  <si>
    <t>UK-424/2</t>
  </si>
  <si>
    <t>Network Rail should then revise and implement procedures to manage those risks including emphasising</t>
  </si>
  <si>
    <t>Network Rail should then revise and implement procedures to manage those risks including emphasising the appropriate means of protection of the line</t>
  </si>
  <si>
    <t>UK-424/3</t>
  </si>
  <si>
    <t>RSSB should consider the practicability of design elements on the bogie that limit the degree of dev</t>
  </si>
  <si>
    <t>RSSB should consider the practicability of design elements on the bogie that limit the degree of deviation from the track following derailments</t>
  </si>
  <si>
    <t>UK-424/4</t>
  </si>
  <si>
    <t>Network Rail should review the rule book with respect to the scope of when a T12 protection may be u</t>
  </si>
  <si>
    <t>Network Rail should review the rule book with respect to the scope of when a T12 protection may be used so that limitations on its use are appropriate and briefed to all relevant staff</t>
  </si>
  <si>
    <t>UK-423/1</t>
  </si>
  <si>
    <t>Network Rail should provide further guidance in the track inspection handbook associated with work i</t>
  </si>
  <si>
    <t>Network Rail should provide further guidance in the track inspection handbook associated with work instruction NR/WI/TRK/001 on the actions to be taken when there are track geometry irregularities close to each other that can combine to increase the derailment risk. In particular, Network Rail should review the minimum action requirements in table 8 of NR/SP/TRK/001 for lateral alignment irregularities, and if appropriate, revise it to state the measures to be taken on discovery of severe lateral alignment irregularities close to other track geometry irregularities, with timescales for action (paragraph 217a).</t>
  </si>
  <si>
    <t>UK-423/2</t>
  </si>
  <si>
    <t>Network Rail should revise NR/SP/TRK/001 to give guidance on appropriate measures to be taken on dis</t>
  </si>
  <si>
    <t>Network Rail should revise NR/SP/TRK/001 to give guidance on appropriate measures to be taken on discovery of excessive cant with timescales for action (paragraphs 218b, 218c, 219b and 221b).</t>
  </si>
  <si>
    <t>UK-423/3</t>
  </si>
  <si>
    <t>Network Rail should investigate the reason why there is water underneath the down lineâ€™s trackbed at</t>
  </si>
  <si>
    <t>Network Rail should investigate the reason why there is water underneath the down lineâ€™s trackbed at Santon and implement an engineering solution to prevent the water from entering the track formation to an extent which can lead to a deterioration in track geometry (paragraphs 218d, 223 and 225).</t>
  </si>
  <si>
    <t>UK-423/4</t>
  </si>
  <si>
    <t>Network Rail should develop appropriate tools to analyse trends in track geometry recording systems</t>
  </si>
  <si>
    <t>Network Rail should develop appropriate tools to analyse trends in track geometry recording systems in order to identify rapid deterioration in track geometry, with the information output from these tools provided to the local maintenance teams (paragraphs 217b, 219a and 219e).</t>
  </si>
  <si>
    <t>UK-423/5</t>
  </si>
  <si>
    <t>Network Rail should provide their inspection and maintenance staff with a single source of informati</t>
  </si>
  <si>
    <t>Network Rail should provide their inspection and maintenance staff with a single source of information that allows the identification of localised areas where track quality is poor, and is repeatedly deteriorating, due to discrete track geometry faults. In particular, information about the detection, measurement, repair and post-repair inspection of discrete track geometry faults should be recorded, together with references to related work orders that are recorded on Ellipse (paragraphs 217b, 217c, 219a, 219c and 221a).</t>
  </si>
  <si>
    <t>UK-423/6</t>
  </si>
  <si>
    <t>Network Rail should take measures to improve the accuracy of location information for track geometry</t>
  </si>
  <si>
    <t>Network Rail should take measures to improve the accuracy of location information for track geometry faults recorded by all track geometry recording runs and inspection staff, and provide maintenance staff with the ability to use this information to precisely locate the identified faults (paragraph 217c).</t>
  </si>
  <si>
    <t>UK-423/7</t>
  </si>
  <si>
    <t>Network Rail should implement processes to investigate and monitor the effectiveness of repairs to r</t>
  </si>
  <si>
    <t>Network Rail should implement processes to investigate and monitor the effectiveness of repairs to repetitive track geometry faults, so that when a track geometry fault recurs, the reason for it coming back can be established, an appropriate repair method can be chosen and monitoring can be carried out to determine whether the second attempt to repair it has been successful (paragraph 217c).</t>
  </si>
  <si>
    <t>UK-423/8</t>
  </si>
  <si>
    <t>Network Rail should brief out to existing permanent way staff, and include within the training sylla</t>
  </si>
  <si>
    <t>Network Rail should brief out to existing permanent way staff, and include within the training syllabus for new permanent way staff, information which highlights the significance of water close to the track, or within the trackbed, and the importance of reporting this information (paragraph 219f).</t>
  </si>
  <si>
    <t>UK-423/9</t>
  </si>
  <si>
    <t>Freightliner should assess the permissible level of offset load before the derailment risk criteria</t>
  </si>
  <si>
    <t>Freightliner should assess the permissible level of offset load before the derailment risk criteria in the Railway Group Standard GM/RT2141, Resistance of Railway Vehicles to Derailment and Roll-Over, is exceeded, and should put processes in place to ensure that any bogie hopper wagon, such as the HHA wagon, with an offset exceeding the permissible level does not enter into traffic (paragraph 218a).</t>
  </si>
  <si>
    <t>UK-405/1</t>
  </si>
  <si>
    <t>Network Rail should publish the gradient of lines in an easily accessible way, for example in the se</t>
  </si>
  <si>
    <t>Network Rail should publish the gradient of lines in an easily accessible way, for example in the sectional appendix and at track access points (paragraph 117).</t>
  </si>
  <si>
    <t>UK-405/2</t>
  </si>
  <si>
    <t>Network Rail should brief their contractors using on track plant on the hazards of rail contaminatio</t>
  </si>
  <si>
    <t>Network Rail should brief their contractors using on track plant on the hazards of rail contamination and gradient to RRV operation (paragraph 115).</t>
  </si>
  <si>
    <t>UK-405/3</t>
  </si>
  <si>
    <t>Network Rail should require that contractors include the risks from rail contamination and gradient</t>
  </si>
  <si>
    <t>Network Rail should require that contractors include the risks from rail contamination and gradient in their risk assessments along with proposed mitigation measures (paragraph 115).</t>
  </si>
  <si>
    <t>UK-405/4</t>
  </si>
  <si>
    <t>Network Rail should enhance the Sentinel On Track Plant documentation for RRV operator training so t</t>
  </si>
  <si>
    <t>Network Rail should enhance the Sentinel On Track Plant documentation for RRV operator training so that positive confirmation of the operatorâ€™s understanding of the speed limit within a work site, and of the meaning of the term â€˜work siteâ€™, is obtained (paragraphs 120 and 121).</t>
  </si>
  <si>
    <t>UK-405/5</t>
  </si>
  <si>
    <t>Network Rail should enhance the Sentinel On Track Plant documentation for RRV operator training to i</t>
  </si>
  <si>
    <t>Network Rail should enhance the Sentinel On Track Plant documentation for RRV operator training to include advice to trainee operators on:operating on gradients; operating in low adhesion conditions; and what to do in a braking emergency (paragraph 121).</t>
  </si>
  <si>
    <t>UK-405/6</t>
  </si>
  <si>
    <t>Companies who own or operate RRV/trailer combinations not fitted with service brakes should provide</t>
  </si>
  <si>
    <t>Companies who own or operate RRV/trailer combinations not fitted with service brakes should provide clear guidance to machine operators on the maximum speed and hauled load that the RRV can operate to, given the gradient and track conditions expected or existing at site (paragraph 116). This guidance could take the form of a duty chart, covering all duties, displayed in the cab.</t>
  </si>
  <si>
    <t>UK-405/7</t>
  </si>
  <si>
    <t>Network Rail should provide a time-bound plan for the elimination of the use of RRV trailers not fit</t>
  </si>
  <si>
    <t>Network Rail should provide a time-bound plan for the elimination of the use of RRV trailers not fitted with service brakes from its network (paragraph 116).</t>
  </si>
  <si>
    <t>UK-399/1</t>
  </si>
  <si>
    <t>Network Rail should specifically prohibit the use of umbrellas by staff on or near lines which are o</t>
  </si>
  <si>
    <t>Network Rail should specifically prohibit the use of umbrellas by staff on or near lines which are open to traffic</t>
  </si>
  <si>
    <t>UK-399/2</t>
  </si>
  <si>
    <t>Network Rail should introduce procedures to improve the safety of staff removing detonator protectio</t>
  </si>
  <si>
    <t>Network Rail should introduce procedures to improve the safety of staff removing detonator protection by: a. reinforcing the message that persons removing detonator protection should either be permanently clear of the running lines, or have sufficient sighting to protect their own safety while walking back to the permanent position of safety before confirming to the PICOP that the protection has been lifted, for example by including this information in the RIMINI plan and b. providing guidance to BRMs on the sequence for withdrawing detonator protection to reduce the opportunity for a possession to be given up unintentionally before staff are clear of the track</t>
  </si>
  <si>
    <t>UK-399/3</t>
  </si>
  <si>
    <t>Network Rail should look critically at the possession management process to reduce the need for staf</t>
  </si>
  <si>
    <t>Network Rail should look critically at the possession management process to reduce the need for staff to be on the track for the purpose of taking or giving back a possession</t>
  </si>
  <si>
    <t>UK-399/4</t>
  </si>
  <si>
    <t>Network Rail should introduce a structured approach to the monitoring of compliance with Network Rai</t>
  </si>
  <si>
    <t>Network Rail should introduce a structured approach to the monitoring of compliance with Network Railâ€™s standard maintenance procedure NR/PRC/MTC/0117 â€˜Planned general safety inspectionsâ€™ (paragraph 164), and incorporate in this the means to assess the workload of those tasked with undertaking these inspections.</t>
  </si>
  <si>
    <t>UK-399/5</t>
  </si>
  <si>
    <t>Network Rail should, at those locations where T3 protection is regularly placed, introduce a system</t>
  </si>
  <si>
    <t>Network Rail should, at those locations where T3 protection is regularly placed, introduce a system to physically mark the location of possession limit boards on the track to assist staff in positioning and checking the position of equipment (paragraph 169), or consider installing a semi-permanent possession limit board system.</t>
  </si>
  <si>
    <t>UK-398/1</t>
  </si>
  <si>
    <t>The Network Rail should propose a change to the Rule Book, in accordance with the Group Standards co</t>
  </si>
  <si>
    <t>The Network Rail should propose a change to the Rule Book, in accordance with the Group Standards code, so that all members of a work group have the responsibility to ensure that they receive a full briefing prior to signing the COSS form (paragraph 210b).</t>
  </si>
  <si>
    <t>UK-398/2</t>
  </si>
  <si>
    <t>In order to reduce the risk to track workers, Network Rail should review their programme for provisi</t>
  </si>
  <si>
    <t>In order to reduce the risk to track workers, Network Rail should review their programme for provision of automatic warning systems for red zone track inspections and if practicable should implement a programme to accelerate the introduction of appropriate systems for multi track areas (paragraph 216).</t>
  </si>
  <si>
    <t>UK-398/3</t>
  </si>
  <si>
    <t>Network Rail should review the derogation that safety helmets need not be worn at all times during b</t>
  </si>
  <si>
    <t>Network Rail should review the derogation that safety helmets need not be worn at all times during basic visual track inspection (paragraph 210c).</t>
  </si>
  <si>
    <t>UK-398/4</t>
  </si>
  <si>
    <t>In order to verify their effectiveness, Network Rail should monitor recently introduced processes th</t>
  </si>
  <si>
    <t>In order to verify their effectiveness, Network Rail should monitor recently introduced processes that will show whether an individualâ€™s on-the-job performance routinely achieves the prescribed level with regard to safety. If necessary these processes should be enhanced (paragraphs 222 and 225).</t>
  </si>
  <si>
    <t>UK-398/5</t>
  </si>
  <si>
    <t>In order to reduce the risk to track inspection staff, Network Rail should propose a change to the R</t>
  </si>
  <si>
    <t>In order to reduce the risk to track inspection staff, Network Rail should propose a change to the Rule Book and the COSS Handbook, in accordance with the Group Standards code, that amends the procedures for red zone working with lookout protection in a multi-track area to: Clearly define an approaching train. Clarify the criteria for setting up a safe system of work, including the circumstances that require pre-planning.. Consideration should include:the practical capabilities of lookouts;the possibilities for human error and its consequences;the ability to identify the track a particular train is using;the likelihood of multiple train movements;the complexity of track layout;the nature of the work being undertaken; andthe size and disposition of the work group for continued observation by the lookout (paragraphs 213).</t>
  </si>
  <si>
    <t>UK-398/6</t>
  </si>
  <si>
    <t>In advance of any change to the Rule Book and COSS Handbook under Recommendation 5 and to provide cl</t>
  </si>
  <si>
    <t>In advance of any change to the Rule Book and COSS Handbook under Recommendation 5 and to provide clear and unambiguous safety instructions and/or guidance, Network Rail should either eliminate the current practices used in relation to staff not moving to a position of safety but remaining in a location where they do not believe they are in danger from a train moving towards their site of work, or should introduce formally risk assessed alternatives for setting up a safe system of work in a multi-track area. The risk assessment should consider the topics listed in Recommendation 5.</t>
  </si>
  <si>
    <t>UK-398/7</t>
  </si>
  <si>
    <t>Network Rail should validate the process and systems used to provide safety information for the COSS</t>
  </si>
  <si>
    <t>Network Rail should validate the process and systems used to provide safety information for the COSS pack to show that its output is correct and complete (paragraph 215).</t>
  </si>
  <si>
    <t>UK-398/8</t>
  </si>
  <si>
    <t>Network Rail should identify and correct the apparent inconsistencies within the Sectional Appendix</t>
  </si>
  <si>
    <t>Network Rail should identify and correct the apparent inconsistencies within the Sectional Appendix relating to maximum permitted train speeds on the approaches to Victoria station (paragraph 215).</t>
  </si>
  <si>
    <t>UK-398/9</t>
  </si>
  <si>
    <t>In order to ensure that staff allow an appropriate time to reach a position of safety, Network Rail</t>
  </si>
  <si>
    <t>In order to ensure that staff allow an appropriate time to reach a position of safety, Network Rail should arrange to rebrief appropriate staff working on the railway so that they are reminded of the risks posed by areas of limited clearance such as the raised bridge parapets on the lines over the Grosvenor Road Bridge (paragraph 215).</t>
  </si>
  <si>
    <t>UK-389/1</t>
  </si>
  <si>
    <t>Network Rail should require all organisations that are permitted to use high ride RRVs on its infras</t>
  </si>
  <si>
    <t>Network Rail should require all organisations that are permitted to use high ride RRVs on its infrastructure to identify those machines that require the operator to be assisted by another person(s) during on/off-tracking , and to enhance their procedures so that (paragraph 235b):for each machine, the operator is made aware that he needs assistance before he starts working with the machine; and operators are aware of the need to come to a clear understanding with the person(s) assisting them before starting to on/off-track; this understanding should include, but not necessarily be limited to, the steps to be gone through, who is responsible for each step, and the clear and unambiguous communication that is to be used so that the RRV can be safely on/off-tracked.</t>
  </si>
  <si>
    <t>UK-389/2</t>
  </si>
  <si>
    <t>Network Rail should require all organisations that are permitted to use high ride RRVs on its infrastructure to review their procedures for on/off-tracking and also the supporting training given to their operators. If necessary, organisations should enhance their procedures and training so that (paragraphs 235a, 235b, 236a, 237a and 238b): ï¬ the defined steps their operators need to go through during on/off-tracking result in a brake force sufficient to prevent the RRV running away on the maximum gradient permitted for on/off-tracking, and that this force is consistently applied at the holding end of the RRV (the end of the RRV that is opposite to the end at which the rail gear is being lowered (or raised));the operator understands his responsibilities for following these defined steps and how the steps assure the braking condition described above; and ï¬ that if assistance15 is required: the respective roles of the operator and the person(s) assisting (machine controller or otherwise) are identified for each</t>
  </si>
  <si>
    <t>UK-389/3</t>
  </si>
  <si>
    <t>Network Rail should enhance the relevant modules of the Sentinel training so that machine controller</t>
  </si>
  <si>
    <t>Network Rail should enhance the relevant modules of the Sentinel training so that machine controllers (paragraphs 235a, 235b and 236a): are aware that operators need to come to an understanding with any person assisting15 them with on/off-tracking; andunderstand the control measures that prevent an unbraked condition occurring during on/off-tracking.</t>
  </si>
  <si>
    <t>UK-389/4</t>
  </si>
  <si>
    <t>Network Rail should enhance the relevant modules of training given as part of the Sentinel machine c</t>
  </si>
  <si>
    <t>Network Rail should enhance the relevant modules of training given as part of the Sentinel machine controller competency scheme so that those persons holding this Sentinel competency are aware of the specific duties they should be competent to perform and any specific tasks, for example assisting15 the operator with on/off-tracking, that this competency does not cover (paragraph 237a).</t>
  </si>
  <si>
    <t>UK-389/5</t>
  </si>
  <si>
    <t>Network Rail should enhance the relevant modules of Sentinel training for machine controllers to giv</t>
  </si>
  <si>
    <t>Network Rail should enhance the relevant modules of Sentinel training for machine controllers to give guidance and practical training on the actions to be taken in the event of a runaway (paragraph 237c).</t>
  </si>
  <si>
    <t>UK-389/6</t>
  </si>
  <si>
    <t>Network Rail should review the MEWPs that were not modified as a result of the ORR Improvement Notic</t>
  </si>
  <si>
    <t>Network Rail should review the MEWPs that were not modified as a result of the ORR Improvement Notice issued following the incident at Copenhagen Tunnel on 15 October 2006. If necessary, Network Rail should require that enhancements are made to these MEWPs so that they are not at risk of being in an unbraked condition during on/off-tracking (paragraph 238a).</t>
  </si>
  <si>
    <t>UK-388/1</t>
  </si>
  <si>
    <t>London Underground should investigate the reasons for the apparently greater proportion of instances</t>
  </si>
  <si>
    <t>London Underground should investigate the reasons for the apparently greater proportion of instances of persons being trapped and dragged by closed doors on the Northern Line when compared with the average for other LUL lines and take any reasonably practicable steps that are identified to reduce the number of incidents. This investigation should include an analysis of the impact of the following factors: passenger flow patterns/densities, visibility of trains during dispatch, the interface between train operators, in-cab CCTV and other in-cab equipment during train dispatch, operating procedures, and the performance characteristics of train doors. The RAIB has made no recommendation about briefing train operators to observe that persons are clear of doors as trains start from platforms. This is because the LUL actions in paragraph 70 deal with all the areas that the RAIB would have covered in such a recommendation.</t>
  </si>
  <si>
    <t>UK-387/1</t>
  </si>
  <si>
    <t>Consillia Ltd should undertake a review of the design of the braking system on its MTRL-1 trailers.</t>
  </si>
  <si>
    <t>Consillia Ltd should undertake a review of the design of the braking system on its MTRL-1 trailers. The purpose of the review shall be:ï¬ to determine sensitivity to the initial set-up, adjustment, lubrication and subsequent mechanical damage; andto identify design modifications to improve the robustness of the design and to restore reliability in service. Any necessary improvements identified should be implemented (paragraphs 192 and 199).</t>
  </si>
  <si>
    <t>UK-387/2</t>
  </si>
  <si>
    <t>London Underground Ltd, in consultation with Tube Lines should amend its Track Trolley Operators tra</t>
  </si>
  <si>
    <t>London Underground Ltd, in consultation with Tube Lines should amend its Track Trolley Operators training to include a pre-work brake test on all wheels of trailers before they are placed on the track and that this is recorded. Once the electric track trolley and trailer(s) have been electrically and mechanically connected, a functional test of the emergency brake should be carried out at that time (this is linked to recommendation 1 in the Notting Hill report, ref: 12/2007)</t>
  </si>
  <si>
    <t>UK-387/3</t>
  </si>
  <si>
    <t>Tube Lines should restrict the operation of the Consillia Ltd MEC-4 electric track trolley and MTRL-</t>
  </si>
  <si>
    <t>Tube Lines should restrict the operation of the Consillia Ltd MEC-4 electric track trolley and MTRL-1 trailers to a maximum speed of 5 mph (8 km/h) until both recommendations 1 and 2 have been completed</t>
  </si>
  <si>
    <t>UK-387/4</t>
  </si>
  <si>
    <t>London Underground Ltd, in consultation with Tube Lines, should investigate the safe operation of br</t>
  </si>
  <si>
    <t>London Underground Ltd, in consultation with Tube Lines, should investigate the safe operation of brakes on all existing types of trolleys when contaminated by grease and review their relevant design, engineering and operational specifications (paragraph 193).</t>
  </si>
  <si>
    <t>UK-387/5</t>
  </si>
  <si>
    <t>Consillia Ltd should prepare a maintenance document detailing the maintenance procedures and testing</t>
  </si>
  <si>
    <t>Consillia Ltd should prepare a maintenance document detailing the maintenance procedures and testing arrangements for MEC-4 electric track trolleys and MTRL-1 trailers and schedules to be carried out by either Consillia Ltd or Tube Lines (paragraph 193).</t>
  </si>
  <si>
    <t>UK-387/6</t>
  </si>
  <si>
    <t>Tube Lines should ensure that:Track Trolley Operators are provided with the appropriate reference ma</t>
  </si>
  <si>
    <t>Tube Lines should ensure that:Track Trolley Operators are provided with the appropriate reference material during training; and Track Trolley Operators are trained to understand the information that they are required to carry on site (including information contained in method statements) (paragraph 193).</t>
  </si>
  <si>
    <t>UK-387/7</t>
  </si>
  <si>
    <t>Tube Lines should amend its Track Trolleys Operators training to include how pre-work brake tests sh</t>
  </si>
  <si>
    <t>Tube Lines should amend its Track Trolleys Operators training to include how pre-work brake tests should be carried out on motorised trolleys and trailers (linked to Recommendations 2 and 6) (paragraph 194).</t>
  </si>
  <si>
    <t>UK-387/8</t>
  </si>
  <si>
    <t>Tube Lines should put in place a process to ensure that gradient data (obtained from either a databa</t>
  </si>
  <si>
    <t>Tube Lines should put in place a process to ensure that gradient data (obtained from either a database or the relevant method statement) is made available to Track Trolley Operators for each site (paragraph 194).</t>
  </si>
  <si>
    <t>UK-387/9</t>
  </si>
  <si>
    <t>Tube Lines should review its process for the preparation of specifications for track plant equipment</t>
  </si>
  <si>
    <t>Tube Lines should review its process for the preparation of specifications for track plant equipment with the objective of ensuring that safety related performance requirements are correctly defined. Any necessary improvements identified should be implemented (paragraph 194).</t>
  </si>
  <si>
    <t>UK-387/10</t>
  </si>
  <si>
    <t>Consillia Ltd should review its design validation and testing process against current industry good</t>
  </si>
  <si>
    <t>Consillia Ltd should review its design validation and testing process against current industry good practice (e.g. Engineering Safety Management: the â€˜Yellow Bookâ€™, Issue 4.0). Any necessary improvements identified should be implemented (paragraph 194).</t>
  </si>
  <si>
    <t>UK-377/1</t>
  </si>
  <si>
    <t>TMM should either employ or provide from elsewhere, personnel competent to specify and approve the i</t>
  </si>
  <si>
    <t>TMM should either employ or provide from elsewhere, personnel competent to specify and approve the inspection, maintenance and repair of switches and crossings (paragraph 68a).</t>
  </si>
  <si>
    <t>UK-377/2</t>
  </si>
  <si>
    <t>TMM should develop or adopt and implement standards and procedures for effective switch and crossing</t>
  </si>
  <si>
    <t>TMM should develop or adopt and implement standards and procedures for effective switch and crossing inspection, maintenance and repair (paragraph 68b).</t>
  </si>
  <si>
    <t>UK-377/3</t>
  </si>
  <si>
    <t>Carillion should verify by audit that switch and crossing work its Doncaster Welding Depot undertake</t>
  </si>
  <si>
    <t>Carillion should verify by audit that switch and crossing work its Doncaster Welding Depot undertakes elsewhere is carried out by competent staff (paragraph 68a).</t>
  </si>
  <si>
    <t>UK-377/4</t>
  </si>
  <si>
    <t>TMM should verify, by monitoring and auditing, that switch and crossing inspection, maintenance and</t>
  </si>
  <si>
    <t>TMM should verify, by monitoring and auditing, that switch and crossing inspection, maintenance and repair is carried out by them or on their behalf to a standard that achieves safe operation (paragraph 63).</t>
  </si>
  <si>
    <t>UK-376/1</t>
  </si>
  <si>
    <t>GMPTE should put in place procedures to enable them to review the audits carried out by their operat</t>
  </si>
  <si>
    <t>GMPTE should put in place procedures to enable them to review the audits carried out by their operating contractor, to satisfy themselves that their contractorâ€™s internal audit regime and safety management system are being complied with</t>
  </si>
  <si>
    <t>UK-376/2</t>
  </si>
  <si>
    <t>GMPTE should review, and if found necessary amend, their contractual arrangements for the Metrolink</t>
  </si>
  <si>
    <t>GMPTE should review, and if found necessary amend, their contractual arrangements for the Metrolink operation to ensure that essential repairs cannot be deferred for contractual reasons</t>
  </si>
  <si>
    <t>UK-376/3</t>
  </si>
  <si>
    <t>Stagecoach Metrolink should review, and if necessary amend, their Safety Management System so as to</t>
  </si>
  <si>
    <t>Stagecoach Metrolink should review, and if necessary amend, their Safety Management System so as to require formal approval by a professional head of any derogation to a safety critical standard</t>
  </si>
  <si>
    <t>UK-376/4</t>
  </si>
  <si>
    <t>MPTE, jointly with Stagecoach Metrolink, should investigate alternative locations for the safety equ</t>
  </si>
  <si>
    <t>MPTE, jointly with Stagecoach Metrolink, should investigate alternative locations for the safety equipment in Metrolink trams such that it is more accessible when the tram is fully loaded. If it is reasonably practicable, the emergency equipment should be relocated</t>
  </si>
  <si>
    <t>UK-376/5</t>
  </si>
  <si>
    <t>GMPTE, jointly with Stagecoach Metrolink, should investigate, and if reasonably practicable implemen</t>
  </si>
  <si>
    <t>GMPTE, jointly with Stagecoach Metrolink, should investigate, and if reasonably practicable implement, changes to the door operating system to allow the driver to open the front set of doors on either side of the tram</t>
  </si>
  <si>
    <t>UK-375/1</t>
  </si>
  <si>
    <t>TMM should: (i) modify the design of the tram sunblinds to ensure that, when deployed, they remain i</t>
  </si>
  <si>
    <t>TMM should: (i) modify the design of the tram sunblinds to ensure that, when deployed, they remain in position during tram operation; (ii) amend the maintenance regime to ensure that sunblind mechanisms remain fit for purpose over their working lives; and (iii) amend their procedures to ensure that fleet checks are carried out to a standard sufficient to correctly identify faults (Paragraph 101b).</t>
  </si>
  <si>
    <t>UK-375/2</t>
  </si>
  <si>
    <t>TMM should amend their procedure for tram failure to require the use of hazard warning lights immedi</t>
  </si>
  <si>
    <t>TMM should amend their procedure for tram failure to require the use of hazard warning lights immediately a tram is causing an obstruction (Paragraph 101c).</t>
  </si>
  <si>
    <t>UK-375/3</t>
  </si>
  <si>
    <t>TMM should conduct a risk assessment into their off-street operation to identify improvements that c</t>
  </si>
  <si>
    <t>TMM should conduct a risk assessment into their off-street operation to identify improvements that could be made in the identification of and response to unexpected hazards, including obstructions on the tramway (Paragraph 74).</t>
  </si>
  <si>
    <t>UK-374/1</t>
  </si>
  <si>
    <t>Blackpool Transport Services should develop and document a method of hand points operation to ensure</t>
  </si>
  <si>
    <t>Blackpool Transport Services should develop and document a method of hand points operation to ensure that the mechanism is not placed in an unstable state (paragraph 55).</t>
  </si>
  <si>
    <t>UK-374/2</t>
  </si>
  <si>
    <t>Blackpool Transport Services should put in place a system to ensure that the method identified in Re</t>
  </si>
  <si>
    <t>Blackpool Transport Services should put in place a system to ensure that the method identified in Recommendation 1 above is correctly trained at induction and applied in day to day operations by staff throughout their employment (paragraph 55).</t>
  </si>
  <si>
    <t>UK-373/1</t>
  </si>
  <si>
    <t>TMM should review the driver training programme: * to ensure familiarity with use of the hazard brak</t>
  </si>
  <si>
    <t>TMM should review the driver training programme: * to ensure familiarity with use of the hazard brake, both at initial and refresher training (paragraphs 102 and 103). * to ensure that the training given to new drivers is keeping risks as low as is reasonably practicable; in particular they should consider the need for specific monitoring and assistance for newly qualified drivers (paragraph 104).</t>
  </si>
  <si>
    <t>UK-373/2</t>
  </si>
  <si>
    <t>TMM should review the arrangements for reporting and follow up on use of the hazard brake to ensure</t>
  </si>
  <si>
    <t>TMM should review the arrangements for reporting and follow up on use of the hazard brake to ensure that they are not acting to discourage driverâ€™s use of the hazard brake (paragraph 102).</t>
  </si>
  <si>
    <t>UK-372/1</t>
  </si>
  <si>
    <t>BTS, in association with Tram Power and BBC, should undertake an assessment of operational and derai</t>
  </si>
  <si>
    <t>BTS, in association with Tram Power and BBC, should undertake an assessment of operational and derailment behaviour of tram 611 in order to identify the mitigation measures necessary to allow its safe operation on the Blackpool Tramway. In conducting this assessment consideration should be given to the combined influence of the tram design (including the configuration of the running gear), operating parameters and the track design and maintenance (including rail head profiles).</t>
  </si>
  <si>
    <t>UK-372/2</t>
  </si>
  <si>
    <t>BBC should take measures to control the pattern of wear on the rail gauge face throughout the Blackp</t>
  </si>
  <si>
    <t>BBC should take measures to control the pattern of wear on the rail gauge face throughout the Blackpool Tramway. This should include the definition of quantitative limits and guidance for the management of rail sidewear in the relevant track maintenance procedures and documentation.</t>
  </si>
  <si>
    <t>UK-371/1</t>
  </si>
  <si>
    <t>TCL should demonstrate to HMRI that they have overhauled the arrangements for investigating and rect</t>
  </si>
  <si>
    <t>TCL should demonstrate to HMRI that they have overhauled the arrangements for investigating and rectifying faults in Hanning and Kahl point mechanisms so as to ensure systematic control of the risk from derailment (paragraph 75).</t>
  </si>
  <si>
    <t>UK-371/2</t>
  </si>
  <si>
    <t>TOL should review its driver training programme, to ensure that the training given to new drivers is</t>
  </si>
  <si>
    <t>TOL should review its driver training programme, to ensure that the training given to new drivers is keeping risks as low as is reasonably practicable (paragraph 83).</t>
  </si>
  <si>
    <t>UK-370/1</t>
  </si>
  <si>
    <t>GMPTE should ensure that a standard for Metrolink grooved rail track, including tolerances and limit</t>
  </si>
  <si>
    <t>GMPTE should ensure that a standard for Metrolink grooved rail track, including tolerances and limits for wear and gauge, is developed and implemented, and that there is guidance to inspection staff on appropriate levels and types of intervention corresponding to measured values and observations.</t>
  </si>
  <si>
    <t>UK-370/2</t>
  </si>
  <si>
    <t>GMPTE should ensure that the risk of transitions between flat-bottomed and grooved rail on curves on</t>
  </si>
  <si>
    <t>GMPTE should ensure that the risk of transitions between flat-bottomed and grooved rail on curves on the system is assessed, and that they are repositioned on to straight track where this is warranted and it is reasonably practicable to do so.</t>
  </si>
  <si>
    <t>UK-370/3</t>
  </si>
  <si>
    <t>The infrastructure maintainer of Manchester Metrolink and GMPTE should jointly introduce a system fo</t>
  </si>
  <si>
    <t>The infrastructure maintainer of Manchester Metrolink and GMPTE should jointly introduce a system for initiating, planning and implementing track renewals on the Metrolink system.</t>
  </si>
  <si>
    <t>UK-370/4</t>
  </si>
  <si>
    <t>GMPTE should ensure that the infrastructure design change and quality control procedures for the Met</t>
  </si>
  <si>
    <t>GMPTE should ensure that the infrastructure design change and quality control procedures for the Metrolink system are reviewed, to ensure the proper control of alterations made to the infrastructure during maintenance.</t>
  </si>
  <si>
    <t>UK-369/1</t>
  </si>
  <si>
    <t>Network Rail should, through their Sentinel System, withdraw the Personal Track Safety and Controlle</t>
  </si>
  <si>
    <t>Network Rail should, through their Sentinel System, withdraw the Personal Track Safety and Controller of Site Safety certification of the two staff involved and not reissue them until the individuals have been retrained (paragraphs 142, 144, 150, 155).</t>
  </si>
  <si>
    <t>Accident to persons caused by RS in motion, 26/10/2005, Trafford Park, Manchester (United Kingdom)</t>
  </si>
  <si>
    <t>UK-369/2</t>
  </si>
  <si>
    <t>Schweizer should develop and implement a procedure to monitor the compliance of all their staff with</t>
  </si>
  <si>
    <t>Schweizer should develop and implement a procedure to monitor the compliance of all their staff with main contractor and Network Rail track safety requirements(paragraphs 147, 148, 150, 151).</t>
  </si>
  <si>
    <t>UK-369/3</t>
  </si>
  <si>
    <t>Schweizer should brief all COSS certificated staff to comply withNR/SP/OHS/019 (Rimini) when working</t>
  </si>
  <si>
    <t>Schweizer should brief all COSS certificated staff to comply withNR/SP/OHS/019 (Rimini) when working on Network Rail infrastructure (paragraphs 143, 144, 150).</t>
  </si>
  <si>
    <t>UK-369/4</t>
  </si>
  <si>
    <t>Carillion should review, and amend as necessary, their procedures and arrangements for site access t</t>
  </si>
  <si>
    <t>Carillion should review, and amend as necessary, their procedures and arrangements for site access to ensure that only those persons who are relevant to planned activities are able to access site. Appropriate monitoring arrangements should be made (paragraph 148).</t>
  </si>
  <si>
    <t>UK-369/5</t>
  </si>
  <si>
    <t>Carillion should review, and amend as necessary, their procedures and arrangements for site manageme</t>
  </si>
  <si>
    <t>Carillion should review, and amend as necessary, their procedures and arrangements for site management to ensure that only those staff nominated as COSS within Method Statements are able to act as such. Appropriate monitoring arrangements should be made (paragraph 149).</t>
  </si>
  <si>
    <t>UK-369/6</t>
  </si>
  <si>
    <t>Carillion should review, and amend as necessary, procedures for client/internal client/supplier comm</t>
  </si>
  <si>
    <t>Carillion should review, and amend as necessary, procedures for client/internal client/supplier communication and specifically that between S&amp;C, CAP and Schweizer. This should specifically consider how specialist activity method statements are to be integrated and visible to S&amp;C site managers and how specialist suppliers are to be informed of main work programmes (paragraphs 156, 157, 158, 159).</t>
  </si>
  <si>
    <t>UK-369/7</t>
  </si>
  <si>
    <t>Carillion should re-brief their site staff regarding emergency procedures (paragraphs 172, 173).</t>
  </si>
  <si>
    <t>UK-369/8</t>
  </si>
  <si>
    <t>Network Rail must ensure the selection, training and performance assessment regime achieves and main</t>
  </si>
  <si>
    <t>Network Rail must ensure the selection, training and performance assessment regime achieves and maintains the prescribed standard of performance required of the COSS. A review is required which should consider: *. at the selection stage, an assessment of the individualâ€™s personal attitudes to safety, adherence to rules and inter-relational personal skills; l an assessment prior to qualification, and if appropriate, post-qualification, to more accurately reflect the performance required in the workplace; l the development of a new robust monitoring process to ensure that an individualâ€™s on-the-job performance routinely achieves the prescribed level. This work should also consider the circumstances where the normal working environment permits COSS to use some protection methods infrequently, and whether there is therefore a need to sub-categorise the skill, within COSS competency training and certification. The principles established may have application in the competency management process for other track safe</t>
  </si>
  <si>
    <t>UK-369/9</t>
  </si>
  <si>
    <t>Network Rail should consider further work and the expansion of the current programme of research int</t>
  </si>
  <si>
    <t>Network Rail should consider further work and the expansion of the current programme of research into understanding the causes of rule violation, in direct contravention to the training people have received to include track safety skills (paragraphs 146, 148, 149, 150, 152, 153, 154, 155).</t>
  </si>
  <si>
    <t>UK-352/1</t>
  </si>
  <si>
    <t>Following the first incident, BTS took action as described in paragraphs 37 above to fully brief dri</t>
  </si>
  <si>
    <t>Following the first incident, BTS took action as described in paragraphs 37 above to fully brief drivers about the correct procedures when changing ends.</t>
  </si>
  <si>
    <t>UK-352/2</t>
  </si>
  <si>
    <t>BTS lagged air pipes on the â€˜Centenaryâ€™ and â€˜Jubileeâ€™ tramcars to reduce the risk of the braking sys</t>
  </si>
  <si>
    <t>BTS lagged air pipes on the â€˜Centenaryâ€™ and â€˜Jubileeâ€™ tramcars to reduce the risk of the braking system freezing, as described in paragraph 36. RAIB agrees these actions would mitigate the risks associated with the first incident</t>
  </si>
  <si>
    <t>UK-352/3</t>
  </si>
  <si>
    <t>After the second incident, BTS designed a modification to the controller end cover which prevents th</t>
  </si>
  <si>
    <t>After the second incident, BTS designed a modification to the controller end cover which prevents the shaft from turning while the handle is being removed. A prototype was inspected during the RAIBâ€™s investigation. A production version has since been fitted to all ten trams with this type of controller.</t>
  </si>
  <si>
    <t>UK-352/4</t>
  </si>
  <si>
    <t>Inspection and maintenance procedures for the controllers were reviewed following the first incident</t>
  </si>
  <si>
    <t>Inspection and maintenance procedures for the controllers were reviewed following the first incident. Controllers are now inspected daily and the screws securing the covers tightened if necessary, and records are kept of this check</t>
  </si>
  <si>
    <t>UK-351/1</t>
  </si>
  <si>
    <t>Network Rail should review the resourcing of the track maintenance organisation in the Wessex area,</t>
  </si>
  <si>
    <t>Network Rail should review the resourcing of the track maintenance organisation in the Wessex area, Wimbledon section to ensure that it is adequate for its existing and planned workload. The review should consider the recruitment and retention arrangements in the area, the numbers of posts and the necessary competences, the arrangements for ensuring that all sections of line are given appropriate levels of attention, and the technical and professional support available to the inspection and maintenance staff (paragraphs 138, 140).</t>
  </si>
  <si>
    <t>UK-351/2</t>
  </si>
  <si>
    <t>Network Rail should revise its instructions to staff to ensure that patrollers and local track manag</t>
  </si>
  <si>
    <t>Network Rail should revise its instructions to staff to ensure that patrollers and local track managers have clear and specific instruction and guidance on the identification of and response to alignment faults and localised poor rail condition (paragraph 138).</t>
  </si>
  <si>
    <t>UK-351/3</t>
  </si>
  <si>
    <t>Network Rail should review Company standard NR/SP/TRK/8006 to provide improved guidance on the use a</t>
  </si>
  <si>
    <t>Network Rail should review Company standard NR/SP/TRK/8006 to provide improved guidance on the use and siting of remote rail lubricators, and the action to be taken in the event of lubrication failure, to reduce the risk of potential derailment (paragraph 138).</t>
  </si>
  <si>
    <t>UK-350/1</t>
  </si>
  <si>
    <t>First Engineering Ltd should instruct their staff under what circumstances they are permitted to cou</t>
  </si>
  <si>
    <t>First Engineering Ltd should instruct their staff under what circumstances they are permitted to couple and uncouple vehicles that make up the consist of Kirow cranes</t>
  </si>
  <si>
    <t>UK-350/2</t>
  </si>
  <si>
    <t>First Engineering Ltd should ensure that their staff who are permitted to couple and uncouple rail v</t>
  </si>
  <si>
    <t>First Engineering Ltd should ensure that their staff who are permitted to couple and uncouple rail vehicles are competent in the appropriate sections of the rule book</t>
  </si>
  <si>
    <t>UK-350/3</t>
  </si>
  <si>
    <t>First Engineering Ltd should ensure that operators of Kirow cranes are adequately trained to respond</t>
  </si>
  <si>
    <t>First Engineering Ltd should ensure that operators of Kirow cranes are adequately trained to respond correctly to a cant compensator alarm</t>
  </si>
  <si>
    <t>UK-348/1</t>
  </si>
  <si>
    <t>Network Rail should assess the sleeper spacings and panel length of all HoldFast crossings until the</t>
  </si>
  <si>
    <t>Network Rail should assess the sleeper spacings and panel length of all HoldFast crossings until the rate of shrinkage is understood, and take such steps as are necessary so that no panel end is left unsupported by a sleeper. At the same time they should ensure that legged base plates are installed as specified by HoldFast Level Crossings Ltd</t>
  </si>
  <si>
    <t>UK-348/2</t>
  </si>
  <si>
    <t>Network Rail should review the information that they provide to their level crossing teams, so that</t>
  </si>
  <si>
    <t>Network Rail should review the information that they provide to their level crossing teams, so that the requirements of their standards, the risks of particular crossings using panel surfaces and the installation, inspection and maintenance actions that they expect are clearly communicated to front-line staff in a way that is useful and comprehensible to them</t>
  </si>
  <si>
    <t>UK-348/3</t>
  </si>
  <si>
    <t>HoldFast Level Crossings Ltd. should define the performance limits of their level crossing panels in</t>
  </si>
  <si>
    <t>HoldFast Level Crossings Ltd. should define the performance limits of their level crossing panels in consideration of the loads and layouts to which they are exposed (paragraphs 416c and 416d). It is suggested that HoldFast seek assistance from Rosehill Polymers and Network Rail in this task.</t>
  </si>
  <si>
    <t>UK-348/4</t>
  </si>
  <si>
    <t>Network Rail should arrange a complete generic risk assessment of the HoldFast level crossing system</t>
  </si>
  <si>
    <t>Network Rail should arrange a complete generic risk assessment of the HoldFast level crossing system by an appropriately technically qualified person, once the service environment of level crossings and the limits of performance of panels have been assessed. This should involve Holdfast Level Crossings Ltd. and Rosehill Polymers Ltd. appropriately in accordance with Network Railâ€™s Engineering Safety Management System definition of â€˜system supplierâ€™. This assessment should review the risks associated with the design, manufacture, installation and maintenance of the system, and should be supported by a wide review of in-service experience. The principles of Network Railâ€™s Engineering Safety Management System should be adopted for guidance. The generic assessment should then be used to develop a site-specific assessment methodology for all locations where HoldFast crossings are to be used</t>
  </si>
  <si>
    <t>UK-348/5</t>
  </si>
  <si>
    <t>Network Rail should update specification NR/SP/TRK/040 to include any revisions or clarifications of</t>
  </si>
  <si>
    <t>Network Rail should update specification NR/SP/TRK/040 to include any revisions or clarifications of load parameters and assurance measures necessary to better define the performance requirements of level crossing panel systems</t>
  </si>
  <si>
    <t>UK-348/6</t>
  </si>
  <si>
    <t>Network Rail should review how it controls any application and design change associated with level c</t>
  </si>
  <si>
    <t>Network Rail should review how it controls any application and design change associated with level crossing panel systems, including working with suppliers, manufacturers and front-line staff (paragraph 417c). This should take account of the findings in paragraphs 397 to 402 of this report.</t>
  </si>
  <si>
    <t>UK-348/7</t>
  </si>
  <si>
    <t>Network Rail should ensure that HoldFast Level Crossings Ltd. have applied for and received product</t>
  </si>
  <si>
    <t>Network Rail should ensure that HoldFast Level Crossings Ltd. have applied for and received product acceptance of their current base plate design</t>
  </si>
  <si>
    <t>UK-348/8</t>
  </si>
  <si>
    <t>Network Rail should review their processes for approval of level crossing panels and consider adopti</t>
  </si>
  <si>
    <t>Network Rail should review their processes for approval of level crossing panels and consider adopting the principles of hazard identification and mitigation within their Engineering Safety Management System</t>
  </si>
  <si>
    <t>UK-348/9</t>
  </si>
  <si>
    <t>Network Rail should review all their public highway crossings fitted with panel surfaces to identify</t>
  </si>
  <si>
    <t>Network Rail should review all their public highway crossings fitted with panel surfaces to identify any that do not comply with the normal operating conditions defined in NR/SP/TRK/040 or those outside of their limit of application. Any crossings identified as such, should be listed and the risks associated with operating them outside of these conditions assessed and reasonable steps taken to mitigate them</t>
  </si>
  <si>
    <t>UK-348/10</t>
  </si>
  <si>
    <t>HoldFast Level Crossings Ltd should amend their panel designs so that the manufacturing configuratio</t>
  </si>
  <si>
    <t>HoldFast Level Crossings Ltd should amend their panel designs so that the manufacturing configuration of all panels supplied in the future is uniquely and indelibly marked on the panel, so as to be visible when the panel is in-situ in a level crossing</t>
  </si>
  <si>
    <t>UK-346/1</t>
  </si>
  <si>
    <t>EWS should complete its programme for installing UIC sprung side bearers in FAA wagons in order to o</t>
  </si>
  <si>
    <t>EWS should complete its programme for installing UIC sprung side bearers in FAA wagons in order to overcome the known deficiencies with the existing arrangement (paragraph 90).</t>
  </si>
  <si>
    <t>UK-346/2</t>
  </si>
  <si>
    <t>EWS, pending the replacement of all existing side bearers, should test a representative sample of th</t>
  </si>
  <si>
    <t>EWS, pending the replacement of all existing side bearers, should test a representative sample of the unmodified fleet of FAA wagons in order to confirm that the values obtained for bogie rotational resistance and torsional stiffness remain acceptable once the central pivot and side bearer components have been subject to wear and to measure any change in the performance of the side bearer lubrication between PPM (paragraphs 90 and 91).</t>
  </si>
  <si>
    <t>UK-346/3</t>
  </si>
  <si>
    <t>Engineering Support Group Ltd. (formerly part of EWS - engineering service group), in its capacity a</t>
  </si>
  <si>
    <t>Engineering Support Group Ltd. (formerly part of EWS - engineering service group), in its capacity as a Conformance Certification Body, should review the design scrutiny process that was applied to certify the FAA wagon type and its subsequent modifications. The review should identify any weakness in the management systems that resulted in the non-identification of the design defects associated with the side bearer assembly. The review should also consider the checks that are carried out to confirm the validity of testing done in support of the design. ESG Ltd. should implement any changes to its processes found necessary following this review (paragraph 93).</t>
  </si>
  <si>
    <t>UK-346/4</t>
  </si>
  <si>
    <t>Engineering Support Group Ltd. should implement changes to its processes to mandate that when undert</t>
  </si>
  <si>
    <t>Engineering Support Group Ltd. should implement changes to its processes to mandate that when undertaking scrutiny of design and proposed maintenance the degradation of components in service is taken into account and the railway undertaking is advised of any additional maintenance and/or inspection requirements to keep the vehicle in a safe state as components wear (paragraph 93).</t>
  </si>
  <si>
    <t>UK-345/1</t>
  </si>
  <si>
    <t>Network Rail should explain to the authorised users about the method of safe operation of Bratts Bla</t>
  </si>
  <si>
    <t>Network Rail should explain to the authorised users about the method of safe operation of Bratts Blackhouse No 1 UWC and their responsibilities and confirm this in writing. In addition, a notice to comply with GI/RT7012 Part K3 should be sent to the authorised users and a copy displayed at the crossing. Network Rail should also take reasonably practicable steps to verify usersâ€™ compliance with the method of safe operation (paragraphs 61 and 120).</t>
  </si>
  <si>
    <t>UK-345/2</t>
  </si>
  <si>
    <t>Network Rail should audit the effectiveness and implementation of the maintenance and inspection mea</t>
  </si>
  <si>
    <t>Network Rail should audit the effectiveness and implementation of the maintenance and inspection measures mandated by Network Rail company standards for UWCs within the maintenance area that includes Bratts Blackhouse No 1 UWC and amend company practices to address deficiencies that come to light (paragraphs 69 and 122).</t>
  </si>
  <si>
    <t>UK-345/3</t>
  </si>
  <si>
    <t>Network Rail should duplicate the stop sign on the north side to a position on the left hand side of</t>
  </si>
  <si>
    <t>Network Rail should duplicate the stop sign on the north side to a position on the left hand side of the hinge gate post next to the â€˜Privateâ€™ sign (paragraphs 106 and 124).</t>
  </si>
  <si>
    <t>UK-345/4</t>
  </si>
  <si>
    <t>Network Rail should initiate a programme to apply the All Level Crossing Risk Assessment Model (ALCR</t>
  </si>
  <si>
    <t>Network Rail should initiate a programme to apply the All Level Crossing Risk Assessment Model (ALCRM), to UWCs and to ensure that if there are any UWCs where the warning time is less than the crossing time then they are provided with appropriate risk mitigation measures. Risk mitigation measure to be considered should include the following: * clear marking of the point at which the final decision to cross should be made (if this is between the instruction sign and the track); * the reduction of line speed; * the provision of telephones, MSLs or alternative warning systems where shown to be reasonably practicable; or * restrictions on the use of the crossing by the authorised user (where these can be agreed) (paragraphs 99 and 123).</t>
  </si>
  <si>
    <t>UK-345/5</t>
  </si>
  <si>
    <t>Network Rail should ensure that all track maintenance staff in the Anglia Area are briefed on the ne</t>
  </si>
  <si>
    <t>Network Rail should ensure that all track maintenance staff in the Anglia Area are briefed on the need to preserve evidence following an accident that has been notified to the RAIB (paragraphs 46 and 128).</t>
  </si>
  <si>
    <t>UK-345/6</t>
  </si>
  <si>
    <t>Network Rail should modify the relevant company standard(s) to require the provision of a telephone</t>
  </si>
  <si>
    <t>Network Rail should modify the relevant company standard(s) to require the provision of a telephone number of the signaller on all signs at UWCâ€™s and to implement a programme for ensuring compliance (paragraphs 109 and 125).</t>
  </si>
  <si>
    <t>UK-345/7</t>
  </si>
  <si>
    <t>Network Rail should ensure that the signaller at Saxmundham is made aware of power and UPS failures</t>
  </si>
  <si>
    <t>Network Rail should ensure that the signaller at Saxmundham is made aware of power and UPS failures that will affect the operation of the voice recorder and other safety related equipment (paragraphs 43 and 127).</t>
  </si>
  <si>
    <t>UK-345/8</t>
  </si>
  <si>
    <t>Network Rail should install a sign at all UWCs indicating the name of the crossing to comply with Ra</t>
  </si>
  <si>
    <t>Network Rail should install a sign at all UWCs indicating the name of the crossing to comply with Railway Safety Principles and Guidance, Section 2 part E, paragraph 287 (paragraphs 42 and 126).</t>
  </si>
  <si>
    <t>UK-344/1</t>
  </si>
  <si>
    <t>The Railway Safety and Standards Board, in consultation with Network Rail and other Railway Group me</t>
  </si>
  <si>
    <t>The Railway Safety and Standards Board, in consultation with Network Rail and other Railway Group members, to modify forms RT 3198 and 3199 to include a record of the mileage of the possession limits (linked to Recommendation 5). This should be done in such a way that the PICOP and ES are able to easily identify any inconsistency between the location of the worksite and the extent of the possession (see paragraphs 52 and 97).</t>
  </si>
  <si>
    <t>UK-344/2</t>
  </si>
  <si>
    <t>Network Rail, in consultation with contractors, to rebrief track maintenance staff in the London Nor</t>
  </si>
  <si>
    <t>Network Rail, in consultation with contractors, to rebrief track maintenance staff in the London North Eastern Area on their roles and responsibilities in the works planning process and the need for careful examination of the WON during the planning and execution of safety critical activities (see paragraphs 51 and 76). This briefing should include the process and documentation to support late notice changes to planned work activities.</t>
  </si>
  <si>
    <t>UK-344/3</t>
  </si>
  <si>
    <t>Network Rail, in consultation with contractors, to develop and adopt a universal standard process, w</t>
  </si>
  <si>
    <t>Network Rail, in consultation with contractors, to develop and adopt a universal standard process, with associated documents, for use by PICOPs, when planning possession activities. In all cases it should be clear who is responsible for the preparation of documents, submission of forms and approvals of work activities. Documents developed for this purpose should be designed for the avoidance of errors when transposing data from the WON (see paragraphs 56 to 58, 95).</t>
  </si>
  <si>
    <t>UK-344/4</t>
  </si>
  <si>
    <t>Network Rail to take steps to ensure that all track maintenance staff make reference to the definiti</t>
  </si>
  <si>
    <t>Network Rail to take steps to ensure that all track maintenance staff make reference to the definitive line diagrams and signalling plans when planning engineering activities (currently available via the Network Rail intranet) and to ensure that such diagrams feature in possession planning documentation prepared by PICOPs. In consequence Network Rail should ensure that these diagrams are subject to regular validation and updates as appropriate (see paragraph 74).</t>
  </si>
  <si>
    <t>UK-344/5</t>
  </si>
  <si>
    <t>Network Rail to implement a system to ensure that all relevant staff (including PICOPs and Engineeri</t>
  </si>
  <si>
    <t>Network Rail to implement a system to ensure that all relevant staff (including PICOPs and Engineering Supervisors) have easy access to accurate mileage information for all published possession limits and to ensure that the written descriptions of possession limits are sufficiently precise to enable staff to identify the actual geographical locations that are referred to (see paragraphs 52, 53, 54 and 97).</t>
  </si>
  <si>
    <t>UK-344/6</t>
  </si>
  <si>
    <t>Network Rail and PICOP service providers to implement formal management arrangements for PICOP Brief</t>
  </si>
  <si>
    <t>Network Rail and PICOP service providers to implement formal management arrangements for PICOP Briefings. These should include the provision of a suitable venue, definition of required attendees, the specification of key documents to be available and a process for management checks to verify that PICOP Briefing meetings are being conducted in a correct and effective manner (see paragraph 29).</t>
  </si>
  <si>
    <t>UK-344/7</t>
  </si>
  <si>
    <t>Network Rail procedure NR/PRC/MTC/PL0056 should be enhanced by a review of safety critical informati</t>
  </si>
  <si>
    <t>Network Rail procedure NR/PRC/MTC/PL0056 should be enhanced by a review of safety critical information at each meeting. These should include an explicit requirement to check that the mileage of each worksite is consistent with the published limits of the possession (see paragraph 105).</t>
  </si>
  <si>
    <t>UK-344/8</t>
  </si>
  <si>
    <t>Network Rail procedure NR/PRC/MTC/PL0056 should be enhanced by providing clear guidance on who is re</t>
  </si>
  <si>
    <t>Network Rail procedure NR/PRC/MTC/PL0056 should be enhanced by providing clear guidance on who is responsible for processing the requests for any changes and additions to worksites that are agreed at each meeting (ie how to ensure that minuted agreements are correctly processed for inclusion in the WON) (see paragraph 105).</t>
  </si>
  <si>
    <t>UK-343/1</t>
  </si>
  <si>
    <t>Tram Operations Ltd should carry out a programme to re-train all their drivers on the necessity to u</t>
  </si>
  <si>
    <t>Tram Operations Ltd should carry out a programme to re-train all their drivers on the necessity to use the hazard brake in an emergency. Training and routine assessments should include understanding and demonstration by the driver in the operation of the hazard brake. The process of â€˜featheringâ€™ to avoid the final jerk should be retained (paragraph 50).</t>
  </si>
  <si>
    <t>UK-343/2</t>
  </si>
  <si>
    <t>Tramtrack Croydon Ltd should assess the possibility of moving signal KHD02 to a position at least 21</t>
  </si>
  <si>
    <t>Tramtrack Croydon Ltd should assess the possibility of moving signal KHD02 to a position at least 21 m from the fouling point, and if it is reasonably practicable should carry out that relocation (paragraph 54).</t>
  </si>
  <si>
    <t>UK-343/3</t>
  </si>
  <si>
    <t>Tramtrack Croydon Ltd should assess the possibility of fitting SPAS indicators to the King Henryâ€™s D</t>
  </si>
  <si>
    <t>Tramtrack Croydon Ltd should assess the possibility of fitting SPAS indicators to the King Henryâ€™s Drive to New Addington section thus making it similar to all other single track sections on the tramway. If Recommendation 2 has not been applied, Tramtrack Croydon Ltd should install SPAS indicators if it is reasonably practicable to do so (paragraph 56).</t>
  </si>
  <si>
    <t>UK-343/4</t>
  </si>
  <si>
    <t>The Office of Rail Regulation (Her Majestyâ€™s Railway Inspectorate) should consider reviewing Railway</t>
  </si>
  <si>
    <t>The Office of Rail Regulation (Her Majestyâ€™s Railway Inspectorate) should consider reviewing Railway Safety (Principles and Guidance), Part 2G â€œGuidance on Tramwaysâ€ to include the provision of suitable over-run distances, and/or detection and warning systems at the design stage of tramway systems where they are a simple and cost effective means to mitigate against fouling point collisions at the entry to single line sections (paragraph 57).</t>
  </si>
  <si>
    <t>UK-343/5</t>
  </si>
  <si>
    <t>Tram Operations Ltd should carry out a programme to remind all drivers on the importance of using th</t>
  </si>
  <si>
    <t>Tram Operations Ltd should carry out a programme to remind all drivers on the importance of using the hazard warning lights whenever a potentially hazardous situation occurs. Training and routine assessments should include practice in the immediate use of hazard warning lights (paragraph 58).</t>
  </si>
  <si>
    <t>UK-342/1</t>
  </si>
  <si>
    <t>Serco Metrolink should put in place a system to monitor and audit safe system of work arrangements t</t>
  </si>
  <si>
    <t>Serco Metrolink should put in place a system to monitor and audit safe system of work arrangements to ensure their adequacy (paragraph 54).</t>
  </si>
  <si>
    <t>UK-342/2</t>
  </si>
  <si>
    <t>Serco Metrolink should put in place risk assessments for all permanent way repair tasks and should c</t>
  </si>
  <si>
    <t>Serco Metrolink should put in place risk assessments for all permanent way repair tasks and should consider the difference in risk when tasks are executed in street and segregated sections (paragraph 60).</t>
  </si>
  <si>
    <t>UK-342/3</t>
  </si>
  <si>
    <t>Serco Metrolink should put in place a system to ensure that the control room is advised prior to Per</t>
  </si>
  <si>
    <t>Serco Metrolink should put in place a system to ensure that the control room is advised prior to Permanent Way staff working in segregated sections (paragraph 61).</t>
  </si>
  <si>
    <t>UK-342/4</t>
  </si>
  <si>
    <t>Serco Metrolink should put in place a structured and formalised system for the mentoring and supervi</t>
  </si>
  <si>
    <t>Serco Metrolink should put in place a structured and formalised system for the mentoring and supervision of all persons carrying out PIC duties (paragraph 65).</t>
  </si>
  <si>
    <t>UK-342/5</t>
  </si>
  <si>
    <t>Serco Metrolink should put in place a system of monitoring and auditing to provide assurance that wo</t>
  </si>
  <si>
    <t>Serco Metrolink should put in place a system of monitoring and auditing to provide assurance that working practices outside Serco Metrolink procedures and Rule Book requirements are not employed (paragraph 66).</t>
  </si>
  <si>
    <t>UK-342/6</t>
  </si>
  <si>
    <t>Serco Metrolink should put in place a single source of documented information on system hazards to a</t>
  </si>
  <si>
    <t>Serco Metrolink should put in place a single source of documented information on system hazards to aid the planning of safe systems of work (paragraph 67).</t>
  </si>
  <si>
    <t>UK-342/7</t>
  </si>
  <si>
    <t>Serco Metrolink should put in place a board level supervisory system to ensure that the rule book an</t>
  </si>
  <si>
    <t>Serco Metrolink should put in place a board level supervisory system to ensure that the rule book and its supporting procedures are continually improved to (i) remove inaccuracies and anomalies and (ii) incorporate the developments of best practice elsewhere in the industry (paragraph 69).</t>
  </si>
  <si>
    <t>UK-342/8</t>
  </si>
  <si>
    <t>Serco Metrolink should ensure that safety critical communications are effectively executed and under</t>
  </si>
  <si>
    <t>Serco Metrolink should ensure that safety critical communications are effectively executed and understood by all when staff on or about the railway system contact the control room (paragraph 70).</t>
  </si>
  <si>
    <t>UK-342/9</t>
  </si>
  <si>
    <t>Serco Metrolink should ensure that at all times the control room is staffed by suitably qualified pe</t>
  </si>
  <si>
    <t>Serco Metrolink should ensure that at all times the control room is staffed by suitably qualified personnel who can ascertain the severity of a reported incident and confirm its resolution before normal operation is resumed (paragraph 72).</t>
  </si>
  <si>
    <t>UK-335/1</t>
  </si>
  <si>
    <t>Network Rail should introduce a policy that competence training on the use of tools and equipment sh</t>
  </si>
  <si>
    <t>Network Rail should introduce a policy that competence training on the use of tools and equipment shall include hands-on use of the tools and equipment on the infrastructure on which it is intended for use, in order for competence to be assessed from the training (this is not intended to apply to appreciation training, as opposed to competence training).</t>
  </si>
  <si>
    <t>UK-335/2</t>
  </si>
  <si>
    <t>Network Rail should assess the risks associated with the use of points on slab track. If these are</t>
  </si>
  <si>
    <t>Network Rail should assess the risks associated with the use of points on slab track. If these are found to be substantially different from those of points on ballasted track, Network Rail should develop measures to mitigate any increased risks (paragraph 152).</t>
  </si>
  <si>
    <t>UK-335/3</t>
  </si>
  <si>
    <t>Network Rail should undertake research in order to better understand the effects of derailments at p</t>
  </si>
  <si>
    <t>Network Rail should undertake research in order to better understand the effects of derailments at points on slab track, and establish whether the mitigation afforded is sufficient to prevent the overturning of vehicles in the manner described in paragraph 152.</t>
  </si>
  <si>
    <t>UK-335/4</t>
  </si>
  <si>
    <t>Network Rail should review its management processes in order to achieve a regular quality check on t</t>
  </si>
  <si>
    <t>Network Rail should review its management processes in order to achieve a regular quality check on the methods of work used and the quality of the work performed by track staff maintaining points and crossings. This is to minimise the risk presented when a supervisor is responsible for carrying out the primary work (paragraph 153).</t>
  </si>
  <si>
    <t>UK-334/1</t>
  </si>
  <si>
    <t>The RSSB should, in consultation with Network Rail and representatives from the train operators, dev</t>
  </si>
  <si>
    <t>The RSSB should, in consultation with Network Rail and representatives from the train operators, develop and implement a method for formally dictating and recording communication between signallers and drivers to be used when it is necessary for a signaller to warn drivers of a hazard ahead that requires reduction in speed, and no physical warning of the speed restriction is present locally. Consideration should be given as to whether the chosen means could be designed in such a way as to enable it to be used as an effective visual reminder to the driver of the location of the hazard and the speed restriction applied</t>
  </si>
  <si>
    <t>UK-334/2</t>
  </si>
  <si>
    <t>Network Rail should:a. use the circumstances of the incident at Ty Mawr to re-brief the requirements</t>
  </si>
  <si>
    <t>Network Rail should:a. use the circumstances of the incident at Ty Mawr to re-brief the requirements of â€˜Interpretation of Apply 20 mph ESRâ€™ (Appendix D, Page 79) in Standard NR/SP/TRK/001, â€˜Inspection and Maintenance of Permanent Wayâ€™; and b. within one year of the briefing taking place, conduct an audit of ESRs imposed in the intervening period, to identify the number of occasions when the duration of an ESR has exceeded two hours without emergency equipment being erected, and take action, as appropriate, to address any deficiencies found</t>
  </si>
  <si>
    <t>UK-334/3</t>
  </si>
  <si>
    <t>Network Rail should review the range of speed restrictions and the timings for trains between Talerd</t>
  </si>
  <si>
    <t>Network Rail should review the range of speed restrictions and the timings for trains between Talerddig and Caersws to determine whether rationalisation of the number of such restrictions and/or relaxation of timings could enhance the driveability of the route and reduce the potential for distraction and misunderstanding by train drivers under degraded operating conditions</t>
  </si>
  <si>
    <t>UK-334/4</t>
  </si>
  <si>
    <t>Network Rail should conduct a review of the availability of warning equipment for emergency speed re</t>
  </si>
  <si>
    <t>Network Rail should conduct a review of the availability of warning equipment for emergency speed restrictions for the more remote areas of its network. The purpose of the review should be to identify how the requirement in NR/SP/TRK/001 to install warning equipment within two hours can be achieved. The review should include consideration of whether improvements in the speed of installation could be achieved, for example, by providing warning equipment at additional locations or on road vehicles used by staff who may have to install it as part of their duties</t>
  </si>
  <si>
    <t>UK-334/5</t>
  </si>
  <si>
    <t>Network Rail shoulda. review the circumstances of this incident and identify other parts of the net</t>
  </si>
  <si>
    <t>Network Rail shoulda. review the circumstances of this incident and identify other parts of the network where the length of signal sections results in the potential for a significant period of time to elapse between a driver being informed of an ESR and the ESR being encountered; ab. for each location identified, include within the relevant Sectional Appendix any additional locations where drivers should be reminded of the presence of an ESR ahead and how and by whom that reminder will be administered. The purpose of this recommendation is to identify those areas of the national network where there might be significant elapsed time between a warning of an ESR being given and it being encountered and to provide further warnings to drivers, where practical.</t>
  </si>
  <si>
    <t>UK-334/6</t>
  </si>
  <si>
    <t>Network Rail should modify procedure NR/PRC/MTC/MG0110 to list the information that the signaller is</t>
  </si>
  <si>
    <t>Network Rail should modify procedure NR/PRC/MTC/MG0110 to list the information that the signaller is required to be told when an emergency speed restriction is to be imposed as defined in section 9.1 of module SP of the rule book (paragraph 123), and clearly identify who is responsible for providing each item of information</t>
  </si>
  <si>
    <t>UK-334/7</t>
  </si>
  <si>
    <t>The Association of Train Operating Companies should develop guidance for train operating companies o</t>
  </si>
  <si>
    <t>The Association of Train Operating Companies should develop guidance for train operating companies on â€˜for-causeâ€™ drugs and alcohol testing with the objective of achieving greater consistency in its application. The guidance should address the issue of who should have the authority to permit a driver to continue driving after an incident. It should also consider different scenarios where drugs and alcohol testing might be required, including how to deal with a situation where an incident requires a member of staff to be screened as soon as reasonably practicable and that member of staff is remote from a location where such testing can easily be administered (paragraph 125).The purpose of this recommendation is not to conduct a comprehensive review of drugs and alcohol policy or practice, but rather to offer guidance on the application of existing drugs and alcohol policy in order that a more consistent approach by train operating companies can be achieved.</t>
  </si>
  <si>
    <t>UK-333/1</t>
  </si>
  <si>
    <t>All freight operators should revise their operating instructions for single lines with intermediate</t>
  </si>
  <si>
    <t>All freight operators should revise their operating instructions for single lines with intermediate token instruments to state clearly that the token must not be returned while any part of the train is on the single line. This should be included in the regular briefing/assessment process</t>
  </si>
  <si>
    <t>UK-333/2</t>
  </si>
  <si>
    <t>EWS should introduce processes so that all shunters are fully briefed on the method of operation of</t>
  </si>
  <si>
    <t>EWS should introduce processes so that all shunters are fully briefed on the method of operation of all locations at which they are required to work</t>
  </si>
  <si>
    <t>UK-333/3</t>
  </si>
  <si>
    <t>Rail Safety and Standards Board (RSSB) should devise a means of disseminating to the industry safety</t>
  </si>
  <si>
    <t>Rail Safety and Standards Board (RSSB) should devise a means of disseminating to the industry safety lessons from incidents which are not so urgent as to require an NIR</t>
  </si>
  <si>
    <t>UK-332/1</t>
  </si>
  <si>
    <t>Stagecoach Supertram should either replace the fence with a design that provides the tram driver wit</t>
  </si>
  <si>
    <t>Stagecoach Supertram should either replace the fence with a design that provides the tram driver with better visibility of pedestrians as they approach the crossing, introduce compulsory audible warnings and/or take other appropriate measures so as to reduce the likelihood of such an event reoccurring (paragraph 34).Until this has been done, the interim use of compulsory audible warnings (see paragraph 38) should be maintained.</t>
  </si>
  <si>
    <t>UK-332/2</t>
  </si>
  <si>
    <t>Stagecoach Supertram should examine the risks generated by other crossings where the tram driverâ€™s v</t>
  </si>
  <si>
    <t>Stagecoach Supertram should examine the risks generated by other crossings where the tram driverâ€™s view of the pedestrianâ€™s final approach is restricted and improve the driverâ€™s sightlines, introduce compulsory audible warnings and/or take other appropriate measures to reduce the likelihood of such an event reoccurring (paragraph 34).</t>
  </si>
  <si>
    <t>UK-332/3</t>
  </si>
  <si>
    <t>HMRI should amend Railway Safety Principles and Guidance Part 2 Section G to ensure that the design</t>
  </si>
  <si>
    <t>HMRI should amend Railway Safety Principles and Guidance Part 2 Section G to ensure that the design of pedestrian crossings should consider not only â€œinsufficient visibility of an approaching tramâ€, but also tram driversâ€™ insufficient visibility of approaching pedestrians (paragraphs 20 and 34).</t>
  </si>
  <si>
    <t>UK-331/1</t>
  </si>
  <si>
    <t>The conspicuity of the PPI â€˜abnormalâ€™ indication should be assessed and improved by an appropriate m</t>
  </si>
  <si>
    <t>The conspicuity of the PPI â€˜abnormalâ€™ indication should be assessed and improved by an appropriate means, such as display of a horizontal white bar when the points are not correctly set.</t>
  </si>
  <si>
    <t>UK-331/2</t>
  </si>
  <si>
    <t>As soon as practicable, the infrastructure manager and the maintenance contractor should review the</t>
  </si>
  <si>
    <t>As soon as practicable, the infrastructure manager and the maintenance contractor should review the inspection and maintenance regime for the points at Phipps Bridge to ensure that the risks associated with the use of facing spring points at speeds up to 40 km/h are being adequately controlled. Any applicable lessons from this review should be extended to the rest of the Tramlink system.</t>
  </si>
  <si>
    <t>UK-331/3</t>
  </si>
  <si>
    <t>The infrastructure manager and operating company should jointly complete their review of the number</t>
  </si>
  <si>
    <t>The infrastructure manager and operating company should jointly complete their review of the number and nature of the alarms received in the control room with a view to sorting them by risk and eliminating unnecessary information being presented to the controllers (this action is already in hand).</t>
  </si>
  <si>
    <t>UK-331/4</t>
  </si>
  <si>
    <t>As soon as practicable, the operating company should review the control room procedures, taking acco</t>
  </si>
  <si>
    <t>As soon as practicable, the operating company should review the control room procedures, taking account of the controllersâ€™ workload, with particular reference to instructions relating to points which are not correctly set, to ensure that controllers respond promptly and appropriately to each incident (para. 34)</t>
  </si>
  <si>
    <t>UK-330/1</t>
  </si>
  <si>
    <t>EWS should put in place a system to assure itself that damaged stanchions are detected and replaced</t>
  </si>
  <si>
    <t>EWS should put in place a system to assure itself that damaged stanchions are detected and replaced by its load examiners (paragraph 64b).</t>
  </si>
  <si>
    <t>UK-330/2</t>
  </si>
  <si>
    <t>EWS should revise its manual and procedures to require the detection and replacement of damaged stan</t>
  </si>
  <si>
    <t>EWS should revise its manual and procedures to require the detection and replacement of damaged stanchions, where possible by those responsible for loading and unloading wagons, and by train preparers before every despatch (paragraph 65a).</t>
  </si>
  <si>
    <t>UK-330/3</t>
  </si>
  <si>
    <t>EWS should revise its manual and procedures so they define the type of damage that would require a s</t>
  </si>
  <si>
    <t>EWS should revise its manual and procedures so they define the type of damage that would require a stanchion to be replaced using pass/fail criteria, diagrams or photographs (paragraph 65b).</t>
  </si>
  <si>
    <t>UK-330/4</t>
  </si>
  <si>
    <t>EWS should evaluate the practicability of using stanchions similar in height to their associated loa</t>
  </si>
  <si>
    <t>EWS should evaluate the practicability of using stanchions similar in height to their associated loads and, if practicable, revise its manual, procedures and stanchion specifications accordingly so that the relevant members of staff are able to select stanchions appropriate in height to their loads (paragraph 65c).</t>
  </si>
  <si>
    <t>UK-328/1</t>
  </si>
  <si>
    <t>Network Rail should prohibit red zone working at Leatherhead Junction</t>
  </si>
  <si>
    <t>UK-328/2</t>
  </si>
  <si>
    <t>Network Rail should review the inspection arrangements for S&amp;C throughout its network, especially at</t>
  </si>
  <si>
    <t>Network Rail should review the inspection arrangements for S&amp;C throughout its network, especially at junctions where sighting is restricted by curvature or train speeds are high, so that the staff carrying out the inspection are adequately protected, considering for example:ï¬ S&amp;C inspection in non traffic hours, or other green zone arrangements;provision of suitable lighting to enable inspection in green zone in darkness; andï¬ train operated warning systems</t>
  </si>
  <si>
    <t>UK-328/3</t>
  </si>
  <si>
    <t>Network Rail should review the arrangements for protection of patrolling staff and others whose work</t>
  </si>
  <si>
    <t>Network Rail should review the arrangements for protection of patrolling staff and others whose work involves moving along the line, throughout its network so that adequate warning time to move to a position of safety is always available</t>
  </si>
  <si>
    <t>UK-328/4</t>
  </si>
  <si>
    <t>Network Rail should review its arrangements for the assessment and monitoring of staff who have to s</t>
  </si>
  <si>
    <t>Network Rail should review its arrangements for the assessment and monitoring of staff who have to set up safe systems of work, so that there is regular confirmation that they are making appropriate arrangements, particularly for work which moves along the line</t>
  </si>
  <si>
    <t>UK-328/5</t>
  </si>
  <si>
    <t>Network Rail should review the implementation of mechanised inspection techniques for plain line, on</t>
  </si>
  <si>
    <t>Network Rail should review the implementation of mechanised inspection techniques for plain line, on routes laid with continuous welded rail with the objective of ending the practice of foot patrolling under traffic</t>
  </si>
  <si>
    <t>UK-328/6</t>
  </si>
  <si>
    <t>Network Rail should revise the standards and procedures for the inspection of S&amp;C on the routes refe</t>
  </si>
  <si>
    <t>Network Rail should revise the standards and procedures for the inspection of S&amp;C on the routes referred to in Recommendation 5, so that: ï¬ S&amp;C inspections are carried out by specialist staff who are appropriately trained; andS&amp;C inspection takes place in green zone conditions</t>
  </si>
  <si>
    <t>UK-327/1</t>
  </si>
  <si>
    <t>The LBR should complete the briefings and works identified in its assessment of field crossings (par</t>
  </si>
  <si>
    <t>The LBR should complete the briefings and works identified in its assessment of field crossings (paragraph 60) dated 25 September 2007, and summarised in paragraphs 61 and 62, to the timescales laid down in that document.</t>
  </si>
  <si>
    <t>UK-327/2</t>
  </si>
  <si>
    <t>The LBR should install signing for all farm crossings on the railway so as to ensure that users are</t>
  </si>
  <si>
    <t>The LBR should install signing for all farm crossings on the railway so as to ensure that users are informed of how to use the crossing.</t>
  </si>
  <si>
    <t>UK-326/1</t>
  </si>
  <si>
    <t>First Great Western should review its driving policy with the objective of enhancing its guidance on</t>
  </si>
  <si>
    <t>First Great Western should review its driving policy with the objective of enhancing its guidance on driving technique when approaching signals that are showing restrictive aspects. This review should include consideration of the principle that when travelling at or near the maximum permitted line speed drivers should not apply power after passing a signal with a restrictive aspect and should not subsequently reapply power until the aspect of the next signal is observed to be no more restrictive than the signal they have just passed (paragraph 235).</t>
  </si>
  <si>
    <t>UK-326/2</t>
  </si>
  <si>
    <t>Network Rail should, in consultation with train operators, review its existing risk assessments for</t>
  </si>
  <si>
    <t>Network Rail should, in consultation with train operators, review its existing risk assessments for all existing junction signals in order to verify thatthe actual braking performance of trains signalled by that route has been correctly taken into account; and:proper consideration has been given to any reasonably practicable measures identified.(paragraphs 234b and 236)</t>
  </si>
  <si>
    <t>UK-326/3</t>
  </si>
  <si>
    <t>In support of Network Railâ€™s assessment of risk at junction signals (see Recommendation 2), RSSB sho</t>
  </si>
  <si>
    <t>In support of Network Railâ€™s assessment of risk at junction signals (see Recommendation 2), RSSB should make a â€˜proposalâ€™, in accordance with the Railway Group Standards Code, to amend Railway Group Standards to require train operators, in consultation with rolling stock owners, to publish and disseminate to Network Rail any detailed data they may possess relating to the actual braking performance of the trains they operate on the national network (for a range of typical train formations). This should include the distance to stop from a range of speeds (or the duration of any freewheel time and the subsequent rate of deceleration) (paragraphs 242 and 243).</t>
  </si>
  <si>
    <t>UK-326/4</t>
  </si>
  <si>
    <t>RSSB, in consultation with industry stakeholders, should review the practicability of enhancing the</t>
  </si>
  <si>
    <t>RSSB, in consultation with industry stakeholders, should review the practicability of enhancing the minimum emergency braking performance mandated for new passenger trains in Railway Group Standards. The objective of any such enhancement shall be to improve consistency between the minimum braking performance of new passenger trains and the design of train protection systems in use on the network. If shown to be reasonably practicable, RSSB should make a â€˜proposalâ€™, in accordance with the Railway Group Standards Code, to amend Railway Group Standards accordingly (paragraph 212).</t>
  </si>
  <si>
    <t>UK-326/5</t>
  </si>
  <si>
    <t>Network Rail should review its management processes with the objective of ensuring that:ï¬ the findin</t>
  </si>
  <si>
    <t>Network Rail should review its management processes with the objective of ensuring that:ï¬ the findings of signal and layout risk assessments (using tools such as SAT) are translated into reasonably practicable measures to address the risk identified (paragraph 236); andï¬ relevant risk assessments are properly considered when reviewing the actions to be taken in response to recommendations made following investigations (paragraph 237).</t>
  </si>
  <si>
    <t>UK-326/6</t>
  </si>
  <si>
    <t>ATOC should review its guidance note ATOC/GN007 with the objective of clarifying the advice to passe</t>
  </si>
  <si>
    <t>ATOC should review its guidance note ATOC/GN007 with the objective of clarifying the advice to passenger train operators on good practice for driving technique when approaching signals displaying a restrictive aspect. This review should give detailed consideration to the adoption of the principle outlined in Recommendation 1 (paragraph 238).</t>
  </si>
  <si>
    <t>UK-326/7</t>
  </si>
  <si>
    <t>First Great Western should review its systems for the management of route knowledge with the followi</t>
  </si>
  <si>
    <t>First Great Western should review its systems for the management of route knowledge with the following objectives:ï¬ to assess whether the extent of current route knowledge required by its drivers is compatible with the need for drivers to retain adequate situational awareness.to assess whether the currently mandated minimum frequency of exposure to each route is sufficient (this review should be updated when the actions at Recommendation 8 have been completed).to put in place systems for monitoring the actual exposure of drivers to each route they have signed for. ï¬ to assess the adequacy of driver training and competency management systems related to route learning and the retention of route knowledge (paragraphs 239 and 240).</t>
  </si>
  <si>
    <t>UK-326/8</t>
  </si>
  <si>
    <t>RSSB, in consultation with ATOC, and with reference to project T655, should carry out further resear</t>
  </si>
  <si>
    <t>RSSB, in consultation with ATOC, and with reference to project T655, should carry out further research into the periodicity of driving turns/refresher training required to acquire and retain route knowledge (paragraph 241).</t>
  </si>
  <si>
    <t>UK-326/9</t>
  </si>
  <si>
    <t>Network Rail should ensure that its methodology and computer systems for assessing the risk associat</t>
  </si>
  <si>
    <t>Network Rail should ensure that its methodology and computer systems for assessing the risk associated with signal overruns correctly take into account the actual braking performance of all trains scheduled to pass a signal. This should allow for freewheel time and the subsequent average deceleration (paragraph 242).</t>
  </si>
  <si>
    <t>UK-325/1</t>
  </si>
  <si>
    <t>The Dean Forest Railway should review the system by which trains approach Lydney Town level crossing</t>
  </si>
  <si>
    <t>The Dean Forest Railway should review the system by which trains approach Lydney Town level crossing from the north so as to verify that the speed limit allows trains to stop before reaching the crossing in all cases of degraded braking and poor rail head conditions. The speed limit should also take into account a driverâ€™s ability to achieve the desired speed in a locomotive not equipped with a speedometer</t>
  </si>
  <si>
    <t>UK-325/2</t>
  </si>
  <si>
    <t>The Dean Forest Railway should introduce a process to formally and periodically instruct all drivers</t>
  </si>
  <si>
    <t>The Dean Forest Railway should introduce a process to formally and periodically instruct all drivers of the importance of adhering to all published speed limits</t>
  </si>
  <si>
    <t>UK-325/3</t>
  </si>
  <si>
    <t>The Dean Forest Railway should put in place systems to cover the provision, maintenance and use of t</t>
  </si>
  <si>
    <t>The Dean Forest Railway should put in place systems to cover the provision, maintenance and use of the sanding systems on locomotives, autocoaches and (where appropriate) brake vans in use on the railway</t>
  </si>
  <si>
    <t>UK-325/4</t>
  </si>
  <si>
    <t>The Dean Forest Railway should amend its procedures and rule book such that in the event of signalli</t>
  </si>
  <si>
    <t>The Dean Forest Railway should amend its procedures and rule book such that in the event of signalling system malfunctions there are adequate degraded safety mode procedures in place. The systems should also include a process for formally warning ground based operational staff and train crew when a safety system has been degraded</t>
  </si>
  <si>
    <t>UK-325/5</t>
  </si>
  <si>
    <t>The Dean Forest Railway should set up a system for the setup and maintenance of the treadle mechanis</t>
  </si>
  <si>
    <t>The Dean Forest Railway should set up a system for the setup and maintenance of the treadle mechanism on the approach to Lydney Town level crossing, in accordance with a recognised industry standard</t>
  </si>
  <si>
    <t>UK-325/6</t>
  </si>
  <si>
    <t>The Dean Forest Railway should document the optimum procedure, and train and assess footplate crews</t>
  </si>
  <si>
    <t>The Dean Forest Railway should document the optimum procedure, and train and assess footplate crews in the action to be taken, to stop an auto-train quickly in poor railhead conditions and other emergency situations</t>
  </si>
  <si>
    <t>UK-325/7</t>
  </si>
  <si>
    <t>The Dean Forest Railway should appoint a competent person to advise the company on the steps needed</t>
  </si>
  <si>
    <t>The Dean Forest Railway should appoint a competent person to advise the company on the steps needed to comply with health and safety law</t>
  </si>
  <si>
    <t>UK-325/8</t>
  </si>
  <si>
    <t>The Dean Forest Railway should, with advice from a suitably qualified person, review its safety mana</t>
  </si>
  <si>
    <t>The Dean Forest Railway should, with advice from a suitably qualified person, review its safety management arrangements and implement any changes that are found to be necessary</t>
  </si>
  <si>
    <t>UK-325/9</t>
  </si>
  <si>
    <t>The Dean Forest Railway should implement procedures to ensure the RAIB is notified of accidents or i</t>
  </si>
  <si>
    <t>The Dean Forest Railway should implement procedures to ensure the RAIB is notified of accidents or incidents in accordance with the requirements of the Railways (Accident Investigation and Reporting) Regulations 2005</t>
  </si>
  <si>
    <t>UK-325/10</t>
  </si>
  <si>
    <t>The Dean Forest Railway should take appropriate steps to bring its practice on the employment of dri</t>
  </si>
  <si>
    <t>The Dean Forest Railway should take appropriate steps to bring its practice on the employment of drivers over 70 years old into line with its policies relating to medical fitness</t>
  </si>
  <si>
    <t>UK-324/1</t>
  </si>
  <si>
    <t>Freightliner should investigate the possibility of modifying current, or developing new, software, t</t>
  </si>
  <si>
    <t>Freightliner should investigate the possibility of modifying current, or developing new, software, to give warning if containers are loaded onto a wagon in a way that contravenes company loads standards with regard to the distribution of load. Appropriate solutions should be implemented</t>
  </si>
  <si>
    <t>UK-324/2</t>
  </si>
  <si>
    <t>Freightliner should take steps, including re-briefing and assessment, to ensure that loading staff c</t>
  </si>
  <si>
    <t>Freightliner should take steps, including re-briefing and assessment, to ensure that loading staff clearly understand and can apply the companyâ€™s rules on permissible loading of container wagons. Freightliner should monitor compliance with their loading standards to provide assurance that such rules are being complied with</t>
  </si>
  <si>
    <t>UK-324/3</t>
  </si>
  <si>
    <t>Freightliner should re-examine how they present information on permissible container wagon loads. T</t>
  </si>
  <si>
    <t>Freightliner should re-examine how they present information on permissible container wagon loads. They should aim to present the information in a clear unambiguous way that suits the needs of the user of the information, be they terminal staff, Freightliner management, wagon manufacturers or approval bodies. This will involve the modification of MIE 0767 and the possibility of generating other related documents suited to the particular needs of the recipients</t>
  </si>
  <si>
    <t>UK-324/4</t>
  </si>
  <si>
    <t>Network Rail Vehicle Conformance Group should put in place procedures so that when considering derai</t>
  </si>
  <si>
    <t>Network Rail Vehicle Conformance Group should put in place procedures so that when considering derailment resistance during the approvals process of wagons, they determine the full range of loads and their distributions that can legitimately be encountered in service, and consider the sensitivity of the wagon to likely longitudinal and lateral offsets in loading. They should take these factors into account when deciding what testing and calculations need to be undertaken to demonstrate compliance with applicable derailment resistance standards</t>
  </si>
  <si>
    <t>UK-324/5</t>
  </si>
  <si>
    <t>Freightliner should put in place procedures so that when procuring wagons, they unambiguously define</t>
  </si>
  <si>
    <t>Freightliner should put in place procedures so that when procuring wagons, they unambiguously define to manufacturers and approvals bodies the full range of loads and distribution of loads that can reasonably expected to be encountered by the wagon in service</t>
  </si>
  <si>
    <t>UK-324/6</t>
  </si>
  <si>
    <t>Freightliner should arrange that the FEA-B wagon wheel unloading performance is re-evaluated taking</t>
  </si>
  <si>
    <t>Freightliner should arrange that the FEA-B wagon wheel unloading performance is re-evaluated taking into account the full range of load conditions they permit (currently defined in MIE 0767) to confirm compliance with GM/RT 2141. This should consider sensitivity to longitudinal and lateral offsets in load that can reasonably be encountered in service</t>
  </si>
  <si>
    <t>UK-324/7</t>
  </si>
  <si>
    <t>Freightliner should act upon and close NIR 2084</t>
  </si>
  <si>
    <t>UK-324/8</t>
  </si>
  <si>
    <t>Network Rail should amend NR/SP/TRK/001 section 11.4.2 to make clear into which regime, areas that a</t>
  </si>
  <si>
    <t>Network Rail should amend NR/SP/TRK/001 section 11.4.2 to make clear into which regime, areas that are not covered by measurement vehicles but are operated at less than 20 mph (32 km/h), fall. They should also clarify under what conditions it is mandated for the TME to maintain a list of areas of track not covered by measurement vehicles</t>
  </si>
  <si>
    <t>UK-323/1</t>
  </si>
  <si>
    <t>NIR should reissue its booklet, â€˜The Safe Use of User Worked Crossingsâ€™ to enhance the section on sp</t>
  </si>
  <si>
    <t>NIR should reissue its booklet, â€˜The Safe Use of User Worked Crossingsâ€™ to enhance the section on special farm activities to include:a clearer description of the circumstances that should trigger a request from a landowner for additional assistance in managing movements at the crossing;details of who, within NIR, a landowner should contact for assistance in these circumstances; and guidance on how long before the event the request should be made. NIR should use the reissuing of the guidance booklet and the accident at crossing XL202 as the basis for reminding users how to cross UWCs safely and how to consult with NIR regarding the provision of additional risk mitigation measures under the defined circumstances</t>
  </si>
  <si>
    <t>UK-323/2</t>
  </si>
  <si>
    <t>NIR should revise the risk assessment for crossing XL202 to ensure that it more accurately reflects</t>
  </si>
  <si>
    <t>NIR should revise the risk assessment for crossing XL202 to ensure that it more accurately reflects usage of the crossing</t>
  </si>
  <si>
    <t>UK-323/3</t>
  </si>
  <si>
    <t>NIR should review its crossing risk assessment model in the light of this investigation report to es</t>
  </si>
  <si>
    <t>NIR should review its crossing risk assessment model in the light of this investigation report to establish whether the modelâ€™s accuracy could be improved by reclassifying road crossing user types, giving greater significance to peak usage of the crossing, reconsidering how animal movements are treated in the model and considering the relative importance of factors affecting visibility and audibility of approaching trains for different types of crossing user. Consideration should also be given to the effectiveness of mitigation provided (e.g. sounding of train horns at whistle boards)</t>
  </si>
  <si>
    <t>UK-323/4</t>
  </si>
  <si>
    <t>NIR should work with the owner of the land adjacent to crossing XL202 to establish a safe system of</t>
  </si>
  <si>
    <t>NIR should work with the owner of the land adjacent to crossing XL202 to establish a safe system of work for crossing cattle</t>
  </si>
  <si>
    <t>UK-323/5</t>
  </si>
  <si>
    <t>NIR should work with DRDNI to add a template to the Private Crossings (Signs and Barriers) Regulatio</t>
  </si>
  <si>
    <t>NIR should work with DRDNI to add a template to the Private Crossings (Signs and Barriers) Regulations (Northern Ireland) 2007 that is appropriate to the circumstances at crossing XL202 and includes a permitted variant to allow the telephone number of the crossing operator to be added</t>
  </si>
  <si>
    <t>UK-323/6</t>
  </si>
  <si>
    <t>NIR should review the design of evacuation ladders to determine whether an alternative design incorp</t>
  </si>
  <si>
    <t>NIR should review the design of evacuation ladders to determine whether an alternative design incorporating handrails could be adopted to provide a more robust means for passengers to descend from train to track</t>
  </si>
  <si>
    <t>UK-322/1</t>
  </si>
  <si>
    <t>EWS should revise their operational procedures to require drivers to take the TOPS list with them an</t>
  </si>
  <si>
    <t>EWS should revise their operational procedures to require drivers to take the TOPS list with them and use this to check the consist if they need to examine their train following an unsolicited brake application</t>
  </si>
  <si>
    <t>UK-322/2</t>
  </si>
  <si>
    <t>Network Rail should review the competence management system applied to signallers with the aim of im</t>
  </si>
  <si>
    <t>Network Rail should review the competence management system applied to signallers with the aim of improving the way that signallersâ€™ actions in response to accidents and incidents are practised and assessed</t>
  </si>
  <si>
    <t>UK-322/3</t>
  </si>
  <si>
    <t>EWS should revise their operational procedures to require maintenance controllers to always consider</t>
  </si>
  <si>
    <t>EWS should revise their operational procedures to require maintenance controllers to always consider the possibility of a divided train when giving advice to drivers following a report of an unsolicited brake application</t>
  </si>
  <si>
    <t>UK-322/4</t>
  </si>
  <si>
    <t>EWS should implement a process to brief its maintenance staff that heat should not be applied to for</t>
  </si>
  <si>
    <t>EWS should implement a process to brief its maintenance staff that heat should not be applied to forged components such as couplings to prevent a degradation in the material properties</t>
  </si>
  <si>
    <t>UK-322/5</t>
  </si>
  <si>
    <t>EWS should review and amend, if necessary, its maintenance processes relating to the brake system of</t>
  </si>
  <si>
    <t>EWS should review and amend, if necessary, its maintenance processes relating to the brake system of HLA/JHA and HGA wagons to ensure that all required maintenance and quality assurance measures are covered</t>
  </si>
  <si>
    <t>UK-322/6</t>
  </si>
  <si>
    <t>EWS should introduce a system to monitor incidents of coupling failures by type of coupling</t>
  </si>
  <si>
    <t>UK-322/7</t>
  </si>
  <si>
    <t>EWS should introduce a system to analyse coupling failures for individual types of coupling and impl</t>
  </si>
  <si>
    <t>EWS should introduce a system to analyse coupling failures for individual types of coupling and implement any necessary measures to reduce the number of occurrences of train divisions for specific coupling types</t>
  </si>
  <si>
    <t>UK-322/8</t>
  </si>
  <si>
    <t>EWS should revise its procedures for keeping wagon maintenance records to ensure that continuous rec</t>
  </si>
  <si>
    <t>EWS should revise its procedures for keeping wagon maintenance records to ensure that continuous records are available which provide an auditable trail of the maintenance history throughout each individual wagonâ€™s life</t>
  </si>
  <si>
    <t>UK-308/1</t>
  </si>
  <si>
    <t>LUL should amend the requirements on the content of the SPC training to ensure that it contains adeq</t>
  </si>
  <si>
    <t>LUL should amend the requirements on the content of the SPC training to ensure that it contains adequate information on the storage of materials including the effect of wind in cross passages (paragraph 138a).</t>
  </si>
  <si>
    <t>UK-308/2</t>
  </si>
  <si>
    <t>Metronet or its successor organisation(s) should ensure that risk assessments related to storage of</t>
  </si>
  <si>
    <t>Metronet or its successor organisation(s) should ensure that risk assessments related to storage of materials in cross passages are reviewed to ensure that they fully address risks to the operational railway. Where risk assessments that have been mandated or inherited from LUL are found to be deficient then LUL should be made aware of the shortcoming (paragraphs 138b and 140).</t>
  </si>
  <si>
    <t>UK-308/3</t>
  </si>
  <si>
    <t>LUL should address any advised deficiencies in risk assessments for stored materials which have been</t>
  </si>
  <si>
    <t>LUL should address any advised deficiencies in risk assessments for stored materials which have been mandated or inherited by the Infracos from LUL, consistent with the current contractual responsibilities of LUL and the Infracos (paragraphs 138b and 140).</t>
  </si>
  <si>
    <t>UK-308/4</t>
  </si>
  <si>
    <t>Metronet or its successor organisation(s) should review and if necessary, amend the instructions on</t>
  </si>
  <si>
    <t>Metronet or its successor organisation(s) should review and if necessary, amend the instructions on the use of fire-resistant blankets (paragraph 137c).</t>
  </si>
  <si>
    <t>UK-308/5</t>
  </si>
  <si>
    <t>Metronet or its successor organisation(s) should take steps to ensure that appropriate staff, includ</t>
  </si>
  <si>
    <t>Metronet or its successor organisation(s) should take steps to ensure that appropriate staff, including work planners and SPCs, are made aware of the wind effects that can occur in the deep level tube system (paragraph 138d).</t>
  </si>
  <si>
    <t>UK-306/1</t>
  </si>
  <si>
    <t>LUL should arrange for the installation of suitable signs at Camden Town northbound platforms to war</t>
  </si>
  <si>
    <t>LUL should arrange for the installation of suitable signs at Camden Town northbound platforms to warn train operators if they are approaching a south end cab</t>
  </si>
  <si>
    <t>UK-306/2</t>
  </si>
  <si>
    <t>LUL should investigate the possibility of either instructing train operators that when they leave a</t>
  </si>
  <si>
    <t>LUL should investigate the possibility of either instructing train operators that when they leave a cab to which another train operator will return imminently and from which the train must be driven, the Traction Brake Controller is not to be placed in the â€˜stowâ€™ position, or the provision of some other method of being assured that they have entered the correct cab</t>
  </si>
  <si>
    <t>UK-306/3</t>
  </si>
  <si>
    <t>LUL should introduce a process to ensure service operators are given written notification, and an en</t>
  </si>
  <si>
    <t>LUL should introduce a process to ensure service operators are given written notification, and an entry made in the service controllerâ€™s log book, if a particular mode of operation is required or prohibited during a technical intervention</t>
  </si>
  <si>
    <t>UK-306/4</t>
  </si>
  <si>
    <t>LUL should incorporate a familiarity induction to stations where train operators may be required to</t>
  </si>
  <si>
    <t>LUL should incorporate a familiarity induction to stations where train operators may be required to change platforms between trains in service into training procedures and ensure that this familiarity is maintained by train operators</t>
  </si>
  <si>
    <t>UK-305/1</t>
  </si>
  <si>
    <t>Ravenglass and Eskdale Railway should: Review and identify safety critical elements of engineering w</t>
  </si>
  <si>
    <t>Ravenglass and Eskdale Railway should: Review and identify safety critical elements of engineering work on their bogies, including the re-fitting of compensating bars, and implement work procedures which include: ï¬ a primary check by the person undertaking the work; and ï¬ a secondary independent check signed off by a competent R&amp;ER person to ensure that any problems are detected before entering service (paragraph 41).</t>
  </si>
  <si>
    <t>UK-305/2</t>
  </si>
  <si>
    <t>Review their safety management system and operational procedures to identify if there are other area</t>
  </si>
  <si>
    <t>Review their safety management system and operational procedures to identify if there are other areas where safety critical maintenance or design work is undertaken, or decisions are made, which should be subject to independent checking, and implement appropriate changes to procedures (paragraph 42).</t>
  </si>
  <si>
    <t>UK-304/1</t>
  </si>
  <si>
    <t>The NYMR should immediately mandate that the person who operates the hand points at Pickering south</t>
  </si>
  <si>
    <t>The NYMR should immediately mandate that the person who operates the hand points at Pickering south should remain at the points after operating them, and should only call a locomotive past them when the ground signal clears, after again checking the lie of the points (paragraphs 41 and 43); or The NYMR should install a system at Pickering south that provides an indication to the train crew in the cab as to the lie of the points (paragraph 41).</t>
  </si>
  <si>
    <t>UK-304/2</t>
  </si>
  <si>
    <t>The NYMR should introduce procedures to ensure that after an accident no rolling stock or other evid</t>
  </si>
  <si>
    <t>The NYMR should introduce procedures to ensure that after an accident no rolling stock or other evidence is moved without considering the effect on people involved, and only in compliance with the Railways (Accident Investigation and Reporting) Regulations 2005.</t>
  </si>
  <si>
    <t>UK-303/1</t>
  </si>
  <si>
    <t>Leighton Buzzard Railway Ltd should change the method of working of Shenley Hill Road open crossing</t>
  </si>
  <si>
    <t>Leighton Buzzard Railway Ltd should change the method of working of Shenley Hill Road open crossing to require the train to stop and allow road traffic to halt before entering the level crossing.</t>
  </si>
  <si>
    <t>UK-303/2</t>
  </si>
  <si>
    <t>Bedfordshire County Council should cut down the vegetation around Shenley Hill Road open crossing an</t>
  </si>
  <si>
    <t>Bedfordshire County Council should cut down the vegetation around Shenley Hill Road open crossing and introduce a process of vegetation management in order to meet the viewing zone requirements of RSPG 2E Appendix B.</t>
  </si>
  <si>
    <t>UK-303/3</t>
  </si>
  <si>
    <t>Bedfordshire County Council and Leighton Buzzard Railway Limited, as appropriate should ensure that</t>
  </si>
  <si>
    <t>Bedfordshire County Council and Leighton Buzzard Railway Limited, as appropriate should ensure that traffic signs and road surface markings for which they are each responsible at LBR level crossings comply with diagrams 771, 775 and 785 as defined in the Traffic Signs Regulations and General Directions 2002, and recommended in Railway Safety Principles and Guidance Part 2E (Health and Safety Executive, 1996), Diagram 6.</t>
  </si>
  <si>
    <t>UK-302/1</t>
  </si>
  <si>
    <t>The Seaton Tramway should replace the weighted lever at the entry to Seaton station with a point lev</t>
  </si>
  <si>
    <t>The Seaton Tramway should replace the weighted lever at the entry to Seaton station with a point lever that is capable of being locked when not in use, in order to prevent it from being used to move the points without authority. The points could be operated from the lever via a slotted joint, and be spring loaded, so that operational flexibility is not lost.</t>
  </si>
  <si>
    <t>UK-302/2</t>
  </si>
  <si>
    <t>The Seaton Tramway should implement, so far as is reasonably practicable, the provision of visual in</t>
  </si>
  <si>
    <t>The Seaton Tramway should implement, so far as is reasonably practicable, the provision of visual indicators that show to drivers whether sprung and weighted points on the system that are used by trams carrying passengers are correctly set for the normal route.</t>
  </si>
  <si>
    <t>UK-301/1</t>
  </si>
  <si>
    <t>Blackpool Transport Services should develop vehicle acceptance procedures and integrate these into t</t>
  </si>
  <si>
    <t>Blackpool Transport Services should develop vehicle acceptance procedures and integrate these into the â€œmanagement of changeâ€ procedure within the Safety Management System (paragraph 43).</t>
  </si>
  <si>
    <t>UK-301/2</t>
  </si>
  <si>
    <t>Trampower Ltd should carry out an appropriate risk assessment relating to the design, construction a</t>
  </si>
  <si>
    <t>Trampower Ltd should carry out an appropriate risk assessment relating to the design, construction and operation of the vehicle with reference to Regulation 3 of the Management of Health and Safety at Work Regulations. Part of this assessment should consider whether components and systems are appropriately constructed and installed in a way that is fit for their intended use. This risk assessment, and related currently-applicable technical documentation, should be provided to the operators of any network where the vehicle is used (paragraph 41).</t>
  </si>
  <si>
    <t>UK-267/1</t>
  </si>
  <si>
    <t>EWS and other operators of two axle wagons on the Network Rail system should ensure that their annua</t>
  </si>
  <si>
    <t>EWS and other operators of two axle wagons on the Network Rail system should ensure that their annual maintenance procedures adequately mitigate the risk of derailment which may arise due to frame twist. This could be achieved by post-maintenance wheel weighing or by increased dimensional checks (paragraphs 146, 147, 148).</t>
  </si>
  <si>
    <t>UK-267/2</t>
  </si>
  <si>
    <t>Network Rail should investigate the capability for Wheelchex data to be used to identify out-of-bala</t>
  </si>
  <si>
    <t>Network Rail should investigate the capability for Wheelchex data to be used to identify out-of-balance lateral wheel loading on vehicles and if practicable to instigate a warning system using Wheelchex to minimise the risk to the network (paragraph 147).</t>
  </si>
  <si>
    <t>UK-267/3</t>
  </si>
  <si>
    <t>Network Rail should review and amend the design and maintenance of the layout of the up main line to</t>
  </si>
  <si>
    <t>Network Rail should review and amend the design and maintenance of the layout of the up main line to up Carlisle line crossover at King Edward Bridge South Junction or implement any necessary measures to ensure that it does not become out of specification within the monitoring interval (paragraphs 146, 147).</t>
  </si>
  <si>
    <t>UK-267/4</t>
  </si>
  <si>
    <t>Network Rail should include guidance in NR/SP/TRK/001 Section 11.4.2 to ensure that additional consi</t>
  </si>
  <si>
    <t>Network Rail should include guidance in NR/SP/TRK/001 Section 11.4.2 to ensure that additional consideration is given to the geometry monitoring frequency and methodology for locations where the dynamic track geometry is likely to deteriorate and exceed the maintenance limit without otherwise being detected. This may occur because of the proximity of the design geometry to the maintenance limit, where there is difficulty identifying the geometry or loaded parameters or where geometry deterioration rates are high (paragraph 147).</t>
  </si>
  <si>
    <t>UK-266/1</t>
  </si>
  <si>
    <t>Northern Ireland Railways should revise their process for the preparation and issue of the Weekly O</t>
  </si>
  <si>
    <t>Northern Ireland Railways should revise their process for the preparation and issue of the Weekly Operating Notice (WON) so the process ensures that the information that it contains is accurate and complete (NIR report that they have already implemented this recommendation) (paragraphs 110a, 113, 122).</t>
  </si>
  <si>
    <t>UK-266/2</t>
  </si>
  <si>
    <t>Northern Ireland Railways should revise their process for the preparation, issue and circulation of</t>
  </si>
  <si>
    <t>Northern Ireland Railways should revise their process for the preparation, issue and circulation of Special Operating Instructions (SOIs) to ensure that they are seen and acted upon by all relevant staff at the appropriate time (paragraph 110c).</t>
  </si>
  <si>
    <t>UK-266/3</t>
  </si>
  <si>
    <t>Sperry Rail International should modify the suspension of the wagons that they use for ultrasonic te</t>
  </si>
  <si>
    <t>Sperry Rail International should modify the suspension of the wagons that they use for ultrasonic testing to minimise their sensitivity to track irregularities including cyclic top (already complete) (paragraphs 111c, 121).</t>
  </si>
  <si>
    <t>UK-266/4</t>
  </si>
  <si>
    <t>Northern Ireland Railways should revise their operating instructions to ensure that, where staff who</t>
  </si>
  <si>
    <t>Northern Ireland Railways should revise their operating instructions to ensure that, where staff who are not qualified to act as guards travel unaccompanied in the rear cab of locomotives and trains, they are suitably briefed on action to be taken in case of emergency (paragraph 112b).</t>
  </si>
  <si>
    <t>UK-266/5</t>
  </si>
  <si>
    <t>Northern Ireland Railways should assess the risk arising from the absence of communication between t</t>
  </si>
  <si>
    <t>Northern Ireland Railways should assess the risk arising from the absence of communication between the front and rear cabs of locomotives and trains, and either provide suitable fixed equipment or make other appropriate arrangements to control such risk (paragraph 112b).</t>
  </si>
  <si>
    <t>UK-266/6</t>
  </si>
  <si>
    <t>Sperry Rail International should revise the vehicle weight information that is marked on the ultraso</t>
  </si>
  <si>
    <t>Sperry Rail International should revise the vehicle weight information that is marked on the ultrasonic test vehicle and shown in the maintenance documentation to accurately reflect the unladen and laden weights of the vehicle (paragraph 119).</t>
  </si>
  <si>
    <t>UK-266/7</t>
  </si>
  <si>
    <t>Northern Ireland Railways should establish appropriate standards for track installation and maintena</t>
  </si>
  <si>
    <t>Northern Ireland Railways should establish appropriate standards for track installation and maintenance throughout its network, define a timetable for the adoption of these standards, and implement them accordingly (paragraph 120).</t>
  </si>
  <si>
    <t>UK-265/1</t>
  </si>
  <si>
    <t>Network Railâ€™s IMM Sussex should identify all welders in the Area who have only limited experience o</t>
  </si>
  <si>
    <t>Network Railâ€™s IMM Sussex should identify all welders in the Area who have only limited experience of working in the Red Zone. The IMM should ensure that all such welders that are qualified to act as COSS have the necessary skills, knowledge and experience to set up a safe system of work in the Red Zone (paragraph 191).</t>
  </si>
  <si>
    <t>UK-265/2</t>
  </si>
  <si>
    <t>Network Rail should update the COSS handbook and associated training material with the objective of</t>
  </si>
  <si>
    <t>Network Rail should update the COSS handbook and associated training material with the objective of ensuring that staff that are qualified to act as COSS are fully aware of the hazards associated with working in a Red Zone at locations beyond facing points and can set up appropriate safe systems of work (paragraphs 191 and 192). Included in the revised documentation should be a clear definition of the term â€˜approaching trainâ€™ (paragraph 148).</t>
  </si>
  <si>
    <t>UK-265/3</t>
  </si>
  <si>
    <t>Network Rail should prohibit lookouts from being required to observe the position of points as a mea</t>
  </si>
  <si>
    <t>Network Rail should prohibit lookouts from being required to observe the position of points as a means of determining if an approaching train is routed towards the site of work. Associated rules (e.g. rule book, module T7) and training documentation should clearly state that when working beyond facing points lookouts should give a warning, and staff move to the position of safety, for all trains approaching those points in the facing direction (paragraphs 192 and 196).</t>
  </si>
  <si>
    <t>UK-265/4</t>
  </si>
  <si>
    <t>Network Rail should modify its management processes to require that all RT9909 â€˜Record of Site Safet</t>
  </si>
  <si>
    <t>Network Rail should modify its management processes to require that all RT9909 â€˜Record of Site Safety Arrangements and Briefingâ€™ forms issued to Controllers of Site Safety contain details of any high speed crossovers and/or points, the direction and speed of associated train movements and a specific warning about the hazards at such locations (paragraph 194).</t>
  </si>
  <si>
    <t>UK-265/5</t>
  </si>
  <si>
    <t>Network Rail should carry out a detailed assessment of the way in which Business Process Document 00</t>
  </si>
  <si>
    <t>Network Rail should carry out a detailed assessment of the way in which Business Process Document 0019 and Standard Maintenance Procedure 0094 are being applied. This assessment should include a survey of Work Schedulers to assess the extent to which they feel able to question, or challenge, requests made to them. The results of this assessment should be used to inform a review of the effectiveness of the existing management arrangements and steps taken to rectify any deficiencies identified (paragraph 198).</t>
  </si>
  <si>
    <t>UK-265/6</t>
  </si>
  <si>
    <t>Network Rail should implement a process to ensure that any person requesting that a plan be prepared</t>
  </si>
  <si>
    <t>Network Rail should implement a process to ensure that any person requesting that a plan be prepared by a Works Scheduler checks that an appropriate safe system of work has been selected and the adequacy of the resulting â€˜Record of Site Safety Arrangements and Briefingâ€™ form. This check should include a review of the accuracy of data contained and completeness of hazard identification (paragraph 199).</t>
  </si>
  <si>
    <t>UK-265/7</t>
  </si>
  <si>
    <t>Network Rail should assess the feasibility of configuring the SSOWPS to automatically check that the</t>
  </si>
  <si>
    <t>Network Rail should assess the feasibility of configuring the SSOWPS to automatically check that the work site data entered in the system corresponds with the work site location (paragraph 199).</t>
  </si>
  <si>
    <t>UK-265/8</t>
  </si>
  <si>
    <t>Network Rail should review the presentation of information in Table A of its Sectional Appendices wi</t>
  </si>
  <si>
    <t>Network Rail should review the presentation of information in Table A of its Sectional Appendices with the objective of clarifying the direction of signalled train movements through junctions and crossovers (paragraph 200).</t>
  </si>
  <si>
    <t>UK-264/1</t>
  </si>
  <si>
    <t>Network Rail should take actions either to prevent infiltration of water through the Parking Area or</t>
  </si>
  <si>
    <t>Network Rail should take actions either to prevent infiltration of water through the Parking Area or to install an engineered drainage system capable of managing the water which is expected to run on to it. The capacity of any drainage shall take into account the changes in surface condition due to the development activity on the surrounding land (paragraph 184).</t>
  </si>
  <si>
    <t>UK-264/2</t>
  </si>
  <si>
    <t>Network Rail should repair the blocked and leaking crest drain and ensure that it is fully functiona</t>
  </si>
  <si>
    <t>Network Rail should repair the blocked and leaking crest drain and ensure that it is fully functional (paragraph 181)</t>
  </si>
  <si>
    <t>UK-264/3</t>
  </si>
  <si>
    <t>Network Rail should review their procedures to address the issues identified below and implement the</t>
  </si>
  <si>
    <t>Network Rail should review their procedures to address the issues identified below and implement the resulting changes to their operations: a) water infiltration risks on land adjacent and above cutting slopes. Ensure that these risks, which will include issues such as areas of permeable and semi-permeable land on which surface run-off could collect, are identified and managed (paragraph 278);b)introduction of new works by Network Rail alongside the railway or change of use of existing works, both of which may import risk with respect to earthwork stability (either during construction, transition, or subsequently). The TEDE should be consulted and should determine any mitigating action and ensure its implementation. For example, relevant risks could be those associated with a detrimental change in ground loading or drainage conditions (paragraph 202);</t>
  </si>
  <si>
    <t>UK-264/4</t>
  </si>
  <si>
    <t>The Scottish Executive and the Department for Communities and Local Government in England and Wales</t>
  </si>
  <si>
    <t>The Scottish Executive and the Department for Communities and Local Government in England and Wales should ensure that Network Rail becomes a statutory consultee for planning applications for developments in the vicinity of the railway (paragraph 199).</t>
  </si>
  <si>
    <t>UK-264/5</t>
  </si>
  <si>
    <t>Network Rail should review their existing internal processes and ensure that the TEDE is included in</t>
  </si>
  <si>
    <t>Network Rail should review their existing internal processes and ensure that the TEDE is included in statutory consultations for planning applications for surface extraction developments in the vicinity of the railway (paragraph 199). The output of this recommendation is dependent on any actions arising from recommendation 4 above</t>
  </si>
  <si>
    <t>UK-264/6</t>
  </si>
  <si>
    <t>Network Rail should review the risks and benefits of undertaking earthworks Cyclical Examinations by</t>
  </si>
  <si>
    <t>Network Rail should review the risks and benefits of undertaking earthworks Cyclical Examinations by aerial survey compared to foot surveys. The review should identify the mitigating actions needed to control any risks identified. If Network Rail intend to extend their use of aerial surveys to general use, conditions for this should be included in NR/SP/CIV/065. Their review should recognise the impact of aerial surveys, irrespective of specific or general use, on downstream process steps in NR/SP/CIV/065 and assess any mitigation measures necessary to ensure fitness for purpose. For example, SSHI weightings might need to be different if data collection is by aerial survey (paragraph 232).</t>
  </si>
  <si>
    <t>UK-264/7</t>
  </si>
  <si>
    <t>Network Rail Scotland should ensure that processes are in place to assure that NR/SP/CIV/065 is full</t>
  </si>
  <si>
    <t>Network Rail Scotland should ensure that processes are in place to assure that NR/SP/CIV/065 is fully adopted for undertaking earthworks Cyclical Examinations. This should include: * full compliance with the SSHI analysis process (paragraph 234); *justification for using aerial surveys and definition of attendant risk mitigation</t>
  </si>
  <si>
    <t>UK-264/8</t>
  </si>
  <si>
    <t>Bombardier should identify all vehicles manufactured with a similar method of secondary retention to</t>
  </si>
  <si>
    <t>Bombardier should identify all vehicles manufactured with a similar method of secondary retention to that of unit 170431 and inform relevant train owners and operators of the risk of failure identified in this report (paragraph 272 and 274). Bombardier should modify all new rolling stock under manufacture, and the design for future rolling stock, to mitigate this risk.</t>
  </si>
  <si>
    <t>UK-264/9</t>
  </si>
  <si>
    <t>All rolling stock owners should identify rolling stock in their ownership with a similar method of s</t>
  </si>
  <si>
    <t>All rolling stock owners should identify rolling stock in their ownership with a similar method of secondary retention to that of unit 170431 and carry out modifications to mitigate the risk identified in this report (paragraph 272 and 274).</t>
  </si>
  <si>
    <t>UK-264/10</t>
  </si>
  <si>
    <t>As part of their research into â€˜Whole train dynamic behaviour in collisions and improving crashworth</t>
  </si>
  <si>
    <t>As part of their research into â€˜Whole train dynamic behaviour in collisions and improving crashworthinessâ€™ (project T188), RSSB should consider the practicability of design elements on the bogie that limit the degree of deviation from the track following derailments (paragraph 267).</t>
  </si>
  <si>
    <t>UK-263/1</t>
  </si>
  <si>
    <t>Network Rail to: conduct a review of the approach used to assess the competence of new and existing</t>
  </si>
  <si>
    <t>Network Rail to: conduct a review of the approach used to assess the competence of new and existing signallers in their use of emergency equipment and amend it as necessary to ensure that the questions used probe a signallerâ€™s understanding of how they would use the emergency equipment provided; l use the training simulator at Redhill to test signallers employed in the Sussex Route periodically on their response to rarely-experienced scenarios such as the need to stop all trains and specific trains in an emergency; review and modify as appropriate their current practice on other routes to exploit the availability of simulators for testing signallers periodically on their response to rarely-experienced scenarios such as the need to stop all trains and specific trains in an emergency (see paragraph 105).</t>
  </si>
  <si>
    <t>UK-263/2</t>
  </si>
  <si>
    <t>Network Rail to enhance Clause 5.2 of the Occupational Health &amp; Safety Manual (NR/SP/OHS/00119) to i</t>
  </si>
  <si>
    <t>Network Rail to enhance Clause 5.2 of the Occupational Health &amp; Safety Manual (NR/SP/OHS/00119) to include the requirement for staff to be tested for drugs and alcohol when their actions or omissions, under slightly different circumstances, could have resulted in or contributed to the occurrence or consequences of an accident or serious incident (see paragraph 105).</t>
  </si>
  <si>
    <t>UK-263/3</t>
  </si>
  <si>
    <t>Network Rail, Sussex and Southern Railway to jointly review, and modify as appropriate, their Contro</t>
  </si>
  <si>
    <t>Network Rail, Sussex and Southern Railway to jointly review, and modify as appropriate, their Control Room procedures governing the communication of incident details to ensure that they correctly identify the key information, including details of all staff involved and ensure that appropriate action is taken to promote the welfare of staff and the safety of the railway (see paragraph 105). The review should consider the need to amend procedure C32 of the Network Rail Control Manual, and if appropriate arrange for the necessary amendments to be made and implemented</t>
  </si>
  <si>
    <t>UK-263/4</t>
  </si>
  <si>
    <t>Train operators to: l make modifications to multiple units already fitted with sanding equipment to</t>
  </si>
  <si>
    <t>Train operators to: l make modifications to multiple units already fitted with sanding equipment to permit application of sand in brake step 2 and above (or the equivalent of brake step 2 and above on multiple units fitted with step-less brake controllers) for the duration of the period when the WSP system is active on the leading vehicle (paragraph 247); l adjust, as appropriate, rolling stock maintenance activities during the autumn low adhesion period to include enhanced monitoring of sand hoppers to ensure that sand is always available (paragraph 253); l review their maintenance polices and practices for sanding systems to check that they are targeted at ensuring that the system continues to deliver sand to the point where wheel meets rail (paragraph 254).</t>
  </si>
  <si>
    <t>UK-263/5</t>
  </si>
  <si>
    <t>Train operators to: l Modify as appropriate their instructions to drivers regarding the braking of t</t>
  </si>
  <si>
    <t>Train operators to: l Modify as appropriate their instructions to drivers regarding the braking of trains equipped with a WSP system in low adhesion conditions to ensure that if the expected level of retardation is not achieved during the initial stage of braking, the optimum position of the brake controller is immediately selected to maximise braking efficiency. This may involve selecting a full service brake application or, where appropriate, an emergency brake application. l Brief any revised instructions to drivers (paragraph 250).</t>
  </si>
  <si>
    <t>UK-263/6</t>
  </si>
  <si>
    <t>Train operators of multiple units operating in single unit formations to consider increasing the len</t>
  </si>
  <si>
    <t>Train operators of multiple units operating in single unit formations to consider increasing the length of train consists during the autumn low adhesion season where reasonably practicable, e.g.: l where rolling stock is available; l where platforms can accommodate longer trains; l where, based on the train operatorâ€™s review of low adhesion events and knowledge of problem areas for adhesion, there is a demonstrable benefit in so doing on specific routes and/or at specific times of day (paragraph 258).</t>
  </si>
  <si>
    <t>UK-263/7</t>
  </si>
  <si>
    <t>Network Rail to develop and implement a risk-based strategy for rail head treatment and vegetation c</t>
  </si>
  <si>
    <t>Network Rail to develop and implement a risk-based strategy for rail head treatment and vegetation control in consultation with train operators. The strategy should be based on a review of recent data and take particular account of locations such as the approaches to junctions and level crossings where the consequences of an overrun could be severe. At high risk locations such as junctions, level crossings and steep gradients, consideration should be given to one or more of the following solutions: l the targeted application of Sandite; l application of Sandite using trategically placed fixed applicators; l temporary restrictions in operational use (e.g. avoiding the use of a junction); l temporary modification of signalling controls to extend effective overlaps beyond signals; l instructions to selected trains to perform running brake tests in order to assess the state of adhesion; l other effective measures defined by parties involved in managing the risk from low adhesion (paragraph 242).</t>
  </si>
  <si>
    <t>UK-263/8</t>
  </si>
  <si>
    <t>Network Rail to: l plan and execute trials in conjunction with train operators to validate changes m</t>
  </si>
  <si>
    <t>Network Rail to: l plan and execute trials in conjunction with train operators to validate changes made to rail head treatment for autumn 2006 and assess potential adjustments for autumn 2007 (paragraph 243); l develop a strategy for rail head treatment in consultation with TOCs, based on the outcome of the trials (paragraph 243).</t>
  </si>
  <si>
    <t>UK-263/9</t>
  </si>
  <si>
    <t>Network Rail to conduct a review with ADAS to determine the scope for improving the accuracy of low</t>
  </si>
  <si>
    <t>Network Rail to conduct a review with ADAS to determine the scope for improving the accuracy of low adhesion prediction (paragraph 244).</t>
  </si>
  <si>
    <t>UK-263/10</t>
  </si>
  <si>
    <t>Network Rail and train operators to develop a joint strategy for investigating adhesion related over</t>
  </si>
  <si>
    <t>Network Rail and train operators to develop a joint strategy for investigating adhesion related overrun and SPAD incidents that addresses:l Which low adhesion incidents are investigated; ï‚¡ criteria for undertaking an investigation (e.g. length of overrun, potential severity of outcome); ï‚¡ whether different levels of investigation are appropriate and if so, the criteria that apply to each one. l What data is gathered, when, how and by whom; ï‚¡ justification for gathering each item of data; ï‚¡ when wheel swabbing is appropriate and clear guidance on the extent and number of rail swabs to be undertaken; ï‚¡ train data recorders; ï‚¡ brake Control Unit; ï‚¡ traction Control Unit; ï‚¡ Network Rail and TOC staff responsibilities. l Whether enhancements can be made to existing swabbing techniques to improve the value gained from swabbing; l Management of investigations; l Use of alternative approaches or technology to estimate levels of contamination and/or adhesion available paragraph 261).</t>
  </si>
  <si>
    <t>UK-260/1</t>
  </si>
  <si>
    <t>Network Rail should investigate the capability of Wheelchex or a similar system to produce data to i</t>
  </si>
  <si>
    <t>Network Rail should investigate the capability of Wheelchex or a similar system to produce data to identify laterally out of balance wagons, and should instigate a system to use this data to reduce risk from such wagons (paragraphs 360 and 378 to 389).</t>
  </si>
  <si>
    <t>UK-260/2</t>
  </si>
  <si>
    <t>Lafarge should as a short term measure, evaluate the use of, and if practical fit, visual markers on</t>
  </si>
  <si>
    <t>Lafarge should as a short term measure, evaluate the use of, and if practical fit, visual markers on PHA wagon suspension, to enable train preparation staff to identify if a frictional lock-up has occurred, after discharge and before the train movement from the depot (paragraph 359).</t>
  </si>
  <si>
    <t>UK-260/3</t>
  </si>
  <si>
    <t>Network Rail and PHA wagon owners should review the risks arising from the derailments of these vehi</t>
  </si>
  <si>
    <t>Network Rail and PHA wagon owners should review the risks arising from the derailments of these vehicles and whether in light of the Ely incident the current mitigation measures are adequate in respect to the compliance of the PHA wagon and the suspension characteristics of the PHA wagon against the requirements of GMRT/2141, including the effects of contamination and frictional breakout. If appropriate, Network Railâ€™s Private Wagons Registration Agreement department should require the owners of these wagons to take such steps as are necessary to ensure they comply with its requirements (paragraphs 359, 360, 363 and 374).</t>
  </si>
  <si>
    <t>UK-260/4</t>
  </si>
  <si>
    <t>Network Rail should review the historical research data and recommendations on the GFA to determine</t>
  </si>
  <si>
    <t>Network Rail should review the historical research data and recommendations on the GFA to determine if the recommendations are valid for the current PHA wagon design and its operating and maintenance environment. If it is found to be relevant they should arrange for this research to be briefed to all owners of PHA wagons, and for them to take any necessary steps (paragraphs 360 and 365).</t>
  </si>
  <si>
    <t>UK-260/5</t>
  </si>
  <si>
    <t>Network Rail should instruct all private wagon owners on the importance of compliance with POCL 484,</t>
  </si>
  <si>
    <t>Network Rail should instruct all private wagon owners on the importance of compliance with POCL 484, and in particular with the requirement to mark wagons that have been shimmed for frame twist correction (paragraphs 359, 364 and 374 to 377).</t>
  </si>
  <si>
    <t>UK-260/6</t>
  </si>
  <si>
    <t>Network Rail should instruct all private wagon owners to comply with the requirement to mark wagons</t>
  </si>
  <si>
    <t>Network Rail should instruct all private wagon owners to comply with the requirement to mark wagons that have been shimmed for frame twist correction (paragraphs 366 and 375).</t>
  </si>
  <si>
    <t>UK-260/7</t>
  </si>
  <si>
    <t>Network Rail should brief private wagon owners to retain maintenance records relating to wagons and</t>
  </si>
  <si>
    <t>Network Rail should brief private wagon owners to retain maintenance records relating to wagons and provide an auditable history on sale or transfer (paragraphs 359 and 375).</t>
  </si>
  <si>
    <t>UK-260/8</t>
  </si>
  <si>
    <t>Network Rail, in conjunction with wagon owners and maintainers, should review, and if appropriate re</t>
  </si>
  <si>
    <t>Network Rail, in conjunction with wagon owners and maintainers, should review, and if appropriate revise, inherited British Rail maintenance manuals so that they are complete in their coverage and that they include processes from the current Railway Group Standards and POCL (paragraphs 347 and 364 to 366).</t>
  </si>
  <si>
    <t>UK-260/9</t>
  </si>
  <si>
    <t>Network Rail should review maintenance hours and resources available for the maintenance of track be</t>
  </si>
  <si>
    <t>Network Rail should review maintenance hours and resources available for the maintenance of track between Ely Dock Junction and Soham, and provide appropriate levels of time and resource (paragraphs 362 and 372).</t>
  </si>
  <si>
    <t>UK-260/10</t>
  </si>
  <si>
    <t>Network Rail should include guidance in NR/SP/TRK/001 Section 11.4.2 so that additional consideratio</t>
  </si>
  <si>
    <t>Network Rail should include guidance in NR/SP/TRK/001 Section 11.4.2 so that additional consideration is given to geometry monitoring frequency and methodology for locations where the dynamic track geometry is likely to deteriorate and exceed the maintenance limit without otherwise being detected (paragraphs 359 and 372).</t>
  </si>
  <si>
    <t>UK-259/1</t>
  </si>
  <si>
    <t>Network Rail should update the COSS handbook and associated training material with the objective of ensuring that staff that are qualified to act as COSS are fully aware of the hazards associated with working in a Red Zone at locations beyond facing points and can set up appropriate safe systems of work (paragraph 238). Included in the revised documentation should be a clear definition of the term â€˜approaching trainâ€™</t>
  </si>
  <si>
    <t>UK-259/2</t>
  </si>
  <si>
    <t>Network Rail, in consultation with RSSB, should carry out human factors research into the impact of</t>
  </si>
  <si>
    <t>Network Rail, in consultation with RSSB, should carry out human factors research into the impact of peer pressure, group communications and dynamics on safety decision making in small COSS led work teams. This should include a consideration of how teams are constituted and how a relatively inexperienced COSS can deliver authority, compliant behaviour, leadership and a challenge function. The findings of this research should be used to inform a review of training and management systems</t>
  </si>
  <si>
    <t>UK-259/3</t>
  </si>
  <si>
    <t>First Great Western should rebrief all train drivers on the use of a repeated series of horn blasts</t>
  </si>
  <si>
    <t>First Great Western should rebrief all train drivers on the use of a repeated series of horn blasts and the application of the emergency brake. Driver training modules should be updated to include a scenario of track workers not moving clear of an approaching train</t>
  </si>
  <si>
    <t>UK-259/4</t>
  </si>
  <si>
    <t>Associated rules (eg Rule Book, module T7) and training documentation should clearly state that when</t>
  </si>
  <si>
    <t>Associated rules (eg Rule Book, module T7) and training documentation should clearly state that when working beyond facing points lookouts should give a warning, and staff move to the position of safety, for all trains approaching those points in the facing direction</t>
  </si>
  <si>
    <t>UK-259/5</t>
  </si>
  <si>
    <t>Network Rail should implement a national plan to reduce the proportion of weld repairs at points and</t>
  </si>
  <si>
    <t>Network Rail should implement a national plan to reduce the proportion of weld repairs at points and crossovers undertaken in Red Zones so far as is reasonably practicable</t>
  </si>
  <si>
    <t>UK-259/6</t>
  </si>
  <si>
    <t>Network Rail should introduce a procedure that mandates the briefing of Safety Bulletins to its staf</t>
  </si>
  <si>
    <t>Network Rail should introduce a procedure that mandates the briefing of Safety Bulletins to its staff within specified timescales</t>
  </si>
  <si>
    <t>UK-259/7</t>
  </si>
  <si>
    <t>Network Rail and the National Health Service (NHS) should take steps to correctly implement the exis</t>
  </si>
  <si>
    <t>Network Rail and the National Health Service (NHS) should take steps to correctly implement the existing protocol governing the landing of air ambulance helicopters at rail incidents and accidents</t>
  </si>
  <si>
    <t>UK-221/1</t>
  </si>
  <si>
    <t>Network Rail should provide interlocking between the gates and all protecting signals at Crofton Old</t>
  </si>
  <si>
    <t>Network Rail should provide interlocking between the gates and all protecting signals at Crofton Old Station No.1 level crossing. This should ensure that the protecting signals are not able to indicate a proceed aspect to trains when the gates are not fully closed and locked to the road (paragraph 170). A non-standard version of interlocking has already been implemented (paragraph 174). Risk assessment should be undertaken to ensure that any residual risk which remains following fitment, including from sources of human error, is mitigated so far as is reasonably practicable.</t>
  </si>
  <si>
    <t>UK-221/2</t>
  </si>
  <si>
    <t>Network Rail should undertake a risk assessment on all staffed level crossings that have no gate to</t>
  </si>
  <si>
    <t>Network Rail should undertake a risk assessment on all staffed level crossings that have no gate to signal interlocking safeguards to ensure that the risks from human errors are considered and are mitigated so far as is reasonably practicable (paragraph 171).</t>
  </si>
  <si>
    <t>UK-221/3</t>
  </si>
  <si>
    <t>Network Rail should review operational level crossing standards relating to staffed level crossings,</t>
  </si>
  <si>
    <t>Network Rail should review operational level crossing standards relating to staffed level crossings, or those which are UWC temporarily staffed, where the safe system of operation relies solely upon the correct following of procedures. Such standards should enforce assessment of the risk from errors in the following of correct procedures (paragraph 171).</t>
  </si>
  <si>
    <t>UK-221/4</t>
  </si>
  <si>
    <t>ORR (HMRI) should have processes in place to ensure that when issuing level crossing orders, any sup</t>
  </si>
  <si>
    <t>ORR (HMRI) should have processes in place to ensure that when issuing level crossing orders, any supporting risk assessments are suitable and sufficient (Paragraph 171).</t>
  </si>
  <si>
    <t>UK-221/5</t>
  </si>
  <si>
    <t>ORR (HMRI) should have processes in place to ensure that the requirements within level crossing orde</t>
  </si>
  <si>
    <t>ORR (HMRI) should have processes in place to ensure that the requirements within level crossing orders have been implemented, and action when necessary is taken to ensure compliance (paragraph 173).</t>
  </si>
  <si>
    <t>UK-221/6</t>
  </si>
  <si>
    <t>Network Rail should assess the extent and review the practice of â€˜quick swingsâ€™ on manually operated</t>
  </si>
  <si>
    <t>Network Rail should assess the extent and review the practice of â€˜quick swingsâ€™ on manually operated crossings where the crossing gates are not interlocked to the signalling to ensure either that the practice is banned or that risks are reasonably mitigated (paragraph 172).</t>
  </si>
  <si>
    <t>UK-203/1</t>
  </si>
  <si>
    <t>Network Rail should review and revise the guidance provided for staff undertaking or supervising sta</t>
  </si>
  <si>
    <t>Network Rail should review and revise the guidance provided for staff undertaking or supervising standard 053 inspections to make clear the following: a. the detailed requirements for visual and increased-frequency inspections, including the use of photographs, and the development of standard forms with suitable prompts for this purpose (Paragraphs 204, 219, 222 and 237); b. the conditions where a switch blade repair cannot be safely achieved such that staff understand the alternative courses of action available (Paragraphs 214, 216, 250 and 253); and c. that work should be suitably planned and organised so that there is time for it to be carried out and with sufficient lighting for individuals to complete necessary inspections (paragraph 240).</t>
  </si>
  <si>
    <t>UK-203/2</t>
  </si>
  <si>
    <t>Network Rail should review the frequency and content of training to (Paragraphs 204, 214, 216, 250 a</t>
  </si>
  <si>
    <t>Network Rail should review the frequency and content of training to (Paragraphs 204, 214, 216, 250 and 253): a. improve skills retention amongst occasional standard 053 inspection practitioners; b. introduce a mentoring programme with individual staff log books; c. introduce refresher training; and d. introduce a programme of periodic monitoring of AIs and TSMs by a supervising manager.</t>
  </si>
  <si>
    <t>UK-203/3</t>
  </si>
  <si>
    <t>Network Rail should provide a handbook for use by front-line and supervisory staff which summarises</t>
  </si>
  <si>
    <t>Network Rail should provide a handbook for use by front-line and supervisory staff which summarises the requirements of standard 053 inspections, postinspection actions, and pre and post-grinding inspections. This should contain the necessary inspection forms. The handbook should be written in plain English and certified as such (Paragraphs 232 and 254).</t>
  </si>
  <si>
    <t>UK-203/4</t>
  </si>
  <si>
    <t>Network Rail should establish a formal communication channel between Asset Inspection staff and TSMs</t>
  </si>
  <si>
    <t>Network Rail should establish a formal communication channel between Asset Inspection staff and TSMs such that the relevant TSM reviews and signs-off all standard 053 inspection reports (Paragraphs 208 and 271).</t>
  </si>
  <si>
    <t>UK-203/5</t>
  </si>
  <si>
    <t>Network Rail should update the training of TSMs to enable them to obtain the standard 053 derailment</t>
  </si>
  <si>
    <t>Network Rail should update the training of TSMs to enable them to obtain the standard 053 derailment hazard recognition training and experience necessary to properly fulfil their functions when undertaking supervisorâ€™s inspections and signing-off standard 053 inspection reports (Paragraphs 232 and 267).</t>
  </si>
  <si>
    <t>UK-203/6</t>
  </si>
  <si>
    <t>Network Rail should introduce the requirement for a follow-up inspection after a standard 053 repair</t>
  </si>
  <si>
    <t>Network Rail should introduce the requirement for a follow-up inspection after a standard 053 repair is carried out involving welding or grinding. This should be undertaken by an independent and competent person within a timescale commensurate with minimising the risk of derailment (Paragraph 243).</t>
  </si>
  <si>
    <t>UK-203/7</t>
  </si>
  <si>
    <t>Network Rail should undertake a check of all S&amp;C components held in stock within the Wessex area to</t>
  </si>
  <si>
    <t>Network Rail should undertake a check of all S&amp;C components held in stock within the Wessex area to check whether information on any remaining legacy renewal plans is identified and captured within the current planning system as appropriate (Paragraph 235).</t>
  </si>
  <si>
    <t>UK-203/8</t>
  </si>
  <si>
    <t>Network Rail and South West Trains should jointly review and amend track access arrangements to ensu</t>
  </si>
  <si>
    <t>Network Rail and South West Trains should jointly review and amend track access arrangements to ensure that sufficient and appropriate track access is provided to enable the safe inspection of switches and crossings between Waterloo and Clapham Junction. This should include consideration of Network Railâ€™s daily T2(H) line blockage initiative and an extension of the existing Sunday possesssion arrangements if appropriate (paragraphs 225 and 272).</t>
  </si>
  <si>
    <t>UK-203/9</t>
  </si>
  <si>
    <t>Network Rail should review resource requirements for the undertaking of special inspections in compl</t>
  </si>
  <si>
    <t>Network Rail should review resource requirements for the undertaking of special inspections in complex track areas to ensure that the problems identified at Waterloo do not exist elsewhere. Sufficient AI positions should be provided to allow the mandated inspections to be completed, and planning resources should be aligned to support TISE requirements for track access (Paragraphs 225, 227, 230 and 268).</t>
  </si>
  <si>
    <t>UK-203/10</t>
  </si>
  <si>
    <t>KCI Rail should ensure that any appointed GSM retains full authority and responsibility for site act</t>
  </si>
  <si>
    <t>KCI Rail should ensure that any appointed GSM retains full authority and responsibility for site activities. Any transfer of responsibility between staff should be undertaken with the agreement of both parties and by reference to the grinding manager or duty shift manager (Paragraph 239).</t>
  </si>
  <si>
    <t>UK-201/1</t>
  </si>
  <si>
    <t>The Swanage Railway should amend their Rule Book to:* ensure that shunting movements are made by the</t>
  </si>
  <si>
    <t>The Swanage Railway should amend their Rule Book to:* ensure that shunting movements are made by the safest possible route; and * ensure that whenever possible shunting moves are driven from the leading cab of the locomotive. (paragraphs 79 &amp; 80(a), 84)</t>
  </si>
  <si>
    <t>UK-201/2</t>
  </si>
  <si>
    <t>The Swanage Railway should review its implementation and monitoring of the rule book requirements fo</t>
  </si>
  <si>
    <t>The Swanage Railway should review its implementation and monitoring of the rule book requirements for safety critical communication to ensure that the requirements are being complied with, and implement such changes as are found necessary (paragraph 80(b)).</t>
  </si>
  <si>
    <t>UK-201/3</t>
  </si>
  <si>
    <t>The Swanage Railway should amend its medical standards for drivers to comply with the new guidance f</t>
  </si>
  <si>
    <t>The Swanage Railway should amend its medical standards for drivers to comply with the new guidance from the Heritage Railways Association when that guidance is issued (paragraph 81).</t>
  </si>
  <si>
    <t>UK-201/4</t>
  </si>
  <si>
    <t>The Swanage Railway should implement the use of a system that informs staff that trains are not to b</t>
  </si>
  <si>
    <t>The Swanage Railway should implement the use of a system that informs staff that trains are not to be moved whilst work such as maintenance or interior cleaning is being carried out on them (paragraph 82).</t>
  </si>
  <si>
    <t>UK-201/5</t>
  </si>
  <si>
    <t>The Swanage Railway should enforce rule F 22.2, with illuminated lights provided, when vehicles are</t>
  </si>
  <si>
    <t>The Swanage Railway should enforce rule F 22.2, with illuminated lights provided, when vehicles are stabled in Swanage platform (paragraph 83).</t>
  </si>
  <si>
    <t>UK-200/1</t>
  </si>
  <si>
    <t>EWS should install a specific stop marker 26 m (28.43 yards) on the approach to signal T172 on platf</t>
  </si>
  <si>
    <t>EWS should install a specific stop marker 26 m (28.43 yards) on the approach to signal T172 on platform 4 at Purley station to mark the point at which the driver of a freight train should stop his front cab when propelling from Purley yard; or in consultation with Network Rail, EWS should prohibit the use of platform 4 by freight trains exiting from the yard (paragraphs 174, 176 and 181). In both cases above, a revised MOW for drivers, ground staff and signallers should be produced by EWS, in conjunction with Network Rail, for all train shunting movements at Purley. EWS should also ensure that the route knowledge of all relevant drivers includes an awareness of the signalling arrangements and any associated stop markers at Purley (paragraphs 180 and 185)</t>
  </si>
  <si>
    <t>UK-200/2</t>
  </si>
  <si>
    <t>EWS should deliver a specific TPWS training module for all drivers and assessors; new and experience</t>
  </si>
  <si>
    <t>EWS should deliver a specific TPWS training module for all drivers and assessors; new and experienced. This should include the correct procedures in the case of TPWS intervention (paragraphs 175 and 181).</t>
  </si>
  <si>
    <t>UK-200/3</t>
  </si>
  <si>
    <t>EWS should put in place a company process for the initiating, checking, authorising, issuing and bri</t>
  </si>
  <si>
    <t>EWS should put in place a company process for the initiating, checking, authorising, issuing and briefing of local method of work instructions (paragraph178).</t>
  </si>
  <si>
    <t>UK-200/4</t>
  </si>
  <si>
    <t>RSSB should make a Proposal, in accordance with the Railway Group Standards Code, to amend Railway G</t>
  </si>
  <si>
    <t>RSSB should make a Proposal, in accordance with the Railway Group Standards Code, to amend Railway Group Standards as appropriate to:* mandate that in-cab TPWS should specifically identify a TPWS activation associated with a SPAD, (if reasonably practicable)(paragraph 133); and * prevent the use of the driverâ€™s reverser key to reset TPWS once activated (Appendix E).</t>
  </si>
  <si>
    <t>UK-200/5</t>
  </si>
  <si>
    <t>Subject to the retention of arrangements for shunting into platforms 4 and 5, EWS should review the</t>
  </si>
  <si>
    <t>Subject to the retention of arrangements for shunting into platforms 4 and 5, EWS should review the method of working instructions for ground staff in order to eliminate the requirement for staff to cross over a live conductor rail (paragraph 184).</t>
  </si>
  <si>
    <t>UK-199/1</t>
  </si>
  <si>
    <t>Undertake a full fleet check to ensure that axlebox clearances are adequate to ensure free movement,</t>
  </si>
  <si>
    <t>Undertake a full fleet check to ensure that axlebox clearances are adequate to ensure free movement, carry out remedial work where necessary and mandate a requirement in maintenance documentation for periodic checks on these clearances to be made. An assessment should also be made of the safety benefits of introducing lubrication at the axlebox/horn guide interface and, where practicable, identified improvements should be implemented (paragraph 66).</t>
  </si>
  <si>
    <t>UK-199/2</t>
  </si>
  <si>
    <t>Undertake a thorough examination of the track to identify existing and likely future areas of poor c</t>
  </si>
  <si>
    <t>Undertake a thorough examination of the track to identify existing and likely future areas of poor condition and implement a planned programme of remedial work. Particular attention should be paid to the presence of voiding. Until identified work is completed, appropriate temporary speed restrictions should be used (paragraphs 67, 102).</t>
  </si>
  <si>
    <t>UK-199/3</t>
  </si>
  <si>
    <t>Develop and bring into use, a rolling stock maintenance regime which is based on the assessment of h</t>
  </si>
  <si>
    <t>Develop and bring into use, a rolling stock maintenance regime which is based on the assessment of hazards identified from both past experience and analysis of possible future failure modes. This assessment should include consideration of allowable tolerances in track condition. The revised documentation should identify critical dimensional parameters and component conditions to be checked at maintenance (paragraph 68).</t>
  </si>
  <si>
    <t>UK-199/4</t>
  </si>
  <si>
    <t>Ensure drivers, guards and track maintenance staff are made aware of the signs of excessive sway and</t>
  </si>
  <si>
    <t>Ensure drivers, guards and track maintenance staff are made aware of the signs of excessive sway and the resulting risk of derailment, especially when running empty, so that future problems are reported and actioned early (paragraph 105).</t>
  </si>
  <si>
    <t>UK-199/5</t>
  </si>
  <si>
    <t>Review the effectiveness of the existing system for reporting track faults, prioritisation of repair</t>
  </si>
  <si>
    <t>Review the effectiveness of the existing system for reporting track faults, prioritisation of repairs and the use of temporary speed restrictions. Any identified improvements should then be implemented and the system formalised and mandated (paragraphs 102, 103).</t>
  </si>
  <si>
    <t>UK-199/6</t>
  </si>
  <si>
    <t>Establish a system for routine inspection of the track condition and establish track standards such</t>
  </si>
  <si>
    <t>Establish a system for routine inspection of the track condition and establish track standards such that temporary speed restrictions and/or remedial works are effected as appropriate to mitigate the risk of derailment due to excessive sway (paragraphs 102, 103).</t>
  </si>
  <si>
    <t>UK-199/7</t>
  </si>
  <si>
    <t>Review the existing suspension set up and maintenance and inspection regime of the â€˜Severn Lambâ€™ typ</t>
  </si>
  <si>
    <t>Review the existing suspension set up and maintenance and inspection regime of the â€˜Severn Lambâ€™ type bogies to determine whether it is consistent with the track condition resulting from implementation of Recommendation 6 (paragraph 104).</t>
  </si>
  <si>
    <t>UK-199/8</t>
  </si>
  <si>
    <t>Develop and implement means of ensuring that the body/bogie bolsters remain lubricated between maint</t>
  </si>
  <si>
    <t>Develop and implement means of ensuring that the body/bogie bolsters remain lubricated between maintenance checks (paragraph 69).</t>
  </si>
  <si>
    <t>UK-198/1</t>
  </si>
  <si>
    <t>NYMR and other operators of locomotives with blastpipes or blastpipe bases welded to the saddle plat</t>
  </si>
  <si>
    <t>NYMR and other operators of locomotives with blastpipes or blastpipe bases welded to the saddle plate, should carry out an immediate, where reasonably practicable, and appropriate NDT examination of the blastpipe base/saddle plate weld and, where necessary, make suitable repairs (paragraph 98).</t>
  </si>
  <si>
    <t>UK-198/2</t>
  </si>
  <si>
    <t>HMRI and HRA should ensure that the forthcoming Code of Practice on the Maintenance and Repair of Lo</t>
  </si>
  <si>
    <t>HMRI and HRA should ensure that the forthcoming Code of Practice on the Maintenance and Repair of Locomotive Boilers provides guidance to those repairing existing welded blastpipe bases or constructing such designs from drawings. This should recommend that welds between blastpipe bases and saddle plates should, as a minimum, be sized as shown in the original drawings and that in sizing the weld, consideration should be given to the subsequent inspection periodicity, the arrangement of the adjacent plating and any intention to line the smoke box base with concrete or fire-brick (paragraph 99).</t>
  </si>
  <si>
    <t>UK-198/3</t>
  </si>
  <si>
    <t>Steam Powered Services Limited should have in place procedures to ensure that when defining and agre</t>
  </si>
  <si>
    <t>Steam Powered Services Limited should have in place procedures to ensure that when defining and agreeing outsourced works to be carried out, the scope of any provision for mechanical inspections is explicitly defined (paragraph 99).</t>
  </si>
  <si>
    <t>UK-198/4</t>
  </si>
  <si>
    <t>NYMR and other operators of locomotives fitted with blastpipes or blastpipe bases welded to the sadd</t>
  </si>
  <si>
    <t>NYMR and other operators of locomotives fitted with blastpipes or blastpipe bases welded to the saddle plate, should ensure that the maintenance procedures for those locomotives include NDT inspection of the welds at a periodicity determined by assessing the risk of failure prior to the next inspection (paragraph 99).</t>
  </si>
  <si>
    <t>UK-198/5</t>
  </si>
  <si>
    <t>When developing maintenance and overhaul schedules, NYMR should assess the hazards to operating staf</t>
  </si>
  <si>
    <t>When developing maintenance and overhaul schedules, NYMR should assess the hazards to operating staff and the public that the specific design of locomotive concerned presents, and develop the schedules to account for those hazards (paragraph 100).</t>
  </si>
  <si>
    <t>UK-198/6</t>
  </si>
  <si>
    <t>HMRI and HRA should assess the applicability of Recommendation 5 to other steam locomotive operators</t>
  </si>
  <si>
    <t>HMRI and HRA should assess the applicability of Recommendation 5 to other steam locomotive operators and, if it is more widely applicable, incorporate the recommendation within the forthcoming Code of Practice for the Maintenance and Repair of Steam Locomotive Boilers and any other standards or guidance they issue on steam locomotive maintenance (paragraph 100).</t>
  </si>
  <si>
    <t>UK-198/7</t>
  </si>
  <si>
    <t>NYMR should ensure that a first-aid kit is provided and its provision clearly indicated in all locom</t>
  </si>
  <si>
    <t>NYMR should ensure that a first-aid kit is provided and its provision clearly indicated in all locomotive driving cabs (paragraph 102).</t>
  </si>
  <si>
    <t>UK-198/8</t>
  </si>
  <si>
    <t>NYMR should use steel smoke box blower feed pipes as recommended by HMRI RSPG or, if copper is to be</t>
  </si>
  <si>
    <t>NYMR should use steel smoke box blower feed pipes as recommended by HMRI RSPG or, if copper is to be used, should put in place procedures to ensure that it is maintained in a fully annealed state (paragraph 103).</t>
  </si>
  <si>
    <t>UK-198/9</t>
  </si>
  <si>
    <t>RSSB should allow the HRA direct access to the NIR system, both to raise NIRs and receive them (para</t>
  </si>
  <si>
    <t>RSSB should allow the HRA direct access to the NIR system, both to raise NIRs and receive them (paragraph 104).</t>
  </si>
  <si>
    <t>UK-197/1</t>
  </si>
  <si>
    <t>NIR should review its maintenance procedures for OTP to identify the specific risks for each type of</t>
  </si>
  <si>
    <t>NIR should review its maintenance procedures for OTP to identify the specific risks for each type of plant, and ensure that such risks are addressed in the relevant VMI (paragraph 227 (a) and paragraph 214).</t>
  </si>
  <si>
    <t>UK-197/2</t>
  </si>
  <si>
    <t>Northern Ireland Railways should ensure restraining keeps are retrofitted to any operational vehicle</t>
  </si>
  <si>
    <t>Northern Ireland Railways should ensure restraining keeps are retrofitted to any operational vehicles where a single point failure could result in a piece of equipment falling and causing a derailment (paragraph 227 (c) and paragraph 213).</t>
  </si>
  <si>
    <t>UK-197/3</t>
  </si>
  <si>
    <t>NIR should ensure that all operational and infrastructure staff receive a controlled copy of the WON</t>
  </si>
  <si>
    <t>NIR should ensure that all operational and infrastructure staff receive a controlled copy of the WON and other relevant operating documents (paragraph 227 (i) and paragraph 142).</t>
  </si>
  <si>
    <t>UK-197/4</t>
  </si>
  <si>
    <t>NIR should review their process for staff training in incident, communications and post incident man</t>
  </si>
  <si>
    <t>NIR should review their process for staff training in incident, communications and post incident management and should ensure that all relevant staff involved in the incident and post incident management are appropriately trained (paragraph 227 (g) and paragraph 216).</t>
  </si>
  <si>
    <t>UK-197/5</t>
  </si>
  <si>
    <t>NIR should either: a. cease the towing of one piece of OTP to site by another; or b. ensure that any</t>
  </si>
  <si>
    <t>NIR should either: a. cease the towing of one piece of OTP to site by another; or b. ensure that any such towing moves have a continuous brake operational, and an adequate, purpose designed, coupling (paragraph 227 (h) and paragraphs 219, 222).</t>
  </si>
  <si>
    <t>UK-197/6</t>
  </si>
  <si>
    <t>NIR to re-review the practicability of fitting data recorders to engineering vehicles in the light o</t>
  </si>
  <si>
    <t>NIR to re-review the practicability of fitting data recorders to engineering vehicles in the light of this derailment and other OTP accidents on the UK mainland. If it is considered to be reasonably practicable then OTMR should be fitted to the OTP fleet (paragraph 225).</t>
  </si>
  <si>
    <t>UK-197/7</t>
  </si>
  <si>
    <t>NIR should ensure all appropriate staff are briefed on the requirements of the RAIR with particular</t>
  </si>
  <si>
    <t>NIR should ensure all appropriate staff are briefed on the requirements of the RAIR with particular reference to reporting incident promptly to RAIB and the management and access to site and evidence preservation (paragraph 227 (g) and paragraph 197).</t>
  </si>
  <si>
    <t>UK-197/8</t>
  </si>
  <si>
    <t>RSSB should grant Plasser &amp; Theurer second tier supplier access rights to the National Incident Repo</t>
  </si>
  <si>
    <t>RSSB should grant Plasser &amp; Theurer second tier supplier access rights to the National Incident Reporting database to ensure safety information relating to their products reaches them as soon as practicable (paragraph 206 to 210).</t>
  </si>
  <si>
    <t>UK-196/1</t>
  </si>
  <si>
    <t>LUL should modify their design specification for bullhead switch rail to include a chamfer or other</t>
  </si>
  <si>
    <t>LUL should modify their design specification for bullhead switch rail to include a chamfer or other means of reducing the likelihood of stress raisers occurring on the machined lower edge of the rail (paragraph 77).</t>
  </si>
  <si>
    <t>UK-196/2</t>
  </si>
  <si>
    <t>LUL should assess the risk arising from the continued use of unmodified bullhead switch rails in jun</t>
  </si>
  <si>
    <t>LUL should assess the risk arising from the continued use of unmodified bullhead switch rails in junction work (particularly facing points) and replace such rails where appropriate (paragraph 77).</t>
  </si>
  <si>
    <t>UK-196/3</t>
  </si>
  <si>
    <t>Tube Lines should carry out a review of their track inspection system to ensure that faults are bein</t>
  </si>
  <si>
    <t>Tube Lines should carry out a review of their track inspection system to ensure that faults are being consistently detected and correctly identified, and the appropriate level of remedial action is being programmed (paragraph 78).</t>
  </si>
  <si>
    <t>UK-195/1</t>
  </si>
  <si>
    <t>Harsco should change the brake lining material used on their manually propelled trolleys to one that</t>
  </si>
  <si>
    <t>Harsco should change the brake lining material used on their manually propelled trolleys to one that is capable of stopping a loaded trolley on a 1 in 30 gradient within a distance to be specified in a revised Railway Group Standard GM/ RT/1310 (completed).</t>
  </si>
  <si>
    <t>UK-195/2</t>
  </si>
  <si>
    <t>RSSB should propose a change to the Railway Group Standard GM/RT/1310 to include appropriate stoppin</t>
  </si>
  <si>
    <t>RSSB should propose a change to the Railway Group Standard GM/RT/1310 to include appropriate stopping distances for a fully loaded manually propelled rail plant on a 1 in 30 gradient. This stopping distance should be achieved in conditions representative of operational conditions (ie including wet and dry conditions). The proposed changes should also recognise the requirements of EN 13977.</t>
  </si>
  <si>
    <t>UK-195/3</t>
  </si>
  <si>
    <t>Harsco should change the design of the brake handle on the Type B trolley to prevent incorrect usage</t>
  </si>
  <si>
    <t>Harsco should change the design of the brake handle on the Type B trolley to prevent incorrect usage (completed).</t>
  </si>
  <si>
    <t>UK-195/4</t>
  </si>
  <si>
    <t>Harsco should revise their user guidance on the use of the Type B trolley with</t>
  </si>
  <si>
    <t>UK-195/5</t>
  </si>
  <si>
    <t>Torrent Trackside should ensure that; * their maintenance procedures take account of the guidance is</t>
  </si>
  <si>
    <t>Torrent Trackside should ensure that; * their maintenance procedures take account of the guidance issued by Harsco as in Recommendation 4.* instruction is available to identify the operational checks required and risks associated with trolley operation taking account of the information in Recommendation 4. This should be issued to those using the trolley (for inclusion in method statements and risk assessments).</t>
  </si>
  <si>
    <t>UK-195/6</t>
  </si>
  <si>
    <t>Carillion should review its safety management system and related processes and introduce changes to;</t>
  </si>
  <si>
    <t>Carillion should review its safety management system and related processes and introduce changes to; * ensure that information that affects safety can be easily sourced by those staff preparing method statements, and site supervisors, through the IMS database. * ensure that staff engaged in hazard identification, risk assessment and the production of method statements or safety critical documentation are competent for these tasks and that they have access to appropriate source information.* ensure that if short notice changes to working arrangements are to be made they are supported by appropriate risk assessments and method statements that are documented and can be subject to safety validation and audit. *l ensure project staff are aware of safety critical information.* implement a means of assessing the effectiveness of site briefings so that necessary improvements are made. * ensure the national processes for checking competencies are adequately briefed and implemented.</t>
  </si>
  <si>
    <t>UK-195/7</t>
  </si>
  <si>
    <t>Carillion should conduct a review of the supervision and audit arrangements of their safety manageme</t>
  </si>
  <si>
    <t>Carillion should conduct a review of the supervision and audit arrangements of their safety management system including but not limited, to the Worksafe Procedures, to ensure that its policy intent is being delivered in practice and to enable suitable remedial action to be taken.</t>
  </si>
  <si>
    <t>UK-195/8</t>
  </si>
  <si>
    <t>Carillion and Skyblue should ensure that there are auditable procedures in place to ensure all staff</t>
  </si>
  <si>
    <t>Carillion and Skyblue should ensure that there are auditable procedures in place to ensure all staff engaged upon safety management roles have the capability to manage the safety of relevant staff</t>
  </si>
  <si>
    <t>UK-195/9</t>
  </si>
  <si>
    <t>RSSB should propose revision of the rulebook to recognise the risks associated with the braking perf</t>
  </si>
  <si>
    <t>RSSB should propose revision of the rulebook to recognise the risks associated with the braking performance of trolleys in wet or icy conditions, on gradients and with contaminated brakes, along with instruction to perform any necessary brake test to demonstrate the trolley brake is performing to its specification in all circumstances.</t>
  </si>
  <si>
    <t>UK-195/10</t>
  </si>
  <si>
    <t>Network Rail should revise its training requirements to match the output of recommendation 9, and in</t>
  </si>
  <si>
    <t>Network Rail should revise its training requirements to match the output of recommendation 9, and introduce a competency within the Sentinel system for a person in charge of trolleys.</t>
  </si>
  <si>
    <t>UK-194/1</t>
  </si>
  <si>
    <t>Network Rail should ensure that modifications are made to intercept the field drain on Network Rail</t>
  </si>
  <si>
    <t>Network Rail should ensure that modifications are made to intercept the field drain on Network Rail property and discharge via a carrier drain into an engineered drainage system with sufficient capacity to handle the additional flow (paragraphs 113 and 156).</t>
  </si>
  <si>
    <t>UK-194/2</t>
  </si>
  <si>
    <t>Network Rail should identify priority cutting slopes prone to earthflow failure due to drainage flow</t>
  </si>
  <si>
    <t>Network Rail should identify priority cutting slopes prone to earthflow failure due to drainage flows from neighbouring property. These should be prioritised according to their likelihood of failure (eg on the basis of catchment area, slope angle and history of previous failures) and the consequence on the safe operation of trains.For priority cuttings, Network Rail should ensure that it understands all associated drainage arrangements, that they are adequate and that their functionality is maintained. Alternatively they should isolate their land from the effects of such drainage flows (eg by implementing engineered collector drains) (paragraphs 111 and 158).</t>
  </si>
  <si>
    <t>UK-194/3</t>
  </si>
  <si>
    <t>Network Rail should review their overall earthwork and drainage examination regime to introduce the</t>
  </si>
  <si>
    <t>Network Rail should review their overall earthwork and drainage examination regime to introduce the five actions listed below: a. Identify whether reliance is placed on examinations additional to those described in NR/SP/CIV/065 in managing the risk associated with cuttings. Network Rail should ensure that any additional examinations are clearly identified, undertaken at the correct periodicities and that formal arrangements exist for reporting findings back to the responsible earthworks and drainage engineer (paragraphs 93 and 159).b. Ensure that, as far as practicable, the actions required to identify precursors to cutting failures can be completely and correctly executed (paragraphs 99 and 159).c. Ensure that proper allowance is made in any risk assignment to compensate for any lack of accessibility, inadequate information or, the inability to fully complete an examination due to any practical or other constraints (paragraphs 100 and 159). d. Ensure a consistent and suitable approach to evaluation of the f</t>
  </si>
  <si>
    <t>UK-194/4</t>
  </si>
  <si>
    <t>RSSB should review the load cases representing credible accident scenarios in Railway Group Standard</t>
  </si>
  <si>
    <t>RSSB should review the load cases representing credible accident scenarios in Railway Group Standard GM/RT 2100 to ensure that appropriate combinations of lateral, vertical and longitudinal loads experienced at the coupler head are included in the design of trains. This should include a review of the â€˜jack-knifeâ€™ load case arising from a derailed unit coupled to a railed unit (paragraphs 146 and 161).</t>
  </si>
  <si>
    <t>UK-194/5</t>
  </si>
  <si>
    <t>Alstom should ensure that the design of the coupler lateral bump stop mounting arrangements for the</t>
  </si>
  <si>
    <t>Alstom should ensure that the design of the coupler lateral bump stop mounting arrangements for the Class 175 and 180 trains is reviewed against load cases from â€˜credible accident scenariosâ€™, including longitudinal loads experienced at the coupler head (paragraph 146 and 160).</t>
  </si>
  <si>
    <t>UK-194/6</t>
  </si>
  <si>
    <t>Angel Trains Limited should ensure that any modifications to the design made by Alstom in respect of</t>
  </si>
  <si>
    <t>Angel Trains Limited should ensure that any modifications to the design made by Alstom in respect of Recommendation 5 above shall, where reasonably practicable, be implemented in the Class 175 and 180 trains that are in their ownership.</t>
  </si>
  <si>
    <t>UK-191/1</t>
  </si>
  <si>
    <t>Network Rail to review the adequacy of their system for periodic briefing of signallers on Section 1</t>
  </si>
  <si>
    <t>Network Rail to review the adequacy of their system for periodic briefing of signallers on Section 15.2.2 of the signalling general instructions and the procedures for dealing with a driver following the occurrence of a SPAD to ensure that they take account of the infrequency with which signallers have to deal with such incidents (paragraph 88). Depending on the outcome from the review, the procedures should be modified and changes implemented as necessary</t>
  </si>
  <si>
    <t>UK-191/2</t>
  </si>
  <si>
    <t>Network Rail and South West Trains to review jointly the adequacy of their Control Room procedures f</t>
  </si>
  <si>
    <t>Network Rail and South West Trains to review jointly the adequacy of their Control Room procedures for dealing with trains that have been involved in severe overrun incidents to ensure that it is explicitly established whether any allegation has been made about the involvement of the train braking system in the incident before a decision is made on whether to allow the train to remain in service (paragraph 88). Depending on the outcome from the review, the procedures should be modified and changes implemented as necessary</t>
  </si>
  <si>
    <t>UK-191/3</t>
  </si>
  <si>
    <t>South West Trains to ensure that a brake test is undertaken on Class 444 and Class 450 units as a pr</t>
  </si>
  <si>
    <t>South West Trains to ensure that a brake test is undertaken on Class 444 and Class 450 units as a precondition for allowing a train to proceed after any SPAD and after any incident where the stopping performance of the train has fallen significantly below a driverâ€™s expectations (paragraph 88).</t>
  </si>
  <si>
    <t>UK-190/1</t>
  </si>
  <si>
    <t>The Rail Safety and Standards Board (RSSB), in conjunction with Railway Group members, should undert</t>
  </si>
  <si>
    <t>The Rail Safety and Standards Board (RSSB), in conjunction with Railway Group members, should undertake an urgent revision of Rule Book modules T3 and T11 to provide clarity in the requirements for the protection of possessions. This should include: ï¬ clearer definition of the responsibilities of persons authorised to lift protection at possession limits (paragraphs 58 to 63);ï¬ emphasising the preference for placing protection on the approach to the last signal rather than clear of the points at the junction (paragraphs 85 to 95); andï¬ stressing the importance of a minimum separation distance between protection and an open line when protection is placed clear of points (paragraph 86).</t>
  </si>
  <si>
    <t>UK-190/2</t>
  </si>
  <si>
    <t>Network Rail should review appropriate components of their competence management system, with the ai</t>
  </si>
  <si>
    <t>Network Rail should review appropriate components of their competence management system, with the aim of ensuring that PICOPs and signallers fully understand modules T3 and T11 of the Rule Book (paragraph 84 and Appendix D).</t>
  </si>
  <si>
    <t>UK-190/3</t>
  </si>
  <si>
    <t>Network Rail should review the possession planning arrangements to ensure that there is a process in</t>
  </si>
  <si>
    <t>Network Rail should review the possession planning arrangements to ensure that there is a process in place for checking that the location and type of protection is compliant with the requirements of the Rule Book, and that wherever possible the extent of the possession will permit the placing of detonator protection on the approach to the signal protecting any points, or through crossings, beyond the possession (paragraph 74).</t>
  </si>
  <si>
    <t>UK-187/1</t>
  </si>
  <si>
    <t>GE Rail Services should review their maintenance arrangements for link and pin type suspensions to e</t>
  </si>
  <si>
    <t>GE Rail Services should review their maintenance arrangements for link and pin type suspensions to ensure that degraded link pins are detected and replaced at a periodicity that minimises the risk of in-service failure (paragraph 64).</t>
  </si>
  <si>
    <t>UK-187/2</t>
  </si>
  <si>
    <t>GE Rail Services should determine in-service link pin strain and ensure that either link pins of an</t>
  </si>
  <si>
    <t>GE Rail Services should determine in-service link pin strain and ensure that either link pins of an appropriate specification are used or that in-service loads are reduced to within the link pin load carrying capability (paragraph 65).</t>
  </si>
  <si>
    <t>UK-187/3</t>
  </si>
  <si>
    <t>English Welsh and Scottish Railway should revise their system of assurance to ensure that wagons are</t>
  </si>
  <si>
    <t>English Welsh and Scottish Railway should revise their system of assurance to ensure that wagons are assessed and documented as fit to run before commencing in-service operation (paragraph 66).</t>
  </si>
  <si>
    <t>UK-187/4</t>
  </si>
  <si>
    <t>Freight Operating Companies that operate wagons with link and pin type suspensions should review the</t>
  </si>
  <si>
    <t>Freight Operating Companies that operate wagons with link and pin type suspensions should review their maintenance arrangements to ensure that degraded link pins are detected and replaced at a periodicity that minimises the risk of in-service failure (paragraph 67).</t>
  </si>
  <si>
    <t>UK-186/1</t>
  </si>
  <si>
    <t>Freightliner to ensure that instructions to marshal trains are treated as being safety critical and</t>
  </si>
  <si>
    <t>Freightliner to ensure that instructions to marshal trains are treated as being safety critical and appropriate working methods concerning effective communication of such safety critical instructions are adopted (Paragraph 141).</t>
  </si>
  <si>
    <t>UK-186/2</t>
  </si>
  <si>
    <t>Freightliner to review and amend its methods of shunting and train preparation to minimise the likel</t>
  </si>
  <si>
    <t>Freightliner to review and amend its methods of shunting and train preparation to minimise the likelihood of any train not being shunted or prepared in accordance with the requirements of the Rule Book and the Working Manual for Rail Staff Freight Operation. This should include reviewing its procedures, training methods and supervision, and should ensure that the specific responsibilities for shunting and train preparation are clearly defined for each level of the line management structure (Paragraph 141).</t>
  </si>
  <si>
    <t>UK-186/3</t>
  </si>
  <si>
    <t>Freightliner to put in place a company process for the initiating, checking, authorising, issuing, b</t>
  </si>
  <si>
    <t>Freightliner to put in place a company process for the initiating, checking, authorising, issuing, briefing periodically review of Local Work Instructions to ensure that risks are effectively controlled, and are properly understood by the relevant persons (Paragraph 142).</t>
  </si>
  <si>
    <t>UK-186/4</t>
  </si>
  <si>
    <t>Freightliner to put in place a company process to assess and take account of fatigue arising from th</t>
  </si>
  <si>
    <t>Freightliner to put in place a company process to assess and take account of fatigue arising from the shifts that members of staff work together with any disclosed off-duty factors so as to reduce the likelihood of staff making errors due to fatigue. Action should include consideration of amending staffing levels and roster patterns where appropriate (Paragraph 142).</t>
  </si>
  <si>
    <t>UK-186/5</t>
  </si>
  <si>
    <t>Freightliner should review the issue of radios and hand lamps at Basford Hall Yard to ensure that al</t>
  </si>
  <si>
    <t>Freightliner should review the issue of radios and hand lamps at Basford Hall Yard to ensure that all shunters are properly equipped for their duties (Paragraph 143).</t>
  </si>
  <si>
    <t>UK-185/1</t>
  </si>
  <si>
    <t>Network Rail LNET MP&amp;I should revise their systems for implementing the CDM regulations to minor wor</t>
  </si>
  <si>
    <t>Network Rail LNET MP&amp;I should revise their systems for implementing the CDM regulations to minor works so as to ensure that information on the condition of the asset that might affect the safety of those who might be affected by the construction work is passed to the contractor in a manner which is clear, precise and in a form suitable for the users (paragraph 101).</t>
  </si>
  <si>
    <t>UK-185/2</t>
  </si>
  <si>
    <t>Network Rail LNET MP&amp;I and the Network Rail LNE territory civil engineer should revise their interna</t>
  </si>
  <si>
    <t>Network Rail LNET MP&amp;I and the Network Rail LNE territory civil engineer should revise their internal procedures (paragraph 89) to ensure the following:ï¬ for division of responsibility: MP&amp;I, in conjunction with the earthworks engineer, should establish for each project the responsibility for determining the need for, and the implementation of, monitoring of the track;ï¬ for internal Communication: All MP&amp;I project engineers and project managers on all territories should be made aware of the procedures used to monitor the track during site works and when these procedures should be employed;ï¬ for external Communication: MP&amp;I should ensure that they communicate clearly the responsibilities for track monitoring, and any other matters that might affect safety of the line, to the track engineers and that this information is received and understood by them.</t>
  </si>
  <si>
    <t>UK-185/3</t>
  </si>
  <si>
    <t>Network Rail should revise NR/SP/TRK/001 to give guidance on appropriate measures to be taken on discovery of excessive cant with timescales for action (paragraphs 90 and 98).</t>
  </si>
  <si>
    <t>UK-185/4</t>
  </si>
  <si>
    <t>Network Rail should revise the track inspection handbook associated with work instruction NR/WI/TRK/</t>
  </si>
  <si>
    <t>Network Rail should revise the track inspection handbook associated with work instruction NR/WI/TRK/001 to refer to the cant deviation limits in NR/SP/TRK/001 (paragraphs 91 and 97).</t>
  </si>
  <si>
    <t>UK-185/5</t>
  </si>
  <si>
    <t>Network Rail MP&amp;I should improve the technical control of works undertaken by the minor works team t</t>
  </si>
  <si>
    <t>Network Rail MP&amp;I should improve the technical control of works undertaken by the minor works team to ensure that risk information provided by the designer of a scheme and any knowledge within Network Rail of risks inherent in the condition of the asset are properly taken into account (paragraphs 92, 96 and 99).</t>
  </si>
  <si>
    <t>UK-185/6</t>
  </si>
  <si>
    <t>Network Rail should ensure that at all stages of a project there is an appropriate competent person</t>
  </si>
  <si>
    <t>Network Rail should ensure that at all stages of a project there is an appropriate competent person to oversee it, and that if the competent person changes at any stage in the life of the project, an appropriate handover takes place (paragraph 100).</t>
  </si>
  <si>
    <t>UK-184/1</t>
  </si>
  <si>
    <t>DRC should develop and implement measures to improve the rail head condition on the Meldon Quarry li</t>
  </si>
  <si>
    <t>DRC should develop and implement measures to improve the rail head condition on the Meldon Quarry line with the aim of minimising occurrences of wheel flats (paragraph 155).</t>
  </si>
  <si>
    <t>UK-184/2</t>
  </si>
  <si>
    <t>FLHH should develop driving instructions specifically for the current quarry train operations on the</t>
  </si>
  <si>
    <t>FLHH should develop driving instructions specifically for the current quarry train operations on the Meldon branch line, with the aim of minimising the risk of wheel flats. Those instructions should take into account the measures resulting from the implementation of Recommendation 1 and include consideration of changes to the working timetable and permissible line speeds. All drivers signed for the Meldon branch line should be briefed on the instructions, including the appropriate setting for locomotive brake timings, and monitored accordingly (eg by using OTMR downloads) to ensure compliance (paragraph 155).</t>
  </si>
  <si>
    <t>UK-184/3</t>
  </si>
  <si>
    <t>FLHH should ensure that all trains from Meldon Quarry are examined in a roll-by test to a robust app</t>
  </si>
  <si>
    <t>FLHH should ensure that all trains from Meldon Quarry are examined in a roll-by test to a robust approved procedure at Coleford Junction. To maximise the integrity of the roll-by tests, consideration should also be given to:ï¬ setting up a system of regular checks to ensure the test is being performed in accordance with procedures;ï¬ enhancing the visibility of rotating wheels to aid inspection (eg paint marks on the wheel rims). (paragraph 156)</t>
  </si>
  <si>
    <t>UK-184/4</t>
  </si>
  <si>
    <t>Network Rail should ensure that the requirement for a roll-by test at Coleford Junction is recorded</t>
  </si>
  <si>
    <t>Network Rail should ensure that the requirement for a roll-by test at Coleford Junction is recorded in formal operational documentation, such as the Sectional Appendix, so that the practice will always remain, irrespective of the operator of the quarry trains (paragraph 156).</t>
  </si>
  <si>
    <t>UK-184/5</t>
  </si>
  <si>
    <t>Network Rail should assess the risks associated with: ï¬ not having any wheel impact load detectors o</t>
  </si>
  <si>
    <t>Network Rail should assess the risks associated with: ï¬ not having any wheel impact load detectors on the Berks and Hants line and; ï¬ the current levels of operational unavailability of existing wheel impact load detector sites across the network; and determine whether they are as low as reasonably practicable. Where necessary, measures to address any identified shortcomings should then be implemented. (paragraph 157</t>
  </si>
  <si>
    <t>UK-184/6</t>
  </si>
  <si>
    <t>Network Rail, FLHH and DRC should set up a joint system for alerting each other in the event of futu</t>
  </si>
  <si>
    <t>Network Rail, FLHH and DRC should set up a joint system for alerting each other in the event of future wheel flat incidents on the Meldon branch line so that: ï¬ relevant evidence collection and investigation can be undertaken quickly to ensure safety lessons are learned; ï¬ existing mitigation measures are reviewed, and enhanced if necessary, to minimise the risk from broken rails on the wider network. (paragraph 158)</t>
  </si>
  <si>
    <t>UK-183/1</t>
  </si>
  <si>
    <t>Scottish Coal should establish and specify the standards to which they require their infrastructure</t>
  </si>
  <si>
    <t>Scottish Coal should establish and specify the standards to which they require their infrastructure to be inspected and maintained. This should be in accordance with the Railway Group Standard â€˜Track Systems Requirementsâ€™ GC/RT5021 and a risk assessment undertaken to justify the frequency and level of inspections if they are reduced below the minimum specified in this standard (paragraphs 56 and 98d).</t>
  </si>
  <si>
    <t>UK-183/2</t>
  </si>
  <si>
    <t>Scottish Coal should ensure that arrangements are in place to allow the inspection and maintenance o</t>
  </si>
  <si>
    <t>Scottish Coal should ensure that arrangements are in place to allow the inspection and maintenance of their railway assets to be effected to the standards specified in Recommendation 1 (paragraphs 56 and 98b).</t>
  </si>
  <si>
    <t>UK-183/3</t>
  </si>
  <si>
    <t>Scottish Coal should put in place arrangements such that they, independent of their track maintenanc</t>
  </si>
  <si>
    <t>Scottish Coal should put in place arrangements such that they, independent of their track maintenance contractors, can oversee management of their railway assets (paragraphs 46 and 99e).</t>
  </si>
  <si>
    <t>UK-183/4</t>
  </si>
  <si>
    <t>EWS should review its internal quality assurance processes to ensure that the sign-off of safety cri</t>
  </si>
  <si>
    <t>EWS should review its internal quality assurance processes to ensure that the sign-off of safety critical reports is accompanied by a review of the content. The submission of photocopied data should be prohibited unless the summary sheet confirms that conditions have been checked and previous readings are fully replicated (paragraphs 53 and 99c).</t>
  </si>
  <si>
    <t>UK-183/5</t>
  </si>
  <si>
    <t>EWS should enhance the level of information arising from inspection reports to provide quantative in</t>
  </si>
  <si>
    <t>EWS should enhance the level of information arising from inspection reports to provide quantative information and guidance for maintenance planning, for example: prioritisation of defects and timescales for non-urgent action (paragraphs 52 and 98c).</t>
  </si>
  <si>
    <t>UK-183/6</t>
  </si>
  <si>
    <t>EWS should review its private-party activities nationally and take immediate steps to correct any si</t>
  </si>
  <si>
    <t>EWS should review its private-party activities nationally and take immediate steps to correct any situations where local inspection or maintenance arrangements have allowed infrastructure condition to fall below the applicable standards (paragraphs 99f and 107).</t>
  </si>
  <si>
    <t>UK-183/7</t>
  </si>
  <si>
    <t>Network Rail should review the agreement which exists between it and Scottish Coal. This agreement</t>
  </si>
  <si>
    <t>Network Rail should review the agreement which exists between it and Scottish Coal. This agreement should require Scottish Coal, as the adjacent facility owner, to ensure that any part of the adjacent facility which is directly connected to the NR Network is compatible with the NR Network and complies with applicable Railway Group Standards. Alternatively, the existing agreement should be replaced with a contract based on the Model Connection Contract published by the Office of Rail Regulation Document #209695.03 which contains this requirement. (paragraphs 57 and 101).</t>
  </si>
  <si>
    <t>UK-181/1</t>
  </si>
  <si>
    <t>First Capital Connect (formerly Thameslink) and Southern should arrange for an inspection mirror to</t>
  </si>
  <si>
    <t>First Capital Connect (formerly Thameslink) and Southern should arrange for an inspection mirror to be used when examining the interior of the drumswitch. This recommendation has already been implemented (paragraphs 31, 32, 34 and 35).</t>
  </si>
  <si>
    <t>UK-181/2</t>
  </si>
  <si>
    <t>Alstom to review procedures, processes and equipment in order to identify an effective means of prev</t>
  </si>
  <si>
    <t>Alstom to review procedures, processes and equipment in order to identify an effective means of preventing loose material from interfering with the operation of the drumswitch (paragraphs 24, 25 and 31).</t>
  </si>
  <si>
    <t>UK-180/1</t>
  </si>
  <si>
    <t>The Great Central Railway should revise its Rule Book and training to require: ï¬ drivers to keep a g</t>
  </si>
  <si>
    <t>The Great Central Railway should revise its Rule Book and training to require: ï¬ drivers to keep a good look out and not, unless absolutely necessary, operate controls other than those used for driving when proceeding at caution as far as the line is clear, and when staff, members of the public and other rail vehicles may be nearby (paragraph 45);ï¬ firemen to keep a good look out when proceeding at caution as far as the line is clear, and when staff, members of the public and other rail vehicles may be nearby (paragraph 45).</t>
  </si>
  <si>
    <t>UK-180/2</t>
  </si>
  <si>
    <t>The Great Central Railway should put in place a supervisory system to ensure that members of its sta</t>
  </si>
  <si>
    <t>The Great Central Railway should put in place a supervisory system to ensure that members of its staff comply with the requirements of their medical certificates (paragraph 46).</t>
  </si>
  <si>
    <t>UK-180/3</t>
  </si>
  <si>
    <t>The Great Central Railway should put in place a supervisory system to ensure that its policy on medi</t>
  </si>
  <si>
    <t>The Great Central Railway should put in place a supervisory system to ensure that its policy on medical certification and recertification is properly applied to all staff (paragraph 50).</t>
  </si>
  <si>
    <t>UK-180/4</t>
  </si>
  <si>
    <t>The Great Central Railway should ensure that a first-aid kit is provided and its provision clearly i</t>
  </si>
  <si>
    <t>The Great Central Railway should ensure that a first-aid kit is provided and its provision clearly indicated in all locomotive driving cabs (paragraph 51).</t>
  </si>
  <si>
    <t>UK-179/1</t>
  </si>
  <si>
    <t>EWS should ensure that the advice and instructions given to site train preparersâ€™ in Operating Diges</t>
  </si>
  <si>
    <t>EWS should ensure that the advice and instructions given to site train preparersâ€™ in Operating Digest Advice Number 121 (Actions already taken or in progress: paragraph 80) are incorporated into normal working procedures.</t>
  </si>
  <si>
    <t>UK-179/2</t>
  </si>
  <si>
    <t>EWS should consider providing further assistance to train preparers in regard to plough stowage by p</t>
  </si>
  <si>
    <t>EWS should consider providing further assistance to train preparers in regard to plough stowage by painting locking keys a bright colour and/or placing reminder/warning notices on the exterior of the vehicles.</t>
  </si>
  <si>
    <t>UK-179/3</t>
  </si>
  <si>
    <t>EWS should rebrief their site train preparersâ€™ that they must receive a CoR in the correct format, a</t>
  </si>
  <si>
    <t>EWS should rebrief their site train preparersâ€™ that they must receive a CoR in the correct format, as shown in The White Pages, before accepting engineering trains following their use in possessions (Actions already taken or in progress: paragraph 82).</t>
  </si>
  <si>
    <t>UK-179/4</t>
  </si>
  <si>
    <t>EWS should ensure that the unofficial â€˜authorisation slip / substitute driverâ€™s slipâ€™ is withdrawn f</t>
  </si>
  <si>
    <t>EWS should ensure that the unofficial â€˜authorisation slip / substitute driverâ€™s slipâ€™ is withdrawn from use (Actions already taken or in progress: paragraph 81).</t>
  </si>
  <si>
    <t>UK-179/5</t>
  </si>
  <si>
    <t>As a result of observations (paragraphs 75 to 78) and the proposal to withdraw GO/RT 3406 (paragraph</t>
  </si>
  <si>
    <t>As a result of observations (paragraphs 75 to 78) and the proposal to withdraw GO/RT 3406 (paragraph 79) Network Rail should review their systems, procedures and documentation to ensure that trains leaving engineering worksites are in a secure and operationally safe state. The review should consider the requirements for competent staff and the competency / training needs.</t>
  </si>
  <si>
    <t>UK-179/6</t>
  </si>
  <si>
    <t>WAD and FETRD should review their procedures to ensure that an appropriate competent person is clear</t>
  </si>
  <si>
    <t>WAD and FETRD should review their procedures to ensure that an appropriate competent person is clearly identified to perform the duties required during loading and unloading (paragraph 42).</t>
  </si>
  <si>
    <t>UK-177/1</t>
  </si>
  <si>
    <t>LUL should reassess the standards, and the associated training, familiarisation and necessary local</t>
  </si>
  <si>
    <t>LUL should reassess the standards, and the associated training, familiarisation and necessary local knowledge for staff required to carry out specific duties for WDMs. Procedures should be amended and a delivery programme implemented to ensure that the necessary knowledge is imparted and retained and that staff only work within their skill and knowledge base.</t>
  </si>
  <si>
    <t>UK-177/2</t>
  </si>
  <si>
    <t>LUL should reassess the training, familiarisation and necessary local knowledge for staff required t</t>
  </si>
  <si>
    <t>LUL should reassess the training, familiarisation and necessary local knowledge for staff required to use SPTs. Procedures should be amended to ensure that the necessary knowledge is imparted and retained.</t>
  </si>
  <si>
    <t>UK-177/3</t>
  </si>
  <si>
    <t>LUL should rebrief their staff on the duties &amp; responsibilities for undertaking WDMs, including emph</t>
  </si>
  <si>
    <t>LUL should rebrief their staff on the duties &amp; responsibilities for undertaking WDMs, including emphasis on the person-in-charge having overall responsibility to instruct movement or stopping of the train, and, if appropriate, of the need to appoint a WDM Protector.</t>
  </si>
  <si>
    <t>UK-177/4</t>
  </si>
  <si>
    <t>LUL should rebrief control room staff on the necessity of clearly establishing the position of any t</t>
  </si>
  <si>
    <t>LUL should rebrief control room staff on the necessity of clearly establishing the position of any train before any recovery moves are authorised.</t>
  </si>
  <si>
    <t>UK-177/5</t>
  </si>
  <si>
    <t>LUL should review procedures for maintaining emergency equipment in a state of readiness and amend t</t>
  </si>
  <si>
    <t>LUL should review procedures for maintaining emergency equipment in a state of readiness and amend them as necessary.</t>
  </si>
  <si>
    <t>UK-177/6</t>
  </si>
  <si>
    <t>LUL should introduce procedures to ensure that staff are advised where emergency equipment such as s</t>
  </si>
  <si>
    <t>LUL should introduce procedures to ensure that staff are advised where emergency equipment such as station train radio, station radio and portable phones may be expected to work and where not.</t>
  </si>
  <si>
    <t>UK-177/7</t>
  </si>
  <si>
    <t>LUL should consider the use of a common or standardised means of filing /locating WDM (and other ope</t>
  </si>
  <si>
    <t>LUL should consider the use of a common or standardised means of filing /locating WDM (and other operational) forms that may be needed at short notice at their stations and implement reasonably practical changes.</t>
  </si>
  <si>
    <t>UK-177/8</t>
  </si>
  <si>
    <t>LUL should ensure the instructions necessary for undertaking safety critical communications detailed</t>
  </si>
  <si>
    <t>LUL should ensure the instructions necessary for undertaking safety critical communications detailed within the new Rule Book are supported by training, familiarisation and a system of regular monitoring to confirm compliance with the instructions.</t>
  </si>
  <si>
    <t>UK-177/9</t>
  </si>
  <si>
    <t>. LUL should review the instructions for undertaking WDMs to ensure that it contains no requirements</t>
  </si>
  <si>
    <t>. LUL should review the instructions for undertaking WDMs to ensure that it contains no requirements capable of misinterpretation and that the WDM form contains information that will remind staff of key procedures when carrying out the move.</t>
  </si>
  <si>
    <t>UK-177/10</t>
  </si>
  <si>
    <t>LUL should review the Connect Radio project to determine the feasibility of an accelerated implement</t>
  </si>
  <si>
    <t>LUL should review the Connect Radio project to determine the feasibility of an accelerated implementation programme. If reasonably practical this should be implemented.</t>
  </si>
  <si>
    <t>UK-176/1</t>
  </si>
  <si>
    <t>Network Rail should implement a system to prevent 31 points at Maltby from operating as a train is a</t>
  </si>
  <si>
    <t>Network Rail should implement a system to prevent 31 points at Maltby from operating as a train is approaching or passing over them (paragraphs 117 and 119). Time of operation locking of 31 points was implemented in May 2007 (paragraph 125).</t>
  </si>
  <si>
    <t>UK-176/2</t>
  </si>
  <si>
    <t>Network Rail should find out whether there are other similar installations where time of operation l</t>
  </si>
  <si>
    <t>Network Rail should find out whether there are other similar installations where time of operation locking is specified but not implemented. Based on this, Network Rail should implement appropriate control measures to control the risk of a similar incident occurring at these locations (paragraph 117).</t>
  </si>
  <si>
    <t>UK-176/3</t>
  </si>
  <si>
    <t>Network Rail should design roster patterns for signal boxes that are manned by a single person such</t>
  </si>
  <si>
    <t>Network Rail should design roster patterns for signal boxes that are manned by a single person such that the signaller is not subjected to undue fatigue (paragraph 121).</t>
  </si>
  <si>
    <t>UK-176/4</t>
  </si>
  <si>
    <t>Network Rail should alter the design of the interlocking at Maltby so that movement of lever 31 posi</t>
  </si>
  <si>
    <t>Network Rail should alter the design of the interlocking at Maltby so that movement of lever 31 positively destroys detection on the points until they have moved to the new position (paragraph 123).</t>
  </si>
  <si>
    <t>UK-174/1</t>
  </si>
  <si>
    <t>Network Rail should review the content of the appropriate Company Standards including NR/SP/CIV/065</t>
  </si>
  <si>
    <t>Network Rail should review the content of the appropriate Company Standards including NR/SP/CIV/065 and NR/SP/TRK/05201 so that they are sufficiently comprehensive to manage the risks from root balls on, or adjacent to, their infrastructure</t>
  </si>
  <si>
    <t>UK-174/2</t>
  </si>
  <si>
    <t>Network Rail should review the guidance it provides on felling of trees on embankments and cuttings.</t>
  </si>
  <si>
    <t>Network Rail should review the guidance it provides on felling of trees on embankments and cuttings. This guidance should include the criteria and actions to be taken on the retention of root balls and stumps</t>
  </si>
  <si>
    <t>UK-174/3</t>
  </si>
  <si>
    <t>Network Rail should inspect or assess all cuttings of a depth where falling root balls or stumps cou</t>
  </si>
  <si>
    <t>Network Rail should inspect or assess all cuttings of a depth where falling root balls or stumps could pose a risk to the operational infrastructure. Root balls or stumps posing high risk should be removed or otherwise stabilised within a defined time scale</t>
  </si>
  <si>
    <t>UK-174/4</t>
  </si>
  <si>
    <t>Network Rail should develop a list of civil engineering assets that may be susceptible to severe wea</t>
  </si>
  <si>
    <t>Network Rail should develop a list of civil engineering assets that may be susceptible to severe weather conditions or rapid natural deterioration and should develop plans for mitigating the effects on the operational railway</t>
  </si>
  <si>
    <t>UK-174/5</t>
  </si>
  <si>
    <t>Network Rail should periodically implement a process to assess Hooley Cutting for the risk posed to</t>
  </si>
  <si>
    <t>Network Rail should periodically implement a process to assess Hooley Cutting for the risk posed to the operational infrastructure by any remaining tree roots and stumps. Such assessments should also include the stability of the cutting at the crest</t>
  </si>
  <si>
    <t>UK-174/6</t>
  </si>
  <si>
    <t>Network Rail should assess the practicability of installing a system to warn of the displacement of</t>
  </si>
  <si>
    <t>Network Rail should assess the practicability of installing a system to warn of the displacement of material or collapse of the king post wall in Hooley Cutting. If reasonably practicable it should do so</t>
  </si>
  <si>
    <t>UK-174/7</t>
  </si>
  <si>
    <t>Network Rail should issue the (credit card size) â€˜Special Inspections in Adverse Weatherâ€™ to all tra</t>
  </si>
  <si>
    <t>Network Rail should issue the (credit card size) â€˜Special Inspections in Adverse Weatherâ€™ to all track inspection personnel and widen its scope to cover any observation of earthworks</t>
  </si>
  <si>
    <t>UK-174/8</t>
  </si>
  <si>
    <t>Network Rail, in connection with Southern, should ensure that access locations for relevant parts of</t>
  </si>
  <si>
    <t>Network Rail, in connection with Southern, should ensure that access locations for relevant parts of the network are held at control rooms, and if appropriate, at signal boxes and manned stations. It should include street references, postcodes, grid references etc, as appropriate, along with information on any difficulties of use by emergency services and for passenger evacuation</t>
  </si>
  <si>
    <t>UK-174/9</t>
  </si>
  <si>
    <t>In the light of the evacuation from Hooley cutting Network Rail, in conjunction with Southern should</t>
  </si>
  <si>
    <t>In the light of the evacuation from Hooley cutting Network Rail, in conjunction with Southern should review the evacuation strategies from deep cuttings, high embankments, and other difficult areas across the network. In doing so they should consider the practicality of passenger evacuation by a train on the adjacent track</t>
  </si>
  <si>
    <t>UK-173/1</t>
  </si>
  <si>
    <t>The MHRPLC should ensure that existing plans for the provision of train detection on No.4 points at</t>
  </si>
  <si>
    <t>The MHRPLC should ensure that existing plans for the provision of train detection on No.4 points at Ropley are implemented without further delay (paragraphs 110 and 111).</t>
  </si>
  <si>
    <t>UK-173/2</t>
  </si>
  <si>
    <t>The MHRPLC should ensure that if staff other than signalmen are to be involved in receiving tokens f</t>
  </si>
  <si>
    <t>The MHRPLC should ensure that if staff other than signalmen are to be involved in receiving tokens from or handing tokens to drivers at any station: a. their use should be planned; b. the specific individual undertaking the role should be identified within the relevant operating notice; c. they should always work under the supervision of the signalman; d. they should be competent to perform the role (paragraph 111).</t>
  </si>
  <si>
    <t>UK-173/3</t>
  </si>
  <si>
    <t>The MHRPLC should make explicit in its procedures that staff who are to be subject to drugs and alco</t>
  </si>
  <si>
    <t>The MHRPLC should make explicit in its procedures that staff who are to be subject to drugs and alcohol screening do not leave MHR premises until the screening has been undertaken (paragraph 112).</t>
  </si>
  <si>
    <t>UK-173/4</t>
  </si>
  <si>
    <t>The MHRPLC should conduct a review of its safety management system to identify non-compliances and d</t>
  </si>
  <si>
    <t>The MHRPLC should conduct a review of its safety management system to identify non-compliances and develop/implement actions plans to resolve them (paragraph 113).</t>
  </si>
  <si>
    <t>UK-173/5</t>
  </si>
  <si>
    <t>UK-173/6</t>
  </si>
  <si>
    <t>The HRA should: a. Issue new guidance on competence and medical standards for safety-critical staff.</t>
  </si>
  <si>
    <t>The HRA should: a. Issue new guidance on competence and medical standards for safety-critical staff. This should be based on the advice contained within the letter from the ORR (HMRI) to the HRA of August 2006. It should include the standards to be achieved for all staff that undertake safety critical duties, denoted on a role based model. b. When the guidance has been prepared and issued, advise heritage railway operators to review their safety management systems to take account of its provisions (paragraph 115).</t>
  </si>
  <si>
    <t>UK-172/1</t>
  </si>
  <si>
    <t>The Silverlink management should take immediate steps to ensure that personnel managing and operatin</t>
  </si>
  <si>
    <t>The Silverlink management should take immediate steps to ensure that personnel managing and operating Watford Yard ground frame are fully aware of the presence, purpose and effect of the indicator light and track circuit ZA (paragraphs 34 &amp; 36)</t>
  </si>
  <si>
    <t>UK-172/2</t>
  </si>
  <si>
    <t>Silverlink should issue instructions immediately that operators stand away from Watford Yard ground</t>
  </si>
  <si>
    <t>Silverlink should issue instructions immediately that operators stand away from Watford Yard ground frame and observe the completion of a movement over the points before returning to the ground frame to move the points or give up the release (paragraphs 34, 36 &amp; 37)</t>
  </si>
  <si>
    <t>UK-172/3</t>
  </si>
  <si>
    <t>As soon as practical Network Rail should issue written instructions for the operation of Watford Yar</t>
  </si>
  <si>
    <t>As soon as practical Network Rail should issue written instructions for the operation of Watford Yard ground frame in conjunction with the appropriate TOCs, who should specify and implement competency assessment applicable to all staff involved with operation of the ground frame (paragraph 38)</t>
  </si>
  <si>
    <t>UK-172/4</t>
  </si>
  <si>
    <t>In the longer term, consideration should be given by Network Rail to the provision of a locking arra</t>
  </si>
  <si>
    <t>In the longer term, consideration should be given by Network Rail to the provision of a locking arrangement on the Watford Yard ground frame points when any alterations are made to the yard or the signalling in the Watford area (paragraph 38)</t>
  </si>
  <si>
    <t>UK-1442/1</t>
  </si>
  <si>
    <t>Assessing crossing risk</t>
  </si>
  <si>
    <t>London Tramlink, in conjunction with Tram Operations Ltd, should continue to develop its process for periodically assessing risk at all foot crossings, taking into account the findings from this report in relation to factors that could affect all aspects of the safety of crossing users. The process should include the requirement to use the findings from the periodic risk assessments to identify those crossings where there are reasonably practicable measures that can be taken to reduce the risk and to produce and update a prioritised programme for safety improvements. The process should include a reference to a range of possible safety improvement measures, which should take account of good practice from elsewhere in the rail and tram industry and good practice in highway design (paragraphs 114b, 114c, 115b, 117 and 120c).</t>
  </si>
  <si>
    <t>UK-1442/2</t>
  </si>
  <si>
    <t>Crossing improvement</t>
  </si>
  <si>
    <t>London Tramlink should: a. taking into account the improvements made to the configuration of the approach to the foot crossing at the west end of Sandilands, consider whether further action is desirable to improve pedestriansâ€™ view of approaching trams as they walk from the bus stop towards the entrance to the west end of Sandilands tram stop, and implement any changes that they deem to be reasonably practicable; b. conduct a review of the approaches to all other foot crossings on the system from all credible directions to determine whether similar obstructions exist elsewhere, and if so, whether they can be removed; and c. embed within its processes for new works in and around the tramway the requirement to consider pedestrian sight lines from all credible approaches to the crossing before approving the positioning of equipment and other infrastructure (paragraph 116a).</t>
  </si>
  <si>
    <t>UK-1442/3</t>
  </si>
  <si>
    <t>Revised guidance</t>
  </si>
  <si>
    <t>ORR should re-evaluate and revise its guidance to tramway operators on: a. the need for operators to take into account pedestrian and tram driver sight lines from all credible approaches to foot crossings when planning new works on tramways (paragraph 116a); b. the optimum angle of approach for pedestrians at crossings over the tramway (paragraph 120b); and c. the need for a recess under tram stop platforms and the desirability of paving up to rail level between the platform-side rail and the platform face (paragraph 119b). Pending the re-issuing of guidance, ORR should consider how modified advice should be provided to tram operators</t>
  </si>
  <si>
    <t>UK-1442/4</t>
  </si>
  <si>
    <t>Infrastructure as possible cause</t>
  </si>
  <si>
    <t>London Tramlink and Tram Operations Ltd should jointly review and amend their procedures and/or practices for investigating accidents and incidents on the Croydon tram system so that joint investigations are always carried out if there is any possibility that the infrastructure might have contributed to the circumstances of the accident. Joint investigations should be mandatory for all significant incidents involving pedestrians being struck by trams (paragraph 117).</t>
  </si>
  <si>
    <t>UK-1442/5</t>
  </si>
  <si>
    <t>Undertstanding risk factors</t>
  </si>
  <si>
    <t>London Tramlink should conduct a review of its arrangements for taking and prioritising safety decisions and take any necessary steps to secure for the organisation sufficient competence in safety and risk management techniques so that key personnel have a clear understanding of the factors that affect risk, the constituent elements of a competent risk assessment and how to use the results to prioritise actions (paragraph 118).</t>
  </si>
  <si>
    <t>UK-1441/1</t>
  </si>
  <si>
    <t>Review SMS procedures</t>
  </si>
  <si>
    <t>The North Yorkshire Moors Railway should review its safety management arrangements with regard to shunting. The review should particularly take into account the adequacy of, and best practice in, the following: the rules covering shunting; the method of training staff to undertake shunting duties; the method of assessment of staff, which should include elements of both practical and written assessment, being passed out for shunting duties for the first time and on subsequent occasions; and the system of management checks confirming that safe methods are being applied. The North Yorkshire Moors Railway should implement any necessary changes and should document the revised safety management arrangements (paragraphs 69a and 69b).</t>
  </si>
  <si>
    <t>UK-1417/1</t>
  </si>
  <si>
    <t>Eversholt Rail UK (Ltd) should determine whether the next planned replacement of Class 365 door seal</t>
  </si>
  <si>
    <t>Eversholt Rail UK (Ltd) should determine whether the next planned replacement of Class 365 door seals provides an opportunity to modify the seal arrangements to reduce the risk associated with trapping of objects and people to be as low as reasonably practicable. If such modification is found to be reasonably practicable, Eversholt Rail UK (Ltd) should: determine whether a similar modification is appropriate for other classes of train owned by the Eversholt Rail Group; determine whether such modifications should be applied if seals require replacement before the scheduled date; and make available to other train owners suitable and sufficient information for these owners to establish whether a similar approach should be considered for any of their train doors (paragraph 48).</t>
  </si>
  <si>
    <t>UK-1414/1</t>
  </si>
  <si>
    <t>Risk in increase in number and types of crossing users</t>
  </si>
  <si>
    <t>The Health &amp; Safety Executive and the Office of Rail Regulation should draw the attention of local authorities to the need to consider the effects and possible risk associated with developments, such as the promotion of multi-user trails, which are likely to result in an increase in the number and type of users of routes passing over level crossings, with particular reference to the needs of vulnerable groups such as the elderly, users of mobility scooters and people with small children (paragraph 122d).</t>
  </si>
  <si>
    <t>UK-1407/1</t>
  </si>
  <si>
    <t>Door obstructions</t>
  </si>
  <si>
    <t>DB Regio Tyne and Wear should: a. develop its current actions, reported at paragraph 77, to reduce the frequency of door obstruction by passengers into an ongoing long term strategy and implement this; and b. introduce a system of monitoring the frequency of door obstructions on its network, in order to check the efficacy of the measures implemented in (a) and to optimise the strategy where appropriate (paragraphs 71 and 75).</t>
  </si>
  <si>
    <t>UK-1407/2</t>
  </si>
  <si>
    <t>Improvements in detection obstruction</t>
  </si>
  <si>
    <t>DB Regio Tyne and Wear should identify ways to improve the reliability of the door obstruction detection and traction interlock systems, including consideration of improvements in: design of the control circuitry; ingress protection of the microswitches; switch cleaning method; replacement procedures; and implement identified improvements (paragraph 72).</t>
  </si>
  <si>
    <t>UK-1407/3</t>
  </si>
  <si>
    <t>Visibility of trapped passengers</t>
  </si>
  <si>
    <t>DB Regio Tyne and Wear should: a. review the visibility of trapped passengers from driving cabs at stations on its network, including consideration of how lighting, shadows at different times of the day, colour of passengerâ€™s clothing and train paint schemes may adversely affect that visibility; and b. implement identified improvements, to include consideration of realignment of platform mirrors and provision of additional CCTV monitors (paragraph 74).</t>
  </si>
  <si>
    <t>UK-1407/4</t>
  </si>
  <si>
    <t>Compliance with standard GM/RT2473</t>
  </si>
  <si>
    <t>DB Regio Tyne and Wear should change the test method it uses for checking compliance of its train doors against the obstacle extraction forces specified in Railway Group Standard GM/RT2473, so that it is also aligned with the requirements specified in BS EN 14752:2005 (paragraph 76).</t>
  </si>
  <si>
    <t>UK-1407/5</t>
  </si>
  <si>
    <t>Obstacle extraction force</t>
  </si>
  <si>
    <t>RSSB should clarify the section in Railway Group Standard GM/RT2473 relating to the obstacle extraction force (section B6.3b) with respect to the geometry and material of the test obstacle and the direction of pull, and/or cross reference BS EN 14752 (paragraph 76).</t>
  </si>
  <si>
    <t>REC-000328</t>
  </si>
  <si>
    <t>UK-1391/1</t>
  </si>
  <si>
    <t>Review machines</t>
  </si>
  <si>
    <t>Network Rail should arrange for the maintainers and operators of its on-track machines to carry out a review of those machines and identify items of attached equipment that have the potential to be a threat to safety should the securing systems fail. For each item identified, the following steps should be taken: a) improve the design and/or maintenance arrangements to decrease the likelihood of the securing system failing; or fit secondary retention systems to prevent attached equipment falling onto the track should the securing system fail; b) consider the use of movement â€˜tell talesâ€™ to help identify bolts that are becoming loose; and c) describe the action that should be taken if attached equipment has been subjected to unusual loadings (such as impact or derailment forces) that may have affected the security of the fastening arrangements (for example, an assessment of the integrity of the fastening arrangements by a competent person) (paragraphs 112b, 112c, 113a, 113b and 114).</t>
  </si>
  <si>
    <t>UK-1391/2</t>
  </si>
  <si>
    <t>Improve maintenance instructions</t>
  </si>
  <si>
    <t>Taking into account the output from implementing recommendation 1, Network Rail, in consultation with the maintainers and operators of its on-track machines, should review and improve the maintenance instructions for each machine. As a minimum, the review should include consideration of: a) the clarity of the description of activities to be performed and the sufficiency of the technical detail included; b) the provision of key information such as torque settings at those points within maintenance instructions where the maintainer is required to use them; c) the clarity with which technical terms are described; and d) mandating checks to confirm that maintenance technicians are referring to maintenance instructions and that, where prescribed in the manufacturers maintenance instructions, the correct torque values are being used (paragraphs 112c and 114).</t>
  </si>
  <si>
    <t>UK-1391/3</t>
  </si>
  <si>
    <t>Implement measures</t>
  </si>
  <si>
    <t>Network Rail should implement a process to require that the owners of all on-track machines that operate on its infrastructure implement measures consistent with the intent of Recommendations 1, 2 and 5 (paragraphs 112b, 112c, 113a, 113b and 114).</t>
  </si>
  <si>
    <t>UK-1391/4</t>
  </si>
  <si>
    <t>Clarity of maintenance instructions</t>
  </si>
  <si>
    <t>Matisa (UK) Ltd should, in consultation with its customers, improve the clarity of the maintenance instructions for its on-track machines. As a minimum, the following improvements should be made: a) describe maintenance activities with sufficient technical detail; b) define the meaning of key terms that are otherwise open to interpretation such as â€˜check the integrityâ€™; c) identify which fastenings could pose a risk to safety should they fail; d) include key values, such as torque settings, at those points within maintenance instructions where the maintainer is required to use them; and e) describe the action that should be taken if attached equipment has been subjected to unusual loadings (such as impact or derailment forces) that may have affected the security of the fastening arrangements (for example, an assessment of the integrity of the fastening arrangements by a competent person) (paragraphs 112c, 113a, 113b and 114).</t>
  </si>
  <si>
    <t>UK-1391/5</t>
  </si>
  <si>
    <t>Enhance inspection arrangements</t>
  </si>
  <si>
    <t>Network Rail, in consultation with the maintainers of its on-track machines, and taking into account the output from implementing recommendation 1, should enhance the inspection arrangements for its on-track machines by including a periodic cycle of visual inspections of high-risk fastenings (dismantling the mounting arrangement if necessary) to detect the presence of corrosion. Where corrosion of a bolt/fastening is identified, the source of the corrosion should be found and eliminated where possible. Where this is not possible, the relevant maintenance instructions should be enhanced to include the requirement for more frequent replacement of affected bolts/fastenings (paragraphs 112b and 112c).</t>
  </si>
  <si>
    <t>UK-1391/6</t>
  </si>
  <si>
    <t>Modify design process</t>
  </si>
  <si>
    <t>Matisa (UK) Ltd should modify its processes for designing on-track machines so that it includes the assessment of all modes of operation when designing component mounting arrangements. This includes the mounting arrangements on machines that can operate in a defined â€˜working modeâ€™ (ie at slow-speed) as well as travelling at higher speeds (ie being hauled) (paragraphs 112a and 114).</t>
  </si>
  <si>
    <t>UK-1391/7</t>
  </si>
  <si>
    <t>Communicate findings</t>
  </si>
  <si>
    <t>Matisa (UK) Ltd should communicate the findings from this report to operators and maintainers of P95 machines outside the United Kingdom with advice on necessary measures to reduce the likelihood of the P3 cab becoming detached and falling onto the track due to the failure of the fastening system (paragraphs 112a, 112b, 112c, 113c, 113b and 114 ).</t>
  </si>
  <si>
    <t>UK-1390/1</t>
  </si>
  <si>
    <t>Management of modifications</t>
  </si>
  <si>
    <t>Quattro should review, and amend, its procedure for the management of modifications to on-track plant, such that any future modifications which could affect the safety of RRVs follow the principles of engineering change management (paragraph 124), whether the work is done by third parties or in-house (paragraph 162a). As a minimum the review should identify, and action, the changes required to existing procedures to ensure that: a. modifications that have the potential to affect the safety of operation are risk assessed, and any residual risk or newly introduced risk is suitably mitigated by design measures or inclusion within inspection, testing and maintenance procedures; b. safety critical design work on RRVs is checked and subject to independent verification; c. safety critical design work on RRVs is fully and accurately documented; d.systems that are critical to safe operation are formally tested to a documented specification during the initial commissioning, or subsequent modification, to verify that they are operating correctly in all modes of operation, including checking the protection against all credible faults; and e. the access to safety critical systems, such as the rail axle interlocking circuit and its override, are reviewed and suitable restrictions are applied.</t>
  </si>
  <si>
    <t>REC-000251</t>
  </si>
  <si>
    <t>UK-1390/2</t>
  </si>
  <si>
    <t>Improve management of staff</t>
  </si>
  <si>
    <t>Quattro should review and improve its existing systems for the management of staff that are engaged in the maintenance, inspection and operation of road-rail vehicles (paragraphs 160a, 160b, 160c and 162b). As a minimum the review should identify the most effective means of: a. creating sufficient working documents for installation, test, inspection, maintenance and operation of safety critical systems on Quattroâ€™s RRVs; b. providing appropriate warning labels informing staff of the precautions to take when overriding safety critical systems on RRVs; c. improving management systems to ensure that: all technical staff and machine operators are fully trained in the specific operations of safety critical systems on each type of RRV that they inspect, maintain and/or operate, and the safety measures to take when it is necessary to override them; controls are in place to ensure that only competent persons are able to override safety critical systems; depot staff and operators have access to information for the installation, test, inspection and maintenance tasks they are undertaking on safety critical systems; and any unexpected behaviour of an RRV is reported and results in an investigation by a person competent to do so to fully discover the cause of the fault and that it is rectified appropriately before use. d. establishing monitoring systems to check that staff are correctly applying the inspection and maintenance procedures, and are competent to do so, including: enhanced surveillance and regular audits; and checks that staff are familiar with, and have access to, documentation that is relevant to the safety critical tasks they are undertaking. e. checking that the RRVs supplied for use on rail are fully operational and compliant with Quattroâ€™s own maintenance documents (these should include physical equipment checks at their depots and on worksites).</t>
  </si>
  <si>
    <t>UK-1390/3</t>
  </si>
  <si>
    <t>Review of RRV safety</t>
  </si>
  <si>
    <t>Network Rail should review the adequacy of existing measures to prevent RRV runaways of RRVs that are not yet fitted with direct rail wheel braking and implement necessary improvements. This review should consider reinforcing procedures, briefing and training associated with the safe operation of RRVs. Priority should be the prevention of RRV runaways, but consideration should also be given to the means of regaining control should a runaway occur (paragraph 160d).</t>
  </si>
  <si>
    <t>UK-1390/4</t>
  </si>
  <si>
    <t>Review audit process</t>
  </si>
  <si>
    <t>Network Rail should review the processes for audits of engineering safety management systems and the competence of technical staff that it conducts, or requires others to conduct, on rail plant suppliers. The objective of the review is to identify ways of improving the focus on engineering safety management and the quality of the end products. The findings of this review should be implemented and documented in revised management processes. In addition, Network Rail should take steps to improve the extent to which plant suppliersâ€™ own audits are directed in a similar manner (paragraph 162c).</t>
  </si>
  <si>
    <t>UK-1390/5</t>
  </si>
  <si>
    <t>Acceptance process</t>
  </si>
  <si>
    <t>Network Rail should: a.brief all suppliers of RRVs on the scope of the engineering acceptance process, and the importance of submitting accurate, vehicle-specific information to VABs when seeking acceptance of modifications to RRVs (paragraph 163); and b. clarify with all suppliers of RRVs, and vehicle acceptance bodies, the extent to which reliance on â€˜first-of-classâ€™ approval is appropriate when modifications are made to a number of different vehicles that fulfil the same functional requirement but are significantly different in their design (paragraph 164).</t>
  </si>
  <si>
    <t>UK-1381/1</t>
  </si>
  <si>
    <t>Improve visual warning of trains</t>
  </si>
  <si>
    <t>Network Rail should investigate ways to make cost-effective improvements to the conspicuity of visual warnings of approaching trains, taking account of the findings of relevant RSSB research projects. Such improvements might include moving existing miniature stop light indications to the near side of the railway, or the provision of â€˜back-to-backâ€™ or â€˜side-to-backâ€™ indications. The results of this investigation should be used to determine the optimum configurations for new installations, as well as the situations in which it would be reasonably practicable to enhance existing installations. If appropriate, Network Rail should then arrange for the Level Crossing Risk Management Toolkit to be updated accordingly (paragraph 74a).</t>
  </si>
  <si>
    <t>UK-1381/2</t>
  </si>
  <si>
    <t>Amend risk mitigation guidance</t>
  </si>
  <si>
    <t>Network Rail should amend its guidance on risk mitigations to take account of possible improvements in the visibility of approaching trains at level crossings equipped with miniature stop lights, particularly where signage or other level crossing equipment may obscure the view of the line (paragraph 74a).</t>
  </si>
  <si>
    <t>UK-1381/3</t>
  </si>
  <si>
    <t>Review risk reduction options</t>
  </si>
  <si>
    <t>Network Rail, in consultation with RSSB, should review the thirteen level crossing risk reduction options identified in RSSB research report T730, to determine whether or not each option should be included as a mitigation available to those responsible for managing the risk at level crossings (paragraph 75b). Network Rail should embed the findings of this review in its management of level crossing risks, and communicate these changes to all relevant staff. Guidance should be provided to the relevant staff on potential costs and benefits, as well as the specific circumstances in which each measure might be effective.</t>
  </si>
  <si>
    <t>UK-1375/1</t>
  </si>
  <si>
    <t>Signalling arrangements</t>
  </si>
  <si>
    <t>London Tramlink should review the operational and signalling arrangements at East Croydon to consider whether undue reliance is being placed on the correct operation of track circuits. If found necessary: additional measures to alert tram drivers to the stopping position in platforms should be provided (paragraph 69); and/or the signalling and/or point control arrangements should be modified (paragraph 71).</t>
  </si>
  <si>
    <t>UK-1375/2</t>
  </si>
  <si>
    <t>Inspection and cleaning track</t>
  </si>
  <si>
    <t>London Tramlink should identify areas of paved track where silt collects and instigate an improved inspection and cleaning regime where such silt may affect the safe operation of the tramway system (paragraph 70b).</t>
  </si>
  <si>
    <t>UK-1375/3</t>
  </si>
  <si>
    <t>Track circuit settings</t>
  </si>
  <si>
    <t>London Tramlink should conduct a fundamental review of track circuit settings and wheel tyre to wheel tyre resistances and then put in place a system of maintenance that ensures the signalling equipment and trams are maintained to mutually compatible standards, which include due allowance for reasonably foreseeable levels of contamination at the wheel/rail interface (paragraphs 70c and 72).</t>
  </si>
  <si>
    <t>UK-1350/1</t>
  </si>
  <si>
    <t>Control speeding risk</t>
  </si>
  <si>
    <t>Virgin Trains should review, and amend as necessary, its route knowledge training and assessment process so that the risk from drivers exceeding permissible speeds at diverging junctions is adequately controlled. The review should consider the need to reinforce the knowledge by driving over the routes concerned, cab simulation, video based scenario training, or other suitable techniques, and the required frequency of each (paragraphs 115a(i) and 115a(ii)). Note that the principle applied by this recommendation may apply to other train operators.</t>
  </si>
  <si>
    <t>UK-1350/2</t>
  </si>
  <si>
    <t>review of junctions</t>
  </si>
  <si>
    <t>Network Rail, in conjunction with train operators, should assess the risk from overspeeding at potentially high risk diverging junctions with approach control following the clearance of the junction signal. As a minimum, the scope should include consideration of: junctions where the speed of the diverging route is significantly lower than the approach speed; junction signals fitted with standard alphanumeric route indicators; and the type of traction using the junction and its ability to accelerate following the clearance of the junction signal from red. The outcome of the risk assessments should be used to determine whether different/additional mitigation is required (paragraph 115a(iii))</t>
  </si>
  <si>
    <t>UK-1350/3</t>
  </si>
  <si>
    <t>Review WONs</t>
  </si>
  <si>
    <t>Network Rail, in conjunction with train operating companies, should review and where necessary modify the Weekly Operating Notice to identify the information that drivers need to assure safety and how this content is presented so that it can be readily assimilated (paragraph 116a).</t>
  </si>
  <si>
    <t>UK-1349/1</t>
  </si>
  <si>
    <t>Packing correctly</t>
  </si>
  <si>
    <t>The Heath and Safety Executive should identify and use the most appropriate means to make shippers and freight forwarders aware of the need to pack freight containers in accordance with the â€˜Guidelines for packing of cargo transport unitsâ€™, published by the International Maritime Organization, or an equivalent document. By the same means, it should also remind organisations of the need to have operational procedures, resources, equipment and training in place to ensure that cargo is evenly loaded and secure. The Heath and Safety Executive should also make other national and international safety regulators aware of the findings of this investigation and highlight the need to follow the guidelines (paragraphs 108a and 108a.i).</t>
  </si>
  <si>
    <t>UK-1349/2</t>
  </si>
  <si>
    <t>Review procedures</t>
  </si>
  <si>
    <t>Freightliner should review its operating procedures and conditions of carriage for freight containers. It should then implement any changes necessary to require that (paragraphs 108a, 108a.ii and 108a.iii): senders provide certification sourced from the relevant party, or have equivalent procedural arrangements in place, which confirm that freight containers offered for transit have been packed in accordance with the â€˜Guidelines for packing cargo transport unitsâ€™, published by the International Maritime Organization, or an equivalent document; the effectiveness of such certification or procedural arrangements are periodically audited, with remedial action taken as needed; and that where such arrangements are not in place: alternative action is taken to confirm that the cargo in a container is both evenly and securely stowed. This recommendation may also be applicable to other operators of rail freight services and inter-modal freight terminals.</t>
  </si>
  <si>
    <t>UK-1349/3</t>
  </si>
  <si>
    <t>Preventing load offsets</t>
  </si>
  <si>
    <t>Freightliner should develop requirements for a system to monitor and prevent load offsets from containers resulting in wagons with a side-to-side wheel load imbalance entering traffic from its terminals. The system should be considered when terminal equipment is planned to be installed or upgraded, and where practicable the system should be implemented (paragraphs 108a, 108a.ii and 108a.iii). This recommendation may also be applicable to other operators of inter-modal freight terminals.</t>
  </si>
  <si>
    <t>UK-1349/4</t>
  </si>
  <si>
    <t>Detecting track faults</t>
  </si>
  <si>
    <t>Network Rail should review and, where necessary, improve its processes for the detection of track geometry faults after mechanised track maintenance work to reduce the likelihood of such faults going undetected before the railway is handed back into service (paragraphs 108b.ii and 109).</t>
  </si>
  <si>
    <t>UK-1349/5</t>
  </si>
  <si>
    <t>Minimising risk of track twists</t>
  </si>
  <si>
    <t>Network Rail should establish best practice guidelines for mechanised track maintenance work in areas of switches and crossings that minimise the risk of track twist and other geometry faults forming, and remaining on, crossovers and similar sections of track. It should make its track maintenance teams aware of these and the importance of following them, wherever practicable (paragraph 110).</t>
  </si>
  <si>
    <t>UK-1345/1</t>
  </si>
  <si>
    <t>TNCs</t>
  </si>
  <si>
    <t>Network Rail should review the manner in which Temporary Non-Compliance certificates (TNCs) are being used in relation to overhead line equipment, and take corrective action if they are being issued without risks being adequately assessed and mitigated (paragraphs 170b and 170d).</t>
  </si>
  <si>
    <t>REC-000157</t>
  </si>
  <si>
    <t>UK-1345/2</t>
  </si>
  <si>
    <t>Management of OHL alignment</t>
  </si>
  <si>
    <t>Network Rail should review the standards and procedures for the management of overhead line alignment in order to provide maintenance staff with a simple means of relating measurements that are recorded at site to required alignment criteria. The review should include, at least, consideration of: providing maintenance staff with information allowing them to determine the acceptable range of contact wire positions at every support; and removing the need for maintenance staff to make their own assessment of pantograph movements when determining if adjustments to the overhead line are required (paragraphs 170a, 170c and 171).</t>
  </si>
  <si>
    <t>UK-133/1</t>
  </si>
  <si>
    <t>FCC should ensure that driver training is reviewed with a view to increasing the emphasis placed on,</t>
  </si>
  <si>
    <t>FCC should ensure that driver training is reviewed with a view to increasing the emphasis placed on, and understanding of, aligning the unit correctly with the optimum viewing position of the monitor bank. The training should also identify what actions the driver should take if a person is observed to be in close proximity to the side of the train when the driver is taking power (paragraphs 102 and 105).</t>
  </si>
  <si>
    <t>UK-133/2</t>
  </si>
  <si>
    <t>Network Rail should ensure that the specification for replacement and new CCTV monitors require impr</t>
  </si>
  <si>
    <t>Network Rail should ensure that the specification for replacement and new CCTV monitors require improved image contrast when viewed at an angle. The specified viewing angle should make a reasonable allowance for variation in a driverâ€™s stopping performance (paragraph 108).</t>
  </si>
  <si>
    <t>UK-133/3</t>
  </si>
  <si>
    <t>HSBC and FCC should jointly review the design of the Class 365 Unit door seal and the door control m</t>
  </si>
  <si>
    <t>HSBC and FCC should jointly review the design of the Class 365 Unit door seal and the door control mechanism so as to reduce the door closing forces, with a view to reducing, so far as is reasonably practicable, the forces required to extract trapped objects. This review should take into account existing standards (paragraph 104).</t>
  </si>
  <si>
    <t>UK-133/4</t>
  </si>
  <si>
    <t>Network Rail should review the position of the cameras associated with the CCTV system for DOO at Hu</t>
  </si>
  <si>
    <t>Network Rail should review the position of the cameras associated with the CCTV system for DOO at Huntingdon station with the objective of minimising the likelihood that a passenger standing in close proximity to the train will obstruct the driverâ€™s view of passengers standing at other doors (paragraph 109).</t>
  </si>
  <si>
    <t>UK-133/5</t>
  </si>
  <si>
    <t>Rail Safety and Standards Board (RSSB) should review Railway Group Standard GM/RT2473 in terms of th</t>
  </si>
  <si>
    <t>Rail Safety and Standards Board (RSSB) should review Railway Group Standard GM/RT2473 in terms of the correlation between the obstacle extraction test, seal design and the forces required to extract trapped objects or materials (paragraph 104).</t>
  </si>
  <si>
    <t>UK-133/6</t>
  </si>
  <si>
    <t>FCC should review and if necessary modify the signage and controls for emergency exits at doors on t</t>
  </si>
  <si>
    <t>FCC should review and if necessary modify the signage and controls for emergency exits at doors on the Class 365 Unit in view of the passenger reaction in this accident so as to ensure â€˜bestâ€™ passenger reaction in an emergency is achieved (paragraph 111). This review should be carried out in consultation with the Association of Train Operating Companies (ATOC) and with reference to the existing ATOC standard (Reference 13)</t>
  </si>
  <si>
    <t>UK-1327/1</t>
  </si>
  <si>
    <t>Re-design crossing</t>
  </si>
  <si>
    <t>Network Rail should develop an alternative arrangement for Llanboidy level crossing to reduce the apparent misalignment of the road over the crossing relative to the approaches and to bring the road markings and positioning of equipment including road traffic signals into compliance with current traffic signs regulations. Having developed a suitable design, Network Rail should propose to the ORR a revision of the Llanboidy level crossing order accordingly.</t>
  </si>
  <si>
    <t>UK-1327/2</t>
  </si>
  <si>
    <t>Revise ORR guidance on crossings</t>
  </si>
  <si>
    <t>ORR should revise Railway Safety Publication 7 â€˜Level crossings: A guide for managers, designers and operatorsâ€™ to provide: guidance on how to assess the misalignment between the centreline of the road over the crossing and the road approaches and how to mitigate its effects; and guidance supplementing the existing requirement for a 3 m minimum gap between barrier tip and road edge to ensure consideration of the actual vehicle exit path taking into account the largest vehicle permitted to use the crossing without telephoning the signaller.</t>
  </si>
  <si>
    <t>UK-1327/3</t>
  </si>
  <si>
    <t>Revise risk management process for crossing</t>
  </si>
  <si>
    <t>Network Rail should revise its risk management process for level crossings to take account of risks arising from the misalignment of the road over the crossing relative to the rest of the road.</t>
  </si>
  <si>
    <t>UK-1327/4</t>
  </si>
  <si>
    <t>Guidance on parking around crossings</t>
  </si>
  <si>
    <t>Network Rail should provide guidance to its staff and contractors on where to park their vehicles when working on or around level crossings where there is potential for such vehicles to block the access and egress from the crossing.</t>
  </si>
  <si>
    <t>UK-1327/5</t>
  </si>
  <si>
    <t>Detachment of cab</t>
  </si>
  <si>
    <t>Angel Trains should investigate and, where appropriate implement, means of mitigating the risk to cab occupants from detachment of the cab GRP panels in class 175 units during a collision</t>
  </si>
  <si>
    <t>UK-1327/6</t>
  </si>
  <si>
    <t>Safety risks</t>
  </si>
  <si>
    <t>Alstom and Angel Trains should assess the safety risks of the existing design of the coupler lateral bump stop mounting. Where it is reasonably practicable to reduce the risk of a bump stop detaching and derailing the train, then these improvements should be implemented.</t>
  </si>
  <si>
    <t>UK-1322/1</t>
  </si>
  <si>
    <t>Suffolk County Council</t>
  </si>
  <si>
    <t>Suffolk County Council (SCC) should commission an independent review of the actions it has taken following the accident in order to assess their completeness and effectiveness. In particular this should address the following areas (paragraph 141c): The processes that are in place to ensure all road vehicle incursion locations are identified, assessed (possibly making use of recent internet tools (such as Google Earth / Street View)), acted upon (including consideration of low-cost mitigation measures as well as more expensive options), monitored and periodically reviewed. If actions are identified, SCC should develop and implement a time-bound programme that will be shared with DfT and Network Rail and progress reported to those bodies. This process should be documented and supervised by senior SCC management. Staff are trained and procedures in place for undertaking and reviewing risk assessments of road vehicle incursion locations. Data management systems (Accsmap and SCC Indexing system) and associated documents are in place to ensure that all data relating to injury and non-injury accidents at road vehicle incursion locations can be captured and identified for analysis and review. Processes are in place to ensure that information about road vehicle incursion incidents is shared between all interested parties. Processes are in place to ensure that staff are aware of the Department for Transport guidance on the road vehicle incursion and risk assessment process. Any areas for further improvement should be implemented. Progress with the implementation of identified risk mitigation measures should be reported to DfT and notified to Network Rail.</t>
  </si>
  <si>
    <t>UK-1322/2</t>
  </si>
  <si>
    <t>Managing risk from incursions</t>
  </si>
  <si>
    <t>Network Rail should review, and take actions to improve, the effectiveness of its processes for managing the risk from road vehicle incursions. Factors for consideration should include: the exchange and management of information between different departments within Network Rail; the profile of RVI within relevant working groups including those involving external parties; the effectiveness of communications with bodies outside of Network Rail including arrangements for the reporting of all incursion incidents to local highway authorities and police forces; and arrangements for managing the relationship with local highway authorities and the monitoring of actions taken following assessments of road vehicle incursion risk (paragraphs139, 141d, 142a, 144 and 145).</t>
  </si>
  <si>
    <t>UK-1322/3</t>
  </si>
  <si>
    <t>Current data on incursion sites</t>
  </si>
  <si>
    <t>Network Rail should review its current data on road vehicle incursion sites, possibly making use of recent internet tools (eg Google Earth / Street View), to determine whether its knowledge of all current road vehicle incursion locations is complete and to assess any that had not previously been considered (paragraph 142a and 144).</t>
  </si>
  <si>
    <t>UK-1322/4</t>
  </si>
  <si>
    <t>Possible incursion locations</t>
  </si>
  <si>
    <t>Suffolk County Council should brief parish and district councils, and Suffolk Constabulary on possible vehicle incursion locations to encourage the reporting of road traffic concerns at or near such places. The way in which this information is managed should be captured within a SCC procedure (paragraph 141c).</t>
  </si>
  <si>
    <t>UK-1322/5</t>
  </si>
  <si>
    <t>Current MOU</t>
  </si>
  <si>
    <t>The Office of Rail Regulation and the Health and Safety Executive should jointly review their current Memorandum of Understanding and amend it as necessary to define clearly the responsibilities of each party in relation to enforcing actions to mitigate the risk arising from road vehicle incursions onto the railway. The revised Memorandum of Understanding should take into account the findings of the Law Commissions on level crossings, when published, and include: a clear definition of the circumstances under which each party takes responsibility for enforcement; and a mechanism for resolving disputes over enforcement responsibility. The Health and Safety Executive and the Office of Rail Regulation should jointly define a time-bound programme for the development and implementation of the review and consider actions that should be taken in the interim period if an amendment to current legislation is required to achieve the desired outcome (paragraph 142d).</t>
  </si>
  <si>
    <t>UK-1322/6</t>
  </si>
  <si>
    <t>review and regime for incursion sites</t>
  </si>
  <si>
    <t>DfT should undertake a review of all outstanding road vehicle incursion sites and establish a regime to continuously monitor progress with the implementation of the required risk mitigation measures (paragraphs 142b and 142c).</t>
  </si>
  <si>
    <t>UK-1322/7</t>
  </si>
  <si>
    <t>Disseminate report findings</t>
  </si>
  <si>
    <t>DfT should implement a programme and forum to disseminate the key findings of this report to all local highway authorities. In particular, highway authorities should be reminded of the need to: ensure that time-bound programmes of action are taken to mitigate risk at known high risk road vehicle incursion locations; reliably capture all data on all road accidents that have occurred near the railway boundary; engage with Network Rail, British Transport Police and local police road safety units to ensure that there are processes in place to share intelligence relating to known or new road vehicle incursion locations; and ensure that all current and new staff are aware of the procedures relating to the risk from road vehicle incursion sites (paragraphs 142b and 142c).</t>
  </si>
  <si>
    <t>UK-1322/8</t>
  </si>
  <si>
    <t>Review of data systems</t>
  </si>
  <si>
    <t>DfT should, in consultation with ACPO, undertake a review of existing data systems (eg Accsmap/Crash system/National Resilience Extranet) to improve the ways in which data relevant to the risk of vehicle incursions can be exchanged and shared with interested parties such as Network Rail, highways authorities and the police (paragraphs 142b,142c and 144).</t>
  </si>
  <si>
    <t>UK-1322/9</t>
  </si>
  <si>
    <t>Consider potential for accidents</t>
  </si>
  <si>
    <t>The DfT should, in consultation with the Civil Contingencies Secretariat (Resilience, Capabilities and Risks) and Local Resilience Forums incorporate into the local risk assessment guidance the need to consider the potential for serious accidents at high-risk road vehicle incursion locations (particularly those where mitigation measures have yet to be implemented) (paragraph 143).</t>
  </si>
  <si>
    <t>UK-132/1</t>
  </si>
  <si>
    <t>Railcare (Wolverton) should establish procedures which ensure that after the reconnection of cables</t>
  </si>
  <si>
    <t>Railcare (Wolverton) should establish procedures which ensure that after the reconnection of cables the circuits affected are tested in accordance with an appropriate test procedure before testing is declared complete (paragraph 111).</t>
  </si>
  <si>
    <t>UK-132/2</t>
  </si>
  <si>
    <t>HSBC and Silverlink (as appropriate) should examine the condition of cable and terminal identificati</t>
  </si>
  <si>
    <t>HSBC and Silverlink (as appropriate) should examine the condition of cable and terminal identification on class 313 rolling stock to establish its condition and the nature of any corrective action necessary (paragraph 112).</t>
  </si>
  <si>
    <t>UK-132/3</t>
  </si>
  <si>
    <t>While cable and terminal identification remains illegible, Railcare (Wolverton) should develop and i</t>
  </si>
  <si>
    <t>While cable and terminal identification remains illegible, Railcare (Wolverton) should develop and implement a documented method of recording the terminals from which cables have been removed during the component replacement process (paragraph 112).</t>
  </si>
  <si>
    <t>UK-132/4</t>
  </si>
  <si>
    <t>HSBC should put in place arrangements to ensure that clear cable and terminal identification is main</t>
  </si>
  <si>
    <t>HSBC should put in place arrangements to ensure that clear cable and terminal identification is maintained throughout the life of rolling stock which it procures (paragraph 112).</t>
  </si>
  <si>
    <t>UK-132/5</t>
  </si>
  <si>
    <t>HSBC and Silverlink (as appropriate) should introduce a procedure to ensure that tests specified to</t>
  </si>
  <si>
    <t>HSBC and Silverlink (as appropriate) should introduce a procedure to ensure that tests specified to those contracted to work on rolling stock mandate any sequence necessary to ensure their integrity (paragraph 112).</t>
  </si>
  <si>
    <t>UK-132/6</t>
  </si>
  <si>
    <t>Railcare (Wolverton) should review the competence and authority of staff carrying out testing to und</t>
  </si>
  <si>
    <t>Railcare (Wolverton) should review the competence and authority of staff carrying out testing to undertake rectification work. Working practices examined in this review should be modified to mitigate any identified risks (paragraph 112).</t>
  </si>
  <si>
    <t>UK-132/7</t>
  </si>
  <si>
    <t>HSBC and Silverlink (as appropriate) should, taking into account other recommendations in this repor</t>
  </si>
  <si>
    <t>HSBC and Silverlink (as appropriate) should, taking into account other recommendations in this report relating to rolling stock testing, assess the residual risk of a false feed involving the traction control circuitry of a class 313 EMU causing an unsafe condition and carry out any appropriate modifications to mitigate this risk (paragraph 112).</t>
  </si>
  <si>
    <t>UK-132/8</t>
  </si>
  <si>
    <t>Railcare (Wolverton) should ensure that electrical fitting and testing staff have access to the rele</t>
  </si>
  <si>
    <t>Railcare (Wolverton) should ensure that electrical fitting and testing staff have access to the relevant wiring diagrams (paragraph 114).</t>
  </si>
  <si>
    <t>UK-132/9</t>
  </si>
  <si>
    <t>Railcare (Wolverton) and West Coast Traincare Ltd should review the processes used to put trains bac</t>
  </si>
  <si>
    <t>Railcare (Wolverton) and West Coast Traincare Ltd should review the processes used to put trains back into traffic to ensure that all departments understand and work within the limitations of any certificates on which they rely (paragraphs 115,116).</t>
  </si>
  <si>
    <t>UK-1314/1</t>
  </si>
  <si>
    <t>Taking account of the deficiency in sighting time for vulnerable users, Network Rail should: a. Cons</t>
  </si>
  <si>
    <t>Taking account of the deficiency in sighting time for vulnerable users, Network Rail should: a. Consider whether improvements can be made to sighting towards the east for pedestrians on the south side of Mexico footpath crossing (paragraph 128a). b.Determine the optimum position of the whistle boards at Mexico footpath crossing and make any required adjustments. The assessment should identify a better location for the boards that will improve the audibility of train horns at the crossing, taking account of the need to provide adequate warning for all users and including consideration of any local factors which may have a bearing on the decision (paragraphs 129a, 129b and 129c)</t>
  </si>
  <si>
    <t>UK-1314/2</t>
  </si>
  <si>
    <t>RSSB should: a. identify any additional data that should be captured within SMIS from accidents and</t>
  </si>
  <si>
    <t>RSSB should: a. identify any additional data that should be captured within SMIS from accidents and near-miss incidents to inform future safety decision-making about level crossings and make the necessary arrangements for that data to be collected by duty holders; and b.using the data obtained from implementing part a of this recommendation and any further intelligence contained within SMIS or other sources, enhance its current approach to reviewing the impact of the change to sounding only the low tone of the warning horn for whistle boards at level crossings between 07:00 hrs and 23:00 hrs and take actions, if appropriate (paragraph 129b).</t>
  </si>
  <si>
    <t>UK-1314/3</t>
  </si>
  <si>
    <t>Network Rail, in conjunction with RSSB where appropriate, should undertake a project to develop a st</t>
  </si>
  <si>
    <t>Network Rail, in conjunction with RSSB where appropriate, should undertake a project to develop a standard national approach to: identifying the optimum decision point at each footpath and user worked crossing used by pedestrians; marking and signing the optimum decision point at each crossing; using that decision point in estimates of sighting distance at footpath and other crossings; and briefing staff involved in crossing risk assessment with regard to the approach. When addressing issues in relation to the marking of decision points, Network Rail should liaise with RSSB on emerging findings from research project T984 â€˜Research into the causes of pedestrian accidents at level crossings and potential solutionsâ€™, and give consideration to the need to draw upon relevant elements of that research project to inform the development of the national approach. In this context RSSB should prioritise those elements of research project T984 that deal specifically with the marking of decision points, so that they are c</t>
  </si>
  <si>
    <t>UK-1314/4</t>
  </si>
  <si>
    <t>First Great Western should make a proposal to RSSB to modify relevant Railway Group Standards to man</t>
  </si>
  <si>
    <t>First Great Western should make a proposal to RSSB to modify relevant Railway Group Standards to mandate the requirement to test train horns in an objective manner when a train has been involved in any accident or incident involving circumstances where the sounding of the train horn was either required by the rule book or employed by the driver during the event (paragraph 130d).</t>
  </si>
  <si>
    <t>UK-1314/5</t>
  </si>
  <si>
    <t>Network Rail should conduct a review of the arrangements for providing warnings for pedestrians at l</t>
  </si>
  <si>
    <t>Network Rail should conduct a review of the arrangements for providing warnings for pedestrians at level crossings currently equipped with whistle boards. The review should address: a. the costs and benefits at each crossing of providing audible or visual warnings at the crossing itself rather than by approaching trains (taking account of the possibility of the significantly reduced costs of visual warnings referred to in paragraph 120); and b. at crossings where whistle boards will remain, whether the position of the board at each crossing has been optimised taking account of all relevant local factors including (but not limited to) prevailing wind, local topography, sources of noise and the traverse time for crossing users and the positive and negative effects on railway neighbours (paragraph 130e).</t>
  </si>
  <si>
    <t>UK-131/1</t>
  </si>
  <si>
    <t>â€˜oneâ€™ should provide some clear guidance for the train crew on the ideal order of attending to vario</t>
  </si>
  <si>
    <t>â€˜oneâ€™ should provide some clear guidance for the train crew on the ideal order of attending to various duties following an accident (it may be useful for this to be provided in a form that can easily be carried around or that could be provided in each driving cab and conductorâ€™s compartment) (paragraph 94).</t>
  </si>
  <si>
    <t>UK-131/2</t>
  </si>
  <si>
    <t>Network Rail should: * carry out a review, including cost benefit analysis, into the practicability</t>
  </si>
  <si>
    <t>Network Rail should: * carry out a review, including cost benefit analysis, into the practicability of providing energy absorbing buffer stops at terminal platforms; * provide a copy of the review to the safety authority; * develop a programme to fit energy absorbing buffer stops to terminal platforms where it is reasonably practicable to do so.</t>
  </si>
  <si>
    <t>UK-1308/1</t>
  </si>
  <si>
    <t>Improve train dispatch</t>
  </si>
  <si>
    <t>Merseyrail should evaluate equipment and operational arrangements that allow the person responsible for train dispatch to: a. observe the platform and train without interruption for as long as possible, ideally until the train has left the platform; and b. stop the train directly and quickly in an emergency. Equipment and operational arrangements should be evaluated for existing trains and platforms, and for planned changes and upgrades. The outcome of the evaluation should be a plan to implement appropriate measures to improve safety at the platform/train interface.</t>
  </si>
  <si>
    <t>UK-1308/2</t>
  </si>
  <si>
    <t>Reduce chance of person falling</t>
  </si>
  <si>
    <t>Merseyrail, in consultation with Merseytravel, Network Rail and other relevant industry bodies, should evaluate equipment and methods that reduce the likelihood of a person falling through the platform edge gap. Platform edge gap fillers and vehicle body side panels should be included in the evaluation, the outcome of which should be a plan to implement measures when appropriate to do so, for example when trains or the infrastructure are changed, improved or replaced</t>
  </si>
  <si>
    <t>UK-1308/3</t>
  </si>
  <si>
    <t>Safe movement of trains</t>
  </si>
  <si>
    <t>The Office of Rail Regulation should, in conjunction with railway industry parties, ensure that the findings of this report are taken into account in published guidance on the types of measures that promote the safe movement of trains from platforms through the adequate control of risk. The areas that should be the subject of particular consideration in such guidance are: a. equipment and methods which enable the person responsible for dispatch to observe the platform/train interface without interruption for as long as possible, ideally until the train has left the platform; b. equipment and methods which enable the person responsible for dispatch to stop a train quickly in an emergency; and c. adaptation of trains and infrastructure to reduce the size of the platform edge gap when this is possible and appropriate, for example in connection with investment in new trains and infrastructure.</t>
  </si>
  <si>
    <t>UK-130/1</t>
  </si>
  <si>
    <t>8 HSBC Rail (UK) Limited and operators of class 222 trains (as appropriate) should</t>
  </si>
  <si>
    <t>UK-130/2</t>
  </si>
  <si>
    <t>Bombardier Transportation UK, Faiveley Transport and operators of class 222 trains (as appropriate)</t>
  </si>
  <si>
    <t>Bombardier Transportation UK, Faiveley Transport and operators of class 222 trains (as appropriate) should review, in the light of the investigation findings, their processes for software specification, development, upgrading and verification. They should implement any changes necessary to ensure they identify and manage the risks due to performance errors occurring during fault conditions (paragraphs 222a and 222d).</t>
  </si>
  <si>
    <t>UK-130/3</t>
  </si>
  <si>
    <t>Bombardier Transportation UK and Faiveley Transport (as appropriate) should require their supplier S</t>
  </si>
  <si>
    <t>Bombardier Transportation UK and Faiveley Transport (as appropriate) should require their supplier Schaltbau to review and, if necessary, upgrade its manufacturing process and switch design in the light of the evidence presented in this report with the objective of minimising the risk of foreign bodies being present (paragraph 222b)</t>
  </si>
  <si>
    <t>UK-130/4</t>
  </si>
  <si>
    <t>HSBC Rail (UK) Limited, Bombardier Transportation UK and operators of class 222 trains (as appropria</t>
  </si>
  <si>
    <t>HSBC Rail (UK) Limited, Bombardier Transportation UK and operators of class 222 trains (as appropriate), should review fault alarms and handling on class 222 units and implement any changes necessary to ensure that on-board staff are adequately warned and able to take the appropriate action (for instance, operation of the out-of-service lock or stopping the train) in the event of a door system failure. This should include the need for: * the train manager to be aware of door locking faults before authorising train departure (paragraph 222c); and * the driver to be aware of any door-related fault which may put the safety of the train â€˜in dangerâ€™ (paragraph 222e).</t>
  </si>
  <si>
    <t>UK-130/5</t>
  </si>
  <si>
    <t>HSBC Rail (UK) Limited and operators of class 222 trains (as appropriate) should review the design o</t>
  </si>
  <si>
    <t>HSBC Rail (UK) Limited and operators of class 222 trains (as appropriate) should review the design of the â€˜pass comm/door activatedâ€™ indication light and the two conditions requiring it to illuminate. If necessary, improvements should be made to the general design of indications on class 222 trains to ensure that the driver is clearly aware of which condition has occurred (paragraph 222f).</t>
  </si>
  <si>
    <t>UK-130/6</t>
  </si>
  <si>
    <t>HSBC Rail (UK) Limited and operators of class 222 trains (as appropriate) should review the ergonomi</t>
  </si>
  <si>
    <t>HSBC Rail (UK) Limited and operators of class 222 trains (as appropriate) should review the ergonomics of the â€˜door close/lockedâ€™ light to determine whether its conspicuity could be improved and therefore be more likely to be observed by drivers if a door opens when the train is moving (paragraph 222g).</t>
  </si>
  <si>
    <t>UK-130/7</t>
  </si>
  <si>
    <t>Operators of class 222 trains should review the content of training courses and the assessment of dr</t>
  </si>
  <si>
    <t>Operators of class 222 trains should review the content of training courses and the assessment of drivers, train managers and customer hosts in the practical application of procedures relating to unexpected incidents that may occur while trains are running in service. This should include ensuring that on-board staff members have an adequate understanding of their roles and responsibilities, particularly with regard to the use of the emergency brake override (and where the train should be brought to a stand), the operation of the passenger communication alarm system, and the use of the TMS and other sources of fault and event indication (paragraphs 222f , 222g, 222i, 223 and 224).</t>
  </si>
  <si>
    <t>UK-130/8</t>
  </si>
  <si>
    <t>HSBC Rail (UK) Limited and operators of class 222 trains (as appropriate) should review the ergonomics of the PCA emergency brake handle and, if necessary, make improvements to ensure that, when either passengers or on-board staff attempt to use it, it will successfully operate (paragraph 224).</t>
  </si>
  <si>
    <t>UK-130/9</t>
  </si>
  <si>
    <t>RSSB should make a Proposal, in accordance with the Railway Group Standards Code, to clarify the var</t>
  </si>
  <si>
    <t>RSSB should make a Proposal, in accordance with the Railway Group Standards Code, to clarify the various requirements of the Rule Book relating to PCA and power operated doors to ensure they minimise the duration of any hazard affecting the safety of a train. This should include conditions for the use of the emergency brake override (paragraph 222i and 223).</t>
  </si>
  <si>
    <t>UK-129/1</t>
  </si>
  <si>
    <t>Operators of locomotives that require the manual operation of a cock to allow such locomotives to be</t>
  </si>
  <si>
    <t>Operators of locomotives that require the manual operation of a cock to allow such locomotives to be safely dead-hauled in single piped trains, should investigate possible design changes to mitigate the risks associated with the cock not being correctly operated. Design changes should be implemented so far as is reasonably practicable (paragraph 95 fifth bullet refers).</t>
  </si>
  <si>
    <t>UK-129/2</t>
  </si>
  <si>
    <t>EWS should review and modify its procedures as necessary to ensure that when a maintenance action is</t>
  </si>
  <si>
    <t>EWS should review and modify its procedures as necessary to ensure that when a maintenance action is not carried out at the scheduled time, the vehicle concerned is not returned to traffic and operated as if the maintenance action had taken place (paragraph 96 third bullet refers).</t>
  </si>
  <si>
    <t>UK-129/3</t>
  </si>
  <si>
    <t>EWS should train all drivers in the correct use of AFT cocks, include an assessment procedure to con</t>
  </si>
  <si>
    <t>EWS should train all drivers in the correct use of AFT cocks, include an assessment procedure to confirm that driverâ€™s understanding and thereafter put in place a monitoring regime to confirm that AFT cocks are being operated correctly. This should apply to all relevant classes of locomotives and methods of operation (paragraph 96 fourth and sixth bullets refer).</t>
  </si>
  <si>
    <t>UK-129/4</t>
  </si>
  <si>
    <t>EWS should modify their ongoing driver assessment procedures to ensure that drivers maintain a full</t>
  </si>
  <si>
    <t>EWS should modify their ongoing driver assessment procedures to ensure that drivers maintain a full understanding of, and can correctly use, the AFT cock. This should apply to all relevant classes of locomotives and methods of operation (paragraph 96 fifth bullet refers).</t>
  </si>
  <si>
    <t>UK-129/5</t>
  </si>
  <si>
    <t>EWS should ensure that all their procedures, documents and labels use the same terminology to descri</t>
  </si>
  <si>
    <t>EWS should ensure that all their procedures, documents and labels use the same terminology to describe the AFT cock. They should also assess whether moving away from the term, â€˜AFT cockâ€™ at this juncture will add to or reduce confusion, bearing in mind that if a design modification is implemented the AFT cock or a need to separately isolate it, may be obsolete (paragraph 96 seventh bullet refers).</t>
  </si>
  <si>
    <t>UK-129/6</t>
  </si>
  <si>
    <t>EWS should ensure that the AFT cock is clearly labelled with its name, function and open/closed posi</t>
  </si>
  <si>
    <t>EWS should ensure that the AFT cock is clearly labelled with its name, function and open/closed positions (paragraph 96 eighth bullet refers).</t>
  </si>
  <si>
    <t>UK-129/7</t>
  </si>
  <si>
    <t>EWS should undertake a full and thorough review of their processes for conveying critical informatio</t>
  </si>
  <si>
    <t>EWS should undertake a full and thorough review of their processes for conveying critical information to drivers in a consistent manner and for assessing that the information has been understood. The control of these processes should also be considered as should the ongoing access to the information and ongoing understanding by drivers. Reasonably practicable measures should be implemented (paragraphs 97 first bullet, 99, 100 and 101 refer)</t>
  </si>
  <si>
    <t>UK-129/8</t>
  </si>
  <si>
    <t>EWS should review and if necessary modify their procedures to ensure that there are more thorough pr</t>
  </si>
  <si>
    <t>EWS should review and if necessary modify their procedures to ensure that there are more thorough processes in accordance with best practice for hazard identification, risk assessment and mitigation associated with the introduction of technical or operational change. These processes should be proportionate to the change and be carried out before the change is implemented (paragraphs 97 second bullet and 102 refer)</t>
  </si>
  <si>
    <t>UK-1280/1</t>
  </si>
  <si>
    <t>Network Rail should review and revise the material used for training and assessing the competence of hand trolley controllers, such that the required pre-use checks for all trolleys are clearly and concisely stated in a form which is readily accessible to hand trolley controllers. These checks should be consistent with the requirements of Handbook 10 of the Rule Book, and should include a functional brake test using the brake handle to test automatic operation of the brake. The revised material should also incorporate suitable references to the risk arising from the use of trolleys on gradients (paragraphs 98 and 99).</t>
  </si>
  <si>
    <t>UK-1280/2</t>
  </si>
  <si>
    <t>Network Rail should clarify the responsibilities for the specification, assessment, approval and introduction to use of each new item of plant that has the capability to import risk to the operational railway. These responsibilities should include confirming that: a. a design risk assessment has been carried out, taking account of realistic and potential failure modes, the way the equipment is used and the effects of wear and tear (paragraph 101); b. the supplier has produced operational and maintenance instructions which provide appropriate mitigation for the risks (paragraph 103a); and c. Network Rail has incorporated the manufacturerâ€™s instructions into its own work instructions or assessed the risk of adopting an alternative approach (paragraph 103b).</t>
  </si>
  <si>
    <t>UK-1280/3</t>
  </si>
  <si>
    <t>Torrent Trackside should improve its processes for providing suitable maintenance information, documents and training to its personnel for all of the plant which they may be required to service. The information provided to its staff should be sufficient to enable them to discharge their responsibilities competently and safely (paragraph 102).</t>
  </si>
  <si>
    <t>UK-1280/4</t>
  </si>
  <si>
    <t>Network Rail should review and, if necessary, revise its processes for taking action on RAIB recommendations, so that suitable actions can be identified, implemented and tracked through to closure. These may have been made for a different system, for example road-rail vehicles instead of trolleys, or may be relevant to its own operations but addressed to other operators (paragraph 103c).</t>
  </si>
  <si>
    <t>UK-1280/5</t>
  </si>
  <si>
    <t>Network Rail should review the actions it has taken at Havant depot since the incident, taking account of the issues identified in this report. If appropriate, it should prepare and implement an action plan for any additional actions necessary to provide an adequate level of safety (paragraph 104a). The review should include (but not necessarily be limited to): a. compliance with rules and procedures; b. reporting of safety-related incidents; and c. management of defective equipment.</t>
  </si>
  <si>
    <t>UK-1280/6</t>
  </si>
  <si>
    <t>Network Rail should collate information on known areas of poor mobile phone reception on its infrastructure and, where necessary, make arrangements for alternative means of communication between front-line staff with safety responsibilities (paragraph 104b).</t>
  </si>
  <si>
    <t>UK-128/1</t>
  </si>
  <si>
    <t>Network Rail should: a. Review their possession planning principles and formulate criteria for limit</t>
  </si>
  <si>
    <t>Network Rail should: a. Review their possession planning principles and formulate criteria for limiting the complexity of work sites within a possession. This is to aid compliance with Rule T3 10.7 which requires that COSSs sign form RT3199 personally (paragraph 89 and 119); b. Undertake a review of the risks/benefits associated with long work sites covering different items of work compared to multiple short work sites unless those items of work are less than 300 m apart2 (paragraph 90); and c. Review, and implement changes as necessary in, procedures to ensure that contractors are aware of major changes to planned possessions and that a record of this communication is maintained (paragraph 102).</t>
  </si>
  <si>
    <t>UK-128/2</t>
  </si>
  <si>
    <t>Kier Rail should: a. Introduce systems to ensure that any changes to planned possessions are identif</t>
  </si>
  <si>
    <t>Kier Rail should: a. Introduce systems to ensure that any changes to planned possessions are identified by systematic review of Network Rail planning documents, and are identified to all staff involved in the planning and mobilisation of the work (paragraph 92); b. Introduce formal controls over the handling of changes to possessions and work sites so that the changes can be tracked, and so that it is clear that all involved have been correctly informed (paragraph 93); c. Revise their RIMINI plan design to highlight key information such as the possession and site location and times, and to remove superfluous information (paragraph 80, 116c); d. Revise their document distribution system to allow COSSs sufficient time to read RIMINI plans thoroughly before they start shifts (paragraph 82, 116d);</t>
  </si>
  <si>
    <t>UK-128/3</t>
  </si>
  <si>
    <t>Network Rail should: a. Review the possession planning system to ensure that any changes in possessi</t>
  </si>
  <si>
    <t>Network Rail should: a. Review the possession planning system to ensure that any changes in possessions reflect back into the planned work sites that are recorded in the system (paragraph 112); and b. review the procedures for the storage of archived data, particularly any information associated with an incident which may be required to support a subsequent investigation, whether internally or by a statutory body (paragraph 113).</t>
  </si>
  <si>
    <t>UK-1279/1</t>
  </si>
  <si>
    <t>Action after identifying issue with privately owned wagons</t>
  </si>
  <si>
    <t>Network Rail through its Network Certification Body should review its own processes to make sure that the risks of continuing to operate a fleet of wagons are managed once a fleet wide problem is discovered. The review should consider including processes for: assessing the risk of continued operations and identifying the need for any immediate measures that need to be taken to control the risk; identifying the long term measures that need to be taken to resolve the fleet wide problem; and assigning responsibilities, priorities and timescales for implementing and managing both the immediate and long term measures. Once the review has identified what reasonable improvements can be made to the processes, the Network Certification Body should implement them (paragraphs 138a, 138c, 138cii and 140a).</t>
  </si>
  <si>
    <t>UK-1279/2</t>
  </si>
  <si>
    <t>Review of PHA wagon suspension</t>
  </si>
  <si>
    <t>Network Rail through its Network Certification Body, and in conjunction with Lafarge Aggregates Ltd and Wabtec Rail Limited, should lead a fundamental review of how the suspension of the PHA wagon is maintained. The review should call upon relevant technical expertise to: look at how the suspension works as a whole and understand the role that each individual component performs; and use this knowledge to document the actions for maintaining a fully functioning suspension, which may include monitoring, measuring and setting limits for the permitted overall amount of wear in the suspension and also individual component wear, including specific actions and limits set to account for those components that are not fully visible when the wheelset is in place. Once the review has decided what actions it is reasonable to take, they should be implemented in the maintenance plans for the PHA wagon fleet (paragraphs 138a, 138b, 138c and 138ciii).</t>
  </si>
  <si>
    <t>UK-1279/3</t>
  </si>
  <si>
    <t>Suspension modifications to PHA wagons</t>
  </si>
  <si>
    <t>Lafarge Aggregates Ltd should, with reference to POCL 651, implement suspension modifications to its fleet of PHA wagons as soon as practicable to reduce the likelihood of suspension lock-ups (paragraphs 138a, 138c and 138ci).</t>
  </si>
  <si>
    <t>REC-000184</t>
  </si>
  <si>
    <t>UK-1279/4</t>
  </si>
  <si>
    <t>Improve briefings</t>
  </si>
  <si>
    <t>Network Rail should review and implement changes to its processes for briefing staff responsible for controlling the work carried out by on-track machines, so that their briefings will include information on whether any part of the work should be given priority over another and the reasons for such prioritisation (paragraph 138g).</t>
  </si>
  <si>
    <t>UK-1263/1</t>
  </si>
  <si>
    <t>Eliminate IECC VDU controls</t>
  </si>
  <si>
    <t>Network Rail should identify, and provide a time bound plan to eliminate, all IECC VDU controls which permit a signal or point reminder to be removed in situations where the signaller cannot see sufficient on-screen messages and indications to inform the decision whether to remove the reminder (paragraph 155).</t>
  </si>
  <si>
    <t>UK-1263/2</t>
  </si>
  <si>
    <t>reduce risk</t>
  </si>
  <si>
    <t>In respect of automatic half barrier level crossings supervised from IECC installations, Network Rail should consider interfacing information about level crossing status with signal controls to reduce the risk of signallers permitting a train to pass over the crossing without applying the rules applicable to local control. Network Rail should include consideration of a warning or reminder which must be acknowledged on each occasion that a signaller attempts to set a route over a level crossing under local control. If found practical, Network Rail should modify standards and specifications to require this feature in future IECC upgrades and new installations (paragraph 158).</t>
  </si>
  <si>
    <t>UK-1263/3</t>
  </si>
  <si>
    <t>Control indications</t>
  </si>
  <si>
    <t>Network Rail should review the local control indications displayed in respect of automatic half barrier level crossings on the Thames Valley Signalling Centre (TVSC) VDUs to identify any inconsistencies with the associated Network Rail specification requirements. If any of these inconsistencies have the potential to have a significant adverse effect on safety, Network Rail should amend the indications displayed at TVSC and/or the Network Rail IECC control and indication specification so that appropriately positioned conspicuous indications are displayed on all IECC VDUs (paragraph 156).</t>
  </si>
  <si>
    <t>UK-1263/4</t>
  </si>
  <si>
    <t>Signallers workload in possessions</t>
  </si>
  <si>
    <t>Network Rail should examine and implement ways in which the workload of signallers can be kept within reasonable levels during engineering possessions, particularly those involving multiple changes to possession limits. This work should aim to avoid, where practical, situations in which signallers must delay engineering work or train services in order to avoid excessive workload (paragraphs 155 and 157).</t>
  </si>
  <si>
    <t>UK-1263/5</t>
  </si>
  <si>
    <t>Modify standards and specs</t>
  </si>
  <si>
    <t>Network Rail should modify appropriate standards and specifications so that future IECC installations include a system to fully record signallerâ€™s actions. Information recorded should include: reminder appliance override; signallerâ€™s selection of VDU view; and the view used when controls are operated using a VDU view. Where practical, the system should incorporate a playback feature (paragraph 158).</t>
  </si>
  <si>
    <t>UK-1263/6</t>
  </si>
  <si>
    <t>Crossings under local control</t>
  </si>
  <si>
    <t>Network Rail should review the existing requirements concerning the number of red flags or lights to be placed on each side of a level crossing under local control. Network Rail, if necessary in co-operation with the RSSB, should then take appropriate action to ensure that the correct, clear and consistent information is included in training, instructions and rules applicable to level crossing attendants (paragraph 158).</t>
  </si>
  <si>
    <t>UK-1263/7</t>
  </si>
  <si>
    <t>Lamps and flags</t>
  </si>
  <si>
    <t>Network Rail should re-brief staff that level crossing attendantsâ€™ red lamps/ flags must never be removed when level crossings are under local control and the barriers are raised or the gates are open (paragraph 158).</t>
  </si>
  <si>
    <t>UK-1262/1</t>
  </si>
  <si>
    <t>Detect loose fixings</t>
  </si>
  <si>
    <t>Network Rail should, where failure could result in risk, identify where polyester resin anchors have been used to support structures (including overhead electrification and signalling equipment), and develop an appropriate regime to detect loose fixings including tactile testing where appropriate (paragraphs 129a and 132).</t>
  </si>
  <si>
    <t>UK-1262/2</t>
  </si>
  <si>
    <t>Prevent polyester resin anchors where damp</t>
  </si>
  <si>
    <t>Network Rail should implement procedures to prevent the use of polyester resin anchors in circumstances where dampness or shrinkage may affect the safe performance of an asset (paragraph 129a).</t>
  </si>
  <si>
    <t>UK-1262/3</t>
  </si>
  <si>
    <t>Compatibility of materials</t>
  </si>
  <si>
    <t>Network Rail should review, and if necessary amend its processes, such that designers of structures are required to positively confirm the compatibility of materials with their intended application and environment, including fixing metallic structures to masonry, if the application is safety critical (paragraph 130b).</t>
  </si>
  <si>
    <t>UK-1262/4</t>
  </si>
  <si>
    <t>Response to defects</t>
  </si>
  <si>
    <t>Network Rail should review and, if necessary, modify the management arrangements that are now in place to provide an appropriate engineering response when structure defects are reported. This should include assessing the risk in the period prior to rectification, the means to verify that work requested has been carried out, and whether the reported defect is an indication of a wider problem (paragraph 129b).</t>
  </si>
  <si>
    <t>UK-1262/5</t>
  </si>
  <si>
    <t>Structures management</t>
  </si>
  <si>
    <t>Network Rail should undertake a comprehensive review and, if necessary, implement a time-bound plan to modify its levels of staffing and competency requirements so that all technical tasks associated with the management of structures are performed or checked in a timely manner by sufficiently qualified and experienced staff (paragraph 129c).</t>
  </si>
  <si>
    <t>REC-000304</t>
  </si>
  <si>
    <t>UK-1262/6</t>
  </si>
  <si>
    <t>Contractor briefing</t>
  </si>
  <si>
    <t>Network Rail should revise its arrangements for the briefing of staff or contractors who are sent to investigate reported defects, so that all relevant available information is provided, and correct any deficiencies found in those arrangements (paragraph 129e).</t>
  </si>
  <si>
    <t>REC-000305</t>
  </si>
  <si>
    <t>UK-1262/7</t>
  </si>
  <si>
    <t>Track access</t>
  </si>
  <si>
    <t>Network Rail should review, and if necessary amend, its processes to include adequate safeguards such that sufficient track access is provided for the examination needs of all structures in a manner commensurate with the risk they pose to railway safety (paragraph 131).</t>
  </si>
  <si>
    <t>REC-000306</t>
  </si>
  <si>
    <t>UK-1262/8</t>
  </si>
  <si>
    <t>examining structures</t>
  </si>
  <si>
    <t>Network Rail should clarify arrangements, including its relationship with its contractors, for examining structures which are within tunnels, but are not fully encompassed by the normal tunnel management regime (paragraphs 132 and 133).</t>
  </si>
  <si>
    <t>UK-1262/9</t>
  </si>
  <si>
    <t>Have data ready</t>
  </si>
  <si>
    <t>Network Rail should review, and if necessary improve, arrangements for recording, storing and retrieving data so that all relevant information is readily available to staff undertaking the examination, evaluation and maintenance of structures (paragraph 134).</t>
  </si>
  <si>
    <t>UK-123/1</t>
  </si>
  <si>
    <t>Network Rail to establish standard definitions and terminology to cover the various types of foot cr</t>
  </si>
  <si>
    <t>Network Rail to establish standard definitions and terminology to cover the various types of foot crossings at stations and to prepare a validated list of all station pedestrian crossings on its network (paragraph 364).</t>
  </si>
  <si>
    <t>UK-123/2</t>
  </si>
  <si>
    <t>Network Rail in consultation with Station Operators to ensure that a suitable quantified risk assess</t>
  </si>
  <si>
    <t>Network Rail in consultation with Station Operators to ensure that a suitable quantified risk assessment is conducted for each station pedestrian crossing. In conjunction with these risk assessments Network Rail should develop and implement a programme to address each of the following: the upgrading of all station pedestrian crossings at which the individual risk to the most exposed user is assessed as being above the upper limit of tolerability (paragraph 361); and the implementation of improved safety measures, where shown to be necessary, commensurate with the level of risk at each station pedestrian crossing (paragraph 362). Any risk assessments undertaken in furtherance of this recommendation should take into account local factors such as the number of school aged children and elderly persons using the crossings.</t>
  </si>
  <si>
    <t>UK-123/3</t>
  </si>
  <si>
    <t>Network Rail to review its management system to ensure the competence of the persons carrying out ri</t>
  </si>
  <si>
    <t>Network Rail to review its management system to ensure the competence of the persons carrying out risk assessments at station pedestrian crossings (paragraph 391).</t>
  </si>
  <si>
    <t>UK-123/4</t>
  </si>
  <si>
    <t>ORR, in consultation with Network Rail and DfT, to undertake a comprehensive review of existing guid</t>
  </si>
  <si>
    <t>ORR, in consultation with Network Rail and DfT, to undertake a comprehensive review of existing guidance relating to the design of station pedestrian crossings. This should include a review of current technologies and the modern understanding of human factors. This review should include each of the following: Use of fencing to direct passengers to approach the crossing by the route that best enables them to observe the approach of trains whilst drawing their attention to any associated signs or stop lights (paragraph 369). An assessment of the safety benefits and disbenefits of providing pedestrian gates on the final approach to station pedestrian crossings (paragraph 162). Research into the technical feasibility and safety benefit of providing an additional set of stop lights on the far side of the crossing from an approaching user to repeat the indication of the lights on the near side (â€˜back-to-backâ€™ lights) (paragraph 169). Research into the most effective means of providing users with an active warning t</t>
  </si>
  <si>
    <t>UK-123/5</t>
  </si>
  <si>
    <t>Network Rail, to carry out the necessary research, tests and trials to inform a review its own desig</t>
  </si>
  <si>
    <t>Network Rail, to carry out the necessary research, tests and trials to inform a review its own designs and operating policies for station pedestrian crossings and as an input to the review of guidance to be undertaken by ORR in line with Recommendation 4.</t>
  </si>
  <si>
    <t>UK-123/6</t>
  </si>
  <si>
    <t>Network Rail to seek approval from ORR(HMRI) for the installation of fixed signage at station pedest</t>
  </si>
  <si>
    <t>Network Rail to seek approval from ORR(HMRI) for the installation of fixed signage at station pedestrian crossings that cross more than one running line to remind users of the risk from a second train (paragraph 367).</t>
  </si>
  <si>
    <t>UK-123/7</t>
  </si>
  <si>
    <t>Network Rail to expedite its programme for the installation of LED stop lights at all station pedest</t>
  </si>
  <si>
    <t>Network Rail to expedite its programme for the installation of LED stop lights at all station pedestrian crossings that are currently equipped with miniature stop lights and to revise its Company Standards accordingly (paragraph 375).</t>
  </si>
  <si>
    <t>UK-123/8</t>
  </si>
  <si>
    <t>Station operators to identify those locations where intending passengers are required to use a stati</t>
  </si>
  <si>
    <t>Station operators to identify those locations where intending passengers are required to use a station pedestrian crossing in order to use the station facilities (e.g. booking offices, ticket machines, waiting rooms or toilets). In all such locations train operators should, where it is reasonably practicable to do so, install suitable facilities (e.g. another ticket issuing machine) to reduce the need for passengers to cross the line (paragraph 382).</t>
  </si>
  <si>
    <t>UK-123/9</t>
  </si>
  <si>
    <t>Network Rail, in consultation with the station operator and representatives of the local community,</t>
  </si>
  <si>
    <t>Network Rail, in consultation with the station operator and representatives of the local community, to adjust the operation of the station pedestrian crossing by requiring that the pedestrian gates be locked in the closed position before signals can be cleared for the approach of trains (paragraphs 372, 392 &amp; 398).</t>
  </si>
  <si>
    <t>UK-123/10</t>
  </si>
  <si>
    <t>If necessary for the avoidance of delays, and subsequent misuse by intending passengers, a stepped f</t>
  </si>
  <si>
    <t>If necessary for the avoidance of delays, and subsequent misuse by intending passengers, a stepped footbridge should be constructed to provide an alternative route (mobility impaired users will be able to use the existing crossing in safety at all times when the gates are open to the highway) (paragraph 372).</t>
  </si>
  <si>
    <t>UK-1225/1</t>
  </si>
  <si>
    <t>UK tram operators should work together to improve the data collection on tram front end collisions w</t>
  </si>
  <si>
    <t>UK tram operators should work together to improve the data collection on tram front end collisions with pedestrians. This is to include greater detail on the type and severity of any injury received as far as possible, and the likely points of contact with the tram (paragraph 82).</t>
  </si>
  <si>
    <t>UK-1225/2</t>
  </si>
  <si>
    <t>UK tram operators in conjunction with UKTram (as a representative body of UK light rail operators),</t>
  </si>
  <si>
    <t>UK tram operators in conjunction with UKTram (as a representative body of UK light rail operators), and in consultation with tram owners, should undertake research into the potential for the reduction of injuries to pedestrians involved in front end collisions with trams. Operators should understand the likely ways in which pedestrians can come into contact with the fronts of trams, and the severity of any consequential injuries. Should this research show that it is appropriate to implement design changes, either to existing trams or emerging new designs, these should be done (paragraph 88b).</t>
  </si>
  <si>
    <t>UK-1224/1</t>
  </si>
  <si>
    <t>Safety measures</t>
  </si>
  <si>
    <t>Network Rail should arrange for the closure of Gipsy Lane footpath crossing. If Network Rail is not granted permission by the local council to close Gipsy Lane footpath crossing, it should take appropriate risk-reduction measures so that pedestrians have sufficient time to cross safely, and are adequately warned of approaching trains (paragraphs 117a and 117b).</t>
  </si>
  <si>
    <t>UK-1224/2</t>
  </si>
  <si>
    <t>Data collection</t>
  </si>
  <si>
    <t>Network Rail should have effective systems in place for accurate information gathering during data collection visits at level crossings. Any changes from previous data collected should be clearly understood and feedback given to the relevant person where data is incorrect (paragraphs 117c, 117d, 117e, 117f and 119a). This includes data relating to: the number of crossing users where the quick census is undertaken; the use of whistle board protected crossings during the night-time quiet period; use of the crossing by vulnerable users; location of whistle boards; crossing length; traverse distance; and distance from each crossing gate and decision point to the nearest rail.</t>
  </si>
  <si>
    <t>UK-1224/3</t>
  </si>
  <si>
    <t>Guidance for teams</t>
  </si>
  <si>
    <t>Network Rail should develop its guidance for use by level crossing teams to include:a clear definition of what constitutes a â€˜higher than usualâ€™ number of vulnerable users; implementing risk-reduction measures at crossings that have deficient sighting or warning times; and when speed restrictions must be imposed, what type of speed restriction is to be used (emergency, temporary or permanent) and the timescales for imposing speed restrictions</t>
  </si>
  <si>
    <t>UK-1224/4</t>
  </si>
  <si>
    <t>Cost benefit analysis improvement</t>
  </si>
  <si>
    <t>Network Rail should combine within the ALCRM the two different cost-benefit analysis tools currently used by the level crossing risk management teams so that all benefits are properly considered as part of the cost-benefit analysis of risk reduction measures (paragraph 119b).</t>
  </si>
  <si>
    <t>UK-122/1</t>
  </si>
  <si>
    <t>Freightliner should review the management of its infrastructure to ensure that risk factors identifi</t>
  </si>
  <si>
    <t>Freightliner should review the management of its infrastructure to ensure that risk factors identified in the local working instructions are recorded and assessed by trained personnel. The process should include follow-through checks to an agreed timescale to ensure that remedial action has been taken, and should provide a mechanism to elevate the issue to senior managers if compliance is not achieved. The local working arrangements should be changed where necessary (paragraph 119b).</t>
  </si>
  <si>
    <t>UK-122/2</t>
  </si>
  <si>
    <t>Freightliner should review the method of working at Dagenham and similar facilities to ensure that w</t>
  </si>
  <si>
    <t>Freightliner should review the method of working at Dagenham and similar facilities to ensure that wagons are loaded from the points end wherever possible. Wagons could then easily be detached if there were not enough containers for a full train, and the number of shunting movements reduced. The local working arrangements should be changed where necessary (paragraph 120e).</t>
  </si>
  <si>
    <t>UK-122/3</t>
  </si>
  <si>
    <t>Freightliner should designate safe walking routes between frequently used parts of its yards. This i</t>
  </si>
  <si>
    <t>Freightliner should designate safe walking routes between frequently used parts of its yards. This includes marking or signing any hazards, and should include an instruction not to use walkways with substandard clearances where moving trains are present (paragraph 120a).</t>
  </si>
  <si>
    <t>UK-122/4</t>
  </si>
  <si>
    <t>Freightliner should review its methods for checking and enforcing compliance with the Rule Book duri</t>
  </si>
  <si>
    <t>Freightliner should review its methods for checking and enforcing compliance with the Rule Book during shunting activities, in particular those relating to the proximity of staff to moving trains, the control of locomotives and the use of correct radio procedure (paragraphs 120f, 120g);</t>
  </si>
  <si>
    <t>UK-122/5</t>
  </si>
  <si>
    <t>Freightliner should review and enhance the training given to new staff and ensure that it is oversee</t>
  </si>
  <si>
    <t>Freightliner should review and enhance the training given to new staff and ensure that it is overseen by independent assessors (paragraph 122d).</t>
  </si>
  <si>
    <t>UK-122/6</t>
  </si>
  <si>
    <t>Freightliner should re-brief staff on the importance of being in a position of safety before giving</t>
  </si>
  <si>
    <t>Freightliner should re-brief staff on the importance of being in a position of safety before giving instructions for a driver to move a locomotive or train (paragraph 118).</t>
  </si>
  <si>
    <t>UK-122/7</t>
  </si>
  <si>
    <t>Freightliner should re-brief staff on wearing headgear that provides protection from impact and exce</t>
  </si>
  <si>
    <t>Freightliner should re-brief staff on wearing headgear that provides protection from impact and excessive exposure to the sun (paragraph 121).</t>
  </si>
  <si>
    <t>UK-1212/1</t>
  </si>
  <si>
    <t>Kirklees Light Railway should, within a timescale agreed with the Office of Rail Regulation, complet</t>
  </si>
  <si>
    <t>Kirklees Light Railway should, within a timescale agreed with the Office of Rail Regulation, complete and fully implement a safety management system that is comparable with good practice in the heritage sector, and relevant standards and guidance. This should include the identification of risks, determination of safety critical elements of competence and the training and assessment to deliver it (paragraph 94). The Kirklees Light Railway should confirm that the recently-introduced training syllabus and competency arrangements (paragraph 98) are consistent with this.</t>
  </si>
  <si>
    <t>UK-1212/2</t>
  </si>
  <si>
    <t>Kirklees Light Railway should revise its locomotive preparation checklist to make clear which items</t>
  </si>
  <si>
    <t>Kirklees Light Railway should revise its locomotive preparation checklist to make clear which items must always be checked and which are dependent on the outcome of other checks (paragraph 95).</t>
  </si>
  <si>
    <t>UK-1211/1</t>
  </si>
  <si>
    <t>Procedure for monitoring switches</t>
  </si>
  <si>
    <t>Network Rail should provide guidance on maintenance intervention limits and their application to manage wear on switch rails as part of its asset management strategy to reduce the likelihood of switches failing the 053 standard and the risk of derailment (paragraph 176).</t>
  </si>
  <si>
    <t>UK-1211/2</t>
  </si>
  <si>
    <t>Derailment mechanisms</t>
  </si>
  <si>
    <t>Network Rail should carry out a thorough technical review of the 053 standard to satisfy itself that it has a full understanding of how the standard addresses the following: the risk of derailment from worn wheels on a switch rail that is compliant with the TGP8 gauge (paragraphs 172 and 179a); the practicability of achieving a 1:600 gradient when blending-out a grinding repair of switch rail damage, or for removing a derailment hazard 1 (paragraphs 173); and the potential risk of a ramp being created by the introduction of a switch rail that is failing gauge 2 in the first metre, between a sideworn stock rail and wheel flange, particularly where the wheel flange is in flange contact with the stock rail (paragraph 172). In the short term, Network Rail should also review the scope for misinterpretation and inconsistent application of the standardâ€™s requirements and take any necessary action, for example, through briefing and its competence management system, to ensure that there is a common understanding and application of the standardâ€™s procedures for inspection and repair (paragraph 179b).</t>
  </si>
  <si>
    <t>UK-1211/3</t>
  </si>
  <si>
    <t>TGP8 gauge</t>
  </si>
  <si>
    <t>Network Rail should investigate potential improvements to the TGP8 gauge for conducting detailed inspections to the 053 standard, or develop an alternative means for assessing the flange contact angle of switch rails. The aim should be to provide a more accurate and objective method for determining a non-compliant flange contact angle on a switch rail and which is more ergonomically suited to on-track conditions of use (paragraph 179c). Network Rail should then take steps to implement any improvements identified, or introduce any alternative assessment method, and train/brief staff as necessary.</t>
  </si>
  <si>
    <t>UK-1211/4</t>
  </si>
  <si>
    <t>Automatic lubricators</t>
  </si>
  <si>
    <t>Network Rail should consider whether the criteria specified in NR/L3/TRK/3510/A01 for the installation of automatic lubricators on switches should be extended to include the high rails of switches subject to sidewear in areas, such as the approaches to busy stations, where access for maintenance is limited, and where automatic lubrication could slow the development of sidewear and mitigate the risk of derailment (paragraph 175b).</t>
  </si>
  <si>
    <t>UK-1211/5</t>
  </si>
  <si>
    <t>Recommendations from previous reports</t>
  </si>
  <si>
    <t>Network Rail should review the actions taken in response to the recommendations in the RAIB report 44/2007 to identify why these were insufficient to prevent the recurrence of issues they were intended to address. The review should include an assessment of how operational expectations of availability for service influence the implementation the 053 standard and consider the need for a reappraisal of how derailment risks at switches are managed to prevent their recurrence in future (paragraphs 173, 174a to 174c, 175a, 176, 177, 179f and 180 to 185).</t>
  </si>
  <si>
    <t>UK-1210/1</t>
  </si>
  <si>
    <t>The Health and Safety Executive should issue a safety bulletin to make manufacturers and users of converted freight containers aware of the need for a competent assessment of the adequacy of bolted joints, which are used to secure exterior attachments, when designing, modifying or repairing containers. It should also ask the organisations authorised to approve containers to cascade this information to their clients (paragraphs 102a and 102b).</t>
  </si>
  <si>
    <t>UK-1210/2</t>
  </si>
  <si>
    <t>The Heath and Safety Executive should request that the International Maritime Organization issue a safety brief to all bodies authorised to approve freight containers in accordance with the Iternational Convention for Safe Containers. This should advise them of the need to consider the integrity of all exterior attachments, and their fixings, against all foreseeable in-service loads when approving new, modified or repaired containers (paragraphs 38, 39, 41,102c and 104).</t>
  </si>
  <si>
    <t>UK-1210/3</t>
  </si>
  <si>
    <t>The Health and Safety Executive should request that the International Maritime Organization reviews international reports of structural detachment from freight containers and evaluates the risk to human life during transportation and handling. If appropriate, it should update the International Convention for Safe Containers to include requirements for the integrity of all exterior attachments, and their fixings, against all foreseeable in-service loads (paragraphs 38, 39, 41, 102c and 104).</t>
  </si>
  <si>
    <t>REC-000029</t>
  </si>
  <si>
    <t>UK-1210/4</t>
  </si>
  <si>
    <t>Freightliner should review its current operating procedures and conditions of acceptance for freight containers. It should confirm that the arrangements in place to ensure that containers (including any externally attached structures) have been assessed as having sufficient structural integrity are sufficient for the risk posed (paragraph 103a). This recommendation may also be applicable to other train operators that carry freight containers.</t>
  </si>
  <si>
    <t>UK-121/1</t>
  </si>
  <si>
    <t>RSSB, in consultation with affected parties, should review the Rule Book module DC with a view to in</t>
  </si>
  <si>
    <t>RSSB, in consultation with affected parties, should review the Rule Book module DC with a view to incorporating a specific provision prohibiting railway staff from stepping over a live conductor rail whilst passing between coupled vehicles (see paragraphs 213 and 214).</t>
  </si>
  <si>
    <t>UK-121/2</t>
  </si>
  <si>
    <t>Freight Operators in areas of DC electrification should provide specific training to all drivers and</t>
  </si>
  <si>
    <t>Freight Operators in areas of DC electrification should provide specific training to all drivers and ground staff with the objective of ensuring that they are fully aware of safe working practices when attending trains on lines with conductor rails. This training should also reinforce the message that the conductor rail should always be treated as live within possessions (see paragraph 214).</t>
  </si>
  <si>
    <t>UK-121/3</t>
  </si>
  <si>
    <t>EWS should take steps to control oil contamination of brake blocks during lubrication of the brake r</t>
  </si>
  <si>
    <t>EWS should take steps to control oil contamination of brake blocks during lubrication of the brake rigging so far as is reasonably practicable (see paragraph 215).</t>
  </si>
  <si>
    <t>UK-121/4</t>
  </si>
  <si>
    <t>RSSB should develop a Railway Group Standard provision to prohibit the wearing of shorts by persons</t>
  </si>
  <si>
    <t>RSSB should develop a Railway Group Standard provision to prohibit the wearing of shorts by persons who may require to step over or walk close to live conductor rail that is not fitted with guard boarding as part of their duties. The specification for any long trousers that may be mandated should allow for comfort in hot weather and enhanced electrical resistance (see paragraphs 187 and 213).</t>
  </si>
  <si>
    <t>UK-121/5</t>
  </si>
  <si>
    <t>RSSB, in consultation with affected parties, should review the Rule Book modules DC and G2 with a vi</t>
  </si>
  <si>
    <t>RSSB, in consultation with affected parties, should review the Rule Book modules DC and G2 with a view to incorporating an explicit statement that staff should always consider the conductor rail inside possessions to be live unless they have been briefed by a person holding a valid conductor rail permit. This should be incorporated into the PTS hand book and the requirements for PTS training courses (see paragraph 216).</t>
  </si>
  <si>
    <t>UK-121/6</t>
  </si>
  <si>
    <t>Network Rail should review the reference to isolation limits in the WONs with a view to modifying it</t>
  </si>
  <si>
    <t>Network Rail should review the reference to isolation limits in the WONs with a view to modifying its wording such that railway staff are not misled or confused as to its meaning (see paragraph 216).</t>
  </si>
  <si>
    <t>UK-121/7</t>
  </si>
  <si>
    <t>Network Rail and Freight Operators, should jointly establish a regime for ensuring that all train cr</t>
  </si>
  <si>
    <t>Network Rail and Freight Operators, should jointly establish a regime for ensuring that all train crew working to and from engineering possessions are given a suitable safety briefing. In areas of DC electrification this should always include a reminder that the conductor rail inside the possession should be treated as live at all times (see paragraph 216).</t>
  </si>
  <si>
    <t>UK-121/8</t>
  </si>
  <si>
    <t>RSSB, in consultation with affected parties, should review the Rule Book module DC with a view to cl</t>
  </si>
  <si>
    <t>RSSB, in consultation with affected parties, should review the Rule Book module DC with a view to clarifying the instructions to staff when attending a train in the absence of an insulating trough (see paragraph 218).</t>
  </si>
  <si>
    <t>UK-121/9</t>
  </si>
  <si>
    <t>Network Rail, in consultation with affected parties, should carry out a review of standards and spec</t>
  </si>
  <si>
    <t>Network Rail, in consultation with affected parties, should carry out a review of standards and specifications related to new and upgraded DC electrification systems with the objective of simplifying the arrangements for the taking of isolations, minimising the requirement for trackside staff, and permitting the extension of isolations to include a greater proportion of the associated engineering possessions (e.g. additional remote switching and remotely operated short circuit devices) (see paragraph 218).</t>
  </si>
  <si>
    <t>UK-1209/1</t>
  </si>
  <si>
    <t>Sensitive edge instruction</t>
  </si>
  <si>
    <t>In the light of the Warren Street incident, LUL should review the current instructions on the action that train operators should take in the event of the sensitive edge system being activated. This should include, in particular: the options available to train operators for dealing with activations of the sensitive edge system and which option should be used first in specific circumstances; under what circumstances the sensitive edge override should be used; and the information provided by the TCMS to see whether there is suitable and sufficient information to train operators about using the override. Any necessary changes to the instructions should be implemented, and train operators briefed and/or trained, as appropriate, on the changes made (paragraph 131c).</t>
  </si>
  <si>
    <t>UK-1209/2</t>
  </si>
  <si>
    <t>Review management of sensitive edge</t>
  </si>
  <si>
    <t>In relation to the sensitive edge override modification, LUL should review how its process for managing engineering change and the associated management controls was not followed, and why it did not adequately identify the risks associated with the design modification. The review should include: why good and established practice in engineering change management was not followed during the design and introduction of the sensitive edge override modification with particular reference to the specification of requirements and the risk assessment of the proposed changes; and why the management system and controls did not identify or correct the design deficiencies relating to the sensitive edge override modification. LUL should implement any necessary changes to its process for managing engineering change and associated management controls (paragraph 131d.ii).</t>
  </si>
  <si>
    <t>UK-1209/3</t>
  </si>
  <si>
    <t>Competence management improvement</t>
  </si>
  <si>
    <t>In the light of the findings of this investigation, LUL should review those elements of its competence management system that relate to the ability of train operators to respond to out-of-course events, faults and failures. This should take into account: how the evidence from train operatorsâ€™ performance in practical training and instruction is captured and dealt with by the competence management system; how the evidence from train operatorsâ€™ performance in incidents in service is captured and dealt with by the competence management system (paragraph 124); and how LUL acts on any deficiencies identified from the above, relating to a train operatorâ€™s ability to recognise and correctly respond to an out-of-course event, with the aim of eliminating any competence deficiencies identified, including how corrective action plans are developed, implemented and monitored to successful conclusion. LUL should implement any necessary changes to the competence management system (paragraph 131d.iii).</t>
  </si>
  <si>
    <t>UK-1209/4</t>
  </si>
  <si>
    <t>Assistance for defects</t>
  </si>
  <si>
    <t>LUL should review how and in what circumstances train operators should request assistance following defects in service and implement any changes found necessary. This should include the adequacy of the competence management system and competence assessment of train operators in requesting assistance when needed. In addition: train operators should be reminded of the availability of operational and technical advice when they are unable to resolve train defects and how they can obtain it; and service controllers should be reminded that they should challenge train operators if they believe them to be acting outside LULâ€™s mandatory instructions (paragraph 131d.vi).</t>
  </si>
  <si>
    <t>UK-1205/1</t>
  </si>
  <si>
    <t>Network Rail should develop an engineered safeguard to reduce the risk of trains being operated unde</t>
  </si>
  <si>
    <t>Network Rail should develop an engineered safeguard to reduce the risk of trains being operated under ERTMS passing over locally monitored automatic crossings (ie AOCL and ABCLs) when the crossings have not operated. This solution should then be applied at Llanbadarn ABCL crossing and, if appropriate, at higher risk crossings on the Cambrian lines and as part of future ERTMS installations. Assessments of risk should include an evaluation of human factors, previous history, including recorded incidents and accidents (paragraph 179).</t>
  </si>
  <si>
    <t>UK-1205/2</t>
  </si>
  <si>
    <t>Network Rail should change the design of circuitry at Llanbadarn ABCL to remove the need for a train</t>
  </si>
  <si>
    <t>Network Rail should change the design of circuitry at Llanbadarn ABCL to remove the need for a train driver on Network Rail to operate the plunger before departing Aberystwyth station, but still retain an interface between Network Rail and Vale of Rheidol Railway at the crossing to avoid â€˜blocking backâ€™ of road vehicles (paragraphs 178 and 180).</t>
  </si>
  <si>
    <t>UK-1205/3</t>
  </si>
  <si>
    <t>Arriva Trains Wales should carry out a human factors analysis and risk assessment of the workload of</t>
  </si>
  <si>
    <t>Arriva Trains Wales should carry out a human factors analysis and risk assessment of the workload of drivers when departing Aberystwyth station under different ERTMS modes and implement any findings (paragraph 178).</t>
  </si>
  <si>
    <t>UK-1205/4</t>
  </si>
  <si>
    <t>Arriva Trains Wales should review the way in which drivers interact with ERTMS and DMIs and develop</t>
  </si>
  <si>
    <t>Arriva Trains Wales should review the way in which drivers interact with ERTMS and DMIs and develop new training and on-going competence checks to encourage a move away from the â€˜head downâ€™ style of driving undertaken by some drivers under ERTMS (paragraphs 118 and 178).</t>
  </si>
  <si>
    <t>UK-1205/5</t>
  </si>
  <si>
    <t>Network Rail should review its processes for seeking deviation (including derogation) from Railway G</t>
  </si>
  <si>
    <t>Network Rail should review its processes for seeking deviation (including derogation) from Railway Group Standards and Technical Specifications for Interoperability. The review should include consideration of the extent and nature of the risk assessments that should be carried out, and the supporting information provided, for each deviation request (paragraph 179).</t>
  </si>
  <si>
    <t>UK-1205/6</t>
  </si>
  <si>
    <t>RSSB should review and, if necessary, amend the processes and guidance applicable to Standards Commi</t>
  </si>
  <si>
    <t>RSSB should review and, if necessary, amend the processes and guidance applicable to Standards Committees and RSSB when taking decisions about applications to deviate from Railway Group Standards. This should include: considering the provision of guidance for Standards Committees on how to make the necessary judgement about whether the risk assessment and supporting analysis is suitable and sufficient and the extent to which location specific risks should be taken into account; and guidance on how the basis of the Standards Committeeâ€™s decisions should be recorded.</t>
  </si>
  <si>
    <t>UK-120/1</t>
  </si>
  <si>
    <t>Network Rail should ensure that all cul-de-sacs currently leading directly to their railway are or h</t>
  </si>
  <si>
    <t>Network Rail should ensure that all cul-de-sacs currently leading directly to their railway are or have been assessed in line with the DfT guidance referred to in paragraph 58, and that their procedures enforce such assessment for any futurechanges to the highway infrastructure immediately adjacent to their boundary (paragraph 100).</t>
  </si>
  <si>
    <t>UK-120/2</t>
  </si>
  <si>
    <t>Bombardier, in conjunction with HSBC, Voyager Leasing and Angel Trains, should review the protection</t>
  </si>
  <si>
    <t>Bombardier, in conjunction with HSBC, Voyager Leasing and Angel Trains, should review the protection provided to vulnerable components in the underfloor equipment areas of Class 220, 221 and 222 trains, and assess whether further improved protection against being struck by objects likely to pass under the train can be provided to reduce the risk of damage to safety or environmental related systems in accidents (paragraphs 104, 105, 107).</t>
  </si>
  <si>
    <t>UK-119/1</t>
  </si>
  <si>
    <t>InterRoute should review the briefing process for their staff and contractors to ensure that all con</t>
  </si>
  <si>
    <t>InterRoute should review the briefing process for their staff and contractors to ensure that all concerned are adequately aware of any railway that crosses or adjoins the highway worksite. Procedures should be amended where necessary (paragraph 51a, 51b).</t>
  </si>
  <si>
    <t>UK-119/2</t>
  </si>
  <si>
    <t>InterRoute should rebrief the bridge inspector on the processes for managing safety at a worksite.</t>
  </si>
  <si>
    <t>UK-119/3</t>
  </si>
  <si>
    <t>InterRoute should review their systems in order to ensure site supervisory competence is effective f</t>
  </si>
  <si>
    <t>InterRoute should review their systems in order to ensure site supervisory competence is effective for the duties required (paragraph 51c).</t>
  </si>
  <si>
    <t>UK-119/4</t>
  </si>
  <si>
    <t>E.S. Access Platforms (NE) Ltd. should ensure that the Moog operator is retrained in railway Persona</t>
  </si>
  <si>
    <t>E.S. Access Platforms (NE) Ltd. should ensure that the Moog operator is retrained in railway Personal Track Safety.</t>
  </si>
  <si>
    <t>UK-119/5</t>
  </si>
  <si>
    <t>E.S. Access Platforms (NE) Ltd. should ensure their staff know to receive a site safety briefing pri</t>
  </si>
  <si>
    <t>E.S. Access Platforms (NE) Ltd. should ensure their staff know to receive a site safety briefing prior to entering a worksite, and ask for one if it is not provided by the person in charge at the site (paragraph 52).</t>
  </si>
  <si>
    <t>UK-119/6</t>
  </si>
  <si>
    <t>InterRoute should review their Safety Induction system so that the cards issued have an expiry date,</t>
  </si>
  <si>
    <t>InterRoute should review their Safety Induction system so that the cards issued have an expiry date, and that there is a robust method of rebriefing personnel when changes are made to working practices</t>
  </si>
  <si>
    <t>UK-118/1</t>
  </si>
  <si>
    <t>Network Rail should review its S&amp;C non-adjustable stretcher bar assembly design, so as to understand</t>
  </si>
  <si>
    <t>Network Rail should review its S&amp;C non-adjustable stretcher bar assembly design, so as to understand the relationships between the design, loading, usage, and the inspection and maintenance regimes, and implement any appropriate modifications to the design or the regimes.</t>
  </si>
  <si>
    <t>UK-118/2</t>
  </si>
  <si>
    <t>Network Rail should implement processes to:a. capture, and record on a single national database, dat</t>
  </si>
  <si>
    <t>Network Rail should implement processes to:a. capture, and record on a single national database, data about component failures, and interventions made during maintenance and inspection activities, for each set of S&amp;C; b. use the data from a) above to monitor failure and intervention rates locally and nationally in the behaviour of S&amp;C components;c. identify precursor faults that might lead to more serious failures; andd. identify those precursor faults where the failure and intervention rates indicate a need to reduce the risk of catastrophic failure</t>
  </si>
  <si>
    <t>UK-118/3</t>
  </si>
  <si>
    <t>Network Rail should introduce processes to implement any design modifications arising from Recommend</t>
  </si>
  <si>
    <t>Network Rail should introduce processes to implement any design modifications arising from Recommendation 2 using the principles outlined in Recommendation 1.</t>
  </si>
  <si>
    <t>UK-118/4</t>
  </si>
  <si>
    <t>Network Rail should introduce processes that require the adoption of a structured risk based approac</t>
  </si>
  <si>
    <t>Network Rail should introduce processes that require the adoption of a structured risk based approach when reviewing and enhancing its standards for the inspection and maintenance of all existing types of S&amp;C.</t>
  </si>
  <si>
    <t>UK-118/5</t>
  </si>
  <si>
    <t>Network Rail should include in maintenance standards and instructions: â€¢ the circumstances under whi</t>
  </si>
  <si>
    <t>Network Rail should include in maintenance standards and instructions: â€¢ the circumstances under which an investigation of a defect, fault or failure to S&amp;C systems as a whole or its sub-components is required; and â€¢ definition of the scope of the investigation and other immediate actions to be taken (eg temporary speed restrictions, special monitoring) for each situation.</t>
  </si>
  <si>
    <t>UK-118/6</t>
  </si>
  <si>
    <t>Network Rail should review its processes for S&amp;C examination so that the following are included:a. e</t>
  </si>
  <si>
    <t>Network Rail should review its processes for S&amp;C examination so that the following are included:a. examination for, and reporting of, signs of flange-back contact; and b. measuring, recording and reporting gauge, free wheel clearance and residual switch opening dimensions,at frequencies commensurate with adequate risk control.</t>
  </si>
  <si>
    <t>UK-118/7</t>
  </si>
  <si>
    <t>Network Rail should modify its maintenance instructions to define: â€¢ how staff should initially fit</t>
  </si>
  <si>
    <t>Network Rail should modify its maintenance instructions to define: â€¢ how staff should initially fit and tighten non-adjustable stretcher bar fasteners; â€¢ how staff should inspect and maintain the fasteners if necessary during subsequent visits, including practical instructions to achieve any required torque; â€¢ when a fastener is considered to be loose taking into account the nut rotation required to achieve the required preload; â€¢ how staff should act in the event of a fastener being identified as loose; â€¢ how staff should record actions taken; and â€¢ how staff should carry out any other actions identified from Recommendation 4.</t>
  </si>
  <si>
    <t>UK-118/8</t>
  </si>
  <si>
    <t>Network Rail should revise its maintenance instructions to clearly specify the value (or range of va</t>
  </si>
  <si>
    <t>Network Rail should revise its maintenance instructions to clearly specify the value (or range of values) required for residual switch openings, particularly with reference to the maximum permissible value (or range of values) and the frequency at which it must be checked.</t>
  </si>
  <si>
    <t>UK-118/9</t>
  </si>
  <si>
    <t>Network Rail should review management systems and associated documentation covering the maintenance</t>
  </si>
  <si>
    <t>Network Rail should review management systems and associated documentation covering the maintenance of S&amp;C systems so that signalling maintenance staff: a. have ready access to all relevant documentation on and off site; b. are reminded on site of all the required maintenance actions; c. positively record that each required maintenance action has been carried out; and d. are subject to regular supervisory checks to verify that actions that are required to be taken have been carried out to the required quality.</t>
  </si>
  <si>
    <t>UK-118/10</t>
  </si>
  <si>
    <t>Network Rail should review and amend its processes for basic visual track inspection so that the iss</t>
  </si>
  <si>
    <t>Network Rail should review and amend its processes for basic visual track inspection so that the issues identified in this report are addressed. To achieve this Network Rail should consider issuing modified instructions to define:a. the contents of task instructions issued to staff undertaking basic visual inspections; b. the nature of defects that can occur and how to detect those that are difficult to readily observe;c. job cards to advise the start and finish locations and the direction of the inspection for every occasion; d. the information supplied to a patroller before an inspection in terms of clearly-presented intelligence on previously-reported defects; f. the requirement to make positive statements about areas of the inspection where no defects have been found; g. the checks for completeness that should be made within the track section managerâ€™s office, including verification that every inspection has been carried out; h. the analysis and supervision that should be undertaken to confirm th</t>
  </si>
  <si>
    <t>REC-000155</t>
  </si>
  <si>
    <t>UK-1170/1</t>
  </si>
  <si>
    <t>Improve safety culture and leadership</t>
  </si>
  <si>
    <t>Network Rail should develop a time based programme which expedites the implementation of its existing activities designed to improve safety culture and qualities of safety leadership for: a. track maintenance staff; and b. their managers. Activities covered by this programme should include steps to enhance the quality of safety leadership provided by the COSS, and to address the behaviour of managers when working on site such that this role of the COSS is not undermined.</t>
  </si>
  <si>
    <t>UK-117/1</t>
  </si>
  <si>
    <t>The Gwili Railway should ensure that all personnel involved in shunting operations are aware who is</t>
  </si>
  <si>
    <t>The Gwili Railway should ensure that all personnel involved in shunting operations are aware who is designated as the shunter (paragraph 82).</t>
  </si>
  <si>
    <t>UK-117/2</t>
  </si>
  <si>
    <t>The Gwili Railway should introduce a procedure whereby if one shunter is replaced by another there i</t>
  </si>
  <si>
    <t>The Gwili Railway should introduce a procedure whereby if one shunter is replaced by another there is to be a positive transfer of responsibility between them. If this occurs during shunting operations the shunter giving up responsibility should advise the driver of the change (paragraph 82).</t>
  </si>
  <si>
    <t>UK-117/3</t>
  </si>
  <si>
    <t>The Gwili Railway should ensure that a responsible person with the role of overseeing operational st</t>
  </si>
  <si>
    <t>The Gwili Railway should ensure that a responsible person with the role of overseeing operational staff activity is present whenever there are movements of rail vehicles (paragraphs 83 and 111)</t>
  </si>
  <si>
    <t>UK-117/4</t>
  </si>
  <si>
    <t>The Gwili Railway rule book should include a description of all hand signals in use, and that for â€˜e</t>
  </si>
  <si>
    <t>The Gwili Railway rule book should include a description of all hand signals in use, and that for â€˜ease-upâ€™ / â€˜couple-upâ€™ should be incorporated. There should also be instructions on stopping or not starting movements when hand signals are not understood (paragraph 86).</t>
  </si>
  <si>
    <t>UK-117/5</t>
  </si>
  <si>
    <t>The Gwili Railway should ensure that a safety advisor is appointed and that he reviews compliance wi</t>
  </si>
  <si>
    <t>The Gwili Railway should ensure that a safety advisor is appointed and that he reviews compliance with legislation, and adequacy and conformity with standards (paragraph 110)</t>
  </si>
  <si>
    <t>UK-117/6</t>
  </si>
  <si>
    <t>The Heritage Railway Association should issue new guidance on competence and medical standards for s</t>
  </si>
  <si>
    <t>The Heritage Railway Association should issue new guidance on competence and medical standards for safety critical staff. This shoud be based on the views contained within the letter from the ORR (HMRI) to the HRA of 15 August 2006, ref 4004066. It should include the standards to be achieved for all staff that undertake safety critical duties, denoted on a role based model. Consideration should also be given to examination of safety critical staff of all ages when returning to duty after significant surgery, illness or injury; or if there has been a significant loss of physical health or mental acuity (paragraphs 98 and 99).</t>
  </si>
  <si>
    <t>UK-117/7</t>
  </si>
  <si>
    <t>The Gwili Railway should ensure that all staff undertaking safety critical work take account of the</t>
  </si>
  <si>
    <t>The Gwili Railway should ensure that all staff undertaking safety critical work take account of the medical standards outlined in Recommendation 6 (paragraph 100).</t>
  </si>
  <si>
    <t>UK-117/8</t>
  </si>
  <si>
    <t>The Gwili Railway should manage and retain training and competency records for staff who undertake s</t>
  </si>
  <si>
    <t>The Gwili Railway should manage and retain training and competency records for staff who undertake safety critical work in an orderly and centralised manner (paragraph 97).</t>
  </si>
  <si>
    <t>UK-117/9</t>
  </si>
  <si>
    <t>The Gwili Railway should ensure that line managers are briefed on the requirement under the Railways</t>
  </si>
  <si>
    <t>The Gwili Railway should ensure that line managers are briefed on the requirement under the Railways (Accident Investigation and Reporting) Regulations 2005 for advising RAIB of reportable incidents in a timely manner (paragraph 105).</t>
  </si>
  <si>
    <t>UK-116/1</t>
  </si>
  <si>
    <t>Notwithstanding the fact that alternative means of warning of a trainâ€™s approach may be provided, In</t>
  </si>
  <si>
    <t>Notwithstanding the fact that alternative means of warning of a trainâ€™s approach may be provided, Infrastructure Owners should have a system to manage lineside vegetation as far as reasonably practicable such that visibility of the line from user worked crossings is not obscured</t>
  </si>
  <si>
    <t>UK-116/2</t>
  </si>
  <si>
    <t>ORR (HMRI) and the Department for Transport should evaluate whether highway signs at user worked cro</t>
  </si>
  <si>
    <t>ORR (HMRI) and the Department for Transport should evaluate whether highway signs at user worked crossing with miniature stop lights are appropriately designed and located to provide adequate information to unfamiliar or occasional users on how to operate the crossing safely. This evaluation should include consideration of the relative position of the signs that the road user must obey and remedial action should be taken as necessary. The introduction of new LED units should be progressed with this work</t>
  </si>
  <si>
    <t>UK-116/3</t>
  </si>
  <si>
    <t>Network Rail should instigate a robust means of recording the features required at each user worked</t>
  </si>
  <si>
    <t>Network Rail should instigate a robust means of recording the features required at each user worked crossing and ensure that these features are maintained in the same way as that Level Crossing Order provisions are</t>
  </si>
  <si>
    <t>UK-116/4</t>
  </si>
  <si>
    <t>Infrastructure Owners where they do not already do so should implement a system to regularly write t</t>
  </si>
  <si>
    <t>Infrastructure Owners where they do not already do so should implement a system to regularly write to all authorised users of user worked crossings, regardless of type, to draw their attention to the safe method of use of these crossings</t>
  </si>
  <si>
    <t>UK-1151/1</t>
  </si>
  <si>
    <t>Train operating companies and Network Rail routes over which they operate, should review existing pr</t>
  </si>
  <si>
    <t>Train operating companies and Network Rail routes over which they operate, should review existing protocols, or jointly develop a new protocol, for stranded trains in accordance with the contents of ATOC / Network Rail Good Practice Guide GPD SP01 â€˜Meeting the needs of passengers when trains are strandedâ€™. The protocols should also consider: the key findings from this investigation; the different arrangements in place for the interface between Network Rail and train operatorsâ€™ control functions; the different approaches to managing incidents and good practice applied in different parts of the main-line and other railway networks; the need to identify who will take the lead role in managing the incident and how key decisions will be recorded and shared between the affected organisations; the need to provide on site support to the traincrew of such trains in managing passengersâ€™ needs; the need to provide technical support to the train crew of stranded trains, with a particular focus on means of communicating a</t>
  </si>
  <si>
    <t>UK-1151/2</t>
  </si>
  <si>
    <t>First Capital Connect should carry out a review of its management processes referred to in this repo</t>
  </si>
  <si>
    <t>First Capital Connect should carry out a review of its management processes referred to in this report to examine why it did not identify and address deficiencies in emergency preparedness prior to the incident. The lessons learnt from this review should lead to changes in management systems to provide confidence that all such deficiencies will be identified in the future (paragraphs 190h, 192a, 192c, 192f and 196f).</t>
  </si>
  <si>
    <t>UK-1151/3</t>
  </si>
  <si>
    <t>Network Rail and the train operators should amend their processes so that safety lessons identified</t>
  </si>
  <si>
    <t>Network Rail and the train operators should amend their processes so that safety lessons identified during Significant Performance Incident Reviews and other incident review processes can be effectively monitored through to closure, and actions taken as appropriate. The process should also include a mechanism for advising other railway operators of safety lessons that may be relevant to them (paragraph 192e).</t>
  </si>
  <si>
    <t>UK-115/1</t>
  </si>
  <si>
    <t>Eurotunnel should update the procedure for HGV loading staff to include the requirement to visually</t>
  </si>
  <si>
    <t>Eurotunnel should update the procedure for HGV loading staff to include the requirement to visually check the roof and doors of the load compartment for signs of smoke escaping (paragraph 354).</t>
  </si>
  <si>
    <t>UK-115/2</t>
  </si>
  <si>
    <t>Eurotunnel should review alternative means of more reliably detecting signs of fire or other abnorma</t>
  </si>
  <si>
    <t>Eurotunnel should review alternative means of more reliably detecting signs of fire or other abnormal situations on the rear sections of departing shuttles,which would include the number and positioning of Agents de Feu and should implement improved measures as appropriate (paragraph 355).</t>
  </si>
  <si>
    <t>UK-115/3</t>
  </si>
  <si>
    <t>Eurotunnel should investigate the possibility of providing the Agents de Feu with a direct method of</t>
  </si>
  <si>
    <t>Eurotunnel should investigate the possibility of providing the Agents de Feu with a direct method of stopping a departing shuttle and implement it if reasonably practicable (paragraph 356).</t>
  </si>
  <si>
    <t>UK-115/4</t>
  </si>
  <si>
    <t>Eurotunnel should provide a means for the automatic transmission of alarms from the on-board fire de</t>
  </si>
  <si>
    <t>Eurotunnel should provide a means for the automatic transmission of alarms from the on-board fire detection system on the HGV shuttles to the RCC (paragraph 363).</t>
  </si>
  <si>
    <t>UK-115/5</t>
  </si>
  <si>
    <t>Eurotunnel should ensure that the findings of this investigation are incorporated into the briefing</t>
  </si>
  <si>
    <t>Eurotunnel should ensure that the findings of this investigation are incorporated into the briefing and training of HGV shuttle drivers. This should include a re-briefing in topic areas associated with the non-compliance with Eurotunnel procedures identified at paragraph 363</t>
  </si>
  <si>
    <t>UK-115/6</t>
  </si>
  <si>
    <t>Eurotunnel should undertake a detailed survey of radio reception in the tunnel and make further impr</t>
  </si>
  <si>
    <t>Eurotunnel should undertake a detailed survey of radio reception in the tunnel and make further improvements as necessary (paragraphs 365 and 376).</t>
  </si>
  <si>
    <t>UK-115/7</t>
  </si>
  <si>
    <t>Eurotunnel should examine the feasibility of using TVM to enforce a speed of 10 km/h and implement a</t>
  </si>
  <si>
    <t>Eurotunnel should examine the feasibility of using TVM to enforce a speed of 10 km/h and implement a modification to achieve this if it is found to be reasonably practicable (paragraph 366).</t>
  </si>
  <si>
    <t>UK-115/8</t>
  </si>
  <si>
    <t>Eurotunnel should ensure that drivers are given a visual warning of the approach to the start and fi</t>
  </si>
  <si>
    <t>Eurotunnel should ensure that drivers are given a visual warning of the approach to the start and finish of go zones (paragraph 367).</t>
  </si>
  <si>
    <t>UK-115/9</t>
  </si>
  <si>
    <t>Eurotunnel should ensure that all drivers routinely practise stopping at cross passage doors (paragr</t>
  </si>
  <si>
    <t>Eurotunnel should ensure that all drivers routinely practise stopping at cross passage doors (paragraph 368).</t>
  </si>
  <si>
    <t>UK-115/10</t>
  </si>
  <si>
    <t>Eurotunnel should ensure that the findings of this investigation are incorporated in the briefing an</t>
  </si>
  <si>
    <t>Eurotunnel should ensure that the findings of this investigation are incorporated in the briefing and training procedures of RTM and EMS controllers. This should include a re-briefing in topic areas associated with the non-compliances with Eurotunnel procedures identified at paragraphs 364, 366 and 369</t>
  </si>
  <si>
    <t>UK-115/11</t>
  </si>
  <si>
    <t>Eurotunnel should review the design of the ventilation control system with a view to reducing the ...</t>
  </si>
  <si>
    <t>Eurotunnel should review the design of the ventilation control system with a view to reducing the possibility of controllers selecting a sub-optimal configuration (paragraph 370).</t>
  </si>
  <si>
    <t>UK-115/12</t>
  </si>
  <si>
    <t>Eurotunnel should ensure that the FDC has immediate access to the postcode of the Longport ...</t>
  </si>
  <si>
    <t>Eurotunnel should ensure that the FDC has immediate access to the postcode of the Longport reception area (paragraph 371).</t>
  </si>
  <si>
    <t>UK-115/13</t>
  </si>
  <si>
    <t>Eurotunnel, in consultation with the emergency services in France and the UK, should carry out a ...</t>
  </si>
  <si>
    <t>Eurotunnel, in consultation with the emergency services in France and the UK, should carry out a study to assess the feasibility of decreasing the time taken to earth the catenary during an emergency situation. The best solution identified should then be implemented if reasonably practicable to do so (paragraph 373).</t>
  </si>
  <si>
    <t>UK-115/14</t>
  </si>
  <si>
    <t>Eurotunnel, in conjunction with the Emergency Services, should review its emergency plan (and ...</t>
  </si>
  <si>
    <t>Eurotunnel, in conjunction with the Emergency Services, should review its emergency plan (and associated bi-national arrangements) with a view to ensuring that accurate information from the incident site is available promptly to those making strategic decisions within the ICCs (paragraph 372).</t>
  </si>
  <si>
    <t>UK-115/15</t>
  </si>
  <si>
    <t>Eurotunnel, in conjunction with the emergency services, should revise its arrangements for formal ...</t>
  </si>
  <si>
    <t>Eurotunnel, in conjunction with the emergency services, should revise its arrangements for formal multi-party reviews of lessons to be learnt following major safety incidents (paragraph 374).</t>
  </si>
  <si>
    <t>UK-115/16</t>
  </si>
  <si>
    <t>Eurotunnel should modify the RTM procedure to incorporate an explicit requirement to advise the RCC ...</t>
  </si>
  <si>
    <t>Eurotunnel should modify the RTM procedure to incorporate an explicit requirement to advise the RCC Supervisor when a message regarding a fire alarm on an HGV shuttle has been received and clarify the sequence of actions to be taken by the RTM Controller in the event that a rolling stock alarm and a Level 2 alarm are declared almost simultaneously (paragraph 375).</t>
  </si>
  <si>
    <t>UK-114/1</t>
  </si>
  <si>
    <t>RSSB should make a proposal, in accordance with the Railway Group Standards Code, to amend Module T3</t>
  </si>
  <si>
    <t>RSSB should make a proposal, in accordance with the Railway Group Standards Code, to amend Module T3 of the Rule Book to require work sites to be kept as short as possible (paragraph 105).</t>
  </si>
  <si>
    <t>UK-114/2</t>
  </si>
  <si>
    <t>First Engineering should review their driver monitoring and assessment system to ensure that inciden</t>
  </si>
  <si>
    <t>First Engineering should review their driver monitoring and assessment system to ensure that incidents of overspeeding are, so far as is reasonably practicable, detected and effectively dealt with (paragraph 95).</t>
  </si>
  <si>
    <t>UK-114/3</t>
  </si>
  <si>
    <t>RSSB should make a proposal, in accordance with the Railway Group Standards Code, to amend Module T1</t>
  </si>
  <si>
    <t>RSSB should make a proposal, in accordance with the Railway Group Standards Code, to amend Module T11 of the Rule Book to require that on-track machines are operated in tandem/multiple within possessions and work sites where it is practicable to do so (paragraph 71).</t>
  </si>
  <si>
    <t>UK-114/4</t>
  </si>
  <si>
    <t>Operators and suppliers of on-track machines should assess the hazards to staff working in them from</t>
  </si>
  <si>
    <t>Operators and suppliers of on-track machines should assess the hazards to staff working in them from contact with sharp edges and corners, and take appropriate action to reduce the risk of injury (paragraph 111).</t>
  </si>
  <si>
    <t>UK-1128/1</t>
  </si>
  <si>
    <t>Minimum clearances</t>
  </si>
  <si>
    <t>National Express Midland Metro should determine the minimum mechanical clearance necessary around tensioned components within the OLE system to prevent contact that may damage them. It should introduce controls to prevent smaller clearances than this minimum from either being introduced into the system or developing during operational service and not being detected (paragraphs 128b, 129d, 130c and 130d).</t>
  </si>
  <si>
    <t>UK-1128/2</t>
  </si>
  <si>
    <t>Access to up to date information</t>
  </si>
  <si>
    <t>National Express Midland Metro should ensure that staff within its organisation that hold responsibility for supervising work on the OLE and/or for passing it as being fit for service have access to the information needed for them to confirm its correct installation and configuration. This information should be up-to-date and accurate and would typically include items such as manuals, drawings or other supporting documents. This information should be made available to any third-parties undertaking similar duties (paragraph 130a).</t>
  </si>
  <si>
    <t>UK-1128/3</t>
  </si>
  <si>
    <t>Cause of OLE deformation</t>
  </si>
  <si>
    <t>National Express Midland Metro should determine how the operating loads within the OLE are able to cause the type of deformation observed in the twin track bracket arm assembly at 18512 pole in July 2011. It should identify and implement appropriate measures to remove the causes of this deformation (paragraphs 128c and 129c).</t>
  </si>
  <si>
    <t>UK-1128/4</t>
  </si>
  <si>
    <t>Clearance for rotation</t>
  </si>
  <si>
    <t>National Express Midland Metro should inspect the tensioned section of the OLE to ensure that there is clearance between the clevises of OLE pole brackets and the clevis covers of bracket foot assemblies sufficient to allow these assemblies to rotate freely around pole bracket pins. Any inadequate clearances identified should be rectified (paragraph 129a).</t>
  </si>
  <si>
    <t>UK-1128/5</t>
  </si>
  <si>
    <t>Review OLE components</t>
  </si>
  <si>
    <t>National Express Midland Metro should identify those OLE components which may affect the safe operation of the tramway. It should review the current processes and practices intended to control changes to these components and implement any actions required to ensure that effective change control is exercised in the future (paragraphs 129a and 131a).</t>
  </si>
  <si>
    <t>UK-1128/6</t>
  </si>
  <si>
    <t>Managing risk of driver injury</t>
  </si>
  <si>
    <t>National Express Midland Metro should assess what, if any, risks would be created by a driver becoming incapacitated during an incident. It should identify and implement appropriate measures to manage any identified risks, such as additional training for CSRs (paragraph 131b).</t>
  </si>
  <si>
    <t>UK-1128/7</t>
  </si>
  <si>
    <t>Identify essential competencies</t>
  </si>
  <si>
    <t>National Express Midland Metro should review the current mandatory competences held by drivers and CSRs in order to identify those which are essential to the safe operation of the Midland Metro. It should identify and implement appropriate measures to ensure that all such competences are maintained (paragraph 131d).</t>
  </si>
  <si>
    <t>UK-1127/1</t>
  </si>
  <si>
    <t>Network Rail should modify procedures so that :a. routine reviews and updating of signal and crossin</t>
  </si>
  <si>
    <t>Network Rail should modify procedures so that :a. routine reviews and updating of signal and crossing box instructions include verification, by engineering staff, that the instructions are compatible with the equipment provided ;b. there is clear guidance on the information to be contained in all box instructions; c. training material is reviewed, and updated as necessary, concurrently with the associated box instructions; and d. reviews of box instructions and associated training material should be subject to checking, at least on a sample basis.</t>
  </si>
  <si>
    <t>UK-1127/2</t>
  </si>
  <si>
    <t>Network Rail should review and, if necessary, amend and/or augment existing processes so that, when</t>
  </si>
  <si>
    <t>Network Rail should review and, if necessary, amend and/or augment existing processes so that, when documentary evidence is used to verify safety-critical competencies of operations staff, appropriate evidence (such as voice recordings) is examined for at least a proportion of the events covered by these documents (paragraphs 145d, 147a, and 147c).</t>
  </si>
  <si>
    <t>UK-1127/3</t>
  </si>
  <si>
    <t>Network Rail should modify its standards and design practice so that signals protecting new MCB leve</t>
  </si>
  <si>
    <t>Network Rail should modify its standards and design practice so that signals protecting new MCB level crossings, and signals protecting MCB crossings upgraded in future, always show a stop aspect when the barriers are raised significantly above the fully lowered position (paragraph 145e).</t>
  </si>
  <si>
    <t>UK-1126/1</t>
  </si>
  <si>
    <t>The owners of class 14x vehicles, in consultation with suppliers of overhaul services, should review the final drive design, design tolerances and the maintenance processes in respect of: * end float setting (paragraphs 154a and 154b); * input and pinion shafts alignment (paragraph 154c); * fit of the bearings in the housing bore (paragraph 155a); and * oil pump performance (paragraph 155d). Any required changes identified by the review should be suitably documented and incorporated in overhaul procedures. This recommendation applies to the modified design of the final drive (paragraph 159b).</t>
  </si>
  <si>
    <t>UK-1126/2</t>
  </si>
  <si>
    <t>The owners of class 14x vehicles should review the adequacy of their existing arrangements for ensuring that the suppliers of their equipment validate changes to the design of safety critical components (paragraphs 158c and 159b).</t>
  </si>
  <si>
    <t>UK-1126/3</t>
  </si>
  <si>
    <t>Northern Rail, in consultation with the owners of class 14x vehicles, should develop, validate and implement measure(s) to identify and prevent the onset of failure of a recently overhauled final drive so as to prevent complete failure where practicable (paragraphs 156 and 166). Note: the measure(s) implemented to address this recommendation may be appropriate to all class 14x final drives.</t>
  </si>
  <si>
    <t>UK-1126/4</t>
  </si>
  <si>
    <t>For class 14x vehicles, vehicle owners in consultation with operators should review whether the necessary technical information for the maintenance and overhaul information of the class 14x final drives is still available and if it is, they should arrange for it to be sourced. This information should be kept by the vehicle owners and made available to all existing and future operators, maintainers and overhaulers as relevant (paragraphs 158a and 158b). Note: the principle outlined in this recommendation may also apply to other traction and rolling stock equipment and other fleets of train.</t>
  </si>
  <si>
    <t>UK-1126/5</t>
  </si>
  <si>
    <t>The owners of class 14x vehicles should review the testing of the final drives after overhaul to confirm that it is done in conditions sufficiently representative of their operational duty and where appropriate amend the testing requirements accordingly. The following areas should be considered: * operational speed; * loading on the shafts; and * external environmental conditions (paragraph 155c).</t>
  </si>
  <si>
    <t>UK-1126/6</t>
  </si>
  <si>
    <t>Northern Rail should complete the review of its procedures governing post-accident actions and implement any necessary changes to ensure that the risks to personnel and the environment from movement of damaged trains and trains with defective equipment is appropriately managed (paragraphs 159a and 167).</t>
  </si>
  <si>
    <t>UK-1125/1</t>
  </si>
  <si>
    <t>Network Rail should introduce a programme of marking the position of all track-supporting structures</t>
  </si>
  <si>
    <t>Network Rail should introduce a programme of marking the position of all track-supporting structures which are not apparent from the surface, so that their presence can be taken into account by those responsible for managing incidents, maintaining the railway, and designing and upgrading infrastructure (paragraphs 109, 112 and 114).</t>
  </si>
  <si>
    <t>UK-1125/2</t>
  </si>
  <si>
    <t>Network Rail should review the ways in which it visually examines those structures which cannot be s</t>
  </si>
  <si>
    <t>Network Rail should review the ways in which it visually examines those structures which cannot be seen from a safe observation location and where access is constrained. This review should consider the ways in which effective examinations can be carried out, and where this cannot be achieved, alternative measures to manage the risk. Any necessary improvements to the examinations regime identified in the review should be implemented (paragraph 110a).</t>
  </si>
  <si>
    <t>UK-1125/3</t>
  </si>
  <si>
    <t>Network Rail should improve reference information available to those responsible for reviewing struc</t>
  </si>
  <si>
    <t>Network Rail should improve reference information available to those responsible for reviewing structures examination reports, to enhance the accuracy and effectiveness of the report review and evaluation processes (paragraph 111).</t>
  </si>
  <si>
    <t>UK-1112/1</t>
  </si>
  <si>
    <t>Network Rail should review and, if necessary, revise the arrangements for unplanned / emergency work</t>
  </si>
  <si>
    <t>Network Rail should review and, if necessary, revise the arrangements for unplanned / emergency work (paragraphs 123a and 123b) to reduce the potential for: a. confusion when attempting to apply the rules for working in a possession but outside a work site (paragraph 125a); and b. confusion when sharing line blockages (paragraph 126a). Options for consideration should include: simplification of the rules, and / or improved COSS training, relating to working in a possession but outside a work site; means to control the risk associated with a COSS planning the system of work in unfamiliar and complex situations (such as restricting the definition of an â€˜emergency situationâ€™ or by introducing additional checks on the proposed system of work); a review of the risk of shared line blockages for unplanned works and the identification of alternative approaches; and adoption of situational risk assessments to inform decision making in unfamiliar and complex situations (such as the â€˜Take Timeâ€™ process being trialled by</t>
  </si>
  <si>
    <t>UK-1112/2</t>
  </si>
  <si>
    <t>Network Rail should develop a set of proposals for managing the pressures related to train performan</t>
  </si>
  <si>
    <t>Network Rail should develop a set of proposals for managing the pressures related to train performance on those responsible for setting up protection arrangements for access to the railway in unplanned and / or emergency situations (paragraph 124a). This might include (but should not be limited to): a. improving the mutual understanding of the challenges faced by shift leaders in maintenance delivery units and incident controllers at route control centres, for example by providing regular experience of working in each othersâ€™ environments; b. a suitable briefing to remind trackside staff, as well as route controllers, that trackside staff themselves should decide the most appropriate protection arrangements for carrying out emergency c. the provision of clear protocols on communication and co-ordination arrangements in situations where pressure may arise particularly where performance may conflict with safety.</t>
  </si>
  <si>
    <t>UK-1112/3</t>
  </si>
  <si>
    <t>Network Rail should review the workload of Track Section Managers, to determine whether it is reason</t>
  </si>
  <si>
    <t>Network Rail should review the workload of Track Section Managers, to determine whether it is reasonable, taking account of the changes which are due to be introduced in 2012 as part of the â€˜Assessment in the Line review projectâ€™. This review should include the requirement to manage technical, managerial and administrative tasks; specific attention should be given to the work associated with the management of staff competence and on-site surveillance. If this review identifies that the workload of the role is unreasonable following the proposed changes, practical steps should be taken to restructure responsibilities to improve the delivery of safety-related activities (paragraph 125b).</t>
  </si>
  <si>
    <t>UK-1112/4</t>
  </si>
  <si>
    <t>Network Rail should review the adequacy of training and assessment of track maintenance staff to del</t>
  </si>
  <si>
    <t>Network Rail should review the adequacy of training and assessment of track maintenance staff to deliver practical competence, particularly in skills or situations which are encountered infrequently (paragraph 125b). Where necessary, improvements should be made to enhance current processes. Consideration should be given to: a.the extent to which it is appropriate to have detailed and complex rules for responding to infrequently-encountered situations; b.methods of providing experience in situations which an individual may encounter infrequently; c. identifying methods of assessment for situations which it is unlikely a line manager would normally be able to observe; d. reassessing safety-critical competences when there are significant changes in an individualâ€™s work pattern, eg changing from day patrolling to planned maintenance work on permanent night shifts; and e.reinforcing the need for regular face-to-face reviews of staff performance and competence by line managers.</t>
  </si>
  <si>
    <t>UK-1112/5</t>
  </si>
  <si>
    <t>Network Rail should amend its company standards to clarify who is responsible for informing the sign</t>
  </si>
  <si>
    <t>Network Rail should amend its company standards to clarify who is responsible for informing the signaller that the equipment for an emergency speed restriction has been set up, and that it is no longer necessary to caution trains (paragraph 126b).</t>
  </si>
  <si>
    <t>UK-1098/1</t>
  </si>
  <si>
    <t>Network Rail should arrange, execute and accurately record, in partnership with relevant train opera</t>
  </si>
  <si>
    <t>Network Rail should arrange, execute and accurately record, in partnership with relevant train operating companies, periodic assessments of the DOO equipment provided at unstaffed platforms with particular reference to the quality of the interface between the equipment provided and the way in which it is used (paragraphs 135c, 136d, and 137b).</t>
  </si>
  <si>
    <t>UK-1098/2</t>
  </si>
  <si>
    <t>The Rail Safety and Standards Board should, in consultation with train operators, consider the inclu</t>
  </si>
  <si>
    <t>The Rail Safety and Standards Board should, in consultation with train operators, consider the inclusion of guidance in Rail Industry Standard RIS-3703-TOM that those responsible for train dispatch (including the drivers of DOO trains) should, so far as is reasonably practicable, observe the closing of the trainâ€™s doors and be alert for any dangerous occurrence while this is taking place (paragraph 136a).</t>
  </si>
  <si>
    <t>UK-1098/3</t>
  </si>
  <si>
    <t>National Express East Anglia should complete a systematic review and updating of its train driving t</t>
  </si>
  <si>
    <t>National Express East Anglia should complete a systematic review and updating of its train driving task analysis relating to the dispatch of Driver Only Operated (DOO) trains from unstaffed platforms to assure that hazards are identified and the risk properly addressed. The results of this review should be incorporated into the train driver training programme, train driver competence management system and ongoing safety briefing processes to facilitate the changes necessary to adequately address the risk from DOO train dispatch, particularly from unstaffed platforms (paragraphs 136b and 136d, 137a, 137c and 137d).</t>
  </si>
  <si>
    <t>UK-1098/4</t>
  </si>
  <si>
    <t>National Express East Anglia should take the necessary steps to ensure that the on-train CCTV system</t>
  </si>
  <si>
    <t>National Express East Anglia should take the necessary steps to ensure that the on-train CCTV systems (including forward and rear facing CCTV equipment) fitted to its trains achieve a high level of availability (paragraph 138a).</t>
  </si>
  <si>
    <t>UK-1098/5</t>
  </si>
  <si>
    <t>National Express East Anglia should review and update as necessary its monitoring systems so that wh</t>
  </si>
  <si>
    <t>National Express East Anglia should review and update as necessary its monitoring systems so that where periodic safety reviews are required they are undertaken at the necessary frequencies (paragraph 138c).</t>
  </si>
  <si>
    <t>UK-1089/1</t>
  </si>
  <si>
    <t>Network Rail should review its arrangements for controlling the implementation of minor civil engine</t>
  </si>
  <si>
    <t>Network Rail should review its arrangements for controlling the implementation of minor civil engineering works. This should include consideration of how deviations from the design are identified, assessed and accepted, and by whom, so that the original intent of the civil engineering work is not compromised. Any necessary improvements should be implemented.</t>
  </si>
  <si>
    <t>UK-1089/2</t>
  </si>
  <si>
    <t>Network Rail should implement a process that identifies and highlights structures examinations that</t>
  </si>
  <si>
    <t>Network Rail should implement a process that identifies and highlights structures examinations that are overdue, or whose examination report has not been effectively transferred to Network Railâ€™s computer system; defines what action is to be taken regarding these missing examination reports; and identifies and highlights structures whose examination due date is imminent but no examination has been scheduled.</t>
  </si>
  <si>
    <t>UK-1089/3</t>
  </si>
  <si>
    <t>In conjunction with its examination contractor, Amey, Network Rail should review the effectiveness o</t>
  </si>
  <si>
    <t>In conjunction with its examination contractor, Amey, Network Rail should review the effectiveness of the existing structures examination regime and implement any changes found necessary. The review should include, as a minimum consideration of why examiners do not always report persistent defects; and a consideration of whether the examination system should be enhanced to require supervisors and/or engineers to periodically inspect structures.</t>
  </si>
  <si>
    <t>UK-1089/4</t>
  </si>
  <si>
    <t>Network Rail should put in place adequate arrangements for dealing with external reports on possible</t>
  </si>
  <si>
    <t>Network Rail should put in place adequate arrangements for dealing with external reports on possible problems with its structures and earthworks, and provide appropriate training and guidance to its community relations staff (including MPCs). The arrangements should include guidance on appropriate response times for both community relations and structures and earthworks staff when dealing with these reports, the basis upon which the reports should be prioritised and a system to ensure that defects identified are followed through.</t>
  </si>
  <si>
    <t>UK-1089/5</t>
  </si>
  <si>
    <t>Network Rail LNE Route should check whether there are any earthworks missing from their examinations</t>
  </si>
  <si>
    <t>Network Rail LNE Route should check whether there are any earthworks missing from their examinations database. Any such earthworks found to be missing should be inserted into the database and arrangements made to examine them</t>
  </si>
  <si>
    <t>UK-1086/1</t>
  </si>
  <si>
    <t>Network Rail and its contractors who operate trains in engineering possessions should jointly review</t>
  </si>
  <si>
    <t>Network Rail and its contractors who operate trains in engineering possessions should jointly review the means by which engineering train drivers and on-track machine crews (and associated ground staff) can best be provided with sufficient information relating to both railway and construction risk before walking to, or entering, a work site. This review should address: the validation, and incorporation in a suitable safety standard, of arrangements agreed between Network Rail and its haulage suppliers and contractors operating on-track machines, relating to the provision of a safety briefing before entering a work site; the preparation of explanatory briefing material and additional training on the procedures to be followed to obtain safety briefings; explicit consideration of the risks associated with access to site, including safety briefing issues, at an appropriate stage in the planning process for engineering activities; and the need for clarification or amendment of the relevant rules and procedures rel</t>
  </si>
  <si>
    <t>UK-1063/1</t>
  </si>
  <si>
    <t>Network Rail should review how the arrangements for managing water within Summit tunnel can be impro</t>
  </si>
  <si>
    <t>Network Rail should review how the arrangements for managing water within Summit tunnel can be improved, decide what actions it is reasonably practicable to take, and implement them. The review should specifically consider what can be done to manage the water seeping through the ventilation shaft linings and reduce the amount of ice forming during periods of freezing temperatures (paragraphs 149a, 149b and 152a).</t>
  </si>
  <si>
    <t>UK-1063/2</t>
  </si>
  <si>
    <t>Network Rail should identify the structures (as defined in NR/L3/CIV/006/1C) where passengers or sta</t>
  </si>
  <si>
    <t>Network Rail should identify the structures (as defined in NR/L3/CIV/006/1C) where passengers or staff might be put at risk when train services are resumed following an extended cessation of traffic during, or following, periods of extreme weather (as defined in NR/L2/OPS/021). Network Rail should then put in place procedures that result in checks that it is safe for trains to operate at the permitted line speed over or through these structures before resuming the train service (paragraphs 149e, 151c and 152c).</t>
  </si>
  <si>
    <t>UK-1063/3</t>
  </si>
  <si>
    <t>Network Rail should review and implement changes to its weather management processes to take into ac</t>
  </si>
  <si>
    <t>Network Rail should review and implement changes to its weather management processes to take into account the potential hazards created by extreme cold weather events and subsequent thaw conditions (paragraphs 150a and 151d).</t>
  </si>
  <si>
    <t>UK-1063/4</t>
  </si>
  <si>
    <t>Network Rail should provide training and information to its staff on carrying out the inspections of</t>
  </si>
  <si>
    <t>Network Rail should provide training and information to its staff on carrying out the inspections of those structures which are at risk from ice in extreme cold weather. The training and information should include guidance on managing the hazards to staff while carrying out these inspections (paragraphs 149c and 149d).</t>
  </si>
  <si>
    <t>UK-1063/5</t>
  </si>
  <si>
    <t>Network Rail should put in place processes for the management and distribution of safety actions and</t>
  </si>
  <si>
    <t>Network Rail should put in place processes for the management and distribution of safety actions and safety related information originating from Network Railâ€™s buildings and civils â€“ asset management function. This should include a process for systematically reviewing the resolution of necessary safety actions and a process for passing safety related information to other parts of Network Railâ€™s organisation, including confirmation that it has been received, understood and acted upon (paragraphs 151a and 151b).</t>
  </si>
  <si>
    <t>UK-1026/1</t>
  </si>
  <si>
    <t>London &amp; South Eastern Railway Ltd should carry out a management review to examine why the deficienc</t>
  </si>
  <si>
    <t>London &amp; South Eastern Railway Ltd should carry out a management review to examine why the deficiencies in the processes for replenishment of sand had not been identified and rectified prior to the overrun at Stonegate. The lessons learnt from this review should be implemented by making suitable changes to management systems to provide confidence that such deficiencies will be identified in the future for all safety related maintenance activities (paragraph 222d).</t>
  </si>
  <si>
    <t>UK-1026/2</t>
  </si>
  <si>
    <t>London &amp; South Eastern Railway Ltd should introduce management systems to prevent trains that requir</t>
  </si>
  <si>
    <t>London &amp; South Eastern Railway Ltd should introduce management systems to prevent trains that require safety related maintenance work from re-entering service until that work has been completed (paragraph 224b).</t>
  </si>
  <si>
    <t>UK-1026/3</t>
  </si>
  <si>
    <t>London &amp; South Eastern Railway Ltd should review the arrangements and processes for train sand reple</t>
  </si>
  <si>
    <t>London &amp; South Eastern Railway Ltd should review the arrangements and processes for train sand replenishment, so that they are compatible with known worst case rates of sand usage and take account of any inherent delays in actioning replenishment, and implement any revised arrangements arising from this review (paragraph 224a).</t>
  </si>
  <si>
    <t>UK-1021/1</t>
  </si>
  <si>
    <t>Surrey County Council should reinforce the requirement for regular checks to be made (for example, a</t>
  </si>
  <si>
    <t>Surrey County Council should reinforce the requirement for regular checks to be made (for example, as part of safety inspections carried out by staff on the condition of highways) of the ends of parapets on bridges over railways to ensure that, where provided, markers or markings are maintained in good condition and free from obstruction by vegetation or other material. Any signs of damage should be reported to the risk owner for appropriate action (paragraph 98a).</t>
  </si>
  <si>
    <t>UK-1021/2</t>
  </si>
  <si>
    <t>The Department for Transport should issue guidance to highway authorities on highlighting the unprot</t>
  </si>
  <si>
    <t>The Department for Transport should issue guidance to highway authorities on highlighting the unprotected ends of parapets (for example by reflective markers, white paint, etc.) of bridges over railways where the end of the parapet presents a possible hazard to road users, the consequences of which could export risk to the railway (paragraph 98a).</t>
  </si>
  <si>
    <t>UK-1021/3</t>
  </si>
  <si>
    <t>Network Rail should include, within its annual examination of rail overbridges, the requirement for</t>
  </si>
  <si>
    <t>Network Rail should include, within its annual examination of rail overbridges, the requirement for the structures examiner to identify and record any highway features which may increase the risk to the railway such as absence, obscuration or poor condition of parapet end markers. Network Rail should also improve its management arrangements for reporting such issues to the relevant highway authority, and when it becomes aware of damage to structures caused by road vehicles (paragraph 98b).</t>
  </si>
  <si>
    <t>UK-1021/4</t>
  </si>
  <si>
    <t>The Department for Transport, with highway authorities, should prepare guidance for highway authorit</t>
  </si>
  <si>
    <t>The Department for Transport, with highway authorities, should prepare guidance for highway authorities on identifying local safety hazards at bridges over railways which could be mitigated by measures such as signage, hazard marking, white lining or safety barriers, and include consideration of previous accident history and the causes of those accidents. This should include guidance on when the assessment should be undertaken and when such measures should be applied (paragraph 100).</t>
  </si>
  <si>
    <t>UK-1021/5</t>
  </si>
  <si>
    <t>Surrey County Council, in consultation with Network Rail, should review the optimum means of protect</t>
  </si>
  <si>
    <t>Surrey County Council, in consultation with Network Rail, should review the optimum means of protecting or marking the parapet ends at Bridge 11 (Warren Lane, Oxshott), and apply and maintain the chosen method (paragraph 101).</t>
  </si>
  <si>
    <t>UK-1002/1</t>
  </si>
  <si>
    <t>DB Schenker should, in consultation with its drivers: a. identify the shifts on which their drivers</t>
  </si>
  <si>
    <t>DB Schenker should, in consultation with its drivers: a. identify the shifts on which their drivers experience high levels of fatigue , and give particular consideration to the impact on drivers working the first in a series of night shifts; b. improve the identified shifts, for example by changing the transition to them, their duration and the duties carried out on them, with shifts of the highest risk improved ahead of those of lower risk; c. assess the findings of drivers on the changed shifts to confirm that those shifts are improved; and d. share its findings with the Office of Rail Regulation</t>
  </si>
  <si>
    <t>UK-1002/2</t>
  </si>
  <si>
    <t>The Office of Rail Regulation should take into account the train operator findings from Recommendati</t>
  </si>
  <si>
    <t>The Office of Rail Regulation should take into account the train operator findings from Recommendation 1d and provide updated and enhanced guidance on shifts that cause high levels of fatigue, which should include: a. ways to improve those shifts, for example by changing the transition to them, the number of consecutive shifts, their duration and the duties carried out on them; b. advice on the limitations of mathematical models used to predict fatigue, and how they may be used as part of a fatigue risk management system.</t>
  </si>
  <si>
    <t>UK-1002/3</t>
  </si>
  <si>
    <t>The Office of Rail Regulation should arrange for a programme of work to analyse and compare existing</t>
  </si>
  <si>
    <t>The Office of Rail Regulation should arrange for a programme of work to analyse and compare existing mathematical models used to predict fatigue, including the Fatigue and Risk Index, and then provide information to the rail industry on the accuracy of those models.</t>
  </si>
  <si>
    <t>UK-1002/4</t>
  </si>
  <si>
    <t>RSSB should implement measures to improve the quality and quantity of available data relating to fat</t>
  </si>
  <si>
    <t>RSSB should implement measures to improve the quality and quantity of available data relating to fatigue-related railway accidents and incidents. Options for consideration should include an enhancement of the Safety Management Information System to provide more accurate reporting of fatigue-related events.</t>
  </si>
  <si>
    <t>UK-0094/1</t>
  </si>
  <si>
    <t>Risk based approach</t>
  </si>
  <si>
    <t>Network Rail should identify the maintenance delivery units which have not correctly adopted the risk-based approach to inspection of points intended by TRK/053 and mandated by TRK/001. It should then re-brief these maintenance delivery units on the requirement in TRK/001 and undertake follow up compliance monitoring activities to confirm that each maintenance delivery unit has adopted an appropriate regime, that all points have been the subject of a risk assessment and that all high-risk points are the subject of regular periodic TRK/053 detailed inspections (paragraph 84a).</t>
  </si>
  <si>
    <t>UK-0094/2</t>
  </si>
  <si>
    <t>TRK/053</t>
  </si>
  <si>
    <t>Network Rail should rewrite TRK/053, its supporting Track Engineering Form and associated training and competence assessment material to: remove inconsistency between them (eg TRK/053 and TEF/3029) (paragraph 85b); align the competence requirements for supervisors in TRK/053 and TRK/001 and define how supervisors must gain and retain this competence in areas where all detailed inspections are undertaken by others (paragraph 84b.iii); make clear that a routine measurement (currently using a TGP8 gauge) to identify wear is mandatory (paragraph 84b.iii); and mandate that the routine measurement should be repeated for points in both normal and reverse positions (paragraph 84b.ii).</t>
  </si>
  <si>
    <t>UK-0094/3</t>
  </si>
  <si>
    <t>TP8 gauge</t>
  </si>
  <si>
    <t>Network Rail should determine if it is possible for supervisors to properly and reliably identify wear and damage and to use the TGP8 gauge without removing the grease and accumulated residue. Network Rail should also consider the risks associated with removing and re-applying the grease against the risks associated with a lack of detection of wear or damage. Depending on the outcome of this study, Network Rail should incorporate the findings into a future rewrite of TRK/053 (paragraphs 84b.i and 84b.iv).</t>
  </si>
  <si>
    <t>UK-0094/4</t>
  </si>
  <si>
    <t>Managing risks</t>
  </si>
  <si>
    <t>Freightliner should confirm that, where disparities are identified between working practices and the requirements of the maintenance instructions, it has arrangements in place to ensure that risks are adequately managed in the interim until the discrepancy is resolved (paragraph 85c).</t>
  </si>
  <si>
    <t>UK-0121/1</t>
  </si>
  <si>
    <t>Reduce collision risk</t>
  </si>
  <si>
    <t>Network Rail should:a. Review potential systems of work, and/or technical solutions, for reducing the risk of collision between trains when travelling to and from their sites of work. This review should include consideration of the following options: i. greater use of the signalling system during engineering work for controlling the movement of trains (paragraph 163); ii.means for detecting the position of trains when normal signalling is suspended; and iii. planning arrangements for engineering work that address the issue of simultaneous movements of trains travelling to and from their sites of work and which minimise the potential for such moves to bring trains in close proximity (paragraphs 162a and 163). b. Review (in consultation with RSSB as appropriate) permitted train speeds applying to movements in sections of line that are closed to normal traffic for engineering work, taking account of human factors affecting a driverâ€™s ability to judge the distance they can see to be clear, the stopping distance that can be achieved by their trainâ€™s braking performance, the limitations of headlight illumination in darkness and a driverâ€™s route knowledge (paragraphs 162a and 164a). c. Seek an understanding of the reasons for, and scale of, local unauthorised deviations from possession plans, the effectiveness of the planning process to avoid such changes, as well as the suitability of procedures and managerial arrangements for identifying, and subsequently reviewing, unauthorised changes (paragraph 162d). The measures identified to further reduce the risk of collisions during engineering work should then be implemented in accordance with a timebound programme.</t>
  </si>
  <si>
    <t>UK-0121/2</t>
  </si>
  <si>
    <t>Communications</t>
  </si>
  <si>
    <t>Network Rail should: a. Review the equipment and protocols used by those managing possessions for communicating with train drivers to ensure that: i. Drivers are provided with all the information they need to carry out movements safely. The review should consider the use of a standardised format so that any missing information can be readily identified and queried by the driver. In addition to information such as the authorised maximum speed of travel and the driverâ€™s treatment of signal aspects, the format could also include confirmation that there are no vehicles obstructing the line to the driverâ€™s authorised stopping point (paragraph 162b). ii. Communications with drivers are made in a manner which does not risk distracting the driver from the driving task (paragraphs 162c and 164c). b. Network Rail should define when it may be necessary and appropriate to use competent persons as intermediaries when communicating instructions on vehicle movements to drivers. It should then further consider the formal competencies and non-technical skills required of a competent person and the means by which their competency and non-technical skills may be assured. Consideration should also be given to the practicalities of relaying instructions to drivers in ways that do not risk distracting drivers from their driving task (paragraphs 162b, 162c and 164c). Any resulting actions should be implemented as soon as possible.</t>
  </si>
  <si>
    <t>UK-0121/3</t>
  </si>
  <si>
    <t>Rec 2 report 01/2011</t>
  </si>
  <si>
    <t>Network Rail should review why the measures taken to implement Recommendation 2 from RAIB report 01/2011 to achieve improved management surveillance and supervision at Saltley Infrastructure Maintenance Delivery Unit, did not detect or prevent unauthorised changes being made to a plan of work and instances of non-compliance with its company standards for possession management. It should then implement any measures identified to bring about a sustained behavioural change (paragraphs 162d and 164b).</t>
  </si>
  <si>
    <t>UK-0125/1</t>
  </si>
  <si>
    <t>SSOW</t>
  </si>
  <si>
    <t>Network Rail should make information available to those responsible for the planning, approval and verification of safe systems of work about which safe systems of work it considers to be appropriate for a specified section of the line. This information should support the application of the principles of the hierarchy of safe systems of work. Network Rail should ensure that the information: takes account of variations such as different types of work, resource levels, times of day and environmental conditions; is periodically validated and maintained; and is easily accessible to those responsible for the planning of safe systems of work. (paragraphs 163b, 164a and 164b).</t>
  </si>
  <si>
    <t>UK-0125/2</t>
  </si>
  <si>
    <t>Monitoring red and green zones</t>
  </si>
  <si>
    <t>Network Rail should review the effectiveness of the current arrangements in place to monitor the usage of Red and Green Zone safe systems of work. It should identify and implement any appropriate measures identified as necessary for this monitoring to be effective (paragraphs 164c (iii) and 166).</t>
  </si>
  <si>
    <t>UK-0125/3</t>
  </si>
  <si>
    <t>Resourcing</t>
  </si>
  <si>
    <t>Network Rail should determine what resources are necessary for the effective planning and approval of safe systems of work within off-track sections. It should take action to ensure that the required resources are available and that systems are put in place to ensure that they will remain so should additional tasks be assigned to these sections in the future (paragraphs 164b and 165). This recommendation may also apply to other parts of Network Rail where staff are required to work on or near the line</t>
  </si>
  <si>
    <t>UK-0125/4</t>
  </si>
  <si>
    <t>Non-cyclic SSOW</t>
  </si>
  <si>
    <t>Network Rail should establish if the requirement within NR/L2/OHS/019 issue 8 for non-cyclic safe systems of work to be approved by the responsible manager has been effectively implemented. In doing this it should specifically consider: how the requirement was promulgated throughout its organisation; the briefing and training of responsible managers; and other barriers to implementation. It should develop a plan to implement any appropriate changes identified (paragraph 168).</t>
  </si>
  <si>
    <t>UK-0125/5</t>
  </si>
  <si>
    <t>Working alone</t>
  </si>
  <si>
    <t>Network Rail, in conjunction with RSSB, should review, and improve where necessary, the sections of the railway rule book and any standards, guidance and forms relevant to the patrolling, examining or inspecting of an open line when working alone. The review and any improvements made should aim to provide clear and consistent information regarding the calculation of required warning times (paragraph 169).</t>
  </si>
  <si>
    <t>UK-749/1</t>
  </si>
  <si>
    <t>Direct Rail Services and DB Schenker should review their existing control measures to secure contain</t>
  </si>
  <si>
    <t>Direct Rail Services and DB Schenker should review their existing control measures to secure container doors, and consider whether stronger seals, such as heavy-duty security seals, would reduce the risk of doors being vandalised and coming open outside of the loading gauge (paragraph 35).</t>
  </si>
  <si>
    <t>UK-749/2</t>
  </si>
  <si>
    <t>Freight Operating Companies should investigate, and, where reasonably practicable, implement, measur</t>
  </si>
  <si>
    <t>Freight Operating Companies should investigate, and, where reasonably practicable, implement, measures so that open container doors cannot swing outside the loading gauge (paragraph 34).</t>
  </si>
  <si>
    <t>UK-749/3</t>
  </si>
  <si>
    <t>Freight Operating Companies should amend their specifications for future builds of container wagons</t>
  </si>
  <si>
    <t>Freight Operating Companies should amend their specifications for future builds of container wagons to include measures that prevent open container doors swinging outside the loading gauge (paragraph 34).</t>
  </si>
  <si>
    <t>UK-0379/1</t>
  </si>
  <si>
    <t>Review for flooding</t>
  </si>
  <si>
    <t>NIR, with the assistance of the Rivers Agency, should: a. complete the ongoing review of earthworks and structures on its infrastructure with respect to flood risk, including, where necessary, the assessment of the hydraulic capacity of relevant culverts, and identify and prioritise those sites which require mitigating action (eg enhanced monitoring, speed restrictions) in the event of heavy rain or flooding, and the trigger levels for those actions. b. develop and implement a formalised procedure for liaison with the Rivers Agency so that NIR is informed of any future developments or changes to watercourses which might adversely affect its infrastructure by an increased risk of flooding.</t>
  </si>
  <si>
    <t>UK-0379/2</t>
  </si>
  <si>
    <t>Adverse weather procedures</t>
  </si>
  <si>
    <t>NIR should develop its adverse weather procedures in order to address the risks to train operational safety and include the following: a. improved weather data collection and dissemination within NIR; b. action trigger levels for each type of weather event, the corresponding mitigating actions to be taken (eg enhanced weather monitoring, site patrolling, speed restrictions, line blockage) and the nominated person to make those decisions; c. identification of at-risk locations where special measures must be taken, and the methods and frequency of monitoring at these locations until cessation of the hazard; d. definition of what safety of line checks should be made before the line is opened at full line speed (eg by using the first service train to examine the route at caution, a route proving train or staff on foot); and e. any special measures for infrequently used lines, such as the Antrim branch line.</t>
  </si>
  <si>
    <t>UK-0379/3</t>
  </si>
  <si>
    <t>Voice comms</t>
  </si>
  <si>
    <t>NIR should: a. carry out checks to confirm whether drivers are correctly applying the rule book when first reporting incidents, and implement sufficient re-training of its staff as deemed necessary to address any identified areas of deficiency; b. review the actual quality of safety critical communications between train crew, signallers and controllers in practice, and implement sufficient re-training of its staff to address any identified areas of deficiency; c. review how it monitors and enforces good practice in communications, and implement any necessary changes to relevant practices and procedures; and d. implement a system for routinely checking the correct operation of its voice recording equipment.</t>
  </si>
  <si>
    <t>UK-0379/4</t>
  </si>
  <si>
    <t>Weed control</t>
  </si>
  <si>
    <t>NIR should put in place a process for the ongoing monitoring and control of weeds on the Antrim branch line, including measures to mitigate the risk to train operations arising from any future missed or ineffective treatments, which result in excessive weed cover that could compromise track inspections, and brief this process out to relevant staff. (paragraph 131c)</t>
  </si>
  <si>
    <t>UK-0379/5</t>
  </si>
  <si>
    <t>Post-accident procedures improved</t>
  </si>
  <si>
    <t>NIR should: a. review the effectiveness of its procedures for checking on the welfare of staff involved directly in an incident or accident and for arranging for their debriefing; b.develop an integrated accident investigation procedure with common types of investigation and clarity about roles and responsibilities for each type; c. arrange to have sufficient competent senior management oversight of its investigations so that the full scope of the event which occurred is recognised early, and to supervise the timely collection of relevant evidence (if the RAIB is not attending), set a thorough remit, and review progress; and d. implement its revised procedures and provide training to relevant staff</t>
  </si>
  <si>
    <t>UK-0509/1</t>
  </si>
  <si>
    <t>Competence management</t>
  </si>
  <si>
    <t>Devon &amp; Cornwall Railways should implement formal competence management processes for all safety-critical staff, taking account of best practice in the industry. This should include operational, maintenance and managerial staff, whether permanent or contracted-in (paragraphs 86, 87b to 88 and 89). Particular attention should be given to the management of train drivers on â€˜zero hoursâ€™ contracts and those who drive for more than one company. Devon &amp; Cornwall Railways should subsequently commission an independent review of the arrangements, and audit, to confirm effective implementation.</t>
  </si>
  <si>
    <t>REC-000344</t>
  </si>
  <si>
    <t>UK-0509/2</t>
  </si>
  <si>
    <t>Locos examined and fit to run</t>
  </si>
  <si>
    <t>Devon &amp; Cornwall Railways should implement processes to confirm that locomotives, whether owned or hired-in, have been examined by competent persons and assessed as fit to run before they are released for operational use (paragraphs 88 and 90a).</t>
  </si>
  <si>
    <t>REC-000345</t>
  </si>
  <si>
    <t>UK-0509/3</t>
  </si>
  <si>
    <t>Process for review of safety certs</t>
  </si>
  <si>
    <t>The Office of Rail Regulation should establish a process for the periodic management review of its assessment of safety certificate applications and the resolution of outstanding issues through supervision (paragraph 91). This process should include an evaluation of the extent to which the assessments of applications from new operators are correctly identifying matters for urgent inspection or for refusal of certification. It should also evaluate the effectiveness of post-certification supervision in limiting the risk to the railway in cases requiring urgent inspection.</t>
  </si>
  <si>
    <t>UK-0509/4</t>
  </si>
  <si>
    <t>Safety management system</t>
  </si>
  <si>
    <t>The Office of Rail Regulation should satisfy itself as soon as possible, through supervision, that Devon &amp; Cornwall Railwaysâ€™ revised safety management system (paragraph 101) has established adequate controls regarding the competence of safety-critical staff, traction &amp; rolling stock maintenance and safety culture (paragraphs 88, 89 and 90).</t>
  </si>
  <si>
    <t>UK-0509/5</t>
  </si>
  <si>
    <t>Rail standrad update</t>
  </si>
  <si>
    <t>RSSB should amend rail industry standard â€˜Management of route knowledge for drivers, train managers, guards and driver managersâ€™, Ref. RIS-3702-TOM, to require an assessment of the training needs of new staff. This should clarify how â€˜transferred-inâ€™ route and traction knowledge should be assessed by the new employer (paragraph 87c). Particular attention should be given to the management of train drivers on â€˜zero hoursâ€™ contracts and those who drive for more than one company.</t>
  </si>
  <si>
    <t>UK-0551/1</t>
  </si>
  <si>
    <t>Defects</t>
  </si>
  <si>
    <t>Network Rail should undertake or commission research to identify any opportunities for reducing the size of cracks and defects which can be identified in rails in circumstances likely to be associated with rail breaks. The research should be targeted at providing reliable information using equipment capable of operating routinely throughout its infrastructure</t>
  </si>
  <si>
    <t>UK-0551/2</t>
  </si>
  <si>
    <t>Actions</t>
  </si>
  <si>
    <t>Network Rail should review the actions already being taken to reduce the incidence of rail breaks on the East Coast Main Line (including those described in paragraphs 128 and 129) in order to identify whether similar actions would provide significant safety benefits elsewhere on its infrastructure. If such benefits are identified, Network Rail should modify its processes so that they are applied more widely.</t>
  </si>
  <si>
    <t>UK-0551/3</t>
  </si>
  <si>
    <t>Rail pads</t>
  </si>
  <si>
    <t>Network Rail should establish a process throughout its infrastructure for inspecting parts of rail pads beneath rails (on a sample basis) and, if necessary, replacing rail pads outside rail replacement projects in areas where this is justified by benefits, including benefits from reducing rail break risk.</t>
  </si>
  <si>
    <t>UK-0551/4</t>
  </si>
  <si>
    <t>Testing</t>
  </si>
  <si>
    <t>Network Rail should complete the current test programme to establish the practicability of extending current UTU testing and analysis to identify defects throughout the full depth of a rail and/or defects on the underside of a rail. If the test programme shows that this offers a reasonably practicable means of improving the detection of initiator cracks and other defects associated with potential rail breaks, Network Rail should introduce equipment and processes to implement this improved testing and analysis.</t>
  </si>
  <si>
    <t>UK-0551/5</t>
  </si>
  <si>
    <t>Processes</t>
  </si>
  <si>
    <t>Network Rail should modify existing document preparation processes to ensure that markings intended to show changes to standards and other safety critical documents clearly indicate the change that has occurred.</t>
  </si>
  <si>
    <t>UK-0552/1</t>
  </si>
  <si>
    <t>Improved warnings</t>
  </si>
  <si>
    <t>Where not currently the case, tram operators should review whether it is practicable and appropriate for a series of short, urgent, danger warnings, or other audible warning, to be sounded when there is a person on or close to the line who does not appear to be responding to a tramâ€™s approach. The review should take account of the human factors implications such as the method of operating the warning. Instructions to drivers should be updated accordingly and briefed as necessary (paragraph 95).</t>
  </si>
  <si>
    <t>UK-0552/2</t>
  </si>
  <si>
    <t>Boundary markings</t>
  </si>
  <si>
    <t>Tram operators should review the marking of the boundary of pedestrian crossings crossed by segregated tramways where trams run at relatively high speeds. The review should assess the effectiveness of the means of demarcation in the following respects: indicating that a pedestrian is entering into a higher risk area; and prompting pedestrians to look for approaching trams. Where appropriate, the review, which should also take account of the emerging findings of RSSBâ€™s research project T984, should include identification of proposals to improve the effectiveness of the means of demarcation. Improvements that are appropriate and practicable should be implemented (paragraph 96).</t>
  </si>
  <si>
    <t>UK-0552/3</t>
  </si>
  <si>
    <t>Amend guidance</t>
  </si>
  <si>
    <t>The Office of Rail Regulation should, in conjunction with the UK tramway industry, ensure that its current guidance to tram operators on pedestrian crossings crossed by segregated tramways where trams run at relatively high speeds is reviewed and amended as necessary. The review should include consideration of the following factors: the means of indicating that a pedestrian is entering into an area of higher risk; and the means of prompting pedestrians to look for approaching trams (paragraph 96).</t>
  </si>
  <si>
    <t>UK-0552/4</t>
  </si>
  <si>
    <t>Illuminating crossings</t>
  </si>
  <si>
    <t>Network Rail and tram operators should provide guidance to their staff or other third party on the best means to illuminate pedestrian crossings, when necessary, taking into account the following factors: sufficient illumination of the crossing surface to enable pedestrians to see it; the possible impact on the visual capabilities of pedestrians using the crossing, in particular with respect to glare affecting their ability to detect approaching trains/trams; and relevant findings from RSSB research project T984 (paragraph 98).</t>
  </si>
  <si>
    <t>UK-0553/1</t>
  </si>
  <si>
    <t>install LED units</t>
  </si>
  <si>
    <t>Infrastructure managers should determine which level crossings are fitted with 36 W road traffic light signal (wig-wag) units or with â€˜Blissâ€™ lenses and draw up a time bound plan so that their replacement with LED units is done as soon as possible, those with â€˜Blissâ€™ lenses being dealt with first</t>
  </si>
  <si>
    <t>UK-0553/2</t>
  </si>
  <si>
    <t>Risk from sunlight</t>
  </si>
  <si>
    <t>Infrastructure managers should put in place a method of identifying those locations where there is a significant risk from sunlight impairing the visibility of level crossing wig-wags and barriers, propose suitable mitigation measures where appropriate and implement these measures. The method should be based on suitable research and include specific consideration of the possibility of glare, and the wig-wags being seen against a bright background and the barriers against a dark background, taking into account environmental factors and seasonal daytime variations. A programme of training and briefing of the staff carrying out the assessment should be implemented.</t>
  </si>
  <si>
    <t>UK-0553/3</t>
  </si>
  <si>
    <t>New wig wag</t>
  </si>
  <si>
    <t>Infrastructure managers should, in conjunction with the other industry parties, develop a new type of wig-wag unit with higher luminous intensity than the existing LED units for use at crossings where high background luminance and sunlight glare is a particular problem, and install these units at the appropriate locations</t>
  </si>
  <si>
    <t>UK-0553/4</t>
  </si>
  <si>
    <t>Inspection of wig wags</t>
  </si>
  <si>
    <t>Infrastructure managers should enhance the inspection and maintenance process for wig-wag lamps to provide assurance that they continue to meet their specified performance standard.</t>
  </si>
  <si>
    <t>UK-0554/1</t>
  </si>
  <si>
    <t>Performance of agency staff</t>
  </si>
  <si>
    <t>Taking account of the findings of this investigation (particularly in respect of the actions of the COSS on site and the absence of any effective performance review applied to the COSS), Network Rail should identify and then implement, suitable controls to assure the adequate performance of agency staff in safety leadership roles and/or take steps to reduce its dependence on such staff (paragraph 111a).</t>
  </si>
  <si>
    <t>UK-0554/2</t>
  </si>
  <si>
    <t>Manage risk of agency staff</t>
  </si>
  <si>
    <t>Network Rail, in consultation with all Sentinel sponsor organisations, should develop and implement arrangements to more effectively manage the risk arising from the use of agency staff undertaking work on and around the track. In developing the arrangements, Network Rail should, as a minimum, define improvements in respect of the following issues: a. the requirement for the performance, attitudes and behaviour of agency staff to be regularly monitored; b. the actions to be taken when deficiencies are identified, in particular the possible mechanisms to remedy the deficiency, reasonable timescales within which the deficiencies should be addressed, and the interim measures that can be applied pending resolution; c.the process for temporary suspension of the relevant certification within the Sentinel system and for the prompt reinstatement (to include guidance to contractors and agencies on their responsibilities for updating the status of affected agency staff) on Sentinel; and d. the arrangements for employers to share information in respect of the individuals involved in multiple investigations (paragraphs 111b, 111d and 112a and 112d).</t>
  </si>
  <si>
    <t>UK-0554/3</t>
  </si>
  <si>
    <t>Check improvements</t>
  </si>
  <si>
    <t>Carillion in conjunction with Sky Blue should commission an independent review of the changes they have made to their safety management arrangements following this accident (referred to in paragraphs 143 and 145), with the aim of confirming that they have delivered the necessary improvements. The review should include specific consideration of whether the measures taken in respect of managing the performance of agency staff, and following-up accidents and incidents involving them, have been effective in controlling the risk identified in this report. The review should be completed by March 2014 (paragraphs 112a, 112d and 112e).</t>
  </si>
  <si>
    <t>UK-0554/4</t>
  </si>
  <si>
    <t>Improve witness interviews</t>
  </si>
  <si>
    <t>Network Rail, in consultation with other industry partners as appropriate, should review its processes and examine ways of improving their practices for interviewing witnesses who have been involved in serious incidents and accidents. Taking account of best practice from specialists in this area, it should develop guidance on planning for interviews and techniques for dealing with such witnesses. Training should be provided for individuals who are involved in industry investigation panels or conduct interviews as part of an investigation (paragraph 113).</t>
  </si>
  <si>
    <t>UK-0640/1</t>
  </si>
  <si>
    <t>Method of assessing sighting distances</t>
  </si>
  <si>
    <t>Network Rail should review, and then improve as appropriate, the methods by which controllers of site safety assess both the required and the available sighting distance when at sites of work. The review should include: the accuracy, availability and presentation of information concerning the available sighting distances at sites of work (particularly in those areas where sighting is limited, or too short to permit a sufficient warning from one or more lookouts); identification of recommended methods of assessing sighting distance when on site (including the use of special equipment); and the adequacy of existing training and assessments of competence related to the assessment of sighting.</t>
  </si>
  <si>
    <t>UK-0640/2</t>
  </si>
  <si>
    <t>Method of assessing red zone working</t>
  </si>
  <si>
    <t>Network Rail should review, and then improve as appropriate, the methods by which planners assess the suitability of â€˜Red Zone workingâ€™ when selecting an appropriate safe system of work. The review should include: the availability and presentation of information on sighting distances and warning times; an assessment of when and how the available information is generally used by planners and any barriers to its use; the means by which planners establish locations at which multiple lookouts or special equipment are needed in order to provide sufficient warning; and the means by which planners are informed of locations at which it is impossible for lookout(s) to provide sufficient warning without the use of special equipment.</t>
  </si>
  <si>
    <t>UK-0641/1</t>
  </si>
  <si>
    <t>Managing risk from neighbouring land</t>
  </si>
  <si>
    <t>Network Rail should review and improve its processes for managing earthworks related risk arising from neighbouring land, including associated drainage issues. This should provide a documented process which takes account of the extent to which it is practical and proportionate for Network Rail to review and/or rely on land management activities undertaken by neighbours. The new process should, where reasonably practicable: obtain relevant information from other sources where it cannot be collected by earthwork examiners (eg where examiners are unable to view areas due to access constraints, fences, etc); take advantage of opportunities offered by current technology to assess areas at risk from ground movement and areas where ground movements are occurring; provide a robust process for identifying, and responding appropriately, to activities on neighbouring land which have the potential to significantly increase risk to the railway between routine earthwork examinations; and take advantage of opportunities offered by real-time rainfall monitoring to issue alerts identifying heavy rainfall when this has not been forecast.</t>
  </si>
  <si>
    <t>UK-0641/2</t>
  </si>
  <si>
    <t>Safety related information</t>
  </si>
  <si>
    <t>Network Rail should review and improve its processes so that due consideration is given to all safety related information provided by earthwork examiners and earthwork engineers, including safety related information associated with slopes categorised as marginal or serviceable by the SSHI and RSHI algorithms.</t>
  </si>
  <si>
    <t>UK-0641/3</t>
  </si>
  <si>
    <t>Intelligence on rain or flood risk</t>
  </si>
  <si>
    <t>Network Rail should implement a process for real-time collection (and appropriate use of) intelligence about very unusual rainfall or flooding conditions. Development of this process should take into account the differing risk levels on different parts of the infrastructure and should consider using the following information sources: emergency service control centres; other organisations involved in the provision and management of rail and non-rail transport; reports (encouraged by appropriate railway industry publicity) from on-duty and off-duty railway industry staff including those employed by train operating and maintenance companies; and rain gauge and other types of weather sensor capable of providing data in real time.</t>
  </si>
  <si>
    <t>UK-0641/4</t>
  </si>
  <si>
    <t>Adverse weather system</t>
  </si>
  <si>
    <t>Network Rail should complete initial development of its modified adverse weather earthwork management system. It should then alter its standards and, if necessary, other formal documentation to reflect the modified system. The updated documentation should include a process for the rapid updating of the â€˜at riskâ€™ register when significant risks become apparent</t>
  </si>
  <si>
    <t>UK-0641/5</t>
  </si>
  <si>
    <t>Additional mitigation</t>
  </si>
  <si>
    <t>Network Rail should formalise the process for implementing additional mitigation if very extreme rainfall conditions mean that the mitigation normally provided in response to a red warning is inadequate for earthworks on the â€˜at riskâ€™ register and/or there is a significant likelihood of landslips at locations not included on this register.</t>
  </si>
  <si>
    <t>UK-0710/1</t>
  </si>
  <si>
    <t>Notify geotech team</t>
  </si>
  <si>
    <t>Network Rail should amend its company standards so that track maintenance staff are required to notify the Route geotechnical team if the foot of an embankment is saturated, flooded or has recently been flooded, and a track geometry defect or loss of ballast is found on top of the embankment (paragraphs 114b, 114c, 114d.i, 114d.ii, 114d.iii and 115b).</t>
  </si>
  <si>
    <t>UK-0710/2</t>
  </si>
  <si>
    <t>Flood warning database</t>
  </si>
  <si>
    <t>Network Rail should amend its processes so that when assessing whether an embankment should be included in the flood warning database, the assessment should include additional factors which are relevant to its stability such as how the embankment was constructed (as far as can reasonably be determined) to understand the effect of water on any planes between different types of materials, and the history of flooding or ponding at the foot of the embankment (paragraph 115a).</t>
  </si>
  <si>
    <t>UK-0710/3</t>
  </si>
  <si>
    <t>Change in geometry</t>
  </si>
  <si>
    <t>Network Rail should amend its company standards so that when an earthwork evaluation is carried out on an embankment, the evaluation should consider how the geometry of the track on top of an embankment has changed over time, using data recorded by Network Railâ€™s track geometry recording trains. If the evaluation has been triggered by a change in track quality, flooding or the ponding of water, and includes an assessment of the embankmentâ€™s susceptibility to flooding or water action, the levels of recent rainfall onto the top of the embankment should be considered as part of the assessment (paragraphs 116a and 116b).</t>
  </si>
  <si>
    <t>UK-0822/1</t>
  </si>
  <si>
    <t>Stoneblowing planning</t>
  </si>
  <si>
    <t>Network Rail should review, and if necessary improve, the planning of stoneblowing so that: there is sufficient time allocated within the duration of a possession to complete the work planned to be carried out; and if the duration of the possession is reduced after the work has first been planned, the implications for the completion of the work are examined, and the work re-planned so that the highest priority locations may be completed in the reduced time available (paragraph 122iii).</t>
  </si>
  <si>
    <t>UK-0822/2</t>
  </si>
  <si>
    <t>Freight train braking</t>
  </si>
  <si>
    <t>RSSB, in conjunction with the rail industry, should undertake a review of the Rule Book requirements relating to the action to be taken following an abnormal brake application on a freight train and make any changes found to be necessary to reduce the risk of collision with a derailed vehicle. Such a review should consider under what circumstances and how quickly the signaller should be contacted and the actions to be taken, such as cautioning the first train to pass on the adjacent line (paragraph 124).</t>
  </si>
  <si>
    <t>UK-0823/1</t>
  </si>
  <si>
    <t>Non-compliant curves</t>
  </si>
  <si>
    <t>Network Rail should identify all curves that are non-compliant with Railway Group standard GC/RT5021 and Network Rail standard NR/L2/TRK/2102 in respect of the need to fit a check rail. For each identified curve, Network Rail should implement measures to adequately mitigate the risk of derailment. These may include one or both of the following methods, although other means of mitigation may also be appropriate (paragraph 110a, 111a and 111b): installing a check rail on the curve; and managing rail lubrication on the curve to a suitable level of availability. Implementation of this recommendation may require Network Rail to review curvature information recorded on track geometry measurement train runs (paragraph 79).</t>
  </si>
  <si>
    <t>UK-0823/2</t>
  </si>
  <si>
    <t>Understanding rail friction</t>
  </si>
  <si>
    <t>Network Rail should review its approach to managing changes that may affect the friction on small radius curves to understand whether any alterations to infrastructure and/or management arrangements, have resulted in higher levels of friction. At locations where it is considered that the rail friction is greater than that which applied previously, actions should be taken to reduce the corresponding increase in derailment risk so far as is reasonably practicable. These actions may include (paragraph 110a, 111a, 111b and 112a): improvements to the rail lubrication equipment that is provided and/or the associated management processes; and/or the provision of a check rail.</t>
  </si>
  <si>
    <t>UK-0823/3</t>
  </si>
  <si>
    <t>Update track assets</t>
  </si>
  <si>
    <t>Network Rail should develop and implement (paragraph 110a): criteria for when it is necessary to formally assess the need to bring existing track assets in line with current design standards; and a process to record the findings of such assessments.</t>
  </si>
  <si>
    <t>UK-0825/1</t>
  </si>
  <si>
    <t>Reducing the risk of derailment through inspection of non-standard track assets.</t>
  </si>
  <si>
    <t>This recommendation is intended to reduce the risk of derailment arising from the performance of non-standard track assets by establishing an appropriate and independently checked inspection regime. Network Rail should improve its management systems so that both the identification of all non-standard track assets, and the associated inspection regimes intended to manage any enhanced risk of derailment, are recorded and independently checked. The scope of these inspection regimes should include mechanisms for identifying indications of possible gauge widening and, where necessary, assessing dynamic track gauge.</t>
  </si>
  <si>
    <t>UK-0825/2</t>
  </si>
  <si>
    <t>Assessment of staff in track related safety critical roles.</t>
  </si>
  <si>
    <t>This recommendation is intended to introduce an assessment of staff in track related safety critical roles where the role is reliant on judgements made by that member of staff, to ensure they have the necessary experience and knowledge to perform that role. Network Rail should introduce a timebound programme for assessing (and reassessing at intervals) the competence of its managers with safety critical roles linked to track maintenance (eg section managers [track] and track maintenance engineers), and addressing any shortfalls arising.</t>
  </si>
  <si>
    <t>UK-0825/3</t>
  </si>
  <si>
    <t>Review of processes used for safety-critical competences assessment.</t>
  </si>
  <si>
    <t>This recommendation is intended to establish whether it is appropriate to extend the aims of recommendation 2 beyond the track discipline. Network Rail should introduce a timebound programme for the review of the processes used for assessing (and reassessing at intervals) the competence of managers with safety critical roles linked to the maintenance of assets other than track, and addressing any shortfalls arising.</t>
  </si>
  <si>
    <t>UK-2031/1</t>
  </si>
  <si>
    <t>Assessment of risk for faults</t>
  </si>
  <si>
    <t>Nexus, supported by DBTW, should carry out a detailed assessment of the risk associated with faults in the line breaker unit, which should include: identification of actual and potential failure mechanisms and an estimate of their likely frequency; consideration of the possible effects of line breaker faults, taking account of the configuration and reliability of the electrical protection systems currently provided on the Metro system; and consideration of possible consequences, taking account of the potential for fire in high risk environments, such as tunnels. Appropriate actions to reduce the risk and potential consequences of failures should be defined and implemented following the review (paragraphs 104a, 104b and 104c).</t>
  </si>
  <si>
    <t>UK-2031/2</t>
  </si>
  <si>
    <t>Release of handles</t>
  </si>
  <si>
    <t>DBTW, supported by Nexus, should establish the maximum level of force required to enable a diverse range (such as 5th percentile female to 95th percentile male) of passengers to easily operate the emergency door release handles on the Metro car fleet, and implement the necessary inspection and maintenance processes to achieve it in practice, taking account of the need to balance the ease of operation in emergency with the risk of undesired door releases (paragraph 106a).</t>
  </si>
  <si>
    <t>UK-2031/3</t>
  </si>
  <si>
    <t>Communications systems</t>
  </si>
  <si>
    <t>Nexus should review the communication systems used on the Metro network, establish an appropriate level of reliability/availability for them, and implement, in a defined timescale, the introduction of suitable improvements (paragraph 106b).</t>
  </si>
  <si>
    <t>UK-2155/1</t>
  </si>
  <si>
    <t>Railway Infrastructure Managers with tunnels and associated subterranean structures which are under ...</t>
  </si>
  <si>
    <t>Railway Infrastructure Managers with tunnels and associated subterranean structures which are under urban areas and not shown on Ordnance Survey mapping should implement a process to publish information concerning those areas of land that are in reasonable proximity to this infrastructure. They should then take all reasonable steps to publicise this information, and to ensure that it is available to those providing the legal and ground engineering professions with significant numbers of searches relating to property in Great Britain (paragraphs 97b and 99).</t>
  </si>
  <si>
    <t>UK-2155/2</t>
  </si>
  <si>
    <t>Not shown on OS maps</t>
  </si>
  <si>
    <t>Railway Infrastructure Managers with tunnels and associated subterranean structures which are under urban areas and not shown on Ordnance Survey mapping should provide Local Planning Authorities with the information needed for these authorities to identify when a planning application has the potential to affect this infrastructure (paragraphs 97e and 97f).</t>
  </si>
  <si>
    <t>UK-2155/3</t>
  </si>
  <si>
    <t>Identifying infrastructure development</t>
  </si>
  <si>
    <t>Railway Infrastructure Managers should review, and where appropriate, revise existing arrangements for identifying infrastructure development which could affect tunnels and associated subterranean structures in urban areas. Where not already done, this should include pro-actively searching for planning applications and undertaking visual inspections of the ground surface above tunnels (paragraph 98).</t>
  </si>
  <si>
    <t>UK-2155/4</t>
  </si>
  <si>
    <t>Amend BS 5930</t>
  </si>
  <si>
    <t>The British Standards Institution should amend British Standard 5930:1999+A2:2010 â€˜Code of practice for site investigationsâ€™ to make clear (paragraph 100): a. that tunnels used by underground railways and associated subterranean structures may not be shown on Ordnance Survey mapping; and b. that rail infrastructure owners should be contacted during desk studies and utility searches where appropriate.</t>
  </si>
  <si>
    <t>UK-2155/5</t>
  </si>
  <si>
    <t>Awareness of planning applications</t>
  </si>
  <si>
    <t>The Department for Communities and Local Government should introduce a process to ensure that Railway Infrastructure Managers are made aware of all planning applications in the vicinity of railway infrastructure. This process should at least meet the intent of the statutory consultation process (paragraphs 97f and 101).</t>
  </si>
  <si>
    <t>UK-2249/1</t>
  </si>
  <si>
    <t>Mitigate extended crossing times</t>
  </si>
  <si>
    <t>Network Rail should introduce measures to reduce the risk from extended operating times of automatic crossings caused by operation of a strike-in treadle by a train travelling away from the level crossing. This might include issuing suitable operating instructions to signallers for those crossings that might be affected or the installation of directional treadles. An engineered solution should be installed where reasonably practicable (paragraph 85a).</t>
  </si>
  <si>
    <t>UK-2249/2</t>
  </si>
  <si>
    <t>Improving phones</t>
  </si>
  <si>
    <t>Network Rail in conjunction with RSSB should review past and current research into level crossing signage and emergency communication with signallers and consider means of improving the presentation of public emergency telephones for non-emergency use at automatic level crossings (paragraph 85c). This might include changes to signage or to the location of telephones, and should take account of Rule 34 of the Highway Code.</t>
  </si>
  <si>
    <t>UK-2249/3</t>
  </si>
  <si>
    <t>Update LC guidance</t>
  </si>
  <si>
    <t>If the RSSB research into improving the presentation of public emergency telephones for non-emergency use at automatic level crossings (Recommendation 1) identifies that reasonably practicable improvements can be made, the Office of Rail Regulation should incorporate these into the level crossing guidance it publishes.</t>
  </si>
  <si>
    <t>UK-2249/4</t>
  </si>
  <si>
    <t>Move stop lines</t>
  </si>
  <si>
    <t>Network Rail Western Route should modify the location of the pedestrian stop lines at Athelney level crossing as required to make these conform to the current guidance published by the Office of Rail Regulation (paragraphs 85c and 86a).</t>
  </si>
  <si>
    <t>UK-2253/1</t>
  </si>
  <si>
    <t>Excessively long time for lights</t>
  </si>
  <si>
    <t>Network Rail should, as soon as possible, review all automatic level crossings (including AHB, ABCL, AOCL and MSL crossings) to identify locations where complex track and signalling layouts, nearby stations and/or railway operations may lead to the red road/pedestrian lights showing for an excessively long time. At each location that is identified, Network Rail should assess the risk from extended closure times, and take action to manage this risk as necessary (paragraph 116a).</t>
  </si>
  <si>
    <t>UK-2253/2</t>
  </si>
  <si>
    <t>Possible long waiting times</t>
  </si>
  <si>
    <t>Network Rail should determine, in the light of the risk that arose from the indiscriminate use of the non-stopping setting at Liverpool Street IECC, whether there are any other locations where local instructions/practices may be at risk of introducing unnecessarily long waiting times at automatic crossings, and take appropriate action to correct the situation (paragraph 116b).</t>
  </si>
  <si>
    <t>UK-2253/3</t>
  </si>
  <si>
    <t>Implementing ARS</t>
  </si>
  <si>
    <t>Network Rail should review its processes for designing and implementing ARS where it interacts with level crossing controls, and amend or enhance them as necessary to produce assurance that the design will result in the crossing operating in accordance with relevant standards and guidance (paragraph 116c).</t>
  </si>
  <si>
    <t>UK-2253/4</t>
  </si>
  <si>
    <t>Max time for red lights</t>
  </si>
  <si>
    <t>Network Rail should establish, by carrying out research or otherwise, appropriate maximum time(s) for red lights to be designed to be shown at MSL crossings, and acceptable levels of variability for this time (taking into account factors such as the types of train, and stopping patterns), in view of the risk that users may become intolerant of extended waiting times. Taking account of the results of this work, it should modify its risk management processes for MSL crossings to include consideration of the length of time that the red lights show (paragraph 116c).</t>
  </si>
  <si>
    <t>UK-2264/1</t>
  </si>
  <si>
    <t>Verbal comms</t>
  </si>
  <si>
    <t>Tram Operations Ltd should revise its policy on verbal communications to: reinforce rules on the avoidance of communicating with drivers by mobile phone while trams are moving (paragraph 104); minimise, where possible, communication by radio while trams are moving particularly for complex issues (such as the resolution of faults) (paragraph 101a); and enhance the use of readbacks for safety-critical communications in abnormal, degraded and emergency scenarios (paragraph 101f).</t>
  </si>
  <si>
    <t>UK-2264/2</t>
  </si>
  <si>
    <t>Improved fault handling</t>
  </si>
  <si>
    <t>Tram Operations Ltd should revise its training modules and procedures on fault handling to achieve: improved awareness amongst drivers and controllers of critical fault modes, the effects of operating override switches (including the fault override and the driverâ€™s emergency door release) and how to respond to faults, including guidance on co-operation between drivers and controllers (paragraphs 101b, 101c, 101f, and 102c); and clarification of the procedure for handling critical faults such as Alpha faults, including explicit guidance for defined circumstances (such as how many attempts should be made to rectify a fault and when the tram should be taken out of service) (paragraph 101g).</t>
  </si>
  <si>
    <t>UK-2264/3</t>
  </si>
  <si>
    <t>Improved cab displays</t>
  </si>
  <si>
    <t>London Tramlink, in conjunction with Tram Operations Ltd, should improve cab displays and labelling in all of its trams. This should include, but not be limited to: a prominent indication of the status of the doors (for example, by changes to the cab panel indicator light, or by introducing an audible warning) (paragraph 102a); and information provided to the driver about the fault override function and other safety-critical overrides (such as the emergency door release), including the switch label and the associated alert on the message display, to clarify its purpose and effects of its operation (paragraph 101d).</t>
  </si>
  <si>
    <t>UK-2264/4</t>
  </si>
  <si>
    <t>Assessment of controls</t>
  </si>
  <si>
    <t>UK tram operators should conduct an assessment of controls in driving cabs in their current and future fleets to identify those which override safety systems, the risk of drivers inadvertently operating those controls and, where reasonably practicable, design and implement solutions to minimise such risk based on the lessons from this investigation (paragraph 101d).</t>
  </si>
  <si>
    <t>UK-2264/5</t>
  </si>
  <si>
    <t>Guidance on ergonomic principles</t>
  </si>
  <si>
    <t>The Office of Rail Regulation should ensure that UK tram operators publish suitable guidance on ergonomics principles for cab interface design (with reference to appropriate tramway, railway and European standards), and identify where such guidance is to be found in the long term. This shall include guidance on protecting safety-related controls from accidental operation (paragraph 101d).</t>
  </si>
  <si>
    <t>UK-2264/6</t>
  </si>
  <si>
    <t>Passenger controls</t>
  </si>
  <si>
    <t>Tram Operations Ltd should take steps to improve the clarity and consistency of passenger controls and displays on its trams, taking into account the findings of RSSB project T052c as appropriate (paragraph 101e).</t>
  </si>
  <si>
    <t>UK-2264/7</t>
  </si>
  <si>
    <t>Radio system</t>
  </si>
  <si>
    <t>London Tramlink should develop and implement a programme to prioritise and expedite the planned upgrade of the radio system, to achieve an improvement in signal coverage and strength across the whole network (including tunnels) and reliable operation in adverse weather conditions (paragraph 102b).</t>
  </si>
  <si>
    <t>UK-2264/8</t>
  </si>
  <si>
    <t>Fault reporting process</t>
  </si>
  <si>
    <t>Tram Operations Ltd should improve its fault reporting processes to ensure that faults are properly logged and tracked to resolution (paragraph 102b).</t>
  </si>
  <si>
    <t>UK-2294/1</t>
  </si>
  <si>
    <t>Quality assurance</t>
  </si>
  <si>
    <t>Rexquote should implement a quality assurance process commensurate with good practice in engineering safety management. Development of the process should include, but not be limited to, consideration of the following measures: undertaking peer review or checking of design assumptions and design calculations; ensuring that the intended design performance of equipment is used as the basis for assessing the results of design validation testing; ensuring that maintenance procedures and the associated tests are consistent with the intended design performance of equipment; ensuring that the design of safety related systems, such as brakes, and of any associated maintenance processes, takes account of foreseeable degradation mechanisms, such as brake pad wear, the need for adjustments and environmental conditions; and formal certification by an external body.</t>
  </si>
  <si>
    <t>UK-2294/2</t>
  </si>
  <si>
    <t>Network Rail audit</t>
  </si>
  <si>
    <t>Network Rail should extend its process for auditing the engineering management system of rail plant suppliers (linked to Bradford Interchange Recommendation 4; paragraph 160) so that it includes auditing the engineering safety management processes of all organisations manufacturing and/or converting rail plant likely to be used on Network Rail infrastructure (paragraphs 155 and 156a).</t>
  </si>
  <si>
    <t>UK-2294/3</t>
  </si>
  <si>
    <t>Lighting</t>
  </si>
  <si>
    <t>Network Rail, in conjunction with RSSB, should review the requirements for RRV lighting in standard RIS-1530-PLT, with the objective of reducing the risk of RRVs running away without active lights. This should include consideration of: requiring rail mode lighting to be activated when rail wheels start to be deployed (when on-tracking is taking place); and requiring all illuminated lights to remain lit on activation of engine stop or emergency stop controls. (paragraph 157a)</t>
  </si>
  <si>
    <t>UK-2294/4</t>
  </si>
  <si>
    <t>Improve brake testing</t>
  </si>
  <si>
    <t>Network Rail, in conjunction with the M&amp;EE Networking Group, should review and improve the requirements and guidance for testing of RRV parking brakes so that such tests reliably demonstrate that the brake will be effective in all foreseeable operating conditions. The review should include, but not be limited to, consideration of: demonstrating sufficient safety margins (including any related to uncertainties in the testing method); allowing for foreseeable degradation, such as brake pad wear; allowing for varying environmental conditions, including variations in contamination at the brake/wheel interface; ensuring that test methods used are repeatable and consistent; and testing to be carried out by RRV suppliers, users and maintainers. (paragraph 154g)</t>
  </si>
  <si>
    <t>UK-2375/1</t>
  </si>
  <si>
    <t>Source records</t>
  </si>
  <si>
    <t>Network Rail should revise its project management processes and company standards to require that signalling re-control projects (ie projects transferring the control of signalling from one location to another when the interlocking, trackside signalling equipment and infrastructure are unchanged) identify the signalling source records that are needed for the design, checking and testing of these works. These projects should then be required to include activities within their scope of work to obtain these signalling source records, including correlating, updating or producing records as necessary (paragraphs 144a, 144c and 145).</t>
  </si>
  <si>
    <t>UK-2375/2</t>
  </si>
  <si>
    <t>Incorrect track circuit names</t>
  </si>
  <si>
    <t>Network Rail should, in consultation with its principal signalling contractors, review the ways of detecting and addressing incorrect track circuit names for all types of signalling or scheme plan production. The review should consider what manual or automatic methods can be used by designers and checkers. The findings of the review should then be implemented by means of a time bound programme for changes to the tools and mandated design processes that cover this activity (paragraphs 144b, 144b.i, 144b.ii, 144d, 144e and 144f).</t>
  </si>
  <si>
    <t>UK-2375/3</t>
  </si>
  <si>
    <t>Fixed infrastructure</t>
  </si>
  <si>
    <t>Network Rail should revise its design processes so as to specifically require that the position of fixed infrastructure, shown on any new signallerâ€™s display being installed by a project, is correlated to its position as shown on the existing signallerâ€™s display that is being replaced. This work should be carried out by staff who are qualified as competent to do correlation, and when a discrepancy is found between the new and existing signaller displays, they should record it and investigate the reason for it. Such an investigation should include a check of the accuracy of associated records, such as signalling or scheme plans, and result in the necessary corrections being made to the design or to the records to resolve the discrepancy (paragraphs 144g, 144h and 146b).</t>
  </si>
  <si>
    <t>UK-2375/4</t>
  </si>
  <si>
    <t>Deferred test logs</t>
  </si>
  <si>
    <t>Network Rail should revise the controls for managing deferred test logs so that: the person calling for the deferral of a test log is required to assess the risk to the safety, design and functionality of the signalling system by not closing the test log, record the outcome of their assessment and state any mitigation measures that need to be put in place before the signalling system can be commissioned; and the tester responsible for commissioning the signalling system is required to review the assessment, agree to the deferral of the test log and to check that the suggested mitigation measures are in place, before allowing the signalling system to be commissioned (paragraph 144i).</t>
  </si>
  <si>
    <t>UK-2375/5</t>
  </si>
  <si>
    <t>Telephones</t>
  </si>
  <si>
    <t>Network Rail should have procedures in place that require the signallerâ€™s display to be updated in a controlled manner when telephones are being fitted at a level crossing for the first time. The requirements should also include what steps must be taken to record the change to the level crossing in the signalling source records (paragraph 146a).</t>
  </si>
  <si>
    <t>UK-2445/1</t>
  </si>
  <si>
    <t>Rule Book review</t>
  </si>
  <si>
    <t>Northern Ireland Railways should review (in conjunction, as necessary, with Iarnród Éireann) the requirements of the NIR/IE Rule Book, NIR Rule Book Appendix and NIR Signalmenâ€™s General Instructions which relate to activities at level crossings within pre-planned possessions. This review should consider whether: all of the level crossing types present on the infrastructure managed by Northern Ireland Railways are covered by the existing rules and instructions; the risks of such activities are being adequately mitigated; and existing risk controls are adequately resourced and comply with any relevant industry best practice, legislation, regulations, codes of practice and guidance. Northern Ireland Railways (in conjunction with Iarnród Éireann as necessary) should implement any changes identified as a result of this review. Northern Ireland Railways should ensure that suitable briefing and training accompanies any changes which are implemented (paragraphs 111c, 111e and 116).</t>
  </si>
  <si>
    <t>UK-2445/2</t>
  </si>
  <si>
    <t>Method statements</t>
  </si>
  <si>
    <t>Northern Ireland Railways should review any method statements currently being used by its track department in order to ensure that they are supported by risk assessments, in accordance with relevant requirements of the infrastructure divisionâ€™s safety management system (paragraph 115).</t>
  </si>
  <si>
    <t>UK-2445/3</t>
  </si>
  <si>
    <t>Restructuring infrastructure division</t>
  </si>
  <si>
    <t>Northern Ireland Railways should implement the planned restructuring of the infrastructure division safety, quality and environment team. The team should have the resources and tools necessary to facilitate the identification of non-compliances to the NIR/IE Rule Book, NIR Rule Book Appendix and NIR Signalmenâ€™s General Instructions, similar to those identified by this investigation. This should be supported by ongoing monitoring arrangements by Northern Ireland Railways of the performance of its framework contractors (paragraphs 110, 111a, 111b, 111d, 112, 113, 114, 119 and 120).</t>
  </si>
  <si>
    <t>UK-2446/1</t>
  </si>
  <si>
    <t>Risk assessments</t>
  </si>
  <si>
    <t>Arriva Trains Wales should identify all locations where traincrew carry out operational activities such as token exchange and level crossing operation in addition to train dispatch, and develop risk assessed methods of work for each location. The methods of work should be briefed, and trained to all traincrew, incorporated in the performance monitoring systems and be subject to periodic review (paragraphs 106a, 106b and 108a).</t>
  </si>
  <si>
    <t>UK-2446/2</t>
  </si>
  <si>
    <t>Review position of platform equipment</t>
  </si>
  <si>
    <t>Arriva Trains Wales should lead a review of the positioning of platform equipment and signage used by traincrew at unmanned stations and, where practicable, arrange with Network Rail for improvements to be made. This should include (paragraphs 106a and 106b): a. identification of the optimum stopping position for trains to enable the best achievable view of signals, stop boards and indicators; and b. an assessment of the positioning of control equipment operated by traincrew (such as level crossing controls).</t>
  </si>
  <si>
    <t>UK-2446/3</t>
  </si>
  <si>
    <t>Improve signalling design</t>
  </si>
  <si>
    <t>Network Rail should make improvements to its processes for the design of new and altered signalling, to require the active consideration of reasonable opportunities to make improvements (for example, the types of measures indicated in NB 130 (paragraph 75)) to the control of risk beyond the immediate scope of the proposed works, including identifying where operator errors, individual or collective, could lead to unsafe conditions (paragraph 106c).</t>
  </si>
  <si>
    <t>UK-2446/4</t>
  </si>
  <si>
    <t>Review operational risk management</t>
  </si>
  <si>
    <t>Arriva Trains Wales should conduct a review of its operational risk management arrangements in the light of the findings from this investigation, and make improvements in accordance with the findings of the review (paragraphs 106a, 106b, 108a and 108b). The scope of the review should include: a. the process for assessing risk associated with station duties on all lines over which its traincrews operate (eg the application of route risk assessments); b. a prioritised plan for the assessment of dispatch risk at unmanned platforms; c. a prioritised plan to formulate, brief and train dispatch plans to traincrew; d. the effectiveness of its methods for checking compliance with its policies and procedures (eg the application of remote booking-on spot checks, out-of-hours checks, and remote monitoring of the use of safety-critical equipment (including the use of OTDR data)); e. the guidance issued by ORR and RSSB about fatigue management, in particular sleep risk assessments when booking-on duty, and a culture of trust and openness in fatigue management; and f. the need for a revision of its training practices and materials for drivers, conductors and controllers to explain the rationale that underpins the rules and to emphasise the benefits of compliance (as well as describing the rules and the consequences of noncompliance).</t>
  </si>
  <si>
    <t>UK-2446/5</t>
  </si>
  <si>
    <t>Indication to driver</t>
  </si>
  <si>
    <t>Network Rail should review the current arrangements for providing an indication to the train driver of the status of the crossing at Llandovery. This should include consideration of the practicability of providing an active indication when the crossing is still open to road traffic (eg a flashing red light). This review should then be extended to other traincrew operated level crossings of a similar design (paragraphs 106a, 106b and 107).</t>
  </si>
  <si>
    <t>UK-2446/6</t>
  </si>
  <si>
    <t>Training for duty control managers</t>
  </si>
  <si>
    <t>Arriva Trains Wales should review and improve the training and guidance given to its duty control managers on the steps to be taken when traincrew are involved in a serious operating incident where their actions directly contributed to it (paragraph 109).</t>
  </si>
  <si>
    <t>UK-2494/1</t>
  </si>
  <si>
    <t>Review crossing indicators</t>
  </si>
  <si>
    <t>Network Rail, in consultation with RSSB, should conduct a human factors and technical review of the indications displayed at driverâ€™s crossing indicators provided on the approach to automatic locally monitored level crossings, and evaluate alternative means (eg audible and visual) of indicating to train drivers that the level crossing has not operated as intended. A time-bound plan for improvements arising from the review should be developed using a risk-based approach (paragraph 101a).</t>
  </si>
  <si>
    <t>UK-2494/2</t>
  </si>
  <si>
    <t>Improve reliability</t>
  </si>
  <si>
    <t>Network Rail should review the arrangements in place at all types of automatic locally monitored level crossings, and make improvements to the reliability of those crossings. The review, and associated improvements, should include (but not be limited to): a. locations where parallel protective systems exist (such as multiple earthing systems combined with RCD protection) where their presence can lead to unnecessary loss of the main network power supply to the level crossing; b. the plans in place to ensure that UPS systems maintain adequate performance throughout their life (including plans to replace UPS battery systems during the life of the UPS system); and c.understanding the age of UPS systems in use, and the manufacturerâ€™s life expectancy of those assets (paragraphs 101b and 102b).</t>
  </si>
  <si>
    <t>UK-2494/3</t>
  </si>
  <si>
    <t>Remote condition monitoring</t>
  </si>
  <si>
    <t>Network Rail should evaluate the practicality of remote condition monitoring of the power supply system, and key sub-systems whose failure can have the same effect as loss of power supply, at all locally monitored level crossings, so that prompt action can be taken to manage the failure (such as telling train drivers that the crossing has failed and arranging for technical staff to attend the level crossing to investigate the failure) (paragraph 101c).</t>
  </si>
  <si>
    <t>UK-2494/4</t>
  </si>
  <si>
    <t>Enhance briefing for drivers</t>
  </si>
  <si>
    <t>First TransPennine Express should review and enhance its briefing techniques and guidance material for train drivers (paragraph 102c): a.to explain the role of the driver at locally monitored crossings; b.to ensure that it properly reflects the operation of key infrastructure assets such as level crossings (including revisions to its description of the arrangements at automatic locally monitored level crossings, beyond the level of detail described in the railway rule book); c.to allow its train drivers to practise dealing with unannounced level crossing failures, including, for example, the use of its train driving simulator or video-based hazard perception exercises; d. by using focused, risk-based, presentation material for briefing operational staff (paragraph 103b); and e.by stating clearly the action drivers should take when passing the special speed restriction board of any locally monitored automatic level crossing, when a flashing red light is visible at the drivers crossing indicator (paragraph 103b).</t>
  </si>
  <si>
    <t>UK-2496/1</t>
  </si>
  <si>
    <t>Reassessment of trap and drag risks using historical data.</t>
  </si>
  <si>
    <t>The intent of this recommendation is to reduce the risk to passengers due to trapping and dragging incidents by taking into account the learning from this accident. Operators of Siemens UK Desiro trains fitted with electrically operated sensitive edges should re-assess the risk of injuries and fatalities due to a trapping and dragging incident in light of failures identified in this report and take appropriate action to reduce the risk. This should take account of historical data, the incidents highlighted in this report and precursor events to trapping and dragging. This risk assessment should take into account observed passenger behaviour (eg by monitoring passenger attempts to reopen closing doors) and estimated human error rates within the dispatch process (paragraph 143b).</t>
  </si>
  <si>
    <t>UK-2496/2</t>
  </si>
  <si>
    <t>Modification of door design.</t>
  </si>
  <si>
    <t>The intent of this recommendation is to reduce the risk to passengers due to trapping and dragging incidents by modification of future door designs. Siemens should redesign the doors, as used on the Class 185 and other similar units, for future vehicles supplied to the UK, to reduce the probability of a passenger being trapped in them but not detected by the door control system. This could be achieved by redesigning the sensitive edges or by other means (paragraph 143b).</t>
  </si>
  <si>
    <t>UK-2496/3</t>
  </si>
  <si>
    <t>Improvement of design processes.</t>
  </si>
  <si>
    <t>The intent of this recommendation is to reduce the risk to passengers due to hazards from trains supplied by Siemens which are either discovered at the design stage, or that subsequently emerge during service. Siemens should review and, where appropriate, improve their design processes to ensure that they fully identify record and assess hazards associated with the design of their trains. The train operator, or those with operational experience, should be involved in the hazard identification and review process to ensure that this is considered in any design decisions. Any hazards identified following the design phase should be fully assessed, including consideration of the potential for redesign to manage the residual risk. Where this is not practicable, the operator of the train and/or the maintainer should be made aware of the hazard and the residual risk so that suitable mitigation measures and monitoring arrangements can be put in place. Siemens should also seek to ensure that it is kept aware of problems that emerge during service so that the need for subsequent design modifications can be assessed as necessary (paragraph 99).</t>
  </si>
  <si>
    <t>UK-2496/4</t>
  </si>
  <si>
    <t>Hazard logging and risk management.</t>
  </si>
  <si>
    <t>The intent of this recommendation is to reduce the risk to passengers due to hazards from trains operated by First TransPennine Express by implementing a process for the logging of hazards and the management of risk associated with each. It is also intended that the recording of hazards should be sufficiently visible to its staff so that awareness of them is maintained, possible precursors established (eg near-misses) and monitored and regularly re-assessed. First TransPennine Express should continue to review and, where appropriate, improve its safety management processes to ensure that it has a system for the identification and recording of hazards, assessment of the risk associated with each, and management of the implementation of any necessary control measures. By means of these processes, FPTE should: a) manage risk associated with the original design features of the trains it operates, and those that emerge during operations, inspections and maintenance, or when changes are made to equipment and operational practice (paragraph 110); b) develop a time bound programme for the implementation of control measures that have been identified; and c) track the implementation of any control measures, including those identified during its station risk assessments (paragraph 150). This recommendation may be applicable to other train operating companies.</t>
  </si>
  <si>
    <t>UK-2496/5</t>
  </si>
  <si>
    <t>Integrity of door obstruction detection systems.</t>
  </si>
  <si>
    <t>The intent of this recommendation is to reduce the risk to passengers due to trapping and dragging incidents by ensuring that door obstruction detection systems on new trains, both in the UK and Europe, cannot be readily overcome. RSSB should recommend to the British Standards Institution (BSI) that in the forthcoming BS EN version of the European standard (EN 14752 Railway applications - Bodyside Entrance Systems for rolling stock) the UK National Foreword informs readers of the possibility of entrapment even on correctly adjusted doors that comply with the specified obstruction tests (paragraph 161). Additionally, RSSB should recommend to the BSI that in the formal vote on this emerging European standard, it includes a request to review the obstruction test requirementsto reduce the probability of trapping and dragging and to make reference to either this investigation report, or the urgent safety advice issued by the RAIB to the European Rail Agency (ERA) on 24 October 2013, reference 665/02 on ERAâ€™s Safety Information System (paragraph 154).</t>
  </si>
  <si>
    <t>UK-2496/6</t>
  </si>
  <si>
    <t>Additional data for RSSB safety management system.</t>
  </si>
  <si>
    <t>The intent of this recommendation is for RSSB to consider what additional data needs to be captured within its Safety Management Information System (SMIS) to allow a more complete evaluation of the risk of trapping and dragging events on the national network. RSSB should identify any additional data that should be captured within SMIS from incidents of persons trapped by train doors, who are outside the train which subsequently moves, whether this results in injury or not. This data should be collected and used by railway undertakings to monitor such events and inform decisions to reduce this risk (paragraph 130).</t>
  </si>
  <si>
    <t>UK-2530/1</t>
  </si>
  <si>
    <t>Update CMS</t>
  </si>
  <si>
    <t>Greater Anglia should complete the update of its Competence Management System to include consideration of non-technical skills (paragraph 123b.i). The updated Competence Management System should include: the development and delivery of training on non-technical skills to Greater Angliaâ€™s drivers, driver managers and driver instructors by suitably qualified trainers (paragraph 128); the tools necessary to support its application, including those required to: identify substandard non-technical skills; alert a manager to a driver who is found not to be meeting the competence requirements on repeated occasions; and guide managers on the actions to be taken (paragraphs 123b .ii); a briefing of those who manage the implementation of the Competence Management System so that procedures are complied with (eg managers know when to refer drivers to safety review panel) (paragraph 123c.ii); and monitoring of the implementation of the updated Competence Management System to confirm that it delivers the expected improvement in the safety performance of its drivers (paragraph 129).</t>
  </si>
  <si>
    <t>UK-2530/2</t>
  </si>
  <si>
    <t>Update procedures</t>
  </si>
  <si>
    <t>Greater Anglia should: update its accident and incident investigation procedures to include consideration of non-technical skills in the causation of accidents; and train all its investigators to assess the role of non-technical skills in the causation of accidents (paragraph 123c.i).</t>
  </si>
  <si>
    <t>UK-2530/3</t>
  </si>
  <si>
    <t>Change audit procedure</t>
  </si>
  <si>
    <t>Greater Anglia should review and make any necessary changes to the application of the audit procedure, including any locally pre-defined question sets, to ensure that it allows for consideration of compliance with all safety related elements of the operational procedures (paragraph 123c.iii).</t>
  </si>
  <si>
    <t>UK-2530/4</t>
  </si>
  <si>
    <t>Fatigue risk management system</t>
  </si>
  <si>
    <t>Greater Anglia should complete the review of its fatigue risk management system to identify and implement improvements. Greater Anglia should continue to refer to the Office of Rail Regulationâ€™s guidance, dated January 2012 on â€˜Managing rail staff fatigueâ€™ as part of the review (paragraph 125c).</t>
  </si>
  <si>
    <t>UK-2530/5</t>
  </si>
  <si>
    <t>Permissive working</t>
  </si>
  <si>
    <t>Network Rail should assess the risk associated with permissive working at Norwich station. Greater Anglia should support Network Rail by providing an understanding of the current constraints and processes for short-term alterations to platform allocations. Network Rail should take these into account when assessing the risk and determining any necessary risk control measures.</t>
  </si>
  <si>
    <t>UK-2568/1</t>
  </si>
  <si>
    <t>Reducing risk of inadequate sighting at user worked crossings.</t>
  </si>
  <si>
    <t>The intent of this recommendation is to reduce the short-term risk associated with inadequate sighting of approaching trains at user worked crossings by checking that sufficient allowance is made for the position of the driver in the types of vehicle likely to use the crossing. This recommendation should be implemented pending the completion of research referred to at Recommendation 2. Network Rail should implement a time-bound plan for the re-assessment of the sighting of approaching trains at all user worked crossings where safe use depends on vehicle drivers sighting approaching trains. The time-bound plan should also cover implementation of any mitigation needed to permit safe use of such crossings. The objective of the re- assessment process shall be to verify that drivers seated in the normal driving position of their vehicle have sufficient sighting of approaching trains when the front of their vehicle is stopped a safe distance clear of the line (paragraphs 103 and 105). In providing guidance to staff, Network Rail should consider: the range of vehicle stopping positions; the types of vehicles likely to use each crossing (particularly the distances of the driverâ€™s eyes from the front of the vehicle); and any effects due to crossing gates being open, including obstruction of sighting by signs on the gate, when vehicle drivers are looking for trains.</t>
  </si>
  <si>
    <t>UK-2568/2</t>
  </si>
  <si>
    <t>Research into improvement of safety at crossings reliant on sight detection of approaching trains.</t>
  </si>
  <si>
    <t>The intent of this recommendation is to identify measures which complement those achieved by Recommendation 1. It is intended to assist risk management until such time as all UWCs are equipped with technology capable of providing reliable advice to crossing users. Network Rail should commission research into measures to improve the safety of UWCs where vehicular users are reliant on sight to detect the approach of trains (paragraph 103). This should utilise and, as necessary, extend existing research findings to include consideration of: the ways in which the behaviour of vehicle drivers can be influenced by the design of the crossing to use the crossing as intended including stopping and looking for trains at an appropriate location; luse by different types of vehicle, including heavy commercial and agricultural vehicles; use of the crossing by persons other than those briefed by the authorised user (eg unexpected visitors or delivery vehicles); instructions and/or guidance given to users, including signs and road markings where appropriate; and instructions and guidance provided to those assessing, maintaining and modifying UWCs. This research should take into account the safety of pedestrians (including vehicle occupants when opening gates), cyclists and equestrians who may use UWCs. The findings of this research should be used by Network Rail to improve/ clarify existing standards related to the design (including gates, signage and road markings), management of user worked crossings, guidance provided to users and training/briefing to relevant staff. Network Rail should also identify the need for any modification to the legal requirements relating to level crossing signage requirements, and make suitable representations to government that this be done.</t>
  </si>
  <si>
    <t>UK-2568/3</t>
  </si>
  <si>
    <t>Checking required signage at level crossings.</t>
  </si>
  <si>
    <t>The intent of this recommendation is for Network Rail to provide those responsible for checking level crossing signage with information in a user-friendly format needed to establish the signage required at each level crossing. Network Rail should review, and if found necessary, modify its processes so that staff checking level crossing signage have a practical and easily used means of establishing the signage required at each crossing they are inspecting.</t>
  </si>
  <si>
    <t>UK-2568/4</t>
  </si>
  <si>
    <t>Review of criteria for level crossing times.</t>
  </si>
  <si>
    <t>The intent of this recommendation is for Network Rail to review and update its method of calculating crossing times. Network Rail should, in consultation with ORR, review and if necessary, amend the criteria used to calculate crossing times with reference to vehicle speed, the time taken to reach a decision when to start crossing and vehicle length.</t>
  </si>
  <si>
    <t>UK-2568/5</t>
  </si>
  <si>
    <t>Enhancement of guidance relating to user worked crossings.</t>
  </si>
  <si>
    <t>The intent of this recommendation is for the Office of Rail Regulation to provide enhanced guidance relating to user worked crossings, including guidance about how the decision point is determined in order that the sighting of approaching trains is measured from an appropriate location. The Office of Rail Regulation should provide duty holders with enhanced guidance which: reminds duty holders that, when determining the position of decision points at user worked crossings, they must take due account of the characteristics of vehicles likely to use the crossing and recognise that a minimum dimension of 3 metres from the nearest rail is insufficient for most vehicles; and takes account of outputs from the research and review undertaken in response to Recommendations 2 and 4.</t>
  </si>
  <si>
    <t>UK-2718/1</t>
  </si>
  <si>
    <t>Passenger emergency alarm driver interface assessment</t>
  </si>
  <si>
    <t>The purpose of this recommendation is to promote a design review of the passenger emergency alarm system on 1992 tube stock and the adoption of ergonomics best practice in an improved design. London Underground Limited should carry out an ergonomics assessment of the driver interface with the passenger emergency alarm system on 1992 tube stock. This assessment should include the functioning of the talkback system and the compatibility between the controls and the display. Taking account of guidelines on alarm handling and prioritisation (such as the, â€˜Good Practice Guide for the design of alarms and alertsâ€™ (T326), RSSB, 2008), London Underground Limited should then take appropriate action to present critical information to the train operator in a way that supports decisions and actions so that they can deal appropriately with the emergency situation (paragraph 129). Relevant outcomes of this ergonomic assessment should also be applied to other stock as appropriate.</t>
  </si>
  <si>
    <t>REC-000287</t>
  </si>
  <si>
    <t>UK-2718/2</t>
  </si>
  <si>
    <t>Review of multiple emergency passenger alarm procedure</t>
  </si>
  <si>
    <t>The purpose of this recommendation is to improve the ability of train operators to handle multiple passenger emergency alarms and other â€˜out of courseâ€™ events on 1992 tube stock. London Underground Limited should review the rules, procedures and training applying to the handling of emergency situations on 1992 tube stock where multiple passenger emergency alarms have been activated and/or where only part of the train is stopped in a station. This review should include an assessment of the ways in which train operators can best manage a situation and adequacy of existing training arrangements. Particular attention should be paid to helping operators make appropriate and timely announcements and the safe management of doors in such circumstances. Any necessary changes to existing arrangements should then be implemented and staff briefed and trained as appropriate (paragraph 126b). Relevant outcomes of this review should also be applied to other stock as appropriate.</t>
  </si>
  <si>
    <t>UK-2718/3</t>
  </si>
  <si>
    <t>Hand-held radio procedure</t>
  </si>
  <si>
    <t>The purpose of this recommendation is to ensure that train operators remain in communication with line controllers when they are required to leave the cab to go back into the train. London Underground Limited should put procedures in place to require train operators to carry their hand-held radio when going back into the train, for example, to investigate the activation of a passenger emergency alarm, so that they can communicate with the line controller in a timely manner.</t>
  </si>
  <si>
    <t>UK-2718/4</t>
  </si>
  <si>
    <t>Line-controller fault-report handling</t>
  </si>
  <si>
    <t>The purpose of this recommendation is to make sure that line controllers are enabled to take appropriate and timely action when dealing with potential safety critical faults and conditions on trains. London Underground Limited should: a. review the procedure applying to line controllers for dealing with reports of faults on trains, particularly reports relating to smoke or burning, and improve as necessary, in order that line controllers are provided with a clear process to assist timely decision-making and response; and b. establish a protocol to manage the shift changeover between controllers, so that there is no loss of time or continuity in dealing with an incident.</t>
  </si>
  <si>
    <t>UK-2718/5</t>
  </si>
  <si>
    <t>Staff training for out-of-course events</t>
  </si>
  <si>
    <t>The purpose of this recommendation is to ensure that London Underground Limitedâ€™s staff are able to respond appropriately to incidents on trains in platforms. London Underground Limited should review the required competencies and training for dealing with out-of-course events on trains in platforms. This should include consideration of how best to prepare station staff, train operators and line controllers to respond to such events in a rapid, coordinated and coherent manner, to protect the safety of passengers and station users.</t>
  </si>
  <si>
    <t>UK-2718/6</t>
  </si>
  <si>
    <t>Reporting and investigation of incidents</t>
  </si>
  <si>
    <t>The purpose of this recommendation is to draw attention to the need for the prompt and accurate reporting of incidents. London Underground Limited should devise a time bound programme to reinforce, by briefing and further training if necessary, its procedures on the reporting and investigation of incidents in which there are no reported injuries but which could have led to more serious consequences. This should include the need for the early debriefing of staff involved and, where appropriate, the withdrawal of any trains from service for inspection and testing, to permit such incidents to be properly investigated.</t>
  </si>
  <si>
    <t>UK-2719/1</t>
  </si>
  <si>
    <t>Disseminate lessons learnt to industry</t>
  </si>
  <si>
    <t>The Health and Safety Executive (HSE) should: a) disseminate the key lessons from this accident (paragraph 109 refers), to UK organisations representing tunnelling companies (eg The Pipejacking Association, British Tunnelling Society, UK Society for Trenchless Tunnelling), and request them to further disseminate the learning points to their members, so that individual companies can review and improve their working practices as necessary. b) assess the need to carry out monitoring checks at UTX construction sites, as part of its audit programmes, to verify that the procedures being followed on site are in line with industry good practice and lessons learned from this investigation (paragraph 104a).</t>
  </si>
  <si>
    <t>UK-2719/2</t>
  </si>
  <si>
    <t>Onr requirement for UTXs</t>
  </si>
  <si>
    <t>Network Rail should review how its current processes related to the construction and approval of UTX works are being applied, and consider the most effective way of merging its national standard and local route guidance documents into a unified set of requirements for UTXs. These requirements should: a) include improvements to cover lessons learned from this accident as detailed at paragraph 109, and be included in a process of periodic review to check that they remain up to date; b) list the main sources of risk to its infrastructure from the construction of UTXs (eg ground settlement, heave or voiding) and how it expects those risks to be mitigated; c) provide clarity on roles and responsibilities within Network Rail, and its expectations of outside parties, particularly with respect to assessing and managing risk and communication for matters affecting safety of the railway; and d) seek to use a risk based approach which leads users to additional control measures for higher risk UTXs, such as those at level crossings. Once developed, the requirements should be the subject of appropriate briefing and training to relevant Network Rail staff and made available to outside parties installing UTXs. Compliance with the requirements should also be subject to a system of periodic internal audit (paragraphs 105a, 105c and 106).</t>
  </si>
  <si>
    <t>UK-2719/3</t>
  </si>
  <si>
    <t>Engineers' knowledge of UTXs</t>
  </si>
  <si>
    <t>Network Rail should: a) review the working knowledge of its asset protection engineers with respect to UTXs and where necessary provide appropriate training, which should include information on types of UTX, methods of construction, best practice, failure modes, seeking specialist assistance; and b) review the resourcing in its asset protection teams to check that engineers have sufficient time allocated to carry out their duties and access to specialist technical assistance when required, and where necessary, make any appropriate changes (paragraph 105b).</t>
  </si>
  <si>
    <t>UK-2719/4</t>
  </si>
  <si>
    <t>Monitoring near engineering works</t>
  </si>
  <si>
    <t>Network Rail should: a) review the suitability and action limits of its standard for the monitoring of track movement over or adjacent to civil engineering works, including UTXs. This should take into account calculated predictions of settlement, rates of movement and the potential for the movements to be masked by existing structures, and not rely upon inappropriate track maintenance standards; and b) make any necessary changes to its procedures and brief these out to relevant staff (paragraph 105d).</t>
  </si>
  <si>
    <t>UK-2869/1</t>
  </si>
  <si>
    <t>Reduction of risk</t>
  </si>
  <si>
    <t>The intention of this recommendation is to reduce the risk of pushchairs and wheelchairs rolling off platforms. Network Rail and Station Facility Operators should implement processes for managing the risk of wheelchairs and pushchairs rolling onto the track. These should include: the inclusion of platform slopes as a factor to be considered when assessing the risk to passengers on platforms; guidance to risk assessors on factors likely to exacerbate any risk of roll away (such as the presence of ticket machines, help points and shops/kiosks where people are more likely to release their hold on pushchairs and wheelchairs); consideration of measures to manage the risk (taking account of the work arising from the implementation of recommendation 3 in the short-term and recommendation 2 in the longer term); specific consideration of the impact on platform slopes of any works that are to take place at the station and methods of ensuring that those works will, as a minimum, not worsen the slope (and reduce or eliminate it if reasonably practicable to do so); and the sharing of information concerning any residual risk at the conclusion of works.</t>
  </si>
  <si>
    <t>UK-2869/2</t>
  </si>
  <si>
    <t>Slope steepness</t>
  </si>
  <si>
    <t>The intention of this recommendation is for the rail industry to understand the point at which a slope becomes sufficiently steep for it to be more likely than not that an occupied wheelchair or pushchair without a brake applied would roll away. The work should consider the most appropriate methods of influencing the behaviour of passengers to minimise the risk. Network Rail in consultation with the Association of Train Operating Companies, RSSB and the Department for Transport, should (as part of the national strategy for managing the platform train interface risk) arrange for work to be undertaken to determine when a slope towards the railway could become a significant hazard, and ways of mitigating the risk. The scope of the exercise should consider: all slopes on platforms including those that have been installed intentionally (for example to accommodate changes in level along the platform length); at what point a slope towards the railway makes it more likely than not that a wheelchair or pushchair without brakes applied could roll away, taking account of modern designs of such equipment; and other factors such as how individuals perceive a slope hazard, the most appropriate way to highlight the hazard, appropriate methods to influence public behaviour, and other ways of mitigating the risk. Once the work is complete the industry should publish appropriate guidance, including consideration of standardisation in the contents of signage, announcements, etc.</t>
  </si>
  <si>
    <t>UK-2869/3</t>
  </si>
  <si>
    <t>Behaviour of passengers with wheel- or push-chairs.</t>
  </si>
  <si>
    <t>The intention of this recommendation is for the Association of Train Operating Companies to consider the most appropriate ways of influencing the behaviour of passengers travelling with a wheelchair or pushchair, pending the outcome from recommendation 2. As an interim measure, pending the outcome of the research identified in recommendation 2, the Association of Train Operating Companies should, in consultation with passenger groups including those representing the interest of disabled passengers, review the findings of this report and seek to understand the ways in which the risk of wheelchairs and pushchairs rolling onto the track can be more effectively managed by operators. This review should include consideration of: locations where passengers may need to remove both their hands from a pushchair or wheelchair because of the nature of another task to be performed (eg at a ticket machine or shop/kiosk); reference to any existing good practice in this area; and measures that could most effectively influence the behaviour of passengers using wheelchairs and pushchairs on station platforms. The output of the review should be consolidated into suitable guidance for train operators.</t>
  </si>
  <si>
    <t>UK-2869/4</t>
  </si>
  <si>
    <t>Capture of information of roll-off events</t>
  </si>
  <si>
    <t>The intention of this recommendation is for the rail industry to capture, share and use information relating to roll-off events with a particular emphasis on identifying where platform slopes were a causal factor so that it has a better understanding of the causes of roll-off events and the associated risk. Network Rail, in consultation with Station Facility Operators and RSSB, should implement a process to improve the investigation and recording of roll-off incidents and the way in which data is shared. Particular attention should be paid to the following areas: improvements in capturing and recording incidents involving roll-off type events, including the identification of the key factors that caused the roll-off such as the presence of a slope towards the railway on the platform; a review of previous roll-off incidents and accidents (covering at least the last five years) to identify those that may have been solely attributed to â€˜user errorâ€™ or â€˜trespassâ€™, including establishing whether there may have been other causal factors such as a slope at the location concerned; and a review of how intelligence on roll-off incidents should be shared within and between SFOs and Network Rail as an input to decisions on the nature and content of improvement works at stations (recommendation 1 also refers).</t>
  </si>
  <si>
    <t>UK-2890/1</t>
  </si>
  <si>
    <t>Probability of track geometry defects remaining undetected.</t>
  </si>
  <si>
    <t>The intent of this recommendation is to reduce the probability of track geometry defects remaining undetected in the event that operation of a track geometry measurement train does not take place as scheduled. Network Rail should provide specific guidance to managers with responsibility for track maintenance on the action to be taken to confirm that track quality remains acceptable should a planned run of a track geometry measurement train over a section of line be cancelled (paragraph 128a). This should include the criteria for whether it is necessary to conduct additional track geometry measurements, as well as the timescales for any such measurements to be completed.</t>
  </si>
  <si>
    <t>UK-2890/2</t>
  </si>
  <si>
    <t>Asymmetric loading and mitigating control measures.</t>
  </si>
  <si>
    <t>The intent of this recommendation is for the key stakeholders in the railway industry to work together to assess the risk from asymmetric loading and to identify and adopt reasonably practicable control measures to mitigate that risk. Freightliner and Network Rail should jointly request that RSSB: a) researches the factors that may increase the probability ofderailment when container wagons are asymmetrically loaded, and in particular: i. sensitivity to combinations of longitudinal and lateral offsets in loads that can reasonably be encountered in service; ii. the predicted performance of wagons with high torsional stiffness along their length (using the FEA type as an example); and iii. the effect of multiple twist faults, track twist over distances other than the 3 metres commonly specified and measured by Network Rail and lateral track irregularities. b) updates and amends as necessary the risk assessment contained within the RSSB and Transport Research Laboratory joint report (â€˜Potential risks to road and rail transport associated with asymmetric loading of containersâ€™); this should take into account the results from the research referred to in a) and additional evidence presented in this investigation report; and c) works with industry stakeholders to use the outputs of a) and b) to identify, evaluate and promote adoption of any additional reasonably practicable mitigations capable of reducing the risk from asymmetric loading of wagons (paragraphs 128c, 130a, 130b and 131b).</t>
  </si>
  <si>
    <t>UK-2890/3</t>
  </si>
  <si>
    <t>Asymmetric loading and freight wagon design.</t>
  </si>
  <si>
    <t>The intent of this recommendation is to clarify the requirements for the design and acceptance of freight wagons, taking account of the possibility of asymmetric loading. RSSB should amend Railway Group Standard â€˜Resistance of Railway Vehicles to Derailment and Roll-Overâ€™, GM/RT2141 to refer specifically to asymmetric loading, including possible combinations of longitudinal and lateral load imbalance (paragraph 130a).</t>
  </si>
  <si>
    <t>UK-2891/1</t>
  </si>
  <si>
    <t>Drainage effectiveness.</t>
  </si>
  <si>
    <t>The intent of the recommendation is to reduce the possibility of new track defects developing due to the installed drainage not preventing water ingress from the local water table, which could give rise to a risk of derailment. Network Rail should review the effectiveness of the drainage in the area where the train derailed (between 118 miles 60 chains and 118 miles 40 chains on the up main line between Lydney and Gloucester) to confirm if the work that was undertaken to improve the drainage, when the track was renewed in March 2014, will control the risk of water from the local water table affecting the trackâ€™s vertical geometry and the recurrence of a cyclic top track defect (paragraphs 194a.i and 195a).</t>
  </si>
  <si>
    <t>UK-2891/2</t>
  </si>
  <si>
    <t>Management of cyclic top defects.</t>
  </si>
  <si>
    <t>The intent of the recommendation is to reduce the risk of derailment from cyclic top track defects. Network Rail should revise its processes for the management of cyclic top track defects. It should: a) review the requirement that immediate action cyclic top track defects must be repaired within 36 hours to understand if it is feasible for an effective repair to be made in this timescale, and if not, mandate the actions that must be taken to mitigate the risk due to the cyclic top track defect until an effective repair can be planned and made (paragraph 194a.iv); b) provide guidance, which is briefed out to its track maintenance staff, on how to make effective repairs to cyclic top track defects. This guidance should tell track maintenance staff not to carry out manual repair work that is only aimed at breaking the cyclic top track defect into sections of track with poor vertical track geometry, unless the risk presented by the residual poor vertical track geometry is assessed and mitigating actions taken (such as the imposition of a speed restriction) (paragraph 194a.iv); c) review the adequacy of its processes for imposing and removing emergency speed restrictions applied for cyclic top track defects. This is to assure itself that there are adequate controls in place for the removal of cyclic top related speed restrictions. Such controls could include an assessment of the trackâ€™s vertical geometry, carried out after trains have run over the repaired track, but before line speed is restored (paragraphs 194a.iv and 195b); and d) have a process in place that raises the visibility of repetitive cyclic top track defects, so that senior management responsible for the local maintenance team are made aware of it and can monitor the actions being taken to address the cyclic top (paragraphs 195b and 207).</t>
  </si>
  <si>
    <t>UK-2891/3</t>
  </si>
  <si>
    <t>Repair effectiveness.</t>
  </si>
  <si>
    <t>The intent of the recommendation is to enable maintenance staff to know if their repair work has been sufficiently effective to correct the reported track geometry defect. Network Rail should provide its maintenance staff with a method of measuring repairs to vertical track geometry which provides early confirmation that the repairs undertaken have been effective (paragraph 194a.iii).</t>
  </si>
  <si>
    <t>UK-2891/4</t>
  </si>
  <si>
    <t>Effective repair of vertical track geometry faults.</t>
  </si>
  <si>
    <t>The intent of the recommendation is to provide maintenance staff with a way of making effective repairs to vertical track geometry faults on steel sleeper track. Network Rail should investigate methods of making more effective repairs to vertical track geometry faults on steel sleeper track, especially if the underlying formation is poor or the ballast is contaminated. Any methods that are identified by this work should then be incorporated into procedures and Track Work Information Sheets, and briefed out to its track maintenance staff (paragraph 194a.ii)</t>
  </si>
  <si>
    <t>UK-2891/5</t>
  </si>
  <si>
    <t>Vehicle dynamic behaviour assessment.</t>
  </si>
  <si>
    <t>The intent of the recommendation is to ensure that when a vehicleâ€™s dynamic behaviour is assessed to identify whether its ride performance is compatible with the railway infrastructure in Great Britain (this may include infrastructure that does not comply with Technical Specifications for Interoperability), the susceptibility of its ride performance to track geometry with cyclic top is included in this assessment. RSSB, in conjunction with Rolling Stock Standards Committee, should carry out a review to identify how a vehicleâ€™s response to regular changes in vertical track geometry should be assessed (ie a cyclic top assessment). RSSB should then propose changes to the standards which are used assess the compatibility of vehicleâ€™s ride performance with the railway infrastructure in Great Britain (at present this is Railway Group Standard GM/RT2141), which will implement the cyclic top assessment identified by the review. The proposed changes to the standards, as agreed by Rolling Stock Standards Committee, should then be implemented by RSSB by means of a time bound programme (paragraphs 194b.i, 194b.ii and 195c).</t>
  </si>
  <si>
    <t>UK-2891/6</t>
  </si>
  <si>
    <t>Wagon ride performance.</t>
  </si>
  <si>
    <t>The intent of the recommendation is to remove or reduce the susceptibility of the IDA wagonâ€™s ride performance to dips in the track when in its tare or a partially laden condition. Direct Rail Services should implement measures to reduce the susceptibility of the IDA wagonâ€™s ride performance to changes in vertical track geometry when in tare or a partially laden condition. This could be by means of either the introduction of operating restrictions or modifications to the wagonâ€™s suspension (paragraph 194b).</t>
  </si>
  <si>
    <t>UK-2891/7</t>
  </si>
  <si>
    <t>Riding problems and track wavelength.</t>
  </si>
  <si>
    <t>The intent of the recommendation is to highlight the risk that a wagon may be susceptible to riding problems if it is designed with a bogie centre spacing distance that is the same as a wavelength commonly associated with cyclic top track defects. RSSB, in conjunction with Rolling Stock Standards Committee, should propose that guidance on the design of freight wagons in document GM/GN2688 is amended, to explain that as well as two-axle wagons, if a wagon is designed with a bogie centre spacing that matches a wavelength commonly associated with cyclic top, it may be susceptible to poor ride on jointed track and cyclic top (paragraph 196c).</t>
  </si>
  <si>
    <t>UK-3008/1</t>
  </si>
  <si>
    <t>The Department for Transport, in liaison with highway authorities and railway infrastructure managers, should review and amend the current guidance â€˜Managing the accidental obstruction of the railway by road vehiclesâ€™ published in 2003 so that it adequately takes into account in the risk ranking process for neighbouring sites the risk of road vehicles on side roads, including those that are unattended, running downhill onto a railway. The guidance, when amended, should clearly describe how this risk should be derived and included in the overall risk ranking score (paragraph 62).</t>
  </si>
  <si>
    <t>UK-3008/2</t>
  </si>
  <si>
    <t>Plan for reviewing risk scores</t>
  </si>
  <si>
    <t>Following the completion of Recommendation 1 above, railway infrastructure managers, with highway authorities, should use the new guidance to implement a time-bound plan to review the risk ranking scores for sites where there is a significant risk from side roads, in particular with respect to road vehicles running downhill onto a railway. Additional risk mitigation measures justified by increased risk ranking scores should be considered and implemented (paragraph 62).</t>
  </si>
  <si>
    <t>UK-3070/1</t>
  </si>
  <si>
    <t>Lowering adhesion risks with fitment of sanders.</t>
  </si>
  <si>
    <t>The intent of this recommendation is to reduce the risk associated with low adhesion by extending the fitment of automatic sanders. Operators of class 220 and 221 units should fit sanders to their trains which comply with Group Standard GM/RT2461 and automatically deposit sand on the rail when wheelslide is detected during heavy braking (equivalent to brake step 2 on step braked trains).The mode of operation of this new equipment should take account of recommendation 1 of RAIB report 25.</t>
  </si>
  <si>
    <t>UK-3070/2</t>
  </si>
  <si>
    <t>Reducing the risk of approaching buffer stops in low adhesion conditions.</t>
  </si>
  <si>
    <t>The intent of this recommendation is to reduce the risk associated with trains approaching buffer stops in low adhesion conditions by an extension of existing defensive driving policy. Virgin Trains should amend its defensive driving policy so that the requirement to reduce speed to 10 mph or less at a distance of 200 metres from the signal when approaching a danger signal in low adhesion conditions is also applied when approaching a buffer stop with a train that is not fitted with automatic sanders. This recommendation may also to apply to other train operators.</t>
  </si>
  <si>
    <t>UK-3070/3</t>
  </si>
  <si>
    <t>Sander operation during braking.</t>
  </si>
  <si>
    <t>The intent of this recommendation is that manufacturers of new trains for the UK railway system are made aware of the need for sanders to operate during braking in step 2 (or the equivalent brake handle position for units not fitted with stepped brakes) and above. RSSB should propose and promote an amendment to Railway Group Standard GM/RT2461 to extend the requirement that sanders operate automatically when wheel slip is detected in full service and emergency braking, to braking at lower settings (eg step 2 on units with stepped brake controllers).</t>
  </si>
  <si>
    <t>UK-3071/1</t>
  </si>
  <si>
    <t>Review use of castellated nut</t>
  </si>
  <si>
    <t>West Coast Railways, in consultation with the Main Line Steam Locomotive Operators Association, the Bulleid Pacific Locomotive Association and the Heritage Railway Association, should review the design of the small end joint on the Bulleid pacific locomotive to establish the safety benefits, and risk, of using a castellated nut. The results of this review should be shared with other owners of these locomotives (paragraph 119a).</t>
  </si>
  <si>
    <t>UK-3071/2</t>
  </si>
  <si>
    <t>Guidance for split cotters</t>
  </si>
  <si>
    <t>The Heritage Railway Association and the Main Line Steam Locomotive Operators Association should prepare guidance for their members on the design and manufacture of split cotters to encourage the use of best engineering practice. This may include considering: reference to the British Railways drawing SL-DN-K.569; or other methods of fabrication such as the use of folded strip, welded at the head, which is widely used in the industry. (paragraph 119c)</t>
  </si>
  <si>
    <t>UK-3071/3</t>
  </si>
  <si>
    <t>Review safety management system</t>
  </si>
  <si>
    <t>West Coast Railway Company should review and improve its safety management system to take account of the need for assurance that the standards of maintenance work carried out on locomotives owned and/or operated by the company are adequate, consistent and subject to monitoring and supervision independent of those doing the work (paragraph 121a).</t>
  </si>
  <si>
    <t>UK-3071/4</t>
  </si>
  <si>
    <t>Look at design changes</t>
  </si>
  <si>
    <t>The Heritage Railway Association and the Main Line Steam Locomotive Operators Association should bring this report to the attention of their members and invite them to consider thoroughly evaluating and risk assessing changes to the design of steam locomotives that are made during restoration, overhaul or maintenance. The following should be considered: whether the purpose and function of the original design, and the reasons for making the change are fully understood; whether any additional risk will be introduced by the change; and any measures that may be needed (during overhaul, operation or maintenance) to reduce the risk associated with the change, and to assess its impact. (paragraph 119b)</t>
  </si>
  <si>
    <t>UK-3251/1</t>
  </si>
  <si>
    <t>Structure defect examination and repair process evaluation.</t>
  </si>
  <si>
    <t>Network Rail should carry out a review of the means by which defects identified by the structures examination process are evaluated by asset managers, and repairs actioned. Network Rail should then make the improvements necessary. As a minimum, this review should consider: a. ways of improving the integration of asset management and works delivery management systems (by means of technology and/or improved management arrangements) [underlying factors 3 and 7]; b. the ways in which contractors are remitted to carry out work, particularly for works reliant on the application of judgement, and the degree of supervision that is required [underlying factor 4]; c. the robustness of processes for confirming that works with an impact on safety have been completed in the manner intended by asset managers [underlying factors 5 and 7]; and d. the process for assessing the implications of repeat, or similar, defects at the same location [underlying factor 6].</t>
  </si>
  <si>
    <t>UK-3287/1</t>
  </si>
  <si>
    <t>COSS role and briefing</t>
  </si>
  <si>
    <t>Network Rail should: a) systematically brief and where appropriate rebrief its COSS/Safe Work Leaders that they must be on site at all times, even when working with experienced staff, and that they must provide a full site based safety briefing once the safe system of work has been verified by them as being appropriate for the conditions at the time of the work; b) rebrief its lookouts about not leaving the position of safety until the COSS has given permission; c) actively monitor the degree to which work site discipline is being maintained, and take appropriate corrective action if any issues are found; and d) investigate how best to maintain vigilance and safety discipline for cyclical and repetitive tasks and implement any practicable measures into its working procedures (paragraph 87).</t>
  </si>
  <si>
    <t>UK-3287/2</t>
  </si>
  <si>
    <t>Check and audit SSOW</t>
  </si>
  <si>
    <t>Network Rail should: a) introduce sufficient managerial supervision and audit checking to confirm that the standards governing the safety of track workers are being correctly implemented by its delivery units in the planning of safe systems of work (SSOW), particularly in those areas where staff regularly work on lines that are still open to traffic. b) take steps to strengthen any weaknesses it finds, including the re-training of staff involved in planning safe systems of work (paragraph 89).</t>
  </si>
  <si>
    <t>UK-3328/1</t>
  </si>
  <si>
    <t>Safeguarding SSOWP wording.</t>
  </si>
  <si>
    <t>The intent of this recommendation is to minimise the potential for the SSOWP paperwork to mislead its users into blocking the wrong line when opting to take only one of two parallel line blockages. Network Rail should, as part of its planning and delivering safe work project, take account of the arrangements and associated wording for parallel line blockages in the new permit packs to ensure that: a. presentation of the SSOWP documentation is simple and clear with regard to parallel line blockages, particularly in terms of allowing users to identify which line the work is to take place on; and b. designations of â€˜workingâ€™ and â€˜parallelâ€™ blockages are verified during production of the SSOWP as referring respectively to the line on which the work is to take place and the adjacent line(s) (paragraph 95b).</t>
  </si>
  <si>
    <t>UK-3328/2</t>
  </si>
  <si>
    <t>Reducing the risk associated late-notice planning of work.</t>
  </si>
  <si>
    <t>The intent of this recommendation is to reduce the risk associated with late notice planning of work and planning to deadlines, which can affect decision-making on site due to the availability of information and perceived pressures of work. Network Rail should review work planning practices and processes at Shrewsbury Maintenance Delivery Unit and optimise the distribution of information for both planners and track workers to carry out their jobs effectively (paragraph 96). This review should consider: a. workload and resourcing to enable more strategic and proactive approaches to work planning; b. information available to the planner and the COSS in producing and checking SSOWP documentation, including details of the work to be undertaken; and c. local practices and assumptions about planning parallel line blockages with respect to national procedures and processes, particularly concerning the designation of â€˜workingâ€™ lines and the inferred level of protection on the part of the planner and the COSS. Network Rail should also determine whether such issues are applicable at other maintenance delivery units and take action as necessary to address any problems identified.</t>
  </si>
  <si>
    <t>UK-3328/3</t>
  </si>
  <si>
    <t>Strengthening of competence management processes.</t>
  </si>
  <si>
    <t>The intent of this recommendation is to strengthen Network Railâ€™s competence management processes for staff in particular circumstances where potential shortfalls in their competence or knowledge might otherwise go unchecked. Network Rail should, as part of its review of Assessment in The Line: a. clarify the management arrangements for seconded staff so that it is clear which part of the organisation is responsible for each element of an individualâ€™s competence and knowledge; and b. revise its criteria for refresher training following periods of extended absence, particularly where significant changes to work patterns, practices or infrastructure arrangements have occurred during the absence.</t>
  </si>
  <si>
    <t>UK-3392/1</t>
  </si>
  <si>
    <t>Equipping SATS staff to reduce risk.</t>
  </si>
  <si>
    <t>The intention of this recommendation is that staff performing the SATS role should be properly equipped to reduce risks at the platform/train interface by being able to take effective action to stop trains in an emergency . Consideration of how this can best be achieved should take into account the possibility that the waving of two hands in the â€˜emergency stopâ€™ signal is not sufficiently conspicuous on a crowded platform. London Underground Ltd should provide staff acting as Station Assistant (Train Services) (SATS) with an effective means of alerting the train operator to a dangerous situation that arises after the SATS has given the signal to start the door closing sequence, and before the train has begun to move. London Underground Ltd should also review how the role of the SATS is described in Rule Book 8 and other company documents, so that the duty of the SATS to rapidly respond to dangerous events that occur during the despatch process is given appropriate emphasis.</t>
  </si>
  <si>
    <t>UK-3496/1</t>
  </si>
  <si>
    <t>Improve risk assessment at crossings</t>
  </si>
  <si>
    <t>Network Rail and Northern Ireland Railways should review and improve their processes for assessing the risk at user worked crossings so that the increased risk during periods of intensive use (eg during harvest) is properly taken into account. This recommendation may also be applicable to other infrastructure managers.</t>
  </si>
  <si>
    <t>UK-3496/2</t>
  </si>
  <si>
    <t>Safe method of working at busy UWCs</t>
  </si>
  <si>
    <t>Network Rail and Northern Ireland Railways should define one or more safe and practical methods of working that may be adopted at user worked crossings during periods of intensive use; and provide clear information to their staff and authorised users on how and when they should be applied. They should also ensure that any such methods of working are suitably reflected in instructions and training given to railway staff. This recommendation may also be applicable to other infrastructure managers.</t>
  </si>
  <si>
    <t>UK-3496/3</t>
  </si>
  <si>
    <t>Review and improve toolkit</t>
  </si>
  <si>
    <t>RSSB should review, and improve where appropriate, measures in the level crossing risk management toolkit that are designed to mitigate the risk at user worked crossings at times of intensive use.</t>
  </si>
  <si>
    <t>UK-3517/1</t>
  </si>
  <si>
    <t>Driver training</t>
  </si>
  <si>
    <t>Chiltern Railways should conduct a review of its driver management processes to confirm that the training and briefing given to drivers is comprehensive as regards the equipment and systems that drivers use, and that assessment of drivers covers the identification of, and response to, TPWS fault warnings as well as driversâ€™ response to other unusual or emergency situations, and make changes in accordance with the findings of the review. As part of its review, Chiltern Railways should consider whether there is a role for more regular use of its driving cab simulator in the assessment of its driversâ€™ competence, to achieve a more systematic approach, and whether it has adequate systems in place for periodically reviewing and revising its competence management processes and training material (paragraphs 124c, 124d, 124e and 126). This recommendation may be applicable to other train operating companies.</t>
  </si>
  <si>
    <t>UK-3517/2</t>
  </si>
  <si>
    <t>GSM-R</t>
  </si>
  <si>
    <t>Network Rail should conduct a review of its implementation of GSM-R, particularly in respect of its configuration where signal boxes which have no GSM-R train describer feed adjoin signal boxes that automatically send train description data to GSM-R, and in areas of enhanced risk such as the entrances to single lines. The review should cover the visibility of trains on signallersâ€™ terminals as trains traverse signalling boundaries. Changes should be implemented where necessary so that signallers are able to directly contact all trains that are within, or leaving, their area of control, and are aware that although trains may no longer be shown on the terminal, it may still be possible to contact them by use of a railway emergency call (paragraph 128).</t>
  </si>
  <si>
    <t>UK-3517/3</t>
  </si>
  <si>
    <t>Signaller training</t>
  </si>
  <si>
    <t>Network Rail should review and modify as necessary the training given to signallers in the use of GSM-R, so that signallers are given adequate opportunity to become familiar with the use of railway emergency calls, by practice, simulation or any other appropriate means (paragraph 129b).</t>
  </si>
  <si>
    <t>UK-3688/1</t>
  </si>
  <si>
    <t>Revised Rule Book</t>
  </si>
  <si>
    <t>1 The Great Central Railway should revise its Rule Book and training to require: drivers to keep a good look out and not, unless absolutely necessary, operate controls other than those used for driving when proceeding at caution as far as the line is clear, and when staff, members of the public and other rail vehicles may be nearby (paragraph 45); firemen to keep a good look out when proceeding at caution as far as the line is clear, and when staff, members of the public and other rail vehicles may be nearby (paragraph 45).</t>
  </si>
  <si>
    <t>UK-3688/2</t>
  </si>
  <si>
    <t>Medicals</t>
  </si>
  <si>
    <t>The Great Central Railway should put in place a supervisory system to ensure that members of its staff comply with the requirements of their medical certificates (paragraph 46)</t>
  </si>
  <si>
    <t>UK-3688/3</t>
  </si>
  <si>
    <t>Medicals applied</t>
  </si>
  <si>
    <t>The Great Central Railway should put in place a supervisory system to ensure that its policy on medical certification and recertification is properly applied to all staff (paragraph 50)</t>
  </si>
  <si>
    <t>UK-3688/4</t>
  </si>
  <si>
    <t>First aid kit</t>
  </si>
  <si>
    <t>UK-3691/1</t>
  </si>
  <si>
    <t>Aggregate procedures</t>
  </si>
  <si>
    <t>Aggregate Industries, in consultation with relevant train operators, should review its processes for discharging aggregate hopper wagons, and for inspection of train loading and condition prior to despatch, to ensure that the risks arising from uneven residual loads are identified and effectively managed. Aggregate Industries should then implement appropriate control measures to mitigate this risk so far as is reasonably practicable (paragraphs 153(c), 153(e) and 154(a)).</t>
  </si>
  <si>
    <t>UK-3691/2</t>
  </si>
  <si>
    <t>Unloadings</t>
  </si>
  <si>
    <t>RSSB, in conjunction with freight wagon operators, freight operating companies and entities in charge of maintenance for freight wagons, should review the extent to which diagonal wheel unloadings are present within freight wagon bogies that are operating on Network Rail infrastructure, and the contribution that this makes to derailment risk. This review should consider: l identifying the magnitude and prevalence of diagonal wheel unloadings caused by bogie frame twist (and other possible causes); l proposing criteria for acceptable levels of diagonal wheel unloading, or for bogie frame twist; and l proposing proportionate measures for identifying, and then managing, unacceptable diagonal wheel unloadings (paragraphs 153(d) and 155(b)).</t>
  </si>
  <si>
    <t>UK-3691/3</t>
  </si>
  <si>
    <t>Track geometry</t>
  </si>
  <si>
    <t>Network Rail should review the processes by which track geometry is managed in sidings and connections on the approach to running lines, in order to identify and implement any changes necessary to ensure that the export of risk to running lines is effectively managed. This should include consideration of how dynamic track geometry is assessed on infrequently used lines (paragraphs 153(a) and 153(b)).</t>
  </si>
  <si>
    <t>UK-3691/4</t>
  </si>
  <si>
    <t>Derailment risk</t>
  </si>
  <si>
    <t>Network Rail should liaise with RSSB to review whether the existing 3 metre measurement base used for identification of track twist is sufficient for managing the derailment risk applicable to rolling stock currently operating on Network Rail infrastructure. If found to be inadequate or insufficient, Network Rail should: l update its process for assessing track twist by the inclusion of additional and/or alternative measurement bases; and l implement a time-bound plan to apply the new process to all of its infrastructure (paragraphs 153(b) and 155(a)).</t>
  </si>
  <si>
    <t>UK-3691/5</t>
  </si>
  <si>
    <t>Possible defects</t>
  </si>
  <si>
    <t>Network Rail should review the potential to use wheel impact load detection system data to provide information about possible defects, such as uneven wheel loading or uneven load distribution, relating to specific wagons. The review should include consideration of how this information could be used to improve control of overall derailment risk (such as identifying the need for entities in charge of maintenance to check the condition of suspect wagons and take appropriate remedial action). Network Rail should seek inputs from relevant entities in charge of maintenance as part of the review. If justified by the review, Network Rail should implement track side and reporting processes needed for collecting and disseminating this information (paragraphs 153(d) and 155(b))</t>
  </si>
  <si>
    <t>UK-3691/6</t>
  </si>
  <si>
    <t>Uneven loading</t>
  </si>
  <si>
    <t>RSSB, in consultation with industry, should review the risks associated with the uneven loading of wagons, with particular reference to partial loads, and propose any necessary mitigation, so that the extent of permitted load imbalance is effectively controlled paragraphs 153(c), 154(a), 154(b) and 155(b).</t>
  </si>
  <si>
    <t>UK-3736/1</t>
  </si>
  <si>
    <t>Revised procedure for setting ride height</t>
  </si>
  <si>
    <t>Siemensâ€™ procedure for setting the vehicle ride heights after tyre turning or bogie replacement should be revised to reflect the original design intent, including the function of the anti-roll bars and the risks associated with incorrectly setting the anti-roll bar links. The revised procedure should also include checks of the bogie setup post-intervention to ensure that the wheel load distribution is maintained within Siemensâ€™ acceptable limit. These checks could be direct wheel load measurements, measurements of other indicators such as the Z1 dimensions or any other checks which positively confirm that the wheel load distribution has been maintained within Siemensâ€™ acceptable limit (paragraphs 129a, 130i, 130iii and 130iv).</t>
  </si>
  <si>
    <t>UK-3736/2</t>
  </si>
  <si>
    <t>Training and competence</t>
  </si>
  <si>
    <t>Siemensâ€™ training materials and competence assessments for technicians and supervisors should be revised to capture the function of anti-roll bars, their method of adjustment and the risks associated with incorrectly setting the anti-roll bar links (paragraph 130ii). Siemens should also make this information available to maintenance and overhaul contractors working on its behalf.</t>
  </si>
  <si>
    <t>UK-3736/3</t>
  </si>
  <si>
    <t>Review and re-brief</t>
  </si>
  <si>
    <t>Siemens should complete its review of the safety critical procedures used to maintain its vehicles operating in the UK to confirm that they meet the original design intent and are capable of being implemented by competent staff (paragraph 140). Based on the findings of this review, Siemens should make any necessary changes to the procedures and rebrief its maintenance staff (paragraph 132a).</t>
  </si>
  <si>
    <t>UK-3736/4</t>
  </si>
  <si>
    <t>Maintenance procedures</t>
  </si>
  <si>
    <t>Siemens should review the effectiveness of its recently developed processes for ensuring that all necessary information from the design process is correctly incorporated in maintenance procedures and training materials (paragraphs 132a and 142). If found necessary, Siemens should update its processes and continue to monitor their effectiveness.</t>
  </si>
  <si>
    <t>UK-3736/5</t>
  </si>
  <si>
    <t>Network Rail review</t>
  </si>
  <si>
    <t>Network Rail should review the supervision and self-assurance arrangements in place at West Ealing depot to identify any shortcomings which led to the non-compliances with mandated standards going unnoticed. Network Rail should then include any lessons learnt into its revised assurance framework (paragraphs 129b and 131).</t>
  </si>
  <si>
    <t>UK-3826/1</t>
  </si>
  <si>
    <t>Signs</t>
  </si>
  <si>
    <t>Network Rail should identify locations where level crossing sign positions differ significantly from the requirements of guidance and standards, and then install signs at the appropriate location, unless the proposed position of the signs is contrary to recent research (paragraph 119c).</t>
  </si>
  <si>
    <t>UK-3826/2</t>
  </si>
  <si>
    <t>Guidance on signage</t>
  </si>
  <si>
    <t>Network Rail should utilise the findings from this investigation, and all available research (including the forthcoming RSSB research report T983), to update its guidance for signage, and other user guidance, provided at bridleway and footpath crossings. The updated guidance should take account of circumstances where another type of level crossing (eg a user worked crossing) is located at, or close to, the bridleway or footpath crossing. It should also take account of prohibitions (eg use of bridleway and footpath crossings by motorcycles) and circumstances when it is appropriate for pedestrians to use a telephone. Network Rail should also: lliaise with the Office of Rail and Road to ensure that its updated guidance is compatible with the ORRâ€™s own version of good practice; and seek the assistance of the Department for Transport to enable any necessary legislative changes needed to implement the updated guidance (paragraphs 119a, b, c &amp; d and 120a).</t>
  </si>
  <si>
    <t>UK-3826/3</t>
  </si>
  <si>
    <t>Updated signage</t>
  </si>
  <si>
    <t>The Office of Rail and Road should utilise the findings from this investigation, and all available research (including the forthcoming RSSB research report T983), to update its guidance for signage, and other user guidance, provided at bridleway and footpath crossings. The updated guidance should take account of circumstances where another type of level crossing (eg a user worked crossing) is located at, or close to, the bridleway or footpath crossing. It should also take account of prohibitions (eg use of bridleway and footpath crossings by motorcycles) and circumstances when it is appropriate for pedestrians to use a telephone. The Office of Rail and Road should seek the assistance of the Department for Transport to enable the necessary legislative changes needed to implement the updated guidance (paragraphs 119a, b, c &amp; d and 120a).</t>
  </si>
  <si>
    <t>UK-3826/4</t>
  </si>
  <si>
    <t>Improved signage</t>
  </si>
  <si>
    <t>The Department for Transport should work with Network Rail and the Office of Rail and Road, to identify any appropriate legislative changes needed to allow implementation of the improved level crossing signage sought by Recommendations 2 and 3. If required, the Department for Transport should help make the necessary legislative changes (paragraphs 119a, b, c &amp; d and 120a).</t>
  </si>
  <si>
    <t>UK-3826/5</t>
  </si>
  <si>
    <t>Actual use</t>
  </si>
  <si>
    <t>Network Rail should modify its procedures, guidance and/or training in order to obtain, where reasonably practicable, an improved understanding of actual crossing use (eg use of bridleway crossings by motorcyclists), and take action to ensure it adequately controls the associated risks. This should include considering use of social media (eg videos uploaded to internet sites), evening and/or weekend site visits to identify recreational use of the crossing, and the use of surveillance equipment (paragraphs 48 and 119d).</t>
  </si>
  <si>
    <t>UK-3826/6</t>
  </si>
  <si>
    <t>Vehicle awareness</t>
  </si>
  <si>
    <t>Network Rail should identify level crossings where safety management depends on the general public being aware that they are not allowed to use the level crossing with vehicles, including cars, motorcycles and trail bikes (paragraph 78). For these crossings, Network Rail should: liaise with the relevant highway authorities to ensure their highway records, and any related documents and publications, clearly show the absence of a public vehicle route at the level crossing; share information about prohibitions with local and national organisations representing groups such as 4x4 vehicle drivers and trail bike riders; and arrange for signs to be provided on the highway approaches to the level crossing, and at or near the crossing itself, to show the prohibition that applies (taking into account recommendations 2 and 3).</t>
  </si>
  <si>
    <t>UK-3827/1</t>
  </si>
  <si>
    <t>Position of safety</t>
  </si>
  <si>
    <t>Network Rail should: Review each section of line where work while trains are running is authorised, and assess the availability and suitability of the locations that are required to be used as a position of safety. Where these are found to be inadequate, Network Rail should prohibit work while trains are running. Ensure that staff responsible for establishing a safe system of work on site are explicitly prompted to consider potential hazards that might call into question the suitability of the position(s) of safety throughout the site (such as the number of people required to use it/them, and whether the ground is reasonably level, in good condition underfoot and free of obstructions) before permitting work to commence (paragraphs 115b, 115c)</t>
  </si>
  <si>
    <t>UK-3827/2</t>
  </si>
  <si>
    <t>First aid</t>
  </si>
  <si>
    <t>Network Rail should review its policy on first aid provision, as defined in company standard NR/L2/OHS/00110, and the way in which this policy is implemented, so that a consistent and appropriate level of first aid cover is provided for people working on or near the line, taking into account the nature of the work and the environment in which it takes place (paragraph 117b).</t>
  </si>
  <si>
    <t>UK-3827/3</t>
  </si>
  <si>
    <t>COSS training</t>
  </si>
  <si>
    <t>Network Rail should review the training of Controllers of Site Safety (or Safe Work Leaders) (COSS/SWL) and lookouts relating to setting up work under lookout protection. This review should cover the way which the lookout(s) and the COSS/SWL interact to confirm that it is safe for the work group to go on or near the line (particularly after a train has passed), and should include the definition of suitable methods by which lookouts may positively indicate to each other and to the COSS/SWL that the lookout(s) are unsighted and that work may not resume (paragraph 117a)</t>
  </si>
  <si>
    <t>UK-4224/1</t>
  </si>
  <si>
    <t>Nexus should review its safety management system to ensure that it provides an adequate framework for the management of its shared risks. Nexus should also review the effectiveness of current arrangements with DBTW with a view to reaching a more effective arrangement on the exchange of relevant safety information to facilitate the management of shared risks (paragraph 113a).</t>
  </si>
  <si>
    <t>UK-4224/2</t>
  </si>
  <si>
    <t>Interface</t>
  </si>
  <si>
    <t>Nexus together with DBTW should identify (or review) and assess jointly created risks that occur at all interfaces between the infrastructure, power operations and trains. This should include the use of suitable risk assessment methodologies appropriate for identifying potential failure modes and their consequences, and a recognised technique for assessing the extent to which additional mitigations are required to reduce the risk as low as reasonably practicable. To this end, Nexus and DBTW should ensure that they have access to, and utilise, competent advice on conducting assessments of system-wide risks (paragraph 112).</t>
  </si>
  <si>
    <t>REC-000237</t>
  </si>
  <si>
    <t>UK-4224/3</t>
  </si>
  <si>
    <t>Procedures review</t>
  </si>
  <si>
    <t>Nexus and DBTW should together complete the on-going review of procedures and practices followed by power controllers, with a view to providing a codified set of procedures, that have been appropriately risk assessed. Such procedures should be briefed out to power controllers and linked to the power controllersâ€™ training and competence management systems (paragraph 113b).</t>
  </si>
  <si>
    <t>UK-4290/1</t>
  </si>
  <si>
    <t>Working time limits</t>
  </si>
  <si>
    <t>Network Rail should reassess the working time limits and duration of breaks applicable to lookouts and provide staff with appropriately updated instructions and guidance based on these findings. This reassessment should make use of current research into vigilance activities akin to railway lookout duties (paragraph 105c).</t>
  </si>
  <si>
    <t>UK-4290/2</t>
  </si>
  <si>
    <t>SSOW hierarchy</t>
  </si>
  <si>
    <t>Network Rail should reassess the safe system of work hierarchy, taking account of evidence from LOWS related incidents and the risk associated with using unassisted (flag) lookouts. If justified by the results of current tests of Semi-Automatic Track Warning Systems, where workforce warnings are initiated using automatic train detection, Network Rail should include such equipment within the hierarchy. If appropriate, Network Rail should specify any circumstances in which this should be used in preference to LOWS (paragraphs 106a, 106b and 117).</t>
  </si>
  <si>
    <t>UK-4291/1</t>
  </si>
  <si>
    <t>Improve examinations</t>
  </si>
  <si>
    <t>Network Rail should revise its work instructions so that inspection staff are aware of what to look for, including possible fatigue damage precursors as found during the metallurgical examinations of this investigation, and during the inspections Network Rail has already carried out (paragraph 99a). It should produce a plan for the extension of its current detailed examinations of auxiliary wires close to, and within, protective sleeves to identify and rectify broken and damaged wire strands and protective sleeves on all of its Mk 1 compound catenary. Following this, its routine inspections should include this additional examination.</t>
  </si>
  <si>
    <t>UK-4291/2</t>
  </si>
  <si>
    <t>Live OLE</t>
  </si>
  <si>
    <t>RSSB should review Module AC of the Rule Book (GE/RT8000/AC) and appropriately clarify the actions that train crew should take if they are required to leave their train in situations where the OLE is electrically live, and may possibly be damaged (paragraph 101b)</t>
  </si>
  <si>
    <t>UK-4293/1</t>
  </si>
  <si>
    <t>VLS defects</t>
  </si>
  <si>
    <t>Network Rail should review the methods it uses to verify suspected VLS type defects in rails and make improvements to increase the likelihood of their detection. The methods to be considered should include always using a U8 test when verifying VLS suspects, regardless of the extent of loss of rail bottom signal (paragraph 121c.ii)</t>
  </si>
  <si>
    <t>UK-4293/2</t>
  </si>
  <si>
    <t>Detecting cracks</t>
  </si>
  <si>
    <t>Network Rail should improve the detection of surface breaking cracks and head spread. The methods to be considered should include the use of non-destructive test methods such as dye penetration or magnetic particle inspection to look for cracks, particularly at the upper fillet radius (paragraphs 121c.ii, iii, iv</t>
  </si>
  <si>
    <t>UK-4293/3</t>
  </si>
  <si>
    <t>Pre 1976 track</t>
  </si>
  <si>
    <t>Network Rail should assess the risk of having unidentified pre-1976 rail in use in track, in particular at sites where cascaded rail has been installed, and take measures to mitigate this risk (paragraph 121c.i).</t>
  </si>
  <si>
    <t>REC-000296</t>
  </si>
  <si>
    <t>UK-4377/1</t>
  </si>
  <si>
    <t>Door design</t>
  </si>
  <si>
    <t>Network Rail should mandate a requirement in its company standards for a design of cabinet that removes by design the risk of an open door infringing the gauge where the cabinet needs to be located in an area of limited clearance. Where this is not practicable, the design of cabinet should alert staff to an unsecured door (paragraph 95a(i)).</t>
  </si>
  <si>
    <t>REC-000297</t>
  </si>
  <si>
    <t>UK-4377/2</t>
  </si>
  <si>
    <t>Safe railway</t>
  </si>
  <si>
    <t>Network Rail should implement a means to meet the rule book requirement for the designated person (Engineering Supervisor or Safe Work Leader) to confirm to the PICOP that the railway is safe and clear for the passage of trains when that designated person is not present on site (paragraph 95a(iii)).</t>
  </si>
  <si>
    <t>UK-4377/3</t>
  </si>
  <si>
    <t>SMS review</t>
  </si>
  <si>
    <t>Siemens UK should commission an independent review of the implementation of those aspects of its safety management system relating to the welfare of safety critical staff working on infrastructure projects, including its arrangements for managing fatigue, and take action as appropriate to rectify any deficiencies found (paragraphs 95a(iv) and 97).</t>
  </si>
  <si>
    <t>UK-4377/4</t>
  </si>
  <si>
    <t>Lineside equipment risk</t>
  </si>
  <si>
    <t>Network Rail should establish a policy and guidance on managing the risk from lineside equipment that can foul the gauge, with specific consideration of the siting of equipment in areas of limited clearance and, for example, the use of refuges in tunnels for that purpose (paragraph 95b).</t>
  </si>
  <si>
    <t>UK-4377/5</t>
  </si>
  <si>
    <t>Certification</t>
  </si>
  <si>
    <t>Henry Williams Ltd, in conjunction with Network Rail as necessary, should review its current range of railway products to ensure that it has full details of the certification associated with each item, and take action as appropriate to rectify any deficiencies found (paragraph 96b).</t>
  </si>
  <si>
    <t>UK-4377/6</t>
  </si>
  <si>
    <t>Product acceptance</t>
  </si>
  <si>
    <t>Network Rail should, in consultation with its suppliers, make improvements to its systems for product acceptance to ensure that all relevant information associated with those products, such as risk assessments, is accessible to potential users. The exercise should consider including a facility to enable each user to include information on its own application of the product that may be beneficial to future users (paragraph 96b)</t>
  </si>
  <si>
    <t>UK-4378/1</t>
  </si>
  <si>
    <t>Review work planning</t>
  </si>
  <si>
    <t>Network Rail should review its arrangements for planning work using manually propelled plant. It should implement any changes necessary so that planners are provided with clear and concise information enabling them to assess the risks associated with the use of such plant on the intended gradients. Safe systems of work should include appropriate mitigation for these risks (paragraph 118a).</t>
  </si>
  <si>
    <t>UK-4378/2</t>
  </si>
  <si>
    <t>Accountable</t>
  </si>
  <si>
    <t>Network Rail should review its arrangements for compliance with the requirements of Handbook 10 of the Rule Book, GE/RT8000, specifically the responsibilities assigned to the person in charge of the trolley (paragraphs 118b, 120a and 120b). It should implement any changes necessary to its procedures and competence management processes so that staff on site are always clearly aware of who is accountable for such compliance.</t>
  </si>
  <si>
    <t>UK-4378/3</t>
  </si>
  <si>
    <t>Risk assessment of braking</t>
  </si>
  <si>
    <t>Permaquip should carry out a risk assessment of the braking system on the ironman. Starting with a definition of the function of the brake, this should take account of operational experience from end users, the suitability of the brake for use in controlling the speed of loaded ironmen on gradients and possible degradation of the braking performance through the life of the equipment (paragraphs 118d.i to 118d.iv and 119). Additional measures should be integrated into the design of future ironmen by Permaquip. Permaquip should also advise existing owners and operators of ironmen of any need for equipment modifications, changes in operational rules, changes in maintenance instructions and/or additional training.</t>
  </si>
  <si>
    <t>REC-000369</t>
  </si>
  <si>
    <t>UK-4378/4</t>
  </si>
  <si>
    <t>Define brake functionality</t>
  </si>
  <si>
    <t>Network Rail, in conjunction with RSSB and the M&amp;E Engineers Networking Group, should define the required functionality of the braking systems fitted to manually propelled plant used on its infrastructure. They should then carry out a generic risk assessment of such braking systems, taking account of all foreseeable failure modes and possible misuse. Based on the findings of this assessment, they should revise the requirements and guidance for design, testing and use of the braking systems, and determine what retrospective action is required with respect to existing equipment (paragraphs 118d and 119).</t>
  </si>
  <si>
    <t>REC-000370</t>
  </si>
  <si>
    <t>UK-4378/5</t>
  </si>
  <si>
    <t>Mitigation measures</t>
  </si>
  <si>
    <t>Network Rail should develop a prioritised and time bound plan to implement any mitigation measures necessary to reduce the risk from runaway of existing manually propelled plant to be as low as reasonably practicable (paragraph 118d).</t>
  </si>
  <si>
    <t>UK-4378/6</t>
  </si>
  <si>
    <t>Maintain braking systems</t>
  </si>
  <si>
    <t>Torrent Trackside should review its arrangements for ensuring that the braking systems of all types of manually propelled plant are correctly maintained (paragraphs 118d.ii, 118d.iii and 120c). This should include consideration of the required skills and knowledge of its mobile fitters, the maintenance documentation they use, its quality assurance processes and the extent of management oversight. Appropriate action should be taken to address any deficiencies that it identifies.</t>
  </si>
  <si>
    <t>UK-4454/1</t>
  </si>
  <si>
    <t>Damper pad wear</t>
  </si>
  <si>
    <t>Freightliner should amend its vehicle maintenance instructions for its fleet of PCA wagons so that each damper pad is removed and measured during the VIBT examination to identify those wagons which have had levels of damper pad wear (on any corner) that exceed the permitted wear limit since the last VIBT examination. For each wagon identified, Freightliner should implement measures to prevent it being used in service with a damper pad that could wear beyond the permitted wear limit before its next VIBT examination. These measures could include: l additional monitoring or checks for that wagon in between VIBT examinations; l replacing damper pads on that wagon at an earlier interval; or l carrying out work to identify and address the reasons why that wagon has had a high level of damper pad wear, such as pedestal or wheelset alignment (paragraphs 203a.i and 203a.ii).</t>
  </si>
  <si>
    <t>UK-4454/2</t>
  </si>
  <si>
    <t>Not draining</t>
  </si>
  <si>
    <t>Network Rail should investigate why water is not draining from the track bed in the vicinity of where the train derailed (between 99 miles 220 yards and 99 miles 264 yards on the Down Sunderland line between Pelaw and Newcastle) and implement measures to control the risk of excess water affecting the trackâ€™s vertical geometry. Such measures could include ballast cleaning, remedial work to improve the effectiveness of the installed track drainage, through to a renewal of the track (paragraph 203b.ii)</t>
  </si>
  <si>
    <t>UK-4454/3</t>
  </si>
  <si>
    <t>Track asset review</t>
  </si>
  <si>
    <t>Network Rail should review the condition of the track assets in the area covered by the Newcastle Track Section Manager against the records on its system for maintaining its track assets (Ellipse). The aim of the review should be to identify track defects requiring maintenance action which are either not recorded on Ellipse, do not have a planned date for repair, or have not been correctly prioritised for repair. Once identified, these defects should be recorded on Ellipse, prioritised and given a date for repair (paragraph 203b.iii)</t>
  </si>
  <si>
    <t>UK-4454/4</t>
  </si>
  <si>
    <t>Track defects Ellipse</t>
  </si>
  <si>
    <t>UK-4454/5</t>
  </si>
  <si>
    <t>Non-compliances</t>
  </si>
  <si>
    <t>Network Rail should investigate why its management arrangements allowed non-compliances to processes for track asset maintenance to go undetected in the area covered by the Newcastle Track Maintenance Engineer, which correspondingly had the highest numbers of reportable track geometry defects and eighth of a mile sections of track in the super-red category when compared to other areas. The investigation should include consideration of: l why its audit and self-assurance framework did not identify the full extent of the non-compliances to processes found by the RAIB; l why its reporting and monitoring processes did not trigger earlier action by senior management within the Route to resolve the persistent problems affecting the track assets in the Newcastle Track Maintenance Engineer area; and l whether there are other Track Maintenance Engineer areas, like the one at Newcastle, with persistent non-compliances to processes that are affecting the maintenance of its track assets. Based on the findings of its investigation, Network Rail should take action to improve the management arrangements at Route level that audit, monitor and review the performance of a local area to highlight non-compliances which are resulting in persistent deficiencies with the maintenance of its track assets (paragraphs 203b.iv, 203b.v and 204b).</t>
  </si>
  <si>
    <t>UK-4628/1</t>
  </si>
  <si>
    <t>Asset management</t>
  </si>
  <si>
    <t>Network Rail should review its asset management strategy with the objective of improving the examination and maintenance of its ancillary structures (paragraphs 96a and 98). The review should consider: l identification of structures at greatest risk of failure (eg by age of the structure, those of hollow section, those without galvanised or otherwise treated surfaces, those in hostile environments) and the possible consequences of failure in the context of wider safety risks to the railway; l steps to mitigate the risk (such as periodic replacement); and l specific measures to deal with planted posts as well as those structures fixed to foundations.</t>
  </si>
  <si>
    <t>UK-4628/2</t>
  </si>
  <si>
    <t>Exposure for examination</t>
  </si>
  <si>
    <t>Network Rail should develop and implement a risk assessment process to determine when it is necessary for the critical elements of ancillary structures to be exposed for the purposes of examination and/or to mitigate the risk of corrosion. The process should take into account the specific risk of corrosion of buried metalwork on hollow section ancillary structures that are fixed to foundations (paragraphs 96a and 97a).</t>
  </si>
  <si>
    <t>UK-4628/3</t>
  </si>
  <si>
    <t>Review processes</t>
  </si>
  <si>
    <t>Taking account of the emerging findings from the implementation of Recommendation 1, Network Rail should review its examination and maintenance regimes for ancillary structures and make any necessary improvements to ensure that its processes are commensurate with the risk arising from the failure of those structures (paragraphs 96b, 96d and 99). The review should include, but not be limited to, consideration of the following areas: l a regime of periodic enhanced examinations for ancillary structures (such as the Detailed Examination regime applied to bridges and other complex structures); l consideration of the special requirements for examination of the buried elements of planted posts; l a means for assessing the internal condition of hollow section structures as well as their external condition; l re-designing the examination forms (whether electronic or paper versions) to improve usability for the examiners, to clarify the need to report hidden critical elements that were not examined and to improve reporting lines between Network Rail and its examinations contractors; l revising the competence standards for staff involved in the examination of structures to ensure consistency in the level of training received both by those who are new to the industry as well as experienced examiners; and l cyclical maintenance of any surface treatments on ancillary structures. Changes made as a result of the review should be re-briefed to all those involved in structures examinations and relevant company standards and other documents should be updated as appropriate</t>
  </si>
  <si>
    <t>UK-4628/4</t>
  </si>
  <si>
    <t>Without waiting for Network Railâ€™s actions in response to Recommendation 3 above, Amey should ...</t>
  </si>
  <si>
    <t>Without waiting for Network Railâ€™s actions in response to Recommendation 3 above, Amey should immediately review and revise its competence management processes for its staff involved in structures examinations in accordance with the findings from this investigation (paragraph 97b). The revised processes should allow for further adjustments to be made as necessary once Network Rail has completed its response to recommendation 3.</t>
  </si>
  <si>
    <t>UK-4628/5</t>
  </si>
  <si>
    <t>Internal corrosion</t>
  </si>
  <si>
    <t>Network Rail should develop a specification for a new signal post, or a modification to existing posts, that eliminates or mitigates the risk of internal corrosion (eg, preventing water ingress, improving drainage, internal surface treatments), taking account of whether the galvanisation specified since 1993 (paragraph 17) is adequate and applicable to other designs of post (paragraph 96a). The specification should be implemented on new installations or to replace existing structures where opportunities arise to do so and where risk assessments indicate that it is necessary and appropriate</t>
  </si>
  <si>
    <t>UK-4629/1</t>
  </si>
  <si>
    <t>Risk assessments and hazards</t>
  </si>
  <si>
    <t>Balfour Beatty should undertake a review of its processes for risk assessment and implement any measures necessary to ensure the identification of reasonably foreseeable hazards relevant to the design (including modification), operation and maintenance of railborne plant, while always taking into account the consequences of human error. This may include consideration of methods and guidance in technical standards and related documents, relevant accident and near-miss data, information in established safety risk models, and the competence and expertise of those involved (paragraph 201d.i).</t>
  </si>
  <si>
    <t>UK-4629/2</t>
  </si>
  <si>
    <t>Change management review</t>
  </si>
  <si>
    <t>Taking into account any changes that it has recently introduced, Balfour Beatty should review its processes for change management and how they are being implemented. It should make any necessary enhancements to align them with a system-based design approach so that when railborne plant is modified, or where changes are made to its operation or maintenance (paragraphs 201b, 201c.i, 201c.ii, 202a and 202b): l all changes to the design, operation and maintenance of the complete plant system are identified, irrespective of whether any vehicle or equipment has been used before in a different application; l the impact and significance of the identified changes are systematically and objectively assessed using suitable expertise and criteria, such as those in the common safety method for risk evaluation and assessment (CSM RA); l all significant risks are robustly assessed, using suitable expertise, in accordance with a structured and systematic process, such as one that follows the risk management process in the CSM RA (or at least its essential elements); l safety requirements that are necessary to mitigate the significant risks to an acceptable level are determined, this may include adopting requirements in relevant technical standards; l the safety measures needed to comply with the safety requirements, such as any design and procedural enhancements, are implemented; and l supporting conclusions, justifications and evidence of compliance with safety requirements (including those in any adopted technical standards), are suitably recorded and documented.</t>
  </si>
  <si>
    <t>UK-4629/3</t>
  </si>
  <si>
    <t>Change process</t>
  </si>
  <si>
    <t>RSSB should, in accordance with due industry process, and in consultation with the Plant Standards Committee, review and enhance its guidance relating to the approval and management of change of railborne plant with the objective of emphasising the need to follow a sound and systematic risk management process (such as that in the common safety method for risk evaluation and assessment) when proposing a change to the design, operation or maintenance of vehicles and plant operating in an engineering possession (paragraphs 201b, 201c.i, 201c.ii, 201d.ii and 202a).</t>
  </si>
  <si>
    <t>UK-4629/4</t>
  </si>
  <si>
    <t>Product acceptance process</t>
  </si>
  <si>
    <t>Taking into account any changes that it has recently introduced, Network Rail should review its processes for product acceptance of new and modified plant, and how they are being implemented, and make any necessary enhancements so that they consistently confirm that (paragraphs 201c.iii and 201d.ii): l associated risks have been robustly assessed using a structured and systematic process, such as one that follows the risk management process of the common safety method on risk evaluation and assessment (or at least its essential elements); l the safety requirements necessary to mitigate risks to an acceptable level have been determined, this includes those in adopted technical standards; l there is evidence that all identified safety requirements have been complied with and that safety measures are in place; and l that supporting conclusions and justifications have been suitably recorded.</t>
  </si>
  <si>
    <t>UK-4629/5</t>
  </si>
  <si>
    <t>electrical equipment</t>
  </si>
  <si>
    <t>Balfour Beatty should undertake a review of its procedures for the modification of electrical equipment of railborne plant, and their implementation, and make any changes necessary in order to ensure that work is correctly documented and is carried out in accordance with recognised good practice (paragraph 203).</t>
  </si>
  <si>
    <t>UK-4703/1</t>
  </si>
  <si>
    <t>Safety on major construction sites</t>
  </si>
  <si>
    <t>Network Rail, liaising with Principal Contractors, should review management systems for monitoring railway safety arrangements on major construction sites not separated from the railway by a permanent barrier. The review should identify any improvements needed to ensure that, in addition to appropriate auditing of paperwork after completion of shifts, the management systems promote sufficient direct observation of on-site activities and workgroup questioning to give adequate confidence that mandated safe systems of work are being correctly implemented throughout each shift. Network Rail should then implement any improvements identified by the review (paragraphs 134a and 135a).</t>
  </si>
  <si>
    <t>UK-4703/2</t>
  </si>
  <si>
    <t>Network Rail should review the monitoring arrangements applying to engineering supervisors/safe work ...</t>
  </si>
  <si>
    <t>Network Rail should review the monitoring arrangements applying to engineering supervisors/safe work leaders managing engineering worksites. The review should establish: l any improvements needed to give adequate confidence that the monitoring arrangements can identify where the actions of an engineering supervisor/safe work leader are not in compliance with the railway rulebook (for example when ensuring staff and equipment are clear of the line and concluding that the railway is safe to return to traffic); and l how those actions can be corrected before they become habitual. Network Rail should then implement any improvements identified by the review (paragraphs 132a, 135a and 136a)</t>
  </si>
  <si>
    <t>UK-4703/3</t>
  </si>
  <si>
    <t>Safe working limits</t>
  </si>
  <si>
    <t>Network Rail, liaising with Principal Contractors, should identify and provide a process for implementing, where practicable, improved arrangements for communicating safe working limits to all workers on large construction sites not separated from the railway by a ermanent barrier. This communication, such as signage highlighting lines which have recently reopened, should increase the likelihood of staff recognising and then challenging the proposed safe system of work (paragraphs 134a and 135b).</t>
  </si>
  <si>
    <t>UK-4703/4</t>
  </si>
  <si>
    <t>Multiple forms</t>
  </si>
  <si>
    <t>Network Rail should review whether the use of multiple RT3199 forms should be replaced by an alternative, risk assessed, process for engineering supervisors/safe work leaders controlling worksites which comprise both multiple lines and activities undertaken by several workgroups. If justified by this review, Network Rail should introduce an appropriate alternative process (paragraph 132b).</t>
  </si>
  <si>
    <t>UK-4724/1</t>
  </si>
  <si>
    <t>Wabtec Rail Ltd should review and improve its production quality assurance arrangements to include, but not necessarily be limited to, the development of statistical confidence levels for verification of work carried out, and the provision of work instructions issued to the shop floor that are complete and suitable for the task (paragraphs 161a.i, 161a.ii, 163b).</t>
  </si>
  <si>
    <t>UK-4724/2</t>
  </si>
  <si>
    <t>Review</t>
  </si>
  <si>
    <t>South West Trains, in conjunction with Alstom and Porterbrook, should review the electrical and mechanical protection for the shoe cables, the bus line and the joint between them on the class 458/5 units, establish whether there are any reasonably practicable changes that can be made to the design of the joint to address the risk arising from failure of any associated components or assemblies, and implement any necessary modifications (paragraph 161d). Note: This recommendation may also apply to other operators, owners and manufacturers of electric trains.</t>
  </si>
  <si>
    <t>UK-4724/3</t>
  </si>
  <si>
    <t>Traction supply</t>
  </si>
  <si>
    <t>South West Trains should review the need for the function that automatically shuts down the class 458/5 train after 15 minutes if traction supply is lost and no cab is in service, and 90 minutes after traction power is lost with a cab in service, and assess the risk represented by the operation of this function in circumstances where passengers or other people (such as the emergency services) may still be on the train. It should implement any actions identified by this review (paragraph 162a).</t>
  </si>
  <si>
    <t>UK-4724/4</t>
  </si>
  <si>
    <t>Evacuation</t>
  </si>
  <si>
    <t>Network Rail, in consultation with those Train Operating Companies which operate passenger trains on the DC electrified networks, should assess the adequacy of the present rules relating to the evacuation of DC electric trains, and propose to RSSB any appropriate changes to module DC of the rule book to minimise the risk of uncontrolled evacuation after an incident has caused a stoppage of trains. Consideration should be given to whether there are circumstances under which it is better to permit a controlled evacuation of passengers under the protection of an emergency switch-off, rather than a temporary isolation (paragraph 163c).</t>
  </si>
  <si>
    <t>UK-4747/1</t>
  </si>
  <si>
    <t>Review re overruns</t>
  </si>
  <si>
    <t>RSSB, working in conjunction with operators of steam traction and Network Rail, and in accordance with normal industry processes, should undertake a review of the current standards, policies, procedures and risk assessment tools intended to assess, prevent and mitigate the risk associated with overruns on Network Rail managed infrastructure. This review should consider if these arrangements adequately control the risk of overrun associated with the movement of trains formed of steam locomotives and/or preserved vehicles. It should specifically consider: l the extent to which existing railway group standards and associated guidance adequately mitigate the risk of operating such trains; l if there are features of steam locomotives and preserved vehicles which may potentially increase the likelihood or magnitude of overruns (such as reduced forward visibility or braking systems not designed to meet modern standards of performance) or which may potentially make the consequences of an overrun worse (such as vehicles not being designed to meet modern standards of crashworthiness); l the compatibilty of braking performance of steam-hauled trains and/or preserved vehicles with signal spacing on lines where signals are more closely spaced (eg lines where different maximum permitted speeds apply to passenger and freight trains); l how the train crew of steam locomotives interact with the controls and visual and audible indications of the Automatic Warning System and the Train Protection and Warning System; l if the minimum crewing level for steam movements specified within GO/RT 3440 Issue 2 remains appropriate; and l if steam movements are adequately accounted for within existing tools intended to assess the risk of overruns (such as SORAT). Companies operating steam locomotives and/or preserved vehicles on Network Rail managed infrastructure and Network Rail should implement any measures identified by this review as being required to adequately control the risk</t>
  </si>
  <si>
    <t>UK-4747/2</t>
  </si>
  <si>
    <t>Review of safety management system</t>
  </si>
  <si>
    <t>West Coast Railways should make arrangements for a review of its safety management system and safety culture to be undertaken by an external independent party whose suitability has been agreed with the Office of Rail and Road. The review should consider if the changes made following the SPAD of 7 March 2015 have been implemented and if they have improved the capability of West Coast Railways to control risk and the prevailing safety culture within the company. This review should specifically examine; l governance, policy and leadership; l control and communication and how this is organised; l the co-operation and competence of employees; l the planning and implementation of risk controls and how this is managed; and l monitoring, review and auditing of compliance to the safety management system and how this is managed. West Coast Railways should make any changes identified as necessary (paragraphs 257a, 257b, 257c and 260).</t>
  </si>
  <si>
    <t>UK-4747/3</t>
  </si>
  <si>
    <t>Route knowledge</t>
  </si>
  <si>
    <t>West Coast Railways should review the arrangements by which drivers that it employs acquire and retain route knowledge. This review should take into account whether these arrangements meet with the requirements of RIS 3702 Issue 2 â€˜Route Knowledge for Drivers, Train Managers, Guards and Driver Managersâ€™. West Coast Railways should also consider how proposed routes for steam operations are assessed in order to identify signals and lineside signs which may be difficult to see from a steam locomotive cab and how drivers of West Coast Railways operated steam trains are to be provided with additional competent assistance in sighting any signals or lineside signs falling within this category. This should be done with regard to the requirements of GO/RT 3440 Issue 2 â€˜Steam Locomotive Operationâ€™. West Coast Railways should make any changes identified as necessary (paragraph 261).</t>
  </si>
  <si>
    <t>UK-4747/4</t>
  </si>
  <si>
    <t>OTDR</t>
  </si>
  <si>
    <t>West Coast Railways should review the arrangements by which On Train Data Recorders fitted to trains that it operates are maintained. This review should specifically ensure that such recorders are maintained in a way which means that they are capable of supporting the key objectives for data recording as laid down in GM/RT 2472 Issue 2 â€˜Requirements for Data Recorders on Trainsâ€™. These include: l the use of systematic safety monitoring as a means of preventing incidents and accidents; l the identification of driver, train and infrastructure performance in the period leading up to and (if appropriate) immediately after an incident or accident; and l the recording of information relating to the performance of both the locomotive / traction unit and the person driving. West Coast Railways should make any changes identified as necessary (paragraph 263).</t>
  </si>
  <si>
    <t>UK-4747/5</t>
  </si>
  <si>
    <t>Speed restrictions</t>
  </si>
  <si>
    <t>Network Rail, in association with any contractors who carry out such work, should review how the design and implementation of emergency and temporary speed restrictions is managed by the Swindon Maintenance Delivery Unit and how this resulted in the errors identified in this report. This review should consider: l the information, instruction and training given to designers of TSRs; l the procurement process for designs, including the circulation list for information and designs provided to Network Rail; l the process for conversion of ESRs to TSRs, including the criteria for deciding whether an ESR design is modified, or if a new design must be used; and l the process for implementing ESRs and TSRs, including the checking of designs and the action to be taken if conditions on the ground do not match the design. Network Rail should also determine whether any of the issues identified may apply to other maintenance delivery units and take action as necessary to make any changes required (paragraph 256b</t>
  </si>
  <si>
    <t>UK-4748/1</t>
  </si>
  <si>
    <t>ID plates</t>
  </si>
  <si>
    <t>Network Rail should develop and implement a programme for the timely installation of identification plates on all overline bridges with a carriageway for which it is responsible (unless the consequence of a parapet falling onto the tracks or a road vehicle incursion at a particular bridge are assessed as likely to be minor). Installation should be prioritised so that those bridges assessed as being at highest risk are fitted first. Network Rail should also modify its standards relating to the installation of identification plates accordingly (paragraph 103b). This recommendation may also apply to other infrastructure managers.</t>
  </si>
  <si>
    <t>REC-000126</t>
  </si>
  <si>
    <t>UK-4748/2</t>
  </si>
  <si>
    <t>RVI risk assessment</t>
  </si>
  <si>
    <t>The Department for Transport should include in its guidance for assessing the risk of road vehicle incursion (RVI), a method for specifically assessing the risk of road vehicles damaging a bridge parapet and knocking debris onto the track below, so that proportionate mitigation can be considered by both railway and highway RVI assessors (paragraph 103c).</t>
  </si>
  <si>
    <t>UK-4748/3</t>
  </si>
  <si>
    <t>Assessing risk</t>
  </si>
  <si>
    <t>Network Rail should: a) include a requirement (aligned with any revised DfT guidance arising from recommendation 2) in its RVI assessment procedures for overline bridges, to specifically assess the risk of road vehicles damaging a bridge parapet and knocking over debris onto the track below so that proportionate mitigation (eg road signage) can be considered by its RVI assessors; and b) brief its RVI assessors accordingly (paragraph 103c).</t>
  </si>
  <si>
    <t>UK-4748/4</t>
  </si>
  <si>
    <t>RSSB</t>
  </si>
  <si>
    <t>RSSB, in consultation with industry, should propose, and then promote, the introduction of an additional specific requirement in an appropriate Railway Group Standard, so that in the event a train is damaged in an incident (including striking objects on the track) and is to be moved (with or without fitter attention), the conditions of any such movement, including the maximum permissible speed, are subject to a full consideration of: a) the circumstances of the incident (including the train speed and nature of any obstacle struck); b) the limitations of any on-site assessment of damage; and c) whether or not there are passengers on board (paragraph 104a).</t>
  </si>
  <si>
    <t>UK-4749/1</t>
  </si>
  <si>
    <t>Trap and drag risk</t>
  </si>
  <si>
    <t>London Underground should review the feasibility and effectiveness of measures to reduce risks associated with passengers being trapped in train doors and then dragged at the platform-train interface (PTI). The review should include measures already considered for all or part of the London Underground network, techniques already used by other railway operators, measures already considered by RSSB and measures made possible by the latest technology available when the review is undertaken. The review should include, but not be restricted to, consideration of: l improving detection of objects trapped in train doors; l improving the ability of passengers to pull out objects trapped in doors (including by improving door seal arrangements); l improving train operator views of the PTI at despatch (eg increasing the number of CCTV cameras, repositioning cameras and providing larger monitors); l enhancing the methods available to staff performing SATS duties when they need to alert train operators, or stop trains, in an emergency; l using gap fillers or alternative means to reduce the gap between platforms and both moving and stationary trains; adapting platform markings to reduce passenger crowding close to trains/doors; and l raising passenger awareness of the safety risks associated with objects, fingers and hands becoming trapped in doors. The review should conclude with a time-bound, funded plan for progressing development of potentially viable measures. This should, if appropriate, include solutions which are only applicable to some parts of the London Underground network.</t>
  </si>
  <si>
    <t>UK-4751/1</t>
  </si>
  <si>
    <t>Out of gauge spigots</t>
  </si>
  <si>
    <t>Operators of container carrying vehicles, liaising where necessary with vehicle owners and entities in charge of maintenance, should: l ensure hinged spigot assemblies are, where practicable, provided with a physical means preventing them being left in a position where they are out of gauge; or l if physical prevention is not practicable, ensure out of gauge spigot assemblies are easily recognised by train preparers.</t>
  </si>
  <si>
    <t>UK-4751/2</t>
  </si>
  <si>
    <t>Platform clearance</t>
  </si>
  <si>
    <t>Network Rail should review and improve its process for managing clearances at platforms so that: l it provides an effective means for identifying long term adverse movement trends, including an effective means of comparing movement data with any relevant datum information; and l documentation directly related to managing clearances is more clearly presented.</t>
  </si>
  <si>
    <t>UK-4774/1</t>
  </si>
  <si>
    <t>Door modification</t>
  </si>
  <si>
    <t>Operators and owners of trains with power operated doors should jointly review passenger door operation, and apply any necessary modifications so that, if doors are opened by passengers using the door open controls during the door closing cycle, the doors will fully open for a period consistent with safe use by a passenger (paragraph 117a).</t>
  </si>
  <si>
    <t>UK-4774/2</t>
  </si>
  <si>
    <t>Monitor train doors</t>
  </si>
  <si>
    <t>The RSSB, in consultation with the railway industry, should include in suitable guidance that train crew undertaking dispatch duties should, where practicable, monitor train doors during the door closing period. This is additional to the existing railway rule book requirement for a train safety check after doors are fully closed (paragraph 117e).</t>
  </si>
  <si>
    <t>UK-4775/1</t>
  </si>
  <si>
    <t>Update maintenance instructions</t>
  </si>
  <si>
    <t>VTG AG should update the maintenance instructions for its Megafret wagons operating in the UK to clarify the method to be used to check for wear of the centre pivot liner, and clearly specify the periodicity for these checks (paragraph 135a). In defining this periodicity VTG AG should take into account the wear characteristics of centre pivot liners that it permits to be installed and the distance travelled by the wagons. This recommendation may also be applicable to VTG AGâ€™s Megafret wagons operating in other countries.</t>
  </si>
  <si>
    <t>UK-4775/2</t>
  </si>
  <si>
    <t>AAE defects</t>
  </si>
  <si>
    <t>VTG AG should review, and update as necessary, the processes that will apply if a systemic defect is identified with a former AAE wagon (paragraph 137). The processes should ensure that the risk of continued fleet operation is understood and any necessary mitigation measures put in place to reduce it to an acceptable level. It should also provide for adequate communication of safety related information to all other owners, operators and maintainers.</t>
  </si>
  <si>
    <t>UK-4775/3</t>
  </si>
  <si>
    <t>S&amp;C training</t>
  </si>
  <si>
    <t>Network Rail should review, and update as necessary, its S&amp;C training course(s) to confirm that there is adequate coverage of two-levelling of S&amp;C. It should ensure that S&amp;C maintenance staff who undertake maintenance of two-levelled S&amp;C are competent to identify and maintain two-levelled S&amp;C. In addition, Network Rail should introduce a system to make the necessary information available to enable correct maintenance of two-levelled S&amp;C (paragraph 135b). The knowledge, skills and experience required to ensure that two-levelled S&amp;C can be maintained competently should be made explicit within Network Railâ€™s competency management system. The competency requirements should cover all staff likely to be involved in planning, executing and supervising the maintenance of two-levelled S&amp;C.</t>
  </si>
  <si>
    <t>UK-4809/1</t>
  </si>
  <si>
    <t>Welfare provision</t>
  </si>
  <si>
    <t>Metrolink RATP Dev Ltd should improve its process of providing for the welfare of staff who have been involved in potentially traumatic incidents. This should include immediately releasing them from safety critical activities as well as arranging for them to be accompanied to an appropriate location. It should also contain provisions for support and/or counselling, taking account of the possibility that the individual may need to provide evidence to investigating authorities (paragraph 80a).</t>
  </si>
  <si>
    <t>UK-4809/2</t>
  </si>
  <si>
    <t>Risk</t>
  </si>
  <si>
    <t>Metrolink RATP Dev Ltd in conjunction with Transport for Greater Manchester should review the effectiveness of risk mitigation measures associated with tram operations through the pedestrianised area in the vicinity of Piccadilly Gardens. This review should include: l reference to previous risk assessments; l identification of the dominant contributors to the overall level of risk; l historical experience of accidents and near misses in this area (based on collation of existing data); and l the experience and knowledge of tramway staff, including drivers. The findings of this review should be used to identify and evaluate possible additional mitigation measures. Any that are considered to be reasonably practicable should then be programmed for implementation (paragraphs 79a, 79b and 80d).</t>
  </si>
  <si>
    <t>UK-4809/3</t>
  </si>
  <si>
    <t>Management of risk</t>
  </si>
  <si>
    <t>UK Tram should, as part of revising guidance for the design and operation of urban tramways, make explicit provision for the management of risk in areas where trams and pedestrians/cyclists share the same space. This should include: l guidance on the collection and collation of data on accidents and incidents; l the types of hazards to be considered; l methods of risk assessment; and l examples of design and operational measures for mitigating the risk. (paragraph 80e)</t>
  </si>
  <si>
    <t>UK-4839/1</t>
  </si>
  <si>
    <t>Stress</t>
  </si>
  <si>
    <t>Network Rail should: a. review its guidance to maintainers on the circumstances in which: l a re-measurement of stress free temperature; or l the re-stressing of rails to a stress free temperature of 27oC, is considered appropriate. The review should include an assessment of whether sufficient account is taken of factors not explicitly covered by the standard currently, such as the difficulty of maintaining stress in short sections of plain line between abutting switch toes or the nature of any maintenance work carried out, which can affect the buckling resistance of vulnerable track; and b. develop a programme to deliver any actions arising from the review, including amendments to standards and early rebriefing of track maintenance staff, to meet the intent of the recommendation (paragraphs 100a.iv and 101a).</t>
  </si>
  <si>
    <t>UK-4839/2</t>
  </si>
  <si>
    <t>Temperature</t>
  </si>
  <si>
    <t>Network Rail should: a. assess whether the descriptors of ballast shortage conditions in its current standards and guidance require further clarification to enable consistent calculation of critical rail temperatures. The review should also include an evaluation of whether additional allowances should be made for combinations of conditions, such as localised ballast shortage in switches and crossings (particularly around point motor bearers), sub-intervention level misalignments and any maintenance that could have affected the stress free temperature; and b. develop a programme to deliver any actions arising from the review, including amendments to standards and rebriefing of track maintenance staff, to meet the intent of the recommendation (paragraphs 100a.ii, 100a.iii, 100b and 101a).</t>
  </si>
  <si>
    <t>UK-4839/3</t>
  </si>
  <si>
    <t>Network Rail should review the Ellipse track maintenance workbank for the area covered by its Lincoln depot to ascertain the adequacy of resources to prepare the track for hot weather, taking account of the overall workload and the level of resources assessed as required in its â€˜Phase 2BCâ€™ reorganisation, and then implement a plan to manage any shortfall (paragraph 101b).</t>
  </si>
  <si>
    <t>UK-4839/4</t>
  </si>
  <si>
    <t>Work orders</t>
  </si>
  <si>
    <t>Network Rail should examine the process of managerial oversight of the reprioritisation and cancellation of work orders at its Lincoln depot assure itself that these are being undertaken in accordance with company procedures, that the decision-making processes are technically sound and risk based and, where necessary, any interim mitigation measures are put in place (paragraph 101b). This recommendation may have wider application within Network Railâ€™s maintenance functions.</t>
  </si>
  <si>
    <t>UK-4843/1</t>
  </si>
  <si>
    <t>Inspection and maintenance</t>
  </si>
  <si>
    <t>VTG Rail UK should review and improve the inspection and maintenance regimes for its wagons with Y25 type bogies to ensure that these adequately manage the risk arising from suspension locking up. This review should include, but not be limited to: l understanding which friction surfaces in the suspension systems of its wagons with Y25 type bogies can be subject to excessive or uneven wear that could lead to suspension locking up; l understanding the prevalence of such wear to these friction surfaces; l amending inspection processes to allow identification of uneven wear patterns on friction surfaces; l consideration of methods, such as measurements or physical markers, to allow identification of suspension lock up problems; and l consideration of the use of wheel weight data sources, such as Gotcha, to identify wagon defects that can increase derailment risk (paragraphs 105a and 105b).</t>
  </si>
  <si>
    <t>UK-4843/2</t>
  </si>
  <si>
    <t>Liaise re maintenance</t>
  </si>
  <si>
    <t>VTG Rail UK should liaise with other entities in charge of maintenance for freight wagons to review and, if appropriate, amend its inspection and maintenance regimes for wagons with Y25 type bogies to ensure that friction surface inspection and/or replacement frequencies are compatible with foreseeable wear rates. This review should include, but not be restricted to: l understanding the mechanisms that lead to friction surface wear in Y25 bogie suspension; l understanding the wear rates that are experienced in service; and l understanding the limits of wear that can lead to suspension locking (paragraph 105b).</t>
  </si>
  <si>
    <t>UK-4843/3</t>
  </si>
  <si>
    <t>Configuration on line</t>
  </si>
  <si>
    <t>Network Rail should review and, if appropriate, alter the infrastructure configuration on the line between Angerstein Junction and Angerstein Wharf sidings to reduce its contribution to the derailment risk in the immediate vicinity of the 851A trap points. This review should include, but not be limited to, consideration of: l the wagon types and loads normally using the line; l the layout of the check rail; l the speed and braking profiles of trains using the line; l the locations and operation of signalling equipment; and l the location of the trap points, or the provision of alternative risk mitigation measures (paragraph 105c).</t>
  </si>
  <si>
    <t>UK-4844/1</t>
  </si>
  <si>
    <t>NR review</t>
  </si>
  <si>
    <t>Network Rail should: a) undertake a comprehensive review of the safety of the crossing at Oakwood Farm UWC in the light of the findings in this report, its own hazard reviews, human factors advice, and suggestions from the authorised user, in order to minimise the risk to users; and b) implement any improvements identified in part a) above at Oakwood Farm UWC in liaison with the authorised user.</t>
  </si>
  <si>
    <t>UK-4844/2</t>
  </si>
  <si>
    <t>Network Rail should develop and implement a programme for a timely review of the safety of other ...</t>
  </si>
  <si>
    <t>Network Rail should develop and implement a programme for a timely review of the safety of other user worked crossings it has fitted with POGO equipment and those it intends to fit in the future. The review should include particular consideration of the following: a) the design standard for crossings fitted with POGO equipment (paragraph 77); b) the ways in which users in different types of vehicles operate the crossing gates, including the function of the gate operating buttons (paragraph 74); c) the clarity of instructions to enable unfamiliar users to use the crossings safely and to minimise reliance on the briefing of all visitors by authorised users (which is not always practicable) (paragraph 94); d) improving the conspicuity of the MSLs (eg using two MSLs on each side of the crossing, the use of larger â€˜road traffic lightâ€™ style red and green lights, flashing red MSLs, or wig wag lights) and the number and clarity of the signs, to minimise confusion and distraction (paragraph 64); and e) whether the opening of the gates should be disabled unless the MSLs are displaying green lights (paragraphs 41 and 61). This review should draw on the findings from recent relevant research (eg RSSBâ€™s research into signs at private level rossings (T983) and human factors advice). Any measures for safety improvements at such crossings should then be implemented at higher risk locations and incorporated into the standards for future designs. continued</t>
  </si>
  <si>
    <t>UK-4844/3</t>
  </si>
  <si>
    <t>Processes for accepting new technology</t>
  </si>
  <si>
    <t>Network Rail should review the robustness of its processes for accepting new equipment and technology onto the railway, including particular consideration of the following: a) definition and adherence to an appropriate level of safety assurance; b) the early involvement of human factors expertise, where appropriate, throughout the productâ€™s introduction; c) the risk assessment processes applied to the new equipment itself and the infrastructure into which it is to be integrated; d) definition and monitoring of trials, implementation of any resulting improvements, and the roll-out of the product to other locations; e) maintenance of a hazard record for the life-cycle of the product; and f) a process for undertaking regular audits to check the implementation of its product introduction processes and correcting any identified shortcomings (paragraph 116b). It should then, where appropriate, produce a time bound plan for the amendment of the standard.</t>
  </si>
  <si>
    <t>UK-4845/1</t>
  </si>
  <si>
    <t>Fence</t>
  </si>
  <si>
    <t>Network Rail should modify its risk rating methodology for fencing inspections to include guidance on: a) the design of the fence and its appropriateness for the adjacent land use; and b) condition ratings based on objective and relative (benchmarked) criteria. If necessary, Network Rail should commission research to establish the relevant criteria (paragraph 91a).</t>
  </si>
  <si>
    <t>UK-4845/2</t>
  </si>
  <si>
    <t>Signallers guidance</t>
  </si>
  <si>
    <t>Network Rail should provide clarification for signallers in terms of how they may interpret the Rule Book regarding their response to reports of animal incursions, including guidance on how long to continue cautioning trains and what constitutes being â€˜sureâ€™ that the line is again clear, and re-brief as appropriate (paragraph 91b).</t>
  </si>
  <si>
    <t>UK-4845/3</t>
  </si>
  <si>
    <t>Obstacle deflectors</t>
  </si>
  <si>
    <t>London &amp; South Eastern Railway Limited, in conjunction with Govia Thameslink Railway, Porterbrook Leasing Company Limited17 and Eversholt Rail Group should develop, and then implement, a programme for retrofitting obstacle deflectors to Electrostar units that are not currently fitted, but are equipped with mountings for such deflectors (paragraph 91c).</t>
  </si>
  <si>
    <t>UK-4845/4</t>
  </si>
  <si>
    <t>Deflectors</t>
  </si>
  <si>
    <t>RSSB, in consultation with the industry, and involving due industry process, should consider the case for retrofitting obstacle deflectors to units that are not currently equipped, other than those referred to in Recommendation 3 (paragraph 91c). The analysis should include re-evaluation of the findings of previous research in the light of this investigation and select for initial analysis the fleets that are most likely to have a positive case for retrofitting obstacle deflectors.</t>
  </si>
  <si>
    <t>UK-4845/5</t>
  </si>
  <si>
    <t>London &amp; South Eastern Railway Limited, in conjunction with Siemens Rail Automation Ltd and Network Rail, should complete their work to understand the nature of the problem with the GSM-R train radio system in this accident, and then implement reasonably practicable measures to ensure that its drivers have the facility to make an emergency call in similar situations in future (paragraph 93b). Examples of such measures may include: a) improving the resilience of the GSM-R radio system following an accident such as a derailment; b) providing drivers with GSM-R handheld units; c) ensuring that all relevant signalbox telephone numbers are stored in driversâ€™ company mobile phones; and/or d) providing guidance to drivers on the actions to take if the GSM-R radio becomes inoperative. On completion of its work, LSER should update the National Incident Report it raised on this matter (paragraph 114). Note: This recommendation may be applicable to other train operators.</t>
  </si>
  <si>
    <t>UK-4851/1</t>
  </si>
  <si>
    <t>Competency</t>
  </si>
  <si>
    <t>Each freight operating company should have a driver competency management system that includes monitoring of its drivers when driving trains within both possessions and work sites to: l identify and address any non-compliances with the rules for driving in possessions and work sites; and l assess how well its drivers are able to proceed at caution when travelling in a possession or work site and address any observed deficiencies (paragraphs 116a.i and 116a.iii). This recommendation may also apply to other organisations who operate on-track machines in possessions and work sites.</t>
  </si>
  <si>
    <t>UK-4851/2</t>
  </si>
  <si>
    <t>Form</t>
  </si>
  <si>
    <t>The freight operating companies should collaborate to produce a common form which will then be issued to all freight train drivers to record the instructions briefed to them when making: l any movement into, within or out of a possession; l movements into, within or out of a work site (other than short distance shunting movements and movements made during the work activity) (paragraph 115b.i and 115b.iii).</t>
  </si>
  <si>
    <t>UK-4851/3</t>
  </si>
  <si>
    <t>Content of briefings</t>
  </si>
  <si>
    <t>The freight operating companies, in conjunction with Network Rail, should implement a method of working such that the content of briefings given to freight train drivers for making movements in accordance with Rule Book module GE/RT8000/T3 (Possession of a running line for engineering work) is recorded. The method adopted should include consideration of: l the minimum amount of information within these briefings that must be recorded for the safe movement of the train; l the person who must record this information; l how this information must be recorded; and l where the requirement on relevant staff to record this information should be mandated (paragraph 115b.i and 115b.iii).</t>
  </si>
  <si>
    <t>UK-4851/4</t>
  </si>
  <si>
    <t>Driving in possessions</t>
  </si>
  <si>
    <t>The freight operating companies should collaborate to: a) Investigate the practicalities of driving freight trains in possessions and work sites for long distances at a speed of 5 mph (8 km/h) or at other slow speeds when proceeding â€˜at cautionâ€™ as defined in Rule Book module TW1 section 25. This should include consideration of the human factors issues that may influence the behaviour of drivers and their ability to drive trains at an appropriate speed. b) Assess the skills a driver needs to drive in such circumstances, the effect of freight train braking performance, and the level of geographical knowledge that a driver needs. c) Develop and implement a programme of work, in conjunction with Network Rail, to address any issues identified by parts (a) and (b) (paragraph 116a.ii).</t>
  </si>
  <si>
    <t>UK-4906/1</t>
  </si>
  <si>
    <t>Govia Thameslink Railway should review its arrangements for managing trainee drivers, to minimise ...</t>
  </si>
  <si>
    <t>Govia Thameslink Railway should review its arrangements for managing trainee drivers, to minimise the risks that may arise from errors associated with inexperience. The review should include consideration of: l the stage of training at which new drivers are permitted to drive on higher-risk sections of route, such as the approach to buffer stops; l the amount and type of training, and experience, necessary for trainee drivers to achieve competence in other circumstances in which they may need to respond quickly to events, or otherwise act in a timely manner, such as sounding the warning horn, entering occupied platforms, and drawing up to other vehicles and obstructions; and l additional measures to enhance traineesâ€™ familiarity with train controls before first driving trains in passenger service (eg the greater use of simulators and/or practice on trains in sidings). Govia Thameslink Railway should then put in place a programme for the implementation of any reasonably practicable measures for improvement that are identified during the review (paragraphs 90a, 90b and 90c).</t>
  </si>
  <si>
    <t>UK-4906/2</t>
  </si>
  <si>
    <t>Govia Thameslink Railway should review the selection, training and management of its driver ...</t>
  </si>
  <si>
    <t>Govia Thameslink Railway should review the selection, training and management of its driver instructors, to improve the quality of training delivered to drivers. The review should draw on the guidance in RSSB publication RS/100 â€˜Good practice guide on competence developmentâ€™ and ORR publication RSP1 â€˜Developing and maintaining staff competenceâ€™, and include: l the criteria for selection of individuals to act as driver instructors; l the training given to driver instructors on methods of teaching, the supervision and mentoring of trainees, and development of non-â€Štechnical skills; and l how the competence of driver instructors is assessed, with particular reference to the ability to teach, and possible techniques for assessment, including assessment from the driving seat. The management arrangements should be updated with relevant findings from this review (paragraphs 90b, 90c, 91a and 91b).</t>
  </si>
  <si>
    <t>UK-4942/1</t>
  </si>
  <si>
    <t>Virgin Trains East Coast should introduce an enhanced process to encourage increased partnership ...</t>
  </si>
  <si>
    <t>Virgin Trains East Coast should introduce an enhanced process to encourage increased partnership between its drivers and their managers. This process should include: l encouraging drivers and their managers to have timely, open, and honest discussions about driversâ€™ personal circumstances, and the operational risks arising from personal problems; l recognising that staff suffering from stress may not be the most appropriate people to judge the possible effects of this stress; l providing drivers with access to, and encouraging them to apply, appropriate advice about the management of fatigue, including the importance of appropriate eating as well as sleeping; l evaluating and disseminating the advantages and limitations of non-â€Štechnical skills training, particularly whether non-technical skills are the appropriate means to address risks due to distraction from personal problems; and l identifying the additional or alternative support which should be provided to drivers if non-technical skills training does not adequately mitigate the risks associated with their personal circumstances. (paragraphs 119a and 120a)</t>
  </si>
  <si>
    <t>UK-4942/2</t>
  </si>
  <si>
    <t>Virgin Trains East Coast, working with Network Rail, should review and implement any necessary ...</t>
  </si>
  <si>
    <t>Virgin Trains East Coast, working with Network Rail, should review and implement any necessary improvements to its processes for: l reviewing Virgin Trains East Coast routes to identify locations where a driver may be at greater than usual risk of being unaware of a speed restriction; l identifying appropriate and effective mitigation measures at these locations; l implementing these mitigation measures when they are within Virgin Trains East Coastâ€™s control; and l confirming that Network Rail is aware of these mitigation measures when they are within its control.</t>
  </si>
  <si>
    <t>UK-4942/3</t>
  </si>
  <si>
    <t>Network Rail should introduce a process to capture and retain the output from recommendation 2 ...</t>
  </si>
  <si>
    <t>Network Rail should introduce a process to capture and retain the output from recommendation 2 relating to its infrastructure, so that: l any reasonably practicable short-term risk reduction measures are taken; and l appropriate information about risk reduction measures is available for consideration when future infrastructure changes are being considered and developed.</t>
  </si>
  <si>
    <t>UK-4942/4</t>
  </si>
  <si>
    <t>Network Rail should develop and then implement a process to: l check whether operational signs (eg ...</t>
  </si>
  <si>
    <t>Network Rail should develop and then implement a process to: l check whether operational signs (eg signs associated with speed restrictions) are provided in accordance with relevant documentation (eg signalling plans); and l record, and then correct, any non-compliances that are identified.</t>
  </si>
  <si>
    <t>UK-4942/5</t>
  </si>
  <si>
    <t>Investigation</t>
  </si>
  <si>
    <t>Virgin Trains East Coast should review and develop its existing arrangements for incident investigation so that information about possible causes of loss of attention/distraction (eg from personal problems) is properly considered as a possible cause of the incident (paragraph 120a).</t>
  </si>
  <si>
    <t>UK-4962/1</t>
  </si>
  <si>
    <t>Low adhesion risk</t>
  </si>
  <si>
    <t>UK tram operators should review their processes for assessing and managing the risk from low adhesion conditions on their networks. This should include consideration of how drivers are trained and briefed for the low adhesion season, and other measures to manage low adhesion conditions. Where this review shows it to be necessary, operators should put in place a timely programme of improvements.</t>
  </si>
  <si>
    <t>UK-4963/1</t>
  </si>
  <si>
    <t>Fatigue risk</t>
  </si>
  <si>
    <t>DB Cargo (UK) Ltd should review the driver diagrams and rosters at Westbury depot to identify those at highest risk of fatigue and amend the timing, duration and/or operation of these trains in order to reduce the fatigue risk. The review should consider the findings from this investigation, industry good practice, staffing levels and feedback from the companyâ€™s drivers (paragraph 102b).</t>
  </si>
  <si>
    <t>UK-4963/2</t>
  </si>
  <si>
    <t>Review fatigue risk management systems</t>
  </si>
  <si>
    <t>Freight operating companies should expedite a review of their fatigue risk management systems to ensure that they have sufficient controls (eg policies, company standards) in place which are consistent with published good practice (such as that from ORR and RSSB), including: l rostering rules and associated staffing levels (such as limits on working hours, overtime and consecutive shifts), especially for night shifts; l appropriate use of biomathematical fatigue models (such as the FRI); l training and education on fatigue for safety-critical workers and controllers of safety-critical work; l fitness for duty checks when booking-on for duty; l processes for gathering and using feedback, in an open and timely manner, from safety-critical workers on fatigue-inducing shift patterns; l in consultation with their occupational health advisers, screening and treatment for sleep disorders as part of medical assessments, both routinely and particularly where a worker has been involved in a suspected fatigue-related incident, and requirements on individuals to declare any known sleep disorders to their employer.</t>
  </si>
  <si>
    <t>UK-4963/3</t>
  </si>
  <si>
    <t>Research</t>
  </si>
  <si>
    <t>DB Cargo (UK) Ltd, in cooperation with other freight operating companies, should submit a research proposal to RSSB with the aim of conducting more detailed analysis on incident patterns using normalised data (eg long shifts, consecutive shifts), revisiting previous research in this area and building on recent advances in SPAD data analysis (paragraph 134).</t>
  </si>
  <si>
    <t>UK-4964/1</t>
  </si>
  <si>
    <t>Non-signallers</t>
  </si>
  <si>
    <t>This recommendation relates to the signaller competence action plan which was initiated by Network Rail in April 2016. When carrying out its review of the effectiveness of the recently revised procedure 4-20 of the Operations Manual NR/L3/OPS/041, Network Rail should review whether the changes to the requirements on non-â€Šsignallers have resulted in them maintaining the required level of knowledge and experience needed to operate the signalling locations for which they are authorised, including where it has not been practicable for them to operate those locations, and implement any further necessary changes</t>
  </si>
  <si>
    <t>UK-4967/1</t>
  </si>
  <si>
    <t>Research into behaviour</t>
  </si>
  <si>
    <t>RSSB, in consultation with the industry, and involving due industry process, should consider consolidating the findings from existing research and good industry practice, and undertaking new research as necessary to identify the optimum means for promoting safe behaviour by passengers when boarding and alighting from trains (paragraph 108a).</t>
  </si>
  <si>
    <t>UK-4967/2</t>
  </si>
  <si>
    <t>Sensitive edge</t>
  </si>
  <si>
    <t>Angel Trains and Eversholt Rail should extend current research on fitting sensitive edge door technology on class 365 trains to include other units in the Networker family (classes 165, 166, 465 and 466), and develop a plan for the fitting of modified doors to those units if the case can be made to do so (paragraph 108b).</t>
  </si>
  <si>
    <t>UK-4981/1</t>
  </si>
  <si>
    <t>London Midland should review and improve the process for routine competence management and assessment of driver managers and other managers with train driving competencies. The review should include consideration of: l the extent to which people of the same grade and/or from the same location should undertake assessments; l the minimum amount of driving which driver managers should undertake, and the processes required to record and audit this activity; l the content and frequency of the refresher training needed for maintaining the skills needed to assess train driving; l monitoring and, where necessary, improving the conduct of assessments; and l including an explicit statement about how responsibility for safety of the train is allocated to a driver and an assessor during an assessment.</t>
  </si>
  <si>
    <t>UK-4981/2</t>
  </si>
  <si>
    <t>Communication</t>
  </si>
  <si>
    <t>London Midland should review and improve the communication of safety critical information transmitted to its drivers using traditional methods (eg late notice cases) and any transmitted electronically. The review should include: l ensuring essential safety information is prominently displayed; l ensuring subsidiary information is differentiated from safety critical content; l ensuring non-essential information is omitted; l considering the use of differing fonts, differing font sizes and colours; l considering use of maps or plans; and l considering the introduction of a requirement for staff to acknowledge the receipt and understanding of such communications.</t>
  </si>
  <si>
    <t>UK-4981/3</t>
  </si>
  <si>
    <t>Identify driver</t>
  </si>
  <si>
    <t>London Midland should introduce an effective means of ensuring that relevant staff (for example control room operators) can rapidly establish who is driving a train (for example when driver managers replace booked drivers).</t>
  </si>
  <si>
    <t>REC-000480</t>
  </si>
  <si>
    <t>UK-4982/1</t>
  </si>
  <si>
    <t>Improve scour management</t>
  </si>
  <si>
    <t>Network Rail should review and improve the management of scour risk by Scotland Route. The review should encompass formal procedures, the way in which they are implemented and the competencies of staff. Any lessons learnt should be applied to other Routes where appropriate. The improved measures for the management of scour risk should provide for: a. Prompt holistic evaluations of all relevant existing information (including poor structure condition, shallow foundation depth, possible future changes in river bed level and scour assessments) whenever new information is received about a structure at risk of scour damage (paragraphs 172b and 173a.i), followed by timely: l implementation of necessary remedial work; or l effective risk assessment (including any necessary investigations) for any decision to defer or omit remedial work recommended by the examination regime or other specialists; and l implementation of any temporary mitigation found necessary by these risk assessments. b. Circumstances where water level monitoring is not a reliable measure of risk from scour or water action (paragraph 173a.ii. c. Circumstances where structure degradation, climate change and other factors mean that historic behaviour of a structure and the surrounding environment is not a good indicator of future behaviour (paragraph 174a). d. Enhanced measures for automatic monitoring of parameters such as water level, flow rate, bed level (ie direct measure of scour) and structure movement (paragraph 187).</t>
  </si>
  <si>
    <t>REC-000481</t>
  </si>
  <si>
    <t>UK-4982/2</t>
  </si>
  <si>
    <t>Defect reports</t>
  </si>
  <si>
    <t>Network Rail should review, and if necessary, enhance its processes for operations staff responding to defect reports (eg track faults) where these may relate to structures over, or adjacent to, water. The enhancements should provide responses which take account of the risk that the defect is a consequence of structural damage caused by water action (eg scour, impact from floating debris, debris blockage etc.). (paragraphs 172c and 173a.v).</t>
  </si>
  <si>
    <t>UK-4982/3</t>
  </si>
  <si>
    <t>Improve management and assurance systems</t>
  </si>
  <si>
    <t>Network Rail should review and improve the management and assurance systems for all control centre processes relating to the safety of railway infrastructure used by Scotland Route. The review should encompass both documented processes and the way they are implemented. It should include: l procedures directly relevant to control room staff; l inputs required from other parts of Network Rail; l inputs required from external organisations; and l arrangements for prompt updating and periodic verification of processes. Any lessons learnt should be applied to other Routes as necessary (paragraph 173a.iv and 173b).</t>
  </si>
  <si>
    <t>UK-5039/1</t>
  </si>
  <si>
    <t>Risk to railway ops</t>
  </si>
  <si>
    <t>Tarmac and Wabtec should review and improve their processes for consideration of the risk that their rail operations, including maintenance activities, might pose to other railway operations (paragraphs 131b, 132b and 133a).</t>
  </si>
  <si>
    <t>UK-5039/2</t>
  </si>
  <si>
    <t>Review management arrangements</t>
  </si>
  <si>
    <t>Wabtec should review its management arrangements at Barrow Railhead to ensure that the maintenance and inspection procedures are clearly defined, understood and correctly executed. This should include definition of the areas of the site where the type of work is prohibited or permitted (paragraphs 131b and 132a). This may also apply to other Wabtec maintenance sites.</t>
  </si>
  <si>
    <t>REC-000483</t>
  </si>
  <si>
    <t>UK-5039/3</t>
  </si>
  <si>
    <t>Review management processes</t>
  </si>
  <si>
    <t>Tarmac should review its management processes, and their implementation, to identify why no action was taken to manage the risk from continued operation of the unloading wagons after it had been informed of the unacceptable condition of the electrical system. It should introduce any necessary changes to prevent a similar occurrence (paragraph 132b).</t>
  </si>
  <si>
    <t>UK-5039/4</t>
  </si>
  <si>
    <t>Before any re-entry to service, the registered keeper of the SDT vehicles should ensure that the ...</t>
  </si>
  <si>
    <t>Before any re-entry to service, the registered keeper of the SDT vehicles should ensure that the condition of the electrical system is restored to be safe to operate in the environment in which it is to be used (paragraphs 131a, 132a and 133b).</t>
  </si>
  <si>
    <t>UK-5040/1</t>
  </si>
  <si>
    <t>Northern Ireland Railways should introduce a process to ensure that the engineering supervisor or ...</t>
  </si>
  <si>
    <t>Northern Ireland Railways should introduce a process to ensure that the engineering supervisor or other designated individual(s) are assigned responsibility for carrying out a visual inspection (or implementing equivalent checks) to confirm that track within a worksite is in a safe condition after engineering activities are completed and before the worksite is given up. The assignment of responsibility should be pre-planned (where possible before work commences), documented and practical. It should cover all areas where engineering work is undertaken, all access/egress points and all sections of track used for travelling between these locations (paragraph 101d).</t>
  </si>
  <si>
    <t>UK-5040/2</t>
  </si>
  <si>
    <t>Signing in to worksites</t>
  </si>
  <si>
    <t>Northern Ireland Railways should review the methods used by staff, such as track safety co-ordinators, when signing-in and signing-out of worksites. The review should include how and when briefings are provided by engineering supervisors, methods used to ensure staff comply with formalised procedures and possible modifications to existing processes such as introducing formalised systems for signing-in and signing-out by telephone (paragraph 103).</t>
  </si>
  <si>
    <t>UK-5052/1</t>
  </si>
  <si>
    <t>Points position</t>
  </si>
  <si>
    <t>London Underground Limited should provide signallers and, as appropriate, service control staff with adequate means of determining the position of points and a clear method of identifying the required points and their positions in order to be able to come to a complete understanding and agreement of the actions necessary to set a route in order to pass a signal at danger (paragraph 129c).</t>
  </si>
  <si>
    <t>UK-5052/2</t>
  </si>
  <si>
    <t>Comms training</t>
  </si>
  <si>
    <t>London Underground Limited should review its safety critical communications training and revise it to include the provision of training to staff members who may need to provide information to operational staff, in order to ensure adequate, accurate and complete information is conveyed and full understanding reached (paragraph 129 f).</t>
  </si>
  <si>
    <t>UK-5052/3</t>
  </si>
  <si>
    <t>Control staff</t>
  </si>
  <si>
    <t>To promote and enhance team working, and to facilitate effective decision making in degraded working situations, London Underground should identify barriers to good decision making by service control staff, particularly where there are interfaces between lines and take action to develop the capability of these staff to: i. communicate effectively; ii. challenge decisions where there is doubt or uncertainty; iii. be aware of information gaps and the risk that assumptions may fill knowledge gaps; and iv. to be aware of how some behaviours may adversely influence the behaviours of others, and how to deal with this. (paragraphs 129b, 129g)</t>
  </si>
  <si>
    <t>UK-5058/1</t>
  </si>
  <si>
    <t>Network Rail actions</t>
  </si>
  <si>
    <t>Network Rail should (paragraphs 94a.i and 95): i. identify the effects of skewed alignment at passive level crossings on user behaviour, including the sighting of approaching trains; ii. review its processes and guidance for level crossing risk management, including the â€˜all level crossings risk managementâ€™ tool (ALCRM), to determine whether the impact of skewed alignment is sufficiently taken into account; and iii. make any necessary changes to its processes and the guidance and training given to its level crossing managers.</t>
  </si>
  <si>
    <t>UK-5058/2</t>
  </si>
  <si>
    <t>Vulnerable users</t>
  </si>
  <si>
    <t>Network Rail should (paragraph 96a): i. review its criteria for determining when it is appropriate to include an allowance for vulnerable users when calculating the required warning time at level crossings that are used by pedestrians; this review should take into account forecast demographic changes, in particular the ageing population; ii. review the allowances made for vulnerable users to take into account good practice and research; and iii. use the above to review levels of risk at existing passive level crossings to inform decisions to prioritise the crossings that are to be upgraded with the addition of automatic warning systems, or otherwise improved.</t>
  </si>
  <si>
    <t>UK-5070/1</t>
  </si>
  <si>
    <t>Reducing likelihood of signaller error</t>
  </si>
  <si>
    <t>Network Rail should undertake a review of its measures for the protection of user worked crossings with the objective of identifying means of reducing the likelihood that an accident will be caused by signaller error. Options for consideration should include: l improved information for signallers (including consideration of ways of better enabling signallers to judge the time needed for a movement over a crossing and the time available before a train arrives at a level crossing); l increased use of automatic warning systems; and l closure of UWCs or their replacement by automatic crossings. The review should also identify criteria for the prioritisation of improvements taking into account both risk and the opportunities presented by planned signalling upgrades. The findings of the review should be incorporated into Network Railâ€™s level crossing strategy and the standards used to prepare specifications for new signalling schemes (paragraph 124a).</t>
  </si>
  <si>
    <t>UK-5070/2</t>
  </si>
  <si>
    <t>Introducing equipment</t>
  </si>
  <si>
    <t>Network Rail should review and improve its processes for introducing signalling equipment where the user interface has significantly altered (eg the replacement of NX panels with VDU-based workstations). This review should include the selection, training and management of staff who operate the new equipment, so that they achieve and maintain an appropriate level of competence (paragraph 126).</t>
  </si>
  <si>
    <t>UK-5070/3</t>
  </si>
  <si>
    <t>Network Rail should review the competence management arrangements for Signalling Shift Managers, to provide assurance that they are competent to use all the equipment that they may be required to operate. This review should include consideration of the amount of time on shift and the frequency of operation required to maintain familiarity with the different types of equipment (paragraphs 124b and 125b).</t>
  </si>
  <si>
    <t>UK-5072/1</t>
  </si>
  <si>
    <t>Improve driver training</t>
  </si>
  <si>
    <t>Great Western Railway should review its driver training and assessment processes that relate to permissive working with the overall objective of ensuring that new drivers have the knowledge and skills that are needed to address the hazards they may encounter when entering an occupied platform. The review should include consideration of how best to: l discourage drivers from making any assumptions about the length of platform that is clear, and to avoid presuming that the line is clear to a car stop sign; and l provide practical experience in a variety of permissive platform working situations, for example, at through platforms, into bay platforms, in track circuit block areas and under absolute block arrangements. Great Western Railway should implement any enhancements to its existing training and assessment processes that have been identified (paragraph 113c).</t>
  </si>
  <si>
    <t>UK-5072/2</t>
  </si>
  <si>
    <t>Station operating arrangements</t>
  </si>
  <si>
    <t>Network Rail, with the assistance of the relevant train operating companies, should review and, where necessary, enhance the following aspects of operating arrangements at stations where permissive working for passenger and ECS trains is authorised: l the means by which signallers should establish the combinations of trains which can be safely accommodated at platforms (to include considering provision of simple look-up tables, whether particular processes should be mandated, and the safe useable length of platforms) (paragraph 113a); l defining any particular circumstances in which the signaller should speak to the driver in order to provide details of an intended movement into an occupied platform (paragraphs 113b and 114); and l speed restrictions applicable to trains entering platforms during permissive working (paragraph 113c).</t>
  </si>
  <si>
    <t>UK-5072/3</t>
  </si>
  <si>
    <t>Door release</t>
  </si>
  <si>
    <t>Great Western Railway should modify the emergency door release arrangements on class 150 trains so that passengers are not put at risk of injury when using them. It should also review emergency door release arrangements on other trains it operates to determine whether, and when, a similar modification is required (paragraph 115c).</t>
  </si>
  <si>
    <t>UK-5103/1</t>
  </si>
  <si>
    <t>Information</t>
  </si>
  <si>
    <t>The Rail Delivery Group, in consultation with passenger groups, including those representing the interests of disabled persons, should seek to provide station users, in an expedient and appropriate way, with both advance information (such as published advice or leaflets) and real time information (such as announcements and customer information system displays) that: l trains passing through platforms, particularly freight trains, can generate slipstreams which are strong enough to move wheelchairs and pushchairs, even if the brakes are on; and l brakes should be applied to the maximum extent possible and carers should keep a firm hold on a wheelchair or pushchair when a train passes by (paragraph 74b).</t>
  </si>
  <si>
    <t>UK-5103/2</t>
  </si>
  <si>
    <t>Prevention</t>
  </si>
  <si>
    <t>RSSB, in consultation with the railway industry, should investigate and identify mitigation measures which can be applied by station operators to inform station users about what they should do to prevent wheelchairs and pushchairs from being moved by trains passing through stations at speed. Suitable and specific guidance should then be issued to the railway industry to be used in conjunction with the revised standard for risk assessment (see Recommendation 3) (paragraphs 74b and 76b).</t>
  </si>
  <si>
    <t>UK-5103/3</t>
  </si>
  <si>
    <t>Speed</t>
  </si>
  <si>
    <t>RSSB, in consultation with the railway industry, should review the minimum freight train passing speed for which station aerodynamic risk assessments are required. This review should be carried out with reference to previous research such as RSSB project T248 and the findings of this investigation. Following this review, the appropriate Railway Group standard should be updated to document the revised requirements (paragraphs 74b and 75).</t>
  </si>
  <si>
    <t>UK-5103/4</t>
  </si>
  <si>
    <t>Great Western Railway should complete its current project to undertake aerodynamic risk assessments ...</t>
  </si>
  <si>
    <t>Great Western Railway should complete its current project to undertake aerodynamic risk assessments for all station platforms for which it is responsible. Following completion of these risk assessments, the company should implement risk mitigation measures as appropriate to warn station users, including users of wheelchairs and pushchairs, about the potential risks from train slipstreams, and what users should do to remain safe on platforms (paragraph 74b).</t>
  </si>
  <si>
    <t>UK-5103/5</t>
  </si>
  <si>
    <t>Warning</t>
  </si>
  <si>
    <t>Great Western Railway, in conjunction with Network Rail, should review how it warns station users of the approach of passing trains so that such warnings are timely and as effective as possible. This review should also address the issue of potential distractions and desensitisation of station users by unnecessary or inappropriate warnings from other platforms (for example, warning of approaching trains on platforms not accessible to the public). Great Western Railway should then implement practicable improvements identified by the review (paragraphs 74b and 76a).</t>
  </si>
  <si>
    <t>UK-5138/1</t>
  </si>
  <si>
    <t>Reduce washout risk</t>
  </si>
  <si>
    <t>Network Rail should put measures in place to reduce the risk of a track washout at Baildon. Measures to be considered should include, but not be limited to, the following: a) following the inspection of the drain system that leads from culvert GUE/5, an assessment of whether there is any blockage that needs clearing, or a permanent restriction in the drain system (paragraph 100a.i); b) installation of a line-side flood water capture system to carry flood water away safely from the site to prevent further washouts (paragraph 100a.ii); and c) completion of the work already begun on providing alerts to trigger actions of incident responders following heavy rainfall events detected in the Baildon area by the Network Rail Weather Service system (paragraph 100b.iii).</t>
  </si>
  <si>
    <t>UK-5138/2</t>
  </si>
  <si>
    <t>Find locations on track</t>
  </si>
  <si>
    <t>Network Rail should develop and implement a system to enable its controllers to be able to rapidly translate geographic or post code information provided by others on locations adjacent to the railway, into track location information so enabling the effective direction of responders (paragraph 100b.ii).</t>
  </si>
  <si>
    <t>UK-5138/3</t>
  </si>
  <si>
    <t>Network Rail should review how its controllers respond to emergency phone calls about the safety of ...</t>
  </si>
  <si>
    <t>Network Rail should review how its controllers respond to emergency phone calls about the safety of the line, to make sure that important information is captured and accurately transmitted to relevant railway responders, and implement any identified improvements. The scope of the review should include consideration of the following: a) controllers making direct contact with the initiator of the emergency call to clarify the nature of the emergency situation and its location (paragraph 69), and b) the most appropriate way for GSM-R emergency calls to be made to train drivers, whether from the control room directly, via the shift signalling manager, or via the signaller (paragraph 79).</t>
  </si>
  <si>
    <t>UK-5139/1</t>
  </si>
  <si>
    <t>Network Rail should review, and revise as necessary, its risk management processes so that the risk ...</t>
  </si>
  <si>
    <t>Network Rail should review, and revise as necessary, its risk management processes so that the risk of signallers making errors when controlling telephone operated level crossings is taken into account when identifying appropriate improvement options. This should include consideration of factors that affect: l the probability of signallers making errors; and l the number of crossing decisions that signallers are required to make. Network Rail should also clearly identify who is responsible for assessing the risk associated with signallers making such errors (paragraph 104b.i).</t>
  </si>
  <si>
    <t>UK-5139/2</t>
  </si>
  <si>
    <t>Workload</t>
  </si>
  <si>
    <t>Network Rail should reassess the risks associated with the work demand on the signaller at Saxmundham signal box, using all the relevant assessment tools that it has available, to ensure that the number of permissions to cross given when it is not safe to cross is being managed to an acceptable level. This should include consideration of: l the complexity of the tasks that the signaller needs to undertake; l the number of user worked crossing calls that are dealt with by the signaller; and l potential measures to reduce the number of user worked crossing calls that the signaller has to deal with. It should produce a time-bound plan for implementation of any identified improvements (paragraphs 104b &amp; 104c).</t>
  </si>
  <si>
    <t>UK-5139/3</t>
  </si>
  <si>
    <t>Risks</t>
  </si>
  <si>
    <t>Network Rail should identify signal boxes, and other locations, where signallers, or similar, are responsible for giving permission to cross at multiple high usage telephone crossings. It should reassess the risks associated with the work demand on the signallers at each such location, using all the relevant assessment tools that it has available, to understand whether the signallerâ€™s workload is being managed effectively. Where this is not the case, it should develop prioritised, time- bound plans for implementing any necessary improvements (paragraph 104b).</t>
  </si>
  <si>
    <t>UK-5139/4</t>
  </si>
  <si>
    <t>Criteria for assessment</t>
  </si>
  <si>
    <t>Network Rail should define criteria for when it is appropriate to either assess or re-assess the workload demands on signallers, and implement processes to ensure that the criteria are adhered to. Criteria for consideration could include, but not be restricted to: l upgrades at the signal box; l changes to the equipment controlled from the signal box; l changes to usage; l changes to the rates of incidents recorded; l concerns identified during level crossing assessment; l routine periodic assessment (paragraphs 104bii &amp; 104biii).</t>
  </si>
  <si>
    <t>UK-5140/1</t>
  </si>
  <si>
    <t>Fatigue</t>
  </si>
  <si>
    <t>As part of its management of fatigue for staff undertaking safety critical work, Network Rail should continue its work to implement a process to require its managers who are directly responsible for staff working on or near the line to consider: l the fatigue that regular long journeys, both before and after a shift, can cause, so that staff are not required to commute long distances to their place of work; and l the actions that can be taken to reduce the amount of time staff spend travelling, where necessary, such as revised working times or providing lodging near to the work where appropriate (paragraph 95b).</t>
  </si>
  <si>
    <t>UK-5140/2</t>
  </si>
  <si>
    <t>Depot improvements</t>
  </si>
  <si>
    <t>Network Rail should: a. Carry out a review to identify improvements in how the Eastleigh (now Wessex Outer) rail testing and lubrication section manages rail defects so that it is more tolerant of changes to staff resourcing and peaks in workload. The review should include consideration of: l the resourcing levels needed within the section to manage and deliver its work bank arising from planned inspections and likely volumes of work arising to support maintenance activities; continued l the impact that planned runs by ultrasonic test trains can have on the management and delivery of the sectionâ€™s workload when a large amount of time dependent work to verify suspect defects is generated by multiple runs taking place in short succession; and l the impact that missed or partially completed runs by ultrasonic test trains can have on the management and delivery of the sectionâ€™s workload. b. Take steps to implement any improvements from the findings of the review (paragraph 96).</t>
  </si>
  <si>
    <t>UK-5140/3</t>
  </si>
  <si>
    <t>Network Rail should: a. Investigate why management arrangements within Wessex Route did not detect and/or rectify gross non-compliances within the rail testing and lubrication section at the former Eastleigh (now Wessex Outer) delivery unit with the processes for managing the safety of people working on or near the line. The investigation should include consideration of: l why its audit and self-assurance processes did not identify the full extent of the non-compliances with planning and implementing safe systems of work found by the RAIB; l why its monitoring and reporting processes did not trigger earlier action by senior management within the Wessex Route to resolve the way in which safe systems of work were being planned and delivered; l how the availability of, and time pressures on, staff in roles within the work planning process affected the way in which safe systems of work packs were being produced, reviewed, signed off and used; l whether there are other delivery units, with persistent nonâ€‘compliances to processes that can affect the safety of its staff when on or near the line; and l the effect that any other factors have had in contributing to the gross non-compliances with planning and implementing safe systems of work. b. Based on the findings of its investigation, take action to improve the management arrangements at Route level for monitoring the performance of the delivery units, with respect to planning and implementing safe systems of work (paragraph 98a).</t>
  </si>
  <si>
    <t>UK-5147/1</t>
  </si>
  <si>
    <t>Structures</t>
  </si>
  <si>
    <t>Network Rail should: a. identify in its structures database those structures that carry water (and other) utilities so that this information is readily available to its asset engineers, structures examination contractors, and minor works contractors (paragraphs 124c 124d and 125); b. provide training and guidance to its asset engineers and structures examination contractors so that they are able to identify the presence of water (and other) utilities in structures, recognise defects caused by leaks, are aware of the consequences of a major utility failure, and decide on appropriate actions to be taken (paragraphs 124c and 125); c. introduce a requirement in its procedures to notify the relevant utility company about any emerging problems which might affect the integrity of a structure, to enable early remedial action and prevention of further deterioration (paragraphs 124c); and d. rebrief its asset engineers and structures examination contractors on the importance of recording evidence of underground utilities and any changes since the previous examination, as required by current Network Rail company standards (paragraph 124c)</t>
  </si>
  <si>
    <t>UK-5147/2</t>
  </si>
  <si>
    <t>Network Rail should: a. review how it procures intrusive works to its structures carrying water (and other) utilities, and verify that the process provides for sufficient input by suitably qualified engineers to assess the risk to the structure from the proposed works; b. review its process for determining the appropriate level of competence for site supervision of the works; and c. address any deficiencies found (paragraphs 124a, 124b, 124d and 125).</t>
  </si>
  <si>
    <t>UK-5147/3</t>
  </si>
  <si>
    <t>Process review</t>
  </si>
  <si>
    <t>CML should undertake a review of its management processes for the planning and execution of works on structures that carry water (and other) services. This should include the training, competence and supervision of operatives that may be required to locate pipework. CML should then implement a programme to deliver the identified improvements and to monitor its effectiveness (paragraphs 124d and 125)</t>
  </si>
  <si>
    <t>UK-5163/1</t>
  </si>
  <si>
    <t>Change programme</t>
  </si>
  <si>
    <t>Nottingham Trams Limited should undertake a review of its culture change programme started in 2016 to ensure that it addresses the risks associated with the quality of safety critical communications in the control room. The findings of this review should be translated into effective corrective actions where appropriate (paragraph 82).</t>
  </si>
  <si>
    <t>UK-5171/1</t>
  </si>
  <si>
    <t>Drainage</t>
  </si>
  <si>
    <t>Network Rail should implement measures to improve surface drainage (eg by provision of a suitable drainage system encompassing the crest), in the vicinity of the 2016 Watford tunnel landslip. It should also investigate whether it is necessary to take steps to manage sub-surface flows which were observed during this accident and could reoccur during a future event (paragraph 128).</t>
  </si>
  <si>
    <t>UK-5171/2</t>
  </si>
  <si>
    <t>Washout risk</t>
  </si>
  <si>
    <t>Network Rail should review, and if necessary, improve its process for identification of localised water concentration features which can channel significant amounts of water onto the railway with the consequent risk of slope failure. This review should include: a. using current Network Rail processes to analyse the washout and earthflow risk for the slow lines cuttings at Watford to determine whether this correctly identifies the landslip site as a high risk location; and b. verifying that the process has been applied to all relevant track alignments including those such as at Watford where there are closely spaced multiple alignments (paragraph 129).</t>
  </si>
  <si>
    <t>UK-5171/3</t>
  </si>
  <si>
    <t>The Rail Delivery Group (RDG), in conjunction with RSSB, should: a. commission research into the ways in which guidance can be provided to derailed trains. This should include consideration of: l how the design of bogies and bogie mounted equipment can assist in limiting the lateral deviation of passenger trains during a derailment; l practice in other countries (eg Japan); l how specially installed infrastructure features can achieve the same effect at high risk locations; l potential design requirements for the retention or enhancement of such features on new trains or infrastructure; and l the potential benefits and drawbacks of such measures. If such features, whether existing or additional, are shown to have a net beneficial effect in reducing risk by limiting lateral deviation, RDG/RSSB should: b. share this information with the relevant Standards Committees; and c. record and disseminate the design requirements with a view to their incorporation into future standards.</t>
  </si>
  <si>
    <t>UK-5171/4</t>
  </si>
  <si>
    <t>Emergency equipment</t>
  </si>
  <si>
    <t>Siemens, in conjunction with the relevant rolling stock owning companies (ROSCOs), should review and improve the physical security and/or location of emergency equipment (eg track circuit clips and detonators) carried in driving cabs. This is to minimise the risk of secondary injury to cab occupants during a collision (paragraph 134).</t>
  </si>
  <si>
    <t>UK-5171/5</t>
  </si>
  <si>
    <t>Emergency arrangements</t>
  </si>
  <si>
    <t>Network Rail should improve emergency arrangements for its infrastructure by: a. reviewing with relevant organisations and, where appropriate, improving its processes in order to minimise the time taken during emergencies to contact organisations providing fire and rescue and ambulance services (paragraph 135b); and b. considering and, where necessary, implementing liaison with the local fire and rescue service including participation in joint site inspections at access gates which may need to be used by the emergency services where appropriate (paragraph 135c).</t>
  </si>
  <si>
    <t>UK-5171/6</t>
  </si>
  <si>
    <t>Survey of drainage assets</t>
  </si>
  <si>
    <t>Network Rail should develop and commit to a time bound plan to complete its planned survey of drainage assets to provide sufficient asset knowledge to adequately manage risk. This should include a desk study of archive records and current records, together with inspections on site (paragraph 142)</t>
  </si>
  <si>
    <t>UK-5183/1</t>
  </si>
  <si>
    <t>Clearances</t>
  </si>
  <si>
    <t>Network Rail, in collaboration with operators of trains, should introduce a process to implement the sharing of data regarding clearances between structures and trains at window height with train operators, so that operators can make more informed decisions about the management of risk associated with opening windows (paragraph 104)</t>
  </si>
  <si>
    <t>UK-5183/2</t>
  </si>
  <si>
    <t>Risk of reduced clearance</t>
  </si>
  <si>
    <t>Operators of trains which include rolling stock with droplight windows should assess the risk arising from reduced clearance outside those windows and implement any reasonably practicable measures to mitigate it. The review should be informed by obtaining from Network Rail the data referred to in recommendation 1, and include consideration of means of preventing people from leaning out of windows and/or improving warning signage. These measures should address the risks to both passengers and staff (paragraph 103b).</t>
  </si>
  <si>
    <t>UK-5184/1</t>
  </si>
  <si>
    <t>Using the modifications already implemented at Alice Holt footpath crossing as an example, Network ...</t>
  </si>
  <si>
    <t>Using the modifications already implemented at Alice Holt footpath crossing as an example, Network Rail should review and, where necessary, modify its management processes for passive level crossings to take account of use by people on mobility scooters in addition to other users. The review should include consideration of the following: l The size, speed and turning characteristics of mobility scooters. l The position of usersâ€™ heads relative to ground level and relative to the front, back and sides of mobility scooters. l The increasing use of mobility scooters. l How risk assessments at individual level crossings consider: o the likelihood of use by people on mobility scooters; and o whether it is both necessary and reasonably practicable to improve crossing arrangements (eg providing areas where scooter users can safely decide when to cross, improving sight lines and providing visual/tactile prompts encouraging safe use). l Educating mobility scooter users about how to cross the railway safely. Methods to be considered should include targeted advertising, working with appropriate interest groups and use of both social media and websites. Content should be compatible with risk assessment output (eg advertising any need to turn perpendicular to the railway before deciding whether to cross).</t>
  </si>
  <si>
    <t>UK-5196/1</t>
  </si>
  <si>
    <t>New body</t>
  </si>
  <si>
    <t>ORR should work with the UK tram industry to develop a body to enable more effective UK-wide cooperation on matters related to safety, and the development of common standards and good practice guidance. As a minimum, the purpose and aims of this body should be to: i. provide a forum for the discussion of common safety issues and the exchange of experience; ii. the provision of authoritative and impartial advice and guidance on matters related to safety; iii. managing the development of safety related design and operational standards, and their subsequent maintenance; iv. participation in the development of industry standards and guidance by international bodies; v. sponsoring and project management of the research and development needed to inform the above; vi. gathering data, monitoring and reporting on the industryâ€™s safety performance (including comparisons of safety performance on different tramways); vii. providing suitable guidance on effective safety management, including guidance applicable to public highways; viii.working with tramways to help plan industry safety improvement; and disseminating good practice from both the UK and overseas industries. The body should be suitably constituted and funded to enable the effective delivery of the above functions. It should be structured so that ORR promotes, encourages and supports its operation (paragraph 472).</t>
  </si>
  <si>
    <t>UK-5196/2</t>
  </si>
  <si>
    <t>Risk review</t>
  </si>
  <si>
    <t>UK tram operators, owners and infrastructure managers should jointly conduct a systematic review of operational risks and control measures associated with the design, maintenance and operation of tramways. The review should include: i. examination of the differing risk profiles of on-street, segregated and off-street running; ii. safety issues associated with driving at relatively high speeds in accordance with the line-of-sight principle in segregated and off-â€Šstreet areas, particularly during darkness and when visibility is poor; iii. current practice world-wide and the potential of recent technological advances to help manage residual risk; iv. safety learning from bus and train sectors that may be applicable to the design and operation of tramways; v. consideration of the factors that affect driver attention and alertness across all tram driving scenarios in comparison to driving buses and trains; and vi. guidance on timescales for implementing new control measures (eg whether retrospective or only for new equipment). Using the output of this review UK tram operators, owners and infrastructure managers should then, in consultation with ORR, publish updated guidance on ways of mitigating the risk associated with design, maintenance and operation of UK tramways (paragraphs 467 and 468).</t>
  </si>
  <si>
    <t>UK-5196/3</t>
  </si>
  <si>
    <t>Reduce speed</t>
  </si>
  <si>
    <t>UK tram operators, owners and infrastructure managers should work together to review, develop, and provide a programme for installing suitable measures to automatically reduce tram speeds if they approach higher risk locations at speeds which could result in derailment or overturning (paragraph 465).</t>
  </si>
  <si>
    <t>UK-5196/4</t>
  </si>
  <si>
    <t>Driver attention</t>
  </si>
  <si>
    <t>UK tram operators, owners and infrastructure managers should work together to research and evaluate systems capable of reliably detecting driver attention state and initiating appropriate automatic responses if a low level of alertness is identified. Such responses might include an alarm to alert the tram driver and/or the application of the tram brakes. The research and evaluation should include considering use of in-cab CCTV to facilitate the investigation of incidents. If found to be effective, a time-bound plan should be developed for such devices to be introduced onto UK tramways (paragraph 471)</t>
  </si>
  <si>
    <t>UK-5196/5</t>
  </si>
  <si>
    <t>Signage</t>
  </si>
  <si>
    <t>UK tram operators, owners and infrastructure managers, in consultation with the DfT, should work together to review signage, lighting and other visual information cues available on segregated and off-street areas based on an understanding of the information required by drivers on the approach to high risk locations such as tight curves. Comparison should be made with the cues provided to road vehicle drivers on highways that are designed in accordance with current UK highway standards. Prior to the installation of suitable measures to automatically reduce tram speeds at higher risk locations (Recommendation 3) consideration should also be given to providing in-cab warnings to tram drivers on the approach to high risk locations. The findings of this review should then be used by UK tram operators and tramway owners to improve the information and/or warnings provided to drivers at high risk locations in segregated and off-street areas (paragraph 465).</t>
  </si>
  <si>
    <t>UK-5196/6</t>
  </si>
  <si>
    <t>Doors and windows</t>
  </si>
  <si>
    <t>UK tram operators and owners should, in consultation with appropriate tram manufacturers and other European tramways, review existing research and, if necessary, undertake further research to identify means of improving the passenger containment provided by tram windows and doors. The findings should then be used to: i. provide a time-bound plan to modify doors and windows on existing trams when practical to do so (eg during planned refurbishment); ii. promote changes to the specifications and standards governing the doors and windows of new trams; and iii. inform the Department for Transport of the findings to allow implementation of the safety advice at paragraph 492. (paragraph 469)</t>
  </si>
  <si>
    <t>UK-5196/7</t>
  </si>
  <si>
    <t>Emergency lighting</t>
  </si>
  <si>
    <t>UK tram operators and owners should install (or modify existing) emergency lighting so that the lighting cannot be unintentionally switched off or disconnected during an emergency (paragraph 470).</t>
  </si>
  <si>
    <t>UK-5196/8</t>
  </si>
  <si>
    <t>UK tram operators and owners should review options for enabling the rapid evacuation of a tram which is lying on its side after an accident. If the review identifies practical measures which would provide significant benefit to trapped passengers, UK tram operators and owners should: i. implement these measures on existing trams if practical to do so in the short term; or ii. provide a time-bound plan to implement these measures on existing trams when practical to do so (eg during planned refurbishment). Such measures should then be promoted for inclusion in the specifications and standards governing the new builds of trams (paragraph 470).</t>
  </si>
  <si>
    <t>UK-5196/9</t>
  </si>
  <si>
    <t>Regulatory framework</t>
  </si>
  <si>
    <t>The Office of Rail and Road should carry out a review of the regulatory framework for tramways and its long-term strategy for supervision of the sector. This should be informed by a new assessment of the risk associated with tramway operations (allowing for low frequency/high consequence events of the type witnessed at Sandilands junction) and consideration of the most effective means by which supervision can contribute to continuous improvement in passenger safety (paragraph 474).</t>
  </si>
  <si>
    <t>UK-5196/10</t>
  </si>
  <si>
    <t>Tram Operations Limited and London Trams should commission an independent review of its process for assessing risk associated with the operation of trams (eg collision, derailment and overturning of trams). This review shall consider: i. the extent to which the process for risk assessments is capable of identifying and correctly assessing all significant risks, particularly those related to low frequency/high consequence events; and ii. the means by which potential mitigations are identified and evaluated. The findings of the review shall be incorporated into a documented process for the assessment of operational risk. This should also be shared with other tramways (paragraph 468).</t>
  </si>
  <si>
    <t>UK-5196/11</t>
  </si>
  <si>
    <t>Tram Operations Limited, drawing on expertise from elsewhere in the FirstGroup organisation, should review and, where necessary, improve the management of fatigue risk affecting its tram drivers with reference to ORRâ€™s good practice guidance. As a minimum this should include a review of: i. the base roster with particular reference to whether it is appropriate to use a shift rotation pattern of about a week; ii. the management and monitoring of overtime and rest day working; iii. training, briefings and support for tram drivers regarding lifestyle, sleep hygiene and their individual responsibilities regarding fatigue and fitness for duty (including reporting when they feel that fatigue may affect their driving performance); and iv. competence requirements for managers and supervisors that have a role in the management of fatigue risk.</t>
  </si>
  <si>
    <t>UK-5196/12</t>
  </si>
  <si>
    <t>Just culture</t>
  </si>
  <si>
    <t>Tram Operations Limited should undertake a review, informed by expert input from external sources, covering the way that it learns from operational experience. The areas the review should address are: i. fostering the creation of a â€˜just cultureâ€™ in which staff are more likely to report incidents and safety-related concerns; ii. establishing a common understanding of what constitutes a safety incident when reported by the public, or that should be reported by staff; iii. improving management systems to ensure that safety issues are properly identified from any reports, whether from staff or members of the public, and that appropriate and timely actions are taken in response; and iv. developing improved processes to ensure that suitable lessons are learned by TOL from such reports and that outcomes are fed back to the reporter (paragraph 468).</t>
  </si>
  <si>
    <t>UK-5196/13</t>
  </si>
  <si>
    <t>Comments</t>
  </si>
  <si>
    <t>Tram Operations Limited and London Trams should, in conjunction with TfL, improve processes, and where necessary, equipment used for following up both public and employee comments which indicate a possible safety risk. The improved process should ensure complaints are dealt with promptly and within time periods which: i. improve the effectiveness of identifying complaints that are safety related (eg time, date, location, safety or customer care event etc); ii. avoid the loss of technical evidence (eg CCTV recordings); iii. minimise the time before witness information is sought; and iv. ensure that appropriate action is taken without undue delay. (paragraph 468)</t>
  </si>
  <si>
    <t>UK-5196/14</t>
  </si>
  <si>
    <t>CCTV</t>
  </si>
  <si>
    <t>London Trams, in consultation with Tram Operations Limited, should review and, where necessary, improve its processes for inspecting and maintaining on-tram CCTV equipment to greatly reduce the likelihood of recorded images being unavailable for accident and incident investigation (paragraph 471). This recommendation may apply to other UK tram operators.</t>
  </si>
  <si>
    <t>UK-5196/15</t>
  </si>
  <si>
    <t>Revise docs</t>
  </si>
  <si>
    <t>London Trams, in consultation with Tram Operations Limited should: i. review and, where necessary, revise existing tram maintenance and testing documentation to take account of experienced gained, and modifications made, since the trams were brought into service; and ii. review and, where necessary, revise the processes for ensuring that these documents are kept up-to-date in future. (paragraph 471)</t>
  </si>
  <si>
    <t>UK-5228/1</t>
  </si>
  <si>
    <t>Update training</t>
  </si>
  <si>
    <t>Stagecoach Supertram should continue and complete its work to review the requirements in operational standards against its current training material to identify any inconsistencies, use the review findings to update its operational standards and training material as necessary so that there is a consistent set of requirements for drivers to comply with, and update its drivers on the changes made (paragraph 97c).</t>
  </si>
  <si>
    <t>UK-5228/2</t>
  </si>
  <si>
    <t>Technology</t>
  </si>
  <si>
    <t>UK tram operators, in conjunction with UK Tram Limited, should set up a working group to monitor the development and application of pedestrian detection technology for trams, with a view to future fitment on new build trams and retro-fitment to existing tram fleets where practicable, as and when a practical and reliable application of such technology becomes available (paragraph 97a and 97a.iii).</t>
  </si>
  <si>
    <t>UK-5246/1</t>
  </si>
  <si>
    <t>Manual lifting &amp; packing</t>
  </si>
  <si>
    <t>Network Rail should assess the suitability and limitations of manual lifting and packing following track renewal and other work likely to result in significant change to track geometry or the supporting ballast. It should update its process and guidance, as necessary, and brief its track teams (both in-house and those working for its suppliers and contractors) on changes made (paragraph 138a.ii).</t>
  </si>
  <si>
    <t>UK-5246/2</t>
  </si>
  <si>
    <t>Handing back</t>
  </si>
  <si>
    <t>With respect to hand back into service following track renewal, and other work likely to result in significant change to track geometry or the supporting ballast, Network Rail should: l assess and define the ciriterion (for instance degree of track bed disturbance) for which it is expected that the vertical track geometry should be confirmed under load, and l define the specific mitigation measures that need to be applied when this is not possible. It should then update its process and guidance to include objective limits and mitigation measures, as necessary, and brief its track teams (both in-house and those working for its suppliers and contractors) on changes made (paragraph 138a.iii).</t>
  </si>
  <si>
    <t>UK-5246/3</t>
  </si>
  <si>
    <t>Cant gradient</t>
  </si>
  <si>
    <t>Network Rail should determine the circumstances when cant gradient should be measured before handing back track into service following renewal, and other work likely to result in significant change to track geometry or the supporting ballast, and the limits that apply. It should update its process and guidance to include the requirement and associated limits, and brief its track teams (both in-house and those working for its suppliers and contractors) on changes made (paragraph 141a).</t>
  </si>
  <si>
    <t>UK-5246/4</t>
  </si>
  <si>
    <t>Standard bearer tie</t>
  </si>
  <si>
    <t>Network Rail should review the design and validation of the standard bearer tie that it uses on modular S&amp;C layouts, taking into account the applications in which it is being used and how its mechanical behaviour promotes the formation of track twist faults and unintended cant gradients. It should use its findings to determine the validity of requirements and guidance defined in its technical standards and on its standard design drawings, and amend and brief designers, suppliers, installers and others as appropriate (paragraphs 138b.i, 138b.ii and 140).</t>
  </si>
  <si>
    <t>UK-5246/5</t>
  </si>
  <si>
    <t>Offset limit</t>
  </si>
  <si>
    <t>In its role of managing the development programme of the Cross-â€Šindustry Freight Derailment Working Group, the RSSB should expedite work to define an acceptable limit for the lateral offset of the payload carried by bulk hopper wagons permitted to operate on the national network. The working group should additionally research and propose how compliance with this limit can be managed (paragraph 139).</t>
  </si>
  <si>
    <t>UK-5247/1</t>
  </si>
  <si>
    <t>Safe handover after work</t>
  </si>
  <si>
    <t>Network Rail should review its project assurance process as applied to the CASR scheme, and identify the deficiencies which resulted in the management shortcomings described in this report. Network Rail should then use the findings of this review to establish suitable and sufficient management processes to assure itself that major projects deliver a safe railway on each occasion that it is handed over for service. These should cover as a minimum, all aspects of project governance, including quality assurance throughout all stages of the project lifecycle,organisational structure, record keeping and administrative systems (paragraphs 117a, 117b, 118a and 118c).</t>
  </si>
  <si>
    <t>UK-5247/2</t>
  </si>
  <si>
    <t>Improvements in document management</t>
  </si>
  <si>
    <t>Network Rail should review the document management system used for the CASR project and ensure that any identified areas for improvement are incorporated into systems currently and planned to be in use by other projects (paragraph 118c)</t>
  </si>
  <si>
    <t>UK-5247/3</t>
  </si>
  <si>
    <t>Network Rail, in conjunction with its contractors, should review how it implements its standards and processes relating to the management of fatigue risk during major projects. The results of this review should be used to identify measures to provide assurance that all project staff, whether direct employees or contractors, work within appropriate standards and good practice guidelines, and to minimise the risk that staff fatigue may contribute to an error or omission during the commissioning of safety critical equipment and systems (paragraphs 118b and 118c)</t>
  </si>
  <si>
    <t>UK-5272/1</t>
  </si>
  <si>
    <t>Keolis Amey Docklands should, in conjunction with Docklands Light Railway Ltd: a) measure the forces required to pull out thin flexible objects trapped by train doors in its current fleet to determine the range of forces, and assess the risk of trap and drag incidents; b) investigate changing the design of the door nosing rubbers on its current fleet to reduce the forces required to pull out trapped objects so that they are in line with good industry practice; and c) where practicable, change the door nosing rubbers on its trains to reduce the pull-out force to the target level identified in (b).</t>
  </si>
  <si>
    <t>UK-5272/2</t>
  </si>
  <si>
    <t>Minimise door force</t>
  </si>
  <si>
    <t>Docklands Light Railway Ltd. should ensure that the specification for its forthcoming new trains gives adequate consideration to minimising the force required to remove objects trapped in passenger doors. Particular consideration should be given to the risk of thin, flexible objects such as items of clothing, becoming wrapped around door nosing rubbers. This recommendation could apply to other organisations involved in the specification and procurement of new trains.</t>
  </si>
  <si>
    <t>REC-000295</t>
  </si>
  <si>
    <t>UK-5272/3</t>
  </si>
  <si>
    <t>Keolis Amey Docklands should: a) examine the integrity of its processes for detecting and ...</t>
  </si>
  <si>
    <t>Keolis Amey Docklands should: a) examine the integrity of its processes for detecting and rectifying defects in platform observation equipment used by PSAs such as mirrors, monitors and CCTV systems. The review should include consideration of: l training and reminders given to staff on the timely reporting of defects; l how defects which can impact upon the safe operation of the system, are identified, recorded and addressed in a timely manner; l risk mitigation measures in the period between detection and correction for safety-critical defects; and l monitoring processes to verify the effective correction of reported defects. b) implement a documented procedure to address the shortcomings identified in its existing processes</t>
  </si>
  <si>
    <t>UK-5279/1</t>
  </si>
  <si>
    <t>Network Rail should review its wall assets and identify those which have a potentially high safety ...</t>
  </si>
  <si>
    <t>Network Rail should review its wall assets and identify those which have a potentially high safety consequence should they fail (eg train derailment, or large amounts of debris falling on to trains). These should be clearly identified in its database of assets (paragraph 91a).</t>
  </si>
  <si>
    <t>UK-5279/2</t>
  </si>
  <si>
    <t>Network Rail should review its structures examination and assessment procedures for its walls that ...</t>
  </si>
  <si>
    <t>Network Rail should review its structures examination and assessment procedures for its walls that have a high potential safety consequence in the event of failure (identified in response to Recommendation 1 above). This review should include: a) The level of detail in the information (including photographs) that is currently being collected in both detailed and visual examinations and the sufficiency of this information to allow subsequent examiners and reviewers to make thorough assessments on both condition and changes in loading; b) The need for additional checks to be done in examinations, including, but not limited to: l detailed inspections from the tops of cuttings and the non-railway side of walls; l checks for relevant changes in adjacent land use; and l potential additional surcharge (eg using photographs and physical markers). c) The potential for greater use of open source data (eg Google images) and Network Railâ€™s aerial images, to facilitate comparisons between examination reports, where changes in adjacent land use may have an adverse impact on a wall. d) Provision of information to examiners pertaining to railway boundaries, to enable them to monitor encroachments into Network Rail property. Network Rail should then take steps to implement the identified improvements to its wall examination and assessment procedures</t>
  </si>
  <si>
    <t>UK-5293/1</t>
  </si>
  <si>
    <t>Network Rail should review and, where appropriate, improve the possession implementation process in ...</t>
  </si>
  <si>
    <t>Network Rail should review and, where appropriate, improve the possession implementation process in signal boxes and control centres with multiple workstations. The objective of any improvement should be to optimise the management of information (both written and verbal) between signallers and PICOPs (paragraphs 101a, 101a.ii and 102a). The review should consider: l the appropriate design and use of additional books and forms that are intended to meet the Rule Book requirements for recording details of possessions and to support signallersâ€™ information needs (specifically considering the use of track layout diagrams); l the content, timing and structure of verbal communications between the PICOP and signallers at different workstations, taking into account the need for all parties to be fully aware of the relevant information at the appropriate time (including, for example, whether a PICOP needs to contact all signallers affected by the possession, and what level of detail should be included in the various conversations between signaller and PICOP); l the use of tools or technology to support signallersâ€™ information management and decision making; and l local variations in existing application of these processes, in terms of extracting positive elements from such applications as well as smoothing the transition towards a new process for staff groups who have been familiar with an historic convention.</t>
  </si>
  <si>
    <t>UK-5293/2</t>
  </si>
  <si>
    <t>Network Rail should investigate ways to improve the layout and format of the Weekly Operating Notice ...</t>
  </si>
  <si>
    <t>Network Rail should investigate ways to improve the layout and format of the Weekly Operating Notice with a view to optimising readability and compatibility of the information for its users. This work should specifically consider the greater use of diagrams to represent information where appropriate (paragraph 101a.i).</t>
  </si>
  <si>
    <t>UK-5293/3</t>
  </si>
  <si>
    <t>Network Rail should, as part of its Track Worker Safe Access Strategy, critically review the ...</t>
  </si>
  <si>
    <t>Network Rail should, as part of its Track Worker Safe Access Strategy, critically review the possession management process and, where appropriate, reduce the need for staff to be on the track for the purpose of taking or giving back a possession (paragraph 102b). This review should include consideration of newly developed technologies such as remotely operated track circuit operating devices, and the scope for enabling track workers to protect themselves by interacting directly with the signalling and/or train control system.</t>
  </si>
  <si>
    <t>UK-5297/1</t>
  </si>
  <si>
    <t>Procedures</t>
  </si>
  <si>
    <t>Network Rail should enhance its procedures covering the emergency and/or temporary replacement of switches and crossings with plain line. Appropriate measures should be included to manage the risk where the newly-installed plain line is curved. Consideration should be given to limiting the duration of such installations without an independent inspection, permanent design and/or track renewal taking place (paragraphs 90a and 90b).</t>
  </si>
  <si>
    <t>UK-5297/2</t>
  </si>
  <si>
    <t>Locations</t>
  </si>
  <si>
    <t>Network Rail should identify existing locations where switches and crossings have been replaced with curved plain line on an emergency and/or temporary basis. A time-bound plan should be drawn up to implement appropriate measures to mitigate the risk at such locations, taking account of the findings of this report (paragraphs 90a and 90b).</t>
  </si>
  <si>
    <t>UK-5297/3</t>
  </si>
  <si>
    <t>Track measurement trains</t>
  </si>
  <si>
    <t>Network Rail should improve its processes for specifying and controlling the configuration of the route definitions used by its track measurement trains. The improved arrangements should take account of the needs of all relevant stakeholders and clarify ownership of the data. Where temporary closures of sections of line are necessary, the steps to reactivate train-based measurement should be clearly defined (paragraph 90d).</t>
  </si>
  <si>
    <t>UK-5297/4</t>
  </si>
  <si>
    <t>Network Rail Western Route should identify key track maintenance activities at Westbury and evaluate the extent to which these can be reliably delivered by the existing workforce. A time-bound plan should be drawn up to implement any resulting changes in responsibilities or resourcing (paragraph 91).</t>
  </si>
  <si>
    <t>UK-5366/1</t>
  </si>
  <si>
    <t>Check signallers' displays</t>
  </si>
  <si>
    <t>Network Rail Wales Route should check that signallersâ€™ displays for level crossings accurately reflect changes to level crossing arrangements made since the displays were designed. It should take suitable risk mitigation measures where this is not the case, and inform other Routes of the extent of inconsistencies found (paragraph 68b)</t>
  </si>
  <si>
    <t>UK-5365/1</t>
  </si>
  <si>
    <t>Instructions &amp; training</t>
  </si>
  <si>
    <t>Network Rail should provide clear instructions and training to users of rail mounted trolleys and trailers on its infrastructure, on the procedures to be followed in the event of failures, such as of braking systems, that require them to be recovered (paragraph 98b).</t>
  </si>
  <si>
    <t>UK-5365/2</t>
  </si>
  <si>
    <t>Network Rail should investigate the arrangements for the management of safety critical competencies ...</t>
  </si>
  <si>
    <t>Network Rail should investigate the arrangements for the management of safety critical competencies at its Manchester Delivery Unit to understand the circumstances that led to the mismatch between the competence records of individuals, the assessments they had undertaken and their actual experience. Network Rail should consider whether these circumstances could exist elsewhere and take appropriate actions against a time-bound plan (paragraph 99).</t>
  </si>
  <si>
    <t>UK-5365/3</t>
  </si>
  <si>
    <t>Compliance with standards</t>
  </si>
  <si>
    <t>Network Rail should take steps to understand the factors at its Manchester Delivery Unit that led to the non-compliances identified in this report, and implement the measures required to improve compliance with the relevant standards and codes of practice. Network Rail should also consider whether the lessons learnt are relevant with respect to other activities at its Manchester Delivery Unit and elsewhere (paragraph 100).</t>
  </si>
  <si>
    <t>UK-5392/1</t>
  </si>
  <si>
    <t>The South Devon Railway should engage an external party (to be agreed with the ORR) to review South Devon Railwayâ€™s safety management system and the way it is being implemented in practice. The review should examine all aspects of and if necessary any revisions to the system that should be implemented including: i. governance, policy and leadership; ii. management control and communication; iii. risk assessment and the identification of additional control measures; iv. how the competence of employees is developed, assured and maintained; v. monitoring, review and auditing of compliance to the safety management system (paragraphs 87 and 88). Any changes identified as necessary by this review should be implemented and reported to the ORR.</t>
  </si>
  <si>
    <t>UK-5398/1</t>
  </si>
  <si>
    <t>Electric traction design</t>
  </si>
  <si>
    <t>UK train operating companies in co-operation with the suppliers of their rolling stock (Rolling Stock Leasing Companies or Contracting Entities) should: a) review the design of the electric traction systems in their current fleets and check that there are adequate safeguards in place to prevent an explosion capable of causing harm in the event of a failure of a capacitor(s); and b) address any shortcomings identified in (a). (paragraphs 123b and 123e).</t>
  </si>
  <si>
    <t>UK-5408/1</t>
  </si>
  <si>
    <t>Cable work</t>
  </si>
  <si>
    <t>Network Rail should continue to completion its work to replace the existing electrical containment that carries cables across the footbridge at Abergavenny station, and/or reroute cable(s), in order to reduce the risk of cables becoming unsupported and hanging down from the footbridge (paragraph 77b.i).</t>
  </si>
  <si>
    <t>UK-5408/2</t>
  </si>
  <si>
    <t>Cable management controls</t>
  </si>
  <si>
    <t>Network Rail should, in consultation with station operators, document and publish controls for the management of cables that cross operational railway lines via overline structures at stations. These controls should cover installation, inspection and testing of the cables, and include details of: a. approved methods for supporting interior and exterior cables, taking into account environmental effects on fixings; and b. determining, based on risk, appropriate inspection and testing periodicities for cables and their fixings (paragraph 78).</t>
  </si>
  <si>
    <t>UK-5408/3</t>
  </si>
  <si>
    <t>Network Rail, in conjunction with station operators, should at every station: a. continue to ...</t>
  </si>
  <si>
    <t>Network Rail, in conjunction with station operators, should at every station: a. continue to completion its work to identify cables that cross above the operational railway at stations via overline structures and have the potential to droop and be snagged by a train; and b. ensure that the organisation responsible for the ongoing testing and inspection of those cables identified in part (a), and any installed in the future, is clearly and correctly documented (paragraph 77b.ii).</t>
  </si>
  <si>
    <t>UK-5467/1</t>
  </si>
  <si>
    <t>GBRf should review and modify its current maintenance documentation to ensure that it prescribes ...</t>
  </si>
  <si>
    <t>GBRf should review and modify its current maintenance documentation to ensure that it prescribes maintenance limits on the damping components of its Y-series bogies that both account for future wear before the next maintenance intervention and are compatible with both the bogie manufacturing dimensions and design intent of the damping system. The revised maintenance documentation should also include effective inspection measures to provide assurance that the damping components are not worn beyond the maintenance limits (paragraph 81)</t>
  </si>
  <si>
    <t>REC-000897</t>
  </si>
  <si>
    <t>UK-5468/1</t>
  </si>
  <si>
    <t>Understanding processes</t>
  </si>
  <si>
    <t>Network Rail should take steps to reinforce the attitudes and depth of understanding needed for signal designers, installers and testers to safely apply their technical skills and knowledge. These steps should include: l the education of existing staff and their managers, and future recruits, to promote a better understanding of industry processes, and an improved understanding of how the lessons learnt from previous accidents have shaped todayâ€™s good practice; l the enhancement of processes for the assessment, development and ongoing monitoring of the non-technical skills of signal designers, installers and testers; and l measures to monitor and encourage compliance with process, and safe behaviours on projects</t>
  </si>
  <si>
    <t>REC-000898</t>
  </si>
  <si>
    <t>UK-5468/2</t>
  </si>
  <si>
    <t>Contractor understanding</t>
  </si>
  <si>
    <t>OSL Rail Ltd should enhance its existing processes for the assessment, development and ongoing monitoring of those staff who undertake signalling works so as to ensure that they have the depth of understanding, attitudes and non-technical skills that are needed to deliver work safely. Areas of enhancement should include the skills needed for effective communication and safe decision making in complex project environments.</t>
  </si>
  <si>
    <t>REC-000900</t>
  </si>
  <si>
    <t>UK-5468/3</t>
  </si>
  <si>
    <t>Mott MacDonald Ltd should enhance its existing processes for the assessment, development and ongoing monitoring of those staff who undertake signalling works so as to ensure that they have the depth of understanding, attitudes and non-technical skills needed to deliver work safely. Areas of enhancement should include the skills needed for safe decision making in complex project environments.</t>
  </si>
  <si>
    <t>REC-000475</t>
  </si>
  <si>
    <t>UK-5470/1</t>
  </si>
  <si>
    <t>Leadership</t>
  </si>
  <si>
    <t>Network Rail should review its processes for monitoring and managing the safety leadership of its staff in COSS, SWL or PIC roles, in order to identify improvements such that only those who exhibit satisfactory safety attitude, leadership and compliance with safety rules and procedures, undertake these roles. The review should include consideration of the following: a) risk based analysis of the non-technical skills required for different work scenarios (ie under protection and warning systems of work); b) evaluation of the effectiveness of non-technical skills training since its initial introduction; c) assessment tools (eg COSS pre-course workbook, 360 degree feedback) to assist managers with monitoring the ongoing suitability of staff for safety leadership roles; and d) using re-certification training and assessments, independent of line managers, to reinforce good safety leadership and the importance of compliance with the rules. Network Rail should then implement the identified improvements to relevant working practices and procedures</t>
  </si>
  <si>
    <t>REC-000476</t>
  </si>
  <si>
    <t>UK-5470/2</t>
  </si>
  <si>
    <t>Effective challenging</t>
  </si>
  <si>
    <t>Network Rail should assess the effectiveness of its existing processes when its staff act as COSS, SWL or PIC to a team of contractors on site, and consider what additional measures can be taken to enable effective challenge in the event that an unsafe system of work is set up. Options for consideration should include: a) using only those who are experienced in managing contractors; b) including an experienced COSS from the contractor team to review the system of work prior to commencing work; c) using an additional Network Rail staff member as part of the work team to perform a challenge function; and d) reinforcing the importance of inviting questions as part of the safety brief. Network Rail should then implement the identified improvements to relevant working practices and procedures.</t>
  </si>
  <si>
    <t>REC-000477</t>
  </si>
  <si>
    <t>UK-5470/3</t>
  </si>
  <si>
    <t>TOWS</t>
  </si>
  <si>
    <t>Network Rail should: a) supplement its working instructions for TOWS to include clear instructions for the protection arrangements that must be in place when working with noisy tools and/or when working at the ends of a track section fitted with TOWS; b) brief out the enhanced instructions to its staff and contractors and include them in training material for all relevant track competencies; and c) include checks in the certification and re-certification assessments of staff in safety leadership roles that they are familiar with how to use TOWS in all situations they are likely to encounter</t>
  </si>
  <si>
    <t>UK-5487/1</t>
  </si>
  <si>
    <t>Mitigate runaway risk</t>
  </si>
  <si>
    <t>Network Rail should identify and implement suitable measures to mitigate the risk of a runaway initiated by multiple unintended operations of the brake distributor release mechanisms on its Windhoff Multi-â€ŠPurpose Vehicles by objects and debris that might reasonably be encountered on the track during operation. This recommendation may also apply to other infrastructure managers and railway undertakings who own and/or operate similar short formation trains.</t>
  </si>
  <si>
    <t>UK-5487/2</t>
  </si>
  <si>
    <t>Network Rail should assess the risk of runaway on other short formation trains that operate on its ...</t>
  </si>
  <si>
    <t>Network Rail should assess the risk of runaway on other short formation trains that operate on its infrastructure, such as On-Track Machines, as a result of a total loss of the air braking systems due to impact from objects and debris that might reasonably be encountered on the track. It should implement any necessary measures to mitigate the risk of runaway. This recommendation may also apply to other infrastructure managers and railway undertakings who own and/or operate similar short formation trains</t>
  </si>
  <si>
    <t>REC-000514</t>
  </si>
  <si>
    <t>UK-5498/1</t>
  </si>
  <si>
    <t>Info for users</t>
  </si>
  <si>
    <t>Network Rail, with Office of Rail and Road and Department for Transport support, should review and revise the information offered to users of private level crossings, including consideration of signage wording and diagrams, the conspicuity and placement of signage, and the actions that the user needs to take, including operation of the gates or barriers, and communication with the signaller. The review should also consider, alongside the presentation of information, practicality and feasibility of the current arrangements by which authorised users are expected to brief and inform other potential users of the crossing, in view of the increased dependence of occupiers on delivered goods and services from a plethora of sources, and other factors which may increase the number of crossing users (paragraphs 129a.i, 129a.iii, 129a.iv)</t>
  </si>
  <si>
    <t>UK-5498/2</t>
  </si>
  <si>
    <t>Sign requirements</t>
  </si>
  <si>
    <t>As part of its support for the work identified in recommendation 1, the Department for Transport, in consultation with the Office of Rail and Road, should change the requirements for signs prescribed by law for use at private crossings, taking into account the need to convey information and instructions clearly and unambiguously to diverse users (paragraph 131a).</t>
  </si>
  <si>
    <t>REC-000516</t>
  </si>
  <si>
    <t>UK-5498/3</t>
  </si>
  <si>
    <t>POGO review</t>
  </si>
  <si>
    <t>Network Rail should develop and implement a programme for a timely review of the safety of other user worked crossings it has fitted with POGO equipment and those it intends to fit in the future. The review should be based on a proper understanding of the risks associated with POGO equipment and include particular consideration of the following: a) the types of location where the installation of POGO equipment is likely to be unsuitable; b) the design standard for crossings fitted with POGO equipment; c) the ways in which users in different types of vehicles operate the crossing gates, including the function of the gate operating buttons; d) the clarity of instructions to enable unfamiliar users to use the crossings safely and to minimise reliance on the briefing of all visitors by authorised users (which is not always practicable); e) improving the conspicuity of the miniature stop lights (eg using two miniature stop lights on each side of the crossing, the use of larger â€˜road traffic lightâ€™ style red and green lights, flashing red miniature stop lights, or wig wag lights) and the number and clarity of the signs, to minimise confusion and distraction; and f) whether the opening of the gates should be disabled unless the miniature stop lights are displaying green lights. This review should draw on the findings from recent relevant research (eg RSSBâ€™s research into signs at private level crossings (T983) and human factors advice). Any measures for safety improvements at such crossings should then be implemented at higher risk locations and incorporated into the standards for future designs. In addition the review should consider, where manual crossings are partly or fully automated, making the process by which the user is informed it is safe to cross simple and intuitive and as fail safe as possible, ensuring the user is guided to make contact with the signaller where required (paragraphs 129b, 129c i).</t>
  </si>
  <si>
    <t>REC-000517</t>
  </si>
  <si>
    <t>UK-5498/4</t>
  </si>
  <si>
    <t>Network Rail should review the way in which it collects, records and maintains data relating to people and organisations with the need to regularly use private crossings, so that local staff have an effective and efficient means of contacting anyone who is resident or whose business requires them to regularly use a user worked crossing. This review should cover: a) effective communication with everyone who may be affected by decisions made about changes to a crossing, using means such as correspondence, signage and publicity campaigns; b) determination of the extent and nature of the actual use at crossings; and c) establishing processes to give all people who must use the crossing regularly up to date information about any changes to the crossing, or to any responsibilities they have regarding the safe use of the crossing. (paragraphs 129a.ii, 130, 131d)</t>
  </si>
  <si>
    <t>REC-000585</t>
  </si>
  <si>
    <t>UK-5507/1</t>
  </si>
  <si>
    <t>Touax Rail, in conjunction with DB Cargo Maintenance and Puma Energy, together with the owners of ...</t>
  </si>
  <si>
    <t>Touax Rail, in conjunction with DB Cargo Maintenance and Puma Energy, together with the owners of other wagons based at Milford Haven, should carry out a risk assessment of the facilities and processes that are used for maintenance of tank wagons operating out of Robeston terminal, taking account of the dangerous goods that are carried and the working environment at the site. A time-bound plan should be developed for any necessary improvements that are identified (paragraph 115). This recommendation may also apply to other organisations which are responsible for the maintenance of wagons that carry dangerous goods, where such maintenance is carried out in outside environments.</t>
  </si>
  <si>
    <t>REC-000586</t>
  </si>
  <si>
    <t>UK-5528/1</t>
  </si>
  <si>
    <t>Out-of-course scenarios</t>
  </si>
  <si>
    <t>Arriva Rail London should review and improve, as necessary, its training, procedures, control room environment and equipment to enable controllers and train drivers to deal effectively with out-of-course scenarios involving stranded trains. This should include consideration of the use of simulators, whether full task or part task, and table-top exercises (paragraphs 136(a), 136(b), 136(c), and 136(d)). This recommendation may also be applicable to other train operators.</t>
  </si>
  <si>
    <t>REC-000587</t>
  </si>
  <si>
    <t>UK-5528/2</t>
  </si>
  <si>
    <t>Network Rail (South East route), in consultation with train operating companies as appropriate, should review the adequacy of its existing arrangements for implementing national policy and guidance for the safe evacuation of passengers from stranded trains. As a minimum the review should cover how all parties ensure that: l all parties quickly gain a common understanding and shared situational awareness of the circumstances; l effective incident control arrangements are established and formalised before important decisions are made, particularly those which affect the safety of passengers and staff; l suitable protection is in place before authorising the start of any controlled evacuation; l staff on the ground, such as train crew, are provided with appropriate support in circumstances which are difficult and / or unfamiliar; and l the effectiveness and use of procedures is understood and tested to ensure that all such arrangements are capable of being implemented by competent staff without undue delay. All necessary changes or additions to existing management arrangements identified from the review should then be suitably documented, validated, implemented, and briefed (paragraphs 136(b), 137(b) and 137(c)).</t>
  </si>
  <si>
    <t>REC-000588</t>
  </si>
  <si>
    <t>UK-5528/3</t>
  </si>
  <si>
    <t>Managing incidents</t>
  </si>
  <si>
    <t>Network Rail (South East Route) should, in consultation with train operating companies as appropriate, establish and implement processes for regularly exercising and testing its local arrangements for implementing national policy and guidance on managing incidents involving stranded trains, including the safe evacuation of passengers, are regularly exercised and tested (paragraphs 136(c), 137(a), 137(b) and 137(c)). This recommendation may also apply to other Network Rail routes</t>
  </si>
  <si>
    <t>REC-000582</t>
  </si>
  <si>
    <t>UK-5581/1</t>
  </si>
  <si>
    <t>Nottingham Trams Limited should review and improve arrangements intended to manage the risk of trap ...</t>
  </si>
  <si>
    <t>Nottingham Trams Limited should review and improve arrangements intended to manage the risk of trap and drag during tram dispatch on its network. The review should consider equipment, operating practices and the interaction between these. Areas in which improvements should be considered include: l ensuring that tram drivers have the equipment needed for an effective final visual door check of all doors after interlock is achieved; l CCTV modifications to ensure a good view during the final visual door check of all areas where items could be trapped in closed and locked doors; l investigating possible door seal modifications to reduce the risk of trapping items and, if appropriate, developing a programme for installation of improved door seals (eg during planned major overhauls); l the initial training, refresher training and monitoring needed to ensure that drivers comply with tram stop procedures and understand the importance of undertaking an effective visual check of all doors after interlock is achieved; and l the initial training, refresher training and monitoring needed to ensure that travel officers: o apply appropriate procedures when removing passengers from trams; o understand trap and drag risk and how this affects their work; and o appreciate what should be considered as emergency situations and how they should respond to these. This recommendation may apply to other tramways (paragraphs 98, 99 and 101).</t>
  </si>
  <si>
    <t>REC-000584</t>
  </si>
  <si>
    <t>UK-5581/2</t>
  </si>
  <si>
    <t>Nottingham Trams Limited should review its risk assessment process with a view to: l improving the ...</t>
  </si>
  <si>
    <t>Nottingham Trams Limited should review its risk assessment process with a view to: l improving the means by which it considers learning from other parts of the tramway and railway industries; l giving explicit and detailed consideration of the ways in which identified mitigation measures can fail, and the consequences when this happens; and l effectively evaluating the safety impact of changes to design and/or operational procedures. Nottingham Trams should then implement the identified changes and update its existing tram operation risk assessments in accordance with the enhanced procedures (paragraphs 98, 99 and 101).</t>
  </si>
  <si>
    <t>UK-5593/1</t>
  </si>
  <si>
    <t>Improvement plan</t>
  </si>
  <si>
    <t>Network Rail should: l review the responses provided to Special Inspection Notice 180 in order to identify those locations where it is possible for a level crossing to be open to road users while it is occupied by a train; l review the risks associated with such scenarios at the identified locations and identify suitable risk mitigation measures to address them; and l draw up a time-bound plan to improve the crossings as appropriate, with those presenting the higher risk improved ahead of those presenting the lower risk (paragraph 98b iv).</t>
  </si>
  <si>
    <t>UK-5593/2</t>
  </si>
  <si>
    <t>Revise design standards</t>
  </si>
  <si>
    <t>Network Rail should revise its level crossing design standards so that they do not permit new designs of remotely monitored level crossing to undergo a timed reset unless all strike-in track circuits are clear and the train has been proved to have passed completely over the level crossing by suitable means. This may be undertaken as part of its current review of level crossing design standards and their underlying protection principles (paragraphs 100 and 106)</t>
  </si>
  <si>
    <t>REC-000474</t>
  </si>
  <si>
    <t>UK-5594/1</t>
  </si>
  <si>
    <t>Snowmelt and earthworks</t>
  </si>
  <si>
    <t>Network Rail should complete its evaluation of the means by which snowmelt can be incorporated in adverse weather processes applicable to earthworks. It should also carry out a similar evaluation for risk due to ground thaw. If justified by these evaluations, Network Rail should include improvements in monitoring these effects for the next generation of its weather information tools, such that the true level of risk associated with such a combination of weather conditions is accounted for in its management of landslip risk (paragraphs 75 and 79).</t>
  </si>
  <si>
    <t>UK-5614/1</t>
  </si>
  <si>
    <t>Safety assurance</t>
  </si>
  <si>
    <t>Network Rail, in consultation with RSSB and the wider rail industry and drawing on existing processes where appropriate, should develop and implement a mandatory safety assurance procedure (and associated guidance) for its client role on projects involving installation and modification of high integrity software-based systems. The process should incorporate relevant best practice from other safety critical industries. It should clearly define the role of the client in each of the following areas: l clearly documenting its expectation of each supplier as part of the projectâ€™s overall safety assurance process, including the required safety justifications, documentation and the traceability of safety evidence throughout the projectâ€™s life cycle; l selection of suppliers that are competent and capable of delivering a safe system; l specifying the role of independent safety assessment bodies, such as ASBOs (assessment bodies); l capturing the need for good engineering safety management, robust configuration management and change control in the contractual requirements; l defining the required safety integrity of the key safety functions, the operational context and external interfaces; l the process to be applied when placing reliance on the re-use or adaptation of a system with previous acceptance, or commercial off the-shelf products; l working with the supplier to properly understand the safety risks and define the system safety requirements and architecture; l monitoring the supplierâ€™s verification of its design (hardware and software); l ensuring that the design is suitably validated prior to commissioning; l audit and inspection by the client; l the extent of the clientâ€™s review of independent assessments, and its own consideration of the safety justifications as part of the approval process; l testing and commissioning of the installed system, and subsequent maintenance; and l recording and retaining data needed for investigation of safety related failures. This procedure should be shared with the wider rail industry with a view to it being adopted by other potential clients of high integrity softwarebased systems, such as train operators and rolling stock owners. (paragraphs 143d, 143f (i, iii and iv))</t>
  </si>
  <si>
    <t>UK-5614/2</t>
  </si>
  <si>
    <t>Safety processes</t>
  </si>
  <si>
    <t>Hitachi STS should take account of the findings of this report in a review, and where necessary improvement, of its current safety management processes for the design, design verification, design validation, and retention of records for high integrity software-based systems. This review should ensure that processes ensure the correct identification, and subsequent achievement, of software safety requirements based on a correct understanding of the system architecture and any differences between the intended application and the generic product. The process shall also ensure that sufficient analysis is undertaken to identify areas of potential weakness, such as the absence of diverse data paths, and to enable the implementation of suitable protection measures such as: l the use of error messages generated by internal equipment functions to alert users to potential failures of the safety critical system; and l the inclusion and subsequent validation of defensive programming within the software development phase when using storage (such as an SQL database) to protect software from entering an unpredictable or unsafe state. (paragraphs 143b, 143d, 143e, 143f (i, ii, iii and iv))</t>
  </si>
  <si>
    <t>UK-5614/3</t>
  </si>
  <si>
    <t>Safety learning</t>
  </si>
  <si>
    <t>Network Rail, in consultation with RSSB and the wider railway industry, should review and, where necessary, improve the capture and dissemination of safety learning available through the reporting and systematic investigation of complex software-based system failures. This should include: l appropriate measures to ensure capture and retention of data which could prove useful for investigating any future safety related failure; l completing the documenting and categorising of safety critical ERTMS/ETCS failures; l identification of and implementing suitable means of collecting relevant information from all disciplines; and l assimilation of relevant information by staff from appropriate disciplines and those specialising in systems engineering. (paragraph 145c)</t>
  </si>
  <si>
    <t>UK-5614/4</t>
  </si>
  <si>
    <t>Data</t>
  </si>
  <si>
    <t>Network Rail, in conjunction with Hitachi STS, should implement a procedure to ensure the capture and retention of data which could prove useful for investigating any future safety related failure of the European Rail Traffic Management system (ERTMS) on the Cambrian lines. Implementation should, if appropriate, include installation of additional or modified equipment. Consideration should be given to the periodical download of data as well as specifying a process to be followed during a recovery of service (paragraph 145a).</t>
  </si>
  <si>
    <t>UK-5614/5</t>
  </si>
  <si>
    <t>SIL</t>
  </si>
  <si>
    <t>Hitachi STS should provide a technical solution meeting the intended safety integrity level (SIL) 4 to ensure that the radio block centre (RBC) on the Cambrian lines contains correct temporary speed restriction information when restored to service after a rollover (paragraph 143a).</t>
  </si>
  <si>
    <t>UK-5615/1</t>
  </si>
  <si>
    <t>Small object detection</t>
  </si>
  <si>
    <t>London Underground should ensure that the door systems on its future rolling stock possess an improved capability to detect small objects, by reviewing available technology to achieve this (such as those used on its more recent fleets) and developing a process to implement solutions as appropriate (paragraph 97b).</t>
  </si>
  <si>
    <t>UK-5615/2</t>
  </si>
  <si>
    <t>Support operators</t>
  </si>
  <si>
    <t>London Underground should support train operators of ATO trains in maintaining attention and awareness by considering and, as appropriate, implementing task-related strategies that are based on established human factors knowledge and a review of current good practice (with specific reference to RSSBâ€™s ongoing project T113323). Such strategies may include (but not be limited to) interspersing more regular periods of manual driving where feasible, introducing additional task-focused vigilance activities, or providing alerts if ATO start is attempted before the system is ready (paragraphs 97c.i and 99c).</t>
  </si>
  <si>
    <t>REC-000528</t>
  </si>
  <si>
    <t>UK-5615/3</t>
  </si>
  <si>
    <t>GAP project</t>
  </si>
  <si>
    <t>London Underground should supplement the work of its GAPS project with additional objectives to review the presentation of images on platform monitors. The review should include consideration of the number and configuration of images displayed to the train operator, taking into account current standards and good practice (paragraphs 97c.â€Šii and 99c)</t>
  </si>
  <si>
    <t>UK-5615/4</t>
  </si>
  <si>
    <t>CMS</t>
  </si>
  <si>
    <t>London Underground should review its competence management programmes for all train operators in order to ensure consistency in training techniques for visual scanning of platform monitors, and awareness of the limitations of door interlock systems (paragraphs 97c.iii and 98a).</t>
  </si>
  <si>
    <t>UK-5615/5</t>
  </si>
  <si>
    <t>Plungers</t>
  </si>
  <si>
    <t>London Underground should review the information provided to its staff about Platform Emergency Stop Plungers (PESPs) and implement measures to promote amongst staff the appropriate use of PESPs where they are available (paragraph 99a).</t>
  </si>
  <si>
    <t>UK-5635/1</t>
  </si>
  <si>
    <t>Seasonal preparedness</t>
  </si>
  <si>
    <t>Network Rail (South East route) and Southeastern, should undertake a holistic review of their seasonal preparedness arrangements for winter taking into account the actions already taken or in progress as result of this incident. This should have the objective of maximising operational resilience and minimising the risk of train stranding incidents that could lead to unsafe passenger detrainment. In so doing it should consider the effectiveness of existing and proposed mitigation measures (for instance conductor rail heating and the running of de-icing trains), and the criteria for their use, taking into account the criticality of locations to operational performance. The review should also include consideration of operational strategies, such as the key route strategy, and encompass train routeing strategies designed to enhance operational resilience during winter weather and avoid the unnecessary blocking of key junctions. Strategies and practices used by other metro-type railway operators should be considered. Network Rail and Southeastern should jointly implement changes that are identified as beneficial (paragraphs 175a.i, 175a.iii, 176a, 176b and 177). This recommendation may also be applicable to other train operating companies and Network Rail routes</t>
  </si>
  <si>
    <t>UK-5635/2</t>
  </si>
  <si>
    <t>Guidance on stranded trains</t>
  </si>
  <si>
    <t>Network Rail (South East route) and Southeastern should work in conjunction with RSSB to provide suitable instructions and guidance to operations staff to help them determine when a train should be considered as stranded (as a result of it being unable to move, or make adequate progress), the timeframe within which this needs to be declared and the actions that then need to be taken. They should develop and publish suitable instructions, and where appropriate update the Rule Book (paragraphs 175a.ii and 176c). This recommendation may also be applicable to other train operating companies and Network Rail routes.</t>
  </si>
  <si>
    <t>UK-5635/3</t>
  </si>
  <si>
    <t>Review KICC processes</t>
  </si>
  <si>
    <t>Network Rail (South East route) and Southeastern should continue their joint review of the processes for decision making, communications and the handling of information with and within the KICC. They should make enhancements so that: l the functional responsibilities of the individual roles within the KICC, and the information important to them, are defined and make arrangements to ensure that staff clearly understand; l the appropriate lines of communication between signalling staff and KICC staff are defined, and incorporated in the method of working, and make arrangements to ensure that staff clearly understand; and l within the KICC, information critical to the operation of the railway is made visible to, or communicated to, the relevant responsible role in a timely manner (paragraph 175a.ii). This recommendation may also be applicable to other railway control centres.</t>
  </si>
  <si>
    <t>UK-5635/4</t>
  </si>
  <si>
    <t>Southeastern, in consultation with Network Rail (South East route), should review its arrangements ...</t>
  </si>
  <si>
    <t>Southeastern, in consultation with Network Rail (South East route), should review its arrangements and resources for assisting train crews in managing, informing and reassuring passengers on trains that are stopped at locations remote from station platforms. It should make any changes that are necessary to provide sufficient numbers of suitably trained staff who are competent to access the track and support the managed evacuation of trains. It should also clarify when and how these staff will be deployed (paragraph 175b). This recommendation may also be applicable to other train operators</t>
  </si>
  <si>
    <t>UK-5635/5</t>
  </si>
  <si>
    <t>Adequacy of systems</t>
  </si>
  <si>
    <t>Southeastern, in consultation with Network Rail (South East route) as appropriate, should continue its review of the adequacy of the systems and facilities on each type of train it operates as they relate to alleviating the risk that passengers decide to detrain from trains that have been stranded for extended periods of time. This should include consideration of toilet use, heating, ventilation, passenger information, food and drink, and take into account the practice of other metro-type railway operators. It should then review its seasonal preparedness and make arrangements to provide any additional facilities, provisions and information that passengers need in an emergency resulting from an extreme weather event (paragraphs 175a, 177 and 178a). This recommendation may also be applicable to other train operators.</t>
  </si>
  <si>
    <t>UK-5636/1</t>
  </si>
  <si>
    <t>Multiple lookouts</t>
  </si>
  <si>
    <t>Nexus Rail should identify, by means of risk assessment, and taking into consideration the lessons from this incident, locations on the Tyne and Wear Metro system where multiple lookouts are required to establish a safe system of work, and make this information available to work site controllers and in its hazard directory.</t>
  </si>
  <si>
    <t>REC-000519</t>
  </si>
  <si>
    <t>UK-5636/2</t>
  </si>
  <si>
    <t>Nexus Rail should provide its mobile staff, including fault finding teams, with remote access to the ...</t>
  </si>
  <si>
    <t>Nexus Rail should provide its mobile staff, including fault finding teams, with remote access to the hazard directory to enable them to set up safe systems of work and alert them to sighting hazards.</t>
  </si>
  <si>
    <t>REC-000520</t>
  </si>
  <si>
    <t>UK-5636/3</t>
  </si>
  <si>
    <t>Site risk assessments</t>
  </si>
  <si>
    <t>Nexus Rail should: a) improve the documentation it provides to its mobile staff to enable them to undertake a suitable risk assessment on site, including consideration of the need for additional lookouts; and b) provide improved training to its work site controllers on recognising,assessing and mitigating risks in situations where work is to be carried out on lines open to train movements. The training should include use of the improved documentation from (a), the use of information derived from the implementation of Recommendation 1 of this report, the correct assessment of sighting distances on curved track and examples of locations on its network (eg Pelaw North Junction) where visibility of approaching trains can be compromised by train movements on other lines.</t>
  </si>
  <si>
    <t>REC-000521</t>
  </si>
  <si>
    <t>UK-5636/4</t>
  </si>
  <si>
    <t>Mentor lookouts</t>
  </si>
  <si>
    <t>Nexus Rail should put into place a process to mentor and support newly qualified safety critical track staff, such as lookouts and WSCs, until they have acquired sufficient operational experience and knowledge to fully appreciate risks and are able to make safe decisions in potentially hazardous situations and changing conditions.</t>
  </si>
  <si>
    <t>UK-5636/5</t>
  </si>
  <si>
    <t>Medication queries</t>
  </si>
  <si>
    <t>Nexus Rail should: a) decide upon and regularise its process for managing staff on prescription medication enquiries, including how advice from its occupational health provider should be assessed; and b) brief the process to line managers and supervisors so that there is clarity about how it should work.</t>
  </si>
  <si>
    <t>REC-000940</t>
  </si>
  <si>
    <t>UK-5646/1</t>
  </si>
  <si>
    <t>Revise standard</t>
  </si>
  <si>
    <t>Network Rail should: a) revise its standard for managing the safety of people at work on or near the line (currently standard NR/L2/OHS/019 issue 9) to clarify the following aspects of the â€˜Person in Chargeâ€™ (PiC) role: i. a PiC should be allocated to each separate work group, and remain with that work group for the duration of the work; ii. the same PiC should be involved in both the planning process and delivery of the work (excluding exceptions stated in the standard); iii. when the COSS duties of a PiC are delegated to someone else, that individual should be appointed during the planning process, endorse the safe work pack and deliver COSS duties on site. b) provide suitable guidance to support the understanding and implementation of the standard, and maintain access to such documentation for relevant staff and contractors. c) brief out the changes arising from a) and b) above to relevant staff and contractors.</t>
  </si>
  <si>
    <t>REC-000941</t>
  </si>
  <si>
    <t>UK-5646/2</t>
  </si>
  <si>
    <t>Role of responsible manager</t>
  </si>
  <si>
    <t>Network Rail should verify that all of its staff who currently act in the role of Responsible Manager, as defined in standard NR/L2/OHS/019 Issue 9, are fully aware of their responsibilities with respect to signing off safe work packs and, where this is not the case, take action to address this lack of understanding.</t>
  </si>
  <si>
    <t>REC-000942</t>
  </si>
  <si>
    <t>UK-5646/3</t>
  </si>
  <si>
    <t>Location information</t>
  </si>
  <si>
    <t>Network Rail should review and improve the quality of the location information provided in its safe work packs, to help staff better identify running lines, access points and other relevant geographical features. The review should include consideration of supplementing the current minimum information specified in Appendix A of standard NR/L2/OHS/019 with detailed track diagrams, local street maps, ground level and/or aerial photographs (eg from RouteView) etc, using a risk-â€Šbased approach.</t>
  </si>
  <si>
    <t>REC-000943</t>
  </si>
  <si>
    <t>UK-5646/4</t>
  </si>
  <si>
    <t>Hazard directory</t>
  </si>
  <si>
    <t>Network Rail should: l amend its National Hazard Directory to include the access point alongside South Hampstead station; and l provide access point signage to clearly identify each running line to staff using the access point.</t>
  </si>
  <si>
    <t>REC-000944</t>
  </si>
  <si>
    <t>UK-5646/5</t>
  </si>
  <si>
    <t>Implementation of standard</t>
  </si>
  <si>
    <t>Network Rail should carry out a detailed audit of how standard NR/L2/OHS/019 Issue 9 has been implemented across the network, including in its supply chain. The purpose of this audit is to determine how the standard has been interpreted and understood, and areas of good and bad practice. Network Rail should take appropriate actions to address any issues found.</t>
  </si>
  <si>
    <t>REC-000945</t>
  </si>
  <si>
    <t>UK-5646/6</t>
  </si>
  <si>
    <t>Review of standard change</t>
  </si>
  <si>
    <t>Network Rail should undertake a review of how the change of NR/L2/OHS/019 from issue 8 to issue 9 was managed, in order to identify any areas for improvement in the management of change.</t>
  </si>
  <si>
    <t>REC-000894</t>
  </si>
  <si>
    <t>UK-5647/1</t>
  </si>
  <si>
    <t>Trolley brakes</t>
  </si>
  <si>
    <t>HRA should issue clear guidance to its members that the use of trolleys without fail-safe braking should be prohibited on running lines and restricted to yard or workshop work on level track; unless the use of such trolleys is supported by a robust risk assessment and suitable operating procedures (paragraph 75a.i).</t>
  </si>
  <si>
    <t>REC-000895</t>
  </si>
  <si>
    <t>UK-5647/2</t>
  </si>
  <si>
    <t>SMS procedures</t>
  </si>
  <si>
    <t>The East Lancashire Railway Permanent Way department should develop and implement local procedures in accordance with the principles of the railwayâ€™s Safety Management System, including, but not limited to: l risk assessing work activities; l managing and controlling the acquisition (including donation), maintenance and operation of Permanent Way department equipment; l staff competence management; and l planning of work activities. (paragraphs 75a.i, 75a.ii, 75b.i, 75b.ii and 76)</t>
  </si>
  <si>
    <t>REC-000896</t>
  </si>
  <si>
    <t>UK-5647/3</t>
  </si>
  <si>
    <t>The East Lancashire Railway should implement a process of thorough regular audits, which are capable ...</t>
  </si>
  <si>
    <t>The East Lancashire Railway should implement a process of thorough regular audits, which are capable of detecting non-compliances with its Safety Management System and identifying corrective actions needed to improve the management of safety (paragraphs 76 and 77)</t>
  </si>
  <si>
    <t>UK-5707/1</t>
  </si>
  <si>
    <t>Machine operator competency</t>
  </si>
  <si>
    <t>Network Rail should review current standards and guidance related to managing the competence of machine operators working on its infrastructure and, taking into account guidance from the M&amp;EE groupâ€™s codes of practice, provide a clear framework for the competence management of machine operators (paragraph 122). The review should encompass the following elements: i. Initial training ii. Monitoring systems to check staff compliance iii. Ongoing machine experience iv. Continuous development v. Knowledge re-assessment vi. Response to involvement in incidents</t>
  </si>
  <si>
    <t>UK-5707/2</t>
  </si>
  <si>
    <t>Management of safety critical staff</t>
  </si>
  <si>
    <t>Readypower should review and improve its existing arrangements for the management of staff that are engaged in safety critical activities involving road-rail vehicles, including machine operators and those involved in the maintenance and inspection (paragraphs 121a.ii and 121b.ii). This should consider the arrangements for ensuring that staff are sufficiently competent, including, among other elements, recruitment, experience, continuous development and knowledge reassessment. It should also establish adequate monitoring systems to check that staff are correctly applying the operating, inspection and maintenance procedures. Note: this recommendation may also apply to other plant operators</t>
  </si>
  <si>
    <t>UK-5707/3</t>
  </si>
  <si>
    <t>Improve processes and training</t>
  </si>
  <si>
    <t>Readypower should review and improve its processes for providing staff that are engaged in the maintenance and inspection of road-rail vehicles with clear and accurate instructions, and training on how to maintain all variants of vehicles. This process should include arrangements for ensuring that Readypower maintenance checklists are clearly linked to OEM instructions and staff are made aware of, and suitably trained in, revisions made to the OEM instructions (paragraph 121b.ii).</t>
  </si>
  <si>
    <t>UK-5748/1</t>
  </si>
  <si>
    <t>Rule book update</t>
  </si>
  <si>
    <t>Network Rail should promote an amendment to the Rule Book (GE/â€ŠRT8000) to require Controllers of Site Safety and Safe Work Leaders to default to placing their site lookouts in a position of safety, unless this is not practicable to implement the safe system of work, eg the site lookout needs to be positioned elsewhere to achieve unrestricted sighting of intermediate / distant lookouts or trains, give a warning by touch, or be close by to give an audible warning (paragraph 119b).</t>
  </si>
  <si>
    <t>UK-5748/2</t>
  </si>
  <si>
    <t>Lookout warning</t>
  </si>
  <si>
    <t>Network Rail should: a. investigate the common practices used by Controllers of Site Safety / Safe Work Leaders and site lookouts to communicate with intermediate / distant lookouts using flag signals to indicate â€˜all clearâ€™ at the start of work and after a train has passed, and â€˜work completeâ€™; b. seek to understand the reasons for the unofficial systems of communication currently used and the risks that they introduce; c. investigate ways of improving communication between those at the site of work and intermediate / distant lookouts, including the use of technology; d. implement, across its network, an improved system of communication, based on the findings from (a), (b) and (c) above, including training of relevant staff and promoting amendments to the rule book as necessary; and e. implement effective arrangements for the monitoring, audit and review of the improved system of communication that it puts in place (paragraphs 119d.i and 120b).</t>
  </si>
  <si>
    <t>UK-5748/3</t>
  </si>
  <si>
    <t>Guidance with lookouts</t>
  </si>
  <si>
    <t>Network Rail should provide guidance and training for its staff holding the Controller of Site Safety / Safe Work Leader competency, on the actions to be taken if more than one group wants to use a safe system of work with distant / intermediate lookouts that overlap at a location (paragraph 119d.ii).</t>
  </si>
  <si>
    <t>UK-5748/4</t>
  </si>
  <si>
    <t>Improve safe working</t>
  </si>
  <si>
    <t>Network Rail should increase engagement of all maintenance sections across the London North Eastern and East Midlands Route, with the routeâ€™s â€˜Safe and Effective Workingâ€™ project, so that as many of its cyclic maintenance tasks as possible are undertaken in planned possessions or using line blockage protection systems (paragraph 120a).</t>
  </si>
  <si>
    <t>UK-5748/5</t>
  </si>
  <si>
    <t>Improve processes</t>
  </si>
  <si>
    <t>Network Rail should: a. reduce the number of cyclic maintenance tasks that are undertaken with lookout warning by establishing improved planning processes to substantially decrease the reliance on lookout warning by enabling more pre-planned activities to take place in planned possessions, or using line blockages protection systems; and b. implement effective arrangements for the monitoring, audit and review of these revised planning processes (paragraph 120a).</t>
  </si>
  <si>
    <t>REC-000564</t>
  </si>
  <si>
    <t>UK-5760/1</t>
  </si>
  <si>
    <t>Slow road vehicles</t>
  </si>
  <si>
    <t>Network Rail should, if necessary assisted by RSSB, carry out a review of the way that it manages the risk of large, low and/or slow-moving road vehicle movements across user worked crossings that are equipped with telephones (UWC-T). This review should include consideration of: l information that should be collected at crossings, and from authorised users, as part of Network Railâ€™s risk management process, including: o the crossing layout and other features likely to affect user crossing times; and o the types of vehicle likely to use the crossing and the frequency of this use; l how information collected at crossings should be communicated to signallers; l the types and characteristics of vehicles which necessitate signal protection; l the means by which signallers can obtain sufficient detail of vehicle characteristics and likely crossing time to make an informed decision about whether it is safe for the vehicle to cross, and whether signal protection is required; and l the information and instructions provided to users to help them judge whether their vehicle is â€˜large, low or slow-movingâ€™, and to give them a clear method of communicating this to the signaller. The findings of this review should be used to prepare a coordinated and time bound plan to implement improvements, including any necessary changes to standards and the Rule Book, revised training and guidance for signallers, and revised information and instructions to users. These improvements should seek to increase safety at UWC-T crossings, whilst also recognising the need to minimise unnecessary delays to crossing users (paragraphs 144, 145 and 146).</t>
  </si>
  <si>
    <t>UK-5766/1</t>
  </si>
  <si>
    <t>Improve safety management</t>
  </si>
  <si>
    <t>DB Cargo should improve safety management arrangements at Dollands Moor yard including, as a minimum: l ensuring that movement of people and vehicles to and from trains are covered by appropriately documented safe systems of work supported by appropriate risk assessments (paragraph 110); l ensuring that vehicles used on and/or near the operational railway are conspicuous to train drivers (eg by fitting orange flashing beacons, attaching reflective material and/or selection of appropriately coloured vehicles) (paragraph 109); l consider reinstating one or both subways, and making provision for their future maintenance, if required for vehicular use (paragraph 109); and l establishing adequate arrangements for devising, documenting, checking and supervising safe systems of work (paragraph 110)</t>
  </si>
  <si>
    <t>UK-5766/2</t>
  </si>
  <si>
    <t>Improvements at DB Cargo</t>
  </si>
  <si>
    <t>DB Cargo should review and, if necessary improve, corporate oversight and verification of safety arrangements and safety supervision at DB Cargo locations across the UK (paragraph 110).</t>
  </si>
  <si>
    <t>UK-5771/1</t>
  </si>
  <si>
    <t>Driver observation</t>
  </si>
  <si>
    <t>Govia Thameslink Railway (GTR) should: a) Develop suitable guidance to drivers on the time needed to safely observe the platform-train interface, both before closing the train doors and for the final train safety check after the doors have closed (this time is expected to vary with train length, platform passenger density etc.) b) Enhance its driver competence management system by implementing a procedure to routinely monitor the safety of train dispatch, and take appropriate remedial action where necessary. The monitoring procedure should include (but not be limited to) consideration of: l direct observation of the train dispatch process and the time taken before and after closing the doors; l analysis of data from on-train data recorders to check sufficient time is spent in the final train safety check; and l analysis of station and on-train CCTV. This recommendation may be applicable to other train operating companies</t>
  </si>
  <si>
    <t>UK-5771/2</t>
  </si>
  <si>
    <t>The Rail Delivery Group (RDG), in conjunction with RSSB, should: a) Commission research into practicable ways of enhancing the detection of passengers and belongings that are trapped, or at risk of becoming trapped, in train doors during the dispatch process. A key objective of this research should be to assess the potential for new and emerging technology to support dispatch staff (such as drivers, guards and platform staff) in their decisions about when it is safe to dispatch trains. This should include consideration of: l current requirements in standards and specifications; l recent research undertaken on the subject; l improvements to existing door control systems, such as door portal light beams and obstacle detection systems; and l the potential use of image recognition systems to spot hazards during train dispatch. b) If suitable design improvements or solutions are identified by the above research, RDG and RSSB should record and then disseminate the findings to relevant Standards Committees and industry groups with a view to their incorporation into future standards and specifications</t>
  </si>
  <si>
    <t>UK-5772/1</t>
  </si>
  <si>
    <t>Safety systems for doors</t>
  </si>
  <si>
    <t>London Underground should review the safety systems associated with control of passenger door opening and closing, including train door interlock cut-out switch operation, on its 1995 and 1996 stock trains. Where such features are inconsistent with current good practice, appropriate remedial action should be undertaken. The review should include gaining a sufficient understanding of train control systems so that potential impacts on door safety can be established (paragraphs 120c and 121a).</t>
  </si>
  <si>
    <t>UK-5772/2</t>
  </si>
  <si>
    <t>Identify faults</t>
  </si>
  <si>
    <t>London Underground should review and, where necessary, take action to equip its train operators with the skills, knowledge and information needed to identify and respond appropriately to faults affecting their trains. This should include consideration of the: l use of train simulators to practise fault finding; and l provision of documentation, such as quick reference guides, to help train operators transition effectively from a low workload scenario to an unexpected high workload scenario when there is an unusual occurrence during automatic train operation. (paragraphs 120b, 120c, 120d and 121b)</t>
  </si>
  <si>
    <t>UK-5772/3</t>
  </si>
  <si>
    <t>Downloading data</t>
  </si>
  <si>
    <t>London Underground should review options and, if appropriate, introduce procedures for routine downloading and review of data from Jubilee line train management systems, with the aim of better understanding, predicting, and preventing possible future failures with potential to impact adversely on safety (paragraph 120a).</t>
  </si>
  <si>
    <t>UK-5772/4</t>
  </si>
  <si>
    <t>London Underground should review and, where necessary, revise its competence and fatigue risk management systems for train operators in order to increase awareness of the adverse effects on human performance from insufficient sleep and inappropriate eating patterns (paragraph 120b and 120c and 120d).</t>
  </si>
  <si>
    <t>UK-5781/1</t>
  </si>
  <si>
    <t>horn audibility</t>
  </si>
  <si>
    <t>Edinburgh Trams Limited should: a) increase the audibility of its tram warning horns so that they provide effective warning of approaching trams to pedestrians, in particular at foot crossings on off-street sections of its network. The warning horns should be clearly discernible above the background noise at relevant locations and take into consideration sighting distances and line speeds; and b) develop, document, brief and train instructions in which situations it expects its drivers to use the horn as an audible warning. This recommendation may apply to other UK tram operators.</t>
  </si>
  <si>
    <t>UK-5781/2</t>
  </si>
  <si>
    <t>Edinburgh Trams Limited should: a) undertake risk assessments of all of its pedestrian crossings on ...</t>
  </si>
  <si>
    <t>Edinburgh Trams Limited should: a) undertake risk assessments of all of its pedestrian crossings on off-street sections and identify any necessary control measures. The assessment should include consideration of the crossing layout, sighting distances, line speed, tram braking distances and the audibility of the tram warning horns. Control measures for consideration should include the following safety features: â€¢ improved demarcation of the crossing; and â€¢ barriers, chicanes, or similar, to turn pedestriansâ€™ direction of travel, just before crossing, to face oncoming trams on the nearest track.</t>
  </si>
  <si>
    <t>UK-5781/3</t>
  </si>
  <si>
    <t>Guidance on warnings</t>
  </si>
  <si>
    <t>The Light Rail Safety and Standards Board (LRSSB) should develop the guidance for audible warnings devices on both current and future UK trams, so that they provide effective warning of approaching trams. The guidance should define a process so that each tram operator can establish appropriate sound pressure levels and frequencies for warnings that are clearly discernible above background noise and which take into consideration sighting distances, tram braking characteristics and line speeds.</t>
  </si>
  <si>
    <t>UK-5781/4</t>
  </si>
  <si>
    <t>Level crossing design</t>
  </si>
  <si>
    <t>The Light Rail Safety Standards Board (LRSSB) should update and improve the current industry guidance for the design, layout and management of off-street pedestrian level crossings on UK tram systems contained in â€˜Tramway Principles and Guidanceâ€™, January 2018. The new guidance should consider lessons from this and previous similar tramway accidents. It should as a minimum include guidance on routine risk assessments of crossings, taking into account sighting distances, line speed, tram braking characteristics and the audibility of warning horns.</t>
  </si>
  <si>
    <t>UK-5800/1</t>
  </si>
  <si>
    <t>Safe travelling</t>
  </si>
  <si>
    <t>RSSB, in consultation with the industry, and involving due industry process, should review the effectiveness and practicality of the engineering and procedural controls permitted by RIS-1530-PLT to manage the travelling of road-rail vehicles safely, taking into account reasonably foreseeable misuse by machine operators and machine controllers, and make changes to the standard, as necessary. This review should include consideration of the following: l requirements for visibility of the line ahead, taking into account that road-rail vehicles generally spend as much time travelling in reverse as they do forwards (this will be particularly applicable for conversions of unidirectional road vehicles); and l requirements for managing speed - in particular whether use of a speedometer is an acceptable means of managing speed where the machineâ€™s capability is much greater than its permitted maximum.</t>
  </si>
  <si>
    <t>UK-5800/2</t>
  </si>
  <si>
    <t>Mitigations</t>
  </si>
  <si>
    <t>Ahead of any changes resulting from recommendation 1, Network Rail should review all road-rail vehicles that are based on unidirectional road vehicles that it permits to operate on its infrastructure, to understand the potential for foreseeable operational misuse when travelling in the reverse direction. It should introduce or amend any mitigations that this review identifies as being necessary to manage the risk of operational misuse. The review should include consideration of the following: l visibility of the line ahead, particularly in the reverse direction; and l potential for operators to exceed prescribed speed limitations.</t>
  </si>
  <si>
    <t>UK-5853/1</t>
  </si>
  <si>
    <t>Zero hours risk</t>
  </si>
  <si>
    <t>Network Rail should review how it manages the risks associated with the use of workers on zero hours contracts, and what its requirements are in respect of the systems used by its labour suppliers to manage such staff. This should include consideration of the arrangements for: l Managing fatigue, including advice on the interaction with other employment, lifestyle, sleeping and eating; l Managing the competence and fitness of safety critical staff; and l Supervision of staff who normally work alone and/or outside normal office hours (paragraphs 123(ii), 123(iii), 123(iv), 124(i), 124(ii), 124 (iv).</t>
  </si>
  <si>
    <t>UK-5853/2</t>
  </si>
  <si>
    <t>Review Vital</t>
  </si>
  <si>
    <t>Vital Rail Human Resources Ltd should commission an independent review of the actions it has taken following the accident at Stoats Nest Junction in order to assess their completeness and effectiveness. In particular this should address the following areas: l The effectiveness of the processes that have been implemented to ensure that persons responsible for safe systems of work are present and the effectiveness of the associated management assurance system l The process for briefing the arrangements for reporting of incidents of safety critical staff absence and similar irregularities affecting the safety of staff and the railway; l The appropriateness of current instructions concerning protection staff sleeping between the placing and lifting of protection; and l The return of SSOW packs in compliance with Network Railâ€™s NR/â€ŠL2/â€ŠOHS/019 process. Any areas for further improvement should be implemented (paragraphs 123(ii), 123(iv), 124(i), 124(ii), 124(iv)).</t>
  </si>
  <si>
    <t>UK-5864/1</t>
  </si>
  <si>
    <t>Emergency speed awareness</t>
  </si>
  <si>
    <t>Train Operating Companies and Freight Operating Companies should review their practice in relation to driverâ€™s prior awareness of emergency speed restrictions. This review should be based on a suitable and sufficient risk assessment, and consider any necessary measures to minimise the likelihood that a driver encountering an emergency speed restriction may not respond correctly to the trackside signs. Any necessary actions should be implemented (paragraphs 96c, 97a).</t>
  </si>
  <si>
    <t>UK-5864/2</t>
  </si>
  <si>
    <t>Emergency speed warnings</t>
  </si>
  <si>
    <t>Rail Delivery Group, in consultation with Network Rail, should consider and review options for a safe and suitable means of providing drivers with warning of emergency speed restrictions on the route ahead through the use of available technologies (paragraph 96c, 97a).</t>
  </si>
  <si>
    <t>UK-5864/3</t>
  </si>
  <si>
    <t>Indicator boards</t>
  </si>
  <si>
    <t>Network Rail should: a) issue clear instructions to its staff about when it is permissible to deploy a miniature emergency speed indicator board; and b) determine whether the lamp fittings in emergency speed indicator boards are adequate for the purpose for which they are designed, bearing in mind the difficulty of ensuring the optimum alignment when deploying these boards (paragraph 96b).</t>
  </si>
  <si>
    <t>UK-5864/4</t>
  </si>
  <si>
    <t>Driving policy</t>
  </si>
  <si>
    <t>LNER should review its professional driving policy and associated competency arrangements to ensure that drivers are provided with risk based guidance on how and when they can safely carry out tasks in the cab while the train is in motion. This guidance should ensure that drivers can be confident that they can reduce speed, or stop, if required (paragraph 96a). This recommendation may also apply to other train operating companies.</t>
  </si>
  <si>
    <t>UK-5864/5</t>
  </si>
  <si>
    <t>RSSB should lead a review of how the proposal to remove the requirement in the rule book to notify drivers of emergency speed restrictions was managed. This review should: l highlight any lessons learnt and consider the extent to which these have been addressed by the current processes which are applied by standards committees; and l consider how RSSB and Railway Group members can best work together to monitor the effects of significant changes to the rule book, such that any unexpected consequences can be further managed or mitigated. The outcomes of the review should then be used to inform any necessary improvements to the current processes and the training provided to persons involved in the evaluation of proposed changes to the rule book (paragraph 97a).</t>
  </si>
  <si>
    <t>UK-5890/1</t>
  </si>
  <si>
    <t>Isolation planning</t>
  </si>
  <si>
    <t>Network Rail should improve its processes for planning conductor rail isolations so that safe systems of work planners are provided with simple, clear and precise information about the locations at which isolation work will take place.</t>
  </si>
  <si>
    <t>UK-5890/2</t>
  </si>
  <si>
    <t>Safe system of work</t>
  </si>
  <si>
    <t>BAM Nuttall should improve its safe system of work planning and checking processes so that: l all safe systems of work plans include protection for the actual positions at which people are required to work; l safe system of work planners seek additional information if they lack the information needed to identify and document safe methods of working; and l persons in charge of work participate in the planning process as required by Network Rail standards</t>
  </si>
  <si>
    <t>REC-000641</t>
  </si>
  <si>
    <t>UK-5891/1</t>
  </si>
  <si>
    <t>Risk assessment review</t>
  </si>
  <si>
    <t>Operators of mainline passenger trains, including charter operators, using stock with opening windows that passengers could lean out of, should review their risk assessments for operating those trains and implement any additional mitigation measures necessary to minimise the likelihood of passengers leaning out of the windows away from stations (paragraph 95b).</t>
  </si>
  <si>
    <t>REC-000642</t>
  </si>
  <si>
    <t>UK-5891/2</t>
  </si>
  <si>
    <t>Review risk assessments</t>
  </si>
  <si>
    <t>Operators of heritage railways, using stock that passengers could lean out of, should review their risk assessments for people leaning out and implement any additional mitigation measures necessary to achieve an acceptable level of safety (paragraph 95b).</t>
  </si>
  <si>
    <t>REC-000643</t>
  </si>
  <si>
    <t>UK-5891/3</t>
  </si>
  <si>
    <t>Hazards</t>
  </si>
  <si>
    <t>Great Western Railway should review its hazard identification process to understand why, prior to 2017, it did not result in identification of the hazard of passengers leaning out of a droplight window, or an assessment of the associated risk. It should take any necessary action to ensure that the possibility of other hazards being overlooked is minimised (paragraph 96).</t>
  </si>
  <si>
    <t>REC-000644</t>
  </si>
  <si>
    <t>UK-5891/4</t>
  </si>
  <si>
    <t>New guidance</t>
  </si>
  <si>
    <t>RSSB should review its existing guidance to train operators on the design of emergency and safety signs. It should then, as necessary, revise it and prepare new guidance (possibly associated with the Technical Specifications for Interoperability for Persons with Reduced Mobility). Guidance should be prepared in consultation with train operators and should suggest designs of emergency and safety signs that are appropriate and commensurate with the risk to passengers being managed. Specific consideration should be given to the types of warning signs to be displayed on and around external doors with opening windows (paragraphs 46 to 48)</t>
  </si>
  <si>
    <t>REC-000640</t>
  </si>
  <si>
    <t>UK-5926/1</t>
  </si>
  <si>
    <t>Sighting in fog</t>
  </si>
  <si>
    <t>Network Rail should analyse and evaluate the risk of fog affecting the safe use of those passive level crossings where users are entirely reliant on the sighting of trains. This analysis should take into account regional and local variation of the likelihood of fog, its potential impact on visibility and the effectiveness of any existing mitigation measures. Network Rail should then use the output of this evaluation to develop and implement a strategy to adequately mitigate the effects of fog at passive level crossings (paragraphs 114c and 115). This strategy should include the development and provision of: l guidance for level crossing managers on how to identify crossings at which fog is a reasonably foreseeable risk; l a range of possible mitigation measures to make crossings safe to use in fog (this may involve other railway parties such as the Rail Delivery Group); l a methodology for prioritising level crossings on the basis of the risk arising from fog at the crossing; and l a timebound plan for the implementation of the appropriate mitigation measures at the prioritised crossings</t>
  </si>
  <si>
    <t>UK-5966/1</t>
  </si>
  <si>
    <t>CCTV instructions</t>
  </si>
  <si>
    <t>KAM should complete the provision of the instructions to tram drivers about the correct use of the side-view CCTV monitors when departing from tram stops so that, where appropriate, drivers continue to scan the interface as the tram starts to move. These revised instructions, contained in the updated rule book, should be briefed to all tram drivers, and incorporated into the training and assessment procedures used within the driver management function within KAM.</t>
  </si>
  <si>
    <t>UK-5966/2</t>
  </si>
  <si>
    <t>Lighting at tram stops</t>
  </si>
  <si>
    <t>KAM should: (a) carry out a review of the lighting conditions at tram stops to identify any local lighting conditions, taking into account backgrounds, which may make it difficult for tram drivers to see passengers in close proximity to the tram, particularly during night-time operations. (b) implement the findings of the review, in conjunction with TfGM, to improve the visibility of passengers at the platform-tram interface (e.g. by improving platform lighting and/or tram CCTV systems). This recommendation may apply to other light rail operators in the UK</t>
  </si>
  <si>
    <t>UK-5966/3</t>
  </si>
  <si>
    <t>Review action for impaired passenger</t>
  </si>
  <si>
    <t>KAM should undertake a risk-based review of the actions which tram drivers should carry out if they encounter an impaired passenger. This review should consider the well-being of both the staff member and passenger. Once completed, the output of the review should inform guidance for staff. This guidance should be incorporated into the training and assessment procedures used within the driver management function within KAM. This recommendation may apply to other light rail operators in the UK</t>
  </si>
  <si>
    <t>UK-5966/4</t>
  </si>
  <si>
    <t>Ambulance protocols</t>
  </si>
  <si>
    <t>North West Ambulance Service and KAM should jointly develop and agree communication protocols so that each organisation is aware of the otherâ€™s intentions and actions when dealing with incidents and accidents which affect Metrolink operations. The protocols should aim to reduce overall risk to both staff and passengers and should be communicated to all relevant levels within both organisations.</t>
  </si>
  <si>
    <t>UK-5968/1</t>
  </si>
  <si>
    <t>Festiniog Railway Company should develop and implement a robust engineering change management process encompassing all rolling stock and locomotives (paragraphs 96a and 97).</t>
  </si>
  <si>
    <t>UK-5968/2</t>
  </si>
  <si>
    <t>Records</t>
  </si>
  <si>
    <t>Festiniog Railway Company should systematically review how it monitors, assures and records the inspection and maintenance of brakes and other safety critical systems on its rolling stock and locomotives, and implement measures to address any shortcomings found (paragraph 98a).</t>
  </si>
  <si>
    <t>UK-5968/3</t>
  </si>
  <si>
    <t>Deadman systems</t>
  </si>
  <si>
    <t>Festiniog Railway Company should review its lone working arrangements, and its policy relating to the use of â€˜deadmanâ€™ systems, where fitted, for situations where trains are being driven by an unaccompanied person. It should update its rulebook to take account of any changes (paragraph 98b).</t>
  </si>
  <si>
    <t>UK-5968/4</t>
  </si>
  <si>
    <t>The Heritage Railway Association should bring the safety learning in this report to the attention of its members and the wider heritage railway industry, highlighting the importance of evaluating and risk assessing engineering changes made to assets, using suitable processes to maintain safety critical systems and thoroughly investigating the factors that underlie accidents and incidents (paragraphs 97 and 98a).</t>
  </si>
  <si>
    <t>UK-5971/1</t>
  </si>
  <si>
    <t>Improve comms</t>
  </si>
  <si>
    <t>Network Rail should develop and implement a strategy to bring about significant improvements in the standard of verbal safety critical communications adopted by its staff and contractors. This should address training and competence in communication skills, and effective monitoring of safety critical communications, between its own staff and contractors as well as understanding the underlying social, cultural and behavioural factors that inhibited the use of effective communications in this incident. The strategy should aim to ensure that such communications become embedded in normal, everyday practice (paragraphs 138a, 138c, 138d, 139c).</t>
  </si>
  <si>
    <t>UK-5971/2</t>
  </si>
  <si>
    <t>Handovers</t>
  </si>
  <si>
    <t>Network Rail should review the process of handovers between signallers during and at the end of shifts, and develop a formal structure which will give the incoming signaller full awareness of all relevant information about the location and intended movement of trains and the wider operation of the railway in their area of control (paragraph 138c).</t>
  </si>
  <si>
    <t>UK-5971/3</t>
  </si>
  <si>
    <t>PICOPs</t>
  </si>
  <si>
    <t>Network Rail should review its requirements for locations in which PICOPs are permitted to carry out their duties, so that they have adequate facilities, information and equipment to enable them to control train movements associated with possessions (paragraphs 138a, 138c, 139a).</t>
  </si>
  <si>
    <t>UK-5971/4</t>
  </si>
  <si>
    <t>Network Rail should review its standards, process and arrangements for managing the competency requirements and ongoing professional development of people who control engineering possessions in which train movements take place. This review should cover, but not be limited to, decision making, team working and communications between PICOPs and other operations staff (paragraphs 138a, 138c, 138e, 139a, 139c).</t>
  </si>
  <si>
    <t>UK-5998/1</t>
  </si>
  <si>
    <t>Revised strategy</t>
  </si>
  <si>
    <t>Keolis Amey Metrolink should review, update and re-implement its strategy for managing the risk of trams passing signals at danger or stop. The revised strategy should include consideration of: l the causes of signals passed at danger and stop (including loss of attention) l how the risk of passing signals at danger or stop can be controlled and reduced, including the possible role of future technologies l the networkâ€™s current service patterns, vehicles, equipment and infrastructure and any changes proposed in these areas l how this strategy will encourage the reporting of safety incidents and ensure the investigation of incidents and the management of staff involved in them are based on and promote the principles of just culture l how this strategy will be supported by a wider understanding of risk across the network l how senior managers will exercise assurance and provide safety leadership in this area l arrangements for regular review and update of the strategy. (paragraphs 126a and 128c)</t>
  </si>
  <si>
    <t>UK-5998/2</t>
  </si>
  <si>
    <t>Driver fitness criteria</t>
  </si>
  <si>
    <t>Keolis Amey Metrolink should review its revised medical fitness criteria for tram drivers to confirm that they effectively control the risk of the driving task. This review should be based on an assessment of tram driver work activities, the associated risk and the available risk controls. It should consider relevant law, guidance and good practice from other industries that may be applicable. If necessary, Keolis Amey Metrolink should produce an updated medical fitness requirement for tram drivers and make changes to the associated driver assessment arrangements (paragraph 128a).</t>
  </si>
  <si>
    <t>UK-5998/3</t>
  </si>
  <si>
    <t>Fatigue management</t>
  </si>
  <si>
    <t>Keolis Amey Metrolink should review and improve its current fatigue risk management system for safety critical staff to confirm that it meets relevant industry guidance and best practice. This review should be based on an assessment of work activities and their associated risks and available risk controls. The review should consider relevant law, guidance and practice (paragraph 128b).</t>
  </si>
  <si>
    <t>UK-5999/1</t>
  </si>
  <si>
    <t>Taking into account findings from its ongoing research programmes, Network Rail should investigate whether recent advances in computing techniques allow data recorded by its track geometry measurement trains to be analysed in a way that enables the identification of track movement trends that are indicative of underlying problems with the track bed and/or supporting earthworks. If reasonably practicable, it should develop and implement analysis tools and processes and make these available to engineers responsible for the management of such infrastructure assets (paragraph 158c.i).</t>
  </si>
  <si>
    <t>UK-5999/2</t>
  </si>
  <si>
    <t>Enhance processes</t>
  </si>
  <si>
    <t>Network Rail should review the arrangements it uses to alert its track maintenance teams to missing data from its track geometry measurement trains, including the reports required by NR/L2/TRK/038 and other information that is made available, and the actions they then take. It should make enhancements to its processes, instructions and guidance to address deficiencies that could impact on the safe running of trains (paragraphs 158c.i and 160a).</t>
  </si>
  <si>
    <t>REC-000645</t>
  </si>
  <si>
    <t>UK-5999/3</t>
  </si>
  <si>
    <t>Network Rail should review and update, as necessary, its processes and guidance for the management of earthwork structures such that when ongoing movement is identified in a supporting earth embankment adequate monitoring of the track is established. The frequency of the monitoring and associated alert arrangements need to be such as to allow timely action to be taken in the case of a rapid deterioration of the track geometry, in order to prevent any impact on the safe running of trains. It should also review and enhance the arrangements for the department responsible for management of earthwork structures and the department responsible for track maintenance to inform the other of the potential susceptibility and, therefore, the need for enhanced monitoring (paragraph 158c.ii). This recommendation should be considered and implemented in conjunction with Recommendation 3 in RAIB report 04/2020, â€˜Train collision with washed-out aggregate, Corby, 13 June 2019â€™.</t>
  </si>
  <si>
    <t>REC-000646</t>
  </si>
  <si>
    <t>UK-5999/4</t>
  </si>
  <si>
    <t>Wheel load imbalance</t>
  </si>
  <si>
    <t>DB Cargo should review the effectiveness of the maintenance processes and arrangements it uses to control the diagonal wheel load imbalance of MGR-derivative wagons. It should identify and implement any necessary changes to maintain any imbalance within prescribed safe limits. Implementation of this recommendation should consider whether: l the means of determining and adjusting the diagonal wheel load imbalance are suitable for achieving the level of control required l wheel load measurement is necessary as part of the VIBT maintenance cycle, or at another suitable maintenance interval. DB Cargo should share the outcome of this review with other entities in charge of maintenance via an appropriate forum, such as the Freight Technical Committee, or other suitable means of communication (paragraph 158d.ii).</t>
  </si>
  <si>
    <t>UK-6013/1</t>
  </si>
  <si>
    <t>Flood management</t>
  </si>
  <si>
    <t>The Environment Agency should, in conjunction with Northamptonshire County Council, Anglian Water, Homes England, Corby Borough Council and Network Rail, lead the production of a timebound plan to implement and maintain an effective flood management system at Pen Green Lane, Corby. The plan should take into consideration short and long-â€Šterm actions to address the systemâ€™s susceptibility to blockages and the limitations of the ponds to store water (paragraphs 137a(i), 137a(ii), 137a(iii), 138a and 138b).</t>
  </si>
  <si>
    <t>UK-6013/2</t>
  </si>
  <si>
    <t>Flooding</t>
  </si>
  <si>
    <t>Network Rail should: a) compile a list of locations on or around its infrastructure where it is known that surface water flooding with the potential to affect railway safety occurs during normal levels of rainfall (that is, during rainfall events that are not classified by its weather management processes as adverse/extreme weather) b) review the adequacy of the flood management arrangements in place at the locations listed in (a) c) identify the organisations responsible for each of the assets that form part of a relevant flood management system or could affect flood related risk to the railway at the locations listed in (a) d) take steps to establish lines of communication with the organisations identified in (c) to set up joint studies to establish how the risk due to surface water flooding can be reduced at these locations (paragraph 137b).</t>
  </si>
  <si>
    <t>UK-6013/3</t>
  </si>
  <si>
    <t>Earthworks management</t>
  </si>
  <si>
    <t>Network Rail should review, and amend as necessary, its processes for the management of earthworks, so that its staff responsible for earthworks are trained and have clear guidance on when and how to trigger appropriate monitoring and/or other short-term mitigations. This is particularly relevant when mitigations using geotechnical instrumentation are not viable options and actions that involve other functions within Network Rail or external organisations are needed instead (paragraph 138c)</t>
  </si>
  <si>
    <t>UK-6013/4</t>
  </si>
  <si>
    <t>Stranded trains</t>
  </si>
  <si>
    <t>As part of the ongoing industry-wide programme of work to improve the management of stranded passenger train incidents, Network Rail and the Rail Delivery Group should carry out a joint review of existing procedures and codes of practice for managing stranded trains and carrying out train evacuations, to identify what equipment is needed to deliver the requirements in these procedures for each method of train evacuation. They should then provide this information about what equipment is needed to those responsible for the implementation of recommendation 5 (paragraph 139).</t>
  </si>
  <si>
    <t>UK-6013/5</t>
  </si>
  <si>
    <t>Upon completion of recommendation 4, as part of the ongoing industry-â€Šwide programme of work to ...</t>
  </si>
  <si>
    <t>Upon completion of recommendation 4, as part of the ongoing industry-â€Šwide programme of work to improve the management of stranded passenger train incidents, Network Rail should: a) take steps, in cooperation with the train operating companies, so that the equipment identified as required for managing stranded trains and train evacuations is available for use when needed (such as on specific types of train or placed at strategic locations along each route) b) brief and/or train its staff involved in managing or responding to stranded trains and train detrainments on how to get the equipment made available in (a) to the site of a stranded train and how to use it correctly once it is there c) work with each train operating company to prepare rolling stock specific guidance so that each train operating company can brief and/â€Šor train its staff involved in managing or responding to stranded trains and train detrainments on what to expect when this equipment is to be used to evacuate passengers from its trains (paragraph 139).</t>
  </si>
  <si>
    <t>REC-000821</t>
  </si>
  <si>
    <t>UK-6027/1</t>
  </si>
  <si>
    <t>Review activities</t>
  </si>
  <si>
    <t>Network Rail should undertake a thorough review of the types of routine maintenance activities undertaken on or near the track by its depots to check that all such activities are necessary for the reliable and safe operation of the railway and identify any that are not. The findings of this review should then be used to inform the development of clear instructions to maintenance staff to prevent any unnecessary activities, and to develop a process for updating staff on new maintenance practices as new assets are introduced in the future (paragraph 357a.i).</t>
  </si>
  <si>
    <t>REC-000822</t>
  </si>
  <si>
    <t>UK-6027/2</t>
  </si>
  <si>
    <t>Check work safe</t>
  </si>
  <si>
    <t>Network Rail should carry out a detailed investigation at delivery units and depots of how management is monitoring and supervising section planners and staff working on or near the track, to check that safe work plans are being generated, and implemented safely on the ground. It should then use the findings to develop and implement improved procedures on monitoring and supervision, and assess and address any related staff resource requirements (paragraph 357a.ii-v, 357b.ii, 357b.â€Šiii, 357c.ii).</t>
  </si>
  <si>
    <t>REC-000823</t>
  </si>
  <si>
    <t>UK-6027/3</t>
  </si>
  <si>
    <t>Parallel working</t>
  </si>
  <si>
    <t>Network Rail should define the term â€™parallel workingâ€™ in the SSOWP system and undertake a thorough review of how it is being used in the planning and implementation of SWPs on its network and decide whether to retain the facility in the SSOWP system. If the function is to be retained, Network Rail should train relevant staff on how to use the facility correctly and consider measures to prevent its misuse (paragraph 357a.iii).</t>
  </si>
  <si>
    <t>REC-000824</t>
  </si>
  <si>
    <t>UK-6027/4</t>
  </si>
  <si>
    <t>Non-technical skills</t>
  </si>
  <si>
    <t>Network Rail should review its processes and programme for developing the social, cognitive and personal â€˜non-technical skillsâ€™ of those working on or near the track, with a particular focus on those areas that are linked to effective communication, cooperation, leadership and positive team dynamics. By means of this review Network Rail should ensure that it has in place all that is necessary for the timely provision of an ongoing and sustained programme of suitable, relevant and targeted training and mentoring that will influence the mindset and attitudes of everybody involved with planning and delivery of work activities, including managers, supervisors, site leaders and team members. Network Rail should also issue practical guidance on: a) ways of assessing non-technical skills and development potential when selecting future site leaders b) methods for evaluating and developing the non-technical skills of those already undertaking leadership roles c) how to intervene when concerned about the performance of a safety leader. (paragraphs 357b.i, 357b.ii, 357d, 358b)</t>
  </si>
  <si>
    <t>REC-000825</t>
  </si>
  <si>
    <t>UK-6027/5</t>
  </si>
  <si>
    <t>Expert group</t>
  </si>
  <si>
    <t>Network Rail, in consultation with its main contractors and Trade Union representatives, should establish a permanent expert group, which comprises representatives from across the rail industry with sufficient seniority and recent front-line experience, together with external experts with relevant qualifications or background (including a behavioural scientist), to provide oversight of all track worker safety improvement programmes. Its scope, which should be formally documented, should include: a) providing independent advice, guidance and challenge to the Network Rail board and the SHE committee on matters related to the delivery of safety improvements (including those identified by the ORR improvement notices) b) checking that parallel and interdependent work streams are being properly co-ordinated c) monitoring the development and implementation of new or revised procedures and management processes d) ensuring that the need to address the impact on front-line track workers is not overlooked when implementing new technologies and work management processes e) checking that recommendations and lessons from accident investigations are being learned and fed into improvement processes f) providing a source of ongoing corporate memory and continuity of vision (particularly during times of organisational and personnel change). (paragraph 358a).</t>
  </si>
  <si>
    <t>REC-000826</t>
  </si>
  <si>
    <t>UK-6027/6</t>
  </si>
  <si>
    <t>Network Rail should investigate different ways of promoting proactive safety leadership at every level of the organisation, to develop a culture that values and actively promotes the open and honest reporting of safety performance, the early identification of any weaknesses in management processes and open debate. The output of the investigation should be an active cultural change programme which is the subject of consultation with employees and stakeholders, and then widely disseminated (paragraph 358c).</t>
  </si>
  <si>
    <t>REC-000827</t>
  </si>
  <si>
    <t>UK-6027/7</t>
  </si>
  <si>
    <t>Management assurance</t>
  </si>
  <si>
    <t>Network Rail, in consultation with its main contractors and staff representatives, should commission a project to improve the way its management assurance system operates in areas directly affecting the safety of track workers. The review should include each of the following: a) the identification of improved systems for collecting reliable data on how mandated processes are being applied in maintenance depots, and within track worker teams (to supplement or replace the existing Level 1 management self-assurance) b) improved mechanisms for collating, analysing, tracking, and presenting the findings of audits, investigations and other management assurance activities. The project should also consider ways of expanding the scope of management assurance activities to provide better intelligence on the underlying reasons for the non-compliances that are identified during audits, including consideration of the views of auditors and other relevant staff. The improved management assurance arrangements that are identified should be endorsed by the Network Rail board before implementation in accordance with a structured and validated programme for change (paragraphs 357a.iv, 357b.iii, 358c). This recommendation may apply to other Network Rail management assurance processes.</t>
  </si>
  <si>
    <t>REC-000828</t>
  </si>
  <si>
    <t>UK-6027/8</t>
  </si>
  <si>
    <t>Process</t>
  </si>
  <si>
    <t>Network Rail should extend the review undertaken in response to recommendation 7 to include the following: a) a more structured process for senior management review of safety assurance data b) mechanisms to ensure that the senior management team is provided with suitably independent and specialist advice when reviewing the outputs of the safety management assurance system, particularly when considering significant change.c) identification of additional leading indicators of safety performance designed to better inform senior managers on the underlying health of the safety management systems. (paragraph 358c). This recommendation may apply to other Network Rail management assurance processes</t>
  </si>
  <si>
    <t>REC-000829</t>
  </si>
  <si>
    <t>UK-6027/9</t>
  </si>
  <si>
    <t>Changes to working practices</t>
  </si>
  <si>
    <t>Network Rail should review and strengthen its process for the safety assessment of significant changes to working practices that have the potential to affect the safety of railway staff. This review should identify the extent to which the existing process promotes an adequate consideration of: a) the conditions that apply before the proposed change (such as the ways of working and how these compare to mandated processes); b) the impact on resource and staff workload c) any organisational changes, working practices or work force behaviours that are needed for the changes to be fully effective d) safety risk and identification of control measures to mitigate or eliminate that risk. (paragraph 358a) This recommendation may be best addressed in conjunction with Network Railâ€™s response to recommendation 6 of RAIBâ€™s report into the near miss with track workers and trolleys at South Hampstead (RAIB report 20/2018)</t>
  </si>
  <si>
    <t>REC-000830</t>
  </si>
  <si>
    <t>UK-6027/10</t>
  </si>
  <si>
    <t>Service and safe access</t>
  </si>
  <si>
    <t>Network Rail, in consultation with the Department for Transport, relevant transport authorities, ORR and other railway stakeholders, should investigate ways of optimising the balance between the need to operate train services and the need to enable safe access to the track for routine maintenance tasks. Options for consideration should include: a) the provision of gaps in the train service, during daylight off-peak hours, to enable timely and safe access for maintenance staff b) greater use of alternative routes or bidirectional lines to achieve the above c) increased availability and utilisation of weekend and night time possessions for cyclical maintenance tasks. Any reasonably practicable measures that are identified should then be implemented in accordance with a timebound plan (paragraph 359b).</t>
  </si>
  <si>
    <t>REC-000831</t>
  </si>
  <si>
    <t>UK-6027/11</t>
  </si>
  <si>
    <t>Automatic horn</t>
  </si>
  <si>
    <t>The Rail Delivery Group (RDG), in conjunction with Network Rail and RSSB, should commission research into reasonably practicable ways of enabling a trainâ€™s horn to automatically sound when a driver initiated emergency brake application is made on a moving train (as is already done on some UK tram systems). The objective of any such change would be to offer the best opportunity of the audible warning to be discernible, while taking the responsibility from the driver for sounding the horn during situations that are stressful (paragraph 359c).</t>
  </si>
  <si>
    <t>UK-6042/1</t>
  </si>
  <si>
    <t>Brake test</t>
  </si>
  <si>
    <t>RSSB, in consultation with its members, should amend the wording of section 4.2 of Rule Book module TW1 (GERT8000-TW1 â€“ â€˜Preparation and movement of trainsâ€™) to make it clear that the brake continuity test should be carried out after all coupling-related activities have been completed (paragraphs 114a and 114b(i)).</t>
  </si>
  <si>
    <t>UK-6042/2</t>
  </si>
  <si>
    <t>Brake pipe design</t>
  </si>
  <si>
    <t>Serco Caledonian Sleepers Limited, in conjunction with its design authority, should review the design of the brake pipe isolating cock on its Mark 5 sleeper coaching stock, particularly in relation to its vulnerability to undetected, inadvertent operation by people during shunting or train preparation, or by objects (such as fallen trees, flying ballast, or other debris). If applicable, it should implement mitigation measures to reduce the risk (paragraph 114a).</t>
  </si>
  <si>
    <t>REC-000834</t>
  </si>
  <si>
    <t>UK-6134/1</t>
  </si>
  <si>
    <t>Review documentation</t>
  </si>
  <si>
    <t>LNER, with support from Hitachi, should review the Train Operation Manual and Train Management System documentation that Hitachi has provided, to confirm that it has correctly interpreted it in all areas which could impact the safe operation of its IETs (paragraph 141.2.a).i).</t>
  </si>
  <si>
    <t>REC-000835</t>
  </si>
  <si>
    <t>UK-6134/2</t>
  </si>
  <si>
    <t>LNER should review, and make any necessary changes to, its procedures, training, and associated materials and aids (including the TMS app and simulator) to confirm that they prepare drivers to correctly interact with the TMS on its IETs. It should also review the TMS touch screen displays to make sure that they clearly reinforce the correct processes. In particular, these activities should include consideration of the method of entering a headcode and any issues raised by Recommendation 1 (paragraph 141.2.a).i).</t>
  </si>
  <si>
    <t>REC-000836</t>
  </si>
  <si>
    <t>UK-6134/3</t>
  </si>
  <si>
    <t>IET</t>
  </si>
  <si>
    <t>Hitachi should revisit its assessment of the performance of the IET against the requirements of EN 15227 using a refined 3D model. This model should include, as a minimum, the modelling changes demonstrated by this investigation to be necessary to predict the train behaviour with sufficient accuracy. The assessment should be subject to a review by an independent third-party, as defined in RIS-2700 (paragraphs 143 and 145). If applicable, Hitachi should inform LNER, any other operators of IETs and ORR of any area of non-compliance with EN 15227 identified during the re-assessment</t>
  </si>
  <si>
    <t>REC-000837</t>
  </si>
  <si>
    <t>UK-6134/4</t>
  </si>
  <si>
    <t>LNER, with support from Hitachi, should assess the risk associated with derailment of an IET following collision at low speeds, and take any necessary actions to demonstrate an acceptable risk. It should take into account the likelihood of occurrence of a derailment and the possible consequences, including the potential to foul an adjacent running line (paragraph 144).</t>
  </si>
  <si>
    <t>REC-000838</t>
  </si>
  <si>
    <t>UK-6134/5</t>
  </si>
  <si>
    <t>Standards revision</t>
  </si>
  <si>
    <t>RSSB should consider whether the findings of this investigation indicate that there is merit in proposing revisions to standard EN 15227 and associated guidance, in the following respects: l To make it clear that the intention of the standard is for the safety performance to be demonstrated to be acceptable up to and including the design speed l To include specific requirements against which to assess the derailment performance in a collision l To include the effects of braking, where appropriate. If it considers there is merit in any of the above, RSSB should actively lobby the relevant national and international bodies to raise the issues for consideration in future updates of EN 15227 (paragraphs 142 and 144).</t>
  </si>
  <si>
    <t>REC-000832</t>
  </si>
  <si>
    <t>UK-6180/1</t>
  </si>
  <si>
    <t>Improve TRV info</t>
  </si>
  <si>
    <t>Network Rail should take measures to improve the clarity of information provided from Track Recording Vehicle systems, and the procedures adopted by those investigating defects, to assist track maintenance staff to correctly locate all recorded defects. The improvements shall include consideration of: l ways of identifying discrete defects when these occur within one area of relatively poor track quality where multiple defects are currently reported as a single defect at one location due to the â€˜hysteresis thresholdâ€™ feature of the track recording vehicle system l the extent to which staff should look for defects beyond a nominal defect position due to inaccuracies in locations determined using global positioning system (GPS) equipment (paragraph 161).</t>
  </si>
  <si>
    <t>REC-000833</t>
  </si>
  <si>
    <t>UK-6180/2</t>
  </si>
  <si>
    <t>Monitoring maintenance activities</t>
  </si>
  <si>
    <t>VTG should review and improve monitoring of maintenance activities on individual rail wagons to detect repetitive maintenance requirements which may indicate an underlying fault which is not being addressed (paragraph 162b). This recommendation may apply to other Entities in Charge of Maintenance.</t>
  </si>
  <si>
    <t>REC-000698</t>
  </si>
  <si>
    <t>UK-6191/1</t>
  </si>
  <si>
    <t>Roles &amp; responsibilities</t>
  </si>
  <si>
    <t>Network Rail, in consultation with RSSB, the M&amp;EE networking group, the Machine Controller Competence Working Group and the Plant Operations Scheme Review Panel, should review and clarify the roles and responsibilities of those responsible for plant operations and movements in possessions and work sites, with the objective of identifying ways of avoiding the duplication of responsibilities and minimising the possibility of confusion between roles. This should involve consideration of: l the relevant rules and standards that apply to the control of plant movements, particularly Handbooks 12 and 15; l the roles of engineering supervisor, person in charge/safe work leader, site supervisor, POS representative and machine controller; and l the factors affecting the working relationship between staff from different employers working on the same site, in particular the extent of understanding and appreciation of each personâ€™s role. The implementation of any changes resulting from this review should be co-ordinated to avoid confusion between existing and revised rules and working arrangements (paragraphs 159(a) to 159(d)), and 160(a) to 160(c)).</t>
  </si>
  <si>
    <t>REC-000699</t>
  </si>
  <si>
    <t>UK-6191/2</t>
  </si>
  <si>
    <t>Review Sentinel</t>
  </si>
  <si>
    <t>Network Rail, in co-operation with other participating organisations (including the National Skills Academy for Rail), should undertake a review of the way that the Sentinel scheme is managed to identify any improvements that are necessary, with particular attention to the following areas: a. resources, organisation and processes for managing engagement with primary sponsors in respect of investigation of incidents in which staff competence is an issue; and b. review how the Sentinel scheme oversees and manages the way in which training providers and primary sponsors assess the English language skills of safety critical staff whose task requires effective communication when working on the railway infrastructure. Network Rail should then establish a programme to implement any areas of improvement identified during the review (paragraph 162(c)).</t>
  </si>
  <si>
    <t>REC-000700</t>
  </si>
  <si>
    <t>UK-6191/3</t>
  </si>
  <si>
    <t>Improve reporting and response</t>
  </si>
  <si>
    <t>Network Rail Anglia Route should revise its reporting and response process for accidents and incidents, so that all relevant information that is needed to enable an effective and co-ordinated response is captured. This review should include the management of the competence and suitability of staff who are on-call and required to attend site following incidents (paragraph 161). This recommendation may also apply to other Network Rail routes</t>
  </si>
  <si>
    <t>REC-000701</t>
  </si>
  <si>
    <t>UK-6191/4</t>
  </si>
  <si>
    <t>Review warnings</t>
  </si>
  <si>
    <t>Network Rail, in conjunction with its contractors, RSSB and other stakeholders, should review the means of warning currently used to alert staff to a dangerous situation on or near the track, and consider whether suitable equipment should be issued to those in all relevant roles (paragraphs 159(a) and 159(b) and 160(b).</t>
  </si>
  <si>
    <t>REC-000703</t>
  </si>
  <si>
    <t>UK-6191/5</t>
  </si>
  <si>
    <t>OCR review</t>
  </si>
  <si>
    <t>In parallel to the findings and any actions taken in response to recommendation 1, Network Rail should commission an independent review of OCR internal culture and working practices, with the aim of identifying effective measures to promote compliance with rules and company standards and establishing good working relationships and mutual respect between all grades of staff working on site (paragraphs 159(c) and 159(d) and 160(a) to 160(c)).</t>
  </si>
  <si>
    <t>REC-000839</t>
  </si>
  <si>
    <t>UK-6234/1</t>
  </si>
  <si>
    <t>Buffer stop standards</t>
  </si>
  <si>
    <t>Network Rail should review, and revise if necessary, the processes and standards that it applies to buffer stops installed on non-platform terminal tracks, to ensure that the risks arising from potential buffer stop collisions are being adequately managed (paragraph 90). This recommendation may also be applicable to other infrastructure operators.</t>
  </si>
  <si>
    <t>REC-000819</t>
  </si>
  <si>
    <t>UK-6253/1</t>
  </si>
  <si>
    <t>Management assurance processes</t>
  </si>
  <si>
    <t>Rail Operations Group should review its management assurance processes relating to operational safety, and take steps to ensure effective monitoring, auditing and management review of its safety arrangements in areas including, but not limited to, the competence management of operational staff, traffic acceptance, and general operating instructions (in line with recognised good industry practice) (paragraph 83).</t>
  </si>
  <si>
    <t>CZ-279/1</t>
  </si>
  <si>
    <t>It is recommended to evaluate weather forecast continuously with respect to regional conditions.</t>
  </si>
  <si>
    <t>CZ-279/2</t>
  </si>
  <si>
    <t>It is recommended to develop procedures for safe operation during storms, strong wind and similar we</t>
  </si>
  <si>
    <t>It is recommended to develop procedures for safe operation during storms, strong wind and similar weather conditions.</t>
  </si>
  <si>
    <t>CZ-279/3</t>
  </si>
  <si>
    <t>It is recommended to create list of locations with the highest risk of dangerous weather condition</t>
  </si>
  <si>
    <t>It is recommended to create list of locations with the highest risk of dangerous weather conditions and to develop local procedures ensuring the safety of operations.</t>
  </si>
  <si>
    <t>CZ-279/4</t>
  </si>
  <si>
    <t>In order to remove all dangerous trees along the railways, it is recommended to apply legal procedur</t>
  </si>
  <si>
    <t>In order to remove all dangerous trees along the railways, it is recommended to apply legal procedures based on § 10 Act No. 266/1994 Coll.</t>
  </si>
  <si>
    <t>CZ-279/5</t>
  </si>
  <si>
    <t>It is not recommended to operate locomotives with reduced viewing angle and single â€“ person occupati</t>
  </si>
  <si>
    <t>It is not recommended to operate locomotives with reduced viewing angle and single â€“ person occupation for leading trains during bad weather conditions.</t>
  </si>
  <si>
    <t>CZ-279/6</t>
  </si>
  <si>
    <t>When issuing safety certificates for infrastructure managers, it is recommended to check, whether th</t>
  </si>
  <si>
    <t>When issuing safety certificates for infrastructure managers, it is recommended to check, whether they have procedures for safe operation during bad weather conditions.</t>
  </si>
  <si>
    <t>CZ-277/1</t>
  </si>
  <si>
    <t>to develop safety rules focusing on infrastructure maintenance performed by external supplier (outso</t>
  </si>
  <si>
    <t>to develop safety rules focusing on infrastructure maintenance performed by external supplier (outsourced maintenance)</t>
  </si>
  <si>
    <t>CZ-277/2</t>
  </si>
  <si>
    <t>to supervise external supplier's safety rules observance</t>
  </si>
  <si>
    <t>CZ-273/1</t>
  </si>
  <si>
    <t>It is recommended to equip each level crossing with visible ID-table with unique level crossing ID-n</t>
  </si>
  <si>
    <t>It is recommended to equip each level crossing with visible ID-table with unique level crossing ID-number and an emergency telephone number, in order to avoid misunderstandings when alerting emergency services or infrastructure manager in case of emergency.</t>
  </si>
  <si>
    <t>CZ-273/2</t>
  </si>
  <si>
    <t>It is recommended to modify radio communication system TRS in order to grant the highest priority to</t>
  </si>
  <si>
    <t>It is recommended to modify radio communication system TRS in order to grant the highest priority to â€œoverall stopâ€ and â€œselective stopâ€ commands and to grant whole-line validity to these commands transmitted by a station master.</t>
  </si>
  <si>
    <t>CZ-272/1</t>
  </si>
  <si>
    <t>It is recommended to perform regular psychological and neurological examination of station and disp</t>
  </si>
  <si>
    <t>It is recommended to perform regular psychological and neurological examination of station and dispatch personnel aged 50 and more.</t>
  </si>
  <si>
    <t>CZ-272/2</t>
  </si>
  <si>
    <t>It is recommended to perform psychological and neurological examination of a member of station or di</t>
  </si>
  <si>
    <t>It is recommended to perform psychological and neurological examination of a member of station or dispatch personnel whenever their doctor recommends to do so.</t>
  </si>
  <si>
    <t>CZ-272/3</t>
  </si>
  <si>
    <t>It is recommended to apply the above recommendations to all relevant railway infrastructure managers</t>
  </si>
  <si>
    <t>It is recommended to apply the above recommendations to all relevant railway infrastructure managers.</t>
  </si>
  <si>
    <t>CZ-269/1</t>
  </si>
  <si>
    <t>It is recommended to equip the level crossing with barriers or to replace it with graded crossing.</t>
  </si>
  <si>
    <t>CZ-1418/1</t>
  </si>
  <si>
    <t>In their own preventive activities to focus especially on the explanation and clarification of the purpose and function of marking of level crossings.</t>
  </si>
  <si>
    <t>CZ-1418/2</t>
  </si>
  <si>
    <t>It is recommended to take own measure forcing implementation of the above recommendations for other infrastructure manager (IM) in the Czech Republic.</t>
  </si>
  <si>
    <t>CZ-1418/3</t>
  </si>
  <si>
    <t>CZ-1418/4</t>
  </si>
  <si>
    <t>To incorporate into legislation for road traffic duty to know the meaning of marking of level crossings and its use in case of dangerous situations on level crossings: - all applicants for a driving license; - all license holders in the training of professional competence.</t>
  </si>
  <si>
    <t>CZ-1415/1</t>
  </si>
  <si>
    <t>In railway tracks with intensive operation as soon as possible to extend network of diagnostic equipments which are able to evaluate more temperatures of bearings, temperatures of wheel hoop and disc brakes and irregularities of wheel circuits to find out deficiencies on rolling stocks during their movement and thereby to warn in sufficient time with use of system ROSA on their lacks. Until reevaluate adjustment of limit temperatures of hot axle bearing indicators.</t>
  </si>
  <si>
    <t>CZ-1401/1</t>
  </si>
  <si>
    <t>Set higher demands on the control mechanism to prevent human factor failure and eliminate routine actions of operational staff. During inspections to increase focus on compliance of set provided technological procedures at driving trains in bad weather conditions.</t>
  </si>
  <si>
    <t>CZ-1401/2</t>
  </si>
  <si>
    <t>On the railway vehicle, type 843 to ensure possibility of full checking of all tasks associated with its operation by drivers by the technical means in order to eliminate the negative impact of the human factor.</t>
  </si>
  <si>
    <t>CZ-1401/3</t>
  </si>
  <si>
    <t>On the railway vehicle type 843 to eliminate connection of one brake system to the brake control of other brake system so that the EDB (electrodynamic brake) would been in operation at reduction of air pressure in a continuous automatic brake pipe below the value 3.5 bar as well as at starting of emergency braking.</t>
  </si>
  <si>
    <t>CZ-1401/4</t>
  </si>
  <si>
    <t>On the particular railway track to operate only railway vehicles which corespond with the previous reccommendation or railway vehicles which can use other braking systems e. g. electromagnetic railway brakes.</t>
  </si>
  <si>
    <t>CZ-1401/5</t>
  </si>
  <si>
    <t>To consult with IM whether the current technology of driving of railway vehicles is sufficient in bad weather conditions.</t>
  </si>
  <si>
    <t>CZ-1401/6</t>
  </si>
  <si>
    <t>To take into account the specifics of various locations in relation to the difference of operating conditions (e. g. weather) and use of different types of railway vehicles; to include these specifics into the curriculum and the contents of compulsory training including practical solutions of critical situations.</t>
  </si>
  <si>
    <t>CZ-1394/1</t>
  </si>
  <si>
    <t>To equip all rolling stocks - which are equipped with the information system, which is automatically triggered by unlocking of central controlled doors of the train - with equipment so that the driver could control information system and in case of need stop the report;</t>
  </si>
  <si>
    <t>CZ-1394/2</t>
  </si>
  <si>
    <t>To equip all new rolling stock which will be given into the service with equipment which unable to driver to control information system and in case of need to stop the report.</t>
  </si>
  <si>
    <t>CZ-1394/3</t>
  </si>
  <si>
    <t>To improve internal rule â€žSÅ½DC (ÄŒD) D2 PÅ™edpis pro organizování a provozování dráÅ¾ní dopravyâ€ about procedures which would ensure safety of passengers in case when the train extraordinarily stop in a place which was not determined for boarding and getting out of passengers.</t>
  </si>
  <si>
    <t>CZ-1394/4</t>
  </si>
  <si>
    <t>It is recommended to take own measure forcing implementation of the above recommendations for other railway undertaking which use the same and similar rolling stocks when by unlocking of central controlled doors of the train automatically triggers information system according to safety recommendation No. 1 and for other infrastructure manager according to safety recommendation No. 2.</t>
  </si>
  <si>
    <t>CZ-1374/1</t>
  </si>
  <si>
    <t>CZ NIB recommends to increase safety at the level crossings which are equipped with warning lights so that at reconstruction and modernization of railway tracks and the level crossings there was designed and installed only level crossing safety equipment with warning lights and barriers.</t>
  </si>
  <si>
    <t>CZ-1374/2</t>
  </si>
  <si>
    <t>CZ-1373/1</t>
  </si>
  <si>
    <t>CZ-1373/2</t>
  </si>
  <si>
    <t>Iit is recommended to take own measure forcing implementation of the above recommendations for other infrastructure manager (IM) in the Czech Republic.</t>
  </si>
  <si>
    <t>CZ-1363/1</t>
  </si>
  <si>
    <t>Based on result of the investigation of causes and circumstances of this accident and due to specific local condition and repeated accidents at this level crossing it is recommended: to complete the level crossing safety equipment by other elements which would supply warning and contribute to improving of safety at the level crossing, for example barriers.</t>
  </si>
  <si>
    <t>CZ-1362/1</t>
  </si>
  <si>
    <t>CZ-1362/2</t>
  </si>
  <si>
    <t>CZ-1338/1</t>
  </si>
  <si>
    <t>To modify technological procederues in accordance with the safe operation so that they were clear and understandable;</t>
  </si>
  <si>
    <t>CZ-1338/2</t>
  </si>
  <si>
    <t>To develop a written information according with the provisions of § 101 paragraph (3) of Act No. 262/2006 Sb., zákoník práce, v platném znÄ›ní, and to implement it on the basis of risk assessment to technological procedures.</t>
  </si>
  <si>
    <t>CZ-1338/3</t>
  </si>
  <si>
    <t>To develop a written information according with provisions of § 101 paragraph (3) of Act No. 262/2006 Sb., zákoník práce, v platném znÄ›ní, and to implement it on the basis of risk assessment and operation on the siding by railway undertaking - CD Cargo, to their own local regulation.</t>
  </si>
  <si>
    <t>CZ-1333/1</t>
  </si>
  <si>
    <t>In the shortest time by the end of 2012 to perform extraordinery checks of all obstacles in database and to compare it with real obstacles on the all tracks.</t>
  </si>
  <si>
    <t>CZ-1333/2</t>
  </si>
  <si>
    <t>To create an effective way of checks of registration of obstacles to prevent different state between the data from photogrammetric measurements and real obstacles which are located on the track.</t>
  </si>
  <si>
    <t>CZ-1333/3</t>
  </si>
  <si>
    <t>It is recommended to také own measure forcing implementation of the above recommendations.</t>
  </si>
  <si>
    <t>CZ-1324/1</t>
  </si>
  <si>
    <t>To create technological procedures for the siding, where the rope shunting operation is used, to order sufficient procedures for ensuring of the rolling stock against driving.</t>
  </si>
  <si>
    <t>CZ-1324/2</t>
  </si>
  <si>
    <t>It is recommended to take own measure, forcing implamentation of the above recommendation also for other infrastructure managers (IM) and railway undertakings (RU) on the sidings where the rope shunting operation is used.</t>
  </si>
  <si>
    <t>CZ-1323/1</t>
  </si>
  <si>
    <t>Introduction of ETCS</t>
  </si>
  <si>
    <t>It is recommended to hurry on introduction of ETCS to both main and regional lines, in accordance with the wording of previous documents â€žVydání bezpeÄnostního doporuÄeníâ€œ (The issue of safety recommendations), No. 6-538/2009/DI-1 on 18th March 2010, No. 739/2010/DI on 15th December 2010 and No. 355/2012/DI on 01st June 2012;</t>
  </si>
  <si>
    <t>CZ-1323/2</t>
  </si>
  <si>
    <t>To install the technical equipment for emergency stopping of trains</t>
  </si>
  <si>
    <t>On the lines where the ETCS is not going to be introduced into operation to install the technical equipment for emergency stopping of trains. This equipment will be automatically activated when the rolling stock illegally passes signal at danger (eg system VNPN safety system which alerts of unauthorized passing signals);</t>
  </si>
  <si>
    <t>CZ-1323/3</t>
  </si>
  <si>
    <t>Treatment of technological procedures</t>
  </si>
  <si>
    <t>At the stations that are permanently occupied and controlled by the train dispatchers not to allow departure of the train with the passengers (regular or extraordinary) from an area for entrance and exit of passengers only by using of signal.</t>
  </si>
  <si>
    <t>CZ-1323/4</t>
  </si>
  <si>
    <t>Installation of mobile components of ETCS into railway vehicles</t>
  </si>
  <si>
    <t>It is recommended to hurry on installation of mobile components of ETCS into railway vehicles in order to allow use of full functionality of ETCS as soon as the infrastructure is ready;</t>
  </si>
  <si>
    <t>CZ-1323/5</t>
  </si>
  <si>
    <t>Modification of technological procedures</t>
  </si>
  <si>
    <t>To modify technological procedures in order to the train driver of the leading rolling stock of the train with passengers in an area for entrance and exit of passengers at the station where the departure of the rolling stock is allowed only by using of signal always initiated before putting of the train in motion, warning signal which will be given verbally, by signaling tool or by technical equipment.</t>
  </si>
  <si>
    <t>CZ-1323/6</t>
  </si>
  <si>
    <t>Taking of own measure forcing implementation of the recommendations for other IM and RU in the Czech Republic.</t>
  </si>
  <si>
    <t>It is recommended to take own measure forcing implementation of the above recommendations for other infrastructure manager (IM) and railway undertaking (RU) in the Czech Republic.</t>
  </si>
  <si>
    <t>CZ-1287/1</t>
  </si>
  <si>
    <t>In the shortest time to the beginning of winter to perform extraordinary checks of occurrence and condition of defects of the rail focusing on the occurrence of developing of cracks on the all tracks.</t>
  </si>
  <si>
    <t>CZ-1287/2</t>
  </si>
  <si>
    <t>To reduce the time among defectoscopic checks to ensure safe operation.</t>
  </si>
  <si>
    <t>CZ-1287/3</t>
  </si>
  <si>
    <t>CZ-1274/1</t>
  </si>
  <si>
    <t>Strengthen of rolling stock used in cardan shaft unbalance in a way that heat does not affect the qu</t>
  </si>
  <si>
    <t>Strengthen of rolling stock used in cardan shaft unbalance in a way that heat does not affect the quality and plasticity of the shaft material.</t>
  </si>
  <si>
    <t>CZ-1274/2</t>
  </si>
  <si>
    <t>To use safety stirrups or cage for security of coupling and cardan shafts used in rolling stock agai</t>
  </si>
  <si>
    <t>To use safety stirrups or cage for security of coupling and cardan shafts used in rolling stock against accidental damage around the shaft so that no loose, uncontrolled spinning of the shaft does not exceed the outline of the vehicle, endanger the safety of persons and the safe function of buildings and track equipment and endanger the environment.</t>
  </si>
  <si>
    <t>CZ-1274/3</t>
  </si>
  <si>
    <t>In to the time to ensure the above coupling and cardan shaft by safety stirrups or cage against acci</t>
  </si>
  <si>
    <t>In to the time to ensure the above coupling and cardan shaft by safety stirrups or cage against accidental damage to the surroundings when releasing the shaft or shaft parts, includ into the mandatory charge of regular maintenance of rail vehicles (operating treatment and periodic inspection) body control pipes of cardan and connecting shafts, the purpose of preventive control to a single body pipes and cardan shaft coupling at all possible rail vehicles in the shortest possible time.</t>
  </si>
  <si>
    <t>CZ-1274/4</t>
  </si>
  <si>
    <t>It is recommended to take own measure forcing implementation of the above recommendations by all rai</t>
  </si>
  <si>
    <t>It is recommended to take own measure forcing implementation of the above recommendations by all railway undertakings using the operation of railway transport in possibly a rolling stock and for their approval.</t>
  </si>
  <si>
    <t>CZ-1270/1</t>
  </si>
  <si>
    <t>It is recommended to hurry on introduction of ETCS to main and regional lines.</t>
  </si>
  <si>
    <t>CZ-1270/2</t>
  </si>
  <si>
    <t>The lines where the long term will not be introduced into operation ETCS to install the technical eq</t>
  </si>
  <si>
    <t>The lines where the long term will not be introduced into operation ETCS to install the technical equipment for emergency stopping of trains, whose security is threatened, which will be activated automatically unlawful driving of a rolling stock as the main signal.</t>
  </si>
  <si>
    <t>CZ-1270/3</t>
  </si>
  <si>
    <t>It is recommended to hurry on installation of mobile components of ETCS into railway vehicles in ord</t>
  </si>
  <si>
    <t>It is recommended to hurry on installation of mobile components of ETCS into railway vehicles in order to allow use of full functionality of ETCS as soon as the infrastructure is ready.</t>
  </si>
  <si>
    <t>CZ-1270/4</t>
  </si>
  <si>
    <t>It is recommended to take own measure forcing implementation of the above recommendations.</t>
  </si>
  <si>
    <t>CZ-1243/1</t>
  </si>
  <si>
    <t>Gradually to equip rolling stocks with technical means, which would stop trams in case of failure, sudden health troubles or driverâ€™s death.</t>
  </si>
  <si>
    <t>CZ-1243/2</t>
  </si>
  <si>
    <t>It is recommended to take own measure forcing implementation of the above recommendations for other railway undertaking of tram in the Czech Republic.</t>
  </si>
  <si>
    <t>CZ-1243/3</t>
  </si>
  <si>
    <t>To expand requirements for equipment of tram rolling stocks in Appendix 3 of Part IV of decree No. 173/1995 Sb., dopravní Å™ád drah, about technical means â€“ safety equipments, which would stop trams in case of failure, sudden health troubles or driver's death.</t>
  </si>
  <si>
    <t>CZ-1237/1</t>
  </si>
  <si>
    <t>To modify technological procedures of the infrastructure manager â€œSÅ½DC (ÄŒD) D2 PÅ™edpis pro organizování a provozování dráÅ¾ní dopravyâ€ for shunting operation so that they were clear and understandable especially in connection with obligations of shunters and employees who participate in the operation.</t>
  </si>
  <si>
    <t>CZ-1237/2</t>
  </si>
  <si>
    <t>CZ-1237/3</t>
  </si>
  <si>
    <t>In the legislation to determine basic rules for shunting operation so that they were more extensive and specific due to unification of the important obligations and thereby to contribute to improvement of safety during shunting operation at all railway undertaking and infrastructure manager.</t>
  </si>
  <si>
    <t>CZ-1236/1</t>
  </si>
  <si>
    <t>To improve technological procedures so that an interval of periodic inspections of wear and tear of switches and rails was determined not only in track lines and main station lines but also in other station lines and this measurement was documented.</t>
  </si>
  <si>
    <t>CZ-1236/2</t>
  </si>
  <si>
    <t>CZ-1236/3</t>
  </si>
  <si>
    <t>In full range to implement the safety recommendation which was issued on the basis of accident (CZ 736), 22 th July 2009 in Olomouc main station: it is recommended to develop and adopt within EU member states a common system of identification of detachable part of freight wagons' suspension, which allows investigators to recognize original positioning of each of the parts spread around after an accident.</t>
  </si>
  <si>
    <t>CZ-1221/1</t>
  </si>
  <si>
    <t>It is recommended to hurry on introduction of ETCS to both main and regional lines, in accordance with the wording of previous documents â€žVydání bezpeÄnostního doporuÄeníâ€œ (The issue of safety recommendations), No. 6-538/2009/DI-1 on 18th March 2010, No. 739/2010/DI on 15th December 2010 and No. 355/2012/DI on 01st June 2012;</t>
  </si>
  <si>
    <t>CZ-1221/2</t>
  </si>
  <si>
    <t>CZ-1221/3</t>
  </si>
  <si>
    <t>CZ-1221/4</t>
  </si>
  <si>
    <t>CZ-1221/5</t>
  </si>
  <si>
    <t>CZ-1221/6</t>
  </si>
  <si>
    <t>CZ-1216/1</t>
  </si>
  <si>
    <t>Unify data in the prescription â€œÄŒD D2/1 DoplnÄ›k s technickými údaji k Dopravním pÅ™edpisÅ¯m, z pÅ™íloh</t>
  </si>
  <si>
    <t>Unify data in the prescription â€œÄŒD D2/1 DoplnÄ›k s technickými údaji k Dopravním pÅ™edpisÅ¯m, z pÅ™ílohy Tabulka 1h Hnací vozidla historickáâ€, the basic technical data on rolling stock listed on the license.</t>
  </si>
  <si>
    <t>CZ-1216/2</t>
  </si>
  <si>
    <t>It is recommended to take own measure forcing implementation of the above recommendation (see action</t>
  </si>
  <si>
    <t>It is recommended to take own measure forcing implementation of the above recommendation (see action director â€œopatÅ™ení Å™editele O12 Ä. j: 695/2011-O12â€) by all railway undertakings.</t>
  </si>
  <si>
    <t>CZ-1191/1</t>
  </si>
  <si>
    <t>To take own measures for ensuring of the removal of sources of danger to the railway track in the protection zone of railway especially trees which are growing in this zone.</t>
  </si>
  <si>
    <t>CZ-1191/2</t>
  </si>
  <si>
    <t>To act and solve strictly about these sources of danger to the railway tracks with other owners in the protection zone of railway and in cases of dispute to communicate with Czech National Safety Autority.</t>
  </si>
  <si>
    <t>CZ-1191/3</t>
  </si>
  <si>
    <t>To ensure legislative change in such a range so that the infrastructure manager could have a possibility to remove the trees in the protection zone of railway without permission, as in the protection zone of the electricity and gas networks.</t>
  </si>
  <si>
    <t>CZ-1191/4</t>
  </si>
  <si>
    <t>To take underlying measures for removing of sources of danger to railway tracks especially trees which are growing in the protection zone of railway.</t>
  </si>
  <si>
    <t>CZ-1191/5</t>
  </si>
  <si>
    <t>CZ-1191/6</t>
  </si>
  <si>
    <t>CZ-1188/1</t>
  </si>
  <si>
    <t>It is recommended to define a procedure for preventing unwanted setting of train route via switch or</t>
  </si>
  <si>
    <t>It is recommended to define a procedure for preventing unwanted setting of train route via switch or track which is closed to traffic and where temporary signal "Stop, track closed" can't be used. This procedure should ensure that interlocking system can't set any route via such switch or track.</t>
  </si>
  <si>
    <t>CZ-1188/2</t>
  </si>
  <si>
    <t>It is recommended to take their own measures to ensure adoption of the above recommendation by all r</t>
  </si>
  <si>
    <t>It is recommended to take their own measures to ensure adoption of the above recommendation by all railway infrastructure managers within Czech Republic.</t>
  </si>
  <si>
    <t>CZ-1159/1</t>
  </si>
  <si>
    <t>It is recommended to determine the maximum lifetime of rubber pad inserted under the flange of a rai</t>
  </si>
  <si>
    <t>It is recommended to determine the maximum lifetime of rubber pad inserted under the flange of a rail because of their verifiable degradation due to the traffic.</t>
  </si>
  <si>
    <t>CZ-1159/2</t>
  </si>
  <si>
    <t>It is recommended to define maximum wear and tear of rubber pad inserted under the flange of a rail</t>
  </si>
  <si>
    <t>It is recommended to define maximum wear and tear of rubber pad inserted under the flange of a rail and maximum acceptable amount of fully worn out pads per certain distance of a track; if this amount is exceeded than all rubber pads must be replaced or other safety measures taken.</t>
  </si>
  <si>
    <t>CZ-1159/3</t>
  </si>
  <si>
    <t>It is recommended to determine the maximum lifetime or wear and tear of double spiral rings if their</t>
  </si>
  <si>
    <t>It is recommended to determine the maximum lifetime or wear and tear of double spiral rings if their location is in rail fastening system.</t>
  </si>
  <si>
    <t>CZ-1159/4</t>
  </si>
  <si>
    <t>It is recommended to check technical condition of rubber pads inserted under the flange of a rail of</t>
  </si>
  <si>
    <t>It is recommended to check technical condition of rubber pads inserted under the flange of a rail of all long welded rails older than 10 years before hot weather in 2012 comes.</t>
  </si>
  <si>
    <t>CZ-1159/5</t>
  </si>
  <si>
    <t>It is recommended to check technical condition and flexibility of double spiral rings of all long we</t>
  </si>
  <si>
    <t>It is recommended to check technical condition and flexibility of double spiral rings of all long welded rails older than 10 years before hot weather in 2012 comes.</t>
  </si>
  <si>
    <t>CZ-1159/6</t>
  </si>
  <si>
    <t>It is recommended to make a special knowledge test for all managers who are involved in control and</t>
  </si>
  <si>
    <t>It is recommended to make a special knowledge test for all managers who are involved in control and maintenance activities and remove defects of long welded rails before hot weather in 2012 comes.</t>
  </si>
  <si>
    <t>CZ-1159/7</t>
  </si>
  <si>
    <t>It is recommended to make an analysis of all possible work tasks and activities which are need for t</t>
  </si>
  <si>
    <t>It is recommended to make an analysis of all possible work tasks and activities which are need for track maintenance and checks, to determine the average time demands and these results of the analysis compare with actual personnel capacities involved. Based on these results to take other appropriate measures.</t>
  </si>
  <si>
    <t>CZ-1159/8</t>
  </si>
  <si>
    <t>It is recommended to take their own measures to ensure adoption of the recommendations 1 â€“ 5 by all</t>
  </si>
  <si>
    <t>It is recommended to take their own measures to ensure adoption of the recommendations 1 â€“ 5 by all infrastructure managers of main and regional lines within Czech Republic.</t>
  </si>
  <si>
    <t>CZ-1146/1</t>
  </si>
  <si>
    <t>It is recommended to include regular inspection of defectoscopy testing of tyre of wheels into maint</t>
  </si>
  <si>
    <t>It is recommended to include regular inspection of defectoscopy testing of tyre of wheels into maintenance procedure</t>
  </si>
  <si>
    <t>CZ-1146/2</t>
  </si>
  <si>
    <t>It is recommended to include defectoscopy testing of tyre of wheels into the operating rules in that</t>
  </si>
  <si>
    <t>It is recommended to include defectoscopy testing of tyre of wheels into the operating rules in that case in which arises a heat-affected of tyre of wheels</t>
  </si>
  <si>
    <t>CZ-1146/3</t>
  </si>
  <si>
    <t>According to causes of this accident it is recommended to tighten the tolerance for defectoscopy fau</t>
  </si>
  <si>
    <t>According to causes of this accident it is recommended to tighten the tolerance for defectoscopy fault of tyre of wheels</t>
  </si>
  <si>
    <t>CZ-1146/4</t>
  </si>
  <si>
    <t>It is recommended to take own measure forcing implementation of the above recommendation by all rai</t>
  </si>
  <si>
    <t>It is recommended to take own measure forcing implementation of the above recommendation by all railway undertakings</t>
  </si>
  <si>
    <t>CZ-1143/1</t>
  </si>
  <si>
    <t>It is recommended to establish the limit of the allowance between the frame and the door of railcars</t>
  </si>
  <si>
    <t>It is recommended to establish the limit of the allowance between the frame and the door of railcars class 842 to minimize the possibility of false door-closed indication when a passenger's hand is locked between the doors</t>
  </si>
  <si>
    <t>CZ-1143/2</t>
  </si>
  <si>
    <t>It is recommended to include regular check of the above mentioned allowance into railcar class 842 m</t>
  </si>
  <si>
    <t>It is recommended to include regular check of the above mentioned allowance into railcar class 842 maintenance procedures</t>
  </si>
  <si>
    <t>CZ-1143/3</t>
  </si>
  <si>
    <t>It is recommended to improve door-closed detection system to indicate door-closed status only when d</t>
  </si>
  <si>
    <t>It is recommended to improve door-closed detection system to indicate door-closed status only when doors are tightly closed along the full length of their edge</t>
  </si>
  <si>
    <t>CZ-1143/4</t>
  </si>
  <si>
    <t>It is recommended to modify door control system of railcar class 842 to disable initiation of pneuma</t>
  </si>
  <si>
    <t>It is recommended to modify door control system of railcar class 842 to disable initiation of pneumatic door-closing by door handle when driver's door-control switch is in "open left" or "open right" positions. This should prevent unwanted door-closing when a door handle is accidentally operated by boarding passenger</t>
  </si>
  <si>
    <t>CZ-1143/5</t>
  </si>
  <si>
    <t>It is recommended to improve traction control system of railcar class 842 in order to disable tracti</t>
  </si>
  <si>
    <t>It is recommended to improve traction control system of railcar class 842 in order to disable traction until door-closed indication is received</t>
  </si>
  <si>
    <t>CZ-1143/6</t>
  </si>
  <si>
    <t>It is recommended for all depots to improve train-driver's departure procedure by mandatory visual c</t>
  </si>
  <si>
    <t>It is recommended for all depots to improve train-driver's departure procedure by mandatory visual check of all doors within train-driver's viewing field (not using mirrors) ensuring that embarkment/ disembarkment is complete and doors are properly closed after door-closed indication was received. This check should be applied for all rolling stock without door-closed detection system reliably indicating whether doors are tightly closed along the full length of their edge</t>
  </si>
  <si>
    <t>CZ-1143/7</t>
  </si>
  <si>
    <t>It is recommended to take own measure forcing implementation of the above recommendation by all rail</t>
  </si>
  <si>
    <t>It is recommended to take own measure forcing implementation of the above recommendation by all railway undertakings running railcars class 842</t>
  </si>
  <si>
    <t>CZ-1124/1</t>
  </si>
  <si>
    <t>It is recommended to equip all types of trams with technical device ensuring that doors start closin</t>
  </si>
  <si>
    <t>It is recommended to equip all types of trams with technical device ensuring that doors start closing after 3 seconds of audible and visual warning</t>
  </si>
  <si>
    <t>CZ-1124/2</t>
  </si>
  <si>
    <t>It is recommended to develop procedures establishing efficient supervisory system of operational saf</t>
  </si>
  <si>
    <t>It is recommended to develop procedures establishing efficient supervisory system of operational safety, defining scope, extend and frequency of checks, responsibilities of employees and their supervisors and details of documentation</t>
  </si>
  <si>
    <t>CZ-1124/3</t>
  </si>
  <si>
    <t>It is recommended to take own measure forcing implementation of the first recommendation by all rele</t>
  </si>
  <si>
    <t>It is recommended to take own measure forcing implementation of the first recommendation by all relevant railway (tramway) undertakings</t>
  </si>
  <si>
    <t>CZ-1091/1</t>
  </si>
  <si>
    <t>It is recommended to establish a technical (interlocking) device, which excludes human error, especi</t>
  </si>
  <si>
    <t>It is recommended to establish a technical (interlocking) device, which excludes human error, especially unauthorized departures of trains from the stations</t>
  </si>
  <si>
    <t>CZ-1091/2</t>
  </si>
  <si>
    <t>It is recommended to modify the technological procedures to ensure a control mechanism eliminating h</t>
  </si>
  <si>
    <t>It is recommended to modify the technological procedures to ensure a control mechanism eliminating human error. Mainly to remove routine act of employees</t>
  </si>
  <si>
    <t>CZ-1091/3</t>
  </si>
  <si>
    <t>It is recommended to modify design of the vehicle's interior of class 814 and class 914 vehicles in</t>
  </si>
  <si>
    <t>It is recommended to modify design of the vehicle's interior of class 814 and class 914 vehicles in order to improve the safety of train driver and passengers in case of accidents of the similar type</t>
  </si>
  <si>
    <t>CZ-1091/4</t>
  </si>
  <si>
    <t>It is recommended to modify access to driver's cab and the first row of seats in order to ensure tha</t>
  </si>
  <si>
    <t>It is recommended to modify access to driver's cab and the first row of seats in order to ensure that: handbrake handle with its stand moved backward by buffers deformed due to frontal crash don't obstruct the driver's escape form the cab; driver's escape is not obstructed by passengers or their luggage present within cab door clearance and opening of the cab door doesn't obstruct escape of passenger occupying the first left seat at the same time; passengers occupying the first row of seats on right hand side are not in danger of crashing to partition of driver's cab, especially to its glassed-in part.</t>
  </si>
  <si>
    <t>CZ-1091/5</t>
  </si>
  <si>
    <t>It is recommended to modify design of glass partition between low-floor area and rear passenger comp</t>
  </si>
  <si>
    <t>It is recommended to modify design of glass partition between low-floor area and rear passenger compartment in order to prevent destruction of the glass caused by impact of the low-floor area's ceiling</t>
  </si>
  <si>
    <t>CZ-1091/6</t>
  </si>
  <si>
    <t>It is recommended to take own measure forcing implementation of the above recommendation by all railway undertakings and infrastructure managers on main and regional lines</t>
  </si>
  <si>
    <t>CZ-1091/7</t>
  </si>
  <si>
    <t>It is recommended to consider whether design of class 814, 914, 014 vehicles is in line with safety</t>
  </si>
  <si>
    <t>It is recommended to consider whether design of class 814, 914, 014 vehicles is in line with safety requirements of national legislation (Art. 43 paragraph 1 Act No. 266/1994 Coll.), especially as far as passenger and staff safety is concerned</t>
  </si>
  <si>
    <t>CZ-1091/8</t>
  </si>
  <si>
    <t>It is recommended to consider taking measures according to Art. 44 paragraph 2 Act No. 266/1994 Coll</t>
  </si>
  <si>
    <t>It is recommended to consider taking measures according to Art. 44 paragraph 2 Act No. 266/1994 Coll. with regard to current condition of the above mentioned vehicles</t>
  </si>
  <si>
    <t>CZ-1083/1</t>
  </si>
  <si>
    <t>It is recommended, on all points which are in operation for more than 15 years, to make defectoscopy</t>
  </si>
  <si>
    <t>It is recommended, on all points which are in operation for more than 15 years, to make defectoscopy inspections more often and to ensure that the inspection is capable to detect also hidden defects</t>
  </si>
  <si>
    <t>CZ-1083/2</t>
  </si>
  <si>
    <t>It is recommended to determine the maximum lifetime of points depending on their operational load an</t>
  </si>
  <si>
    <t>It is recommended to determine the maximum lifetime of points depending on their operational load and time</t>
  </si>
  <si>
    <t>CZ-1083/3</t>
  </si>
  <si>
    <t>It is recommended to improve IM's internal regulation defining IM's internal supervisory system, in</t>
  </si>
  <si>
    <t>It is recommended to improve IM's internal regulation defining IM's internal supervisory system, in order to remove ambiguities concerning follow-up inspections and responsibilities</t>
  </si>
  <si>
    <t>CZ-1083/4</t>
  </si>
  <si>
    <t>It is recommended to take own measure forcing implementation of the above first two recommendations</t>
  </si>
  <si>
    <t>It is recommended to take own measure forcing implementation of the above first two recommendations by all IM in Czech Republic</t>
  </si>
  <si>
    <t>CZ-1076/1</t>
  </si>
  <si>
    <t>It is recommended to establish procedures in order to restore a traffic after the accident or incid</t>
  </si>
  <si>
    <t>It is recommended to establish procedures in order to restore a traffic after the accident or incident for the operation by provable documented affirmative expression of professionally qualified staff</t>
  </si>
  <si>
    <t>CZ-1076/2</t>
  </si>
  <si>
    <t>It is recommended to establish procedures in order to allow by dispatcher to drive a train which st</t>
  </si>
  <si>
    <t>It is recommended to establish procedures in order to allow by dispatcher to drive a train which stands on track, but the dispatcher is not sure whether the track is clear</t>
  </si>
  <si>
    <t>CZ-1076/3</t>
  </si>
  <si>
    <t>It is recommended to establish a clear methodology when it is useful to ask for winter conditions me</t>
  </si>
  <si>
    <t>It is recommended to establish a clear methodology when it is useful to ask for winter conditions measures</t>
  </si>
  <si>
    <t>CZ-1076/4</t>
  </si>
  <si>
    <t>It is recommended to use on-line weather information and local weather information provided by Czech</t>
  </si>
  <si>
    <t>It is recommended to use on-line weather information and local weather information provided by Czech Hydrometeorological Institute's branches, especially in areas where obstacles within clearance gauge are often expected due to poor weather conditions</t>
  </si>
  <si>
    <t>CZ-1076/5</t>
  </si>
  <si>
    <t>It is recommended to take their own measures to ensure adoption of the above recommendations by all</t>
  </si>
  <si>
    <t>It is recommended to take their own measures to ensure adoption of the above recommendations by all infrastructure managers of main and regional lines within Czech Republic</t>
  </si>
  <si>
    <t>CZ-1075/1</t>
  </si>
  <si>
    <t>Addressed to Ceske drahy, a. s. (RU): It is recommended to modify pre-departure and departure safety</t>
  </si>
  <si>
    <t>Addressed to Ceske drahy, a. s. (RU): It is recommended to modify pre-departure and departure safety procedures for carriages with automatic doors not signaling their status to train driver, in order to ensure that train crew is able to hold the train when there is a locked-in person in the doors or the doors are open again during departure (the procedures must allow train crew to watch the situation during departure)</t>
  </si>
  <si>
    <t>CZ-1075/2</t>
  </si>
  <si>
    <t>Addressed to Drazni urad (NSA): It is recommended to take their own measures leading to adoption of</t>
  </si>
  <si>
    <t>Addressed to Drazni urad (NSA): It is recommended to take their own measures leading to adoption of the above recommendation by other railway undertakings running carriages with automatic doors not signaling their status to train driver.</t>
  </si>
  <si>
    <t>CZ-1054/1</t>
  </si>
  <si>
    <t>CZ-1054/2</t>
  </si>
  <si>
    <t>CZ-1054/3</t>
  </si>
  <si>
    <t>CZ-1054/4</t>
  </si>
  <si>
    <t>CZ-1053/1</t>
  </si>
  <si>
    <t>Addressed to ÄŒD, a. s., railway undertaking: It is recommended for the carriages with chock brakes t</t>
  </si>
  <si>
    <t>Addressed to ÄŒD, a. s., railway undertaking: It is recommended for the carriages with chock brakes to use such wheels which will be resistant to heat stress</t>
  </si>
  <si>
    <t>CZ-1053/2</t>
  </si>
  <si>
    <t>Addressed to Czech National Safety Authority: It is recommended to take own measure forcing implemen</t>
  </si>
  <si>
    <t>Addressed to Czech National Safety Authority: It is recommended to take own measure forcing implementation of the above recommendation</t>
  </si>
  <si>
    <t>CZ-0127/1</t>
  </si>
  <si>
    <t>It is recommended to hurry on introduction of ETCS to both main and regional lines, in accordance with the wording of previous documents â€žVydání bezpeÄnostního doporuÄeníâ€œ (The issue of safety recommendations), No. 6-538/2009/DI-1 on 18th March 2010, No. 739/2010/DI on 15th December 2010 and No. 355/2012/DI on 01st June 2012.</t>
  </si>
  <si>
    <t>CZ-0127/2</t>
  </si>
  <si>
    <t>On the lines where the ETCS is not going to be introduced into operation to install the technical equipment for emergency stopping of trains. This equipment will be automatically activated when the rolling stock illegally passes signal at danger (eg system VNPN safety system which alerts of unauthorized passing signals).</t>
  </si>
  <si>
    <t>CZ-0127/3</t>
  </si>
  <si>
    <t>CZ-0127/4</t>
  </si>
  <si>
    <t>To make different acoustic signaling of signalling equipment in the case when the train passed a signal at danger to the time of installing of the technical equipment for emergency stopping of trains.</t>
  </si>
  <si>
    <t>CZ-0127/5</t>
  </si>
  <si>
    <t>To perform check of functionality of acoustic signaling of signalling equipment ESA 11.</t>
  </si>
  <si>
    <t>CZ-0127/6</t>
  </si>
  <si>
    <t>Iit is recommended to hurry on installation of mobile components of ETCS into railway vehicles in order to allow use of full functionality of ETCS as soon as the infrastructure is ready.</t>
  </si>
  <si>
    <t>CZ-0127/7</t>
  </si>
  <si>
    <t>CZ-0127/8</t>
  </si>
  <si>
    <t>Title 8</t>
  </si>
  <si>
    <t>CZ-0128/1</t>
  </si>
  <si>
    <t>To verify visibility condition on all level crossings which are protected only by warning crosses and make them compliant with the norm ÄŒSN 73 6380, Å½elezniÄní pÅ™ejezdy a pÅ™echody, article 7.4 Rozhledové pomÄ›ry u pÅ™ejezdÅ¯ zabezpeÄených pouze výstraÅ¾ným kÅ™íÅ¾em, effectual when occured to accident.</t>
  </si>
  <si>
    <t>CZ-0128/2</t>
  </si>
  <si>
    <t>It is recommended to equip all locomotives, railcars and driving carriages with a juridical recorder recording also use of horn, as absence of this type of evidence can confuse investigation of accidents.</t>
  </si>
  <si>
    <t>CZ-0128/3</t>
  </si>
  <si>
    <t>It is recommended to take own measure forcing implementation of the above recommendations for other all IM and RU in the Czech Republic.</t>
  </si>
  <si>
    <t>CZ-0163/1</t>
  </si>
  <si>
    <t>CZ-0163/2</t>
  </si>
  <si>
    <t>CZ-0163/3</t>
  </si>
  <si>
    <t>To ensure legislative change in such a range so that the infrastructure manager could have a possibility to remove the trees in the protection zone of railway without permission as in the protection zone of the electricity and gas networks.</t>
  </si>
  <si>
    <t>CZ-0163/4</t>
  </si>
  <si>
    <t>To take underlying measures for removing of sources of danger to railway tracks especially trees which are growing in the protection zone of railway .</t>
  </si>
  <si>
    <t>CZ-0163/5</t>
  </si>
  <si>
    <t>CZ-0163/6</t>
  </si>
  <si>
    <t>CZ-0163/7</t>
  </si>
  <si>
    <t>CZ-0228/1</t>
  </si>
  <si>
    <t>To give the technological procedures for managing of movement of auxiliary shunting rolling stocks, which are published in internal procedures of IM, in compliance with Decree No. 173/1995 Sb.</t>
  </si>
  <si>
    <t>CZ-0228/2</t>
  </si>
  <si>
    <t>To establish obligatory procedure for the engine driver of the stuck train for finding out the exact km position of the front (back) of this train and instruction for this engine driver and other people who manage railway operation in the case when the exact km position can not be determined.</t>
  </si>
  <si>
    <t>CZ-0228/3</t>
  </si>
  <si>
    <t>To establish exactly conditions for movement of auxiliary shunting rolling stock going for a stuck train.</t>
  </si>
  <si>
    <t>CZ-0234/1</t>
  </si>
  <si>
    <t>To describe and establish procedures for the transfer of safety information and check procedures and their transfer in the document â€žZákladní prvky systému zajiÅ¡Å¥ování bezpeÄnosti provozování dráhy a organizování dráÅ¾ní dopravy na dráze celostátní a drahách regionálníchâ€œ clearly and anambiguously in accordance with the recommendation issued in the document â€žPROTOKOL o výkonu státního dozoru ve vÄ›cech drahâ€œ r. no.: 7- 469/2011/DI2.</t>
  </si>
  <si>
    <t>CZ-0234/2</t>
  </si>
  <si>
    <t>With regard to the direct cause of the accident to complete to the document â€žZákladní prvky systému zajiÅ¡Å¥ování bezpeÄnosti provozování dráhy a organizování dráÅ¾ní dopravy na dráze celostátní a drahách regionálníchâ€œ and its chapter e) â€žPostupy a metody posuzování rizika a zavádÄ›ní opatÅ™ení pro usmÄ›rÅˆování rizikaâ€œ words: procedures and methods of risk assessment and implementation of provisions for risk control according to Europian directive 2004/49/ED, Article 9 paragraph 2 â€žSMÄšRNICE EVROPSKÉHO PARLAMENTU A RADY 2004/49/ES (SmÄ›rnice o bezpeÄnosti Å¾eleznic).</t>
  </si>
  <si>
    <t>CZ-0240/1</t>
  </si>
  <si>
    <t>As soon as possible on all lines with heavy traffic to expand the network of diagnostic devices that are able during train movement to diagnose bearing temperatures of rolling stock and temperatures of wheels, brakes and wheel irregularities so that it would be possible to alert about potencial failures well in advance, till that time to reassess setting of limit temperatures.</t>
  </si>
  <si>
    <t>CZ-0240/2</t>
  </si>
  <si>
    <t>To incorporate the provisions into technology procedures, that the train at a positive diagnostic findings is stopped at the next station.</t>
  </si>
  <si>
    <t>CZ-0240/3</t>
  </si>
  <si>
    <t>To instal equipment which enables to give instruction for automatic stopping of rolling stock movement always at direct threats of railway infrastructure operation and railway transport operation.</t>
  </si>
  <si>
    <t>CZ-0240/4</t>
  </si>
  <si>
    <t>To perform systematic inspections focusing on railway undertakings to comply of technological prpocedure â€œPokynu provozovatele dráhy Ä. 8/2010, ve znÄ›ní zmÄ›ny Ä. 1, Ä. j.: S-10259/2012-OAEâ€.</t>
  </si>
  <si>
    <t>CZ-0240/5</t>
  </si>
  <si>
    <t>To incorporate into technology procedures testing of function of connection between a train and train dispatcher, to analyse and solve systematically all unsuccessful attempts for connection.</t>
  </si>
  <si>
    <t>CZ-0240/6</t>
  </si>
  <si>
    <t>During regular education to aim at practical training of solution of critical situations.</t>
  </si>
  <si>
    <t>CZ-0240/7</t>
  </si>
  <si>
    <t>Within of its international activity to support and promote implementation of the function of remote stopping of the train to the system GSM-R or to submit a proposal to change relevant European directives and technical specifications to define the function of automatic stopping of rolling stock movement in the system GSM-R in such a way to assign the highest priority for the command of automatic stopping of rolling stock movement in the system GSM-R.</t>
  </si>
  <si>
    <t>CZ-0240/8</t>
  </si>
  <si>
    <t>It is recommended to take own measure forcing implementation of the above recommendation for other infrastructure managers (IM) and railway undertakings (RU) in the Czech Republic.</t>
  </si>
  <si>
    <t>CZ-1215/1</t>
  </si>
  <si>
    <t>It is recommended to ensure to give the relevant information to maintenance workers</t>
  </si>
  <si>
    <t>It is recommended to ensure to give the relevant information to maintenance workers about the situation when the track is under the maintenance and when is operate normally including necessary measurs for work at the track.</t>
  </si>
  <si>
    <t>CZ-1215/2</t>
  </si>
  <si>
    <t>It is recommended to ensure the transmission of information to personnel's</t>
  </si>
  <si>
    <t>It is recommended to ensure the transmission of information to personnel's who are responsible for safety work during the maintenance at the track, including the delivery of other necessary information.</t>
  </si>
  <si>
    <t>CZ-1215/3</t>
  </si>
  <si>
    <t>It is recommended to take their own measures to ensure adoption of the above recommendation</t>
  </si>
  <si>
    <t>It is recommended to take their own measures to ensure adoption of the above recommendation by all railway infrastructure managers with in Czech Republic.</t>
  </si>
  <si>
    <t>CZ-0447/1</t>
  </si>
  <si>
    <t>To introduce registration of all axles of all tram rolling stocks and its continuous updating.</t>
  </si>
  <si>
    <t>CZ-0447/2</t>
  </si>
  <si>
    <t>At increased number of operation km of bogies of tram rolling stocks in between individual maintenance levels above limits set by manufacture, to introduce an efficient system of their inspection and maintenance to ensure the use of these tram rolling stocks in the technical condition corresponding to safety operation.</t>
  </si>
  <si>
    <t>CZ-0447/3</t>
  </si>
  <si>
    <t>It is recommended to take own measure forcing implementation of the above recommendations for other railway undertaking (RU) operating tram rolling stocks with bogies type â€œKOMFORTâ€ in the Czech Republic.</t>
  </si>
  <si>
    <t>CZ-0469/1</t>
  </si>
  <si>
    <t>Immediately to issue technological procedures setting the implementation of a detailed controls of welds TP-NAJ-01/00 by ultrasound including records.</t>
  </si>
  <si>
    <t>CZ-0469/2</t>
  </si>
  <si>
    <t>To find out and evaluate whether there exist defectoscopic methods, which can detect hidden defects of switch rail and after this evaluation to use consequently the most effective method within inspection.</t>
  </si>
  <si>
    <t>CZ-0469/3</t>
  </si>
  <si>
    <t>In all the switches rail that are in operation for more than 15 years, to carry out a defectoscopic control for detecting hidden defects always with the help of angle probe or other effective device.</t>
  </si>
  <si>
    <t>CZ-0469/4</t>
  </si>
  <si>
    <t>After accident or incident during of taking of measures always to assess all failings (risks) not only at the local level but within whole railway network.</t>
  </si>
  <si>
    <t>CZ-0469/5</t>
  </si>
  <si>
    <t>It is recommended to take own measure forcing implementation of the above recommendations for other infrastructure managers in the Czech republic.</t>
  </si>
  <si>
    <t>CZ-0535/1</t>
  </si>
  <si>
    <t>At the stations where the trains are dispatched by using of the signal (on the main signal) and which are not equipped with technical equipment for train emergency stop to ensure at the trains with transport of passengers in a place for entry and exit of passengers compliance with procedure according to article No. 2979 of internal regulation SÅ½DC D1 in the cases when departure signal prohibits movement and engine driver is not informed about this.</t>
  </si>
  <si>
    <t>CZ-0535/2</t>
  </si>
  <si>
    <t>In the technological procedures to determine rides of trains and their way of dispatching in individual districts of stations, so that the instructions which are given by these procedures were clear and understandable.</t>
  </si>
  <si>
    <t>CZ-0535/3</t>
  </si>
  <si>
    <t>To focus preparation system of engine drivers and their regular training so that they can properly evaluate and immediately respond to the emergency situations.</t>
  </si>
  <si>
    <t>CZ-0535/4</t>
  </si>
  <si>
    <t>It is recommended to take own measure forcing implementation of the above recommendation for railway undertaking ÄŒeské dráhy, a. s. and for another railway undertaking (RU) in the Czech Republic.</t>
  </si>
  <si>
    <t>CZ-0752/1</t>
  </si>
  <si>
    <t>It is recommended to include regular check of the allowance between the frame and the door of railcars class 460 and 063 into their maintenance procedures.</t>
  </si>
  <si>
    <t>CZ-0752/2</t>
  </si>
  <si>
    <t>It is recommended to establish the limit of the allowance between the frame and the door of railcars class 460 and 063 to minimize the possibility of false door-closed indication when a passenger is locked between the doors.</t>
  </si>
  <si>
    <t>CZ-0752/3</t>
  </si>
  <si>
    <t>It is recommended to improve traction control system of railcar class 460 in order to disable traction until door-closed indication is received.</t>
  </si>
  <si>
    <t>CZ-0752/4</t>
  </si>
  <si>
    <t>It is recommended to improve train-driver's departure procedure by mandatory visual check of all doors within train-driver's viewing field (not using mirrors) ensuring that embarkment/disembarkment is complete and doors are properly closed after door-closed indication was received. This check should be applied for all rolling stock without door-closed detection system reliably indicating whether doors are tightly closed along the full length of their edge.</t>
  </si>
  <si>
    <t>CZ-0752/5</t>
  </si>
  <si>
    <t>To take own measure forcing implementation of the above recommendations for other railway undertakings (RU) in the Czech Republic.</t>
  </si>
  <si>
    <t>CZ-0757/1</t>
  </si>
  <si>
    <t>To create an analysis of all events, when the signal of self-returning switch did not show that self-returning switch with roller chair â€œEkoslideâ€ had not been readjusted and engine drivers either stopped and announced this fact or passed signal at danger.</t>
  </si>
  <si>
    <t>CZ-0757/2</t>
  </si>
  <si>
    <t>According to the results of the analysis to improve maintenance and function of self-returning switches above all to increase frequency and regularity of lubrication and checks of roller chairs â€œEkoslideâ€.</t>
  </si>
  <si>
    <t>CZ-0757/3</t>
  </si>
  <si>
    <t>To take own measure forcing implementation of the above recommendations for other infrastructure managers (IM) in the Czech Republic.</t>
  </si>
  <si>
    <t>CZ-0812/1</t>
  </si>
  <si>
    <t>To check all the level crossings in the Czech republic, which were reconstructed at a time when the law No. 13/1997 (national legislation) was valid, whether construction.</t>
  </si>
  <si>
    <t>CZ-0812/2</t>
  </si>
  <si>
    <t>To harmonize all level crossings with insufficient free width which were reconstructed at a time when the law No. 13/1997 (national legislation) was valid with this law as soon as possible.</t>
  </si>
  <si>
    <t>CZ-0812/3</t>
  </si>
  <si>
    <t>To perform supervision and unite categorization of level crossing roads in the database SÅ½DC with categorization of villages and cities.</t>
  </si>
  <si>
    <t>CZ-0812/4</t>
  </si>
  <si>
    <t>CZ-0812/5</t>
  </si>
  <si>
    <t>To supplement chapter 5.1.2 Å íÅ™ka pÅ™ejezdu (Width of the level crossing), in the standard ÄŒSN Å½elezniÄní pÅ™ejezdy a pÅ™echody (Railway level crossings) about the rules which would be able to ensure the creation of safety reserve beyond the scope of free width of level crossing so that a safe distance from the side edge of the level crossing roadway and railway track was ensured.</t>
  </si>
  <si>
    <t>CZ-0813/1</t>
  </si>
  <si>
    <t>It is recommended to hurry with introduction of ETCS to both main and regional lines, in accordance with the wording of previous documents â€žVydání bezpeÄnostního doporuÄeníâ€œ (The issue of safety recommendations), No. 6-538/2009/DI-1 on 18th March 2010, No. 739/2010/DI on 15th December 2010, No. 571/2012/DI on 31st July 2012, No. 741/2012/DI on 25th September 2012 and No. 957/2013/DI on 21st October 2013.</t>
  </si>
  <si>
    <t>CZ-0813/2</t>
  </si>
  <si>
    <t>CZ-0813/3</t>
  </si>
  <si>
    <t>At stations where the trains are dispatched by the signal (on the main signal) and which are not equipped with technical equipment for train emergency stop to ensure at the trains which transport passengers compliance with procedure according to article No. 2979 of internal regulation SÅ½DC D1 in cases where departure signal prohibits movement and train driver is not informed about this.</t>
  </si>
  <si>
    <t>CZ-0813/4</t>
  </si>
  <si>
    <t>It is recommended to hurry with installation of mobile components of ETCS into railway vehicles in order to allow use of full functionality of ETCS as soon as the infrastructure is ready.</t>
  </si>
  <si>
    <t>CZ-0813/5</t>
  </si>
  <si>
    <t>CZ-0814/1</t>
  </si>
  <si>
    <t>It is recommended to hurry with introduction of ETCS to both main and regional lines, in accordance with the wording of previous documents â€žVydání bezpeÄnostního doporuÄeníâ€œ (The issue of safety recommendations), No. 6-538/2009/DI-1 on 18th March 2010, No. 6- 3305/2009/DI-1 on 9th November 2010, No 571/2012/DI-1 on 31th July 2012, No. 741/2012/DI on 25th September, 2012.</t>
  </si>
  <si>
    <t>CZ-0814/2</t>
  </si>
  <si>
    <t>CZ-0814/3</t>
  </si>
  <si>
    <t>CZ-0814/4</t>
  </si>
  <si>
    <t>CZ-0814/5</t>
  </si>
  <si>
    <t>CZ-0830/1</t>
  </si>
  <si>
    <t>To improve the text of Article No. 3033 of internal regulation â€œTransport and signal regulations of IM SÅ½DC D1â€, so that the engine driver would have a duty to release boundary marks, if it is possible.</t>
  </si>
  <si>
    <t>CZ-0830/2</t>
  </si>
  <si>
    <t>Set by an internal regulation, to other board staff duty to monitor occupancy of the train track and given signals e. g. important signal â€œSTOPâ€on the engines range 742, 770 and 771 where an engine driver has a limited view of the track.</t>
  </si>
  <si>
    <t>CZ-0830/3</t>
  </si>
  <si>
    <t>To take own measure forcing implementation of the above recommendations for other infrastructure managers (IM) and railway undertakings (RU) in the Czech Republic.</t>
  </si>
  <si>
    <t>CZ-2051/1</t>
  </si>
  <si>
    <t>Adjust operation of the station interlocking equipment so that it would be ensured that the activity of the calling on signal aspect was finished immediately after occupation of the track circuit by a train (the command â€žSTOPâ€œ must be kept).</t>
  </si>
  <si>
    <t>CZ-2051/2</t>
  </si>
  <si>
    <t>It is recommended to take own measure forcing implementation of the above recommendation.</t>
  </si>
  <si>
    <t>CZ-2130/1</t>
  </si>
  <si>
    <t>To expand diagnostics of moving rolling stocks on function of the measurement of wheel pressures and outputs of measurement to provide to relevant RU. All outcomes to implement to relevant regulation.</t>
  </si>
  <si>
    <t>CZ-2130/2</t>
  </si>
  <si>
    <t>After the introduction of technical diagnostics solutions â€“ measuring of wheel pressures of moving rolling stocks â€“ to introduce an obligation for all RU to use these outputs and to take effective measures in case of discovered defects on rolling stocks. All outcomes to implement to relevant regulation.</t>
  </si>
  <si>
    <t>CZ-2130/3</t>
  </si>
  <si>
    <t>It is recommended to take own measure forcing implementation of the above recommendations for other infrastructure manager (IM) in the Czech Republic and within of its international activity to support and promote these implementations.</t>
  </si>
  <si>
    <t>CZ-2145/1</t>
  </si>
  <si>
    <t>In internal regulation ÄŒD V 25, annex 1 at periodic higher repairs to determine the top limits of kilometers and to ensure in this way regular defectoscopic check of bogie.</t>
  </si>
  <si>
    <t>CZ-2145/2</t>
  </si>
  <si>
    <t>Modify the wording of article No. 20 of internal regulation ÄŒD V 25 to define the top limits of kilometers for periodic higher repairs.</t>
  </si>
  <si>
    <t>CZ-2145/3</t>
  </si>
  <si>
    <t>To take own measure forcing implementation of the above recommendations for other (RU) in the Czech Republic.</t>
  </si>
  <si>
    <t>CZ-2147/1</t>
  </si>
  <si>
    <t>To make checking of effectiveness of procedures to ensure proper function of self-returning switch or to amend procedures so that all barriers â€“ mainly snow, ice, frost in the winter â€“ were removed and proper function of these switches were ensured (their control and security at the end position) always before movement of railway vehicle along the tip of the point.</t>
  </si>
  <si>
    <t>CZ-2147/2</t>
  </si>
  <si>
    <t>On the lines where the IM is going to install self-returning switches to establish procedures for ensuring proper function of these switches so that all barriers â€“ mainly snow, ice, frost in the winter â€“ were removed and proper function of these switches were ensured (their control and security at the end position) always before movement of railway vehicle along the tip of the point.</t>
  </si>
  <si>
    <t>CZ-2147/3</t>
  </si>
  <si>
    <t>CZ-2187/1</t>
  </si>
  <si>
    <t>To equip infrastructure works rolling stocks with rail snow cutter with wheels which will have such parameters and design, so that their construction and technical conditions ensure the safety requirements of the railway transport</t>
  </si>
  <si>
    <t>CZ-2187/2</t>
  </si>
  <si>
    <t>It is recommended to take own measure forcing implementation of the above recommendations for other railway undertaking (RU) in the Czech Republic and to take measure which eliminate approval of changes to rolling socks which are not in accordance with the safety requirements of the railway transport.</t>
  </si>
  <si>
    <t>CZ-2228/1</t>
  </si>
  <si>
    <t>It is recommended to verify visibility conditions at all level crossings which are equipped only with warning crosses and make them compliant with standard No. ÄŒSN 73 6380. In the case of non-compliance immediately adjust visibility conditions, to ensure safe operation of the railway transport and safe operation on the road.</t>
  </si>
  <si>
    <t>CZ-2228/2</t>
  </si>
  <si>
    <t>It is recommended to take their own measures to ensure improvement of checking system so that inspections of level crossings were made properly, visibility conditions were checked and detected failures were removed.</t>
  </si>
  <si>
    <t>CZ-2228/3</t>
  </si>
  <si>
    <t>It is recommended to equip all locomotives with the device, which also records use of horn, as absence of this type of evidence can confuse investigation of accidents.</t>
  </si>
  <si>
    <t>CZ-2228/4</t>
  </si>
  <si>
    <t>It is recommended to take own measure forcing implementation of the above recommendations for all other IM and RU in the Czech Republic. It is recommended to take proactive approach at creation of a new change of standard No. ÄŒSN 73 6380, in order to ensure the safe operation of all the level crossings in the Czech Republic.</t>
  </si>
  <si>
    <t>CZ-2229/1</t>
  </si>
  <si>
    <t>To establish an effective monitoring system and to take effective measures during repairs of the wheelset of rolling stocks by railway repair companies, so that non-compliance or violation of mandatory procedures which is prescribed by inernal regulation ÄŒD V 99/1 was revealed or detected.</t>
  </si>
  <si>
    <t>CZ-2229/2</t>
  </si>
  <si>
    <t>It is recommended to define top limit of kilometers for periodic higher repairs in Annex 1 of internal regulation CD V 25.</t>
  </si>
  <si>
    <t>CZ-2229/3</t>
  </si>
  <si>
    <t>To change wording of article No. 20 in internal regulation ÄŒD V 25 to define top limit of kilometers for periodic higher repairs.</t>
  </si>
  <si>
    <t>CZ-2229/4</t>
  </si>
  <si>
    <t>On the base of the investigation of this accident to issue a warning for railway repair companies about identified deficiencies in mandatory technological procedures during of stamping of the wheelset as measures against the recurrence of similar deficiencies.</t>
  </si>
  <si>
    <t>CZ-2229/5</t>
  </si>
  <si>
    <t>To issue a warning for railway repair companies on respect of mandatory procedures during of repairs of wheelset of rolling stocks mainly in connection with stamping of all components on axle.</t>
  </si>
  <si>
    <t>CZ-2229/6</t>
  </si>
  <si>
    <t>To take own measure forcing implementation of the above recommendations.</t>
  </si>
  <si>
    <t>CZ-2291/1</t>
  </si>
  <si>
    <t>On the main lines which are involved to trans European conventional rail system it is recommended to hurry on introduction of ETCS to operation. For other main and regional lines to create plan of gradual introduction of ETCS to operation.</t>
  </si>
  <si>
    <t>CZ-2291/2</t>
  </si>
  <si>
    <t>On the lines where the ETCS is not going to be introduced into operation to install the technical equipment for emergency stopping of trains. This equipment will be automatically activated when the rolling stock illegally passes signal at danger.</t>
  </si>
  <si>
    <t>CZ-2291/3</t>
  </si>
  <si>
    <t>At the stations that are permanently occupied and controlled by the train dispatchers not to allow departure of the train with the passengers (regular or extraordinary) from a place for entry and exit of passengers only by using of signal.</t>
  </si>
  <si>
    <t>CZ-2291/4</t>
  </si>
  <si>
    <t>Until full substitution security policy - the person who is controlling the railway transport not to expand further the number of stations where the dispatch of train with transport of passengers which regularly or extraordinary stops in a place for entry and exit of passengers is carried out only by using of the main signal allowing the movement of the train.</t>
  </si>
  <si>
    <t>CZ-2291/5</t>
  </si>
  <si>
    <t>In accordance with the wording of previous documents â€žVydání bezpeÄnostního doporuÄeníâ€œ (The issue of safety recommendations), No. 6-538/2009/DI-1 on 18th March 2010, No 571/2012/DI-1 on 31th July 2012 and No. 741/2012/DI on 25th September, 2012: â€¢ it is recommended to hurry on installation of mobile components of ETCS into railway vehicles in order to allow use of full functionality of ETCS as soon as the infrastructure is ready.</t>
  </si>
  <si>
    <t>CZ-2291/6</t>
  </si>
  <si>
    <t>In accordance with the wording of previous documents â€žVydání bezpeÄnostního doporuÄeníâ€œ (The issue of safety recommendations), No. 6-538/2009/DI-1 on 18th March 2010, No 571/2012/DI-1 on 31th July 2012 and No. 741/2012/DI on 25th September, 2012: â€¢ to modify technological procedures in order to the train driver of the leading rolling stock of the train with passengers in a place for entry and exit of passengers at the station where the departure of the rolling stock is allowed only by using of signal always initiated before putting of the train in motion warning signal which will be given verbally, by signaling tool or technical equipment.</t>
  </si>
  <si>
    <t>CZ-2291/7</t>
  </si>
  <si>
    <t>CZ-2293/1</t>
  </si>
  <si>
    <t>It is recommended to hurry with introduction of ETCS to both main and regional lines, in accordance with the wording of previous documents â€žVydání bezpeÄnostního doporuÄeníâ€œ (The issue of safety recommendations), No. 6-538/2009/DI-1 on 18th March 2010, No. 6- 3305/2009/DI-1 on 9th November 2010, No 571/2012/DI-1 on 31st July 2012, No. 741/2012/DI on 25th September, 2012.</t>
  </si>
  <si>
    <t>CZ-2293/2</t>
  </si>
  <si>
    <t>CZ-2293/3</t>
  </si>
  <si>
    <t>CZ-2293/4</t>
  </si>
  <si>
    <t>CZ-2293/5</t>
  </si>
  <si>
    <t>CZ-2318/1</t>
  </si>
  <si>
    <t>It is recommended to define the top limit of kilometers for periodic higher repairs in internal regulation ÄŒD V 25.</t>
  </si>
  <si>
    <t>CZ-2318/2</t>
  </si>
  <si>
    <t>Change wording of article No. 20 in internal regulation ÄŒD V 25 to define the top limit of kilometers for periodic higher repairs;</t>
  </si>
  <si>
    <t>CZ-2318/3</t>
  </si>
  <si>
    <t>Into the range of inspection and maintenance in internal regulation ÄŒD V 25 in section 1.11 in relation to inspection of traction force transmission to add to article wording - to perform not only visual inspection of tightening of screws but also to inspect fixing and condition of security wires.</t>
  </si>
  <si>
    <t>CZ-2318/4</t>
  </si>
  <si>
    <t>To make checking focused on tightening of screws of traction force transmission.</t>
  </si>
  <si>
    <t>CZ-2318/5</t>
  </si>
  <si>
    <t>To secure screws of traction force transmission in the way set by locomotive manufacture.</t>
  </si>
  <si>
    <t>CZ-2318/6</t>
  </si>
  <si>
    <t>To take own measure forcing implementation of the above recommendations for other (RU), operating locomotives No. 230, 240 and 242.</t>
  </si>
  <si>
    <t>CZ-2331/1</t>
  </si>
  <si>
    <t>To the end of April 2014 to perform extraordinary inspection of all railway tracks and switches which are fixed on wooden sleepers focusing on condition of wooden sleepers and fixing of fasteners.</t>
  </si>
  <si>
    <t>CZ-2331/2</t>
  </si>
  <si>
    <t>CZ-2425/1</t>
  </si>
  <si>
    <t>To determine a procedure of inspections of sleepers and fasteners in the rails which are llocated on a separate tram track body, in the sections where the fasteners and sleepers are covered.</t>
  </si>
  <si>
    <t>CZ-2425/2</t>
  </si>
  <si>
    <t>Clearly and specifically to determine the conditions for the operation, maintenance and repairs of jointless track.</t>
  </si>
  <si>
    <t>CZ-2425/3</t>
  </si>
  <si>
    <t>In decree to Act No. 266/1994 to determine fundamental conditions of technical parameters for jointless track on the tram track for their inspections, operation, maintenance and repairs.</t>
  </si>
  <si>
    <t>CZ-2425/4</t>
  </si>
  <si>
    <t>It is recommended to take own measure forcing implementation of the above recommendations for other infrastructure managers of tram tracks in the Czech Republic.</t>
  </si>
  <si>
    <t>CZ-2492/1</t>
  </si>
  <si>
    <t>It is recommended to increase safety at the level crossings which are equipped with warning lights in accordance with previous safety recommendations No. 877/2012/DI of 14 November 2012, so that at reconstruction and modernization of railway tracks and the level crossings (not only at railway tracks which are included to European railway system) there was designed and installed only level crossing safety equipment with warning lights and barriers.</t>
  </si>
  <si>
    <t>CZ-2492/2</t>
  </si>
  <si>
    <t>CZ-2492/3</t>
  </si>
  <si>
    <t>In connection with the provision of Article 19, paragraph 1 of Directive 2004/49/EC of the European Parliament and of the Council of 29 April 2004 The Rail Safety Inspection Office (CZ NIB) recommends to Czech Ministry of Transport to take immediately necessary measures to ensure that previous safety recommendations No. 877/2012/DI, of 14 November 2012 and the above safety recommendations were by Czech National Safety Authority properly taken into account and implemented, i. e. that the Czech National Safety Authority in management of change in the scope and level of security of level crossings at reconstruction and modernization of railway tracks and level crossings effectively promoted the level safety crossing equipment with warning lights and barriers and was excluded dual interpretation of Article 25, paragraph 2 of Directive 2004/49/EC of the European Parliament and of the Council in national legislation.</t>
  </si>
  <si>
    <t>CZ-2523/1</t>
  </si>
  <si>
    <t>To the end of April 2014 to perform extraordinary inspection of all switch point blades, focusing on frittering and flaking of material of switch point blade (in places where is contact of wheel and switch point blade).</t>
  </si>
  <si>
    <t>CZ-2523/2</t>
  </si>
  <si>
    <t>To determine measures, to immediately ensure safety in the case of detection the above mentioned defects.</t>
  </si>
  <si>
    <t>CZ-2523/3</t>
  </si>
  <si>
    <t>Continuously to monitor and within inspection to give increased attention to technical conditions of switch point blade (in places where is contact of wheel and switch point blade).</t>
  </si>
  <si>
    <t>CZ-2523/4</t>
  </si>
  <si>
    <t>To find out and evaluate whether there exist defectoscopic methods, which can detect hidden defects in the field of heel of switch point blade and after this evaluation to use consequently the most effective method within inspection.</t>
  </si>
  <si>
    <t>CZ-2523/5</t>
  </si>
  <si>
    <t>CZ-2600/1</t>
  </si>
  <si>
    <t>It is recommended to verify visibility conditions at all level crossings which are equipped only with warning crosses and make them compliant with standard No. ÄŒSN 73 6380. In the case of non- compliance immediately adjust visibility conditions, to ensure safe operation of the railway transport and safe operation on the road. (The purpose of this safety recommendation is to ensure that visibility conditions at level crossings will allow safe drive of road vehicles over level crossing. Especially in cases of long and slow road vehicles so that the driver of this road vehicle with the maximum permissible length 22 m and a speed of 5 km · h-1 could safely drive over the level crossing.)</t>
  </si>
  <si>
    <t>CZ-2600/2</t>
  </si>
  <si>
    <t>It is recommended to take their own measures to ensure improvement of checking system so that inspections of level crossings were made properly, visibility conditions were checked and detected failures were removed. (The purpose of this safety recommendation is to ensure that visibility conditions at level crossings will allow safe drive of road vehicles over level crossing. Especially in cases of long and slow road vehicles so that the driver of this road vehicle with the maximum permissible length 22 m and a speed of 5 km · h-1 could safely drive over the level crossing.)</t>
  </si>
  <si>
    <t>CZ-2600/3</t>
  </si>
  <si>
    <t>CZ-2600/4</t>
  </si>
  <si>
    <t>It is recommended to take own measure forcing implementation of the above recommendations for all other IM and RU in the Czech Republic.</t>
  </si>
  <si>
    <t>CZ-2710/1</t>
  </si>
  <si>
    <t>In accordance with the wording of previous documents â€žVydání bezpecnostního doporuceníâ€œ (The issue of safety recommendations), No. 6-538/2009/DI-1 on 18th March 2010, No 571/2012/DI-1 on 31th July 2012 and No. 741/2012/DI on 25th September, 2012, c. j.: 446/2013/DI, on 13th May 2013 and c. j.: 40/2014/DI, on 16th January 2014: on the main lines which are involved to Trans-European conventional rail system it is recommended to hurry on introduction of ETCS to operation. For other main and regional lines to create plan of gradual introduction of ETCS to operation.</t>
  </si>
  <si>
    <t>CZ-2710/2</t>
  </si>
  <si>
    <t>In accordance with the wording of previous documents â€žVydání bezpecnostního doporuceníâ€œ (The issue of safety recommendations), No. 6-538/2009/DI-1 on 18th March 2010, No 571/2012/DI-1 on 31th July 2012 and No. 741/2012/DI on 25th September, 2012, c. j.: 446/2013/DI, on 13th May 2013 and c. j.: 40/2014/DI, on 16th January 2014: on the lines where the ETCS is not going to be introduced into operation to install the technical equipment for emergency stopping of trains. This equipment will be automatically activated when the rolling stock illegally passes signal at danger.</t>
  </si>
  <si>
    <t>CZ-2710/3</t>
  </si>
  <si>
    <t>In accordance with the wording of previous documents â€žVydání bezpecnostního doporuceníâ€œ (The issue of safety recommendations), No. 6-538/2009/DI-1 on 18th March 2010, No 571/2012/DI-1 on 31th July 2012 and No. 741/2012/DI on 25th September, 2012, c. j.: 446/2013/DI, on 13th May 2013 and c. j.: 40/2014/DI, on 16th January 2014: at the stations that are permanently occupied and controlled by the train dispatchers not to allow departure of the train with the passengers (regular or extraordinary) from a place for entry and exit of passengers only by using of signal.</t>
  </si>
  <si>
    <t>CZ-2710/4</t>
  </si>
  <si>
    <t>In accordance with the wording of previous documents â€žVydání bezpecnostního doporuceníâ€œ (The issue of safety recommendations), No. 6-538/2009/DI-1 on 18th March 2010, No 571/2012/DI-1 on 31th July 2012 and No. 741/2012/DI on 25th September, 2012, c. j.: 446/2013/DI, on 13th May 2013 and c. j.: 40/2014/DI, on 16th January 2014: until full substitution of security policy - the person who is controlling the railway transport (train dispatcher) not to expand further the number of stations where the dispatch of train with transport of passengers which regularly or extraordinary stops in a place for entry and exit of passengers is carried out only by using of the main signal allowing the movement of the train.</t>
  </si>
  <si>
    <t>CZ-2710/5</t>
  </si>
  <si>
    <t>In accordance with the wording of previous documents â€žVydání bezpeÄnostního doporuÄeníâ€œ (The issue of safety recommendations), No. 6-538/2009/DI-1 on 18th March 2010, No 571/2012/DI-1 on 31th July 2012 and No. 741/2012/DI on 25th September, 2012, Ä. j.: 446/2013/DI, on 13th May 2013 and Ä. j.: 40/2014/DI, on 16th January 2014: it is recommended to hurry on installation of mobile components of ETCS into railway vehicles in order to allow use of full functionality of ETCS as soon as the infrastructure is ready.</t>
  </si>
  <si>
    <t>CZ-2710/6</t>
  </si>
  <si>
    <t>In accordance with the wording of previous documents â€žVydání bezpeÄnostního doporuÄeníâ€œ (The issue of safety recommendations), No. 6-538/2009/DI-1 on 18th March 2010, No 571/2012/DI-1 on 31th July 2012 and No. 741/2012/DI on 25th September, 2012, Ä. j.: 446/2013/DI, on 13th May 2013 and Ä. j.: 40/2014/DI, on 16th January 2014: to modify technological procedures in order to the train driver of the leading rolling stock of the train with passengers in a place for entry and exit of passengers at the station where the departure of the rolling stock is allowed only by using of signal always initiated before putting of the train in motion warning signal which will be given verbally, by signaling tool or technical equipment with incorporation to share obligation of verification of position of the main signal to signal allowing movement of the train by leader board staff.</t>
  </si>
  <si>
    <t>CZ-2710/7</t>
  </si>
  <si>
    <t>CZ-2711/1</t>
  </si>
  <si>
    <t>In the shortest possible time to perform inspection of level crossings which are secured with warning lights without barriers, which will be focused on the visibility of indicators on the corresponding distance Dz, from all types of roads that are routed to the level crossing.</t>
  </si>
  <si>
    <t>CZ-2711/2</t>
  </si>
  <si>
    <t>Immediately to take measures for ensuring of the safety at the controlled level crossings in the case of finding of deficiencies at the inspection which is described above.</t>
  </si>
  <si>
    <t>CZ-2711/3</t>
  </si>
  <si>
    <t>CZ-2820/1</t>
  </si>
  <si>
    <t>To create and introduce system for archiving results of verification of compliance of material properties of rails, switch rails and points of crossings of switches collected from external contractors with the requirements of technical or operational standards and other binding conditions during the service life and during their operation.</t>
  </si>
  <si>
    <t>CZ-2820/2</t>
  </si>
  <si>
    <t>Within the framework of regular inspections of switches to pay increased attention to switch rails of first generation produced into 2005, especially in a place of reforging of switch rail profile to rail profile.</t>
  </si>
  <si>
    <t>CZ-2820/3</t>
  </si>
  <si>
    <t>During taking of measures after accident or incident always to assess weaknesses and risks complexly within the whole railway network and in this range to take also corresponding measures and not only on local level.</t>
  </si>
  <si>
    <t>CZ-2820/4</t>
  </si>
  <si>
    <t>CZ-2892/1</t>
  </si>
  <si>
    <t>â€¢in contracts with external entities determine a duty for responsible SÅ½DC employee to perform a supervision of relevant technological processes before beginning the works; â€¢ by the adjustment of education and control system ensure that relevant qualification for activities on not excluded track will be owned only by person capable, in the extent of its professional qualification, to apply rules and regulations for safety operation and maintenance of management and safety system even in the direct performance of work activities.</t>
  </si>
  <si>
    <t>CZ-3343/1</t>
  </si>
  <si>
    <t>title 1</t>
  </si>
  <si>
    <t>by standards of approval proces to implement types of railway stop blocks, which will be mandatory for using in their operated railways;</t>
  </si>
  <si>
    <t>CZ-3343/2</t>
  </si>
  <si>
    <t>title 2</t>
  </si>
  <si>
    <t>to create conditions for the certification of manufacturers of railway stop blocks in case of established types;</t>
  </si>
  <si>
    <t>CZ-3343/3</t>
  </si>
  <si>
    <t>title 3</t>
  </si>
  <si>
    <t>to use of competency of infrastructure manager to give to railway undertakings clear instructions for using of an approved type of railway stop blocks;</t>
  </si>
  <si>
    <t>CZ-3343/4</t>
  </si>
  <si>
    <t>title 4</t>
  </si>
  <si>
    <t>to process methodology and technology of control of the width of the head of the rails for a defined part of stations, where rolling stocks are regularly stopped during shunting operation by using of double flange railway stop blocks;</t>
  </si>
  <si>
    <t>CZ-3343/5</t>
  </si>
  <si>
    <t>title 5</t>
  </si>
  <si>
    <t>to unify the terminology which is used in the technological documentation and in the internal technological procedure for defined part of stations, where rolling stocks are regularly stopped during shunting operation by using of double flange railway stop blocks and to define this clearly in the technological documentation for the need of railway undertakings and for the need of control of infrastructure manager.</t>
  </si>
  <si>
    <t>CZ-3343/6</t>
  </si>
  <si>
    <t>title 6</t>
  </si>
  <si>
    <t>it is recommended to take own measure forcing implementation of the above recommendations for other all IM and RU in the Czech republic.</t>
  </si>
  <si>
    <t>CZ-3344/1</t>
  </si>
  <si>
    <t>To initiate a change of provision of § 8 paragraph 2 of Act No. 114/1992 Sb. as ammended, on protection of the nature and landscape, so that the infrastructure manager could have a possibility to remove the trees (whose hight is heightened by 2,5 m is equal or higher than the distance from the nearest track axis) in the protection zone of railway without permission, but only with written notification to the nature conservation authority at least 15 days in advance, similarly to the protection zone of electricity and gas network.</t>
  </si>
  <si>
    <t>CZ-3387/1</t>
  </si>
  <si>
    <t>It is recommended to provide all tram types with technical device ensuring that doors will not start closing earlier than after 3 seconds duration of acoustic and visual warning.</t>
  </si>
  <si>
    <t>CZ-3387/2</t>
  </si>
  <si>
    <t>It is recommended to take own measure forcing implementation of the recommendation by all relevant railway (tramway) undertakings in the Czech Republic.</t>
  </si>
  <si>
    <t>CZ-3394/1</t>
  </si>
  <si>
    <t>Immediately accept (apply in practice) effective measures for new and operating jaw locks to avoid jump of hook from cut of slide locking bar and at the same time its running from under flange of the stock rail or such measures, when this situation appears and point blades do not reach during adjustment final positions, do not alow running of slide locking bar under jammed blade or do not allow to create train/shunting route;</t>
  </si>
  <si>
    <t>CZ-3394/2</t>
  </si>
  <si>
    <t>To incorporate into technological procedures a ban of clamping of the clamping parts of the working mechanisms to the rails in places where there is a risk of damage of railway components.</t>
  </si>
  <si>
    <t>CZ-3394/3</t>
  </si>
  <si>
    <t>It is recommended to take own measure forcing implementation of the above recommendations for other IMs, who operate the switches with jaw locks.</t>
  </si>
  <si>
    <t>CZ-3429/1</t>
  </si>
  <si>
    <t>to incorporate into unified technological procedures tram driver's obligation after taking of the tram, change in the composition of rolling stocks or change driver's stands as soon as possible to test the effect of electrodynamic brake when the tram is put into movement;</t>
  </si>
  <si>
    <t>CZ-3429/2</t>
  </si>
  <si>
    <t>into the periodic trainings of drivers of trams to incorporate content focused on crisis management, mainly during unusual behavior of rolling stocks incuding solutions of the situation when due to a technical fault is not activated electrodynamic brake.</t>
  </si>
  <si>
    <t>CZ-3429/3</t>
  </si>
  <si>
    <t>it is recommended to take own measure forcing implementation of the above recommendations for other railway undertaking which operated tram transport in the Czech Republic.</t>
  </si>
  <si>
    <t>CZ-3510/1</t>
  </si>
  <si>
    <t>â€¢adjust rules for the operation of the track so that the technological process of dispatching trains (with transport of passengers, which regularly or extraordinary stops at a place for entry and exit of passengers only by using of the main - departure signal permitting the movement of the train) would be used by rail operators only in cases where it is bound to another safety policy, whether technical or organizational solutions that would minimize the risk of unauthorized departure of a train without expedition due to failure human Factor of train driver.</t>
  </si>
  <si>
    <t>CZ-3543/1</t>
  </si>
  <si>
    <t>Determine for the integrated rescue system priority of phone contacts, to which the operator of the integrated rescue system, in imminent danger, contact the rail operator and pass the requirement to ensure the safe operation of the railway and railway transport.</t>
  </si>
  <si>
    <t>CZ-3543/2</t>
  </si>
  <si>
    <t>CZ-3543/3</t>
  </si>
  <si>
    <t>Place on the road III / 4496, from both directions before the right direction arches, after which follows the railway crossing P6520, vertical warning traffic signs warning on the right arc or on two consecutive directional arcs or to take other appropriate measures to improve safety in the area of level crossing P6520.</t>
  </si>
  <si>
    <t>CZ-3543/4</t>
  </si>
  <si>
    <t>Extend by legislation governing the rules of road traffic to the requirement of participants of traffic for these roads on knowledge of the location of the uniform identification numbers of level crossings and its use in the detection of threats to safety of railway transport on the level crossings; Extend public awareness of the location of the uniform identification numbers of level crossings at level crossings, its purpose and method of use.</t>
  </si>
  <si>
    <t>CZ-3572/1</t>
  </si>
  <si>
    <t>It is recommended to increase safety at the level crossings which are equipped with warning lights in accordance with previous safety recommendations No. 877/2012/DI of 14. November 2012, No. 937/2012/DI of 2. January 2013, No. 940/2012/DI of 3. January 2013 and No. 134/2014/DI, of 18. February 2014, in such a way that at reconstruction and modernization of railway tracks and the level crossings (not only at railway tracks included to European railway system) were designed and installed only level crossing safety equipment with warning lights and barriers.</t>
  </si>
  <si>
    <t>CZ-3572/2</t>
  </si>
  <si>
    <t>CZ-3692/1</t>
  </si>
  <si>
    <t>â€¢to check out railways of SÅ½DC, whether there are other level crossings between them is insufficient distance and drivers of vehicles are not warned by traffic signs about the maximum allowed length of a road vehicle in case the driver would be forced to stop between them; â€¢in case if other similar level crossing on the railways of IM (SÅ½DC) would be found, ensure as soon as possible measures to ensure safety on them.</t>
  </si>
  <si>
    <t>CZ-3692/2</t>
  </si>
  <si>
    <t>â€¢it is recommended to take own measure forcing implementation of the above recommendations for other infrastructure managers (IM) in the Czech Republic.</t>
  </si>
  <si>
    <t>CZ-3764/1</t>
  </si>
  <si>
    <t>â€¢by increasing of demands on employees who carry out controls and supervision on all levels of control ensure: â—¦to keep the basic transport documentation flawless so that the instructions in this documentation will be keeping updated and meet the technological processes for operating of track and organization of railway transport; â—¦to keep the professional level of train drivers and operational staff so that their work habits and responsibilities will be in compliance with internal regulations and technological processes for operating of track and organization of railway transport.</t>
  </si>
  <si>
    <t>Czech</t>
  </si>
  <si>
    <t>CZ-3764/2</t>
  </si>
  <si>
    <t>â€¢ tightening control of requirements compliance of the issued safety certificate of the infrastructure managers; â€¢ tightening control of requirements compliance of the issued safety certificate of the railway undertakings.</t>
  </si>
  <si>
    <t>CZ-3818/1</t>
  </si>
  <si>
    <t>â€¢evaluate distances and the way of positioning of main signals on railways operated by SÅ½DC, and based on that determine maximum horizontal distance from axis of track and horizontal distance above the rail head; â€¢in case of positioning the main signal somewhere else than recently determined site ensure notification about this situation to a train driver; â€¢in case of setting up new (alternatively reconstruction of current) main signals, place them according to newly determine distances.</t>
  </si>
  <si>
    <t>CZ-3818/2</t>
  </si>
  <si>
    <t>Include the above safety recommendations into the relevant legislation, in particular to precise requirements for placing the main signals and solution for â€œatypicalâ€ placed main signals. Be more specific about minimum requirements for the area of knowledge of track line conditions governing train drivers, including administration and archiving system.</t>
  </si>
  <si>
    <t>CZ-3818/3</t>
  </si>
  <si>
    <t>It is recommended to take own measure forcing implementation of the above recommendations for other infrastructure managers (IM) and railway undertakings (RU) in the Czech Republic.</t>
  </si>
  <si>
    <t>CZ-3866/1</t>
  </si>
  <si>
    <t>To focus on a training system of train drivers and their regular training so that to be able, properly and immediately, within the meaning of regulations, respond to the emergency, especially in cases of failure of any part of the locomotive brake system.</t>
  </si>
  <si>
    <t>CZ-3866/2</t>
  </si>
  <si>
    <t>It is recommended to take own measure forcing implementation of the above recommendation for other railway undertakings (RUs) in the Czech Republic.</t>
  </si>
  <si>
    <t>CZ-3950/1</t>
  </si>
  <si>
    <t>to accept joint conceptional technical or organization measure to prevent this kind of accident/incident or eventually to reduce the consequences in case of failure of the train driver or in case of imminent or real unauthorized movement behind the main signal.</t>
  </si>
  <si>
    <t>CZ-3950/2</t>
  </si>
  <si>
    <t>title 2.</t>
  </si>
  <si>
    <t>it is recommended to adopt own measure forcing implementation of the above recommendations for other infrastructure managers (IM) and railway undertakers (RU) in the Czech Republic. Because the rail operation and rail transport safety is based on close cooperation between RUs and IMs.</t>
  </si>
  <si>
    <t>CZ-3951/1</t>
  </si>
  <si>
    <t>To ensure maximum level of safety at existing level crossings secured by level crossing systems with signals without barriers by adding the mechanical barriers. In the process of designing a new level crossings not to allow security without mechanical warning (barriers).</t>
  </si>
  <si>
    <t>CZ-3951/2</t>
  </si>
  <si>
    <t>â€¢it is recommended to take own measure forcing implementation of the above recommendations for other all IMs in the Czech republic; â€¢not to allow, in the case of authorization process of level crossing reconstruction, other security system than light and acoustic warning system equipped with barriers.</t>
  </si>
  <si>
    <t>CZ-3954/1</t>
  </si>
  <si>
    <t>â€¢it is recommended to increase safety at the level crossings which are equipped with warning lights in accordance with previous safety recommendations of Czech NIB, so that at reconstruction and modernization of railway tracks and the level crossings (not only at railway tracks which are included to European railway system) there was designed and installed only level crossing safety equipment with warning lights and barriers.</t>
  </si>
  <si>
    <t>CZ-3954/2</t>
  </si>
  <si>
    <t>â€¢ it is recommended to take own measure forcing implementation of the above recommendations for other infrastructure manager (IM) in the Czech Republic.</t>
  </si>
  <si>
    <t>CZ-3954/3</t>
  </si>
  <si>
    <t>In connection with the provision of Article 19, paragraph 1 of Directive 2004/49/EC of the European Parliament and of the Council of 29 April 2004 The Rail Safety Inspection Office (CZ NIB) recommend to take own measure forcing implementation listed below in CDV document for the road owner.</t>
  </si>
  <si>
    <t>CZ-4035/1</t>
  </si>
  <si>
    <t>â€¢it is recommended to verify related traffic signs at all level crossings which are use only by pedestrians, which are equipped only with warning crosses to ensure safe operation of the railway transport and users of level crossing for pedestrian; â€¢to consider of installing turnstiles or meander railing that would prevent direct and sudden entrance of cyclists near a level crossings for a pedestrian which are equipped only by traffic signs.</t>
  </si>
  <si>
    <t>CZ-4035/2</t>
  </si>
  <si>
    <t>â€¢it is recommended to take own measure forcing implementation of the above recommendations for all other IM in the Czech Republic.</t>
  </si>
  <si>
    <t>CZ-4105/1</t>
  </si>
  <si>
    <t>â€¢ to ensure that the results of controls (focused on track superstructure, which are carried out according to law and internal regulations especially the internal regulation of the IM â€“ SÅ½DC S 2/3) will be provably documented in an unified registration system of IM; â€¢ to provide (for example in the form of training) full knowledge of the relevant regulations in a field of control activities, including an obligation to registration and to evaluate the results of controls according to law and internal regulations (especially the internal regulation of the IM - SÅ½DC S 2/3) for all employees performing control activities focused on the state of the track superstructure.</t>
  </si>
  <si>
    <t>CZ-4137/1</t>
  </si>
  <si>
    <t>It is recommended to take own measure forcing implementation of the recommendation by all relevant railway (tramway) undertakings in the Czech Republic (with exception of Dopravní podnik Ostrava, a. s., which had already implemented this recommendation): - to provide all tram types with technical device ensuring that doors will not start closing earlier than after 3 seconds duration of acoustic and visual warning.</t>
  </si>
  <si>
    <t>CZ-4391/1</t>
  </si>
  <si>
    <t>Reconsider technological process of ride of auxiliary shunting rolling stock for stuck train, when is ride of auxiliary shunting rolling stock realized in direction of the slope against of stuck train. Particularly in relation to the exceeding of the speed limit in the section of the last 1000 meters ahead of the spot of stuck train so that those procedures were tightened even more. In cases where there isn't known the exact place of stuck train, apply tightening of procedures from main (the entrance) signal for the opposite direction.</t>
  </si>
  <si>
    <t>CZ-4391/2</t>
  </si>
  <si>
    <t>It is recommended to take own measure forcing implementation of the above recommendations for other infrastructure managers (IM) in the Czech Republic.</t>
  </si>
  <si>
    <t>CZ-4392/1</t>
  </si>
  <si>
    <t>â€¢ to prepare basic points and organize regular specialized trainings focused on dealing with situations when detecting an occurrence of an emergency or threatening its happening; â€¢ continuously work with printed outputs from continual measurements of the geometric position of the track. Including retrospective checking and evaluating its repeating and developing at the same places; â€¢ in case of an overrun operating anomalies track geometry in grades IL always clearly set deadlines for removing these defects (to prevent on time the occurrence and limit exceeded operating anomalies - defects degrees IAL); â€¢ establish processes and safety conditions for track measurement under load, and measure the track under the load as a part of each investigation of an incident with a suspected cause in relation to the state of the track geometry.</t>
  </si>
  <si>
    <t>CZ-4392/2</t>
  </si>
  <si>
    <t>â€¢ it is recommended to take own measure forcing implementation of the above recommendations A) for other infrastructure managers (IMs) in the Czech Republic; â€¢ adoption of their measures towards the implementation of the following safety recommendations for all carriers and holders cargo rail vehicles on railway tracks in the Czech Republic: â—¦ gradually equip all towed rail vehicles with a pneumatic derailment detectors, primarily those intended for transporting passengers and dangerous goods (RID).</t>
  </si>
  <si>
    <t>CZ-4424/1</t>
  </si>
  <si>
    <t>adjust maintenance system of axles (nondestructive testing) produced in December 1979 in ironworks 1 Maj Gliwice, under the smelting number 56485 to ensure that wagons equipped with these axles will be technically capable and will remain capable until the end of their using.</t>
  </si>
  <si>
    <t>CZ-4424/2</t>
  </si>
  <si>
    <t>it is recommended to take own measure forcing implementation of the above recommendation within the authority over the Railway undertakings (wagon keepers) which are using wagons with axles under the concerned smelting in the Czech Republic as well in the frame of international activities and as a member of the national safety authorities network.</t>
  </si>
  <si>
    <t>CZ-98/1</t>
  </si>
  <si>
    <t>It is recommended to equip each level crossing with visible IDtable with unique level crossing ID-nu</t>
  </si>
  <si>
    <t>It is recommended to equip each level crossing with visible IDtable with unique level crossing ID-number and an emergency telephone number, in order to avoid misunderstandings when alerting emergency services or infrastructure manager in case of emergency.</t>
  </si>
  <si>
    <t>CZ-98/2</t>
  </si>
  <si>
    <t>It is recommended to provide all railway undertakings and emergency services with list of all level</t>
  </si>
  <si>
    <t>It is recommended to provide all railway undertakings and emergency services with list of all level crossings showing their ID-numbers and emergency telephone numbers.</t>
  </si>
  <si>
    <t>CZ-98/3</t>
  </si>
  <si>
    <t>It is recommended to launch a media campaign informing the public about proper behaviour in case of</t>
  </si>
  <si>
    <t>It is recommended to launch a media campaign informing the public about proper behaviour in case of emergency situation at a level crossing.</t>
  </si>
  <si>
    <t>CZ-98/4</t>
  </si>
  <si>
    <t>It is recommended to develop infrastructure manager's internal procedure responding for an emergency</t>
  </si>
  <si>
    <t>It is recommended to develop infrastructure manager's internal procedure responding for an emergency information from the public.</t>
  </si>
  <si>
    <t>CZ-98/5</t>
  </si>
  <si>
    <t>It is recommended to apply the above recommendations to all infrastructure managers.</t>
  </si>
  <si>
    <t>CZ-961/1</t>
  </si>
  <si>
    <t>It is recommended to develop a procedure for vehicles inspection allowing so that vehicles can be ch</t>
  </si>
  <si>
    <t>It is recommended to develop a procedure for vehicles inspection allowing so that vehicles can be checked from both sides by the personnel visually, including their bogies</t>
  </si>
  <si>
    <t>CZ-961/2</t>
  </si>
  <si>
    <t>It is recommended to take appropriate effective and systematic measures to prevent similar occurrenc</t>
  </si>
  <si>
    <t>It is recommended to take appropriate effective and systematic measures to prevent similar occurrences. The measures must ensure that carriages with Görlitz bogies are operated only in the technical condition which corresponds to the approved technical qualification</t>
  </si>
  <si>
    <t>CZ-961/3</t>
  </si>
  <si>
    <t>It is recommended to take own measure forcing implementation of the above recommendation by all railway undertakings running the carriages with Görlitz bogies.</t>
  </si>
  <si>
    <t>CZ-947/1</t>
  </si>
  <si>
    <t>It is recommended don't use the services of the doctor who incorrectly issued a certificate of medic</t>
  </si>
  <si>
    <t>It is recommended don't use the services of the doctor who incorrectly issued a certificate of medical qualification to the engine driver of the train No. 2316</t>
  </si>
  <si>
    <t>CZ-947/2</t>
  </si>
  <si>
    <t>It is recommended to re-examine health of all employees who were examined by this particular doctor</t>
  </si>
  <si>
    <t>CZ-947/3</t>
  </si>
  <si>
    <t>It is recommended that the above re-examine health of all employees will be found error, notify the</t>
  </si>
  <si>
    <t>It is recommended that the above re-examine health of all employees will be found error, notify the NSA to extend the safety recommendations for railway undertakings and infrastructure managers who are concerned</t>
  </si>
  <si>
    <t>CZ-943/1</t>
  </si>
  <si>
    <t>Addressed to Sprava zeleznicni dopravni cesty, statni organizace (infrastructure manager): It is rec</t>
  </si>
  <si>
    <t>Addressed to Sprava zeleznicni dopravni cesty, statni organizace (infrastructure manager): It is recommended to verify visibility condition and make them compliant with article 7.4 of technical norm ÄŒSN 73 63 80 at those level crossings, where articles A.5, B.6 and C.8 of technical norm ÄŒSN 73 63 80 have been used for calculation or maintenance of visibility condition and where reduction of visibility condition was applied according to infrastructure's internal regulation SZDC S 4/3.</t>
  </si>
  <si>
    <t>CZ-943/2</t>
  </si>
  <si>
    <t>Addressed to all railway undertakings within Czech Republic: It is recommended to equip all locomoti</t>
  </si>
  <si>
    <t>Addressed to all railway undertakings within Czech Republic: It is recommended to equip all locomotives, railcars and driving carriages with a juridical recorder recording also use of horn, as absence of this type of evidence can confuse investigation of accidents</t>
  </si>
  <si>
    <t>CZ-943/3</t>
  </si>
  <si>
    <t>Addressed to Drazni urad (CZ National Safety Authority): It is recommended to take their own measure</t>
  </si>
  <si>
    <t>Addressed to Drazni urad (CZ National Safety Authority): It is recommended to take their own measures to ensure adoption of the above recommendations No. 1 and 2 by all infrastructure managers and railway undertakings within Czech Republic</t>
  </si>
  <si>
    <t>CZ-943/4</t>
  </si>
  <si>
    <t>Addressed to Urad pro technickou normalizaci, metrologii a statni zkusebnictvii (The Czech Office fo</t>
  </si>
  <si>
    <t>Addressed to Urad pro technickou normalizaci, metrologii a statni zkusebnictvii (The Czech Office for Standards, Metrology and Testing): It is recommended to improve technical norm ÄŒSN 73 63 80 in order to prevent reduction of Dz, Lr and Lp parameters without measures ensuring safety of railway and road traffic at level crossings concerned</t>
  </si>
  <si>
    <t>CZ-902/1</t>
  </si>
  <si>
    <t>It is recommended to define upper limit of service kilometers for level â€žVâ€œ maintenance in â€žKvsl-B-2</t>
  </si>
  <si>
    <t>It is recommended to define upper limit of service kilometers for level â€žVâ€œ maintenance in â€žKvsl-B-2009â€œ regulation.</t>
  </si>
  <si>
    <t>CZ-902/2</t>
  </si>
  <si>
    <t>It is recommended to include regular inspection of traction force transmission backup hangers into m</t>
  </si>
  <si>
    <t>It is recommended to include regular inspection of traction force transmission backup hangers into maintenance procedure of such level, that respects service kilometers limit recommended by manufacturer for this type of inspection.</t>
  </si>
  <si>
    <t>CZ-902/3</t>
  </si>
  <si>
    <t>According to causes of this accident it is recommended to perform exceptional inspection of conditio</t>
  </si>
  <si>
    <t>According to causes of this accident it is recommended to perform exceptional inspection of condition and parameters of traction force transmission system, including backup hangers, sliders' box and its screws.</t>
  </si>
  <si>
    <t>CZ-893/1</t>
  </si>
  <si>
    <t>It is recommended to establish the limit of the allowance between the frame and the door of railcars class 842 to minimize the possibility of false door-closed indication when a passenger's hand is locked between the doors.</t>
  </si>
  <si>
    <t>CZ-893/2</t>
  </si>
  <si>
    <t>It is recommended to include regular check of the above mentioned allowance into railcar class 842 maintenance procedures.</t>
  </si>
  <si>
    <t>CZ-893/3</t>
  </si>
  <si>
    <t>It is recommended to improve door-closed detection system to indicate door-closed status only when doors are tightly closed along the full length of their edge.</t>
  </si>
  <si>
    <t>CZ-893/4</t>
  </si>
  <si>
    <t>It is recommended to modify door control system of railcar class 842 to disable initiation of pneumatic door-closing by door handle when driver's door-control switch is in "open left" or "open right" positions. This should prevent unwanted door-closing when a door handle is accidentally operated by boarding passenger.</t>
  </si>
  <si>
    <t>CZ-893/5</t>
  </si>
  <si>
    <t>It is recommended to improve traction control system of railcar class 842 in order to disable traction until door-closed indication is received.</t>
  </si>
  <si>
    <t>CZ-893/6</t>
  </si>
  <si>
    <t>It is recommended to improve train-driver's departure procedure by mandatory visual check of all doo</t>
  </si>
  <si>
    <t>It is recommended to improve train-driver's departure procedure by mandatory visual check of all doors within train-driver's viewing field (not using mirrors) ensuring that embarkment/ disembarkment is complete and doors are properly closed after door-closed indication was received. This check should be applied for all rolling stock without door-closed detection system reliably indicating whether doors are tightly closed along the full length of their edge.</t>
  </si>
  <si>
    <t>CZ-893/7</t>
  </si>
  <si>
    <t>It is recommended to take own measure forcing implementation of the above recommendation by all railway undertakings running railcars class 842.</t>
  </si>
  <si>
    <t>CZ-892/1</t>
  </si>
  <si>
    <t>t is recommended to include the units into the system approach of railway Safety Management System o</t>
  </si>
  <si>
    <t>t is recommended to include the units into the system approach of railway Safety Management System of infrastructure manager</t>
  </si>
  <si>
    <t>CZ-892/2</t>
  </si>
  <si>
    <t>It is recommended to provide adopted measure of unit Stavebni sprava Praha for units Stavebni sprava</t>
  </si>
  <si>
    <t>It is recommended to provide adopted measure of unit Stavebni sprava Praha for units Stavebni sprava Plzen and Olomouc</t>
  </si>
  <si>
    <t>CZ-825/1</t>
  </si>
  <si>
    <t>Addressed to railway undertaking ÄŒD Cargo, a. s.: It is recommended to take safety measures preventi</t>
  </si>
  <si>
    <t>Addressed to railway undertaking ÄŒD Cargo, a. s.: It is recommended to take safety measures preventing wagons from running away from shunting yard of ÄŒeská TÅ™ebová station with regard to situations, when stop-shoes situated at the bottom of the yard are not effective due to mass of wagons and their distance from the stop-shoes.</t>
  </si>
  <si>
    <t>CZ-792/1</t>
  </si>
  <si>
    <t>It s recommended to hurry on introduction of ETCS to both main and regional lines (according to reco</t>
  </si>
  <si>
    <t>It s recommended to hurry on introduction of ETCS to both main and regional lines (according to recommendation in Report from 16th February 2009 between Vratimov and Paskov stations).</t>
  </si>
  <si>
    <t>CZ-792/2</t>
  </si>
  <si>
    <t>It is recommended to equip busy regional lines without interlocking or ETCS with an technical interl</t>
  </si>
  <si>
    <t>It is recommended to equip busy regional lines without interlocking or ETCS with an technical interlocking system ensuring that trains can't enter beyond the stop signal</t>
  </si>
  <si>
    <t>CZ-792/3</t>
  </si>
  <si>
    <t>It is recommended to hurry on installation of mobile components of ETCS into railway vehicles in order to allow use of full functionality of ETCS as soon as the infrastructure is ready (according to recommendation in Report from 16th February 2009 between Vratimov and Paskov stations).</t>
  </si>
  <si>
    <t>CZ-792/4</t>
  </si>
  <si>
    <t>CZ-763/1</t>
  </si>
  <si>
    <t>It is recommended to develop procedure for shunting beyond the allowed point during shunting betwee</t>
  </si>
  <si>
    <t>It is recommended to develop procedure for shunting beyond the allowed point during shunting between stations and include it into their internal regulations.</t>
  </si>
  <si>
    <t>CZ-763/2</t>
  </si>
  <si>
    <t>It is recommended to develop internal regulation banning use of railway vehicle occupied with passen</t>
  </si>
  <si>
    <t>It is recommended to develop internal regulation banning use of railway vehicle occupied with passengers for shunting between stations to tow defective train.</t>
  </si>
  <si>
    <t>CZ-763/3</t>
  </si>
  <si>
    <t>CZ-762/1</t>
  </si>
  <si>
    <t>Addressed to Dopravni podnik mesta Brna, a. s. (RU): It is recommended to develop procedure for pro</t>
  </si>
  <si>
    <t>Addressed to Dopravni podnik mesta Brna, a. s. (RU): It is recommended to develop procedure for proper adjustment of first roofâ€‘vent and include it into maintenance manual for trams of K2R.03 type.</t>
  </si>
  <si>
    <t>CZ-762/2</t>
  </si>
  <si>
    <t>Addressed to Drazni urad (NSA): It is recommended to disseminate the above recommendation to all und</t>
  </si>
  <si>
    <t>Addressed to Drazni urad (NSA): It is recommended to disseminate the above recommendation to all undertakings running trams of K2R.03 type.</t>
  </si>
  <si>
    <t>CZ-762/3</t>
  </si>
  <si>
    <t>Addressed to Pars nova, a. s., Sumperk (manufacturer of trams of K2R.03 type): It is recommended to</t>
  </si>
  <si>
    <t>Addressed to Pars nova, a. s., Sumperk (manufacturer of trams of K2R.03 type): It is recommended to develop internal regulation for exchange of safety-relevant information regarding inspections and maintenance of railway vehicles they produce, renew or maintain</t>
  </si>
  <si>
    <t>CZ-759/1</t>
  </si>
  <si>
    <t>It is recommended to have regular check of card configuration included in maintenance procedures (in</t>
  </si>
  <si>
    <t>It is recommended to have regular check of card configuration included in maintenance procedures (including card No. A0311).</t>
  </si>
  <si>
    <t>CZ-759/2</t>
  </si>
  <si>
    <t>It is recommended to prevent unauthorized change of position of card No. A0311.</t>
  </si>
  <si>
    <t>CZ-759/3</t>
  </si>
  <si>
    <t>It is recommended to prevent connector sets No. XK 21 to XK 36 from water and dust.</t>
  </si>
  <si>
    <t>CZ-759/4</t>
  </si>
  <si>
    <t>It is recommended to include emergency procedures for situations when locomotive doesn't react prope</t>
  </si>
  <si>
    <t>It is recommended to include emergency procedures for situations when locomotive doesn't react properly (including spontaneous acceleration of locomotive) into regular training of train drivers.</t>
  </si>
  <si>
    <t>CZ-759/5</t>
  </si>
  <si>
    <t>It is recommended to require implementation of the above recommendation by all railway undertakings</t>
  </si>
  <si>
    <t>It is recommended to require implementation of the above recommendation by all railway undertakings running electric locomotives "Skoda" types: 69E1, 69E2, 69E3, 69E4, 69E5, 71E1, 71E2, 71E3, 98E1 and 99E1 in Czech Republic.</t>
  </si>
  <si>
    <t>CZ-736/1</t>
  </si>
  <si>
    <t>Addressed to Network of National Safety Authorities of European Railway Agency: It is recommended to</t>
  </si>
  <si>
    <t>Addressed to Network of National Safety Authorities of European Railway Agency: It is recommended to develop and adopt within EU member states a common system of identification of detachable part of freight wagons' suspension, which allows investigators to recognize original positioning of each of the parts spread around after an accident.</t>
  </si>
  <si>
    <t>CZ-736/2</t>
  </si>
  <si>
    <t>Addressed to Czech National Safety Authority (Drazni urad): It is recommended to take own measure fo</t>
  </si>
  <si>
    <t>Addressed to Czech National Safety Authority (Drazni urad): It is recommended to take own measure forcing implementation of the above recommendation by all railway undertakings, freight wagons' manufacturers and maintenance workshops.</t>
  </si>
  <si>
    <t>CZ-734/1</t>
  </si>
  <si>
    <t>Addressed to railway undertaking OKD Doprava, akciova spolecnost: It is recommended to modify proced</t>
  </si>
  <si>
    <t>Addressed to railway undertaking OKD Doprava, akciova spolecnost: It is recommended to modify procedure for visual inspection of freight in order to ensure that wagons with unbalanced freight are prevented from running.</t>
  </si>
  <si>
    <t>CZ-733/1</t>
  </si>
  <si>
    <t>It is recommended to verify track layouts within the whole railway network whether length of straigh</t>
  </si>
  <si>
    <t>It is recommended to verify track layouts within the whole railway network whether length of straight track in between two reverse curves and radii of these curves are in line with technical norm ÄŒSN 73 6360-1 â€žKonstrukÄní a geometrické uspoÅ™ádání koleje Å¾elezniÄních drah a její prostorová poloha â€“ ÄŒást 1: Projektováníâ€œ (Paragraph 8.4.2 and Table C.3.1) with regard to operation of carriages 26.4 m long and longer.</t>
  </si>
  <si>
    <t>CZ-642/1</t>
  </si>
  <si>
    <t>Addressed to infrastructure manager SZDC: It is recommended to hurry on introduction of ETCS to both</t>
  </si>
  <si>
    <t>Addressed to infrastructure manager SZDC: It is recommended to hurry on introduction of ETCS to both main and regional lines.</t>
  </si>
  <si>
    <t>CZ-642/2</t>
  </si>
  <si>
    <t>Addressed to railway undertaking and operator of infrastructure manager Ceske drahy, a. s.: It is re</t>
  </si>
  <si>
    <t>Addressed to railway undertaking and operator of infrastructure manager Ceske drahy, a. s.: It is recommended to hurry on installation of mobile components of ETCS into railway vehicles in order to allow use of full functionality of ETCS as soon as the infrastructure is ready.</t>
  </si>
  <si>
    <t>CZ-642/3</t>
  </si>
  <si>
    <t>Addressed to railway undertaking and operator of infrastructure manager Ceske drahy, a. s. : It is r</t>
  </si>
  <si>
    <t>Addressed to railway undertaking and operator of infrastructure manager Ceske drahy, a. s. : It is recommended to improve procedures in stations where passenger trains are dispatched by signals only, in order to prevent train on departure from passing signal at danger.</t>
  </si>
  <si>
    <t>CZ-642/4</t>
  </si>
  <si>
    <t>Addressed to Czech National Safety Authority (Drazni urad): It is recommended to take own measure forcing implementation of the above recommendation.</t>
  </si>
  <si>
    <t>CZ-639/1</t>
  </si>
  <si>
    <t>It is recommended to develop and implement level crossing common identification system which allows</t>
  </si>
  <si>
    <t>It is recommended to develop and implement level crossing common identification system which allows unique identification of each level crossing for emergency purposes.</t>
  </si>
  <si>
    <t>CZ-639/2</t>
  </si>
  <si>
    <t>It is recommended to apply the above recommendation for all railway infrastructure managers.</t>
  </si>
  <si>
    <t>CZ-635/1</t>
  </si>
  <si>
    <t>Addressed to infrastructure manager Správa Å¾elezniÄní dopravní cesty, s. o.: It is recommended to ne</t>
  </si>
  <si>
    <t>Addressed to infrastructure manager Správa Å¾elezniÄní dopravní cesty, s. o.: It is recommended to negotiate with owners of roads No. 57 and 44346 change of design of road crossing No. 57/44346 in order to ensure safety of vehicles turning from road No. 57 to the level crossing and to prevent vehicles entering road No. 57 from stopping at the level crossing when giving way.</t>
  </si>
  <si>
    <t>CZ-635/2</t>
  </si>
  <si>
    <t>Addressed to infrastructure manager Správa Å¾elezniÄní dopravní cesty, s. o.: It is recommended to im</t>
  </si>
  <si>
    <t>Addressed to infrastructure manager Správa Å¾elezniÄní dopravní cesty, s. o.: It is recommended to implement safety recommendation of DráÅ¾ní inspekce (NIB) based on accident occured 21st September 2007 between Moravské BudÄ›jovice and JaromÄ›Å™ice nad Rokytnou stations. That recommendation was addressed to former infrastructure manager ÄŒeské dráhy, a. s.</t>
  </si>
  <si>
    <t>CZ-635/3</t>
  </si>
  <si>
    <t>Addressed to DráÅ¾ní úÅ™ad (NSA): It is recommended to require implementation of the above recommendat</t>
  </si>
  <si>
    <t>Addressed to DráÅ¾ní úÅ™ad (NSA): It is recommended to require implementation of the above recommendation by all railway infrastructure managers operating regional railway lines.</t>
  </si>
  <si>
    <t>CZ-620/1</t>
  </si>
  <si>
    <t>It is recommended to implement safety recommendation of DráÅ¾ní inspekce (NIB) based on accident occu</t>
  </si>
  <si>
    <t>It is recommended to implement safety recommendation of DráÅ¾ní inspekce (NIB) based on accident occured 21st September 2007 between Moravské BudÄ›jovice and JaromÄ›Å™ice nad Rokytnou stations. That recommendation was addressed to former infrastructure manager ÄŒeské dráhy, a. s.</t>
  </si>
  <si>
    <t>CZ-620/2</t>
  </si>
  <si>
    <t>It is recommended to require implementation of the above recommendation by all railway infrastructur</t>
  </si>
  <si>
    <t>It is recommended to require implementation of the above recommendation by all railway infrastructure managers operating regional railway lines.</t>
  </si>
  <si>
    <t>CZ-612/1</t>
  </si>
  <si>
    <t>It is recommended to modify design of glass partition between lowfloor section and sitting area of t</t>
  </si>
  <si>
    <t>It is recommended to modify design of glass partition between lowfloor section and sitting area of the railcars to ensure that the partition's crash endurance is not lower than crash endurance of windows and of other parts of the vehicle's interior.</t>
  </si>
  <si>
    <t>CZ-567/1</t>
  </si>
  <si>
    <t>Addressed to Ceske drahy a.s.: In the interest of railway safety it is recommended to make maintenan</t>
  </si>
  <si>
    <t>Addressed to Ceske drahy a.s.: In the interest of railway safety it is recommended to make maintenance organisation rules compliant with valid national legislation and rolling stock manufacturers' recommendations.</t>
  </si>
  <si>
    <t>CZ-567/2</t>
  </si>
  <si>
    <t>Addressed to Ceske drahy a.s.: It is recommended to take measures preventing managers from ordering</t>
  </si>
  <si>
    <t>Addressed to Ceske drahy a.s.: It is recommended to take measures preventing managers from ordering staff to break the rules.</t>
  </si>
  <si>
    <t>CZ-567/3</t>
  </si>
  <si>
    <t>Addressed to The National Safety Authority (Drazni urad): It is recommended to check whether railway</t>
  </si>
  <si>
    <t>Addressed to The National Safety Authority (Drazni urad): It is recommended to check whether railway undertaking meets safety requirements each time they report any change to parameters which are relevant to safety certification process.</t>
  </si>
  <si>
    <t>CZ-520/1</t>
  </si>
  <si>
    <t>It is recommended to ensure that the analysis of interaction of construction works and railway traff</t>
  </si>
  <si>
    <t>It is recommended to ensure that the analysis of interaction of construction works and railway traffic is part of mandatory procedures required for obtaining allowance to start the works.</t>
  </si>
  <si>
    <t>CZ-520/2</t>
  </si>
  <si>
    <t>It is recommended to ensure that the allowance to start the works is issued only when effective meas</t>
  </si>
  <si>
    <t>It is recommended to ensure that the allowance to start the works is issued only when effective measures are required in order to eliminate risks identify by the above analysis.</t>
  </si>
  <si>
    <t>CZ-520/3</t>
  </si>
  <si>
    <t>It is recommended to require presence of authorized specialist at the site (according to §149 Act No</t>
  </si>
  <si>
    <t>It is recommended to require presence of authorized specialist at the site (according to §149 Act No. 183/2006 Coll.) during construction operations identified by the above analysis as operations with higher level of risk; this specialist must be equipped with direct communication connection to person dispatching railway traffic in order to be able to require immediate cancel of traffic in case of emergency.</t>
  </si>
  <si>
    <t>CZ-520/4</t>
  </si>
  <si>
    <t>It is recommended to take own measure to ensure implementation of the below recommendation by IM.</t>
  </si>
  <si>
    <t>CZ-520/5</t>
  </si>
  <si>
    <t>It is recommended to ensure that person dispatching railway traffic can immediately take effective m</t>
  </si>
  <si>
    <t>It is recommended to ensure that person dispatching railway traffic can immediately take effective measures to ensure railway safety when canceling of railway traffic is requested by authorized specialist via designated communication channel (according to the above recommendation addressed to NSA)</t>
  </si>
  <si>
    <t>CZ-517/1</t>
  </si>
  <si>
    <t>Addressed to all railway undertakings running T3 trams with DBR relay: It is recommended to check (a</t>
  </si>
  <si>
    <t>Addressed to all railway undertakings running T3 trams with DBR relay: It is recommended to check (and adjust) within maintenance procedures whether â€œdoor openâ€ is indicated as soon as the distance between two doors is greater than 2 cm at the bottom.</t>
  </si>
  <si>
    <t>CZ-517/2</t>
  </si>
  <si>
    <t>Addressed to all railway undertakings running T3 trams with DBR relay: While performing regular main</t>
  </si>
  <si>
    <t>Addressed to all railway undertakings running T3 trams with DBR relay: While performing regular maintenance it is recommended to adjust the doors in order to minimize possibility of opening the door at their bottom while their top is locked in â€œdoor closedâ€ position.</t>
  </si>
  <si>
    <t>CZ-517/3</t>
  </si>
  <si>
    <t>Addressed to all railway undertakings running T3 trams: It is recommended to equip all T3 trams with</t>
  </si>
  <si>
    <t>Addressed to all railway undertakings running T3 trams: It is recommended to equip all T3 trams with the emergency brake buttons placed above all entrance doors indoors.</t>
  </si>
  <si>
    <t>CZ-517/4</t>
  </si>
  <si>
    <t>Addressed to all railway undertakings running trams: It is recommended to standardize form and label</t>
  </si>
  <si>
    <t>Addressed to all railway undertakings running trams: It is recommended to standardize form and labelling of emergency brake buttons within all types of trams.</t>
  </si>
  <si>
    <t>CZ-517/5</t>
  </si>
  <si>
    <t>Addressed to Czech National Safety Authority (DráÅ¾ní úÅ™ad): It is recommended to force relevant rail</t>
  </si>
  <si>
    <t>Addressed to Czech National Safety Authority (DráÅ¾ní úÅ™ad): It is recommended to force relevant railway undertakings to accept the above recommendations 1 â€“ 4.</t>
  </si>
  <si>
    <t>CZ-479/1</t>
  </si>
  <si>
    <t>It is recommended to all infrastructure managers operating interlocking system ESA 11 to improve it,</t>
  </si>
  <si>
    <t>It is recommended to all infrastructure managers operating interlocking system ESA 11 to improve it, in order to process in the safe way change of station track status of occupation after track circuit re-activation.</t>
  </si>
  <si>
    <t>CZ-479/2</t>
  </si>
  <si>
    <t>It is recommended to The Rail Authority (CZ National Safety Authority) to require implementation of</t>
  </si>
  <si>
    <t>It is recommended to The Rail Authority (CZ National Safety Authority) to require implementation of the above mentioned recommendation for all existing devices of that type and of similar types.</t>
  </si>
  <si>
    <t>CZ-479/3</t>
  </si>
  <si>
    <t>It is recommended to the new infrastructure manager Správa Å¾elezniÄní dopravní cesty, s. o. to equip</t>
  </si>
  <si>
    <t>It is recommended to the new infrastructure manager Správa Å¾elezniÄní dopravní cesty, s. o. to equip renewed main lines with system for emergency remote train stopping.</t>
  </si>
  <si>
    <t>CZ-479/4</t>
  </si>
  <si>
    <t>It is recommended to all operators operating class 163 locomotives to improve sanding indicator in o</t>
  </si>
  <si>
    <t>It is recommended to all operators operating class 163 locomotives to improve sanding indicator in order to indicate real status of sanding device.</t>
  </si>
  <si>
    <t>CZ-479/5</t>
  </si>
  <si>
    <t>It is recommended to The Rail Authority (CZ National Safety Authority) to require all new locomotive</t>
  </si>
  <si>
    <t>It is recommended to The Rail Authority (CZ National Safety Authority) to require all new locomotives to have sanding indicator according to paragraph 4 of this recommendation.</t>
  </si>
  <si>
    <t>CZ-479/6</t>
  </si>
  <si>
    <t>It is recommended to all operators operating class 163 locomotives and similar to have regular check</t>
  </si>
  <si>
    <t>It is recommended to all operators operating class 163 locomotives and similar to have regular check and maintenance of pneumatic sander valves included in maintenance procedures.</t>
  </si>
  <si>
    <t>CZ-479/7</t>
  </si>
  <si>
    <t>It is recommended to The Rail Authority (CZ National Safety Authority) to archive documentation of c</t>
  </si>
  <si>
    <t>It is recommended to The Rail Authority (CZ National Safety Authority) to archive documentation of components, devices and sets they certify for accident investigation and other purposes.</t>
  </si>
  <si>
    <t>CZ-461/1</t>
  </si>
  <si>
    <t>Recommentation addressed to all railway undertakings running trams KT8D5 with TV3 traction equipment</t>
  </si>
  <si>
    <t>Recommentation addressed to all railway undertakings running trams KT8D5 with TV3 traction equipment: It is recommended to have regular check of connectors KP1 â€“ KP4 included in maintenance procedures.</t>
  </si>
  <si>
    <t>CZ-461/2</t>
  </si>
  <si>
    <t>Recommendation addressed to Czech National Safety Authority (DráÅ¾ní úÅ™ad): It is recommended to cons</t>
  </si>
  <si>
    <t>Recommendation addressed to Czech National Safety Authority (DráÅ¾ní úÅ™ad): It is recommended to consider improvement of all trams with TV3 traction equipment in order to ensure proper function of the brake pedal in case of false acting of ORJ relay.</t>
  </si>
  <si>
    <t>CZ-453/1</t>
  </si>
  <si>
    <t>It is recommended to equip bi-directional single-track tramway lines with interlocking system preven</t>
  </si>
  <si>
    <t>It is recommended to equip bi-directional single-track tramway lines with interlocking system preventing tram from entering track occupied with another tram running in the opposite direction.</t>
  </si>
  <si>
    <t>CZ-453/2</t>
  </si>
  <si>
    <t>It is recommended to equip bi-directional single-track tramway lines with interlocking system capabl</t>
  </si>
  <si>
    <t>It is recommended to equip bi-directional single-track tramway lines with interlocking system capable to switch off the power if a tram enters track already occupied with another tram running in the opposite direction.</t>
  </si>
  <si>
    <t>CZ-453/3</t>
  </si>
  <si>
    <t>It is recommended on bi-directional single-track tramway lines to ensure that a tram immediately sto</t>
  </si>
  <si>
    <t>It is recommended on bi-directional single-track tramway lines to ensure that a tram immediately stops when the power supply is lost.</t>
  </si>
  <si>
    <t>CZ-453/4</t>
  </si>
  <si>
    <t>It is recommended to equip interlocking systems on bi-directional single-track tramway lines with a</t>
  </si>
  <si>
    <t>It is recommended to equip interlocking systems on bi-directional single-track tramway lines with a data recorder logging the operation.</t>
  </si>
  <si>
    <t>CZ-453/5</t>
  </si>
  <si>
    <t>It is recommended to equip bi-directional single-track tramway lines with a recorder recording commu</t>
  </si>
  <si>
    <t>It is recommended to equip bi-directional single-track tramway lines with a recorder recording communication between dispatch personnel and tram-drivers.</t>
  </si>
  <si>
    <t>CZ-453/6</t>
  </si>
  <si>
    <t>When approving reconstruction of bi-directional single-track tramway lines it is recommended to cons</t>
  </si>
  <si>
    <t>When approving reconstruction of bi-directional single-track tramway lines it is recommended to consider operational safety in light of the above recommendations.</t>
  </si>
  <si>
    <t>CZ-447/1</t>
  </si>
  <si>
    <t>It is recommended to require railway workers working on the track to declare, before they start work</t>
  </si>
  <si>
    <t>It is recommended to require railway workers working on the track to declare, before they start working, time necessary for safe evacuation of the workplace (including removal of all their equipment).</t>
  </si>
  <si>
    <t>CZ-447/2</t>
  </si>
  <si>
    <t>It is recommended to ensure that their regulations guarantee safety of track-workers with regard to</t>
  </si>
  <si>
    <t>It is recommended to ensure that their regulations guarantee safety of track-workers with regard to train speed limit and time necessary for safe evacuation of the workplace.</t>
  </si>
  <si>
    <t>CZ-408/1</t>
  </si>
  <si>
    <t>Recommendation addressed to railway undertaking ÄŒeské dráhy, a. s. and to the national safety author</t>
  </si>
  <si>
    <t>Recommendation addressed to railway undertaking ÄŒeské dráhy, a. s. and to the national safety authority: to create maintenance scheme for electric unit class 460 based on regular monitoring of real technical condition of the vehicle.</t>
  </si>
  <si>
    <t>CZ-407/1</t>
  </si>
  <si>
    <t>It is recommended to improve training scheme of personnel performing non-destructive testing of rail</t>
  </si>
  <si>
    <t>It is recommended to improve training scheme of personnel performing non-destructive testing of rails.</t>
  </si>
  <si>
    <t>CZ-407/2</t>
  </si>
  <si>
    <t>It is recommended to implement European technical norms into scheme of non-destructive testing of ra</t>
  </si>
  <si>
    <t>It is recommended to implement European technical norms into scheme of non-destructive testing of rails.</t>
  </si>
  <si>
    <t>CZ-407/3</t>
  </si>
  <si>
    <t>It is recommended to carefully evaluate results of non-destructive testing of rails, especially when</t>
  </si>
  <si>
    <t>It is recommended to carefully evaluate results of non-destructive testing of rails, especially when combined defect is detected.</t>
  </si>
  <si>
    <t>CZ-407/4</t>
  </si>
  <si>
    <t>It is recommended to determine maximal life of rails according to frequency and character of their l</t>
  </si>
  <si>
    <t>It is recommended to determine maximal life of rails according to frequency and character of their load.</t>
  </si>
  <si>
    <t>CZ-406/1</t>
  </si>
  <si>
    <t>It is recommended to create and regularly apply procedure for preventative checking of mechanisms of</t>
  </si>
  <si>
    <t>It is recommended to create and regularly apply procedure for preventative checking of mechanisms of manually operated switches.</t>
  </si>
  <si>
    <t>CZ-406/2</t>
  </si>
  <si>
    <t>It is recommended to modify maintenance procedure for mechanisms of manually operated switches in or</t>
  </si>
  <si>
    <t>It is recommended to modify maintenance procedure for mechanisms of manually operated switches in order to avoid rough manipulation with the mechanims.</t>
  </si>
  <si>
    <t>CZ-386/1</t>
  </si>
  <si>
    <t>It is recommended to equip each level crossing with visible ID-table with unique level crossing ID-number and an emergency telephone number, in order to avoid misunderstandings when alerting emergency services or infrastructure manager in case of emergency (see safety recommendations issued within accidents VraÅˆany 19th March 2007 and JablÅ¯nka 7th May 2007).</t>
  </si>
  <si>
    <t>CZ-354/1</t>
  </si>
  <si>
    <t>to put internal rule ÄŒD S4/3 into accordance with norm ÄŒSN 736380</t>
  </si>
  <si>
    <t>CZ-354/2</t>
  </si>
  <si>
    <t>to check visibility condition at all the level crossings, where visibility reduction has been applie</t>
  </si>
  <si>
    <t>to check visibility condition at all the level crossings, where visibility reduction has been applied by the internal rule ÄŒD S4/3, and to modify these level crossings according to the norm ÄŒSN 736380</t>
  </si>
  <si>
    <t>CZ-353/1</t>
  </si>
  <si>
    <t>It is recommended to create procedure for loading and transporting switches secured by textile belts</t>
  </si>
  <si>
    <t>It is recommended to create procedure for loading and transporting switches secured by textile belts.</t>
  </si>
  <si>
    <t>CZ-353/2</t>
  </si>
  <si>
    <t>It is recommended to revise contemporary way of transporting of oversized goods from DT Výhybkárn</t>
  </si>
  <si>
    <t>It is recommended to revise contemporary way of transporting of oversized goods from DT Výhybkárna a strojírna, a. s., ProstÄ›jov company, in order to ensure the safety, before the procedure for loading and transporting switches secured by textile belts is created.</t>
  </si>
  <si>
    <t>CZ-320/1</t>
  </si>
  <si>
    <t>It is recommended to equip busy regional lines without interlocking with an technical interlocking s</t>
  </si>
  <si>
    <t>It is recommended to equip busy regional lines without interlocking with an technical interlocking system ensuring that trains can't enter occupied part of line.</t>
  </si>
  <si>
    <t>CZ-4465/1</t>
  </si>
  <si>
    <t>to harmonize SMS elements of operating the national railways and contents uniform technological processes on other railways, to provide responsibilities of managers and workers for safety during railway operation, maintenance, ensuring safe technical parameters, allowed components and their allowed wear.</t>
  </si>
  <si>
    <t>CZ-4465/2</t>
  </si>
  <si>
    <t>it is recommended to take own measure forcing implementation of the above recommendation for all other IMs within Czech republic, or more precisely measures in the process of publishing, respectively changing of safety certification of IM in terms of completeness and accuracy of the SMS.</t>
  </si>
  <si>
    <t>CZ-0011/1</t>
  </si>
  <si>
    <t>â€¢accelerate the installation of new diagnostic devices for detecting faults on rolling stock complaint with Directive no. 36. To prefer placing those diagnostic devices on lines equipped with remote- controlled interlocking equipment; â€¢modify the articles No. 3773 and 3774 of internal regulation SÅ½DC D 1 (or extend the existing) to determine technological processes for employees of IM and RU, in a case that a dangerous technical fault is identified.</t>
  </si>
  <si>
    <t>CZ-0011/2</t>
  </si>
  <si>
    <t>â€¢perform the revision of all wagons which have been equipped with the bearing housing of type 59V and their actual mileage since the last revision repair exceeded 130.000 km. This revision has to include at least removing of the bearing housing, disassembling, safety check, bearing lubrication and filling the bearing housing with new lubricant; â€¢establish within its safety management system the assessment system to improve the bearing condition of wagons in the course of their useful lives, perform records so that it can be identified when the check of axle bearings (maintenance, repair, lubrication, etc...) was carried out.; â€¢reconsider the system of the planned repairs of towed rolling stocks effective since 1. January 2014 in order to not prolong the mileage of towed rolling stocks with respect to the adopted safety management system.</t>
  </si>
  <si>
    <t>CZ-0011/3</t>
  </si>
  <si>
    <t>â€¢it is recommended to take own measure forcing implementation of the above recommendations for other infrastructure manager (IM) and railway undertaking (RU) in the Czech Republic.</t>
  </si>
  <si>
    <t>CZ-0054/1</t>
  </si>
  <si>
    <t>determine procedures for checking the correct loading and fixation of this specific load of rolls of wire.</t>
  </si>
  <si>
    <t>CZ-0054/2</t>
  </si>
  <si>
    <t>it is recommended to take own measure forcing implementation of the above recommendations for other railway undertakings (RU) in the Czech Republic.</t>
  </si>
  <si>
    <t>CZ-4689/1</t>
  </si>
  <si>
    <t>Based on previous safety recommendations issued by Railway safety inspection unit and taking into account the causes of accidents reconsider technological procedures and conditions for the expedition of trains (especially passenger transport) by signal of the main signal device. To determine technical or organizational measures for employees conducting expedition trains without possibility of circumvention.</t>
  </si>
  <si>
    <t>CZ-4689/2</t>
  </si>
  <si>
    <t>Ensure as soon as possible software update of the AVV system, modified by the producer after the accident in the railway station PoÅ™íÄany into all conceivable train engines.</t>
  </si>
  <si>
    <t>CZ-4689/3</t>
  </si>
  <si>
    <t>It is recommended to take own measure forcing implementation of the above recommendations in its activities the national safety authority.</t>
  </si>
  <si>
    <t>CZ-4711/1</t>
  </si>
  <si>
    <t>â€¢it is recommended to issue a system that will ensure strict observance of the rules and procedures contained in the current technical procedures of the IM to assess vegetation in the protected zone of the railway taking into consideration its height, age, reduced stability and "health" status whether is a source of danger; â€¢it is recommended to implement in current technological processes specification and implementation of the basic requirements for the competence of personnel responsible for line track inspections to identify vegetation, which shows signs, that it could be a source of danger to the railway; â€¢it is recommended to introduce a system of trainings and periodic verifications of knowledge of workers in charge to carry out track line checks to identify vegetation, which shows signs of being source of danger to the track line. The system should count as well with the workers who will carry out cutting and felling of selected vegetation in the way that those workers will meet the competency requirements for such activities at least at a basic level. The goal of issued safety recommendations is to determine clear rules and procedures to detect and identify threats to track line by vegetation growing in the protected zone of the railway including the competence of employees ie. which professional skills they should have and how to assess the vegetation as a threat. The aim is not complete cut down all the vegetation growing in the protected zone of the railway but to distinguish different level of threats eg. between the young ones, low trees, overgrown trees and â€œsickâ€ trees.</t>
  </si>
  <si>
    <t>CZ-4711/2</t>
  </si>
  <si>
    <t>it is recommended to take own measure forcing implementation of the above recommendations for other all IMs in the Czech republic.</t>
  </si>
  <si>
    <t>CZ-4714/1</t>
  </si>
  <si>
    <t>â€¢ to perform regular specialized preventive examinations of (in advance selected) rock faces associated with the preliminary geotechnical surveys as a part of comprehensive inspections; â€¢ in case of performing these inspections by SÅ½DC, s. o. (IM) employees, to determine carrying out these inspections into their job description. Determination of qualification of these employees is needed as well; â€¢ in case of performing these inspections by SÅ½DC, s. o. (IM) employees, determine technological procedures of these inspections.</t>
  </si>
  <si>
    <t>CZ-4714/2</t>
  </si>
  <si>
    <t>It is recommended to take own measure forcing implementation of the above recommendations for all the other IM's in the Czech republic.</t>
  </si>
  <si>
    <t>CZ-4727/1</t>
  </si>
  <si>
    <t>determine the responsibility of management and employees to ensure control of compliance with the rules of operation of rail transport, including procedures and frequency of controls to ensure compliance with existing new and changed technical and operational standards or other prescriptive conditions contained in national legislation, in internal regulations of the RU and by the decisions of government authorities, in technological procedures of the operation of rail transport on sidings;</t>
  </si>
  <si>
    <t>CZ-4727/2</t>
  </si>
  <si>
    <t>determine a obligation of engine driver to check the connection of the engine and first air braked wagon. That is not a case, when the connection is provided by engine driver himself.</t>
  </si>
  <si>
    <t>CZ-4727/3</t>
  </si>
  <si>
    <t>it is recommended to take own measure forcing implementation of the above recommendations for other all RUs/IMs at all sidings in the Czech republic.</t>
  </si>
  <si>
    <t>CZ-4731/1</t>
  </si>
  <si>
    <t>â€¢ to equip gradually all locomotives by technical device, which will provide the train driver a possibility to control the movement of collectors on the overhead contact line (eg. cameras with recording and live streaming to the cab of train driver); â€¢ install on all electric locomotives on collector down position limit switch. The collector would send a signal to the locomotive driver to confirm its bottom locked position; â€¢ for locomotives operated in train sets with control cars extend the recording of the speed indicator of locomotive commands given by switch No. S125 given by locomotive driver from control car.</t>
  </si>
  <si>
    <t>CZ-4731/2</t>
  </si>
  <si>
    <t>it is recommended to take own measure forcing implementation of the above recommendations for other all RU in the Czech republic, who are using electric locomotives.</t>
  </si>
  <si>
    <t>CZ-4731/3</t>
  </si>
  <si>
    <t>make an outline and organize specialized training course based on experiences from incidents focused on dealing with the crisis situations or in the case of accident/incident threats.</t>
  </si>
  <si>
    <t>CZ-4733/1</t>
  </si>
  <si>
    <t>â€¢ fulfil the safety recommendations issued by RSIO in connection with incident in Dolní BeÅ™kovice station, dated 19 th June 2014; â€¢ by own arrangements to ensure knowledge of the infrastructure manager about professional competence of railway undertaking employees for carrying out activities in the rail operation.</t>
  </si>
  <si>
    <t>CZ-4733/2</t>
  </si>
  <si>
    <t>â€¢ fulfil the safety recommendations issued by RSIO in connection with incident in Dolní BeÅ™kovice station, dated 19 th June 2014. The purpose of this recommendation are findings following from results of investigation of this accident, these confirm the reality, that the main segment of the management is the supervision. Without demanding and efficient supervision, consistent discussion of discovered lacks is not possible to reach set safety goals for systematic improvement of safety management system.</t>
  </si>
  <si>
    <t>CZ-4734/1</t>
  </si>
  <si>
    <t>â€¢ It is recommended to equip traction control system of the train unit type 460 and 560 with a new system, in order to prevent setting the train in motion unless the doors are completely closed; â€¢ until the realization the above mentioned safety recommendation to intensify the control activities focused on management processes of train drivers of units 460 and 560, before setting the train in motion at stops and stations.</t>
  </si>
  <si>
    <t>CZ-4734/2</t>
  </si>
  <si>
    <t>it is recommended to take own measure forcing implementation of the above recommendations for other all RUs in the Czech republic, which use these electric units (type 460 and 560).</t>
  </si>
  <si>
    <t>CZ-4741/1</t>
  </si>
  <si>
    <t>â€¢ modify the current system related to third parties activities conducting works for infrastructure manager, especially in field of: â—¦ terms and conditions, in order to be on time and verifiable informed about all third parties participating in infrastructure works, including all of the contracts and stipulations; â—¦ preparatory stages, to approve in advance all the procedures and connected measures related to the operation of the track for smooth and safety conducting of the railway transport; â—¦ supervision of activities of all third parties, respectively final contractors in order to ensure observing all the terms and conditions for smooth and safety conducting of the railway transport., including the professional competence.</t>
  </si>
  <si>
    <t>CZ-4741/2</t>
  </si>
  <si>
    <t>â€¢ it is recommended to take its own measure forcing implementation of the above recommendations for other infrastructure managers in the Czech republic.</t>
  </si>
  <si>
    <t>CZ-4742/1</t>
  </si>
  <si>
    <t>It is recommended to increase safety at the level crossings equipped with warning lights in accordance with previous safety recommendations of Czech NIB, so that at reconstruction and modernization of railway tracks and the level crossings (not only at railway tracks included to European railway system) were designed and installed only level crossing safety equipment with warning lights and barriers.</t>
  </si>
  <si>
    <t>CZ-4742/2</t>
  </si>
  <si>
    <t>CZ-4742/3</t>
  </si>
  <si>
    <t>Incorporating the above safety recommendation for the infrastructure manager to Act no. 266/1994 ...</t>
  </si>
  <si>
    <t>Incorporating the above safety recommendation for the infrastructure manager to Act no. 266/1994 Coll., on Railways, as amended.</t>
  </si>
  <si>
    <t>CZ-4750/1</t>
  </si>
  <si>
    <t>- Change the activating procedure for the instruction "emergency" on the control panel TOP 1, so that the activation of this instruction was as simple as possible and adjust control panel software so that in a case of incorrect input the operator will be notified by warning text on the screen; - To introduce throughout the Czech Republic on the railways radio system GSM-R function "General Stop" that could stop the train without the assistance of the train driver.</t>
  </si>
  <si>
    <t>CZ-4750/2</t>
  </si>
  <si>
    <t>- In internal Directive PERS-25-B-2012 to specify "shortcomings in the activities of people associated with a medical condition and circumstances indicative of the changing health capability to perform activities" that could influence the safety of railway transport; - To equip rolling stocks (locomotives) operated within a railway radio system GSM-R and TRS with function "General Stop", so that it will be possible to stop the train without the assistance of train driver.</t>
  </si>
  <si>
    <t>CZ-4750/3</t>
  </si>
  <si>
    <t>It is recommended to take own measure forcing implementation of the above recommendations for other all IM in the Czech republic.</t>
  </si>
  <si>
    <t>CZ-4791/1</t>
  </si>
  <si>
    <t>â€¢ improve safety at the level crossing P7140 by installing barriers; â€¢ based on previous safety recommendations of the Czech NIB, it is recommended, in case of reconstruction and modernization of railway tracks and the level crossings (not only at railway tracks included to European railway system) to design and install only level crossing safety equipment with warning lights and barriers.</t>
  </si>
  <si>
    <t>CZ-4791/2</t>
  </si>
  <si>
    <t>CZ-4791/3</t>
  </si>
  <si>
    <t>CZ-4791/4</t>
  </si>
  <si>
    <t>In connection with the provision of Act 30/2001, it's recommended to take own measure to install road marking V18 on the road leading over the level crossing P7140.</t>
  </si>
  <si>
    <t>CZ-4803/1</t>
  </si>
  <si>
    <t>â€¢ improve safety at the level crossing P8143 by installing barriers; â€¢it is recommended to increase safety at the level crossings which are equipped with warning lights in accordance with previous safety recommendations of Czech NIB, so that at reconstruction and modernization of railway tracks and the level crossings (not only at railway tracks which are included to European railway system) there was designed and installed only level crossing safety equipment with warning lights and barriers.</t>
  </si>
  <si>
    <t>CZ-4803/2</t>
  </si>
  <si>
    <t>it is recommended to take own measure forcing implementation of the above recommendations for other infrastructure manager (IM) in the Czech Republic.</t>
  </si>
  <si>
    <t>CZ-4803/3</t>
  </si>
  <si>
    <t>it is recommended to introduce the level crossing safety improvement measure, as mentioned above, for infrastructure managers (IM) into act No. 266/1994.</t>
  </si>
  <si>
    <t>CZ-4803/4</t>
  </si>
  <si>
    <t>in connection with the provision of Act 30/2001, it's recommended to take own measure to install ...</t>
  </si>
  <si>
    <t>in connection with the provision of Act 30/2001, it's recommended to take own measure to install road markings V5 and V18 on the main direction of the road leading the level crossing P8143.</t>
  </si>
  <si>
    <t>CZ-4804/1</t>
  </si>
  <si>
    <t>â€¢ to discuss a strict implementation of chapter 2, article 7, para. 7.1, general agreement on the use of rolling stocks, as amended with the holder of derailment freight wagon (CTL KOLZAP Sp. z o. o.) in order to ensure the that the technical conditions of the freight wagons will meet the requirements throughout their use for the operation of railway transport; â€¢ to discuss with the holder of derailment freight wagon (CTL KOLZAP Sp. z o. o.) and with other holders of the same kind of wagons a possibility to equip wagons (especially those used for RID transports) with pneumatic derailment detectors.</t>
  </si>
  <si>
    <t>CZ-4804/2</t>
  </si>
  <si>
    <t>CZ-4804/3</t>
  </si>
  <si>
    <t>To take own measure towards holder of the derailment freight wagon (CTL KOLZAP Sp. z o. o.), in order to force them to take care about their towed rolling stocks, especially about towed rolling stocks with installed axles produced in ironworks 1 Maja Gliwice in 1986 and earlier, so that the freight wagons will meet the requirements throughout their use for the operation of railway transport.</t>
  </si>
  <si>
    <t>CZ-4822/1</t>
  </si>
  <si>
    <t>â€¢ ensure the mandatory use of the AVV system on all equipped engines and lines and continue to spread this equipment; â€¢ update the operation system of the CRV&amp;AVV system by installing an acoustic signal in order to ensure notification of the driver, when the â€œtarget brakingâ€ system Is being deactivated.</t>
  </si>
  <si>
    <t>CZ-4822/2</t>
  </si>
  <si>
    <t>It is recommended to take own measure forcing implementation of the above recommendations for other all RUs in the Czech republic.</t>
  </si>
  <si>
    <t>CZ-4827/1</t>
  </si>
  <si>
    <t>â€¢ at level crossings equipped by light level crossing system with half barriers, conduct a feasibility study of a new system providing the way of going up and down the barriers. The current system is simultaneous, while the potential new system could be sequential in the sense that the front barrier on the driver side could go down sooner than the opposite one immediately after expiring warning time. Based on this study to implement change of a current system to the new one at all relevant level crossings, especially on multi-track lines; â€¢ to prefer for all newly implemented level crossing systems equipped by the light level crossing system with half barriers the system where the barrier on the driver side goes down sooner than the opposite one, immediately after expiring warning time; â€¢ conduct risk analysis a part of which would be an assessment of local conditions and behaviour of road users within modernisation (reconstruction) or regular control check of level crossings.</t>
  </si>
  <si>
    <t>CZ-4827/2</t>
  </si>
  <si>
    <t>â€¢ within the training for the position of train driver and follow-up trainings to systematically focus on critical situations (eg. through various simulators or practical training on specific locomotives); â€¢ to mark the area behind the train driver's cab with warnings (inscriptions, or pictograms). Ensure there a free space (escape route for the train driver). To entitle train crewmembers to give instructions and orders to passengers in order to avoid anything what could prevent the train driver to escape from the cabin in case of danger</t>
  </si>
  <si>
    <t>CZ-4827/3</t>
  </si>
  <si>
    <t>â€¢ it is recommended to take its own measure forcing implementation of the above recommendations for other railway undertakings (RUs) in the Czech Republic; â€¢ it is recommended to take its own measure forcing implementation of the above recommendations for other infrastructure managers (IMs) in the Czech Republic; â€¢ in cooperation with the Czech Ministry of Transport to initiate change of Czech standards CSN 34 2650 ed. 2 "Railway signaling equipment - Level crossing safety equipment", as amended so that at level crossings secured by light level crossing system with two half barriers on both sides that go down simultaneously against each other, apply as a matter of priority the system where the barrier on the driver side goes down sooner than the opposite one immediately after expiring warning time; â€¢ in cooperation with the Ministry of Transport of the Czech Republic to consider the possibility of initiating change in the Czech technical standard CSN 34 2650 ed. 2 "Railway signaling equipment - Level crossing safety equipment" as amended so that the signal red and white paint on the inside of the barriers was replaced by a different sign (which does not evoke a ban), or encouraging the driver to leave the level crossing by breaking the barriers.</t>
  </si>
  <si>
    <t>CZ-4827/4</t>
  </si>
  <si>
    <t>â€¢to expand awareness of road vehicle drivers by the option to break the barriers in the situation, when road vehicle is trapped between the barriers on the level crossing; â€¢to initiate unification of procedures for use of surveillance systems installed in close proximity of level crossings also for prevention and dealing with undisciplined behavior of road users who enter the level crossing when visual and acoustic warning is being given; â€¢ to tighten up the punishments for unauthorized entry of road vehicles and road users onto a level crossing when it is forbidden in order to prevent these situations in advance. At the same time it must also be ensured completely effective detection system of misusing the safety system mentioned above (eg. In the form of security cameras) and impose sanctions.</t>
  </si>
  <si>
    <t>CZ-4836/1</t>
  </si>
  <si>
    <t>â€¢ on the lines operated by SZDC check whether the basic transport documentation, especially the station regulations, unambiguous way determines (in the sense of Art. 2859 own internal regulation SZDC D1) for detecting train routes districts and whether is further defined how to check whether the train route is unoccupied or not; â€¢ on the lines operated by SZDC check whether the data about the track and technological procedures of operating railway are up to date. If not, is needed take measures to keep them updated; â€¢ on the lines operated by SZDC perform in the frame of carrying out the controls practical verification of knowledge of dispatchers and employees with the D-03 exam (switchman) at stations that are equipped with an electromechanical interlocking equipment with switch device.</t>
  </si>
  <si>
    <t>CZ-4836/2</t>
  </si>
  <si>
    <t>It is recommended to take own measure forcing implementation of the above recommendations for other all IMs in the Czech republic.</t>
  </si>
  <si>
    <t>CZ-4878/1</t>
  </si>
  <si>
    <t>â€¢it is recommended to change level crossing system of level crossing No. P7953 to level crossing system equipped with barriers; â€¢ due to the fact that a large number of collisions on level crossings and with the worst consequences takes place at level crossings secured only with warning crosses is recommended to further increase, in order to ensure maximum safety of operation of rail transport and road users, their level of security in case of renovations and modernization of railway tracks, railway crossings, not just those included in the European railway system, were designed and installed only level crossing safety equipment with warning lights and barriers.</t>
  </si>
  <si>
    <t>CZ-4878/2</t>
  </si>
  <si>
    <t>it is recommended to adopt of their measures towards ensuring the realization of the above safety recommendation (in the second point) for others infrastructure managers in the Czech Republic.</t>
  </si>
  <si>
    <t>CZ-4878/3</t>
  </si>
  <si>
    <t>incorporating the above safety recommendation for the infrastructure manager (in the second point) to Act no. 266/1994 Coll., on Railways, as amended.</t>
  </si>
  <si>
    <t>CZ-4882/1</t>
  </si>
  <si>
    <t>â€¢ reconsider (edit) existing system related to activities at construction sites (in the field of providing security at individual workplaces), especially: â€¢ in order to keep the content of the agreements concluded with external legal entities that work for the IM, alway clear, understandable, semantically unambiguous and prevent the possibility to be interpreted in multiple ways; â€¢ in order to determine clearly duties and responsibilities for IM, how and who exactly notify the project coordinator about the presence of the workers at the construction site, including contacts on these persons.</t>
  </si>
  <si>
    <t>CZ-4882/2</t>
  </si>
  <si>
    <t>â€¢ it is recommended to take own measure forcing implementation of the above recommendations for other all IMs in the Czech republic.</t>
  </si>
  <si>
    <t>CZ-4885/1</t>
  </si>
  <si>
    <t>â€¢ reassess the existing system of transport rails on sleepers on bogies type 53, especially in relation to the weight (number of transported rails on sleepers loaded on bogies), transport distances and transport conditions in order to eliminate (minimize) the risk of accident/incident; â€¢ in technological procedures for transporting rails on sleepers loaded on bogies type 53, prohibit passing by and meetings with freight trains travelling on the adjacent track.</t>
  </si>
  <si>
    <t>CZ-4885/2</t>
  </si>
  <si>
    <t>it is recommended to take own measure forcing implementation of the above recommendations for other all IMs and RUs in the Czech republic. The purpose of the above safety recommendations is to enhance the safety of transport of this type of cargo in order to reduce the property damage.</t>
  </si>
  <si>
    <t>CZ-4887/1</t>
  </si>
  <si>
    <t>â€¢ increase the safety level on the level crossing by installing barriers as addition to visual and acoustic warnings; â€¢ in cooperation with road managers pay more attention to maintenance and renovation of horizontal traffic signs; â€¢ always carry out a risk assessment and evaluation of indicators, that influence the chosen kind of level crossing safety equipment including economic and technical-safety point of view and based on that choose the best variant. Avoid building or the new barriers that could deteriorate the sight conditions at level crossings even more. Don't miss out the options of using new technologies without the need to be deployed in technological sheds; â€¢ ensure the highest safety level on current level crossings by installing barriers on still level crossing that haven't been still equipped. When planning a new level crossing, design always only safety equipment with barriers; â€¢ don't deteriorate the safety level on level crossings by uninstalling the barriers from already equipped level crossings.</t>
  </si>
  <si>
    <t>CZ-4887/2</t>
  </si>
  <si>
    <t>â€¢ to require equipping the inner side of the door connecting the driver's cabin with passenger compartment with a panic handle.</t>
  </si>
  <si>
    <t>CZ-4887/3</t>
  </si>
  <si>
    <t>â€¢ adopt own measure on the road No. II/206, towards the level crossing P3540, aimed to realization of the road sign logarithmically decreasing transverse marking arrangement; â€¢ in cooperation with road managers pay more attention to maintenance and renovation of horizontal traffic signs.</t>
  </si>
  <si>
    <t>CZ-4887/4</t>
  </si>
  <si>
    <t>â€¢ it is recommended to take its own measure forcing implementation of the above recommendations for other infrastructure managers.</t>
  </si>
  <si>
    <t>CZ-4928/1</t>
  </si>
  <si>
    <t>â€¢ according to evaluated records from the recording equipment ReDat to create the conditions which allow all RUs on tracks of SÅ½DC to execute effective monitoring activity for their train drivers focused on control of the production of radio connection test within the intention of the internal regulation SÅ½DC Z11; â€¢ to subsequently discuss the revealed errors with the respective RUs and to consistenly require fulfillment of binding regulations of SÅ½DC from employees of the RUs under contract on operation of railway transport; â€¢to create the technological processes in case when a station dispatcher ascertains the loss of the radio connection with a train driver.</t>
  </si>
  <si>
    <t>CZ-4928/2</t>
  </si>
  <si>
    <t>â€¢ to re-value the existing control system so that the monitoring activity of the radio connection tests produced by the train drivers within the intention of the internal regulation SÅ½DC Z11 will be permanently increased; â€¢ to establish a control of functionality of the radio connection through the assigned mobile phone before every ride of the train.</t>
  </si>
  <si>
    <t>CZ-4928/3</t>
  </si>
  <si>
    <t>â€¢ it is recommended to take own measure forcing implementation of the above recommendations for other all IMs and RUs in the Czech republic.</t>
  </si>
  <si>
    <t>CZ-4937/1</t>
  </si>
  <si>
    <t>â€¢ to accept a sufficiently effective control system that ensures a rigid adherence to the technological procedures of the infrastructure manager for identification, documentation and timely removal of the rail defects.</t>
  </si>
  <si>
    <t>CZ-4937/2</t>
  </si>
  <si>
    <t>CZ-4966/1</t>
  </si>
  <si>
    <t>â€¢ as a follow-up to already issued safety recommendations it is recommended to change level crossing system of level crossing No. P5312 to level crossing system equipped with barriers; â€¢ based on the fact, that most collisions with worst consequences happens at level crossings equipped only with warning lights without barriers and according to previous recommendations it is recommended to increase safety at the level crossings equipped with warning lights, so that at reconstruction and modernization of railway tracks and the level crossings (not only at railway tracks included to European railway system) were designed and installed only level crossing safety equipment with warning lights and barriers; â€¢ in case of reconstructions, modernizations and building new level crossings always carry out a the best solution assessment abd risk assessment. Based on that choose the best option of level crossing safety equipment. Avoid building new barriers that could deteriorate the sight conditions at level crossings even more. Don't miss out the options of using new technologies without the need to be deployed in a technological sheds.</t>
  </si>
  <si>
    <t>CZ-4966/2</t>
  </si>
  <si>
    <t>â€¢ incorporating the above safety recommendation for the infrastructure manager to Act no. 266/1994 Coll., on Railways, as amended.</t>
  </si>
  <si>
    <t>CZ-4966/3</t>
  </si>
  <si>
    <t>â€¢ it is recommended to adopt of their measures towards ensuring the realization of the above safety recommendation for others infrastructure managers in the Czech Republic.</t>
  </si>
  <si>
    <t>CZ-4968/1</t>
  </si>
  <si>
    <t>â€¢ based on the fact, that most collisions with worst consequences happens at level crossings equipped only with warning lights without barriers and according to previous recommendations ref. no .: 877/2012 / DI, dated 14. 11. 2012, and following similar or the same recommendations, it is recommended to increase safety at the level crossings equipped with warning lights, so that at reconstruction and modernization of railway tracks and the level crossings (not only at railway tracks included to European railway system) were designed and installed only level crossing safety equipment with warning lights and barriers; â€¢ always carry out a risk assessment and evaluation of indicators, that influence chosen kind of level crossing safety equipment including economic and technical-safety point of view and based on that choose the best variant. Avoid building new barriers that could deteriorate the sight conditions at level crossings even more. Don't miss out the options of using new technologies without the need to be deployed in a technological sheds.</t>
  </si>
  <si>
    <t>CZ-4968/2</t>
  </si>
  <si>
    <t>â€¢ in accordance with the wording of previous recommendations ref. no .: 119/2016/DI, of 3. 2. 2016 is recommended within the training for the position of train driver and follow-up trainings to systematically focus on critical situations (eg. through various simulators or practical training on specific locomotives).</t>
  </si>
  <si>
    <t>CZ-4968/3</t>
  </si>
  <si>
    <t>â€¢ it is recommended to take its own measure forcing implementation of the above recommendations for other infrastructure managers (IM) of national railways and in the Czech Republic; â€¢ it is recommended to take its own measure forcing implementation of the above recommendations for other railway undertakings (RUs) in the Czech Republic.</t>
  </si>
  <si>
    <t>CZ-4968/4</t>
  </si>
  <si>
    <t>â€¢ incorporate the above safety recommendations into the relevant legal regulation for infrastructure managers.</t>
  </si>
  <si>
    <t>CZ-5048/1</t>
  </si>
  <si>
    <t>â€¢ to order an extraordinary training course (â€œProfessional exam for employees who controll traffic of trains and shunting operation in traffic closureâ€) and also including externally hired workers and employees of contractors, at the latest to 30th June 2017.</t>
  </si>
  <si>
    <t>CZ-5048/2</t>
  </si>
  <si>
    <t>â€¢ it is recommended to take its own measure forcing implementation of the above recommendation for other infrastructure managers in the Czech Republic.</t>
  </si>
  <si>
    <t>CZ-5048/3</t>
  </si>
  <si>
    <t>â€¢ it is recommended to while partially off the level crossing signal device on multi-track lines will be participants of traffic on the road always inform by traffic signs (eg. road sign no. A22 "other dangers") for an increased risk and ongoing construction work in the area of railway crossing; â€¢ it is recommended to carry out a random inspections in the operation focused on using of alcohol or other addictive substances, especially for train drivers.</t>
  </si>
  <si>
    <t>REC-000485</t>
  </si>
  <si>
    <t>CZ-5074/1</t>
  </si>
  <si>
    <t>To make an adjustment of existing technological processes of operations at shunting, so that each railway undertaking determine by their uniform technological procedures using their knowledge of he specific rolling stocks, which and under what conditions they may be shunted without shunting crews at pushing so that a view from the cab of engine drivers will be always ensured the safety of railway transport and persons located in the circuit in the railway.</t>
  </si>
  <si>
    <t>CZ-5074/2</t>
  </si>
  <si>
    <t>To make an adjustment of existing technological processes of operations at shunting, so that each railway undertaking determine by their uniform technological procedures using their knowledge of the specific rolling stocks, which and under what conditions they may be shunted without shunting crews at pushing so that a view from the cab of engine drivers will be always ensured the safety of railway transport and persons located in the circuit in the railway.</t>
  </si>
  <si>
    <t>CZ-5074/3</t>
  </si>
  <si>
    <t>To determine by the uniform technological procedures the specific rolling stocks, which and under what conditions they may be shunted without shunting crews at pushing so that the view from the cab of engine drivers will be always ensured the safety of railway transport and persons located in the circuit in the railway.</t>
  </si>
  <si>
    <t>CZ-5074/4</t>
  </si>
  <si>
    <t>It is recommended to take own measure forcing implementation of the above recommendations for other all IMs and RUs on these tracks in the Czech Republic.</t>
  </si>
  <si>
    <t>CZ-5091/1</t>
  </si>
  <si>
    <t>â€¢ it is recommended to adopt own measures: â—¦ that a new revision of the bearings will always be carried out in case when the shutdown of the rolling stock is longer than 6 months; â—¦ that lifetime of the axle bearings will be limited to max. 40 years and unmarked bearings will be discarded and unused; â€¢ it is recommended to discuss with the holders of the drawn rolling stocks their armament by a pneumatic detector of derailment, especially rolling stocks which are designated to transport people or dangerous things; â€¢ it is recommended to adopt own measures in cooperation with the Ministry of Transport in relation to the national register of the rolling stocks: â—¦ that the valid registration will be a condition for operation of rolling stock on the railways in the Czech republic; â—¦ that the owners and the holders of the freight rolling stocks will update and complete all necessary data in the national register of the rolling stocks.</t>
  </si>
  <si>
    <t>CZ-5109/1</t>
  </si>
  <si>
    <t>During the modernisation of these railway lines, establish a technical (interlocking) device, which excludes human error while driving railway vehicles, which could lead to an accident.</t>
  </si>
  <si>
    <t>CZ-5109/2</t>
  </si>
  <si>
    <t>To edit the interlocking equipment REMOTE 98 so that any loss of an oversight of a switch, which is equipped with a self-returning point, will be indicated immediately after the loss of the oversight not only on the monitor screen but also acoustic.</t>
  </si>
  <si>
    <t>CZ-5109/3</t>
  </si>
  <si>
    <t>â€¢ to secure that all trains will be ordered to stop and stay by a timetable (so that it can not be any stop train "on request") on railways, where is carry on a train transport by simplified controls of a railway transport and where GW Train Regio a.s. is the RU. It ensures, that data about request stop will be same in a timetable for passengers and in a timetable for employees of the RU; â€¢ to provide a cooperation to infrastructure managers (on railway lines, where GW Train Regio a. s. operates railway traffic) during implementation and operation of the technical (interlocking) device, which excludes human error while driving railway vehicles, which could lead to an accident.</t>
  </si>
  <si>
    <t>CZ-5109/4</t>
  </si>
  <si>
    <t>It is recommended to take own measure forcing implementation of the above recommendations for other all IMs and RUs in the Czech republic and to implement recommendation No. 6-294/2011/DI from 5th September 2011.</t>
  </si>
  <si>
    <t>CZ-5094/1</t>
  </si>
  <si>
    <t>Addressed to The Czech National Safety Authority (NSA): It is recommended to adopt own measures towards the IMs to ensure: â—¦ creation of the technological procedures for control, assessment of the relevancy of the defects and the way how to repair the cracks of welds of the base plate; â—¦ introduction of duty to record all welding works on all parts of the railway superstructure for the IMs.</t>
  </si>
  <si>
    <t>CZ-5136/1</t>
  </si>
  <si>
    <t>â€¢ to adjust technological procedures so that the train crew in trains with rolling stocks equipped with the automatic door locking function will be obligated to close the doors preferably always by using the automatic door locking function before a control over their closure and giving a signal "Standby for departure" or "Permission for departure"; â€¢ to retrain employees who operate the central door closing device with all its functionalities; â€¢ to equip, to reconstruct or to modify the device of the central door closing at the towed rolling stock with body type Y (according to UIC 567-1, ie. also type YB70) so that after using this device (when the doors are closed) it will not be possible to manipulate with these doors from inside the rolling stock until the departure of the train and until their safeguarding against opening during the ride by technical device; â€¢ to equip doors with technical equipment for detecting unclosed doors so that: - in the rolling stocks which have not been adjusted with the device of the central door closing could the train crew check the status of the train doors without any doubt at the time of control over their closure before giving the signal "Standby fordeparture" or "Permission for departure"; - passengers and other persons in the rolling stock will be warned by an optical and acoustic instruction to the unclosed door so they could behave in a way that their own safety, the safety of other passengers and the safety and continuity of the railway transport will not be endangered; â€¢ until the realization of the above safety recommendations to adjust technological procedures, namely procedures for the departure of the train so that: - the train crew could identify the status of the train doors from their place at the time of the control over closure of the doors â€“ in trains which are assembled with the towed rolling stocks with body type Y (according to UIC 567-1, ie. also type YB70); - the train crew will primarily have a duty to check the status of the train doors (from the interior of the rolling stock) after departure of the train from a railway station (railway stop);</t>
  </si>
  <si>
    <t>CZ-5136/2</t>
  </si>
  <si>
    <t>â€¢ it is recommended to take own measure forcing implementation of the above recommendations for other all RUs who use rolling stocks with the same construction of the doors in the Czech republic.</t>
  </si>
  <si>
    <t>CZ-5149/1</t>
  </si>
  <si>
    <t>To adopt own measure forcing implementation: â€¢ to modify the internal control system of the infrastructure managers in order to ensure full compliance with the technological procedures of these infrastructure managers for the detection, recording and removal of defects on the railway superstructure, respectively that deficiencies in the performance of duties under the technological procedures of these infrastructure managers at all levels of control will be detected in time and effective remedies will be taken.</t>
  </si>
  <si>
    <t>CZ-5148/1</t>
  </si>
  <si>
    <t>It is recommended to adopt own measures forcing implementation: 1. to verify that all infrastructure managers have procedures for simplified train operation control in accordance with the Section 19 of the Decree No. 173/1995 Coll.; 2. to recommend the railway undertakings and the infrastructure managers who use a simplified train operation control to change a transport train traffic schedule including its tools so that in operating control points, in which there is a regular crossing of trains, all trains will be ordered to stop and stay; 3. to recommend the railway undertakings and infrastructure managers who use a simplified train operation control to install technical equipment, which would exclude the possibility of human failure during organization of railway transport or driving of locomotives that could lead to an accident, on railway lines and locomotives.</t>
  </si>
  <si>
    <t>CZ-5164/1</t>
  </si>
  <si>
    <t>1) as a follow-up to already issued safety recommendations it is recommended to change level crossing system of level crossing No. P5312 to level crossing system equipped with barriers; 2) based on the fact, that most collisions with worst consequences happens at level crossings equipped only with warning lights without barriers and according to previous recommendations it is recommended to increase safety at the level crossings equipped with warning lights, so that at reconstruction and modernization of railway tracks and the level crossings (not only at railway tracks included to European railway system) were designed and installed only level crossing safety equipment with warning lights and barriers and for two way road with half folding barriers against each other with system of sequential folding barriers.</t>
  </si>
  <si>
    <t>CZ-5164/2</t>
  </si>
  <si>
    <t>CZ-5164/3</t>
  </si>
  <si>
    <t>It is recommended to adopt of their measures towards ensuring the realization of the above safety recommendation for others infrastructure managers in the Czech Republic.</t>
  </si>
  <si>
    <t>CZ-5202/1</t>
  </si>
  <si>
    <t>It is recommended to use of its powers according to law to ensure at the participating railway undertaking Rail System, s. r. o.: â—¦ removal of the detected error in the existing safety management system in respect to the absence of procedures and patterns for documenting safety information and non-establishing the procedure for control of transfer of the most important safety information according to Annex No. 1 of the Decree No. 376/2006 Coll.; â—¦ adoption of the safety management system, drafted strictly in accordance with the content requirements according to Annex No. 1 of the Decree No. 376/2006 Coll. and in line with the methodology set out at the NSAâ€™s website, in the process of restoration of the "Safety Certificate" in 2017; â—¦ control focused on recording of individual acts of the operational treatment "R0" for locomotives so it will be possible to demonstrate compliance with the provisions of the Chapter 4.5 â€œControl and corrective actionsâ€ of its safety management system.</t>
  </si>
  <si>
    <t>CZ-5215/1</t>
  </si>
  <si>
    <t>It is recommended to take own measure directing to infrastructure managers - in 2018 at the latest, expand the scopes of regular employee training: - dealing with control activities, repairs and removal of defects in the area of infrastructure, about the problematic of defining the interface at the points of connection of the operating and control elements of the safety device to the movable parts of the switches, due to the adoption of measures to ensure railway traffic safety at the time of infrastructure damage after an extraordinary event, at the time of the operational defect and in case of failure states; - dealing with repairs, inspection and measurement, about the problematic of switches, due to the adoption of measures to ensure railway traffic safety at the time of fixed and moving parts damage after the extraordinary events and at the time of operational failures.</t>
  </si>
  <si>
    <t>CZ-5234/1</t>
  </si>
  <si>
    <t>It is recommended: â€¢ to take own measure for implementation of previously issued the safety recommendations, which have been issued due to increase safety at level crossings, where occurs the most accidents with the worst consequences; â€¢ at the level crossing No. 599 occurred to collisions of trains with cars already in 2013 and 2015. The Rail Safety Inspection Office therefore recommends to Czech National Safety Authority to initiate negotiations with infrastructure manager to change of level crossing system of active level crossing No. P599 to level crossing system equipped with a barriers.</t>
  </si>
  <si>
    <t>CZ-5241/1</t>
  </si>
  <si>
    <t>â€¢ to adopt own measures which will ensure in the shortest possible time, that: - it will be verified at all level crossings on roads and local roads in the Czech Republic whether their crossing construction ensure that a free level crossing width is at least 5 m (in case when there was a reconstruction of the level crossing after the Section 37, paragraph 2 of the Act No. 13/1997 Coll. had become valid); - the level crossing P6519 and all other level crossings, where the insufficient free level crossing width is detected during the above mentioned process, will be modified to the appropriate state immediately (in case when there was a reconstruction of the level crossing after the Section 37, paragraph 2 of Act No. 13/1997 Coll. had become valid); - in cooperation with the relevant road administration authorities and the infrastructure manager will be ensured that the horizontal traffic sign V 4 The guiding line will be placed not only on the road from both directions but also at the level crossing P6519 or at all others, where there is the insufficient free level crossing width, eventually the other appropriate measures will be taken to increase safety at and around these level crossings.</t>
  </si>
  <si>
    <t>CZ-5241/2</t>
  </si>
  <si>
    <t>â€¢ to edit the norm ÄŒSN 73 6380 Railway level crossings and pedestrian crossings (hereinafter the norm ÄŒSN 73 6380) according to the norm ÄŒSN 73 6101 Design of highways and motorways (hereinafter the norm ÄŒSN 73 6101) and to the norm ÄŒSN 73 6110 Design of urban roads (hereinafter the norm ÄŒSN 73 6110), especially with respect to the arrangement of directional and elevation ratios in the area of the level crossing and in the section of the road adjacent to the level crossing; â€¢ to implement into the norm ÄŒSN 73 6380 a duty to mark the boundary of the traffic lanes (the guide strips) in the form of a horizontal marking at the level crossings road, where it is possible taking into account the local conditions; â€¢ to determine a requirement in the norm ÄŒSN 73 6380 to ensure that there will be the safety reserve (the safety distance) of the traffic lanes from the edge of the crossing structure at the level crossings, where it is possible taking into account the local conditions; â€¢ to define a relationship between a width of the level crossing road and a width of an adjacent road in the norm ÄŒSN 73 6380 and to avoid a solution where the level crossing road would be wider than the adjacent road and which could lead to a risk that the vehicle gets out of the road; â€¢ to determine an obligation in the norm ÄŒSN 73 6380 to modify the priority of passing vehicles by respective traffic signs in case where the crossing width does not correspond to the minimum required width (the two traffic lanes including the safety reserve); â€¢ to modify the norm ÄŒSN 73 6380 so that the required free width of the level crossing road would be at least 6 m, eventually that the minimum traffic lane width at the level crossing would be preserved according to the norm ÄŒSN 73 6101 and the norm ÄŒSN 73 6110. It is also recommended to establish an obligation to install a traffic sign indicating a narrower width at the level crossing road and concurrently to incorporate a requirement to the that norm to maintain the width of the road at the level crossing in case where the minimal width of 5 m will remain.</t>
  </si>
  <si>
    <t>CZ-5241/3</t>
  </si>
  <si>
    <t>â€¢ to extend public knowledge of a location of the uniform identification level crossing numbers at the level crossings, their purpose and a method of their use.</t>
  </si>
  <si>
    <t>CZ-5243/1</t>
  </si>
  <si>
    <t>It is recommended to adopt its own measure forcing that approval of electric switch heating will be constructed only for the whole switch panel of the self-returning switches.</t>
  </si>
  <si>
    <t>CZ-5244/1</t>
  </si>
  <si>
    <t>Addressed to The Czech National Safety Authority (NSA): â€¢ due to fact, that it happened a serious accidents with a cars at the level crossing No. P2106 in 2015 and 2017 and also due to fact, that the level crossing No. P2106 cross the road of second category with high traffic factor (216 920) and its equipped only with warning crosses, The Czech Rail Safety Inspection proposes to The Czech National Safety Authority, to insist on equipment of the level crossing system with warning lights and barriers, which from the point of view of the optical barrier, will reduce the probability of the driver's entrance to the railway crossing if a driver does not respond to the light and acoustic warning of the crossing safety equipment, within negotiations with infrastructure manager about change equipment of this level crossing; â€¢ it is recommended to take own measure for implementation of previously issued the safety recommendations, so that at reconstruction and modernization of railway tracks and the level crossings were designed, installed and approved only level crossing safety equipment with warning lights and barriers.</t>
  </si>
  <si>
    <t>CZ-5292/1</t>
  </si>
  <si>
    <t>Addressed to The Czech National Safety Authority (NSA): â€¢ it is recommended to adopt own measures, which will ensure: â—¦ the gradual replacement of the central controlled switches with the mechanical point machines by the system with the electromechanical point machines and with the electrical control of the switch position for the existing station interlocking equipment 2. category, especially at more demanding places; â—¦ to pay increased attention, respectively emphasis, especially on selected ("problem") components such as the connecting elements and the connecting components of the insulating spacer of the wire transmissions during the regular controls; â—¦ to check the chemical and strength parameters of the components of the wire transmissions with the mechanical point machines which repeatedly failed to meet the requirements of the provisions of the SÅ½DC (ÄŒD) T 121 regulation following the industry standard ON 42 6442 and to ensure using only those materials which are consistend with the relevant regulations for all Ims; â—¦ to modify the set up system for employees of the IM to include to the training of the staff who switch the switches by wire trasmissions also the physical training of the differences in the operation of the device in case of wire rupture.</t>
  </si>
  <si>
    <t>CZ-5298/1</t>
  </si>
  <si>
    <t>Addressed to the Czech National Safety Authority (NSA): â€¢it is recommended to adopt own measure to ensure: â—¦addition of the safety management system of the IMs with the top overhead contact line so that the service life of each type of the insulators and the duty to replace these insulators cyclically according their service life will be regulate by the internal regulation of these IMs; â—¦that the relevant IMs will execute inspections and tests of the specified technical equipment (UTZ) outwith the interval of time after any accident or incident with an impact on serviceability of the UTZ according to the section 6 paragraph 6 of the Decree No. 100/1995 Coll.</t>
  </si>
  <si>
    <t>CZ-5298/2</t>
  </si>
  <si>
    <t>Addressed to the Ministry of Transport of the Czech Republic: â€¢it is recommended to adopt own measure to ensure: â—¦amendment of the relevant legislation, which will establish the particular time-delimited period for the inspections and tests of the UTZ outwith the interval of time which will be executed after any accident or incident with an impact on serviceability of the UTZ; â—¦amendment of the relevant legislation, which will establish the IMâ€™s duty to execute the revisions of the UTZ outwith the interval of time after any accident or incident with an impact on serviceability and safety of the UTZ, including establishment of the ultimate term of its execution, for all UTZ which are not subject to the inspections and tests.</t>
  </si>
  <si>
    <t>CZ-5300/1</t>
  </si>
  <si>
    <t>Addressed to The Czech Ministry of Transport: â€¢ to increase public awareness about the meaning of the â€žalarm signal" of the level crossing safety equipment.</t>
  </si>
  <si>
    <t>CZ-5306/1</t>
  </si>
  <si>
    <t>Addressed to The Czech National Safety Authority (in co-operation with infrastructure manager SÅ½DC, s. o.): It is recommended to weight up during reconstruction, modernization or repair infrastructure in Kralupy nad Vltavou station, change dwarf rout signal Sc7 as mast signal device with take into account local area terms (for example configuration traction lines).</t>
  </si>
  <si>
    <t>CZ-5340/1</t>
  </si>
  <si>
    <t>â€¢ to adopt its own measures to review all of the uniform technological procedures of the Advanced World Transport, a. s., which were issued to ensure safety of the shunting operation at the handling areas with unloading ramps, and also to ensure the performance of activities of the persons in the railway circuit so that these procedures will be in accordance with the approved project documentation of the construction.</t>
  </si>
  <si>
    <t>CZ-5348/1</t>
  </si>
  <si>
    <t>Addressed to The Czech National Safety Authority (NSA): â€¢it is recommended to adopt own measure for implementation of the previously issued recommendation No. 6-538/2009/DI-1, of the day 18th March 2010 and the following recommendations of the same or similar importance, and to speed up of creating conditions for a future installation and a startup of the system ERTMS (European Rail Traffic Management System) at the level of communication and at the level of operation and maintenance of the traffic control not only on the TEN-T (Trans-European Network â€“ Transport) lines in the general interest at designing the reconstructions of the railway infrastructure, including modernization of the station interlocking equipment, the block signalling system and the level crossing system; â€¢it is recommended to adopt own measure forcing installation of the technical device for emergency stop of the trains, which will be automatically activated when the rolling stock unauthorizedly moves behind the main signal device on railways where installation of the system ERTMS (European Rail Traffic Management System) is not planned.</t>
  </si>
  <si>
    <t>REC-000575</t>
  </si>
  <si>
    <t>CZ-5353/1</t>
  </si>
  <si>
    <t>Addressed to The Czech National Safety Authority (NSA): It is recommended to adopt its own measure to realize the listed below safety recommendations: â€¢ to distinguish in color or to highlight on the monitor with the relief of a trackage of the similar (or future) interlocking equipment a fact or element which is not under the control of the interlocking equipment in accordance with the information on the risk side in a situation when the entering of the confirmation sequence will not be fulfilled by the operator input, the requirement will not be accepted by the interlocking equipment and the intended train route will not be set according to the operator's input into the input computer of the station interlocking equipment type â€œESAâ€; â€¢ to always adopt technical and administrative measures that will minimize obligation for operation the interlocking equipment to conduct a ride to calling-on signal when processing an Order on possession for a multiple-day track possession depending on the possibilities of the interlocking equipment.</t>
  </si>
  <si>
    <t>CZ-5381/1</t>
  </si>
  <si>
    <t>Addressed to The Czech National Safety Authority (NSA): â€¢ It is recommended to take own measure aimed to all holders of rolling stocks Faccs type, which ensure that: â—¦ extraordinary checks of the levers fuses of the segmental dump flaps state of the rolling stocks Faccs295.2 a Faccs407.0 type (producers Vagónka Studénka, national company and Vagónka Poprad, national company) and related rolling stocks, which used the same system of the levers fuses of the segmental dump flaps at the latest to 30th June 2019, when will be compare their actual state with production documentation and according to the findings will be put into functional state identical with the production documentation; â—¦ immediately incorporate check and assessment of function and state of the levers fuses of the segmental dump flaps to compare their real state with production documentation and this contend will be realize, if the holder of the rolling stocks doesn't act upon production documentation; â—¦ for all empty rolling stocks Faccs type in operation, will be determine sufficiently effective measures to prevent falling out levers fuses of the segmental dump flaps and their self-opening. â€¢ to share of above safety recommendations to all holders of rolling stocks Faccs type (producers Vagónka Studénka, national company and Vagónka Poprad, national company) outside of the Czech Republic through the Site of the National Safety Authorities of European Railway Agency.</t>
  </si>
  <si>
    <t>CZ-5383/1</t>
  </si>
  <si>
    <t>Addressed to the Czech National Safety Authority (NSA): â€¢ due to the fact that the RSIO registers two other similar accidents on the railway track HoraÅ¾Äovice pÅ™edmÄ›stí - DomaÅ¾lice, in BÄ›Å¡iny - Klatovy section,, as well as the fact that the level crossing is located at the place with high frequency of road traffic, it is recommended following the previously issued safety recommendations to the Czech National Safety Authority: â—¦ to initiate negotiation of change with the IM - the addition of barriers to this and to other frequented level crossings, which will reduce the probability of the driverâ€™s entrance at the level crossing if he does not respond to the light and acoustic warnings.</t>
  </si>
  <si>
    <t>CZ-5394/1</t>
  </si>
  <si>
    <t>â€¢ based on the fact that most collisions with worst consequences happen at level crossings equipped only with warning lights without barriers and according to the previously issued recommendations â€“ ref. no.: 877/2012/DI, dated 14. 11. 2012, and the following similar or same ones, it is recommended to increase safety at the level crossings equipped with warning lights, so that only the level crossing system with warning lights and barriers will be designed and installed during the reconstruction and/or the modernization of the railway tracks and of the level crossings (not only at the railway tracks included to the European railway system).</t>
  </si>
  <si>
    <t>CZ-5394/2</t>
  </si>
  <si>
    <t>â€¢ to install the â€œGive way!â€ signs (priority signs) at the crossroad of the Sokola TÅ¯my street and the unnamed street which leads to the level crossing No. P7272, so that the priority in ride will be modified by these priority signs (while driving from the level crossing No. P7272 to the crossroad).</t>
  </si>
  <si>
    <t>CZ-5395/1</t>
  </si>
  <si>
    <t>Addressed to The Czech National Safety Authority (NSA): - it is recommended to take own measure for implementation of previously issued the safety recommendations, which have been issued due to increase safety at level crossings and prevention of similar accidents; - as a follow-up to already issued safety recommendations it is recommended to change level crossing system of the level crossing No. P7939 to a level crossing system equipped with barriers, which from the point of view of the optical barrier, will reduce the probability of the driver's entrance to the railway crossing if a driver does not respond to the light and acoustic warning of the crossing safety equipment.</t>
  </si>
  <si>
    <t>CZ-5399/1</t>
  </si>
  <si>
    <t>Addressed to The Czech National Safety Authority (NSA): â€¢ it is recommended to take own measure for implementation of previously issued the safety recommendations, which have been issued due to increase safety at level crossings and prevention of similar accidents; â€¢ as a follow-up to already issued safety recommendations it is recommended to change level crossing system of the level crossing No. P3652 to a level crossing system equipped with barriers, which from the point of view of the optical barrier, will reduce the probability of the driver's entrance to the railway crossing if a driver does not respond to the light and acoustic warning of the crossing safety equipment.</t>
  </si>
  <si>
    <t>CZ-5400/1</t>
  </si>
  <si>
    <t>â€¢ to initiate a negotiation with the IM of change of the safety equipment of the level crossing No. P558 â€“ to change a level crossing system of the level crossing No. P558 to a level crossing system equipped with barriers due to the fact that on this railway crossing already occurred accidents with a road motor vehicle in 2010 and 2016 and that the level crossing is double-track; â€¢ as a follow-up to already issued safety recommendations it is recommended to adopt own measures to ensure the realization of these issued safety recommendations, because of the fact that the most collisions with the worst consequences happen at the level crossings equipped only with warning lights without barriers.</t>
  </si>
  <si>
    <t>REC-000576</t>
  </si>
  <si>
    <t>CZ-5401/1</t>
  </si>
  <si>
    <t>â€¢ It is recommended to adopt own measures to ensure that the measurements of the total superelevation on railways executing by the measuring means and thus the resulting outputs will be undistorted and always ambiguous so that it will be possible to ensure that the value of superelevation will be properly qualified and the desirable standard of maintenance will be observed or the possible measures in relation to the prevention of accidents or incidents will be adopted on the basis of outputs from the measurement and their evaluation; â€¢ It is recommended to adopt own measures to ensure a demonstrable training of staff working with the outputs of the track geometry trolley Krab and to ensure that the relevant IMs will clearly define the procedures for evaluation of the outputs from this measurement and the working procedures for all employees affected by the problematics, by mid-2019 at the latest.</t>
  </si>
  <si>
    <t>CZ-5404/1</t>
  </si>
  <si>
    <t>â€¢ it is recommended to adopt own measure forcing determination of the maintenance works after which it is necessary to carry out the quality adjustment of the direction and height position of the track using the line of track machines or the automatic lining and levelling tamper and their incorporation into the technological procedures of IM (SÅ½DC, s. o.) to ensure the track stability, especially the rail stability in the switch and in the continuous welded rail. It is also recommended to act (within its own jurisdiction) on other IMs of the railway tracks to ensure that these IMs will modify their own technological procedures according to the recommendation referred in the previous paragraph at the same time. â€¢ it is recommended to adopt own measure forcing the reassessment of procedures of the RUs for executing of controls of the rolling stocks before their train placement which means that the qualified persons will be able to check and find out the wrongly loaded or secured cargo inside the transport unit â€“ on the loading area of the rolling stock using buildings, technical equipment or tools designed for that purpose. So than the RU could consequently use the procedures in the â€žUIC-Loading Guidelinesâ€ and refuse to assume a dispatch, if the â€žUIC-Loading Guidelinesâ€œ is not obey.</t>
  </si>
  <si>
    <t>REC-000873</t>
  </si>
  <si>
    <t>CZ-5405/1</t>
  </si>
  <si>
    <t>Recommendation: Addressed to the Ministry of Transport of the Czech Republic in cooperation with other ministries and the Czech National Safety Authority (the NSA): â€¢ it is recommended to initiate the amendment of the provision of the act no. 266/1994 Coll., On rail systems as amended, of the act no. 114/1992 Coll., on the Conservation of Nature and Landscape as amended, and of the act no. 289/1995 Coll., on Forests and Amendments to some Acts (the Forest Act) as amended so that: â—¦ the landlords and the administrators of the land in the railway protective area will have a legal duty to keep the trees and bushes in such condition and height that they do not endanger the rail system operation and its components and do not limit the safety and flow of the rail transport operation on the track and this duty will be legally enforceable, for example by the penalty for default the duty.</t>
  </si>
  <si>
    <t>CZ-5409/1</t>
  </si>
  <si>
    <t>â€¢ based on the fact that most collisions with worst consequences happen at level crossings equipped only with warning lights without barriers and according to the previously issued recommendations â€“ ref. no.: 877/2012/DI, dated 14. 11. 2012, and the following similar or same ones, it is recommended to increase safety at the level crossings equipped with warning lights, so that only the level crossing system with warning lights and barriers will be designed and installed during the reconstruction and/or the modernization of the railway tracks and of the level crossings (not only at the railway tracks included to the European railway system); â€¢ as a follow-up to already issued safety recommendations it is recommended to change level crossing system of level crossing No. P7385 to level crossing system equipped with barriers.</t>
  </si>
  <si>
    <t>CZ-5410/1</t>
  </si>
  <si>
    <t>As the highway administration authority for local highways and tertiary roads which are within the cadastral area of the community MilíÄovice to negotiate with the owner of the land no. 668/1 about the safety risk which develops when driving from his tertiary road toward to the level crossing.</t>
  </si>
  <si>
    <t>REC-000473</t>
  </si>
  <si>
    <t>CZ-5412/1</t>
  </si>
  <si>
    <t>â€¢ it is recommended to take own measure for implementation of previously issued the safety recommendations, intended for increase the level of safety, focusing on ensuring sufficient visibility conditions for road vehicles at level crossings; â€¢ it is recommended to take own measure, which ensure safe operation of rail transport and road traffic at the level crossing No. P1361.</t>
  </si>
  <si>
    <t>CZ-5420/1</t>
  </si>
  <si>
    <t>Addressed to The Czech National Safety Authority (NSA): â€¢when designing the reconstructions of the railway infrastructure, including modernization of the station interlocking equipment, the block signalling system and the level crossing system to speed up of creating conditions for a future instalation and a startup of the system ERTMS (European Rail Traffic Management System) at the level of communication and at the level of operation and maintance of the traffic control not only on the TEN-T (Trans-European Network â€“ Transport) lines; â€¢it is recommended to adopt own measure forcing instalation of the technical device for emergency stop of the trains, which will be automatically activated when the rolling stock unauthorizedly moves behind the main signal device on railways where instalation of the system ERTMS (European Rail Traffic Management System) is not planned.</t>
  </si>
  <si>
    <t>CZ-5431/1</t>
  </si>
  <si>
    <t>â€¢ it is recommended to take own measure for implementation of previously issued the safety recommendations, so that at reconstruction and modernization of railway tracks and the level crossings were designed, installed and approved only level crossing safety equipment with warning lights and barriers; â€¢ change the level crossing system of the level crossing No. P7519 to a level crossing system equipped with barriers, which from the point of view of the optical barrier, will reduce the probability of the driver's entrance to the railway crossing if a driver does not respond to the light and acoustic warning of the crossing safety equipment.</t>
  </si>
  <si>
    <t>CZ-5451/1</t>
  </si>
  <si>
    <t>â€¢ it is recommended to take own measure for implementation of previously issued the safety recommendations, so that at reconstruction and modernization of railway tracks and the level crossings were designed, installed and approved only level crossing safety equipment with warning lights and barriers; â€¢ change the level crossing system of the level crossing No. P1703 to a level crossing system equipped with barriers, which from the point of view of the optical barrier, will reduce the probability of the driver's entrance to the railway crossing if a driver does not respond to the light and acoustic warning of the crossing safety equipment.</t>
  </si>
  <si>
    <t>CZ-5491/1</t>
  </si>
  <si>
    <t>It is recommended to take own measure forcing to replace the mechanical switch No. 709 for an electrically adjustable switch, or add the switch No. 709 with indication of point blades position.</t>
  </si>
  <si>
    <t>CZ-5509/1</t>
  </si>
  <si>
    <t>Addressed to The Czech National Safety Authority (NSA): â€¢ it is recommended to take own measure for implementation of previously issued the safety recommendations, so that at reconstruction and modernization of railway tracks and the level crossings were designed, installed and approved only level crossing safety equipment with warning lights and barriers; â€¢ it is recommended to take own measure for change the level crossing system of the level crossing No. P6382 to a level crossing system equipped with barriers, which from the point of view of the optical barrier, will reduce the probability of the driver's entrance to the railway crossing if a driver does not respond to the light and acoustic warning of the crossing safety equipment.</t>
  </si>
  <si>
    <t>CZ-5541/1</t>
  </si>
  <si>
    <t>Within its control activities it is recommended to focus on observance of the established rules for organization and carrrying out the shunting operations by the employees of the IM and the RUs and it is also recommended to challenge the participating IMs/RUs to control the observance of the rules for organization and carrying out the shunting operations too.</t>
  </si>
  <si>
    <t>CZ-5556/1</t>
  </si>
  <si>
    <t>â€¢ it is recommended to adopt own measure for implementation of previously issued safety recommendations, which were issued to increase safety at the level crossings and to prevent similar accidents; â€¢ it is recommended to adopt own measure that the level crossings will be replaced with the intercharges or completely cancelled as much as possible during the reconstruction and the upgrading process of the railway lines, while ensuring an adequate alternative routes for other road users; â€¢ to enforce the cancellation of the level crossing No. P8251 and its replacement with the crossing for pedestrians at a suitable place while ensuring an adequate alternative routes for other road users; â€¢ to ensure that the traffic signs of the level crossing No. P8251 will be highlighted by a retroreflective yellow-green fluorescence base to emphasize their importance, which will significantly eliminate the possibility of their oversight while driving over the level crossing.</t>
  </si>
  <si>
    <t>CZ-5556/2</t>
  </si>
  <si>
    <t>â€¢ to ensure that the traffic signs of the level crossing No. P8251 will be highlighted by a retroreflective yellow-green fluorescence base to emphasize their importance, which will significantly eliminate the possibility of their oversight while driving over the level crossing.</t>
  </si>
  <si>
    <t>CZ-5565/1</t>
  </si>
  <si>
    <t>â€¢ it is recommended to take own measure for implementation of previously issued the safety recommendations, so that at reconstruction and modernization of railway tracks and the level crossings were designed, installed and approved only level crossing safety equipment with warning lights and barriers; â€¢ due to repetition of a similar accidents with tragic consequences at the level crossing No. P558 which is equipped with warning lights, to take own measure for change the level crossing system of the level crossing No. P558 to a level crossing system equipped with barriers, which from the point of view of the optical barrier, will reduce the probability of the driver's entrance to the railway crossing if a driver does not respond to the light and acoustic warning of the crossing safety equipment.</t>
  </si>
  <si>
    <t>REC-000647</t>
  </si>
  <si>
    <t>CZ-5566/1</t>
  </si>
  <si>
    <t>â€¢ as part of its activities as the national safety authority (safety monitoring and controls) we recommend that the NSA focus on compliance with the established rules for organization and carrying out the shunting operation, including the radio communication by the individual involved employees; and also on the control activities of the IMs and RUs; â€¢ we recommend that NSA adopt measures that the participating IMs and RUs will ensure an increase of the control activities over compliance with the established rules for organization and carrying out the shunting operation, including the radio communication.</t>
  </si>
  <si>
    <t>REC-000513</t>
  </si>
  <si>
    <t>CZ-5567/1</t>
  </si>
  <si>
    <t>It is recommended to adopt own measure forcing specification of the work organization and work practices so that before work starts a person responsible for identifying a well-trained person who, if necessary, will give the signals to railroad drivers or the signs to other road users, and who will be responsible for the correct location of the portable lights and for security (cover) of the working place, will do so.</t>
  </si>
  <si>
    <t>CZ-5574/1</t>
  </si>
  <si>
    <t>Addressed to The Czech National Safety Authority (NSA): â€¢to ensure that the internal regulations of RUs will explicitly determine procedures to prevent the situation of reducing the coefficient of friction between a wheel and a brake block and of insufficient braking effect (e. g. due to creation of the frozen lumps between a wheel and a brake block) for all rolling stocks; â€¢to ensure that train drivers with longer experience (derived from the regularity and frequency of driving in similar specific conditions under adverse weather conditions) will operate on the JosefÅ¯v DÅ¯l - SmrÅ¾ovka line and other lines which are similar challenging because of their gradient. In case when it is necessary to operate by the train drivers with shorter experience to ensure that they will be trained in driving of the similar series of the train when there is a snow cover before driving on the specified lines.</t>
  </si>
  <si>
    <t>REC-000947</t>
  </si>
  <si>
    <t>CZ-5587/1</t>
  </si>
  <si>
    <t>â€¢ due to the fact that serious train collisions with road vehicles occurred at the level crossing No. P3737 in 2011, 2017 and 2018, as well as the fact that the level crossing No. P3737 crosses a 1st class road with a traffic moment 364 320 and it is secured only with the warning crosses, the RSIO recommends to the Czech National Safety Authority to ensure increase of the security level of the level crossing and to insist on the addition of the level crossing safety equipment with barriers at this frequented level crossing when negotiating with the IM about a change, which is able to reduce probability of the driverâ€™s entrance at the level crossing when he does not respond to the light and acoustic warnings; â€¢ it is recommended to adopt own measure for implementation of the previously issued safety recommendations, so that only the level crossing safety equipment with warning lights and barriers will be designed, installed and approved during the reconstruction and modernization of the railway tracks.</t>
  </si>
  <si>
    <t>REC-000948</t>
  </si>
  <si>
    <t>CZ-5587/2</t>
  </si>
  <si>
    <t>â€¢ to adopt own measure to ensure that the road marking V18 "Optical Psychological Brake", which guides the driver to reduce speed, will be added onto the road No. I/17 in the direction from ÄŒáslav in front of the level crossing No. P3737, which is currently secured only with the warning crosses; â€¢ to ensure that the traffic signs A 31a "Signboard (240 m)", A 30 "Level crossing without barriers", A 31b "Signboard (160 m)" and A 31c "Signboard (80 m)â€ which are placed before the level crossing P3737 on the road No. I/17 in both directions, will be retrofitted with yellow reflective coloring to highlight the designated traffic signs.</t>
  </si>
  <si>
    <t>CZ-5588/1</t>
  </si>
  <si>
    <t>â€¢ to focus on compliance with the rules for organization and carrying out of the shunting operations (including the radio communication) by the individual participating employees within security monitoring and its own control activities and also on the control activities of the IMs and RUs concerning this area; â€¢ to ensure that control activities of the compliance with the rules for organization and carrying out of the shunting operations (including the radio communication) executed by the participating infrastructure managers and railway undertakings will increase.</t>
  </si>
  <si>
    <t>CZ-5602/1</t>
  </si>
  <si>
    <t>â€¢ it is recommended to take own measure for implementation of previously issued the safety recommendations, so that at reconstruction and modernization of railway tracks and the level crossings were designed, installed and approved only level crossing safety equipment with warning lights and barriers; â€¢ change the level crossing system of the level crossing No. P7724 to a level crossing system equipped with barriers, which from the point of view of the optical barrier, will reduce the probability of the driver's entrance to the railway crossing if a driver does not respond to the light and acoustic warning of the crossing safety equipment.</t>
  </si>
  <si>
    <t>REC-000902</t>
  </si>
  <si>
    <t>CZ-5616/1</t>
  </si>
  <si>
    <t>â€¢ to adopt own measure aimed not only to the IM (Správa Å¾elezniÄní dopravní cesty, s. o.), but also to the other IMs in the Czech Republic which ensure that these IMs (of the national or regional railways) will unambiguously determine things mentioned bellow in the content of their technological procedures which are part of their safety management system of the railway operating in the case of occurrence of a rail break or a lateral crack of the head of the stock rail of the 1 st or 2nd generation switches which are laid on the wooden sleepers, not only at the place of rail bearing-plates with the slide baseplates: - whether it is possible to temporarily repair these rail breaks or lateral cracks by coupling or other modification to prevent their further development, until the defect will be finally repaired; - a specific repair procedure whether it is possible to make this preliminary repair.</t>
  </si>
  <si>
    <t>CZ-5632/1</t>
  </si>
  <si>
    <t>using its powers to ensure at the IM (Správa Å¾elezniÄní dopravní cesty, s.o.) and at other IMs on the railways: 1) to add clear rules for the probative transference of the information related to the closing of the track possession between the work leader and the responsible deputy of the client of the track possession into the technological procedures; 2) to create uniform patterns for documenting and for transference of the security information, to determine the archiving time and to determine elements which must the security information about closing of the track possession contain when it is transfered between: â€¢ the organizational representative of the producer, the track possession work leader and the responsible deputy of the client of the track possession; â€¢ the sequence control officer and the responsible deputy of the client of the track possession. 3) to always stipulate the conditions for executing inspections by the client (the IM) at the field of health and safety protection at work and the all relevant provisions of the legislation and the technological procedures of the IM into the contracts, in relation to the risks, the nature and the extent (length) of ordered (done) work, and to subsequently execute such inspections, to document them properly, to evaluate them immediately and to adopt effective measures.</t>
  </si>
  <si>
    <t>CZ-5652/1</t>
  </si>
  <si>
    <t>â€¢ it is recommended to adopt own measure for implementation of the previously issued safety recommendations, so that only level crossing system with warning lights and barriers will be designed, installed and approved at the level crossings at time of reconstruction and modernization of railway tracks and level crossings; â€¢ due to repetition of similar accidents with tragic consequences at the level crossing No. P558 which is equipped with warning lights (there were 3 similar accidents with the death of car drivers from 30 th July 2017 to 17th April 2018) it is recommended to adopt own measure to change the level crossing system of the level crossing No. P558 which should be added with barriers as an optical barrier which is able to reduce the probability of a driver's entrance at the level crossing when the driver does not respond to the light and acoustic warning of the crossing system.</t>
  </si>
  <si>
    <t>CZ-5658/1</t>
  </si>
  <si>
    <t>To consider addition the self-returning switches to the active signal â€žDriving safeâ€ with an active alert signal to prohibit following ride in cases when the switch is not in the final preferred position for the IMs of the self-returning switches.</t>
  </si>
  <si>
    <t>CZ-5661/1</t>
  </si>
  <si>
    <t>Addressed to The Czech National Safety Authority (NSA): â€¢ to ensure an early warning about the exemption expiration specified in the Decree No. 173/1995 Coll. and about the obligation of the RUs to operate the rolling stocks which will be equipped with a compatible functional mobile part of the radio equipment with the operated track part of the train radio system serving to ensure railway transport control and also for transmission of commands, signals, messages or data transfer on the lines or on the part of the line with the operated trackside part of the train radio system and then to check and subsequently to supervise performance of the above mentioned obligation; â€¢ to ensure that the above mentioned rolling stocks will be also equipped with an active external module â€žSTOPâ€œ, which will enable to stop the train without the need for cooperation between a person entering the â€žSTOPâ€œ or â€žGENERAL STOPâ€ command and a person driving the railway vehicle and subsequently to ensure the supervision of performance of the above mentioned obligation (after the exemption expiration specified in the Decree No. 173/1995 Coll.).</t>
  </si>
  <si>
    <t>CZ-5671/1</t>
  </si>
  <si>
    <t>Addressed to The Czech National Safety Authority (NSA): â€¢ it is recommended to adopt own measure for implementation of the previously issued safety recommendations, so that only the level crossing safety equipment with warning lights and barriers will be designed, installed and approved during the reconstruction and modernization of the railway tracks; â€¢ change of the level crossing system of the level crossing No. P2104 to a level crossing system equipped with barriers, which from the point of view as an optical barrier will reduce probability of the driver's entrance at the level crossing when a driver does not respond to the light and acoustic warning of the level crossing safety equipment and to adopt measure, which ensure that the traffic sign A 32a â€žWarning cross for monorail level crossingâ€ in both directions, will be retrofitted with yellow reflective coloring to highlight.</t>
  </si>
  <si>
    <t>CZ-5671/2</t>
  </si>
  <si>
    <t>Addressed to the Municipal Authority of Kralupy nad Vltavou as the Road Administration Office in the field of roads II. class: â€¢ to ensure that the traffic signs A 31a "Signboard (240 m)", A 30 "Level crossing without barriers", A 31b "Signboard (160 m)" and A 31c "Signboard (80 m)â€ which are placed before the level crossing P2104 in both directions, will be retrofitted with yellow reflective coloring to highlight the designated traffic signs.</t>
  </si>
  <si>
    <t>REC-000871</t>
  </si>
  <si>
    <t>CZ-5672/1</t>
  </si>
  <si>
    <t>Addressed to The Czech National Safety Authority (NSA): â€¢ it is recommended to take own measure for implementation of previously issued the safety recommendations, so that at reconstruction and modernization of railway tracks and the level crossings were designed, installed and approved only level crossing safety equipment with warning lights and barriers; â€¢ change the level crossing system of the level crossing No. P5588 to a level crossing system equipped with barriers, which from the point of view of the optical barrier, will reduce the probability of the driver's entrance to the railway crossing if a driver does not respond to the light and acoustic warning of the crossing safety equipment.</t>
  </si>
  <si>
    <t>CZ-5676/1</t>
  </si>
  <si>
    <t>â€¢ to adopt own measure which ensure: - the compliance with the rules for radio communication between the IMâ€™s and RUâ€™s staff when organizing and carrying out the shunting operations (especially in nodal stations) during their control activities; - the reassessment of the control system to ensure the compliance with the rules for radio communication by the IM of the siding and the IM of the national-wide railway, who cooperate on shunting operations at the railway station Praha-VrÅ¡ovice classification yard, a signalbox Departure, when organizing and carrying out the shunting operations between the â€žDKV Praha PJ VrÅ¡oviceâ€œ siding and the national-wide railway. â€¢ to adopt own measure which ensure modification of the relevant technological procedures of the IM of the â€žDKV Praha PJ VrÅ¡oviceâ€œ siding so that: - these will contain the rules for transference of the authorization to perform the shunting operation leader function in cases when a person, who is permanently authorized to perform this function by an internal regulation, does not obey his function regardless of the reason; - the situation when the employee, who does normally not participate on actions at the circuit of the siding which follows up the nation-wide railway, is authorized by the IM of the siding to negotiate and accept the permission and consent to shunting operation between the siding and the nation-wide railway which is represented by the circuit of the railway station Praha-VrÅ¡ovice classification yard, the signalbox Departure, will be removed.</t>
  </si>
  <si>
    <t>REC-000952</t>
  </si>
  <si>
    <t>CZ-5684/1</t>
  </si>
  <si>
    <t>Addressed to The Czech National Safety Authority (NSA): â€¢ it is recommended to adopt own measure for implementation of the previously issued safety recommendations, so that only level crossing safety equipment with warning lights and barriers will be designed, installed and approved during the reconstruction and modernization of railway tracks and the level crossings; â€¢ change of the level crossing system of the level crossing No. P448 to a level crossing system equipped with barriers, which from the point of view as an optical barrier will reduce probability of the driver's entrance at the level crossing when a driver does not respond to the light and acoustic warning of the level crossing safety equipment.</t>
  </si>
  <si>
    <t>CZ-5690/1</t>
  </si>
  <si>
    <t>Addressed to The Czech National Safety Authority (NSA): â€¢ it is recommended to adopt own measure for implementation of the previously issued safety recommendations, so that only level crossing safety equipment with warning lights and barriers will be designed, installed and approved during the reconstruction and modernization of railway tracks and the level crossings; â€¢ change of the level crossing system of the level crossing No. P551 to a level crossing system equipped with barriers, which from the point of view as an optical barrier will reduce probability of the driver's entrance at the level crossing when a driver does not respond to the light and acoustic warning of the level crossing safety equipment.</t>
  </si>
  <si>
    <t>REC-000949</t>
  </si>
  <si>
    <t>CZ-5711/1</t>
  </si>
  <si>
    <t>â€¢ it is recommended to adopt own measure for implementation of the previously issued safety recommendations, so that only level crossing safety equipment with warning lights and barriers will be designed, installed and approved during the reconstruction and modernization of railway tracks and the level crossings; â€¢ change of the level crossing system of the level crossing No. P619 to a level crossing system equipped with barriers, which from the point of view as an optical barrier will reduce probability of the driver's entrance at the level crossing when a driver does not respond to the light and acoustic warning of the level crossing safety equipment.</t>
  </si>
  <si>
    <t>CZ-5714/1</t>
  </si>
  <si>
    <t>â€¢ it is recommended to take own measure for implementation of previously issued the safety recommendations, so that at reconstruction and modernization of railway tracks and the level crossings were designed, installed and approved only level crossing safety equipment with warning lights and barriers; â€¢ it is recommended to take own measure for change the level crossing system of the level crossing No. P5577 to a level crossing system equipped with barriers, which from the point of view of the optical barrier, will reduce the probability of the driver's entrance to the railway crossing if a driver does not respond to the light and acoustic warning of the crossing safety equipment; â€¢ it is recommended to take measure for ensure visibility of warning state of level crossing safety equipment of level crossing No. P5577 to the appropriate distance from all roads.</t>
  </si>
  <si>
    <t>CZ-5725/1</t>
  </si>
  <si>
    <t>Addressed to The Czech National Safety Authority (NSA): â€¢ it is recommended to take own measure for implementation of previously issued the safety recommendations, so that at reconstruction and modernization of railway tracks and the level crossings were designed, installed and approved only level crossing safety equipment with warning lights and barriers; â€¢ it is recommended to take own measure for change the level crossing system of the level crossing No. P483 to a level crossing system equipped with barriers, which from the point of view of the optical barrier, will reduce the probability of the driver's entrance to the railway crossing even if the driver responds to the visual and acoustic warning given by the level crossing safety equipment but driver stops in the dangerous zone of the level crossing and part of vehicle reaches to the railway loading gauge.</t>
  </si>
  <si>
    <t>CZ-5725/2</t>
  </si>
  <si>
    <t>Addressed to the Municipal Authority of Písek as the Road Administration Office in cases of the local streets: â€¢ to ensure that the traffic signs (in front of the level crossing No. P483) were add to some of the visible lane marking symbols, which are transverse line continuous No. V 5 (stop line), visual psychological brake No. V 18 or symbol of warning cross (horizontal symbol of road sign No. A 32).</t>
  </si>
  <si>
    <t>CZ-5735/1</t>
  </si>
  <si>
    <t>â€¢ it is recommended to take own measure for implementation of previously issued the safety recommendations, so that at reconstruction and modernization of railway tracks and the level crossings were designed, installed and approved only level crossing safety equipment with warning lights and barriers; â€¢ it is recommended to take own measure for change the level crossing system of the level crossing No. P491 to a level crossing system equipped with barriers, which from the point of view of the optical barrier, will reduce the probability of the driver's entrance to the railway crossing if a driver does not respond to the light and acoustic warning of the crossing safety equipment.</t>
  </si>
  <si>
    <t>CZ-5753/1</t>
  </si>
  <si>
    <t>â€¢ as part of its activities as a national safety authority, we recommend that the NSA verify the overall technical condition of the switch No. 169 part â€žaâ€œ at Kolín station and the technical condition of the related jaw point locks and in case a non-standard contact of the locking hook with the stock rail foot is detected then this situation should be solved in common with the switch operator and the manufacturers of the devices; â€¢ as part of its activities as the national safety authority, we recommend that the NSA adopt measures to ensure that the infrastructure manager SÅ½DC: - will require a comprehensive assessment and evaluation of all main factors which may have an impact on the fatigue strength and life (e. g. material, surface, shape, technology, operating load and conditions, etc.) from their manufacturers using the advanced analytical and numerical methods and modeling to select the element with the best fatigue rating (e. g. design for permanent strength), on condition that any other technical and design parameters, problems and constraints will not resist the choice of this solution; this should be made always before the new components of the switch and the point lock, on which the safety of the guided transport operating directly depends, will be put into operation; - will ensure that only the locking hooks which will be modified according to the previous point â€“ so that their parameters in terms of fatigue properties will be improved â€“ will be used at the internal tongues of the diamond crossings with slips and similar types of the locking hooks used in the jaw point locks for the swing crossing noses in case the jaw locking hooks are newly assembled into the diamond crossings with slips and the swing crossing noses; - will ensure that the one-time control of all diamond crossings with slips and swing crossing noses with the jaw locks (approx. 122 pcs) will be exercised. The control will be focused on the condition of the locking hooks used at the internal tongues of diamond crossings with slips and the similar types of the locking hooks used in the jaw point locks for the swing crossing noses. The top wall of these locking hooks should be controlled for cracks at least visually during this control. At the same time it should be controlled even when these locking hooks do not appear to be violently damaged. In the case that there any locking hook with cracks is found during the one-off control, it is necessary to ensure the safety at the site; - will ensure that the violently damaged locking hooks used at the internal tongues of the diamond crossings with slips and the similar types of the locking hooks used in the jaws point locks for the swing crossing noses will be replaced for the locking hooks which will be structurally modified according to the point 1 (so that their parameters in terms of fatigue properties will be improved), preferably in the switches which are heavily loaded with traffic and which allow the moving of the rolling stocks at higher speeds. This should be based on the evaluation and results of the one-off control in accordance with the previous paragraph; - will consider the possible addition of the set system for checking the switches and point locks on the basis of the evaluation and results of the one-off control according to the point 3 and eventually will consider that the till then used locking hooks at internal tongues of the diamond crossings with slips and similar types of the locking hooks used in the jaw point locks for the swing crossing noses should be replaced for those locking hooks which are structurally modified according to the point 1 (when their fatigue parameters will be improved); â€¢ we recommend that the NSA adopt own measures to ensure the implementation of the above safety recommendations for other IMs in the Czech Republic.</t>
  </si>
  <si>
    <t>CZ-5761/1</t>
  </si>
  <si>
    <t>Addressed to The Czech national Safety Authority (NSA) in cooperation with Ministry of Interior: â€¢ to ensure the verification and eventual reevaluation the current system of cooperation between IMs and units of integrated rescue system at solving situations, when threatens danger in delay and it is necessary to adopt urgent measures for ensure safety guideway operating and guided transport operating so as to ensure that: â—¦ in the transmission of information will be a minimum number of intermediators at the configured system; â—¦ the preferred contact will be determined in such a way as to eliminate the possibility of confusion with other contacts; â—¦ the relevant data (telephone numbers) will be updated correctly, i.e. with regard to the setting of information systems of all parties, it will be ensured that at all level crossings will be imported correctly into these systems; â—¦ the reliability of the system will be regularly checked.</t>
  </si>
  <si>
    <t>CZ-5764/1</t>
  </si>
  <si>
    <t>It is recommended to initiate the amendment of the provision of the act no. 266/1994 Coll., On rail systems as amended, of the act no. 114/1992 Coll., on the Conservation of Nature and Landscape as amended, and of the act no. 289/1995 Coll., on Forests and Amendments to some Acts (the Forest Act) as amended so that: - the landlords and the administrators of the land in the railway protective area will have a legal duty to keep the trees and bushes in such condition and height that they do not endanger the rail system operation and its components and do not limit the safety and flow of the guideway transport and this duty will be legally enforceable by the penalty for default the duty.</t>
  </si>
  <si>
    <t>CZ-5787/1</t>
  </si>
  <si>
    <t>Addressed to The Czech National Safety Authority (NSA): â€¢on the lines where the ETCS is not going to be introduced into operation to install the technical equipment for emergency stopping of trains. This equipment will be automatically activated when the rolling stock illegally passes signal at danger. To take own measure forcing implementation of the above recommendation for other infrastructure managers (IM) of nation-wide railway, respectively regional railway and railway undertakings (RU) in the Czech Republic.</t>
  </si>
  <si>
    <t>CZ-5838/1</t>
  </si>
  <si>
    <t>Addressed to The Czech National Safety Authority (NSA): â€¢ it is recommended to adopt own measure for implementation of the previously issued safety recommendations, so that only the level crossing safety equipment with warning lights and barriers will be designed, installed and approved during the reconstruction and modernization of the railway tracks and the level crossings; â€¢ it is recommended to adopt own measure for change of the level crossing system of the level crossing No. P3096 to a level crossing system equipped with barriers, which from the point of view as an optical barrier will reduce probability of the driver's entrance at the level crossing when a driver does not respond to the light and acoustic warning of the level crossing safety equipment.</t>
  </si>
  <si>
    <t>CZ-5849/1</t>
  </si>
  <si>
    <t>It is recommended to adopt own measure to ensure executing a one-off inspection of the wheel tyres of the rolling stocks used by all RUs within the EU Member States, whether they originate from melt No. 33049 produced by the manufacturer of the railway wheelsets Huta Gliwice. When this tyre is detected, to ensure that effective measure will be adopted to prevent derailment of the rolling stock.</t>
  </si>
  <si>
    <t>CZ-5855/1</t>
  </si>
  <si>
    <t>â€¢ to adopt own measure to ensure at the RU ÄŒeské dráhy, a. s.: - the top limit of the interval for kilometric run for the periodic higher repairs will be defined in the Annex 1 of the internal regulation ÄŒD V 25; - the wording of the article No. 20 in the internal regulation ÄŒD V 25 will be changed to define the top limit of the interval for kilometric run for the periodic higher repairs; â€¢ to adopt own measure to ensure for all RUs in the Czech Republic operating locomotives of the 230, 240 and 242 series: - the one-off control will be executed and it will be focused on the technical condition of the front connecting rods, namely the weld area between the eye and the connecting rod body; - the regular controls â€“ not only the defectoscopic control of the end pin of the front connecting rods of the tractive effort transmission equipment, but also the defectoscopic control of the weld between the eye and the connecting rod body â€“ will be executed over the locomotives of the series mentioned above.</t>
  </si>
  <si>
    <t>CZ-5859/1</t>
  </si>
  <si>
    <t>â€¢ it is recommended to take own measure for implementation of previously issued the safety recommendations, so that at reconstruction and modernization of railway tracks and the level crossings were designed, installed and approved only level crossing safety equipment with warning lights and barriers; â€¢ it is recommended to take own measure for change the level crossing system of the level crossing No. P2969 to a level crossing system equipped with barriers, which from the point of view of the optical barrier, will reduce the probability of the driver's entrance to the railway crossing if a driver does not respond to the light and acoustic warning of the crossing safety equipment.</t>
  </si>
  <si>
    <t>CZ-5928/1</t>
  </si>
  <si>
    <t>Addressed to The Czech National Safety Authority (NSA): â€¢ it is recommended to adopt own measure to ensure execution of controls focused on the possible installation of the incorrect rubber cuffs of the pistons of the break cylinders of the brake units of the locomotives, especially series No. 362, 363, 162, 163 operated by all RUs in the Czech Repulblic, this should be done due to mentioned above changes caused by frost when interacting with wear â€“ cavitation (corrosion attack of ferritic-pearlitic carbon steel) of the working wall of the brake cylinders and thus the essential release of compressed air from the brake cylinders into the atmosphere.</t>
  </si>
  <si>
    <t>CZ-5934/1</t>
  </si>
  <si>
    <t>â€¢ the Ministry and the NSA will consider the possibility to equip the railway lines with the European Rail Traffic Management System (hereinafter â€œERTMSâ€) in simpler technical design and economically acceptable level, e. g. with the use of means and functionalities which have not yet been implemented in the Czech Republic, but which are commonly used abroad (e. g. the European Train Control System constituents on level 1 with the use of the operating mode â€œLimited Supervisionâ€ and others) when updating the National Implementation Plan (hereinafter â€œNIPâ€); â€¢ the Ministry and the NSA will propose a specific progress and schedule of equipment of the other lines beyond the framework of the European legislation (the lines of trans-European railway network TEN-T) and Czech legislation (the lines with a speed greater than 100 kph) with the ERTMS when updating the NIP; the NIP must be supplemented in this sense. With regard to the mentioned possibilities of using further and simpler variants of the ERTMS/ETCS implementation, the RSIO does not recommend to postpone the ERTMS implementation until 2030 or to wait until imposing additional obligations by the European legislation, or to condition the ETCS implementation by the previous GSM-R implementation, the RSIO strongly discourage to bind the implementation to the final modernization or optimization of the line. When the line is modernized or optimized (beyond the lines of trans- European railway network TEN-T), the RSIO recommends to include the ETCS implementation as an integral part of it; â€¢ considering the possibility that the ERTMS may not be implemented on some lines even in the long terms, the RSIO recommends to consider excluding them from the system covered by the requirements of the Directive on the interoperability of the rail system within the European Union and related European legislation, respectively to enable the implementation of the technical equipment that would enable to increase the safety level of movement of the railway vehicles by a technical solution adequate to the current state of the art and at the same time economically acceptable at an adequate level of safety on these lines.</t>
  </si>
  <si>
    <t>CZ-5951/1</t>
  </si>
  <si>
    <t>Addressed to The Czech National Safety Authority (NSA): â€¢ as part of its activities as a national safety authority, we recommend that the NSA adopt measures to ensure that the infrastructure manager Správa Å¾eleznic, s. o., and other IMs: â—¦ will create uniform and clear technological procedures for executing controls and measurement of the point blades of the switches after their welding and grinding, and also unify these procedures into a single binding document.</t>
  </si>
  <si>
    <t>CZ-5952/1</t>
  </si>
  <si>
    <t>â€¢ as part of its activities as a national safety authority, we recommend that NSA adopt measures to ensure that the railway undertaking ÄŒD (the operator of the steam locomotive boiler): - will perform one-time inspections of the inflow pipes condition (including wall thickness measurement; the inflow pipes supply steam to the locomotive steam engine) for all operated locomotives at least during the inspections and tests of the operated locomotive boilers and also will visually detect the external and internal surface condition of these pipes during these one-time inspections; - will ensure the replacement of the unsuitable inflow pipes (supplying steam to the locomotive steam engine) based on the evaluation and results of the one-time inspections according to the previous point; - will completely update the existing internal regulations on the specified technical equipment â€“ the locomotive boilers operating or will issue a new one internal regulation, or a generally valid regulation on the specified technical equipment operating, which will include the part about locomotive boilers; any of these regulations should take into account the irregular locomotive boilers operating and should ensure that the approach to the locomotive boilers operating will be generally changed; - will update or issue the new internal regulation according to the previous point at the latest by the time when the RU will apply for the Railway Undertaking's Safety Certificate according to the section 34h of the Act No. 266/1994 Coll., when this new internal regulation will be attached to this application; â€¢ we recommend that the NSA adopt own measures to ensure the implementation of the above safety recommendations for other relevant steam locomotive operators in the Czech Republic.</t>
  </si>
  <si>
    <t>CZ-6005/1</t>
  </si>
  <si>
    <t>â€¢ following the previously issued safety recommendation inherent in the Investigation report of an incident, reference number: 6-1527/2018/DI, of 5 th May 2019, we recommend that the NSA adopt in cooperation with the IMs of the regional railways its own measures to ensure that the active signal â€œRide securedâ€ which is given by the light signal device will be completed with an active signal prohibiting a ride in case the switch in resetting mode is not correctly switched in normal position of the self-returning switches. This should be adopt for the switches with the resetting point operating mechanism on the tracks with the simplified train operation control where the trains are operated; â€¢ we recommend that the NSA adopt its own measures to ensure that the existing way of acquiring of the basic general knowledge, skills and procedures which are necessary for driving locomotives and for performance of the train driver's activities will be adjust (extend). The adjustment (extension) should focus on obligatory passing the training to acquire the initial practical habits to solve situations requiring an immediate reaction to the immediate threat for safe operation of the rail transport in order to avert the accidents and incidents or to reduce its consequences. This training should be passed before the practical training in train driving would start; â€¢ we recommend that the NSA adopt its own measures to ensure that the existing valve of the rescue brake which is situated in the driver Ìs cab will be removed from the right side of the control panel or the duplicit valve of the rescue brake will be established at such place, where it could be used by another person in the driver Ìs cab who will sit on the rescue seat or will state next to the train driver. This should be adopt for the rail vehicles series 814 and 914.</t>
  </si>
  <si>
    <t>CZ-6020/1</t>
  </si>
  <si>
    <t>â€¢ it is recommended to adopt own measure for implementation of the previously issued safety recommendations, so that only the level crossing safety equipment with warning lights and barriers will be designed, installed and approved during the reconstruction and modernization of the railway tracks and the level crossings; â€¢ it is recommended to adopt own measure for change of the level crossing system of the level crossing No. P1735 to a level crossing system equipped with barriers, which from the point of view as an optical barrier will reduce probability of the driver's entrance at the level crossing when a driver does not respond to the light and acoustic warning of the level crossing safety equipment.</t>
  </si>
  <si>
    <t>CZ-6020/2</t>
  </si>
  <si>
    <t>â€¢ it is recommended to adopt own measure to ensure that the traffic signs A 31a "Signboard (240 m)", A 30 "Level crossing without barriers", A 31b "Signboard (160 m)" and A 31c "Signboard (80 m)â€ which are placed before the level crossing No. P1735 in both directions, will be retrofitted with yellow reflective coloring to highlight the designated traffic signs.</t>
  </si>
  <si>
    <t>CZ-6026/1</t>
  </si>
  <si>
    <t>Addressed to The Czech National Safety Authority (NSA): â€¢ it is recommended to adopt own measure for implementation of the previously issued safety recommendations, so that only level crossing safety equipment with warning lights and barriers will be designed, installed and approved during the reconstruction and modernization of railway tracks and the level crossings; â€¢ change of the level crossing system of the level crossing No. P65 to a level crossing system equipped with barriers, which from the point of view as an optical barrier will reduce probability of the driver's entrance at the level crossing when a driver does not respond to the light and acoustic warning of the level crossing safety equipment.</t>
  </si>
  <si>
    <t>CZ-6026/2</t>
  </si>
  <si>
    <t>Addressed to the Municipal Authority of Å½atec, Department of Transport and Road Economy, as the Road Administration Office in the field of roads II. Class: â€¢ to add the traffic sign A 31a "Signal board" with the traffic sign A 30 "Level crossing without barriers".</t>
  </si>
  <si>
    <t>REC-000601</t>
  </si>
  <si>
    <t>CZ-6029/1</t>
  </si>
  <si>
    <t>Addressed to the Ministry of Transport: â€¢ we recommend that the Ministry of Transport initiate the creation of the regulation (e.g. standards, amendments to the existing act, the decrees, etc.), where the rules for the installation of the traffic signs and other parameters (marking, security, determination of the methodology for calculating on sight view conditions, maintenance of greenery, etc.) will be established uniformly, unambiguously and in the binding way for the crossing of the tram tracks with the roads and for their immediate surroundings.</t>
  </si>
  <si>
    <t>REC-000603</t>
  </si>
  <si>
    <t>CZ-6029/2</t>
  </si>
  <si>
    <t>Addressed to the competent Rail Administrative Authorities for the tram tracks: â€¢ we recommend that the competent Rail Administrative Authorities for the tram tracks establish and adopt the temporary measures for the crossings of the tram tracks with the road and for their immediate surroundings so that greenery will be maintained and the obstacles in the view of the tram track will be removed, until the safety recommendation addressed to the Ministry of Transport is met; if these measures are not already adopted.</t>
  </si>
  <si>
    <t>CZ-6033/1</t>
  </si>
  <si>
    <t>â€¢ we recommend that the NSA require modification of articles of the internal regulation of the IM, SÅ½DC D1 concerning the location of the speed warning boards and speed indication signals. The current wording of the article 197 â€žThe speed warning board is a fixed signal device, which warns signalling the line speed from the next following speed indication signal.â€, article 1331 â€žThe signal To expect line speed...warns signalling a speed reduction from the next following speed indication signal to the train driver...â€ and article 1349 â€žThe speed warning board is installed in front of the next following speed indication signal at a distance at least ...â€ in conjunction with the article 118 â€žWarning signalling is an activity during when an instruction which draws attention to the signal that will follow is given.â€, exclude the placement of other speed indication signals between these fixed signal devices, even if the signal devices are needed in railway traffic. As part of modification of these articles we recommend, for example, to consider integration of the obligation to place a repeating speed warning board at the level of the speed indication signal, which is installed between the speed warning board placed at a specified distance from the main speed indication signal which is valid for it; â€¢ we recommend that the NSA recommend the assessment of the possibility of alternative application of installation of the remote warning devices or so-called â€žRepeating speed warning boards" to the infrastructure managers in cases the line speed limit is essentially reduced and over-speeding could lead to a serious accident, similar as the signal marker boards are currently placed in front of the independent warning signals at the main signal devices or repeating driver's indication signals; â€¢ we recommend that the NSA require improvement of the clarity of the line characteristics tables from the infrastructure managers, which means highlighting current changes of the line characteristics tables, including color resolution, and highlighting those major speed reductions that may have a significant impact on rail transport operation safety so that these changes by its way of performing will step out of the general frame as warning data and the train drivers could not miss them (e. g. with indication of the state before the change becomes valid), eventually separation of essential information which are necessary because of safety from others and classification of these information in accordance with their importance; â€¢ we recommend that the NSA require creation of a system from the railway undertakings to ensure the immediate identification and adoption of measures for the train drivers who will not become demonstrably acquainted with changes in the construction technical parameters of the tracks which have a direct impact on ensuring the rail traffic safety; this should be made before the rolling stock is set in motion; â€¢ we recommend that the NSA require a clearly defined and excluding doubts way how to demonstrably provide acquaintance of the train drivers, especially with changes in construction technical parameters of the tracks and line characteristics tables from the railway undertakings when issuing the Railway Undertaking's Safety Certificate and performing the state supervision; â€¢ we recommend that the NSA initiate assessment of the possibility to supplement the tabular timetable with a column (columns) containing essential data from the line characteristics tables, especially determining, resp. fundamentally limiting the line speed, especially in cases the line speed limit is permanent according to the line characteristics tables; this should be made in the interest of operation of a rail system and rail transport operation safety; â€¢ we recommend that the NSA recommend to reduce the specified period of validity of knowledge of the track conditions for the train drivers to the railway undertakings, this should be made in relation to the fact that there are currently many reconstructions, optimizations and constructions on the Czech railways, which result in many changes in construction technical parameters of the tracks and structures on the track with a direct impact on the rail transport operation safety and fluency. â€¢ within the scope of its powers, ensure that the adopted safety management system, especially the method for carrying out risk evaluation and implementing risk control measures, is executed by the railway undertakings so that their generally established procedures and methods will be applied more effectively to the specific operational situations; â€¢ initiate the improvement of mutual cooperation of the infrastructure managers and railway undertakings when executing risk control, especially when there is mutual interaction at common interface intervening to the operation of a rail system and when there is the risk of the possible human failure in the rail transport operating by the railway undertakingsâ€™ employees, e.g. through specific provisions of the contracts on rail transport operation.</t>
  </si>
  <si>
    <t>CZ-6034/1</t>
  </si>
  <si>
    <t>Addressed to The Czech National Safety Authority (NSA): â€¢ it is recommended to adopt own measure for implementation of the previously issued safety recommendations, so that only the level crossing safety equipment with warning lights and barriers will be designed, installed and approved during the reconstruction and modernization of the railway tracks.</t>
  </si>
  <si>
    <t>CZ-6046/1</t>
  </si>
  <si>
    <t>Addressed to the Municipal Authority of Chrudim as the Road Administration Authority: â€¢ to ensure the addition of the road marking in the area of the level crossing No. P3762, especially addition of the horizontal road sign V6b, â€žTransverse line continuous STOPâ€œ according to the Technical Conditions 133 (Principles for horizontal road traffic marking) which will be placed at a minimum distance of 2200 mm from the track axis according to the ÄŒSN 73 6380.</t>
  </si>
  <si>
    <t>REC-000795</t>
  </si>
  <si>
    <t>CZ-6052/1</t>
  </si>
  <si>
    <t>â€¢ in cooperation with the relevant IM we recommend that the NSA focus (preferentially, across the board and intensively) on problematics of the level crossings where the border of the nearest crossroad is less than 30 m away from the danger zone of the level crossing. In case these level crossings could not be canceled or solved by the interchange of a railway with a road then safety at these level crossings should be at least systematically increased, e.g. by using the measures described in point 4.2.1 of this final report.</t>
  </si>
  <si>
    <t>Level crossing accident, 23-08-19, open line between Zákupy and Mimon stations (Czech Republic)</t>
  </si>
  <si>
    <t>CZ-6078/1</t>
  </si>
  <si>
    <t>â€¢ to adopt own measure, which ensure: - that the connection of the circuit breakers FA11 and FA13 and connection of the control of the non-adhesion rail electromagnetic brakes will be modified on all manufactured EVO type rail vehicles, where the connection of the control of the non-adhesion rail electromagnetic brakes corresponds to the design according to the technical conditions of the EVO 1 railcar valid from May 10, 2017, so that these brakes could be activated even when the steering will be switched off (provided the vehicle batteries will be switched on); - all rail vehicles of the EVO series will be equipped with the mechanical means for securing the vehicles against movement, e. g. by the locking wedges, in case the corresponding brake rating of the mechanical - electrohydraulic disc brake which should stop the rail vehicle and protect it against movement will not occur.</t>
  </si>
  <si>
    <t>CZ-6079/1</t>
  </si>
  <si>
    <t>Addressed to The Czech National Safety Authority (NSA): â€¢ in cooperation with the Czech Ministry of Transport to initiate change of the Czech technical standard CSN 34 2650 ed. 2 â€žRailway signaling equipment - Level crossing safety equipmentâ€œ, as amended so that at level crossings secured by light level crossing system with two half barriers on both sides that go down simultaneously against each other, apply as a matter of priority the system where the barrier on the driver side goes down sooner than the opposite one immediately after expiring warning time; â€¢ in cooperation with the Czech Ministry of Transport to initiate change of the Czech technical standard CSN 34 2650 ed. 2 â€žRailway signaling equipment - Level crossing safety equipmentâ€œ as amended so that the signal red and white paint on the inside of the barriers was replaced by a different sign (which does not evoke a ban), or encouraging the driver to leave the level crossing by breaking the barriers.</t>
  </si>
  <si>
    <t>CZ-6079/2</t>
  </si>
  <si>
    <t>Addressed to the Prague City Hall, as the Road Administration Authority: â€¢ to ensure the addition of the road marking in the area of the level crossing No. P5674, especially addition of the horizontal road sign V5, â€žTransverse line continuousâ€œ according to the Technical Conditions 133 (Principles for horizontal road traffic marking).</t>
  </si>
  <si>
    <t>CZ-6082/1</t>
  </si>
  <si>
    <t>Addressed to The Czech National Safety Authority (NSA): â€¢ it is recommended to adopt own measure for implementation of the previously issued safety recommendations, so that only the level crossing safety equipment with warning lights and barriers will be designed, installed and approved during the reconstruction and modernization of the railway tracks; â€¢ it is recommended to adopt measure for ensure the repair of the tertiary road surface on plot number 589/1 with the goal â€“ remove the pothole located in the immediate proximity of the level crossing No. P5391 in the driving direction to the SovÄ›tice village.</t>
  </si>
  <si>
    <t>CZ-6095/1</t>
  </si>
  <si>
    <t>Addressed to The Czech National Safety Authority (NSA): â€¢ it is recommended to adopt own measure for implementation of the previously issued safety recommendations, so that only the level crossing safety equipment with warning lights and barriers will be designed, installed and approved during the reconstruction and modernization of the railway tracks and the level crossings; â€¢ it is recommended to adopt own measure for change of the level crossing system of the level crossings No. P7115 and P3926 to a level crossing system equipped with barriers, which from the point of view as an optical barrier will reduce probability of the driver's entrance at the level crossing when a driver does not respond to the light and acoustic warning of the level crossing safety equipment.</t>
  </si>
  <si>
    <t>REC-000818</t>
  </si>
  <si>
    <t>CZ-6131/1</t>
  </si>
  <si>
    <t>Addressed to the Czech Ministry of Transport (hereinafter â€žthe Ministryâ€) in cooperation with The Czech National Safety Authority (the NSA): â€¢ we recommend the Ministry in cooperation with the NSA initiate an amendment and supplementing to content of the count 1.7 of the Annex 3 to the Decree No. 16/2012 Coll., so that information on relevant accidents and incidents that have occurred on the defined railway track or its part (it is important not to relate this information to only one RU, but to all accidents and incidents on the specific railway track) will be amended.</t>
  </si>
  <si>
    <t>CZ-6140/1</t>
  </si>
  <si>
    <t>â€¢ it is recommended to ensure modification of the existing road marking in front of the level crossing No. P6803 in the direction of ride from Dolní Lhota and addition of the road marking with the horizontal road sign No. V4 â€žGuiding lineâ€ which will be placed at the appropriate distance in front of, over and behind the level crossing.</t>
  </si>
  <si>
    <t>CZ-6138/1</t>
  </si>
  <si>
    <t>Addressed to The Czech National Safety Authority (NSA): â€¢ to adopt own measure, which will ensure in the case of operated and newly put into operation station safety equipment of the 3rd category - electronic interlocks, that a sequence of characters is always required by the interlocking device to confirm the obligatory documented actions of the operator, when constructing travel routes for rail vehicles through the contact of mutually mouths, carried out in the form of a shift, when the end of the shift path is on another track, a so-called confirmation sequence containing the name or number of the track on which the end of the route is located; â€¢ to adopt own measure, which will ensure that uniform technological procedures, which are elements of the safety management system of the rail transport operation of the RU Advanced World Transport a. s. (from 2nd October 2019 PKP CARGO INTERNATIONAL a. s.), respectively at other RUs in the Czech Republic, contained sequence of such safety principles for the operation of brake, or the rolling stock sanding equipment by a driver which during the train or shunting operation is running in poor weather or adhesion conditions, ensures that the speed of the rolling stock is reduced or stopped safely at the required place, and it starting of breaking in time smaller braking performance, respectively support rolling of wheels use sanding equipment if the rolling stock is equipped of this equipment.</t>
  </si>
  <si>
    <t>CZ-6161/1</t>
  </si>
  <si>
    <t>Addressed to The Czech National Safety Authority (NSA): â€¢ following the previously issued safety recommendation reference number 720/2016/DI, of 9th November 2016, to adopt in cooperation with the IMs of the regional railways its own measures to ensure adjustment of the electronic control and diagnostic system REMOTE 98 so that the loss of the preferred position of the switch with the resetting point operating mechanism is indicated not only optically on the screen of the monitor of the uniform operating workplace, but also by displaying the window of fault messages with their listing, and further acoustically.</t>
  </si>
  <si>
    <t>CZ-6199/1</t>
  </si>
  <si>
    <t>It is recommended to adopt own measure for implementation of the previously issued safety recommendations, so that only the level crossing safety equipment with warning lights and barriers will be designed, installed and approved (including the level crossing No. P4571) during the reconstruction and modernization of the railway tracks.</t>
  </si>
  <si>
    <t>REC-000680</t>
  </si>
  <si>
    <t>CZ-6257/1</t>
  </si>
  <si>
    <t>â€¢ it is recommended to adopt own measure for implementation of the previously issued safety recommendations so that only the level crossing safety equipment with warning lights and barriers will be designed, installed and approved during the reconstruction and modernization of the railway tracks and level crossings, including the level crossing No. P647; â€¢ it is recommended to adopt own measure to ensure that at the level crossing No. P647 which is currently secured only by a warning cross will be the road markings at this level crossing immediately equipped with a yellow-green retroreflective substructure; â€¢ it is recommended to adopt own measure to ensure that in the sighting distances for road vehicles at the level crossing No. P647 will not to adjacent cultivated fields sown with crops that restrict the view of the track by their height, i.e. that sighting distances will be provided for drivers of road vehicles in all quadrants of level crossing.</t>
  </si>
  <si>
    <t>REC-000681</t>
  </si>
  <si>
    <t>CZ-6257/2</t>
  </si>
  <si>
    <t>â€¢ it is recommended to adopt a measure to ensure that vertical traffic sign A 31a â€žSignal boardâ€ (240 m) supplemented by traffic sign A 30 â€žLevel crossing without barriersâ€, A 31b â€žSignal boardâ€ (160 m) and A 31c â€žSignal boardâ€ (80 m) located in front of the level crossing No. P647 in both directions, will be equipped with a yellow-green retroreflective substructure; â€¢ it is recommended to adopt a measure to ensure that on road III. Class, No. 2034 in both directions in front of the level crossing No. P647, which is currently secured only by a warning crosses, will be added the horizontal traffic sign V18 "Optical psychological brake"; â€¢ it is recommended to adopt a measure to ensure that on road III. Class, No. 2034 in both directions in front of the level crossing No. P647, which is currently secured only by warning crosses, will be supplemented horizontal traffic sign V15 "Road sign" â€“ A 32a "Warning cross for single-track level crossing" with possible addition of horizontal traffic sign V15 "Sign on the road" â€“ A30 â€žLevel crossing without barriers".</t>
  </si>
  <si>
    <t>REC-000794</t>
  </si>
  <si>
    <t>CZ-6267/1</t>
  </si>
  <si>
    <t>â€¢ it is recommended to adopt own measure to ensure that: - the change of the method of securing of the level crossing No. P8324 will be realized as fast as possible, the traffic torque is exceeding 10,000 and it has a value of up to 28,800 when taking into account the fiftieth highest annual traffic flow volume of traffic flow, so that in connection with the previously issued safety recommendations, this level crossing should be secured by flashing light level crossing warning system and supplemented by barriers; - the warning crosses of the level crossing No. P8324, including vertical traffic signs P 6 â€žStop, give a priority!", should be provided with a retroreflective fluorescent yellow-green background until the change of securing of the level crossing No. P8324 will be realized.</t>
  </si>
  <si>
    <t>Level crossing accident, 16-05-20, open line between Hnojník and Dobrá u Frýdku-Místku stations (Czech Republic)</t>
  </si>
  <si>
    <t>CZ-6203/1</t>
  </si>
  <si>
    <t>Addressed to The Czech National Safety Authority (NSA):
- it is recommended to adopt own measure for add of the level crossing No. 5737 which is secure only by warning crosses to a level crossing system equipped with barriers, which with respect to local conditions and optical and manual barrier will reduce probability of the driver's entrance at the level crossing when the driver does not respond to limited visible rolling stock approaching to the level crossing.</t>
  </si>
  <si>
    <t>CZ-6203/2</t>
  </si>
  <si>
    <t>Addressed to Municipality of Dobříš, as the road administrative office of roads II. and III. class and publicly accessible special-purpose roads at the administrative territory of the municipality with extended powers Dobříš:
- reduction of greenery (branches of trees, bushes) or felling of trees at the edge of the forest on the inner side of the directional curve near the road No. II/114 in order to improve the driver's field of vision and visibility and to enable the early detection oncoming vehicles. This will be increase predictability situation for drivers turning to road leading to the level crossing and for driver of oncoming vehicle.</t>
  </si>
  <si>
    <t>CZ-6203/3</t>
  </si>
  <si>
    <t>Addressed to The Czech National Safety Authority in cooperation with the Municipality of Dobříš:
- to ensure the installation of the traffic safety equipment – traffic reflector mirror at the level crossing No. P5737 to improve the view for the driver turning from the road No. II/114 (from the village Stará Huť) before the the level crossing No. P5737;
- to ensure the safety of road vehicles by add the traffic sign P6 „Stop, give way!" in front of the level crossing No. P5737 from the direction of the Zdeněk Kulda company or by removing the advertising banner or reducing the speed at the purpose-built road from the company Zdeněk Kulda, which it reduces the required minimum view length for stopping (Dz) and also the minimum view length for the road vehicle (Lr).</t>
  </si>
  <si>
    <t>CZ-6030/1</t>
  </si>
  <si>
    <t>Addressed to the Czech National Safety Authority (the NSA):
• as part of its activities resulting from its position as a national safety authority we recommend the NSA ensure that the IMs will incorporated the procedure in accordance with the section 10 paragraph 3 of Act No. 266/1994 Coll., on rail systems, as amended (hereinafter “Act No. 266/1994 Coll.”), into their internal regulations and they will apply this procedure primarily and consistently, which means that the internal regulations of the IMs will impose an obligation on the relevant employees of the IM to remove trees endangering safe operation of the railway primarily thus without using procedure in accordance with the section 10 paragraph 2 of Act No. 266/1994 Coll.;
• we also recommend the NSA execute the periodic state supervisions focused on check whether there are trees or other growth around the lines, which may fall into the structure gauge of the open line track and in case they are found, whether the relevant IM has already actively carried on with his statutory obligation, that means whether he has already taken effective steps to eliminate this source of danger.</t>
  </si>
  <si>
    <t>CZ-6030/2</t>
  </si>
  <si>
    <t>Addressed to the Czech Ministry of Transport:
• on the basis of negotiations with the Ministry of Agriculture and the Ministry of the Environment we recommend the Ministry of Transport enforce changes in Acts No. 114/1992 Coll., on Nature and landscape protection, as amended, and No. 289/1995 Coll., on Forests and Amendments to some Acts (the Forest Act), as amended, so that these legal regulations will be in accordance with the provisions of the section 10 of Act No. 266/1994 Coll. (which means that their collisions will not create space for different legal interpretations and subsequently for litigation), and the IMs and landowners will be able to remove and prune the vegetation endangering the safety or flow of railway transport operation or rail system operation without any administrative obstacles and time-consuming processes.</t>
  </si>
  <si>
    <t>CZ-5897/1</t>
  </si>
  <si>
    <t>Addressed to the Czech National Safety Authority (the NSA): due to the fact that there were repeated deadlocks of the road engine vehicles atlevel crossings, which were after a major repair or reconstruction approved by the NSA, without verifying compliance with all applicable standards, including ČSN 73 6380, to ensure smooth passage of road vehicles, resp. without the level crossing being correctly marked with appropriate traffic signs on the restriction of the operation of road vehicles on the road at the level crossing, to adopt of its own measure for implementation:
• modify safety management system that IM critic rate data about category and functional class (group) of the road which will get from manager of the road;
• systematic detection of the category and functional class (group) of the road, including ensuring the documentation of the method of obtaining this information;
• control that the road markings before level crossings correspond with category and functional class (group) of the road, and control on compliance with the measures laid down during joint inspections of level crossings.</t>
  </si>
  <si>
    <t>CZ-6265/1</t>
  </si>
  <si>
    <t>Addressed to the Czech National Safety Authority (the NSA):
• from its position as the national safety authority, we recommend that the NSA adopt measures to ensure that the infrastructure managers of the national and regional railways in the Czech Republic:
  - will strictly enforce with the existing rules for radio operation, especially in connection of the obligation of the RU to equip the rolling stock with radio stations which enable communication on the basic radio link, with emphasis on the GSM-R system; 
  - will supply these rules with a clear obligation to use primarily basic radio links for all communication with the train;
  - will systematically exercise control activities focused on radio communication problematics, these controls should contain the software control of data entered by the RUs into the column „Contact for communication with the train" of the information system of the IM and at least, random control exercised by testing utility of the basic radio connection;
• we recommend that the NSA adopt measures to ensure that the station interlocking plants which are controlled from the unified control place will be supplemented by the function which will be able to recognize the situation when the track section of the set train route is unexpectedly released by the rolling stock (train) without occupying the next section. The operating employee will be warned by the acoustic and strong optical alert on the railyard display in that situation. These station interlocking plants for which proposed recommendation will be feasible should be chosen on the basis of analysis;
• we recommend that the NSA adopt measures to ensure that station interlocking plants which are controlled from the unified control place, does not allow the disappearance of the number representing the train without a targeted action made by the operating employee and without any alert warning this employee against the disappearance. These station interlocking plants for which proposed recommendation will be feasible should be chosen on the basis of analysis.</t>
  </si>
  <si>
    <t>CZ-6113/1</t>
  </si>
  <si>
    <t>we recommend that the NSA appeal on the IMs that the maintenance work and repairs which take place on the line (especially with using the track mechanization) will be executed preferentially in time of the track occupancy, when the stricter rules relating especially to opening and closing of the track occupancy are in force, than executing them during the train break which was happened in case of this incident.</t>
  </si>
  <si>
    <t>CZ-6294/1</t>
  </si>
  <si>
    <t>Addressed to the Czech National Safety Authority (the NSA):
- as part of its activities as a national safety authority we recommend the NSA adopt own measures to ensure increase of security, with regard to the already applied elements of the signaling equipment on the line Karlovy Vary dolní nádraží station - Potůčky state border, in the section Nejdek - Potůčky state border as one of the proposed variants of the "Concept of increasing safety on lines with simplified traffic control" of the infrastructure manager Správa železnic, státní organizace, will ensure assessment and realization individual variants including the set schedule on selected lines with simplified traffic control prescribed and regulated by the SŽDC D3 according to "Concept of increasing safety on lines with simplified traffic control" and also on other lines in the railway network of the Czech Republic, on which the railway transport is currently organized with simplified traffic control. This should be done to increase the level of safety of the rolling stock.</t>
  </si>
  <si>
    <t>Addressed to the Czech National Safety Authority (the NSA):
• as part of increasing the level of security, we recommend that the NSA ensure that the RU with the IM will check the functionality of the basic radio link so that another safety element will be engaged (e. g. by the joint technological procedures will be determined or effective and coherent control activities will be executed) so that the risk of human error will be reduced;
• we recommend that the NSA initiate the improvement of mutual cooperation of the IMs and RUs in the risk management, especially in specific cases where there is mutual interaction at a common interface, with emphasis on eliminating human factor failure;                                  • as a part of its powers, we recommend that the NSA ensure that the adopted safety management system, in particular the method of the risk assessment and adopting of the risk management measures, will be implemented by the IM and RU so that their generally established procedures and methods would be applied more effectively not only to the specific operational situations but also in cases when, within modernization, optimalization or reconstruction of the infrastructure, there are technical, operational and organizational changes.</t>
  </si>
  <si>
    <t>Addressed to the Czech National Safety Authority (NSA):
• it is recommended to adopt own measure for the fastest implementation change of the interlocking system of the level crossing No. P7961, mainly due to disruption of the sighting distance for the slowest road vehicle by a bridge structure, so that the level crossing was equipped by the flashing light level crossing warning system with barriers, in connection with previously issued safety recommendations.</t>
  </si>
  <si>
    <t>Addressed to the Czech National Safety Authority (NSA):
• appeal to the RU of trolleybus track, so that as part of maintenance of rolling stocks replaces components (parts), which it has an affect to the safe operation of rail transport only with components (parts) in accordance with the relevant approved production documentation of the rolling stock, respectively of components with identical parameters, if these components (parts) are not produced.</t>
  </si>
  <si>
    <t>CZ-6112/1</t>
  </si>
  <si>
    <t>Addressed to the Czech National Safety Authority (the NSA):
• to adopt own measure, which ensure at all IMs:
- from the point of view of current and possible future development of the modern defectoscopic methods, all available defectoscopic methods by which it is possible to detect hidden defects in the area of the the point blade rail foot will be continuously exercised, resp. evaluated and the most effective method or methods will be applied into the system of the exercised controls;
- in case an adequate technological solution for the detection of hidden defects, resp. subsequent cracks in the point blade rail foot is absent, we recommend to the NSA adopt own measures that would prevent the vast majority of the point blade rails, which are long-term stressed by the cyclic high temperature changes and intensive rail traffic, from failure of their bearing cross-section, e.g. by introducing the cyclic point blade rail exchanges in terms based on the analysis;
- an extraordinary control of the condition and tightening the screws of short fishplates on the point blades of the switches will be exercised and permanent and regular controls of these will be ensured in the future as well.</t>
  </si>
  <si>
    <t xml:space="preserve">Rail Safety Inspection Office </t>
  </si>
  <si>
    <t>CZ-6292/1</t>
  </si>
  <si>
    <t>Addressed to the Czech National Safety Authority (the NSA):
• to initiate an expert discussion with the IM which should resulted in analysis of possibilities how to modify the station interlocking plants or line safety and signalling plants (except the electronic type of the station interlocking plants or line safety and signalling plants working on the basis of a closed computer system) when there is a track posession; this modification will prevent the station dispatchers with the granted line approval onto the excluded line track from setting the permitting signals for moving of trains on the main signal devices. Then, the appropriately chosen solution should be implement into the relevant parts of the orders on possession and should be recorded into the relevant documentation of the IM. After restoring the station interlocking plant to working order when the track possession is closed, the record on verification of correct function should be also made into the relevant documentation of the IM;
• to edit the obligation prescribed in the technological procedures of the IMs so that the obligation to protect the excluded site by the portable signal device „Stop” must be fulfilled immediately when the track possession starts, due to the fact that protection of the excluded site by the portable signal device „Stop" is an important safety element.</t>
  </si>
  <si>
    <t>CZ-6280/1</t>
  </si>
  <si>
    <t>Addressed to the Czech National Safety Authority (the NSA):
• to verify (by perform of the state supervision) performing regular maintenance of rolling stocks at the railway undertaking in accordance with the provisions of Act No. 266/1994 Coll. and the internal regulation of that railway undertaking;
• as part of its activities as a national safety authority to ensure at the infrastructure manager:
- to update, complete and interconnect of all internal regulations and technological procedures for measurement, evaluating and determining measures in case of detect of failure to comply of specified technical conditions of track operability which they are determined by binding construction and technical parameters;
- the clear determine of the operating parameters and limit operating tolerances of the geometric position of the track and its use in operation and all outputs from the measurements of the geometric position of the track.</t>
  </si>
  <si>
    <t>CZ-6317/1</t>
  </si>
  <si>
    <t>Addressed to the Czech National Safety Authority (the NSA):
- as part of its activities as a national safety authority, we recommend the NSA adopt own measure which ensure that the IM Správa železnic, státní organizace, and the RU ČD Cargo, a. s., will adopt an appropriate measure focused on strict observance of the rules for railway and railway transport operating when arranging shunting and giving the permission to shunt;</t>
  </si>
  <si>
    <t>CZ-6317/2</t>
  </si>
  <si>
    <t>Addressed to the Czech National Safety Authority (the NSA):
- to execute the state supervision in matters of rail systems over activities of the IM Správa železnic, státní organizace, and the RU ČD Cargo, a. s., and other RUs, whether they act in accordance with the Act No. 266/1994 Coll., On Raiways, as amended, with the imposed duties and powers, which means whether they fullfil the procedures for ensuring compliance with the rules for the the railway and railway transport operating by exercising the regular and effective inspections when shunting (especially when negotiating and giving permission to shunt).</t>
  </si>
  <si>
    <t>CZ-6137/1</t>
  </si>
  <si>
    <t>Addressed to the Czech National Safety Authority (the NSA): as part of its activities as the national safety authority, we recommend that the NSA adopt measures to ensure that the infrastructure manager Správa železnic, státní organizace, and other infrastructure managers on railways
• will exercise an extraordinary safety training focused on manipulation with the covers for electric heating of the switches and with covers of the hollow bearer of the switches. On this training, all employees who manipulate with these covers, will be demonstrably acquainted with all requirements for this manipulation;
• will file include this training into the content of the initial and regular safety training of the relevant employees;
• will order an continuous control of the closure, securing and overall status of the above-mentioned covers of the switches as part of their own regular control activities;
• will set the rules for the internal control activity of the professional administrations and operating units when working on device placed on the operating track (especially in domain of ensuring security and observance of the established work procedures), including clear requirements for these controls (e.g frequency, types and methods of these controls, their recording and registration, etc.).</t>
  </si>
  <si>
    <t>CZ-6303/1</t>
  </si>
  <si>
    <t>Addressed to the Czech National Safety Authority (the NSA): 
• to take own measure to ensure equipment of the level crossing No. P6953 which is secure only by warning crosses to a level crossing system equipped with barriers which with regard to the exceeded the traffic moment and local conditions (crossing of 4 roads) from the point of view of optical and manual barrier will reduce probability of the driver ́s entrance at the level crossing when he does not respond to rolling stock approaching to the level crossing.</t>
  </si>
  <si>
    <t>IE-979/1</t>
  </si>
  <si>
    <t>Iarnród Éireann should put in place a formal process for identifying and communicating with known us</t>
  </si>
  <si>
    <t>Iarnród Éireann should put in place a formal process for identifying and communicating with known users of user worked level crossings.</t>
  </si>
  <si>
    <t>IE-979/2</t>
  </si>
  <si>
    <t>Iarnród Éireann should review the effectiveness of its signage at user worked level crossings, and a</t>
  </si>
  <si>
    <t>Iarnród Éireann should review the effectiveness of its signage at user worked level crossings, and amend it where appropriate, taking into account the information provided in the level crossing user booklet. The review should include the information on the use of railway signals, what to do in case of difficulty when crossing the railway and ensuring the signage is illustrated in a clear and concise manner, taking into account current best practice and statutory requirements</t>
  </si>
  <si>
    <t>IE-967/1</t>
  </si>
  <si>
    <t>Iarnród Éireann should ensure that risk assessments are produced for all user worked level crossings</t>
  </si>
  <si>
    <t>Iarnród Éireann should ensure that risk assessments are produced for all user worked level crossings to identify all hazards specific to particular level crossings.</t>
  </si>
  <si>
    <t>IE-967/2</t>
  </si>
  <si>
    <t>Iarnród Éireann should review their documentation on the measurement of viewing distances at existin</t>
  </si>
  <si>
    <t>Iarnród Éireann should review their documentation on the measurement of viewing distances at existing user worked level crossings to ensure that the viewing distances provide sufficient views of approaching trains to allow level crossing users cross safely</t>
  </si>
  <si>
    <t>IE-967/3</t>
  </si>
  <si>
    <t>Iarnród Éireann should review their procedures for the management of accidents to ensure that commun</t>
  </si>
  <si>
    <t>Iarnród Éireann should review their procedures for the management of accidents to ensure that communication with the emergency services is clear and provides the necessary information to locate an accident site without undue delay and access it by the most appropriate point</t>
  </si>
  <si>
    <t>IE-967/4</t>
  </si>
  <si>
    <t>Iarnród Éireann to develop and implement a vegetation management programme that addresses vegetation</t>
  </si>
  <si>
    <t>Iarnród Éireann to develop and implement a vegetation management programme that addresses vegetation management on a risk basis, prioritising high risk areas</t>
  </si>
  <si>
    <t>IE-941/1</t>
  </si>
  <si>
    <t>â€¢ Iarnród Éireann should identify similar manned level crossings where human error could result in t</t>
  </si>
  <si>
    <t>â€¢ Iarnród Éireann should identify similar manned level crossings where human error could result in the level crossing gates being opened to road traffic when a train is approaching; where such level crossings exist, Iarnród Éireann should implement engineered safeguards; where appropriate</t>
  </si>
  <si>
    <t>IE-941/2</t>
  </si>
  <si>
    <t>â€¢ Iarnród Éireann should review its risk management process for manned level crossings to ensure tha</t>
  </si>
  <si>
    <t>â€¢ Iarnród Éireann should review its risk management process for manned level crossings to ensure that risks are appropriately identified, assessed and managed to ensure that existing level crossing equipment is compliant with criteria set out in Iarnród Éireannâ€™s signalling standards, where appropriate</t>
  </si>
  <si>
    <t>IE-906/1</t>
  </si>
  <si>
    <t>â€¢ Iarnród Éireann should ensure all work in rolling stock maintenance depots is carried out in accor</t>
  </si>
  <si>
    <t>â€¢ Iarnród Éireann should ensure all work in rolling stock maintenance depots is carried out in accordance with its control process;</t>
  </si>
  <si>
    <t>IE-906/2</t>
  </si>
  <si>
    <t>â€¢ Iarnród Éireann should review its process of managing the hazard log in relation to the Class 2900</t>
  </si>
  <si>
    <t>â€¢ Iarnród Éireann should review its process of managing the hazard log in relation to the Class 29000s to ensure the adequacy of this process and verify that implementation of closure arguments in the hazard log is effective</t>
  </si>
  <si>
    <t>IE-906/3</t>
  </si>
  <si>
    <t>â€¢ Iarnród Éireann should evaluate the risks relating to failure of the centre pivot pin to perform i</t>
  </si>
  <si>
    <t>â€¢ Iarnród Éireann should evaluate the risks relating to failure of the centre pivot pin to perform its function due to over-inflation of the secondary suspension and determine if any design modifications are required to avoid future failures</t>
  </si>
  <si>
    <t>IE-846/1</t>
  </si>
  <si>
    <t>IÉ should ensure that the risks relating to use of spring assisted manual points are identified and</t>
  </si>
  <si>
    <t>IÉ should ensure that the risks relating to use of spring assisted manual points are identified and that appropriate control measures are implemented based on the risks identified</t>
  </si>
  <si>
    <t>IE-846/2</t>
  </si>
  <si>
    <t>IÉ should ensure that the Signal Sighting Committee is informed when train drivers report difficulti</t>
  </si>
  <si>
    <t>IÉ should ensure that the Signal Sighting Committee is informed when train drivers report difficulties viewing a signal and the Signal Sighting Committee should verify that the reported difficulties are addressed effectively</t>
  </si>
  <si>
    <t>IE-802/1</t>
  </si>
  <si>
    <t>â€¢ Iarnród Éireann should review their vegetation management processes</t>
  </si>
  <si>
    <t>IE-802/2</t>
  </si>
  <si>
    <t>â€¢ Iarnród Éireann should review the effectiveness of their standards in relation to conducting earth</t>
  </si>
  <si>
    <t>â€¢ Iarnród Éireann should review the effectiveness of their standards in relation to conducting earthworks inspections during periods of heavy rainfall</t>
  </si>
  <si>
    <t>IE-802/3</t>
  </si>
  <si>
    <t>â€¢ Iarnród Éireann should review their Standard for Track Patrolling</t>
  </si>
  <si>
    <t>IE-802/4</t>
  </si>
  <si>
    <t>â€¢ Iarnród Éireann should review their structures list and ensure that all earthworks are identified</t>
  </si>
  <si>
    <t>â€¢ Iarnród Éireann should review their structures list and ensure that all earthworks are identified and included on this list.</t>
  </si>
  <si>
    <t>IE-802/5</t>
  </si>
  <si>
    <t>â€¢ Iarnród Éireann and the Railway Safety Commission should review their process for the issuing of g</t>
  </si>
  <si>
    <t>â€¢ Iarnród Éireann and the Railway Safety Commission should review their process for the issuing of guidance documents</t>
  </si>
  <si>
    <t>IE-802/6</t>
  </si>
  <si>
    <t>â€¢ Iarnród Éireann should review the effectiveness of their Structural Inspections Standard, I-STR-65</t>
  </si>
  <si>
    <t>â€¢ Iarnród Éireann should review the effectiveness of their Structural Inspections Standard, I-STR-6510,</t>
  </si>
  <si>
    <t>IE-764/1</t>
  </si>
  <si>
    <t>IE should review the competencies of all signalmen to ensure that when signalmen are assigned relief</t>
  </si>
  <si>
    <t>IE should review the competencies of all signalmen to ensure that when signalmen are assigned relief duties they have the required training and experience to perform these duties appropriately.</t>
  </si>
  <si>
    <t>IE-754/1</t>
  </si>
  <si>
    <t>Iarnród Éireann should put appropriate interface processes in place to ensure that when designated t</t>
  </si>
  <si>
    <t>Iarnród Éireann should put appropriate interface processes in place to ensure that when designated track patrolling staff (who report to two or more divisional areas) are absent from their patrolling duties, that appropriate relief track patrolling staff are assigned to perform these patrolling duties.</t>
  </si>
  <si>
    <t>IE-754/2</t>
  </si>
  <si>
    <t>Iarnród Éireann should amend the Track Patrolling Standard, I-PWY-1307, to remove the requirement fo</t>
  </si>
  <si>
    <t>Iarnród Éireann should amend the Track Patrolling Standard, I-PWY-1307, to remove the requirement for track patrollers to carry out annual checks for scour.</t>
  </si>
  <si>
    <t>IE-754/3</t>
  </si>
  <si>
    <t>Iarnród Éireann should formalise their â€žCivil Engineering and Earthworks Structures: Guidance Notes</t>
  </si>
  <si>
    <t>Iarnród Éireann should formalise their â€žCivil Engineering and Earthworks Structures: Guidance Notes on Inspections Standardâ€Ÿ, I-STR-6515, which should include guidance for inspectors on conducting inspections and identifying structural defects. On formalising this document Iarnród Éireann should re-issue, in the appropriate format, to all relevant personnel.</t>
  </si>
  <si>
    <t>IE-754/4</t>
  </si>
  <si>
    <t>Iarnród Éireann should introduce a verification process to ensure that all requirements of their Str</t>
  </si>
  <si>
    <t>Iarnród Éireann should introduce a verification process to ensure that all requirements of their Structural Inspections Standard, I-STR-6510, are carried out in full.</t>
  </si>
  <si>
    <t>IE-754/5</t>
  </si>
  <si>
    <t>Iarnród Éireann should ensure that a system is put in place for effective implementation of existing</t>
  </si>
  <si>
    <t>Iarnród Éireann should ensure that a system is put in place for effective implementation of existing standards and to manage the timely introduction of new and revised standards.</t>
  </si>
  <si>
    <t>IE-754/6</t>
  </si>
  <si>
    <t>Iarnród Éireann should ensure that a programme of structural inspections is started immediately in a</t>
  </si>
  <si>
    <t>Iarnród Éireann should ensure that a programme of structural inspections is started immediately in accordance with their Standard for Structural Inspection, I-STR-6510, and ensure that adequate resources are available to undertake these inspections.</t>
  </si>
  <si>
    <t>IE-754/7</t>
  </si>
  <si>
    <t>Iarnród Éireann should carry out inspections for all bridges subject to the passage of water for the</t>
  </si>
  <si>
    <t>Iarnród Éireann should carry out inspections for all bridges subject to the passage of water for their vulnerability to scour, and where possible identify the bridge foundations. A risk-based management system should then be adopted for the routine examination of these vulnerable structures.</t>
  </si>
  <si>
    <t>IE-754/8</t>
  </si>
  <si>
    <t>Iarnród Éireann should develop a documented risk-based approach for flood and scour risk to railway</t>
  </si>
  <si>
    <t>Iarnród Éireann should develop a documented risk-based approach for flood and scour risk to railway structures through: ï‚· Monitoring of scour risk at sites through scour depth estimation, debris and hydraulic loading checks, and visual and underwater examination; ï‚· Provision of physical scour / flood protection for structures at high risk; ï‚· Imposing of line closures during periods of high water levels where effective physical protection is not in place.</t>
  </si>
  <si>
    <t>IE-754/9</t>
  </si>
  <si>
    <t>Iarnród Éireann should adopt a formal process for conducting structural inspections in the case of a</t>
  </si>
  <si>
    <t>Iarnród Éireann should adopt a formal process for conducting structural inspections in the case of a report of a structural defect from a member of the public.</t>
  </si>
  <si>
    <t>IE-754/10</t>
  </si>
  <si>
    <t>Iarnród Éireann should introduce a training, assessment and competency management system in relation</t>
  </si>
  <si>
    <t>Iarnród Éireann should introduce a training, assessment and competency management system in relation to the training of structural inspectors, which includes a mentoring scheme for engineers to gain the appropriate training and experience required to carry out inspections.</t>
  </si>
  <si>
    <t>IE-742/1</t>
  </si>
  <si>
    <t>Formalised process should be put in place to ensure that life expired points are removed from servic</t>
  </si>
  <si>
    <t>Formalised process should be put in place to ensure that life expired points are removed from service, where this is not possible a rish assessment should be carried out and appropriate controls put in place to manage the risks identified.</t>
  </si>
  <si>
    <t>IE-742/2</t>
  </si>
  <si>
    <t>Ensure On Track machine personnel are trained and competent to examine the wheels</t>
  </si>
  <si>
    <t>IE-659/1</t>
  </si>
  <si>
    <t>IE should review their systems for training and competency management of signalmen ensuring working</t>
  </si>
  <si>
    <t>IE should review their systems for training and competency management of signalmen ensuring working as a relief signalman is taken into account.</t>
  </si>
  <si>
    <t>IE-659/2</t>
  </si>
  <si>
    <t>IE should ensure procedures are put in place for the operation and maintenence of the MU-2-B1 valves</t>
  </si>
  <si>
    <t>IE should ensure procedures are put in place for the operation and maintenence of the MU-2-B1 valves.</t>
  </si>
  <si>
    <t>IE-619/1</t>
  </si>
  <si>
    <t>Iarnród Éireann should review the training and competency management of gatekeepers and signalling m</t>
  </si>
  <si>
    <t>Iarnród Éireann should review the training and competency management of gatekeepers and signalling maintenance personnel;</t>
  </si>
  <si>
    <t>IE-619/2</t>
  </si>
  <si>
    <t>Iarnród Éireann should review the design of signal indicators to ensure their design encourages corr</t>
  </si>
  <si>
    <t>Iarnród Éireann should review the design of signal indicators to ensure their design encourages correct interpretation;</t>
  </si>
  <si>
    <t>IE-519/1</t>
  </si>
  <si>
    <t>IE should assess the risks relating to road users behaviour in identifying a safe stopping position</t>
  </si>
  <si>
    <t>IE should assess the risks relating to road users behaviour in identifying a safe stopping position at user worked level crosssings and based on theoutcome of this risk assessment, IE should introduce measures to allow safe use of this type of level crossing.</t>
  </si>
  <si>
    <t>IE-519/2</t>
  </si>
  <si>
    <t>IE should carry out risk assessments on level crossings that fail to meet the viewing distances spec</t>
  </si>
  <si>
    <t>IE should carry out risk assessments on level crossings that fail to meet the viewing distances specified in the RSC guidelines and implement appropriate measures in order to meet this guidance as a minimum.</t>
  </si>
  <si>
    <t>IE-487/1</t>
  </si>
  <si>
    <t>All safety critical staff should undertake safety critical communication training</t>
  </si>
  <si>
    <t>IE-487/2</t>
  </si>
  <si>
    <t>IE should put in place safe work methods for the maintenence of AHBs</t>
  </si>
  <si>
    <t>IE-415/1</t>
  </si>
  <si>
    <t>IE should put in place a risk based process to ensure ongoing review of the suitability of the tempe</t>
  </si>
  <si>
    <t>IE should put in place a risk based process to ensure ongoing review of the suitability of the temperature settings of the HABDs.</t>
  </si>
  <si>
    <t>IE-415/2</t>
  </si>
  <si>
    <t>IE are to identify the necessary maintenence requirements for all class D bearings, including produc</t>
  </si>
  <si>
    <t>IE are to identify the necessary maintenence requirements for all class D bearings, including producing detailed maintenence procedures taking into account thier operational conditions and allowing for traceability of safety critical components, with asistance being sought from the Original Equipment Manufacturer where appropriate.</t>
  </si>
  <si>
    <t>IE-1380/1</t>
  </si>
  <si>
    <t>IÉ should ensure that their procurement and quality control processes verify that goods received are ...</t>
  </si>
  <si>
    <t>IÉ should ensure that their procurement and quality control processes verify that goods received are of the correct specification as those ordered.</t>
  </si>
  <si>
    <t>IE-1380/2</t>
  </si>
  <si>
    <t>IÉ should introduce appropriate procedures and standards for the safe issue, storage and ...</t>
  </si>
  <si>
    <t>IÉ should introduce appropriate procedures and standards for the safe issue, storage and transportation of fog signals.</t>
  </si>
  <si>
    <t>IE-1380/3</t>
  </si>
  <si>
    <t>IÉ drivers should receive adequate training in the safe handling of fog signals.</t>
  </si>
  <si>
    <t>IE-1379/1</t>
  </si>
  <si>
    <t>IÉ (Infrastructure Manager) should develop a formal possession planning meeting framework that is ...</t>
  </si>
  <si>
    <t>IÉ (Infrastructure Manager) should develop a formal possession planning meeting framework that is consistent through the IÉ network</t>
  </si>
  <si>
    <t>IE-1379/2</t>
  </si>
  <si>
    <t>IÉ (Infrastructure Manager) should review the application of Back-to-Back possessions and implement ...</t>
  </si>
  <si>
    <t>IÉ (Infrastructure Manager) should review the application of Back-to-Back possessions and implement actions to eliminate any informal practices that do not comply with IÉ Rule Book</t>
  </si>
  <si>
    <t>IE-1379/3</t>
  </si>
  <si>
    <t>IÉ (Infrastructure Manager) should establish a possession planning procedure that ensures protection ...</t>
  </si>
  <si>
    <t>IÉ (Infrastructure Manager) should establish a possession planning procedure that ensures protection arrangements are based on the work to be delivered and are verified by a suitable member of staff and formally communicated to all relevant personnel</t>
  </si>
  <si>
    <t>IE-1379/4</t>
  </si>
  <si>
    <t>IÉ (Infrastructure Manager) should monitor and review entries into Section â€œEngineering works ...</t>
  </si>
  <si>
    <t>IÉ (Infrastructure Manager) should monitor and review entries into Section â€œEngineering works requiring absolute possessions â€“ Section T Part IIIâ€ of the Weekly Circular to ensure that the information published in this document is accurate and credible</t>
  </si>
  <si>
    <t>IE-1379/5</t>
  </si>
  <si>
    <t>IÉ (Infrastructure Manager) should review the current process for late changes to possessions to ...</t>
  </si>
  <si>
    <t>IÉ (Infrastructure Manager) should review the current process for late changes to possessions to ensure changes to possession arrangements are verified by a suitable member of staff and formally communicated to all relevant personnel</t>
  </si>
  <si>
    <t>IE-1379/6</t>
  </si>
  <si>
    <t>IÉ (Infrastructure Manager) should undertake a review of possession incidents that have occurred ...</t>
  </si>
  <si>
    <t>IÉ (Infrastructure Manager) should undertake a review of possession incidents that have occurred over the last four years to ensure that reports are completed and recommendations are identified and addressed</t>
  </si>
  <si>
    <t>IE-1272/1</t>
  </si>
  <si>
    <t>Iarnród Éireann should put in place provisions to assist train drivers with the task of identifying if there is a fault present with an axlebox;</t>
  </si>
  <si>
    <t>IE-1272/2</t>
  </si>
  <si>
    <t>Iarnród Éireann should ensure the competency management system for signalmen includes the assessment of HABD related functions they perform</t>
  </si>
  <si>
    <t>IE-1272/3</t>
  </si>
  <si>
    <t>Iarnród Éireann should put in place formal procedures governing the role of Fleet Technical Services staff in relation to hot axlebox detectors</t>
  </si>
  <si>
    <t>IE-1271/1</t>
  </si>
  <si>
    <t>IÉ should review their Vehicle Maintenance Instructions for locomotives to ensure that there are adequate braking tests at appropriate intervals;</t>
  </si>
  <si>
    <t>IE-1271/2</t>
  </si>
  <si>
    <t>IÉ should adopt a quality control system, for the introduction of new maintenance procedures for locomotives;</t>
  </si>
  <si>
    <t>IE-1271/3</t>
  </si>
  <si>
    <t>IÉ should review their system for introducing new train driversâ€™ manuals, to ensure that train drivers are fully trained and assessed in all aspects of these manuals</t>
  </si>
  <si>
    <t>IE-1271/4</t>
  </si>
  <si>
    <t>IÉ should review their competency management system for train drivers to ensure that all driving tasks are routinely assessed</t>
  </si>
  <si>
    <t>IE-1095/1</t>
  </si>
  <si>
    <t>Iarnród Éireann should review the suitability of the signage at user worked crossings on public and</t>
  </si>
  <si>
    <t>Iarnród Éireann should review the suitability of the signage at user worked crossings on public and private roads, ensuring that human factors issues are identified and addressed</t>
  </si>
  <si>
    <t>IE-1095/2</t>
  </si>
  <si>
    <t>Iarnród Éireann should liaise with local authorities where private road level crossings can be acces</t>
  </si>
  <si>
    <t>Iarnród Éireann should liaise with local authorities where private road level crossings can be accessed from a public road to ensure there is advance warning to road users</t>
  </si>
  <si>
    <t>IE-1095/3</t>
  </si>
  <si>
    <t>Iarnród Éireann should ensure that they adopt their own standards in relation to design changes to a</t>
  </si>
  <si>
    <t>Iarnród Éireann should ensure that they adopt their own standards in relation to design changes to any plant, equipment, infrastructure or operations that have the potential to affect safety.</t>
  </si>
  <si>
    <t>IE-1095/4</t>
  </si>
  <si>
    <t>The Railway Safety Commission should ensure that they adopt a formal approach to submissions made by</t>
  </si>
  <si>
    <t>The Railway Safety Commission should ensure that they adopt a formal approach to submissions made by IÉ in relation to design changes to any plant, equipment, infrastructure or operations that has the potential to affect safety</t>
  </si>
  <si>
    <t>IE-1020/1</t>
  </si>
  <si>
    <t>Iarnród Éireann should upgrade the Level Crossing to ensure that the operation of the Level Crossing</t>
  </si>
  <si>
    <t>Iarnród Éireann should upgrade the Level Crossing to ensure that the operation of the Level Crossing is not reliant on any direct action by the level crossing user</t>
  </si>
  <si>
    <t>IE-0282/1</t>
  </si>
  <si>
    <t>IÉ should close, move or alter the level crossing in order to meet the required viewing distances in ...</t>
  </si>
  <si>
    <t>Iarnród Éireann should close, move or alter the level crossing in order to meet the required viewing distances in Iarnród Éireannâ€™s technical standard CCE-TMS-380 Technical Standard for the Management of User Worked Level Crossings.</t>
  </si>
  <si>
    <t>IE-0282/2</t>
  </si>
  <si>
    <t>IÉ should review their systems of managing level crossings that fail to meet the viewing distances ...</t>
  </si>
  <si>
    <t>Iarnród Éireann should review their systems of managing level crossings that fail to meet the viewing distances in Iarnród Éireann technical standard CCE-TMS 380 Technical Standard for the Management of User Worked Level Crossings to ensure that any mitigation measure that is introduced is effective at reducing the risk to level crossing users.</t>
  </si>
  <si>
    <t>IE-0282/3</t>
  </si>
  <si>
    <t>IÉ should audit their LCRM system, to ensure it correctly identifies high risk level crossings; and ...</t>
  </si>
  <si>
    <t>Iarnród Éireann should audit their Level Crossing Risk Model, to ensure it correctly identifies high risk level crossings; and identifies appropriate risk mitigation measures for individual level crossings.</t>
  </si>
  <si>
    <t>IE-2611/1</t>
  </si>
  <si>
    <t>The CME (IÉ RU) should review and modify their design for the EMU autocouplers to ensure a more ...</t>
  </si>
  <si>
    <t>The CME (IÉ RU) should review and modify their design for the EMU autocouplers to ensure a more robust coupler circuit that will provide assurance that both coupler electrical heads have connected correctly and that coupler circuits are continuous throughout the train consist. Any modification made should be documented in Rolling Stock Design Standards</t>
  </si>
  <si>
    <t>IE-2611/2</t>
  </si>
  <si>
    <t>The CME (IÉ RU) should introduce a visual indicator on the driving console to indicate to the driver ...</t>
  </si>
  <si>
    <t>The CME (IÉ RU) should introduce a visual indicator on the driving console to indicate to the driver that coupling has been completed successfully (or a visual or audible indication that coupling has failed).</t>
  </si>
  <si>
    <t>IE-2611/3</t>
  </si>
  <si>
    <t>DART Operations (IÉ RU) should update the Driversâ€™ Manual to include specific guidance on the ...</t>
  </si>
  <si>
    <t>DART Operations (IÉ RU) should update the Driversâ€™ Manual to include specific guidance on the requirement for the examination of couplers. The update should also include guidance on associated testing of coupler integrity and guidance on any indications in the driving cab that would assist the driver in detecting any coupler failure</t>
  </si>
  <si>
    <t>IE-2611/4</t>
  </si>
  <si>
    <t>The CME (IÉ RU) should review and modify the processes set out in their SMS for closing ...</t>
  </si>
  <si>
    <t>The CME (IÉ RU) should review and modify the processes set out in their SMS for closing recommendations to ensure recommendations from investigations are recorded, monitored and closed. When these processes have been established, they should be audited (by a party external to the CME) at predefined intervals to ensure compliance</t>
  </si>
  <si>
    <t>IE-2151/1</t>
  </si>
  <si>
    <t>IÉ/NIR should review the signalling infrastructure cross-border with a view to commissioning the ...</t>
  </si>
  <si>
    <t>IÉ/NIR should review the signalling infrastructure cross-border with a view to commissioning the bi-directional signalling</t>
  </si>
  <si>
    <t>IE-2151/2</t>
  </si>
  <si>
    <t>IÉ/NIR should each review their training, assessment and competency management of signalmen and ...</t>
  </si>
  <si>
    <t>IÉ/NIR should each review their training, assessment and competency management of signalmen and pilotman in relation to SLW with Pilotmen to ensure they are confident in performing their respective duties during SLW and are familiar with the routes covered</t>
  </si>
  <si>
    <t>IE-2151/3</t>
  </si>
  <si>
    <t>IÉ/NIR should each review current communication procedures with regard to the updated communication ...</t>
  </si>
  <si>
    <t>IÉ/NIR should each review current communication procedures with regard to the updated communication equipment now available</t>
  </si>
  <si>
    <t>IE-3095/1</t>
  </si>
  <si>
    <t>IÉ IM should identify all cast-iron structures on the network. From this, a risk-based approach ...</t>
  </si>
  <si>
    <t>IÉ IM should identify all cast-iron structures on the network. From this, a risk-based approach should be taken in relation to the inspection of these assets, during routine inspections, in terms of any risks associated with cast-iron</t>
  </si>
  <si>
    <t>IE-3095/2</t>
  </si>
  <si>
    <t>IÉ IM should establish a formalised procedure for managing the risk associated with the adverse ...</t>
  </si>
  <si>
    <t>IÉ IM should establish a formalised procedure for managing the risk associated with the adverse effects of high winds</t>
  </si>
  <si>
    <t>IE-3095/3</t>
  </si>
  <si>
    <t>IÉ IM should review the structural and annual inspection regimes for Building and Facilities (B&amp;F) ...</t>
  </si>
  <si>
    <t>IÉ IM should review the structural and annual inspection regimes for Building and Facilities (B&amp;F) to ensure all assets are inspected in accordance with the prescribed standards and any associated documentation is completed appropriately</t>
  </si>
  <si>
    <t>IE-3133/1</t>
  </si>
  <si>
    <t>IÉ Infrastructure Manager (IM) CCE (Chief Civil Engineerâ€™s Department) should complete a thorough ...</t>
  </si>
  <si>
    <t>IÉ Infrastructure Manager (IM) CCE (Chief Civil Engineerâ€™s Department) should complete a thorough review of CCE-STR-STD-2100 in relation to the application of condition ratings on assets to ensure that condition ratings are a true reflection of the condition of the asset; and that the appropriate inspection frequency is applied</t>
  </si>
  <si>
    <t>IE-3133/2</t>
  </si>
  <si>
    <t>IÉ IM CCE should complete a thorough review of the Cutting, Embankments and Coastal/River Defences ...</t>
  </si>
  <si>
    <t>IÉ IM CCE should complete a thorough review of the Cutting, Embankments and Coastal/River Defences Inspection Card set out in CCE-STR-STD-2100 to ensure that Structures Inspectors have the correct means to complete the card without the requirement for alterations to templates or defined terms. The process of approval of these Inspection Cards should also be reviewed to ensure that they are reviewed and approved by the STSE</t>
  </si>
  <si>
    <t>IE-3133/3</t>
  </si>
  <si>
    <t>IÉ IM CCE should complete thorough reviews of CCE-STR-STD-2100 and CCE-STR-GDN-2802 in terms of ...</t>
  </si>
  <si>
    <t>IÉ IM CCE should complete thorough reviews of CCE-STR-STD-2100 and CCE-STR-GDN-2802 in terms of maintenance requirements to ensure consistency throughout both documents</t>
  </si>
  <si>
    <t>IE-3133/4</t>
  </si>
  <si>
    <t>IÉ IM CCE should fully adopt the compliance verification process and ensure the process includes an ...</t>
  </si>
  <si>
    <t>IÉ IM CCE should fully adopt the compliance verification process and ensure the process includes an effective means of reviewing the quality of documents completed by staff</t>
  </si>
  <si>
    <t>IE-3133/5</t>
  </si>
  <si>
    <t>IÉ IM CCE should review its Competence Management System in terms of both: its identification and ...</t>
  </si>
  <si>
    <t>IÉ IM CCE should review its Competence Management System in terms of both: its identification and tracking of mandated refresher training for Structures Inspectors competence; and its annual review of Structures Inspectors inspection work</t>
  </si>
  <si>
    <t>IE-3314/1</t>
  </si>
  <si>
    <t>â€¢ IÉ should consider options to upgrade the crossing to minimise direct action by the users</t>
  </si>
  <si>
    <t>IE-3314/2</t>
  </si>
  <si>
    <t>IÉ should carry out a full review of known misused user worked level crossings on public and ...</t>
  </si>
  <si>
    <t>IÉ should carry out a full review of known misused user worked level crossings on public and private roads and either upgrade the level crossing or introduce measures to minimise their misuse</t>
  </si>
  <si>
    <t>IE-3314/3</t>
  </si>
  <si>
    <t>IÉ should ensure that where a Decision Line is present at a level crossing, that the purpose of this ...</t>
  </si>
  <si>
    <t>IÉ should ensure that where a Decision Line is present at a level crossing, that the purpose of this Decision Line is appropriately conveyed to the level crossing users</t>
  </si>
  <si>
    <t>IE-3382/1</t>
  </si>
  <si>
    <t>IÉ (Infrastructure Manager) should develop a formal possession planning meeting framework that is consistent through the IÉ network.</t>
  </si>
  <si>
    <t>IE-3382/2</t>
  </si>
  <si>
    <t>IÉ (Infrastructure Manager) should review the application of Back-to-Back possessions and implement actions to eliminate any informal practices that do not comply with IÉ Rule Book.</t>
  </si>
  <si>
    <t>IE-3382/3</t>
  </si>
  <si>
    <t>IÉ (Infrastructure Manager) should establish a possession planning procedure that ensures protection arrangements are based on the work to be delivered and are verified by a suitable member of staff and formally communicated to all relevant personnel.</t>
  </si>
  <si>
    <t>IE-3382/4</t>
  </si>
  <si>
    <t>IÉ (Infrastructure Manager) should monitor and review entries into Section â€œEngineering works requiring absolute possessions â€“ Section T Part IIIâ€ of the Weekly Circular to ensure that the information published in this document is accurate and credible.</t>
  </si>
  <si>
    <t>IE-3382/5</t>
  </si>
  <si>
    <t>IÉ (Infrastructure Manager) should review the current process for late changes to possessions to ensure changes to possession arrangements are verified by a suitable member of staff and formally communicated to all relevant personnel.</t>
  </si>
  <si>
    <t>IE-3382/6</t>
  </si>
  <si>
    <t>IÉ (Infrastructure Manager) should undertake a review of possession incidents that have occurred over the last four years to ensure that reports are completed and recommendations are identified and addressed.</t>
  </si>
  <si>
    <t>IE-4890/1</t>
  </si>
  <si>
    <t>IÉ-Infrastructure Manager (IM) should review the site safety briefing procedures to make sure all ...</t>
  </si>
  <si>
    <t>IÉ-Infrastructure Manager (IM) should review the site safety briefing procedures to make sure all personnel have made themselves aware of the information contained in the relevant Weekly Circular</t>
  </si>
  <si>
    <t>IE-4890/2</t>
  </si>
  <si>
    <t>IÉ-IM should review the method of allocation and accountability for General Operatives detailed for ...</t>
  </si>
  <si>
    <t>IÉ-IM should review the method of allocation and accountability for General Operatives detailed for work sites; this is to ensure that sufficient personnel attend and remain on site</t>
  </si>
  <si>
    <t>IE-5239/1</t>
  </si>
  <si>
    <t>â€¢ IÉ-IM must introduce adequate train protection systems on IÉ network for the protection of trains; ...</t>
  </si>
  <si>
    <t>â€¢ IÉ-IM must introduce adequate train protection systems on IÉ network for the protection of trains; this system should be robust and to an acceptable standard within Europe; and have the appropriate ATP and speed supervision functionality</t>
  </si>
  <si>
    <t>IE-5239/2</t>
  </si>
  <si>
    <t>â€¢ IÉ-IM should review the functionality of the ATPâ€™s running release to ensure that the train ...</t>
  </si>
  <si>
    <t>â€¢ IÉ-IM should review the functionality of the ATPâ€™s running release to ensure that the train protection function in relation to passing a signal at danger is appropriately maintained where drivers are approaching signals displaying red aspects. If this is not feasible with the current equipment it should be included when upgrading the ATP equipment</t>
  </si>
  <si>
    <t>IE-5239/3</t>
  </si>
  <si>
    <t>â€¢ IÉ-IM should review the functionality of signals in the Connolly area so that the instances of ...</t>
  </si>
  <si>
    <t>â€¢ IÉ-IM should review the functionality of signals in the Connolly area so that the instances of abnormal downgrades are minimised</t>
  </si>
  <si>
    <t>IE-5239/4</t>
  </si>
  <si>
    <t>â€¢ IÉ-RU should commission an independent review, in terms of human factors, to determine why there ...</t>
  </si>
  <si>
    <t>â€¢ IÉ-RU should commission an independent review, in terms of human factors, to determine why there is a prevalence for the occurrence of SPADs: at certain times of the day; at certain times of drivers shifts; and for drivers with three-five years driving experience</t>
  </si>
  <si>
    <t>IE-5239/5</t>
  </si>
  <si>
    <t>â€¢ IÉ-RU should review the culture within the company so that actions taken after SPADâ€™s supports ...</t>
  </si>
  <si>
    <t>â€¢ IÉ-RU should review the culture within the company so that actions taken after SPADâ€™s supports learning within the driver grades should errors occur, and that the DD&amp;SS is used for redeveloping competence in driving skills and supporting the drivers in returning to driving duties, after a SPAD event</t>
  </si>
  <si>
    <t>IE-5239/6</t>
  </si>
  <si>
    <t>â€¢ IÉ-RU should introduce a near miss reporting system, whereby, drivers may report near misses ...</t>
  </si>
  <si>
    <t>â€¢ IÉ-RU should introduce a near miss reporting system, whereby, drivers may report near misses without the fear of sanctions being imposed;</t>
  </si>
  <si>
    <t>IE-5239/7</t>
  </si>
  <si>
    <t>â€¢ IÉ-IM should identify high risk signals and, where the technology exists, introduce a mechanism to ...</t>
  </si>
  <si>
    <t>â€¢ IÉ-IM should identify high risk signals and, where the technology exists, introduce a mechanism to monitor the approach speed to these signals; to ensure that near misses are identified and managed</t>
  </si>
  <si>
    <t>IE-5239/8</t>
  </si>
  <si>
    <t>â€¢ IÉ-IM should review the Traffic Regulatorâ€™s Manual with a view to introducing guidance for Traffic ...</t>
  </si>
  <si>
    <t>â€¢ IÉ-IM should review the Traffic Regulatorâ€™s Manual with a view to introducing guidance for Traffic Regulatorâ€™s in terms of the management of train delays and the switching of crossing points</t>
  </si>
  <si>
    <t>IE-5239/9</t>
  </si>
  <si>
    <t>â€¢ IÉ-IM should review their training and competency management for Traffic Regulators so that they ...</t>
  </si>
  <si>
    <t>â€¢ IÉ-IM should review their training and competency management for Traffic Regulators so that they have the appropriate skill set in terms of identifying potential risks associated with the regulating of trains</t>
  </si>
  <si>
    <t>IE-5239/10</t>
  </si>
  <si>
    <t>â€¢ IÉ-RU and IÉ-IM should carry out a review of the interfaces between different operational staff ...</t>
  </si>
  <si>
    <t>â€¢ IÉ-RU and IÉ-IM should carry out a review of the interfaces between different operational staff (i.e. drivers, LCCOs, signalmen and EOs) so that all operational staff can adequately manage train operations during degraded situations. Part of this review should focus on the safety critical communications between operational staff</t>
  </si>
  <si>
    <t>IE-5239/11</t>
  </si>
  <si>
    <t>â€¢ IÉ-IM should identify all locations where safety critical communications are not recorded and ...</t>
  </si>
  <si>
    <t>â€¢ IÉ-IM should identify all locations where safety critical communications are not recorded and develop a programme of works for the introduction of recording safety critical communications at these locations</t>
  </si>
  <si>
    <t>IE-5239/12</t>
  </si>
  <si>
    <t>â€¢ IÉ-IM should review the procedures applicable to signalman, Level Crossing Keeper, LCCO and level ...</t>
  </si>
  <si>
    <t>â€¢ IÉ-IM should review the procedures applicable to signalman, Level Crossing Keeper, LCCO and level crossing emergency operators with particular emphasis on the actions to be taken by each when a fault is detected at a level crossing. This review should consider circumstances where a train may already have entered the affected section of line, and circumstances where the signal may be missing or extinguished</t>
  </si>
  <si>
    <t>IE-5239/13</t>
  </si>
  <si>
    <t>â€¢ IÉ-IM, should review their procedures for the placement of speed boards and brief relevant staff ...</t>
  </si>
  <si>
    <t>â€¢ IÉ-IM, should review their procedures for the placement of speed boards and brief relevant staff to be vigilant in the placement of lineside signage with respect to the potential for obscuring of signals or otherwise unintentionally providing distractions to drivers, especially in the case where there are fixed colour light signals or they have potential to cause SOY SPADs</t>
  </si>
  <si>
    <t>IE-5239/14</t>
  </si>
  <si>
    <t>â€¢ IÉ-IM &amp; IÉ-RU should review the current system of reporting SPAD events so that reports are ...</t>
  </si>
  <si>
    <t>â€¢ IÉ-IM &amp; IÉ-RU should review the current system of reporting SPAD events so that reports are consistent and published within a set period of time</t>
  </si>
  <si>
    <t>IE-5248/1</t>
  </si>
  <si>
    <t>â€¢ The Signalling, Electrical and Telecommunications (SET) Department should review the camera ...</t>
  </si>
  <si>
    <t>â€¢ The Signalling, Electrical and Telecommunications (SET) Department should review the camera position at Level Crossing XM065, and other similar CCTV level crossings, to ensure that the LCCOs have optimum, unobstructed, views of level crossings;</t>
  </si>
  <si>
    <t>IE-5248/2</t>
  </si>
  <si>
    <t>â€¢ The SET Department should develop a formalised risk assessment process for the positioning of CCTV ...</t>
  </si>
  <si>
    <t>â€¢ The SET Department should develop a formalised risk assessment process for the positioning of CCTV cameras and associated design works.</t>
  </si>
  <si>
    <t>IE-5248/3</t>
  </si>
  <si>
    <t>â€¢ IÉ- Infrastructure Manager (IM) should identify CCTV level crossings with obstructed views and ...</t>
  </si>
  <si>
    <t>â€¢ IÉ- Infrastructure Manager (IM) should identify CCTV level crossings with obstructed views and issue interim instructions to LCCOs to fully raise the barriers where there is a possibility of any obstructions on level crossings.</t>
  </si>
  <si>
    <t>IE-5248/4</t>
  </si>
  <si>
    <t>â€¢ IÉ-IM should review the human factors and non-technical skills training for LCCOs, and introduce ...</t>
  </si>
  <si>
    <t>â€¢ IÉ-IM should review the human factors and non-technical skills training for LCCOs, and introduce further training, where applicable. In addition, IÉ- IM should finalise the Professional Support Handbook for Level Crossing Control Operators; to provide guidance for LCCOs in the areas of human factors and non-technical skills.</t>
  </si>
  <si>
    <t>IE-5248/5</t>
  </si>
  <si>
    <t>â€¢ IÉ-IM should review and update the LCCC Instructions, to make them more user friendly for LCCOs.</t>
  </si>
  <si>
    <t>IE-5452/1</t>
  </si>
  <si>
    <t>â€¢ IÉ Infrastructure Manager (IM) should conduct a full review of IMO-SMS-031, â€˜Competence Management ...</t>
  </si>
  <si>
    <t>â€¢ IÉ Infrastructure Manager (IM) should conduct a full review of IMO-SMS-031, â€˜Competence Management â€“ Persons required to conduct IM operating dutiesâ€™ and associated documentation, to identify deficiencies in training, continuous assessment and the recording of performance of duties to ensure that persons carrying out these duties are competent to do so;</t>
  </si>
  <si>
    <t>IE-5452/2</t>
  </si>
  <si>
    <t>â€¢ IÉ IM and IÉ Railway Undertaking (RU) should evaluate the current training, assessment and ...</t>
  </si>
  <si>
    <t>â€¢ IÉ IM and IÉ Railway Undertaking (RU) should evaluate the current training, assessment and monitoring of Safety Critical Communications to ensure that communications are carried out to the requirements set out in IÉ Rule Book, and safety critical communications standards IMO-SMS-033 and OPS-SMS-8.1;</t>
  </si>
  <si>
    <t>IE-5452/3</t>
  </si>
  <si>
    <t>â€¢ IÉ RU should review their suite of documents which reference major customer disruptions and ...</t>
  </si>
  <si>
    <t>â€¢ IÉ RU should review their suite of documents which reference major customer disruptions and emergencies, and address any deficiencies in relation to the management of passengers on trains and uncontrolled impromptu evacuations. These documents should then be briefed to staff who have roles in relation to customer disruptions and emergencies to ensure they are aware of their responsibilities</t>
  </si>
  <si>
    <t>IE-5452/4</t>
  </si>
  <si>
    <t>â€¢ IÉ IM should update the relevant sections of the General Appendix and other associated ...</t>
  </si>
  <si>
    <t>â€¢ IÉ IM should update the relevant sections of the General Appendix and other associated documentation to specify where the points clip should be fitted;</t>
  </si>
  <si>
    <t>REC-000510</t>
  </si>
  <si>
    <t>IE-5452/5</t>
  </si>
  <si>
    <t>â€¢ IÉ should agree and implement a consistent wording in the Rule Book, General Appendix, training ...</t>
  </si>
  <si>
    <t>â€¢ IÉ should agree and implement a consistent wording in the Rule Book, General Appendix, training material and oral instructions in relation to the points operatorâ€™s instructions; and ensure that the importance of the task order is highlighted in the training for points operators;</t>
  </si>
  <si>
    <t>REC-000511</t>
  </si>
  <si>
    <t>IE-5452/6</t>
  </si>
  <si>
    <t>â€¢ IÉ IM should review the drawing and specification requirements for points scotches and ensure only ...</t>
  </si>
  <si>
    <t>â€¢ IÉ IM should review the drawing and specification requirements for points scotches and ensure only scotches manufactured to the required drawing and specification are made available to points operators</t>
  </si>
  <si>
    <t>REC-000512</t>
  </si>
  <si>
    <t>IE-5452/7</t>
  </si>
  <si>
    <t>â€¢ IÉ RU should brief the relevant staff on the requirements of the IÉ Rule Book (Section M 3.1.2) ...</t>
  </si>
  <si>
    <t>â€¢ IÉ RU should brief the relevant staff on the requirements of the IÉ Rule Book (Section M 3.1.2) which states that where emergency detonator protection is not needed, drivers must place a Track Circuit Operating Device on the line(s) concerned to supplement the signal protection</t>
  </si>
  <si>
    <t>REC-000593</t>
  </si>
  <si>
    <t>IE-5667/1</t>
  </si>
  <si>
    <t>Recommendation 2019004-01 â€“ The Department of Transport, Tourism and Sport should review the Railway ...</t>
  </si>
  <si>
    <t>Recommendation 2019004-01 â€“ The Department of Transport, Tourism and Sport should review the Railway Safety Act 2005 and current amendments to make clear the classification of RRVs; consultation should be sought with the Commission for Railway Regulation (CRR); and, relevant stakeholders where appropriate</t>
  </si>
  <si>
    <t>REC-000594</t>
  </si>
  <si>
    <t>IE-5667/2</t>
  </si>
  <si>
    <t>Recommendation 2019004-02 â€“ The CRR &amp; IÉ-IM should review the requirements prescribed in the Railway ...</t>
  </si>
  <si>
    <t>Recommendation 2019004-02 â€“ The CRR &amp; IÉ-IM should review the requirements prescribed in the Railway Safety Act (and current amendments) to ensure they are satisfied that all the requirements of the Railway Safety Act (and current amendments) are met in terms of RRVs being classified as rolling stock</t>
  </si>
  <si>
    <t>REC-000595</t>
  </si>
  <si>
    <t>IE-5667/3</t>
  </si>
  <si>
    <t>â€¢ Recommendation 2019004-03 â€“ IÉ-IM should review and improve its current Chief Civil Engineer (CCE) ...</t>
  </si>
  <si>
    <t>â€¢ Recommendation 2019004-03 â€“ IÉ-IM should review and improve its current Chief Civil Engineer (CCE) Plant and Machinery Standards; attention should be given to best international practice in RRVs; and, as a minimum, the following should be considered for inclusion: o Applying the requirements set out in the EN 15746/ I.S. EN 15746 standards such as controls &amp; indicators, visibility from the cab, warning systems &amp; communications between work positions, etc. Where, due to a technical impossibility, the design specifications of EN 15746 cannot be met in full, control measures to address these deficiencies should be clearly identified, risks assessed, and suitable controls implemented; o The installing of an appropriate emergency warning system, which, when activated in emergency, can produce a suitably loud audible alarm and/or visual alarm. In cases, where this is not possible, as a result of a technical impossibility, control measures to address this deficiency should be clearly identified, risk assessed, and suitable controls implemented; o Installing Wheel Slip Prevention and/or sanders on RRVs; o Installing of Anti-Collision Devices (ACDs) on RRVs for the prevention of collisions with other RRVs, rolling stock, infrastructure and staff (through the provision of portable ACDs fitted to staff) on the IÉ network. In cases, where this is not possible, as a result of a technical impossibility, control measures to address this deficiency should be clearly identified, risk assessed, and suitable controls implemented; o Introducing an appropriate means of communication between work positions, whereby the RRVOs and RRVCs can communicate while on-tracking, travelling on the railway and at worksites; o Installing of data recorders on RRVs; o The suitability of the current braking system on Type 9B RRVs where an indirect rail wheel braking system is in place; consideration should be given for the requirement to have all RRVs fitted with direct rail wheel braking systems</t>
  </si>
  <si>
    <t>REC-000596</t>
  </si>
  <si>
    <t>IE-5667/4</t>
  </si>
  <si>
    <t>Recommendation 2019004-04 â€“ IÉ-IM are to engage with the RRV contractors in relation to updated CCE ...</t>
  </si>
  <si>
    <t>Recommendation 2019004-04 â€“ IÉ-IM are to engage with the RRV contractors in relation to updated CCE Plant and Machinery Standards; and, give clear guidelines on when these new requirements come into full effect</t>
  </si>
  <si>
    <t>REC-000597</t>
  </si>
  <si>
    <t>IE-5667/5</t>
  </si>
  <si>
    <t>â€¢ Recommendation 2019004-05 â€“ In relation to existing RRVs, IÉ-IM should assess the operation of ...</t>
  </si>
  <si>
    <t>â€¢ Recommendation 2019004-05 â€“ In relation to existing RRVs, IÉ-IM should assess the operation of existing RRVs to satisfy itself, on the basis of a risk assessment, that there are adequate technical and operational controls to prevent loss of control of RRV occurrences in the future</t>
  </si>
  <si>
    <t>REC-000598</t>
  </si>
  <si>
    <t>IE-5667/6</t>
  </si>
  <si>
    <t>â€¢ Recommendation 2019004-06 â€“ IÉ-IM should include, in their post-occurrence procedures, a ...</t>
  </si>
  <si>
    <t>â€¢ Recommendation 2019004-06 â€“ IÉ-IM should include, in their post-occurrence procedures, a requirement to verify the performance of RRVs (including braking performance) involved in accident, incidents or dangerous occurrences (near misses) to ensure the requirements of the CCE Plant and Machinery Standards are met in full; this should involve the completion of a full post-occurrence examination of the RRV by the contractor. A requirement that RRVs involved in accidents, incidents or dangerous occurrences (near misses) are not permitted back onto the IÉ network until the post-occurrence procedures have been completed and the RRV is confirmed fit and safe for use;</t>
  </si>
  <si>
    <t>REC-000599</t>
  </si>
  <si>
    <t>IE-5667/7</t>
  </si>
  <si>
    <t>â€¢ Recommendation 2019004-07 â€“ IÉ-IM should update their CCE Plant and Machinery Standards to include ...</t>
  </si>
  <si>
    <t>â€¢ Recommendation 2019004-07 â€“ IÉ-IM should update their CCE Plant and Machinery Standards to include requirements for RRV contractors to provide RRV information: at the acceptance stage; and, at later dates where modifications are made to RRVs. Where this information is not provided, and the requirements of the updated CCE Plant and Machinery are not met, the RRVs involved should not be allowed to operate on the IÉ network</t>
  </si>
  <si>
    <t>REC-000600</t>
  </si>
  <si>
    <t>IE-5667/8</t>
  </si>
  <si>
    <t>â€¢ Recommendation 2019004-08 â€“ IÉ-IM must develop a suitable RRVO training course which must ...</t>
  </si>
  <si>
    <t>â€¢ Recommendation 2019004-08 â€“ IÉ-IM must develop a suitable RRVO training course which must incorporate both theory and practical elements for the operation of RRVs; there should be an assessment on completion of this initial training. When a person passes this initial training, they must complete and log supervised hours of RRV operation; and present for a final through assessment. This process should be risk assessed to determine the: number of days training; practical training requirements; number of supervised hours; and, final assessment requirements</t>
  </si>
  <si>
    <t>IE-5667/9</t>
  </si>
  <si>
    <t>â€¢ Recommendation 2019004-09 â€“ IÉ-IM should develop a competency management system for the management ...</t>
  </si>
  <si>
    <t>â€¢ Recommendation 2019004-09 â€“ IÉ-IM should develop a competency management system for the management of RRVOs competencies; this system should also include instructions related to re-training and monitoring of RRVOs after they have been involved in an accident;</t>
  </si>
  <si>
    <t>REC-000602</t>
  </si>
  <si>
    <t>IE-5667/10</t>
  </si>
  <si>
    <t>â€¢ Recommendation 2019004-10 â€“ IÉ-IM should conduct a thorough review of their suite of Safety ...</t>
  </si>
  <si>
    <t>â€¢ Recommendation 2019004-10 â€“ IÉ-IM should conduct a thorough review of their suite of Safety Management System (SMS) documentation and CCE Plant and Machinery standards, related to RRV contractors, to identify deficiencies in terms of the management of contractors and their plant. Where deficiencies are identified, IÉ-IM should develop new systems for the management of plant on site, and, for their safety tour and compliance verification processes to ensure contractors regularly inspect and maintain their plant in good condition; rather than the continued issuance of corrective action notices</t>
  </si>
  <si>
    <t>IE-5667/11</t>
  </si>
  <si>
    <t>â€¢ Recommendation 2019004-11 â€“ IÉ-IM should review the ways in which it promotes a positive safety ...</t>
  </si>
  <si>
    <t>â€¢ Recommendation 2019004-11 â€“ IÉ-IM should review the ways in which it promotes a positive safety culture that encourages contractors to report accidents, incidents and dangerous occurrences (near misses); this can be achieved through RRVO workshops and the absence of disciplinary procedures on the reporting of occurrences</t>
  </si>
  <si>
    <t>IE-5667/12</t>
  </si>
  <si>
    <t>â€¢ Recommendation 2019004-12 â€“ IÉ-IM should ensure appropriate procedures are in place for drugs and ...</t>
  </si>
  <si>
    <t>â€¢ Recommendation 2019004-12 â€“ IÉ-IM should ensure appropriate procedures are in place for drugs and alcohol (D&amp;A) screening for IÉ-IM and contractor staff post RRV occurrence</t>
  </si>
  <si>
    <t>IE-5667/13</t>
  </si>
  <si>
    <t>â€¢ Recommendation 2019004-13 â€“ IÉ-IM should update their CCE Plant and Machinery Standards to ensure ...</t>
  </si>
  <si>
    <t>â€¢ Recommendation 2019004-13 â€“ IÉ-IM should update their CCE Plant and Machinery Standards to ensure that RRV contractors are either provided with, or required to identify, the hazards associated with track gradient, rail contamination (or other low adhesion conditions) and RRV orientation and position on track through: o Assessing documentation on the site-specific hazards associated with RRV and ensuring these are addressed in contractor's safety documentation; o Setting requirements in relation to the spacing between RRVs when travelling in convoy (e.g. 100 metres (m)) and putting in place a regime to ensure these requirements are met; o Training RRVCs/RRVOs on the risks associated with track gradient, rail contamination and RRV orientation and guidance on how to manage these risks in a braking emergency</t>
  </si>
  <si>
    <t>REC-000606</t>
  </si>
  <si>
    <t>IE-5667/14</t>
  </si>
  <si>
    <t>â€¢ Recommendation 2019004-14 â€“ IÉ-IM should conduct an audit on RRV contractor's safety documents ...</t>
  </si>
  <si>
    <t>â€¢ Recommendation 2019004-14 â€“ IÉ-IM should conduct an audit on RRV contractor's safety documents with a view to identifying deficiencies in terms of safety and ensuring the appropriate safety documentation is produced for the works; IÉ-IM should support and offer guidance to the RRV contractors in terms of the identification of hazards and methods of working on a railway network</t>
  </si>
  <si>
    <t>REC-000607</t>
  </si>
  <si>
    <t>IE-5667/15</t>
  </si>
  <si>
    <t>â€¢ Recommendation 2019004-15 â€“ IÉ-IM should make changes to the IÉ Rule Book to ensure that all ...</t>
  </si>
  <si>
    <t>â€¢ Recommendation 2019004-15 â€“ IÉ-IM should make changes to the IÉ Rule Book to ensure that all relevant requirements set out in their CCE Plant and Machinery Standards related to RRVs are incorporated into the IÉ Rule Book</t>
  </si>
  <si>
    <t>REC-000608</t>
  </si>
  <si>
    <t>IE-5667/16</t>
  </si>
  <si>
    <t>â€¢ Recommendations 2019004-16 â€“ IÉ-IM should update their CCE Plant and Machinery Standards to ...</t>
  </si>
  <si>
    <t>â€¢ Recommendations 2019004-16 â€“ IÉ-IM should update their CCE Plant and Machinery Standards to include the requirements set out in Section Q 2018 of the IÉ Rule Book related to the collection of pre-operation checklists by the RRVCs from the RRVOs; and ensure these requirements are enforced through compliance verification activities</t>
  </si>
  <si>
    <t>REC-000609</t>
  </si>
  <si>
    <t>IE-5667/17</t>
  </si>
  <si>
    <t>â€¢ Recommendations 2019004-17 â€“ IÉ-IM should clearly define, document and explain the role and ...</t>
  </si>
  <si>
    <t>â€¢ Recommendations 2019004-17 â€“ IÉ-IM should clearly define, document and explain the role and function of the RRVC in the management of RRVs in Section Q of the IÉ Rule Book and/or relevant CCE Plant and Machinery Standards. This should include: o Location of RRVC when on-tracking, during work, and off-tracking; o The sighting requirements of RRVCs (i.e. an RRVC should be able to see RRVs in their control at all times); o The allocation of RRVCs per quantity RRVs (i.e. how many RRVs per RRVs)</t>
  </si>
  <si>
    <t>REC-000610</t>
  </si>
  <si>
    <t>IE-5667/18</t>
  </si>
  <si>
    <t>â€¢ Recommendations 2019004-18 â€“ IÉ-IM should review and update the training requirements of RRVCs ...</t>
  </si>
  <si>
    <t>â€¢ Recommendations 2019004-18 â€“ IÉ-IM should review and update the training requirements of RRVCs with a view to incorporating: o Basic infrastructure training (e.g. points); o Training in communications with relevant staff; o Practical RRV training to ensure they have confidence in accepting pre-operations checklists from RRVOs as set out in the IÉ Rule Book</t>
  </si>
  <si>
    <t>REC-000611</t>
  </si>
  <si>
    <t>IE-5667/19</t>
  </si>
  <si>
    <t>â€¢ Recommendations 2019004-19 â€“ IÉ-IM should brief Signalmen on RRVs operations during possessions ...</t>
  </si>
  <si>
    <t>â€¢ Recommendations 2019004-19 â€“ IÉ-IM should brief Signalmen on RRVs operations during possessions (i.e. accessing and egressing worksites and well as travelling to worksites training in terms of RRVs operating in possessions) to ensure points are set correctly for the RRV movements. Training material for Signalmen on the roles of RRVs should be updated to reflect this</t>
  </si>
  <si>
    <t>REC-000612</t>
  </si>
  <si>
    <t>IE-5667/20</t>
  </si>
  <si>
    <t>â€¢ Recommendations 2019004-20 â€“ The CRR and IÉ-IM should review their processes of closing out ...</t>
  </si>
  <si>
    <t>â€¢ Recommendations 2019004-20 â€“ The CRR and IÉ-IM should review their processes of closing out findings from CRR audits; with a view to identifying opportunities to close out findings, such as updates to the IÉ Rule Book</t>
  </si>
  <si>
    <t>IE-5730/1</t>
  </si>
  <si>
    <t>IÉ-RU CME should review their SSOW &amp; OI and associated documents related to the identification, communication and prevention of movement of defective vehicles to ensure relevant staff are made aware of identified defects and that the defective vehicles are adequately labelled and tagged; and these processes and staff responsibilities are fully understood by all CME staff working on trains.</t>
  </si>
  <si>
    <t>IE-5730/2</t>
  </si>
  <si>
    <t>IÉ-RU CME should review the suite of LTCD documents that relate to the management of moving trains ...</t>
  </si>
  <si>
    <t>IÉ-RU CME should review the suite of LTCD documents that relate to the management of moving trains within LTCD to ensure they are consistent and adequately reference any existing supporting documentation (e.g. ICR Hauling Assisting Instructions).</t>
  </si>
  <si>
    <t>IE-5730/3</t>
  </si>
  <si>
    <t>IÉ-RU CME should review its training and competency of CME Drivers and Limited Shunters ensuring the ...</t>
  </si>
  <si>
    <t>IÉ-RU CME should review its training and competency of CME Drivers and Limited Shunters ensuring the stabling and movement of vehicles (defective or otherwise) are adequately addressed.</t>
  </si>
  <si>
    <t>IE-5730/4</t>
  </si>
  <si>
    <t>IÉ-RU CME should expand the requirements of preparation instructions for rail vehicles to ensure ...</t>
  </si>
  <si>
    <t>IÉ-RU CME should expand the requirements of preparation instructions for rail vehicles to ensure that on completion of these tests the brake status of a train can be fully established; this should include checking the status of circuit breakers and brake isolations.</t>
  </si>
  <si>
    <t>IE-5730/5</t>
  </si>
  <si>
    <t>IÉ-RU CME should re-brief staff on the correct procedure for disembarking from a moving train.</t>
  </si>
  <si>
    <t>IE-5730/6</t>
  </si>
  <si>
    <t>IÉ-RU CME should develop a formal procedure for the examination of vehicles prior to moving a train ...</t>
  </si>
  <si>
    <t>IÉ-RU CME should develop a formal procedure for the examination of vehicles prior to moving a train which has been left unattended with no direct handover.</t>
  </si>
  <si>
    <t>IE-5730/7</t>
  </si>
  <si>
    <t>IÉ-RU CME should determine who has overall responsibilities for the movement of trains within the ...</t>
  </si>
  <si>
    <t>IÉ-RU CME should determine who has overall responsibilities for the movement of trains within the confines of LTCD, including who is allocated the role of Designated Person Responsible for Protection, and, clearly brief these responsibilities in the CME Training Course and the SSOW &amp; OI.</t>
  </si>
  <si>
    <t>IE-5739/1</t>
  </si>
  <si>
    <t>â€¢ IÉ-RU CME should review VMI Z1C29A0001 â€˜Examination of 29000 class vehicle after an incident / accidentâ€™ to develop a more thorough and robust VMI that is commensurate with the safety risk of faults occurring after rolling stock has been involved in an incident or accident</t>
  </si>
  <si>
    <t>IE-5739/2</t>
  </si>
  <si>
    <t>â€¢ IÉ-RU CME should review VMIs associated with the examination of rolling stock after an incident / accident, for all rolling stock fleets, to develop a more thorough and robust VMI that is commensurate with the safety risk of faults occurring after rolling stock has been involved in an incident or accident</t>
  </si>
  <si>
    <t>IE-5739/3</t>
  </si>
  <si>
    <t>â€¢ IÉ-RU CME should review their scheduled maintenance examinations, for multiple-unit fleets, with a view to developing a means to check the connection is correct on the electrical head</t>
  </si>
  <si>
    <t>IE-5739/4</t>
  </si>
  <si>
    <t>â€¢ IÉ-IM should re-brief Traffic Regulators on the importance of adhering to the Traffic Regulatorsâ€™ Manual in relation to the recording of all telephone conversations within the controlled environment</t>
  </si>
  <si>
    <t>REC-000568</t>
  </si>
  <si>
    <t>IE-5740/1</t>
  </si>
  <si>
    <t>â€¢ Recommendation 2019003-01 â€“ IÉ should consider options to upgrade LC XM220 to minimise the ...</t>
  </si>
  <si>
    <t>â€¢ Recommendation 2019003-01 â€“ IÉ should consider options to upgrade LC XM220 to minimise the requirement of direct action by the users</t>
  </si>
  <si>
    <t>REC-000569</t>
  </si>
  <si>
    <t>IE-5740/2</t>
  </si>
  <si>
    <t>â€¢ Recommendation 2019003-02 â€“ IÉ-IM should carry out a full review of known misused user worked ...</t>
  </si>
  <si>
    <t>â€¢ Recommendation 2019003-02 â€“ IÉ-IM should carry out a full review of known misused user worked level crossings on public and private roads and should develop a programme to either close or upgrade the level crossings to minimise misuse; where possible, level crossings with the highest risks should be addressed first</t>
  </si>
  <si>
    <t>REC-000570</t>
  </si>
  <si>
    <t>IE-5740/3</t>
  </si>
  <si>
    <t>â€¢ Recommendation 2019003-03 â€“ DTTAS should review, in consultation with the relevant stakeholders, ...</t>
  </si>
  <si>
    <t>â€¢ Recommendation 2019003-03 â€“ DTTAS should review, in consultation with the relevant stakeholders, their current advance warning signage (W 121) with a view changing the signage to make it clear to road users that they are approaching a user operated level crossing. They should also consider the introduction of other traffic calming measures in efforts to encourage safe road user behaviour. Care should be taken not to inadvertently introduce new risks as a result of their proposed measures</t>
  </si>
  <si>
    <t>IE-6008/1</t>
  </si>
  <si>
    <t>â€¢ Safety Recommendation 2020003-01</t>
  </si>
  <si>
    <t>The IÉ-IM SET Department should develop a formalised process, through their SMS suite of documents, for IÉ-IM SET staff walking/ working alone, which should be completed prior to any member of SET staff going on or near the line; at a minimum consideration should be given to: â€¢ Whether it is necessary to go on or near the line to conduct the walk / work; â€¢ What local knowledge is required to walk /work safely; â€¢ Whether all the requirements of the IÉ Rule Book / SSOW can be met; â€¢ What special protection arrangements are required either at night or during the da</t>
  </si>
  <si>
    <t>IE-6008/2</t>
  </si>
  <si>
    <t>â€¢ Safety Recommendation 2020003-02</t>
  </si>
  <si>
    <t>â€“ IÉ-IM should brief all staff of their requirements, under the IÉ Rule Book, to wear their high visibility clothing correctly.</t>
  </si>
  <si>
    <t>IE-6218/1</t>
  </si>
  <si>
    <t>202004-01</t>
  </si>
  <si>
    <t>Direct Cause description of the related Occurrence: The APWI used the RMME without authorisation from the PICOP/ES as required under Section A and B of the IÉ Rule Book;
Recommendation text: IÉ-IM should classify and define RMMEs, Trolleys, LMEs and other commonly used plant or equipment on the railway and ensure appropriate safety procedures are in place for their use. IÉ-IM should also assess the need for any associated training and competency related to these changes and if considered necessary prepare training and competency assessment material;</t>
  </si>
  <si>
    <t>IE-6218/2</t>
  </si>
  <si>
    <t>202004-02</t>
  </si>
  <si>
    <t>Direct Cause description of the related Occurrence: The APWI did not remove the RMME immediately after removing the V Boards;
Recommendation text: IÉ-IM CCE should ensure that, once defined and classified, change management systems are put in place to ensure RMMEs, Trolleys, LMEs, etc are not altered for other uses, without first having been safety validated in line with company processes</t>
  </si>
  <si>
    <t>IE-6218/3</t>
  </si>
  <si>
    <t>202004-03</t>
  </si>
  <si>
    <t>Direct Cause description of the related Occurrence:TThe APWI advised the PICOP/ES that the line was clear when the RMME remained on the line;
Recommendation text: IÉ-IM should update their Mobile Gang Work Instructions, I-PWY-1490, (Ganger’s Handbook) to ensure that all routine light maintenance activities are included. Systems, e.g., training, should be put in place to ensure that relevant staff can undertake dynamic risk assessments should non-routine activities need to be undertaken that are not described in the Ganger’s Handbook.;</t>
  </si>
  <si>
    <t>IE-6218/4</t>
  </si>
  <si>
    <t>202004-04</t>
  </si>
  <si>
    <t>Direct Cause description of the related Occurrence: :The PICOP/ES did not ensure that the line was clear and safe for trains to pass before giving up the T3 Possession as set out in Sections B and T of the IÉ Rule Book;
Recommendation text: IÉ-IM clearly define the role of the PWI/APWI and update the relevant documentation accordingly.</t>
  </si>
  <si>
    <t>IE-6262/1</t>
  </si>
  <si>
    <t>202101-01</t>
  </si>
  <si>
    <t>Direct Cause description of the related Occurrence: The Car Driver failed to stop to look for trains on approach to LC XM240 as required by the Road Safety Authority’s (RSA) Rules of the Road, in part, as a result of the level crossing gates being open;
Recommendation text: The RSA should update the “Rules of the Road” to include guidance on the DSS;.</t>
  </si>
  <si>
    <t>IE-6262/2</t>
  </si>
  <si>
    <t>202101-02</t>
  </si>
  <si>
    <t>Direct Cause description of the related Occurrence: There is a high level of misuse and abuse at LC XM240, where the level crossing gates are continuously left open, despite laws being in place for them to be closed;
Recommendation text: Iarnród Éireann Infrastructure Manager (IÉ-IM) should update the ‘The SAFE use of Unattended Railway Level Crossings’ booklet to include guidance on the DSS;</t>
  </si>
  <si>
    <t>IE-6262/3</t>
  </si>
  <si>
    <t>202101-03</t>
  </si>
  <si>
    <t>Direct Cause description of the related Occurrence: The sounding of the train horn was not effective at warning the Car Driver of the approaching train;
Recommendation text: Iarnród Éireann Railway Undertaking (IÉ-RU) should put systems in place to ensure ICR train horns meet the current standards for sound pressure levels;</t>
  </si>
  <si>
    <t>IE-6262/4</t>
  </si>
  <si>
    <t>202101-04</t>
  </si>
  <si>
    <t>Direct Cause description of the related Occurrence: The Car Driver failed to stop to look for trains on approach to LC XM240 as required by the Road Safety Authority’s (RSA) Rules of the Road, in part, as a result of the level crossing gates being open;
Recommendation text: The Commission for Railway Regulation (CRR) should review and update Section 5, Level Crossings, of their Guidelines for the Design of Railway Infrastructure and Rolling Stock, to ensure that guidance/reference on the DSS is included;</t>
  </si>
  <si>
    <t>TBC/1</t>
  </si>
  <si>
    <t>202102-01</t>
  </si>
  <si>
    <t>Direct Cause description of the related Occurrence: The derailing points were in the closed position, resulting in the Flat Wagon not derailing, instead it continued towards and struck Kilcolgan Level Crossing gates;
Recommendation text: BnM should identify locations where derailing points are vulnerable to unauthorised movements and provide a means of securing the derailing points at these locations;</t>
  </si>
  <si>
    <t>TBC/2</t>
  </si>
  <si>
    <t>202102-02</t>
  </si>
  <si>
    <t>Direct Cause description of the related Occurrence: Checks were not undertaken to ensure that the Flat Wagon could not roll freely prior to rerailing; and, the Flat Wagon was not secured after rerailing;
Recommendation text: BnM should review and update its Procedure for Rerailing Wagons / Rail Stock to ensure that there are clear instructions in relation to how to: visually check the lifting chains; rerail; and, safety secure rerailed stock;</t>
  </si>
  <si>
    <t>TBC/3</t>
  </si>
  <si>
    <t>202102-03</t>
  </si>
  <si>
    <t>Direct Cause description of the related Occurrence: The training for rerailing wagons / rail stock does not include any assessment to confirm competence of the task; and there is no continuous assessments to ensure continued compliance with the procedures;
Recommendation text: BnM should develop a training, assessment and continuous assessment programme related to the Procedures for Rerailing Wagons / Rail Stock;</t>
  </si>
  <si>
    <t>TBC/4</t>
  </si>
  <si>
    <t>202102-04</t>
  </si>
  <si>
    <t>Direct Cause description of the related Occurrence: The risk register was not updated to include the risks associated with the interference with derailing points by members of the public resulting in an absence of mitigation measures;
Recommendation text: BnM should review its level crossing Risk Register updating where necessary to sufficiently capture all reasonably foreseeable risks. In addition, BNM should consider adding a requirement within its Rail Safety Case Document that requires regularised Risk Management Workshops at which risks, mitigation measures, etc, are reviewed and updated when necessary.</t>
  </si>
  <si>
    <t>RO-994/1</t>
  </si>
  <si>
    <t>Compliance with the OMT no.364/2008 for the mandatory overhauls cycles and planned repairs of engine</t>
  </si>
  <si>
    <t>Compliance with the OMT no.364/2008 for the mandatory overhauls cycles and planned repairs of engines railway vehicles.</t>
  </si>
  <si>
    <t>RO-994/2</t>
  </si>
  <si>
    <t>Compliance with the provision D4.8/445/2004 of Locomotive Repair Service of SNTFM CFR Marfa SA on ho</t>
  </si>
  <si>
    <t>Compliance with the provision D4.8/445/2004 of Locomotive Repair Service of SNTFM CFR Marfa SA on how to perform the works of prevention of the fire starts at diesel locomotives â€“ electric 2100 CP.</t>
  </si>
  <si>
    <t>RO-994/3</t>
  </si>
  <si>
    <t>Supplementing of regular technical checks of insulating capacity of cables and of protection solutio</t>
  </si>
  <si>
    <t>Supplementing of regular technical checks of insulating capacity of cables and of protection solution provided by the provision D4.8/445/2004 for the locomotives with the repair term overdue and replacement of the cables with inappropriate characteristics.</t>
  </si>
  <si>
    <t>RO-994/4</t>
  </si>
  <si>
    <t>Analysis by rail operators who hold this type of locomotive (LDE 2100 HP) of the opportunity to comp</t>
  </si>
  <si>
    <t>Analysis by rail operators who hold this type of locomotive (LDE 2100 HP) of the opportunity to complete the technical equipment of the locomotive with a facility to provide, until the intervention of the specialized staff ISU, a fire mitigation, using the resource of about 1400 liters of water cooling system or other equipment to enable effective intervention of the locomotive staff in the presence of gas or smoke.</t>
  </si>
  <si>
    <t>RO-980/1</t>
  </si>
  <si>
    <t>Compliance with the deadlines to put in planned repairs the locomotives.</t>
  </si>
  <si>
    <t>RO-980/2</t>
  </si>
  <si>
    <t>Regular cleaning of the fuel residues accumulations from the areas inclined to accidental ignition o</t>
  </si>
  <si>
    <t>Regular cleaning of the fuel residues accumulations from the areas inclined to accidental ignition of the locomotive, tasks to be included in the technological processes of the periodic inspections.</t>
  </si>
  <si>
    <t>RO-980/3</t>
  </si>
  <si>
    <t>Checking the brake wheelhouse at the hydraulic diesel locomotives to detect wears in joints and take</t>
  </si>
  <si>
    <t>Checking the brake wheelhouse at the hydraulic diesel locomotives to detect wears in joints and take control measures at technical planned revisions.</t>
  </si>
  <si>
    <t>RO-973/1</t>
  </si>
  <si>
    <t>Including the work of checking the adhesion between the collar and the body of the piston, at every</t>
  </si>
  <si>
    <t>Including the work of checking the adhesion between the collar and the body of the piston, at every technical intervention, accidental repair, which involves the dismantling and the removal of the piston from the diesel engine in the process of maintenance carried out by the operators economically authorized as railway suppliers that have technical rail agreements for those type of intervention.</t>
  </si>
  <si>
    <t>RO-973/2</t>
  </si>
  <si>
    <t>Analysis by rail operators who hold this type of locomotive (LDE 2100 CP) of the opportunity to comp</t>
  </si>
  <si>
    <t>Analysis by rail operators who hold this type of locomotive (LDE 2100 CP) of the opportunity to complete the technical equipment of the locomotive with a facility to provide, until the intervention of specialized staff ISU, a fire mitigation, using the resource of about 1400 liters of water from the cooling system, or other equipment to enable effective intervention of locomotive staff in the presence of gas or smoke.</t>
  </si>
  <si>
    <t>RO-973/3</t>
  </si>
  <si>
    <t>Initiation by the railway undertakings who hold this type of locomotive of a study to guide the deve</t>
  </si>
  <si>
    <t>Initiation by the railway undertakings who hold this type of locomotive of a study to guide the development through the specialized services from the Romanian Railway Notified Body of a methodology for achieving the necessary checks to ensure the prevention of cracks in the piston collar in the composition of the diesel engine type 12 LDA 28.</t>
  </si>
  <si>
    <t>RO-969/1</t>
  </si>
  <si>
    <t>To meet the specific requirements necessary for safe operation, the access to the railway networks c</t>
  </si>
  <si>
    <t>To meet the specific requirements necessary for safe operation, the access to the railway networks corresponding to cross-border services for licensed railway transport operators in one of the EU Member States other than Romania will be performed only in the basis of the safety certificate part B issued by the Romanian Railway Safety Authority.</t>
  </si>
  <si>
    <t>RO-969/2</t>
  </si>
  <si>
    <t>To meet the requirements related to professional and linguistic knowledge specific to the Romanian r</t>
  </si>
  <si>
    <t>To meet the requirements related to professional and linguistic knowledge specific to the Romanian railway infrastructure, the engine driver of one licensed railway transport operator in one of the EU Member States other than Romania will be certified in accordance with the current legislation.</t>
  </si>
  <si>
    <t>RO-966/1</t>
  </si>
  <si>
    <t>The railway undertakings, holders of this rolling stock type, will follow that, works for accidental</t>
  </si>
  <si>
    <t>The railway undertakings, holders of this rolling stock type, will follow that, works for accidental repairs and planned type RR, RG, to be performed with economic agents that holds a railway technical agreement in which to be stipulated the repair works performed by taking to pieces and mount the wheel on the axle center.</t>
  </si>
  <si>
    <t>RO-966/2</t>
  </si>
  <si>
    <t>Until the development of the technical specification, the completion of the existing technical speci</t>
  </si>
  <si>
    <t>Until the development of the technical specification, the completion of the existing technical specification for planned inspections and accidental repairs and planned type RR, RG, as to be provided the repair works performed by taking to pieces and mount the wheel on the axle center, will proceed to the implementation by the SC KRON-TRIEM SRL economic agent of a paint marking, at all axles, between the screwed nut and wheel boss and the railway transport operator will establish, for the operating staff, the obligation to check and record their status in the sheet of the passenger motor driven incident record.</t>
  </si>
  <si>
    <t>RO-966/3</t>
  </si>
  <si>
    <t>Obtaining without delay, by the SC KRON-TRIEM SRL economic agent, of the railway technical agreement</t>
  </si>
  <si>
    <t>Obtaining without delay, by the SC KRON-TRIEM SRL economic agent, of the railway technical agreement for work points in which are performed technological processes for planned inspections and accidental repairs.</t>
  </si>
  <si>
    <t>RO-965/1</t>
  </si>
  <si>
    <t>Drawing up of some regulations that stipulate the fastening way of the goods loaded in containers, s</t>
  </si>
  <si>
    <t>Drawing up of some regulations that stipulate the fastening way of the goods loaded in containers, so they be safely placed, longitudinally and crossly ensured against falls, displacements, slipping and overturning.</t>
  </si>
  <si>
    <t>RO-959/1</t>
  </si>
  <si>
    <t>Romanian Railway Safety Authority suspend the safety certificate part B for the track section â€žCampi</t>
  </si>
  <si>
    <t>Romanian Railway Safety Authority suspend the safety certificate part B for the track section â€žCampia Turzii â€“ Apahida â€“ Dej Calatori â€“ Beclean pe Somes â€“ Salva â€“ Ilva Mica â€“ Floreni and backâ€, granted to SC Grup Transport Feroviar SA, because of lack of compliance with the specific regulations in force and with the requirements, according which it was granted, especially with the art. 4(1) b) point 6 of the annex II of the Minister of Transports Order 535/2007(that stipulates as compulsory requirement â€žthe ensuring of the technical inspection of the trains in the railway stations, at the inspection in tranzit, at the arrival, with authorized economic agents authorized as railway suppliers by AFER for this type of service or with own staff, if the railway undertaking is authorized by AFER for this type of serviceâ€)</t>
  </si>
  <si>
    <t>RO-959/2</t>
  </si>
  <si>
    <t>Romanian Railway Notified Body perform an assessment or technical inspection, if case, in order to c</t>
  </si>
  <si>
    <t>Romanian Railway Notified Body perform an assessment or technical inspection, if case, in order to check the conditions that were the basis for the granting of the railway technical agreement, for technical inspections at the freight trains, granted to SC Compania de Transport Feroviar Bucuresti SA, especially with the art. 7, point i) of the Norm on the granting of the railway technical agreements in the railway and subway field, approved by Minister of Transports Order 290/2000 â€“ amended by the Minister of Transports, Construction and Tourism Order 2068/2004</t>
  </si>
  <si>
    <t>RO-959/3</t>
  </si>
  <si>
    <t>Romanian Railway Safety Authority carry out inspections at the railway freight undertakings in order</t>
  </si>
  <si>
    <t>Romanian Railway Safety Authority carry out inspections at the railway freight undertakings in order to check the organization of the technical inspection of the freight trains, the ensuring of the authorized staff for the examiner position, according to the commitments assumed by the railway suppliers at the granting of the railway technical agreements for this type of railway critical service.</t>
  </si>
  <si>
    <t>RO-959/4</t>
  </si>
  <si>
    <t>Romanian Railway Safety Authority analyze, together with the economic agents, that repair the rollin</t>
  </si>
  <si>
    <t>Romanian Railway Safety Authority analyze, together with the economic agents, that repair the rolling stock, and with the railway undertakings the oportunity to complete the Instructions 931/1986 with the compulsoriness to limit the use wheelset with tires.</t>
  </si>
  <si>
    <t>RO-959/5</t>
  </si>
  <si>
    <t>Romanian Railway Notified Body check, during the technical inspections at Compania de Transport Fer</t>
  </si>
  <si>
    <t>Romanian Railway Notified Body check, during the technical inspections at Compania de Transport Feroviar Bucuresti SA â€“ Bucuresti Working Place, the observance of the provisions of the art. 29 (concerning the marking of the tyre position against the wheel) from the Instruction for the repair of the railway vehicles pair of wheels no. 931/1986, especially at the pair of wheels manufactured before 1986,in the technological flow.</t>
  </si>
  <si>
    <t>RO-921/1</t>
  </si>
  <si>
    <t>Identification and implementation of some solutions for the protection of the connections of the bat</t>
  </si>
  <si>
    <t>Identification and implementation of some solutions for the protection of the connections of the bateries, including betwenn those two niches.</t>
  </si>
  <si>
    <t>RO-921/2</t>
  </si>
  <si>
    <t>Suplement of the actions for the periodical technical inspection of the insulation capacity of the c</t>
  </si>
  <si>
    <t>Suplement of the actions for the periodical technical inspection of the insulation capacity of the connection cables of the bateries, after the performance of the operations stipulated in the technological processes for the maintenance and operation of the bateries, up to the achievement of the protection solution stipulated previously.</t>
  </si>
  <si>
    <t>RO-921/3</t>
  </si>
  <si>
    <t>Periodical removal of the fuel deposits from the places susceptible to the accidental fires of the l</t>
  </si>
  <si>
    <t>Periodical removal of the fuel deposits from the places susceptible to the accidental fires of the locomotive, operations to be included in the technological processes of the periodical inspections.</t>
  </si>
  <si>
    <t>RO-920/1</t>
  </si>
  <si>
    <t>SC GRUP FEROVIAR ROMAN SA, as railway undertaking, will ask the State Administration for Ukrainian R</t>
  </si>
  <si>
    <t>SC GRUP FEROVIAR ROMAN SA, as railway undertaking, will ask the State Administration for Ukrainian Railway Transport (UZ) to update the common regulations on the freight transports, that is these regulations stipulate the lubrication of the centre casting during the movement of the freight wagons from the bogies with large gauge on bogies with standard gauge.</t>
  </si>
  <si>
    <t>RO-907/1</t>
  </si>
  <si>
    <t>Providing regulations for : - recovery, storage and reuse of materials resulting from dismantling th</t>
  </si>
  <si>
    <t>Providing regulations for : - recovery, storage and reuse of materials resulting from dismantling the superstructure elements due to the execution of rehabilitation works of Pan-European Corridor 4; - operating mode and procedures that must be met by the beneficiary, constructor and consultancy for reopening the railway traffic on sections of the Pan-European Corridor 4, when it does not assume the obligation to carry out the reception of the work performed by the constructor.</t>
  </si>
  <si>
    <t>RO-903/1</t>
  </si>
  <si>
    <t>Performance of an inspection, by Romanian Railway Safety Authority, at the freight undertaking, in o</t>
  </si>
  <si>
    <t>Performance of an inspection, by Romanian Railway Safety Authority, at the freight undertaking, in order to check the organization and carrying out of inspections of the technical condition of the wagons from own trains.</t>
  </si>
  <si>
    <t>RO-903/2</t>
  </si>
  <si>
    <t>Romanian Railway Safety Authority, together with the railway undertakings, shall analyze the opportu</t>
  </si>
  <si>
    <t>Romanian Railway Safety Authority, together with the railway undertakings, shall analyze the opportunity that, in order to decrease the friction forces appered during the running between the disks of the wagon buffers, these be lubricated from time to time.</t>
  </si>
  <si>
    <t>RO-889/1</t>
  </si>
  <si>
    <t>Checking during the VPA works and of the constructive welding integrity of the special metal plates</t>
  </si>
  <si>
    <t>Checking during the VPA works and of the constructive welding integrity of the special metal plates for fixing the points switch and stocks rail.</t>
  </si>
  <si>
    <t>RO-889/2</t>
  </si>
  <si>
    <t>For the cases in witch the instruction time for replacing the inadequate reviewed sleepers in points</t>
  </si>
  <si>
    <t>For the cases in witch the instruction time for replacing the inadequate reviewed sleepers in points and crossing is not respected, the management of the Regional Branch CF Cluj with one accord with Lines Department within CNCF â€žCFRâ€ SA will establish the running conditions for each case.</t>
  </si>
  <si>
    <t>RO-889/3</t>
  </si>
  <si>
    <t>The Romanian Railway Safety Authority shall check by state inspection actions the way that the rail</t>
  </si>
  <si>
    <t>The Romanian Railway Safety Authority shall check by state inspection actions the way that the railway critical service suppliers â€žwood products treatment with chemicals (sleepers and sleeper plugs)â€ meet the technological processes of preparation for preservation (impregnation), preservation and checking the preserved sleepers quality.After completion of the action, the Romanian Railway Safety Authority will transmit to the Romanian Railway Notified Body the report on the non-conformities found and the measures disposed to be taken to remove those.</t>
  </si>
  <si>
    <t>RO-889/4</t>
  </si>
  <si>
    <t>CNCF â€CFRâ€ SA will organise trainings for the personnel with compentences on ways of assessing the s</t>
  </si>
  <si>
    <t>CNCF â€CFRâ€ SA will organise trainings for the personnel with compentences on ways of assessing the sleepers defects and the way of conducting the census of inadequate sleepers.</t>
  </si>
  <si>
    <t>RO-889/5</t>
  </si>
  <si>
    <t>CNCF â€žCFRâ€ SA will asses the reception mode of the preserved timber sleepers and the management of t</t>
  </si>
  <si>
    <t>CNCF â€žCFRâ€ SA will asses the reception mode of the preserved timber sleepers and the management of the documentation on the quality certification of the supplied materials, documents that must accompany the product until the direct user, the maintenance lines district.</t>
  </si>
  <si>
    <t>RO-889/6</t>
  </si>
  <si>
    <t>The Romanian Railway Notified Body shall check by state inspection actions the compliance by the rai</t>
  </si>
  <si>
    <t>The Romanian Railway Notified Body shall check by state inspection actions the compliance by the railway critical service providers of protection with chemicals of the timber sleepers of the norms and technical and technological prescriptions mandatory for this railway critical service. After the action end, the Romanian Railway Notified Body will transmit to the Romanian Railway Investigating Body a report on the non-conformities found and the measures disposed to be taken to remove those.</t>
  </si>
  <si>
    <t>RO-859/1</t>
  </si>
  <si>
    <t>There werenâ€™t identified elements that could lead to the issuing of safety recommendations.</t>
  </si>
  <si>
    <t>RO-849/1</t>
  </si>
  <si>
    <t>The recommendation aims to solve identification and implementing of some solutions to protect the ar</t>
  </si>
  <si>
    <t>The recommendation aims to solve identification and implementing of some solutions to protect the area between the upper shoes of the bogie box and the lateral guide from the bogie against the penetration of snow.</t>
  </si>
  <si>
    <t>RO-849/2</t>
  </si>
  <si>
    <t>If the safety recommendation shall be implemented, there are not necessary the safety recommendation</t>
  </si>
  <si>
    <t>If the safety recommendation shall be implemented, there are not necessary the safety recommendations proposed by OIFR by the Report no.4110/30/2010, concerning: â€¢ interdiction on operate at the temperature under -20 C for the trains composed by electric multiple units type Z 6100, including handling; â€¢ restriction of the speed at 50 km/h on the running and open lines and at 15 km/h on the deflecting section from the stations for the cases in which these electric multiple units have to run in conditions of out temperatures between -5 C and -20 C.</t>
  </si>
  <si>
    <t>RO-848/1</t>
  </si>
  <si>
    <t>RO-848/2</t>
  </si>
  <si>
    <t>RO-847/1</t>
  </si>
  <si>
    <t>RO-847/2</t>
  </si>
  <si>
    <t>RO-821/1</t>
  </si>
  <si>
    <t>1. The public railway infrastructure manager will take all measures for application in the field for</t>
  </si>
  <si>
    <t>1. The public railway infrastructure manager will take all measures for application in the field for putting into operation of structural subsystems and interoperability constituents and certification/granting of agreement for critical railway products. This recommendation was issued also with the occasion of the railway incident investigation on 16th of December 2009 in the railway station Basarabi but no action was taken to implement the recommendation.</t>
  </si>
  <si>
    <t>RO-821/2</t>
  </si>
  <si>
    <t>2. The public railway infrastructure manager will comply with the legislation for authorizing the st</t>
  </si>
  <si>
    <t>2. The public railway infrastructure manager will comply with the legislation for authorizing the staff with responsibilities in traffic safety that follows to carry out on own responsibility railway transport activities.</t>
  </si>
  <si>
    <t>RO-821/3</t>
  </si>
  <si>
    <t>3. The identification by the public railway infrastructure manager in the control measures of: â€¢inte</t>
  </si>
  <si>
    <t>3. The identification by the public railway infrastructure manager in the control measures of: â€¢interlocking systems not certificated / no agreement granted; â€¢ the operation staff unauthorized for handling the installations (interlocking systems, telephone systems and energy supply systems),and application of legal provisions.</t>
  </si>
  <si>
    <t>RO-801/1</t>
  </si>
  <si>
    <t>1. Organizing a training action with the occasion of the training sessions through the school</t>
  </si>
  <si>
    <t>1. Organizing a training action with the occasion of the training sessions through the school of the personnel of the engine drivers and of the movements inspector from the regulations concerning the circulation of the assistance locomotives, of the intervention means and of Utility Motor Driven on closed current line</t>
  </si>
  <si>
    <t>RO-801/2</t>
  </si>
  <si>
    <t>2. To agree on the provisions concerning the running of the assistance locomotives, of the inter</t>
  </si>
  <si>
    <t>2. To agree on the provisions concerning the running of the assistance locomotives, of the intervention means and of Utility Motor Driven on closed current line of the Regulation for the circulation of trains and shunting the railway vehicles no. 005/2005, Instructions for the driving staff activity in the railway transport no. 201/2007 and the Regulation for hauling and braking no.006/2005.</t>
  </si>
  <si>
    <t>RO-786/1</t>
  </si>
  <si>
    <t>There werenâ€™t identified safety recommendations.</t>
  </si>
  <si>
    <t>RO-777/1</t>
  </si>
  <si>
    <t>The urgency in the drawing up of a program for the priority implementing of the provisions of the La</t>
  </si>
  <si>
    <t>The urgency in the drawing up of a program for the priority implementing of the provisions of the Law no. 289 from the 11th of October 2005 concerning some measures for the prevention and fighting against the infringements in the railway transport.</t>
  </si>
  <si>
    <t>RO-777/2</t>
  </si>
  <si>
    <t>Drawing up of a study by Romanian Railway Authority â€“ AFER and National Railways Company â€œCFRâ€ SA to</t>
  </si>
  <si>
    <t>Drawing up of a study by Romanian Railway Authority â€“ AFER and National Railways Company â€œCFRâ€ SA together with the railway undertakings concerning the analysis of the reliability of the human resource in the present socio-professional and economic conditions.</t>
  </si>
  <si>
    <t>RO-777/3</t>
  </si>
  <si>
    <t>Analysis of the possibility to include the counseling and psychotherapy services in the medical serv</t>
  </si>
  <si>
    <t>Analysis of the possibility to include the counseling and psychotherapy services in the medical services received by the railway staff, in order to ensure a best physical and mental condition.</t>
  </si>
  <si>
    <t>RO-776/1</t>
  </si>
  <si>
    <t>The Romanian Railway Safety Authority together with the railway transport operators will analyse the</t>
  </si>
  <si>
    <t>The Romanian Railway Safety Authority together with the railway transport operators will analyse the opportunity that, at the pair of wheels of the type involved in this incident, after a certain operation period, to be increased the frequency of the ultrasonic inspectionsIf, following this analyse, it will be determined that is appropriate to increase the frequency of ultrasonic checks at this type of pair of wheels, the Romanian Railway Authority shall draw up a railway technical norm that will be the base for the implementation of this safety recommendation.</t>
  </si>
  <si>
    <t>RO-70/1</t>
  </si>
  <si>
    <t>Finding of the funds in order to assure o draining system of the pluvial water from the railway stat</t>
  </si>
  <si>
    <t>Finding of the funds in order to assure o draining system of the pluvial water from the railway stations and marshalling yards</t>
  </si>
  <si>
    <t>RO-70/2</t>
  </si>
  <si>
    <t>Revision of the Instruction 300/1972 in order to achieve the real size of the maintenance and repair</t>
  </si>
  <si>
    <t>Revision of the Instruction 300/1972 in order to achieve the real size of the maintenance and repairing activities</t>
  </si>
  <si>
    <t>RO-70/3</t>
  </si>
  <si>
    <t>Reanalysis of the possibilities of the sub-units involved in the tracks maintenance and repairing to</t>
  </si>
  <si>
    <t>Reanalysis of the possibilities of the sub-units involved in the tracks maintenance and repairing to perform specific works, correlating the existed staff with the total conventional Km for maintenance and repairing</t>
  </si>
  <si>
    <t>RO-70/4</t>
  </si>
  <si>
    <t>Reanalysis of the staff structure used in the tracks maintenance and repairing ( in the section and</t>
  </si>
  <si>
    <t>Reanalysis of the staff structure used in the tracks maintenance and repairing ( in the section and at the railway suppliers ) in order to assure the skilled workers and blue workers necessary ( handicraftsman I, handicraftsman II and blue workers )</t>
  </si>
  <si>
    <t>RO-70/5</t>
  </si>
  <si>
    <t>Revision of the sleepers census in order to draw up a plan for the replacement of the inadequate sle</t>
  </si>
  <si>
    <t>Revision of the sleepers census in order to draw up a plan for the replacement of the inadequate sleepers and for the establishing of the running conditions for</t>
  </si>
  <si>
    <t>RO-70/6</t>
  </si>
  <si>
    <t>At the next meeting between the Romanian Railway Freight Company â€“ SNTFM CFR Marfa and the represent</t>
  </si>
  <si>
    <t>At the next meeting between the Romanian Railway Freight Company â€“ SNTFM CFR Marfa and the representatives of the Ukrainian Railway Network , they will be asked to comply with the provisions concerning the lubrication of the centre casting with the occasion of the transposing of the freight wagon with large gauge</t>
  </si>
  <si>
    <t>RO-70/7</t>
  </si>
  <si>
    <t>The Romanian Railway Freight Company â€“ SNTFM CFR Marfa SA will take from the Ukrainian Railway Netwo</t>
  </si>
  <si>
    <t>The Romanian Railway Freight Company â€“ SNTFM CFR Marfa SA will take from the Ukrainian Railway Network only wagons with axles that comply with the provisions of the annex 5, paragraph 2.3 of PPV</t>
  </si>
  <si>
    <t>RO-69/1</t>
  </si>
  <si>
    <t>On the next period will be scheduled an inspection within the freight railway undertakings, being ex</t>
  </si>
  <si>
    <t>On the next period will be scheduled an inspection within the freight railway undertakings, being examined the method of organizing the inspection of the freight trains. If, as result of this inspection the specialized personnel could not trace all cases of the wheel with weak tyre or rotated from the rim and to resolve these cases according to the regulations in force (Instructions on the technical inspection and the maintenance of the operating wagons - no.250, approved by the Order of the Ministry of Transports, Constructions and Tourism no. 1817/26.10.2005) will ask this railway undertakings to change the organizing method of the train inspection activity in order to trace all freight wagons that have this defect.</t>
  </si>
  <si>
    <t>RO-69/2</t>
  </si>
  <si>
    <t>The analysis of the possibility to restrict the use of the axles equipped with wheel and tyres whi</t>
  </si>
  <si>
    <t>The analysis of the possibility to restrict the use of the axles equipped with wheel and tyres which are fitted to a number of spells between two periodical repairs of this wagons</t>
  </si>
  <si>
    <t>RO-69/3</t>
  </si>
  <si>
    <t>The legislation in force concerning the repairing and maintenance of the fitted axles equipped with</t>
  </si>
  <si>
    <t>The legislation in force concerning the repairing and maintenance of the fitted axles equipped with wheels having tyres on it, will be completed by a tracking methodology of the fitted axles when operating and also to the maintenance, repairing centres so that we can find out the date and the centre when the tyre was fitted on the wheel</t>
  </si>
  <si>
    <t>RO-69/4</t>
  </si>
  <si>
    <t>The freight railway undertakings will check if the wagons have a double mark of the tyre position fr</t>
  </si>
  <si>
    <t>The freight railway undertakings will check if the wagons have a double mark of the tyre position from the wheel rim by stamping, being removed from the circulation in order to replace the respective axles</t>
  </si>
  <si>
    <t>RO-657/1</t>
  </si>
  <si>
    <t>1. Non-introducing an alignment between the switch and the graduated transition curve with the line</t>
  </si>
  <si>
    <t>1. Non-introducing an alignment between the switch and the graduated transition curve with the line 1 when placing the switches, fact that modified the running conditions by decreasing the running speeds. The need of introducing this alignment is foreseen in chart 16, item 10-11 of the Instruction of norms and tolerances for constructions and track maintenance â€“ lines with standard gauge no.314/1989</t>
  </si>
  <si>
    <t>RO-657/2</t>
  </si>
  <si>
    <t>2. Using the fish plates with oblong holes on the breaking areas fact that influenced the appearence</t>
  </si>
  <si>
    <t>2. Using the fish plates with oblong holes on the breaking areas fact that influenced the appearence of bigger rail-joint gaps.</t>
  </si>
  <si>
    <t>RO-657/3</t>
  </si>
  <si>
    <t>3. Non-analising the amount deflection diagram from the heal of the switch no.10 and the wear of the</t>
  </si>
  <si>
    <t>3. Non-analising the amount deflection diagram from the heal of the switch no.10 and the wear of the rails running surfaces in order to find possible plane deformations of the curve according to the provisions of the sheet no.4, article 8 of the Instruction for fixing the terms and the order that must be performed the trackâ€™s inspections no.305/1997.</t>
  </si>
  <si>
    <t>RO-624/1</t>
  </si>
  <si>
    <t>1.Drawing by the railway infrastructure administrator of some technical norms on the principles and</t>
  </si>
  <si>
    <t>1.Drawing by the railway infrastructure administrator of some technical norms on the principles and the design of the railway safety electric schemes from this type of interlocking systems, in order to meet with the railway safety.</t>
  </si>
  <si>
    <t>RO-624/2</t>
  </si>
  <si>
    <t>2.The public railway infrastructure administrator will take all the measures for the application of</t>
  </si>
  <si>
    <t>2.The public railway infrastructure administrator will take all the measures for the application of the respective legislation for the putting into service of the structural subsystems and of the interoperability constituents and the homologation/certification of the railway critical products.</t>
  </si>
  <si>
    <t>RO-624/3</t>
  </si>
  <si>
    <t>3.The administrator of the public railway infrastructure will found out all the cases of equipments</t>
  </si>
  <si>
    <t>3.The administrator of the public railway infrastructure will found out all the cases of equipments used along the track for a limited period of time and that are not homologated/certified, respectively authorized for the putting into service and the meeting with the specific legislation.</t>
  </si>
  <si>
    <t>RO-624/4</t>
  </si>
  <si>
    <t>4.The administrator of the public railway infrastructure will present monthly to Romanian Railway In</t>
  </si>
  <si>
    <t>4.The administrator of the public railway infrastructure will present monthly to Romanian Railway Investigating Body a copy of each dossier on the failures of the interlocking subsystems with new technology, that generate traffic interruptions.</t>
  </si>
  <si>
    <t>RO-480/1</t>
  </si>
  <si>
    <t>The re-viewing of the sleepers inventory in order to draw up a plan for the replacement of the unsui</t>
  </si>
  <si>
    <t>The re-viewing of the sleepers inventory in order to draw up a plan for the replacement of the unsuitable sleepers and the establishment of the necessary running conditions.</t>
  </si>
  <si>
    <t>RO-480/2</t>
  </si>
  <si>
    <t>The performance of an analysis concerning the progress of the sleepers wear on the switches within 5</t>
  </si>
  <si>
    <t>The performance of an analysis concerning the progress of the sleepers wear on the switches within 5 years at least, in connection with the supply progress and track sleepers replacement for switches of the running lines, main lines and arrival â€“ departure lines.</t>
  </si>
  <si>
    <t>RO-480/3</t>
  </si>
  <si>
    <t>The performance of an analysis concerning the running speed slackening progress, on the switches, es</t>
  </si>
  <si>
    <t>The performance of an analysis concerning the running speed slackening progress, on the switches, establishing the percentage of all causes.</t>
  </si>
  <si>
    <t>RO-480/4</t>
  </si>
  <si>
    <t>The performance of an analysis concerning the means for keeping and improving the technical and prac</t>
  </si>
  <si>
    <t>The performance of an analysis concerning the means for keeping and improving the technical and practical abilities of the staff involved in the management, maintenance and repair of the switches, by internal trainings like staff training or in special institutes.</t>
  </si>
  <si>
    <t>RO-480/5</t>
  </si>
  <si>
    <t>The analysis of the opportunity to perform a study on the Romanian railway network situation, concer</t>
  </si>
  <si>
    <t>The analysis of the opportunity to perform a study on the Romanian railway network situation, concerning the track maintenance activity.</t>
  </si>
  <si>
    <t>RO-456/1</t>
  </si>
  <si>
    <t>Performing an examination on the entire railway network in order to identify all systems that have n</t>
  </si>
  <si>
    <t>Performing an examination on the entire railway network in order to identify all systems that have not been homologated, with improvisations or modifications in comparison with the technical documents of reference in force used at the subassemblies of the switch fasteners with pincers and to the detectors of the point motors of type EM 5. Following these actions, in case of identifying some major nonconformity a safety program for these safety installations shall be elaborated</t>
  </si>
  <si>
    <t>RO-456/2</t>
  </si>
  <si>
    <t>Elaborating some specific proceedings, technical memorandum, working instructions, technological she</t>
  </si>
  <si>
    <t>Elaborating some specific proceedings, technical memorandum, working instructions, technological sheets by which shall be specified the way of assembling, maintaining, repairing of the point motors of type EM5, including the method of mechanical control adjustment with the occasion of performing these type of works</t>
  </si>
  <si>
    <t>RO-456/3</t>
  </si>
  <si>
    <t>Elaborating a normative document promoted through an order of the minister of transports and infr</t>
  </si>
  <si>
    <t>Elaborating a normative document promoted through an order of the minister of transports and infrastructure by which shall be prohibited the performance of constructive changes without the approval of the central public authority from the railway transport field by the employees that are ensuring the maintenance of the components of the interlocking installation assemblies</t>
  </si>
  <si>
    <t>RO-456/4</t>
  </si>
  <si>
    <t>Developing the level of the technical professional knowledge and improving the practical abilities o</t>
  </si>
  <si>
    <t>Developing the level of the technical professional knowledge and improving the practical abilities of the personnel that are managing, maintaining and repairing the points and crossings and the point motors by internal courses or in specialized institutions followed by the professional examination of these</t>
  </si>
  <si>
    <t>RO-456/5</t>
  </si>
  <si>
    <t>Accelerating the implementation of the safety management system at the level of the public railway i</t>
  </si>
  <si>
    <t>Accelerating the implementation of the safety management system at the level of the public railway infrastructure manager as foreseen in the Law no.55/2006 on the railway safety</t>
  </si>
  <si>
    <t>RO-456/6</t>
  </si>
  <si>
    <t>Starting an examination action at the level of the public railway infrastructure manager of the pers</t>
  </si>
  <si>
    <t>Starting an examination action at the level of the public railway infrastructure manager of the personnel activity with responsibilities in traffic safety and of those with responsibilities in training and controlling for the nonconformities found with the occasion of this examination action referring to the elements of the switch no.9 of Valea Calugareasca. The conclusions of this action and also the possible disciplinary measures shall be contained in a Report that shall be submitted to the Romanian Railway Investigating Body</t>
  </si>
  <si>
    <t>RO-438/1</t>
  </si>
  <si>
    <t>Withdrawal from circulation of all axles from the charge no.311561 produced by SC SMR SA Bals, from</t>
  </si>
  <si>
    <t>Withdrawal from circulation of all axles from the charge no.311561 produced by SC SMR SA Bals, from which the axle no.3836632 was a part, for the non-compliance of the conditions established by the UIC leaflet 811-1/87 - Chemical composition, mechanical tests, Axles axis and the rejection of the respective charge.</t>
  </si>
  <si>
    <t>RO-438/2</t>
  </si>
  <si>
    <t>The performance of a control action by the railway undertakings that have technical departments of r</t>
  </si>
  <si>
    <t>The performance of a control action by the railway undertakings that have technical departments of reception to the railway suppliers that are offering the working material in order to manufacture metallic elements used to parts and subassemblies from the mechanisms of the railway vehicles that are ensuring the railway safety (the running gear - wheels, axles, bearings and others, the draw and coupling gear - hooks, bars and others, respectively the buffing gear - buffers, springs) by which to identify the cases of non-observance of the own procedures of drawing the material. The conclusions of this control action and also the established measures will be included into a report that will be submitted to the Romanian Railway Authority â€“ AFER the latest August, 2009</t>
  </si>
  <si>
    <t>RO-438/3</t>
  </si>
  <si>
    <t>On the occasion of the state inspections scheduled by the Romanian Railway Safety Authority it will</t>
  </si>
  <si>
    <t>On the occasion of the state inspections scheduled by the Romanian Railway Safety Authority it will be supervised the method of implementation of the quality system assurance to the railway suppliers that are offering the working material in order to manufacture metallic elements used to parts and subassemblies from the mechanisms of the railway vehicles that are ensuring the railway safety (the running gear - wheels, axles, bearings and others, the draw and coupling gear - hooks, bars and others, respectively the buffing gear - buffers, springs)</t>
  </si>
  <si>
    <t>RO-438/4</t>
  </si>
  <si>
    <t>The Romanian Railway Notified Body will assess the technical conditions that stood at the basis of g</t>
  </si>
  <si>
    <t>The Romanian Railway Notified Body will assess the technical conditions that stood at the basis of granting the technical homologation certificate for the wheel set type AI manufactured by SC SMR Bals SA</t>
  </si>
  <si>
    <t>RO-427/1</t>
  </si>
  <si>
    <t>To train again the operating staff on the conditions that is allowed to leave the locomoti</t>
  </si>
  <si>
    <t>To train again the operating staff on the conditions that is allowed to leave the locomotive when standstill and on the measures that must be taken by the driver in case without driverâ€™s assistant.</t>
  </si>
  <si>
    <t>RO-427/2</t>
  </si>
  <si>
    <t>To train again the operating staff on the labour protection norms concerning the interdict</t>
  </si>
  <si>
    <t>To train again the operating staff on the labour protection norms concerning the interdiction of boarding a locomotive in motion.</t>
  </si>
  <si>
    <t>RO-427/3</t>
  </si>
  <si>
    <t>To train the operating staff on the consequences of permanent locking of the operating lever</t>
  </si>
  <si>
    <t>To train the operating staff on the consequences of permanent locking of the operating lever from the air release valve of the locomotive brake cylinders by using any method that does not correspond to the instructions.</t>
  </si>
  <si>
    <t>RO-427/4</t>
  </si>
  <si>
    <t>An urgent tehnical inspection of the air release valves from the brake cylinders from all t</t>
  </si>
  <si>
    <t>An urgent tehnical inspection of the air release valves from the brake cylinders from all the locomotives and the irregularities clearance in order to observe the execution of the project</t>
  </si>
  <si>
    <t>RO-427/5</t>
  </si>
  <si>
    <t>To improve the safety management system by : - Regulations for tracking and solving all the</t>
  </si>
  <si>
    <t>To improve the safety management system by : - Regulations for tracking and solving all the nonconformities of the emergency brakings performed within the shunting activity; - Regulations in order to revise the staff errors in case of taking out of service in an unjustified way or of a voluntary locking not according to the instructions of the safety , vigilance and automatic speed control installations within the shunting activity ; - Tracking the wrong working systems in the shunting activity related to the safety , vigilance and automatic speed control installations that were taking out of service or improper voluntary locked by analysing and performing a mandatory examination of all recorded cases of putting into service of the vigilance device without decreasing the speed curve to zero in case of the displacement of the isolated locomotive; - Establishing through the job sheets the tasks concerning the transfer, reading and deali</t>
  </si>
  <si>
    <t>RO-427/6</t>
  </si>
  <si>
    <t>To establish the opportuneness that the punctual speed control device (IVMS) installation can pe</t>
  </si>
  <si>
    <t>To establish the opportuneness that the punctual speed control device (IVMS) installation can perform a specific record from which it should result if this installation was taking out of service or was put into service owing to the non-handling.</t>
  </si>
  <si>
    <t>RO-427/7</t>
  </si>
  <si>
    <t>To establish the opportuneness of constructive changes to the air release valves of the locomotiv</t>
  </si>
  <si>
    <t>To establish the opportuneness of constructive changes to the air release valves of the locomotive brake cylinders from all locomotives type DHC in order to stop the use of improvised systems by locking these valves in â€žopen positionâ€.</t>
  </si>
  <si>
    <t>RO-414/1</t>
  </si>
  <si>
    <t>Performance of an analysis concerning the wear situation of the metallic parts of the switches used</t>
  </si>
  <si>
    <t>Performance of an analysis concerning the wear situation of the metallic parts of the switches used especially in the passenger traffic on the main tracks and for arrival-departure in order to establish a priority concerning the order and the opportunity of their replacement.</t>
  </si>
  <si>
    <t>RO-414/2</t>
  </si>
  <si>
    <t>Performance an analysis concerning the ways to keep and to improve the technical and practical abili</t>
  </si>
  <si>
    <t>Performance an analysis concerning the ways to keep and to improve the technical and practical abilities of the staff responsible with the management, maintenance and repairing of the switches, by training.</t>
  </si>
  <si>
    <t>RO-414/3</t>
  </si>
  <si>
    <t>Re-analysis the opportunity to establish some additional works and a sever surveillance of the switc</t>
  </si>
  <si>
    <t>Re-analysis the opportunity to establish some additional works and a sever surveillance of the switches whose use follows to increase because of the increase of the traffic following the closing of some directions requested by the technological process for the performance of some moderniza-tion and rehabilitation of the tracks and railway stations.</t>
  </si>
  <si>
    <t>RO-413/1</t>
  </si>
  <si>
    <t>Romanian Railway Safety Authority â€“ ASFR will planned in the next time a control action at the freig</t>
  </si>
  <si>
    <t>Romanian Railway Safety Authority â€“ ASFR will planned in the next time a control action at the freight undertakings when it will control the organizing way of the technical inspection of the freight trains.</t>
  </si>
  <si>
    <t>RO-413/2</t>
  </si>
  <si>
    <t>Romanian Railway Safety Authority â€“ ASFR, together with the Romanian Railway Notified Body â€“ ONFR, r</t>
  </si>
  <si>
    <t>Romanian Railway Safety Authority â€“ ASFR, together with the Romanian Railway Notified Body â€“ ONFR, rolling stock manufacturers or repairing companies and with the rolling stock owners will analyse the possibilities to limit the use of the pairs of wheels equipped with wheels with tyre at a couple of years that does not exceed the wagon length of life (20 years).</t>
  </si>
  <si>
    <t>RO-413/3</t>
  </si>
  <si>
    <t>Romanian Railway Safety Authority â€“ ASFR will analyse the present regulations concerning the repairi</t>
  </si>
  <si>
    <t>Romanian Railway Safety Authority â€“ ASFR will analyse the present regulations concerning the repairing and the maintenance of the pairs of wheels equipped with wheels with tyre and will complete the survey methodology of these axles, both in operation and in the maintenance and repairing points during all the operation period, so that one can know every moment the date and the place where the tyre was assemblyed on the wheel.</t>
  </si>
  <si>
    <t>RO-1145/1</t>
  </si>
  <si>
    <t>Identifying and implementing solutions to ensure protection of the supply cables of the electric eng</t>
  </si>
  <si>
    <t>Identifying and implementing solutions to ensure protection of the supply cables of the electric engines against the mechanic wears in the contact area between them.</t>
  </si>
  <si>
    <t>RO-1139/1</t>
  </si>
  <si>
    <t>Development of a study on the occurrence of switching over-voltages caused by the train heating inst</t>
  </si>
  <si>
    <t>Development of a study on the occurrence of switching over-voltages caused by the train heating installation type INDA and the traction engines together, to establish the protection methods of the power circuits, in order to prevent the occurrence of similar cases.</t>
  </si>
  <si>
    <t>RO-1138/1</t>
  </si>
  <si>
    <t>Checking the heating temperature of the electric circuits of the locomotives by the thermo-vision pr</t>
  </si>
  <si>
    <t>Checking the heating temperature of the electric circuits of the locomotives by the thermo-vision procedure, at the final tests after the planned repairs;</t>
  </si>
  <si>
    <t>RO-1138/2</t>
  </si>
  <si>
    <t>Checking the work of the protections for the electric circuits of the locomotives at the final tests</t>
  </si>
  <si>
    <t>Checking the work of the protections for the electric circuits of the locomotives at the final tests after the planned repairs;</t>
  </si>
  <si>
    <t>RO-1138/3</t>
  </si>
  <si>
    <t>In the technical specifications on the construction or modernization of the rolling stock to be cont</t>
  </si>
  <si>
    <t>In the technical specifications on the construction or modernization of the rolling stock to be contained the standard SR EN 50343:2006 Railway applications. Rolling stock. Rules for the installation of cables.</t>
  </si>
  <si>
    <t>RO-1117/1</t>
  </si>
  <si>
    <t>Identify and implement a technical solution through which at the insurance installation with key loc</t>
  </si>
  <si>
    <t>Identify and implement a technical solution through which at the insurance installation with key locks to control the position of the switches, the lock of the switch and the remove of the key from the lock to be made only after blocking the switch.</t>
  </si>
  <si>
    <t>RO-1117/2</t>
  </si>
  <si>
    <t>Identify and implement a technical solution through which to be removed the detachment tendency of t</t>
  </si>
  <si>
    <t>Identify and implement a technical solution through which to be removed the detachment tendency of the top of the flexible needles of the switches with top fixer with clips from the stations equipped with insurance installations with key locks to control the position of the switches.</t>
  </si>
  <si>
    <t>RO-1117/3</t>
  </si>
  <si>
    <t>Eliminate the ambiguity in the regulations on checking the condition of the switches insured with ke</t>
  </si>
  <si>
    <t>Eliminate the ambiguity in the regulations on checking the condition of the switches insured with key locks or without block, created by using two different expressions used to define the same condition of a switch, respectively â€œinsured switchâ€ and â€œlocked switchâ€.</t>
  </si>
  <si>
    <t>RO-1108/1</t>
  </si>
  <si>
    <t>On the lines which superstructure is built with rails type R65 manufactured by Azovstal from Ukraine</t>
  </si>
  <si>
    <t>On the lines which superstructure is built with rails type R65 manufactured by Azovstal from Ukraine (the ex URSS) during the period 1989-1991, until the performance of the rails rehabilitation works, it is recommended to avoid the performance of the works of stuffing, shifting, dynamic stabilization and mechanized sifting with heavy rail machines in order not to determine the occurrence of the failures by the dynamic stresses transmitted by the machines to the rails during the technological process.</t>
  </si>
  <si>
    <t>RO-1108/2</t>
  </si>
  <si>
    <t>Avoiding the performance of weld repairs of the rails surfaces with defects under the conditions in</t>
  </si>
  <si>
    <t>Avoiding the performance of weld repairs of the rails surfaces with defects under the conditions in which the material of which they are made is affected by the fatigue process.</t>
  </si>
  <si>
    <t>RO-1108/3</t>
  </si>
  <si>
    <t>Addition to the provisions of the instruction no. 306/1972: - by introducing in the current classifi</t>
  </si>
  <si>
    <t>Addition to the provisions of the instruction no. 306/1972: - by introducing in the current classification of the rails failures the defects caused by the fatigue phenomenon and of the terms existing in the document UIC no.712 to define the rails failures with the defects caused by the fatigue phenomenon (ex. squats, head checks, shelling, belgrospis); - with methods of identification, checking, monitoring over time and correction of the ondulatory wear; - with the establishment of the running conditions depending of the rails defects category.</t>
  </si>
  <si>
    <t>RO-1108/4</t>
  </si>
  <si>
    <t>Introducing in the nomenclator of rails maintenance and repairs works, included in the current instr</t>
  </si>
  <si>
    <t>Introducing in the nomenclator of rails maintenance and repairs works, included in the current instructions, the works and the technological processes regarding: the grinding, the milling or the planning of the rails within the maintenance works.</t>
  </si>
  <si>
    <t>RO-1061/1</t>
  </si>
  <si>
    <t>Inclusion in the Normative of Works of regular checking of the insulation capacity of the load cable</t>
  </si>
  <si>
    <t>Inclusion in the Normative of Works of regular checking of the insulation capacity of the load cables and of the connections between the accumulators boxes, after performing the operations provided in the technological processes of maintenance and operation of the accumulators batteries for the locomotives with repair terms exceeded.</t>
  </si>
  <si>
    <t>RO-1022/1</t>
  </si>
  <si>
    <t>Romanian Railway Safety Authority will conduct an inspection at SC Grup Transport Feroviar SA, which</t>
  </si>
  <si>
    <t>Romanian Railway Safety Authority will conduct an inspection at SC Grup Transport Feroviar SA, which will verify the implementation and enforcement of the safety management system by the railway undertaking. If after this inspection, it is found that the safety management system implemented by the railway undertaking is not adapted to the character, extension and other characteristics of the activity and if it does not provide the control of all risks associated with the activity of the railway undertaking the Romanian Railway Safety Authority will revoke the safety certificate part A held by the SC Grup Transport Feroviar SA.</t>
  </si>
  <si>
    <t>RO-1022/2</t>
  </si>
  <si>
    <t>Modification by Romanian Railway Safety Authority of the Guidelines for the development of Safety Ma</t>
  </si>
  <si>
    <t>Modification by Romanian Railway Safety Authority of the Guidelines for the development of Safety Management System, so that it provides to the railway undertakings and to the administrators/managers of non-interoperable railway infrastructure a tool to develop the procedures through which is detailed how staff and its representatives at all levels are involved in the safety management system.</t>
  </si>
  <si>
    <t>RO-1022/3</t>
  </si>
  <si>
    <t>Update of the MT Order no. 290/2000 for the purposes of its correlation with the other specific regu</t>
  </si>
  <si>
    <t>Update of the MT Order no. 290/2000 for the purposes of its correlation with the other specific regulations on trains technical inspection work, so that the critical railway service "technical inspection of freight trains in the railway stations (at composition, in transit, on arrival)" to be certified in the subunits (working points) of the railway undertakings.</t>
  </si>
  <si>
    <t>RO-1019/1</t>
  </si>
  <si>
    <t>compliance with the deadlines for the planned repairs of the locomotives</t>
  </si>
  <si>
    <t>RO-1019/2</t>
  </si>
  <si>
    <t>periodical removal of the fuel and lubrication leaks from the locomotive areas inclined to casual fi</t>
  </si>
  <si>
    <t>periodical removal of the fuel and lubrication leaks from the locomotive areas inclined to casual fire, these works be included in the technological processes of the periodical inspections.</t>
  </si>
  <si>
    <t>RO-1017/1</t>
  </si>
  <si>
    <t>The National Railway Company â€œCFRâ€ SA will conduct a geophysical survey to identify the actual thick</t>
  </si>
  <si>
    <t>The National Railway Company â€œCFRâ€ SA will conduct a geophysical survey to identify the actual thickness of the layer of broken stone under the sole sleepers, the ballast bags and areas in which are formed slip plans in the embankment body of the line CF Babeni-Alunu. Depending on the results will be established the technical documentation for the execution of the works to ensure thickness of broken stone under the sole sleepers and remove the sliding effect of the embankment.</t>
  </si>
  <si>
    <t>RO-1017/2</t>
  </si>
  <si>
    <t>The National Railway Company â€œCFRâ€ SA will analyze how to reduce the aggressiveness of the rolling s</t>
  </si>
  <si>
    <t>The National Railway Company â€œCFRâ€ SA will analyze how to reduce the aggressiveness of the rolling stock on the railway superstructure and infrastructure on the line CF Babeni-Alunu.</t>
  </si>
  <si>
    <t>RO-0119/1</t>
  </si>
  <si>
    <t>Recommmendation 1 IL Caragiale</t>
  </si>
  <si>
    <t>1. Analysis of the oportunity to achieve the dependence between the position of the fixed derailer S1 and the position of the mechanical barrier from the level crossing km 0+600 with interlocking system in the railway station I.L. Caragiale;</t>
  </si>
  <si>
    <t>RO-0119/2</t>
  </si>
  <si>
    <t>Recommendation 2 IL Caragiale</t>
  </si>
  <si>
    <t>2. Analysis of the oportunity to supplement the provisions of the Regulations for hauling and brake no. 006/2005 where to be mentioned the measures that the driverâ€™s assistant has to take when the driver is not in the locomotive or he is not able and the train, rake of wagons or the light locomotive run away and can not be braked.</t>
  </si>
  <si>
    <t>RO-0119/3</t>
  </si>
  <si>
    <t>Recommendation 3 IL Caragiale</t>
  </si>
  <si>
    <t>3. Updating of the regulation framework concerning the definition of the branch line carrying feeder traffic;</t>
  </si>
  <si>
    <t>RO-0119/4</t>
  </si>
  <si>
    <t>Recommendation 4 IL Caragiale</t>
  </si>
  <si>
    <t>4. Supplement of the instruction for the operation of the interlocking system from the railway station I.L. Caragiale with the provisions concerning the working way when the fixed derailer S1 is out of service.</t>
  </si>
  <si>
    <t>RO-0119/5</t>
  </si>
  <si>
    <t>Recommendation 5 IL Caragiale</t>
  </si>
  <si>
    <t>5. Analysis of the procedures for sending the dispositions and the register way between OPAD of SNTFM headquarters and CLSC Bucuresti in order to remove the ambiguities that can appear in the varbal communication of the dispositions.</t>
  </si>
  <si>
    <t>RO-1122/1</t>
  </si>
  <si>
    <t>Completarea specificaÅ£iei tehnice â€“ Reprofilarea bandajelor la osiile vehiculelor feroviare pe strun</t>
  </si>
  <si>
    <t>Completing the technical specification - Reshaping the bandages at the axles of railway vehicles on the underground lathe type Hegenscheidt 102 â€“ with: 1. chapter regarding the rolls maintenance, the check of the diameters and of the positioning of rollers measuring the diameters of the rolling circles after turning; 2. completion of the measurements sheet prepared after reshaping the bandages with the average value of the measured roughness.</t>
  </si>
  <si>
    <t>RO-1052/1</t>
  </si>
  <si>
    <t>suspension of the exercise of the function heavy machinery mechanic about any disciplinary inquiry to completion of those involved</t>
  </si>
  <si>
    <t>În conformitate cu prevederile art. 63 din Regulamentul de investigare a accidentelor ÅŸi incidentelor feroviare, de dezvoltare ÅŸi îmbunÄƒtÄƒÅ£ire a siguranÅ£ei feroviare pe cÄƒile ferate ÅŸi reÅ£eaua de transport cu metroul din România, aprobat prin HG 117/2010, se solicitÄƒ AFER suspendarea autorizaÅ£iei de exercitare a funcÅ£iei de mecanic maÅŸini grele de cale pânÄƒ la finalizarea cercetÄƒrii disciplinare prealabile a celui implicat.</t>
  </si>
  <si>
    <t>Romanian</t>
  </si>
  <si>
    <t>RO-1052/2</t>
  </si>
  <si>
    <t>In accordance with Article 63 of the Regulation of investigating accidents and railway incidents, development and improvement of railway safety rail and subway network in Romania approved by GD117/2010, AFER requested suspension of the exercise of the function heavy machinery mechanic about any disciplinary inquiry to completion of those involved.</t>
  </si>
  <si>
    <t>RO-1052/3</t>
  </si>
  <si>
    <t>state inspection regarding the implementation of safety recommendations issued in case of accidents and incidents above</t>
  </si>
  <si>
    <t>Autoritatea de SiguranÅ£Äƒ FeroviarÄƒ RomânÄƒ va efectua o acÅ£iune de inspecÅ£ie de stat privind modul de implementare al recomandÄƒrilor de siguranÅ£Äƒ emise în cazul accidentelor ÅŸi incidentelor prezentate anterior.</t>
  </si>
  <si>
    <t>RO-1052/4</t>
  </si>
  <si>
    <t>Romanian Railway Safety Authority will conduct an state inspection regarding the implementation of safety recommendations issued in case of accidents and incidents above.</t>
  </si>
  <si>
    <t>RO-1052/5</t>
  </si>
  <si>
    <t>evaluating the effectiveness of their procedures to control risks associated with rail transport operations</t>
  </si>
  <si>
    <t>Conducerile operatorilor economici care desfasoara operatiuni de transport feroviar în perioada imediat urmatoare vor efectua o actiune de evaluare a eficientei procedurilor proprii de control al riscurilor asociate activitatilor de transport feroviar.</t>
  </si>
  <si>
    <t>RO-1052/6</t>
  </si>
  <si>
    <t>The managements of economic operators conducting rail operations in the following period, will perform an action by evaluating the effectiveness of their procedures to control risks associated with rail transport operations</t>
  </si>
  <si>
    <t>RO-1052/7</t>
  </si>
  <si>
    <t>occupational immediate verification of all employees with responsibility for traffic safety and those responsible for training, guidance and control</t>
  </si>
  <si>
    <t>Având în vedere cele prezentate la pct. 4, lit.c) din prezentul Raport, respectiv faptul cÄƒ accidentul feroviar în cauzÄƒ face parte dintr-o serie de accidente ÅŸi incidente relevante pentru întreg sistemul având drept factori care au contribuit erori umane în activitÄƒÅ£i în legÄƒturÄƒ directÄƒ cu siguranÅ£a circulaÅ£ieii, considerÄƒm necesarÄƒ demararea imediatÄƒ a unei verificÄƒri profesionale a tuturor salariaÅ£ilor cu responsabilitÄƒÅ£i în siguranÅ£a circulaÅ£iei, precum ÅŸi a celor cu atribuÅ£ii de instruire, îndrumare ÅŸi control. AceastÄƒ activitate se va face în coordonarea AutoritÄƒÅ£ii de SiguranÅ£Äƒ FeroviarÄƒ RomânÄƒ împreunÄƒ cu CENAFER.</t>
  </si>
  <si>
    <t>RO-1052/8</t>
  </si>
  <si>
    <t>Considering those presented in Section 4, letter c) of the preliminary report, the fact that rail accident at issue is part of a series of accidents and incidents relevant to the entire system having as factors contributing to human error in activities directly related traffic safety, we consider necessary to start occupational immediate verification of all employees with responsibility for traffic safety and those responsible for training, guidance and control. This activity will be done in coordination NSA</t>
  </si>
  <si>
    <t>RO-0225/1</t>
  </si>
  <si>
    <t>Since in well-defined circumstances in regulations and instructions used in running trains and ...</t>
  </si>
  <si>
    <t>Since in well-defined circumstances in regulations and instructions used in running trains and shunting movements of train sets, communications by radiotelephone equipments constitutes orders or disposals which completes given orders through indicationâ€™s signals used in signalisation to the romanian railway, the actualisation is recommended or, by case, issuing specific reglementations applicable to communications of railway transport, to ensure the reglementation and uniform aplicability of principles and rules for using the networks in railway transport, repartition of frequencies and also of conditions for instruction and authorization of staff which operates fixed radiophones, mobile and portable, aplicable to entire participants of railway transports (infrastructure manager, railway undertaking and railway provider.)</t>
  </si>
  <si>
    <t>RO-2290/1</t>
  </si>
  <si>
    <t>Taking into account the conclusions foreseen at paragraph C.6.4.3 of the present report, referring ...</t>
  </si>
  <si>
    <t>Taking into account the conclusions foreseen at paragraph C.6.4.3 of the present report, referring to the way in which were understood and applied the regulations in craft by the operation employees, the investigation commission consider necessary the issuing of the following safety recommendation: Taking the necessary measures for the operation employees to understand accurately and unambiguously the applying conditions of the provisions of art. 6, paragraph (16) from the Braking and Hauling Regulation no. 006, referring at remaining at the initial position in the train composition, to continue running as hauled vehicles and without being active in the train hauling, of the locomotives which were used as banking locomotives. This Investigating Report will be transmitted to Romanian Railway Safety Authority, to the public railway infrastructure administrator CNCF â€žCFRâ€ SA and to the railway freight undertaking SNTFM â€žCFR Marfaâ€ SA.</t>
  </si>
  <si>
    <t>RO-2290/2</t>
  </si>
  <si>
    <t>Având în vedere concluziile prevÄƒzute la paragraful C.6.4.3 al prezentului raport, referitoare la modul în care au fost înÅ£elese ÅŸi aplicate reglementÄƒrile în vigoare de cÄƒtre personalul de exploatare, comisia de investigare constatÄƒ cÄƒ este necesarÄƒ emiterea urmÄƒtoarei recomandÄƒri de siguranÅ£Äƒ: Luarea mÄƒsurilor necesare pentru ca personalul de exploatare sÄƒ înÅ£eleagÄƒ cu precizie ÅŸi fÄƒrÄƒ echivoc condiÅ£iile de aplicare a prevederilor art.6 alin.(16) din Regulamentul de Remorcare ÅŸi frânare Nr.006, referitor la rÄƒmânerea în poziÅ£ia iniÅ£ialÄƒ în compunerea trenului, pentru continuarea mersului, ca vehicule remorcate ÅŸi fÄƒrÄƒ sÄƒ fie active în remorcarea trenului, a locomotivelor care au fost utilizate ca locomotive împingÄƒtoare. Prezentul Raport de Investigare se va transmite AutoritÄƒÅ£ii de SiguranÅ£Äƒ FeroviarÄƒ RomânÄƒ, gestionarului de infrastructurÄƒ feroviarÄƒ publicÄƒ CNCF â€žCFRâ€ SA ÅŸi SNTFM â€ž CFR MarfÄƒâ€ S.A.</t>
  </si>
  <si>
    <t>RO-2777/1</t>
  </si>
  <si>
    <t>1.Completarea ,,ReglementÄƒrilor privind modul de desfÄƒÅŸurare a activitÄƒÅ£ii de manevrÄƒ/transport feroviar pe LFI</t>
  </si>
  <si>
    <t>1. Completarea ,,ReglementÄƒrilor privind modul de desfÄƒÅŸurare a activitÄƒÅ£ii de manevrÄƒ/transport feroviar pe LFI â€ cu prevederi care sÄƒ stabileascÄƒ în detaliu responsabilitÄƒÅ£ile privind siguranÅ£a circulaÅ£iei a funcÅ£iilor implicate în primirea/expedierea trenurilor în circulaÅ£ie, inclusiv corelarea denumirii acestor funcÅ£ii cu cele din instrucÅ£iile ÅŸi reglementÄƒrile specifice în vigoare.</t>
  </si>
  <si>
    <t>RO-2777/2</t>
  </si>
  <si>
    <t>1. The addition to â€Regulations on conducting the activity of railway shunting / transport on LFIâ€ with provisions that set out in detail the responsibilities for the railway traffic of the functions involved in arrival/departure of the running trains, including the correlation of the descriptions of those functions with the instructions and specific regulations in force.</t>
  </si>
  <si>
    <t>RO-2777/3</t>
  </si>
  <si>
    <t>2. Actualizarea sau emiterea unei noi reglementÄƒri privind trenuri cu expediere de/sau pe altÄƒ infrastructurÄƒ decât cea publicÄƒ</t>
  </si>
  <si>
    <t>2. Actualizarea sau emiterea unei noi reglementÄƒri instrucÅ£íonale prin care sÄƒ se stabileascÄƒ în detaliu responsabilitÄƒÅ£ile factorilor implicaÅ£i în siguranÅ£a circulaÅ£iei a trenurilor cu expediere de/sau pe altÄƒ infrastructurÄƒ decât cea publicÄƒ</t>
  </si>
  <si>
    <t>RO-2777/4</t>
  </si>
  <si>
    <t>2. Update or releasing of new instructional regulations to set out in detail the responsibilities of those involved in the traffic safety of trains with dispatch from / to other infrastructure other than the public.</t>
  </si>
  <si>
    <t>RO-2804/1</t>
  </si>
  <si>
    <t>Identificarea mÄƒsurilor necesare È›inerii sub control a riscului de deraiere pe relaÅ£ia Suplacu de ...</t>
  </si>
  <si>
    <t>Identificarea mÄƒsurilor necesare È›inerii sub control a riscului de deraiere pe relaÅ£ia Suplacu de BarcÄƒu â€“ Åžimleu Silvaniei prin diminuarea efectelor factorilor care au contribuit la producerea accidentului feroviar</t>
  </si>
  <si>
    <t>RO-2804/2</t>
  </si>
  <si>
    <t>The identification of the necessary measures to keep under control the derailment risk on the traffic section Suplacu de Barcau â€“ Simleu Silvaniei by diminishing the factors effects which contributed at the railway accident occurrence.</t>
  </si>
  <si>
    <t>RO-2867/1</t>
  </si>
  <si>
    <t>- completing the regulation frame with provisions referring at the training, examination and ...</t>
  </si>
  <si>
    <t>- completing the regulation frame with provisions referring at the training, examination and authorization mode of the accompanying agent of the tower wagon;</t>
  </si>
  <si>
    <t>RO-2867/2</t>
  </si>
  <si>
    <t>- Completarea cadrului de reglementare cu prevederi referitoare la modul de instruire, examinare ÅŸi autorizare a agentului de însoÅ£ire a drezinei pantograf.</t>
  </si>
  <si>
    <t>RO-2867/3</t>
  </si>
  <si>
    <t>- completing the Confinement Regulation with provisions referring to the authorized personnel ...</t>
  </si>
  <si>
    <t>- completing the Confinement Regulation with provisions referring to the authorized personnel assuring for driving the tower wagon after the interventions which interrupted the rest period;</t>
  </si>
  <si>
    <t>RO-2867/4</t>
  </si>
  <si>
    <t>- Completarea Regulamentului de consemn cu prevederi referitoare la asigurarea personalului autorizat pentru conducerea drezinelor dupÄƒ intervenÅ£iile ce întrerup perioada de odihnÄƒ.</t>
  </si>
  <si>
    <t>RO-2867/5</t>
  </si>
  <si>
    <t>- correlation of the provisions from the Instruction 340/2003 and those from the Regulation ...</t>
  </si>
  <si>
    <t>- correlation of the provisions from the Instruction 340/2003 and those from the Regulation 005/2005 referring at the guiding and traffic of the UAM.</t>
  </si>
  <si>
    <t>RO-2867/6</t>
  </si>
  <si>
    <t>- Corelarea prevederilor din InstrucÅ£ia 340/2003 ÅŸi a celor din Regulamentul 005/2005 referitoare la îndrumarea ÅŸi circulaÅ£ia UAM.</t>
  </si>
  <si>
    <t>RO-3053/1</t>
  </si>
  <si>
    <t>1. Harmonization of the operating rules of section TârnÄƒveni-Praid (compiled by the National ...</t>
  </si>
  <si>
    <t>1. Harmonization of the operating rules of section TârnÄƒveni-Praid (compiled by the National Railway Company "CFR" SA) and Regulations on operation of the stations barrier from the level crossings on road sections Blaj-Praid, VânÄƒtori-Odorhei, Alba Iulia-Zlatna (made by the non-interoperable infrastructure manager S.C. R.C.-C.F. TRANS SRL Brasov) by corroborating the provisions of the Rules for the train traffic and shunting of the railway vehicles no. 005 / 2005 (approved by the Minister of Transport, Constructions and Tourism no. 1816 / 26th of October 2005 ) with those from the SR 1244-3 / 1990 SR 1244-2 / 2004 and SR 1244-1 / 1996 on classification of the crossing of the level crossing at km 109 + 400 between the railway station Praid and Sovata and the railway and road signaling of that.</t>
  </si>
  <si>
    <t>RO-3053/2</t>
  </si>
  <si>
    <t>1. Armonizarea Regulamentului de Exploatare al secÅ£iei TârnÄƒveni-Praid (întocmit de cÄƒtre CNCF â€žCFRâ€ SA) ÅŸi a ReglementÄƒrilor privind funcÅ£ionarea posturilor de barierÄƒ de la trecerile la nivel de pe secÅ£iile de circulaÅ£ie Blaj-Praid, VânÄƒtori-Odorhei, Alba Iulia-Zlatna (întocmite de gestionarul de infrastructurÄƒ neinteroperabilÄƒ S.C. R.C.-C.F. TRANS SRL BraÅŸov) prin coroborarea prevederilor din Regulamentul pentru circulaÅ£ia trenurilor ÅŸi manevra vehiculelor feroviare-Nr.005/2005 (aprobat prin Ordinul Ministrului Transporturilor, ConstrucÅ£iilor ÅŸi Turismului nr.1816/26.10.2005) cu cele din standardele SR 1244-3/1990, standardul SR 1244-2/2004 ÅŸi standardul SR 1244-1/1996, referitor la clasificarea trecerii la nivel de la km 109+400 dintre Hm Praid ÅŸi Hm Sovata ÅŸi la semnalizarea feroviarÄƒ ÅŸi rutierÄƒ a acesteia;</t>
  </si>
  <si>
    <t>RO-3053/3</t>
  </si>
  <si>
    <t>2. Completion the regulatory framework with detailed provisions on how to realize crossing the ...</t>
  </si>
  <si>
    <t>2. Completion the regulatory framework with detailed provisions on how to realize crossing the level crossing of the current line, for which isnâ€™t secured the visibility triangle and where are no barrier posts, by trains in circulation, but also for the cases in which the signaling installations of the level crossing are defective or damaged, so that the risk of accidents is kept under control.</t>
  </si>
  <si>
    <t>RO-3053/4</t>
  </si>
  <si>
    <t>2. Completarea cadrului de reglementare cu prevederi amÄƒnunÅ£ite referitoare la modul cum se realizeazÄƒ traversarea unei treceri la nivel din linie curentÄƒ pentru care nu este asigurat rombul de vizibilitate È™i nu existÄƒ post de barierÄƒ, de cÄƒtre trenurile aflate în circulaÅ£ie, dar ÅŸi a cazurilor în care instalaÅ£iile de semnalizare a trecerii la nivel sunt defecte sau distruse, astfel încât riscul producerii accidentelor sÄƒ fie È›inut sub control.</t>
  </si>
  <si>
    <t>RO-3053/5</t>
  </si>
  <si>
    <t>3. Organization of the administrators / managers of interoperable and non-interoperable railway ...</t>
  </si>
  <si>
    <t>3. Organization of the administrators / managers of interoperable and non-interoperable railway infrastructure in joint actions with the roads administrators and with the Traffic Department of the General Inspectorate of Romanian Police to verify all level crossings that operate in similar conditions to that of the km 109+ 400 between the railway stations Praid and Sovata and where appropriate, to take the necessary measures to control the risk of accidents occurrence.</t>
  </si>
  <si>
    <t>RO-3053/6</t>
  </si>
  <si>
    <t>3. Organizarea de cÄƒtre administratorii/gestionarii de infrastructurÄƒ feroviarÄƒ publicÄƒ interoperabilÄƒ sau neinteroperabilÄƒ a unor acÅ£iuni comune cu administratorii drumurilor ÅŸi cu DirecÈ›ia RutierÄƒ din cadrul Inspectoratului General al PoliÈ›iei Române pentru verificarea tuturor trecerilor la nivel care funcÅ£ioneazÄƒ în condiÅ£ii similare celei de la km 109+400 dintre Hm Praid ÅŸi Hm Sovata ÅŸi dacÄƒ este cazul, luarea mÄƒsurilor care se impun, pentru Å£inerea sub control a riscului producerii de accidente.</t>
  </si>
  <si>
    <t>RO-3428/1</t>
  </si>
  <si>
    <t>Elaborarea unui cadru normativ pentru exploatarea, circulatia ÅŸi mentenanÅ£a drezinelor de cale tip ...</t>
  </si>
  <si>
    <t>Elaborarea unui cadru normativ pentru exploatarea, circulatia ÅŸi mentenanÅ£a drezinelor de cale tip DCL referitoare la Å£inerea sub control a elementelor determinante siguranÅ£ei circulaÅ£iei.</t>
  </si>
  <si>
    <t>RO-3428/2</t>
  </si>
  <si>
    <t>The development of a regulatory framework for the operation, running and maintenance of the draisines type DCL on controlling of the critical elements for traffic safety.</t>
  </si>
  <si>
    <t>RO-3431/1</t>
  </si>
  <si>
    <t>1. The development of an regulatory framework for the draisines reffering to: - types of ...</t>
  </si>
  <si>
    <t>1. The development of an regulatory framework for the draisines reffering to: - types of inspections and planned repairs; - time norms to perform the inspections and planned repairs; - minim works performed during the inspections and planned repairs;</t>
  </si>
  <si>
    <t>RO-3431/2</t>
  </si>
  <si>
    <t>Elaborarea unui normativ feroviar pentru drezinele de cale referitor la : - tipuri de revizii ÅŸi reparaÅ£ii planificate, - norme de timp pentru efectuarea reviziilor ÅŸi reparaÅ£iilor planificate; - lucrÄƒri minime executate în cadrul reviziilor ÅŸi reparaÅ£iilor planificate.</t>
  </si>
  <si>
    <t>RO-3431/3</t>
  </si>
  <si>
    <t>2. The revision of the Technical Specification for the inspection of the draisine car DC 135 L by ...</t>
  </si>
  <si>
    <t>2. The revision of the Technical Specification for the inspection of the draisine car DC 135 L by the corelation with NF 67-007:2012.</t>
  </si>
  <si>
    <t>RO-3431/4</t>
  </si>
  <si>
    <t>Revizuirea specificaÅ£iei tehnice pentru revizia drezinei DC 135 L prin corelarea cu NF 67-007:2012.</t>
  </si>
  <si>
    <t>RO-3544/1</t>
  </si>
  <si>
    <t>1. Introducerea în livretele cu mersul trenurilor de marfÄƒ a procentelor de masÄƒ frânatÄƒ minime ...</t>
  </si>
  <si>
    <t>1. Introducerea în livretele cu mersul trenurilor de marfÄƒ a procentelor de masÄƒ frânatÄƒ minime pentru trenurile de marfÄƒ având în compunere vagoane echipate cu frânÄƒ proporÈ›ionalÄƒ cu încÄƒrcÄƒtura È™i care circulÄƒ pe secÈ›iile de circulaÈ›ie caracterizate prin pante mari.</t>
  </si>
  <si>
    <t>RO-3544/2</t>
  </si>
  <si>
    <t>1. The recording in the timetables of the freight trains of the minimum braked mass percentage for the freight trains with wagons equipped with brake proportional with the load and which are running on the traffic sections characterized through big slopes.</t>
  </si>
  <si>
    <t>RO-3544/3</t>
  </si>
  <si>
    <t>2. Reglementarea modului de transmitere de cÄƒtre operatorii de transport feroviar cÄƒtre ...</t>
  </si>
  <si>
    <t>2. Reglementarea modului de transmitere de cÄƒtre operatorii de transport feroviar cÄƒtre administratorul de infrastructurÄƒ feroviarÄƒ publicÄƒ C.N.C.F. â€žCFRâ€ S.A, a informaÈ›iilor referitoare la existenÈ›a în compunerea trenului a vagoanelor cu frânÄƒ proporÈ›ionalÄƒ cu încÄƒrcÄƒtura sau existenta È™i funcÈ›ionarea frânei electrice la locomotivele de remorcare a trenului.</t>
  </si>
  <si>
    <t>RO-3544/4</t>
  </si>
  <si>
    <t>2. The regulation of the of the dissemination type by the freight undertakings to the public railway infrastructure administrator CNCF â€œCFRâ€ S.A. of the information referring to the existence in the train of wagons with brakes proportional with the load or the existence and functioning of the electric brake at the hauling locomotives of the train.</t>
  </si>
  <si>
    <t>RO-3641/1</t>
  </si>
  <si>
    <t>Identificarea de mÄƒsuri în sensul Å£inerii sub control a riscului aferent descÄƒrcÄƒrii incomplete a ...</t>
  </si>
  <si>
    <t>Identificarea de mÄƒsuri în sensul Å£inerii sub control a riscului aferent descÄƒrcÄƒrii incomplete a vagoanelor de catre beneficiar.</t>
  </si>
  <si>
    <t>RO-3641/2</t>
  </si>
  <si>
    <t>Identifying steps towards keeping under control the risk associated with incomplete unloading of wagons by the beneficiary.</t>
  </si>
  <si>
    <t>RO-3966/1</t>
  </si>
  <si>
    <t>1. Efectuarea unei acÈ›iuni de audit la operatorul de transport feroviar de marfÄƒ SC Transferoviar ...</t>
  </si>
  <si>
    <t>1. Efectuarea unei acÈ›iuni de audit la operatorul de transport feroviar de marfÄƒ SC Transferoviar Grup SA pentru evaluarea resurselor necesare monitorizÄƒrii È™i aplicÄƒrii mÄƒsurilor de È›inere sub control a riscurilor asociate proceselor feroviare care sÄƒ aibÄƒ ca obiective: - eficienÈ›a mÄƒsurilor care au fost dispuse de conducerea operatorului de transport feroviar de marfÄƒ pentru eliminarea cazurilor de depÄƒÈ™ire a duratei de lucru reglementatÄƒ, înregistrate atât înainte, cât È™i dupÄƒ producerea accidentului feroviar grav; - modul în care se face verificarea stÄƒrii de funcÈ›ionare a instalaÈ›iei de siguranÈ›Äƒ È™i vigilenÈ›Äƒ È™i a celei de control automat al vitezei trenului È™i a mÄƒsurilor dispuse pentru È›inerea sub control a cazurilor de izolare nejustificatÄƒ a acestor instalaÈ›ii.</t>
  </si>
  <si>
    <t>RO-3966/2</t>
  </si>
  <si>
    <t>1. To perform an audit at the freight operator SC Transferoviar Group SA for assessing the necessary monitoring and enforcement measures for the restraint of the risks associated with railway processes which should have the following objectives: - Effectiveness of the measures that were taken by the management of railway freight operator to eliminate cases of exceeding of the regulated duty, recorded both before and after the serious railway accident; - How is done the verification of the status of the safety and vigilance and automatic control installation of the train and the measures set to control the cases of unjustified isolation of these installations.</t>
  </si>
  <si>
    <t>RO-3966/3</t>
  </si>
  <si>
    <t>2. Analizarea de cÄƒtre SC Transferoviar Grup SA a oportunitÄƒÈ›ii introducerii în procedura de proces ...</t>
  </si>
  <si>
    <t>2. Analizarea de cÄƒtre SC Transferoviar Grup SA a oportunitÄƒÈ›ii introducerii în procedura de proces cod PP-6.2 â€žAsigurare resurse Umaneâ€ a unui criteriu nou referitor la cazierul profesional, în cadrul acÈ›iunii de angajare, în scopul asigurÄƒrii unei structuri de personal adecvatÄƒ cerinÈ›elor de profesionalism È™i responsabilitate cerute de activitatea de siguranÈ›a circulaÈ›iei.</t>
  </si>
  <si>
    <t>RO-3966/4</t>
  </si>
  <si>
    <t>2. Review by SC Transferoviar Group SA of the opportunity to introduce the procedure code PP-6.2 "Human resources assurance" of a new criterion referring to the professional record, at the employment activity, in order to ensure a proper staffing structure adequate to the professionalism and responsibility requirements required by the traffic safety activity.</t>
  </si>
  <si>
    <t>RO-3966/5</t>
  </si>
  <si>
    <t>3. Identificarea È™i evaluarea de cÄƒtre CNCF â€žCFRâ€ SA a riscurilor de interfaÈ›Äƒ introduse de ...</t>
  </si>
  <si>
    <t>3. Identificarea È™i evaluarea de cÄƒtre CNCF â€žCFRâ€ SA a riscurilor de interfaÈ›Äƒ introduse de modificarea activitÄƒÈ›ii de circulaÈ›ie È™i manevrÄƒ în condiÈ›iile executÄƒrii lucrÄƒrilor de reparaÈ›ie a infrastructurii feroviare, care impun introducerea restricÈ›iilor de vitezÄƒ sau închiderea circulaÈ›iei feroviare.</t>
  </si>
  <si>
    <t>RO-3966/6</t>
  </si>
  <si>
    <t>. Identification and assessment by the Railway Company "CFR" SA of the interface risks introduced by changing the activity of movement and shunting in the conditions of the repair works performance at the railway infrastructure, which require the introduction of speed restrictions or closure of railway traffic.</t>
  </si>
  <si>
    <t>RO-3998/1</t>
  </si>
  <si>
    <t>AÅŸa cum s-a menÅ£ionat la cap. C.5.2. Sistemul de management al siguranÅ£ei, documentul comun prin ...</t>
  </si>
  <si>
    <t>AÅŸa cum s-a menÅ£ionat la cap. C.5.2. Sistemul de management al siguranÅ£ei, documentul comun prin care s-a stabilit modul comun de acÅ£iune în cazul producerii de accidente feroviare â€žManagementul unitar al forÅ£elor participante la intervenÅ£ia în cazul accidentelor pe calea feratÄƒâ€, parte a sistemului propriu de management al siguranÅ£ei al administrator al infrastructurii feroviare publice, nu este pus de acord cu Regulamentul de transport pe CÄƒile Ferate din România, aprobat prin OG nr.7/2005 ÅŸi Legea nr.115/2006 ÅŸi cu Regulamentul de Investigare, aprobat prin HG 117/2010. Având în vedere acest fapt, comisia de investigare considerÄƒ necesarÄƒ implementarea urmÄƒtoarei recomandÄƒri de siguranÈ›Äƒ: CNCF â€žCFRâ€ SA, în calitate de administrator al infrastructurii feroviare publice, împreunÄƒ cu celelalte pÄƒrÅ£i care acÅ£ioneazÄƒ în cadrul producerii de accidente sau incidente feroviare (operatori de transport, instituÅ£ii publice sau servicii publice de urgenÅ£Äƒ) va modifica ÅŸi actualiza documentul comun â€žManagementul unitar al forÅ£elor participante la intervenÅ£ia în cazul accidentelor pe calea feratÄƒâ€, parte a sistemului propriu de management al siguranÅ£ei, astfel încât: ï‚§ sÄƒ fie menÅ£ionat faptul cÄƒ, avizarea accidentelor/incidentelor feroviare se face în conformitate cu prevederile din Regulamentul de Investigare, aprobat prin HG nr.117/2010; ï‚§ sÄƒ fie prevÄƒzute obligaÅ£iile administratorului infrastructurii feroviare publice de a asigura â€žun serviciu de transport pentru cÄƒlÄƒtori ÅŸi bagaje cu alte vehicule, pe cheltuiala lor (ei), pânÄƒ la destinaÅ£ie sau pânÄƒ la primul punct de legÄƒturÄƒ pentru continuarea cÄƒlÄƒtoriei cu trenulâ€, aÅŸa cum este stabilit prin art.10, alin.(8) din Regulamentul de transport pe CÄƒile Ferate din România aprobat prin OrdonanÅ£a Guvernului României nr.7/20.01.2005 ÅŸi Legea nr.115/27.04.2006; ï‚§ sÄƒ fie prevÄƒzute obligaÅ£iile conducerilor operatorilor economici de luare a mÄƒsurilor de înlÄƒturare a urmÄƒrilor ÅŸi de redeschidere a circulaÅ£iei, aÅŸa cum sunt ele stabilite în Regulamentul de Investigare, aprobat prin HG 117/2010. Întrucât, în urma producerii celor douÄƒ cazuri de deraieri (cazul investigat în cadrul acestui raport precum ÅŸi cel produs la data de 28.08.2014 pe aceiaÅŸi zonÄƒ), CNCF â€žCFRâ€ SA prin Sucursala RegionalÄƒ de CÄƒi Ferate BraÅŸov a dispus mai multe mÄƒsuri suplimentare de siguranÅ£Äƒ pentru coordonarea ÅŸi supravegherea lucrÄƒrilor de reparaÅ£ie periodicÄƒ cu ciuruire integralÄƒ, prin care sÄƒ fie eliminate riscurile asociate acestui tip de lucrÄƒri de reparaÅ£ie, comisia de investigare considerÄƒ cÄƒ nu mai este necesarÄƒ emiterea unor recomandÄƒri de siguranÅ£Äƒ în acest sens.</t>
  </si>
  <si>
    <t>RO-3998/2</t>
  </si>
  <si>
    <t>As was mentioned in Chap. C.5.2. Safety management system, the common document through which was set the action common method in the case of railway accident occurrence â€žUnitary management of the participants forces at the intervention in the case of accidents on the railway tracksâ€, part of the own safety management system as administrator of the public railway infrastructure, is not agreed with the Transport Regulation on the Railways from Romania, approved by the Government Decision no. 7/2005 and the Law no. 115/2006 and with the Investigation Regulation, approved by HG no. 117/2010. Regarding this fact, the investigation commission considers necessary the implementing of the following safety recommendation: CNCF â€žCFRâ€ SA, as public railway infrastructure administrator, together with the other parties which act in the case of railways accident and incident occurrences (transport operators, public institutions and emergency public services) will modify and update the common document â€žUnitary management of the participant forces in the case of accidents on the railway trackâ€, part of the own safety management system, so that: ï‚§ to be mentioned the fact that, the notification of the railway accidents/incidents to be made according to the provisions from the Investigation Regulation; ï‚§ to be foreseen the obligations of the public railway infrastructure administrator to assure â€œa transport service for passengers and luggage with other vehicles, on his expenses, until the destination or to the first connection point to continue the journey with the trainâ€, as set in Art. 10, paragraph (8) from the Transport Regulation on the Railways from Romania, approved by the Government Decision no. 7/20.01.2005 and the Law no. 115/27th of April 2006; ï‚§ to be foreseen the obligations of the economic operatorâ€™s managements to be taken to eliminate the consequences and to reopen the traffic, as are foreseen in the Investigation Regulation. Because, after the occurring of the two derailment cases (this investigation case and that occurred on 28th of August 2014 in the same area), the management of Lines Division from CREIR Brasov released the disposition no. 210/2/16/01.09.2014, through which disposed more additional safety measures for coordinating and supervising of the periodical repair works with integral ballast cleaning, through which will be eliminated the risks associate with this repair work types, the investigation commission doesn't consider necessary to release safety recommendations regarding this matter.</t>
  </si>
  <si>
    <t>RO-3608/1</t>
  </si>
  <si>
    <t>Revizuirea cadrului de reglementare referitor la efectuarea controlului ultrasonic la osiile automotoarelor seria 900</t>
  </si>
  <si>
    <t>1. Revizuirea cadrului de reglementare referitor la efectuarea controlului ultrasonic la osiile automotoarelor seria 900, astfel încât sÄƒ fie stabilite în mod clar: - reviziile /reparaÅ£iile planificate când se executÄƒ controlul ultrasonic; - intervalul de timp/kilometrii la care se efectueazÄƒ controlul ultrasonic; - unitatea ÅŸi personalul care efectueazÄƒ controlul ultrasonic. Cadrul de reglementare astfel revizuit va fi pus în concordanÅ£Äƒ cu prevederile: - Ordinului MT nr. 1359/2012 pentru modificarea ÅŸi completarea Normativului feroviar ,,Vehicule de cale feratÄƒ. Tipuri de revizii ÅŸi reparaÅ£ii planificate. Normele de timp sau normele de kilometri parcurÅŸi pentru efectuarea reviziilor ÅŸi reparaÅ£iilor planificateâ€ aprobate prin Ordinul MT nr. 315/2011; - InstrucÅ£iunilor pentru controlul ultrasonic al osiilor de automotor â€“ elaborate de cÄƒtre ICPTT în anul 1975; - InstrucÅ£iei pentru repararea osiilor montate de la vehiculele feroviare nr. 931/1986.</t>
  </si>
  <si>
    <t>RO-3608/2</t>
  </si>
  <si>
    <t>1. Review of regulatory framework on ultrasonic control 900 series DMU axles, so be clearly established: - inspections / planned repairs when performing ultrasonic control; - the period / mileage undergoing ultrasonic control; - company and employees of the ultrasonic control. The revised regulatory framework will be made in accordance with the provisions: - MT Order no. 1359/2012 amending and supplementing of the Norms railway â€œVehicles Railway. Types of inspections and planned repairs. Rules or standards for kilometres for maintenance and planned repairs", approved by MT Order no. 315/2011; - Instructions for ultrasonic control of DMU axles - developed by ICPTT in 1975; - Instructions for the repair of wheelsets of railway vehicles no. 931/1986.</t>
  </si>
  <si>
    <t>RO-3608/3</t>
  </si>
  <si>
    <t>2. Stabilirea condiÅ£iilor tehnice de exploatare</t>
  </si>
  <si>
    <t>2. Stabilirea conditiilor tehnice de exploatare, referitoare la diferenta maxima admisa între diametrele cercurilor de rulare ale rotilor osiilor motoare de la automotoarele pe doua osii seria 900, echipate cu motor Volvo Penta si cutie de viteza automata Allison, în cazul utilizarii acestora cuplate, în comanda multipla.</t>
  </si>
  <si>
    <t>RO-3608/4</t>
  </si>
  <si>
    <t>2. The establishing of the technical operating conditions relating to the maximum permissible difference between the diameters of running treads wheel axles from DMU with two axles 900 series, equipped with Volvo Penta engine and Allison automatic gearbox, if their use coupled in multiple command.</t>
  </si>
  <si>
    <t>RO-3608/5</t>
  </si>
  <si>
    <t>implementarea unei baze de date</t>
  </si>
  <si>
    <t>3. Constituirea ÅŸi implementarea unei baze de date care sÄƒ permitÄƒ identificarea trasabilitÄƒÅ£ii osiilor de la vehiculele feroviare motoare.</t>
  </si>
  <si>
    <t>RO-3608/6</t>
  </si>
  <si>
    <t>3. Establishment and implementation of a database enabling the identification of the axleâ€™s traceability of railway vehicles engines.</t>
  </si>
  <si>
    <t>RO-3608/7</t>
  </si>
  <si>
    <t>4. Elaborarea unor reglementÄƒri referitoare la modul de efectuare a controlului ultrasonic</t>
  </si>
  <si>
    <t>4. Elaborarea unor reglementÄƒri referitoare la modul de efectuare a controlului ultrasonic la osiile de la automotoarele seria 79 tip LVT.</t>
  </si>
  <si>
    <t>RO-3608/8</t>
  </si>
  <si>
    <t>4. Development of regulations on how to perform ultrasonic control at the axles from the DMU type LVT series 79.</t>
  </si>
  <si>
    <t>RO-4085/1</t>
  </si>
  <si>
    <t>On the 5th of September 2014, on the non-interoperable line BÄƒbeni - Alunu, managed by RC-CF TRANS ...</t>
  </si>
  <si>
    <t>On the 5th of September 2014, on the non-interoperable line BÄƒbeni - Alunu, managed by RC-CF TRANS SRL BraÅŸov, between the railway stations BÄƒbeni and PopeÅŸti Vâlcea, km 15+025, six wagons of the freight train no. 23688, belonging to the railway undertaking SNTFM â€žCFR MARFÄ‚â€ SA, derailed (one of them overturn). Because, from the checking and measurements at the line resulted non-conformities about the performance of the line maintenance, the investigation commission checked if the safety management system of the railway infrastructure manager (RC-CF TRANS SRL BraÅŸov) has procedures in order to guarantee that: ï‚§ line maintenance; ï‚§ identification of risks associated to the railway operations (including those resulted directly from the professional activities, work organization or workload) and the drawing up and establishment of measures for the risk control; ï‚§ monitoring of the efficiency of the measures for the risk control; are made in accordance with the relevant requirements. Following the checking of the documents submitted by the railway infrastructure manager, the investigation commission found out a series of deficiencies in the drawing up and application of the safety management system, deficiencies that are written down in chapter C.5.2. Safety management system. Taking into account it, the investigation commission considers necessary the implementation of the next safety recommendation: ï‚§ RC-CF TRANS SRL BraÅŸov, as railway infrastructure manager shall revise the procedures of the safety management system, so, by their application, to guarantee that the activities for the track maintenance, identification of the risks associated to the railway operations, working out and implementation of the measures for the risk control, as well as the monitoring of the efficiency of the measures for the risk control are made in accordance with the relevant requirements.</t>
  </si>
  <si>
    <t>RO-4085/2</t>
  </si>
  <si>
    <t>La data de 05.09.2014, pe linia neinteroperabilÄƒ BÄƒbeni - Alunu, având ca gestionar de infrastructurÄƒ feroviarÄƒ pe RC-CF TRANS SRL BraÅŸov, între staÅ£ia CFR BÄƒbeni ÅŸi halta de miÅŸcare PopeÅŸti Vâlcea, în zona km 15+025 s-a produs deraierea a ÅŸase vagoane (din care unul s-a rÄƒsturnat) din compunerea trenului de marfÄƒ nr.23688 aparÅ£inând operatorului de transport feroviar SNTFM â€žCFR MARFÄ‚â€ SA. Întrucât, din verificÄƒrile ÅŸi mÄƒsurÄƒrile efectuate asupra stÄƒrii liniei au rezultat neconformitÄƒÅ£i privind desfÄƒÅŸurarea lucrÄƒrilor de mentenanÅ£Äƒ a liniei, comisia de investigare a verificat dacÄƒ sistemul de management al siguranÈ›ei al gestionarului de infrastructurÄƒ feroviarÄƒ (RC-CF TRANS SRL BraÅŸov) dispune de proceduri pentru a garanta cÄƒ: ï‚§ mentenanÅ£a liniei; ï‚§ identificarea riscurilor asociate operaÈ›iunilor feroviare (inclusiv cele care rezultÄƒ direct din activitÄƒÈ›ile profesionale, organizarea muncii sau volumul de lucru) ÅŸi elaborarea È™i instituirea mÄƒsurilor de control al riscurilor; ï‚§ monitorizarea eficacitÄƒÈ›ii mÄƒsurilor de control al riscurilor; sunt efectuate în conformitate cu cerinÈ›ele relevante. În urma verificÄƒrii documentelor puse la dispoziÅ£ie de cÄƒtre gestionarul de infrastructurÄƒ feroviarÄƒ, comisia de investigare a constatat o serie de deficienÈ›e manifestate în elaborarea È™i aplicarea sistemului de management al siguranÈ›ei, deficienÈ›e ce sunt consemnate la cap. C.5.2. Sistemul de management al siguranÅ£ei. Având în vedere acest fapt, comisia de investigare considerÄƒ necesarÄƒ implementarea urmÄƒtoarei recomandÄƒri de siguranÈ›Äƒ: ï‚§ RC-CF TRANS SRL BraÅŸov, în calitate de gestionarul de infrastructurÄƒ feroviarÄƒ va revizui procedurile din cadrul sistemului de management al siguranÅ£ei, astfel încât, prin aplicarea acestora, sÄƒ garanteze cÄƒ activitÄƒÅ£ile legate de mentenanÅ£a liniilor, identificarea riscurilor asociate operaÈ›iunilor feroviare, elaborarea È™i instituirea mÄƒsurilor de control al riscurilor, precum ÅŸi monitorizarea eficacitÄƒÈ›ii mÄƒsurilor de control al riscurilor sunt efectuate în conformitate cu cerinÈ›ele relevante.</t>
  </si>
  <si>
    <t>RO-4045/1</t>
  </si>
  <si>
    <t>Before the accident, between the railway stations VoÅŸlÄƒbeni and Izvoru MureÅŸului, periodical ...</t>
  </si>
  <si>
    <t>Before the accident, between the railway stations VoÅŸlÄƒbeni and Izvoru MureÅŸului, periodical repairs with total screening were performed (with heavy track machines) during a period of time with important rainfalls and in a cloked track bed and with excessive humidity, leading to the twisting of the track over the accepted value of maximum 30 km/h and the derailment of a bogie of a wagon. In the special instructions drawn up by the infrastructure manager there are not stipulated preventive measures for the performance of works in these weather and land conditions. Taking into account the conclusions of the investigation commission, Romanian Railway recommands Romanian Railway Safety Authority to ask the inclusion of the special instructionsof the railway infrastructure administrator/manager, in accordance with the provisions of Instruction of norms and tolerances for the track construction and maintenance-lines with standard gauge no. 314/1989 of the preventive measures necessary to keep under control the risks afferent to this type of work, corresponding to the weathet and land conditions, characteristic for each working situation.</t>
  </si>
  <si>
    <t>RO-4045/2</t>
  </si>
  <si>
    <t>Anterior producerii accidentului, între Hm VoÅŸlÄƒbeni ÅŸi Hm Izvoru MureÅŸului au fost efectuate lucrÄƒri de reparaÅ£ie periodicÄƒ cu ciuruire integralÄƒ (cu maÅŸini grele de cale) într-o perioadÄƒ cu precipitaÅ£ii însemnate cantitativ ÅŸi într-o zonÄƒ de linie cu prisma de balast noroioasÄƒ ÅŸi cu umiditate în exces, având drept consecinÅ£Äƒ torsionarea cÄƒii peste valoarea admisÄƒ pentru viteza de maxim 30 km/h ÅŸi deraierea de un boghiu a unui vagon de marfÄƒ. În instrucÅ£iunile speciale întocmite de administratorul de infrastructurÄƒ feroviarÄƒ nu sunt prevÄƒzute mÄƒsuri preventive pentru efectuarea lucrÄƒrilor în aceste condiÅ£ii atmosferice ÅŸi de teren. Având în vedere concluziile comisiei de investigare a acestui accident feroviar, Organismul de Investigare Feroviar Român recomandÄƒ AutoritÄƒÅ£ii de SiguranÅ£Äƒ FeroviarÄƒ RomânÄƒ sÄƒ solicite includerea în instrucÅ£iunile speciale de lucru elaborate de cÄƒtre administratorul/gestionarul infrastructurii feroviare, în conformitate cu prevederile InstrucÅ£iei de norme ÅŸi toleranÅ£e pentru construcÅ£ii ÅŸi întreÅ£inerea cÄƒii-linii cu ecartament normal nr. 314/1989 a mÄƒsurilor preventive necesare Å£inerii sub control a riscurilor asociate acestui tip de lucrare, corespunzÄƒtoare condiÅ£iilor atmosferice ÅŸi de teren caracteristice fiecÄƒrei situaÅ£ii de lucru.</t>
  </si>
  <si>
    <t>RO-4187/1</t>
  </si>
  <si>
    <t>Taking in account those specified in Chapter C.8. Additional observations, the investigation ...</t>
  </si>
  <si>
    <t>Taking in account those specified in Chapter C.8. Additional observations, the investigation commission considers necessary to implement the following safety recommendations: ï€­ start by the public railway infrastructure manager CNCF "CFR" SA of the procedures for finalization of a new Romanian - Ukrainian border agreement, agreement which will be negotiated and signed by Romania and by the representatives of the Romanian Railway Safety Authority - ASFR and the Romanian Railway Investigating Body - OIFR. In the new border agreement will be introduced clear provisions, to establish that the railway staff involved in an accident/incident occurred between border railway stations or in border stations to allow the access at the rolling stock involved and to respond at the questions formulated by the authorized representatives of the State in which occurred the accident / incident.</t>
  </si>
  <si>
    <t>RO-4188/1</t>
  </si>
  <si>
    <t>Având în vedere concluziile din raportul de investigare al acestui accident feroviar, membrii ...</t>
  </si>
  <si>
    <t>Având în vedere concluziile din raportul de investigare al acestui accident feroviar, membrii comisiei de investigare solicitÄƒ AutoritÄƒÅ£ii de SiguranÅ£Äƒ FeroviarÄƒ RomânÄƒ ca administratorul / gestionarii de infrastructurÄƒ feroviarÄƒ sÄƒ aplice urmÄƒtoarea recomandare de siguranÅ£Äƒ: Realizarea unui proiect pilot, în cooperare cu Inspectoratul General al PoliÅ£iei Române, de monitorizare a unui numÄƒr semnificativ de treceri la nivel cu calea feratÄƒ (minim una pe fiecare SucursalÄƒ RegionalÄƒ de Cale FeratÄƒ, unde au avut loc accidente feroviare repetate) ale cÄƒrui rezultate sÄƒ fie utilizate la identificarea unor mÄƒsuri suplimentare de Å£inere sub control a riscurilor asociate trecerilor la nivel cu calea feratÄƒ, care sÄƒ fie transpuse în standardele ÅŸi normele naÈ›ionale.</t>
  </si>
  <si>
    <t>RO-4188/2</t>
  </si>
  <si>
    <t>Taking into acount the conclusions from the accident investigation report, the members of the investigation commission ask Romanian Railway Safety Authority that the railway infrastructure administrator / manager apply the next safety recommendations: The creation of the pilot project, in cooperation with Romanian General Police Inspectorate, for the monitor of an important number of level crossing (minim one for each Branch of the Railway County, where repeated railway accidents happened) whose results be used in the identification of some additional measures for the keeping under control the risks associated to the level crossing, that were transposed into the national norms.</t>
  </si>
  <si>
    <t>RO-4323/1</t>
  </si>
  <si>
    <t>The investigation emphasized that, in the regulation framework, which presents the overhaul track ...</t>
  </si>
  <si>
    <t>The investigation emphasized that, in the regulation framework, which presents the overhaul track repairs, respectively the Instruction for the performance of overhaul track repairs no.302/1986, there are no stipulations on the way to restore the road area at the level crossing, after each type of mechanical paking of sleepers and lateral displacement, performed from the begining of the works to the end of works for the paking of sleepers III and lateral displacement III, when this has to be made according to the standards. Lack of these stipulations can generate different interpretations of the work performers concerning the way to perform continuity of the carriageway of the road in the level crosing up to the end of overhaul track works. Taking into account these above mentioned, the investigation commission considers necessary to submit to Romanian Railway Safety Authority the recommendation that, together the railway public infrastructure manager CNCF â€žCFRâ€ SA establish the necessary measures for: â€¢ Revision of the Instruction for the performance of overhaul track repairs no.302/1986 and its suplement with provisions that make clear: - if for the level crossing submited to mechanical paking of sleepers and lateral displacement, the the restoration of the carriageway of the road is made by temporary technical solutions, after each paking of sleepers III and lateral displacement III, following that the final solution be carried out after the performance of the paking of sleepers III and lateral displacement III; - if the restoration of the carriageway of the road according to the standards (final solution) has to be made on the same day as the paking of sleepers III and lateral displacement III, or on the next day after the performance of these paking of sleeeprs and lateral displacement. â€¢ Inclusion of these stipulations in the technical documents that are drawn up for the performance of the overhaul track repairs.</t>
  </si>
  <si>
    <t>RO-4323/2</t>
  </si>
  <si>
    <t>AcÈ›iunea de investigare a scos în evidenÈ›Äƒ faptul cÄƒ, în cadrul de reglementare, care descrie lucrÄƒrile de reparaÈ›ie radicalÄƒ a liniei, respectiv în InstrucÅ£ia pentru executarea lucrÄƒrilor de reparaÈ›ie radicalÄƒ a liniei de cale feratÄƒ nr.302/1986, nu sunt precizÄƒri referitoare la modul în care trebuie refÄƒcutÄƒ zona carosabilÄƒ la trecerile la nivel, dupÄƒ fiecare tip de buraj È™i ripaj mecanizat al liniei executat de la începerea lucrÄƒrilor pânÄƒ la finalizarea lucrÄƒrilor de buraj III È™i ripaj III, când aceasta trebuie sÄƒ fie realizatÄƒ conform standardelor. Lipsa acestor precizÄƒri poate genera interpretÄƒri diferite ale executanÈ›ilor lucrÄƒrilor privind modul în care se executÄƒ continuitatea zonei carosabile a drumului în pasaje pânÄƒ la finalizarea lucrÄƒrilor de reparaÈ›ie radicalÄƒ a liniei. Având în vedere cele prezentate comisia de investigare considerÄƒ necesar a adresa AutoritÄƒÈ›ii de SiguranÈ›Äƒ FeroviarÄƒ RomânÄƒ recomandarea ca împreunÄƒ cu administratorul de infrastructurÄƒ feroviarÄƒ publicÄƒ CNCF â€žCFRâ€ SA sÄƒ dispunÄƒ mÄƒsurile necesare pentru: â€¢ Revizuirea InstrucÅ£iei pentru executarea lucrÄƒrilor de reparaÈ›ie radicalÄƒ a liniei de cale feratÄƒ nr.302/1986 È™i completarea acesteia cu precizÄƒri care sÄƒ clarifice: - dacÄƒ pentru trecerile la nivel pe care au fost executate lucrÄƒri de buraj È™i ripaj mecanizat al cÄƒii, refacerea zonei carosabile a drumului se face prin soluÈ›ii tehnice provizorii, dupÄƒ fiecare buraj È™i ripaj a liniei pânÄƒ la burajul III È™i ripajul III, urmând ca soluÈ›ia definitivÄƒ sÄƒ fie executatÄƒ dupÄƒ realizarea burajului III È™i a ripajului III; - dacÄƒ refacerea conform standardelor a zonei carosabile a drumului (soluÈ›ia definitivÄƒ) trebuie realizatÄƒ în aceeaÈ™i zi cu burajul III È™i ripajul III dupÄƒ executarea acestora, sau la o zi dupÄƒ executare acestor buraje È™i ripaje tehnologice. â€¢ Includerea acestor precizÄƒri în documentaÈ›iile tehnice care se întocmesc pentru executarea lucrÄƒrilor de reparaÈ›ie radicalÄƒ a liniilor de cale feratÄƒ.</t>
  </si>
  <si>
    <t>RO-4353/1</t>
  </si>
  <si>
    <t>1. Reanalysis of the staff number sizing from the district L6 BÄƒniÅ£a, by it relating to the ...</t>
  </si>
  <si>
    <t>1. Reanalysis of the staff number sizing from the district L6 BÄƒniÅ£a, by it relating to the provisions of the Instruction for the maintenance of the lines no. 300/1982.</t>
  </si>
  <si>
    <t>RO-4353/2</t>
  </si>
  <si>
    <t>1. Reanalizarea dimensionÄƒrii numÄƒrului de personal din cadrul districtului L6 BÄƒniÅ£a, prin raportarea acesteia la prevederile InstrucÅ£iei de întreÅ£inere a liniilor ferate nr. 300/1982.</t>
  </si>
  <si>
    <t>RO-4353/3</t>
  </si>
  <si>
    <t>2. Reanalysis of the technical endowments existing both in the Track Maintenance Section L9 Simeria, ...</t>
  </si>
  <si>
    <t>2. Reanalysis of the technical endowments existing both in the Track Maintenance Section L9 Simeria, and at the level of the Branch of the railway county TimiÅŸoara.</t>
  </si>
  <si>
    <t>RO-4353/4</t>
  </si>
  <si>
    <t>2. Reanalizarea dotÄƒrii tehnice existentÄƒ atât la nivelul SecÅ£iei de întreÅ£inere linii L9 Simeria, cât ÅŸi la nivelul Sucursalei de CÄƒi Ferate TimiÅŸoara.</t>
  </si>
  <si>
    <t>RO-4353/5</t>
  </si>
  <si>
    <t>3. Reanalysis of the regulation framework applicable for the intermediary technical inspections made ...</t>
  </si>
  <si>
    <t>3. Reanalysis of the regulation framework applicable for the intermediary technical inspections made at the wagons and the introduction of some provisions on the compulsoriness to perform the disassembling and lifting of wagons, including for the wagons with disc-wheels and tyres.</t>
  </si>
  <si>
    <t>RO-4353/6</t>
  </si>
  <si>
    <t>3. Reanalizarea cadrului de reglementare aplicabil în cazul reviziilor tehnice intermediare efectuate la vagoanele de marfÄƒ ÅŸi introducerea unor prevederi referitoare la obligativitatea executÄƒrii lucrÄƒrilor de dezlegare È™i ridicare a vagoanelor, inclusiv pentru vagoanele dotate cu osii cu roÈ›i disc È™i bandaje.</t>
  </si>
  <si>
    <t>RO-0015/1</t>
  </si>
  <si>
    <t>1. Elaborarea de prevederi privind modul de manipulare a mufei de regim, în conÈ›inutul InstrucÅ£iei ...</t>
  </si>
  <si>
    <t>1. Elaborarea de prevederi privind modul de manipulare a mufei de regim, în conÈ›inutul InstrucÅ£iei de Exploatare a locomotivei diesel hidraulice 580 CP remotorizatÄƒ cu motor Diesel Cummins QSX15, în forma de Power Pack;</t>
  </si>
  <si>
    <t>RO-0015/2</t>
  </si>
  <si>
    <t>1. Issuing of provisions on the operation of the condition coupling, in the Instruction for the Operation of diesel-hydraulic locomotives 580 HP, remotorized with engine Diesel Cummins QSX15,in form Power Pack;</t>
  </si>
  <si>
    <t>RO-0015/3</t>
  </si>
  <si>
    <t>2. Elaborarea unei proceduri de implementare a cerinÅ£elor menÅ£ionate în Regulamentul (UE) ...</t>
  </si>
  <si>
    <t>2. Elaborarea unei proceduri de implementare a cerinÅ£elor menÅ£ionate în Regulamentul (UE) nr.1158/2010 referitoare la identificarea riscurilor asociate operaÅ£iunilor feroviare, inclusiv cele care rezultÄƒ direct din activitÄƒÅ£ile profesionale, organizarea muncii sau volumul de lucru ÅŸi activitÄƒÅ£ile altor organizaÅ£ii ÅŸi/sau persoane;</t>
  </si>
  <si>
    <t>RO-0015/4</t>
  </si>
  <si>
    <t>2. Drawing up of a procedure for the implementation of the requirements stipulated in the Regulations (UE) no.1158/2010 on the identification of the risks associated to the railway operations, including those resulted directly from the professional activities, organization of the work or the workload and the activities of other organizations and/or persons;</t>
  </si>
  <si>
    <t>RO-4609/1</t>
  </si>
  <si>
    <t>AÅŸa cum este menÅ£ionat la cap. C.5.2. Sistemul de management al siguranÅ£ei, comisia de ...</t>
  </si>
  <si>
    <t>AÅŸa cum este menÅ£ionat la cap. C.5.2. Sistemul de management al siguranÅ£ei, comisia de investigare considerÄƒ cÄƒ nerespectarea documentelor asociate Procedurilor elaborate, parte a sistemului de management al siguranÅ£ei al S.C. RC - CF Trans S.R.L. BraÅŸov, identificate ca ÅŸi cauze primare în producerea accidentului, a condus la o mentenanÅ£a ÅŸi exploatare necorespunzÄƒtoare a infrastructurii cÄƒii în zona producerii deraierii. În contextul celor prezentate, pentru îmbunÄƒtÄƒÅ£irea siguranÅ£ei feroviare, comisia de investigare considerÄƒ necesarÄƒ emiterea unei recomandÄƒri de siguranÈ›Äƒ cÄƒtre Autoritatea de SiguranÅ£Äƒ FeroviarÄƒ RomânÄƒ în sensul cÄƒ aceasta trebuie sÄƒ se asigure, cÄƒ administratorul/gestionarii de infrastructurÄƒ feroviarÄƒ respectÄƒ întru totul prevederile din codurile de bunÄƒ practicÄƒ, ce sunt parte a documentelor sistemului de management al siguranÈ›ei, referitoare la mentenenÈ›a infrastructurii feroviare.</t>
  </si>
  <si>
    <t>RO-4609/2</t>
  </si>
  <si>
    <t>As mentioned in chapter C.5.2. â€˜â€™Safety management systemâ€™â€™, the investigating commission concludes that failure to comply with procedures, partly of the safety management system S.C. RC - CF Trans S.R.L. BraÅŸov, are identified as root causes in the accident that led to an inadequate infrastructure maintenance and operation of the track in the derailment production. In this context, to improve railway safety investigation committee, the Romanian Railway Safety Authority should issue a safety recommendation to ensure that the administrator/rail infrastructure managers fully respects the provisions of the code of good practice, which is part of the safety management system documents related to railway infrastructure maintenance.</t>
  </si>
  <si>
    <t>RO-4630/1</t>
  </si>
  <si>
    <t>În cazul accidentului produs în circulaÅ£ia trenului de marfÄƒ nr.80386 s-a constatat cÄƒ ruperea foii ...</t>
  </si>
  <si>
    <t>În cazul accidentului produs în circulaÅ£ia trenului de marfÄƒ nr.80386 s-a constatat cÄƒ ruperea foii principale a arcului de suspensie, corespunzÄƒtor cutiei de osiei nr.2, a vagonului nr.84537850017-5 s-a produs la obosealÄƒ, pe fondul unui tratament termic necorespunzÄƒtor, în condiÅ£iile existenÈ›ei pe feÈ›ele foii principale a arcului de suspensie a concentratorilor de tensiune proveniÈ›i din rugozitatea grosolanÄƒ a suprafeÈ›ei, precum ÅŸi din cavitÄƒÈ›ile de coroziune ce au avansat în material È™i au condus, în timp, la apariÈ›ia unor reÈ›ele de fisuri de obosealÄƒ. ReÈ›elele de fisuri de obosealÄƒ ar fi putut fi identificate în condiÅ£iile în care, cadrul de reglementare ar fi prevÄƒzut ca efectuarea verificÄƒrii arcurilor pentru suspensiile boghiurilor tip H în zonele greu accesibile ale acestora, sÄƒ se efectueze la intervale de timp astfel determinate, încât apariÈ›ia fisurilor în aceste zone sÄƒ fie identificatÄƒ din timp astfel încât ruperea arcurilor sÄƒ fie împiedicatÄƒ. Având în vedere cele menÈ›ionate, comisia de investigare considerÄƒ necesarÄƒ emiterea unei recomandÄƒri de siguranÈ›Äƒ cÄƒtre Autoritatea de SiguranÈ›Äƒ FeroviarÄƒ RomânÄƒ â€“ ASFR în sensul ca aceasta sÄƒ se asigure cÄƒ Sistemul de Management al SiguranÈ›ei al operatorilor de transport feroviar de marfÄƒ conÈ›ine suficiente mÄƒsuri pentru È›inerea sub control a riscurilor manifestate prin defectarea componentelor suspensiilor vagoanelor cu boghiuri tip H.</t>
  </si>
  <si>
    <t>RO-4630/2</t>
  </si>
  <si>
    <t>With reference to the accident happened in the running of the freight train no.80386, one found out that the breaking of the main leaf of the suspension spring, corresponding to the axle box no.2, of the wagon no.84537850017-5, happened because the fatigue, in the conditions of an unsuitable thermal treatment, exiting on the faces of the main leaf of the suspension spring pressure concentrators, resulted from the serious roughness of the surface, as well as from the corrosion cavities that increased in the material and led, during the time, at the appearance of some fatigue crack networks. The fatigue crack networks could be identified if the regulation framework had stipulated that the performance of the inspections of the spring for the suspension of the bogies type H in their inaccessible areas, be made at periods of time, thus determined that the appearance of cracks in these areas be identified soon, so the spring breaking be avoided. Taking into account these above mentioned, the investigation commission considers necessary the issuing of a safety recommendation for Romanian Railway Safety Authority â€“ ASFR, that is it be sure that the Safety Management System of the railway freight undertakings contains enough measures for keeping under control the risks consisting in the failure of the parts of the suspensions from the wagons with bogies type H.</t>
  </si>
  <si>
    <t>RO-4710/1</t>
  </si>
  <si>
    <t>Following the analysis of the activities performed by the railway freight undertaking involved in ...</t>
  </si>
  <si>
    <t>Following the analysis of the activities performed by the railway freight undertaking involved in the accident resulted that there was not an enough attention for the identification and application of the measures for the keeping under control of the risks associated to the railway operations, for the locomotives that exceeded the time and km limits for the scheduled repair. Accordingly, the locomotive DA 1086 was kept in running, even if the time and km limits for the scheduled repair were exceeded. From technical point of view, the investigation emphasized that the electric signalling systems and protection against short-circuit, wich equip the locomotive, are not designed to signal, to start and ensure the necessary ptotection, in case of a short-citcuit at the conductor that generated the fire. From the maintenance point of view, the investigation emphasized, that, as for the conductor that generated the fire, the most probable, it was never replaced from the manufacturing of the locomotive DA 1086, the age of the cable being 38 years at the moment of the accident occurrence. The connection cable between the batteries no.6 ÅŸi no.7 does not allow the usual technical inspections, because its place is inside a metallic tube for protection. With the reference to the repeatability of the fires, the investigation commission underlines that a fire happened in the same conditions as in 2011 at the locomotive DA 966, also at the connection cable between the batteries no.6 ÅŸi no.7. În that case, the age of the cable was the most probable 37 years. Following these above mentioned, the investigation commission concluded that there are system risks of fire at all the locomotives of this type at which the age of the cable exceeds â€žthe working timeâ€ of the locomotive, as it results from Railway normative N.F. 67-006:2011 "Railway vehicles. Types of scheduled inspections and repairs. Time or km limits for the performance of the scheduled inspections and repairs". Taking into account these issues, the investigation commission issues the next recommendations, addressed to Romanian Railway Safety Authority - ASFR, for the identification of the measures that have to be taken or scheduled as result, as follows: 1. Inclusion in the classifications of scheduled repairs/inspections at the locomotives LDE 2100 hp, of some provisions of preventive replacement of the electric cable for the connection of the batteries no.6 and no.7.</t>
  </si>
  <si>
    <t>RO-4710/2</t>
  </si>
  <si>
    <t>În urma analizÄƒrii activitÄƒÈ›ilor care au fost desfÄƒÈ™urate de cÄƒtre operatorul de transport feroviar de marfÄƒ implicat în producerea accidentului, a rezultat cÄƒ nu a existat o preocupare suficientÄƒ privind identificarea ÅŸi aplicarea mÄƒsurilor pentru È›inerea sub control a riscurilor asociate operaÈ›iunilor feroviare, pentru cazul locomotivelor la care au fost depÄƒÅŸite normele de timp sau kilometri pentru reparaÅ£ia planificatÄƒ. În consecinÅ£Äƒ, locomotiva DA 1086 era lÄƒsatÄƒ în circulaÅ£ie, chiar dacÄƒ erau depÄƒÅŸite normele de timp sau kilometri pentru reparaÅ£ia planificatÄƒ. Din punct de vedere tehnic, investigarea a reliefat cÄƒ sistemele electrice de semnalizare ÅŸi protecÅ£ie la scurtcircuit (punere la masÄƒ) cu care este dotatÄƒ din construcÅ£ie locomotiva, nu sunt proiectate ca sÄƒ semnalizeze, sÄƒ se declanÅŸeze ÅŸi sÄƒ asigure protecÅ£ia necesarÄƒ, în cazul unui scurtcircuit la conductorul electric care a provocat incendiul. Din punct de vedere al mentenanÅ£ei, investigarea a relevat cÄƒ în cazul conductorului electric care a provocat incendiul, cel mai probabil acesta nu a fost înlocuit niciodatÄƒ de la construirea locomotivei DA 1086, vechimea cablului fiind de 38 de ani la data producerii incendiului. Cablul de înseriere dintre bateriile de acumulatori nr.6 ÅŸi nr.7 nu este accesibil pentru verificÄƒrile tehnice uzuale, din cauzÄƒ cÄƒ este poziÅ£ionat în interiorul unei Å£evi metalice de protecÅ£ie. În ceea ce priveÅŸte repetabilitatea incendiilor, comisia de investigare subliniazÄƒ cÄƒ s-a produs un incendiu în condiÅ£ii identice în anul 2011 la locomotiva DA 966, tot la cablul de înseriere dintre bateriile nr.6 ÅŸi nr.7. În acel caz, vechimea cablului era cel mai probabil de 37 de ani. Din aceastÄƒ perspectivÄƒ, comisia de investigare a concluzionat cÄƒ existÄƒ riscuri sistemice de incendiu la toate locomotivele de acest tip la care vechimea cablului depÄƒÅŸeÅŸte â€ždurata de serviciuâ€ a locomotivei, aÅŸa cum reiese din Normativului feroviar N.F. 67-006:2011 "Vehicule de cale feratÄƒ. Tipuri de revizii ÅŸi reparaÅ£ii planificate. Normele de timp sau normele de kilometri parcurÅŸi pentru efectuarea reviziilor ÅŸi reparaÅ£iilor planificate". Având în vedere aceste aspecte, comisia de investigare emite urmÄƒtoarele recomandÄƒri, pe care le adreseazÄƒ AutoritÄƒÈ›ii de SiguranÈ›Äƒ FeroviarÄƒ RomânÄƒ, pentru identificarea mÄƒsurilor care trebuiesc luate sau planificate drept consecinÈ›Äƒ, dupÄƒ cum urmeazÄƒ: 1. Includerea în nomenclatoarele de reparaÅ£ii/revizii planificate de la locomotivele LDE 2100 cp, a unor prevederi de înlocuire preventivÄƒ a cablului electric de înseriere dintre bateriile de acumulatori nr.6 ÅŸi nr.7.</t>
  </si>
  <si>
    <t>RO-4710/3</t>
  </si>
  <si>
    <t>Following the analysis of the activities performed by the railway freight undertaking involved in the accident resulted that there was not an enough attention for the identification and application of the measures for the keeping under control of the risks associated to the railway operations, for the locomotives that exceeded the time and km limits for the scheduled repair. Accordingly, the locomotive DA 1086 was kept in running, even if the time and km limits for the scheduled repair were exceeded. From technical point of view, the investigation emphasized that the electric signalling systems and protection against short-circuit, wich equip the locomotive, are not designed to signal, to start and ensure the necessary ptotection, in case of a short-citcuit at the conductor that generated the fire. From the maintenance point of view, the investigation emphasized, that, as for the conductor that generated the fire, the most probable, it was never replaced from the manufacturing of the locomotive DA 1086, the age of the cable being 38 years at the moment of the accident occurrence. The connection cable between the batteries no.6 ÅŸi no.7 does not allow the usual technical inspections, because its place is inside a metallic tube for protection. With the reference to the repeatability of the fires, the investigation commission underlines that a fire happened in the same conditions as in 2011 at the locomotive DA 966, also at the connection cable between the batteries no.6 ÅŸi no.7. În that case, the age of the cable was the most probable 37 years. Following these above mentioned, the investigation commission concluded that there are system risks of fire at all the locomotives of this type at which the age of the cable exceeds â€žthe working timeâ€ of the locomotive, as it results from Railway normative N.F. 67-006:2011 "Railway vehicles. Types of scheduled inspections and repairs. Time or km limits for the performance of the scheduled inspections and repairs". Taking into account these issues, the investigation commission issues the next recommendations, addressed to Romanian Railway Safety Authority - ASFR, for the identification of the measures that have to be taken or scheduled as result, as follows: 2. Inclusion in the audits performed by ASFR, of the analysis of the control of the fire risks at the locomotives LDE 2100 hp.</t>
  </si>
  <si>
    <t>RO-4710/4</t>
  </si>
  <si>
    <t>În urma analizÄƒrii activitÄƒÈ›ilor care au fost desfÄƒÈ™urate de cÄƒtre operatorul de transport feroviar de marfÄƒ implicat în producerea accidentului, a rezultat cÄƒ nu a existat o preocupare suficientÄƒ privind identificarea ÅŸi aplicarea mÄƒsurilor pentru È›inerea sub control a riscurilor asociate operaÈ›iunilor feroviare, pentru cazul locomotivelor la care au fost depÄƒÅŸite normele de timp sau kilometri pentru reparaÅ£ia planificatÄƒ. În consecinÅ£Äƒ, locomotiva DA 1086 era lÄƒsatÄƒ în circulaÅ£ie, chiar dacÄƒ erau depÄƒÅŸite normele de timp sau kilometri pentru reparaÅ£ia planificatÄƒ. Din punct de vedere tehnic, investigarea a reliefat cÄƒ sistemele electrice de semnalizare ÅŸi protecÅ£ie la scurtcircuit (punere la masÄƒ) cu care este dotatÄƒ din construcÅ£ie locomotiva, nu sunt proiectate ca sÄƒ semnalizeze, sÄƒ se declanÅŸeze ÅŸi sÄƒ asigure protecÅ£ia necesarÄƒ, în cazul unui scurtcircuit la conductorul electric care a provocat incendiul. Din punct de vedere al mentenanÅ£ei, investigarea a relevat cÄƒ în cazul conductorului electric care a provocat incendiul, cel mai probabil acesta nu a fost înlocuit niciodatÄƒ de la construirea locomotivei DA 1086, vechimea cablului fiind de 38 de ani la data producerii incendiului. Cablul de înseriere dintre bateriile de acumulatori nr.6 ÅŸi nr.7 nu este accesibil pentru verificÄƒrile tehnice uzuale, din cauzÄƒ cÄƒ este poziÅ£ionat în interiorul unei Å£evi metalice de protecÅ£ie. În ceea ce priveÅŸte repetabilitatea incendiilor, comisia de investigare subliniazÄƒ cÄƒ s-a produs un incendiu în condiÅ£ii identice în anul 2011 la locomotiva DA 966, tot la cablul de înseriere dintre bateriile nr.6 ÅŸi nr.7. În acel caz, vechimea cablului era cel mai probabil de 37 de ani. Din aceastÄƒ perspectivÄƒ, comisia de investigare a concluzionat cÄƒ existÄƒ riscuri sistemice de incendiu la toate locomotivele de acest tip la care vechimea cablului depÄƒÅŸeÅŸte â€ždurata de serviciuâ€ a locomotivei, aÅŸa cum reiese din Normativului feroviar N.F. 67-006:2011 "Vehicule de cale feratÄƒ. Tipuri de revizii ÅŸi reparaÅ£ii planificate. Normele de timp sau normele de kilometri parcurÅŸi pentru efectuarea reviziilor ÅŸi reparaÅ£iilor planificate". Având în vedere aceste aspecte, comisia de investigare emite urmÄƒtoarele recomandÄƒri, pe care le adreseazÄƒ AutoritÄƒÈ›ii de SiguranÈ›Äƒ FeroviarÄƒ RomânÄƒ, pentru identificarea mÄƒsurilor care trebuiesc luate sau planificate drept consecinÈ›Äƒ, dupÄƒ cum urmeazÄƒ: 2. Includerea în cadrul acÈ›iunilor de audit desfÄƒÈ™urate de ASFR, a analizei modului de È›inere sub control a riscurilor de producere a incendiilor la locomotivele LDE 2100 cp.</t>
  </si>
  <si>
    <t>RO-4719/1</t>
  </si>
  <si>
    <t>În urma verificÄƒrii documentelor puse la dispoziÅ£ie de cÄƒtre gestionar de infrastructurÄƒ feroviarÄƒ, ...</t>
  </si>
  <si>
    <t>În urma verificÄƒrii documentelor puse la dispoziÅ£ie de cÄƒtre gestionar de infrastructurÄƒ feroviarÄƒ, comisia de investigare a constatat o serie de deficienÅ£e manifestate în elaborarea ÅŸi aplicarea sistemului de management al siguranÅ£ei, deficienÅ£e ce sunt consemnate la cap.C.5.2. Sistemul de management al siguranÅ£ei. Având în vedere cele menÅ£ionate, comisia de investigare considerÄƒ necesarÄƒ emiterea urmÄƒtoarei recomandÄƒri de siguranÅ£Äƒ adresate AutoritÄƒÅ£ii de SiguranÅ£Äƒ FeroviarÄƒ RomânÄƒ â€“ ASFR: ï‚§ RC- CF TRANS SRL BraÅŸov, în calitate de gestionarul de infrastructurÄƒ feroviarÄƒ va revizui procedurile din cadrul sistemului de management al siguranÅ£ei, astfel încât, prin aplicarea acestora, sÄƒ garanteze cÄƒ activitÄƒÅ£ile legate de mentenanÅ£a liniilor, identificarea riscurilor asociate operaÅ£iunilor feroviare, elaborarea ÅŸi instituirea mÄƒsurilor de control al riscurilor, precum ÅŸi monitorizarea eficacitÄƒÅ£ii mÄƒsurilor de control al riscurilor sunt efectuate în conformitate cu cerinÅ£ele relevante.</t>
  </si>
  <si>
    <t>RO-4719/2</t>
  </si>
  <si>
    <t>Following the checking of the documents submitted by the railway infrastructure manager, the investigation commission found out a series of deficiencies in the working out and application of the safety management system, written down in the chapter C.5.2. Safety management system Taking into account these above mentioned, the investigation commission considers necessary to issue the next safety recommendation for Romanian Railway Safety Authority â€“ ASFR: ï‚§ RC- CF TRANS SRL BraÅŸov, as railway infrastructure manager shall reviewed the procedures of the safety management system, such that, through their application, give assurances that the activities for the track maintenance, identification of the risks associated to the railway operations, working out and establishment of the measures for the risk control, as well as monitoring of the efficiency of the measures for the risk control are made according to the relevant requirements.</t>
  </si>
  <si>
    <t>RO-4723/1</t>
  </si>
  <si>
    <t>Având în vedere deficienÈ›ele manifestate în elaborarea È™i aplicarea sistemului de management al ...</t>
  </si>
  <si>
    <t>Având în vedere deficienÈ›ele manifestate în elaborarea È™i aplicarea sistemului de management al siguranÈ›ei, consemnate la cap. C.5.2. Sistemul de management al siguranÅ£ei, comisia de investigare considerÄƒ necesarÄƒ emiterea unei recomandÄƒri de siguranÈ›Äƒ cÄƒtre ASFR de a solicita RC- CF TRANS SRL BraÅŸov, ca în calitate de gestionar de infrastructurÄƒ feroviarÄƒ, sÄƒ revizuiascÄƒ procedurile din cadrul sistemului de management al siguranÅ£ei, astfel încât prin aplicarea acestora, sÄƒ garanteze cÄƒ activitÄƒÅ£ile legate de mentenanÅ£a liniilor, identificarea riscurilor asociate operaÈ›iunilor feroviare, elaborarea È™i instituirea mÄƒsurilor de control al riscurilor, precum ÅŸi monitorizarea eficacitÄƒÈ›ii mÄƒsurilor de control al riscurilor sunt efectuate în conformitate cu cerinÈ›ele relevante.</t>
  </si>
  <si>
    <t>RO-4723/2</t>
  </si>
  <si>
    <t>Safety recommendations Taking into account the deficiencies in the working out and application of the safety management system, written down in the chapter C.5.2. Safety management system, the investigation commission considers necessary the issuing of a safety recommendation to Romanian Railway Safety Authority to ask RC- CF TRANS SRL BraÅŸov, as railway infrastructure manager, to revise the procedures of the safety management system, so through their application, being guaranted the fact that the legal activities for the line maintenance, identification of the risks associated to the railway operations, working out and establishment of the measures for the risk control, as well as the monitoring of the efficiency of the measures for the risk, are made in accordance with the relevent requirements.</t>
  </si>
  <si>
    <t>RO-4730/1</t>
  </si>
  <si>
    <t>Având în vedere cele menÅ£ionate, comisia de investigare recomandÄƒ AutoritÄƒÈ›ii de SiguranÈ›Äƒ FeroviarÄƒ ...</t>
  </si>
  <si>
    <t>Având în vedere cele menÅ£ionate, comisia de investigare recomandÄƒ AutoritÄƒÈ›ii de SiguranÈ›Äƒ FeroviarÄƒ RomânÄƒ â€“ ASFR sÄƒ se asigure cÄƒ: 1. furnizorul de servicii feroviare critice SC ,,CFR-SCRL BraÅŸovâ€ SA, va revizui documentul de referinÈ›Äƒ utilizat la reviziile planificate efectuate la automotoare seria 700-900-1000, astfel încât acesta sÄƒ fie pus în concordanÅ£Äƒ cu dispoziÅ£iile ÅŸi reglementÄƒrile existente referitoare la controlul ultrasonic al osiilor de automotoare. În acest sens documentul de referinÈ›Äƒ va conÅ£ine prevederi clare referitoare la periodicitatea ÅŸi locul unde se efectueazÄƒ controlul ultrasonic al acestor osii.</t>
  </si>
  <si>
    <t>RO-4730/2</t>
  </si>
  <si>
    <t>Taking into account these above mentioned, the investigation commission recommends Romanian Railway Safeyty Authority â€“ ASFR to ensure that: 1. The supplier of the railway critical services SC ,,CFR-SCRL BraÅŸovâ€ SA shall revise the reference document used for the planned inspections made at the diesel multiple units series 700-900-1000, so it be put in line with the provisions and regulations existing for the ultrasonic inspection of the axles of the diesel multiple units. In this respect, the reference document shall contain clear provisions on the periodicity and place where the ultrasonic inspection of these axles is made.</t>
  </si>
  <si>
    <t>RO-4730/3</t>
  </si>
  <si>
    <t>Având în vedere cele menÅ£ionate, comisia de investigare recomandÄƒ AutoritÄƒÈ›ii de SiguranÈ›Äƒ FeroviarÄƒ RomânÄƒ â€“ ASFR sÄƒ se asigure cÄƒ: 2. cadrul de reglementare aplicabil activitÄƒÅ£ilor de revizii/reparaÅ£ii automotoare are prevederi suficiente pentru a garanta cÄƒ: ï‚§ operatorii economici ce furnizeazÄƒ acest tip de servicii utilizeazÄƒ dotarea tehnicÄƒ necesarÄƒ pentru realizarea tuturor lucrÄƒrilor prevÄƒzute în documentele de referinÅ£Äƒ aplicabile; ï‚§ supravegherea acestor operatori economici este una eficientÄƒ.</t>
  </si>
  <si>
    <t>RO-4730/4</t>
  </si>
  <si>
    <t>2. The regulation framework applicable to the activities of inspection/repair at the diesel multiple units has enough provisions in order to guarantee that: ï‚§ Economic operators that supply this type of services use the technical equipment necessary to perform all the activities stipulated in the applicable reference documents; ï‚§ Monitoring of these economic operators is an efficient one.</t>
  </si>
  <si>
    <t>RO-4765/1</t>
  </si>
  <si>
    <t>Anterior producerii acestui accident feroviar, în staÅ£ia CFR Agigea au fost efectuate lucrÄƒri de ...</t>
  </si>
  <si>
    <t>Anterior producerii acestui accident feroviar, în staÅ£ia CFR Agigea au fost efectuate lucrÄƒri de reparaÅ£ie periodicÄƒ cu ciuruire integralÄƒ (RPc) cu maÅŸini grele de cale Plasser&amp;Theurer pe schimbÄƒtoarele de cale din capÄƒtul X al staÈ›iei CFR Agigea Nord. În urma investigÄƒrii accidentului, comisia de investigare a constatat faptul cÄƒ, Dosarul de Organizare a acestor lucrÄƒri a fost întocmit fÄƒrÄƒ respectarea prevederilor art.3 din DispoziÅ£ia CNCF â€žCFRâ€ SA nr.12/2000, articol conform cÄƒruia, ,,cu ocazia lucrÄƒrilor de RPc ÅŸi buraj mecanizat, pe zona aparatelor de cale, se va avea în vedere aducerea liniilor vecine la aceeaÅŸi cotÄƒ, astfel încât diagonalele aferente sÄƒ fie în acelaÅŸi planâ€. Astfel, zona pe care urmau sÄƒ fie executate lucrÄƒrile de RPc a fost stabilitÄƒ greÅŸit, fÄƒrÄƒ a cuprinde ÅŸi zona schimbÄƒtorului de cale nr. 19 (diagonala 15-19 în totalitate). De asemenea, comisia de constatat faptul cÄƒ, cu ocazia lucrÄƒrilor de RPc nu au fost respectate prevederile din Dosarul de organizare al lucrÄƒrilor de RPc executate în caputul X al staÅ£iei CFR Agigea Nord referitoare la: ï‚§ reperarea pe teren a parametrilor geometrici proiectaÅ£i ai cÄƒii înainte ÅŸi dupÄƒ terminarea lucrÄƒrilor; ï‚§ mÄƒsurarea zilnicÄƒ a ecartamentului, nivelului transversal din 2,5 m în 2,5 m ÅŸi a sÄƒgeÅ£ilor pe porÅ£iunea de linie cu restricÅ£ie de vitezÄƒ de 30 km/h; ï‚§ supravegherea zilnicÄƒ a liniei între burajul I ÅŸi burajul III ÅŸi intervenÅ£ia în situaÅ£ia în care apar deformaÅ£ii în afara toleranÅ£elor admise în exploatare. În contextul celor prezentate, pentru îmbunÄƒtÄƒÈ›irea siguranÈ›ei feroviare, comisia de investigare considerÄƒ necesarÄƒ emiterea urmÄƒtoarei recomandÄƒri de siguranÈ›Äƒ: 1. Autoritatea de SiguranÈ›Äƒ FeroviarÄƒ RomânÄƒ va solicita CNCF â€œCFRâ€ SA ca, în calitatea sa de administrator al infrastructurii feroviare publice, în cadrul procesului de management al siguranÅ£ei, sÄƒ-ÅŸi reanalizeze procesul de pregÄƒtire a lucrÄƒrilor de reparaÅ£ie curentÄƒ a liniilor ÅŸi sÄƒ îÅŸi stabileascÄƒ mÄƒsurile de siguranÅ£Äƒ ce trebuiesc implementate pentru a se asigura cÄƒ, în cadrul acestui proces, întocmirea documentaÅ£iei necesare pentru acest tip de lucrÄƒri se face Å£inând cont de toate reglementÄƒrile specifice în vigoare pentru acest tip de lucrÄƒri.</t>
  </si>
  <si>
    <t>RO-4765/2</t>
  </si>
  <si>
    <t>Before the railway accident, in the railway station Agigea, periodical repairs with complete screening were performed (RPc), with heavy vehicles Plasser&amp;Theurer on the switches from the end X of the railway station Agigea Nord. Following the accident investigation, the investigation commission found out that, the File for the Organization of these works was not made with the compliance with the provisions of art. 3 from the Disposal of CNCF â€žCFRâ€ SA no.12/2000, according which ,,during the works for periodical repair and mechanic packing of sleepers, in the switches area, one will take into account to take the close lines at the same quota, so the afferent crosses-over be in the same planeâ€. So, the area where the periodical repairs had to be done was incorrect established, without included also the switch no.19 (cross-over 15-19 completely). The commission found also out that, during the periodical repair works, the provisions of the File for the Periodical Repair Organization, end X of the railway station Agigea Nord were not met with, concerning: ï‚§ repair on site of the designed geometric parameters of the track, before and after the work finish; ï‚§ daily measurement of the gauge, of the cross level from 2,5 m in 2,5 m and of the deflections on the line with speed restriction of 30 km/h; ï‚§ daily monitoring of the line beween packing of sleepers I and packing of sleepers III and intervention if track distortions appeare over the tolerances accepted in operation. Taking into account these above mentioned, for the improvement of the railway safety, the investigation commission considers necessary to issue the next safety recommendations: 1.Romanian Railway Safety Authority shall ask CNCF â€œCFRâ€ SA as railway public infrastructure manager, within the process of safety management, to analyze again the process for the preparation of the current repairs of the lines and to establish the safety measures that have to be implemented in order to ensure that, within this process, the drawing up of the documentation necessary for this type of works is done taking into account all the specific regulations in force for these type of works.</t>
  </si>
  <si>
    <t>RO-4772/1</t>
  </si>
  <si>
    <t>În cazul accidentului feroviar produs în circulaÅ£ia trenului de marfÄƒ nr.21716 s-a constatat cÄƒ în ...</t>
  </si>
  <si>
    <t>În cazul accidentului feroviar produs în circulaÅ£ia trenului de marfÄƒ nr.21716 s-a constatat cÄƒ în cadrul reviziilor planificate nu au fost verificate circuitele de alimentare ale releului de protecÅ£ie 76 în condiÅ£iile în care nu existÄƒ proceduri referitoare la modul în care trebuie efectuate aceste verificÄƒri pentru locomotive dotate cu SREC â€“ servoregulator electronic de câmp ÅŸi AMRI â€“ aparat de monitorizare a rezistenÅ£ei de izolaÅ£ie. Având în vedere cele menÅ£ionate, comisia de investigare recomandÄƒ AutoritÄƒÈ›ii de SiguranÈ›Äƒ FeroviarÄƒ RomânÄƒ â€“ ASFR sÄƒ se asigure cÄƒ: ï‚§ furnizorul de servicii feroviare critice SC IRLU â€žCFR IRLUâ€ SA, va lua masurile necesare pentru evitarea punerii în exploatare a locomotivelor fÄƒrÄƒ verificarea în prealabil a circuitelor de alimentare a releului de protecÅ£ie 76; ï‚§ întrucât aparatele SREC ÅŸi AMRI nu au sisteme redundante pentru acÅ£ionarea releului de protecÅ£ie nr.76, SNTFM â€CFR_MARFÄ‚â€ SA va lua mÄƒsuri pentru asigurarea funcÅ£ionÄƒrii protecÅ£iilor sau semnalizÄƒrii în timp real a defectÄƒrii acestora.</t>
  </si>
  <si>
    <t>RO-4772/2</t>
  </si>
  <si>
    <t>With reference to the accident happened in the running of the freight train no.21716, one found out that within the planned inspections, the power supply circuits of the protective relay 76 were not inspected, provided that there are no procedures on the way to perform these inspections for the locomotives equipped with SREC â€“ field electronic controller and AMRI â€“ device for the monitoring of the di-electric strength. Taking into account these above mentioned, the investigation commission recommends Romanian Railway Safety Authority â€“ ASFR to assure that: ï‚§ the supplier of the railway critical services SC IRLU â€žCFR IRLUâ€ SA shall take the necessary measures in order to avoid the put in service the locomotives without inspection in advance of the power supply relay of the protective relay 76; ï‚§ because the devices SREC and AMRI have no redundancy systems for the operation of the protective relay no.76, SNTFM â€CFR_MARFÄ‚â€ SA shall take measures for assuring the working of the protections or signalling in real time of its failure.</t>
  </si>
  <si>
    <t>RO-4776/1</t>
  </si>
  <si>
    <t>Upon the legal framework that regulates the training and authorization of the staff that operate the ...</t>
  </si>
  <si>
    <t>Upon the legal framework that regulates the training and authorization of the staff that operate the traffic safety equipments, applied by the entities responsible with the implementation of its provisions, both from the documents submitted to the investigation commission and from the discussions with the decision makers from Companiei NaÅ£ionale de CÄƒi Ferate â€žCFRâ€ S.A, resulted that the dissemination and application of the Decision no.86 of CENAFER general manager that approves â€žconditions and minimum terms for practical training and probation for authorizationâ€, led to their wrong interpretations and confusions, it being considers by the investigation commission as dangerous and unacceptable in the railway safety. In order to avoid the reccurence of such situations, the investigation commission recommends Romanian Railway Safety Authority â€“ ASFR to revise the legal framework for the authorization of the staff with responsabilities in traffic safety, responsible with the operation of some types of traffic safety equipmentts, so it be clear, suitable and uninterpretable.</t>
  </si>
  <si>
    <t>RO-4776/2</t>
  </si>
  <si>
    <t>Din consultarea cadrului legislativ care reglementeazÄƒ instruirea ÅŸi autorizarea personalului care deserveÅŸte instalaÅ£ii de siguranÅ£a circulaÅ£iei, aplicat de cÄƒtre entitÄƒÅ£ile responsabile cu ducerea la îndeplinire a prevederilor acestuia, din documentele prezentate membrilor comisiei de investigare cât ÅŸi discuÅ£iile purtate cu factorii de decizie din cadrul Companiei NaÅ£ionale de CÄƒi Ferate â€žCFRâ€ S.A. a rezultat faptul cÄƒ difuzarea ÅŸi aplicarea Deciziei nr.86 directorul general a CENAFER ce aprobÄƒ â€žcondiÅ£iile ÅŸi duratele minime de instruire practicÄƒ ÅŸi de stagiu în vederea autorizÄƒriiâ€, a condus la interpretÄƒri eronate ÅŸi confuzii din partea acestora, aspect pe care comisia de investigare o considerÄƒ a fi periculoasÄƒ ÅŸi inacceptabilÄƒ în siguranÅ£a feroviarÄƒ. Pentru evitarea repetÄƒrii apariÅ£iei unor astfel de situaÅ£ii, comisia de investigare recomandÄƒ AutoritÄƒÈ›ii de SiguranÈ›Äƒ FeroviarÄƒ RomânÄƒ â€“ ASFR sÄƒ revizuiascÄƒ cadrul legislativ pentru autorizarea personalului cu atribuÅ£ii în siguranÅ£a circulaÅ£iei responsabile în manipularea unor tipuri de instalaÅ£ii de siguranÅ£a circulaÅ£iei, astfel încât acesta sÄƒ fie clar, adecvat ÅŸi neinterpretabil.</t>
  </si>
  <si>
    <t>RO-4787/1</t>
  </si>
  <si>
    <t>1. Administratorului de infrastructurÄƒ feroviarÄƒ sÄƒ îÅŸi stabileascÄƒ mÄƒsurile de siguranÅ£Äƒ ce ...</t>
  </si>
  <si>
    <t>1. Administratorului de infrastructurÄƒ feroviarÄƒ sÄƒ îÅŸi stabileascÄƒ mÄƒsurile de siguranÅ£Äƒ ce trebuiesc implementate pentru a se asigura cÄƒ în cadrul procesului de întreÅ£inere a liniilor, sunt respectate în totalitate atât prevederile procedurilor din cadrul sistemului propriu de management al siguranÈ›ei, cât ÅŸi cele din codurile de practicÄƒ.</t>
  </si>
  <si>
    <t>RO-4787/2</t>
  </si>
  <si>
    <t>1. The railway infrastructure manager to establish the safety measures that have to be implemented in order to ensure that in the process for the line maintenance, both the provisions of its safety management and those of the practice codes are completely met with.</t>
  </si>
  <si>
    <t>RO-4790/1</t>
  </si>
  <si>
    <t>1. Analizarea sistemului de management al siguranÈ›ei al administratorului infrastructurii feroviare publice CNCF â€žCFRâ€ SA</t>
  </si>
  <si>
    <t>1. Analizarea sistemului de management al siguranÈ›ei al administratorului infrastructurii feroviare publice CNCF â€žCFRâ€ SA de cÄƒtre Autoritatea de SiguranÈ›Äƒ FeroviarÄƒ RomânÄƒ ASFR, referitor la executarea lucrÄƒrilor de mentenanÅ£Äƒ a infrastructurii cu maÈ™ini grele de cale ÅŸi dispunerea completÄƒrii cu prevederi specifice executÄƒrii lucrÄƒrilor de buraj mecanizat pe schimbÄƒtoarele de cale cu maÅŸini de tip Plasser&amp;Theurer.</t>
  </si>
  <si>
    <t>RO-4790/2</t>
  </si>
  <si>
    <t>1. Analysis of the safety management system, got by the public railway infrastructure administrator CNCF â€žCFRâ€ SA, by Romanian Railway Safety Authority ASFR, concering the performance of the maintenance of the infrastructure with heavy vehicles and the order to supplement the provisions specific to the performance of the mechanical packing of sleepers on the switches with heavy vehicles type Plasser&amp;Theurer.</t>
  </si>
  <si>
    <t>RO-4790/3</t>
  </si>
  <si>
    <t>2. Analizarea de cÄƒtre Autoritatea de SiguranÈ›Äƒ FeroviarÄƒ RomânÄƒ ASFR a procesului de instruire a personalului din cadrul CNCF â€žCFRâ€ SA,</t>
  </si>
  <si>
    <t>2. Analizarea de cÄƒtre Autoritatea de SiguranÈ›Äƒ FeroviarÄƒ RomânÄƒ ASFR a procesului de instruire a personalului din cadrul CNCF â€žCFRâ€ SA, responsabil cu executarea lucrÄƒrilor de buraj mecanizat pe schimbÄƒtoarele de cale cu maÈ™ini grele tip Plasser&amp;Theurer È™i dispunerea includerii în cadrul acestui proces a temelor de instruire specifice privind urmÄƒrirea modului de executare a acestui tip de lucrÄƒri.</t>
  </si>
  <si>
    <t>RO-4790/4</t>
  </si>
  <si>
    <t>2. Analysis by Romanian Railway Safety Authority of the process for the training of the staff from CNCF â€žCFRâ€ SA, in charge with the performance of the mechanical packing of sleepers on the switches with heavy vehicles type Plasser&amp;Theurer and the order to include in this process the deadlines for specific training concerning the monitoring of the performance way of this type of works</t>
  </si>
  <si>
    <t>RO-4792/1</t>
  </si>
  <si>
    <t>1. Completarea cadrului de reglementare referitor la verificarea ÅŸi executarea lucrÄƒrilor de mentenanÈ›Äƒ la fixÄƒtoarele de macaz cu cleme ÅŸi a electromecanismelor de macaz</t>
  </si>
  <si>
    <t>1. Completarea cadrului de reglementare referitor la verificarea ÅŸi executarea lucrÄƒrilor de mentenanÈ›Äƒ la fixÄƒtoarele de macaz cu cleme ÅŸi a electromecanismelor de macaz de la schimbÄƒtoarele de cale centralizate electrodinamic în comun de echipe L È™i CT, cu precizarea atribuÈ›iilor È™i responsabilitÄƒÈ›ilor pentru fiecare specialitate în parte.</t>
  </si>
  <si>
    <t>RO-4792/2</t>
  </si>
  <si>
    <t>1. suplement of the regulation framework on the checking and peformance of the maintenance of the clamp lockings and of the switch motors from the interlocking turnouts, together the rail track and interlocking gangs, stipulating the tasks and responsibilities for each activity area.</t>
  </si>
  <si>
    <t>RO-4792/3</t>
  </si>
  <si>
    <t>2. Stabilirea unor mÄƒsuri tehnice pentru securizarea procesului de întreÈ›inere</t>
  </si>
  <si>
    <t>2. Stabilirea unor mÄƒsuri tehnice pentru securizarea procesului de întreÈ›inere, care sÄƒ excludÄƒ posibilitatea demontÄƒrii cuplajelor barelor de tracÈ›iune ÅŸi control de cÄƒtre persoane neautorizate.</t>
  </si>
  <si>
    <t>RO-4792/4</t>
  </si>
  <si>
    <t>2. establishment of some technical measures in order to assure the maintenance, that do not include the possibility to remove the coupplings of the draft and control bars by unauthorized persons.</t>
  </si>
  <si>
    <t>RO-4792/5</t>
  </si>
  <si>
    <t>3. Completarea sistemului de management al siguranÈ›ei al CNCFâ€žCFRâ€ SA</t>
  </si>
  <si>
    <t>3. Completarea sistemului de management al siguranÈ›ei al CNCFâ€žCFRâ€ SA cu proceduri referitoare la executarea lucrÄƒrilor de revizii bianuale la electromecanismele de macaz È™i a lucrÄƒrilor de verificare a pÄƒrÈ›ilor ascunse ale schimbÄƒtoarelor de cale în echipe L È™i CT prin care sÄƒ se stabileascÄƒ repartizarea sarcinilor personalului È™i responsabilizarea acestuia pentru executarea lor.</t>
  </si>
  <si>
    <t>RO-4792/6</t>
  </si>
  <si>
    <t>3. Suplement od the safery management system of CNCFâ€žCFRâ€ SA with procedures on the performance of the biannual inspections at the switch motors and the checking of the not in sight parts of the turnouts by rail track and interlocking gangs, through which one establish the allocation of the staff tasks and its empowerment for their performance.</t>
  </si>
  <si>
    <t>RO-4793/1</t>
  </si>
  <si>
    <t>oportunitatea dotÄƒrii drezinelor pantograf de tipul celei implicate în acest accident feroviar cu instalaÅ£ii de control automat al vitezei;</t>
  </si>
  <si>
    <t>1. CNCFâ€žCFRâ€ SA and SC â€žELECTRIFICARE CFRâ€ SA shall analyze the oportunity to provide this type of tower wagons, with equipments for the automatic control of speed;</t>
  </si>
  <si>
    <t>RO-4793/2</t>
  </si>
  <si>
    <t>1. CNCFâ€žCFRâ€ SA ÅŸi SC â€žELECTRIFICARE CFRâ€ SA vor analiza oportunitatea dotÄƒrii drezinelor pantograf de tipul celei implicate în acest accident feroviar cu instalaÅ£ii de control automat al vitezei;</t>
  </si>
  <si>
    <t>RO-4793/3</t>
  </si>
  <si>
    <t>a procedure on the position of the manning agent</t>
  </si>
  <si>
    <t>2. SC â€žELECTRIFICARE CFRâ€ SA shall made a procedure on the position of the manning agent in relation to the running direction of the tower wagon.</t>
  </si>
  <si>
    <t>RO-4793/4</t>
  </si>
  <si>
    <t>2. SC â€žELECTRIFICARE CFRâ€ SA va întocmi o procedurÄƒ referitoare la poziÅ£ionarea agentului de însoÅ£ire în raport cu sensul de deplasare al drezinei pantograf;</t>
  </si>
  <si>
    <t>RO-4828/1</t>
  </si>
  <si>
    <t>În cazul accidentului produs în circulaÈ›ia trenului de marfÄƒ nr. nr.60812, aparÈ›inând operatorului ...</t>
  </si>
  <si>
    <t>În cazul accidentului produs în circulaÈ›ia trenului de marfÄƒ nr. nr.60812, aparÈ›inând operatorului de transport feroviar SC Transferoviar Grup SA, s-a constatat cÄƒ deraierea vagoanelor s-a produs ca urmare menÈ›inerii în exploatare a unei suprastructuri sudate, alcÄƒtuitÄƒ necorespunzÄƒtor È™i a aplicÄƒrii unor mÄƒsuri, care s-au dovedit a fi ineficiente pentru È›inerea sub control a riscurilor asociate pericolelor generate de starea necorespunzÄƒtoare a suprastructurii cÄƒii. În contextul celor prezentate, comisia de investigare recomandÄƒ AutoritÄƒÈ›ii de SiguranÈ›Äƒ FeroviarÄƒ RomânÄƒ sÄƒ se asigure cÄƒ CNCF â€žCFRâ€ S.A. în calitatea sa de administrator de infrastructurÄƒ feroviarÄƒ publicÄƒ, va reevalua mÄƒsurile proprii pentru È›inerea sub control a riscurilor astfel, încât sÄƒ aibÄƒ certitudinea cÄƒ acestea au ca efect reducerea riscurilor asociate pericolelor manifestate.</t>
  </si>
  <si>
    <t>RO-4828/2</t>
  </si>
  <si>
    <t>With reference to the accident happened in the running of the freight train no.60812, got by the railway undertaking SC Transferoviar Grup SA, one found out that the wagons derailment was generated by the keeping in operation of a welded superstructure, structured unsuitable and by the application of some measures, that showed to be inefficient for the control of the risks associated to the dangers generated by the unsuitable condition of the track superstructure. Taking into account these above mentioned, the investigation commission recommends Romanian Railway Safety Authority to ensure that CNCF â€žCFRâ€ S.A., as public railway infrastructure manager, shall assess again its measures for the control of the risks, so be sure that those lead to the decrease of the risks associated to the appeared dangers.</t>
  </si>
  <si>
    <t>RO-4846/1</t>
  </si>
  <si>
    <t>RecomandÄƒri de siguranÅ£Äƒ Pe infrastructura feroviarÄƒ a administratorului CNCF â€žCFRâ€ SA, secÅ£ia de ...</t>
  </si>
  <si>
    <t>RecomandÄƒri de siguranÅ£Äƒ Pe infrastructura feroviarÄƒ a administratorului CNCF â€žCFRâ€ SA, secÅ£ia de circulaÅ£ie Pui-PetroÅŸani, în ultimii ani s-au înregistrat mai multe cazuri cu degajÄƒri de fum la locomotivele operatorilor de transport feroviar. Au fost chiar cazuri de incendii cu distrugerea locomotivelor ÅŸi pagube la infrastructura feroviarÄƒ. Pentru evitarea apariÅ£iei unor cazuri asemÄƒnÄƒtoare, comisia de investigare recomandÄƒ ASFR sÄƒ se asigure cÄƒ operatorii de transport feroviar, vor analiza oportunitatea montÄƒrii pe locomotivele electrice din parcul propriu, a unor instalaÅ£ii de detectare a emisiilor de fum în zonele critice cu potenÅ£ial de apariÅ£ie a unui incendiu;</t>
  </si>
  <si>
    <t>RO-4846/2</t>
  </si>
  <si>
    <t>On CNCF â€žCFRâ€ SA infrastructure, track section Pui-PetroÅŸani, in the last year, there were many cases of smoke releases at the locomotives of the railway unertakings. There were also cases of fires, in which the locomotives were destroyed and with a lot of damages at the infrastructure. In order to avoid the appearance of such similar cases, the investigation commission recommends ASFR to make sure that the railway undertaking shall analize the oportunity to fit up on their electric locomotives devices to detect the smoke releases in the critical areas with predisposition to fire;</t>
  </si>
  <si>
    <t>RO-4880/1</t>
  </si>
  <si>
    <t>La data de 06.09.2015, ora 22:04, pe raza de activitate a Sucursalei Regionale de CÄƒi Ferate ...</t>
  </si>
  <si>
    <t>La data de 06.09.2015, ora 22:04, pe raza de activitate a Sucursalei Regionale de CÄƒi Ferate TimiÅŸoara, între haltele de miÅŸcare VÄƒliÅŸoara ÅŸi Valea TimiÅŸului, în circulaÅ£ia trenului de marfÄƒ nr.80368-1, aparÅ£inând operatorului de transport feroviar de marfÄƒ GRUP FEROVIAR ROMÂN SA, s-a produs deraierea a ÅŸase vagoane (din care douÄƒ rÄƒsturnate) din compunerea acestuia. Comisia de investigare a constatat cÄƒ accidentul feroviar s-a produs ca urmare a supraîncÄƒlzirii, urmatÄƒ de ruperea fusului de osie aferent roÅ£ii nr.4 de la vagonul nr.82537987165-0 (aflat al 4-lea în compunerea trenului). De asemenea, comisia de investigare a constatat faptul cÄƒ, cei doi rulmenÅ£i cu role de tip WJ/WJP, cu care era echipatÄƒ cutia de osie aferentÄƒ acestui fus, aveau o vechime de 45 ÅŸi respectiv, 47 de ani. DeÅŸi, prin fiÅŸele UIC (atât cea valabilÄƒ la data fabricÄƒrii rulmenÅ£ilor implicaÅ£i, cât ÅŸi cea în vigoare la aceastÄƒ datÄƒ), este impusÄƒ ca ÅŸi condiÅ£ie de fiabilitate durata de serviciu de 40 de ani pentru 75% dintre rulmenÅ£i, iar pe plan extern existÄƒ norme tehnice prin care este limitatÄƒ durata de utilizare a acestor de rulmenÅ£i, prin normele tehnice naÅ£ionale în vigoare nu este stabilitÄƒ nicio duratÄƒ maximÄƒ de serviciu pentru acest tip de rulmenÅ£i (exprimatÄƒ în kilometri parcurÅŸi sau ani). Având în vedere cele menÅ£ionate, pentru îmbunÄƒtÄƒÈ›irea siguranÈ›ei feroviare, comisia de investigare recomandÄƒ AutoritÄƒÈ›ii de SiguranÈ›Äƒ FeroviarÄƒ RomânÄƒ reanalizarea normei tehnice referitoare la repararea cutiilor de osii cu rulmenÅ£i ÅŸi completarea acesteia cu prevederi prin care sÄƒ fie stabilitÄƒ durata maximÄƒ de serviciu pentru rulmenÅ£ii cu role ce echipeazÄƒ vagoanele de marfÄƒ (exprimatÄƒ în kilometri parcurÅŸi sau ani).</t>
  </si>
  <si>
    <t>RO-4880/2</t>
  </si>
  <si>
    <t>On the 6th of September 2015, at 22:04 oâ€™clock, in the branch of the Railway County TimiÅŸoara, between the railway stations VÄƒliÅŸoara and Valea TimiÅŸului, in the running of the freight train no.80368-1, got by the railway freight undertaking GRUP FEROVIAR ROMÂN SA, six wagons of the trains derailed (two of them overturn). The investigation commission found out that the railway accident happened because the over-heating, followed by the breakage of the axle journal from the wheel no.4 of the wagon no.82537987165-0 (the 4th of the train). The investigation commission also found out that those two roller bearings type WJ/WJP, of the axle box afferent to this axle journal, were 45, respectively, 47 years old. Although, through the UIC leaflets (both this valid at the manufacturing moment of the involved roller bearings, and that in force now), one imposes as reliabilitty condition the life time of 40 years for 75% of the roller bearings, and abroad there are technical norms that limit the limit use life time for these roller bearings, through the national technical norms in force no maximum working life time is establish for this roller bearings (expressed in run kilometers or years). Taking into account these above mentioned, for the improvement of the railway safety, the investigation commission recommends Romanian Railway Safety Authority to analyze again the technical norm for the repair of the axle boxes with roller bearings and its supplement with provisions that establish the maximum working life time for the roller bearings of the freight wagons (expressed in run kilometers or years).</t>
  </si>
  <si>
    <t>RO-4907/1</t>
  </si>
  <si>
    <t>RecomandÄƒri de siguranÅ£Äƒ Anterior producerii acestui accident feroviar, pe linia curentÄƒ Câmpia ...</t>
  </si>
  <si>
    <t>RecomandÄƒri de siguranÅ£Äƒ Anterior producerii acestui accident feroviar, pe linia curentÄƒ Câmpia Turzii â€“ Valea Florilor, firul I au fost efectuate lucrÄƒri de reparaÅ£ie periodicÄƒ cu ciuruire integralÄƒ a prismei de piatrÄƒ spartÄƒ cu maÅŸini grele de cale. În urma investigÄƒrii accidentului, comisia de investigare a constatat faptul cÄƒ, Dosarul de Organizare a acestor lucrÄƒri a fost întocmit fÄƒrÄƒ includerea lucrÄƒrilor pregÄƒtitoare, contrar prevederilor din â€žInstrucÈ›ia pentru executarea lucrÄƒrilor de reparaÈ›ie radicalÄƒ a liniilor de cale feratÄƒ nr.302/1986â€. Faptul cÄƒ, dupÄƒ executarea lucrÄƒrilor de ciuruire a rezultat o zonÄƒ noroioasÄƒ conduce la concluzia cÄƒ, nu au fost executate sondaje (È™liÈ›uri) verticale atât pentru stabilirea niveletei cÄƒii, cât È™i pentru determinarea înÄƒlÈ›imii straturilor de piatrÄƒ spartÄƒ È™i de repartiÈ›ie, în toate punctele stabilite de â€žInstrucÈ›ia pentru executarea lucrÄƒrilor de reparaÈ›ie radicalÄƒ a liniilor de cale feratÄƒ nr.302/1986 È™i în dosarul de organizare a lucrÄƒrilor. În contextul celor prezentate, pentru îmbunÄƒtÄƒÈ›irea siguranÈ›ei feroviare, comisia de investigare recomandÄƒ AutoritÄƒÈ›ii de SiguranÈ›Äƒ FeroviarÄƒ RomânÄƒ sÄƒ se asigure cÄƒ CNCF â€žCFRâ€ SA, în calitatea sa de administrator al infrastructurii feroviare publice: - în cadrul procesului de management al siguranÅ£ei identificÄƒ pericolele generate de deviaÈ›iile de la codurile de practicÄƒ, analizeazÄƒ riscurile asociate acestora (frecvenÈ›a, gravitatea, nivelul de risc) È™i stabileÈ™te mÄƒsurile de siguranÈ›Äƒ pentru È›inerea sub control a riscurilor ce pot apare în situaÈ›iile în care, documentaÈ›iile de execuÈ›ie a lucrÄƒrilor de reparaÈ›ie periodicÄƒ cu ciuruirea integralÄƒ a prismei de piatrÄƒ spartÄƒ, se întocmesc renunÈ›ând total sau parÈ›ial la anumite etape ale proceselor tehnologice prevÄƒzute în codurile de practicÄƒ, ce sunt documente de referinÈ›Äƒ asociate procedurii operaÈ›ionale cod PO SMS 0-4.07 â€žRespectarea specificaÈ›iilor tehnice, standardelor È™i cerinÈ›elor relevante pe întreg ciclul de viaÈ›Äƒ a liniilor în procesele de întreÈ›inereâ€. - va analiza È™i va dispune, dacÄƒ va considera necesar, mÄƒsuri pentru verificarea amÄƒnunÈ›itÄƒ a structurii terasamentului È™i stratului de repartiÈ›ie, pe linia curentÄƒ firul I de circulaÈ›ie dintre staÈ›ia CFR Câmpia Turzii È™i halta de miÈ™care Valea Florilor, în vederea identificÄƒrii zonelor în care, compoziÈ›iile materialelor din care sunt realizate aceste straturi nu se încadreazÄƒ în prevederile STAS 7582-91 â€žLucrÄƒri de cale feratÄƒ â€“ Terasamente â€“ prescripÈ›ii de proiectare È™i de verificare a calitÄƒÈ›iiâ€.</t>
  </si>
  <si>
    <t>RO-4907/2</t>
  </si>
  <si>
    <t>Before the railway accident, on the current line Câmpia Turzii â€“ Valea Florilor, track I, one performed periodical repair with complete cleaning of the broken stone with heavy track machines. Following the accident investigation, the investigation commission found out that the File for the organization of these works was drawn up without including the preparation works, contrarily the provisions from â€žInstruction for the performance of the line overhauls no.302/1986â€. The fact that, after the performance of the cleaning, resulted a muddy area, leads to the conclusion that, one did not take vertical samples (È™liÈ›uri) both for establishing the track section level and for determining the high of the broken stone levels and repair, in all points established by â€žInstruction for the performance of the line overhauls no.302/1986 and in the file for the work organization. According these above mentioned, for the improvement of the railway safety, the investigation commission recommends Romanian Railway Safety Authority be sure that CNCF â€žCFRâ€ SA, as railway public infrastructure manager: - within the safety management process identifies the dangers generated by the deviations from the practice codes, analyzes their associated risks (frequence, seriousness, level of risk) end establishes the safety measures for keeping under control the risks that can appear in the situations where, the documents for the performance of the periodical repair with complete cleaning of the broken stone, are made giving up, completely or partialy, some stages of the technological processes stipulated in the practice codes, that are reference documents associated to the operational procedure code PO SMS 0-4.07 â€žCompliance with the technical specifications, standards and requirements relevant within whole life cycle of the lines in the maintenance processesâ€. - shall analyze and dispose, if necessary, measures for the detail control of the track bed structure and of the level for repair, on the current line, track I between the railway stations Câmpia Turzii and Valea Florilor, in order to identify the areas where, the compositions of the materials from which these levels are made of are not in compliance with the provisions STAS 7582-91 â€žRailway works â€“ Track beds â€“ provisions for track design and quality controlâ€.</t>
  </si>
  <si>
    <t>RO-4950/1</t>
  </si>
  <si>
    <t>The investigation commission recommends Romanian Railway Safety Authority - ASFR be sure that the ...</t>
  </si>
  <si>
    <t>The investigation commission recommends Romanian Railway Safety Authority - ASFR be sure that the railway infrastructure administrator makes and applies procedures for the use of the manual of the soft application ATLAS and ensures the training of the traffic controllers of BCCTF.</t>
  </si>
  <si>
    <t>RO-4950/2</t>
  </si>
  <si>
    <t>RecomandÄƒri de siguranÅ£Äƒ Comisia de investigare, recomandÄƒ AutoritÄƒÅ£ii de SiguranÅ£Äƒ FeroviarÄƒ - ASFR sÄƒ se asigure cÄƒ administratorul de infrastructurÄƒ feroviarÄƒ elaboreazÄƒ ÅŸi aplicÄƒ proceduri privind utilizarea manualului aplicaÅ£iei informatice ATLAS ÅŸi asigurÄƒ instruirea dispecerilor centrali din cadrul BCCTF.</t>
  </si>
  <si>
    <t>RO-4993/1</t>
  </si>
  <si>
    <t>ASFR se va asigura cÄƒ administratorul infrastructurii feroviare publice â€“ CNCF â€CFRâ€ SA, în ...</t>
  </si>
  <si>
    <t>ASFR se va asigura cÄƒ administratorul infrastructurii feroviare publice â€“ CNCF â€CFRâ€ SA, în activitatea de mentenanÈ›Äƒ a infrastructurii feroviare, va identifica ÅŸi va È›ine permanent sub control riscurile asociate pericolului generat de neasigurarea bazei materiale necesarÄƒ realizÄƒrii mentenanÈ›ei infrastructurii feroviare.</t>
  </si>
  <si>
    <t>RO-4993/2</t>
  </si>
  <si>
    <t>ASFR shall be sure that the public railway infrastructure manager â€“ CNCF â€CFRâ€ SA, in the maintenance of the railway infrastructure, shall identify and permanently control the risks associated to the hazard generated by the lack of materials necessary to perform the railway infrastructure maintenance.</t>
  </si>
  <si>
    <t>REC-000541</t>
  </si>
  <si>
    <t>RO-5045/1</t>
  </si>
  <si>
    <t>Concerning the favouring factor consiting in the unsuitable cleaning condition of the locomotive , ...</t>
  </si>
  <si>
    <t>Concerning the favouring factor consiting in the unsuitable cleaning condition of the locomotive , generated by the lack of a suitable regulation framework, the investigation commission recommends Romanian Railway Safety Authority â€“ ASFR, to be sure that the railway freight undertaking SNTFM â€žCFR MarfÄƒâ€ SA suplements its regulations in this respect and shall apply the provisions NTF no.67-004 from the 18th of March.2008 "Railway vehicle. Diesel-electric locomotive 060 DA of 2.100 HP. Technical prescriptions for inspection within the technological process at the entrance of the locomotive in the traction units, prescriptions for power supply and fitting-out, as well as for the cleaning and washing the locomotive" concerning the measures that have to be taken for keeping the cleaning condition of the diesel-electric locomotives.</t>
  </si>
  <si>
    <t>RO-5045/2</t>
  </si>
  <si>
    <t>Pentru factorul favorizant reprezentat de starea de curÄƒÈ›enie necorespunzÄƒtoarea a locomotivei È™i care a fost generat de absenÈ›a unui cadru de reglementare adecvat, comisia de investigare recomandÄƒ AutoritÄƒÈ›ii de SiguranÈ›Äƒ FeroviarÄƒ RomânÄƒ â€“ ASFR, sÄƒ se asigure cÄƒ operatorul de transport feroviar de marfÄƒ SNTFM â€žCFR MarfÄƒâ€ SA îÈ™i completeazÄƒ reglementÄƒrile proprii în acest sens È™i v-a pune în aplicare prevederile NTF nr.67-004 din 18.03.2008 "Vehicule feroviare. Locomotiva diesel-electricÄƒ 060 DA de 2.100 CP. PrescripÈ›ii tehnice pentru revizia pe procesul tehnologic la intrarea locomotivei în unitÄƒÈ›ile de tracÈ›iune, prescripÈ›ii pentru alimentare È™i echipare, precum È™i pentru curÄƒÈ›area È™i spÄƒlarea locomotivei" referitor la masurile ce trebuie luate pentru menÈ›inerea stÄƒrii de curÄƒÈ›enie a locomotivelor diesel-electrice.</t>
  </si>
  <si>
    <t>RO-5069/1</t>
  </si>
  <si>
    <t>În cazul accidentului produs în circulaÅ£ia trenului de marfÄƒ nr.42619 s-a constatat cÄƒ desprinderea ...</t>
  </si>
  <si>
    <t>În cazul accidentului produs în circulaÅ£ia trenului de marfÄƒ nr.42619 s-a constatat cÄƒ desprinderea È™i cÄƒderea axei triunghiulare a vagonului nr.31533556277-5 s-a produs pe fondul menÈ›inerii în circulaÈ›ie a acestui vagon cu defecte la timoneria de frânÄƒ care pot provoca cÄƒderea pieselor acesteia. Având în vedere cele menÈ›ionate, comisia de investigare considerÄƒ necesarÄƒ emiterea unei recomandÄƒri de siguranÈ›Äƒ cÄƒtre Autoritatea de SiguranÈ›Äƒ FeroviarÄƒ RomânÄƒ â€“ ASFR în sensul ca aceasta sÄƒ se asigure cÄƒ, SNTFM â€žCFR MarfÄƒâ€ SA, în calitatea sa de operator de transport feroviar de marfÄƒ, îÈ™i va reevalua mÄƒsurile de prevenire proprii pentru È›inerea sub control È™i reducerea riscurilor asociate activitÄƒÈ›ii de revizie tehnicÄƒ ÅŸi întreÈ›inere a vagoanelor de marfÄƒ în exploatare.</t>
  </si>
  <si>
    <t>Train derailment, 18-04-16, Galgau (Romania)</t>
  </si>
  <si>
    <t>RO-5069/2</t>
  </si>
  <si>
    <t>With reference to the accident happened in the running of the freight train no.42619, one found out that the braking beam of the wagon no.31533556277-5 ditached and fell because keeping in traffic of this wagon with failures at the brake rigging, that can generate the fall of its parts. Taking into account these above mentioned, the investigation commission considers necessary to issue a safety recommendation for Romanian Railway Safety Authority â€“ ASFR that is, it makes sure that, SNTFM â€žCFR MarfÄƒâ€ SA, as railway freight undertaking re-assesses its prevention measures for keeping under control and decrease of the risks associated the technical inspection and maintenance of the wagons in operation.</t>
  </si>
  <si>
    <t>RO-5099/1</t>
  </si>
  <si>
    <t>About the accident happened on the 14th of June 2016, in the running of the passenger train Regio ...</t>
  </si>
  <si>
    <t>About the accident happened on the 14th of June 2016, in the running of the passenger train Regio no.3536, one found out that the fire burst into the locomotive EA 557 was because the failure of the traction engine no.4, whose technical condition had to be kept under control for inspections and specific works of maintenance, performed during the planned repairs. During the investigation, one found out that the locomotive EA 557 was kept in service after reaching the norms of time and km for the performance of the planned repairs, infringing the provisions of the Order of Minister of Transports and Infrastructure MTI no.1359/2012 for the amendment of the Railway Norm "Railway vehicles. Types of inspections and planned repairs. Norms of time and run km for the performance of the inspections and planned repairs", approved through the Order of the Minister of Transports and Infrastructure no.315/2011, it being a factor that contributed to the accident occurrence. Taking into account that this factor was generated by deviations from the regulations in force, as well as that the oversight of the economic operators from the railway field is in charge of Romanian Railway Safety Authority â€“ ASFR, the investigation commission does not consider necessary to issue some safety recommendations. 1. Concerning the safety management system of the railway passenger undertaking, one found out some deficiencies in the drawing up and application of some procedures, as they are pointed out in chapter C.5.2. Safety management system from this report, therefore the investigation commission recommends Romanian Railway Safety Authority â€“ ASFR to ask railway passenger undertaking SNTFC â€žCFR CÄƒlÄƒtoriâ€ SA the revision of the operational procedures â€žManagement of the risks associated to the railway safetyâ€ and â€žPlanning of the inspections and repairs at the locomotives, multiple units and electrical multiple units got by SNTFC â€žCFR CÄƒlÄƒtoriâ€â€, so these ensure the identification of risks associated to the railway safety, as well as that the maintenance and operation of the locomotives are made in accordance with the specific legislation.</t>
  </si>
  <si>
    <t>RO-5099/2</t>
  </si>
  <si>
    <t>În cazul accidentului feroviar produs la data de 14.06.2016 în circulaÈ›ia trenului de cÄƒlÄƒtori Regio nr.3536 s-a constatat cÄƒ incendiul produs la locomotiva EA 557 s-a datorat defectÄƒrii motorului de tracÈ›iune nr.4, a cÄƒrui stare tehnicÄƒ trebuia È›inutÄƒ sub control prin verificÄƒri È™i lucrÄƒri specifice de mentenanÈ›Äƒ ce se executÄƒ cu ocazia reparaÈ›iilor planificate. În cursul acÈ›iunii de investigare s-a constatat faptul cÄƒ locomotiva EA 557 a fost menÈ›inutÄƒ în serviciu dupÄƒ atingerea normelor de timp È™i kilometrii pentru efectuarea reparaÈ›iilor planificate, contrar prevederilor Ordinului MTI nr.1359/2012 pentru modificarea È™i completarea Normativului feroviar "Vehicule de cale feratÄƒ. Tipuri de revizii È™i reparaÈ›ii planificate. Normele de timp sau normele de kilometri parcurÈ™i pentru efectuarea reviziilor È™i reparaÈ›iilor planificate", aprobat prin Ordinul ministrului transporturilor si infrastructurii nr. 315/2011, ceea ce a constituit un factor care a contribuit la producerea accidentului feroviar. Având în vedere cÄƒ acest factor a fost generat de abateri de la reglementÄƒrile în vigoare, precum È™i faptul cÄƒ, supravegherea operatorilor economici din sistemul de transport feroviar este atribuÈ›ia È™i rÄƒspunderea AutoritÄƒÈ›ii de SiguranÈ›Äƒ FeroviarÄƒ RomânÄƒ â€“ ASFR, comisia de investigare nu considerÄƒ necesarÄƒ emiterea unor recomandÄƒri de siguranÈ›Äƒ. 1. Referitor la sistemul de management al siguranÈ›ei operatorului de transport feroviar de cÄƒlÄƒtori s-au constatat deficienÈ›e la întocmirea respectiv punerea în aplicare a unor proceduri aÈ™a cum sunt ele semnalate în capitolul C.5.2. Sistemul de management al siguranÈ›ei din prezentul raport, fapt pentru care comisia de investigare recomandÄƒ AutoritÄƒÈ›ii de SiguranÈ›Äƒ FeroviarÄƒ RomânÄƒ â€“ ASFR sÄƒ solicite operatorului de transport feroviar de cÄƒlÄƒtori SNTFC â€žCFR CÄƒlÄƒtoriâ€ SA revizuirea procedurilor operaÈ›ionale â€žManagementul Riscurilor asociate siguranÈ›ei feroviareâ€ È™i â€žPlanificarea reviziilor È™i reparaÈ›iilor la locomotive, automotoare È™i rame electrice aparÈ›inând SNTFC â€žCFR CÄƒlÄƒtoriâ€â€, astfel încât acestea sÄƒ garanteze identificarea riscurilor asociate siguranÈ›ei feroviare precum È™i faptul cÄƒ întreÈ›inerea È™i exploatarea locomotivelor este efectuatÄƒ în conformitate cu legislaÈ›ia în domeniu.</t>
  </si>
  <si>
    <t>RO-4800/1</t>
  </si>
  <si>
    <t>AÅŸa cum este menÅ£ionat la cap. C.5.2. Sistemul de management al siguranÅ£ei, comisia de investigare ...</t>
  </si>
  <si>
    <t>AÅŸa cum este menÅ£ionat la cap. C.5.2. Sistemul de management al siguranÅ£ei, comisia de investigare considerÄƒ cÄƒ nerespectarea prevederilor InstrucÅ£iei de întreÅ£inere a liniilor ferate nr.300/1982 document asociat al procedurilor operaÅ£ionale cod PO SMS 0-4.07. â€žRespectarea specificaÅ£iilor tehnice, standardelor ÅŸi cerinÅ£elor relevante pe întreg ciclul de viaÅ£Äƒ a liniilor în procesul de întreÅ£inereâ€, ÅŸi a procedurii operaÅ£ionale PO SMS 0â€“4.12 ,,Managementul riscurilor de siguranÅ£Äƒ feroviarÄƒâ€ parte a sistemului de management al siguranÅ£ei al CNCF â€žCFRâ€ SA, a condus la o mentenanÈ›a necorespunzÄƒtoare a suprastructurii cÄƒii în zona producerii deraierii. În contextul celor prezentate ÅŸi a neconformitÄƒÅ£ilor identificate la suprastructura feroviarÄƒ în zona producerii accidentului, pentru îmbunÄƒtÄƒÈ›irea siguranÈ›ei feroviare, comisia de investigare considerÄƒ necesarÄƒ adresarea urmÄƒtoarei recomandÄƒri de siguranÈ›Äƒ: 1. ASFR se va asigura cÄƒ administratorul infrastructurii feroviare publice - CNCF â€žCFRâ€ SA, în activitatea de mentenanÈ›Äƒ a infrastructurii feroviare, urmÄƒreÈ™te permanent identificarea riscurilor asociate pericolelor, a riscurilor de interfaÈ›Äƒ È™i a riscurilor datorate schimbÄƒrilor.</t>
  </si>
  <si>
    <t>RO-4800/2</t>
  </si>
  <si>
    <t>As it is stipulated in the chapter C.5.2. Safety management system, the investigation commission considers that the infringement of the provisions of the Instruction for the track maintenance no.300/1982 document associated to the operational procedures code PO SMS 0-4.07. â€žCompliance with the technical specifications, standards and requirements relevant within the whole lifetime of the lines within the maintenance processâ€, and of the operational procedure PO SMS 0â€“4.12 ,,Management of the railway safety risksâ€, part of the safety management system of CNCF â€žCFRâ€ SA, it led to an unsuitable maintenance of the track superstructure in the derailment area. In the context of these obove mentioned and of the non-conformities found at the railway infrastructure at the accident site, for the improvement of the railway safety, the investigation commission considers necessary to address the next safety recommendation: 1. Romanian Railway Safety Authority - ASFR shall take care that the administrator of the public railway infrastructture - CNCF â€žCFRâ€ SA, in the railway infrastrucure maintenance, look always at the identification of risks associated to the hazards, of interface risks and risks generated by the changes.</t>
  </si>
  <si>
    <t>RO-5142/1</t>
  </si>
  <si>
    <t>1. în cadrul acÈ›iunilor de control È™i inspecÈ›ii de stat ASFR sÄƒ se asigure cÄƒ operatorii de ...</t>
  </si>
  <si>
    <t>1. în cadrul acÈ›iunilor de control È™i inspecÈ›ii de stat ASFR sÄƒ se asigure cÄƒ operatorii de transport feroviar È›in sub control riscurile privind apariÈ›ia incendiilor la materialul rulant, generate de neefectuarea lucrÄƒrilor de mentenanÈ›Äƒ planificate;</t>
  </si>
  <si>
    <t>RO-5142/2</t>
  </si>
  <si>
    <t>1. during the controls and state inspections, ASFR ensure that the railway undertakings control the risks of fire appearance in the rolling stock, generated by the non-performance of the planned maintenance;</t>
  </si>
  <si>
    <t>RO-5142/3</t>
  </si>
  <si>
    <t>2. sÄƒ solicite operatorului de transport feroviar de cÄƒlÄƒtori SNTFC â€žCFR CÄƒlÄƒtoriâ€ SA revizuirea ...</t>
  </si>
  <si>
    <t>2. sÄƒ solicite operatorului de transport feroviar de cÄƒlÄƒtori SNTFC â€žCFR CÄƒlÄƒtoriâ€ SA revizuirea FiÈ™ei de identificare pericole/evaluare riscuri generate Cod: F-PO-0-8.5.3-05-03 , astfel încât la pericolul â€žNerespectarea ciclului de revizii si reparatii material rulant â€ sÄƒ se identifice riscul generat â€žIncendii la material rulant â€;</t>
  </si>
  <si>
    <t>RO-5142/4</t>
  </si>
  <si>
    <t>2. ask the railway undertaking SNTFC â€žCFR CÄƒlÄƒtoriâ€ SA to review the Sheet for the identification of dangers/assessment of the generated risks Code: F-PO-0-8.5.3-05-03 , so that the danger â€žNon-meeting with the cycle of inspections and repairs of the rolling stockâ€ the generated risk â€žFires in the rolling stock â€ be identified;</t>
  </si>
  <si>
    <t>RO-5142/5</t>
  </si>
  <si>
    <t>3. sÄƒ solicite operatorului de transport feroviar de cÄƒlÄƒtori SNTFC â€žCFR CÄƒlÄƒtoriâ€ SA revizuirea ...</t>
  </si>
  <si>
    <t>3. sÄƒ solicite operatorului de transport feroviar de cÄƒlÄƒtori SNTFC â€žCFR CÄƒlÄƒtoriâ€ SA revizuirea procedurii operaÈ›ionale PO-07.1-14 â€žPlanificarea reviziilor È™i reparaÈ›iilor pentru locomotive, automotoare È™i rame electrice aparÈ›inând SNTFC â€œCFR CÄƒlÄƒtoriâ€ SAâ€ în vederea completÄƒrii acesteia cu prevederi concrete referitoare la masurile ce trebuie luate în cazul în care materialul rulat atinge norma de timp/kilometri pentru efectuarea reparaÈ›iilor planificate;</t>
  </si>
  <si>
    <t>RO-5142/6</t>
  </si>
  <si>
    <t>3. ask the railway undertaking SNTFC â€žCFR CÄƒlÄƒtoriâ€ SA to review the operational procedure PO-07.1-14 â€žPlanning of the inspections and repairs for locomotives, diesel and electric multiple-units got by SNTFC â€œCFR CÄƒlÄƒtoriâ€ SAâ€, so that it be completed with concrete provisions concerning the measures that had to be established if the rolling stock reaches the norm of time/km for the performance of the planned repairs;</t>
  </si>
  <si>
    <t>RO-5142/7</t>
  </si>
  <si>
    <t>5. sÄƒ analizeze împreunÄƒ cu operatorii de transport feroviar oportunitatea înlocuirii conductelor de ...</t>
  </si>
  <si>
    <t>5. sÄƒ analizeze împreunÄƒ cu operatorii de transport feroviar oportunitatea înlocuirii conductelor de legÄƒturÄƒ (ieÈ™ire È™i aspiraÈ›ie) a cuvei transformatorului principal cu rÄƒcitorul de ulei, confecÈ›ionate din materiale inflamabile cu conducte confecÈ›ionate din materiale neinflamabile, pentru evitarea curgerii unei cantitÄƒÈ›i mari de ulei în cutia locomotivei în cazul deteriorÄƒrii acestora;</t>
  </si>
  <si>
    <t>RO-5142/8</t>
  </si>
  <si>
    <t>5. analyze with the railway undertakings the opportunity to replace the joint pipes (exit and suction) of the main transformer tank with the oil cooler, made of inflammable materials with pipes made from inflammable materials, in order to avoid leakage of a big quantity of oil in the locomotive oil, in case of their deterioration;</t>
  </si>
  <si>
    <t>RO-5142/9</t>
  </si>
  <si>
    <t>4. sÄƒ analizeze împreunÄƒ cu operatorii de transport feroviar oportunitatea montÄƒrii pe materialul ...</t>
  </si>
  <si>
    <t>4. sÄƒ analizeze împreunÄƒ cu operatorii de transport feroviar oportunitatea montÄƒrii pe materialul rulant motor a unor instalaÅ£ii de detectare a emisiilor de fum în zonele critice cu potenÅ£ial de apariÅ£ie a incendiului;</t>
  </si>
  <si>
    <t>RO-5142/10</t>
  </si>
  <si>
    <t>4. analyze with the railway undertakings the opportunity to provide the motorized rolling stock with some equipments for the detection of smoke emissions in the critical areas with fire potential;</t>
  </si>
  <si>
    <t>RO-5142/11</t>
  </si>
  <si>
    <t>6. sÄƒ analizeze împreunÄƒ cu operatorii de transport feroviar È™i cu conducerea Inspectoratului ...</t>
  </si>
  <si>
    <t>6. sÄƒ analizeze împreunÄƒ cu operatorii de transport feroviar È™i cu conducerea Inspectoratului General pentru SituaÅ£ii de UrgenÅ£Äƒ, modul de intervenÈ›ie al pompierilor în cazul incediilor produse la materialul rulant motor astfel încât, pentru limitarea urmÄƒrilor, sÄƒ nu mai fie folositÄƒ apa ca agent de stingere.</t>
  </si>
  <si>
    <t>RO-5142/12</t>
  </si>
  <si>
    <t>6. analyze with the railway undertakings and with the management of the General Inspectorate for Emergency Situations, the intervention way of the firemen in case of fires in the rolling stock so that, for the consequence limitation, not use water as extinguish agent</t>
  </si>
  <si>
    <t>RO-5154/1</t>
  </si>
  <si>
    <t>In case of the accident happened on the 26th August 2016, in the running of the train no.87232, one ...</t>
  </si>
  <si>
    <t>In case of the accident happened on the 26th August 2016, in the running of the train no.87232, one found out that the locomotive involved in the accident did not meet the technical requirements that ensure the safety, comfort and security of the traffic, having the norm of time for the performance of the planned repairs exceeded, against the provisions of the Minister of Transports and Infrastructureâ€™s Order no.315/2011, with further amendments. Keeping in operation of the locomotive DA 614, after reaching the norm of time for the performance of the planned repairs, was possible because the deficiencies in the safety management system, that were the root causes of this accident. Upon the above mentioned issues, the investigation commission recommends Romanian Railway safety Authority â€“ ASFR to ask the railway freight undertaking SNTFM â€žCFR MarfÄƒâ€ SA to re-examine the safety management system, so it ensure the identification and control of the risks associated to the railway safety.</t>
  </si>
  <si>
    <t>RO-5154/2</t>
  </si>
  <si>
    <t>În cazul accidentului feroviar produs 26.08.2016, în circulaÈ›ia trenului nr.87232 s-a constatat faptul cÄƒ, locomotiva implicatÄƒ în accidentul feroviar nu avea potenÈ›ial tehnic care sÄƒ asigure condiÈ›ii de siguranÈ›Äƒ, confort È™i securitate a circulaÈ›iei, având norma de timp pentru efectuare a reparaÈ›iilor planificate depÄƒÈ™itÄƒ, contrar prevederilor Ordinul ministrului transporturilor È™i infrastructurii nr.315/2011 cu modificÄƒrile È™i completÄƒrile ulterioare. MenÈ›inerea în exploatare a locomotivei DA 614, dupÄƒ realizarea normei de timp pentru efectuarea reparaÈ›iilor planificate, a fost posibilÄƒ datoritÄƒ deficienÈ›elor existente în sistemul de management al siguranÈ›ei, ce au constituit cauze primare ale acestui accident feroviar. Având în vedere cele prezentate, comisia de investigare recomandÄƒ AutoritÄƒÈ›ii de SiguranÈ›Äƒ FeroviarÄƒ RomânÄƒ â€“ ASFR sÄƒ solicite operatorului de transport feroviar de marfÄƒ SNTFM â€žCFR MarfÄƒâ€ SA revizuirea sistemului de management al siguranÈ›ei, astfel încât acesta sÄƒ asigure identificare È™i È›inerea sub control a riscurilor asociate siguranÈ›ei feroviare.</t>
  </si>
  <si>
    <t>RO-5170/1</t>
  </si>
  <si>
    <t>La data de 02.10.2016, între halta de miÈ™care Bicsadu Oltului È™i staÈ›ia CFR MalnaÈ™ BÄƒi, în ...</t>
  </si>
  <si>
    <t>La data de 02.10.2016, între halta de miÈ™care Bicsadu Oltului È™i staÈ›ia CFR MalnaÈ™ BÄƒi, în circulaÈ›ia trenului IR nr.1642 s-a produs deraierea de prima osie în sensul de mers a locomotivei de remorcare EA nr.91530400014-3, deraiere ce a fost cauzatÄƒ de ruperea axei acestei osii. În timpul investigÄƒrii accidentului s-a constatat faptul cÄƒ, axa osiei cu numÄƒrul înregistrare în parcul CFR 32978 (implicatÄƒ în accident) era fabricatÄƒ în anul 1973, având o duratÄƒ de serviciu de 43 ani. De asemenea, pe baza datelor furnizate de deÈ›inÄƒtorul locomotivei, s-a stabilit faptul cÄƒ, numai de la data de 01.01.1998 osia montatÄƒ implicatÄƒ a parcurs un numÄƒr de 2.002.133 kilometri. Din datele furnizate de deÈ›inÄƒtorul locomotivei, reiese faptul cÄƒ, de la data de 01.01.1998 È™i pânÄƒ la producerea acestui accident, axa acestei osii nu a fost controlatÄƒ cu unde ultrasonice în stare dezmembratÄƒ (cu roÈ›ile, coroana È™i rulmenÈ›ii demontaÈ›i), control ce ar putea fi mai eficient, întrucât, în aceste condiÈ›ii, se reduc ecourile perturbatoare produse de piesele osiei montate. Având în vedere cele de mai sus, pentru reducerea riscului de apariÈ›ie a ruperilor de osii, comisia de investigare emite urmÄƒtoarea recomandare: 1. Autoritatea de SiguranÈ›Äƒ FeroviarÄƒ RomânÄƒ, împreunÄƒ cu operatorii de transport feroviar deÈ›inÄƒtori de locomotive de tipul celei implicate în accident, va analiza oportunitatea ca, dupÄƒ un anumit interval de timp sau de rulaj, la acest tip de osii sÄƒ fie efectuat un control ultrasonic al axei osiei în stare dezmembratÄƒ.</t>
  </si>
  <si>
    <t>RO-5170/2</t>
  </si>
  <si>
    <t>Safety recommendations On the 2nd October 2016, between the railway stations Bicsadu Oltului and MalnaÈ™ BÄƒi, in the running of the train IR no.1642, the first axle from the hauling locomotive EA no.91530400014-3, in its running direction, derailed, its derailment being generated by the breakage of the wheel axle. During the accident investigation one found out that the axle with registration number in the engine stock 32978 (involved in the accident) was manufactured in 1973, with 43 years life time. Upon the data supplied by the locomotive keeper, one established that, only starting with the 1st of January 1998, the involved wheelset ran 2.002.133 km. From the data supplied by the locomotive keeper results that, from the 1st January 1998 until the accident occurrence, the axle was not submited to ultrasonic control in disassembled condition (with the wheels, gearwheel and roller bearings disassembled), control that could be effective because, undere these conditions, the disturbing signals, generated by the parts of the wheelset are reduced. Taking into account these above mentioned, in order to decrease the risk of axle breakage appearance, the investigation commission issue the next recommendation: 1. Romanian Railway Safety Authority, together the railway undertakings, that keep the locomotives like those involved in the accident, shall analyze the opportunity that, at an interval of time or running, at this type of axle be made the ultrasonic control but in disassembled condition.</t>
  </si>
  <si>
    <t>RO-5178/1</t>
  </si>
  <si>
    <t>Deraierea primului boghiu al vagonului nr.31533555119-0, al 6-lea din compunerea trenului de marfÄƒ ...</t>
  </si>
  <si>
    <t>Deraierea primului boghiu al vagonului nr.31533555119-0, al 6-lea din compunerea trenului de marfÄƒ nr.80394, s-a produs pe fondul mentenanÈ›ei necorespunzÄƒtoare a infrastructurii feroviare. În timpul investigaÈ›iei s-a constatat cÄƒ, mentenanÈ›a suprastructurii cÄƒii nu a fost realizatÄƒ în conformitate cu prevederile codurilor de practicÄƒ (documente de referinÈ›Äƒ/asociate ale procedurilor din cadrul sistemului de management al siguranÈ›ei al CNCF â€žCFRâ€ SA). Având în vedere factorii care au contribuit la producerea accidentului, factori ce au la bazÄƒ cauze subiacente ce reprezintÄƒ abateri de la codurile de practicÄƒ, precum È™i faptul cÄƒ, supravegherea operatorilor economici din sistemul de transport feroviar este atribuÈ›ia AutoritÄƒÈ›ii de SiguranÈ›Äƒ FeroviarÄƒ RomânÄƒ â€“ ASFR, comisia de investigare recomandÄƒ ca ASFR sÄƒ dispunÄƒ agenÈ›ilor economici, care produc È™i utilizeazÄƒ traverse de lemn impregnate o reevaluare a È›inerii sub control a riscurilor generate de impregnarea a traverselor de lemn.</t>
  </si>
  <si>
    <t>RO-5178/2</t>
  </si>
  <si>
    <t>The derailment of the bogie from the wagon no.31533555119-0, the sixth wagon of the freight train no.80394, happened following the unsuitable maintenance of the railway infrastructure. During the investigation, one found out that the track superstructure was not realized in accordance with the provisions of the practice codes (reference documents/associated to the procedures of the safety management system of CNCF â€žCFRâ€ SA). Taking into account the factors contributing the accident, factors based on underlying causes that are deviations from the practice codes, as well as that the oversight of the economic operators from the railway system is the responsibility of Romanian Railway Safety Authority â€“ ASFR, the investigation commission recommends ASFR to ask economic agents, manufacturing and using wooden impregnated sleepers, to re-assess the control of the risks generated by the impregnation of the wooden sleepers.</t>
  </si>
  <si>
    <t>RO-5200/1</t>
  </si>
  <si>
    <t>Având în vedere concluziile È™i cauza primarÄƒ a acestui accident, comisia de investigare recomandÄƒ ...</t>
  </si>
  <si>
    <t>Având în vedere concluziile È™i cauza primarÄƒ a acestui accident, comisia de investigare recomandÄƒ AutoritÄƒÈ›ii de SiguranÈ›Äƒ FeroviarÄƒ: 1. SÄƒ solicite administratorului de infrastructurÄƒ feroviarÄƒ publicÄƒ revizuirea sistemului de management al siguranÈ›ei È™i efectuarea unei analize de risc pentru cazurile în care pe infrastructura feroviarÄƒ publicÄƒ se executÄƒ lucrÄƒri de mentenanÈ›Äƒ cu societÄƒÈ›i autorizate AFER È™i cu personal autorizat SC.</t>
  </si>
  <si>
    <t>RO-5200/2</t>
  </si>
  <si>
    <t>Taking into account the conclusions and the root cause of this accident, the investigation commission recommends Romanian Railway Safety Authority: 1. ask public railway infrastructure manager to review the safety management system and make a risk analysis for the cases where on the public railway infrastructury there are performened maintenance works with companies authorised by AFER and authorized traffic safety staff.</t>
  </si>
  <si>
    <t>RO-5200/3</t>
  </si>
  <si>
    <t>Având în vedere concluziile È™i cauza primarÄƒ a acestui accident, comisia de investigare recomandÄƒ AutoritÄƒÈ›ii de SiguranÈ›Äƒ FeroviarÄƒ: 2. SÄƒ solicite administratorului de infrastructurÄƒ feroviarÄƒ publicÄƒ analizarea oportunitÄƒÈ›ii actualizÄƒrii reglementÄƒrilor proprii aplicabile privind aprobarea închiderilor de linie, astfel încât sÄƒ nu existe ambiguitÄƒÈ›i în stabilirea responsabilului SC pentru fiecare etapÄƒ a lucrÄƒrii.</t>
  </si>
  <si>
    <t>RO-5200/4</t>
  </si>
  <si>
    <t>Taking into account the conclusions and the root cause of this accident, the investigation commission recommends Romanian Railway Safety Authority: 2. ask public railway infrastructure manager to analyze the oportunity to update its applicable regulations for the line closing, so do not exist ambiguities in the appointment of the traffic safety responsible for each part of the work.</t>
  </si>
  <si>
    <t>RO-5206/1</t>
  </si>
  <si>
    <t>1. produsele feroviare critice din circuitul de comandÄƒ al graduatorului locomotivelor electrice, ...</t>
  </si>
  <si>
    <t>1. produsele feroviare critice din circuitul de comandÄƒ al graduatorului locomotivelor electrice, vor fi încadrate la clasa de risc 1A - produse feroviare a cÄƒror defectare antreneazÄƒ o pierdere a siguranÅ£ei ÅŸi securitÄƒÅ£ii transporturilor;</t>
  </si>
  <si>
    <t>RO-5206/2</t>
  </si>
  <si>
    <t>1. the railway critical products from the circuit for the command of the electric locomotive dimmer, shall be included in the class of risk 1A â€“ railway products which failure leads to the loss of transport safety and security;</t>
  </si>
  <si>
    <t>RO-5206/3</t>
  </si>
  <si>
    <t>2. pânÄƒ la îndeplinirea recomandÄƒrii nr.1, locomotivele electrice produse de cÄƒtre SC ELECTROPUTERE ...</t>
  </si>
  <si>
    <t>2. pânÄƒ la îndeplinirea recomandÄƒrii nr.1, locomotivele electrice produse de cÄƒtre SC ELECTROPUTERE SA la care s-au efectuat modificÄƒri ale circuitului de comandÄƒ a graduatorului faÅ£Äƒ de cel omologat la fabricaÅ£ie, nu vor fi admise în exploatare decât dupÄƒ dispunerea de mÄƒsuri asiguratorii necesare siguranÅ£ei feroviare;</t>
  </si>
  <si>
    <t>RO-5206/4</t>
  </si>
  <si>
    <t>2. until the implementation of the recommendation no. 1, the electric locomotives manufatured by SC ELECTROPUTERE SA, submitted to changes at the circuit for the command of the dimmer against the homologated one at the manufaturing, shall not be accepted in operation only after disposing ensuring measures necessary for the railway safety;</t>
  </si>
  <si>
    <t>RO-5206/5</t>
  </si>
  <si>
    <t>3. legislaÅ£ia privind omologarea produselor ÅŸi serviciilor de reparaÅ£ii a vehiculelor feroviare va ...</t>
  </si>
  <si>
    <t>3. legislaÅ£ia privind omologarea produselor ÅŸi serviciilor de reparaÅ£ii a vehiculelor feroviare va fi revizuita astfel încât aceasta sÄƒ nu intre în conflict cu prevederile europene în ceea ce priveÅŸte certificarea entitÄƒÅ£ilor responsabile cu întreÅ£inerea altele decât vagoanele de marfÄƒ.</t>
  </si>
  <si>
    <t>RO-5206/6</t>
  </si>
  <si>
    <t>3. the legislation for the homologation of the products and repair services shall be reviewed so it does not conflict European provisions concerning the certification of the entities responsible with the maintenance, other than the wagons.</t>
  </si>
  <si>
    <t>RO-5206/7</t>
  </si>
  <si>
    <t>4. instruirea teoreticÄƒ pentru situaÈ›iile neobiÅŸnuite ÅŸi periculoase este dublatÄƒ de o instruire ...</t>
  </si>
  <si>
    <t>4. instruirea teoreticÄƒ pentru situaÈ›iile neobiÅŸnuite ÅŸi periculoase este dublatÄƒ de o instruire practicÄƒ, într-un simulator, pentru ca operatorul uman sÄƒ fie expus unor situaÈ›ii neobiÈ™nuite pentru a-È™i forma deprinderi È™i scheme de acÈ›iune adecvate acestora.</t>
  </si>
  <si>
    <t>RO-5206/8</t>
  </si>
  <si>
    <t>4. theoretical training for unusual and dangerous situations is joined by practical training, in a simulator, so the human operator deals with some unusual situations in order to get skills for action appropriate them</t>
  </si>
  <si>
    <t>RO-5207/1</t>
  </si>
  <si>
    <t>Cu ocazia desfÄƒÅŸurÄƒrii acÅ£iunii de investigare, în baza documentelor puse la dispoziÅ£ie, comisia a ...</t>
  </si>
  <si>
    <t>Cu ocazia desfÄƒÅŸurÄƒrii acÅ£iunii de investigare, în baza documentelor puse la dispoziÅ£ie, comisia a constatat cÄƒ existÄƒ o problemÄƒ în procesul de achiziÅ£ionare a automotoarelor care au efectuat reparaÅ£ie tip RG cu modernizare, în sensul în care documentaÅ£ia de execuÅ£ie a modernizÄƒrii automotoarelor nu a fost însuÅŸitÄƒ de beneficiar ÅŸi AFER ÅŸi sunt diferenÅ£e între prevederile documentaÅ£iei de execuÅ£ie ÅŸi produsul furnizat. Având în vedere cele menÅ£ionate, comisia de investigare recomandÄƒ AutoritÄƒÈ›ii de SiguranÈ›Äƒ FeroviarÄƒ RomânÄƒ â€“ ASFR sÄƒ întreprindÄƒ acÅ£iunile necesare pentru, ca în procesul de realizare a modificÄƒrilor constructive (modernizÄƒri) ale unor subsisteme structurale ale materialul rulant motor, astfel de situaÅ£ii sÄƒ fie eliminate prin: - însuÈ™irea de cÄƒtre beneficiar È™i AFER a modificÄƒrilor tehnice realizate de furnizor; - verificarea de cÄƒtre beneficiar È™i AFER a conformitÄƒÈ›ii produsului realizat în raport cu documentaÈ›ia de execuÈ›ie; - mÄƒsuri specifice identificate de beneficiar pentru È›inerea sub control a eventualelor riscuri generate în exploatarea materialului rulant, ca urmare a modificÄƒrilor constructive aduse materialului.</t>
  </si>
  <si>
    <t>RO-5207/2</t>
  </si>
  <si>
    <t>During the investigation, according to the submitted documents, the investigation commission found out that there is a problem in purchase process of the multiple units that were submitted for repair type RG with modernization, that is the documentation for the modernization of the multiple units was not assimilated by the beneficiary and AFER, and there are differences between the provisions of the execution documentation of the supplied product. Taking into account these above mentioned, the investigation commission recommends Romanian Railway Safety Authority â€“ ASFR to undertake the necessary actions so that in the process for the construction changes (modernizations) of some structural subsystems of the motorized rolling stock, such situations be removed through: - assimilation by the beneficiary and by AFER of the technical changes made by the supplier; - checking by the beneficiary and by AFER of the conformity of the manufactured product against the execution documentation; - specific measures identified by the beneficiary for the control of the possible risks generated in the operation of the rolling stock, following the constructive changes made at the rolling stock.</t>
  </si>
  <si>
    <t>RO-5218/1</t>
  </si>
  <si>
    <t>La data de 31.12.2016, între StaÈ›ia CFR Izvoru Oltului È™i halta de miÈ™care Izvoru MureÈ™ului, s-a ...</t>
  </si>
  <si>
    <t>La data de 31.12.2016, între StaÈ›ia CFR Izvoru Oltului È™i halta de miÈ™care Izvoru MureÈ™ului, s-a produs deraierea primului boghiu în sensul de mers al celui de-al doilea vagon din compunerea trenului de cÄƒlÄƒtori Regio nr.4504, format din douÄƒ rame electrice tip Z 6100. În cadrul acÈ›iunii de investigare s-a constatat faptul cÄƒ deraierea s-a produs È™i datoritÄƒ lipsei ungerii în zona pivotului central cutie vagon - boghiu purtÄƒtor de la boghiul deraiat, acest lucru putând fi datorat È™i neadaptÄƒrii specificaÈ›iei tehnice ST18/2007 pentru efectuarea întreÈ›inerii la ramele electrice Z6100, pentru È›inerea sub control a riscului ca acest ansamblu sÄƒ nu fie uns o perioadÄƒ mare de timp. De asemenea, s-a mai constatat faptul cÄƒ vehiculul feroviar deraiat nu avea un potenÈ›ial tehnic care sÄƒ asigure condiÅ£ii de siguranÈ›Äƒ, confort È™i securitate a circulaÅ£iei, având norma de timp impusÄƒ pentru efectuarea reparaÈ›iilor planificate depÄƒÈ™itÄƒ. În procedura â€žPlanificarea reviziilor È™i reparaÈ›iilor pentru locomotive, automotoare È™i rame electrice aparÈ›inând SNTFC â€žCFR CÄƒlÄƒtoriâ€ SA â€“ cod PO-0-7.1-14â€, elaboratÄƒ în anul 2012, nu este prevÄƒzutÄƒ obligaÈ›ia de retragere din serviciu a vehiculelor feroviare motoare pentru efectuarea reparaÈ›iilor planificate la atingerea normelor de timp (zile, luni, ani) sau a normelor de kilometri parcurÈ™i, aÈ™a cum este stipulat în documentul de referinÈ›Äƒ OMTI nr.315/2011 1. Având în vedere cele menÈ›ionate anterior, pentru reducerea riscului de menÈ›inere în serviciu a vehiculelor feroviare dupÄƒ atingerea normelor de timp (zile, luni, ani) sau a normelor de kilometri parcurÈ™i pentru efectuarea reparaÈ›iilor planificate, comisia de investigare recomandÄƒ AutoritÄƒÈ›ii de SiguranÈ›Äƒ FeroviarÄƒ â€“ ASFR sÄƒ solicite operatorului de transport feroviar revizuirea sistemului propriu de management al siguranÈ›ei, prin întocmirea unor proceduri a cÄƒror prevederi sÄƒ fie puse în acord cu normele naÈ›ionale È™i europene în vigoare.</t>
  </si>
  <si>
    <t>RO-5218/2</t>
  </si>
  <si>
    <t>Safety recommendations On the 31st December 2016, between the railway stations Izvoru Oltului and Izvoru MureÈ™ului, the fist bogie from the second wagon of the train Regio nr.4504, consisting in two electric train sets type Z 6100, derailed. During the investigation, one found out that the derailment happened because the lack of lubrication at the central pin wagon body â€“ carrying bogie, from the derailed bogie, it could be generated also by the maladjustment of the technical specification ST18/2007 for the maintenance performance at the electric train sets Z6100, for the control of the risk that this ensemble be not lubricated a long period of time. One also found out that the railway vehicle derailed had no technical potential to ensure the safety conditions, comfort and traffic security, having the time norm imposed for planned repairs exceeded. In the procedure â€žPlanning of inspections and repairs at locomotives, multiple units and electric train sets got by SNTFC â€žCFR CÄƒlÄƒtoriâ€ SA â€“ code PO-0-7.1-14â€, drafted in 2012, there is not stipulated the obligation to withdraw from operation the motorised railway vehicles for planned repairs when they reach the time norms (days, months, years) or the norms of run km, as it is stipulated in the reference document OMTI no.315/2011. 1. Taking into account these above mentioned, in order to decrease the risk to keep in operation railway vehicles after reaching the time norms (days, months, years) or thenorms of run km for the planned repairs, the investigation commission recommends Romanian Railway Safety Authority â€“ ASFR to ask railway undertaking the revision of its own safety management system, drafting some procedures whose provisions be put in conformity with the national an European norms in force.</t>
  </si>
  <si>
    <t>RO-5218/3</t>
  </si>
  <si>
    <t>La data de 31.12.2016, între StaÈ›ia CFR Izvoru Oltului È™i halta de miÈ™care Izvoru MureÈ™ului, s-a produs deraierea primului boghiu în sensul de mers al celui de-al doilea vagon din compunerea trenului de cÄƒlÄƒtori Regio nr.4504, format din douÄƒ rame electrice tip Z 6100. În cadrul acÈ›iunii de investigare s-a constatat faptul cÄƒ deraierea s-a produs È™i datoritÄƒ lipsei ungerii în zona pivotului central cutie vagon - boghiu purtÄƒtor de la boghiul deraiat, acest lucru putând fi datorat È™i neadaptÄƒrii specificaÈ›iei tehnice ST18/2007 pentru efectuarea întreÈ›inerii la ramele electrice Z6100, pentru È›inerea sub control a riscului ca acest ansamblu sÄƒ nu fie uns o perioadÄƒ mare de timp. De asemenea, s-a mai constatat faptul cÄƒ vehiculul feroviar deraiat nu avea un potenÈ›ial tehnic care sÄƒ asigure condiÅ£ii de siguranÈ›Äƒ, confort È™i securitate a circulaÅ£iei, având norma de timp impusÄƒ pentru efectuarea reparaÈ›iilor planificate depÄƒÈ™itÄƒ. În procedura â€žPlanificarea reviziilor È™i reparaÈ›iilor pentru locomotive, automotoare È™i rame electrice aparÈ›inând SNTFC â€žCFR CÄƒlÄƒtoriâ€ SA â€“ cod PO-0-7.1-14â€, elaboratÄƒ în anul 2012, nu este prevÄƒzutÄƒ obligaÈ›ia de retragere din serviciu a vehiculelor feroviare motoare pentru efectuarea reparaÈ›iilor planificate la atingerea normelor de timp (zile, luni, ani) sau a normelor de kilometri parcurÈ™i, aÈ™a cum este stipulat în documentul de referinÈ›Äƒ OMTI nr.315/2011. 2. Pentru reducerea riscului ca zona pivotului central cutie vagon - boghiu purtÄƒtor sÄƒ nu fie uns o perioada mare de timp, comisia de investigare recomandÄƒ AutoritÄƒÈ›ii de SiguranÈ›Äƒ FeroviarÄƒ â€“ ASFR sÄƒ solicite operatorului economic Societatea de ReparaÈ›ii Locomotive â€žCFR-SCRL BraÈ™ovâ€ SA revizuirea specificaÈ›iei tehnice pentru întreÈ›inerea ramelor electrice de tip Z 6100.</t>
  </si>
  <si>
    <t>RO-5218/4</t>
  </si>
  <si>
    <t>On the 31st December 2016, between the railway stations Izvoru Oltului and Izvoru MureÈ™ului, the fist bogie from the second wagon of the train Regio nr.4504, consisting in two electric train sets type Z 6100, derailed. During the investigation, one found out that the derailment happened because the lack of lubrication at the central pin wagon body â€“ carrying bogie, from the derailed bogie, it could be generated also by the maladjustment of the technical specification ST18/2007 for the maintenance performance at the electric train sets Z6100, for the control of the risk that this ensemble be not lubricated a long period of time. One also found out that the railway vehicle derailed had no technical potential to ensure the safety conditions, comfort and traffic security, having the time norm imposed for planned repairs exceeded. In the procedure â€žPlanning of inspections and repairs at locomotives, multiple units and electric train sets got by SNTFC â€žCFR CÄƒlÄƒtoriâ€ SA â€“ code PO-0-7.1-14â€, drafted in 2012, there is not stipulated the obligation to withdraw from operation the motorised railway vehicles for planned repairs when they reach the time norms (days, months, years) or the norms of run km, as it is stipulated in the reference document OMTI no.315/2011. 2. Decreasing the risk that the area of the central pin wagon body â€“ carrying bogie not be lubricated for a long time, the investigation commission recommends Romanian Railway Safety Authority â€“ ASFR to ask the economic operator Societatea de ReparaÈ›ii Locomotive â€žCFR-SCRL BraÈ™ovâ€ SA the revision of the technical specification for the maintenance of the electric train sets type Z 6100.</t>
  </si>
  <si>
    <t>RO-5219/1</t>
  </si>
  <si>
    <t>La data de 01.01.2017, în staÈ›ia CFR BraÈ™ov Triaj, în circulaÈ›ia trenului de marfÄƒ nr.50480-1 s-a ...</t>
  </si>
  <si>
    <t>La data de 01.01.2017, în staÈ›ia CFR BraÈ™ov Triaj, în circulaÈ›ia trenului de marfÄƒ nr.50480-1 s-a produs deraierea de prima osie în sensul de mers a locomotivei EA40-0223-4. În cursul acÈ›iunii de investigare s-a constatat faptul cÄƒ locomotiva implicatÄƒ în accidentul feroviar nu avea potenÈ›ial tehnic care sÄƒ asigure condiÅ£ii de siguranÈ›Äƒ È™i securitate a circulaÅ£iei, având norma de timp pentru efectuarea reparaÈ›iilor planificate depÄƒÈ™itÄƒ, contrar prevederilor Ordinului MTI nr.1359/2012 pentru modificarea È™i completarea Normativului feroviar "Vehicule de cale feratÄƒ. Tipuri de revizii È™i reparaÈ›ii planificate. Normele de timp sau normele de kilometri parcurÈ™i pentru efectuarea reviziilor È™i reparaÈ›iilor planificate", aprobat prin Ordinul ministrului transporturilor È™i infrastructurii nr.315/2011, acest fapt favorizând producerea accidentului. De asemenea în timpul investigÄƒrii accidentului, în ceea ce priveÈ™te sistemul de management al operatorului de transport SC UNICOM TRANZIT SA, s-au constatat urmÄƒtoarele neconformitÄƒÈ›i: ï‚§ procedura operaÈ›ionalÄƒ privind activitatea de mentenanÈ›Äƒ a parcului de locomotive nu face referire È™i la necesitatea È™i periodicitatea efectuÄƒrii reparaÈ›iilor planificate; ï‚§ în cadrul acÈ›iunii de evaluare a riscurilor asociate activitÄƒÈ›ilor specifice, nu a fost identificat pericolul de neretragere din serviciu a locomotivelor pentru efectuarea reparaÈ›iilor planificate. 1. Având în vedere cele menÈ›ionate anterior, comisia de investigare recomandÄƒ AutoritÄƒÈ›ii de SiguranÈ›Äƒ FeroviarÄƒ RomânÄƒ sÄƒ solicite operatorului de transport feroviar de marfÄƒ revizuirea sistemului de management al siguranÈ›ei, prin întocmirea unor proceduri È™i prin efectuarea unei analize de risc în conformitate cu normele naÈ›ionale È™i europene în vigoare pentru È›inerea sub control a riscurilor asociate operaÈ›iunilor feroviare.</t>
  </si>
  <si>
    <t>RO-5219/2</t>
  </si>
  <si>
    <t>D. SAFETY RECOMMENDATIONS On the 1st January 2017, in the railway station BraÈ™ov Triaj, in the running of the freight train no.50480-1, the first axle, in the running direction of the locomoive EA40-0223-4, derailed. During the investigation, one found out that the locomotive involved in the accident had not the technical potential that ensure the traffic safety and security, having the time norm for the performance of the planned repairs exceeded, aginst the provisions of the Order of Minister of Transports and Infrastructure OMTI no.1359/2012 for the amendment of the Railway Norm "Railway vehicles. Types of inspections and planned repairs. Norms of time and norms of km run for the performance of the inspections and planned repairs", approved through the Order of Minister of Transports and Infrastructure OMTI no.315/2011, it favouring the accident occurrence. Also, during the investigation, concerning the safety management system of the railway undertaking SC UNICOM TRANZIT SA, one found out the next nonconformities: ï‚§ the operational procedure for the maintenance of the locomotive stock des not refer also to the need and periodicity of the planned repair performance; ï‚§ within the assessment of the risks associated to the specific activities, one did not identify the danger resulted from the non-withdrawal from operation of the locomotives for their submition to planned repairs. 1. Taking into account these above mentioned, the investigation commission recommends Romanian Railway Safety Authority to ask to the railway freight undertaking the revision of the safety management system, drafting some procedures for the performance of a risk analysis in accordance with the national and European norms in force for the control of the risks associated to the railway operations.</t>
  </si>
  <si>
    <t>RO-5250/1</t>
  </si>
  <si>
    <t>RecomandÄƒri de siguranÅ£Äƒ Având în vedere faptul cÄƒ în cadrul procesului de investigare efectuat au ...</t>
  </si>
  <si>
    <t>RecomandÄƒri de siguranÅ£Äƒ Având în vedere faptul cÄƒ în cadrul procesului de investigare efectuat au fost identificate neconformitÄƒÈ›i în aplicarea procedurilor care acoperÄƒ cerinÈ›ele sistemului de management a siguranÈ›ei, care au provocat È™i care pot provoca în continuare accidente/incidente feroviare, AgenÈ›ia de Investigare FeroviarÄƒ RomânÄƒ - AGIFER recomandÄƒ ASFR sÄƒ se asigure cÄƒ gestionarul de infrastructurÄƒ feroviarÄƒ SC RC-CF Trans SRL BraÈ™ov, identificÄƒ È™i analizeazÄƒ corect riscurile generate de neasigurarea bazei materiale È™i a resurselor umane, necesare realizÄƒrii mentenanÈ›ei infrastructurii feroviare ÅŸi monitorizeazÄƒ aceste riscuri în conformitate cu prevederile Regulamentului (UE) Nr. 1078/2012.</t>
  </si>
  <si>
    <t>RO-5250/2</t>
  </si>
  <si>
    <t>Taking into account that during the investigation, one identified some non-conformities in the application of the procedures covering the requirements of the safety management system, that generated and can forwards do railway accidents/incidents, Romanian Railway Investigation Agency - AGIFER recommends Romanian Railway Safety Authority - ASFR to be sure that the railway infrastructure administrator SC RC-CF Trans SRL BraÈ™ov, makes a right identification and analysis of the risks generated by the non-supply of the materials and human resources, necessary to perform the maintenance of the railway infrastructure and to monitor those risks in accordance with the provisions of the Regulations (EU) no. 1078/2012.</t>
  </si>
  <si>
    <t>RO-5254/1</t>
  </si>
  <si>
    <t>A) the investigation commission considers that the Safety Management System - SMS of SC UNICOM ...</t>
  </si>
  <si>
    <t>A) the investigation commission considers that the Safety Management System - SMS of SC UNICOM TRANZIT SA was not drafted in accordance with the provisions of the Law 55/2006 for the railway safety. So, the derailment of the wagon no.84535489625-6 happened because the lack of a written procedure within SMS of SC UNICOM TRANZIT SA, for the establishment of the responsibilities for its own staff, concerning the acceptance for transport of wagons loaded with light metallic wastes, in bulk; The investigation commission also found out that in the Register for the record of its own hazards of SC UNICOM TRANZIT SA, one did not identify the hazard generated by the infringement of the norms on the acceptance for transport of wagons loaded with light metallic wastes in bulk. In this regard, the investigation commission addresses to Romanian Railway Safety Authority the next Safety recommendations: - to ask SC UNICOM TRANZIT SA the revision of the safety management system and making a risk analysis for the associated hazards for the situation of acceptance for transport of wagons loaded with light metallic wastes in bulk, that do nor comply with the loading provisions;</t>
  </si>
  <si>
    <t>RO-5254/2</t>
  </si>
  <si>
    <t>A) Comisia de investigare considerÄƒ cÄƒ SMS al SC UNICOM TRANZIT SA nu a fost realizat în conformitate cu prevederile Legii 55/2006 privind siguranÅ£a feroviarÄƒ. Astfel, deraierea vagonului nr.84535489625-6 s-a produs pe fondul lipsei unor proceduri scrise în cadrul SMS al SC UNICOM TRANZIT SA, prin care sÄƒ se facÄƒ distribuirea cÄƒtre personalul propriu a responsabilitÄƒÅ£ilor privind admiterea la transport a vagoanelor încÄƒrcate cu deÅŸeuri metalice uÅŸoare încÄƒrcate în vrac; TotodatÄƒ , comisia de investigare a constatat cÄƒ în Registrul de evidenÅ£Äƒ a pericolelor proprii al SC UNICOM TRANZIT SA, nu este identificat pericolul generat de nerespectarea normelor privind admiterea la transport a vagoanelor încÄƒrcate cu deÅŸeuri metalice uÅŸoare încÄƒrcate în vrac. În acest sens, comisia de investigare adreseazÄƒ cÄƒtre ASFR urmÄƒtoarea Recomandare de siguranÅ£Äƒ: - sÄƒ solicite SC UNICOM TRANZIT SA revizuirea sistemului de management al siguranÈ›ei È™i efectuarea unei analize de risc privind pericolele asociate pentru cazul admiterii la transport a vagoanelor încÄƒrcate cu deÅŸeuri metalice uÅŸoare încÄƒrcate în vrac, care nu respectÄƒ prescripÅ£iile de încÄƒrcare;</t>
  </si>
  <si>
    <t>RO-5254/3</t>
  </si>
  <si>
    <t>B) The investigation commission considers that the SMS of CNCF â€žCFRâ€ SA was not drafted in ...</t>
  </si>
  <si>
    <t>B) The investigation commission considers that the SMS of CNCF â€žCFRâ€ SA was not drafted in accordance with the provisions of Law 55/2006 for the railway safety. So, the derailment of the wagon no.84535489625-6 happened because the lack of a written procedure within SMS of CNCF â€žCFRâ€ SA, for the establishment of the responsibilities for its own staff concerning the control of the track geometry and the way to deal with the non-conformities found out during this control; The investigation commission also found out that in the Register for the record of its own hazards of the railway county Cluj, one does not identify the hazard generated by the infringement of the norms for the quality of the track geometry. In this regard, the investigation commission addresses Romanian Railway Safety Authority the next</t>
  </si>
  <si>
    <t>RO-5254/4</t>
  </si>
  <si>
    <t>B) Comisia de investigare considerÄƒ cÄƒ SMS al CNCF â€žCFRâ€ SA nu a fost realizat în conformitate cu prevederile Legii 55/2006 privind siguranÅ£a feroviarÄƒ. Astfel, deraierea vagonului nr.84535489625-6 s-a produs pe fondul lipsei unor proceduri scrise în cadrul SMS al CNCF â€žCFRâ€ SA, prin care sÄƒ se facÄƒ distribuirea cÄƒtre personalul propriu a responsabilitÄƒÅ£ilor privind verificarea geometriei cÄƒii ÅŸi modul în care trebuie tratate neconformitÄƒÅ£ile constatate cu ocazia acestei verificÄƒri; TotodatÄƒ, comisia de investigare a constatat cÄƒ în Registrul de evidenÅ£Äƒ a pericolelor proprii al Sucursalei Regionale de CÄƒi Ferate Cluj, nu este identificat pericolul generat de nerespectarea normelor privind calitatea geometriei cÄƒii. În acest sens, comisia de investigare adreseazÄƒ cÄƒtre ASFR urmÄƒtoarea Recomandare de siguranÅ£Äƒ: - sÄƒ solicite CNCF â€žCFRâ€ SA revizuirea sistemului de management al siguranÈ›ei È™i efectuarea unei analize de risc privind pericolele asociate pentru cazul depÄƒÅŸirii toleranÅ£elor, specifice geometriei cÄƒii;</t>
  </si>
  <si>
    <t>RO-5281/1</t>
  </si>
  <si>
    <t>RecomandÄƒri de siguranÅ£Äƒ Comisia de investigare considerÄƒ cÄƒ deraierea vagonului remorcÄƒ LVS 538 ...</t>
  </si>
  <si>
    <t>RecomandÄƒri de siguranÅ£Äƒ Comisia de investigare considerÄƒ cÄƒ deraierea vagonului remorcÄƒ LVS 538 s-a produs pe fondul lipsei unor instrucÅ£iuni scrise în cadrul SpecificaÅ£iei tehnice COD: ST 11-2005, prin care sÄƒ se facÄƒ distribuirea cÄƒtre personalul de specialitate a responsabilitÄƒÅ£ilor privind verificarea suporturilor de prindere de la remorca de tip LVS cu ocazia reviziilor planificate. Având în vedere prevederile art. 4(3) din LEGEA nr.55 din 16 martie 2006 privind siguranÅ£a feroviarÄƒ, care prevede cÄƒ responsabilitatea exploatÄƒrii sigure a sistemului feroviar ÅŸi a controlului riscurilor asociate cu acesta aparÅ£ine operatorilor de transport feroviar, care au obligaÅ£ia sÄƒ punÄƒ în aplicare mÄƒsurile necesare de control al riscurilor, dacÄƒ este cazul în cooperare, comisia de investigare considerÄƒ necesar ca sÄƒ emitÄƒ o recomandare de siguranÅ£Äƒ cÄƒtre Autoritatea de SiguranÈ›Äƒ FeroviarÄƒ RomânÄƒ â€“ ASFR, dupÄƒ cum urmeazÄƒ: Recomandare de siguranÅ£Äƒ: ASFR sÄƒ solicite operatorilor de transport feroviar de cÄƒlÄƒtori care deÅ£in în parc vagoane remorcÄƒ tip LVS, efectuarea unei analize de risc privind pericolele asociate, pentru cazul ruperii ÅŸuruburilor de la suporturile de prindere ale rezervoarelor de motorinÄƒ, de la acest tip de vehicule feroviare.</t>
  </si>
  <si>
    <t>RO-5281/2</t>
  </si>
  <si>
    <t>Safety recommendations The investigation commission considers that the derailment of the trailling wagon LVS 538 happened because the lack of a written instruction within the Technical Specification COD: ST 11-2005, through which the responsabilities for the checking of the fastening supports from the trailling coach type LVS during the planned inspections be assigned. Taking into account the provisions from art. 4(3) of the Law no.55 from the 16th March 2006 for the railway safety, that stipulate that the responsibility for the safety operation of the railway system and for the control of the associated risks is in charge of the railway undertakings, that have to apply the measures necessary for the risk control, if case in cooperation, the investigation commission considers necessary to issue a safety recommendations for Romanian Railway Safety Authority â€“ ASFR, as follows: Safety recomendation: ASFR ask the railway passenger undertakings that got in their stock trailling coaches type LVS, the performance of a risk analysis for the associated hazards, in case of breakage of the screws for the fastening of the diesel tanks, from this type of railway vehicles.</t>
  </si>
  <si>
    <t>RO-5289/1</t>
  </si>
  <si>
    <t>Deraierea vagonului 33530823183-6, al 3-lea din compunerea trenului de marfÄƒ nr.30559-2 s-a produs ...</t>
  </si>
  <si>
    <t>Deraierea vagonului 33530823183-6, al 3-lea din compunerea trenului de marfÄƒ nr.30559-2 s-a produs în principal pe fondul mentenanÈ›ei necorespunzÄƒtoare pe curba de dupÄƒ schimbÄƒtorul de cale numÄƒrul 10, cu acces spre linia 4 a haltei de miÈ™care Ciolpani dar È™i pe fondul creÈ™terii gradului de rigiditate al ansamblului boghiu â€“ cutie vagon cu consecinÈ›e asupra înscrierii acestuia în curbÄƒ. În cursul acÈ›iunii desfÄƒÈ™urate, comisia de investigare a constatat faptul cÄƒ managementul administratorului de infrastructurÄƒ la nivel central È™i regional a identificat dar nu a gestionat riscurile generate de nerealizarea mentenanÈ›ei liniilor CF, pentru a putea dispune în consecinÈ›Äƒ soluÈ›ii È™i mÄƒsuri viabile în vederea Å£inerii sub control a pericolului deraierii. Astfel, administratorul de infrastructurÄƒ feroviarÄƒ publicÄƒ, dacÄƒ ar fi aplicat propriile proceduri ale sistemului de management al siguranÈ›ei, în integritatea lor, precum È™i prevederile codurilor de practicÄƒ, parte a SMS, ar fi putut sÄƒ menÈ›inÄƒ parametrii tehnici ai geometriei cÄƒii în limitele toleranÈ›elor impuse de siguranÈ›a feroviarÄƒ È™i sÄƒ previnÄƒ producerea acestui accident. De asemenea, comisia a constatat cÄƒ la nivelul operatorului de transport managementul de vârf nu a identificat È™i gestionat riscurile generate de absenÈ›a/deteriorarea în exploatare a garniturilor de poliamidÄƒ dintre crapodinele vagonului având ca È™i consecinÈ›Äƒ o înscriere necorespunzÄƒtoare a vehiculului în curbÄƒ, deci nu a putut lua mÄƒsurile în vederea È›inerii sub control a acestor riscuri. Având în vedere aspectele prezentate comisia de investigare recomandÄƒ ASFR: 1. sÄƒ solicite administratorului infrastructurii feroviare publice: - revizuirea "Registrului propriu de pericole"; - gestionarea eficace a riscurilor generate de nerealizarea mentenanÈ›ei liniilor CF, prin reevaluarea mÄƒsurilor de È›inere sub control a acestor riscuri.</t>
  </si>
  <si>
    <t>RO-5289/2</t>
  </si>
  <si>
    <t>Safety recommnedations The derailment of the wagon no. 33530823183-6, the 3rd of the freight train no.30559-2 happened because the unsuitable maintenance in the curve after the switch no. 10, with access to the line 4 of the railway station Ciolpani and following the increase of the rigidity of the ensemble bogie â€“ wagon body, with consequences for the curve negociation. During the investigation, the investigation commission found out that the management of the infrastructure manager, at its central and county level, identified but did not managed the risks generated by the non-performance of line maintenance, in order to dispose, consequently, viable solutions and measures, for the control of the derailment hazards. Thus, the public infrastruture manager, if it had applied the own procedures of the safety management system, completely, as well as the provisions of the practice codes, part of the Safety Management System SMS, it could keep the technical paramenters of the track geometry between the tolerances imposed by the railway safety and to prevent the occurrence of this accident. The commission, also found out that the top management of the railway undertaking did not identify and manage the risks generated by the lack/deterioration in operation of the polyamide linings between the centre castings of the wagon, leading to the unsuitable curve negociation, so it could not take the measures for the control of these risks. Taking into account the presented issues, the investigation commission recommend Romanian Railway Safety Authority ASFR: 1. to ask railway public infrastructure manager: - review "Own register of dangers"; - effective management of the risks generated by the non-performance of the line maintenance, re-assessing the measures for those risk control.</t>
  </si>
  <si>
    <t>RO-5289/3</t>
  </si>
  <si>
    <t>RecomandÄƒri de siguranÅ£Äƒ Deraierea vagonului 33530823183-6, al 3-lea din compunerea trenului de ...</t>
  </si>
  <si>
    <t>RecomandÄƒri de siguranÅ£Äƒ Deraierea vagonului 33530823183-6, al 3-lea din compunerea trenului de marfÄƒ nr.30559-2 s-a produs în principal pe fondul mentenanÈ›ei necorespunzÄƒtoare pe curba de dupÄƒ schimbÄƒtorul de cale numÄƒrul 10, cu acces spre linia 4 a haltei de miÈ™care Ciolpani dar È™i pe fondul creÈ™terii gradului de rigiditate al ansamblului boghiu â€“ cutie vagon cu consecinÈ›e asupra înscrierii acestuia în curbÄƒ. În cursul acÈ›iunii desfÄƒÈ™urate, comisia de investigare a constatat faptul cÄƒ managementul administratorului de infrastructurÄƒ la nivel central È™i regional a identificat dar nu a gestionat riscurile generate de nerealizarea mentenanÈ›ei liniilor CF, pentru a putea dispune în consecinÈ›Äƒ soluÈ›ii È™i mÄƒsuri viabile în vederea Å£inerii sub control a pericolului deraierii. Astfel, administratorul de infrastructurÄƒ feroviarÄƒ publicÄƒ, dacÄƒ ar fi aplicat propriile proceduri ale sistemului de management al siguranÈ›ei, în integritatea lor, precum È™i prevederile codurilor de practicÄƒ, parte a SMS, ar fi putut sÄƒ menÈ›inÄƒ parametrii tehnici ai geometriei cÄƒii în limitele toleranÈ›elor impuse de siguranÈ›a feroviarÄƒ È™i sÄƒ previnÄƒ producerea acestui accident. De asemenea, comisia a constatat cÄƒ la nivelul operatorului de transport managementul de vârf nu a identificat È™i gestionat riscurile generate de absenÈ›a/deteriorarea în exploatare a garniturilor de poliamidÄƒ dintre crapodinele vagonului având ca È™i consecinÈ›Äƒ o înscriere necorespunzÄƒtoare a vehiculului în curbÄƒ, deci nu a putut lua mÄƒsurile în vederea È›inerii sub control a acestor riscuri. Având în vedere aspectele prezentate comisia de investigare recomandÄƒ ASFR: 2. sÄƒ solicite operatorului de transport revizuirea sistemului de management al siguranÈ›ei prin identificarea È™i gestionarea tuturor riscurilor relevante generate în activitatea de exploatare.</t>
  </si>
  <si>
    <t>RO-5289/4</t>
  </si>
  <si>
    <t>The derailment of the wagon no. 33530823183-6, the 3rd of the freight train no.30559-2 happened because the unsuitable maintenance in the curve after the switch no. 10, with access to the line 4 of the railway station Ciolpani and following the increase of the rigidity of the ensemble bogie â€“ wagon body, with consequences for the curve negociation. During the investigation, the investigation commission found out that the management of the infrastructure manager, at its central and county level, identified but did not managed the risks generated by the non-performance of line maintenance, in order to dispose, consequently, viable solutions and measures, for the control of the derailment hazards. Thus, the public infrastruture manager, if it had applied the own procedures of the safety management system, completely, as well as the provisions of the practice codes, part of the Safety Management System SMS, it could keep the technical paramenters of the track geometry between the tolerances imposed by the railway safety and to prevent the occurrence of this accident. The commission, also found out that the top management of the railway undertaking did not identify and manage the risks generated by the lack/deterioration in operation of the polyamide linings between the centre castings of the wagon, leading to the unsuitable curve negociation, so it could not take the measures for the control of these risks. Taking into account the presented issues, the investigation commission recommend Romanian Railway Safety Authority ASFR: 2. to ask the railway undertaking to review its safety management system identifying and managing all the relevant risks generated by the operation.</t>
  </si>
  <si>
    <t>RO-5323/1</t>
  </si>
  <si>
    <t>On the 8th April 2017, at 14:30 oâ€™clockin the railway county TimiÅŸoara, track section PetroÅŸani - ...</t>
  </si>
  <si>
    <t>On the 8th April 2017, at 14:30 oâ€™clockin the railway county TimiÅŸoara, track section PetroÅŸani - Simeria (electrified double-track line), between the railway stations BÄƒniÅ£a and MeriÅŸor, track I, km 62+940, in the running of the freight train no.50457, got by the railway undertaking SC UNICOM TRANZIT SA, 14 wagons and the hauling locomotive EA 759 derailed. Following this railway serious accident, the locomotive crew (driver and driverâ€™s assistant) died. Following the investigation, the investigation commission established that the railway serious accident happened because a human error, it being favoured by the physical condition of the locomotive crew, affected by: - consumption of alcoholic drinks during the working time; - fatigue accummulated during the time between the leaving of the home and the accident occurrence, this fatigue present in case of the driver that was 67 years old. Taking into account the findings, the investigation commission considers necessary toissue the next safety recommnedation: ï‚§ Romanian Railway Safety Authority â€“ ASFR shall take care that the railway undertaking SC UNICOM TRANZIT SA revise its own safety management system, so, applying all its own procedures, reduce the risks generated by the unsuitable physical condition of the locomotive staff.</t>
  </si>
  <si>
    <t>RO-5323/2</t>
  </si>
  <si>
    <t>RecomandÄƒri de siguranÅ£Äƒ La data de 08.04.2017, ora 14:30, pe raza de activitate a Sucursalei Regionale CF TimiÅŸoara, secÅ£ia de circulaÅ£ie PetroÅŸani - Simeria (linie dublÄƒ electrificatÄƒ), între staÅ£ia CFR BÄƒniÅ£a ÅŸi halta de miÅŸcare MeriÅŸor, pe firul I de circulaÈ›ie la km 62+940, în circulaÅ£ia trenului de marfÄƒ nr.50457 aparÅ£inând operatorului de transport SC UNICOM TRANZIT SA s-a produs deraierea primelor 14 vagoane din compunere ÅŸi a locomotivei de remorcare, EA 759. În urma producerii acestui accident feroviar grav s-a produs decesul personalului de locomotivÄƒ (mecanicul de locomotivÄƒ ÅŸi mecanicul ajutor). În urma investigaÅ£iei desfÄƒÅŸurate comisia de investigare a stabilit cÄƒ accidentul feroviar grav s-a produs ca urmare a unor erori umane, erori favorizate de starea fizicÄƒ a personalului de locomotivÄƒ care era afectatÄƒ de: - consumul de bÄƒuturi alcoolice în timpul desfÄƒÅŸurÄƒrii activitÄƒÅ£ii; - oboseala acumulatÄƒ în intervalul de timp cuprins între plecarea de la domiciliu ÅŸi momentul producerii accidentului, obosealÄƒ manifestatÄƒ, în cazul mecanicului de locomotivÄƒ, pe fondul vârstei de 67 de ani. Având în vedere cele constatate, comisia de investigare considerÄƒ necesarÄƒ emiterea urmÄƒtoarei recomandÄƒri de siguranÅ£Äƒ: ï‚§ Autoritatea de SiguranÅ£Äƒ FeroviarÄƒ RomânÄƒ â€“ ASFR se va asigura cÄƒ operatorul de transport feroviar SC UNICOM TRANZIT SA îÅŸi va revizui sistemul propriu de management al siguranÅ£ei, astfel încât, prin aplicarea în totalitate a procedurilor proprii, sÄƒ reducÄƒ riscurile generate de starea fizicÄƒ necorespunzÄƒtoare a personalului de locomotivÄƒ.</t>
  </si>
  <si>
    <t>RO-5328/1</t>
  </si>
  <si>
    <t>La data de 15.04.2017, între Hm Mureni È™i Hm Beia, în circulaÈ›ia trenului nr.28261-2 (tren de ...</t>
  </si>
  <si>
    <t>La data de 15.04.2017, între Hm Mureni È™i Hm Beia, în circulaÈ›ia trenului nr.28261-2 (tren de intervenÈ›ie) s-a produs deraierea de primul boghiu în sensul de mers a macaralei EDK 2000 de 250 tf ce se afla în compunerea acestuia, deraiere ce a fost cauzatÄƒ de deformaÈ›ia traversei frontale din faÈ›Äƒ sens mers a acestui boghiu. În cursul acÈ›iunii de investigare s-au constatat unele neconformitÄƒÈ›i în ceea ce priveÈ™te sistemul de management al siguranÈ›ei la operatorii economici implicaÈ›i în producerea accidentului, respectiv lipsa unor reglementÄƒri clare È™i proceduri operaÈ›ionale, pentru activitatea de revizie tehnicÄƒ a trenului de intervenÈ›ie, acÈ›iuni de evaluarea È™i aprecierea riscurilor neefectuate sau efectuate cu omisiuni în ceea ce priveÈ™te pericolele identificate, precum È™i criterii de acceptare a riscurilor insuficiente sau necorespunzÄƒtoare. Au fost constatate de asemenea È™i neconformitÄƒÈ›i în ceea ce priveÈ™te semnÄƒturile pe formularul â€žfoaia de parcursâ€, care pot constitui pericole (o situaÈ›ie care ar putea duce la producerea unui accident conform Regulamentului UE nr.402/2013) în activitÄƒÈ›ile desfÄƒÈ™urate în sistemul feroviar. Având în vedere cele menÈ›ionate anterior, în conformitate cu prevederile Art.25(2) din Legea nr.55/2006 privind siguranÈ›a feroviarÄƒ, comisia de investigare recomandÄƒ AutoritÄƒÈ›ii de SiguranÈ›Äƒ FeroviarÄƒ RomânÄƒ: 1. SÄƒ solicite CNCF â€žCFRâ€ SA, revizuirea activitÄƒÈ›ii trenurilor de intervenÈ›ie È™i a echipelor acestora, prin întocmirea unor reglementÄƒri sau proceduri prin care sÄƒ se asigure cÄƒ circulaÈ›ia mijloacelor de intervenÈ›ie se desfÄƒÈ™oarÄƒ în conformitate cu prevederile legale în vigoare È™i efectuarea acÈ›iunii de evaluarea È™i aprecierea riscurilor pentru aceastÄƒ activitate. De asemenea, se recomandÄƒ È™i identificarea unor soluÈ›ii legale pentru respectarea normativelor feroviare în ceea ce priveÈ™te efectuarea reparaÈ›iilor planificate la aceste tipuri de vehicule feroviare, precum È™i obÈ›inerea de numere de înregistrare în vederea înscrierii în registrul naÈ›ional al vehiculelor.</t>
  </si>
  <si>
    <t>RO-5328/2</t>
  </si>
  <si>
    <t>On the 15th April 2017, between the railway stations Mureni and Beia, in the running of the train no.28261-2 (sequence of operations) the first bogie derailed, in the running direction of the breakdown crane EDK 2000 of 250 tf, it being in its composition, the derailment was generated by the twist of the headstock of this bogie, in its running direction. During the investigation, one found out some non-conformities about the safety management system of the economic operators involved in the accident, respectively the lack of some clear regulations and operational procedure, for the technical inspection of the breakdown trains, for the assessment and estimation of risks, non-performed or performed with omissions concerning the identified dangers, as well as the criteria for the acceptance of the insufficient or unsuitable risks. One also found out non-conformities concerning the signatures on the form â€žroute sheetâ€, that can be dangers (a situation that could lead to the occurrence of an accident according to the Regulations EU no.402/2013) in the railway activities. Taking into account these above mentioned, in accordance with the provisions of Art.25(2) from the Law no.55/2006 concerning the railway safety, the investigation commission recommends Romanian Railway Safety Authority: 1. to request CNCF â€žCFRâ€ SA, the revision of the activity of the breakdown trains and their crews, drafting some regulations or procedures ensuring that the running of the means of intervention is performed in accordance with the legal provisions in force and the performance of the assessment and estimation of risks for this activity. One also recommends the identification of some legal solutions for the compliance with the railway norms concerning the performance of the planned repairs at this type of railway vehicles, as well as the getting of the matriculation numbers for their matriculation in the national register of vehicles.</t>
  </si>
  <si>
    <t>RO-5328/3</t>
  </si>
  <si>
    <t>RecomandÄƒri de siguranÈ›Äƒ La data de 15.04.2017, între Hm Mureni È™i Hm Beia, în circulaÈ›ia trenului ...</t>
  </si>
  <si>
    <t>RecomandÄƒri de siguranÈ›Äƒ La data de 15.04.2017, între Hm Mureni È™i Hm Beia, în circulaÈ›ia trenului nr.28261-2 (tren de intervenÈ›ie) s-a produs deraierea de primul boghiu în sensul de mers a macaralei EDK 2000 de 250 tf ce se afla în compunerea acestuia, deraiere ce a fost cauzatÄƒ de deformaÈ›ia traversei frontale din faÈ›Äƒ sens mers a acestui boghiu. În cursul acÈ›iunii de investigare s-au constatat unele neconformitÄƒÈ›i în ceea ce priveÈ™te sistemul de management al siguranÈ›ei la operatorii economici implicaÈ›i în producerea accidentului, respectiv lipsa unor reglementÄƒri clare È™i proceduri operaÈ›ionale, pentru activitatea de revizie tehnicÄƒ a trenului de intervenÈ›ie, acÈ›iuni de evaluarea È™i aprecierea riscurilor neefectuate sau efectuate cu omisiuni în ceea ce priveÈ™te pericolele identificate, precum È™i criterii de acceptare a riscurilor insuficiente sau necorespunzÄƒtoare. Au fost constatate de asemenea È™i neconformitÄƒÈ›i în ceea ce priveÈ™te semnÄƒturile pe formularul â€žfoaia de parcursâ€, care pot constitui pericole (o situaÈ›ie care ar putea duce la producerea unui accident conform Regulamentului UE nr.402/2013) în activitÄƒÈ›ile desfÄƒÈ™urate în sistemul feroviar. Având în vedere cele menÈ›ionate anterior, în conformitate cu prevederile Art.25(2) din Legea nr.55/2006 privind siguranÈ›a feroviarÄƒ, comisia de investigare recomandÄƒ AutoritÄƒÈ›ii de SiguranÈ›Äƒ FeroviarÄƒ RomânÄƒ: 2. SÄƒ solicite SNTFM â€žCFR MarfÄƒâ€ SA È™i Unicom Tranzit SA, reevaluarea acÈ›iunilor de evaluarea È™i aprecierea riscurilor, prin identificarea tuturor pericolelor ce pot fi rezonabil identificate È™i stabilirea unor criterii de acceptare a riscurilor corespunzÄƒtoare, eventual prin stabilirea unor mÄƒsuri de siguranÈ›Äƒ suplimentare, pentru ca riscurile de producere ale acestora sÄƒ poatÄƒ fi acceptabile</t>
  </si>
  <si>
    <t>RO-5328/4</t>
  </si>
  <si>
    <t>On the 15th April 2017, between the railway stations Mureni and Beia, in the running of the train no.28261-2 (sequence of operations) the first bogie derailed, in the running direction of the breakdown crane EDK 2000 of 250 tf, it being in its composition, the derailment was generated by the twist of the headstock of this bogie, in its running direction. During the investigation, one found out some non-conformities about the safety management system of the economic operators involved in the accident, respectively the lack of some clear regulations and operational procedure, for the technical inspection of the breakdown trains, for the assessment and estimation of risks, non-performed or performed with omissions concerning the identified dangers, as well as the criteria for the acceptance of the insufficient or unsuitable risks. One also found out non-conformities concerning the signatures on the form â€žroute sheetâ€, that can be dangers (a situation that could lead to the occurrence of an accident according to the Regulations EU no.402/2013) in the railway activities. Taking into account these above mentioned, in accordance with the provisions of Art.25(2) from the Law no.55/2006 concerning the railway safety, the investigation commission recommends Romanian Railway Safety Authority: 2. to request SNTFM â€žCFR MarfÄƒâ€ SA and Unicom Tranzit SA, revaluation of the assessment and estimation of risks, through the identification of all dangers that can be reasonably identified and the establishment of some criteria for the acceptance of the corresponding risks, possibly through the establishment of some additional safety measures, so the risks of their occurrence can be acceptable</t>
  </si>
  <si>
    <t>REC-000219</t>
  </si>
  <si>
    <t>RO-5328/5</t>
  </si>
  <si>
    <t>La data de 15.04.2017, între Hm Mureni È™i Hm Beia, în circulaÈ›ia trenului nr.28261-2 (tren de intervenÈ›ie) s-a produs deraierea de primul boghiu în sensul de mers a macaralei EDK 2000 de 250 tf ce se afla în compunerea acestuia, deraiere ce a fost cauzatÄƒ de deformaÈ›ia traversei frontale din faÈ›Äƒ sens mers a acestui boghiu. În cursul acÈ›iunii de investigare s-au constatat unele neconformitÄƒÈ›i în ceea ce priveÈ™te sistemul de management al siguranÈ›ei la operatorii economici implicaÈ›i în producerea accidentului, respectiv lipsa unor reglementÄƒri clare È™i proceduri operaÈ›ionale, pentru activitatea de revizie tehnicÄƒ a trenului de intervenÈ›ie, acÈ›iuni de evaluarea È™i aprecierea riscurilor neefectuate sau efectuate cu omisiuni în ceea ce priveÈ™te pericolele identificate, precum È™i criterii de acceptare a riscurilor insuficiente sau necorespunzÄƒtoare. Au fost constatate de asemenea È™i neconformitÄƒÈ›i în ceea ce priveÈ™te semnÄƒturile pe formularul â€žfoaia de parcursâ€, care pot constitui pericole (o situaÈ›ie care ar putea duce la producerea unui accident conform Regulamentului UE nr.402/2013) în activitÄƒÈ›ile desfÄƒÈ™urate în sistemul feroviar. Având în vedere cele menÈ›ionate anterior, în conformitate cu prevederile Art.25(2) din Legea nr.55/2006 privind siguranÈ›a feroviarÄƒ, comisia de investigare recomandÄƒ AutoritÄƒÈ›ii de SiguranÈ›Äƒ FeroviarÄƒ RomânÄƒ: 3. SÄƒ analizeze oportunitatea revederii condiÈ›iilor de circulaÈ›ie referitoare la sarcinile pe osie È™i pe metru liniar, pe liniile feroviare din România, pentru vehiculul feroviar implicat în accident, precum È™i la cele referitoare la întoarcerea acestora dupÄƒ intervenÈ›ie.</t>
  </si>
  <si>
    <t>RO-5328/6</t>
  </si>
  <si>
    <t>On the 15th April 2017, between the railway stations Mureni and Beia, in the running of the train no.28261-2 (sequence of operations) the first bogie derailed, in the running direction of the breakdown crane EDK 2000 of 250 tf, it being in its composition, the derailment was generated by the twist of the headstock of this bogie, in its running direction. During the investigation, one found out some non-conformities about the safety management system of the economic operators involved in the accident, respectively the lack of some clear regulations and operational procedure, for the technical inspection of the breakdown trains, for the assessment and estimation of risks, non-performed or performed with omissions concerning the identified dangers, as well as the criteria for the acceptance of the insufficient or unsuitable risks. One also found out non-conformities concerning the signatures on the form â€žroute sheetâ€, that can be dangers (a situation that could lead to the occurrence of an accident according to the Regulations EU no.402/2013) in the railway activities. Taking into account these above mentioned, in accordance with the provisions of Art.25(2) from the Law no.55/2006 concerning the railway safety, the investigation commission recommends Romanian Railway Safety Authority: 3. to analyse the opportunity to revise the running conditions concerning the loads on axle and on linear meter, on Romanian lines, for the railway vehicle involved in the accident, as well as those concerning their running back after the intervention.</t>
  </si>
  <si>
    <t>RO-5328/7</t>
  </si>
  <si>
    <t>RecomandÄƒri de siguranÈ›Äƒ La data de 15.04.2017, între Hm Mureni È™i Hm Beia, în circulaÈ›ia trenului nr.28261-2 (tren de intervenÈ›ie) s-a produs deraierea de primul boghiu în sensul de mers a macaralei EDK 2000 de 250 tf ce se afla în compunerea acestuia, deraiere ce a fost cauzatÄƒ de deformaÈ›ia traversei frontale din faÈ›Äƒ sens mers a acestui boghiu. În cursul acÈ›iunii de investigare s-au constatat unele neconformitÄƒÈ›i în ceea ce priveÈ™te sistemul de management al siguranÈ›ei la operatorii economici implicaÈ›i în producerea accidentului, respectiv lipsa unor reglementÄƒri clare È™i proceduri operaÈ›ionale, pentru activitatea de revizie tehnicÄƒ a trenului de intervenÈ›ie, acÈ›iuni de evaluarea È™i aprecierea riscurilor neefectuate sau efectuate cu omisiuni în ceea ce priveÈ™te pericolele identificate, precum È™i criterii de acceptare a riscurilor insuficiente sau necorespunzÄƒtoare. Au fost constatate de asemenea È™i neconformitÄƒÈ›i în ceea ce priveÈ™te semnÄƒturile pe formularul â€žfoaia de parcursâ€, care pot constitui pericole (o situaÈ›ie care ar putea duce la producerea unui accident conform Regulamentului UE nr.402/2013) în activitÄƒÈ›ile desfÄƒÈ™urate în sistemul feroviar. Având în vedere cele menÈ›ionate anterior, în conformitate cu prevederile Art.25(2) din Legea nr.55/2006 privind siguranÈ›a feroviarÄƒ, comisia de investigare recomandÄƒ AutoritÄƒÈ›ii de SiguranÈ›Äƒ FeroviarÄƒ RomânÄƒ: 4. SÄƒ analizeze oportunitatea modificÄƒrii unor coduri de practicÄƒ existente sau emiterea unor reglementÄƒri care sÄƒ poatÄƒ constitui coduri de practicÄƒ, pentru a se asigura cÄƒ semnarea formularului â€žfoaia de parcursâ€ pentru confirmarea efectuÄƒrii reviziei tehnice a trenului, se face de cÄƒtre persoana care a efectuat-o, având în vedere È™i definiÈ›ia din dicÈ›ionare a termenului â€žsemnÄƒturÄƒâ€.</t>
  </si>
  <si>
    <t>RO-5328/8</t>
  </si>
  <si>
    <t>On the 15th April 2017, between the railway stations Mureni and Beia, in the running of the train no.28261-2 (sequence of operations) the first bogie derailed, in the running direction of the breakdown crane EDK 2000 of 250 tf, it being in its composition, the derailment was generated by the twist of the headstock of this bogie, in its running direction. During the investigation, one found out some non-conformities about the safety management system of the economic operators involved in the accident, respectively the lack of some clear regulations and operational procedure, for the technical inspection of the breakdown trains, for the assessment and estimation of risks, non-performed or performed with omissions concerning the identified dangers, as well as the criteria for the acceptance of the insufficient or unsuitable risks. One also found out non-conformities concerning the signatures on the form â€žroute sheetâ€, that can be dangers (a situation that could lead to the occurrence of an accident according to the Regulations EU no.402/2013) in the railway activities. Taking into account these above mentioned, in accordance with the provisions of Art.25(2) from the Law no.55/2006 concerning the railway safety, the investigation commission recommends Romanian Railway Safety Authority: 4. to analyse the opportunity to change some existing practice codes or to issue some regulations that can be practice codes, in order to be sure that the signing of the form â€žroute sheetâ€ for the confirmation of the performance of the train technical inspection, is done by the same person that performed inspection, taking into account the definition from dictionaries for the â€signatureâ€.</t>
  </si>
  <si>
    <t>RO-5339/1</t>
  </si>
  <si>
    <t>La data de 20.05.2017, în jurul orei 16:55, pe raza de activitate a Sucursalei Regionale de CÄƒi ...</t>
  </si>
  <si>
    <t>La data de 20.05.2017, în jurul orei 16:55, pe raza de activitate a Sucursalei Regionale de CÄƒi Ferate TimiÈ™oara, în staÈ›ia CFR Livezeni situatÄƒ pe secÈ›ia de circulaÈ›ie Livezeni â€“ Lupeni, s-a produs deraierea de primul boghiu, în sensul de mers, al celui de-al 33-lea vagon din compunerea trenului de marfÄƒ nr.23815 (aparÈ›inând operatorului de transport feroviar de marfÄƒ SNTFM â€žCFR MarfÄƒâ€ SA). AÈ™a cum s-a menÈ›ionat la cap.C.5.2. Sistemul de management al siguranÈ›ei, comisia de investigare considerÄƒ cÄƒ: ï‚§ nerespectarea prevederilor InstrucÈ›iei de întreÈ›inere a liniilor ferate nr. 300/1982, document asociat al procedurii operaÈ›ionale cod PO SMS 0-4.07 â€žRespectarea specificaÈ›iilor tehnice, standardelor È™i cerinÈ›elor relevante pe întreg ciclul de viaÈ›Äƒ a liniilor în procesul de întreÈ›inereâ€, parte a sistemului de management al siguranÈ›ei al CNCF â€œCFRâ€ SA, a condus la o mentenanÈ›a necorespunzÄƒtoare a suprastructurii cÄƒii în zona producerii deraierii. ï‚§ neaplicarea tuturor prevederilor procedurii operaÈ›ionale cod PO 431-SMS â€žIdentificare È™i evaluarea riscurilor asociate siguranÈ›ei feroviareâ€ EdiÈ›ia 2, Revizia 00 din 2016, parte a sistemului de management al siguranÈ›ei al SNTFM â€žCFR MarfÄƒâ€ SA, referitoare la identificarea È™i evaluarea riscurilor induse de predarea - primirea vagoanelor la/de la clienÈ›i, în subunitÄƒÈ›ile Centrului Zonal de MarfÄƒ TimiÈ™oara, a condus la preluarea la transport a vagonului nr.81536651217-7, vagon ce era încÄƒrcat peste limitele admise stabilite prin Anexa II RIV a Regulamentului pentru utilizarea reciprocÄƒ a vagoanelor în trafic internaÈ›ional RIV. Având în vedere cele constatate, comisia de investigare considerÄƒ necesarÄƒ emiterea urmÄƒtoare lor recomandÄƒri de siguranÈ›Äƒ: ï‚§ Autoritatea de SiguranÈ›Äƒ FeroviarÄƒ RomânÄƒ â€“ ASFR se va asigura cÄƒ administratorul de infrastructurÄƒ feroviarÄƒ publicÄƒ CNCF â€žCFRâ€ SA, identificÄƒ È™i analizeazÄƒ corect riscurile generate de neasigurarea bazei materiale È™i a resurselor umane necesare realizÄƒrii mentenanÈ›ei infrastructurii feroviare È™i monitorizeazÄƒ aceste riscuri în conformitate cu prevederile Regulamentului (UE) Nr. 1078/2012;</t>
  </si>
  <si>
    <t>RO-5339/2</t>
  </si>
  <si>
    <t>On the 20th May 2017, at about 16:55 oâ€™clock, in the railway county TimiÈ™oara, in the railway sation Livezeni, situated on the track section Livezeni â€“ Lupeni, the first bogie, in the running direction, from the 33rd wagon of the freight train no. 23815 (got by the railway freight undertaking SNTFM â€žCFR MarfÄƒâ€ SA), derailed. As it is mentioned at the chapter C.5.2. Safety management system, the investigation commission considers that: ï‚§ infringement of the provisions of the Instruction for the line maintenance no. 300/1982, document associated to the operational procedure code PO SMS 0-4.07 â€žCompliance with the technical specifications, standards and requirements relevant for the whole life time of the lines in the maintenance processâ€, part of the safety management system CNCF â€žCFRâ€ SA, led to an unsuitable maintenance of the track superstructure at the derailment site. ï‚§ non-application of all provisions of the operational procedure code PO 431-SMS â€žIdentification and assessment of the risks associated to the railway safetyâ€ Edition 2, Revision 00 from 2016, part of the safety management of SNTFM â€žCFR MarfÄƒâ€ SA, concerning the identification and assessment of risks induced by the delivery â€“ reception of the wagons to/from the clients in the sub-units of the Zonal Freight Center TimiÈ™oara, it leading to the reception for transport of the wagon no.81536651217-7, this wagon being loaded over the accepted limits established through the Annex II RIV of the Regulations for the mutual use of the wagons in the international traffic RIV. Taking into account the findings, the investigation commission considers necessary to issue the next safety recommendation: ï‚§ Romanian Railway Safety Authority â€“ ASFR shall make sure that the public railway infrastructure manager CNCF â€žCFRâ€ SA, identifies and analyses correctly the risks generated by the non-provision of the material basis and human resources for the performance of the infrastructure maintenance and ensures the monitoring of these risks, according to the provisions of the Regulations (UE) no. 1078/2012;</t>
  </si>
  <si>
    <t>RO-5339/3</t>
  </si>
  <si>
    <t>La data de 20.05.2017, în jurul orei 16:55, pe raza de activitate a Sucursalei Regionale de CÄƒi Ferate TimiÈ™oara, în staÈ›ia CFR Livezeni situatÄƒ pe secÈ›ia de circulaÈ›ie Livezeni â€“ Lupeni, s-a produs deraierea de primul boghiu, în sensul de mers, al celui de-al 33-lea vagon din compunerea trenului de marfÄƒ nr.23815 (aparÈ›inând operatorului de transport feroviar de marfÄƒ SNTFM â€žCFR MarfÄƒâ€ SA). AÈ™a cum s-a menÈ›ionat la cap.C.5.2. Sistemul de management al siguranÈ›ei, comisia de investigare considerÄƒ cÄƒ: ï‚§ nerespectarea prevederilor InstrucÈ›iei de întreÈ›inere a liniilor ferate nr. 300/1982, document asociat al procedurii operaÈ›ionale cod PO SMS 0-4.07 â€žRespectarea specificaÈ›iilor tehnice, standardelor È™i cerinÈ›elor relevante pe întreg ciclul de viaÈ›Äƒ a liniilor în procesul de întreÈ›inereâ€, parte a sistemului de management al siguranÈ›ei al CNCF â€œCFRâ€ SA, a condus la o mentenanÈ›a necorespunzÄƒtoare a suprastructurii cÄƒii în zona producerii deraierii. ï‚§ neaplicarea tuturor prevederilor procedurii operaÈ›ionale cod PO 431-SMS â€žIdentificare È™i evaluarea riscurilor asociate siguranÈ›ei feroviareâ€ EdiÈ›ia 2, Revizia 00 din 2016, parte a sistemului de management al siguranÈ›ei al SNTFM â€žCFR MarfÄƒâ€ SA, referitoare la identificarea È™i evaluarea riscurilor induse de predarea - primirea vagoanelor la/de la clienÈ›i, în subunitÄƒÈ›ile Centrului Zonal de MarfÄƒ TimiÈ™oara, a condus la preluarea la transport a vagonului nr.81536651217-7, vagon ce era încÄƒrcat peste limitele admise stabilite prin Anexa II RIV a Regulamentului pentru utilizarea reciprocÄƒ a vagoanelor în trafic internaÈ›ional RIV. Având în vedere cele constatate, comisia de investigare considerÄƒ necesarÄƒ emiterea urmÄƒtoare lor recomandÄƒri de siguranÈ›Äƒ: ï‚§ ï‚§ Autoritatea de SiguranÅ£Äƒ FeroviarÄƒ RomânÄƒ â€“ ASFR se va asigura cÄƒ operatorul de transport feroviar de marfÄƒ SNTFM â€žCFR MarfÄƒâ€ SA îÅŸi va revizui sistemul propriu de management al siguranÅ£ei, astfel încât, prin aplicarea în totalitate a procedurilor proprii, sÄƒ reducÄƒ riscurile generate induse de activitatea de predare - primire a vagoane de marfÄƒ de la clienÈ›i;.</t>
  </si>
  <si>
    <t>RO-5339/4</t>
  </si>
  <si>
    <t>On the 20th May 2017, at about 16:55 oâ€™clock, in the railway county TimiÈ™oara, in the railway sation Livezeni, situated on the track section Livezeni â€“ Lupeni, the first bogie, in the running direction, from the 33rd wagon of the freight train no. 23815 (got by the railway freight undertaking SNTFM â€žCFR MarfÄƒâ€ SA), derailed. As it is mentioned at the chapter C.5.2. Safety management system, the investigation commission considers that: ï‚§ infringement of the provisions of the Instruction for the line maintenance no. 300/1982, document associated to the operational procedure code PO SMS 0-4.07 â€žCompliance with the technical specifications, standards and requirements relevant for the whole life time of the lines in the maintenance processâ€, part of the safety management system CNCF â€žCFRâ€ SA, led to an unsuitable maintenance of the track superstructure at the derailment site. ï‚§ non-application of all provisions of the operational procedure code PO 431-SMS â€žIdentification and assessment of the risks associated to the railway safetyâ€ Edition 2, Revision 00 from 2016, part of the safety management of SNTFM â€žCFR MarfÄƒâ€ SA, concerning the identification and assessment of risks induced by the delivery â€“ reception of the wagons to/from the clients in the sub-units of the Zonal Freight Center TimiÈ™oara, it leading to the reception for transport of the wagon no.81536651217-7, this wagon being loaded over the accepted limits established through the Annex II RIV of the Regulations for the mutual use of the wagons in the international traffic RIV. Taking into account the findings, the investigation commission considers necessary to issue the next safety recommendation: ï‚§ Romanian Railway Safety Authority â€“ ASFR shall make sure that the railway freight undertaking SNTFM â€žCFR MarfÄƒâ€ SA revises its own safety management system, so, through the complete application of its own procedures, decrease the risks generated by the delivery â€“ reception of the wagons from the clients.</t>
  </si>
  <si>
    <t>RO-5343/1</t>
  </si>
  <si>
    <t>În cadrul investigaÈ›iei s-a constatat cÄƒ unul din factorii care a influenÈ›at producerea accidentului ...</t>
  </si>
  <si>
    <t>În cadrul investigaÈ›iei s-a constatat cÄƒ unul din factorii care a influenÈ›at producerea accidentului este reprezentat de starea tehnicÄƒ necorespunzÄƒtoare a locomotivei fapt pentru care comisia de investigare recomandÄƒ AutoritÄƒÈ›ii de SiguranÈ›Äƒ FeroviarÄƒ RomânÄƒ sÄƒ solicite operatorului de transport feroviar de marfÄƒ SC Grup Feroviar Român SA: â€¢ efectuarea unei acÈ›iuni de reevaluare a riscurilor generate de defectarea materialului rulant ce poate genera incendii;</t>
  </si>
  <si>
    <t>RO-5343/2</t>
  </si>
  <si>
    <t>On the 28th May 2017, at about 05:00 oâ€™clock, in the railway county Craiova, track section BÄƒbeni â€“ Alunu, between the railway stations BerbeÅŸti and PopeÅŸti Vâlcea, km 27+200, in the running of the freight train no.79176, a fire burst into the banking locomotive DA 1503. During the investigation, one found out that one of the factors influencing the accident occurrence is the unsuitable technical condition of the locomotive, following of it the investigation commission recommends Romanian Railway Safety Authority to request the railway freight undertaking SC Grup Feroviar Român SA: â€¢ the performance of a re-assessment of the risks generated by the failure of the rolling stock, that can generate fires;</t>
  </si>
  <si>
    <t>RO-5343/3</t>
  </si>
  <si>
    <t>La data de 28.05.2017, în jurul orei 05:00, pe raza de activitate a Sucursalei Regionale CF Craiova, ...</t>
  </si>
  <si>
    <t>La data de 28.05.2017, în jurul orei 05:00, pe raza de activitate a Sucursalei Regionale CF Craiova, pe secÅ£ia de circulaÅ£ie BÄƒbeni - Alunu între staÅ£ia CFR BerbeÅŸti ÅŸi halta de miÅŸcare PopeÅŸti Vâlcea, la km 27+200, în circulaÅ£ia trenului de marfÄƒ nr.79176 s-a produs un incendiu la locomotiva împingÄƒtoare DA 1503. În cadrul investigaÈ›iei s-a constatat cÄƒ unul din factorii care a influenÈ›at producerea accidentului este reprezentat de starea tehnicÄƒ necorespunzÄƒtoare a locomotivei fapt pentru care comisia de investigare recomandÄƒ AutoritÄƒÈ›ii de SiguranÈ›Äƒ FeroviarÄƒ RomânÄƒ sÄƒ solicite operatorului de transport feroviar de marfÄƒ SC Grup Feroviar Român SA: â€¢ analizarea oportunitÄƒÈ›ii revizuirii specificaÈ›iei tehnice Revizii intermediare RI, revizii planificate RT, R1, R2, 2R2, R3 È™i reparaÈ›ii accidentale la locomotivele diesel electrice de 1250/2100 CP, cod G.4.1-II, astfel încât lucrÄƒrile de întreÈ›inere programate la motoarele de tracÈ›iune, sÄƒ asigure o funcÈ›ionare optimÄƒ a acestora în intervalul de timp cuprins între douÄƒ revizii planificate.</t>
  </si>
  <si>
    <t>RO-5343/4</t>
  </si>
  <si>
    <t>On the 28th May 2017, at about 05:00 oâ€™clock, in the railway county Craiova, track section BÄƒbeni â€“ Alunu, between the railway stations BerbeÅŸti and PopeÅŸti Vâlcea, km 27+200, in the running of the freight train no.79176, a fire burst into the banking locomotive DA 1503. During the investigation, one found out that one of the factors influencing the accident occurrence is the unsuitable technical condition of the locomotive, following of it the investigation commission recommends Romanian Railway Safety Authority to request the railway freight undertaking SC Grup Feroviar Român SA: â€¢ analysis of the opportunity to revise the technical specification Intermidiary inspections RI, planned ones RT, R1, R2, 2R2, R3 and accidental repairs at the diesel electric locomotives of 1250/2100 CP, code G.4.1-II, so the scheduled maintenance at the traction engines ensure their optimal operation during the time between two planned inspections.</t>
  </si>
  <si>
    <t>RO-5351/1</t>
  </si>
  <si>
    <t>Având în vedere cauzele È™i factorii care au generat accidentul feroviar, comisia de investigare ...</t>
  </si>
  <si>
    <t>Având în vedere cauzele È™i factorii care au generat accidentul feroviar, comisia de investigare recomandÄƒ ASFR sÄƒ se asigure cÄƒ operatorul de transport feroviar dispune mÄƒsurile necesare pentru È›inerea sub control a riscurilor generate de nerespectarea prevederilor privind reparaÈ›iile la vehiculele feroviare.</t>
  </si>
  <si>
    <t>RO-5351/2</t>
  </si>
  <si>
    <t>Taking into account the causes and factors generating the railway accident, the investigation commission recommends ASFR to makes certain that the railway undertaking disposes the necessary for the keeping under control the risks generated by the non-compliance with the provisions for the repairs at the railway vehicles.</t>
  </si>
  <si>
    <t>RO-5357/1</t>
  </si>
  <si>
    <t>În cazul accidentului feroviar produs în circulaÈ›ia trenului de marfÄƒ nr.90901 s-a constatat cÄƒ ...</t>
  </si>
  <si>
    <t>În cazul accidentului feroviar produs în circulaÈ›ia trenului de marfÄƒ nr.90901 s-a constatat cÄƒ slÄƒbirea bandajului roÈ›ii nr.1 de la vagonul nr.31537887008-5, urmatÄƒ de rotirea acestuia pe obada roÈ›ii È™i polizarea inelului de fixare, s-a produs pe fondul unor deficienÈ›e în activitatea de revizie tehnicÄƒ È™i întreÈ›inere în exploatare a acestui vagon. Având în vedere cele menÈ›ionate, comisia de investigare considerÄƒ necesarÄƒ emiterea unei recomandÄƒri de siguranÈ›Äƒ cÄƒtre Autoritatea de SiguranÈ›Äƒ FeroviarÄƒ RomânÄƒ â€“ ASFR care sÄƒ se asigure cÄƒ, SC RAIL FORCE SRL, în calitatea sa de operator de transport feroviar de marfÄƒ, îÈ™i va reevalua mÄƒsurile proprii de prevenire si È›inerea sub control cu reducerea riscurilor asociate activitÄƒÈ›ii de revizie tehnicÄƒ È™i întreÈ›inere a vagoanelor de marfÄƒ în exploatare.</t>
  </si>
  <si>
    <t>RO-5357/2</t>
  </si>
  <si>
    <t>With reference to the railway accident happened in the running of the freight train no.90901 one found out that the loosening of the tyre of the wheel no.1 from the wagon no.31537887008-5, followed by its turning on the wheel centre and the grinding of the fastening ring, happened in the conditions of some deficiencies in the technical inspection and maintenance in the operation of that wagon. Taking into account these mentioned before, the investigation commission considers necessary to issue a safety recommendations for Romanian Railway Safety Authority â€“ ASFR, that be certain that SC RAIL FORCE SRL, as railway freight undertaking shall re-assess its own measures for the prevention and keeping under control, the reduction of the risks associated to the technical inspection and maintenance of the wagons in operation.</t>
  </si>
  <si>
    <t>RO-5393/1</t>
  </si>
  <si>
    <t>Accidentul feroviar s-a produs ca urmarea ruperii fusului de osie de la roata nr.3 a osiei cu seria ...</t>
  </si>
  <si>
    <t>Accidentul feroviar s-a produs ca urmarea ruperii fusului de osie de la roata nr.3 a osiei cu seria CFR 3607481 (IOB 30077) de la vagonul de marfÄƒ nr.31537991154-0 aparÈ›inând operatorului de transport feroviar SNTFM â€žCFR MarfÄƒâ€ SA. Având în vedere factorii care au contribuit la producerea acestui accident feroviar, pentru prevenirea unor accidente similare, AGIFER considerÄƒ necesarÄƒ emiterea urmÄƒtoarei recomandÄƒrii de siguranÈ›Äƒ: - Autoritatea de SiguranÈ›Äƒ FeroviarÄƒ RomânÄƒ-ASFR sÄƒ solicite operatorului de transport feroviar SNTFM â€žCFR MarfÄƒâ€ SA întocmirea un plan propriu de mÄƒsuri pentru control nedistructiv suplimentar a racordÄƒrii dintre zona de montaj a obturatorului È™i zona de calare a osiei în cazul osiilor-axÄƒ cu o vechime mai mare de 30 ani.</t>
  </si>
  <si>
    <t>RO-5393/2</t>
  </si>
  <si>
    <t>The railway accident happened following the breakage of the axle journal from the wheel no.3, series CFR 3607481 (IOB 30077), from the wagon no.31537991154-0 got by the railway undertaking SNTFM â€žCFR MarfÄƒâ€ SA. Taking into account the factors contributing to the occurrence of the accident, for the prevention of similar accidents, AGIFER considers necessary to issue the next safety recommendations: - Romanian Railway Safety Authority-ASFR ask the railway undertaking SNTFM â€žCFR MarfÄƒâ€ SA to draft a n own plan of measures for the additional non-destructive control of the connection between the fitting area of the shutter and the pressing area of the axle, for the axles of more 30 years old.</t>
  </si>
  <si>
    <t>REC-000525</t>
  </si>
  <si>
    <t>RO-5421/1</t>
  </si>
  <si>
    <t>RecomandÄƒri de siguranÈ›Äƒ Activitatea operatorului uman care desfÄƒÈ™oarÄƒ operaÈ›iuni de organizare a ...</t>
  </si>
  <si>
    <t>RecomandÄƒri de siguranÈ›Äƒ Activitatea operatorului uman care desfÄƒÈ™oarÄƒ operaÈ›iuni de organizare a circulaÈ›iei trenurilor într-un punct de secÈ›ionare de cale feratÄƒ este deosebit de complexÄƒ în ceea ce priveÈ™te exploatarea feroviarÄƒ È™i în acelaÈ™i timp extrem de solicitantÄƒ odatÄƒ cu apariÈ›ia necesitÄƒÈ›ii schimbÄƒrii rutinelor de lucru formate pentru activitatea într-un sistem normal de circulaÈ›ie efectuat cu ajutorul unui sistem tehnic centralizat È™i cu comenzi în bloc, cu un sistem bazat pe aplicarea unor proceduri a cÄƒror condiÈ›ii de siguranÈ›Äƒ a circulaÈ›iei trebuie sÄƒ fie preluate de operatorul uman (â€žîn baza indicaÈ›iei semnalului de chemareâ€). În aceste condiÈ›ii, solicitarea operatorului uman se amplificÄƒ dacÄƒ activitatea de exploatare oferitÄƒ de cÄƒtre organizaÈ›ie nu-i oferÄƒ acestuia suficientÄƒ rezervÄƒ de timp în predarea serviciului, în care sÄƒ se È›inÄƒ cont È™i de posibilitÄƒÈ›ile de deplasare a salariatului de la locul de muncÄƒ cÄƒtre domiciliu. SituaÈ›ia este valabilÄƒ È™i în cazul în care operatorul uman primeÈ™te serviciul, mai ales cÄƒ în codul de bunÄƒ practicÄƒ â€œRegulamentul pentru circulaÈ›ia trenurilor È™i manevra vehiculelor feroviare - nr.005â€ este prevÄƒzutÄƒ o activitate obligatorie a acestui operator (impiegatul de miÈ™care) în ceea ce priveÈ™te verificarea stÄƒrii tehnice a aparatelor de cale din incinta staÈ›iilor dotate cu instalaÈ›ii CED sau CE, care trebuie efectuatÄƒ înaintea preluÄƒrii serviciului de miÈ™care (art.20, pct.b). Având în vedere faptul cÄƒ CN CF CFR SA are salariaÈ›i cu domiciliul în alte localitÄƒÈ›i decât cea în care îÈ™i desfÄƒÈ™oarÄƒ activitatea de organizare a circulaÈ›iei trenurilor, AGIFER recomandÄƒ ASFR sÄƒ se asigure cÄƒ: CN CF CFR SA efectueazÄƒ o revizuire detaliatÄƒ a propriului sistem de management al siguranÈ›ei pentru a înÈ›elege riscul producerii unui accident grav la acordarea unei rezerve de timp insuficientÄƒ pentru activitatea de predare/primire a serviciului de miÈ™care. Revizuirea trebuie sÄƒ includÄƒ, dar nu sÄƒ se limiteze la analizarea: a. încÄƒrcÄƒrii actuale a activitÄƒÈ›ii operatorului; b. momentului È™i amploarea producerii unei defecÈ›iuni a instalaÈ›iei de centralizare a macazurilor È™i semnalelor</t>
  </si>
  <si>
    <t>RO-5421/2</t>
  </si>
  <si>
    <t>Safety recommendations The activity of the human operator in charge with the organization of the train running on a track section point is very complex related to the railway operation and at the same time very stressfull with the need to change the working routines experiences for the activity in a normal running system made with the support of an interlocking system, with a system based on the application of some procedures whose traffic safety conditions have to be taken over by the human operator (â€župon the position of the calling-on signalâ€). In these conditions, the human operator stress increases if the operation activity of the organization does not allow him enough time for the duty delivery, in which the possibilities for the employee travel from the working place to home be taken into account. The situation is valid also if the human operator takes over the duty, especially that in the code of good practice â€œRegulations for the train running and railway vehicle shunting - no.005â€ an activity compulsory for this operator (movements inspector) is stipulated, this activity concerns the checking of the technical condition of the switches within the railway stations provided with interlocking systems CED or CE, that has to be performed before taking over the duty (art.20, point b). Taking into account that CNCF CFR SA has employees living in other localities than that where they work for the organization of the train running, AGIFER recommends ASFR to be sure that: CN CF CFR SA carries out the detailed revision of its own safety management system in order to understand the risk of a serious accident occurrence when an insufficient time is given for the delivery/taking over of the movement duty. The revision has to include but without limitation to the analysis: a. work load of the operator; b. the moment and the occurrence amplitude of a failure at the interlocking system</t>
  </si>
  <si>
    <t>RO-5430/1</t>
  </si>
  <si>
    <t>RecomandÄƒri de siguranÅ£Äƒ Deraierea primului boghiu al vagonului nr. 33537963303-5, al 31-lea din ...</t>
  </si>
  <si>
    <t>RecomandÄƒri de siguranÅ£Äƒ Deraierea primului boghiu al vagonului nr. 33537963303-5, al 31-lea din compunerea trenului de marfÄƒ nr.80394, s-a produs pe fondul mentenanÈ›ei necorespunzÄƒtoare a infrastructurii feroviare. În timpul investigaÈ›iei s-a constatat cÄƒ, mentenanÈ›a suprastructurii cÄƒii nu a fost realizatÄƒ în conformitate cu prevederile codurilor de practicÄƒ (documente de referinÈ›Äƒ/asociate ale procedurilor din cadrul sistemului de management al siguranÈ›ei al SC GRUP FEROVIAR ROMÂN S.A.). Având în vedere factorii care au contribuit la producerea accidentului, factori ce au la bazÄƒ cauze subiacente ce reprezintÄƒ abateri de la codurile de practicÄƒ, precum È™i faptul cÄƒ, supravegherea operatorilor economici din sistemul de transport feroviar este atribuÈ›ia AutoritÄƒÈ›ii de SiguranÈ›Äƒ FeroviarÄƒ RomânÄƒ â€“ ASFR, comisia de investigare recomandÄƒ ca ASFR sÄƒ dispunÄƒ gestionarului de infrastructurÄƒ feroviarÄƒ neinteroperabilÄƒ, SC Grup Feroviar Român SA luarea mÄƒsurilor necesare pentru completarea posturilor vacante la funcÈ›iile SC care asigurÄƒ mentenanÈ›a infrastructurii feroviare.</t>
  </si>
  <si>
    <t>RO-5430/2</t>
  </si>
  <si>
    <t>The derailment of the first bogie from the wagon no. 33537963303-5, the 31st of the freight train no.80394 happened following the unbsuitable maintenance of the railway infrastructure. During the investigation, one found out that the superstructure maintenance was not made in accordance with the provisions of the practice codes (reference/associated documents at the procedures of the safety management system of SC GRUP FEROVIAR ROMÂN S.A.). Taking into account the factors contributing the accident occurrence, being based on underlying causes, that are deviations from the practice codes, as well as that the surveillance of the economic operators from the railway field is the responsibility of Romanian Railway Safety Authorityâ€“ ASFR, the investigation commission recommends ASFR ask the non-interoperable infrastructure manager, SC Grup Feroviar Român SA to take the necessary measures for the suplement the safety traffic vacancies, in charge with the railway infrastructure maintenance.</t>
  </si>
  <si>
    <t>RO-5432/1</t>
  </si>
  <si>
    <t>RecomandÄƒri de siguranÅ£Äƒ În cadrul reÈ›elei feroviare naÈ›ionale din România, staÈ›ia CFR Dej CÄƒlÄƒtori ...</t>
  </si>
  <si>
    <t>RecomandÄƒri de siguranÅ£Äƒ În cadrul reÈ›elei feroviare naÈ›ionale din România, staÈ›ia CFR Dej CÄƒlÄƒtori face parte din staÈ›iile aflate pe secÈ›ii de circulaÈ›ie interoperabile. Linia 2 din staÈ›ia CFR Dej CÄƒlÄƒtori este linie directÄƒ a staÈ›iei, deoarece este prelungirea liniei curente firul I dintre staÈ›iile CFR Gherla-Dej CÄƒlÄƒtori. Lucrarea de consolidare a acestei linii, executatÄƒ de SC TRANSFEROVIAR GRUP SA Cluj, furnizor de servicii feroviare critice autorizat AFER, a constat în înlocuirea a 400 buc. traverse normale de lemn. Prin executarea lucrÄƒrii de consolidare, administratorul infrastructurii feroviare publice, respectiv Sucursala RegionalÄƒ CF Cluj, din cadrul CNCF â€žCFRâ€ SA, nu a realizat reînnoirea sau modernizarea acestei linii, ci numai menÈ›inerea vitezei de circulaÈ›ie la treapta de 50 km/h, corespunzÄƒtoare restricÈ›iei de vitezÄƒ existentÄƒ la momentul începerii lucrÄƒrilor de consolidare. În urma analizÄƒrii condiÈ›iilor în care s-a produs accidentul feroviar È™i a acÈ›iunilor desfÄƒÈ™urate de actorii implicaÈ›i premergÄƒtor È™i ulterior producerii accidentului, comisia de investigare a concluzionat, cÄƒ deraierea locomotivei È™i a celor È™ase vagoane din compunerea trenului de cÄƒlÄƒtori nr.1765 a fost posibilÄƒ pe fondul breÈ™elor create în aplicarea prevederilor privind admiterea tehnicÄƒ a produselor feroviare folosite la mentenanÈ›a infrastructurii feroviare publice. Prevederile actelor normative în vigoare, privind utilizarea constituenÈ›ilor de interoperabilitate la mentenanÈ›a infrastructurii feroviare interoperabile, impun obligativitatea existenÈ›ei certificatelor de conformitate CE. Admiterea tehnicÄƒ a produselor feroviare pe reÈ›eaua naÈ›ionalÄƒ de cale feratÄƒ din România, este reglementatÄƒ de prevederile OMT nr.290/13.04.2000 (ordin care nu este abrogat) privind admiterea tehnicÄƒ a produselor È™i/sau serviciilor destinate utilizÄƒrii în activitÄƒÈ›ile de construire, modernizare, întreÈ›inere È™i de reparare a infrastructurii feroviare È™i a materialului rulant, pentru transportul feroviar È™i cu metroul, cu modificÄƒrile È™i completÄƒrile ulterioare. La data intrÄƒrii în vigoare a acestui act normativ, nu erau aplicabile prevederile directivelor europene privind interoperabilitatea. Prevederile, aplicabile în prezent, referitoare la mentenanÈ›a liniilor interoperabile, nu au rolul de a stabili, fÄƒrÄƒ echivoc, cazurile în care se impune existenÈ›a certificatelor de conformitate CE È™i a cazurilor în care admiterea produselor feroviare se face cu aplicarea prevederilor OMT 290/2000. Faptul cÄƒ, în â€žLista produselor, lucrÄƒrilor È™i serviciilor feroviare critice È™i încadrarea acestora în clasa de riscâ€ din 04.03.2008 (document al AutoritÄƒÈ›ii Feroviare Române-AFER) serviciul feroviar critic â€žProtecÈ›ia cu substanÈ›e chimice a produselor din lemn (traverse È™i dibluri)â€ este încadrat la clasa de risc 2A, a condus la încÄƒlcarea prevederilor OMT nr.290/2000. TotodatÄƒ Sistemul de Management al SiguranÈ›ei al CNCF â€žCFRâ€ SA, a înregistrat un eÈ™ec în a controla pericolul generat de utilizarea/contractarea unor produse feroviare, care pot pune în pericol siguranÈ›a feroviarÄƒ. Astfel, structura administratorului de infrastructurÄƒ feroviarÄƒ publicÄƒ, responsabilÄƒ cu realizarea mentenanÈ›ei infrastructurii feroviare aferentÄƒ liniei 2 din staÈ›ia CFR Dej CÄƒlÄƒtori, nu a identificat pericolul generat de utilizarea la lucrÄƒrile de consolidare a acestei linii, a unor produse feroviare critice (traverse de lemn impregnate), pentru care recepÈ›ia calitativÄƒ nu s-a fÄƒcut prin respectarea tuturor verificÄƒrilor tehnice, specifice realizÄƒrii traverselor de lemn impregnate. Având în vedere cele prezentate anterior, comisia de investigare adreseazÄƒ AutoritÄƒÈ›ii Feroviare Române-ASFR urmÄƒtoarele recomandÄƒri de siguranÈ›Äƒ: 1. Cuprinderea în documentele proprii (ghiduri, îndrumÄƒtoare, etc.), sau prin orice alte mijloace care sÄƒ conducÄƒ la respectarea acestora de cÄƒtre actori, informaÈ›iile necesare clarificÄƒrii È™i îndrumÄƒrii actorilor din piaÈ›a feroviarÄƒ (administratori, operatori de transport, entitÄƒÈ›i responsabile cu întreÈ›inerea, furnizori feroviari, etc.), privind modul de aplicare a reglementÄƒrilor naÈ›ionale È™i europene, pentru introducerea pe piaÈ›a din România a produselor feroviare critice È™i a constituenÈ›ilor de interoperabilitate.</t>
  </si>
  <si>
    <t>RO-5432/2</t>
  </si>
  <si>
    <t>Within Romanian railway network, the railway station CFR Dej CÄƒlÄƒtori is part of the stations situated on non-interoperable track-sections. The line 2 of the railway station Dej CÄƒlÄƒtori is a direct one, because it is the extention of the running line track I between the railway stations Gherla and Dej CÄƒlÄƒtori. The line consolidation, performed by SC TRANSFEROVIAR GRUP SA Cluj, supplier of railway critical services, authorized by AFER, consisted in the replacement of 400 common wooden sleepers. Through the consolidations, the public infrastructure manager, respectively the Railway County Cluj, part of CNCF â€žCFRâ€ SA, did not perform the renewal or the modernization of this line, only the keeping of the running speed at 50 km/h, corresponding to the speed restriction existing at the begining of the consolidation. Following the analysis of the accident conditions and of the actions of the involved stakeholder, before and after the accident occurrence, the investigation commission concluded that the derailment of the locomotive and of those six cars from the passenger train no.1765 happened because the gaps created in the application of the provisions concerning the technical acceptance of the railway products used for the railway public infrastructure maintenance. The provisions of the legal papers in force, concerning the use of the interoperability constituents for the maintenance of the interoperable railway infrastructure, impose the compulsory of the conformity certificates CE existence. The technical acceptance of the railway products on Romanian railway network is regulated by the provisions of the Minister of Transportsâ€™ Order no.290/13.04.2000 (order that is not repealed) concerning the technical acceptance of the products and/or services for the use in the construction, modernization, maintenance and repair of the railway infrastructure and of the rolling stock, for the railway and metro transport, with further amendments. When this legal paper came into force, the provisions of European directives for interoperability were not applicable. The present provisions applicable for the maintenance of the interoperable lines do not establish unequivocally, the cases where it is imposed the existence of the conformity certificates CE and of the cases where the acceptance of the railway products is made according to the provisions of the Minister of Transportsâ€™ Order OMT 290/2000. The fact that, in the â€žList of railway critical products, works and services and their inclusion in the risk classâ€ from the 4th March 2008 (document of Romanian Railway Authority-AFER) the railway critical service â€žProtection with chemical substances of the wooden products (sleepers and plugs)â€ is included in the risk class 2A, led to the infringement of the provisions of the Minister of Transportsâ€™ Order no.290/2000. Also, the Safety Management System of CNCF â€žCFRâ€ SA recorded a failure in the control of the hazards generated by the use/contracting of some railway products, that can endanger the railway safety. So, the structure of the railway public infrastructure manager, in charge with the maintenance of the railway infrastructure afferent to the line 2 from the railway station Dej CÄƒlÄƒtori,did not identify the hazard generated by the use in this line consolidation, of some railway critical products (impregnated wooden sleepers), for which the quality reception was not made complying with all the technical controls, specific to the manufacturing of the impregnated wooden sleepers. Taking into account these above mentioned, the investigation commission recommends Romanian Railway Safety Authority-ASFR as follows: 1. inclusion in its own documents (guides, guiding documents, etc.), or by any other means that lead to their compliace by the stakeholders, the information necessary for the classificaion and guiding of the stakeholders from railway market (administrators, railway undertaking, entities in charge with the maintenance, railway suppliers, etc.), concerning the application of the national and European regulations, for putting on Romanian market the railway critical products and interoperability consituents</t>
  </si>
  <si>
    <t>RO-5432/3</t>
  </si>
  <si>
    <t>2. SÄƒ solicite companiei NaÈ›ionale de CÄƒi Ferate CNCF â€žCFRâ€ SA (administratorul infrastructurii ...</t>
  </si>
  <si>
    <t>2. SÄƒ solicite companiei NaÈ›ionale de CÄƒi Ferate CNCF â€žCFRâ€ SA (administratorul infrastructurii feroviare publice) revizuirea sistemului de management al siguranÈ›ei È™i efectuarea unei analize de risc, pentru pericolele care sunt generate de acceptarea la lucrÄƒrile de mentenanÈ›Äƒ, a traverselor de lemn impregnate, fÄƒrÄƒ efectuarea tuturor verificÄƒrilor menÈ›ionate în documentaÈ›iile tehnice de referinÈ›Äƒ, care stabilesc modul de realizare a acestora.</t>
  </si>
  <si>
    <t>RO-5432/4</t>
  </si>
  <si>
    <t>2. ask railway public infrastructure manager CNCF â€žCFRâ€ SA the revision of the safety management system and the performance of a risk analysis, for the hazards generated by the acceptance at the maintenance works, of the impregnated wooden sleepers, without making all the controls stipulated in the reference technical documentations, that establish their performance way.</t>
  </si>
  <si>
    <t>RO-5432/5</t>
  </si>
  <si>
    <t>3. UrmÄƒrirea modificÄƒrii È™i aplicÄƒrii prevederilor documentului â€žLista produselor, lucrÄƒrilor È™i ...</t>
  </si>
  <si>
    <t>3. UrmÄƒrirea modificÄƒrii È™i aplicÄƒrii prevederilor documentului â€žLista produselor, lucrÄƒrilor È™i serviciilor feroviare critice È™i încadrarea acestora în clasa de riscâ€ de cÄƒtre structurile din cadrul AFER, ce au atribuÈ›ii în acest sens, astfel încât sÄƒ fie acoperit riscul nerespectÄƒrii prevederilor referitoare la condiÈ›iile impuse la realizarea produselor din mai multe componente</t>
  </si>
  <si>
    <t>RO-5432/6</t>
  </si>
  <si>
    <t>3. following the change and application of the provisions from the document â€žList of railway critical products, works and services and their inclusion in the risk classâ€ by AFER structures, with tasks in this respect, so the risk of non-meeting with the provisions for the conditions imposed for the manufacturing of products from many components be covered.</t>
  </si>
  <si>
    <t>RO-5472/1</t>
  </si>
  <si>
    <t>În cazul accidentului feroviar produs 30.10.2017, în circulaÈ›ia trenului IR nr.1741 s-a constatat ...</t>
  </si>
  <si>
    <t>În cazul accidentului feroviar produs 30.10.2017, în circulaÈ›ia trenului IR nr.1741 s-a constatat faptul cÄƒ deraierea a fost influenÈ›atÄƒ de potenÈ›ialul tehnic necorespunzÄƒtor, atât al infrastructurii feroviare cât È™i a materialului rulant implicat. Pentru menÈ›inerea parametrilor tehnici ai cÄƒii la valorile impuse de exploatarea în condiÈ›ii normale a infrastructurii feroviare, administratorul infrastructurii feroviare publice CNCFâ€žCFRâ€ SA, în urma identificÄƒrii pericolelor care se pot manifesta în activitatea de mentenanÈ›Äƒ a infrastructurii feroviare È™i a evaluÄƒrii riscurilor asociate pericolelor, È™i-a stabilit ca mÄƒsuri pentru È›inerea sub control a riscurilor de producere a accidentelor, respectarea prevederilor din codurile de practicÄƒ, care sunt parte a sistemul de management al siguranÈ›ei. Identificarea de cÄƒtre comisie a abaterilor de la codurile de practicÄƒ, în ceea ce priveÈ™te menÈ›inerea cÄƒii în parametrii tehnici de exploatare prevÄƒzuÈ›i de aceste coduri, dovedeÈ™te faptul cÄƒ sistemul de management al siguranÈ›ei nu este aplicat corespunzÄƒtor de cÄƒtre CNCF â€žCFRâ€ SA. De asemenea, repunerea în serviciu a locomotivei EA 892, dupÄƒ reprofilarea bandajelor acesteia, având cota qR mai mare de cât valoarea maximÄƒ admisÄƒ a fost posibilÄƒ ca urmare a nerespectÄƒrii prevederilor procedurilor existente pe fondul necorelÄƒrii cerinÈ›elor de calitate din ST 21-2008 cu dotarea tehnicÄƒ necesarÄƒ. În cursul investigaÈ›iei s-a constatat cÄƒ, în cadrul procesului de identificare a pericolelor È™i evaluare a riscului, pericolul reprezentat de â€žNeverificarea condiÈ›iilor tehnice pe care trebuie sÄƒ le îndeplineascÄƒ osiile montate ale vehiculelor feroviare pentru a fi admise în circulaÈ›ieâ€ nu a fost asociat È™i funcÈ›iei de strungar. Pentru prevenirea unor cazuri de accidente care s-ar putea produce în condiÈ›ii similare cu cele prezentate în acest raport, AGIFER emite, pentru Autoritatea de SiguranÈ›Äƒ FeroviarÄƒ RomânÄƒ â€“ ASFR, urmÄƒtoarele recomandÄƒri de siguranÈ›Äƒ: 1. sÄƒ analizeze prin acÈ›iuni proprii de supraveghere, modul în care sistemul de management al siguranÈ›ei al administratorului infrastructurii feroviare publice este aplicat È™i dacÄƒ este cazul sÄƒ solicite CNCFâ€žCFRâ€SA, corectarea sau reevaluarea de cÄƒtre aceasta a mÄƒsurilor pentru È›inerea sub control a riscurilor proprii;</t>
  </si>
  <si>
    <t>RO-5472/2</t>
  </si>
  <si>
    <t>With reference to the railway accident happened on the 30th October 2017, in the running of the train IR no.1741, one found out that the derailment was influeneced by the unsuitable technical potential both of the railway infrastructure and of the rolling stock involved. In order to keep the technical parameters of the track in accordance with the values imposed by the normal operation of the railway infrastructure, the public infrastructure manager CNCFâ€žCFRâ€ SA, following the identification of the dangers that can be present in the infrastructure maintenance and the assessmnet of the risks associated to the dangers, took like measures for keeping under control the risks of accident occurrenece, the compliance with the provisions from the practice codes, that are part of the safety management system. The identification by the investigation commission of the deviations from the practice codes, for the track keeping between the technical operation parameters stipulated by those codes, proves that the safety management system is not properly applied by CNCF â€žCFRâ€ SA. Also, to re-putting into service of the locomotive EA 892, after re-profiling its tyres, with quota qR over the maximum accepted value, was possible following the infringement of the provisions of the existing procedures, without corelating the quality requirements from ST 21-2008 with the technical rigging necessary. During the investigation, one found out that, within the process for the identification of the dangers and for the risk assessment, the danger represented by â€žNon-checking of the technical conditions that the pair of wheels of the railway vehicles had to meet with in order to be accepted in trafficâ€ was not associated also to the turner job. In order top revent some accidents that could happen in similar conditions to those presented in this report, AGIFER issues, for Romanian Railway Safety Authority â€“ ASFR, the next safety recommendations: 1. to analyse through own surveillance measures, the way the safety management system of the public infrastructure manager is applied and if case to ask CNCFâ€žCFRâ€SA, the rectification or the re-asseeemnet of its measures for keeping under control the own risks</t>
  </si>
  <si>
    <t>RO-5472/3</t>
  </si>
  <si>
    <t>În cazul accidentului feroviar produs 30.10.2017, în circulaÈ›ia trenului IR nr.1741 s-a constatat faptul cÄƒ deraierea a fost influenÈ›atÄƒ de potenÈ›ialul tehnic necorespunzÄƒtor, atât al infrastructurii feroviare cât È™i a materialului rulant implicat. Pentru menÈ›inerea parametrilor tehnici ai cÄƒii la valorile impuse de exploatarea în condiÈ›ii normale a infrastructurii feroviare, administratorul infrastructurii feroviare publice CNCFâ€žCFRâ€ SA, în urma identificÄƒrii pericolelor care se pot manifesta în activitatea de mentenanÈ›Äƒ a infrastructurii feroviare È™i a evaluÄƒrii riscurilor asociate pericolelor, È™i-a stabilit ca mÄƒsuri pentru È›inerea sub control a riscurilor de producere a accidentelor, respectarea prevederilor din codurile de practicÄƒ, care sunt parte a sistemul de management al siguranÈ›ei. Identificarea de cÄƒtre comisie a abaterilor de la codurile de practicÄƒ, în ceea ce priveÈ™te menÈ›inerea cÄƒii în parametrii tehnici de exploatare prevÄƒzuÈ›i de aceste coduri, dovedeÈ™te faptul cÄƒ sistemul de management al siguranÈ›ei nu este aplicat corespunzÄƒtor de cÄƒtre CNCF â€žCFRâ€ SA. De asemenea, repunerea în serviciu a locomotivei EA 892, dupÄƒ reprofilarea bandajelor acesteia, având cota qR mai mare de cât valoarea maximÄƒ admisÄƒ a fost posibilÄƒ ca urmare a nerespectÄƒrii prevederilor procedurilor existente pe fondul necorelÄƒrii cerinÈ›elor de calitate din ST 21-2008 cu dotarea tehnicÄƒ necesarÄƒ. În cursul investigaÈ›iei s-a constatat cÄƒ, în cadrul procesului de identificare a pericolelor È™i evaluare a riscului, pericolul reprezentat de â€žNeverificarea condiÈ›iilor tehnice pe care trebuie sÄƒ le îndeplineascÄƒ osiile montate ale vehiculelor feroviare pentru a fi admise în circulaÈ›ieâ€ nu a fost asociat È™i funcÈ›iei de strungar. Pentru prevenirea unor cazuri de accidente care s-ar putea produce în condiÈ›ii similare cu cele prezentate în acest raport, AGIFER emite, pentru Autoritatea de SiguranÈ›Äƒ FeroviarÄƒ RomânÄƒ â€“ ASFR, urmÄƒtoarele recomandÄƒri de siguranÈ›Äƒ: 2. sÄƒ solicite operatorului de transport feroviar de cÄƒlÄƒtori SNTFC â€žCFR CÄƒlÄƒtoriâ€ SA: a) revizuirea specificaÈ›iei tehnice cod ST 21-2008 Reprofilarea bandajelor la osiile vehiculelor feroviare pe strungul subteran tip Hegenscheidt, pentru corelarea cerinÈ›elor de calitate cu condiÈ›iile de execuÈ›ie È™i dotarea tehnicÄƒ necesarÄƒ; b) reevaluarea riscurilor generate de pericolul reprezentat de â€žNeverificarea condiÈ›iilor tehnice pe care trebuie sÄƒ le îndeplineascÄƒ osiile montate ale vehiculelor feroviare pentru a fi admise în circulaÈ›ieâ€ È™i dispunerea de mÄƒsuri pentru È›inerea sub control a acestuia.</t>
  </si>
  <si>
    <t>RO-5472/4</t>
  </si>
  <si>
    <t>With reference to the railway accident happened on the 30th October 2017, in the running of the train IR no.1741, one found out that the derailment was influeneced by the unsuitable technical potential both of the railway infrastructure and of the rolling stock involved. In order to keep the technical parameters of the track in accordance with the values imposed by the normal operation of the railway infrastructure, the public infrastructure manager CNCFâ€žCFRâ€ SA, following the identification of the dangers that can be present in the infrastructure maintenance and the assessmnet of the risks associated to the dangers, took like measures for keeping under control the risks of accident occurrenece, the compliance with the provisions from the practice codes, that are part of the safety management system. The identification by the investigation commission of the deviations from the practice codes, for the track keeping between the technical operation parameters stipulated by those codes, proves that the safety management system is not properly applied by CNCF â€žCFRâ€ SA. Also, to re-putting into service of the locomotive EA 892, after re-profiling its tyres, with quota qR over the maximum accepted value, was possible following the infringement of the provisions of the existing procedures, without corelating the quality requirements from ST 21-2008 with the technical rigging necessary. During the investigation, one found out that, within the process for the identification of the dangers and for the risk assessment, the danger represented by â€žNon-checking of the technical conditions that the pair of wheels of the railway vehicles had to meet with in order to be accepted in trafficâ€ was not associated also to the turner job. In order top revent some accidents that could happen in similar conditions to those presented in this report, AGIFER issues, for Romanian Railway Safety Authority â€“ ASFR, the next safety recommendations: 2. to ask the railway undertaking SNTFC â€žCFR CÄƒlÄƒtoriâ€ SA: a. the revision of the technical specification code ST 21-2008 Re-profiling the tyres from the axles of the railway vehicles on the underfloor lathe type Hegenscheidt, for the correlation of the quality requirements with the performance conditions and the technical rigging necessary; b. re-assessment of the risks generated by the danger represented by â€žNon-checking of the technical conditions that the pair of wheels of the railway vehicles had to meet with in order to be accepted in trafficâ€and taking measures for keeping under control.</t>
  </si>
  <si>
    <t>RO-5477/1</t>
  </si>
  <si>
    <t>La data de 31.10.2017, între staÈ›iile CFR Comarnic È™i Câmpina, în circulaÈ›ia trenului de marfÄƒ ...</t>
  </si>
  <si>
    <t>La data de 31.10.2017, între staÈ›iile CFR Comarnic È™i Câmpina, în circulaÈ›ia trenului de marfÄƒ nr.21753-2 s-a declanÈ™at un incendiu la vagonul nr.33872752172-0, aflat al 12-lea în compunerea terenului. În urma investigÄƒrii accidentului s-a constatat cÄƒ, producerea incendiului a fost determinatÄƒ de circulaÈ›ia vagonului cu deficienÈ›e ale podelei în zona roÈ›ii nr.4 (scânduri rupte) È™i prezenÈ›a resturilor de îngrÄƒÈ™Äƒmânt cu nitrat (azotat) de amoniu pe podeaua vagonului È™i tabla parascântei. Acest lucru a fost posibil în condiÈ›iile în care: ï‚§ operaÈ›iile de preluare dupÄƒ descÄƒrcare È™i de predare pentru încÄƒrcare, a vagonului de marfÄƒ, au fost efectuate fÄƒrÄƒ respectarea în totalitate a reglementÄƒrilor specifice în vigoare; ï‚§ reglementÄƒrile interne referitoare la activitatea de încÄƒrcare a vagoanelor de marfÄƒ, reglementÄƒri ce fac parte din sistemul de management al calitÄƒÈ›ii aplicat la nivelul SC AZOMUREÈ˜ SA, nu au fost aplicate în totalitate în cazul acestui vagon. Având în vedere cele menÈ›ionate, comisia de investigare considerÄƒ necesarÄƒ emiterea urmÄƒtoarelor recomandÄƒri de siguranÈ›Äƒ: 1. Autoritatea de SiguranÈ›Äƒ FeroviarÄƒ RomânÄƒ â€“ ASFR se va asigura cÄƒ, SNTFM â€ž CFR MarfÄƒâ€ SA, în calitate de operator feroviar de marfÄƒ îÈ™i va reevalua riscurile aferente procesului de predare-primire a vagoanelor la/de la clienÈ›i, precum È™i eficienÈ›a mÄƒsurilor de siguranÈ›Äƒ stabilite, în vederea È›inerii sub control a acestui risc.</t>
  </si>
  <si>
    <t>RO-5477/2</t>
  </si>
  <si>
    <t>On the 31st October 2017, between the railway stations Comarnic and Câmpina, in the running of the freight train no.21753-2 a fire burst in the wagon no.33872752172-0, being the 12th wagon of the train. Following the accident investigation one found out that the fire was generated by the running of the wagon with problems at the floor in the area of the wheel no.4 (boards broken) and presence of remains of the fertilizer with ammonium nitrate (nitrate) on the wagon floor and on the spark arrestor plate. It happened because: ï‚§ the operations for the taking over after the unloading and for its delivery for loading of the wagon, were perfomed without meeting completely with the specific regulations in force; ï‚§ the internal regulations for the wagon loading, these being part of the quality management system of SC AZOMUREÈ˜ SA, were not completely applied in case of that wagon. Taking into account these above mentioned, the investigation commission considers necessary to issue the next safety recommendations: 1. Romanian Railway Safety Authority â€“ ASFR takes care that, SNTFM â€ž CFR MarfÄƒâ€ SA, like railway freight undertaking shall re-assess its risks afferent to the process for for delivery-reception of wagons at/from the customers, as well as the efficiency of the safety measures established, for the keeping under control of this risk.</t>
  </si>
  <si>
    <t>RO-5477/3</t>
  </si>
  <si>
    <t>2. SC AZOMURES SA, în calitate de încÄƒrcÄƒtor È™i expeditor de mÄƒrfuri periculoase, îÈ™i va reevalua ...</t>
  </si>
  <si>
    <t>2. SC AZOMURES SA, în calitate de încÄƒrcÄƒtor È™i expeditor de mÄƒrfuri periculoase, îÈ™i va reevalua modul de implementare a reglementÄƒrilor interne referitoare la activitatea de încÄƒrcare a vagoanelor de marfÄƒ astfel încât, acesta sÄƒ asigure reducerea riscurilor aferente acestei activitÄƒÈ›i</t>
  </si>
  <si>
    <t>RO-5477/4</t>
  </si>
  <si>
    <t>2. SC AZOMURES SA, like loader and forwarder of dangerous goods, shall re-assess the implementation of the internal regulations for the loading of the wagons so, it ensure the decrease of the risks afferent this activity.</t>
  </si>
  <si>
    <t>RO-5495/1</t>
  </si>
  <si>
    <t>RecomandÄƒri de siguranÈ›Äƒ Deraierea locomotivei LE 91530472002-1 de cel de al 2-lea boghiu s-a ...</t>
  </si>
  <si>
    <t>RecomandÄƒri de siguranÈ›Äƒ Deraierea locomotivei LE 91530472002-1 de cel de al 2-lea boghiu s-a produs datoritÄƒ stÄƒrii tehnice necorespunzÄƒtoare a infrastructurii feroviare. În timpul investigaÈ›iei s-a constatat cÄƒ, starea tehnicÄƒ necorespunzÄƒtoare a cÄƒii se datoreazÄƒ mentenanÈ›a cÄƒii, care nu a fost realizatÄƒ în conformitate cu prevederile codurilor de practicÄƒ (documente de referinÈ›Äƒ/asociate ale procedurilor din cadrul sistemului de management al siguranÈ›ei al CNCF â€žCFRâ€ SA). Având în vedere cÄƒ neaplicarea PO SMS 0-4.07 â€žRespectarea specificaÅ£iilor tehnice, standardelor ÅŸi cerinÅ£elor relevante pe întreg ciclul de viaÈ›Äƒ a liniilor în procesul de întreÅ£inereâ€, parte a sistemului de management al siguranÈ›ei al CNCF â€žCFRâ€ SA a fost depistatÄƒ ca fiind cauza primarÄƒ a acestui accident, comisia de investigare recomandÄƒ AutoritÄƒÈ›ii de SiguranÈ›Äƒ FeroviarÄƒ RomânÄƒ â€“ ASFR sÄƒ se asigure cÄƒ administratorul de infrastructurÄƒ publicÄƒ CNCF â€žCFRâ€ SA, va revizui sistemul propriu de management al siguranÈ›ei începând cu identificarea pericolelor, referitor la: - impactul asupra siguranÅ£ei circulaÅ£iei pe care îl are aprovizionarea deficitarÄƒ cu materialele de cale necesare menÅ£inerii în parametrii instrucÈ›ionali a infrastructurii feroviare; - dimensionarea forÈ›ei de muncÄƒ necesarÄƒ realizÄƒrii unei mentenanÈ›e corespunzÄƒtoare a infrastructurii feroviare, cu aplicarea întocmai a codurilor de bunÄƒ practicÄƒ;</t>
  </si>
  <si>
    <t>RO-5495/2</t>
  </si>
  <si>
    <t>The derailment of the second bogie of the locomotive LE 91530472002-1happened following the unsuitable technical condition of the railway infrastructure. During the investigation, one found out that the unsuitable technical condition of the track is due to the track maintenance, that was not performed in accordance with the provisions of the practice codes/associated to the procedures from the safety management system of CNCF â€žCFRâ€ SA). Taking into account that the non-application of the operational procedure SMS 0-4.07 â€žCompliance with the technical specifications, standards and requirements relevant for whole life time of the lines in maintenance processâ€, part of the safety management system CNCF â€žCFRâ€ SA was found out as being root cause of this accident, the investigation commission recommends Romanian Railway Safety Authority â€“ ASFR to take care that the public infrastructure manager CNCF â€žCFRâ€ SA shall revise its own safety management system, starting with the identification of the dangers, concerning: - the impact on the traffic safety of the insuficient supply with track materials necessary to keep between the instruction parameters the railway infrastructure; - sizing of the labour necessary to carry out a suitable maintenance of the railway infrastructure, applying exactly the codes of good practice;</t>
  </si>
  <si>
    <t>REC-000883</t>
  </si>
  <si>
    <t>RO-5511/1</t>
  </si>
  <si>
    <t>La data de 20.11.2017, între staÅ£ia CFR CiulniÅ£a ÅŸi halta de miÈ™care CÄƒlÄƒraÅŸi Nord, în circulaÈ›ia ...</t>
  </si>
  <si>
    <t>La data de 20.11.2017, între staÅ£ia CFR CiulniÅ£a ÅŸi halta de miÈ™care CÄƒlÄƒraÅŸi Nord, în circulaÈ›ia trenului de marfÄƒ nr.50451, s-a produs deraierea de un boghiu (al doilea în sensul de mers) a vagonului nr.33535303552-0, deraiere ce a fost cauzatÄƒ de spargerea roÈ›ii nr.2L. În timpul investigÄƒrii accidentului s-a constatat faptul cÄƒ, roata implicatÄƒ (roatÄƒ monobloc din È™arja de fabricaÈ›ie nr.13831) era fabricatÄƒ în anul 1981, având o duratÄƒ de serviciu de 36 ani. De asemenea, în urma încercÄƒrilor È™i examinÄƒrilor efectuate la roata nr.2L în laboratoarele AFER s-a constatat faptul cÄƒ, structura materialului din care a fost fabricatÄƒ roata nr.2L È™i compozitia chimicÄƒ a acestui material a condus la spargerea acestei roÈ›i È™i implicit la producerea accidentului. Având în vedere cele de mai sus, pentru reducerea riscului de spargere a roÈ›ilor monobloc, comisia de investigare emite urmÄƒtoarea recomandare: ï‚§ Autoritatea de SiguranÈ›Äƒ FeroviarÄƒ RomânÄƒ â€“ ASFR va solicita operatorilor de transport feroviar È™i deÈ›inÄƒtorilor de vagoane sÄƒ verifice dacÄƒ deÈ›in sau utilizeazÄƒ vagoane de marfÄƒ echipate cu roÈ›i monobloc fabricate de SC IOB SA BalÈ™, în luna decembrie 1981, din È™arja nr.13831. În cazul în care identificÄƒ, la vagoanele aflate în exploatare, roÈ›i din aceastÄƒ È™arjÄƒ, aceÈ™tia le vor retrage din circulaÈ›ie È™i vor efectua un control ultrasonic (CUS) complet la aceste roÈ›i (control ce va include È™i determinarea tensiunilor interne).</t>
  </si>
  <si>
    <t>RO-5511/2</t>
  </si>
  <si>
    <t>On the 20th November 2017, between the railway stations CiulniÅ£a and CÄƒlÄƒraÅŸi Nord, in the running of the freight train no.50451, a bogie of the wagon no. 33535303552-0 derailed (the second in the running direction), the derailment being generated by the breakage of the wheel no.2L. During the accident investihgation, one found out that the involved wheel (monobloc wheel from the cast batch no.13831) was manufactured in 1981, with a service time of 36 years. Also, following the tests and checking made on the wheel no.2L in AFER laboratories, one found that the material structure from which the wheel no. 2L was made off and the chemical composition of this material led to the breakage of this wheel and implicitly to the accident occurrence. Taking into account these above mentioned, for the decrease of the risk of cast wheel breakage, the investigation commission issues the next recommendation: ï‚§ Romanian Railway Safety Authority â€“ ASFR shall ask railway undertaking and wagon keepers to check if they keep or use wagons provided with monobloc wheels manufactured by SC IOB SA BalÈ™, in December 1981, from the cast batch no.13831. If there are at the wagon in operation wheels from this castbatch, they shall withdraw from traffic and shall be submitted to ultrasonic test (CUS) (this control shall include also the determination of the internal stresses).</t>
  </si>
  <si>
    <t>REC-000937</t>
  </si>
  <si>
    <t>RO-5530/1</t>
  </si>
  <si>
    <t>Având în vedere factorii È™i cauzele care au condus la apariÈ›ia unui incendiu la locomotiva seria BB ...</t>
  </si>
  <si>
    <t>Având în vedere factorii È™i cauzele care au condus la apariÈ›ia unui incendiu la locomotiva seria BB 25500 nr.91-53-0-425536-6 ce a remorcat trenul de marfÄƒ nr.90970 la data de 05.12.2017, pentru prevenirea unor cazuri de accidente care s-ar putea produce în condiÈ›ii similare cu cele prezentate în acest raport, în conformitate cu prevederile Art.25(2) din Legea nr.55/2006 privind siguranÈ›a feroviarÄƒ, AGIFER recomandÄƒ AutoritÄƒÈ›ii de SiguranÈ›Äƒ FeroviarÄƒ RomânÄƒ â€“ ASFR, urmÄƒtoarele: SÄƒ solicite operatorului de transport feroviar de marfÄƒ SC Rail Force SRL: a) stabilirea tonajului È™i a modului de remorcare a trenurilor pentru cazul în care se utilizeazÄƒ o locomotivÄƒ electricÄƒ seria 25500 È™i o locomotivÄƒ electricÄƒ seria 16500 È™i includerea acestuia în prevederile Anexei I din Livretul cu mersul trenurilor de marfÄƒ de pe Sucursala RegionalÄƒ de CÄƒi Ferate BraÈ™ov ce urmeazÄƒ a fi valabil pentru perioada 2018/2019;</t>
  </si>
  <si>
    <t>RO-5530/2</t>
  </si>
  <si>
    <t>Safety recommendations Taking into account the factors and causes leading to the appearance of a fire into the locomotive series BB 25500 no.91-53-0-425536-6, hauling the freight train no.90970 on the 5th December 2017, for the prevention of such cases of accidents that could happen in conditions similar to those presented in this report, according to the provisions Art.25(2) of Law no.55/2006 for the railway safety, AGIFER recommends Romanian Railway Safety Authority â€“ ASFR, : To ask the railway freight undertaking SC Rail Force SRL: a) establishment of the tonnage and the hauling way for the trains in case of use of an electric locomotive series 25500 and of an electric locomotive series 16500 and its inclusion in the provisions of Annex I at the timetable of the freight trains in the railway county BraÈ™ov, that is going to be valid for 2018/2019;</t>
  </si>
  <si>
    <t>REC-000939</t>
  </si>
  <si>
    <t>RO-5530/3</t>
  </si>
  <si>
    <t>Având în vedere factorii È™i cauzele care au condus la apariÈ›ia unui incendiu la locomotiva seria BB 25500 nr.91-53-0-425536-6 ce a remorcat trenul de marfÄƒ nr.90970 la data de 05.12.2017, pentru prevenirea unor cazuri de accidente care s-ar putea produce în condiÈ›ii similare cu cele prezentate în acest raport, în conformitate cu prevederile Art.25(2) din Legea nr.55/2006 privind siguranÈ›a feroviarÄƒ, AGIFER recomandÄƒ AutoritÄƒÈ›ii de SiguranÈ›Äƒ FeroviarÄƒ RomânÄƒ â€“ ASFR, urmÄƒtoarele: SÄƒ solicite operatorului de transport feroviar de marfÄƒ SC Rail Force SRL: b) reevaluarea riscurilor asociate activitÄƒÈ›ii de transport pe calea feratÄƒ respectiv cele generate de pericolul apariÈ›iei unui incendiu la vehiculele feroviare motoare È™i dispunerea de mÄƒsuri adecvate pentru È›inerea sub control a acestora.</t>
  </si>
  <si>
    <t>RO-5530/4</t>
  </si>
  <si>
    <t>Taking into account the factors and causes leading to the appearance of a fire into the locomotive series BB 25500 no.91-53-0-425536-6, hauling the freight train no.90970 on the 5th December 2017, for the prevention of such cases of accidents that could happen in conditions similar to those presented in this report, according to the provisions Art.25(2) of Law no.55/2006 for the railway safety, AGIFER recommends Romanian Railway Safety Authority â€“ ASFR, : To ask the railway freight undertaking SC Rail Force SRL: b) re-assessment of the risks associated to the railway transport, respectively those generated by the hazard of appearance of a fire in the motorised vehicles and taking of measures adequate for keeping them under control.</t>
  </si>
  <si>
    <t>REC-000889</t>
  </si>
  <si>
    <t>RO-5555/1</t>
  </si>
  <si>
    <t>În cursul acÈ›iunii desfÄƒÈ™urate, comisia de investigare a constatat faptul cÄƒ atât managementul ...</t>
  </si>
  <si>
    <t>În cursul acÈ›iunii desfÄƒÈ™urate, comisia de investigare a constatat faptul cÄƒ atât managementul administratorului de infrastructurÄƒ la nivel central È™i regional cât È™i cel al operatorului de transport au identificat dar nu au gestionat riscurile generate de nerealizarea mentenanÈ›ei liniilor CF, respectiv a vagoanelor de marfÄƒ din dotare, pentru a putea dispune în consecinÈ›Äƒ soluÈ›ii È™i mÄƒsuri viabile în vederea Å£inerii sub control a pericolului deraierii. Astfel, dacÄƒ s-ar fi aplicat propriile proceduri ale sistemului de management al siguranÈ›ei, în integritatea lor, precum È™i prevederile codurilor de practicÄƒ, parte a SMS, administratorul de infrastructurÄƒ ar fi putut sÄƒ menÈ›inÄƒ parametrii tehnici ai geometriei cÄƒii în limitele toleranÈ›elor impuse de siguranÈ›a feroviarÄƒ, iar operatorul de transport sÄƒ ia mÄƒsuri în cazul defectÄƒrii vagoanelor din dotare, prevenind astfel producerea acestui accident. Având în vedere aspectele prezentate comisia de investigare recomandÄƒ ASFR sÄƒ se asigure cÄƒ: 1.administratorul infrastructurii feroviare publice: - revizuieÈ™te "Registrul propriu de pericole"; - reevalueazÄƒ mÄƒsurile de È›inere sub control a riscurilor generate de nerealizarea mentenanÈ›ei liniilor CF.</t>
  </si>
  <si>
    <t>RO-5555/2</t>
  </si>
  <si>
    <t>During the investigation, the commission found that both the management of the infrastructure manager, central and regional level, and the railway undertaking identify but did not record the risks generated by the non-performance of the line maintenance, respectively of the wagons kept, in order to dispose consequently the solutions and measures viable for keeping under control the derailment hazard. So, if they have been completely applied their own procedures of the safety management system, as well as the provisions of the practice codes, part of SMS, the infrastructure manager should has been able to keep the technical parameters of the track geometry between the tolerances imposed by the railway safety, and the railway undertaking should have been able to take measures in case of failures at its wagons, preventing the occurrence of that accident. Taking into account the presented issues, the investigation commission recommends ASFR to take care that: 1.public railway infrastructure manager: - revise "Own register of hazards"; - re-assess the measures for keeping under control the risks generated by the non-performance of the line maintenance.</t>
  </si>
  <si>
    <t>REC-000893</t>
  </si>
  <si>
    <t>RO-5555/3</t>
  </si>
  <si>
    <t>În cursul acÈ›iunii desfÄƒÈ™urate, comisia de investigare a constatat faptul cÄƒ atât managementul administratorului de infrastructurÄƒ la nivel central È™i regional cât È™i cel al operatorului de transport au identificat dar nu au gestionat riscurile generate de nerealizarea mentenanÈ›ei liniilor CF, respectiv a vagoanelor de marfÄƒ din dotare, pentru a putea dispune în consecinÈ›Äƒ soluÈ›ii È™i mÄƒsuri viabile în vederea Å£inerii sub control a pericolului deraierii. Astfel, dacÄƒ s-ar fi aplicat propriile proceduri ale sistemului de management al siguranÈ›ei, în integritatea lor, precum È™i prevederile codurilor de practicÄƒ, parte a SMS, administratorul de infrastructurÄƒ ar fi putut sÄƒ menÈ›inÄƒ parametrii tehnici ai geometriei cÄƒii în limitele toleranÈ›elor impuse de siguranÈ›a feroviarÄƒ, iar operatorul de transport sÄƒ ia mÄƒsuri în cazul defectÄƒrii vagoanelor din dotare, prevenind astfel producerea acestui accident. Având în vedere aspectele prezentate comisia de investigare recomandÄƒ ASFR sÄƒ se asigure cÄƒ: 2.operatorul de transport feroviar: - revizuieÈ™te "Registrul propriu de pericole"; - gestioneazÄƒ eficient riscurile generate de nerealizarea mentenanÈ›ei vagoanelor din dotare precum È™i de menÈ›inerea în exploatare a vagoanelor defecte, prin reevaluarea mÄƒsurilor de È›inere sub control a acestora.</t>
  </si>
  <si>
    <t>RO-5555/4</t>
  </si>
  <si>
    <t>During the investigation, the commission found that both the management of the infrastructure manager, central and regional level, and the railway undertaking identify but did not record the risks generated by the non-performance of the line maintenance, respectively of the wagons kept, in order to dispose consequently the solutions and measures viable for keeping under control the derailment hazard. So, if they have been completely applied their own procedures of the safety management system, as well as the provisions of the practice codes, part of SMS, the infrastructure manager should has been able to keep the technical parameters of the track geometry between the tolerances imposed by the railway safety, and the railway undertaking should have been able to take measures in case of failures at its wagons, preventing the occurrence of that accident. Taking into account the presented issues, the investigation commission recommends ASFR to take care that: 2.railway undertaking: - Revise "Own register of hazards"; - manage efficiently the risks generated by the non-performance of the maintenance at the own wagons, as well as by the keeping in operation of the wagons with failures, through the re-assessment of the measures for keeping them under control.</t>
  </si>
  <si>
    <t>RO-5561/1</t>
  </si>
  <si>
    <t>Producerea deraierii a avut la bazÄƒ cauze È™i factori generaÈ›i atât de insuficienÈ›e ale Sistemului de ...</t>
  </si>
  <si>
    <t>Producerea deraierii a avut la bazÄƒ cauze È™i factori generaÈ›i atât de insuficienÈ›e ale Sistemului de Management al SiguranÈ›ei al SC SNTFC â€œCFR CÄƒlÄƒtoriâ€ SA, cât È™i de abateri de la codurile de practicÄƒ. Astfel, Sistemul de Management al SiguranÈ›ei al SNTFC, a înregistrat un eÈ™ec în a controla riscul generat de pericolul â€ Nerespectarea ciclului de revizii si reparaÈ›ii la material rulant â€. Èšinând cont de învÄƒÈ›Äƒmintele care se pot trage de la acest accident, în vederea îmbunÄƒtÄƒÈ›irii siguranÈ›ei feroviare È™i a prevenirii unor evenimente similare, comisia de investigare considerÄƒ oportunÄƒ adresarea cÄƒtre ASFR a urmÄƒtoarelor recomandÄƒri de siguranÈ›Äƒ: Recomandare de siguranÈ›Äƒ nr. 1 - sÄƒ solicite operatorului de transport feroviar SC SNTFC â€œCFR CÄƒlÄƒtoriâ€ SA, revizuirea Sistemului de Management al SiguranÈ›ei, în privinÈ›a reglementÄƒrii adecvate a procesului de monitorizare în materie de control al riscurilor;</t>
  </si>
  <si>
    <t>RO-5561/2</t>
  </si>
  <si>
    <t>The derailment was based on causes and factors generated both by the shortcomings of the Safety Management System of SC SNTFC â€œCFR CÄƒlÄƒtoriâ€ SA, and by deviations from the practice codes. So, the Safety Management System of SNTFC registered a failure in the control of the risk generated by the hazard â€ Infringement of the cycle of inspections and repairs at the rolling stock â€. Taking into account the lessons to be learned from this accident, for the improvement of the railway safety and the prevention of some similar events, the investigation commission considers relevant to address Romanian Railway Safety Authority the next safety recommendations: Safety recommendations no. 1 - ask the railway undertaking SC SNTFC â€œCFR CÄƒlÄƒtoriâ€ SA to revise the Safety Management System concerning the proper regulation of the monitoring of the risk control;</t>
  </si>
  <si>
    <t>RO-5561/3</t>
  </si>
  <si>
    <t>Producerea deraierii a avut la bazÄƒ cauze È™i factori generaÈ›i atât de insuficienÈ›e ale Sistemului de Management al SiguranÈ›ei al SC SNTFC â€œCFR CÄƒlÄƒtoriâ€ SA, cât È™i de abateri de la codurile de practicÄƒ. Astfel, Sistemul de Management al SiguranÈ›ei al SNTFC, a înregistrat un eÈ™ec în a controla riscul generat de pericolul â€ Nerespectarea ciclului de revizii si reparaÈ›ii la material rulant â€. Èšinând cont de învÄƒÈ›Äƒmintele care se pot trage de la acest accident, în vederea îmbunÄƒtÄƒÈ›irii siguranÈ›ei feroviare È™i a prevenirii unor evenimente similare, comisia de investigare considerÄƒ oportunÄƒ adresarea cÄƒtre ASFR a urmÄƒtoarelor recomandÄƒri de siguranÈ›Äƒ: Recomandare de siguranÈ›Äƒ nr. 1 - sÄƒ solicite operatorului de transport feroviar SC SNTFC â€œCFR CÄƒlÄƒtoriâ€ SA, revizuirea Sistemului de Management al SiguranÈ›ei, în privinÈ›a reglementÄƒrii adecvate a procesului de monitorizare în materie de control al riscurilor; Recomandare de siguranÈ›Äƒ nr. 2 - sÄƒ solicite operatorului de transport feroviar SC SNTFC â€œCFR CÄƒlÄƒtoriâ€ SA, revizuirea Sistemului de Management al SiguranÈ›ei, în privinÈ›a reglementÄƒrii adecvate a modului în care trebuie practicatÄƒ activitatea de învÄƒÈ›are dupÄƒ un accident sau incident, a modului în care trebuie practicatÄƒ activitatea de revizuire a mÄƒsurilor de control al riscurilor dupÄƒ un accident sau incident, precum ÅŸi a modului de adoptare a unor mÄƒsuri preventive sau corective pentru a preveni repetarea acestuia.</t>
  </si>
  <si>
    <t>RO-5561/4</t>
  </si>
  <si>
    <t>The derailment was based on causes and factors generated both by the shortcomings of the Safety Management System of SC SNTFC â€œCFR CÄƒlÄƒtoriâ€ SA, and by deviations from the practice codes. So, the Safety Management System of SNTFC registered a failure in the control of the risk generated by the hazard â€ Infringement of the cycle of inspections and repairs at the rolling stock â€. Taking into account the lessons to be learned from this accident, for the improvement of the railway safety and the prevention of some similar events, the investigation commission considers relevant to address Romanian Railway Safety Authority the next safety recommendations: Safety recommendations no. 2 - ask railway undertaking SC SNTFC â€œCFR CÄƒlÄƒtoriâ€ SA to revise the Safety Management System concerning the proper regulation the learning after an accident or incident, the way to do the revision of the measures for the risk control after an accident or incident, as well as the way to adopt some measures, preventive or corrective ones, for preventing its re-occurrence.</t>
  </si>
  <si>
    <t>RO-5579/1</t>
  </si>
  <si>
    <t>Luând în considerare precizÄƒrile fÄƒcute în cap. C.6.3. AnalizÄƒ ÅŸi concluzii privind modul de ...</t>
  </si>
  <si>
    <t>Luând în considerare precizÄƒrile fÄƒcute în cap. C.6.3. AnalizÄƒ ÅŸi concluzii privind modul de producere a incidentului, partea referitoare la cazurile de defectÄƒri ale locomotivelor EA305 ÅŸi EA078 în circulaÅ£ia trenurilor de cÄƒlÄƒtori IR nr.1654 ÅŸi nr.1766 din noaptea de 16/17.01.2018, AGIFER recomandÄƒ ASFR sÄƒ se asigure cÄƒ: 1. produsul â€žpantograf tip EP3â€ încadrat ca produs feroviar critic la clasa de risc 1B, a cÄƒror defectare determinÄƒ grave perturbaÅ£ii în exploatarea feroviarÄƒ, dacÄƒ va fi utilizat la echiparea locomotivelor care vor fi introduse la modernizare prin reparaÅ£ii de tip RG sau RK, sÄƒ fie supus omologÄƒrii tehnice, în baza unei documentaÈ›ii tehnice de referinÈ›Äƒ;</t>
  </si>
  <si>
    <t>RO-5579/2</t>
  </si>
  <si>
    <t>Taking into account the stipulations from the Chapter C.6.3. Analysis and conclusions on the incident occurrence, part concerning the failures at the locomotives EA305 and EA078 in the running of the passenger trains IR no.1654 and no.1766 from the night 16/17.01.2018, AGIFER recommends ASFR be sure that: 1. the protduct â€žpantograph type EP3â€ classified like railway critical product at the risk class 1B, whose failure generates the serious interruptions in the railway operation, if it will be used in the endowment of the locomotives that will be submitted to the modernization through repairs type RG or RK, be submited to the technical homologation, upon on a reference technical documentation;</t>
  </si>
  <si>
    <t>RO-5579/3</t>
  </si>
  <si>
    <t>Luând în considerare precizÄƒrile fÄƒcute în cap. C.6.3. AnalizÄƒ ÅŸi concluzii privind modul de producere a incidentului, partea referitoare la cazurile de defectÄƒri ale locomotivelor EA305 ÅŸi EA078 în circulaÅ£ia trenurilor de cÄƒlÄƒtori IR nr.1654 ÅŸi nr.1766 din noaptea de 16/17.01.2018, AGIFER recomandÄƒ ASFR sÄƒ se asigure cÄƒ: 2. administratorul de infrastructurÄƒ feroviarÄƒ publicÄƒ Compania NaÈ›ionalÄƒ de Cai Ferate â€žCFRâ€ S.A. va inventaria secÅ£iile de cale feratÄƒ electrificatÄƒ pe care pot fi admise locomotive echipate în prezent cu pantografe tip EP3 ÅŸi sÄƒ comunice aceste informaÅ£ii cÄƒtre toÅ£i factorii interesaÅ£i.</t>
  </si>
  <si>
    <t>RO-5579/4</t>
  </si>
  <si>
    <t>Taking into account the stipulations from the Chapter C.6.3. Analysis and conclusions on the incident occurrence, part concerning the failures at the locomotives EA305 and EA078 in the running of the passenger trains IR no.1654 and no.1766 from the night 16/17.01.2018, AGIFER recommends ASFR be sure that: 2. the railway public infrastructure manager CNCF â€žCFRâ€ S.A. shall make an inventory of the electrified track sections on which the locomotives provided with the this pantographs EP3 can be accepted and shall notify this information to all interested factors.</t>
  </si>
  <si>
    <t>RO-5586/1</t>
  </si>
  <si>
    <t>Analizarea prin acÈ›iuni de supraveghere a modului în care CNCFâ€žCFRâ€ SA, în calitate de administrator ...</t>
  </si>
  <si>
    <t>Analizarea prin acÈ›iuni de supraveghere a modului în care CNCFâ€žCFRâ€ SA, în calitate de administrator al infrastructurii feroviare publice, asigurÄƒ condiÈ›iile pentru ca mÄƒsurile de siguranÈ›Äƒ pe care acesta È™i le-a propus pentru È›inerea sub control a pericolelor È™i riscurilor asociate, în legÄƒturÄƒ cu realizarea mentenanÈ›ei infrastructurii feroviare publice, sÄƒ fie aplicabile. TotodatÄƒ AgenÈ›ia de Investigare FeroviarÄƒ RomânÄƒ-AGIFER atenÈ›ioneazÄƒ administratorul de infrastructurÄƒ publicÄƒ, cÄƒ trebuie sÄƒ efectueze, într-un timp cât mai scurt, reevaluarea mÄƒsurilor de siguranÈ›Äƒ pe care aceasta È™i le-a propus în â€žRegistrul de EvidenÈ›Äƒ a Pericolelor Proprii CNCF CFR SAâ€ în legÄƒturÄƒ cu mentenanÈ›a infrastructurii feroviare, astfel încât acestea sÄƒ poatÄƒ fi aplicabile în integritatea lor. Neluarea în considerare a acestei atenÈ›ionÄƒri va avea ca efect creÈ™terea numÄƒrului de accidente pe reÈ›eaua feroviarÄƒ, efect care deja a început sÄƒ se manifeste.</t>
  </si>
  <si>
    <t>RO-5586/2</t>
  </si>
  <si>
    <t>Analysis through surveillances of how CNCFâ€žCFRâ€ SA, like public infrastructure manager, ensures the conditions so the safety measures which it proposed for keeping under control the hazards and the associated risks, concerning the performance of the public infrastructure maintenance, be applicable. Also, Romanian Railway Investigation Agency-AGIFER alerts the public infrastructure manager, about its obligation to do, as soon as possible, the re-assessment of the safety measures, that were proposed in â€žRegister for the evidence of the own dangers of CNCF CFR SAâ€ concerning the infrastructure maintenance, so these can be completely applicable. If these alerts are not taken into account, there will be an increase of the accident number on the railway network, the effect is already present</t>
  </si>
  <si>
    <t>RO-5599/1</t>
  </si>
  <si>
    <t>Accidentul feroviar s-a produs pe secÈ›ia de circulaÈ›ie BucureÈ™ti Sud â€“ Jilava, într-o zonÄƒ în curbÄƒ, ...</t>
  </si>
  <si>
    <t>Accidentul feroviar s-a produs pe secÈ›ia de circulaÈ›ie BucureÈ™ti Sud â€“ Jilava, într-o zonÄƒ în curbÄƒ, care nu figura în evidenÈ›a unitÄƒÈ›ii responsabilÄƒ cu mentenanÈ›e infrastructurii de pe aceastÄƒ secÈ›ie, È™i care, avea nivelul firului exterior mai jos decât nivelul firului interior al curbei. În punctul producerii deraierii valoarea nivelului transversal al cÄƒii, mÄƒsuratÄƒ în regim static era de -92 mm. Deraierea vagonului din compunerea trenului de marfÄƒ nr.86102 s-a produs pe fondul mentenanÈ›ei necorespunzÄƒtoare a infrastructurii feroviare. În timpul investigaÈ›iei s-a constatat cÄƒ, mentenanÈ›a suprastructurii cÄƒii nu a fost realizatÄƒ în conformitate cu prevederile codurilor de practicÄƒ (documente de referinÈ›Äƒ/asociate ale procedurilor din cadrul sistemului de management al siguranÈ›ei al CNCF â€žCFRâ€ SA). Neasigurarea resurselor pentru realizarea mentenanÈ›ei infrastructurii feroviare la nivelul cerinÈ›elor stabilite de sistemul feroviar pentru exploatarea infrastructurii în condiÈ›ii normale de siguranÈ›Äƒ, face ca sistemul sÄƒ funcÈ›ioneze în regim de avarie, iar numÄƒrul deraierilor sÄƒ creascÄƒ de la un an la altul. Prin sistemul de management al riscurilor administratorul infrastructurii feroviare publice È™i-a stabilit ca mÄƒsuri pentru È›inerea sub control a riscurilor de producere a deraierilor: - respectarea prevederilor din codurile de practicÄƒ referitoare la remedierea defectelor cÄƒii, la termenele prevÄƒzute de acestea; - realizarea lucrÄƒrilor de reparaÈ›ie periodicÄƒ a cÄƒii în conformitate cu prevederile codurilor de practicÄƒ È™i a procedurilor din SMS. Neaplicarea de cÄƒtre administratorul infrastructurii feroviare publice a mÄƒsurilor pe care acesta È™i le-a stabilit pentru È›inerea sub control a riscurilor asociate pericolelor de producere a deraierilor, coroboratÄƒ cu menÈ›inerea în exploatare a unei infrastructuri feroviare a cÄƒrei geometrie era necorespunzÄƒtoare, au creat condiÈ›ii favorabile pentru manifestarea pericolului deraierii. Având în vedere factorul care a contribuit la producerea accidentului, factor ce are la bazÄƒ cauze subiacente ce reprezintÄƒ abateri de la codurile de practicÄƒ, comisia de investigare nu considerÄƒ necesarÄƒ emiterea unor recomandÄƒri de siguranÈ›Äƒ. TotuÈ™i, comisia de investigare atenÈ›ioneazÄƒ administratorul de infrastructurÄƒ feroviarÄƒ publicÄƒ CNCF â€žCFRâ€ SA în legÄƒturÄƒ cu necesitatea realizÄƒrii, într-o perioadÄƒ de timp cât mai scurtÄƒ, a unor acÈ›iuni de verificare a geometriei cÄƒii, pentru: - identificarea zonelor în care, valorile elementelor geometrice ale traseului cÄƒii ferate aflat în exploatare nu se încadreazÄƒ în valorile toleranÈ›elor de exploatare, admise de codurile de practicÄƒ È™i urmÄƒrirea aplicÄƒrii mÄƒsurilor de siguranÈ›Äƒ, pe care acesta È™i le-a stabilit în EvidenÈ›a Pericolelor Proprii, pentru È›inerea sub control a riscurilor asociate pericolelor identificate È™i înregistrate în aceastÄƒ evidenÈ›Äƒ; - identificarea zonelor în care geometria traseului cÄƒii ferate aflatÄƒ în exploatare nu corespunde geometriei proiectate a traseului È™i efectuarea unei analize de risc pentru aceste situaÈ›ii.</t>
  </si>
  <si>
    <t>RO-5599/2</t>
  </si>
  <si>
    <t>The railway accident happened on the track section BucureÈ™ti Sud â€“ Jilava, on a curve, that were not in the record of the unit responsible with the infrastructure maintenance for this track section, and that had the cant of the exterior rail under that of the interior rail of the curve. At the derailment site, the value of the transversal level of the track, measured statically was -92 mm. The derailment of the wagon of the freight train no.86102 happened following the unsuitable maintenance of the railway infrastructure. During the investigation, it was found that the track superstructure maintenance was not made in accordance with the provisions of the practice codes (reference/associated documents of the procedures of the safety management system of CNCF â€žCFRâ€ SA). Non provision with the resources for the maintenance of the railway infrastructure in accordance with the requirements established by the railway system for the operation of the infrastructure in normal safety conditions, leads to the operation of the system in emergency mode, and the increase of the number of the derailments from one year to another. Through the system for the risk management, the public infrastructure administrator drafted measures for keeping under control the derailment risks: - compliance with the provisions from the practice codes concerning the removal of the track failures, at the deadlines established by these; - performance of the works for the periodical repair of the track in accordance with the provisions of the practice codes and of the procedures from the SMS. Non application by the public infrastructure administrator of the measures drafted by himself for keeping under control the risks associated to the derailments hazards, corroborated with the keeping in the operation of a railway infrastructure, whose geometry is unsuitable, created the conditions favourable for the derailment hazard. Taking into account the factor that contributed to the accident occurrence, it being based on the underlying causes that are deviations from the practice codes, the investigation commission does not consider necessary to issue safety recommendations. However, the investigation commission alerts the infrastructure administrator CNCF â€žCFRâ€ SA with reference to the need to perform, as soon as possible, some actions for the checking of the track geometry, for: - the identification of the areas where, the values of the geometry elements of the line route in operation are not between the values of the tolerances for operation, accepted by the practice codes and the tracking of the safety measure application, that it established in the Record of the own hazards, for keeping under control the risks associated to the hazards identified and registered in this record; - identification of the areas where the geometry of the track in operation does not meet with the designed route geometry and the performance of a risk analysis for these situations.</t>
  </si>
  <si>
    <t>REC-000954</t>
  </si>
  <si>
    <t>RO-5611/1</t>
  </si>
  <si>
    <t>Deraierea locomotivei ED 030 aflatÄƒ la remorcarea trenului de marfÄƒ 71711-2 s-a produs ca urmare a ...</t>
  </si>
  <si>
    <t>Deraierea locomotivei ED 030 aflatÄƒ la remorcarea trenului de marfÄƒ 71711-2 s-a produs ca urmare a geometriei necorespunzÄƒtoare a cÄƒii, pe fondul unei mentenanÈ›e necorespunzÄƒtoare a infrastructurii feroviare. În timpul investigaÈ›iei s-a constatat cÄƒ, mentenanÈ›a suprastructurii cÄƒii nu a fost realizatÄƒ în conformitate cu prevederile codurilor de practicÄƒ (documente de referinÈ›Äƒ/asociate ale procedurilor din cadrul sistemului de management al siguranÈ›ei al CNCF â€žCFRâ€ SA). Având în vedere cÄƒ neaplicarea prevederilor PO SMS 0-4.07 â€žRespectarea specificaÅ£iilor tehnice, standardelor ÅŸi cerinÅ£elor relevante pe întreg ciclul de viaÈ›Äƒ a liniilor în procesul de întreÅ£inereâ€, parte a sistemului de management al siguranÈ›ei al CNCF â€žCFRâ€ SA a fost depistatÄƒ ca fiind cauza primarÄƒ a acestui accident, pentru prevenirea unor cazuri de accidente care s-ar putea produce în condiÈ›ii similare cu cele prezentate în acest raport, AGIFER emite, pentru Autoritatea de SiguranÈ›Äƒ FeroviarÄƒ RomânÄƒ â€“ ASFR, urmÄƒtoarea recomandare de siguranÈ›Äƒ: - sÄƒ analizeze prin acÈ›iuni proprii de supraveghere, modul în care sistemul de management al siguranÈ›ei al administratorului infrastructurii feroviare publice este aplicat È™i dacÄƒ este cazul sÄƒ solicite CNCFâ€žCFRâ€SA, corectarea sau reevaluarea de cÄƒtre aceasta a mÄƒsurilor pentru È›inerea sub control a riscurilor proprii.</t>
  </si>
  <si>
    <t>RO-5611/2</t>
  </si>
  <si>
    <t>The derailment of the locomotive ED 030, hauling the freight train 71711-2 happened following the unsuitable geometry of the track, being the unsuitable maintenance of the railway infrastructure. During the investigation, one found out that the maintenance of the track superstructure was not performed in accordance with the provisions of the practice codes (documents of reference/associated to the procedures from the safety management system of CNCF â€žCFRâ€ SA). Taking into account the non-application of the provisions PO SMS 0-4.07 â€žMeeting with the technical specifications, standards and requirements for the whole life time of the lines in maintenance processâ€, part of the safety management system of CNCF â€žCFRâ€ SA was found as being the root cause of this accident, for the prevention of some accident cases that could happen in conditions similar to those presented in this report, AGIFER issues, for Romanian Railway Safety Authority â€“ ASFR, the next safety recommendation: analyse through own actions of surveillance, the way the safety management system of the public infrastructure manager is applied and if case ask CNCFâ€žCFRâ€SA, to correct or re-assess the measures for keeping under control the own risks .</t>
  </si>
  <si>
    <t>RO-5622/1</t>
  </si>
  <si>
    <t>Deraierea vagonului nr.31535493968-0 aflat în compunerea trenului de marfÄƒ nr.42564(aparÅ£inând ...</t>
  </si>
  <si>
    <t>Deraierea vagonului nr.31535493968-0 aflat în compunerea trenului de marfÄƒ nr.42564(aparÅ£inând operatorului de transport feroviar SNTFM â€žCFR MarfÄƒâ€ SA), s-a produs pe fondul mentenanÈ›ei necorespunzÄƒtoare a infrastructurii feroviare. Aceasta a fost determinatÄƒ de menÈ›inerea în cuprinsul schimbÄƒtorului de cale a traverselor speciale de lemn necorespunzÄƒtoare, utilizarea unui sistem de prindere a pieselor metalice de traverse, inadecvat È™i favorizatÄƒ de starea tehnicÄƒ necorespunzÄƒtoare a vagonului (deformaÈ›ia existentÄƒ la traversa crapodinei superioare în zona buloanelor de fixare a crapodinei dinspre roÈ›ile nr. 5, 7 È™i 8 È™i de uzura accentuatÄƒ a plÄƒcilor de poliamidÄƒ de la acelaÈ™i boghiu). În cursul acÈ›iunii desfÄƒÈ™urate, comisia de investigare a constatat faptul cÄƒ managementul administratorului de infrastructurÄƒ la nivel central È™i regional nu a identificat soluÈ›ii pentru a dispune în consecinÈ›Äƒ, mÄƒsuri viabile pentru aprovizionarea, în cantitÄƒÈ›i suficiente, a materialelor necesare înlocuirii celor necorespunzÄƒtoare menÈ›inute în exploatare, precum È™i pentru asigurarea forÈ›ei de muncÄƒ necesarÄƒ executÄƒrii lucrÄƒrilor de întreÈ›inere È™i reparaÈ›ie periodicÄƒ a aparatelor de cale. Astfel, administratorul de infrastructurÄƒ feroviarÄƒ publicÄƒ, dacÄƒ ar fi aplicat propriile proceduri ale SMS, în integralitatea lor, precum È™i prevederile codurilor de practicÄƒ, parte a SMS, ar fi putut sÄƒ previnÄƒ producerea acestui accident. TotodatÄƒ, comisia de investigare a constatat cÄƒ, lipsa din InstrucÈ›iunile nr.250/2005 a unor prevederi pentru situaÈ›ia în care, la vagoanele de marfÄƒ dotate cu boghiuri cu glisiere elastice, corpul glisierelor inferioare de pe ambele pÄƒrÈ›i ale boghiului atinge partea superioarÄƒ a cadrului de boghiu, sÄƒ fie nominalizatÄƒ ca È™i defect, a fÄƒcut ca în timpul efectuÄƒrii reviziilor tehnice, poziÈ›ia acestor glisiere sÄƒ nu fie verificatÄƒ, iar vagoanele aflate în aceastÄƒ situaÈ›ie sÄƒ nu fie depistate È™i retrase din circulaÈ›ie, pentru verificÄƒri suplimentare È™i stabilirea lucrÄƒrilor de reparaÈ›ie necesare eliminÄƒrii cauzelor ce conduc la acest defect. Având în vedere aspectele prezentate, pentru reducerea riscurilor de producere a unor accidente feroviare similare, comisia de investigare recomandÄƒ AutoritÄƒÈ›ii de SiguranÈ›Äƒ FeroviarÄƒ RomânÄƒ â€“ ASFR: Recomandarea de siguranÈ›Äƒ nr.1 SÄƒ solicite administratorului infrastructurii feroviare publice revizuirea pÄƒrÈ›ii din sistemul propriu de management al siguranÈ›ei referitoare la activitÄƒÈ›iile de monitorizare È™i de învÄƒÈ›are, ca urmare a producerii unui accident sau incident, precum È™i revizuirea â€žRegistrului propriu de pericoleâ€.</t>
  </si>
  <si>
    <t>RO-5622/2</t>
  </si>
  <si>
    <t>Safety recommendations The derailment of the wagon no.31535493968-0 of the freight train no.42564 (got by the railway undertaking SNTFM â€žCFR MarfÄƒâ€ SA), happened following the unsuitable maintenance of the railway infrastructure. It was generated by the keeping within the switches the unsuitable special wooden sleepers, the use of an unsuitable fastening system of the metallic plates on sleepers, improper one and favoured by the unsuitable technical condition of the wagon (distortion existing at the stock of the upper centre casting at the fastening bolts of the centre casting between the wheels no. 5, 7 and 8 and by the serious wear of the polyamid plates from the same bogie). During the investigation, the commission found out that the manager of the infrastructure administrator, at central and regional level, did not identify the solutions in order to dispose consequently, viable measures for supplying, sufficient quantities of materials necessary for the replacement of those ones unsuitable kept in operation, as well as for the provision of the worforce for the performance of the maintenance and periodical repair of the switches. So, if the public railway infrastructure administrator should have completely applied the SMS procedures, as well as the provisions of the practice codes, part of the SMS, he had been able to prevent the accident occurrence. Also, the investigation commission found out that, missing from the Instructions no.250/2005 of some provisions for the situation in which the wagons provided with bogies with coil spring side beares , the body of the lower side beares on both sides of the bogie come in contact the upper side of the bogie frame, be established like failure, made that during the performance of the technical inspections, the position of these side bearers not be checked, and the wagons in this situation not be identified and withdrawn from traffic, for additional checking and the schedule of the repairs necessary for the removal of the causes leading to this failure. Taking into the issues presented, in order to reduce the risks of some similar railway accidents, the investigation commission recommends Romanian Railway Safety Authority â€“ ASFR: Safety recommendation no.1 To ask public railway infrastructure administrator the revision of the part of safety management system regarding the monitoring and learning, following the occurrence of an accident or incident, as well as the revision of â€žOwn register of dangersâ€.</t>
  </si>
  <si>
    <t>RO-5622/3</t>
  </si>
  <si>
    <t>Deraierea vagonului nr.31535493968-0 aflat în compunerea trenului de marfÄƒ nr.42564(aparÅ£inând operatorului de transport feroviar SNTFM â€žCFR MarfÄƒâ€ SA), s-a produs pe fondul mentenanÈ›ei necorespunzÄƒtoare a infrastructurii feroviare. Aceasta a fost determinatÄƒ de menÈ›inerea în cuprinsul schimbÄƒtorului de cale a traverselor speciale de lemn necorespunzÄƒtoare, utilizarea unui sistem de prindere a pieselor metalice de traverse, inadecvat È™i favorizatÄƒ de starea tehnicÄƒ necorespunzÄƒtoare a vagonului (deformaÈ›ia existentÄƒ la traversa crapodinei superioare în zona buloanelor de fixare a crapodinei dinspre roÈ›ile nr. 5, 7 È™i 8 È™i de uzura accentuatÄƒ a plÄƒcilor de poliamidÄƒ de la acelaÈ™i boghiu). În cursul acÈ›iunii desfÄƒÈ™urate, comisia de investigare a constatat faptul cÄƒ managementul administratorului de infrastructurÄƒ la nivel central È™i regional nu a identificat soluÈ›ii pentru a dispune în consecinÈ›Äƒ, mÄƒsuri viabile pentru aprovizionarea, în cantitÄƒÈ›i suficiente, a materialelor necesare înlocuirii celor necorespunzÄƒtoare menÈ›inute în exploatare, precum È™i pentru asigurarea forÈ›ei de muncÄƒ necesarÄƒ executÄƒrii lucrÄƒrilor de întreÈ›inere È™i reparaÈ›ie periodicÄƒ a aparatelor de cale. Astfel, administratorul de infrastructurÄƒ feroviarÄƒ publicÄƒ, dacÄƒ ar fi aplicat propriile proceduri ale SMS, în integralitatea lor, precum È™i prevederile codurilor de practicÄƒ, parte a SMS, ar fi putut sÄƒ previnÄƒ producerea acestui accident. TotodatÄƒ, comisia de investigare a constatat cÄƒ, lipsa din InstrucÈ›iunile nr.250/2005 a unor prevederi pentru situaÈ›ia în care, la vagoanele de marfÄƒ dotate cu boghiuri cu glisiere elastice, corpul glisierelor inferioare de pe ambele pÄƒrÈ›i ale boghiului atinge partea superioarÄƒ a cadrului de boghiu, sÄƒ fie nominalizatÄƒ ca È™i defect, a fÄƒcut ca în timpul efectuÄƒrii reviziilor tehnice, poziÈ›ia acestor glisiere sÄƒ nu fie verificatÄƒ, iar vagoanele aflate în aceastÄƒ situaÈ›ie sÄƒ nu fie depistate È™i retrase din circulaÈ›ie, pentru verificÄƒri suplimentare È™i stabilirea lucrÄƒrilor de reparaÈ›ie necesare eliminÄƒrii cauzelor ce conduc la acest defect. Având în vedere aspectele prezentate, pentru reducerea riscurilor de producere a unor accidente feroviare similare, comisia de investigare recomandÄƒ AutoritÄƒÈ›ii de SiguranÈ›Äƒ FeroviarÄƒ RomânÄƒ â€“ ASFR: Recomandarea de siguranÈ›Äƒ nr.2 SÄƒ analizeze oportunitatea modificÄƒrii InstrucÈ›iunilor nr.250/2005 - norma naÈ›ionalÄƒ prin care se stabileÈ™te modul de revizuire tehnicÄƒ È™i de întreÈ›inere în exploatare a vagoanelor, în sensul introducerii unor prevederi prin care în situaÈ›ia în care, la vagoanele de marfÄƒ dotate cu boghiuri cu glisiere elastice, corpul glisierelor inferioare de pe ambele pÄƒrÈ›i ale boghiului atinge partea superioarÄƒ a cadrului de boghiu, aceasta sÄƒ fie nominalizatÄƒ ca defect, iar vagoanele constatate cu acest defect sÄƒ fie retrase din circulaÈ›ie, pentru verificÄƒri suplimentare È™i stabilirea lucrÄƒrilor de reparaÈ›ie necesare eliminÄƒrii cauzelor care au condus la acest defect.</t>
  </si>
  <si>
    <t>RO-5622/4</t>
  </si>
  <si>
    <t>Safety recommendations The derailment of the wagon no.31535493968-0 of the freight train no.42564 (got by the railway undertaking SNTFM â€žCFR MarfÄƒâ€ SA), happened following the unsuitable maintenance of the railway infrastructure. It was generated by the keeping within the switches the unsuitable special wooden sleepers, the use of an unsuitable fastening system of the metallic plates on sleepers, improper one and favoured by the unsuitable technical condition of the wagon (distortion existing at the stock of the upper centre casting at the fastening bolts of the centre casting between the wheels no. 5, 7 and 8 and by the serious wear of the polyamid plates from the same bogie). During the investigation, the commission found out that the manager of the infrastructure administrator, at central and regional level, did not identify the solutions in order to dispose consequently, viable measures for supplying, sufficient quantities of materials necessary for the replacement of those ones unsuitable kept in operation, as well as for the provision of the worforce for the performance of the maintenance and periodical repair of the switches. So, if the public railway infrastructure administrator should have completely applied the SMS procedures, as well as the provisions of the practice codes, part of the SMS, he had been able to prevent the accident occurrence. Also, the investigation commission found out that, missing from the Instructions no.250/2005 of some provisions for the situation in which the wagons provided with bogies with coil spring side beares , the body of the lower side beares on both sides of the bogie come in contact the upper side of the bogie frame, be established like failure, made that during the performance of the technical inspections, the position of these side bearers not be checked, and the wagons in this situation not be identified and withdrawn from traffic, for additional checking and the schedule of the repairs necessary for the removal of the causes leading to this failure. Taking into the issues presented, in order to reduce the risks of some similar railway accidents, the investigation commission recommends Romanian Railway Safety Authority â€“ ASFR: Safety recommendation no.2 To analize the oportunity the change of the Instructions no.250/2005 â€“ national norm for setting up of the way of technical inspection and maintenance of the wagons in operation, that is the introduction of some provisions concerning the case the wagons provided with bogies with coil springs side bearers, the body of the lower side bearers from both sides of the bogie comes in contact with the upper side of the bogie frame, it be established like failure and the wagons having a such failure be withdrawn from traffic for additional checking and schedule of repairs necessary for the removal of the causes leading to this failure.</t>
  </si>
  <si>
    <t>RO-5626/1</t>
  </si>
  <si>
    <t>RecomandÄƒri de siguranÈ›Äƒ Pe parcursul investigÄƒrii accidentului feroviar s-a constatat cÄƒ ...</t>
  </si>
  <si>
    <t>RecomandÄƒri de siguranÈ›Äƒ Pe parcursul investigÄƒrii accidentului feroviar s-a constatat cÄƒ societatea nu are personal calificat pentru asigurarea mentenanÈ›ei infrastructurii feroviare subdimensionat, faÈ›Äƒ de prevederile InstrucÈ›iei pentru întreÈ›inerea liniilor feroviare nr.300/1982. În consecinÈ›Äƒ, datoritÄƒ acestui fapt SC GRUP FEROVIAR ROMÂN S.A. nu poate sÄƒ se încadreze în prevederile â€InstrucÈ›iei nr.305â€“ privind fixarea termenelor È™i a ordinei în care trebuie efectuate reviziile cÄƒiiâ€ ediÈ›ia 1977 referitoare la respectarea termenelor de revizie tehnicÄƒ a cÄƒii, deoarece pentru funcÈ›ia È™ef district È™i È™ef echipÄƒ nu are personal autorizat pentru exercitarea acestor funcÈ›ii. La data producerii accidentului feroviar, SC GRUP FEROVIAR ROMÂN S.A. asigura revizia tehnicÄƒ a cÄƒii cu un picher È™i 7 revizori de cale. Conform prevederilor InstrucÈ›iei nr.305/1997 revizia chenzinalÄƒ a cÄƒii se realizeazÄƒ în comisie compusÄƒ din È™ef district, È™ef echipÄƒ È™i revizor de cale. În condiÈ›iile în care acest gestionar de infrastructurÄƒ feroviarÄƒ neinteroperabilÄƒ trebuie sÄƒ asigure mentenanÈ›a infrastructurii (inclusiv revizia tehnicÄƒ pe jos a cÄƒii) pentru cei 87,078 km linie desfÄƒÈ™uratÄƒ È™i 175 schimbÄƒtoare de cale, un singur È™ef de district (a cÄƒrui activitate este asiguratÄƒ de un picher), este cert cÄƒ o singurÄƒ persoanÄƒ nu poate parcurge pe jos de douÄƒ ori pe lunÄƒ (pentru efectuarea reviziilor chenzinale) aceastÄƒ distanÈ›Äƒ È™i, sÄƒ coordoneze È™i sÄƒ participe la activitÄƒÈ›ile de mentenanÈ›Äƒ. De asemenea analiza numÄƒrului de personal muncitor a scos în evidenÈ›Äƒ cÄƒ pentru realizarea mentenanÈ›ei infrastructurii feroviare, acest gestionar de infrastructurÄƒ feroviarÄƒ dispune pentru districtul de linii NÄƒvodari (pe raza cÄƒruia s-a produs accidentul) de un numÄƒr de 13 muncitori faÈ›Äƒ de un numÄƒr de 49 muncitori cât rezultÄƒ din dimensionarea activitÄƒÈ›ii acestui district. Comisia de investigare concluzioneazÄƒ cÄƒ neasigurarea numÄƒrului de personal necesar realizÄƒrii lucrÄƒrilor de mentenanÈ›Äƒ a infrastructurii feroviare reprezintÄƒ un pericol pentru siguranÈ›a feroviarÄƒ, cu atât mai mult cu cât gestionarul de infrastructurÄƒ feroviarÄƒ nu a identificat soluÈ›ii pentru eliminarea deficitului de personal. PrecizÄƒm cÄƒ prezentul raport este al IV-lea în care AGIFER a constatat È™i consemnat acest aspect. Având în vedere factorii care au contribuit la producerea accidentului, factori care au la bazÄƒ cauze subiacente ce reprezintÄƒ abateri de la codurile de practicÄƒ, precum È™i faptul cÄƒ, supravegherea operatorilor economici din sistemul de transport feroviar este atribuÈ›ia AutoritÄƒÈ›ii de SiguranÈ›Äƒ FeroviarÄƒ RomânÄƒ â€“ ASFR, comisia de investigare recomandÄƒ ca ASFR sÄƒ analizeze dacÄƒ gestionarul de infrastructurÄƒ feroviarÄƒ SC Grup Feroviar Român SA mai îndeplineÈ™te condiÈ›iile care au stat la baza emiterii autorizaÈ›iilor de siguranÈ›Äƒ de tip A È™i de tip B, pentru secÈ›ia de circulaÈ›ie neinteroperabilÄƒ Palas â€“ NÄƒvodari.</t>
  </si>
  <si>
    <t>RO-5626/2</t>
  </si>
  <si>
    <t>Safety recommendations Along the investigation, one found that the staff was not skilled in order to assure the maintenance of the railway infrastructure, undersized, as against the provisions of the Instruction for the line maintenance no.300/1982. Consequently, following it SC GRUP FEROVIAR ROMÂN S.A. can not meet with the provisions of â€Instruction no.305â€“ for the setting up of terms and order for the track inspectionsâ€ edition 1977 concerning the compliance with the terms for the technical inspections of the track, because for the positions district inspector and foreman ganger, it has no authorized staff that run these jobs. When the accident happened, SC GRUP FEROVIAR ROMÂN S.A. assured the track technical inspection with a lineman and 7 track inspectors. According to the provisions of the Instruction no.305/1997 the fortnightly inspection of the track is made by a commission consisting in the district inspector and the foreman ganger. Because the manager of the non-interoperable infrastructure has to assure the infrastructure maintenance (including the track technical inspection by walking) for those 87,078 km line extended and 175 swittches, with a single district inspector (whose activity was assured by a lineman), it is sure that only one person could not cover on foot, twice per month (for the fortnightly inspections) this distance , coordinate and participate in the maintenance activities. Also, the analysis of the worker number highlighted that for the railway infrastructure maintenance, this infrastructure manager has for the line district NÄƒvodari (at the accident site) 13 workers as against 49 ones resulting from the sizing of the activity of this district. The investigation commission concludes that the non provision of the staff number necessary for the maintenance of the railway infrastructure is a danger for the railway safety, the more so as the infrastructure manager did not identify solutions in order to remove the staff deficiency. We mention that this report is the 4th one in which AGIFER found and wrote down this issue. Taking into account the factors contributing the accident, factors that are based on underlying causes, that are deviations from the practice codes, as well as that the surveillance of the economic operators from the railway transport system is in charge of Romanian Railway Safety Authority â€“ ASFR, the investigation commission recommends ASFR to analyze if the infrastructure manager SC Grup Feroviar Român SA is still meeting with the conditions for the issuing of the safety authorizations types A and B, for the non-interoperable track section Palas â€“ NÄƒvodari.</t>
  </si>
  <si>
    <t>RO-5640/1</t>
  </si>
  <si>
    <t>RecomandÄƒri de siguranÅ£Äƒ În cazul accidentului feroviar produs 02.04.2018, în circulaÈ›ia trenului ...</t>
  </si>
  <si>
    <t>RecomandÄƒri de siguranÅ£Äƒ În cazul accidentului feroviar produs 02.04.2018, în circulaÈ›ia trenului de marfÄƒ nr.21716-1 s-a constatat faptul, cÄƒ deraierea a fost influenÈ›atÄƒ de potenÈ›ialul tehnic necorespunzÄƒtor al infrastructurii feroviare. Pentru menÈ›inerea parametrilor tehnici ai cÄƒii, la valorile impuse de exploatarea în condiÈ›ii normale a infrastructurii feroviare, administratorul infrastructurii feroviare publice CNCFâ€žCFRâ€ SA, în urma identificÄƒrii pericolelor care se pot manifesta în activitatea de mentenanÈ›Äƒ a infrastructurii feroviare È™i a evaluÄƒrii riscurilor asociate pericolelor, È™i-a stabilit ca mÄƒsuri pentru È›inerea sub control a riscurilor de producere a accidentelor, respectarea prevederilor din codurile de practicÄƒ, care sunt parte a sistemul de management al siguranÈ›ei. Administratorul infrastructurii feroviare publice È™i-a stabilit prin coduri de practicÄƒ (parte integrantÄƒ a Sistemului de Management al SiguranÈ›ei) condiÈ›iile pe care trebuie sÄƒ le respecte în realizarea mentenanÈ›ei infrastructurii astfel, încât aceasta sÄƒ corespundÄƒ cerinÈ›elor pentru exploatarea în condiÈ›ii de siguranÈ›Äƒ feroviarÄƒ. Abaterile de la codurile de practicÄƒ identificate de comisia de investigare, indicÄƒ faptul, cÄƒ sistemul de management al siguranÈ›ei nu este aplicat corespunzÄƒtor de cÄƒtre CNCF â€žCFRâ€ SA. Materialele aprovizionate în cantitÄƒÈ›i insuficiente È™i numÄƒrul foarte mic al personalului muncitor din cadrul formaÈ›iilor de lucru (comparativ cu numÄƒrul de personal muncitor rezultat din dimensionarea subunitÄƒÈ›ilor de întreÈ›inere È™i reparaÈ›ie a cÄƒii) indicÄƒ faptul, cÄƒ CNCF â€žCFRâ€ SA în calitate de administrator al infrastructurii feroviare publice nu poate asigura resursele È™i logistica pentru realizarea cerinÈ›elor stabilite prin codurile de practicÄƒ È™i procedurile din cadrul SMS (aspecte au fost sesizate È™i de conducerile structurilor responsabile cu mentenanÈ›a infrastructurii feroviare în staÈ›ia CFR Videle). SchimbÄƒtorul de cale nr.21 din staÈ›ia CFR Videle a fost menÈ›inut în exploatare în condiÈ›iile în care, conform recensÄƒmântului materialelor de cale, acesta avea în cuprinsul sÄƒu un numÄƒr 20 de traverse de lemn speciale necorespunzÄƒtoare (acest schimbÄƒtor de cale are în cuprinsul sÄƒu un numÄƒr 44 traverse de lemn speciale). Faptul cÄƒ la data producerii accidentului feroviar, schimbÄƒtorul de cale nr.21 din staÈ›ia CFR Videle era în exploatare de 37 de ani, coroborat cu faptul, cÄƒ pentru subunitatea responsabilÄƒ cu mentenanÈ›a infrastructurii feroviare din staÈ›ia CFR Videle nu s-au asigurat, conform cerinÈ›elor, resursele necesare executÄƒrii lucrÄƒrilor de întreÈ›inere È™i reparaÈ›ie a cÄƒii aratÄƒ, cÄƒ aceastÄƒ subunitate nu a avut capacitatea de a realiza parametrii tehnici necesari pentru exploatarea acestui schimbÄƒtor de cale în condiÈ›ii de siguranÈ›Äƒ feroviarÄƒ. SchimbÄƒtoarele de cale (aparatele de cale), prin alcÄƒtuirea constructivÄƒ È™i rolul pe care îl au în realizarea circulaÈ›iei feroviare, sunt unele dintre cele mai solicitate elemente ale suprastructurii cÄƒii. Exploatarea acestora în condiÈ›ii de siguranÈ›Äƒ presupune o analizÄƒ È™i strategie pe termen mediu È™i lung în ceea ce priveÈ™te asigurarea resurselor necesare executÄƒrii mentenanÈ›ei la nivelul impus de condiÈ›iile de siguranÈ›Äƒ feroviarÄƒ. Comisia de investigare considerÄƒ, cÄƒ menÈ›inerea în exploatare aparatelor de cale având traverse necorespunzÄƒtoare, este un pericol pentru siguranÈ›a feroviarÄƒ È™i în acelaÈ™i timp un risc major în producerea unor noi deraieri, din cauze similare cu cele din prezentul raport de investigare, risc pe care administratorul infrastructurii feroviare trebuie sÄƒ îl È›inÄƒ sub control prin mÄƒsuri viabile. Având în vedere cele prezentate È™i în scopul prevenirii producerii unor accidente în condiÈ›ii similare cu cele prezentate în acest raport, AGIFER reitereazÄƒ recomandarea de siguranÈ›Äƒ adresatÄƒ AutoritÄƒÈ›ii de SiguranÈ›Äƒ FeroviarÄƒ RomânÄƒ â€“ ASFR, pentru accidentul feroviar produs la data de 30.10.2017 în staÈ›ia CFR BucureÈ™ti Nord, prin deraierea pe schimbÄƒtorul de cale nr.1 a locomotivei EA 892, care remorca trenul de cÄƒlÄƒtori IR nr.1741, È™i anume: 1. Autoritatea de SiguranÈ›Äƒ FeroviarÄƒ RomânÄƒ-ASFR, va analiza prin acÈ›iuni proprii de supraveghere, modul în care sistemul de management al siguranÈ›ei al administratorului infrastructurii feroviare publice este aplicat È™i dacÄƒ este cazul sÄƒ solicite CNCFâ€žCFRâ€SA, corectarea sau reevaluarea de cÄƒtre aceasta a mÄƒsurilor pentru È›inerea sub control a riscurilor proprii.</t>
  </si>
  <si>
    <t>RO-5640/2</t>
  </si>
  <si>
    <t>In case of the accident occurred on the 2nd April 2018, in the running of the freight train no.21716-1, one found out that the derailment was influenced by the unsuitable technical condition of the railway infrastructure. For keeping the technical parameters according to the values imposed by the normal operation of the railway infrastructure, the public railway infrastructure administrator CNCFâ€žCFRâ€ SA, following the identification of the dangers that can appear in the maintenance of the railway infrastructure and of the assessment of the risks associated to the dangers, it established own measures for keeping under control the risks of accident occurrence, for the compliance with the provisions of the practice codes, that are part of the safety management system. The public railway infrastructure administrator established through the practice codes (part of the Safety Management System - SMS) the conditions to be met in the maintenance of the infrastructure, so it meets with the requirements for the safety operation. The deviations from the practice codes identified by the investigation commission indicate that the safety management system is not properly applied by CNCF â€žCFRâ€ SA. The materials provided in insufficient quantities and the very low number of the workers from the working units (compared to the number of workers resulted from the sizing of the maintenance subunits in charge with the track maintenance and repair) indicate that CNCF â€žCFRâ€ SA, like public railway infrastructure administrator can not assure the resources and logistics for the compliance with the requirements established through the practice codes and procedures of the SMS (issues pointed out also by the managements of the structures in charge with the maintenance of the railway infrastructure from Videle railway station). The switch no.21 from Videle railway station was kept in operation in the circumstances where, according to the census of the track parts, it had 20 special wooden sleepers unsuitable (this switch has 44 special wooden sleepers). Because when the accident happened, the switch no.21 from Videle railway station has been in operation for 37 years, corroborated with the fact that the subunits in charge with the railway infrastructure maintenance from Videle did railway station not provide, according to the requirements, the resources necessary for the track maintenance and repair it shows that that the subunit had not the capacity to achieve the technical parameters necessary for the safety operation of this switch. The switches, through the constructive composition and their role in the traffic getting, are some of the most loaded parts of the superstructure. Their safety operation supposes a middle and long term analysis and strategy on the provision with the resources necessary for the maintenance at the level imposed by the safety conditions. The investigation commission considers that the keeping in operation of the switches having unsuitable sleepers, is a danger for the railway safety and at the same time a major risk for the occurrence of some new derailment, with causes similar to these from the actual investigation report, risk that the infrastructure administrator has to keep under control through viable measures. Taking into account these above mentioned and in order to prevent the occurrence of some accidents in conditions similar to these from the actual report, AGIFER reiterates the safety recommandation addressed to Romanian Railway Safety Authority â€“ ASFR, for the accident happened on the 30th October 2017 in BucureÈ™ti Nord railway station, consisting in the derailment on the switch no.1 of the locomotive EA 892, hauling the passenger train IR no.1741, as follows: 1. Romanian Railway Safety Authority-ASFR shall analyse through own surveillances, how the safety management system of the public railway infrastructure administrator is applied and if case, ask CNCFâ€žCFRâ€SA to correct and re-assess the measures for keeping under control its own risks.</t>
  </si>
  <si>
    <t>RO-5641/1</t>
  </si>
  <si>
    <t>În cursul acÈ›iunii desfÄƒÈ™urate, comisia de investigare a constatat faptul cÄƒ este în ...</t>
  </si>
  <si>
    <t>În cursul acÈ›iunii desfÄƒÈ™urate, comisia de investigare a constatat faptul cÄƒ este în responsabilita-tea atât a managementului administratorului de infrastructurÄƒ la nivel central, cât È™i a celui regional în identificarea È™i gestionarea riscurilor generate de nerealizarea mentenanÈ›ei liniilor CF, pentru a putea dispune în consecinÈ›Äƒ soluÈ›ii È™i mÄƒsuri viabile în vederea È›inerii sub control a pericolului deraierii pe infrastructura publicÄƒ a României. Membrii comisiei de investigare constatÄƒ cÄƒ dacÄƒ s-ar fi aplicat propriile proceduri ale sistemu-lui de management al siguranÈ›ei, în integritatea lor, precum È™i prevederile codurilor de practicÄƒ, parte componentÄƒ a SMS, administratorul de infrastructurÄƒ ar fi putut sÄƒ menÈ›inÄƒ parametrii tehnici ai geo-metriei cÄƒii în limitele toleranÈ›elor impuse de siguranÈ›a feroviarÄƒ, prevenind astfel producerea acestui accident. Aspectele prezentate au mai fost constatate È™i la investigarea altui accident feroviar produs la data de 16.05.2015 la ora 17:50, pe raza de activitate a Sucursalei Regionala de CÄƒi Ferate BraÅŸov, secÅ£ia de circulaÅ£ie Sibiu â€“ CopÈ™a MicÄƒ (linie simplÄƒ neelectrificatÄƒ), între halta de miÅŸcare LoamneÈ™ ÅŸi halta de miÈ™care Ocna Sibiului) în urma cÄƒruia comisia de investigare a dispus urmÄƒtoarea reco-mandare de siguranÈ›Äƒ: â€žAdministratorului de infrastructurÄƒ feroviarÄƒ sÄƒ îÅŸi stabileascÄƒ mÄƒsurile de siguranÅ£Äƒ ce trebuiesc implementate pentru a se asigura cÄƒ în cadrul procesului de întreÅ£inere a linii-lor, sunt respectate în totalitate atât prevederile procedurilor din cadrul sistemului propriu de management al siguranÈ›ei, cât ÅŸi cele din codurile de practicÄƒâ€. În acest sens, comisia de investigare considerÄƒ cÄƒ este necesarÄƒ È™i oportunÄƒ implementarea acestei recomandÄƒri de siguranÈ›Äƒ, pentru care AGIFER, pânÄƒ la aceastÄƒ datÄƒ, nu a primit nici un rÄƒs-puns referitor la mÄƒsurile luate sau planificate a fi luate.</t>
  </si>
  <si>
    <t>RO-5641/2</t>
  </si>
  <si>
    <t>Safety recommendations During the investigation, the investigation commission found out that it is the responsibility of the infrastructure administrator management, both at the central and regional level, the identification and the dealing with the risks generated by the non-performance of the line maintenance, in order to be able for disposing consequently solutions and measures viable for keeping under control the danger of derailment on Romanian public infrastructure. The members of the investigation commission found out that if the own procedures of the safe-ty management system, as well as the provisions of the practice codes should have been applied, the infrastructure administrator had been able to keep the technical parameters of the track geometry be-tween the limits of tolerances imposed by the railway safety, so preventing the occurrence of this accident. The issues presented were also found in the investigation of another accident happened on the 16th May 2015, at 17:50 oâ€™clock, in the railway county BraÅŸov, track section Sibiu â€“ CopÈ™a MicÄƒ (non-electrified single-track line), between the railway stations LoamneÈ™ and Ocna Sibiului), when the investigation commission disposed the next safety recommendation: â€žThe railway infrastructure administrator establish its own safety measures that have to be implemented in order to be sure that within the frame of the maintenance process of the lines, both the provisions of the procedures of the own safety management system and of the practice codes are metâ€. In this respect, the investigation commission considers that it is necessary and appropriate the implementation of this safety recommendation, for which AGIFER, up to this moment, did not receive any answer concerning the measures taken or planned to be taken.</t>
  </si>
  <si>
    <t>RO-5657/1</t>
  </si>
  <si>
    <t>RecomandÄƒri de siguranÈ›Äƒ Deraierea vagonului nr.31530670031-3, aflat în compunerea trenului de ...</t>
  </si>
  <si>
    <t>RecomandÄƒri de siguranÈ›Äƒ Deraierea vagonului nr.31530670031-3, aflat în compunerea trenului de marfÄƒ nr.42695-2 (aparÅ£inând Operatorului de Transport Feroviar SNTFM â€žCFR MarfÄƒâ€ SA), s-a produs pe fondul mentenanÈ›ei necorespunzÄƒtoare a infrastructurii feroviare. În timpul investigaÈ›iei s-a constatat cÄƒ, mentenanÈ›a suprastructurii cÄƒii nu a fost realizatÄƒ în conformitate cu prevederile codurilor de practicÄƒ (documente de referinÈ›Äƒ/asociate ale procedurilor din cadrul sistemului de management al siguranÈ›ei al CNCF â€žCFRâ€ SA). Având în vedere cÄƒ neaplicarea prevederilor PO SMS 0-4.07 â€žRespectarea specificaÅ£iilor tehnice, standardelor ÅŸi cerinÅ£elor relevante pe întreg ciclul de viaÈ›Äƒ a liniilor în procesul de întreÅ£inereâ€, parte a sistemului de management al siguranÈ›ei al CNCF â€žCFRâ€ SA a fost depistatÄƒ ca fiind cauza primarÄƒ a acestui accident, pentru prevenirea unor cazuri de accidente care s-ar putea produce în condiÈ›ii similare cu cele prezentate în acest raport, AGIFER emite, urmÄƒtoarea recomandare de siguranÈ›Äƒ: Autoritatea de SiguranÈ›Äƒ FeroviarÄƒ RomânÄƒ â€“ ASFR sÄƒ analizeze prin acÈ›iuni proprii de supraveghere, modul în care sistemul de management al siguranÈ›ei al administratorului infrastructurii feroviare publice este aplicat È™i, dacÄƒ este cazul, sÄƒ solicite CNCFâ€žCFRâ€SA, corectarea sau reevaluarea de cÄƒtre aceasta a mÄƒsurilor pentru È›inerea sub control a riscurilor proprii.</t>
  </si>
  <si>
    <t>RO-5657/2</t>
  </si>
  <si>
    <t>Safety recommendations The derailment of the wagon no.31530670031-3, being in the composition of the freight train no.42695-2 (got by the railway undertaking SNTFM â€žCFR MarfÄƒâ€ SA), happened following the unsuitable maintenance of the railway infrastructure. During the investigation one found out that the superstructure maintenance was not made in accordance with the provisions of the practice codes (reference/associated documents of the procedures from the safety management system of CNCF â€žCFRâ€ SA). Taking into account that the provisions of PO SMS 0-4.07 â€žCompliance with the technical specifications, standards and requirements relevant for the whole life cycle of the tracks in the maintenance processâ€, part of the safety management system of CNCF â€žCFRâ€ SA, were not applied, it was identified like root cause of the accident, for the prevention of some accidents that could happen in conditions similar to those presented in the this report, AGIFER issues the next safety recommendation: Romanian Railway Safety Authority â€“ ASFR analyse through own surveillance actions, the enforcement of the safety management system of the public railway infrastructure administrator and, if case, ask CNCFâ€žCFRâ€SA, to rectify or reassess the measures for keeping under control the own risks.</t>
  </si>
  <si>
    <t>RO-5677/1</t>
  </si>
  <si>
    <t>Din analiza efectuatÄƒ în investigarea deraierii vagonului nr. 33536654241-3, aflat în compunerea ...</t>
  </si>
  <si>
    <t>Din analiza efectuatÄƒ în investigarea deraierii vagonului nr. 33536654241-3, aflat în compunerea trenului de marfÄƒ nr.80506-1 a reieÈ™it cÄƒ slÄƒbirea bandajului roÈ›ii nr.1 È™i deplasarea acesteia pe obadÄƒ a fost posibilÄƒ în condiÈ›iile existenÈ›ei unor breÈ™e în sistemul de management al siguranÈ›ei operatorului de transport feroviar, în ceea ce priveÈ™te recepÈ›ia vagoanelor care au efectuat reparaÈ›ii accidentale, astfel cÄƒ vagonul respectiv a fost recepÈ›ionat fÄƒrÄƒ ca marcajul de pe bandajul rotilor 1,2 sÄƒ fie vizibil. Având în vedere cele menÈ›ionate Autoritatea de SiguranÈ›Äƒ FeroviarÄƒ RomânÄƒ â€“ ASFR ar trebui sÄƒ solicite operatorului de transport feroviar SC GFR SA revizuirea sistemului de management al siguranÈ›ei referitor la recepÈ›ia vagoanelor la ieÈ™irea din reparaÈ›ie accidentalÄƒ, astfel încât sÄƒ se asigure cÄƒ procedurile existente în acest sens nu permit repunerea în circulaÈ›ie a unui vagon cu probleme la sistemul de rulare. Din analiza efectuatÄƒ în investigarea deraierii vagonului nr. 33536654241-3, aflat în compunerea trenului de marfÄƒ nr.80506-1 a reieÈ™it cÄƒ slÄƒbirea bandajului roÈ›ii nr.1 È™i deplasarea acesteia pe obadÄƒ a fost posibilÄƒ în condiÈ›iile existenÈ›ei unor breÈ™e în sistemul de management al siguranÈ›ei operatorului de transport feroviar, în ceea ce priveÈ™te recepÈ›ia vagoanelor care au efectuat reparaÈ›ii accidentale, astfel cÄƒ vagonul respectiv a fost recepÈ›ionat fÄƒrÄƒ ca marcajul de pe bandajul rotilor 1,2 sÄƒ fie vizibil. Având în vedere cele menÈ›ionate Autoritatea de SiguranÈ›Äƒ FeroviarÄƒ RomânÄƒ â€“ ASFR ar trebui sÄƒ solicite operatorului de transport feroviar SC GFR SA revizuirea sistemului de management al siguranÈ›ei referitor la recepÈ›ia vagoanelor la ieÈ™irea din reparaÈ›ie accidentalÄƒ, astfel încât sÄƒ se asigure cÄƒ procedurile existente în acest sens nu permit repunerea în circulaÈ›ie a unui vagon cu probleme la sistemul de rulare.</t>
  </si>
  <si>
    <t>RO-5677/2</t>
  </si>
  <si>
    <t>SAFETY RECOMMENDATIONS From the analysis performed within the investigation of the derailment of the wagon no. 33536654241-3, in the composition of the freight train no.80506-1, resulting the unfastening of the tyre of the wheel no.1 and its displacement on the wheel centre was possible following the gaps in the safety management system of the railway undertaking for the acceptance of the wagons submitted to accidental repairs, so the respective wagon was accepted without the mark on the tyre of the wheels 1,2 be visible. Taking into account the above mentioned, Romanian Railway Safety Authority â€“ ASFR should ask the railway undertaking SC GFR SA the revision of the safety management system for the wagon acceptance after the accidental repair, so be sure that the procedures existing in this respect do not allow the re-introduction of a wagon with problems at the running gear.</t>
  </si>
  <si>
    <t>RO-5680/1</t>
  </si>
  <si>
    <t>Incidentul produs pe raza Sucursalei Regionale CF BraÈ™ov în staÈ›ia CFR Predeal a constat în scÄƒparea ...</t>
  </si>
  <si>
    <t>Incidentul produs pe raza Sucursalei Regionale CF BraÈ™ov în staÈ›ia CFR Predeal a constat în scÄƒparea unui grup de vagoane, cu locomotiva EA 386 de la linia nr.2 din staÈ›ie È™i înscrierea acestora pe firul II de circulaÈ›ie cÄƒtre staÈ›ia CFR Azuga, în timpul manevrÄƒrii acestora. Acest incident s-a produs ca urmare a faptului cÄƒ nu a fost asigurat procentul necesar de frânare È™i are la bazÄƒ atât o eroare umanÄƒ cât È™i o deprindere greÈ™itÄƒ de lucru utilizatÄƒ în procesul de manevrÄƒ. Eroarea umanÄƒ reprezentatÄƒ de omiterea deschiderii robinetelor frontale de aer dintre locomotiva EA 386 È™i primul vehicul remorcat a fost posibilÄƒ ca urmare a scÄƒderii atenÈ›iei agentului din partida de tren pe fondul oboselii acumulate de la intrarea în serviciu È™i pânÄƒ la ora producerii incidentului È™i a lipsei unor prevederi concrete în cadrul proceduri operaÈ›ionale cod POSF â€“ 37 care sÄƒ asigure urmÄƒrirea eficientÄƒ a prestaÈ›iei partidelor de tren pentru încadrarea acestora în durata normalÄƒ a timpului de muncÄƒ È™i respectiv a repausului zilnic. Având în vedere cele prezentate comisia de investigare recomandÄƒ AutoritÄƒÈ›ii de SiguranÈ›Äƒ FeroviarÄƒ RomânÄƒ â€“ ASFR sÄƒ solicite operatorului de transport feroviar de marfÄƒ SC Unicom Tranzit SA: - reevaluarea riscurilor generate de pericolul â€Neefectuarea probelor de frânÄƒ corespunzÄƒtoarea în staÈ›iile de compunere sau în cazul formÄƒrii de cupluri È™i/sau recompunere pentru circulaÈ›ia pe pante mariâ€ È™i dispunerea de mÄƒsuri eficiente pentru È›inerea sub control a acestuia; - revizuirea Procedurii OperaÈ›ionale â€Pentru comandarea, asigurarea, urmÄƒrirea personalului de tren È™i monitorizarea respectÄƒrii normelor aprobate cu OMT 256/29.03.2013, privind serviciul maxim admis pe locomotivÄƒ, efectuat de personalul UNICOM TRANZIT care conduce È™i/sau deserveÈ™te trenurile în sistemul feroviar din Româniaâ€ cod POSF â€“ 37 Revizia 1 intratÄƒ în vigoare la data de 01.04.2017, astfel încât aceasta sÄƒ conÈ›inÄƒ prevederi concrete care asigure respectarea duratei normale a timpului de muncÄƒ È™i respectiv a repausului zilnic È™i pentru personalul partidelor de tren.</t>
  </si>
  <si>
    <t>RO-5680/2</t>
  </si>
  <si>
    <t>Safety recommendations The incident happened in the railway county BraÈ™ov, in the railway station Predeal consisted in the fact that, during the shunting of a set of wagons with the locomotive EA 386, these ran away from the line no.2 of the railway station Predeal to the track II of the railway station Azuga. This incident happened because the braked weight percentage necessary for braking was not ensured and is based both on a human error and a wrong working skill used in shunting process. The human error, represented by the omission of opening the angle cocks between the locomotive EA 386 and the first hauled vehicle, was possible following the less attention of the agent from the train crew, because of the fatigue accumulated from the duty start up to the incident occurrence and in the context of missing some real provisions within the operational procedure code POSF â€“ 37 that ensure the effective tracking of the train crew activity for meeting with the normal working time and daily rest. Taking into account these above mentioned, the investigation commission recommends Romanian Railway Safety Authority â€“ ASFR to ask the railway freight undertaking SC Unicom Tranzit SA : - re-assessment of the risks generated by the danger â€Failure of performance of the corresponding brake tests in the railway stations of composition or in case of forming rake of wagons and/or re-forming for running on high gradientâ€ and taking of effective measures for keeping it under control; - revision of the Operational Procedure â€For the appointment, ensuring and tracking of the train crew and monitoring of the compliance with the norms approved through the Order of Minister of Transports OMT 256/29.03.2013, concerning the maximum duty accepted for the locomotive, for the train crew of UNICOM TRANZIT in Romanian railway systemâ€ code POSF â€“ 37 Revision 1 in force from the 1st April 2017, so it shall have real provisions that ensure the compliance with the normal working time and the daily rest for the train crews.</t>
  </si>
  <si>
    <t>RO-5682/1</t>
  </si>
  <si>
    <t>La data de 05.06.2018, în circulaÈ›ia trenului de cÄƒlÄƒtori nr.16331, format din douÄƒ automotoare tip ...</t>
  </si>
  <si>
    <t>La data de 05.06.2018, în circulaÈ›ia trenului de cÄƒlÄƒtori nr.16331, format din douÄƒ automotoare tip AMX care circulau în comandÄƒ multiplÄƒ, s-a produs un incendiu în zona motorului Diesel, la cel de al doilea automotor care circula fÄƒrÄƒ cÄƒlÄƒtori. AcÈ›iunile de aprecierea riscurilor la nivelul operatorilor implicaÈ›i, au prezentat unele deficienÈ›e, în sensul cÄƒ nu au fost identificate toate pericolele ce puteau fi rezonabil identificate, iar pentru cele identificate cu consecinÈ›a producerii unui incendiu, mÄƒsura de siguranÈ›Äƒ pentru È›inerea sub control a riscului respectiv nu a fost verificatÄƒ corespunzÄƒtor, din punct de vedere al eficienÈ›ei acesteia. 1. Comisia de investigare recomandÄƒ AutoritÄƒÈ›ii de SiguranÈ›Äƒ FeroviarÄƒ RomânÄƒ â€“ ASFR, sÄƒ solicite SC Regio CÄƒlÄƒtori SRL BraÈ™ov È™i SC MARUB SA BraÈ™ov, refacerea SpecificaÈ›iei tehnice cod ST 1.019/2011 în vederea introducerii unor prevederi referitoare la efectuarea respectiv la menÈ›inerea stÄƒrii de curÄƒÈ›enie a motorului Diesel È™i a echipamentelor auxiliare ale acestuia.</t>
  </si>
  <si>
    <t>RO-5682/2</t>
  </si>
  <si>
    <t>Safety recommendations On the 5th June 2018, in the running of the passenger train no.16331, consisting in two multiple units type AMX, hauled only by the first driving cab, a fire triggered at the Diesel engine, at the second multiple unit running without passengers. The actions for the risk assessment at the railway undertakings involved, presented some deficiencies, that is one did not identify all the dangers that could be resonably identified, and for those identified that could have led to a fire, the safety measure for keeping under control the respective risk was not properly controlled, in terms of its effectiveness. 1. The investigation commission recommends Romanian Railway Safety Authority â€“ ASFR to ask SC Regio CÄƒlÄƒtori SRL BraÈ™ov and SC MARUB SA BraÈ™ov the redrafting of the Technical Specification code ST 1.019/2011 for the insertion of some provisions for the performance and maintenance of the Diesel engine cleaning and of its auxiliary parts.</t>
  </si>
  <si>
    <t>RO-5682/3</t>
  </si>
  <si>
    <t>Conform clasificÄƒrii accidentelor prevÄƒzutÄƒ în Regulamentul de Investigare, având în vedere ...</t>
  </si>
  <si>
    <t>Conform clasificÄƒrii accidentelor prevÄƒzutÄƒ în Regulamentul de Investigare, având în vedere activitatea în care s-a produs, evenimentul se încadreazÄƒ ca accident feroviar la art.7, alin.(1) lit.e â€“ â€žincendii la vehiculele feroviare din compunerea trenurilor în circulaÈ›ieâ€. RecomandÄƒri de siguranÈ›Äƒ La data de 05.06.2018, în circulaÈ›ia trenului de cÄƒlÄƒtori nr.16331, format din douÄƒ automotoare tip AMX care circulau în comandÄƒ multiplÄƒ, s-a produs un incendiu în zona motorului Diesel, la cel de al doilea automotor care circula fÄƒrÄƒ cÄƒlÄƒtori. AcÈ›iunile de apreciere a riscurilor la nivelul operatorilor implicaÈ›i, au prezentat unele deficienÈ›e, în sensul cÄƒ nu au fost identificate toate pericolele ce puteau fi rezonabil identificate, iar pentru cele identificate cu consecinÈ›a producerii unui incendiu, mÄƒsura de siguranÈ›Äƒ pentru È›inerea sub control a riscului respectiv nu a fost verificatÄƒ corespunzÄƒtor, din punct de vedere al eficienÈ›ei acesteia. 2. Comisia de investigare recomandÄƒ AutoritÄƒÈ›ii de SiguranÈ›Äƒ FeroviarÄƒ RomânÄƒ â€“ ASFR, sÄƒ solicite SC Regio CÄƒlÄƒtori SRL BraÈ™ov, refacerea acÈ›iunii de identificarea riscurilor asociate operaÈ›iunilor feroviare pentru activitatea de mentenanÈ›Äƒ a automotoarelor tip AMX, prin identificarea tuturor pericolelor ce pot fi rezonabil identificate È™i stabilirea unor criterii de acceptare a riscurilor corespunzÄƒtoare, eventual prin stabilirea unor mÄƒsuri de siguranÈ›Äƒ suplimentare, pentru ca riscurile de producere ale acestora sÄƒ poatÄƒ fi acceptabile.</t>
  </si>
  <si>
    <t>RO-5682/4</t>
  </si>
  <si>
    <t>On the 5th June 2018, in the running of the passenger train no.16331, consisting in two multiple units type AMX, hauled only by the first driving cab, a fire triggered at the Diesel engine, at the second multiple unit running without passengers. The actions for the risk assessment at the railway undertakings involved, presented some deficiencies, that is one did not identify all the dangers that could be resonably identified, and for those identified that could have led to a fire, the safety measure for keeping under control the respective risk was not properly controlled, in terms of its effectiveness. 2. The investigation commission recommends Romanian Railway Safety Authority â€“ ASFR to ask SC Regio CÄƒlÄƒtori SRL to run again the identification of the risks associated to the railway operations for the maintenance of the multiple units type AMX, through the identification of all dangers that could be reasonably identified and the setting up of some criteria for the acceptance of the corresponding risks, eventually through taking some additional safety measures, so the risks of their occurrence could be acceptable.</t>
  </si>
  <si>
    <t>RO-5683/1</t>
  </si>
  <si>
    <t>RecomandÄƒri de siguranÈ›Äƒ Deraierea vagonului nr.31533555642-1aflat în compunerea trenului de marfÄƒ ...</t>
  </si>
  <si>
    <t>RecomandÄƒri de siguranÈ›Äƒ Deraierea vagonului nr.31533555642-1aflat în compunerea trenului de marfÄƒ nr.41722 (aparÈ›inând operatorului de transport feroviar SNTFM â€žCFR MarfÄƒâ€ SA), s-a produs pe fondul mentenanÈ›ei necorespunzÄƒtoare a infrastructurii feroviare. Aceasta a fost determinatÄƒ de menÈ›inerea în cuprinsul schimbÄƒtorului de cale a traverselor de lemn necorespunzÄƒtoare, menÈ›inerea în cale a ecliselor de lignofoliu rupte, existenta în cuprinsul schimbÄƒtorului de cale a traverselor neburate (lÄƒsÄƒturi oarbe), ceea ce a condus la formarea unui prag vertical È™i a unui prag lateral pe suprafaÈ›a activÄƒ a È™inei, la joantÄƒ. Administratorul de infrastructurÄƒ feroviarÄƒ publicÄƒ, nu a aplicat propriile proceduri ale SMS, în integralitatea lor, precum È™i prevederile codurilor de practicÄƒ, parte a SMS, fapt ce a avut un rol substanÈ›ial în producerea acestui accident. În cursul acÈ›iunii desfÄƒÈ™urate, comisia de investigare a constatat faptul cÄƒ managementul administratorului de infrastructurÄƒ la nivel central È™i regional nu a identificat soluÈ›ii pentru a dispune în consecinÈ›Äƒ, mÄƒsuri viabile pentru aprovizionarea în cantitÄƒÈ›i suficiente, a materialelor necesare înlocuirii celor necorespunzÄƒtoare menÈ›inute în exploatare, precum È™i pentru asigurarea forÈ›ei de muncÄƒ necesarÄƒ executÄƒrii lucrÄƒrilor de întreÈ›inere È™i reparaÈ›ie periodicÄƒ a aparatelor de cale. Având în vedere faptul cÄƒ la data de 25.04.2018, în staÈ›ia CFR Dej Triaj, Grupa A, la trecerea peste aparatul de cale nr.15A, a trenului de marfÄƒ nr.42695-2, aparÈ›inând operatorului de transport feroviar SNTFM â€žCFR MarfÄƒâ€ SA, s-a produs deraierea vagonului nr.31530670031-3, în condiÈ›ii similare, comisia de investigare considerÄƒ cÄƒ, în mÄƒsura în care recomandarea de siguranÈ›Äƒ emisÄƒ în Raportul de investigare al acelui accident, finalizat la data de 05.04.2019, va fi implementatÄƒ, nu mai este necesarÄƒ emiterea unei alte recomandÄƒri de siguranÈ›Äƒ similare pentru prezentul caz. Neefectuarea de cÄƒtre administratorul de infrastructurÄƒ, a tuturor activitÄƒÈ›ilor din cadrul procesului de monitorizare, reglementate de cÄƒtre REGULAMENTUL (UE) nr.1078/2012, a fost depistatÄƒ în cursul acÈ›iunii desfÄƒÈ™urate ca fiind cauzÄƒ primarÄƒ a acestui accident. Acest fapt a fost constatat È™i cu ocazia acÈ›iunii de investigare a accidentului feroviar produs la data de 15.03.2018, în staÈ›ia Dealu È˜tefÄƒniÈ›ei, finalizat la data de 12.03.2019. În mÄƒsura în care recomandarea de siguranÈ›Äƒ nr.1 â€žsÄƒ solicite administratorului infrastructurii feroviare publice revizuirea pÄƒrÈ›ii din sistemul propriu de management al siguranÈ›ei referitoare la activitÄƒÈ›ile de monitorizare È™i de învÄƒÈ›are, ca urmare a producerii unui accident sau incident, precum È™i revizuirea Registrului propriu de pericoleâ€, emisÄƒ în Raportul de investigare al acelui accident va fi implementatÄƒ, nu mai este necesarÄƒ emiterea unei alte recomandÄƒri de siguranÈ›Äƒ similare pentru prezentul caz. În cursul acÈ›iunii de investigare comisia a constatat faptul cÄƒ, operatorul de transport feroviar SNTFM â€žCFR MarfÄƒâ€ SA, nu È™i-a întocmit în conformitate cu prevederile criteriului B.3 din Anexa II a Regulamentului (UE) nr.1158/2010, proceduri/reglementÄƒri care sÄƒ stabileascÄƒ competenÈ›ele personalului È™i modul în care acesta asigurÄƒ efectuarea verificÄƒrii condiÈ›iilor tehnice la introducerea/scoaterea vagoanelor în/din trenurile în tranzit, fapt care a permis menÈ›inerea în circulaÈ›ie a unui vagon de marfÄƒ ale cÄƒrui defecte impuneau scoaterea din tren. Având în vedere acest aspect, comisia de investigare recomandÄƒ ca: - Autoritatea de SiguranÈ›Äƒ FeroviarÄƒ RomânÄƒ â€“ ASFR sÄƒ se asigure cÄƒ, operatorul de transport feroviar SNTFM â€žCFR MarfÄƒâ€ SA, îÈ™i întocmeÈ™te proceduri astfel încât sÄƒ asigure identificarea competenÈ›elor necesare personalului implicat în activitatea de verificare a condiÈ›iilor tehnice la introducerea/scoaterea vagoanelor în/din trenurile în tranzit È™i modul de efectuare a acestei activitÄƒÈ›i, în vederea È›inerii sub control a riscurilor induse de aceastÄƒ activitate.</t>
  </si>
  <si>
    <t>RO-5683/2</t>
  </si>
  <si>
    <t>SAFETY RECOMMENDATIONS The derailment of the wagon no. 31533555642-1 of the freight train no.41722 (got by the railway undertaking SNTFM â€žCFR MarfÄƒâ€ SA), happened following the unsuitable maintenance of the railway infrastructure. It was determined by the keeping within the switch of the unsuitable wooden sleepers, keeping of lingnofolium fish plates broken in the track, the existence within the switch of non-packed sleepers (gaps under the base of the sleepers), it leading to the appearance of a vertical shoulder and of a lateral one on the active surface of the rail, at the joint. The administrator of the public railway infrastructure did not apply the own procedures of the SMS, completely, as well as the provisions of the practice codes, part of SMS, it having a substantial role in this accident occurrenec. During the investigation, the commission found that the management of the infrastructure administrator, at central and regional level, did not identify solutions for disposing consequently viable measures for supplying the sufficient quantities of materials necessary for the replacement of those unsuitable kept in operation, as well as for the assurance of the working force necessary for the periodical maintenance and repair of the switches. Taking into account that on the 25th April 2018, in the railway station Triaj, Group A, at the passing of the freight train no. 42695-2 over the switch no.15A, trin got by the railway undertaking SNTFM â€žCFR MarfÄƒâ€ SA, the wagon no. 31530670031-3 derailed, in similar conditions, the investigation commission considers that, as far as the safety recommendation issued in the Investigation report of that accident, ended on the 5th Aprilie 2019, shall be implemented, there is no more necessary the issuing of another safety recommendation similar for the present case. Non performance by the infrastructure administrator of all activities of the monitoring process, regulated by the REGULATIONS (EU) no.1078/2012, was found within the investigation as being the root cause of this accident. It was found also during the investigation of the accident from the 15th March 2018, in the railway station Dealu È˜tefÄƒniÈ›ei, ended on the 12th March 2019. As far as the safety recommendation no.1 â€žto ask the railway public infrastructure administrator the revision of the part from the own safety management system concerning the monitoring and learning, following the occurrenece of an accident or incident, as well as the revision of the Own danger registerâ€, issued in the Report for the investigation of that accident shall be implemented, there is no need to issue another safety recommendation similar for the present case. During the investigation, the commission found that the railway undertaling SNTFM â€žCFR MarfÄƒâ€ SA, did not draft in accordance with the provisions of the criterium B.3 from the Annex II of the Regulations (EU) no.1158/2010, procedures/regulations that establish the competences of the staff and the way it assures the performance of the checking of the technical conditions when the wagons are coupled/uncoupled in the trains in transit, it allowed the keeping in running of a wagon whose failures were imposing its uncoupling from the train. Taking into account this issue, the investigation commission recommends: Romanian Railway Safety Authority â€“ ASFR be sure that the railway undertaking SNTFM â€žCFR MarfÄƒâ€ SA, drafts procedures so that assure the identification of the competences necessary for the staff involved in the checking of the technical conditions for coupling/uncoupling the wagons at the trains in transit and the way to perform this activity, in order to keep under control the risks induced by this activity</t>
  </si>
  <si>
    <t>RO-5693/1</t>
  </si>
  <si>
    <t>RecomandÄƒri de siguranÅ£Äƒ În cazul accidentului feroviar produs la data de 14.06.2018, în ...</t>
  </si>
  <si>
    <t>RecomandÄƒri de siguranÅ£Äƒ În cazul accidentului feroviar produs la data de 14.06.2018, în circulaÈ›ia trenului de marfÄƒ nr.60524 s-a constatat cÄƒ acesta s-a produs ca urmare a slÄƒbirii bandajului roÈ›ii nr.4 de la vagonul nr. 84535304149-2, urmatÄƒ de rotirea acestuia pe obada roÈ›ii È™i polizarea inelului de fixare, fapt ce a condus la modificarea accidentalÄƒ a distanÈ›ei dintre feÈ›ele interioare ale bandajelor roÈ›ilor (ecartamentul) osiei montate. De asemenea, s-a constatat cÄƒ accidentul s-a produs pe fondul lipsei marcajelor cu vopsea situate la 900 unul faÈ›Äƒ de altul pe bandajul roÈ›ii nr.4, fapt ce a îngreunat detectarea rotirii bandajului pe obada roÈ›ii. Nedepistarea neconformitÄƒÈ›ilor la marcajele cu vopsea de pe roÈ›ile vagonului nr.84535304149-2 (în special la reviziile tehnice È™i probele frânelor efectuate în staÈ›iile CFR Drobeta Turnu Severin È™i Balota) a fost favorizatÄƒ È™i de starea de obosealÄƒ acumulatÄƒ de operatorul uman (revizorul tehnic de vagoane). Astfel, de la data de 13.06.2018, ora 06:00 È™i pânÄƒ la data de 14.06.2018, ora 19:30, revizorul tehnic de vagoane a efectuat revizii tehnice È™i probe ale frânelor la trenul de marfÄƒ nr.60524 (în staÈ›iile ReÈ™iÈ›a Nord, CaransebeÈ™, Drobeta Turnu Severin È™i Balota) È™i nu s-a odihnit decât perioade scurte de timp, în locomotiva de remorcare a trenului. Astfel, prin acest mod de lucru, operatorul de transport feroviar nu a reuÈ™it sÄƒ tinÄƒ sub control riscurile generate de starea de obosealÄƒ a salariaÈ›ilor proprii în cadrul activitÄƒÈ›ilor de revizie tehnicÄƒ a trenurilor. Având în vedere cauza primarÄƒ ce a stat la baza producerii acestui accident, pentru prevenirea unor cazuri de accidente care s-ar putea produce în condiÈ›ii similare cu cele prezentate în acest raport, AGIFER emite, urmÄƒtoarea recomandare de siguranÈ›Äƒ: 1. Autoritatea de SiguranÈ›Äƒ FeroviarÄƒ RomânÄƒ â€“ ASFR se va asigura cÄƒ TIM RAIL CARGO SRL, în calitatea sa de operator de transport feroviar de marfÄƒ, îÈ™i va reevalua mÄƒsurile proprii de prevenire si È›inerea sub control a riscurilor asociate activitÄƒÈ›ii de revizie tehnicÄƒ È™i întreÈ›inere a vagoanelor de marfÄƒ în exploatare.</t>
  </si>
  <si>
    <t>RO-5693/2</t>
  </si>
  <si>
    <t>SAFETY RECOMMENDATIONS With reference to the railway accident happened on the 14th June 2018, in the running of the freight train no.60524, one found out that it happened following the unfastening of the tyre from the wheel no.4 of the wagon no. 84535304149-2, followed by its turn on the pair of the wheels and the grinding of the fastening ring, it leading to the accidental change of the distance between the inner faces of the tyres from the wheels (gauge) of the pair of wheels. One also found that the accident happened following the missing of the paint marks situated at 900 one to another on the tyre of the wheel no.4, it making difficult the identification of the tyre turn on the pair of the wheels. Non-identification of the nonconformities at the paint marks from the wheels of the wagon no.84535304149-2 (especially during the technical inspections and brake tests performed in the railway stations Drobeta Turnu Severin and Balota) was favoured also by the fatigue condition cummulated by the human operator (examiner). So, on the 13th June 2018, at 06 oâ€™clock and to the 14th June 2018, at 19:30 oâ€™clock, the examiner performed technical inspections and brake tests at the freight train no.60524 (in the railway stations ReÈ™iÈ›a Nord, CaransebeÈ™, Drobeta Turnu Severin and Balota) and did not take the rest than for short times in the hauling locomotive. So, following this working way, the railway undertaking did not get the keeping under control the risks generated by the fatigue condition of the own employees within the train technical inspections. Taking into account the root cause, basis for this accident, in order to prevent some accidents similar those presented in this report, AGIFER issue the next safety recommendation: 1. Romanian Railway Safety Authority â€“ ASFR shall ensure itself that TIM RAIL CARGO SRL, like railway freight undertaking, shall re-assess the own measures for the prevention and keeping under control the risks associated to the technical inspection and maintenance of wagons in operation.</t>
  </si>
  <si>
    <t>RO-5696/1</t>
  </si>
  <si>
    <t>RecomandÄƒri de siguranÈ›Äƒ Deraierea vagonului nr.31530670031-3, aflat în compunerea trenului de marfÄƒ nr.42695 (aparÅ£inând Operatorului de Transport Feroviar SNTFM â€žCFR MarfÄƒâ€ SA), la data de 20.06.2018 s-a produs pe fondul mentenanÈ›ei necorespunzÄƒtoare a infrastructurii feroviare È™i a torsionÄƒrii existente la cadrul boghiului implicat. În timpul investigaÈ›iei s-a constatat cÄƒ, mentenanÈ›a suprastructurii cÄƒii nu a fost realizatÄƒ în conformitate cu prevederile codurilor de practicÄƒ (documente de referinÈ›Äƒ/asociate ale procedurilor din cadrul sistemului de management al siguranÈ›ei al CNCF â€žCFRâ€ SA). De asemenea, s-a constatat cÄƒ, în cadrul activitÄƒÈ›ilor de identificare È™i evaluare a riscurilor, Sucursala Transilvania din cadrul SNTFM â€žCFR MarfÄƒâ€ SA, nu a identificat riscurile generate de pericolul deformÄƒrii (torsionÄƒrii) cadrelor de boghiu, în intervalul cuprins între douÄƒ revizii de tip RP, în cazul vagoanelor neprotejate împotriva coroziunii, folosite un timp îndelungat la transportul, în vrac, a sÄƒrii (marfÄƒ puternic corozivÄƒ) È™i care sunt implicate în deraieri (vagonul a fost implicat È™i în deraierea produsÄƒ la data de 25.04.2018). Având în vedere cauzele primare ce au stat la baza producerii acestui accident, pentru prevenirea unor cazuri de accidente care s-ar putea produce în condiÈ›ii similare cu cele prezentate în acest raport, AGIFER emite, urmÄƒtoarele recomandÄƒri de siguranÈ›Äƒ: 1. Autoritatea de SiguranÈ›Äƒ FeroviarÄƒ RomânÄƒ â€“ ASFR va evalua prin acÈ›iuni proprii de supraveghere, modul în care sistemul de management al siguranÈ›ei al administratorului infrastructurii feroviare publice este aplicat È™i, dacÄƒ este cazul, va solicita CNCFâ€žCFRâ€SA, corectarea sau reevaluarea de cÄƒtre aceasta a mÄƒsurilor pentru È›inerea sub control a riscurilor proprii.</t>
  </si>
  <si>
    <t>RO-5696/2</t>
  </si>
  <si>
    <t>The derailment of the wagon no.31530670031-3, being in the composition of the freight train no.42695 (got by the railway undertaking SNTFM â€žCFR MarfÄƒâ€ SA), on the 20th June 2018, happened following the unsuitable maintenance of the infrastructure and the existing twist of the frame of the bogie involved. During the investigation one found that the track superstructure maintenance was not made in accordance with the provisions of the practice codes (reference/associated documents to the procedures, parts of CNCF â€žCFRâ€ SA safety management system). One also found that within the identification and assessment of the risks, the railway county Transilvania of SNTFM â€žCFR MarfÄƒâ€ SA did not identify the risks generated by the danger of twist of the bogie frames, between those two inspections type RP, for the wagons without protection against the corrosion, used a long time for the bulk transport of the salt (freight very corrosive) and involved in derailments (the wagon was involved also in the derailment from the 25th April 2018). Taking into account the root causes, basis for the occurrence of the accident, in order to prevent accidents similar to those presented in this report, AGIFER issues the next safety recommendations: 1. Romanian Railway Safety Authority â€“ ASFR shall assess, through own surveillances, the application of the safety management system of the public railway infrastructure administrator and, if case, shall ask CNCFâ€žCFRâ€SA, to correct or the re-assess the measures for keeping under control the own risks.</t>
  </si>
  <si>
    <t>RO-5696/3</t>
  </si>
  <si>
    <t>2. Autoritatea de SiguranÈ›Äƒ FeroviarÄƒ RomânÄƒ â€“ ASFR va solicita SNTFM â€žCFR MarfÄƒâ€ SA: a. evaluarea ...</t>
  </si>
  <si>
    <t>2. Autoritatea de SiguranÈ›Äƒ FeroviarÄƒ RomânÄƒ â€“ ASFR va solicita SNTFM â€žCFR MarfÄƒâ€ SA: a. evaluarea riscurilor generate de pericolul deformÄƒrii (torsionÄƒrii) accentuate a cadrelor de boghiu, în intervalul cuprins între douÄƒ revizii de tip RP, deformare generatÄƒ de cumularea urmÄƒtorilor factori: ï‚§ folosirea pe timp îndelungat, al vagoanelor neprotejate împotriva coroziunii, la transportul în vrac al mÄƒrfurilor puternic corozive; ï‚§ È™ocurile puternice transmise cÄƒtre cadrul de boghiu, în timpul rulÄƒrii vagoanelor în stare deraiatÄƒ. b. identificarea È™i aplicarea mÄƒsurile de siguranÈ›Äƒ ce se impun pentru È›inerea sub control a acestui risc.</t>
  </si>
  <si>
    <t>RO-5696/4</t>
  </si>
  <si>
    <t>2. Romanian Railway Safety Authority â€“ ASFR shall ask SNTFM â€žCFR MarfÄƒâ€ SA: a. to assess the risks generated by the danger of the serious twist of the bogie frames, between the two inspections type RP, twist generated by the cumulation of the next factors: ï‚§ long term use of the wagons without protection against the corrosion for the bulk transport of the freights very corrosive; ï‚§ the strong shocks transmitted by the bogie frame, during the running of the wagons in derailed condition. b. identification an application of the safety measures necessary for keeping under control of this risk.</t>
  </si>
  <si>
    <t>RO-5699/1</t>
  </si>
  <si>
    <t>În cursul acÈ›iunii de investigare comisia a constatat faptul cÄƒ, managementul administratorului de ...</t>
  </si>
  <si>
    <t>În cursul acÈ›iunii de investigare comisia a constatat faptul cÄƒ, managementul administratorului de infrastructurÄƒ a stabilit Riscurile de interfaÈ›Äƒ cu OTF È™i mÄƒsurile pentru È›inerea sub control, acestea fiind evidenÈ›iate în cuprinsul actului nr.42/1/1052/16.04.2015 - â€žRiscurile de interfaÈ›Äƒ cu OTF È™i mÄƒsurile pentru È›inerea sub controlâ€ al Sucursalei Regionale CF Craiova, document parte din SMS. În acest document este precizat la punctul 26 pericolul â€žDepÄƒÈ™irea sarcinii pe osieâ€, având drept posibile consecinÈ›e deraieri de vehicule feroviare sau degradÄƒri ale liniei sau lucrÄƒrilor de artÄƒ. Acest risc este considerat de frecvenÈ›Äƒ improbabilÄƒ iar ca gravitate marginal. Ulterior stabilirii È™i cuantificÄƒrii acestui risc, pe relaÈ›ia DrÄƒgoteÈ™ti â€“ Turceni la accidentul produs la data de 03.05.2016 È™i în prezentul caz, acest risc a mai fost stabilit ca factor care a contribuit la producerea celor douÄƒ accidente, deci încadrarea sa ca â€žimprobabilÄƒâ€ È™i gravitatea â€žmarginalÄƒâ€ trebuie reevaluate. Având în vedere acest aspect, comisia de investigare recomandÄƒ ca: 1) Autoritatea de SiguranÈ›Äƒ FeroviarÄƒ RomânÄƒ â€“ ASFR sÄƒ se asigure cÄƒ, administratorul infrastructurii feroviare publice îÈ™i revizuieÈ™te documentul nr.42/1/1052/16.04.2015 - â€žRiscurile de interfaÈ›Äƒ cu OTF È™i mÄƒsurile pentru È›inerea sub controlâ€, parte a SMS.</t>
  </si>
  <si>
    <t>RO-5699/2</t>
  </si>
  <si>
    <t>During the investigation, the commission found that the management of the infrastructure administrator established the Interface risks with the Railway Undertaking and the measures for keeping under control, these being emphasized in the paper no.42/1/1052/16.04.2015 - â€žThe interface risks with the Railway Undertaking and measures for keeping under controlâ€ of the Railway County Craiova, document part of the SMS. In this document it is stipulated at point 26 the danger â€žExceeding of the axle loadâ€, having like possible consequences vehicle derailments or deteriorations of the line or of the works of art. This risk is considered of unlikely frequency and marginal like severity. After the establishment and quantification of this risk, between DrÄƒgoteÈ™ti â€“ Turceni, for the accident happened on the 3rd May 2016 and for the actual accident, this risk was established also like factor contributing at the occurrence of those two accidents, so its classification like â€žunlikelyâ€ and the severity â€žmarginalâ€ have to be re-assess. Taking into account this issue, the investigation commission recommends: 1) Romanian Railway Safety Authority â€“ ASFR shall ensure that the railway public infrastructure administrator revises the document no.42/1/1052/16.04.2015 - â€žInterface risks with the Railway Undertaking and the measures for keeping under controlâ€, part of SMS.</t>
  </si>
  <si>
    <t>RO-5699/3</t>
  </si>
  <si>
    <t>Comisia a constatat faptul cÄƒ operatorul de transport feroviar a stabilit efectuarea unor verificÄƒri ...</t>
  </si>
  <si>
    <t>Comisia a constatat faptul cÄƒ operatorul de transport feroviar a stabilit efectuarea unor verificÄƒri pe care personalul propriu trebuie sÄƒ le efectueze în activitatea de luare în primire a expediÈ›iilor la transport. Aceste verificÄƒri au fost stabilite atât pentru aceastÄƒ activitate în general în cuprinsul Procedurii OperaÈ›ionale 75.2 cât È™i pentru cazul concret al vagoanelor preluate de la SC Complexul Energetic Oltenia prin ConvenÈ›ia comunÄƒ de lucru, nr.C.S/4095/ 41593. Având în vedere faptul cÄƒ, deÈ™i sunt dispuse verificÄƒri la partea superioarÄƒ a vagoanelor acestea nu pot fi efectuate practic de cÄƒtre personalul operatorului de transport feroviar, deoarece în halta de miÈ™care DrÄƒgoteÈ™ti liniile de cale feratÄƒ deschise circulaÈ›iei sunt electrificate. Având în vedere acest aspect, comisia de investigare recomandÄƒ ca: 2) Autoritatea de SiguranÈ›Äƒ FeroviarÄƒ RomânÄƒ â€“ ASFR sÄƒ se asigure cÄƒ, operatorul de transport feroviar îÈ™i revizuieÈ™te mÄƒsurile dispuse privind verificarea modului de încÄƒrcare a vagoanelor cu ocazia luÄƒrii în primire în halta de miÈ™care DrÄƒgoteÈ™ti în vederea È›inerii sub control a riscului de depÄƒÈ™ire a limitei de încÄƒrcare È™i implicit a sarcinii pe osie admise.</t>
  </si>
  <si>
    <t>RO-5699/4</t>
  </si>
  <si>
    <t>The commission found that the railway undertaking established the performance of some inspections that its staff has to do in the reception of the consignments for transport. These inspections were established both for this activity generally, within the Operational Procedure 75.2 and for the actual case of the wagons taken from SC Complexul Energetic Oltenia through the Common working agreement, no.C.S/4095/ 41593. Taking into account that, although inspections at the upper site of the wagons were disposed, they can not be practically performed by the staff of the railway undertaking, because in the railway station DrÄƒgoteÈ™ti the lines open for running are electrified ones. Taking into account this issue, the investigation commission recommends: 2) Romanian Railway Safety Authority â€“ ASFR shall ensure that the railway undertaking revises the measures disposed for the inspection of the wagon loading at their reception in the railway station DrÄƒgoteÈ™ti in order to keep under control the risk of exceeding the loading limit and implicitly of the accepted load axle.</t>
  </si>
  <si>
    <t>RO-5727/1</t>
  </si>
  <si>
    <t>Deraierea primelor douÄƒ vagoane de la trenul de marfÄƒ nr. 32101, s-a produs pe fondul nerespectÄƒrii ...</t>
  </si>
  <si>
    <t>Deraierea primelor douÄƒ vagoane de la trenul de marfÄƒ nr. 32101, s-a produs pe fondul nerespectÄƒrii codurilor de practicÄƒ privitoare la manipularea saboÈ›ilor de mânÄƒ. În urma investigÄƒrii accidentului s-a constatat totodatÄƒ cÄƒ, la producerea acestuia a contribuit faptul cÄƒ operatorul de transport nu a identificat pericolul ÅŸi nu a evaluat riscurile asociate pentru neridicarea sabotului de mânÄƒ, înainte de expedierea trenului în staÅ£iile de formare. Având în vedere cele prezentate anterior, comisia de investigare adreseazÄƒ AutoritÄƒÈ›ii Feroviare Române-ASFR urmÄƒtoarea recomandare de siguranÈ›Äƒ: -sÄƒ solicite operatorului de transport SNTFM â€CFR MarfÄƒâ€ SA revizuirea sistemului de management al siguranÈ›ei È™i efectuarea unei analize de risc, pentru pericolele care sunt generate de neridicarea sabotului de mânÄƒ, înainte de expedierea trenului în staÅ£iile de formare.</t>
  </si>
  <si>
    <t>RO-5727/2</t>
  </si>
  <si>
    <t>The derailment of the first two wagons of the freight train nor. 32101 happened following the violation of the practice codes on the operation of the drag shoes. Following the investigation, one also found the contribution at the occurrence of the railway of the fact that the undertaking did not identify the danger and did not assess the risks associated for the non-removal of the drag shoe before the train dispatch from the forming stations. Taking into account these above mentioned, the investigation commission addresses to Romanian Railway Safety Authority-ASFR the next safety recommendation: -to require the railway undertaking SNTFM â€CFR MarfÄƒâ€ SA the revision of the safety management system and risk analysis for the dangers of non-removal of the drag shoe, before the train dispatch in the forming stations.</t>
  </si>
  <si>
    <t>RO-5732/1</t>
  </si>
  <si>
    <t>RecomandÄƒri de siguranÈ›Äƒ La data de 12.08.2018, ora 08:17, pe raza de activitate a Sucursalei ...</t>
  </si>
  <si>
    <t>RecomandÄƒri de siguranÈ›Äƒ La data de 12.08.2018, ora 08:17, pe raza de activitate a Sucursalei Regionale CF Craiova, secÈ›ia de circulaÈ›ie Caracal-Craiova, pe linia curentÄƒ firul I dintre haltele de miÈ™care Malu Mare - Banu MÄƒrÄƒcine, pe viaductul Cârcea aflat la km 200+306, în circulaÈ›ia trenului de marfÄƒ nr.80315 (aparÈ›inând operatorului de transport feroviar de marfÄƒ SC Grup Feroviar Român SA), s-a produs un accident feroviar grav prin deraierea locomotivei de remorcare seria BB 25200 nr.208 È™i a primelor 10 vagoane din compunerea trenului, având drept consecinÈ›e cÄƒderea tablierului metalic al primei deschideri a viaductului È™i a 7 vagoane (vagoanele al 2-lea ÷ al 8-lea de la locomotivÄƒ). În urma investigaÈ›iei desfÄƒÈ™urate comisia de investigare a stabilit cÄƒ accidentul feroviar grav s-a produs ca urmare a unor erori umane generate de starea fizicÄƒ a personalului de locomotivÄƒ care era afectatÄƒ de consumul de bÄƒuturi alcoolice È™i oboseala acumulatÄƒ ca urmare a depÄƒÈ™irii duratei serviciului continuu maxim admis pe locomotivÄƒ precum È™i strÄƒpungerea barierei tehnice reprezentatÄƒ de instalaÈ›ia de control automat a vitezei trenului (INDUSI). Cauzele È™i factorii care au condus la producerea acestui accident feroviar grav impun necesitatea revizuirii sistemului de management al siguranÈ›ei al operatorului de transport feroviar de marfÄƒ. Având în vedere cele constatate, comisia de investigare recomandÄƒ AutoritÄƒÈ›ii de SiguranÈ›Äƒ FeroviarÄƒ RomânÄƒ-ASFR sÄƒ se asigure cÄƒ operatorul de transport feroviar SC GRUP FEROVIAR ROMÂN SA : 1. îÈ™i va revizui sistemul propriu de management al siguranÈ›ei, astfel încât sÄƒ reducÄƒ riscurile generate de: - starea fizicÄƒ necorespunzÄƒtoare a personalului de locomotivÄƒ determinatÄƒ de consumul de bÄƒuturi alcoolice È™i de oboseala acumulatÄƒ ca urmare a depÄƒÈ™irii duratei serviciului continuu maxim admis pe locomotivÄƒ; - circulaÈ›ia locomotivelor cu instalaÈ›iile de siguranÈ›Äƒ izolate;</t>
  </si>
  <si>
    <t>RO-5732/2</t>
  </si>
  <si>
    <t>On the 12th August 2018, at 08:17 oâ€™clock, in the railway county Craiova, track section Caracal-Craiova, on the running line I between the railway stations Malu Mare - Banu MÄƒrÄƒcine, on the viaduct Cârcea from km 200+306, in the running of the freight train no.80315 (got by the railway freight undertaking SC Grup Feroviar Român SA), a serious accident occurred, consisting in the derailment of the hauling locomotive series BB 25200 no.208 and of the first 10 wagons, leading to the fall of the metallic deck bridge of the first span of the viaduct and of 7 wagons (the 2nd and 8th wagons after the locomotive). Following the investigation, the commission established that the serious accident happened following some human errors, generated by the physical condition of the locomotive crew, affected by the consumption of alcoholic drinks and the fatigue cumulated following the exceeding of the maximum continuous service time, accepted for the locomotive, as well by the taking out of service of the technical barrier represented by the installation for the automatic control of the train speed (INDUSI). The causes and contributing factors that led to this serious accident occurrence impose the need of revision the safety management system of the railway freight undertaking. Taking into account these findings, the investigation commission recommends Romanian Railway Safety Authority-ASFR shall be sure that the railway undertaking SC GRUP FEROVIAR ROMÂN SA: 1. will revise its own safety management system, so will reduce the risks generated by: - unsuitable physical condition of the locomotive crew, determined by the consumption of the alcoholic drinks and the fatigue cumulated following the exceeding of the maximum continuous service accepted for the locomotive; - running of the locomotives with the safety installations isolated;</t>
  </si>
  <si>
    <t>RO-5732/3</t>
  </si>
  <si>
    <t>La data de 12.08.2018, ora 08:17, pe raza de activitate a Sucursalei Regionale CF Craiova, secÈ›ia de ...</t>
  </si>
  <si>
    <t>La data de 12.08.2018, ora 08:17, pe raza de activitate a Sucursalei Regionale CF Craiova, secÈ›ia de circulaÈ›ie Caracal-Craiova, pe linia curentÄƒ firul I dintre haltele de miÈ™care Malu Mare - Banu MÄƒrÄƒcine, pe viaductul Cârcea aflat la km 200+306, în circulaÈ›ia trenului de marfÄƒ nr.80315 (aparÈ›inând operatorului de transport feroviar de marfÄƒ SC Grup Feroviar Român SA), s-a produs un accident feroviar grav prin deraierea locomotivei de remorcare seria BB 25200 nr.208 È™i a primelor 10 vagoane din compunerea trenului, având drept consecinÈ›e cÄƒderea tablierului metalic al primei deschideri a viaductului È™i a 7 vagoane (vagoanele al 2-lea ÷ al 8-lea de la locomotivÄƒ). În urma investigaÈ›iei desfÄƒÈ™urate comisia de investigare a stabilit cÄƒ accidentul feroviar grav s-a produs ca urmare a unor erori umane generate de starea fizicÄƒ a personalului de locomotivÄƒ care era afectatÄƒ de consumul de bÄƒuturi alcoolice È™i oboseala acumulatÄƒ ca urmare a depÄƒÈ™irii duratei serviciului continuu maxim admis pe locomotivÄƒ precum È™i strÄƒpungerea barierei tehnice reprezentatÄƒ de instalaÈ›ia de control automat a vitezei trenului (INDUSI). Cauzele È™i factorii care au condus la producerea acestui accident feroviar grav impun necesitatea revizuirii sistemului de management al siguranÈ›ei al operatorului de transport feroviar de marfÄƒ. Având în vedere cele constatate, comisia de investigare recomandÄƒ AutoritÄƒÈ›ii de SiguranÈ›Äƒ FeroviarÄƒ RomânÄƒ-ASFR sÄƒ se asigure cÄƒ operatorul de transport feroviar SC GRUP FEROVIAR ROMÂN SA : 2. va analiza oportunitatea introducerii unei bariere tehnice, prin dotarea locomotivelor cu sisteme care sÄƒ nu permitÄƒ punerea în miÈ™care a acestora de cÄƒtre personal aflat sub influenÈ›a bÄƒuturilor alcoolice. Având în vedere faptul cÄƒ, în mai puÈ›in de trei ani, pe infrastructura feroviarÄƒ publicÄƒ din România s-au produs douÄƒ accidente feroviare grave, care a avut ca factor starea fizicÄƒ necorespunzÄƒtoare a personalului de locomotivÄƒ, determinatÄƒ de consumul de bÄƒuturi alcoolice È™i de oboseala acumulatÄƒ ca urmare a depÄƒÈ™irii duratei serviciului continuu maxim admis pe locomotivÄƒ, accidente în care au fost implicaÈ›i doi operatori feroviari diferiÈ›i, comisia de investigare propune extinderea acestor recomandÄƒri de siguranÈ›Äƒ pentru toÈ›i operatorii de transport feroviar.</t>
  </si>
  <si>
    <t>RO-5732/4</t>
  </si>
  <si>
    <t>On the 12th August 2018, at 08:17 oâ€™clock, in the railway county Craiova, track section Caracal-Craiova, on the running line I between the railway stations Malu Mare - Banu MÄƒrÄƒcine, on the viaduct Cârcea from km 200+306, in the running of the freight train no.80315 (got by the railway freight undertaking SC Grup Feroviar Român SA), a serious accident occurred, consisting in the derailment of the hauling locomotive series BB 25200 no.208 and of the first 10 wagons, leading to the fall of the metallic deck bridge of the first span of the viaduct and of 7 wagons (the 2nd and 8th wagons after the locomotive). Following the investigation, the commission established that the serious accident happened following some human errors, generated by the physical condition of the locomotive crew, affected by the consumption of alcoholic drinks and the fatigue cumulated following the exceeding of the maximum continuous service time, accepted for the locomotive, as well by the taking out of service of the technical barrier represented by the installation for the automatic control of the train speed (INDUSI). The causes and contributing factors that led to this serious accident occurrence impose the need of revision the safety management system of the railway freight undertaking. Taking into account these findings, the investigation commission recommends Romanian Railway Safety Authority-ASFR shall be sure that the railway undertaking SC GRUP FEROVIAR ROMÂN SA: 2. will analyse the opportunity to introduce new technical barriers, equipping the motives with systems that will not allow their beginning to run by drunk crew. Taking into account that, during less 3 years, on Romanian railway public infrastructure two railway accidents happened, having like factor the unsuitable physical condition of the motive crew, determined by the alcoholic beverages consumption and by the fatigue cumulated following the exceeding of the maximum continuous service time for the locomotive, in which two different railway undertakings were involved, the investigation commission proposed the expanding of these safety recommendations to all railway undertakings.</t>
  </si>
  <si>
    <t>RO-5731/1</t>
  </si>
  <si>
    <t>Pe distanÈ›a Monor Gledin - Deda, pe o porÈ›iune de linie în pantÄƒ, viteza de circulaÈ›ie a trenurilor ...</t>
  </si>
  <si>
    <t>Pe distanÈ›a Monor Gledin - Deda, pe o porÈ›iune de linie în pantÄƒ, viteza de circulaÈ›ie a trenurilor era restricÈ›ionatÄƒ pe trei tronsoane la valoarea de 30 km/h È™i pe un tronson la valoarea de 15 km/h. Mecanicul de locomotivÄƒ nu a putut respecta aceste viteze în ciuda acÈ›ionÄƒrii frânei automate a trenului. Înainte de plecarea din staÈ›ia CFR Beclean pe SomeÈ™, personalul de conducere È™i deservire al trenului nu a efectuat proba de continuitate a frânei automate, iar în timpul circulaÈ›iei, nu a acÈ›ionat frâna electricÄƒ a locomotivei. În cursul acÈ›iunii de identificare a pericolelor asociate operaÈ›iunilor feroviare, operatorul de transport nu a identificat toate pericolele care puteau fi rezonabil identificate, care au legÄƒturÄƒ cu cazul investigat, iar pentru cele identificate, mÄƒsurile de siguranÈ›Äƒ s-au dovedit a fi insuficiente È™i de asemenea, nu È™i-a luat toate mÄƒsurile pentru a se asigura cÄƒ examinarea psihologicÄƒ a personalului cu responsabilitÄƒÈ›i în siguranÈ›a circulaÈ›iei se efectueazÄƒ astfel încât sÄƒ fie depistate eventualele neconformitÄƒÈ›i în ceea ce priveÈ™te, spiritul de organizare È™i disciplina, atitudinea faÈ›Äƒ de activitate sau conÈ™tientizarea importanÈ›ei funcÈ›iei privind impactul asupra destinului È™i vieÈ›ii altor oameni. Comisia de investigare recomandÄƒ AutoritÄƒÈ›ii de SiguranÈ›Äƒ FeroviarÄƒ â€“ ASFR, sÄƒ solicite Grup Feroviar Român SA: 1. Revizuirea È™i îmbunÄƒtÄƒÈ›irea activitÄƒÈ›ii de instruire a personalului cu responsabilitÄƒÈ›i în siguranÈ›a circulaÈ›iei pentru a se obÈ›ine o mai bunÄƒ înÈ›elegere a rolului regulamentelor È™i a importanÈ›ei respectÄƒrii acestora, È›inând cont È™i de lecÈ›iile ce pot fi învÄƒÈ›ate din accidentele anterioare, indiferent de operatorii feroviari în activitatea cÄƒrora s-au produs (implicaÈ›i).</t>
  </si>
  <si>
    <t>RO-5731/2</t>
  </si>
  <si>
    <t>Between the railway stations Monor Gledin - Deda, on the slope track section, the running speed of the trains was limited on three track sections at 30 km/h and on another one at 15 km/h. The driver could not comply with these speeds, in spite of the operation of the automatic brake. Before leaving the railway station Beclean pe SomeÈ™, the train crew did not perform the continuity tests of the automatic brake, and during the running, did not operate the electric brake of the locomotive. During the action for the identification of the dangers associated to the railway operations, the railway undertaking did not identify all the dangers that could be reasonably identified, in connection with the investigated case, for those identified, the safety measures proved to be insufficient and also did not take the measures to be sure that the psychological examination of the staff with responsibilities in the traffic safety is done so the possible nonconformities concerning the organization skill and discipline, the attitude towards the activity or the awareness of the job importance concerning its impact on the destiny and life of other people, be found. The investigation commission recommends Romanian Railway Safety Authorityâ€“ ASFR, to ask Grup Feroviar Român SA: 1. revision and improvement of the activity for training the staff with responsibilities in the traffic safety in order to get a better understanding of the role of the regulations and of the importance of their compliance with, taking into account also the lessons for learning from the previous accidents, irrespective of the railway undertakings involved.</t>
  </si>
  <si>
    <t>RO-5731/3</t>
  </si>
  <si>
    <t>Pe distanÈ›a Monor Gledin - Deda, pe o porÈ›iune de linie în pantÄƒ, viteza de circulaÈ›ie a trenurilor era restricÈ›ionatÄƒ pe trei tronsoane la valoarea de 30 km/h È™i pe un tronson la valoarea de 15 km/h. Mecanicul de locomotivÄƒ nu a putut respecta aceste viteze în ciuda acÈ›ionÄƒrii frânei automate a trenului. Înainte de plecarea din staÈ›ia CFR Beclean pe SomeÈ™, personalul de conducere È™i deservire al trenului nu a efectuat proba de continuitate a frânei automate, iar în timpul circulaÈ›iei, nu a acÈ›ionat frâna electricÄƒ a locomotivei. În cursul acÈ›iunii de identificare a pericolelor asociate operaÈ›iunilor feroviare, operatorul de transport nu a identificat toate pericolele care puteau fi rezonabil identificate, care au legÄƒturÄƒ cu cazul investigat, iar pentru cele identificate, mÄƒsurile de siguranÈ›Äƒ s-au dovedit a fi insuficiente È™i de asemenea, nu È™i-a luat toate mÄƒsurile pentru a se asigura cÄƒ examinarea psihologicÄƒ a personalului cu responsabilitÄƒÈ›i în siguranÈ›a circulaÈ›iei se efectueazÄƒ astfel încât sÄƒ fie depistate eventualele neconformitÄƒÈ›i în ceea ce priveÈ™te, spiritul de organizare È™i disciplina, atitudinea faÈ›Äƒ de activitate sau conÈ™tientizarea importanÈ›ei funcÈ›iei privind impactul asupra destinului È™i vieÈ›ii altor oameni. Comisia de investigare recomandÄƒ AutoritÄƒÈ›ii de SiguranÈ›Äƒ FeroviarÄƒ â€“ ASFR, sÄƒ solicite Grup Feroviar Român SA: 2. Revizuirea acÈ›iunii de identificare a pericolelor asociate operaÈ›iunilor feroviare pentru activitatea de circulaÈ›ie a trenurilor în ceea ce priveÈ™te frânarea trenurilor È™i circulaÈ›ia pe pante ÅŸi dispunerea de mÄƒsuri suplimentare eficiente pentru È›inerea sub control a riscurilor de producere ale acestora.</t>
  </si>
  <si>
    <t>RO-5731/4</t>
  </si>
  <si>
    <t>Between the railway stations Monor Gledin - Deda, on the slope track section, the running speed of the trains was limited on three track sections at 30 km/h and on another one at 15 km/h. The driver could not comply with these speeds, in spite of the operation of the automatic brake. Before leaving the railway station Beclean pe SomeÈ™, the train crew did not perform the continuity tests of the automatic brake, and during the running, did not operate the electric brake of the locomotive. During the action for the identification of the dangers associated to the railway operations, the railway undertaking did not identify all the dangers that could be reasonably identified, in connection with the investigated case, for those identified, the safety measures proved to be insufficient and also did not take the measures to be sure that the psychological examination of the staff with responsibilities in the traffic safety is done so the possible nonconformities concerning the organization skill and discipline, the attitude towards the activity or the awareness of the job importance concerning its impact on the destiny and life of other people, be found. The investigation commission recommends Romanian Railway Safety Authorityâ€“ ASFR, to ask Grup Feroviar Român SA: 2. Revision of the identification of the dangers associated to the railway operations for the train running, concerning the train braking and the running on slopes and taking of effective additional measures for keeping under control their occurrence risks.</t>
  </si>
  <si>
    <t>RO-5731/5</t>
  </si>
  <si>
    <t>Pe distanÈ›a Monor Gledin - Deda, pe o porÈ›iune de linie în pantÄƒ, viteza de circulaÈ›ie a trenurilor era restricÈ›ionatÄƒ pe trei tronsoane la valoarea de 30 km/h È™i pe un tronson la valoarea de 15 km/h. Mecanicul de locomotivÄƒ nu a putut respecta aceste viteze în ciuda acÈ›ionÄƒrii frânei automate a trenului. Înainte de plecarea din staÈ›ia CFR Beclean pe SomeÈ™, personalul de conducere È™i deservire al trenului nu a efectuat proba de continuitate a frânei automate, iar în timpul circulaÈ›iei, nu a acÈ›ionat frâna electricÄƒ a locomotivei. În cursul acÈ›iunii de identificare a pericolelor asociate operaÈ›iunilor feroviare, operatorul de transport nu a identificat toate pericolele care puteau fi rezonabil identificate, care au legÄƒturÄƒ cu cazul investigat, iar pentru cele identificate, mÄƒsurile de siguranÈ›Äƒ s-au dovedit a fi insuficiente È™i de asemenea, nu È™i-a luat toate mÄƒsurile pentru a se asigura cÄƒ examinarea psihologicÄƒ a personalului cu responsabilitÄƒÈ›i în siguranÈ›a circulaÈ›iei se efectueazÄƒ astfel încât sÄƒ fie depistate eventualele neconformitÄƒÈ›i în ceea ce priveÈ™te, spiritul de organizare È™i disciplina, atitudinea faÈ›Äƒ de activitate sau conÈ™tientizarea importanÈ›ei funcÈ›iei privind impactul asupra destinului È™i vieÈ›ii altor oameni. Comisia de investigare recomandÄƒ AutoritÄƒÈ›ii de SiguranÈ›Äƒ FeroviarÄƒ â€“ ASFR, sÄƒ solicite Grup Feroviar Român SA: 3. Analiza oportunitÄƒÈ›ii revizuirii procesului de examinare psihologicÄƒ a personalului cu responsabilitÄƒÈ›i în siguranÈ›a circulaÈ›iei, prin luarea unor mÄƒsuri suplimentare proprii, pentru obÈ›inerea unui schimb eficient de informaÈ›ii cu cabinetele psihologice.</t>
  </si>
  <si>
    <t>RO-5731/6</t>
  </si>
  <si>
    <t>Between the railway stations Monor Gledin - Deda, on the slope track section, the running speed of the trains was limited on three track sections at 30 km/h and on another one at 15 km/h. The driver could not comply with these speeds, in spite of the operation of the automatic brake. Before leaving the railway station Beclean pe SomeÈ™, the train crew did not perform the continuity tests of the automatic brake, and during the running, did not operate the electric brake of the locomotive. During the action for the identification of the dangers associated to the railway operations, the railway undertaking did not identify all the dangers that could be reasonably identified, in connection with the investigated case, for those identified, the safety measures proved to be insufficient and also did not take the measures to be sure that the psychological examination of the staff with responsibilities in the traffic safety is done so the possible nonconformities concerning the organization skill and discipline, the attitude towards the activity or the awareness of the job importance concerning its impact on the destiny and life of other people, be found. The investigation commission recommends Romanian Railway Safety Authorityâ€“ ASFR, to ask Grup Feroviar Român SA: 3. Analysis of the opportunity to revise the process for the psychological examination of the staff with responsibilities in the traffic safety, taking some additional measures, in order to get an effective exchange of information with the psychological offices.</t>
  </si>
  <si>
    <t>REC-000567</t>
  </si>
  <si>
    <t>RO-5747/1</t>
  </si>
  <si>
    <t>La data de 25.08.2018, în jurul orei 04:50, pe raza de activitate a Sucursalei Regionale CF ...</t>
  </si>
  <si>
    <t>La data de 25.08.2018, în jurul orei 04:50, pe raza de activitate a Sucursalei Regionale CF BucureÈ™ti, secÈ›ia de circulaÈ›ie PloieÈ™ti Sud â€“ BuzÄƒu (linie dublÄƒ electrificatÄƒ), între staÈ›ia CFR PloieÈ™ti Est È™i hm Valea CÄƒlugÄƒreascÄƒ, s-a produs un incendiu la locomotiva EA 833 aflatÄƒ în remorcarea trenului de marfÄƒ nr.83355, aparÈ›inând operatorului de transport feroviar SNTFM â€žCFR MarfÄƒâ€ SA. În urma investigaÈ›iei desfÄƒÈ™urate comisia de investigare a stabilit cÄƒ producerea accidentului feroviar a avut drept cauzÄƒ primarÄƒ absenÈ›a unor prevederi din SpecificaÈ›ia tehnicÄƒ Revizii planificate tip PTAE (PTh), RAC, R1, RT, R1, R2 È™i reparaÈ›ii accidentale tip RIT, RIR, RAD, RA la locomotivele electrice de 5100 kW Cod: ST - LE 5100kW-Rev., ediÈ›ia:2, revizia:0 din 2016, prin care sÄƒ se impunÄƒ verificarea strângerii îmbinÄƒrii filetate dintre diode È™i radiatoarele acestora. Având în vedere cele prezentate, comisia de investigare recomandÄƒ AutoritÄƒÈ›ii de SiguranÈ›Äƒ FeroviarÄƒ RomânÄƒ â€“ ASFR sÄƒ solicite operatorului economic SC CFR IRLU SA È™i operatorului de transport feroviar de marfÄƒ SNTFM â€žCFR MarfÄƒâ€ SA revizuirea documentului de referinÈ›Äƒ care stÄƒ la baza efectuÄƒrii reviziilor planificate la locomotivele electrice, astfel încât prin operaÈ›iile cuprinse în acesta sÄƒ se asigure o strângere corespunzÄƒtoare a îmbinÄƒrii filetate dintre diode È™i radiatoarele acestora.</t>
  </si>
  <si>
    <t>RO-5747/2</t>
  </si>
  <si>
    <t>On the 25th August 2018, at about 04:50 oâ€™clock, in the railway county BucureÈ™ti, track section PloieÈ™ti Sud â€“ BuzÄƒu (electrified double-track line), between PloieÈ™ti Est and Valea CÄƒlugÄƒreascÄƒ railway stations, a fire burst into the locomotive EA 833, hauling the freight train no.83355, got by the railway undertaking SNTFM â€žCFR MarfÄƒâ€ SA. Following the investigation, the commission established that the root cause of the railway accident is the absence of some provisions in the Technical specification Planned inspections type PTAE (PTh), RAC, R1, RT, R1, R2 and accidental repairs type RIT, RIR, RAD, RA at the electric locomotives of 5100 kW Code: ST - LE 5100kW-Rev., edition: 2, revision: 0 from 2016, that impose the checking of the fastening of the threaded joint between the diodes and their radiators. Taking into account these above mentioned, the investigation commission recommends Romanian Railway Safety Authority â€“ ASFR to request the economic operator SC CFR IRLU SA and the railway freight undertaking SNTFM â€žCFR MarfÄƒâ€ SA the revision of the reference document that is the basis for the performance of the planned inspections at the electric locomotives, so through the operations stipulated within it, be ensured a proper fastening of the threaded joint between the diodes and their radiators.</t>
  </si>
  <si>
    <t>RO-5757/1</t>
  </si>
  <si>
    <t>Prin acÈ›iunea de investigare desfÄƒÈ™uratÄƒ, comisia a constatat cÄƒ producerea incidentului feroviar a ...</t>
  </si>
  <si>
    <t>Prin acÈ›iunea de investigare desfÄƒÈ™uratÄƒ, comisia a constatat cÄƒ producerea incidentului feroviar a fost generatÄƒ de o eroare umanÄƒ punctualÄƒ a mecanicului de locomotivÄƒ care nu a respectat în totalitate reglementÄƒrile instrucÅ£ionale. Activitatea personalului de locomotivÄƒ a fost proceduratÄƒ de operatorul de transport feroviar SNTFC â€žCFR CÄƒlÄƒtoriâ€ S.A., fiind identificate pericolele care pot genera riscul depÄƒÅŸirii semnalelor de circulaÅ£ie ÅŸi consecinÅ£ele ce pot apÄƒrea într-o astfel de situaÅ£ie, dar fÄƒrÄƒ ca aceste riscuri sÄƒ fie gestionate în mod corespunzÄƒtor. În cursul acÈ›iunii desfÄƒÈ™urate, comisia de investigare a constatat faptul cÄƒ managementul administratorului de infrastructurÄƒ la nivel central È™i regional nu a identificat ÅŸi nu a gestionat riscurile generate de: â€¢ lipsa de completare a instalaÅ£iilor de semnalizare cu sisteme de control automat al vitezei trenurilor ÅŸi de oprire automatÄƒ, în cazul nerespectÄƒrii indicaÅ£iilor semnalelor; â€¢ prin acÅ£iunile de audit/inspecÅ£ie/control nu a fost sesizatÄƒ lipsa echipÄƒrii cu inductor de 500 Hz la 250 m în faÅ£a semnalului X II (de ieÅŸire din staÅ£ia CFR Bârlad), pentru ca, administratorul de infrastructurÄƒ sÄƒ dispunÄƒ în consecinÈ›Äƒ soluÈ›ii È™i mÄƒsuri viabile în vederea È›inerii sub control a pericolelor generate de aceastÄƒ lipsÄƒ. Având în vedere viteza trenului de 67 km/h, la distanÅ£a de 250 m. în faÅ£a semnalului de ieÅŸire, conform calculelor efectuate în conformitate cu referinÅ£e din studiile de specialitate, comisia de investigare apreciazÄƒ cÄƒ, prin echiparea instalaÅ£iei de semnalizare cu inductor de 500 Hz, trenul ar fi fost oprit, prin frânare de urgenÅ£Äƒ, la distanÈ›a de 33,6 de m. în faÅ£a semnalului, evitând astfel depÄƒÅŸirea acestuia. Astfel, dacÄƒ s-ar fi aplicat propriile proceduri ale sistemului de management al siguranÈ›ei, în integritatea lor, precum È™i prevederile codurilor de practicÄƒ, parte componentÄƒ a SMS, administratorul de infrastructurÄƒ ar fi putut sÄƒ menÈ›inÄƒ sub control pericolele È™i riscurile asociate lipsei de completare cu inductor de 500 Hz, prevenind astfel producerea acestui incident. În aceste condiÈ›ii, comisia de investigare recomandÄƒ AutoritÄƒÈ›ii de SiguranÈ›Äƒ FeroviarÄƒ RomânÄƒ ASFR sÄƒ urmÄƒreascÄƒ ca CN CF â€žCFRâ€ S.A.: 1. SÄƒ reanalizeze proiectele de echipare a instalaÅ£iilor de semnalizare care, iniÅ£ial la punere în funcÅ£iune, nu au fost prevÄƒzute cu inductor de 500 Hz la 250 m. în faÅ£a semnalelor luminoase de ieÅŸire ÅŸi în funcÅ£ie de amplasament geografic ÅŸi posibilitÄƒÅ£i/condiÅ£ii tehnice sÄƒ completeze echiparea cu acest tip de sistem de control al vitezei trenurilor ÅŸi de oprire automatÄƒ, în scop preventiv, în cazul nerespectÄƒrii indicaÅ£iilor date de semnale.</t>
  </si>
  <si>
    <t>RO-5757/2</t>
  </si>
  <si>
    <t>Through the investigation, the commission found that the occurrence of the incident was generated by a punctual human error of the driver that did not completely comply with the instruction regulations. The activity of the locomotive crew is performed in accordance with the procedures of the railway undertaking SNTFC â€žCFR CÄƒlÄƒtoriâ€ S.A., being identified dangers that can generate the risk to pass the signals in stop position and the consequences that can appear in a such situation, but without the proper management of those risks. During the investigation, the commission found out that the management of the infrastructure administrator, at central and regional level, did not identify and manage the risks generated by: â€¢ no-supplement of the signalling installations with systems for the automatic control of the trains speed and automatic stop, in case of inobservance of the signals positions; â€¢ through the audit/inspection/control one did not observe the absence of the inductor of 500 Hz at 250 m in front of the signal X II (exit one of the railway station Bârlad), so the infrastructure administrator shall dispose consequently solutions and measures viable for keeping under control the dangers generated by this absence. Taking into account the train speed of 67 km/h, at 250 m. in front of the exit signal, according to the calculations made in accordance with the references from the specialty surveys, the commission considers that, providing the signalling installation with inductor of 500 Hz, the train could be stopped, applying the emergency brake, at 33,6 de m., in front of the signal, avoiding in a such way its passing in stop position. So, if the own procedures of the safety management system, as well as the provisions of the practice codes, part of SMS, should be applied, the infrastructure administrator could be able to keep under control the dangers and the risks associated to the non provision with the inductor of 500 Hz, preventing in a such way the incident occurrence. In these conditions, the investigation commission recommends Romanian Railway Safety Authority shall monitor that CN CF â€žCFRâ€ S.A.: 1. re-analyse the projects for the provision of the signalling installations that, initially, at their taking into service, were not provided with inductor of 500 Hz at 250 m in front of the light exit signals and according to the geographic position and the possibilities/technical conditions to provide this type of system for the control of the trains speed and automatic stop, for preventive purposes, in case of non compliance with the positions of the signals.</t>
  </si>
  <si>
    <t>RO-5758/1</t>
  </si>
  <si>
    <t>RecomandÄƒri de siguranÈ›Äƒ Comisia de investigare considerÄƒ cÄƒ pentru prevenirea unor incidente ...</t>
  </si>
  <si>
    <t>RecomandÄƒri de siguranÈ›Äƒ Comisia de investigare considerÄƒ cÄƒ pentru prevenirea unor incidente asemÄƒnÄƒtoare, care în condiÈ›ii uÈ™or modificate pot conduce la accidente grave, se impune urmÄƒtoarea recomandare: 1. Autoritatea de SiguranÈ›Äƒ FeroviarÄƒ RomânÄƒ sÄƒ verifice dacÄƒ pentru staÈ›iile CFR dotate cu instalaÈ›ii de centralizare a comenzilor semnalelor È™i macazurilor (interlocking) care au sisteme de înregistrare sau înmagazinare a datelor, administratorul de infrastructurÄƒ are întocmite ÅŸi respectÄƒ procedurile operaÈ›ionale privitoare la descÄƒrcarea, analizarea È™i interpretarea datelor colectate prin care sÄƒ dispunÄƒ mÄƒsurile de siguranÈ›Äƒ necesare mentenanÈ›ei infrastructurii sale pentru exploatarea sigurÄƒ a traficului feroviar.</t>
  </si>
  <si>
    <t>RO-5758/2</t>
  </si>
  <si>
    <t>Safety recommendations The investigation commission considers that for the prevention of some similar incidents, that in slightly different conditions can lead to serious accidents, it is necessary the next recommendations: 1. Romanian Railway Safety Authority check if for the railway stations provided with interlocking systems which have systems for the recording and stocking of data, the infrastructure administrator has operational procedures for the downloading, analysis and interpretation of the data collected, through which dispose the safety measures necessary for the maintenance of its infrastructure for a safety railway traffic.</t>
  </si>
  <si>
    <t>RO-5767/1</t>
  </si>
  <si>
    <t>Recomandare de siguranÅ£Äƒ: - sÄƒ solicite CNCF â€žCFRâ€ SA revizuirea sistemului de management al ...</t>
  </si>
  <si>
    <t>Deraierea locomotivei È™i al primului vagon din compunerea trenului de marfÄƒ nr.30610-1 s-a produs pe fondul mentenanÈ›ei necorespunzÄƒtoare a infrastructurii feroviare. Comisia de investigare a constatat cÄƒ Sistemul de Management al SiguranÈ›ei al CNCF â€žCFRâ€ SA, a avut un eÈ™ec în a controla pericolul legat de utilizarea/contractarea unor produse, care pot pune în pericol siguranÈ›a feroviarÄƒ. TotodatÄƒ, comisia de investigare a constatat cÄƒ în Registrul de evidenÅ£Äƒ a pericolelor proprii al Sucursalei Regionale de CÄƒi Ferate BucureÈ™ti, nu este identificat pericolul generat de utilizarea în cadrul activitÄƒÈ›ii de mentenanÈ›Äƒ a infrastructurii feroviare, a unor produse feroviare critice (traverse de lemn), pentru care nu se face recepÈ›ie calitativÄƒ È™i care nu corespund din vedere tehnic. În acest sens, comisia de investigare adreseazÄƒ cÄƒtre ASFR urmÄƒtoarea Recomandare de siguranÅ£Äƒ: - sÄƒ solicite CNCF â€žCFRâ€ SA revizuirea sistemului de management al siguranÈ›ei È™i efectuarea unei analize de risc, pentru pericolele care sunt generate de acceptarea, la lucrÄƒrile de mentenanÈ›Äƒ, a produselor feroviare critice nerecepÈ›ionate din punct de vedere al calitÄƒÈ›ii.</t>
  </si>
  <si>
    <t>RO-5767/2</t>
  </si>
  <si>
    <t>The derailment of the locomotive EA 2002 (derailment of the first five axles of the right wheels, in the running direction) and of the first wagon of the freight train no.30610-1 (first bogie) happened following the unsuitable maintenance of the railway infrastructure. The investigation commission found that in the Register for the record of the safety dangers of the Railway County BucureÈ™ti, is not identified like danger generated by the use in the railway infrastructure maintenance of some railway critical products (wooden sleepers), for which the quality reception is missing and they do not correspond technically. In this respect, the investigation commission addresses ASFR the next Safety recommendation: - it shall request CNCF â€žCFRâ€ SA the revision of the safety management system and a risk analysis for the dangers generated by the acceptance within the maintenance of railway critical products without their quality reception.</t>
  </si>
  <si>
    <t>REC-000617</t>
  </si>
  <si>
    <t>RO-5776/1</t>
  </si>
  <si>
    <t>Deraierea vagonului nr.31530670097-4 aflat în compunerea trenului de marfÄƒ nr.42695 (aparÅ£inând ...</t>
  </si>
  <si>
    <t>Deraierea vagonului nr.31530670097-4 aflat în compunerea trenului de marfÄƒ nr.42695 (aparÅ£inând operatorului de transport feroviar SNTFM â€žCFR MarfÄƒâ€ SA), la data de 27.09.2018, s-a produs pe fondul mentenanÈ›ei necorespunzÄƒtoare a infrastructurii feroviare È™i stÄƒrii tehnice a vagonului deraiat. În cursul acÈ›iunii desfÄƒÈ™urate, comisia de investigare a constatat faptul cÄƒ personalul secÅ£iei de întreÅ£inere linii, se conformeazÄƒ Deciziei nr.42/E/41/2010 al Diviziei Linii Cluj, privitor la periodicitatea verificÄƒrii aparatelor de cale la Districtul L Dej Triaj. Decizia nr.42/E/41/2010 a Diviziei Linii Cluj are prevederi contrare cu cele ale InstrucÈ›iei 305 â€žprivind fixarea termenilor È™i a ordinei în care trebuie efectuate reviziile cÄƒiiâ€ ediÈ›ia 1997. Astfel, Decizia menÈ›ionatÄƒ prevede cÄƒ, mÄƒsurarea aparatelor de cale din grupa A - Dej Triaj, de cÄƒtre personalul cu atribuÈ›ii de revizie din cadrul districtului de linii(aparate de cale de pe linii de primiri ÅŸi expedieri), sÄƒ se efectueze lunar(în chenzina I-a), ceea ce este contrar prevederilor InstrucÈ›iei nr.305 /1997, fiÅŸa nr.4, art.3, alin.2 care prevede mÄƒsurarea la interval de 15 zile. Decizia nr.42/E/41/2010 a Diviziei Linii Cluj, este unul dintre elementele care a indus un mod greÈ™it în acÈ›iunea de identificare la timp a defectelor suprastructurii cÄƒii, deoarece verificÄƒrile nivelului pe aparatul de cale nr. 37A, în loc sÄƒ fie fÄƒcute la intervale de timp de 15 zile, au fost fÄƒcute la interval de 30 de zile, de cÄƒtre personalul cu atribuÈ›ii de revizie din cadrul districtului de linii ÅŸi la interval de un an, de cÄƒtre personalul cu atribuÈ›ii de conducere din cadrul secÈ›iei de întreÈ›inere, în loc sÄƒ fie fÄƒcute semestrial. Nerespectarea termenelor de revizie a suprastructurii cÄƒii precizate la art.3, alin.2 din InstrucÈ›ia nr.305 /1997, fiÅŸa nr.4 are implicaÈ›ii directe în depistarea din timp a defectelor suprastructurii cÄƒii. Comisia de investigare a constatat faptul cÄƒ, prin aplicarea propriului sistem de managament, administratorul de infrastructurÄƒ la nivel regional nu a identificat în cadrul activitÄƒÈ›ii de monitorizare, faptul cÄƒ personalul de la SecÈ›ia L Dej, se conformeazÄƒ Deciziei nr.42/E/41/2010, deoarece lipsesc din Procedura Cod PO SMS 0-4.1.3, prevederi privind alimentarea procesului de monitorizare, cu toate procesele È™i procedurile cuprinse în sistemul de gestionare, inclusiv de mÄƒsurile tehnice, operaÈ›ionale È™i organizaÈ›ionale în materie de control al riscurilor. TotodatÄƒ a fost constatat cÄƒ lipsesc din Procedura Cod PO SMS 0-4.1.3, prevederi referitoare la faptul cÄƒ procesul de monitorizare cuprinde activitÄƒÈ›ile obligatorii, respectiv - definirea unei strategii, culegerea È™i analizarea informaÈ›iilor, elaborarea unui plan de acÈ›iune pentru cazurile inacceptabile, punerea în aplicare a planului de acÈ›iune È™i evaluarea eficacitÄƒÈ›ii mÄƒsurilor cuprinse în planul de acÈ›iune. Astfel, administratorul de infrastructurÄƒ feroviarÄƒ publicÄƒ, dacÄƒ ar fi prevÄƒzut în cuprinsul propriilor proceduri ale SMS, reglementÄƒri care sÄƒ respecte cerinÈ›a A3 din Regulamentul UE nr.1169/2010 cerinÈ›Äƒ referitoare la procedurile pentru monitorizarea eficacitÄƒÈ›ii mÄƒsurilor de control al riscurilor, ar fi putut sÄƒ previnÄƒ producerea acestui accident, prin desfÄƒÈ™urarea procesului de monitorizare în conformitate cu prevederile Regulamentului UE 1078/2012. Astfel, în cadrul procesului de monitorizare s-ar fi produs identificarea È™i luarea mÄƒsurilor preventive în privinÈ›a Deciziei nr.42/E/41/2010. Având în vedere aspectele prezentate, pentru reducerea riscurilor de producere a unor accidente feroviare similare, comisia de investigare recomandÄƒ AutoritÄƒÈ›ii de SiguranÈ›Äƒ FeroviarÄƒ RomânÄƒ â€“ ASFR: Recomandarea de siguranÈ›Äƒ nr.1 SÄƒ solicite administratorului infrastructurii feroviare publice revizuirea pÄƒrÈ›ii din sistemul propriu de management al siguranÈ›ei referitoare la activitÄƒÈ›ile privind monitorizarea eficacitÄƒÈ›ii mÄƒsurilor de control al riscurilor.</t>
  </si>
  <si>
    <t>RO-5776/2</t>
  </si>
  <si>
    <t>Safety recommendations The derailment of the wagon no.31530670097-4, being in the composition of the freight train no.42695 (got by the railway undertaking SNTFM â€žCFR MarfÄƒâ€ SA), on the 27th September 2018, happened following the unsuitable maintenance of the railway infrastructure and of the technical condition of the derailed wagon. During the investigation, the investigation commission found that the staff from the line section complies with the Decision no.42/E/41/2010 of the Line Division Cluj, regarding the periodicity of the inspections of the switches at the District L Dej Triaj. Decision no.42/E/41/2010 of Line Division Cluj has provisions against those from the Instruction 305 â€žconcerning the establishment of deadlines and order for the performance of the track inspectionsâ€ edition 1997. So, the Decision above mentioned stipulates that the measuring of the switches from the group A - Dej Triaj, by the staff with inspection duties within the line district (switches from the reception and dispatching lines), be made monthly (in the first fortnightly), it being against the provisions of the Instruction no.305 /1997, sheet no.4, art.3, paragraph 2 that stipulates the measuring in the range of 15 days. The Decision no.42/E/41/2010 of Line Division Cluj is one of the elements that generated a wrong way of action in the duly identification of the superstructure failures, because the checking of the level on the switch no. 37A, instead to be done in range of 15 days, it was made in range of 30 days, by staff with inspection duties within the line district and in range of 1 year, by the staff with management duties within the maintenance section, instead to be made quarterly. Lack of compliance with the deadlines for the superstructure inspection, stipulated at art.3, paragraph 2 from the Instruction no.305 /1997, sheet no.4 has direct implication in the duly identification of the superstructure failures. The investigation commission found that, through the application of its own management system, the infrastructure administrator, at regional level, did not identify within the monitoring, the fact that the staff of Section L Dej, meets with the Decision no.42/E/41/2010, because in the Procedure Code PO SMS 0-4.1.3, there are not provisions for the composition of the monitoring with all the processes and procedures included in the management system, including the technical, operational and organizational measures for the risk control. It also found that in the Procedure Code PO SMS 0-4.1.3, there are not provisions concerning the fact that the monitoring includes compulsory activities, respectively â€“ definition of a strategy, gathering and analysis of information, working out of an action plan for the unacceptable cases, implementation of the action plan and the assessment of the effectiveness of the measures included kin the action plan. So, if the public infrastructure administrator had stipulated within its own SMS procedures, regulations that comply with the requirement A3 from the EU Regulation no.1169/2010, requirement concerning the procedures for the monitoring of the effectiveness of the measures for the risk control, it should have been able to prevent the occurrence of this accident, making the monitoring in accordance with the provisions of EU Regulation 1078/2012. So, within the monitoring one had been able to identify and take the preventive measures with reference to the Decision no.42/E/41/2010. Taking into account the issues presented, in order to reduce the risk of occurrence of some similar railway accidents, the investigation commission recommends Romanian Railway Safety Authority â€“ ASFR: Safety recommendation no.1 To request public railway infrastructure administrator the revision of the part of its own safety management system concerning the monitoring of the effectiveness of the measures for the risk control.</t>
  </si>
  <si>
    <t>REC-000622</t>
  </si>
  <si>
    <t>RO-5776/3</t>
  </si>
  <si>
    <t>Deraierea vagonului nr.31530670097-4 aflat în compunerea trenului de marfÄƒ nr.42695 (aparÅ£inând operatorului de transport feroviar SNTFM â€žCFR MarfÄƒâ€ SA), la data de 27.09.2018, s-a produs pe fondul mentenanÈ›ei necorespunzÄƒtoare a infrastructurii feroviare È™i stÄƒrii tehnice a vagonului deraiat. În cursul acÈ›iunii desfÄƒÈ™urate, comisia de investigare a constatat faptul cÄƒ personalul secÅ£iei de întreÅ£inere linii, se conformeazÄƒ Deciziei nr.42/E/41/2010 al Diviziei Linii Cluj, privitor la periodicitatea verificÄƒrii aparatelor de cale la Districtul L Dej Triaj. Decizia nr.42/E/41/2010 a Diviziei Linii Cluj are prevederi contrare cu cele ale InstrucÈ›iei 305 â€žprivind fixarea termenilor È™i a ordinei în care trebuie efectuate reviziile cÄƒiiâ€ ediÈ›ia 1997. Astfel, Decizia menÈ›ionatÄƒ prevede cÄƒ, mÄƒsurarea aparatelor de cale din grupa A - Dej Triaj, de cÄƒtre personalul cu atribuÈ›ii de revizie din cadrul districtului de linii(aparate de cale de pe linii de primiri ÅŸi expedieri), sÄƒ se efectueze lunar(în chenzina I-a), ceea ce este contrar prevederilor InstrucÈ›iei nr.305 /1997, fiÅŸa nr.4, art.3, alin.2 care prevede mÄƒsurarea la interval de 15 zile. Decizia nr.42/E/41/2010 a Diviziei Linii Cluj, este unul dintre elementele care a indus un mod greÈ™it în acÈ›iunea de identificare la timp a defectelor suprastructurii cÄƒii, deoarece verificÄƒrile nivelului pe aparatul de cale nr. 37A, în loc sÄƒ fie fÄƒcute la intervale de timp de 15 zile, au fost fÄƒcute la interval de 30 de zile, de cÄƒtre personalul cu atribuÈ›ii de revizie din cadrul districtului de linii ÅŸi la interval de un an, de cÄƒtre personalul cu atribuÈ›ii de conducere din cadrul secÈ›iei de întreÈ›inere, în loc sÄƒ fie fÄƒcute semestrial. Nerespectarea termenelor de revizie a suprastructurii cÄƒii precizate la art.3, alin.2 din InstrucÈ›ia nr.305 /1997, fiÅŸa nr.4 are implicaÈ›ii directe în depistarea din timp a defectelor suprastructurii cÄƒii. Comisia de investigare a constatat faptul cÄƒ, prin aplicarea propriului sistem de managament, administratorul de infrastructurÄƒ la nivel regional nu a identificat în cadrul activitÄƒÈ›ii de monitorizare, faptul cÄƒ personalul de la SecÈ›ia L Dej, se conformeazÄƒ Deciziei nr.42/E/41/2010, deoarece lipsesc din Procedura Cod PO SMS 0-4.1.3, prevederi privind alimentarea procesului de monitorizare, cu toate procesele È™i procedurile cuprinse în sistemul de gestionare, inclusiv de mÄƒsurile tehnice, operaÈ›ionale È™i organizaÈ›ionale în materie de control al riscurilor. TotodatÄƒ a fost constatat cÄƒ lipsesc din Procedura Cod PO SMS 0-4.1.3, prevederi referitoare la faptul cÄƒ procesul de monitorizare cuprinde activitÄƒÈ›ile obligatorii, respectiv - definirea unei strategii, culegerea È™i analizarea informaÈ›iilor, elaborarea unui plan de acÈ›iune pentru cazurile inacceptabile, punerea în aplicare a planului de acÈ›iune È™i evaluarea eficacitÄƒÈ›ii mÄƒsurilor cuprinse în planul de acÈ›iune. Astfel, administratorul de infrastructurÄƒ feroviarÄƒ publicÄƒ, dacÄƒ ar fi prevÄƒzut în cuprinsul propriilor proceduri ale SMS, reglementÄƒri care sÄƒ respecte cerinÈ›a A3 din Regulamentul UE nr.1169/2010 cerinÈ›Äƒ referitoare la procedurile pentru monitorizarea eficacitÄƒÈ›ii mÄƒsurilor de control al riscurilor, ar fi putut sÄƒ previnÄƒ producerea acestui accident, prin desfÄƒÈ™urarea procesului de monitorizare în conformitate cu prevederile Regulamentului UE 1078/2012. Astfel, în cadrul procesului de monitorizare s-ar fi produs identificarea È™i luarea mÄƒsurilor preventive în privinÈ›a Deciziei nr.42/E/41/2010. Având în vedere aspectele prezentate, pentru reducerea riscurilor de producere a unor accidente feroviare similare, comisia de investigare recomandÄƒ AutoritÄƒÈ›ii de SiguranÈ›Äƒ FeroviarÄƒ RomânÄƒ â€“ ASFR: Recomandarea de siguranÈ›Äƒ nr.2 SÄƒ solicite administratorului infrastructurii feroviare publice revizuirea Deciziei nr.42/E/41/2010 È™i punerea acestuia în acord cu prevederile InstrucÈ›iei nr.305 â€žprivind fixarea termenilor È™i a ordinei în care trebuie efectuate reviziile cÄƒiiâ€ ediÈ›ia 1997.</t>
  </si>
  <si>
    <t>RO-5776/4</t>
  </si>
  <si>
    <t>Safety recommendations The derailment of the wagon no.31530670097-4, being in the composition of the freight train no.42695 (got by the railway undertaking SNTFM â€žCFR MarfÄƒâ€ SA), on the 27th September 2018, happened following the unsuitable maintenance of the railway infrastructure and of the technical condition of the derailed wagon. During the investigation, the investigation commission found that the staff from the line section complies with the Decision no.42/E/41/2010 of the Line Division Cluj, regarding the periodicity of the inspections of the switches at the District L Dej Triaj. Decision no.42/E/41/2010 of Line Division Cluj has provisions against those from the Instruction 305 â€žconcerning the establishment of deadlines and order for the performance of the track inspectionsâ€ edition 1997. So, the Decision above mentioned stipulates that the measuring of the switches from the group A - Dej Triaj, by the staff with inspection duties within the line district (switches from the reception and dispatching lines), be made monthly (in the first fortnightly), it being against the provisions of the Instruction no.305 /1997, sheet no.4, art.3, paragraph 2 that stipulates the measuring in the range of 15 days. The Decision no.42/E/41/2010 of Line Division Cluj is one of the elements that generated a wrong way of action in the duly identification of the superstructure failures, because the checking of the level on the switch no. 37A, instead to be done in range of 15 days, it was made in range of 30 days, by staff with inspection duties within the line district and in range of 1 year, by the staff with management duties within the maintenance section, instead to be made quarterly. Lack of compliance with the deadlines for the superstructure inspection, stipulated at art.3, paragraph 2 from the Instruction no.305 /1997, sheet no.4 has direct implication in the duly identification of the superstructure failures. The investigation commission found that, through the application of its own management system, the infrastructure administrator, at regional level, did not identify within the monitoring, the fact that the staff of Section L Dej, meets with the Decision no.42/E/41/2010, because in the Procedure Code PO SMS 0-4.1.3, there are not provisions for the composition of the monitoring with all the processes and procedures included in the management system, including the technical, operational and organizational measures for the risk control. It also found that in the Procedure Code PO SMS 0-4.1.3, there are not provisions concerning the fact that the monitoring includes compulsory activities, respectively â€“ definition of a strategy, gathering and analysis of information, working out of an action plan for the unacceptable cases, implementation of the action plan and the assessment of the effectiveness of the measures included kin the action plan. So, if the public infrastructure administrator had stipulated within its own SMS procedures, regulations that comply with the requirement A3 from the EU Regulation no.1169/2010, requirement concerning the procedures for the monitoring of the effectiveness of the measures for the risk control, it should have been able to prevent the occurrence of this accident, making the monitoring in accordance with the provisions of EU Regulation 1078/2012. So, within the monitoring one had been able to identify and take the preventive measures with reference to the Decision no.42/E/41/2010. Taking into account the issues presented, in order to reduce the risk of occurrence of some similar railway accidents, the investigation commission recommends Romanian Railway Safety Authority â€“ ASFR: Safety recommendation no.2 To request the public railway infrastructure administrator the revision of the Decision no.42/E/41/2010 and its correlation with the provisions of the Instruction no.305 â€žconcerning the establishment of the deadlines and order for the track inspectionsâ€ edition 1997.</t>
  </si>
  <si>
    <t>REC-000583</t>
  </si>
  <si>
    <t>RO-5777/1</t>
  </si>
  <si>
    <t>În cursul acÈ›iunii desfÄƒÈ™urate, comisia de investigare a constatat faptul cÄƒ managementul ...</t>
  </si>
  <si>
    <t>În cursul acÈ›iunii desfÄƒÈ™urate, comisia de investigare a constatat faptul cÄƒ managementul administratorului de infrastructurÄƒ la nivel central È™i regional nu a identificat, ÅŸi nu au gestionat riscurile generate de nerespectarea prescripÅ£iilor privind modul de efectuare a lucrÄƒrilor bianuale ÅŸi verificare pÄƒrÅ£i ascunse la schimbÄƒtoare de cale, pentru a putea dispune în consecinÈ›Äƒ soluÈ›ii È™i mÄƒsuri viabile în vederea È›inerii sub control a pericolelor generate de acestea. Astfel, dacÄƒ s-ar fi aplicat propriile proceduri ale sistemului de management al siguranÈ›ei, în integritatea lor, precum È™i prevederile codurilor de practicÄƒ, parte componentÄƒ a SMS, administratorul de infrastructurÄƒ ar fi putut sÄƒ menÈ›inÄƒ sub control pericolele ÅŸi riscurile asociate prevenind astfel producerea acestui incident. În aceste condiÅ£ii, comisia de investigare recomandÄƒ AutoritÄƒÅ£ii de SiguranÅ£Äƒ FeroviarÄƒ RomânÄƒ ASFR sÄƒ urmÄƒreascÄƒ ca CNCF CFR SA sÄƒ: 1. Reanalizeze strategia de monitorizare a modului de acordare ÅŸi desfÄƒÅŸurare a închiderilor de linii pentru efectuarea reviziilor bianuale ÅŸi de verificare pÄƒrÅ£i ascunse la schimbÄƒtoarele de cale ÅŸi sÄƒ analizeze oportunitatea includerii neconformitÄƒÅ£ilor constatate în raport în categoria neconformitÄƒÅ£ilor inacceptabile.</t>
  </si>
  <si>
    <t>RO-5777/2</t>
  </si>
  <si>
    <t>During the investigation, the commission found that the infrastructure administrator management, at central and regional level, did not identify and did not manage the risks generated by the violation of the `provisions regarding the performance way of the biannual works and inspections at the hidden parts of the switches, in order to be able to dispose consequently solutions and measures viable for keeping under control the dangers generated by it. So, if the procedures of the own management system have been applied, completely, as well as the provisions of the practice codes, part of the SMS, the infrastructure administrator should have kept under control the dangers and risks associated, preventing in a such way the occurrence of this incident. In these conditions, the investigation commission recommends Romanian Railway Safety Authority ASFR to request CNCF CFR SA: 1. to re-analyse the monitoring of the way of establishment and development of the lines closing for the biannual inspections and checking of the hidden parts of switches and to analyse the opportunity to include the nonconformities identified in the report in the category of unacceptable nonconformities.</t>
  </si>
  <si>
    <t>RO-5778/1</t>
  </si>
  <si>
    <t>E. RECOMANDÄ‚RI DE SIGURANÅ¢Ä‚ RecomandÄƒri de siguranÅ£Äƒ: În cursul acÈ›iunii desfÄƒÈ™urate, comisia de ...</t>
  </si>
  <si>
    <t>E. RECOMANDÄ‚RI DE SIGURANÅ¢Ä‚ RecomandÄƒri de siguranÅ£Äƒ: În cursul acÈ›iunii desfÄƒÈ™urate, comisia de investigare a constatat faptul cÄƒ managementul administratorului de infrastructurÄƒ la nivel central È™i regional nu a identificat, ÅŸi nu au gestionat riscurile generate de lipsa de reglementare a modului de efectuare a parcursurilor la circulaÅ£ia pe linie falsÄƒ, pentru a putea dispune în consecinÈ›Äƒ soluÈ›ii È™i mÄƒsuri viabile în vederea È›inerii sub control a pericolelor ÅŸi riscurilor asociate generate de acestea. În aceste condiÅ£ii, comisia de investigare recomandÄƒ AutoritÄƒÅ£ii de SiguranÅ£Äƒ FeroviarÄƒ RomânÄƒ ASFR sÄƒ solicite CNCF â€žCFRâ€ SA: 1. Efectuarea unei analize de risc ÅŸi o evaluare a riscurilor referitoare la circulaÅ£ia trenurilor pe linie falsÄƒ ÅŸi, în funcÅ£ie de rezultatul analizei, sÄƒ ia mÄƒsuri în vederea È›inerii sub control a pericolelor ÅŸi riscurilor asociate generate de aceasta.</t>
  </si>
  <si>
    <t>RO-5778/2</t>
  </si>
  <si>
    <t>During the investigation, the commission found that the management of the infrastructure administrator, at central and regional level, did not identify and did not manage the risks generated by the absence of the regulation for setting the routes of trains in case of their running on the right track (on the double track lines), in order to dispose consequently solutions and measures viable for keeping under control the dangers and risks associated, generated by these. In these conditions, the investigation commission recommends Romanian Railway Safety Authority ASFR to request CNCF â€žCFRâ€ SA the next: 1. To perform a risk analysis and an assessment of the risks at the running of the trains on right track (on the double track lines) and, according to the result of the analysis, to take measures for keeping under control the dangers and risks associated, generated by it.</t>
  </si>
  <si>
    <t>RO-5850/1</t>
  </si>
  <si>
    <t>RecomandÄƒri de siguranÈ›Äƒ La data de 16.11.2018, între Hm Mureni È™i Hm Beia, în circulaÈ›ia trenului ...</t>
  </si>
  <si>
    <t>RecomandÄƒri de siguranÈ›Äƒ La data de 16.11.2018, între Hm Mureni È™i Hm Beia, în circulaÈ›ia trenului nr.38324 (tren de inter-venÈ›ie) s-a produs deraierea de primele douÄƒ osii în sensul de mers a macaralei EDK 1000 de 125 tf ce se afla în compunerea acestuia. În cursul acÈ›iunii de investigare s-au constatat unele neconformitÄƒÈ›i în ceea ce priveÈ™te mentenanÈ›a macaralei, neefectuarea acÈ›iunii de evaluarea È™i aprecierea riscurilor pentru activitatea trenurilor de inter-venÈ›ie, precum È™i nerespectarea prevederilor Art.12, pct.6, lit. c) din Normele de acordare a AutorizaÈ›iei de SiguranÈ›Äƒ partea A, aprobate prin ordinul MT nr.101/2008, referitoare la existenÈ›a de â€žproceduri pen-tru asigurarea conformitÄƒÈ›ii cu standardele È™i cu alte condiÈ›ii prescriptive pe întregul ciclu de viaÈ›Äƒ al echipamentelor È™i operaÈ›iunilorâ€. Având în vedere cele menÈ›ionate anterior, în conformitate cu prevederile Art.25(2) din Legea nr.55/2006 privind siguranÈ›a feroviarÄƒ, comisia de investigare recomandÄƒ AutoritÄƒÈ›ii de SiguranÈ›Äƒ Ferovi-arÄƒ RomânÄƒ sÄƒ se asigure cÄƒ CNCF reanalizeazÄƒ SMS astfel încât sÄƒ fie identificate pericolele È™i evalua-te riscurile asociate pentru activitatea trenurilor de intervenÈ›ie È™i a echipelor acestora È™i sÄƒ dispunÄƒ mÄƒ-suri în consecinÈ›Äƒ în conformitate cu prevederile OMT nr.101/2008 pentru aprobarea Normelor privind acordarea autorizaÈ›iilor de siguranÈ›Äƒ administratorului/gestionarului de infrastructurÄƒ feroviarÄƒ din România.</t>
  </si>
  <si>
    <t>RO-5850/2</t>
  </si>
  <si>
    <t>Safety recommendations On the 16th November 2018, between the railway stations Mureni and Beia, in the running of the train no.38324 (breakdown train), the first two axles of the crane EDK 1000 of 125 tf derailed, this cra-ne being in the composition of the train. During the investigation, some non-conformities were found, regarding the maintenance of the crane, non-performance of the assessment and evaluation of the risks for the activity of the breakdown trains, as well as the violation of the provisions of Art.12, point 6, letter c) from the Norms for the gran-ting of the Safety Authorization part A, approved through the Minister of Transportsâ€™ Order no.101/2008 with reference to the existence of â€žprocedures for ensuring the conformity with standards and with other normative conditions along whole life time of the equipments and operationsâ€. Considering those above mention, in accordance with the provisions of Art.25(2) from the Law no.55/2006 for the railway safety, the investigation commission recommends Romanian Railway Safety Authority shall take care that CNCF re-analyse SMS so the dangers be identified and the risks associa-ted assessed for the activity of the breakdown trains and of their crews and shall dispose consequently measures in accordance with the provisions of the Minister of Transportsâ€™ Order no.101/2008 for the approval of the Norms for the granting of the safety authorizations to Romanian railway infrastructure administrator/manager.</t>
  </si>
  <si>
    <t>REC-000651</t>
  </si>
  <si>
    <t>RO-5851/1</t>
  </si>
  <si>
    <t>În cazul accidentului feroviar produs la data de 18.11.2018 în circulaÈ›ia trenului de cÄƒlÄƒtori Regio ...</t>
  </si>
  <si>
    <t>În cazul accidentului feroviar produs la data de 18.11.2018 în circulaÈ›ia trenului de cÄƒlÄƒtori Regio nr.4511 s-a constatat cÄƒ incendiul produs la locomotiva DA nr.759 s-a datorat stÄƒrii tehnice necorespunzÄƒtoare a acesteia generatÄƒ de pierderile de ulei provenite de la motorul diesel care în timp s-au depus pe componentele locomotivei È™i care nu au fost înlÄƒturate cu ocazia lucrÄƒrilor de mentenanÈ›Äƒ efectuate. În cursul acÈ›iunii de investigare s-a constatat faptul cÄƒ locomotiva a fost menÈ›inutÄƒ în serviciu dupÄƒ atingerea normei de timp pentru efectuarea reparaÈ›iilor planificate, contrar prevederilor Ordinului MTI nr.1359/2012 pentru modificarea È™i completarea Normativului feroviar "Vehicule de cale feratÄƒ. Tipuri de revizii È™i reparaÈ›ii planificate. Normele de timp sau normele de kilometri parcurÈ™i pentru efectuarea reviziilor È™i reparaÈ›iilor planificate", aprobat prin Ordinul ministrului transporturilor si infrastructurii nr. 315/2011, ceea ce a constituit un factor care a contribuit la producerea accidentului feroviar. De asemenea s-a mai constatat faptul cÄƒ locomotiva a fost înscrisÄƒ în Certificatul de SiguranÈ›Äƒ partea B, Anexa II, fÄƒrÄƒ respectarea cerinÈ›elor legale, respectiv fÄƒrÄƒ efectuarea unei evaluÄƒri tehnice a acesteia, fapt care a fÄƒcut posibilÄƒ utilizarea ei de cÄƒtre operatorul de transport în condiÈ›iile în care starea tehnicÄƒ a locomotivei nu permitea acest fapt. Conform reglementÄƒrilor în vigoare, lipsa raportului de evaluare tehnicÄƒ, interzice înscrierea unei locomotive în certificatul de siguranÈ›Äƒ È™i, pe cale de consecinÈ›Äƒ circulaÈ›ia acesteia, operatorul de transport nemaifiind autorizat sÄƒ efectueze servicii de transport feroviar cu locomotiva în cauzÄƒ. Având în vedere cele menÈ›ionate anterior, în conformitate cu prevederile Art.25(2) din Legea nr.55/2006 privind siguranÈ›a feroviarÄƒ, comisia de investigare recomandÄƒ AutoritÄƒÈ›ii de SiguranÈ›Äƒ FeroviarÄƒ RomânÄƒ: 1. SÄƒ solicite operatorului de transport feroviar de cÄƒlÄƒtori SNTFC â€žCFR CÄƒlÄƒtoriâ€ SA È™i operatorului economic SRL â€žCFR SCRL BraÈ™ovâ€ SA, refacerea SpecificaÈ›iei tehnice ST 6-2004, în vederea introducerii unor prevederi referitoare la efectuarea respectiv la menÈ›inerea stÄƒrii de curÄƒÈ›enie a motorului Diesel, a sÄƒlii maÈ™inilor È™i a subansamblelor boghiurilor.</t>
  </si>
  <si>
    <t>RO-5851/2</t>
  </si>
  <si>
    <t>In case of the railway accident happened on the 18th November 2018, in the running of the passenger train Regio no.4511, one found that the fire burst into the locomotive DA no.759 happened following its improper technical condition generated by the oil losses resulted from diesel engine, that along the time deposited on the locomotive sub-parts and that were not removed during the maintenance works performed. During the investigation, one found that the locomotive was kept in service after reaching the time norm for the performance of the planned repairs, against the provisions of the Order of Minister of Transports and Infrastructure no.1359/2012 for the amendment of the Railway Norm "Railway vehicles. Types of planned inspections and repairs. Norms of time or norms of km run for the performance of planned inspections and repairs", approved through the Order of Minister of Transports and Infrastructure no.1359/2012,it being a factor contributing to the accident occurrence. Therewith, one found that the locomotive was written down in the Safety certificate, part B, annex II, without meeting with the legal requirements, respectively without performing its technical inspection, the locomotive being used in a technical condition that did not allow it. According to the regulations in force, the lack of the report for the technical inspection, prohibits the writing down of a locomotive in the safety certificate, and consequently its running, the railway undertaking having no authorization to carry out transports with the locomotive concerned Considering these above mentioned, in accordance with the provisions of Art.25(2) of Law no.55/2006 for the railway safety, the investigation commission recommends Romanian Railway Safety Authority: 1. to request the railway passenger undertaking SNTFC â€žCFR CÄƒlÄƒtoriâ€ SA and economic operator SRL â€žCFR SCRL BraÈ™ovâ€ SA, to remake the Technical Specification ST 6-2004, for the introduction of some provisions for performance and keeping the Diesel engine, engines room and sub-parts of the bogies cleaned</t>
  </si>
  <si>
    <t>REC-000653</t>
  </si>
  <si>
    <t>RO-5851/3</t>
  </si>
  <si>
    <t>În cazul accidentului feroviar produs la data de 18.11.2018 în circulaÈ›ia trenului de cÄƒlÄƒtori Regio nr.4511 s-a constatat cÄƒ incendiul produs la locomotiva DA nr.759 s-a datorat stÄƒrii tehnice necorespunzÄƒtoare a acesteia generatÄƒ de pierderile de ulei provenite de la motorul diesel care în timp s-au depus pe componentele locomotivei È™i care nu au fost înlÄƒturate cu ocazia lucrÄƒrilor de mentenanÈ›Äƒ efectuate. În cursul acÈ›iunii de investigare s-a constatat faptul cÄƒ locomotiva a fost menÈ›inutÄƒ în serviciu dupÄƒ atingerea normei de timp pentru efectuarea reparaÈ›iilor planificate, contrar prevederilor Ordinului MTI nr.1359/2012 pentru modificarea È™i completarea Normativului feroviar "Vehicule de cale feratÄƒ. Tipuri de revizii È™i reparaÈ›ii planificate. Normele de timp sau normele de kilometri parcurÈ™i pentru efectuarea reviziilor È™i reparaÈ›iilor planificate", aprobat prin Ordinul ministrului transporturilor si infrastructurii nr. 315/2011, ceea ce a constituit un factor care a contribuit la producerea accidentului feroviar. De asemenea s-a mai constatat faptul cÄƒ locomotiva a fost înscrisÄƒ în Certificatul de SiguranÈ›Äƒ partea B, Anexa II, fÄƒrÄƒ respectarea cerinÈ›elor legale, respectiv fÄƒrÄƒ efectuarea unei evaluÄƒri tehnice a acesteia, fapt care a fÄƒcut posibilÄƒ utilizarea ei de cÄƒtre operatorul de transport în condiÈ›iile în care starea tehnicÄƒ a locomotivei nu permitea acest fapt. Conform reglementÄƒrilor în vigoare, lipsa raportului de evaluare tehnicÄƒ, interzice înscrierea unei locomotive în certificatul de siguranÈ›Äƒ È™i, pe cale de consecinÈ›Äƒ circulaÈ›ia acesteia, operatorul de transport nemaifiind autorizat sÄƒ efectueze servicii de transport feroviar cu locomotiva în cauzÄƒ. Având în vedere cele menÈ›ionate anterior, în conformitate cu prevederile Art.25(2) din Legea nr.55/2006 privind siguranÈ›a feroviarÄƒ, comisia de investigare recomandÄƒ AutoritÄƒÈ›ii de SiguranÈ›Äƒ FeroviarÄƒ RomânÄƒ: 2. SÄƒ solicite operatorului de transport feroviar de cÄƒlÄƒtori SNTFC â€žCFR CÄƒlÄƒtoriâ€ SA revizuirea procedurii operaÈ›ionale PO-07.1-14 â€žPlanificarea reviziilor È™i reparaÈ›iilor pentru locomotive, automotoare È™i rame electrice aparÈ›inând SNTFC â€œCFR CÄƒlÄƒtoriâ€ SAâ€ în vederea completÄƒrii acesteia cu prevederi concrete referitoare la retragerea din serviciu a locomotivelor la atingerea normelor de timp/kilometri pentru efectuarea reparaÈ›iilor planificate, în conformitate cu reglementÄƒrile în vigoare.</t>
  </si>
  <si>
    <t>RO-5851/4</t>
  </si>
  <si>
    <t>In case of the railway accident happened on the 18th November 2018, in the running of the passenger train Regio no.4511, one found that the fire burst into the locomotive DA no.759 happened following its improper technical condition generated by the oil losses resulted from diesel engine, that along the time deposited on the locomotive sub-parts and that were not removed during the maintenance works performed. During the investigation, one found that the locomotive was kept in service after reaching the time norm for the performance of the planned repairs, against the provisions of the Order of Minister of Transports and Infrastructure no.1359/2012 for the amendment of the Railway Norm "Railway vehicles. Types of planned inspections and repairs. Norms of time or norms of km run for the performance of planned inspections and repairs", approved through the Order of Minister of Transports and Infrastructure no.1359/2012,it being a factor contributing to the accident occurrence. Therewith, one found that the locomotive was written down in the Safety certificate, part B, annex II, without meeting with the legal requirements, respectively without performing its technical inspection, the locomotive being used in a technical condition that did not allow it. According to the regulations in force, the lack of the report for the technical inspection, prohibits the writing down of a locomotive in the safety certificate, and consequently its running, the railway undertaking having no authorization to carry out transports with the locomotive concerned Considering these above mentioned, in accordance with the provisions of Art.25(2) of Law no.55/2006 for the railway safety, the investigation commission recommends Romanian Railway Safety Authority: 2. to request the railway passenger undertaking SNTFC â€žCFR CÄƒlÄƒtoriâ€ SA the revision of the operational procedure PO-07.1-14 â€žPlanning of the inspections and repairs for the locomotives, multiple units and electrical train sets got by SNTFC â€œCFR CÄƒlÄƒtoriâ€ SAâ€, for adding some real provisions regarding the withdrawal from operation of the locomotives when they reach the norm of time/km for the performance of the planned repairs, in accordance with the regulations in force.</t>
  </si>
  <si>
    <t>REC-000657</t>
  </si>
  <si>
    <t>RO-5851/5</t>
  </si>
  <si>
    <t>În cazul accidentului feroviar produs la data de 18.11.2018 în circulaÈ›ia trenului de cÄƒlÄƒtori Regio nr.4511 s-a constatat cÄƒ incendiul produs la locomotiva DA nr.759 s-a datorat stÄƒrii tehnice necorespunzÄƒtoare a acesteia generatÄƒ de pierderile de ulei provenite de la motorul diesel care în timp s-au depus pe componentele locomotivei È™i care nu au fost înlÄƒturate cu ocazia lucrÄƒrilor de mentenanÈ›Äƒ efectuate. În cursul acÈ›iunii de investigare s-a constatat faptul cÄƒ locomotiva a fost menÈ›inutÄƒ în serviciu dupÄƒ atingerea normei de timp pentru efectuarea reparaÈ›iilor planificate, contrar prevederilor Ordinului MTI nr.1359/2012 pentru modificarea È™i completarea Normativului feroviar "Vehicule de cale feratÄƒ. Tipuri de revizii È™i reparaÈ›ii planificate. Normele de timp sau normele de kilometri parcurÈ™i pentru efectuarea reviziilor È™i reparaÈ›iilor planificate", aprobat prin Ordinul ministrului transporturilor si infrastructurii nr. 315/2011, ceea ce a constituit un factor care a contribuit la producerea accidentului feroviar. De asemenea s-a mai constatat faptul cÄƒ locomotiva a fost înscrisÄƒ în Certificatul de SiguranÈ›Äƒ partea B, Anexa II, fÄƒrÄƒ respectarea cerinÈ›elor legale, respectiv fÄƒrÄƒ efectuarea unei evaluÄƒri tehnice a acesteia, fapt care a fÄƒcut posibilÄƒ utilizarea ei de cÄƒtre operatorul de transport în condiÈ›iile în care starea tehnicÄƒ a locomotivei nu permitea acest fapt. Conform reglementÄƒrilor în vigoare, lipsa raportului de evaluare tehnicÄƒ, interzice înscrierea unei locomotive în certificatul de siguranÈ›Äƒ È™i, pe cale de consecinÈ›Äƒ circulaÈ›ia acesteia, operatorul de transport nemaifiind autorizat sÄƒ efectueze servicii de transport feroviar cu locomotiva în cauzÄƒ. Având în vedere cele menÈ›ionate anterior, în conformitate cu prevederile Art.25(2) din Legea nr.55/2006 privind siguranÈ›a feroviarÄƒ, comisia de investigare recomandÄƒ AutoritÄƒÈ›ii de SiguranÈ›Äƒ FeroviarÄƒ RomânÄƒ: 3. SÄƒ solicite operatorului de transport feroviar de cÄƒlÄƒtori SNTFC â€žCFR CÄƒlÄƒtoriâ€ SA refacerea acÈ›iunii de identificarea È™i evaluarea riscurilor asociate operaÈ›iunilor feroviare, pentru riscul de producere de incendii la vehiculele feroviare din compunerea trenurilor în circulaÈ›ie.</t>
  </si>
  <si>
    <t>RO-5851/6</t>
  </si>
  <si>
    <t>In case of the railway accident happened on the 18th November 2018, in the running of the passenger train Regio no.4511, one found that the fire burst into the locomotive DA no.759 happened following its improper technical condition generated by the oil losses resulted from diesel engine, that along the time deposited on the locomotive sub-parts and that were not removed during the maintenance works performed. During the investigation, one found that the locomotive was kept in service after reaching the time norm for the performance of the planned repairs, against the provisions of the Order of Minister of Transports and Infrastructure no.1359/2012 for the amendment of the Railway Norm "Railway vehicles. Types of planned inspections and repairs. Norms of time or norms of km run for the performance of planned inspections and repairs", approved through the Order of Minister of Transports and Infrastructure no.1359/2012,it being a factor contributing to the accident occurrence. Therewith, one found that the locomotive was written down in the Safety certificate, part B, annex II, without meeting with the legal requirements, respectively without performing its technical inspection, the locomotive being used in a technical condition that did not allow it. According to the regulations in force, the lack of the report for the technical inspection, prohibits the writing down of a locomotive in the safety certificate, and consequently its running, the railway undertaking having no authorization to carry out transports with the locomotive concerned Considering these above mentioned, in accordance with the provisions of Art.25(2) of Law no.55/2006 for the railway safety, the investigation commission recommends Romanian Railway Safety Authority: 3. to request the railway passenger undertaking SNTFC â€žCFR CÄƒlÄƒtoriâ€ SA to run again the identification and assessment of the risks associated to the railway operations, for the risk of fires at the railway vehicles from the composition of the trains in running.</t>
  </si>
  <si>
    <t>REC-000704</t>
  </si>
  <si>
    <t>RO-5856/1</t>
  </si>
  <si>
    <t>RecomandÄƒri de siguranÈ›Äƒ În cazul accidentului produs în circulaÅ£ia trenului de marfÄƒ nr.61716, la ...</t>
  </si>
  <si>
    <t>RecomandÄƒri de siguranÈ›Äƒ În cazul accidentului produs în circulaÅ£ia trenului de marfÄƒ nr.61716, la data de 23.06.2019, s-a constatat cÄƒ ruperea foii principale a arcului de suspensie corespunzÄƒtor roÈ›ii nr.7 de la vagonul nr. 82537855489-3 s-a produs la obosealÄƒ, în condiÈ›iile existenÈ›ei unor fisuri vechi (60% din secÈ›iunea foii principale de arc) în zona ochiului de arc, fisuri care sunt imposibil de depistat cu ocazia efectuÄƒrii reviziilor tehnice la trenuri, întrucât zona este acoperitÄƒ de piesele atelajului de suspensie (suportul inelului de suspensie, inelul de suspensie È™i siguranÈ›a furcatÄƒ). Astfel de fisuri ar fi putut fi identificate în condiÈ›iile în care, sistemului de management al siguranÈ›ei de la nivelul operatorului de transport ar fi avut reglementÄƒri (proceduri) care sÄƒ prevadÄƒ ca efectuarea verificÄƒrii arcurilor pentru suspensiile boghiurilor tip â€žHâ€, în zonele greu accesibile ale acestora, sÄƒ se efectueze la intervale de timp astfel determinate, încât apariÈ›ia fisurilor în aceste zone sÄƒ fie identificatÄƒ din timp, iar frecvenÈ›a cazurilor de rupere a arcurilor în exploatare sÄƒ fie astfel redusÄƒ. Având în vedere cele de mai sus, precum È™i cele menÈ›ionate la capitolul C.5.6. Evenimente anterioare cu caracter similar, comisia de investigare considerÄƒ necesarÄƒ emiterea urmÄƒtoarei recomandÄƒri de siguranÈ›Äƒ: 1. Autoritatea de SiguranÈ›Äƒ FeroviarÄƒ RomânÄƒ â€“ ASFR va analiza, împreunÄƒ cu operatorii de transport feroviar de marfÄƒ ce deÈ›in vagoane echipate cu boghiuri tip â€žHâ€, oportunitatea introducerii în sistemul de management al siguranÈ›ei a unor reglementÄƒri (proceduri) care sÄƒ prevadÄƒ mÄƒsuri pentru verificarea periodicÄƒ a arcurilor de la suspensiile acestor boghiuri, în zonele greu accesibile ale acestora (ce nu sunt vizibile cu ocazia efectuÄƒrii reviziilor tehnice la trenuri), pentru È›inerea sub control a riscurilor induse de apariÈ›ia fisurilor la foilor de arc.</t>
  </si>
  <si>
    <t>RO-5856/2</t>
  </si>
  <si>
    <t>ï‚§ Regarding the accident happened in the running of the freight train no.61716, on the 23rd June 2019, one found that the breakage of the main leaf of the suspension spring corresponding to the wheel no.7 of the wagon no. 82537855489-3 occurred in fatigue conditions, being some old cracks (60% from the section of the spring main leaf) in the area of the spring eye, these cracks cannot be seen during the technical inspections of the trains, because the area is covered by the part of the suspension rings (support of the suspension ring, the suspension ring and bolt locking). . Other cracks could be identified if, the safety management system of the railway undertaking should have got regulations (procedures) that stipulate the performance of the checking at the suspension springs from the bogies type â€žHâ€, in their hard to reach parts, be made at periods of time so established that the appearance of the cracks in those areas be soon identified, and the frequency of the spring breakages in operation be in a such way reduced. Considering these above mentioned, as well as those mentioned in chapter C.5.6. Similar previous, the investigation commission considers necessary the issuing of the next safety recommendations: 1. Romanian Railway Safety Authority â€“ ASFR shall analyse, with the railway freight undertakings which get wagons provided with bogies type â€žHâ€, the opportunity to introduce into the safety management system some regulations (procedures) that stipulate measures for periodical checking of the springs from the suspensions of these bogies, in its areas hard to reach (that cannot be seen during the performance of the train technical inspections), for keeping under control the risks induced by the appearance of the cracks at the spring leaves.</t>
  </si>
  <si>
    <t>RO-5876/1</t>
  </si>
  <si>
    <t>În cursul acÈ›iunii desfÄƒÈ™urate, comisia de investigare a constatat faptul cÄƒ managementul administratorului de infrastructurÄƒ la nivel central È™i regional nu a identificat, ÅŸi nu au gestionat pericolele generate de: â€¢ ExistenÅ£a unui trafic rutier de intensitate mare la aceastÄƒ trecere la nivel care conduce la forÅ£area barierei de cÄƒtre conducÄƒtorii auto la orele de vârf ÅŸi care pune presiune ÅŸi pe salariaÅ£i, pentru a putea dispune în consecinÈ›Äƒ soluÈ›ii È™i mÄƒsuri viabile în vederea È›inerii sub control a riscurilor generate de acestea. În aceste condiÅ£ii, comisia de investigare recomandÄƒ ASFR ca împreunÄƒ cu CNCF CFR SA sÄƒ: 1. Reanalizeze modul de desfÄƒÅŸurare a activitÄƒÅ£ii la aceastÄƒ trecere la nivel prevÄƒzutÄƒ cu bariere mecanice în vederea Å£inerii sub control a pericolelor ÅŸi riscurilor asociate.</t>
  </si>
  <si>
    <t>RO-5876/2</t>
  </si>
  <si>
    <t>During the investigation, the commission found that the management of the infrastructure administrator, at central and regional level, did neither identify nor manage the dangers generated by: â€¢ existence of a road traffic of high frequency at the level crossing that leads to the forcing of the barrier by the drivers at rush hours and which generates pressure on the employees, in order to be able to dispose consequently solutions and measures viable for keeping under control the risks generated by these. Given the conditions, the investigation commission recommends ASFR, together CNCF CFR SA : 1. Re-analyze the performance of the activity at the level crossing provided with mechanical barriers for keeping under control the dangers and the risks associated.</t>
  </si>
  <si>
    <t>REC-000707</t>
  </si>
  <si>
    <t>RO-5881/1</t>
  </si>
  <si>
    <t>RecomandÄƒri de siguranÈ›Äƒ În cazul accidentului feroviar produs la data de 23.12.2018, în circulaÈ›ia ...</t>
  </si>
  <si>
    <t>RecomandÄƒri de siguranÈ›Äƒ În cazul accidentului feroviar produs la data de 23.12.2018, în circulaÈ›ia trenului de cÄƒlÄƒtori nr.1821 produs prin deraierea ultimelor trei vagoane din compunerea trenului, s-a constatat cÄƒ, deraierea a fost cauzatÄƒ de starea necorespunzÄƒtoare a unor elemente componente ale suprastructurii feroviare, cu afectarea geometriei cÄƒii. Astfel, s-a constatat cÄƒ deraierea s-a produs ca urmare a: ï‚§ modului neconform de alcÄƒtuire a ansamblului â€žjoantÄƒâ€, de la km 34+993, pe firul I de circulaÅ£ie a liniei curente dintre halta de miÈ™care BÄƒeÈ™ti È™i staÈ›ia CFR Subcetate, realizat cu ocazia intervenÈ›iei efectuate la defectul (ÅŸinÄƒ ruptÄƒ) înregistrat la data de 10.12.2018 (cu 13 zile înainte de data producerii accidentului feroviar), ÅŸi neluarea mÄƒsurii necesare pentru asigurarea siguranÈ›ei circulaÈ›iei feroviare (reducere a vitezei de circulaÅ£ie peste aceastÄƒ porÈ›iune de linie slÄƒbitÄƒ); ï‚§ depÄƒÈ™irii valorii maxime admise pentru: - uzurile laterale ale ÅŸinei de la firul exterior al curbei; - torsionarea cÄƒii, pentru viteza de circulaÅ£ie stabilitÄƒ (65 km/h); - ecartamentul cÄƒii; în zona producerii accidentului feroviar; ï‚§ menÈ›inerea în cale a È™inelor cu capacitatea de transport depÄƒÈ™itÄƒ; ï‚§ menÈ›inerea în cale a È™inelor defecte È™i întreÈ›inerea necorespunzÄƒtoare a joantelor; ï‚§ neefectuarea reviziilor tehnice periodice a cÄƒii în zilele de 17, 19 ÅŸi 21 decembrie 2018, pe porÈ›iuni de linie care cuprindeau ÅŸi zona producerii accidentului feroviar. Neefectuarea reviziilor tehnice periodice a cÄƒii în zona producerii accidentului, la termenele È™i intervalele de timp (o datÄƒ la douÄƒ zile) stabilitÄƒ de reglementÄƒrile în vigoare, a condus la neidentificarea pericolelor pentru siguranÈ›a circulaÈ›iei. PrecizÄƒm cÄƒ, înainte de publicarea InstrucÅ£iei pentru fixarea termenelor ÅŸi a ordinei în care trebuie efectuate reviziile cÄƒii nr.305/1997, revizia liniilor curente ÅŸi directe din staÅ£ii echipate cu bloc de linie automat (BLA) È™i a liniilor secundare (cu trafic mai mic de 1 milion tone brute/ an), se efectuau zilnic, riscul de a nu fi identificate eventualele pericole în legÄƒturÄƒ cu starea tehnicÄƒ a suprastructurii/infrastructurii feroviare, fiind mai bine È›inut sub control. Având în vedere neconformitÄƒÈ›ile privind starea tehnicÄƒ a infrastructurii feroviare în zona producerii accidentului constatate cu ocazia investigÄƒrii acestui accident, precum ÅŸi faptul cÄƒ activitatea de supraveghere continuÄƒ a suprastructurii ÅŸi infrastructurii feroviare este una din sarcinile principale ale personalului de întreÅ£inere a cÄƒii, iar nivelurile de siguranÅ£Äƒ care trebuie atinse sunt exprimate prin criterii de acceptare a riscului ÅŸi definite de obiectivele de siguranÅ£Äƒ comune, comisia de investigare considerÄƒ necesarÄƒ emiterea urmÄƒtoarei recomandÄƒri de siguranÅ£Äƒ: 1. Autoritatea de SiguranÅ£Äƒ FeroviarÄƒ RomânÄƒ â€“ ASFR va analiza împreunÄƒ cu administratorul de infrastructurÄƒ feroviarÄƒ publicÄƒ CNCFâ€žCFRâ€ SA necesitatea ÅŸi oportunitatea modificÄƒrii cadrului de reglementare actual referitor la fixarea termenelor ÅŸi a ordinei în care trebuie efectuate reviziile cÄƒii, aÈ™a cum sunt ele stabilite prin InstrucÅ£ia nr. 305/1997, dupÄƒ cum urmeazÄƒ: - prevederile de la art.1 din FiÅŸa nr.2 (AtribuÅ£iile revizorului de cale) sÄƒ fie modificate astfel încât revizia tehnicÄƒ pe jos liniilor curente ÅŸi directe din staÅ£ii echipate cu bloc de linie automat (BLA), a liniilor secundare, a aparatelor de cale aferente, a terasamentelor ÅŸi a lucrÄƒrilor de artÄƒ sÄƒ fie realizatÄƒ eficient, aÈ™a cum este prevÄƒzutÄƒ (definitÄƒ) în Regulamentul UE nr.1077/2012.</t>
  </si>
  <si>
    <t>RO-5881/2</t>
  </si>
  <si>
    <t>. Safety recommendations With reference to the accident happened on the 23rd December 2018, in the running of the passenger train no.1821, consisting in the derailment of the last three cars of the train, one found that the derailment was generated by the improper condition of some parts of the railway superstructure, affecting the track geometry. So, one found that the derailment happened following: ï‚§ unsuitable making of the unit â€žjointâ€, from km 34+993, on the track I of the running line between the railway stations BÄƒeÈ™ti and Subcetate, made during the intervention at the failure ( broken rail), recorded on the 10th December 2018 (13days before the accident), and lack of measures necessary for ensuring the safety of the railway traffic (decrease of the traffic speed on this track section unconsolidated); ï‚§ exceeding of the maximum value accepted for: - the lateral wears of the outside rail of the curve; - track twist, for the established running speed (65 km/h); - track gauge; at the accident site; ï‚§ keeping within the track of rails with transport capacity exceeded; ï‚§ keeping within the track of rails with failures and improper maintenance of the joints; ï‚§ non-performance of periodical technical inspections at the track on the 17th, 19th and 21st December 2018, on track sections including the accident site; Non-performance of the periodical technical inspections at the track, at the accident site, at the deadlines and periods of time (once every two days) established by the regulations in force, led to the non-identification of the dangers for the traffic safety. We point out that, before the publication of the Instruction for the establishment of deadlines and of the order of the track inspections no. 305/1997, the inspection of the running and direct lines from the railway stations provided with automatic section block (BLA) and of the secondary lines (with traffic under 1 million gross tonnage/year), were made daily, the risk that possible dangers about the technical condition of the railway superstructure/infrastructure not be identified being better kept under control. Considering the non-conformities about the technical condition of the railway infrastructure at the accident site, found during the investigation, as well as that the continuous surveillance of the railway superstructure and infrastructure is one of the main task of the staff in charge with the track maintenance, and the safety levels that have to be reached are expressed through risk acceptance criteria and defined like common safety objectives, the investigation commission considers necessary the issuing of the next safety recommendation: 1. Romanian Railway Safety Authority â€“ ASFR shall analyze with the public railway infrastructure administrator CNCFâ€žCFRâ€ SA the need and the opportunity to change the present regulation framework for the establishment of deadlines and order for the performance of the track inspections, as they are established by the Instruction no. 305/1997, as follows: - The provisions of art.1, Sheet no. 2 (Tasks of the ganger) be changed so the walk technical inspection of the running and direct lines from the railway stations provided with automatic section block (BLA),of the secondary lines, of the afferent switches, of the track beds and of the art works be performed efficiently, as it is stipulated (defined) in EU Regulations no.1077/2012.</t>
  </si>
  <si>
    <t>REC-000708</t>
  </si>
  <si>
    <t>RO-5885/1</t>
  </si>
  <si>
    <t>RecomandÄƒri de siguranÈ›Äƒ Accidentul feroviar produs la data de 29.12.2018 ora 10:05, în circulaÈ›ia ...</t>
  </si>
  <si>
    <t>RecomandÄƒri de siguranÈ›Äƒ Accidentul feroviar produs la data de 29.12.2018 ora 10:05, în circulaÈ›ia trenului de marfÄƒ nr.87937, manifestat prin deraierea primei osii a primului boghiu, în sens de mers, al locomotivei EA 816, cauzat de creÈ™terea raportului dintre forÈ›a conducÄƒtoare È™i sarcina ce acÈ›iona pe roÈ›ile acestei osii, depÄƒÈ™indu-se astfel limita de stabilitate la deraiere, s-a datorat: - suspendÄƒrii osiei nr.IV blocate, prin introducerea de cale (adaosuri metalice â€“ pinioane compresor) între cutiile de osie a acesteia È™i legÄƒturile de gardÄƒ, cât È™i introducerea de cale (adaosuri â€“ profile metalice) între rama boghiului nr.II È™i cutiile de osie, de pe ambele pÄƒrÈ›i, la osia nr.V pentru preluarea sarcinilor pe boghiul nr.II, în vederea deplasÄƒrii locomotivei la reparaÈ›ii; - stÄƒrii tehnice necorespunzÄƒtoare a locomotivei (cutie de osie supraîncÄƒlzitÄƒ , distrugerea arcurilor cu straturi din cauciuc de tip Metalastik de la aceasta È™i într-un final blocarea osiei), care trebuia È›inutÄƒ sub control prin verificÄƒri È™i lucrÄƒri specifice de mentenanÈ›Äƒ ce se executÄƒ cu ocazia reparaÈ›iilor planificate. În cursul acÈ›iunii de investigare s-a constatat faptul cÄƒ locomotiva EA 816 a fost menÈ›inutÄƒ în serviciu dupÄƒ atingerea normelor de timp/kilometri pentru efectuarea reparaÈ›iilor planificate, contrar prevederilor Ordinului MTI nr.1359/2012 pentru modificarea È™i completarea Normativului feroviar "Vehicule de cale feratÄƒ. Tipuri de revizii È™i reparaÈ›ii planificate. Normele de timp sau normele de ki-lometri parcurÈ™i pentru efectuarea reviziilor È™i reparaÈ›iilor planificate", aprobat prin Ordinul ministru-lui transporturilor si infrastructurii nr. 315/2011, ceea ce a constituit un factor care a contribuit la pro-ducerea accidentului feroviar. Având în vedere cauzele È™i factorii care au condus la producerea accidentului precum È™i faptul cÄƒ supravegherea operatorilor economici din sistemul de transport feroviar este atribuÈ›ia È™i rÄƒspunderea AutoritÄƒÈ›ii de SiguranÈ›Äƒ FeroviarÄƒ RomânÄƒ â€“ ASFR, comisia de investigare considerÄƒ necesarÄƒ emiterea urmÄƒtoarelor recomandÄƒri de siguranÈ›Äƒ: 1) Autoritatea de SiguranÈ›Äƒ FeroviarÄƒ RomânÄƒ â€“ ASFR va analiza împreunÄƒ cu operatorii de tran-sport feroviar È™i cu entitÄƒÅ£ile responsabile cu întreÅ£inerea locomotivelor electrice de tip LE posibilita-tea elaborÄƒrii unor prescripÈ›ii tehnice (specificaÈ›ii tehnice) care sÄƒ reglementeze, fÄƒrÄƒ echivoc, modul de lucru la remorcarea È™i deplasarea, cÄƒtre societÄƒÈ›ile reparatoare, a locomotivelor electrice care pre-zintÄƒ defectul â€žosie blocatÄƒâ€ cu ajutorul dispozitivului special de suspendare - Diplory, concomi-tent cu atestarea acestui dispozitiv special de suspendare conform Ordinului Ministrului Transporturi-lor Nr. 410/26.07.1999;</t>
  </si>
  <si>
    <t>RO-5885/2</t>
  </si>
  <si>
    <t>The railway accident happened on the 29th December 2018, at 10:05 oâ€™clock, in the running of the freight train no.87937, consisting in the derailment of the first axle from the first bogie, in the running direction, from the locomotive EA 816, generated by the increase of the ratio between the guiding force and the load acting on the wheels of this axle, exceeding in a such way the stability limit at derailment, was generated by: - suspension of the axle no. IV, blocked, introducing holds (metallic additions â€“ compressor pinions) between its axle boxes and the guard connections, and introducing holds (additions â€“ metallic profiles) between the frame of the bogie no.II and the axle boxes, from both sides, at the axle no.V for the load transfer on the bogie no.II, for the locomotives taking to repairs; - unsuitable technical condition of the locomotive (axle box overheated, destruction of the springs with rubber levels type Metalastik and finally the axle blocking), that had to be kept under control through checking and specific works of maintenance, that are performed during the planned repairs. During the investigation, one found that the locomotive EA 816 was kept in service after reach-ing the norms of time/km for the performance of planned repairs, against the provisions of Order of Minister of Transports and Infrastructure no.1359/2012 for the amendment of the Railway Norm "Railway vehicles, Types of planned inspections and repairs. Norms of time or of km run for the per-formance of planned inspections and repairs", approved by Order of Minister of Transports and Infra-structure no. 315/2011, it being a factor contributing to the accident occurrence. Considering the causes and factors that led to the accident occurrence, as well as the fact that the surveillance of the economic operators from the railway field is in charge of Romanian Railway Safety Authority â€“ ASFR, the investigation commission considers necessary to issue the next safety recommendations: 1) Romanian Railway Safety Authority â€“ ASFR shall analyze together with the railway undertak-ings and the entities in charge with the maintenance of the electric locomotives type LE the pos-sibility to issue some technical provisions (technical specifications) that regulate unequivocally the working way for hauling and moving to the repair companies the electric locomotives that have the failure â€žblocked axleâ€ with the special device rollbocks - Diplory, simultaneously with the certification of this special device according to the Minister of Transports Order no.410/26.07.1999</t>
  </si>
  <si>
    <t>REC-000710</t>
  </si>
  <si>
    <t>RO-5885/3</t>
  </si>
  <si>
    <t>RecomandÄƒri de siguranÈ›Äƒ Accidentul feroviar produs la data de 29.12.2018 ora 10:05, în circulaÈ›ia trenului de marfÄƒ nr.87937, manifestat prin deraierea primei osii a primului boghiu, în sens de mers, al locomotivei EA 816, cauzat de creÈ™terea raportului dintre forÈ›a conducÄƒtoare È™i sarcina ce acÈ›iona pe roÈ›ile acestei osii, depÄƒÈ™indu-se astfel limita de stabilitate la deraiere, s-a datorat: - suspendÄƒrii osiei nr.IV blocate, prin introducerea de cale (adaosuri metalice â€“ pinioane compresor) între cutiile de osie a acesteia È™i legÄƒturile de gardÄƒ, cât È™i introducerea de cale (adaosuri â€“ profile metalice) între rama boghiului nr.II È™i cutiile de osie, de pe ambele pÄƒrÈ›i, la osia nr.V pentru preluarea sarcinilor pe boghiul nr.II, în vederea deplasÄƒrii locomotivei la reparaÈ›ii; - stÄƒrii tehnice necorespunzÄƒtoare a locomotivei (cutie de osie supraîncÄƒlzitÄƒ , distrugerea arcurilor cu straturi din cauciuc de tip Metalastik de la aceasta È™i într-un final blocarea osiei), care trebuia È›inutÄƒ sub control prin verificÄƒri È™i lucrÄƒri specifice de mentenanÈ›Äƒ ce se executÄƒ cu ocazia reparaÈ›iilor planificate. În cursul acÈ›iunii de investigare s-a constatat faptul cÄƒ locomotiva EA 816 a fost menÈ›inutÄƒ în serviciu dupÄƒ atingerea normelor de timp/kilometri pentru efectuarea reparaÈ›iilor planificate, contrar prevederilor Ordinului MTI nr.1359/2012 pentru modificarea È™i completarea Normativului feroviar "Vehicule de cale feratÄƒ. Tipuri de revizii È™i reparaÈ›ii planificate. Normele de timp sau normele de ki-lometri parcurÈ™i pentru efectuarea reviziilor È™i reparaÈ›iilor planificate", aprobat prin Ordinul ministru-lui transporturilor si infrastructurii nr. 315/2011, ceea ce a constituit un factor care a contribuit la pro-ducerea accidentului feroviar. Având în vedere cauzele È™i factorii care au condus la producerea accidentului precum È™i faptul cÄƒ supravegherea operatorilor economici din sistemul de transport feroviar este atribuÈ›ia È™i rÄƒspunderea AutoritÄƒÈ›ii de SiguranÈ›Äƒ FeroviarÄƒ RomânÄƒ â€“ ASFR, comisia de investigare considerÄƒ necesarÄƒ emiterea urmÄƒtoarelor recomandÄƒri de siguranÈ›Äƒ: 2) Autoritatea de SiguranÈ›Äƒ FeroviarÄƒ RomânÄƒ â€“ ASFR se va asigura cÄƒ entitÄƒÅ£ile responsabile cu întreÅ£inerea locomotivelor electrice de tip LE îÅŸi vor revizui procedurile/specificaÈ›iile tehnice, ce con-stituie documente de referinÈ›Äƒ pentru funcÅ£ia de efectuare a întreÈ›inerii, pentru a identifica soluÈ›ii care sÄƒ acopere riscurile generate de blocarea osiilor la locomotivele electrice.</t>
  </si>
  <si>
    <t>RO-5885/4</t>
  </si>
  <si>
    <t>The railway accident happened on the 29th December 2018, at 10:05 oâ€™clock, in the running of the freight train no.87937, consisting in the derailment of the first axle from the first bogie, in the running direction, from the locomotive EA 816, generated by the increase of the ratio between the guiding force and the load acting on the wheels of this axle, exceeding in a such way the stability limit at derailment, was generated by: - suspension of the axle no. IV, blocked, introducing holds (metallic additions â€“ compressor pinions) between its axle boxes and the guard connections, and introducing holds (additions â€“ metallic profiles) between the frame of the bogie no.II and the axle boxes, from both sides, at the axle no.V for the load transfer on the bogie no.II, for the locomotives taking to repairs; - unsuitable technical condition of the locomotive (axle box overheated, destruction of the springs with rubber levels type Metalastik and finally the axle blocking), that had to be kept under control through checking and specific works of maintenance, that are performed during the planned repairs. During the investigation, one found that the locomotive EA 816 was kept in service after reach-ing the norms of time/km for the performance of planned repairs, against the provisions of Order of Minister of Transports and Infrastructure no.1359/2012 for the amendment of the Railway Norm "Railway vehicles, Types of planned inspections and repairs. Norms of time or of km run for the per-formance of planned inspections and repairs", approved by Order of Minister of Transports and Infra-structure no. 315/2011, it being a factor contributing to the accident occurrence. Considering the causes and factors that led to the accident occurrence, as well as the fact that the surveillance of the economic operators from the railway field is in charge of Romanian Railway Safety Authority â€“ ASFR, the investigation commission considers necessary to issue the next safety recommendations: 2) Romanian Railway Safety Authority â€“ ASFR shall take care that the entities in charge with the maintenance of the electric locomotives type LE revise the procedures/technical specifications, that are the reference documents for the maintenance, in order to identify solutions that cover the risks generated by the blocking of the axles at the electric locomotives.</t>
  </si>
  <si>
    <t>REC-000713</t>
  </si>
  <si>
    <t>RO-5885/5</t>
  </si>
  <si>
    <t>RecomandÄƒri de siguranÈ›Äƒ Accidentul feroviar produs la data de 29.12.2018 ora 10:05, în circulaÈ›ia trenului de marfÄƒ nr.87937, manifestat prin deraierea primei osii a primului boghiu, în sens de mers, al locomotivei EA 816, cauzat de creÈ™terea raportului dintre forÈ›a conducÄƒtoare È™i sarcina ce acÈ›iona pe roÈ›ile acestei osii, depÄƒÈ™indu-se astfel limita de stabilitate la deraiere, s-a datorat: - suspendÄƒrii osiei nr.IV blocate, prin introducerea de cale (adaosuri metalice â€“ pinioane compresor) între cutiile de osie a acesteia È™i legÄƒturile de gardÄƒ, cât È™i introducerea de cale (adaosuri â€“ profile metalice) între rama boghiului nr.II È™i cutiile de osie, de pe ambele pÄƒrÈ›i, la osia nr.V pentru preluarea sarcinilor pe boghiul nr.II, în vederea deplasÄƒrii locomotivei la reparaÈ›ii; - stÄƒrii tehnice necorespunzÄƒtoare a locomotivei (cutie de osie supraîncÄƒlzitÄƒ , distrugerea arcurilor cu straturi din cauciuc de tip Metalastik de la aceasta È™i într-un final blocarea osiei), care trebuia È›inutÄƒ sub control prin verificÄƒri È™i lucrÄƒri specifice de mentenanÈ›Äƒ ce se executÄƒ cu ocazia reparaÈ›iilor planificate. În cursul acÈ›iunii de investigare s-a constatat faptul cÄƒ locomotiva EA 816 a fost menÈ›inutÄƒ în serviciu dupÄƒ atingerea normelor de timp/kilometri pentru efectuarea reparaÈ›iilor planificate, contrar prevederilor Ordinului MTI nr.1359/2012 pentru modificarea È™i completarea Normativului feroviar "Vehicule de cale feratÄƒ. Tipuri de revizii È™i reparaÈ›ii planificate. Normele de timp sau normele de ki-lometri parcurÈ™i pentru efectuarea reviziilor È™i reparaÈ›iilor planificate", aprobat prin Ordinul ministru-lui transporturilor si infrastructurii nr. 315/2011, ceea ce a constituit un factor care a contribuit la pro-ducerea accidentului feroviar. Având în vedere cauzele È™i factorii care au condus la producerea accidentului precum È™i faptul cÄƒ supravegherea operatorilor economici din sistemul de transport feroviar este atribuÈ›ia È™i rÄƒspunderea AutoritÄƒÈ›ii de SiguranÈ›Äƒ FeroviarÄƒ RomânÄƒ â€“ ASFR, comisia de investigare considerÄƒ necesarÄƒ emiterea urmÄƒtoarelor recomandÄƒri de siguranÈ›Äƒ: . 3) Autoritatea de SiguranÈ›Äƒ FeroviarÄƒ RomânÄƒ â€“ ASFR, prin acÈ›iuni specifice, se va asigura cÄƒ sunt respectate de cÄƒtre operatorii de transport feroviar È™i entitÄƒÅ£ile responsabile cu întreÅ£inerea locomotive-lor, prevederile legislative È™i/sau prevederile din instrucÈ›iunile de specialitate în vigoare (Ordinul mi-nistrului transporturilor si infrastructurii nr. 315/2011din 4 mai 2011 privind aprobarea Normativului feroviar "Vehicule de cale feratÄƒ. Tipuri de revizii ÅŸi reparaÅ£ii planificate. Normele de timp sau norme-le de kilometri parcurÈ™i pentru efectuarea reviziilor ÅŸi reparaÈ›iilor planificate"), referitoare la starea tehnicÄƒ a vehiculelor feroviare utilizate de cÄƒtre operatorii de transport feroviar.</t>
  </si>
  <si>
    <t>RO-5885/6</t>
  </si>
  <si>
    <t>The railway accident happened on the 29th December 2018, at 10:05 oâ€™clock, in the running of the freight train no.87937, consisting in the derailment of the first axle from the first bogie, in the running direction, from the locomotive EA 816, generated by the increase of the ratio between the guiding force and the load acting on the wheels of this axle, exceeding in a such way the stability limit at derailment, was generated by: - suspension of the axle no. IV, blocked, introducing holds (metallic additions â€“ compressor pinions) between its axle boxes and the guard connections, and introducing holds (additions â€“ metallic profiles) between the frame of the bogie no.II and the axle boxes, from both sides, at the axle no.V for the load transfer on the bogie no.II, for the locomotives taking to repairs; - unsuitable technical condition of the locomotive (axle box overheated, destruction of the springs with rubber levels type Metalastik and finally the axle blocking), that had to be kept under control through checking and specific works of maintenance, that are performed during the planned repairs. During the investigation, one found that the locomotive EA 816 was kept in service after reach-ing the norms of time/km for the performance of planned repairs, against the provisions of Order of Minister of Transports and Infrastructure no.1359/2012 for the amendment of the Railway Norm "Railway vehicles, Types of planned inspections and repairs. Norms of time or of km run for the per-formance of planned inspections and repairs", approved by Order of Minister of Transports and Infra-structure no. 315/2011, it being a factor contributing to the accident occurrence. Considering the causes and factors that led to the accident occurrence, as well as the fact that the surveillance of the economic operators from the railway field is in charge of Romanian Railway Safety Authority â€“ ASFR, the investigation commission considers necessary to issue the next safety recommendations: 3) Romanian Railway Safety Authority â€“ ASFR, through specific actions, shall be sure that the le-gal provisions and/or the provisions of the specialized instructions in force are met by the rail-way undertakings and the entities in charge with the locomotive maintenance (Order of Minister of Transports and Infrastructure no. 315/2011 from the 4rh May 2011 for the approval of the Railway Norm "Railway vehicles, Types of planned inspections and repairs. Norms of time or of km run for the performance of planned inspections and repairs"), concerning the technical condition of the railway vehicles used by the railway undertakings.</t>
  </si>
  <si>
    <t>RO-5892/1</t>
  </si>
  <si>
    <t>La data de 10.01.2019, ora 03:25, pe raza de activitate a Sucursalei Regionale CF ConstanÅ£a, secÅ£ia ...</t>
  </si>
  <si>
    <t>La data de 10.01.2019, ora 03:25, pe raza de activitate a Sucursalei Regionale CF ConstanÅ£a, secÅ£ia de circulaÅ£ie BucureÅŸti Nord â€“ ConstanÅ£a (linie dublÄƒ, electrificatÄƒ), în staÅ£ia CFR CernavodÄƒ Pod, pe linia IV directÄƒ, în circulaÅ£ia trenulului de marfÄƒ nr.80680 (aparÅ£inând operatorului de transport feroviar de marfÄƒ SC GFR SA), s-a produs un incendiu în sala maÅŸinilor la locomotiva DA 727 care a asigurat remorcarea trenului. În urma investigaÈ›iei desfÄƒÈ™urate comisia de investigare a stabilit cÄƒ producerea accidentului feroviar a avut drept factor supraîncÄƒlzirea pistoanelor nr.5 ÅŸi 11 ca urmare a depunerilor de calcar provenite de la lichidul de rÄƒcire al motorului diesel. Având în vedere cele prezentate, comisia de investigare recomandÄƒ AutoritÄƒÈ›ii de SiguranÈ›Äƒ FeroviarÄƒ RomânÄƒ â€“ ASFR sÄƒ solicite operatorului de transport feroviar de marfÄƒ SC GFR SA analizarea oportunitÄƒÅ£ii revizuirii modului prin care este asiguratÄƒ È›inerea sub control a parametrilor lichidului de rÄƒcire a locomotivelor dotate cu motoare diesel.</t>
  </si>
  <si>
    <t>RO-5892/2</t>
  </si>
  <si>
    <t>Safety recommendations On the 10th January 2019, at 03:25 oâ€™clock, in the railway county ConstanÅ£a, track section BucureÅŸti Nord â€“ ConstanÅ£a (electrified double-track line), in the railway station CernavodÄƒ Pod, on the direct line IV, in the running of the freight train no.80680 (got by the railway freight undertaking SC GFR SA), a fire burst into the engine room of the hauling locomotive DA 727 Following the investigation, the commission established that the occurred accident has as factor the overheating of the pistons no.5 and 11, following the limestones deposits resulted from the cooling liquid of the diesel engine. Taking into account these above mentioned, the investigation commission recommends Romanian Railway Safety Authority â€“ ASFR shall request the railway freight undertaking SC GFR SA to analyze the opportunity of revision of the way to keep under control the parameters of the cooling liquid at the locomotives provided with diesel engines.</t>
  </si>
  <si>
    <t>REC-000714</t>
  </si>
  <si>
    <t>RO-5893/1</t>
  </si>
  <si>
    <t>În cursul acÈ›iunii desfÄƒÈ™urate, comisia de investigare a constatat faptul cÄƒ managementul administratorului de infrastructurÄƒ la nivel central È™i regional nu a identificat, È™i nu au gestionat riscurile generate de: â€¢ lipsa de reglementare a modului de închidere a barierei în caz de deranjament; â€¢ existenÈ›a a 2 moduri de concepere a schemelor electrice privind deschiderea forÈ›atÄƒ a barierei cu ajutorul comenzii TCAF (telecomandÄƒ anulare funcÈ›ionare) (pentru instalaÈ›iile SAT din linie curentÄƒ la acÈ›ionarea comenzii TCAF focul alb de la semnalizarea rutierÄƒ este stins iar pentru instalaÈ›iile SAT din staÈ›ie la acÈ›ionarea comenzii TCAF focul alb de la semnalizarea rutierÄƒ este aprins È™i arde intermitent); pentru a putea dispune în consecinÈ›Äƒ soluÈ›ii È™i mÄƒsuri viabile în vederea È›inerii sub control a pericolelor È™i riscurilor asociate generate de acestea. În aceste condiÈ›ii, comisia de investigare recomandÄƒ AutoritÄƒÈ›ii de SiguranÈ›Äƒ FeroviarÄƒ RomânÄƒ ASFR sÄƒ solicite CNCF â€žCFRâ€ SA urmÄƒtoarele: 1. sÄƒ efectueze o analizÄƒ de risc referitoare la pericolul reprezentat de lipsa reglementÄƒrilor în caz de deranjament la instalaÈ›iile SAT /BAT din linie curentÄƒ sau staÈ›ie È™i sÄƒ dispunÄƒ în consecinÈ›Äƒ soluÈ›ii È™i mÄƒsuri viabile în vederea È›inerii sub control a pericolelor È™i riscurilor asociate generate de acestea;</t>
  </si>
  <si>
    <t>RO-5893/2</t>
  </si>
  <si>
    <t>During the investigation, the commission found that the management of the infrastructure administrator, at regional and central level, did neither identify nor manage the risks generated by: â€¢ lack of regulations of the barrier closing in case of failure; â€¢ existing of 2 designing ways of the electric schemes for the barrier opening, different from the normal one (forced opening), with the command TCAF (button for the working cancelling) (for the equipments SAT of the running lines in case of application the command TCAF the white light from the road signalling is closed, and for the equipments SAT from the railway station in case of application the command TCAF the white light from the road signalling is open and flashing); in order to be able to dispose consequently viable solutions and measures for keeping under control the dangers and associated risks generated by these. In these conditions, the investigation commission recommends Romanian Railway Safety Authority ASFR to request CNCF â€žCFRâ€ SA: 1. the performance of a risk analysis regarding the danger represented by the lack of regulations for the failures at the equipments SAT /BAT from the running lines or railway station and disposing consequently viable solutions and measures for keeping under control the dangers and associated risks generated by these;</t>
  </si>
  <si>
    <t>REC-000718</t>
  </si>
  <si>
    <t>RO-5893/3</t>
  </si>
  <si>
    <t>În cursul acÈ›iunii desfÄƒÈ™urate, comisia de investigare a constatat faptul cÄƒ managementul administratorului de infrastructurÄƒ la nivel central È™i regional nu a identificat, È™i nu au gestionat riscurile generate de: â€¢ lipsa de reglementare a modului de închidere a barierei în caz de deranjament; â€¢ existenÈ›a a 2 moduri de concepere a schemelor electrice privind deschiderea forÈ›atÄƒ a barierei cu ajutorul comenzii TCAF (telecomandÄƒ anulare funcÈ›ionare) (pentru instalaÈ›iile SAT din linie curentÄƒ la acÈ›ionarea comenzii TCAF focul alb de la semnalizarea rutierÄƒ este stins iar pentru instalaÈ›iile SAT din staÈ›ie la acÈ›ionarea comenzii TCAF focul alb de la semnalizarea rutierÄƒ este aprins È™i arde intermitent); pentru a putea dispune în consecinÈ›Äƒ soluÈ›ii È™i mÄƒsuri viabile în vederea È›inerii sub control a pericolelor È™i riscurilor asociate generate de acestea. În aceste condiÈ›ii, comisia de investigare recomandÄƒ AutoritÄƒÈ›ii de SiguranÈ›Äƒ FeroviarÄƒ RomânÄƒ ASFR sÄƒ solicite CNCF â€žCFRâ€ SA urmÄƒtoarele: 2. sÄƒ efectueze o analizÄƒ de risc referitoare la pericolul reprezentat de neuniformizarea schemelor de la instalaÈ›iile SAT/BAT din staÈ›ie È™i din linie curentÄƒ È™i sÄƒ dispunÄƒ în consecinÈ›Äƒ soluÈ›ii È™i mÄƒsuri viabile în vederea È›inerii sub control a pericolelor È™i riscurilor asociate generate de acestea.</t>
  </si>
  <si>
    <t>RO-5893/4</t>
  </si>
  <si>
    <t>During the investigation, the commission found that the management of the infrastructure administrator, at regional and central level, did neither identify nor manage the risks generated by: â€¢ lack of regulations of the barrier closing in case of failure; â€¢ existing of 2 designing ways of the electric schemes for the barrier opening, different from the normal one (forced opening), with the command TCAF (button for the working cancelling) (for the equipments SAT of the running lines in case of application the command TCAF the white light from the road signalling is closed, and for the equipments SAT from the railway station in case of application the command TCAF the white light from the road signalling is open and flashing); in order to be able to dispose consequently viable solutions and measures for keeping under control the dangers and associated risks generated by these. In these conditions, the investigation commission recommends Romanian Railway Safety Authority ASFR to request CNCF â€žCFRâ€ SA: 2. the performance of a risk analysis regarding the danger represented by the non-standardizing of the schemes of the equipments SAT/BAT of the railway station and from the running line and disposing consequently viable solutions and measures for keeping under control the dangers and associated risks generated by these.</t>
  </si>
  <si>
    <t>RO-5896/1</t>
  </si>
  <si>
    <t>Deraierea automotorului ADH 1420, din compunerea trenului de cÄƒlÄƒtori nr.4456, s-a produs pe fondul ...</t>
  </si>
  <si>
    <t>Deraierea automotorului ADH 1420, din compunerea trenului de cÄƒlÄƒtori nr.4456, s-a produs pe fondul mentenanÈ›ei necorespunzÄƒtoare atât a automotorului, cât ÅŸi a infrastructurii feroviare. AceastÄƒ deraiere s-a produs pe fondul existenÈ›ei unor defecte la pernele de aer pe o rampÄƒ a supraînÄƒlÈ›Äƒrii de 1:96. TotodatÄƒ s-a constatat faptul cÄƒ, personalul de exploatare este lipsit de informaÈ›ii complete, coerente È™i uÈ™or de înÈ›eles, privind liniile pe care este admisÄƒ verificarea înÄƒlÈ›imii pernelor de aer, privind modul de circulaÈ›ie când pernele de aer sunt reglate peste cotele nominale admise È™i privind atribuÈ›iunile referitoare la reglajul/ajustarea înÄƒlÈ›imii pernelor de aer. Comisia de investigare a constatat lipsa unor prevederi explicite din procedurile SMS ale operatorului de transport, care sÄƒ distribuÈ›ie responsabilitÄƒÈ›i cÄƒtre personalul propriu în ceea ce priveÈ™te cerinÈ›ele de siguranÈ›Äƒ relevante: (a) de identificare a acestor cerinÈ›e È™i de actualizare a procedurilor relevante pentru a reflecta schimbÄƒrile care le sunt aduse (managementul controlului schimbÄƒrilor); (b) de implementare a acestor cerinÈ›e; (c) de monitorizare a respectÄƒrii lor; (d) pentru luarea de mÄƒsuri în cazul în care se observÄƒ nerespectarea acestor cerinÈ›e. TotodatÄƒ, comisia de investigare a constatat lipsa unor prevederi explicite în interiorul procedurilor din cadrul SMS ale operatorului de transport, privind distribuÈ›ia responsabilitÄƒÈ›ilor cÄƒtre personalul propriu, pentru a garanta cÄƒ se utilizeazÄƒ documentele specifice adecvate pentru exploatarea automotorului ADH11, nefiind astfel îndeplinitÄƒ în totalitate cerinÈ›a L.2 din Regulamentul 1158/2010. Astfel, nu este garantatÄƒ nominalizarea liniilor pe care este admisÄƒ verificarea È™i reglajul pernelor de aer, indicarea periodicitÄƒÈ›ii cu care se face verificarea È™i reglajul înÄƒlÈ›imii pernelor de aer, indicarea dotÄƒrii tehnice È™i a documentelor pentru asigurarea trasabilitÄƒÈ›ii operaÈ›iunilor. Comisia de investigare a constatat lipsa unor prevederi explicite în interiorul procedurilor din cadrul SMS, privind distribuÈ›ia responsabilitÄƒÈ›ilor cÄƒtre personalul propriu, pentru a garanta cÄƒ informaÈ›iile pertinente sunt precise, complete, coerente, uÈ™or de înÈ›eles, actualizate în mod adecvat È™i documentate în mod corespunzÄƒtor nefiind astfel îndeplinitÄƒ în totalitate cerinÈ›a P.1 din Regulamentul 1158/2010. Astfel, nu a fost garantatÄƒ actualizarea ÎndrumÄƒtorului mecanicului pentru exploatarea automotoarelor tip ADH 11 È™i completarea acestuia cu informaÈ›ii precise, complete, coerente È™i uÈ™or de înÈ›eles privitoare la situaÈ›ia în care înÄƒlÈ›imea pernelor de aer este peste cotele nominale È™i modul în care se poate face circulaÈ›ia în acest caz, privitoare la situaÈ›ia în care verificarea înÄƒlÈ›imii pernelor de aer este fÄƒcutÄƒ pe o linie care nu îndeplineÈ™te condiÈ›iile privind declivitatea È™i supraînÄƒlÈ›area È™i privitoare la personalul care trebuie sÄƒ facÄƒ operaÈ›iunea de reglaj a înÄƒlÈ›imii pernelor de aer; Comisia de investigare a constatat insuficienÈ›e în SpecificaÅ£ia TehnicÄƒ ST 28/2011, privind verificarea/reglarea jocurilor mecanice a înÄƒlÈ›imilor pernelor de aer È™i a sarcinilor pe roÈ›i, întrucât operaÈ›iunile menÈ›ionate sunt efectuate ori foarte rar, ori deloc. În acest sens, nu sunt È›inuÈ›i adecvat sub control parametrii tehnici care influenÈ›eazÄƒ transferuri de sarcini între roÈ›ile automotorului, care pot avea consecinÈ›Äƒ depÄƒÈ™irea limitei de stabilitate la deraiere. MenÈ›ionÄƒm cÄƒ funcÈ›ionarea necorespunzÄƒtoare a pernelor de aer a constituit cauza într-o deraiere similarÄƒ în cazul automotorului ADH 1421, produsÄƒ la data de 28.02.2017, între staÈ›ia CFR Halmeu È™i Hm PorumbeÈ™ti, în circulaÈ›ia trenului de cÄƒlÄƒtori nr.4408. Acest tip de automotor a fost implicat È™i în accidentul feroviar de la data de 16.05.2015, între haltele de miÈ™care LoamneÈ™ È™i Ocna Sibiului, în circulaÈ›ia trenului de cÄƒlÄƒtori nr.2568. Având în vedere aspectele prezentate, pentru reducerea riscurilor de producere a unor accidente feroviare similare, comisia de investigare recomandÄƒ AutoritÄƒÈ›ii de SiguranÈ›Äƒ FeroviarÄƒ RomânÄƒ â€“ ASFR: Recomandarea de siguranÈ›Äƒ nr.1 SÄƒ solicite operatorului de transport, revizuirea procedurilor din cadrul SMS care trebuie sÄƒ rÄƒspundÄƒ cerinÈ›ei L.1 din Regulamentul 1158/2010, prin completarea cu prevederi explicite care sÄƒ distribuie responsabilitÄƒÈ›i cÄƒtre personalul propriu, pentru a garanta cÄƒ se vor face activitÄƒÈ›ile privind identificarea rapidÄƒ, colectarea, listarea, implementarea È™i monitorizarea cerinÅ£elor relevante de siguranÈ›Äƒ pentru fiecare tip de material rulant ;</t>
  </si>
  <si>
    <t>RO-5896/2</t>
  </si>
  <si>
    <t>The derailment of the diesel multiple unit ADH 1420, composing the passenger train no.4456, happened following the unsuitable maintenance both of the diesel multiple unit and of the railway infrastructure. This derailment happened following the existence of some failures at the air cushions on a overcant gradient of 1:96. One also found out that, the operation staff had no complete, coherent and easy to understand information about the lines on which the checking of the height of the air cushions is accepted, regarding the running way when the air cushions are adjusted over the accepted nominal quotas and regarding the tasks of adjustment/setting of the air cushion height. The investigation commission found the lack of some clear provisions in the procedures of the SMS of the railway undertaking, that assign the responsibilities for its own staff regarding the relevant safety requirements: (a) identifying these requirements and updating relevant procedures to reflect changes made to them (change control management); (b) implementing them; (c) monitoring compliance with them; (d) taking actions when non-compliance is identified. The investigation commission also found the lack of some clear provisions in the procedures of the SMS of the railway undertaking, regarding the establishment of the responsibilities for its own staff, in order to guarantee the use of the specific documents suitable for the operation of the diesel multiple unit ADH11,the requirement L.2 from the Regulations 1158/2010 not being completely met with. So, there is no guarantee of the indication of the lines on which the checking and the adjustment of the air cushions are accepted, mentioning of the periodicity of checking and adjustment of the height of the air cushions, indicating the technical endowment and the documents in order to ensure the operation tracking. The investigation commission found the lack of some clear provisions in the SMS procedures for the establishment of the responsibilities for its own staff, in order to guarantee that the pertinent information are accurate, complete, coherent, easy to understand, updated properly and documented suitably, so not being met completely the requirement P.1 from the Regulations 1158/2010. So, one did not guarantee the updating of the Guide of driver for the operation of the multiple unit type ADH 11 and its supplement with accurate, coherent and easy understand information, regarding the situation where the height of the air cushions is over the nominal quotas and the possibility of running in this case, regarding the situation where the checking of the height of the air cushions is made on a line meeting with the conditions for the slope and overcant and regarding the staff that has to perform the adjustment of the air cushions; The investigation commission found failures in the Technical Specification ST 28/2011, concerning the checking/adjustment of the mechanical clearances from the air cushion height and the wheel loads, because these operations are performed either very seldom, or not at all. So, the technical parameters, that influence the load transfers between the diesel multiple unit wheels, are not properly kept under control, that could lead to the exceeding of the derailment stability limit. We underline that the unsuitable working of the air cushion was the cause for the similar derailment of the diesel multiple unit ADH 1421, happened on the 28th February 2017, between Halmeu and PorumbeÈ™ti railway stations, in the running of the passenger train no.4408. This type of diesel multiple unit was involved in the railway accident happened on the 16th May 2015, between LoamneÈ™ and Ocna Sibiului railway stations, in the running of the passenger train no.2568. Considering these above mentioned, in order to reduce the risks of some similar accidents, the investigation commission recommends Romanian Railway Safety Authority â€“ ASFR: Safety recommendation no.1 To request the railway undertaking the revision of the SMS procedures that have to meet with the requirement L1 from the Regulations 1158/2010, adding clear provisions that establish the responsibilities for its own staff, in order to guarantee the performance of the activities for the quick identification, collection, listing, implementation and monitoring of the relevant safety requirements for each type of rolling stock;</t>
  </si>
  <si>
    <t>RO-5896/3</t>
  </si>
  <si>
    <t>C. RecomandÄƒri de siguranÈ›Äƒ Deraierea automotorului ADH 1420, din compunerea trenului de cÄƒlÄƒtori ...</t>
  </si>
  <si>
    <t>C. RecomandÄƒri de siguranÈ›Äƒ Deraierea automotorului ADH 1420, din compunerea trenului de cÄƒlÄƒtori nr.4456, s-a produs pe fondul mentenanÈ›ei necorespunzÄƒtoare atât a automotorului, cât ÅŸi a infrastructurii feroviare. AceastÄƒ deraiere s-a produs pe fondul existenÈ›ei unor defecte la pernele de aer pe o rampÄƒ a supraînÄƒlÈ›Äƒrii de 1:96. TotodatÄƒ s-a constatat faptul cÄƒ, personalul de exploatare este lipsit de informaÈ›ii complete, coerente È™i uÈ™or de înÈ›eles, privind liniile pe care este admisÄƒ verificarea înÄƒlÈ›imii pernelor de aer, privind modul de circulaÈ›ie când pernele de aer sunt reglate peste cotele nominale admise È™i privind atribuÈ›iunile referitoare la reglajul/ajustarea înÄƒlÈ›imii pernelor de aer. Comisia de investigare a constatat lipsa unor prevederi explicite din procedurile SMS ale operatorului de transport, care sÄƒ distribuÈ›ie responsabilitÄƒÈ›i cÄƒtre personalul propriu în ceea ce priveÈ™te cerinÈ›ele de siguranÈ›Äƒ relevante: (a) de identificare a acestor cerinÈ›e È™i de actualizare a procedurilor relevante pentru a reflecta schimbÄƒrile care le sunt aduse (managementul controlului schimbÄƒrilor); (b) de implementare a acestor cerinÈ›e; (c) de monitorizare a respectÄƒrii lor; (d) pentru luarea de mÄƒsuri în cazul în care se observÄƒ nerespectarea acestor cerinÈ›e. TotodatÄƒ, comisia de investigare a constatat lipsa unor prevederi explicite în interiorul procedurilor din cadrul SMS ale operatorului de transport, privind distribuÈ›ia responsabilitÄƒÈ›ilor cÄƒtre personalul propriu, pentru a garanta cÄƒ se utilizeazÄƒ documentele specifice adecvate pentru exploatarea automotorului ADH11, nefiind astfel îndeplinitÄƒ în totalitate cerinÈ›a L.2 din Regulamentul 1158/2010. Astfel, nu este garantatÄƒ nominalizarea liniilor pe care este admisÄƒ verificarea È™i reglajul pernelor de aer, indicarea periodicitÄƒÈ›ii cu care se face verificarea È™i reglajul înÄƒlÈ›imii pernelor de aer, indicarea dotÄƒrii tehnice È™i a documentelor pentru asigurarea trasabilitÄƒÈ›ii operaÈ›iunilor. Comisia de investigare a constatat lipsa unor prevederi explicite în interiorul procedurilor din cadrul SMS, privind distribuÈ›ia responsabilitÄƒÈ›ilor cÄƒtre personalul propriu, pentru a garanta cÄƒ informaÈ›iile pertinente sunt precise, complete, coerente, uÈ™or de înÈ›eles, actualizate în mod adecvat È™i documentate în mod corespunzÄƒtor nefiind astfel îndeplinitÄƒ în totalitate cerinÈ›a P.1 din Regulamentul 1158/2010. Astfel, nu a fost garantatÄƒ actualizarea ÎndrumÄƒtorului mecanicului pentru exploatarea automotoarelor tip ADH 11 È™i completarea acestuia cu informaÈ›ii precise, complete, coerente È™i uÈ™or de înÈ›eles privitoare la situaÈ›ia în care înÄƒlÈ›imea pernelor de aer este peste cotele nominale È™i modul în care se poate face circulaÈ›ia în acest caz, privitoare la situaÈ›ia în care verificarea înÄƒlÈ›imii pernelor de aer este fÄƒcutÄƒ pe o linie care nu îndeplineÈ™te condiÈ›iile privind declivitatea È™i supraînÄƒlÈ›area È™i privitoare la personalul care trebuie sÄƒ facÄƒ operaÈ›iunea de reglaj a înÄƒlÈ›imii pernelor de aer; Comisia de investigare a constatat insuficienÈ›e în SpecificaÅ£ia TehnicÄƒ ST 28/2011, privind verificarea/reglarea jocurilor mecanice a înÄƒlÈ›imilor pernelor de aer È™i a sarcinilor pe roÈ›i, întrucât operaÈ›iunile menÈ›ionate sunt efectuate ori foarte rar, ori deloc. În acest sens, nu sunt È›inuÈ›i adecvat sub control parametrii tehnici care influenÈ›eazÄƒ transferuri de sarcini între roÈ›ile automotorului, care pot avea consecinÈ›Äƒ depÄƒÈ™irea limitei de stabilitate la deraiere. MenÈ›ionÄƒm cÄƒ funcÈ›ionarea necorespunzÄƒtoare a pernelor de aer a constituit cauza într-o deraiere similarÄƒ în cazul automotorului ADH 1421, produsÄƒ la data de 28.02.2017, între staÈ›ia CFR Halmeu È™i Hm PorumbeÈ™ti, în circulaÈ›ia trenului de cÄƒlÄƒtori nr.4408. Acest tip de automotor a fost implicat È™i în accidentul feroviar de la data de 16.05.2015, între haltele de miÈ™care LoamneÈ™ È™i Ocna Sibiului, în circulaÈ›ia trenului de cÄƒlÄƒtori nr.2568. Având în vedere aspectele prezentate, pentru reducerea riscurilor de producere a unor accidente feroviare similare, comisia de investigare recomandÄƒ AutoritÄƒÈ›ii de SiguranÈ›Äƒ FeroviarÄƒ RomânÄƒ â€“ ASFR: Recomandarea de siguranÈ›Äƒ nr.2 SÄƒ solicite operatorului de transport, revizuirea procedurilor din cadrul SMS care trebuie sÄƒ rÄƒspundÄƒ cerinÈ›ei L.2 din Regulamentul 1158/2010 prin completarea cu prevederi explicite care sÄƒ distribuie responsabilitÄƒÈ›i cÄƒtre personalul propriu, pentru a garanta cÄƒ se vor face activitÄƒÈ›ile privind identificarea/întocmirea È™i utilizarea documentelor specifice adecvate pentru fiecare tip de material rulant ;</t>
  </si>
  <si>
    <t>RO-5896/4</t>
  </si>
  <si>
    <t>The derailment of the diesel multiple unit ADH 1420, composing the passenger train no.4456, happened following the unsuitable maintenance both of the diesel multiple unit and of the railway infrastructure. This derailment happened following the existence of some failures at the air cushions on a overcant gradient of 1:96. One also found out that, the operation staff had no complete, coherent and easy to understand information about the lines on which the checking of the height of the air cushions is accepted, regarding the running way when the air cushions are adjusted over the accepted nominal quotas and regarding the tasks of adjustment/setting of the air cushion height. The investigation commission found the lack of some clear provisions in the procedures of the SMS of the railway undertaking, that assign the responsibilities for its own staff regarding the relevant safety requirements: (a) identifying these requirements and updating relevant procedures to reflect changes made to them (change control management); (b) implementing them; (c) monitoring compliance with them; (d) taking actions when non-compliance is identified. The investigation commission also found the lack of some clear provisions in the procedures of the SMS of the railway undertaking, regarding the establishment of the responsibilities for its own staff, in order to guarantee the use of the specific documents suitable for the operation of the diesel multiple unit ADH11,the requirement L.2 from the Regulations 1158/2010 not being completely met with. So, there is no guarantee of the indication of the lines on which the checking and the adjustment of the air cushions are accepted, mentioning of the periodicity of checking and adjustment of the height of the air cushions, indicating the technical endowment and the documents in order to ensure the operation tracking. The investigation commission found the lack of some clear provisions in the SMS procedures for the establishment of the responsibilities for its own staff, in order to guarantee that the pertinent information are accurate, complete, coherent, easy to understand, updated properly and documented suitably, so not being met completely the requirement P.1 from the Regulations 1158/2010. So, one did not guarantee the updating of the Guide of driver for the operation of the multiple unit type ADH 11 and its supplement with accurate, coherent and easy understand information, regarding the situation where the height of the air cushions is over the nominal quotas and the possibility of running in this case, regarding the situation where the checking of the height of the air cushions is made on a line meeting with the conditions for the slope and overcant and regarding the staff that has to perform the adjustment of the air cushions; The investigation commission found failures in the Technical Specification ST 28/2011, concerning the checking/adjustment of the mechanical clearances from the air cushion height and the wheel loads, because these operations are performed either very seldom, or not at all. So, the technical parameters, that influence the load transfers between the diesel multiple unit wheels, are not properly kept under control, that could lead to the exceeding of the derailment stability limit. We underline that the unsuitable working of the air cushion was the cause for the similar derailment of the diesel multiple unit ADH 1421, happened on the 28th February 2017, between Halmeu and PorumbeÈ™ti railway stations, in the running of the passenger train no.4408. This type of diesel multiple unit was involved in the railway accident happened on the 16th May 2015, between LoamneÈ™ and Ocna Sibiului railway stations, in the running of the passenger train no.2568. Considering these above mentioned, in order to reduce the risks of some similar accidents, the investigation commission recommends Romanian Railway Safety Authority â€“ ASFR: Safety recommendation no.2 To request the railway undertaking the revision of the SMS procedures that have to meet with the requirement L.2 from the Regulations 1158/2010, adding clear provisions that establish the responsibilities for its own staff, in order to guarantee the performance of the activities for the identification/drafting and use of the suitable specific documents for each type of rolling stock;</t>
  </si>
  <si>
    <t>RO-5896/5</t>
  </si>
  <si>
    <t>Deraierea automotorului ADH 1420, din compunerea trenului de cÄƒlÄƒtori nr.4456, s-a produs pe fondul mentenanÈ›ei necorespunzÄƒtoare atât a automotorului, cât ÅŸi a infrastructurii feroviare. AceastÄƒ deraiere s-a produs pe fondul existenÈ›ei unor defecte la pernele de aer pe o rampÄƒ a supraînÄƒlÈ›Äƒrii de 1:96. TotodatÄƒ s-a constatat faptul cÄƒ, personalul de exploatare este lipsit de informaÈ›ii complete, coerente È™i uÈ™or de înÈ›eles, privind liniile pe care este admisÄƒ verificarea înÄƒlÈ›imii pernelor de aer, privind modul de circulaÈ›ie când pernele de aer sunt reglate peste cotele nominale admise È™i privind atribuÈ›iunile referitoare la reglajul/ajustarea înÄƒlÈ›imii pernelor de aer. Comisia de investigare a constatat lipsa unor prevederi explicite din procedurile SMS ale operatorului de transport, care sÄƒ distribuÈ›ie responsabilitÄƒÈ›i cÄƒtre personalul propriu în ceea ce priveÈ™te cerinÈ›ele de siguranÈ›Äƒ relevante: (a) de identificare a acestor cerinÈ›e È™i de actualizare a procedurilor relevante pentru a reflecta schimbÄƒrile care le sunt aduse (managementul controlului schimbÄƒrilor); (b) de implementare a acestor cerinÈ›e; (c) de monitorizare a respectÄƒrii lor; (d) pentru luarea de mÄƒsuri în cazul în care se observÄƒ nerespectarea acestor cerinÈ›e. TotodatÄƒ, comisia de investigare a constatat lipsa unor prevederi explicite în interiorul procedurilor din cadrul SMS ale operatorului de transport, privind distribuÈ›ia responsabilitÄƒÈ›ilor cÄƒtre personalul propriu, pentru a garanta cÄƒ se utilizeazÄƒ documentele specifice adecvate pentru exploatarea automotorului ADH11, nefiind astfel îndeplinitÄƒ în totalitate cerinÈ›a L.2 din Regulamentul 1158/2010. Astfel, nu este garantatÄƒ nominalizarea liniilor pe care este admisÄƒ verificarea È™i reglajul pernelor de aer, indicarea periodicitÄƒÈ›ii cu care se face verificarea È™i reglajul înÄƒlÈ›imii pernelor de aer, indicarea dotÄƒrii tehnice È™i a documentelor pentru asigurarea trasabilitÄƒÈ›ii operaÈ›iunilor. Comisia de investigare a constatat lipsa unor prevederi explicite în interiorul procedurilor din cadrul SMS, privind distribuÈ›ia responsabilitÄƒÈ›ilor cÄƒtre personalul propriu, pentru a garanta cÄƒ informaÈ›iile pertinente sunt precise, complete, coerente, uÈ™or de înÈ›eles, actualizate în mod adecvat È™i documentate în mod corespunzÄƒtor nefiind astfel îndeplinitÄƒ în totalitate cerinÈ›a P.1 din Regulamentul 1158/2010. Astfel, nu a fost garantatÄƒ actualizarea ÎndrumÄƒtorului mecanicului pentru exploatarea automotoarelor tip ADH 11 È™i completarea acestuia cu informaÈ›ii precise, complete, coerente È™i uÈ™or de înÈ›eles privitoare la situaÈ›ia în care înÄƒlÈ›imea pernelor de aer este peste cotele nominale È™i modul în care se poate face circulaÈ›ia în acest caz, privitoare la situaÈ›ia în care verificarea înÄƒlÈ›imii pernelor de aer este fÄƒcutÄƒ pe o linie care nu îndeplineÈ™te condiÈ›iile privind declivitatea È™i supraînÄƒlÈ›area È™i privitoare la personalul care trebuie sÄƒ facÄƒ operaÈ›iunea de reglaj a înÄƒlÈ›imii pernelor de aer; Comisia de investigare a constatat insuficienÈ›e în SpecificaÅ£ia TehnicÄƒ ST 28/2011, privind verificarea/reglarea jocurilor mecanice a înÄƒlÈ›imilor pernelor de aer È™i a sarcinilor pe roÈ›i, întrucât operaÈ›iunile menÈ›ionate sunt efectuate ori foarte rar, ori deloc. În acest sens, nu sunt È›inuÈ›i adecvat sub control parametrii tehnici care influenÈ›eazÄƒ transferuri de sarcini între roÈ›ile automotorului, care pot avea consecinÈ›Äƒ depÄƒÈ™irea limitei de stabilitate la deraiere. MenÈ›ionÄƒm cÄƒ funcÈ›ionarea necorespunzÄƒtoare a pernelor de aer a constituit cauza într-o deraiere similarÄƒ în cazul automotorului ADH 1421, produsÄƒ la data de 28.02.2017, între staÈ›ia CFR Halmeu È™i Hm PorumbeÈ™ti, în circulaÈ›ia trenului de cÄƒlÄƒtori nr.4408. Acest tip de automotor a fost implicat È™i în accidentul feroviar de la data de 16.05.2015, între haltele de miÈ™care LoamneÈ™ È™i Ocna Sibiului, în circulaÈ›ia trenului de cÄƒlÄƒtori nr.2568. Având în vedere aspectele prezentate, pentru reducerea riscurilor de producere a unor accidente feroviare similare, comisia de investigare recomandÄƒ AutoritÄƒÈ›ii de SiguranÈ›Äƒ FeroviarÄƒ RomânÄƒ â€“ ASFR: Recomandarea de siguranÈ›Äƒ nr.3 SÄƒ solicite operatorului de transport, revizuirea procedurilor din cadrul SMS care trebuie sÄƒ rÄƒspundÄƒ cerinÈ›ei P1 din Regulamentul 1158/2010, prin completarea cu prevederi care sÄƒ distribuie responsabilitÄƒÈ›i cÄƒtre personalul propriu, pentru a garanta cÄƒ se vor actualiza prescripÈ›iile de siguranÈ›Äƒ pentru fiecare tip de material rulant È™i echipament de siguranÅ£Äƒ, iar informaÈ›iile din prescripÈ›ii sÄƒ fie precise, complete, coerente È™i uÈ™or de înÈ›eles;</t>
  </si>
  <si>
    <t>RO-5896/6</t>
  </si>
  <si>
    <t>The derailment of the diesel multiple unit ADH 1420, composing the passenger train no.4456, happened following the unsuitable maintenance both of the diesel multiple unit and of the railway infrastructure. This derailment happened following the existence of some failures at the air cushions on a overcant gradient of 1:96. One also found out that, the operation staff had no complete, coherent and easy to understand information about the lines on which the checking of the height of the air cushions is accepted, regarding the running way when the air cushions are adjusted over the accepted nominal quotas and regarding the tasks of adjustment/setting of the air cushion height. The investigation commission found the lack of some clear provisions in the procedures of the SMS of the railway undertaking, that assign the responsibilities for its own staff regarding the relevant safety requirements: (a) identifying these requirements and updating relevant procedures to reflect changes made to them (change control management); (b) implementing them; (c) monitoring compliance with them; (d) taking actions when non-compliance is identified. The investigation commission also found the lack of some clear provisions in the procedures of the SMS of the railway undertaking, regarding the establishment of the responsibilities for its own staff, in order to guarantee the use of the specific documents suitable for the operation of the diesel multiple unit ADH11,the requirement L.2 from the Regulations 1158/2010 not being completely met with. So, there is no guarantee of the indication of the lines on which the checking and the adjustment of the air cushions are accepted, mentioning of the periodicity of checking and adjustment of the height of the air cushions, indicating the technical endowment and the documents in order to ensure the operation tracking. The investigation commission found the lack of some clear provisions in the SMS procedures for the establishment of the responsibilities for its own staff, in order to guarantee that the pertinent information are accurate, complete, coherent, easy to understand, updated properly and documented suitably, so not being met completely the requirement P.1 from the Regulations 1158/2010. So, one did not guarantee the updating of the Guide of driver for the operation of the multiple unit type ADH 11 and its supplement with accurate, coherent and easy understand information, regarding the situation where the height of the air cushions is over the nominal quotas and the possibility of running in this case, regarding the situation where the checking of the height of the air cushions is made on a line meeting with the conditions for the slope and overcant and regarding the staff that has to perform the adjustment of the air cushions; The investigation commission found failures in the Technical Specification ST 28/2011, concerning the checking/adjustment of the mechanical clearances from the air cushion height and the wheel loads, because these operations are performed either very seldom, or not at all. So, the technical parameters, that influence the load transfers between the diesel multiple unit wheels, are not properly kept under control, that could lead to the exceeding of the derailment stability limit. We underline that the unsuitable working of the air cushion was the cause for the similar derailment of the diesel multiple unit ADH 1421, happened on the 28th February 2017, between Halmeu and PorumbeÈ™ti railway stations, in the running of the passenger train no.4408. This type of diesel multiple unit was involved in the railway accident happened on the 16th May 2015, between LoamneÈ™ and Ocna Sibiului railway stations, in the running of the passenger train no.2568. Considering these above mentioned, in order to reduce the risks of some similar accidents, the investigation commission recommends Romanian Railway Safety Authority â€“ ASFR: Safety recommendation no.3 To request the railway undertaking the revision of the SMS procedures that have to meet with the requirement P1 from the Regulations 1158/2010, adding provisions that establish the responsibilities for its own staff, in order to guarantee the updating of the safety provisions for each type of rolling stock and safety equipment, and the information from the provisions be accurate, complete, coherent and easy to understand;</t>
  </si>
  <si>
    <t>RO-5896/7</t>
  </si>
  <si>
    <t>Deraierea automotorului ADH 1420, din compunerea trenului de cÄƒlÄƒtori nr.4456, s-a produs pe fondul mentenanÈ›ei necorespunzÄƒtoare atât a automotorului, cât ÅŸi a infrastructurii feroviare. AceastÄƒ deraiere s-a produs pe fondul existenÈ›ei unor defecte la pernele de aer pe o rampÄƒ a supraînÄƒlÈ›Äƒrii de 1:96. TotodatÄƒ s-a constatat faptul cÄƒ, personalul de exploatare este lipsit de informaÈ›ii complete, coerente È™i uÈ™or de înÈ›eles, privind liniile pe care este admisÄƒ verificarea înÄƒlÈ›imii pernelor de aer, privind modul de circulaÈ›ie când pernele de aer sunt reglate peste cotele nominale admise È™i privind atribuÈ›iunile referitoare la reglajul/ajustarea înÄƒlÈ›imii pernelor de aer. Comisia de investigare a constatat lipsa unor prevederi explicite din procedurile SMS ale operatorului de transport, care sÄƒ distribuÈ›ie responsabilitÄƒÈ›i cÄƒtre personalul propriu în ceea ce priveÈ™te cerinÈ›ele de siguranÈ›Äƒ relevante: (a) de identificare a acestor cerinÈ›e È™i de actualizare a procedurilor relevante pentru a reflecta schimbÄƒrile care le sunt aduse (managementul controlului schimbÄƒrilor); (b) de implementare a acestor cerinÈ›e; (c) de monitorizare a respectÄƒrii lor; (d) pentru luarea de mÄƒsuri în cazul în care se observÄƒ nerespectarea acestor cerinÈ›e. TotodatÄƒ, comisia de investigare a constatat lipsa unor prevederi explicite în interiorul procedurilor din cadrul SMS ale operatorului de transport, privind distribuÈ›ia responsabilitÄƒÈ›ilor cÄƒtre personalul propriu, pentru a garanta cÄƒ se utilizeazÄƒ documentele specifice adecvate pentru exploatarea automotorului ADH11, nefiind astfel îndeplinitÄƒ în totalitate cerinÈ›a L.2 din Regulamentul 1158/2010. Astfel, nu este garantatÄƒ nominalizarea liniilor pe care este admisÄƒ verificarea È™i reglajul pernelor de aer, indicarea periodicitÄƒÈ›ii cu care se face verificarea È™i reglajul înÄƒlÈ›imii pernelor de aer, indicarea dotÄƒrii tehnice È™i a documentelor pentru asigurarea trasabilitÄƒÈ›ii operaÈ›iunilor. Comisia de investigare a constatat lipsa unor prevederi explicite în interiorul procedurilor din cadrul SMS, privind distribuÈ›ia responsabilitÄƒÈ›ilor cÄƒtre personalul propriu, pentru a garanta cÄƒ informaÈ›iile pertinente sunt precise, complete, coerente, uÈ™or de înÈ›eles, actualizate în mod adecvat È™i documentate în mod corespunzÄƒtor nefiind astfel îndeplinitÄƒ în totalitate cerinÈ›a P.1 din Regulamentul 1158/2010. Astfel, nu a fost garantatÄƒ actualizarea ÎndrumÄƒtorului mecanicului pentru exploatarea automotoarelor tip ADH 11 È™i completarea acestuia cu informaÈ›ii precise, complete, coerente È™i uÈ™or de înÈ›eles privitoare la situaÈ›ia în care înÄƒlÈ›imea pernelor de aer este peste cotele nominale È™i modul în care se poate face circulaÈ›ia în acest caz, privitoare la situaÈ›ia în care verificarea înÄƒlÈ›imii pernelor de aer este fÄƒcutÄƒ pe o linie care nu îndeplineÈ™te condiÈ›iile privind declivitatea È™i supraînÄƒlÈ›area È™i privitoare la personalul care trebuie sÄƒ facÄƒ operaÈ›iunea de reglaj a înÄƒlÈ›imii pernelor de aer; Comisia de investigare a constatat insuficienÈ›e în SpecificaÅ£ia TehnicÄƒ ST 28/2011, privind verificarea/reglarea jocurilor mecanice a înÄƒlÈ›imilor pernelor de aer È™i a sarcinilor pe roÈ›i, întrucât operaÈ›iunile menÈ›ionate sunt efectuate ori foarte rar, ori deloc. În acest sens, nu sunt È›inuÈ›i adecvat sub control parametrii tehnici care influenÈ›eazÄƒ transferuri de sarcini între roÈ›ile automotorului, care pot avea consecinÈ›Äƒ depÄƒÈ™irea limitei de stabilitate la deraiere. MenÈ›ionÄƒm cÄƒ funcÈ›ionarea necorespunzÄƒtoare a pernelor de aer a constituit cauza într-o deraiere similarÄƒ în cazul automotorului ADH 1421, produsÄƒ la data de 28.02.2017, între staÈ›ia CFR Halmeu È™i Hm PorumbeÈ™ti, în circulaÈ›ia trenului de cÄƒlÄƒtori nr.4408. Acest tip de automotor a fost implicat È™i în accidentul feroviar de la data de 16.05.2015, între haltele de miÈ™care LoamneÈ™ È™i Ocna Sibiului, în circulaÈ›ia trenului de cÄƒlÄƒtori nr.2568. Având în vedere aspectele prezentate, pentru reducerea riscurilor de producere a unor accidente feroviare similare, comisia de investigare recomandÄƒ AutoritÄƒÈ›ii de SiguranÈ›Äƒ FeroviarÄƒ RomânÄƒ â€“ ASFR: Recomandarea de siguranÈ›Äƒ nr.4 SÄƒ solicite operatorului de transport È™i operatorului economic care executÄƒ funcÈ›ii de întreÈ›inere, revizuirea specificaÈ›iilor tehnice destinate reviziilor planificate/reparaÈ›iilor accidentale cu ridicare, prin introducerea unor operaÈ›iuni suplimentare de verificare/reglaj a înÄƒlÈ›imii pernelor de aer, a jocurilor mecanice È™i a sarcinilor pe roÈ›i, în vederea È›inerii sub control a transferurilor de sarcini între roÈ›ile automotorului;</t>
  </si>
  <si>
    <t>RO-5896/8</t>
  </si>
  <si>
    <t>Safety recommendations The derailment of the diesel multiple unit ADH 1420, composing the passenger train no.4456, happened following the unsuitable maintenance both of the diesel multiple unit and of the railway infrastructure. This derailment happened following the existence of some failures at the air cushions on a overcant gradient of 1:96. One also found out that, the operation staff had no complete, coherent and easy to understand information about the lines on which the checking of the height of the air cushions is accepted, regarding the running way when the air cushions are adjusted over the accepted nominal quotas and regarding the tasks of adjustment/setting of the air cushion height. The investigation commission found the lack of some clear provisions in the procedures of the SMS of the railway undertaking, that assign the responsibilities for its own staff regarding the relevant safety requirements: (a) identifying these requirements and updating relevant procedures to reflect changes made to them (change control management); (b) implementing them; (c) monitoring compliance with them; (d) taking actions when non-compliance is identified. The investigation commission also found the lack of some clear provisions in the procedures of the SMS of the railway undertaking, regarding the establishment of the responsibilities for its own staff, in order to guarantee the use of the specific documents suitable for the operation of the diesel multiple unit ADH11,the requirement L.2 from the Regulations 1158/2010 not being completely met with. So, there is no guarantee of the indication of the lines on which the checking and the adjustment of the air cushions are accepted, mentioning of the periodicity of checking and adjustment of the height of the air cushions, indicating the technical endowment and the documents in order to ensure the operation tracking. The investigation commission found the lack of some clear provisions in the SMS procedures for the establishment of the responsibilities for its own staff, in order to guarantee that the pertinent information are accurate, complete, coherent, easy to understand, updated properly and documented suitably, so not being met completely the requirement P.1 from the Regulations 1158/2010. So, one did not guarantee the updating of the Guide of driver for the operation of the multiple unit type ADH 11 and its supplement with accurate, coherent and easy understand information, regarding the situation where the height of the air cushions is over the nominal quotas and the possibility of running in this case, regarding the situation where the checking of the height of the air cushions is made on a line meeting with the conditions for the slope and overcant and regarding the staff that has to perform the adjustment of the air cushions; The investigation commission found failures in the Technical Specification ST 28/2011, concerning the checking/adjustment of the mechanical clearances from the air cushion height and the wheel loads, because these operations are performed either very seldom, or not at all. So, the technical parameters, that influence the load transfers between the diesel multiple unit wheels, are not properly kept under control, that could lead to the exceeding of the derailment stability limit. We underline that the unsuitable working of the air cushion was the cause for the similar derailment of the diesel multiple unit ADH 1421, happened on the 28th February 2017, between Halmeu and PorumbeÈ™ti railway stations, in the running of the passenger train no.4408. This type of diesel multiple unit was involved in the railway accident happened on the 16th May 2015, between LoamneÈ™ and Ocna Sibiului railway stations, in the running of the passenger train no.2568. Considering these above mentioned, in order to reduce the risks of some similar accidents, the investigation commission recommends Romanian Railway Safety Authority â€“ ASFR: Safety recommendation no.4 To request the railway undertaking and the economic operator that perform maintenance, the revision of the technical specification which cover planned inspections/accidental repairs by lifting, introducing some additional operations of checking/ adjustment of the height of the air cushions, of the mechanical clearances and loads on wheels, for keeping under control the load transfers between the wheels of the diesel multiple unit;</t>
  </si>
  <si>
    <t>RO-5900/1</t>
  </si>
  <si>
    <t>Având în vedere constatÄƒrile fÄƒcute în urma investigaÈ›iei, comisia recomandÄƒ ca pentru reducerea ...</t>
  </si>
  <si>
    <t>Având în vedere constatÄƒrile fÄƒcute în urma investigaÈ›iei, comisia recomandÄƒ ca pentru reducerea riscului apariÈ›iei È™i prevenirea unor incidente cu cauze asemÄƒnÄƒtoare, care în condiÈ›ii uÈ™or diferite pot duce la accidente grave, Autoritatea de SiguranÈ›Äƒ FeroviarÄƒ RomânÄƒ-ASFR sÄƒ solicite ca: ï‚¾ METROREX sÄƒ se asigure cÄƒ producÄƒtorul TEM BM3-CAF va reevalua software-ul vehiculului, astfel încât acesta sÄƒ asigure un nivel de siguranÅ£Äƒ adecvat, inclusiv în cazul operÄƒrii acestuia în regimul de remorcare;</t>
  </si>
  <si>
    <t>RO-5900/2</t>
  </si>
  <si>
    <t>Considering the findings following the investigation, the commission recommends that for reducing the risk of occurence and preventing some similar incidents, that in slightly different conditions can lead to serious accidents, Romanian Railway Safety Authority-ASFR ask: ï‚¾ METROREX take care that the manufacturer TEM BM3-CAF shall re-assess the vehicle software, so it ensures a proper safety level, including in case of its operation by hauling;</t>
  </si>
  <si>
    <t>RO-5900/3</t>
  </si>
  <si>
    <t>Având în vedere constatÄƒrile fÄƒcute în urma investigaÈ›iei, comisia recomandÄƒ ca pentru reducerea riscului apariÈ›iei È™i prevenirea unor incidente cu cauze asemÄƒnÄƒtoare, care în condiÈ›ii uÈ™or diferite pot duce la accidente grave, Autoritatea de SiguranÈ›Äƒ FeroviarÄƒ RomânÄƒ-ASFR sÄƒ solicite ca: ï‚¾ ï‚¾ METROREX sÄƒ se asigure cÄƒ producÄƒtorul TEM BM3-CAF va completa Manualul Mecanicului cu operaÅ£iile care sunt necesarea a fi efectuate la operarea în regim de remorcare, în cazul în care garnitura de tip BM3-CAF este cuplatÄƒ cu o locomotivÄƒ de manevrÄƒ.</t>
  </si>
  <si>
    <t>RO-5900/4</t>
  </si>
  <si>
    <t>Considering the findings following the investigation, the commission recommends that for reducing the risk of occurence and preventing some similar incidents, that in slightly different conditions can lead to serious accidents, Romanian Railway Safety Authority-ASFR ask: ï‚¾ ï‚¾ METROREX takes care that the manufacturer TEM BM3-CAF shall added in the Driver Manual with the operations needed to be performed during the operation in hauling condition, if the rake of vehicles type BM3-CAF is coupled at a shunting locomotive.</t>
  </si>
  <si>
    <t>RO-5906/1</t>
  </si>
  <si>
    <t>Evenimentul feroviar produs la data de 31.01.2019, în circulaÈ›ia trenului de cÄƒlÄƒtori nr. 4111-2, ...</t>
  </si>
  <si>
    <t>Evenimentul feroviar produs la data de 31.01.2019, în circulaÈ›ia trenului de cÄƒlÄƒtori nr. 4111-2, pe linia curentÄƒ dintre staÈ›ia CFR Valea ViÈ™eului È™i halta de miÈ™care Leordina, în zona punctului periculos de categoria a II-a km 10+100-10+475, a avut drept cauzÄƒ pÄƒtrunderea în gabaritul de liberÄƒ trecere a unei bucÄƒÈ›i de stâncÄƒ desprinsÄƒ dintr-un versant stâncos, fapt care a condus la impactul acesteia cu vehiculele din compunerea trenului. În urma impactului produs între bucata de stâncÄƒ È™i vehiculele feroviare din compunerea trenului, cele douÄƒ locomotive ale trenului au fost avariate, iar primele douÄƒ vagoane, de asemenea avariate, au deraiat. PÄƒtrunderea în gabaritul de liberÄƒ trecerea a bucÄƒÈ›ii de stâncÄƒ a fost posibilÄƒ datoritÄƒ reducerii înÄƒlÈ›imii cavalierului de protecÈ›ie prin acumularea în spaÈ›iul dintre versantul stâncos È™i cavalier, a bucÄƒÈ›ilor de stâncÄƒ È™i pietrelor desprinse din versant în decursul anilor. Astfel, s-a format un strat de bucÄƒÈ›i de stâncÄƒ È™i pietre, care la data de 31.01.2019 a favorizat trecerea peste cavalier a bucÄƒÈ›ilor de stânci È™i pietre desprinse din versant, una dintre acestea ajungând în gabaritul de liberÄƒ trecere al cÄƒii ferate. Acumularea bucÄƒÈ›ilor de stâncÄƒ È™i pietre în spaÈ›iul dintre versantul stâncos È™i cavalier È™i menÈ›inerea stratului format o perioadÄƒ mai îndelungatÄƒ de timp, s-a datorat faptului cÄƒ structura organizatoricÄƒ, din cadrul administratorului de infrastructurÄƒ feroviarÄƒ publicÄƒ, responsabilÄƒ cu mentenanÈ›a acestui punct periculos nu dispune È™i de resursele necesare evacuÄƒrii acestora. Eliberarea acestui spaÈ›iu s-a fÄƒcut dupÄƒ producerea evenimentului È™i a fost posibilÄƒ datoritÄƒ implicÄƒrii administraÈ›iei locale, pe raza cÄƒreia se aflÄƒ traseul cÄƒii ferate È™i punctul periculos. Faptul cÄƒ nu a fost sesizatÄƒ reducerea înÄƒlÈ›imii cavalierului, cu ocazia acÈ›iunilor de verificare a acestui punct periculos, reprezintÄƒ un punct slab pentru personalul care a efectuat verificarea acestui punct periculos de categoria a II-a de pe partea dreaptÄƒ a liniei curente dintre staÈ›ia CFR Valea ViÈ™eului È™i halta de miÈ™care Leordina, în zona km 10+100-10+475. Comisia de investigare considerÄƒ cÄƒ aceasta reprezintÄƒ o omisiune a personalului care a efectuat verificarea, omisiune care este generatÄƒ, pe de o parte de faptul cÄƒ în tematicÄƒ nu se detaliazÄƒ aspectele ce trebuie urmÄƒrite la verificarea punctelor periculoase, iar pe de altÄƒ parte de atenÈ›ia redusÄƒ pe care o acordÄƒ personalul activitÄƒÈ›ii de verificare a punctelor periculoase. Având în vedere neconformitÄƒÈ›ile privind: starea tehnicÄƒ a infrastructurii feroviare în zona producerii evenimentului, dar È™i cele prezentate la pct.A din cap. C.5.2. â€žSistemul de management al siguranÈ›ei la nivelul administratorului infrastructurii feroviare publiceâ€, precum È™i punctele slabe, identificate în sistemul de management al siguranÈ›ei, AgenÈ›ia de Investigare FeroviarÄƒ RomânÄƒ-AGIFER adreseazÄƒ AutoritÄƒÈ›ii de SiguranÈ›Äƒ FeroviarÄƒ-ASFR urmÄƒtoarea Recomandare de siguranÈ›Äƒ: Analizarea prin acÈ›iuni de supraveghere a modului în care CNCFâ€žCFRâ€ SA, în calitate de administrator al infrastructurii feroviare publice, asigurÄƒ condiÈ›iile pentru ca mÄƒsurile de siguranÈ›Äƒ pe care acesta È™i le-a stabilit pentru È›inerea sub control a pericolelor È™i riscurilor asociate, în legÄƒturÄƒ cu realizarea mentenanÈ›ei infrastructurii feroviare publice, sÄƒ fie aplicabile.</t>
  </si>
  <si>
    <t>RO-5906/2</t>
  </si>
  <si>
    <t>With reference to the incident happened on the 31st January 2019, in the running of the passenger train no. 4111-2, on the running line between the railway stations Valea ViÈ™eului and Leordina, at the dangerous point category II, km 10+100-10+475, the main cause was the penetration of a piece of rock detached from a rocky slope into the structure clearance, which led to its collision with the vehicles from the train's consist. After the impact between the piece of tock and the train vehicles, the two locomotives were damaged, also the first cars damaged, derailed. Penetration into the structure clearance of the piece of rock was possible following the reducing of the height of the protection berm, by the cumulation into the space between the rocky slope and side berm, the pieces of rock and the stones detached from the slope over the years. Thus, a layer consisting in pieces of rock and stones appeared, on the 31st January 2019 it favoured rolling over the berm of pieces of rocks and stones detached from the slope, one of them reaching the structure clearance of the line. The cumulation of pieces of rock and stones in the space between the rocky slope and berm and the maintaining of the layer formed for a longer period of time occurred due to the fact that the organizational structure of the public railway infrastructure manager, responsible for maintaining this dangerous point does not have the resources necessary to remove them. The emptying of this space was made after the event and it was possible due to the involvement of the local administration, where the line and the dangerous point are. The fact that, the reduction of the berm was not noticed during the checking of this dangerous point, represents a weakness of the staff who carried out the checking of this dangerous point of category II on the right side of the running line, between the railway stations Valea Visas and Leordina, km 100-10 + 475. The investigating commission considers that this is an omission of the staff who carried out the checking, it being generated, one the one hand because the aspects to be tracked when checking the dangerous points are not detailed, and, on the other hand, because of the reduced attention paid by the staff responsible for the activity of checking the dangerous points. Considering the non-conformities regarding: the technical condition of the railway infrastructure where the event happened, but also those presented in point A of the cap. C.5.2. â€œThe safety management system of the public railway infrastructure managerâ€, as well as the weaknesses, identified in the safety management system, Romanian Railway Investigation Agency-AGIFER addresses Railway Safety Authority-ASFR , the following: Safety recommendations The analysis, by means of monitoring, of the way in which CNCF â€žCFRâ€ SA, like administrator of the public railway infrastructure, ensures the conditions so the safety measures established for keeping under control the dangers and associated risks, in connection with the performance of the public railway infrastructure maintenance, to be applicable.</t>
  </si>
  <si>
    <t>RO-5906/3</t>
  </si>
  <si>
    <t>Evenimentul feroviar produs la data de 31.01.2019, în circulaÈ›ia trenului de cÄƒlÄƒtori ...</t>
  </si>
  <si>
    <t>Evenimentul feroviar produs la data de 31.01.2019, în circulaÈ›ia trenului de cÄƒlÄƒtori nr.4111-2, pe linia curentÄƒ dintre staÈ›ia CFR Valea ViÈ™eului È™i halta de miÈ™care Leordina, în zona punctului periculos de categoria a II-a km 10+100-10+475, a avut drept cauzÄƒ pÄƒtrunderea în gabaritul de liberÄƒ trecere a unei bucÄƒÈ›i de stâncÄƒ desprinsÄƒ dintr-un versant stâncos, fapt care a condus la impactul acesteia cu vehiculele din compunerea trenului. În urma impactului produs între bucata de stâncÄƒ È™i vehiculele feroviare din compunerea trenului, cele douÄƒ locomotive ale trenului au fost avariate, iar primele douÄƒ vagoane, de asemenea avariate, au deraiat. PÄƒtrunderea în gabaritul de liberÄƒ trecerea a bucÄƒÈ›ii de stâncÄƒ a fost posibilÄƒ datoritÄƒ reducerii înÄƒlÈ›imii cavalierului de protecÈ›ie prin acumularea în spaÈ›iul dintre versantul stâncos È™i cavalier, a bucÄƒÈ›ilor de stâncÄƒ È™i pietrelor desprinse din versant în decursul anilor. Astfel, s-a format un strat de bucÄƒÈ›i de stâncÄƒ È™i pietre, care la data de 31.01.2019 a favorizat trecerea peste cavalier a bucÄƒÈ›ilor de stânci È™i pietre desprinse din versant, una dintre acestea ajungând în gabaritul de liberÄƒ trecere al cÄƒii ferate. Acumularea bucÄƒÈ›ilor de stâncÄƒ È™i pietre în spaÈ›iul dintre versantul stâncos È™i cavalier È™i menÈ›inerea stratului format o perioadÄƒ mai îndelungatÄƒ de timp, s-a datorat faptului cÄƒ structura organizatoricÄƒ, din cadrul administratorului de infrastructurÄƒ feroviarÄƒ publicÄƒ, responsabilÄƒ cu mentenanÈ›a acestui punct periculos nu dispune È™i de resursele necesare evacuÄƒrii acestora. Eliberarea acestui spaÈ›iu s-a fÄƒcut dupÄƒ producerea evenimentului È™i a fost posibilÄƒ datoritÄƒ implicÄƒrii administraÈ›iei locale, pe raza cÄƒreia se aflÄƒ traseul cÄƒii ferate È™i punctul periculos. Faptul cÄƒ nu a fost sesizatÄƒ reducerea înÄƒlÈ›imii cavalierului, cu ocazia acÈ›iunilor de verificare a acestui punct periculos, reprezintÄƒ un punct slab pentru personalul care a efectuat verificarea acestui punct periculos de categoria a II-a de pe partea dreaptÄƒ a liniei curente dintre staÈ›ia CFR Valea ViÈ™eului È™i halta de miÈ™care Leordina, în zona km 10+100-10+475. Comisia de investigare considerÄƒ cÄƒ aceasta reprezintÄƒ o omisiune a personalului care a efectuat verificarea, omisiune care este generatÄƒ, pe de o parte de faptul cÄƒ în tematicÄƒ nu se detaliazÄƒ aspectele ce trebuie urmÄƒrite la verificarea punctelor periculoase, iar pe de altÄƒ parte de atenÈ›ia redusÄƒ pe care o acordÄƒ personalul activitÄƒÈ›ii de verificare a punctelor periculoase. Având în vedere neconformitÄƒÈ›ile privind: starea tehnicÄƒ a infrastructurii feroviare în zona producerii evenimentului, dar È™i cele prezentate la pct.A din cap. C.5.2. â€žSistemul de management al siguranÈ›ei la nivelul administratorului infrastructurii feroviare publiceâ€, precum È™i punctele slabe, identificate în sistemul de management al siguranÈ›ei, AgenÈ›ia de Investigare FeroviarÄƒ RomânÄƒ-AGIFER adreseazÄƒ AutoritÄƒÈ›ii de SiguranÈ›Äƒ FeroviarÄƒ-ASFR urmÄƒtoarea Recomandare de siguranÈ›Äƒ: Analizarea prin acÈ›iuni de supraveghere a modului în care CNCFâ€žCFRâ€ SA, în calitate de administrator al infrastructurii feroviare publice, asigurÄƒ îndeplinirea cerinÈ›elor care au fost necesare pentru obÈ›inerea autorizaÈ›iilor de siguranÈ›Äƒ.</t>
  </si>
  <si>
    <t>RO-5906/4</t>
  </si>
  <si>
    <t>With reference to the incident happened on the 31st January 2019, in the running of the passenger train no. 4111-2, on the running line between the railway stations Valea ViÈ™eului and Leordina, at the dangerous point category II, km 10+100-10+475, the main cause was the penetration of a piece of rock detached from a rocky slope into the structure clearance, which led to its collision with the vehicles from the train's consist. After the impact between the piece of tock and the train vehicles, the two locomotives were damaged, also the first cars damaged, derailed. Penetration into the structure clearance of the piece of rock was possible following the reducing of the height of the protection berm, by the cumulation into the space between the rocky slope and side berm, the pieces of rock and the stones detached from the slope over the years. Thus, a layer consisting in pieces of rock and stones appeared, on the 31st January 2019 it favored rolling over the berm of pieces of rocks and stones detached from the slope, one of them reaching the structure clearance of the line. The cumulation of pieces of rock and stones in the space between the rocky slope and berm and the maintaining of the layer formed for a longer period of time occurred due to the fact that the organizational structure of the public railway infrastructure manager, responsible for maintaining this dangerous point does not have the resources necessary to remove them. The emptying of this space was made after the event and it was possible due to the involvement of the local administration, where the line and the dangerous point are. The fact that, the reduction of the berm was not noticed during the checking of this dangerous point, represents a weakness of the staff who carried out the checking of this dangerous point of category II on the right side of the running line, between the railway stations Valea Visas and Leordina, km 100-10 + 475. The investigating commission considers that this is an omission of the staff who carried out the checking, it being generated, one the one hand because the aspects to be tracked when checking the dangerous points are not detailed, and, on the other hand, because of the reduced attention paid by the staff responsible for the activity of checking the dangerous points. Considering the non-conformities regarding: the technical condition of the railway infrastructure where the event happened, but also those presented in point A of the cap. C.5.2. â€œThe safety management system of the public railway infrastructure managerâ€, as well as the weaknesses, identified in the safety management system, Romanian Railway Investigation Agency-AGIFER addresses Railway Safety Authority-ASFR , the following: Safety recommendations The analysis, by means of monitoring, of the way in which CNCF â€žCFRâ€ SA, like administrator of the public railway infrastructure, ensures the fulfillment of the requirements that were necessary to obtain the safety authorizations.</t>
  </si>
  <si>
    <t>RO-5917/1</t>
  </si>
  <si>
    <t>Deraierea automotorului ADH 1421, din compunerea trenului nr.G13642, s-a produs pe fondul ...</t>
  </si>
  <si>
    <t>Deraierea automotorului ADH 1421, din compunerea trenului nr.G13642, s-a produs pe fondul mentenanÈ›ei necorespunzÄƒtoare atât a infrastructurii feroviare, cât ÅŸi a automotorului. AceastÄƒ deraiere s-a produs pe fondul existenÈ›ei unor defecte la pernele de aer ale automotorului, care circula pe o zonÄƒ de linie cu valori ale rampelor supraînÄƒlÈ›Äƒrii cÄƒii, mai mari decât valoarea rampei maxime admise pe reÈ›eaua feroviarÄƒ românÄƒ, respectiv 1:166. Evenimentul feroviar produs la data de 10.02.2019, în circulaÈ›ia trenului nr.G13642, pe linia curentÄƒ dintre staÈ›ia CFR SÄƒrÄƒÈ›el È™i halta de miÈ™care MÄƒriÈ™elu, în zona punctului periculos de categoria a II-a km 4+400-5+800, zonÄƒ care se manifesta prin deformaÈ›ii ale cÄƒii datorate terasamentului cu pungi de balast, a avut drept cauzÄƒ escaladarea flancului activ al ciupercii È™inei de pe firul exterior al curbei de cÄƒtre roata din partea dreaptÄƒ a osiei 6, ca urmare a circulaÈ›iei materialului rulant pe o porÈ›iune de linie cu defecte la nivel transversal a cÄƒror valori depÄƒÈ™eau toleranÈ›ele admise. În urma investigÄƒrii accidentului s-a constatat cÄƒ, la producerea acestuia a contribuit faptul cÄƒ administratorul de infrastructurÄƒ nu a identificat pericolul ÅŸi nu a evaluat riscurile asociate pentru mentenanÈ›a necorespunzÄƒtoare a punctelor periculoase. MenÈ›ionÄƒm cÄƒ neefectuarea lucrÄƒrilor necesare ÅŸi neluarea de cÄƒtre personalul responsabil cu mentenanÅ£a infrastructurii feroviare a mÄƒsurilor pe care ÅŸi le-a propus, pe porÈ›iunile de linie care au fost sau sunt în prezent, înregistrate în evidenÅ£a punctelor periculoase, au constituit cauze în alte douÄƒ accidente feroviare, înregistrate pe raza de activitate a Sucursalei Regionale CF Cluj: - în cazul accidentului feroviar produs la data de 26.12.2018, pe secÅ£ia de circulaÅ£ie SÄƒrÄƒÅ£el â€“Deda, între Hm Râpa de Jos ÅŸi staÅ£ia CFR Monor Gledin, la km. 36+727 având ca urmare deraierea locomotivei EA 563 de prima osie în sensul de mers, în remorcarea trenului de marfÄƒ nr. 44505, unul din factorii care au contribuit la producerea accidentului a fost starea necorespunzÄƒtoare a cÄƒii generatÄƒ de defecte la nivel transversal peste limitele admise, pe o porÅ£iune de linie cu terasament tasabil înregistratÄƒ în evidenÈ›a punctelor periculoase; - în cazul accidentului feroviar produs la data de 31.01.2019, pe secÈ›ia de circulaÈ›ie Salva - Sighetu MarmaÈ›iei, între staÅ£ia CFR Valea ViÈ™eului È™i halta de miÈ™care Leordina la km 10+342, în circulaÈ›ia trenului de cÄƒlÄƒtori nr.4111-2, s-a produs avarierea locomotivei de remorcare a trenului (DA 1228) È™i a locomotivei rotaÈ™e (DA 881), precum È™i deraierea primelor 2 vagoane din compunerea trenului, în urma impactului dintre o bucatÄƒ de stâncÄƒ desprinsÄƒ din versantul stâncos, care a pÄƒtruns în gabaritul de liberÄƒ trecere È™i a intrat în coliziune cu materialul rulant, unul din factorii care au contribuit la producerea accidentului a fost neexecutarea lucrÄƒrilor de îndepÄƒrtare a bucÄƒÈ›ilor de stânci È™i pietre din spaÈ›iul delimitat de versantul stâncos È™i cavalierul de protecÈ›ie, pe o porÈ›iunea de linie înregistratÄƒ în evidenÈ›a punctelor periculoase. Având în vedere neconformitÄƒÈ›ile privind: starea tehnicÄƒ a infrastructurii feroviare în zona producerii evenimentului, dar È™i cele prezentate din cap. C.5.2. â€žSistemul de management al siguranÈ›ei la nivelul administratorului infrastructurii feroviare publiceâ€, comisia de investigare adreseazÄƒ AutoritÄƒÈ›ii Feroviare Române-ASFR urmÄƒtoarele recomandÄƒri de siguranÈ›Äƒ: Recomandarea de siguranÈ›Äƒ nr.1 SÄƒ solicite administratorului de infrastructurÄƒ revizuirea evidenÈ›ei pericolelor È™i efectuarea unei analize de risc, pentru pericolele care sunt generate de mentenanÈ›a necorespunzÄƒtoare a punctelor periculoase.</t>
  </si>
  <si>
    <t>RO-5917/2</t>
  </si>
  <si>
    <t>Safety recommendations The derailment of the multiple unit ADH 1421, composing the train no. G13642, happened following the unsuitable maintenance both of the railway infrastructure and of the diesel multiple unit. This derailment happened following the existence of some failures at the air cushions of the diesel multiple unit, that ran on a track section having the values of the track overcant gradient higher than the maximum accepted gradient value of Romanian railway network, respectively 1:166. The railway event happened on the 10th February 2019, in the running of the train no.G13642, on the running line between the railway stations SÄƒrÄƒÈ›el and MÄƒriÈ™elu, at the dangerous point category II, km 4+400-5+800, where it consists in distortions of the track, due to the track bed with ballast pockets, it led to the overclimbing of the gauge face of the curve exterior rail by the right wheel of the axle 6, following the running of the rolling stock on a track section with failures at the cross level, whose values were over the accepted tolerances. Following the accident investigation, one found that, at its occurrence contributed the fact that the infrastructure administrator did not identify the danger and did not assess the risks associated for the unsuitable maintenance of the dangerous points. We specify that the non-performance of the works necessary and not-taking by the staff responsible with the infrastructure maintenance of measures intended, on track sections that were registered (or are now registred) in the record of the dangerous points, were causes of two other railway accidents, registered in the railway county Cluj: - in case of the railway accident happened on the 26th December 2018, on the track section SÄƒrÄƒÅ£el â€“Deda, between the railway stations Râpa de Jos and Monor Gledin, km. 36+727, leading to the derailment of the first axle of the locomotive EA 563, in the running direction, it hauling the freight train no. 44505, one of the contributing factors was the unsuitable condition of the track generated by the failures at the cross level over the accepted limits, on a track section, with the settled bed, registered in the dangerous point recording; - in case of the accident happened on the 31st January 2019, on the track section Salva - Sighetu MarmaÈ›iei, between the railway stations Valea ViÈ™eului and Leordina, km 10+342, in the running of the passenger train no.4111-2, the hauling locomotive (DA 1228) and the power supplied locomotive (DA 881) were damaged, and the first two cars of the train derailed, following the impact between a piece of stone detached from the rocky slope, that rolled into the structure clearance and hit the rolling stock, one of the contributing factors was the non-performance of the works for the removal of the big and small stones from the area delimited by the rocky slope and the protection berm, on a track section registered in the dangerous point recording. Considering the non-conformities: the technical condition of the railway infrastructure at the event site, and those presented in the chapter C.5.2. â€žSafety management system of the public railway infrastructure administratorâ€, the investigation commission addresses to Romanian Railway Safety Authority-ASFR the next safety recommendations: Safety recommendations no.1 To request the infrastructure administrator the revision of the danger evidence and the performance of a risk analysis, for the dangers generated by the unsuitable maintenance of the dangerous points.</t>
  </si>
  <si>
    <t>RO-5917/3</t>
  </si>
  <si>
    <t>Comisia de investigare a constatat faptul cÄƒ, personalul de exploatare este lipsit de informaÈ›ii ...</t>
  </si>
  <si>
    <t>Comisia de investigare a constatat faptul cÄƒ, personalul de exploatare este lipsit de informaÈ›ii complete, coerente È™i uÈ™or de înÈ›eles, privind liniile pe care este admisÄƒ verificarea înÄƒlÈ›imii pernelor de aer, privind modul de circulaÈ›ie când pernele de aer sunt reglate în afara cotelor nominale admise È™i privind atribuÈ›iunile referitoare la reglajul/ajustarea înÄƒlÈ›imii pernelor de aer. Comisia de investigare a constatat lipsa unor prevederi explicite din procedurile SMS ale operatorului de transport, care sÄƒ distribuÈ›ie responsabilitÄƒÈ›i cÄƒtre personalul propriu în ceea ce priveÈ™te cerinÈ›ele de siguranÈ›Äƒ relevante: (a) de identificare a acestor cerinÈ›e È™i de actualizare a procedurilor relevante pentru a reflecta schimbÄƒrile care le sunt aduse (managementul controlului schimbÄƒrilor); (b) de implementare a acestor cerinÈ›e; (c) de monitorizare a respectÄƒrii lor; (d) pentru luarea de mÄƒsuri în cazul în care se observÄƒ nerespectarea acestor cerinÈ›e. TotodatÄƒ, comisia de investigare a constatat lipsa unor prevederi explicite în interiorul procedurilor din cadrul SMS ale operatorului de transport, privind distribuÈ›ia responsabilitÄƒÈ›ilor cÄƒtre personalul propriu, pentru a garanta cÄƒ se utilizeazÄƒ documentele specifice adecvate pentru exploatarea automotorului ADH11, nefiind astfel îndeplinitÄƒ în totalitate criteriul cu codul L.2 din Regulamentul 1158/2010. Astfel, nu este garantatÄƒ nominalizarea liniilor pe care este admisÄƒ verificarea È™i reglajul pernelor de aer, indicarea periodicitÄƒÈ›ii cu care se face verificarea È™i reglajul înÄƒlÈ›imii pernelor de aer, indicarea dotÄƒrii tehnice È™i a documentelor pentru asigurarea trasabilitÄƒÈ›ii operaÈ›iunilor. MenÈ›ionÄƒm cÄƒ lipsa unor prevederi explicite în interiorul procedurilor din cadrul SMS, privind distribuÈ›ia responsabilitÄƒÈ›ilor cÄƒtre personalul propriu, pentru a garanta cÄƒ informaÈ›iile pertinente sunt precise, complete, coerente, uÈ™or de înÈ›eles, actualizate în mod adecvat È™i documentate în mod corespunzÄƒtor nefiind astfel îndeplinitÄƒ în totalitate criteriul cu codul P.1 din Regulamentul 1158/2010. Astfel, nu a fost garantatÄƒ actualizarea ÎndrumÄƒtorului mecanicului pentru exploatarea automotoarelor tip ADH11 È™i completarea acestuia cu informaÈ›ii precise, complete, coerente È™i uÈ™or de înÈ›eles privitoare la situaÈ›ia în care înÄƒlÈ›imea pernelor de aer este în afara cotelor nominale È™i modul în care se poate face circulaÈ›ia în acest caz, privitoare la situaÈ›ia în care verificarea înÄƒlÈ›imii pernelor de aer este fÄƒcutÄƒ pe o linie care nu îndeplineÈ™te condiÈ›iile privind declivitatea È™i supraînÄƒlÈ›area È™i privitoare la personalul care trebuie sÄƒ facÄƒ operaÈ›iunea de reglaj a înÄƒlÈ›imii pernelor de aer; Comisia de investigare a constatat insuficienÈ›e în SpecificaÅ£ia TehnicÄƒ ST 28/2011, privind verificarea/reglarea jocurilor mecanice, a înÄƒlÈ›imilor pernelor de aer È™i a sarcinilor pe roÈ›i, întrucât operaÈ›iunile menÈ›ionate sunt efectuate ori foarte rar, ori deloc. În acest sens, nu sunt È›inuÈ›i adecvat sub control parametrii tehnici care influenÈ›eazÄƒ transferuri de sarcini între roÈ›ile automotorului, care pot avea consecinÈ›Äƒ depÄƒÈ™irea limitei de stabilitate la deraiere. DeficienÈ›ele menÈ›ionate mai sus, au constituit cauze în producerea accidentului produs la data de 19.01.2019, între staÅ£ia CFR Jibou ÅŸi halta de miÅŸcare MirÅŸid, prin deraierea automotorului ADH nr.1420, din compunerea trenului de cÄƒlÄƒtori nr.4456. În scopul prevenirii producerii unor accidente feroviare din cauza acestor deficienÈ›e, AGIFER a emis 4 recomandÄƒri de siguranÈ›Äƒ, în cazul investigaÈ›iei accidentului produs la data de 19.01.2019, între staÅ£ia CFR Jibou ÅŸi halta de miÅŸcare MirÅŸid, prin deraierea automotorului ADH nr.1420, din compunerea trenului de cÄƒlÄƒtori nr.4456. Astfel, comisia de investigare considerÄƒ cÄƒ este suficientÄƒ implementarea recomandÄƒrilor de siguranÈ›Äƒ emise în cadrul investigaÈ›iei accidentului produs la data de 19.01.2019. În cursul acÈ›iunii de investigare, s-a constatat cÄƒ materialul rulant deraiat avea depÄƒÈ™itÄƒ norma de timp pentru efectuarea reparaÈ›iei planificate de tip RR. În aceastÄƒ privinÈ›Äƒ, procedurile din cadrul SMS, nu conÈ›in prevederi prin care personalul din cadrul SRTFC Cluj, cÄƒruia i s-au delegat responsabilitÄƒÈ›i pentru asigurarea necesarului de automotoare destinate trenurilor aflate în circulaÈ›ie, sÄƒ i se garanteze cÄƒ deÈ›ine autoritatea È™i resursele adecvate pentru îndeplinirea sarcinilor. Având în vedere aspectele prezentate, pentru reducerea riscurilor de producere a unor accidente feroviare similare, comisia de investigare recomandÄƒ AutoritÄƒÈ›ii de SiguranÈ›Äƒ FeroviarÄƒ RomânÄƒ â€“ ASFR: Recomandarea de siguranÈ›Äƒ nr.2 SÄƒ solicite operatorului de transport, revizuirea procedurilor din cadrul SMS care trebuie sÄƒ îndeplineascÄƒ criteriul cu codul F.2 din Regulamentul 1158/2010, prin emiterea unei proceduri pentru a garanta cÄƒ personalul cÄƒruia i s-au delegat responsabilitÄƒÈ›i pentru asigurarea necesarului de material rulant destinat trenurilor aflate în circulaÈ›ie deÈ›ine totodatÄƒ autoritatea È™i resursele adecvate pentru îndeplinirea acestei activitÄƒÈ›i.</t>
  </si>
  <si>
    <t>RO-5917/4</t>
  </si>
  <si>
    <t>The investigation commission found that the operation staff has not complete, coherent, easy to understand information for the lines on which the checking of the height of the air cushions is allowed, regarding the running way when the air cushions are adjusted outside the nominal quotas and regarding the duties of regulation/adjustment of air cushion height. The investigation commission found the lack of some provisions clear in the procedures of railway undertaking SMS, that establish the responsibilities for its own staff regarding the relevant safety requirements for: (a) identification of the safety requirements relevant and updating of the relevant procedures to reflect the changes to which they are submitted (risk control management); (b) implementation of the safety requirements relevant; (c) monitoring of the compliance with the safety requirements relevant; (d) measures taking if it is observed the violation of the safety requirements relevant Therewith, the investigation commission found the lack of some clear provisions in the procedure of the railway undertaking SMS, regarding the appointment of the responsibilities for its own staff, to guarantee the use of the specific documents adequate for the operation of the diesel multiple unit ADH11, so the criterium code L.2 of the Regulations 1158/2010 not being met. So, one does not guarantee the appointment of the lines on which the checking and the adjustment of the air cushion is allowed, indication of the periodicity of the air cushion checking and adjustment, indication of the technical endowments and of the documents for ensuring the operation tracking. We stipulate that the lack of some clear provisions in the SMS procedures, regarding the appointment of the responsibilities for its own staff, to guarantee that the pertinent information are clear, complete, coherent, easy to understand, updated properly and documented suitably, so the criterium code P.1 from the Regulations 1158/2010 being not completely met. So, the updating of the Driver guide for the operation of the diesel multiple unit type ADH11 and its supplement with information clear, complete, coherent, easy to understand, regarding the situation where the height of the air cushion is out of the nominal quotas and regarding the way of running in this case, regarding the situation where the checking of the air cushion height is made on a line that does not meet with the the conditions of regarding the grade and overcant and regarding the staff that has to perform the adjustment of the air cushion height; The investigation commission found failures in the Technical Specification ST 28/2011, regarding the checking/adjustment of the mechanical clearances, of the air cushion heights and of the loads on wheels, because the operations above mentioned are performed either rarely or never. In this respect, the technical parameters that influence load transfers between the wheels of diesel multiple unit, which may have exceeded the stability limit at derailment, are not adequately controlled. The deficiencies above mentioned were causes for the accident happened on 19th January 2019, between the railway stations Jibou and MirÅŸid, consisting in the derailment of the multiple unit ADH no.1420, composing the passenger train no.4456. For the prevention of some railway accidents generated by these deficiencies, AGIFER issued 4 safety recommendations, in case of the investigation of the accident happened on the 19th January 2019, between the railway stations Jibou and MirÅŸid, consisting in the derailment of the multiple unit ADH no.1420, composing the passenger train no.4456. So, the investigation commission considers that it is enough the implementation of the safety recommendation issued at the investigation of the accident happened on the 19th January 2019. During the investigation, one found that the rolling stock derailed had exceeded the time norm for the performance of the planned repair type RR. In this regard, the SMS procedures do not consider the provisions according which the staff of SRTFC Cluj, responsible for the provision with the necessary multiple units that compose the trains in running, be ensured that has the authority and the resources adequate for the tasks performing. Considering the issues above mentioned, in order to decrease the risks of other similar accident occurrence, the investigation commission recommends Romanian Railway Safety Authority â€“ ASFR: Safety recommendation no.2 Ro request the railway undertaking the revision of the SMS procedures that have to meet with the criterium code F.2 from the Regulations 1158/2010, for working out a procedure in order to guarantee that the staff appointed with the responsibilities for the provision with the necessary rolling stock, composing the trains in running, gets also the authority and the adequate resources for the performance of these activities.</t>
  </si>
  <si>
    <t>RO-5937/1</t>
  </si>
  <si>
    <t>RecomandÄƒri de siguranÈ›Äƒ În cursul acÈ›iunii de investigare comisia a constatat faptul cÄƒ ...</t>
  </si>
  <si>
    <t>RecomandÄƒri de siguranÈ›Äƒ În cursul acÈ›iunii de investigare comisia a constatat faptul cÄƒ managementul administratorului de infrastructurÄƒ a elaborat procedura de sistem PS SMCM â€“ SMS 0-6.1 â€žManagementul riscurilorâ€, având ca datÄƒ a intrÄƒrii în vigoare 17.10.2017, procedurÄƒ care a înlocuit PO SMS 0-4.12 â€žManagementul riscurilor de siguranÈ›Äƒ feroviarÄƒâ€. În aceastÄƒ procedurÄƒ este stabilit cÄƒ administratorul, prin structurile sale organizatorice, trebuie sÄƒ identifice riscurile â€žcare pot afecta activitatea desfÄƒÈ™uratÄƒ È™i obiectivele stabiliteâ€, riscurile nou identificate fiind înscrise în formularul de â€žalertÄƒ de riscâ€, anexÄƒ a procedurii. De asemenea, se înfiinÈ›eazÄƒ un nou "Registru de evidenÈ›a pericolelor", întocmit conform noii proceduri. Comisia a constatat cÄƒ aceastÄƒ procedurÄƒ nu este implementatÄƒ la nivelul Sucursalei Regionale CF Craiova, în sensul cÄƒ la acest nivel "Registrul de evidenÈ›a pericolelor" este întocmit tot dupÄƒ vechea procedurÄƒ, iar formularul de alertÄƒ de riscâ€ nu este cunoscut de cÄƒtre personalul implicat. Având în vedere acest aspect, comisia de investigare recomandÄƒ ca: 1) Autoritatea de SiguranÈ›Äƒ FeroviarÄƒ RomânÄƒ â€“ ASFR sÄƒ se asigure cÄƒ administratorul infrastructurii feroviare publice implementeazÄƒ procedura de sistem PS SMCM â€“ SMS 0-6.1 â€žManagementul riscurilorâ€, parte a SMS, la nivelul tuturor structurilor organizatorice din componenÈ›a sa. Deraierea vagoanelor nr. 33876735817-3 È™i 88535300469-4 (al 16-lea È™i al 17-lea din compunerea trenului), precum È™i a vagoanelor nr. 85535310067-7 È™i 84535488317-3 (al 24-lea È™i al 25-lea din compunerea trenului) s-a produs pe fondul mentenanÈ›ei necorespunzÄƒtoare a cÄƒii pe curba schimbÄƒtorului de cale numÄƒrul 16 (pe È™inele de legÄƒturÄƒ), cu acces spre linia 5 a staÈ›iei CFR RoÈ™iori Nord. Comisia de investigare a constatat faptul cÄƒ administratorul de infrastructurÄƒ a identificat, dar nu a gestionat riscurile generate de nerealizarea mentenanÈ›ei liniilor CF, pentru a putea dispune în consecinÈ›Äƒ soluÈ›ii È™i mÄƒsuri viabile în vederea È›inerii sub control a pericolului deraierii. Astfel, dacÄƒ s-ar fi aplicat propriile proceduri ale sistemului de management al siguranÈ›ei, în integritatea lor, precum È™i prevederile codurilor de practicÄƒ, parte componentÄƒ a SMS, administratorul de infrastructurÄƒ ar fi putut sÄƒ menÈ›inÄƒ parametrii tehnici ai geometriei cÄƒii în limitele toleranÈ›elor impuse de siguranÈ›a feroviarÄƒ. Întrucât aceste aspecte au fost constatate È™i prezentate È™i la investigarea altor accidente feroviare (ex: accidentul produs în data de 28.03.2017 în halta de miÈ™care Ciolpani sau accidentul produs în data de 13.12.2017 pe distanÈ›a GoleÈ™tiâ€“Bradu de Sus), în urma cÄƒrora s-au dispus recomandÄƒri de siguranÈ›Äƒ, s-a considerat cÄƒ nu mai este necesarÄƒ emiterea altor recomandÄƒri cu caracter identic.</t>
  </si>
  <si>
    <t>RO-5937/2</t>
  </si>
  <si>
    <t>During the investigation, the commission found that the management of the infrastructure administrator drafted the system procedure PS SMCM â€“ SMS 0-6.1 â€žRisk managementâ€, having like date of coming into force the 17th October 2017, this procedure replacing PO SMS 0-4.12 â€žManagement of the railway safety risksâ€. In this procedure it is established that the administrator, through its organisational structures, has to identify the risks â€žthat can affect the activity performed and the objectives establishedâ€, the risks recently identified being written down in the form â€žrisk alertâ€, enclosed to the procedure. It is also established a new "Register for the danger evidence", drafted according to the new procedure. The commission found that this procedure is not implemented in the railway county Craiova, that is at this level "The register for the danger evidence" is drafted upon the old procedure, and the form â€žrisk alertâ€ is not known by the staff involved. Taking into account this issue, the investigation commission recommends: 1) Romanian Railway Safety Authority â€“ ASFR ensure that the railway public infrastructure administrator implements the system procedure PS SMCM â€“ SMS 0-6.1 â€žRisk managementâ€, part of SMS, in all its organisational structures. The derailment of the wagons no. 33876735817-3 and 88535300469-4 (the 16th and 17th ones in the train composition), as well as of the wagons no. 85535310067-7 and 84535488317-3 (the 24th and 25th ones in the train composition) happened following the unsuitable maintenance of the track on the curve of the switch no. 16 (on the connection rails), with access to the line 5 of the railway station RoÈ™iori Nord. The investigation commission found that the infrastructure administrator identified but did not managed the risks generated by the missing of the line maintenance, in order to dispose consequently the solutions and the measures viable for keeping under control the derailment danger. So, if the own procedures of the safety management system, as well as the provisions of the practice, part of SMS, had been completely applied, the infrastructure administrator should have been able to keep the technical parameters of the track geometry between the limits of the tolerances imposed by the railway safety. Because these issues were found and presented also during the investigation of other accidents (ex: accident happened on the 28th March 2017 in the railway station Ciolpani or the accident happened on the 13th December 2017 between GoleÈ™tiâ€“Bradu de Sus), following which safety recommendations were disposed, it considered that there is no need to issue other identical recommendations.</t>
  </si>
  <si>
    <t>RO-5940/1</t>
  </si>
  <si>
    <t>În cazul accidentului feroviar produs la data de 02.03.2019, în circulaÈ›ia trenului IR nr.74-1 s-a ...</t>
  </si>
  <si>
    <t>În cazul accidentului feroviar produs la data de 02.03.2019, în circulaÈ›ia trenului IR nr.74-1 s-a constatat faptul cÄƒ deraierea a fost influenÈ›atÄƒ de starea tehnicÄƒ necorespunzÄƒtoare, atât a infrastructurii feroviare cât È™i a materialului rulant implicat. La locomotiva EA689 ce a remorcat trenul nr.74-1 s-a constatat repatizarea sarcinii pe roÈ›i în afara domeniului admis pentru locomotive în exploatare (±2% din greutatea medie pe roÈ›i) la 5 dintre cele 6 osii. Ultima echilibrare a sarcinii pe osii a fost efectuatÄƒ la data de 12.12.2018 în urma strunjirii roÈ›ilor locomotivei. De la aceastÄƒ datÄƒ È™i pânÄƒ la data producerii accidentului, datoritÄƒ modificÄƒrii în timp a caracteristicilor elastice ale elementelor de suspensie din cauciuc s-au produs modificÄƒri în distribuÈ›ia sarcinii pe osiile locomotivei, modificÄƒri a cÄƒror valori au depÄƒÈ™it limitele admise pentru locomotivele din exploatare. Pentru prevenirea unor cazuri de accidente care s-ar putea produce în condiÈ›ii similare cu cele prezentate în acest raport, AGIFER emite, pentru Autoritatea de SiguranÈ›Äƒ FeroviarÄƒ RomânÄƒ â€“ ASFR, urmÄƒtoarele recomandÄƒri de siguranÈ›Äƒ: 1. Autoritatea de SiguranÈ›Äƒ FeroviarÄƒ RomânÄƒ â€“ ASFR va analiza împreunÄƒ cu operatorii de transport feroviar ce deÈ›in locomotive de tip 060-EA sau 040-EC, oportunitatea introducerii în sistemul de management al siguranÈ›ei a unor reglementÄƒri (proceduri) care sÄƒ prevadÄƒ mÄƒsuri pentru verificarea periodicÄƒ, cu ocazia reviziilor planificate tip RT sau R1, a repartizÄƒrii sarcinilor pe osie È™i a jocurilor mecanice, pentru È›inerea sub control a riscurilor induse de modificÄƒrile în timp ale caracteristicilor elementelor de suspensie din cauciuc.</t>
  </si>
  <si>
    <t>RO-5940/2</t>
  </si>
  <si>
    <t>With reference to the railway accident happened on the 2nd of March 2019, in the running of the train IR no.74-1 one found that the derailment was influenced by the inadequate technical condition both of the railway infrastructure and of the rolling stock involved. At the locomotive EA689, hauling the train no. 74-1, one found that the distribution of the load on wheels outside the limits accepted for the locomotives in operation (± 2% of the average load on wheels) at 5 from those 6 axles. The last weighing of the load on the axles was performed on the 12th December 2018, following the turning of the locomotive wheels. From this time until the date of the accident, due to the change in time of the elastic characteristics of the rubber suspension elements, there were changes in the distribution of the load on the locomotive axles, changes whose values exceeded the limits allowed for the operation of the locomotives. For the prevention of accidents similar to those presented in this report, AGIFER issues, for the Romanian Railway Safety Authority - ASFR, the following safety recommendations: 1. Romanian Railway Safety Authority - ASFR shall analyse together with the railway transport undertaking that get locomotives type 060-EA or 040-EC, the opportunity to introduce into the safety management system some regulations (procedures) that provide measures for periodic inspection, during the planned inspections type RT or R1, the transfer of the loads on the axle and mechanical clearances, in order to keep under control the risks induced by the changes in time of the characteristics of the rubber suspension elements.</t>
  </si>
  <si>
    <t>RO-5940/3</t>
  </si>
  <si>
    <t>Autoritatea de SiguranÈ›Äƒ FeroviarÄƒ RomânÄƒ â€“ ASFR împreunÄƒ cu administratorul infrastructurii ...</t>
  </si>
  <si>
    <t>Autoritatea de SiguranÈ›Äƒ FeroviarÄƒ RomânÄƒ â€“ ASFR împreunÄƒ cu administratorul infrastructurii feroviare publice CNCFâ€žCFRâ€SA va efectua o analizÄƒ de risc pentru a constata oportunitatea introducerii pericolului â€ždepÄƒÈ™irea toleranÈ›elor admise ale cÄƒiiâ€ ca neconformitate inacceptabilÄƒ.</t>
  </si>
  <si>
    <t>RO-5940/4</t>
  </si>
  <si>
    <t>.Romanian Railway Safety Authority - ASFR together with the public railway infrastructure administrator CNCF "CFR" SA shall carry out a risk analysis to find the opportunity to introduce the danger of "exceeding the admitted track tolerances" like unacceptable nonconformity.</t>
  </si>
  <si>
    <t>RO-5940/5</t>
  </si>
  <si>
    <t>Autoritatea de SiguranÈ›Äƒ FeroviarÄƒ RomânÄƒ â€“ ASFR împreunÄƒ cu administratorul infrastructurii feroviare publice CNCFâ€žCFRâ€SA va efectua o analizÄƒ de risc pentru a constata oportunitatea introducerii pericolului subdimensionÄƒrii personalului districtelor L ca neconformitate inacceptabilÄƒ.</t>
  </si>
  <si>
    <t>RO-5940/6</t>
  </si>
  <si>
    <t>3.Romanian Railway Safety Authority - ASFR together with the public railway infrastructure administrator CNCF â€žCFRâ€ SA shall carry out a risk analysis to find the opportunity to introduce the danger of under-sizing the staff from Lines Districts like unacceptable nonconformity.</t>
  </si>
  <si>
    <t>RO-5942/1</t>
  </si>
  <si>
    <t>RecomandÄƒri de siguranÈ›Äƒ Deraierea vagonului nr. 50537131042- 4 aflat în compunerea trenului de ...</t>
  </si>
  <si>
    <t>RecomandÄƒri de siguranÈ›Äƒ Deraierea vagonului nr. 50537131042- 4 aflat în compunerea trenului de cÄƒlÄƒtori nr.4136, face parte dintr-o serie de accidente similare, deraierile fiind cauzate de traversele de lemn care prezentau defecte la interior, dupÄƒ cel mult 5 ani de la fabricaÈ›ia acestora. Traversele de lemn se aflau în termen de garanÈ›ie sau imediat dupÄƒ expirarea termenului de garanÈ›ie È™i prezentau în interior procese de degradare acceleratÄƒ a materialului lemnos, care au condus la producerea deraierilor. PotenÈ›ialele consecinÈ›e È™i caracterul de repetabilitate al acestui tip de accident, au determinat comisia de investigare sÄƒ verifice în mod extins consistenÈ›a cadrului de reglementare care vizeazÄƒ traversele de lemn, nu numai conformarea actorilor din piaÈ›Äƒ cu reglementÄƒrile specific feroviare. În urma investigaÈ›iei a reieÈ™it cÄƒ pentru categoria de produse traverse de lemn, dispoziÈ›iile normative cuprinse în OMT 290/2000 au fost afectate implicit de acte normative ulterioare È™i de nivel superior - OMTCT 1558/2000, Decizia 97/176/CE, HG 622/2004 È™i Regulamentul (UE) nr. 1169/2010. TotodatÄƒ s-a constatat cÄƒ dispoziÈ›iile normative din interiorul OMT 290/2000 care erau afectate, nu au fost abrogate în mod expres È™i explicit, devenind astfel aparent contradictorii cu actele legislative ulterioare È™i de nivel superior. Din cauza acestei aparenÈ›e contradictorii, personalul responsabil cu aplicarea legislaÈ›iei privind achiziÈ›ia traverselor de lemn efectuatÄƒ în anul 2013, a aplicat prevederile din OMT 290/200 în loc sÄƒ le aplice pe cele ale actelor normative ulterioare. Astfel, achiziÈ›ia de traverse de lemn s-a fÄƒcut de la furnizori deÈ›inÄƒtori de AutorizaÈ›ie de furnizor feroviar eliberatÄƒ de ONFR-AFER, în loc sÄƒ fie achiziÈ›ii de la furnizori deÈ›inÄƒtori de Certificate de Conformitate EC eliberate de cÄƒtre Organisme notificate pentru atestarea conformitÄƒÈ›ii. Potrivit normelor legale în vigoare, AutorizaÈ›ia de furnizor feroviar eliberatÄƒ de AFER, nu poate fi consideratÄƒ o dovadÄƒ valabilÄƒ pentru evaluarea conformitÄƒÈ›ii cu cerinÈ›ele de siguranÈ›Äƒ în cazul traverselor de lemn, destinate liniei în cauzÄƒ . În acest sens, certificatele de conformitate EC acordate furnizorilor în conformitate cu legislaÈ›ia Uniunii, sunt considerate drept dovadÄƒ valabilÄƒ pentru evaluarea conformitÄƒÈ›ii cu cerinÈ›ele de siguranÈ›Äƒ a traverselor de lemn, destinate liniei în cauzÄƒ. PrecizÄƒm cÄƒ este admisÄƒ pentru toate categoriile de linii, utilizarea traverselor care au fost supuse procedurii de evaluare a conformitÄƒÈ›ii pentru elementul constitutiv de interoperabilitate â€“ traversÄƒ de lemn, procedurÄƒ pentru care este notificat ONFR-AFER. Ministerul Transporturilor a luat în anul 2015 prin intermediul HG 606/2015, mÄƒsura de eliminare a autorizaÈ›iilor de furnizor feroviar destinate sistemului feroviar convenÈ›ional, din obiectul de activitate al AFER-ONFR. Cu toate acestea, pe parcursul investigaÈ›iei a reieÈ™it cÄƒ personalul responsabil cu achiziÈ›ionarea traverselor de lemn, face în continuare achiziÈ›ii de la furnizorii ce deÈ›in autorizaÈ›ie AFER, pentru linii care fac parte din sistemul convenÈ›ional, fiind indus în eroare de prevederile conÈ›inute de OMT 290/2000, care au devenit contradictorii cu normele legale ulterioare. Lipsa de claritate a normelor legale destinate produselor cu impact în siguranÈ›a feroviarÄƒ, a mai fost tratatÄƒ de cÄƒtre AGIFER, în cadrul Raportului de investigare privind accidentul feroviar produs la data de 24.09.2017, în staÈ›ia CFR Dej CÄƒlÄƒtori, în circulaÅ£ia trenului de cÄƒlÄƒtori nr.1765, prin deraierea locomotivei EA 546 È™i a celor È™ase vagoane din compunerea trenului. Una dintre concluziile din acel Raport de investigare a fost aceea cÄƒ â€ Prevederile, aplicabile în prezent, referitoare la mentenanÈ›a liniilor interoperabile, nu au rolul de a stabili, fÄƒrÄƒ echivoc, cazurile în care se impune existenÈ›a certificatelor de conformitate CE È™i a cazurilor în care admiterea produselor feroviare se face cu aplicarea prevederilor OMT 290/2000â€. Concluzia menÈ›ionatÄƒ anterior, a fost abordatÄƒ de cÄƒtre AGIFER în respectivul Raport de investigare, prin emiterea RecomandÄƒrii de siguranÈ›Äƒ nr.1, prin care s-a urmÄƒrit o clarificare È™i îndrumare a actorilor din piaÈ›a feroviarÄƒ privind â€... modul de aplicare a reglementÄƒrilor naÈ›ionale È™i europene, pentru introducerea pe piaÈ›a din România a produselor feroviare critice È™i a constituenÈ›ilor de interoperabilitateâ€. ConstatÄƒrile fÄƒcute de cÄƒtre AGIFER în prezent, conduc însÄƒ la concluzia cÄƒ Recomandarea de siguranÈ›Äƒ nr.1 menÈ›ionatÄƒ anterior, nu a avut rezultatul scontat, deoarece ASFR nu a reuÈ™it sÄƒ promoveze clarificÄƒrile necesare, privind modalitÄƒÈ›ile de introducere pe piaÈ›Äƒ, a tuturor produselor cu impact în siguranÈ›a feroviarÄƒ. Pentru rezolvarea acestui tip de problematicÄƒ, pe baza celor constatate, comisia de investigare considerÄƒ cÄƒ în prezent este necesarÄƒ modificarea expresÄƒ È™i explicitÄƒ a cadrului de reglementare, în vederea înÈ›elegerii È™i aplicÄƒrii în mod unitar de cÄƒtre actorii din piaÈ›a feroviarÄƒ, a legislaÈ›iei privitoare la produsele È™i serviciile care au impact în siguranÈ›a feroviarÄƒ. MenÈ›ionÄƒm cÄƒ mentenanÈ›a necorespunzÄƒtoare a infrastructurii feroviare a liniei curente dintre haltele de miÅŸcare Telciu È™i CoÅŸbuc, a fost cauza unui alt accident feroviar produs la data de 22.06.2016, la km 12 + 840, prin deraierea a douÄƒ vagoane din compunerea trenului de marfÄƒ nr.42564. Cauza directÄƒ a producerii accidentului feroviar a constituit-o pierderea stabilitÄƒÈ›ii cadrului È™ine traverse, pe fondul alcÄƒtuirii neinstrucÈ›ionale a cÄƒii cu joante, respectiv a dimensiunilor neinstrucÈ›ionale ale rosturilor de dilataÈ›ie È™i a unor neconformitÄƒÈ›i privitoare la forma prismei de piatrÄƒ spartÄƒ. Având în vedere aspectele prezentate pentru reducerea riscurilor de producere a unor accidente feroviare similare, comisia de investigare recomandÄƒ AutoritÄƒÈ›ii de SiguranÈ›Äƒ FeroviarÄƒ RomânÄƒ â€“ ASFR: ï‚§ Recomandarea de siguranÈ›Äƒ nr.1 SÄƒ facÄƒ demersuri pentru abrogarea expresÄƒ È™i explicitÄƒ a prevederilor cuprinse în OMT 290/2000, care sunt contradictorii cu actele normative ulterioare sau de nivel superior, acte normative care au ca obiect produsele È™i serviciile cu impact în siguranÈ›a feroviarÄƒ, în vederea prevenirii unor situaÈ›ii de aplicare contradictorie a acestora.</t>
  </si>
  <si>
    <t>RO-5942/2</t>
  </si>
  <si>
    <t>The derailment of the car no. 50537131042- 4, being in the composition of the passenger train no.4136, is part of a series of similar accidents, the derailments being caused by the wooden sleepers that had internal failures, after maximum 5 years from their manufacturing. The wooden sleepers were in warranty period or soon after the expiration of the warranty period and had inside quick degradations of the wood, that led to the derailments. The eventual consequences and the repeatability character of this type of accident, determined the investigation commission to check extensively the consistency of the regulation framework that covers the wooden sleepers, not only the compliance of the actors from the market with the specific regulations in force. Following the investigation, it was found that for the products wooden sleepers, the legal provisions of the Minister of Transportsâ€™ Order OMT 290/2000 were changed inexplicitly by further upper level legal papers â€“ Order of Minister of Transports, Constructions and Tourism OMTCT 1558/2000, Decision 97/176/CE, Government Decision 622/2004 and Regulations (UE) no. 1169/2010. One also found that the legal provisions of the Minister of Transportsâ€™Order 290/2000 that were changed, were not express and clearly cancelled, becoming apparently contradictory to the upper level further legal papers. Following this appearance contradictory, the staff in charge with the application of the legislation for the purchase of the wooden sleepers made in 2013, applied the provisions of the Minister of Transportsâ€™ Order 290/200 instead to apply those of the further legal papers. So, the purchase of the wooden sleepers was done from suppliers getting the Supplier Authorization, granted by AFER - ONFR, instead be purchased from suppliers getting EC Conformity Certificates granted by Bodies notified for the conformity certification. According to the legal norms in force, the Railway Supplier Authorization granted by AFER cannot be considered a valid proof for the assessment of the conformity with the safety requirements in case of wooden sleepers, intended for the respective line. In this regard, EC conformity certificates granted to the suppliers in accordance with EU legislation, are considered like a valid proof for the assessment of the conformity with the safety requirements for the wooden sleepers, intended for the respective line. We underline that for all lines it is accepted the use of sleepers submitted to the procedure of conformity assessment for the interoperability constitutive element â€“ wooden sleeper, procedure for which AFER â€“ ONFR is notified. The Ministry of Transports removed in 2015 through the Government Decision 606/2015, the railway supplier authorizations for the conventional railway system, from the activity field of AFER-ONFR. Anyway, during the investigation resulted that the staff in charge with the purchase of the wooden sleepers, continue to make purchases from suppliers getting AFER authorizations, for lines of the conventional system, being misled by the provisions of the Minister of Transportsâ€™Order 290/2000, that became contradictory to the further legal norms. AGIFER still treated the lack of clarity of the legal norms for the products with impact on the railway safety, within the Investigation Report regarding the railway accident happened on the 24th of September 2017, in the railway station Dej CÄƒlÄƒtori, in the running of the passenger train no.1765, consisting in the derailment of the locomotive EA 546 and of those 6 cars. One of the conclusions from that Investigation Report was â€ The provisions curently applicable, regarding the maintenance of the interoperable lines, have not the role to establish unequivocally the cases that impose the existence of EC conformity certificates and of the cases where the acceptance of the railway products is possible only by the application of the provisions of the Minister of Transportsâ€™Order 290/2000â€. The conclusion above mentioned was approached by AGIFER in the respective Investigation Report, by issuing the Safety Recommendation no.1, wishing a clarification and guiding of the actors from the railway market for â€... application way of the national and European regulations for marketing into Romania of the railway critical products and of the interoperability constituentsâ€. AGIFER actual findings lead to the conclusion that the Safety recommendation nr.1, before mentioned, had not the desired result, because ASFR did not succeed the promotion of the necessary clarifications, regarding the ways to market all the products with impact on the railway safety. In order to solve such type of problem, upon the findings, the investigation commission considers that currently it is necessary the express and clear change of the regulation framework for the unitary understanding and application, by all railway actors, of the legislation for the products and services with impact on the railway safety. We mention that the improper maintenance of the railway infrastructure of the running line between the railway stations Telciu and CoÅŸbuc, was the cause of another railway accident happened on the 22nd of June 2016, km 12 + 840, consisting in the derailment of two wagons of the freight train no.42564. The direct cause of the accident was the loss of the stability of the rail-sleepers system, in the conditions of the non-instructional making of the non-welded track, respectively of the non-instructional sizes of the expansion joints and of some non-conformities regarding the shape of the broken stone bed. Considering the issues presented, in order to reduce the risks of similar accidents, the investigation commission recommends Romanian Railway Safety Authority â€“ ASFR: ï‚§ Safety recommendation no.1 To take steps for the express and clear cancellation of the provisions of OMT 290/2000, that are contradictory to the further upper level legal papers, that have like object the products and services with impact on the railway safety, for the prevention of some situation of their contradictory application.</t>
  </si>
  <si>
    <t>RO-5942/3</t>
  </si>
  <si>
    <t>ï‚§ Recomandarea de siguranÈ›Äƒ nr.2 SÄƒ solicite gestionarului de infrastructurÄƒ, efectuarea unei ...</t>
  </si>
  <si>
    <t>ï‚§ Recomandarea de siguranÈ›Äƒ nr.2 SÄƒ solicite gestionarului de infrastructurÄƒ, efectuarea unei analize de risc, pentru pericolele care sunt generate de traversele de lemn introduse deja în cale, care au fost achiziÈ›ionate dupÄƒ alte cerinÈ›e decât cele din standardul tehnic în vigoare, sau nu au respectat condiÈ›ia privitoare la certificarea conformitÄƒÈ›ii cu specificaÈ›iile tehnice</t>
  </si>
  <si>
    <t>RO-5942/4</t>
  </si>
  <si>
    <t>ï‚§ Safety recommendation no.2 To ask the infrastructure manager a risk analysis for the dangers generated by the wooden sleepers already fitted in the track, that were purchased upon other requirements than those from the technical standard in force, or they did not meet with the condition regarding the conformity certification upon the technical specifications;</t>
  </si>
  <si>
    <t>RO-5942/5</t>
  </si>
  <si>
    <t>Privitor la cerinÈ›ele de siguranÈ›Äƒ pentru produse, s-a constatat cÄƒ, atât la data achiziÈ›iei ...</t>
  </si>
  <si>
    <t>Privitor la cerinÈ›ele de siguranÈ›Äƒ pentru produse, s-a constatat cÄƒ, atât la data achiziÈ›iei traverselor cât È™i la data producerii accidentului, la SRCF Cluj nu era identificat pericolul rezultat din utilizarea produselor feroviare (traverse de lemn), care nu respectÄƒ cerinÈ›ele de siguranÈ›Äƒ relevante conÈ›inute în standarde tehnice. TotodatÄƒ, nu era identificat pericolul rezultat din utilizarea produselor feroviare (traverse de lemn), care nu respectÄƒ condiÈ›iile privind certificarea conformitÄƒÈ›ii cu specificaÈ›iile tehnice. Pe parcursul investigaÈ›iei, a reieÈ™it cÄƒ din procedurile din cadrul SMS ale gestionarului de infrastructurÄƒ, lipsesc prevederi de distribuire a responsabilitÄƒÈ›ilor cÄƒtre personalul propriu, privind verificarea competenÈ›ei furnizorilor în faza de selecÈ›ie a acestora, nefiind astfel îndeplinit în totalitate criteriul cu codul C1 din Anexa II la Regulamentul 1158/2010. Din constatÄƒrile fÄƒcute pe parcursul investigaÈ›iei, a reieÈ™it cÄƒ din procedurile din cadrul SMS ale gestionarului de infrastructurÄƒ, lipsesc prevederi de distribuire a responsabilitÄƒÈ›ilor cÄƒtre personalul propriu, privitor la identificarea normelor referitoare la furnizarea lucrÄƒrilor de întreÈ›inere È™i a materialului, care trebuie cunoscute È™i aplicate în faza de achiziÈ›ie. Astfel, lipseau prescripÈ›ii privitoare la identificarea normelor, pe care gestionarul de infrastructurÄƒ trebuie sÄƒ le impunÄƒ spre respectare cÄƒtre furnizori, în faza iniÈ›ialÄƒ de achiziÈ›ie, nefiind astfel îndeplinitÄƒ în totalitate criteriul cu codul V.3 din Anexa II la Regulamentul 1158/2010. SRCF Cluj a utilizat Procedura de proces PP 0-7.4.1. privind achiziÈ›iile, pentru a stabili condiÈ›iile tehnice de achiziÈ›ionare a traverselor. S-a constatat însÄƒ cÄƒ, din Procedura PP 0-7.4.1. lipseau menÈ›iuni care sÄƒ indice faptul cÄƒ furnizorii sau produsele trebuie certificate în conformitate cu sistemele de certificare stabilite în temeiul legislaÈ›iei Uniunii, iar produsele trebuie sÄƒ respecte cerinÈ›ele de siguranÈ›Äƒ. Având în vedere aspectele prezentate, pentru reducerea riscurilor de producere a unor accidente feroviare similare, comisia de investigare recomandÄƒ AutoritÄƒÈ›ii de SiguranÈ›Äƒ FeroviarÄƒ RomânÄƒ â€“ ASFR: ï‚§ Recomandarea de siguranÈ›Äƒ nr.3 SÄƒ solicite gestionarului de infrastructurÄƒ, revizuirea procedurilor din cadrul SMS, care trebuie sÄƒ îndeplineascÄƒ criteriul cu codul C.1 din Anexa II la Regulamentul 1158/2010, prin completarea cu prevederi explicite care sÄƒ distribuie responsabilitÄƒÈ›i cÄƒtre personalul propriu, privind verificarea È™i controlul competenÈ›ei, performanÈ›elor È™i a rezultatelor în domeniul siguranÈ›ei feroviare a contractanÈ›ilor, în momentul selecÈ›iei.</t>
  </si>
  <si>
    <t>RO-5942/6</t>
  </si>
  <si>
    <t>Regarding the safety requirements for products, one found that, both when the sleepers were bought and when the accident happened, the railway county Cluj did not identify the danger resulted from the use of the railway products (wooden sleepers), that did not comply with the relevant safety requirements from the technical standards. One did not identify the danger resulted from the use of the railway products (wooden sleepers), that do not meet with the conditions for the conformity certification upon the technical specifications During the investigation, it was found that in the SMS procedures of the infrastructure manager, there are missing provisions for the appointment of the responsibilities to its own staff, regarding the checking of the supplier competence during the selection, so the criterium code C1 from the Annex II of the Regulations 1158/2010 not being completely met. From the investigation findings, it was found that in the SMS procedures of the infrastructure manager there are not provisions for the appointment of the responsibilities to its own staff, regarding the identification of the norms for the performance of the maintenance and provision of the material, that have to be known and applicable in the purchase level. So, there were missing the provisions for the identification of the norms, that the railway infrastructure has to impose to the suppliers for meeting, in the initial level of purchase, the criterium code V.3 from the Annex II of the Regulations 1158/2010 not being completely met. The railway county Cluj used the Process procedure PP 0-7.4.1. regarding the purchases, in order to establish the technical conditions for sleeper purchase. It was found that, there were missing in the Procedure PP 0-7.4.1. mentions that indicate the fact that the suppliers of the products have to be certified in accordance with the certification systems established upon EU legislation, and the products have to meet with the safety requirements . Considering these above mentioned, in order to reduce the risks of similar accidents, the investigation commission recommends Romanian Railway Safety Authority â€“ ASFR: ï‚§ Safety recommendation no.3 To ask the infrastructure manager the revision of the SMS procedures, that have to meet with the criterium C.1 from the Annex II of the Regulations 1158/2010, adding clear provisions for the appointment of the responsibilities to its own staff, regarding the checking and control of the contractors competence, performances and results in the railway safety field, at the selection moment.</t>
  </si>
  <si>
    <t>RO-5942/7</t>
  </si>
  <si>
    <t>ï‚§ Recomandarea de siguranÈ›Äƒ nr.4 SÄƒ solicite gestionarului de infrastructurÄƒ, revizuirea ...</t>
  </si>
  <si>
    <t>ï‚§ Recomandarea de siguranÈ›Äƒ nr.4 SÄƒ solicite gestionarului de infrastructurÄƒ, revizuirea procedurilor din cadrul SMS care trebuie sÄƒ îndeplineascÄƒ criteriul cu codul V.3 din Anexa II la Regulamentul 1158/2010, prin completarea cu prevederi explicite care sÄƒ distribuie responsabilitÄƒÈ›i cÄƒtre personalul propriu, privind identificarea normelor referitoare la furnizarea lucrÄƒrilor de întreÈ›inere È™i a materialelor pentru faza iniÈ›ialÄƒ de selecÈ›ie a furnizorilor È™i de achiziÈ›ie a produselor.</t>
  </si>
  <si>
    <t>RO-5942/8</t>
  </si>
  <si>
    <t>ï‚§ Safety recommendation no.4 To ask the infrastructure manager the revision of SMS procedures that have to meet with the criterium code V.3 from the Annex II of the Regulations 1158/2010, adding clear provisions for the appointment of the responsibilities to its own staff, regarding the identification of the norms for the supply of maintenance and materials for the initial selection level of the suppliers and product purchase.</t>
  </si>
  <si>
    <t>RO-5942/9</t>
  </si>
  <si>
    <t>ï‚§ Recomandarea de siguranÈ›Äƒ nr.5 SÄƒ solicite gestionarului de infrastructurÄƒ, revizuirea ...</t>
  </si>
  <si>
    <t>ï‚§ Recomandarea de siguranÈ›Äƒ nr.5 SÄƒ solicite gestionarului de infrastructurÄƒ, revizuirea procedurilor interne privind achiziÈ›iile, fiind necesarÄƒ punerea acestor proceduri în acord cu prevederile legale referitoare la certificarea conformitÄƒÈ›ii produselor cu specificaÈ›iile tehnice.</t>
  </si>
  <si>
    <t>RO-5942/10</t>
  </si>
  <si>
    <t>ï‚§ Safety recommendation no.5 To ask the infrastructure manager the revision of the internal procedures for purchases, being necessary the harmonization of these procedures with the legal provisions regarding the conformity certification of the products with the technical specifications.</t>
  </si>
  <si>
    <t>RO-5942/11</t>
  </si>
  <si>
    <t>ï‚§ Recomandarea de siguranÈ›Äƒ nr.6 SÄƒ solicite gestionarului de infrastructurÄƒ, revizuirea evidenÈ›ei ...</t>
  </si>
  <si>
    <t>ï‚§ Recomandarea de siguranÈ›Äƒ nr.6 SÄƒ solicite gestionarului de infrastructurÄƒ, revizuirea evidenÈ›ei pericolelor, fiind necesarÄƒ efectuarea unei analize de risc, pentru pericolele care sunt generate atât de nerespectarea cerinÈ›elor de siguranÈ›Äƒ pentru produse cât È™i de neîndeplinirea condiÈ›iilor privind certificarea conformitÄƒÈ›ii cu specificaÈ›iile tehnice în cazul produselor achiziÈ›ionate.</t>
  </si>
  <si>
    <t>RO-5942/12</t>
  </si>
  <si>
    <t>ï‚§ Safety recommendation no.6 To ask the infrastructure manager the revision of the danger evidence, being necessary a risk analysis for the dangers generated both by the violation of the safety requirements for the products and non-meeting with the conditions for the certification of the conformity with the technical specifications for the purchased products.</t>
  </si>
  <si>
    <t>RO-5946/1</t>
  </si>
  <si>
    <t>RecomandÄƒri de siguranÈ›Äƒ Deraierea celor cinci vagoane din compunerea trenului de marfÄƒ nr. 30684 ...</t>
  </si>
  <si>
    <t>RecomandÄƒri de siguranÈ›Äƒ Deraierea celor cinci vagoane din compunerea trenului de marfÄƒ nr. 30684 s-a produs pe fondul mentenanÈ›ei necorespunzÄƒtoare a infrastructurii feroviare. În timpul investigaÈ›iei s-a constatat cÄƒ, mentenanÈ›a suprastructurii cÄƒii nu a fost realizatÄƒ în conformitate cu prevederile codurilor de practicÄƒ (documente de referinÈ›Äƒ/asociate ale procedurilor din cadrul sistemului de management al siguranÈ›ei al CNCF â€žCFRâ€ SA). Având în vedere cÄƒ neaplicarea prevederilor PO SMS 0-4.07 â€žRespectarea specificaÅ£iilor tehnice, standardelor ÅŸi cerinÅ£elor relevante pe întreg ciclul de viaÈ›Äƒ a liniilor în procesul de întreÅ£inereâ€, parte a sistemului de management al siguranÈ›ei al CNCF â€žCFRâ€ SA a fost depistatÄƒ ca fiind cauza primarÄƒ a acestui accident, pentru prevenirea unor cazuri de accidente care s-ar putea produce în condiÈ›ii similare cu cele prezentate în acest raport, AGIFER emite, urmÄƒtoarea recomandare de siguranÈ›Äƒ: Autoritatea de SiguranÈ›Äƒ FeroviarÄƒ RomânÄƒ â€“ ASFR sÄƒ analizeze prin acÈ›iuni proprii de supraveghere, modul în care sistemul de management al siguranÈ›ei al administratorului infrastructurii feroviare publice este aplicat È™i, dacÄƒ este cazul, sÄƒ solicite CNCFâ€žCFRâ€SA, corectarea sau reevaluarea de cÄƒtre aceasta a mÄƒsurilor pentru È›inerea sub control a riscurilor proprii.</t>
  </si>
  <si>
    <t>RO-5946/2</t>
  </si>
  <si>
    <t>The derailment of those five wagons of the freight train no. 30684 happened following the improper maintenance of the railway infrastructure. During the investigation, one found that the maintenance of the track superstructure was not made in accordance with the provisions of the practice codes (reference/associated documents of the procedures from the safety management system of CNCF â€žCFRâ€ SA). Considering the non-application of the provisions PO SMS 0-4.07 â€žCompliance with the technical specifications, standards and requirements relevant for whole useful life of the tracks in maintenance processâ€, part of the safety management system of CNCF â€žCFRâ€ SA , was found like root cause of this accident, for the prevention of some accidents that could occur in conditions similar to those presented in this report, AGIFER issue the next safety recommendation: Romanian Railway Safety Authority â€“ ASFR shall analyze through own actions of supervision how the safety management system of the public railway infrastructure administrator is applied and, if case, shall ask CNCFâ€žCFRâ€SA, to rectify or to re-assess the measures for keeping under control the own risks.</t>
  </si>
  <si>
    <t>RO-5950/1</t>
  </si>
  <si>
    <t>În StaÈ›ia CFR Dârste, capÄƒtul Y, s-a constatat cÄƒ nu este respectatÄƒ distanÈ›a dintre axele liniilor ...</t>
  </si>
  <si>
    <t>În StaÈ›ia CFR Dârste, capÄƒtul Y, s-a constatat cÄƒ nu este respectatÄƒ distanÈ›a dintre axele liniilor directe II È™i III È™i nivelul transversal dintre acestea. Recomandarea nr.1 CNCF â€žCFRâ€ SA va analiza posibilitatea asigurÄƒrii distanÈ›ei dintre axele liniilor directe II È™i III È™i a nivelului transversal dintre linii, precum È™i reamplasarea aparatelor de cale nr.4 È™i nr.8, cu respectarea lungimii diagonalei de legÄƒturÄƒ dintre ele.</t>
  </si>
  <si>
    <t>RO-5950/2</t>
  </si>
  <si>
    <t>In Dârste railway station, end Y, one found that the distance between the centerlines of the direct tracks II and III was not met with, also the cross level between them. Recommendation no.1 CNCF â€žCFRâ€ SA shall analyze the possibility to assure the distance between the centerlines of the direct tracks II and III and of the cross level between the tracks, as well as the relocation of the turnouts no.4 and 8, meeting with the length of the connecting crossover between them.</t>
  </si>
  <si>
    <t>RO-5950/3</t>
  </si>
  <si>
    <t>DupÄƒ efectuarea reprofilÄƒrii suprafeÈ›elor de rulare la osiile montate pentru vehiculele feroviare, ...</t>
  </si>
  <si>
    <t>DupÄƒ efectuarea reprofilÄƒrii suprafeÈ›elor de rulare la osiile montate pentru vehiculele feroviare, pe strungul subteran tip HEGENSCHEIDT â€“ 106 CNC, nu este prevÄƒzut efectuarea lucrÄƒrilor de repoziÈ›ionare a duzelor/pulverizatoarelor instalaÈ›iei de uns buza bandajului È™i necesitatea funcÈ›ionÄƒrii acestei instalaÈ›ii urmare acestei operaÈ›ii. Recomandarea nr.2 SNTFC â€žCFR CÄƒlÄƒtoriâ€ SA va reglementa obligativitatea efectuÄƒrii lucrÄƒrilor de repoziÈ›ionare a duzelor/pulverizatoarelor instalaÈ›iei de uns buza bandajului È™i de funcÈ›ionare a acestei instalaÈ›ii dupÄƒ finalizarea acÈ›iunii de reprofilare a suprafeÈ›elor de rulare la osiile montate, pentru a se asigura cÄƒ circulaÈ›ia locomotivelor se efectueazÄƒ în depline condiÈ›ii de siguranÈ›a circulaÈ›iei.</t>
  </si>
  <si>
    <t>RO-5950/4</t>
  </si>
  <si>
    <t>After the reprofiling of the running surfaces at the wheelset for the railway vehicles, on the underground lathe type HEGENSCHEIDT â€“ 106 CNC, there is no provision for the performance of works for the repositioning of the nozzles/pulverizers of the equipment for the greasing of the tyre and the need of its working following that operation. Recommendation no.2 SNTFC â€žCFR CÄƒlÄƒtoriâ€ SA shall regulate the compulsoriness to perform the works for the repositioning of the nozzles/ /grease spray nozzles of the equipment for the lubrication of the flange of wheel and for the working of this equipment after the reprofiling of the running surfaces at the wheelset, in order to assure that the locomotive running is made in full traffic safety conditions.</t>
  </si>
  <si>
    <t>RO-5950/5</t>
  </si>
  <si>
    <t>Pentru activitatea de reprofilare a suprafeÈ›elor de rulare la osiile montate pentru vehiculele ...</t>
  </si>
  <si>
    <t>Pentru activitatea de reprofilare a suprafeÈ›elor de rulare la osiile montate pentru vehiculele feroviare, pe strungul subteran tip HEGENSCHEIDT â€“ 106 CNC (activitate nouÄƒ pentru Depoul BraÈ™ov), nu a fost efectuatÄƒ acÈ›iunea de apreciere a riscurilor, pentru È›inerea sub control a riscurilor generate de aceastÄƒ activitate, în conformitate cu prevederile Regulamentului (UE) Nr.402/2013, având în vedere faptul cÄƒ era vorba despre o schimbare a condiÈ›iilor de exploatare. Recomandarea nr.3 SNTFC â€žCFR CÄƒlÄƒtoriâ€ SA va efectua acÈ›iunea de apreciere a riscurilor pentru activitatea de reprofilare a suprafeÈ›elor de rulare la osiile montate pentru vehiculele feroviare în conformitate cu prevederile Regulamentului (UE) Nr.402/2013, pentru È›inerea sub control a riscurilor generate de aceastÄƒ nouÄƒ activitate.</t>
  </si>
  <si>
    <t>RO-5950/6</t>
  </si>
  <si>
    <t>For the reprofiling of the running surfaces at the wheelset for the railway vehicles, on the underground lathe type HEGENSCHEIDT â€“ 106 CNC (new activity for the Depot BraÈ™ov), there was no action for the assessment of the risks, for keeping under control the risks generated by this activity, in accordance with the provisions of the Regulations (UE) no.402/2013, considering that it is about a change of the operation conditions. Recommendation no.3 SNTFC â€žCFR CÄƒlÄƒtoriâ€ SA shall perform an assessment of the risks for the reprofiling of the running surfaces of the wheelset for the railway vehicles, in accordance with the provisions of the Regulations (UE) no.402/2013, for keeping under control the risks generated by this new activity.</t>
  </si>
  <si>
    <t>RO-5950/7</t>
  </si>
  <si>
    <t>Sucursala RegionalÄƒ de CÄƒi Ferate BraÈ™ov, în acÈ›iunea de identificare È™i evaluare a riscurilor ...</t>
  </si>
  <si>
    <t>Sucursala RegionalÄƒ de CÄƒi Ferate BraÈ™ov, în acÈ›iunea de identificare È™i evaluare a riscurilor asociate operaÈ›iunilor feroviare, efectuatÄƒ în conformitate cu prevederile Regulamentului (UE) Nr.1169/2010, nu a identificat pericolul existenÈ›ei unui coeficient de frecare mare cauzat de lipsa ungerii È™inei (în cazul unui profil nou de bandaj) având în vedere faptul cÄƒ la Depoul BraÈ™ov se efectueazÄƒ reprofilÄƒri ale suprafeÈ›elor de rulare, cu obÈ›inerea unui profil nou de rulare È™i nu a montat dispozitive automate de ungere a È™inei pe direcÈ›iile de deplasare dinspre depou spre celelalte secÈ›ii de remorcare, înaintea aparatelor de cale intens circulate pe care se poate efectua circulaÈ›ia pe linie în abatere, respectiv înaintea curbelor cu raze mai mici de 300 m. Recomandarea nr.4 CNCF â€žCFRâ€ SA va reface acÈ›iunea de identificare a pericolelor È™i evaluare a riscurilor asociate operaÈ›iunilor feroviare în conformitate cu prevederile Regulamentului (UE) Nr.1169/2010, pentru Sucursalele Regionale pe a cÄƒror razÄƒ de activitate funcÈ›ioneazÄƒ depouri de locomotive unde se efectueazÄƒ reprofilarea suprafeÈ›elor de rulare È™i va dispune montarea unor dispozitive automate de uns È™ina pe direcÈ›iile de deplasare dinspre depou, înaintea aparatelor de cale intens circulate pe care se poate efectua circulaÈ›ia pe linie în abatere È™i acolo unde se va considera necesar, pentru È›inerea sub control a riscului de producere a unei deraieri din cauza existenÈ›ei unui coeficient mare de frecare între suprafaÈ›a de rulare a osiilor montate È™i È™inÄƒ.</t>
  </si>
  <si>
    <t>RO-5950/8</t>
  </si>
  <si>
    <t>The railway county BraÈ™ov, during the identification and assessment of the risks associated to the railway operations, made in accordance with the provisions of the Regulations (UE) no.1169/2010, did not identify the danger of existence of a high friction rate generated by the lack of rail lubricating (in case of a new profile of tyre), considering the fact that in the Depot BraÈ™ov there are carried out reprofiling of the running surfaces, getting a new running profile and there were not fitted automatic libricating equipments for the rail on the directions of running from the depot to the other hauling section, before the switches highly passed over, on which it is possible the be traffic to the diverging tracks, respectively before the curves with radius under 300 m. Recommendation nos.4 CNCF â€žCFRâ€ SA shall perform the identification of the dangers and the assessment of the risks associated to the railway operations, in accordance with the provisions of the Regulations (UE) no.1169/2010, for the railway counties where there are locomotive sheds where one performs reprofiling of the running surfaces and shall dispose the fitting of some automatic equipments for the rail lubricating on the directions of running from the depot, before the switches highly passed over, on which it is possible to be traffic to the diverging sections, and where it shall be considered necessary, for keeping under control the risk of derailment, having like cause a high rate of friction between the running surface of the wheelset and the rail.</t>
  </si>
  <si>
    <t>RO-5950/9</t>
  </si>
  <si>
    <t>Cu ocazia efectuÄƒrii acÈ›iunii de modernizare la strungul subteran, executantul a constatat unele ...</t>
  </si>
  <si>
    <t>Cu ocazia efectuÄƒrii acÈ›iunii de modernizare la strungul subteran, executantul a constatat unele neconformitÄƒÈ›i la partea mecanicÄƒ È™i la dispozitivul de mÄƒsurare opticÄƒ al strungului prezentate la capitolul C.8 pct.1. În anumite condiÈ›ii, aceste neconformitÄƒÈ›i ar putea conduce la realizarea unui profil de rulare care sÄƒ nu respecte prevederile din STAS 112/3-90. Verificarea profilului de rulare nou realizat se poate face doar cu ajutorul È™ablonului existent la strung, dar comisia de investigare a constatat cÄƒ obligativitatea efectuÄƒrii acestei operaÈ›ii nu este prevÄƒzutÄƒ în SpecificaÈ›ia tehnicÄƒ. Având în vedere acest aspect, se poate întâmpla, ca din diverse motive, operatorul care deserveÈ™te strungul, sÄƒ omitÄƒ efectuarea acestei verificÄƒri. Recomandarea nr.5 SNTFC â€žCFR CÄƒlÄƒtoriâ€ SA va lua mÄƒsuri pentru efectuarea unei revizii complete a strungului subteran È™i remedierea aspectelor negative constatate cu ocazia acÈ›iunii de modernizare È™i va impune obligativitatea verificÄƒrii profilului nou de rulare realizat, cu È™ablonul, dupÄƒ fiecare reprofilare.</t>
  </si>
  <si>
    <t>RO-5950/10</t>
  </si>
  <si>
    <t>During the modernization of the underground lathe, the executant found some nonconformities at the mechanical part and at the equipment for the optical measurement of the lathe presented in the chapter C.8 point 1. In some conditions, these nonconformities could lead to the getting of a running profile that do not comply with the provisions of STAS 112/3-90. The checking of the running profile newly got can be made only with the pattern existing at the lathe, but the investigation commission found that the compulsoriness for the performance of this operation is no stipulated in the Technical Specification. Considering this issue, it is possible that, from different reasons, the operator working with the lathe, overlook the performance of this checking. Recommendation no.5 SNTFC â€žCFR CÄƒlÄƒtoriâ€ SA shall take the measures for the performance of a complete inspection at the underground lathe and for the removal of the negative issues found during the modernization, and shall impose the compulsoriness of checking the new running profile, with the pattern, after each reprofiling.</t>
  </si>
  <si>
    <t>RO-5950/11</t>
  </si>
  <si>
    <t>Comisia de investigare a constatat cÄƒ în specificaÈ›ia tehnicÄƒ cod ST 01-2017 pentru reprofilarea ...</t>
  </si>
  <si>
    <t>Comisia de investigare a constatat cÄƒ în specificaÈ›ia tehnicÄƒ cod ST 01-2017 pentru reprofilarea suprafeÈ›elor de rulare la osiile montate pentru vehiculele feroviare pe strungul subteran tip HEGENSCHEIDT â€“ 106 CNC, nu toate cotele È™i condiÈ›iile pentru realizarea reprofilÄƒrii suprafeÈ›elor de rulare, sunt în conformitate cu prevederile din documentele de referinÈ›Äƒ menÈ›ionate în specificaÈ›ie. Recomandarea nr.6 SNTFC â€žCFR CÄƒlÄƒtoriâ€ SA va revizui SpecificaÈ›ia tehnicÄƒ cod ST 01-2017 pentru reprofilarea suprafeÈ›elor de rulare la osiile montate pentru vehiculele feroviare pe strungul subteran tip HEGENSCHEIDT â€“ 106 CNC, astfel încât aceasta sÄƒ fie în concordanÈ›Äƒ cu prevederile regulamentare în vigoare.</t>
  </si>
  <si>
    <t>RO-5950/12</t>
  </si>
  <si>
    <t>The investigation commission found that in the technical specification code ST 01-2017 for the reprofiling of the running surfaces of the wheelsets for the railway vehicles on the underground lathe type HEGENSCHEIDT â€“ 106 CNC, not all quotas and conditions for the performance of the reprofiling of the running surfaces, in accordance with the provisions from the reference documents mentioned in the specification. Recommendation no.6 SNTFC â€žCFR CÄƒlÄƒtoriâ€ SA shall revise the Technical Specification code ST 01-2017 for reprofiling the running surfaces of the wheelset for the railway vehicles on the underground lathe type HEGENSCHEIDT â€“ 106 CNC, so it be in accordance with the provisions of the regulations in force.</t>
  </si>
  <si>
    <t>RO-5950/13</t>
  </si>
  <si>
    <t>Cadrul de reglementare privind repararea osiilor montate respectiv operaÈ›ia de reprofilare a ...</t>
  </si>
  <si>
    <t>Cadrul de reglementare privind repararea osiilor montate respectiv operaÈ›ia de reprofilare a suprafeÈ›elor de rulare care se utilizeazÄƒ în România (InstrucÈ›ia nr.931/1986, respectiv STAS 112/3-90), ce cuprinde È™i valoarea unghiului de flanc obÈ›inut dupÄƒ reprofilare, nu este în concordanÈ›Äƒ cu standardele europene armonizate privind interoperabilitatea sistemului feroviar sub incidenÈ›a directivei RAIL 2008/57/EC, conform OJ C 282 din 10.08.2018. MenÈ›ionÄƒm faptul cÄƒ potrivit literaturii de specialitate, un unghi de flanc mic, cum este cel utilizat pentru locomotive în România, este defavorabil siguranÈ›ei contra deraierii. Recomandarea nr.7 Autoritatea de SiguranÈ›Äƒ FeroviarÄƒ RomânÄƒ â€“ ASFR va iniÈ›ia o acÈ›iune de armonizare a cadrului de reglementare naÈ›ional cu standardele europene.</t>
  </si>
  <si>
    <t>RO-5950/14</t>
  </si>
  <si>
    <t>The regulation framework for the repair of the wheelsets, respectively the reprofiling the running surfaces, used in Romania (Instruction no.931/1986, respectively STAS 112/3-90), that includes also the value of the flange angle got after the reprofiling, is not in accordance with European harmonized standards for the interoperability of the railway systems, under the incidence of the Directive RAIL 2008/57/EC, according to OJ C 282 from the 10th August 2018. We mention that according to the specialty literature, a low flange angle, like that used for the locomotives in Romania, is not favourable to the safety against the derailment. Recommendation no.7 Romanian Railway Safety Authority â€“ ASFR shall begin an action for the harmonization of the national regulation framework with European standards.</t>
  </si>
  <si>
    <t>RO-5950/15</t>
  </si>
  <si>
    <t>InstrucÈ›iile de serviciu sau reglementÄƒrile interne ale operatorului de transport nu conÈ›in ...</t>
  </si>
  <si>
    <t>InstrucÈ›iile de serviciu sau reglementÄƒrile interne ale operatorului de transport nu conÈ›in prevederi clare referitoare la poziÈ›ia în tren pentru deplasarea spre o unitate de tracÈ›iune a unui vehicul feroviar motor implicat într-o deraiere. Recomandarea nr.8 Autoritatea de SiguranÈ›Äƒ FeroviarÄƒ RomânÄƒ â€“ ASFR va lua mÄƒsuri de reglementare a poziÈ›iei în tren pentru circulaÈ›ia spre o unitate de tracÈ›iune a unui vehicul feroviar motor implicat într-o deraiere.</t>
  </si>
  <si>
    <t>RO-5950/16</t>
  </si>
  <si>
    <t>The instructions or the internal regulations of the railway undertaking do not contain clear provisions regarding the position of a railway vehicle, involved in a derailment, within the train for its running to a traction unit. Recommendation no.8 Romanian Railway Safety Authority â€“ ASFR shall take measures for the regulation of the position of a railway vehicle, involved in a derailment, within a train for the running to a traction unit.</t>
  </si>
  <si>
    <t>RO-5956/1</t>
  </si>
  <si>
    <t>În conformitate cu prevederile Art.26(2) din OUG nr.73/2019 privind siguranÈ›a feroviarÄƒ È™i ale ...</t>
  </si>
  <si>
    <t>În conformitate cu prevederile Art.26(2) din OUG nr.73/2019 privind siguranÈ›a feroviarÄƒ È™i ale Directivei (CE) nr.49/2004, recomandÄƒrile de siguranÈ›Äƒ sunt adresate AutoritÄƒÈ›ii de SiguranÈ›Äƒ FeroviarÄƒ RomânÄƒ - ASFR, care va solicita È™i urmÄƒri implementarea acestora de cÄƒtre partea identificatÄƒ în recomandare. Pe distanÈ›a de circulaÈ›ie unde s-a produs accidentul, respectiv în zona de siguranÈ›Äƒ a infrastructurii feroviare, au existat la momentul respectiv ÅŸi nu numai, mai multe incendii de vegetaÈ›ie, provocate de cÄƒtre proprietarii de terenuri din zonÄƒ, incendii care s-au extins dinspre câmpurile agricole pânÄƒ în zona cÄƒii ferate. În codurile de practicÄƒ InstrucÈ›iuni pentru activitatea personalului de locomotivÄƒ în transportul feroviar nr.201/2007 articolul 78 È™i Regulamentul pentru circulaÈ›ia trenurilor È™i manevra vehiculelor feroviare nr.005/2005 articolul 336 (3) sunt prevederi clare privind modul de procedare din partea mecanicului de locomotivÄƒ în cazurile în care â€žapa depÄƒÈ™eÈ™te suprafaÈ›a de rulare a È™ineiâ€, respectiv de â€žoprire a trenului pânÄƒ la sosirea personalului de întreÈ›inere a cÄƒii care va stabili condiÈ›iile de circulaÈ›ieâ€. În codurile menÈ›ionate, nu sunt prevederi asemÄƒnÄƒtoare pentru cazurile în care în apropierea cÄƒii ferate, respectiv în zona de siguranÈ›Äƒ a infrastructurii feroviare, incendiile de vegetaÈ›ie ar putea constitui un pericol de producere a unui accident. Acest fapt poate induce mecanicului de locomotivÄƒ o eventualÄƒ rÄƒspundere viitoare în cazul în care opreÈ™te sau nu trenul. În contextul celor prezentate mai sus, comisia de investigare emite urmÄƒtoarele recomandÄƒri: 1. SC RC-CF TRANS SRL în calitate de gestionar al infrastructurii feroviare neinteroperabile È™i SC Regio CÄƒlÄƒtori SRL în calitate de operator feroviar cu activitate pe aceste secÈ›ii, va avertiza publicul cÄƒlÄƒtor È™i locuitorii din zonÄƒ, prin metode specifice sistemului feroviar sau prin unitÄƒÅ£ile administrativ teritoriale (primÄƒrii), asupra faptului cÄƒ pericolul reprezentat de un incendiu de vegetaÈ›ie în zona de siguranÈ›Äƒ a infrastructurii feroviare, poate produce un incendiu pentru vehiculele feroviare aflate în circulaÈ›ie, cu repercusiuni asupra sÄƒnÄƒtÄƒÈ›ii pasagerilor din tren.</t>
  </si>
  <si>
    <t>RO-5956/2</t>
  </si>
  <si>
    <t>According to the provisions of Art.26(2) from the Emergency Government Ordinance no.73/2019 for the railway safety and of the Directive (CE) no.49/2004, the safety recommendations are addressed to Romanian Railway Safety Authority - ASFR, that shall ask and monitor their implementation by the part identified in the recommendation. On the track section where the accident happened, respectively in the safety perimeter of the railway infrastructure, there were at that moment and not only, many vegetation fires caused by the land owners, these fires extended from the lands to the track. In the practice codes Instructions for the activity of the locomotive crew no.201/2007 art. 78 and Regulations for the train running and shunting of the railway vehicles no.005/2005 art. 336 (3) there are provisions clear for the action way of the driver when â€žwater is above the running surface of the railâ€, respectively â€žtrain stop until the arrival of the staff in charge with the track maintenance that shall establish the running conditionsâ€. In the above mentioned codes, there are no provisions for the cases where, close to the line, respectively to the safety perimeter of the railway infrastructure, the vegetation fires could be a danger of accident. This fact can induce to the driver a possible responsibility in the future in case of he stops or does not stop the train. In the context of these above mentioned, the investigation commission issues the next recommendations: 1. SC RC-CF TRANS SRL, like manager of the noninteroperable railway infrastructure and SC Regio CÄƒlÄƒtori SRL, like railway undertaking on these track sections, shall warn the passengers and the inhabitants of that area, through methods specific to the railway system or through the administrative units (city halls), that the danger represented by the vegetation fires in the safety perimeter of the railway infrastructure can generate a fire for the running railway vehicles, with effects for the health of passengers.</t>
  </si>
  <si>
    <t>RO-5956/3</t>
  </si>
  <si>
    <t>According to the provisions of Art.26(2) from the Emergency Government Ordinance no.73/2019 for the ...</t>
  </si>
  <si>
    <t>According to the provisions of Art.26(2) from the Emergency Government Ordinance no.73/2019 for the railway safety and of the Directive (CE) no.49/2004, the safety recommendations are addressed to Romanian Railway Safety Authority - ASFR, that shall ask and monitor their implementation by the part identified in the recommendation. On the track section where the accident happened, respectively in the safety perimeter of the railway infrastructure, there were at that moment and not only, many vegetation fires caused by the land owners, these fires extended from the lands to the track. In the practice codes Instructions for the activity of the locomotive crew no.201/2007 art. 78 and Regulations for the train running and shunting of the railway vehicles no.005/2005 art. 336 (3) there are provisions clear for the action way of the driver when â€žwater is above the running surface of the railâ€, respectively â€žtrain stop until the arrival of the staff in charge with the track maintenance that shall establish the running conditionsâ€. In the above mentioned codes, there are no provisions for the cases where, close to the line, respectively to the safety perimeter of the railway infrastructure, the vegetation fires could be a danger of accident. This fact can induce to the driver a possible responsibility in the future in case of he stops or does not stop the train. In the context of these above mentioned, the investigation commission issues the next recommendations: 2. Romanian Railway Safety Authority â€“ ASFR shall analyze the opportunity to add to the practice codes above mentioned or to add to the results of the actions for the identification of the risks associated to the railway operations, performed by the railway undertaking involved, provisions clear for the action in case of some vegetation fires in the safety perimeter of the railway infrastructure and concrete measures for the action in such situations, in order to ensure that the risk of fires at the railway vehicles, generated by the danger, given by the vegetation fires in the perimeter of railway infrastructure, is kept under control.</t>
  </si>
  <si>
    <t>RO-5956/4</t>
  </si>
  <si>
    <t>În conformitate cu prevederile Art.26(2) din OUG nr.73/2019 privind siguranÈ›a feroviarÄƒ È™i ale Directivei (CE) nr.49/2004, recomandÄƒrile de siguranÈ›Äƒ sunt adresate AutoritÄƒÈ›ii de SiguranÈ›Äƒ FeroviarÄƒ RomânÄƒ - ASFR, care va solicita È™i urmÄƒri implementarea acestora de cÄƒtre partea identificatÄƒ în recomandare. Pe distanÈ›a de circulaÈ›ie unde s-a produs accidentul, respectiv în zona de siguranÈ›Äƒ a infrastructurii feroviare, au existat la momentul respectiv ÅŸi nu numai, mai multe incendii de vegetaÈ›ie, provocate de cÄƒtre proprietarii de terenuri din zonÄƒ, incendii care s-au extins dinspre câmpurile agricole pânÄƒ în zona cÄƒii ferate. În codurile de practicÄƒ InstrucÈ›iuni pentru activitatea personalului de locomotivÄƒ în transportul feroviar nr.201/2007 articolul 78 È™i Regulamentul pentru circulaÈ›ia trenurilor È™i manevra vehiculelor feroviare nr.005/2005 articolul 336 (3) sunt prevederi clare privind modul de procedare din partea mecanicului de locomotivÄƒ în cazurile în care â€žapa depÄƒÈ™eÈ™te suprafaÈ›a de rulare a È™ineiâ€, respectiv de â€žoprire a trenului pânÄƒ la sosirea personalului de întreÈ›inere a cÄƒii care va stabili condiÈ›iile de circulaÈ›ieâ€. În codurile menÈ›ionate, nu sunt prevederi asemÄƒnÄƒtoare pentru cazurile în care în apropierea cÄƒii ferate, respectiv în zona de siguranÈ›Äƒ a infrastructurii feroviare, incendiile de vegetaÈ›ie ar putea constitui un pericol de producere a unui accident. Acest fapt poate induce mecanicului de locomotivÄƒ o eventualÄƒ rÄƒspundere viitoare în cazul în care opreÈ™te sau nu trenul. În contextul celor prezentate mai sus, comisia de investigare emite urmÄƒtoarele recomandÄƒri: 2. Autoritatea de SiguranÈ›Äƒ FeroviarÄƒ RomânÄƒ â€“ ASFR va analiza oportunitatea completÄƒrii codurilor de practicÄƒ menÈ›ionate sau de completare a rezultatelor acÈ›iunilor de identificare a riscurilor asociate operaÈ›iunilor feroviare efectuate de operatorii feroviari implicaÈ›i, cu precizÄƒri clare referitoare la modul de procedare în cazul unor incendii de vegetaÈ›ie în zona de siguranÈ›Äƒ a infrastructurii feroviare ÅŸi mÄƒsuri concrete de procedare în astfel de situaÈ›ii, pentru a se asigura cÄƒ riscul de producere a unui incendiu la vehiculele feroviare, generat de pericolul manifestat prin incendii de vegetaÈ›ie în zona infrastructurii feroviare este È›inut sub control.</t>
  </si>
  <si>
    <t>RO-5961/1</t>
  </si>
  <si>
    <t>În cazul accidentului feroviar investigat, s-a constatat cÄƒ, deraierea a fost cauzatÄƒ de starea ...</t>
  </si>
  <si>
    <t>În cazul accidentului feroviar investigat, s-a constatat cÄƒ, deraierea a fost cauzatÄƒ de starea necorespunzÄƒtoare a unor elemente componente ale suprastructurii feroviare È™i de depÄƒÈ™irea sarcinii maxim admisÄƒ pe osie a vagonului nr. 33876735756-3 (încÄƒrcat cu fontÄƒ brutÄƒ), situat al 14-lea dupÄƒ locomotiva trenului de marfÄƒ nr.69492-1. Având în vedere neconformitÄƒÈ›ile constatate cu ocazia investigÄƒrii acestui accident privind depÄƒÈ™irea sarcinii maxim admisÄƒ pe osie a vagoanelor respectiv a stÄƒrii tehnice a infrastructurii feroviare în zona producerii accidentului, precum ÅŸi faptul cÄƒ activitatea de supraveghere continuÄƒ a suprastructurii ÅŸi infrastructurii feroviare este una din sarcinile principale ale personalului de întreÅ£inere a cÄƒii, iar nivelurile de siguranÅ£Äƒ care trebuie atinse sunt exprimate prin criterii de acceptare a riscului ÅŸi definite de obiectivele de siguranÅ£Äƒ comune, comisia de investigare considerÄƒ necesarÄƒ emiterea urmÄƒtoarelor recomandÄƒri de siguranÅ£Äƒ: ï€­ Autoritatea de SiguranÈ›Äƒ FeroviarÄƒ RomânÄƒ â€“ ASFR se va asigura cÄƒ gestionarul de infrastructurÄƒ feroviarÄƒ neinteroperabilÄƒ SC RC â€“ CF Trans SRL dispune de resurse È™i mai are capabilitatea de a respecta cerinÈ›ele referitoare la mentenanÈ›a infrastructurii feroviare care au stat la baza obÈ›inerii autorizaÈ›iei de siguranÈ›Äƒ;</t>
  </si>
  <si>
    <t>RO-5961/2</t>
  </si>
  <si>
    <t>With reference to the railway accident investigated, one found that the derailment was generated by the improper condition of some parts of the railway infrastructure and by the exceeding of the maximum load accepted on the axle of the wagon no. 33876735756-3 (loaded with raw iron), being the 14th one after the locomotive of the freight train no.69492-1. Considering the nonconformities found during the investigation of this accident, regarding the exceeding of the maximum load accepted on the axle of the wagons, respectively the technical condition of the railway infrastructure at the accident site, as well as that the continuous supervision of the railway superstructure and infrastructure is one of the main duties of the staff in charge with track maintenance, and the safety levels that have o be reached are expressed through the criteria for the risk acceptance and defined by the objectives of common safety, the investigation commission considers necessary to issue the next safety recommendations: ï€­ Romanian Railway Safety Authority â€“ ASFR shall take care that the non-interoperable railway infrastructure manager SC RC â€“ CF Trans SRL has the resources and also the capability to meet with the requirements for the maintenance of the railway infrastructure, that were basis for the granting of the safety authorization;</t>
  </si>
  <si>
    <t>RO-5961/3</t>
  </si>
  <si>
    <t>În cazul accidentului feroviar investigat, s-a constatat cÄƒ, deraierea a fost cauzatÄƒ de starea necorespunzÄƒtoare a unor elemente componente ale suprastructurii feroviare È™i de depÄƒÈ™irea sarcinii maxim admisÄƒ pe osie a vagonului nr. 33876735756-3 (încÄƒrcat cu fontÄƒ brutÄƒ), situat al 14-lea dupÄƒ locomotiva trenului de marfÄƒ nr.69492-1. Având în vedere neconformitÄƒÈ›ile constatate cu ocazia investigÄƒrii acestui accident privind depÄƒÈ™irea sarcinii maxim admisÄƒ pe osie a vagoanelor respectiv a stÄƒrii tehnice a infrastructurii feroviare în zona producerii accidentului, precum ÅŸi faptul cÄƒ activitatea de supraveghere continuÄƒ a suprastructurii ÅŸi infrastructurii feroviare este una din sarcinile principale ale personalului de întreÅ£inere a cÄƒii, iar nivelurile de siguranÅ£Äƒ care trebuie atinse sunt exprimate prin criterii de acceptare a riscului ÅŸi definite de obiectivele de siguranÅ£Äƒ comune, comisia de investigare considerÄƒ necesarÄƒ emiterea urmÄƒtoarelor recomandÄƒri de siguranÅ£Äƒ: Autoritatea de SiguranÈ›Äƒ FeroviarÄƒ RomânÄƒ â€“ ASFR se va asigura cÄƒ operatorul de transport feroviar de marfÄƒ SC Tim Rail Cargo SRL, a efectuat o analizÄƒ de risc pentru pericolul reprezentat de cÄƒtre predÄƒtor;</t>
  </si>
  <si>
    <t>RO-5961/4</t>
  </si>
  <si>
    <t>With reference to the railway accident investigated, one found that the derailment was generated by the improper condition of some parts of the railway infrastructure and by the exceeding of the maximum load accepted on the axle of the wagon no. 33876735756-3 (loaded with raw iron), being the 14th one after the locomotive of the freight train no.69492-1. Considering the nonconformities found during the investigation of this accident, regarding the exceeding of the maximum load accepted on the axle of the wagons, respectively the technical condition of the railway infrastructure at the accident site, as well as that the continuous supervision of the railway superstructure and infrastructure is one of the main duties of the staff in charge with track maintenance, and the safety levels that have o be reached are expressed through the criteria for the risk acceptance and defined by the objectives of common safety, the investigation commission considers necessary to issue the next safety recommendations: ï€­ ï€­ Romanian Railway Safety Authority â€“ ASFR shall take care that the railway freight undertaking SC Tim Rail Cargo SRL carried out a risk analysis for the danger represented by the consignor;</t>
  </si>
  <si>
    <t>RO-5960/1</t>
  </si>
  <si>
    <t>Comisia de investigare a concluzionat cÄƒ neasigurarea resurselor materiale È™i umane corespunzÄƒtoare ...</t>
  </si>
  <si>
    <t>Comisia de investigare a concluzionat cÄƒ neasigurarea resurselor materiale È™i umane corespunzÄƒtoare cerinÈ›elor determinate de condiÈ›iile tehnice necesare realizÄƒrii lucrÄƒrilor de mentenanÈ›Äƒ a infrastructurii feroviare, completarea incorectÄƒ ÅŸi lipsa documentelor primare de linii, reprezintÄƒ un pericol pentru siguranÈ›a feroviarÄƒ fapt pentru care au fost emise recomandÄƒri în acest sens. S-a constatat cÄƒ acest accident este al V-lea în care AGIFER a constatat È™i consemnat aceste aspecte. Având în vedere factorii care au contribuit la producerea accidentului, factori care au la bazÄƒ cauze subiacente ce reprezintÄƒ abateri de la codurile de practicÄƒ, precum È™i faptul cÄƒ, supravegherea operatorilor economici din sistemul de transport feroviar este atribuÈ›ia AutoritÄƒÈ›ii de SiguranÈ›Äƒ FeroviarÄƒ RomânÄƒ â€“ ASFR, în cazul accidentului feroviar produs la data de 20.04.2019, ora 4:40, între staÈ›iile Palas È™i Capu Midia, la km 15+573, în circulaÈ›ia trenului de marfÄƒ nr.89970, comisia de investigare recomandÄƒ ca ASFR sÄƒ analizeze dacÄƒ gestionarul de infrastructurÄƒ feroviarÄƒ SC Grup Feroviar Român SA mai îndeplineÈ™te condiÈ›iile care au stat la baza emiterii autorizaÈ›iilor de siguranÈ›Äƒ de tip A È™i de tip B.</t>
  </si>
  <si>
    <t>RO-5960/2</t>
  </si>
  <si>
    <t>The investigation commission concluded that not provision of the material and human resources corresponding to the requirements determined by the technical conditions necessary for the performance of the railway infrastructure maintenance, the wrong filling and the lack of the primary documents for lines is a danger for the railway safety, it leading to the issuing of some recommendations. There was found out that this accident was the 5th one in which AGIFER found and wrote down these issues. Considering the factors contributing to the accident occurrence, which are based on the underlying causes, that are deviations from the practice codes, as well as the fact that the surveillance of the economic operators from the railway system is the responsibility of Romanian Railway Safety Authority â€“ ASFR, for the railway accident happened on the 20th April 2019, at 4:40 oâ€™clock, between the railway stations Palas and Capu Midia, km 15+573, in the running of the freight train no.89970, the investigation commission recommends ASFR shall analyze if the railway infrastructure manager SC Grup Feroviar Român SA is still complying with the conditions that were basis for the issuing of the safety authorizations types A and B.</t>
  </si>
  <si>
    <t>RO-5972/1</t>
  </si>
  <si>
    <t>În cazul accidentului feroviar produs la data de 07.05.2019 în circulaÈ›ia trenului de marfÄƒ nr.33901 ...</t>
  </si>
  <si>
    <t>În cazul accidentului feroviar produs la data de 07.05.2019 în circulaÈ›ia trenului de marfÄƒ nr.33901 s-a constatat cÄƒ incendiul produs la locomotiva EA nr.698 s-a datorat stÄƒrii tehnice necorespunzÄƒtoare a acesteia generatÄƒ de: - menÈ›inerea în exploatare a locomotivei dupÄƒ depÄƒÈ™irea termenului de efectuare a reparaÈ›iilor planificate contrar prevederilor Normativului feroviar "Vehicule de cale feratÄƒ. Tipuri de revizii È™i reparaÈ›ii planificate. Normele de timp sau normele de kilometri parcurÈ™i pentru efectuarea reviziilor È™i reparaÈ›iilor planificate", aprobat prin Ordinul ministrului transporturilor si infrastructurii nr.315/2011, cu modificÄƒrile È™i completarile ulterioare; - lipsuri ale de elementelor de protecÈ›ie (capac protecÈ›ie placÄƒ de borne S7). De asemenea s-a mai constatat cÄƒ locomotiva a fost înscrisÄƒ în Certificatul de SiguranÈ›Äƒ partea B, Anexa II, fÄƒrÄƒ respectarea cerinÈ›elor legale, respectiv fÄƒrÄƒ efectuarea unei evaluÄƒri tehnice a acesteia, fapt care a fÄƒcut posibilÄƒ utilizarea ei de cÄƒtre operatorul feroviar de transport în condiÈ›iile în care starea tehnicÄƒ a locomotivei nu permitea acest fapt. Amploarea incendiului produs la locomotiva EA nr.698 a fost generatÄƒ È™i de faptul cÄƒ, deÈ™i Serviciul Unic de UrgenÈ›Äƒ a fost avizat la ora 23:41 iar pompierii militari au sosit la locul accidentului la ora 23:54, intervenÈ›ia acestora a fost posibilÄƒ abia la ora 00:59 când linia de contact a fost scoasÄƒ de sub tensiune È™i legatÄƒ la pÄƒmânt. Sosirea drezinei pantograf în cel mai scurt timp la locul accidentului ar fi diminuat daunele produse în urma accidentului. Având în vedere cele menÈ›ionate anterior, comisia de investigare recomandÄƒ AutoritÄƒÈ›ii de SiguranÈ›Äƒ FeroviarÄƒ RomânÄƒ: 1. SÄƒ revizuiasca modalitatea prin care se face completarea în Certificatul de SiguranÈ›Äƒ partea B, Anexa II, pentru a evita înscrierea locomotivelor care nu respectÄƒ cerinÈ›ele legale.</t>
  </si>
  <si>
    <t>RO-5972/2</t>
  </si>
  <si>
    <t>With reference to the accident happened on the 7t May 2019 in the running of the freight train no.33901, one found out that the fire broken into the locomotive EA no.698 was due to its improper technical condition generated by: - keeping in operation of the locomotive after exceeding the deadline for the performance of the planned repairs, contrary to the Railway norm "Railway vehicles. Types of planned inspections and repairs. Norms of time or norms of km run for the performance of the planned inspections and repairs", approved through the Order of Ministry of Transports and Infrastructure no.315/2011, with further amendments; - lack of the protections parts (cover for the protection of the terminal connection plate S7). One also found out that the locomotive was written down in the Safety certificate part B, Annex II, without meeting with the legal requirements, respectively without the performance of a technical inspection at that, it doing possible its use, by the railway undertakingwith, having an improper technical condition that was not permiting it. The spread of the fire broken out into the locomotive EA no.698 was generated also by the fact that, though the Emergency Department was notified at 23:41 oâ€™clock and the military firemen arrived at the accident site at 23:54 oâ€™clck, the intervantion was possible at 00:59 oâ€™clock, when the power supply from the contact line was cut off and it was connected at earth. The arrival of the gang car in the shortest time possible at the accident site should have limited the damages generated by the accident. Considering these above mentioned, the investigation commission recommends Romanian Railway Safety Authority: 1. to revise the way of filling in the Safety Certificate part B, Annex II, in order to avoid the writting down of the locomotives that do not comply with the legal requirements.</t>
  </si>
  <si>
    <t>RO-5972/3</t>
  </si>
  <si>
    <t>În cazul accidentului feroviar produs la data de 07.05.2019 în circulaÈ›ia trenului de marfÄƒ nr.33901 s-a constatat cÄƒ incendiul produs la locomotiva EA nr.698 s-a datorat stÄƒrii tehnice necorespunzÄƒtoare a acesteia generatÄƒ de: - menÈ›inerea în exploatare a locomotivei dupÄƒ depÄƒÈ™irea termenului de efectuare a reparaÈ›iilor planificate contrar prevederilor Normativului feroviar "Vehicule de cale feratÄƒ. Tipuri de revizii È™i reparaÈ›ii planificate. Normele de timp sau normele de kilometri parcurÈ™i pentru efectuarea reviziilor È™i reparaÈ›iilor planificate", aprobat prin Ordinul ministrului transporturilor si infrastructurii nr.315/2011, cu modificÄƒrile È™i completarile ulterioare; - lipsuri ale de elementelor de protecÈ›ie (capac protecÈ›ie placÄƒ de borne S7). De asemenea s-a mai constatat cÄƒ locomotiva a fost înscrisÄƒ în Certificatul de SiguranÈ›Äƒ partea B, Anexa II, fÄƒrÄƒ respectarea cerinÈ›elor legale, respectiv fÄƒrÄƒ efectuarea unei evaluÄƒri tehnice a acesteia, fapt care a fÄƒcut posibilÄƒ utilizarea ei de cÄƒtre operatorul feroviar de transport în condiÈ›iile în care starea tehnicÄƒ a locomotivei nu permitea acest fapt. Amploarea incendiului produs la locomotiva EA nr.698 a fost generatÄƒ È™i de faptul cÄƒ, deÈ™i Serviciul Unic de UrgenÈ›Äƒ a fost avizat la ora 23:41 iar pompierii militari au sosit la locul accidentului la ora 23:54, intervenÈ›ia acestora a fost posibilÄƒ abia la ora 00:59 când linia de contact a fost scoasÄƒ de sub tensiune È™i legatÄƒ la pÄƒmânt. Sosirea drezinei pantograf în cel mai scurt timp la locul accidentului ar fi diminuat daunele produse în urma accidentului. Având în vedere cele menÈ›ionate anterior, comisia de investigare recomandÄƒ AutoritÄƒÈ›ii de SiguranÈ›Äƒ FeroviarÄƒ RomânÄƒ: 2. SÄƒ solicite operatorului de transport feroviar de marfÄƒ SNTFM â€žCFR MarfÄƒâ€ SA revizuirea procedurii operaÈ›ionale â€žÎntreÈ›inere È™i reparaÈ›ii material rulant de tracÈ›iuneâ€ cod: PO-74.3 în vederea completÄƒrii acesteia cu prevederi referitoare la modalitatea de gestionare a riscurilor generate de utilizarea locomotivelor dupÄƒ atingerea normelor de timp/kilometri pentru efectuarea reparaÈ›iilor planificate, în conformitate cu reglementÄƒrile în vigoare.</t>
  </si>
  <si>
    <t>RO-5972/4</t>
  </si>
  <si>
    <t>With reference to the accident happened on the 7t May 2019 in the running of the freight train no.33901, one found out that the fire broken into the locomotive EA no.698 was due to its improper technical condition generated by: - keeping in operation of the locomotive after exceeding the deadline for the performance of the planned repairs, contrary to the Railway norm "Railway vehicles. Types of planned inspections and repairs. Norms of time or norms of km run for the performance of the planned inspections and repairs", approved through the Order of Ministry of Transports and Infrastructure no.315/2011, with further amendments; - lack of the protections parts (cover for the protection of the terminal connection plate S7). One also found out that the locomotive was written down in the Safety certificate part B, Annex II, without meeting with the legal requirements, respectively without the performance of a technical inspection at that, it doing possible its use, by the railway undertakingwith, having an improper technical condition that was not permiting it. The spread of the fire broken out into the locomotive EA no.698 was generated also by the fact that, though the Emergency Department was notified at 23:41 oâ€™clock and the military firemen arrived at the accident site at 23:54 oâ€™clck, the intervantion was possible at 00:59 oâ€™clock, when the power supply from the contact line was cut off and it was connected at earth. The arrival of the gang car in the shortest time possible at the accident site should have limited the damages generated by the accident. Considering these above mentioned, the investigation commission recommends Romanian Railway Safety Authority: 2. to ask the railway freight undertaking SNTFM â€žCFR MarfÄƒâ€ SA the revision of the operational procedure â€žMaintenance and repairs at the traction rolling stockâ€ code: PO-74.3 for adding provisions regarding the way to manage the risks generated by the use of the locomotives, after reaching the norms of time/km for the performance of the planned repairs, in accordance with the regulatins in force.</t>
  </si>
  <si>
    <t>RO-5972/5</t>
  </si>
  <si>
    <t>În cazul accidentului feroviar produs la data de 07.05.2019 în circulaÈ›ia trenului de marfÄƒ nr.33901 s-a constatat cÄƒ incendiul produs la locomotiva EA nr.698 s-a datorat stÄƒrii tehnice necorespunzÄƒtoare a acesteia generatÄƒ de: - menÈ›inerea în exploatare a locomotivei dupÄƒ depÄƒÈ™irea termenului de efectuare a reparaÈ›iilor planificate contrar prevederilor Normativului feroviar "Vehicule de cale feratÄƒ. Tipuri de revizii È™i reparaÈ›ii planificate. Normele de timp sau normele de kilometri parcurÈ™i pentru efectuarea reviziilor È™i reparaÈ›iilor planificate", aprobat prin Ordinul ministrului transporturilor si infrastructurii nr.315/2011, cu modificÄƒrile È™i completarile ulterioare; - lipsuri ale de elementelor de protecÈ›ie (capac protecÈ›ie placÄƒ de borne S7). De asemenea s-a mai constatat cÄƒ locomotiva a fost înscrisÄƒ în Certificatul de SiguranÈ›Äƒ partea B, Anexa II, fÄƒrÄƒ respectarea cerinÈ›elor legale, respectiv fÄƒrÄƒ efectuarea unei evaluÄƒri tehnice a acesteia, fapt care a fÄƒcut posibilÄƒ utilizarea ei de cÄƒtre operatorul feroviar de transport în condiÈ›iile în care starea tehnicÄƒ a locomotivei nu permitea acest fapt. Amploarea incendiului produs la locomotiva EA nr.698 a fost generatÄƒ È™i de faptul cÄƒ, deÈ™i Serviciul Unic de UrgenÈ›Äƒ a fost avizat la ora 23:41 iar pompierii militari au sosit la locul accidentului la ora 23:54, intervenÈ›ia acestora a fost posibilÄƒ abia la ora 00:59 când linia de contact a fost scoasÄƒ de sub tensiune È™i legatÄƒ la pÄƒmânt. Sosirea drezinei pantograf în cel mai scurt timp la locul accidentului ar fi diminuat daunele produse în urma accidentului. Având în vedere cele menÈ›ionate anterior, comisia de investigare recomandÄƒ AutoritÄƒÈ›ii de SiguranÈ›Äƒ FeroviarÄƒ RomânÄƒ: 3. SÄƒ solicite operatorului de transport feroviar de marfÄƒ SNTFM â€žCFR MarfÄƒâ€ SA inventarierea în vederea completÄƒrii la locomotivele din parcul propriu a existenÈ›ei elementelor de protecÈ›ie (capace, uÈ™i) a cÄƒror lipsÄƒ prezintÄƒ pericol de incendiu sau pericliteazÄƒ siguranÈ›a personalului.</t>
  </si>
  <si>
    <t>RO-5972/6</t>
  </si>
  <si>
    <t>With reference to the accident happened on the 7t May 2019 in the running of the freight train no.33901, one found out that the fire broken into the locomotive EA no.698 was due to its improper technical condition generated by: - keeping in operation of the locomotive after exceeding the deadline for the performance of the planned repairs, contrary to the Railway norm "Railway vehicles. Types of planned inspections and repairs. Norms of time or norms of km run for the performance of the planned inspections and repairs", approved through the Order of Ministry of Transports and Infrastructure no.315/2011, with further amendments; - lack of the protections parts (cover for the protection of the terminal connection plate S7). One also found out that the locomotive was written down in the Safety certificate part B, Annex II, without meeting with the legal requirements, respectively without the performance of a technical inspection at that, it doing possible its use, by the railway undertakingwith, having an improper technical condition that was not permiting it. The spread of the fire broken out into the locomotive EA no.698 was generated also by the fact that, though the Emergency Department was notified at 23:41 oâ€™clock and the military firemen arrived at the accident site at 23:54 oâ€™clck, the intervantion was possible at 00:59 oâ€™clock, when the power supply from the contact line was cut off and it was connected at earth. The arrival of the gang car in the shortest time possible at the accident site should have limited the damages generated by the accident. Considering these above mentioned, the investigation commission recommends Romanian Railway Safety Authority: 3. to ask the railway freight undertaking SNTFM â€žCFR MarfÄƒâ€ SA to make an inventory and to add, at the locomotives from its own stock, the protection parts missing (covers, doors), whose lack is a danger of fire or endanger the staff safety.</t>
  </si>
  <si>
    <t>RO-5972/7</t>
  </si>
  <si>
    <t>În cazul accidentului feroviar produs la data de 07.05.2019 în circulaÈ›ia trenului de marfÄƒ nr.33901 s-a constatat cÄƒ incendiul produs la locomotiva EA nr.698 s-a datorat stÄƒrii tehnice necorespunzÄƒtoare a acesteia generatÄƒ de: - menÈ›inerea în exploatare a locomotivei dupÄƒ depÄƒÈ™irea termenului de efectuare a reparaÈ›iilor planificate contrar prevederilor Normativului feroviar "Vehicule de cale feratÄƒ. Tipuri de revizii È™i reparaÈ›ii planificate. Normele de timp sau normele de kilometri parcurÈ™i pentru efectuarea reviziilor È™i reparaÈ›iilor planificate", aprobat prin Ordinul ministrului transporturilor si infrastructurii nr.315/2011, cu modificÄƒrile È™i completarile ulterioare; - lipsuri ale de elementelor de protecÈ›ie (capac protecÈ›ie placÄƒ de borne S7). De asemenea s-a mai constatat cÄƒ locomotiva a fost înscrisÄƒ în Certificatul de SiguranÈ›Äƒ partea B, Anexa II, fÄƒrÄƒ respectarea cerinÈ›elor legale, respectiv fÄƒrÄƒ efectuarea unei evaluÄƒri tehnice a acesteia, fapt care a fÄƒcut posibilÄƒ utilizarea ei de cÄƒtre operatorul feroviar de transport în condiÈ›iile în care starea tehnicÄƒ a locomotivei nu permitea acest fapt. Amploarea incendiului produs la locomotiva EA nr.698 a fost generatÄƒ È™i de faptul cÄƒ, deÈ™i Serviciul Unic de UrgenÈ›Äƒ a fost avizat la ora 23:41 iar pompierii militari au sosit la locul accidentului la ora 23:54, intervenÈ›ia acestora a fost posibilÄƒ abia la ora 00:59 când linia de contact a fost scoasÄƒ de sub tensiune È™i legatÄƒ la pÄƒmânt. Sosirea drezinei pantograf în cel mai scurt timp la locul accidentului ar fi diminuat daunele produse în urma accidentului. Având în vedere cele menÈ›ionate anterior, comisia de investigare recomandÄƒ AutoritÄƒÈ›ii de SiguranÈ›Äƒ FeroviarÄƒ RomânÄƒ: 4. SÄƒ solicite gestionarului de infrastructurÄƒ feroviarÄƒ CNCF â€žCFRâ€ SA dispunerea de mÄƒsuri pentru ca operaÈ›ia de scoaterea de sub tensiune È™i legarea la pÄƒmânt a firului de contact sÄƒ se facÄƒ cât mai repede pentru a putea permite intervenÈ›ia cu operativitate în caz de urgenÈ›Äƒ în zona cÄƒii ferate electrificate.</t>
  </si>
  <si>
    <t>RO-5972/8</t>
  </si>
  <si>
    <t>With reference to the accident happened on the 7t May 2019 in the running of the freight train no.33901, one found out that the fire broken into the locomotive EA no.698 was due to its improper technical condition generated by: - keeping in operation of the locomotive after exceeding the deadline for the performance of the planned repairs, contrary to the Railway norm "Railway vehicles. Types of planned inspections and repairs. Norms of time or norms of km run for the performance of the planned inspections and repairs", approved through the Order of Ministry of Transports and Infrastructure no.315/2011, with further amendments; - lack of the protections parts (cover for the protection of the terminal connection plate S7). One also found out that the locomotive was written down in the Safety certificate part B, Annex II, without meeting with the legal requirements, respectively without the performance of a technical inspection at that, it doing possible its use, by the railway undertakingwith, having an improper technical condition that was not permiting it. The spread of the fire broken out into the locomotive EA no.698 was generated also by the fact that, though the Emergency Department was notified at 23:41 oâ€™clock and the military firemen arrived at the accident site at 23:54 oâ€™clck, the intervantion was possible at 00:59 oâ€™clock, when the power supply from the contact line was cut off and it was connected at earth. The arrival of the gang car in the shortest time possible at the accident site should have limited the damages generated by the accident. Considering these above mentioned, the investigation commission recommends Romanian Railway Safety Authority: 4. to ask the railway infrastructure manager CNCF â€žCFRâ€ SA the disposal of measures so that the power supply cutting and the earth connection be made as soon as possible in order to permit the effective intervention in the area with electrified line, in emergency situation.</t>
  </si>
  <si>
    <t>RO-5975/1</t>
  </si>
  <si>
    <t>În cazul accidentului feroviar produs la data de 13.05.2019, în circulaÈ›ia trenului de marfÄƒ ...</t>
  </si>
  <si>
    <t>În cazul accidentului feroviar produs la data de 13.05.2019, în circulaÈ›ia trenului de marfÄƒ nr.80964 s-a constatat cÄƒ acesta s-a produs ca urmare a slÄƒbirii bandajului roÈ›ii nr.6 de la vagonul nr. 84539305630-2, urmatÄƒ de rotirea acestuia pe obada roÈ›ii, fapt ce a condus la modificarea accidentalÄƒ a distanÈ›ei dintre feÈ›ele interioare ale bandajelor roÈ›ilor (ecartamentul) osiei montate. Depistarea rotirii bandajului pe obada roÈ›ii a fost îngreunatÄƒ de lipsa marcajelor cu vopsea situate la 900 unul faÈ›Äƒ de altul pe bandajul roÈ›ii nr.6. De asemenea, neaplicarea la nivelul TEHNOTRANS FEROVIAR SRL a prevederilor din procedura proprie de management al întreÈ›inerii cod PSMI-18-THF â€žGestionarea întreÈ›inerii vagoanelorâ€ referitoare la urmÄƒrirea È™i retragerea din exploatare, în timp util, a vagoanelor din parcul propriu scadente la revizii È™i reparaÈ›ii a condus la menÈ›inerea în exploatare a vagonului nr.84539305630-2, deÈ™i acesta avea termenul de efectuare a reviziilor intermediare (RRu È™i RIF) depÄƒÈ™it începând cu data de 08.04.2019. Având în vedere cauza primarÄƒ ce a stat la baza producerii acestui accident, AGIFER emite, urmÄƒtoarele recomandÄƒri de siguranÈ›Äƒ: 1. Autoritatea de SiguranÈ›Äƒ FeroviarÄƒ RomânÄƒ â€“ ASFR se va asigura cÄƒ TEHNOTRANS FEROVIAR SRL, în calitatea sa de entitate responsabilÄƒ cu întreÈ›inerea, poate garanta, în cadrul sistemului de management al întreÈ›inerii instituit, gestionarea retragerii din exploatare a vagoanelor de marfÄƒ în vederea întreÈ›inerii sau în cazurile în care au fost identificate defecÈ›iuni.</t>
  </si>
  <si>
    <t>RO-5975/2</t>
  </si>
  <si>
    <t>Safety recommendations With reference to the accident from the 13th May 2019, in the running of the freight train no.80964, one found that it happened following the unfastening of the tyre from the wheel no.6, followed by its turning on the wheel centre, it leading to the accidental change of the distance between the inner faces of the wheel tyres (gauge) of the wheelset. Identification of the tyre turning on the wheel centre was made heavier by the lack of the paint marks at 900 to each other on the tyre of the wheel no.6. Also, the non-application by TEHNOTRANS FEROVIAR SRL of the provisions from its own procedure for the maintenance management code PSMI-18-THF â€žManagement of the wagon maintenanceâ€ regarding the monitoring and withdrawal from operation, in good time, of the wagons from own fleet, due for inspections and repairs, it led to keeping in operation of the wagon no.84539305630-2, although it had the deadline for intermediary inspections (RRu and RIF) exceeded starting with 8th April 2019. Taking into account the root cause, basis for the occurrence of this accident, AGIFER issues the next safety recommendations: 1. Romanian Railway Safety Authority â€“ ASFR shall take care that TEHNOTRANS FEROVIAR SRL, like entity in charge with the maintenance can ensure, within the maintenance management system established, the management of the withdrawal from operation of the wagons for their maintenance in case of failures.</t>
  </si>
  <si>
    <t>RO-5975/3</t>
  </si>
  <si>
    <t>cazul accidentului feroviar produs la data de 13.05.2019, în circulaÈ›ia trenului de marfÄƒ nr.80964 ...</t>
  </si>
  <si>
    <t>cazul accidentului feroviar produs la data de 13.05.2019, în circulaÈ›ia trenului de marfÄƒ nr.80964 s-a constatat cÄƒ acesta s-a produs ca urmare a slÄƒbirii bandajului roÈ›ii nr.6 de la vagonul nr. 84539305630-2, urmatÄƒ de rotirea acestuia pe obada roÈ›ii, fapt ce a condus la modificarea accidentalÄƒ a distanÈ›ei dintre feÈ›ele interioare ale bandajelor roÈ›ilor (ecartamentul) osiei montate. Depistarea rotirii bandajului pe obada roÈ›ii a fost îngreunatÄƒ de lipsa marcajelor cu vopsea situate la 900 unul faÈ›Äƒ de altul pe bandajul roÈ›ii nr.6. De asemenea, neaplicarea la nivelul TEHNOTRANS FEROVIAR SRL a prevederilor din procedura proprie de management al întreÈ›inerii cod PSMI-18-THF â€žGestionarea întreÈ›inerii vagoanelorâ€ referitoare la urmÄƒrirea È™i retragerea din exploatare, în timp util, a vagoanelor din parcul propriu scadente la revizii È™i reparaÈ›ii a condus la menÈ›inerea în exploatare a vagonului nr.84539305630-2, deÈ™i acesta avea termenul de efectuare a reviziilor intermediare (RRu È™i RIF) depÄƒÈ™it începând cu data de 08.04.2019. Având în vedere cauza primarÄƒ ce a stat la baza producerii acestui accident, AGIFER emite, urmÄƒtoarele recomandÄƒri de siguranÈ›Äƒ: 2. Autoritatea de SiguranÈ›Äƒ FeroviarÄƒ RomânÄƒ â€“ ASFR se va asigura cÄƒ TEHNOTRANS FEROVIAR SRL, în calitatea sa de operator de transport feroviar de marfÄƒ, în cadrul sistemului de management al siguranÈ›ei, îÈ™i va evalua riscurile generate de neretragerea din exploatare a vagoanelor de marfÄƒ în vederea întreÈ›inerii.</t>
  </si>
  <si>
    <t>RO-5975/4</t>
  </si>
  <si>
    <t>With reference to the accident from the 13th May 2019, in the running of the freight train no.80964, one found that it happened following the unfastening of the tyre from the wheel no.6, followed by its turning on the wheel centre, it leading to the accidental change of the distance between the inner faces of the wheel tyres (gauge) of the wheelset. Identification of the tyre turning on the wheel centre was made heavier by the lack of the paint marks at 900 to each other on the tyre of the wheel no.6. Also, the non-application by TEHNOTRANS FEROVIAR SRL of the provisions from its own procedure for the maintenance management code PSMI-18-THF â€žManagement of the wagon maintenanceâ€ regarding the monitoring and withdrawal from operation, in good time, of the wagons from own fleet, due for inspections and repairs, it led to keeping in operation of the wagon no.84539305630-2, although it had the deadline for intermediary inspections (RRu and RIF) exceeded starting with 8th April 2019. Taking into account the root cause, basis for the occurrence of this accident, AGIFER issues the next safety recommendations: 2. Romanian Railway Safety Authority â€“ ASFR shall take care that TEHNOTRANS FEROVIAR SRL, like railway freight undertaking, within the safety management system, shall re-assess the risks generated by the withdrawal from operation of the wagons for their maintenance.</t>
  </si>
  <si>
    <t>REC-000649</t>
  </si>
  <si>
    <t>RO-5976/1</t>
  </si>
  <si>
    <t>În cursul acÈ›iunii desfÄƒÈ™urate, comisia de investigare a constatat faptul cÄƒ managementul administratorului de infrastructurÄƒ la nivel central È™i regional nu au gestionat riscurile generate de urmÄƒtoarele pericole: - nerespectarea succesiunii operaÈ›iunilor din cuprinsul parcursurilor de circulaÈ›ie efectuate prin intermediul instalaÈ›iilor de asigurare cu chei È™i bloc; - activitatea de mentenanÈ›Äƒ a instalaÈ›iilor SBW care sÄƒ previnÄƒ punerea semnalului pe liber cu un macaz aÈ™ezat È™i zÄƒvorât în poziÈ›ia necorespunzÄƒtoare parcursului comandat, pentru a dispune soluÈ›ii È™i mÄƒsuri viabile în vederea È›inerii sub control a acestora. Astfel, dacÄƒ organizaÈ›ia economicÄƒ ar fi monitorizat respectarea de cÄƒtre personalul propriu într-un mod adecvat a procedurilor operaÈ›ionale care acoperÄƒ riscurile asociate pericolelor precizate mai sus, ar fi putut preveni producerea incidentului feroviar. Pentru îndeplinirea unui astfel obiectiv comisia de investigare recomandÄƒ AutoritÄƒÈ›ii de SiguranÈ›Äƒ FeroviarÄƒ RomânÄƒ - ASFR sÄƒ urmÄƒreascÄƒ ca CNCF CFR SA sÄƒ: 1. Reanalizeze activitatea de monitorizare a modului de efectuare: 1.1. a activitÄƒÈ›ii de mentenanÈ›Äƒ a instalaÈ›iilor SBW, care sÄƒ previnÄƒ punerea semnalului pe liber fÄƒrÄƒ ca un macaz din parcurs sÄƒ fie manevrat în poziÈ›ie corespunzÄƒtoare; 1.2. a parcurselor de circulaÈ›ie, având instalaÅ£ii cu chei ÅŸi bloc, È™i sÄƒ analizeze oportunitatea includerii acestor neconformitÄƒÈ›i în categoria neconformitÄƒÈ›ilor inacceptabile.</t>
  </si>
  <si>
    <t>RO-5976/2</t>
  </si>
  <si>
    <t>Safety recommendations During the investigation, the commission found that the management of the infrastructure administrator, at central and regional level, did not manage the risks generated by the next dangers: - violation of the sequence of operations within the switching over of the trains by the equipments for secure with keys and block section; - the maintenance of the equipments SBW that prevent the placing of the signal on stop with a switch blocked on a position improper to the switching over of the train, in order to dispose viable measures and solutions for their keeping under control. So, if the economic organization have been surveilled the adequate compliance by its own staff of the operational procedures, that cover the risks associated to the dangers above mentioned, it should have been able to prevent the railway incident. In order to achieve a such objective, the investigation commission recommends Romanian Railway Safety Authority â€“ ASFR, to watch CNCF CFR SA to: 1. re-analyse the monitoring of the way: 1.1. to perform the maintenance of the equipments SBW, that prevent the placing of a signal on stop position without the operation of a route switch on the suitable position; 1.2. of switching over of the trains, having equipments with keys and section blocks, and to analyse the oportunity to include these nonconformities in the category of the unacceptable ones.</t>
  </si>
  <si>
    <t>RO-5987/1</t>
  </si>
  <si>
    <t>Având în vedere cauzele primare ale accidentului feroviar comisia de investigare recomandÄƒ ...</t>
  </si>
  <si>
    <t>Având în vedere cauzele primare ale accidentului feroviar comisia de investigare recomandÄƒ AutoritÄƒÅ£ii de SiguranÅ£Äƒ FeroviarÄƒ Române sÄƒ se asigure cÄƒ administratorul de infrastructurÄƒ feroviarÄƒ publicÄƒ CNCF â€žCFRâ€ SA va efectua analiza schimbÄƒrii în conformitate cu Regulamentul UE nr 402/2013 privind metoda de siguranÅ£Äƒ comunÄƒ pentru evaluarea ÅŸi aprecierea riscurilor, la lucrÄƒrile de reabilitare a infrastructurii feroviare cu impact asupra desfÄƒÅŸurÄƒrii activitÄƒÅ£ii de circulaÅ£ie ÅŸi manevrÄƒ, înainte de începerea lucrÄƒrilor</t>
  </si>
  <si>
    <t>RO-5987/2</t>
  </si>
  <si>
    <t>Considering the root causes of the accident, the investigation commission recommends Romanian Railway Safety Authority shall take care that the public railway infrastructure administrator CNCF â€žCFRâ€ SA shall do an analysis of the change in accordance with EU Regulations no. 402/2013 regarding the common safety method for the assessment and evaluation of the risks, at the rehabilitations of the railway infrastructure with impact on the performance of traffic and shunting, before the works beginning.</t>
  </si>
  <si>
    <t>RO-5992/1</t>
  </si>
  <si>
    <t>Accidentul feroviar s-a produs pe fondul menÈ›inerii în cale a unui grup de 5 traverse de lemn ...</t>
  </si>
  <si>
    <t>Accidentul feroviar s-a produs pe fondul menÈ›inerii în cale a unui grup de 5 traverse de lemn necorespunzÄƒtoare, din care 3 traverse de lemn consecutive, ceea ce a fÄƒcut ca sub acÈ›iunea forÈ›elor dinamice transmise de roÈ›ile materialului rulant, respectivele traverse sÄƒ cedeze È™i în consecinÈ›Äƒ, ecartamentului cÄƒii sÄƒ ajungÄƒ la o valoare mai mare decât cea maxim admisÄƒ în exploatare, determinând deraierea roÈ›ilor, prin cÄƒderea acestora între È™inele cÄƒii de rulare. Având în vedere starea tehnicÄƒ necorespunzÄƒtoare a infrastructurii feroviare existentÄƒ în zona producerii accidentului, zonÄƒ în care a mai avut loc la data de 21.04.2019 o deraiere a unui tren aflat în circulaÈ›ie È™i având în vedere faptul, cÄƒ nivelurile de siguranÈ›Äƒ care trebuie atinse sunt exprimate prin criterii de acceptare a riscului È™i definite de obiectivele de siguranÈ›Äƒ comune, comisia de investigare considerÄƒ necesarÄƒ emiterea urmÄƒtoarei recomandÄƒri de siguranÈ›Äƒ: Autoritatea de SiguranÈ›Äƒ FeroviarÄƒ RomânÄƒ â€“ ASFR se va asigura cÄƒ RC-CF TRANS SRL, în calitatea sa de gestionar de infrastructurÄƒ feroviarÄƒ neinteroperabilÄƒ, va efectua o analizÄƒ a riscului asociat pericolului generat de menÈ›inerea în exploatare a traverselor de lemn necorespunzÄƒtoare. De asemenea ASFR va urmÄƒri, prin acÈ›iuni specifice, modul în care mÄƒsurile rezultate în urma acestei analize, pentru È›inerea sub control a riscului de producere a unui accident în condiÈ›ii similare, sunt duse la îndeplinire de gestionarul de infrastructurÄƒ feroviarÄƒ neinteroperabilÄƒ, RC-CF TRANS SRL.</t>
  </si>
  <si>
    <t>RO-5992/2</t>
  </si>
  <si>
    <t>SAFETY RECOMMENDATIONS The railway accident happened following the keeping within the track of 5 improper wooden sleepers, 3 of them in series, so, under the action of the dynamic forces transmitted by the wheels of the rolling stock, the respective sleepers gave up, the track gauge reaches a value over the maximum accepted one in operation, generating the derailment of the wheels, by their fall between the rails. Considering the improper technical condition of the railway infrastructure existing at the accident site, where, on the 21st April 2019 a derailment of a train in running happened and taking into account that the safety levels to be achieved are expressed through criteria for the risk acceptance and defined by the common safety objectives, the investigation commission considers necessary to issue the next safety recommendation: Romanian Railway Safety Authority â€“ ASFR shall make sure that RC-CF TRANS SRL, as manager of noninteroperable infrastructure, makes an analysis of the risk associated to the danger generated by keeping in operation of the improper wooden sleepers. ASFR shall also monitor, through specific actions, the way the measures resulted following the analysis, for keeping under control the risk of a similar accident are implemented by the manager of the noninteroperable infrastructure RC-CF TRANS SRL.</t>
  </si>
  <si>
    <t>RO-5997/1</t>
  </si>
  <si>
    <t>RecomandÄƒri de siguranÈ›Äƒ Deraierea celor douÄƒ vagoane aflate în compunerea trenului de marfÄƒ ...</t>
  </si>
  <si>
    <t>RecomandÄƒri de siguranÈ›Äƒ Deraierea celor douÄƒ vagoane aflate în compunerea trenului de marfÄƒ nr.23052-1 s-a produs ca urmare a geometriei necorespunzÄƒtoare a cÄƒii, pe fondul unei mentenanÈ›e necorespunzÄƒtoare a infrastructurii feroviare. În timpul investigaÈ›iei s-a constatat cÄƒ, mentenanÈ›a suprastructurii cÄƒii nu a fost realizatÄƒ în conformitate cu prevederile codurilor de practicÄƒ (documente de referinÈ›Äƒ/asociate ale procedurilor din cadrul sistemului de management al siguranÈ›ei al CNCF â€žCFRâ€ SA). Având în vedere cÄƒ neaplicarea prevederilor PO SMS 0-4.07 â€žRespectarea specificaÅ£iilor tehnice, standardelor ÅŸi cerinÅ£elor relevante pe întreg ciclul de viaÈ›Äƒ a liniilor în procesul de întreÅ£inereâ€, parte a sistemului de management al siguranÈ›ei al CNCF â€žCFRâ€ SA a fost depistatÄƒ ca fiind cauza primarÄƒ a acestui accident, pentru prevenirea unor cazuri de accidente care s-ar putea produce în condiÈ›ii similare cu cele prezentate în acest raport, AGIFER emite, pentru Autoritatea de SiguranÈ›Äƒ FeroviarÄƒ RomânÄƒ â€“ ASFR, urmÄƒtoarea recomandare de siguranÈ›Äƒ: ïƒ˜ sÄƒ analizeze prin acÈ›iuni proprii de supraveghere, modul în care sistemul de management al siguranÈ›ei al administratorului infrastructurii feroviare publice este aplicat È™i dacÄƒ este cazul sÄƒ solicite CNCFâ€žCFRâ€SA, corectarea sau reevaluarea de cÄƒtre aceasta a mÄƒsurilor pentru È›inerea sub control a riscurilor proprii.</t>
  </si>
  <si>
    <t>RO-5997/2</t>
  </si>
  <si>
    <t>The derailment of those two wagons of the freight train no.23052-1 happened following the improper track geometry, given the unsuitable maintenance of the railway infrastructure. During the investigation one found that the maintenance of the track superstructure was not made in accordance with the provisions of the practice codes (reference/associated documents of the procedures from the safety management system of CNCF â€žCFRâ€ SA). Considering that the inobservance of the provisions PO SMS 0-4.07 â€žMeeting with the technical specifications, standards and requirements relevant for the whole life time of the track in the maintenance processâ€, part of the safety management system of CNCF â€žCFRâ€ SA was found as root cause of this accident, in order to avoid the occurrence of accidents that could happen in similar conditions to those presented in this report, AGIFER issues for Romanian Railway Safety Authority - ASFR, the next safety recommendation: ïƒ˜ to analyze through own surveillances the way the safety management system of the public railway infrastructure administrator is applied and if case to ask CNCFâ€žCFRâ€SA the rectification or the re-assessment of the measures for keeping under control the own risks.</t>
  </si>
  <si>
    <t>RO-6002/1</t>
  </si>
  <si>
    <t>RecomandÄƒri de siguranÈ›Äƒ Deraierea s-a produs datoritÄƒ stÄƒrii tehnice necorespunzÄƒtoare a ...</t>
  </si>
  <si>
    <t>RecomandÄƒri de siguranÈ›Äƒ Deraierea s-a produs datoritÄƒ stÄƒrii tehnice necorespunzÄƒtoare a infrastructurii feroviare. În timpul investigaÈ›iei s-a constatat cÄƒ, starea tehnicÄƒ necorespunzÄƒtoare a cÄƒii se datoreazÄƒ mentenanÈ›ei cÄƒii, care nu a fost realizatÄƒ în conformitate cu prevederile codurilor de practicÄƒ (documente de referinÈ›Äƒ/asociate ale procedurilor din cadrul sistemului de management al siguranÈ›ei al CNCF â€žCFRâ€ SA). Deraierea vagoanelor nr.31535375239-9 È™i 31535375474-2 (al 19-lea È™i al 23-lea din compunerea trenului) s-a produs pe fondul mentenanÈ›ei necorespunzÄƒtoare a cÄƒii pe curba dupÄƒ schimbÄƒtorul de cale nr.2 de pe linia 1 a staÈ›iei CFR IablaniÈ›a. Comisia de investigare a constatat faptul cÄƒ administratorul de infrastructurÄƒ a identificat, dar nu a gestionat riscurile generate de nerealizarea mentenanÈ›ei liniilor CF, pentru a putea dispune în consecinÈ›Äƒ soluÈ›ii È™i mÄƒsuri viabile în vederea È›inerii sub control a pericolului deraierii. Astfel, dacÄƒ s-ar fi aplicat propriile proceduri ale sistemului de management al siguranÈ›ei, în integritatea lor, precum È™i prevederile codurilor de practicÄƒ, parte componentÄƒ a SMS, administratorul de infrastructurÄƒ ar fi putut sÄƒ menÈ›inÄƒ parametrii tehnici ai geometriei cÄƒii în limitele toleranÈ›elor impuse de siguranÈ›a feroviarÄƒ. Èšinând cont de învÄƒÈ›Äƒmintele care se pot trage de la acest accident, în vederea îmbunÄƒtÄƒÈ›irii siguranÈ›ei feroviare È™i a prevenirii unor evenimente similare, comisia de investigare considerÄƒ oportunÄƒ adresarea cÄƒtre ASFR a urmÄƒtoarei recomandÄƒri de siguranÈ›Äƒ: Autoritatea de SiguranÈ›Äƒ FeroviarÄƒ â€“ ASFR, va reevalua modul în care administratorul de infrastructurÄƒ feroviarÄƒ publicÄƒ CNCF â€žCFRâ€ SA, asigurÄƒ mÄƒsurile de siguranÈ›Äƒ, în vederea È›inerii sub control a pericolelor È™i a riscurilor asociate acestora, cu privire la realizarea mentenanÈ›ei infrastructurii feroviar È™i se va asigura de faptul cÄƒ aceste mÄƒsuri pot fi aplicate integral.</t>
  </si>
  <si>
    <t>RO-6002/2</t>
  </si>
  <si>
    <t>The derailment happened following the improper technical condition of the railway infrastructure. During the investigation, one found that the improper technical condition of the track is due to its maintenance, that was not carried in accordance with the provisions of the practice codes (reference/associated documents of the procedures from the safety management system of CNCF â€žCFRâ€ SA). The derailment of the wagons no.31535375239-9 and no.31535375474-2 (the 19th and 23rd ones of the train) happened following the improper maintenance of the track on the curve after the switch no.2 from the line 1 of the railway station IablaniÈ›a. The investigation commission found that the infrastructure administrator identified but did not managed the risks generated by the lack of the line maintenance, in order to be able to dispose consequently viable solutions and measures for keeping under control the derailment danger. So, if the own procedures of the safety management system had been applied totally, as well as the provisions of the practice codes, part of SMS, the infrastructure administrator could have been able to keep the technical parameters of the track geometry between the limits of the tolerances imposed for the railway safety. Considering the lessons that can be learned from this accident, for the improvement of the railway safety and for the prevention of some similar events, the investigation commission considers appropriate to address Romanian Railway Safety Authority â€“ ASFR the next safety recommendation: Romanian Railway Safety Authority â€“ ASFR shall re-assess the way the public railway infrastructure administrator CNCF â€žCFRâ€ SA ensures the safety measures, for keeping under control the dangers and risks associated to them, regarding the performance of the infrastructure maintenance and shall be sure that these measures can be totally applied.</t>
  </si>
  <si>
    <t>RO-6010/1</t>
  </si>
  <si>
    <t>În cazul accidentului feroviar produs la data de 29.06.2019, în circulaÈ›ia trenului de marfÄƒ ...</t>
  </si>
  <si>
    <t>În cazul accidentului feroviar produs la data de 29.06.2019, în circulaÈ›ia trenului de marfÄƒ nr.83216-1 s-a constatat faptul cÄƒ, deraierea a fost influenÈ›atÄƒ de potenÈ›ialul tehnic necorespunzÄƒtor, atât al infrastructurii feroviare cât È™i a materialului rulant implicat. Pentru menÈ›inerea parametrilor tehnici ai cÄƒii la valorile impuse de exploatarea în condiÈ›ii normale a infrastructurii feroviare, administratorul infrastructurii feroviare publice CNCFâ€žCFRâ€ SA, în urma identificÄƒrii pericolelor care se pot manifesta în activitatea de mentenanÈ›Äƒ a infrastructurii feroviare È™i a evaluÄƒrii riscurilor asociate pericolelor, È™i-a stabilit ca mÄƒsuri pentru È›inerea sub control a riscurilor de producere a accidentelor, respectarea prevederilor din codurile de practicÄƒ, care sunt parte a sistemul de management al siguranÈ›ei. Identificarea de cÄƒtre comisie a abaterilor de la codurile de practicÄƒ, în ceea ce priveÈ™te menÈ›inerea cÄƒii în parametrii tehnici de exploatare prevÄƒzuÈ›i de aceste coduri, dovedeÈ™te faptul cÄƒ sistemul de management al siguranÈ›ei nu este aplicat corespunzÄƒtor de cÄƒtre CNCF â€žCFRâ€ SA. De asemenea, la boghiul nr.2 al locomotivei de remorcare (primul în sensul de mers) s-a constatat cÄƒ distanÈ›ele dintre axele osiilor. Ultima verificare a alinierii È™i paralelismului osiilor locomotivei a fost efectuatÄƒ la data de 27.04.2018, cu ocazia efectuÄƒrii reparaÈ›iei generale cu modernizare (RGM) la SecÈ›ia IRLU PaÈ™cani. De la aceastÄƒ datÄƒ È™i pânÄƒ la data producerii accidentului, datoritÄƒ modificÄƒrii în timp a caracteristicilor elastice ale elementelor de suspensie din cauciuc s-au produs dereglarea paralelismului osiilor, astfel cÄƒ s-au depÄƒÈ™it limitele admise prin Norma TehnicÄƒ FeroviarÄƒ nr.67-003:2008 â€žVehicule de cale feratÄƒ. Locomotive electrice de 5.100 KW È™i 3.400 KW. PrescripÈ›ii tehnice pentru revizii È™i reparaÈ›iiâ€. Lipsa din nomenclatorul de lucrÄƒri al SpecificaÈ›iei Tehnice cod ST-LE 5100 KW â€“ â€žRevizii planificate tip PTAE, RAC, RI, RT, R1 È™i R2 È™i reparaÈ›ii accidentale tip RIT, RIR, RAD, RA la locomotivele electrice de 5100kWâ€ a lucrÄƒrilor de verificare È™i eventual reglare a paralelismului osiilor montate la reviziile de tip RT, R1 È™i R2 dacÄƒ s-a depÄƒÈ™it intervalul de timp de 12 luni de la ultima reglare, lucrare prevÄƒzutÄƒ de Norma TehnicÄƒ FeroviarÄƒ nr.67-003:2008, a contribuit la producerea accidentului feroviar. Pentru prevenirea unor cazuri de accidente care s-ar putea produce în condiÈ›ii similare cu cele prezentate în acest raport, AGIFER emite, urmÄƒtoarele recomandÄƒri de siguranÈ›Äƒ: 1. Autoritatea de SiguranÈ›Äƒ FeroviarÄƒ RomânÄƒ â€“ ASFR va analiza prin acÈ›iuni proprii de supraveghere, modul în care este aplicat sistemul de management al siguranÈ›ei al administratorului infrastructurii feroviare publice;</t>
  </si>
  <si>
    <t>RO-6010/2</t>
  </si>
  <si>
    <t>As reference to the accident happened on the 29th June 2019, in the running of the freight train no.83216-1, one found that the derailment was influenced by the improper technical potential, both of the railway infrastructure and of the rolling stock involved. In order to keep the technical parameters of the track in accordance with the values imposed by the operation in normal conditions on the railway infrastructure, the public railway administrator CNCFâ€žCFRâ€ SA, after the identification of the dangers that can appear in the maintenance of the railway infrastructure and after the assessment of the risks associated to the dangers, established measures for keeping under control the risks of accident occurrence, compliance with the provisions from the practice codes, that are part of the safety management system. The identification by the commission of the deviations from the practice codes, for the track keeping between the technical operation parameters stipulated in those codes, it proves that the safety management system is nor properly applied by CNCF â€žCFRâ€ SA. One also found at the bogie no.2 of the hauling locomotive (first in the running direction) that the distances between the centers of the axles. The last checking of the alignment and of the parallelism of the locomotive axles was carried on the 27th April 2018, during the performance of the modernization overhaul (RGM) into the Section IRLU PaÈ™cani. From this date and until the date of accident, following the changes during the time of the elastic characteristics of the rubber suspensions, there changes of the axle parallelism, so the limits accepted by The Railway Technical Norm no.67-003:2008 â€žRailway vehicles. Electric locomotives of 5.100 KW and of 3.400 KW. Technical provisions for inspections and repairsâ€ were exceeded. The lack in the schedule of works from the Technical Specification code ST-LE 5100 KW â€“ â€žPlanned inspections type PTAE, RAC, RI, RT, R1 and R2 and accidental repairs type RIT, RIR, RAD, RA at electric locomotives of 5100kWâ€ of works for checking and eventually adjustment of the parallelism of the wheelsets during the inspections type RT, R1 and R2, if the interval of time of 12 months from the last adjustment was exceeded, work stipulated in the Railway Technical Norm no.67-003:2008, had contribution to the accident occurrence. For the prevention of accidents occurrence in similar conditions to those presented in this report, AGIFER issues the next safety recommendations: 1. Romanian Railway Safety Authority â€“ ASFR shall analyze through own actions of surveillance the way the safety management system of the public railway infrastructure administrator is applied;</t>
  </si>
  <si>
    <t>RO-6010/3</t>
  </si>
  <si>
    <t>2. Autoritatea de SiguranÈ›Äƒ FeroviarÄƒ RomânÄƒ â€“ ASFR se va asigura cÄƒ SC ,,CFR IRLUâ€ SA, operatorul ...</t>
  </si>
  <si>
    <t>2. Autoritatea de SiguranÈ›Äƒ FeroviarÄƒ RomânÄƒ â€“ ASFR se va asigura cÄƒ SC ,,CFR IRLUâ€ SA, operatorul economic cÄƒtre care SNTFM â€žCFR MarfÄƒâ€ SA, în calitatea de entitate responsabilÄƒ cu întreÈ›inerea locomotivelor proprii, a externalizat funcÈ›iile de â€ždezvoltarea întreÈ›ineriiâ€ È™i â€žefectuarea întreÈ›ineriiâ€, va pune de acord nomenclatorul de lucrÄƒri al SpecificaÈ›iei Tehnice cod ST-LE 5100 KW â€“ â€žRevizii planificate tip PTAE, RAC, RI, RT, R1 È™i R2 È™i reparaÈ›ii accidentale tip RIT, RIR, RAD, RA la locomotivele electrice de 5100kWâ€ cu prevederile din Norma TehnicÄƒ FeroviarÄƒ nr.67-003:2008 referitoare la lucrÄƒrile de verificare a alinierii È™i paralelismului osiilor montate la reviziile de tip RT, R1 È™i R2, în cazurile în care s-a depÄƒÈ™it intervalul de timp de 12 luni de la ultima reglare.</t>
  </si>
  <si>
    <t>RO-6010/4</t>
  </si>
  <si>
    <t>2. Romanian Railway Safety Authority â€“ ASFR shall take care that SC ,,CFR IRLUâ€ SA, the economic operator to which SNTFM â€žCFR MarfÄƒâ€ SA, as entity in charge with the maintenance of its own locomotives, entrusted the functions of â€žmaintenance developmentâ€ and â€žmaintenance performanceâ€, shall harmonize the work schedule of the Technical Specification code ST-LE 5100 KW â€“ â€žPlanned inspections type PTAE, RAC, RI, RT, R1 and R2 and accidental repairs type RIT, RIR, RAD, RA at the electric locomotives of 5100kWâ€ , with the provisions of the Railway Technical Norm no.67-003:2008, regarding the checking of the alignment and parallelism of the wheelset during the inspections type RT, R1 and R2, if the interval of time of 12 months from the last adjustment was exceeded.</t>
  </si>
  <si>
    <t>RO-6011/1</t>
  </si>
  <si>
    <t>RecomandÄƒri de siguranÈ›Äƒ Accidentul feroviar s-a produs datoritÄƒ stÄƒrii tehnice ...</t>
  </si>
  <si>
    <t>RecomandÄƒri de siguranÈ›Äƒ Accidentul feroviar s-a produs datoritÄƒ stÄƒrii tehnice necorespunzÄƒtoare a infrastructurii feroviare. În timpul investigaÈ›iei s-a constatat cÄƒ starea tehnicÄƒ necorespunzÄƒtoare a cÄƒii se datoreazÄƒ mentenanÈ›ei necorespunzÄƒtoare, care nu a fost realizatÄƒ în conformitate cu prevederile codurilor de practicÄƒ (documente de referinÈ›Äƒ/asociate ale procedurilor din cadrul sistemului de management al siguranÈ›ei al CNCF â€žCFRâ€ SA). Comisia de investigare a constatat faptul cÄƒ administratorul de infrastructurÄƒ a identificat, dar nu a gestionat riscurile generate de nerealizarea mentenanÈ›ei liniilor CF, pentru a putea dispune în consecinÈ›Äƒ soluÈ›ii È™i mÄƒsuri viabile în vederea È›inerii sub control a pericolului deraierii. Prin aplicarea propriile proceduri ale sistemului de management al siguranÈ›ei, în integritatea lor, precum È™i prevederile codurilor de practicÄƒ, parte componentÄƒ a sistemului de management al siguranÈ›ei, administratorul de infrastructurÄƒ ar fi putut sÄƒ menÈ›inÄƒ parametrii tehnici ai geometriei cÄƒii în limitele toleranÈ›elor impuse de siguranÈ›a feroviarÄƒ È™i ar fi putut evita producerea accidentului feroviar. Luând în considerare evenimentele feroviare care au avut loc în perioada 2015-2019 pe secÈ›ia de circulaÈ›ie CaransebeÈ™ â€“ OrÈ™ova administratÄƒ de cÄƒtre SecÈ›ia de întreÈ›inere linii L1 CaransebeÈ™ din cadrul Sucursalei Regionale de CÄƒi Ferate TimiÈ™oara, anterior datei producerii accidentului feroviar investigat, prezentate la capitolul C.5.6. È™i È›inând cont de învÄƒÈ›Äƒmintele care se pot trage de la acest accident feroviar, în vederea îmbunÄƒtÄƒÈ›irii siguranÈ›ei feroviare È™i a prevenirii unor evenimente similare, comisia de investigare considerÄƒ oportunÄƒ adresarea cÄƒtre ASFR a urmÄƒtoarelor recomandÄƒri de siguranÈ›Äƒ: 1. Autoritatea de SiguranÈ›Äƒ FeroviarÄƒ RomânÄƒ â€“ ASFR va evalua modul în care administratorul de infrastructurÄƒ feroviarÄƒ publicÄƒ CNCF â€žCFRâ€ SA, a identificat È™i aplicat mÄƒsurile ce trebuiau luate pentru implementarea recomandÄƒrilor de siguranÈ›Äƒ emise în cadrul rapoartelor de investigare finalizate pentru accidentele feroviare produse pe secÈ›ia de circulaÈ›ie OrÈ™ova - CaransebeÈ™, în ultimii doi ani, care au avut cauze È™i factori similari.</t>
  </si>
  <si>
    <t>RO-6011/2</t>
  </si>
  <si>
    <t>The accident occurred due to the inadequate technical condition of the railway infrastructure. During the investigation it was found that the improper technical condition of the track is due to improper maintenance, which was not performed in accordance with the provisions of the practice codes (reference/associated documents of the procedures within the safety management system of CNCF "CFR" SA). The investigation commission found that the infrastructure administrator identified, but did not manage, the risks generated by the failure of maintenance at the lines, in order to be able to dispose consequently solutions and measures viable for keeping under control the danger of derailment. By applying its own safety management system procedures, in their integrity, as well as the provisions of the practice codes, part of the safety management system, the infrastructure administrator could have maintained the technical parameters of the track geometry within the limits of tolerances imposed by the railway safety and could have avoided the accident. Taking into account the railway events that took place within 2015-2019 on the track section CaransebeÈ™ â€“ OrÈ™ova, managed by the Track Maintenance Section L1 CaransebeÈ™, within the railway county TimiÈ™oara, prior to this investigated railway accident, presented in chapter C .5.6. and taking into account the lessons learned from this railway accident, in order to improve railway safety and to prevent similar events, the investigation commission considers appropriate to address the following safety recommendations to Romanian Railway Safety Autority - ASFR: 1. Romanian Railway Safety Authority - ASFR shall assess the way the public railway infrastructure manager CNCF â€žCFRâ€ SA, identified and applied the measures that had to be taken for the implementation of safety recommendations issued within the investigation reports completed for railway accidents happened on the track section OrÈ™ova - CaransebeÈ™, in the last two years, with similar causes and factors.</t>
  </si>
  <si>
    <t>RO-6011/3</t>
  </si>
  <si>
    <t>2. Autoritatea de SiguranÈ›Äƒ FeroviarÄƒ RomânÄƒ â€“ ASFR va analiza împreunÄƒ cu administratorul de ...</t>
  </si>
  <si>
    <t>2. Autoritatea de SiguranÈ›Äƒ FeroviarÄƒ RomânÄƒ â€“ ASFR va analiza împreunÄƒ cu administratorul de infrastructurÄƒ feroviarÄƒ publicÄƒ CNCF â€žCFRâ€ SA, activitatea acestuia cu privire la gestionarea riscului asociat pericolului generat de menÈ›inerea în exploatare a traverselor de lemn necorespunzÄƒtoare care trebuie înlocuite în urgenÈ›a I, ocazie cu care va stabili mÄƒsurile respectiv lucrÄƒrile necesare pentru îmbunÄƒtÄƒÈ›irea siguranÈ›ei feroviare;</t>
  </si>
  <si>
    <t>RO-6011/4</t>
  </si>
  <si>
    <t>2. Romanian Railway Safety Authority - ASFR shal analyze together with the public railway infrastructure manager CNCF â€žCFRâ€ SA, its activity for the management of the risk associated with the danger generated by the keeping in operation of inappropriate wooden sleepers that must be replaced in emergency I, when it shall lay down the measures and works necessary to improve railway safety;</t>
  </si>
  <si>
    <t>RO-6012/1</t>
  </si>
  <si>
    <t>RecomandÄƒri de siguranÈ›Äƒ La data de 30.06.2019, ora 23:40, pe raza de activitate a Sucursalei ...</t>
  </si>
  <si>
    <t>RecomandÄƒri de siguranÈ›Äƒ La data de 30.06.2019, ora 23:40, pe raza de activitate a Sucursalei Regionala CF ConstanÈ›a, secÈ›ia de circulaÈ›ie neinteroperabilÄƒ Palasâ€“NÄƒvodari, între staÈ›iile CFR Palas È™i ConstanÈ›a MÄƒrfuri, linie simplÄƒ neelectrificatÄƒ, la km 1+175, în circulaÈ›ia trenului de marfÄƒ nr.89573, s-a produs deraierea de primul boghiu în sensul de mers al locomotivei DA 1513 care asigura remorcarea trenului. În timpul investigaÈ›iei s-a constatat cÄƒ starea tehnicÄƒ necorespunzÄƒtoare a cÄƒii generatÄƒ de mentenanÈ›a necorespunzÄƒtoare, care nu a fost realizatÄƒ în conformitate cu prevederile codurilor de practicÄƒ. Comisia de investigare a constatat faptul cÄƒ gestionarul de infrastructurÄƒ, nu a gestionat corespunzÄƒtor riscurile generate de nerealizarea mentenanÈ›ei liniilor CF neinteroperabile, pentru a putea dispune în consecinÈ›Äƒ soluÈ›ii È™i mÄƒsuri viabile în vederea È›inerii sub control a pericolului deraierii. Tot în cadrul investigaÈ›iei comisia de investigare a constatat cÄƒ operatorul de transport feroviar de MarfÄƒ SC GFR SA a menÈ›inut în exploatare locomotiva DA 1513, fÄƒrÄƒ a îi asigura o mentenanÈ›Äƒ corespunzÄƒtoare referitor la ungerea punctelor de sprijin ale cutiei locomotivei pe boghiuri, fapt ce a constituit un factor în producerea accidentului. Având în vedere cele prezentate comisia de investigare considerÄƒ oportunÄƒ adresarea cÄƒtre ASFR a urmÄƒtoarelor recomandÄƒri de siguranÈ›Äƒ: Recomandarea nr.1 Autoritatea de SiguranÈ›Äƒ FeroviarÄƒ RomânÄƒ â€“ ASFR va analiza dacÄƒ SC GFR SA în calitate de gestionar de infrastructurÄƒ feroviarÄƒ neinteroperabilÄƒ mai îndeplineÈ™te condiÈ›iile care au stat la baza eliberÄƒrii autorizaÈ›iei de siguranÈ›Äƒ;</t>
  </si>
  <si>
    <t>RO-6012/2</t>
  </si>
  <si>
    <t>Safety recommendations On the 30th June 2019, at 23:40 oâ€™clock, in the railway county ConstanÈ›a, noninteroperable track section Palasâ€“NÄƒvodari, between the railway stations Palas and ConstanÈ›a MÄƒrfuri, nonelectrified single-track line, km 1+175, in the running of the freight train no.89573, the fist bogie of the hauling locomotive DA 1513 derailed in the running direction. During the investigation, one found that the improper technical condition of the track was generated by the improper maintenance, that was not made in accordance with the provisions of the practice codes. The investigation commission found that the infrastructure manager did not properly manage the risks generated by the lack of maintenance at the noninteroperable lines, in order to be able to dispose consequently solutions and measures viable for keeping under control the derailment danger. Also, during the investigation, the investigation commission found that the railway undertaking SC GFR SA kept in operation the locomotive DA 1513, without ensuring its proper maintenance regarding the lubrication of the support points of locomotive body on the bogies, it being a factor in the accident occurrence. Considering those above mentioned the investigation commission considers timely to address ASFR the next safety recommendations: Recommendation no.1 Romanian Railway Safety Authority â€“ ASFR shall analyze if SC GFR SA as manager of noninteroperable railway infrastructure still meets with the conditions that were basis for the issuing of the safety authorization;</t>
  </si>
  <si>
    <t>RO-6012/3</t>
  </si>
  <si>
    <t>Recomandarea nr.2 Autoritatea de SiguranÈ›Äƒ FeroviarÄƒ RomânÄƒ â€“ ASFR va analiza dacÄƒ SC TEF SRL mai ...</t>
  </si>
  <si>
    <t>Recomandarea nr.2 Autoritatea de SiguranÈ›Äƒ FeroviarÄƒ RomânÄƒ â€“ ASFR va analiza dacÄƒ SC TEF SRL mai îndeplineÈ™te condiÈ›iile care au stat la baza emiterii autorizaÈ›iei de furnizor feroviar pentru serviciul feroviar critic â€“â€ž întreÈ›inere curentÄƒ linii de cale feratÄƒ, în execuÈ›ie manualÄƒ, fÄƒrÄƒ sudarea È™inelorâ€;</t>
  </si>
  <si>
    <t>RO-6012/4</t>
  </si>
  <si>
    <t>Recommendation no.2 Romanian Railway Safety Authority â€“ ASFR shall analyze if SC TEF SRL still meets with the conditions that were basis for the issuing of the authorization of railway supplier for the railway critical service â€“â€ž manual current maintenance of tracks, without rail weldingâ€;</t>
  </si>
  <si>
    <t>RO-6012/5</t>
  </si>
  <si>
    <t>Recomandarea nr.3 Autoritatea de SiguranÈ›Äƒ FeroviarÄƒ RomânÄƒ â€“ ASFR va solicita operatorului de ...</t>
  </si>
  <si>
    <t>Recomandarea nr.3 Autoritatea de SiguranÈ›Äƒ FeroviarÄƒ RomânÄƒ â€“ ASFR va solicita operatorului de transport feroviar de marfÄƒ SC GFR SA sÄƒ analizeze oportunitatea revizuiri specificaÈ›iei tehnice ST-G.4.1-II/2013, astfel încât prin operaÈ›iile care se efectueazÄƒ în cadrul reviziilor intermediare sÄƒ fie asiguratÄƒ scurgerea apei din cutiile arcurilor È™i ungerea corespunzÄƒtoare a punctelor de sprijin dintre cutia locomotivei È™i boghiuri.</t>
  </si>
  <si>
    <t>RO-6012/6</t>
  </si>
  <si>
    <t>Recommendation no.3 Romanian Railway Safety Authority â€“ ASFR shall ask the railway undertaking SC GFR SA to analyze the opportunity of revision the technical specification ST-G.4.1-II/2013, so by the operations carried within the intermediary inspections be ensured the drainage of the water from the spring boxes and the proper lubrication of the support points between the locomotive box and the bogies.</t>
  </si>
  <si>
    <t>RO-6012/7</t>
  </si>
  <si>
    <t>Luând în considerare È™i evenimentele feroviare care au avut loc în perioada 2014-2019 pe secÈ›ia de ...</t>
  </si>
  <si>
    <t>Luând în considerare È™i evenimentele feroviare care au avut loc în perioada 2014-2019 pe secÈ›ia de circulaÈ›ie Palas-Capu Midia, gestionatÄƒ de SC GFR SA, produse È™i investigate anterior acestui accident feroviar, în vederea îmbunÄƒtÄƒÈ›irii siguranÈ›ei feroviare È™i a prevenirii unor evenimente similare, comisia de investigare considerÄƒ oportunÄƒ adresarea cÄƒtre ASFR È™i a urmÄƒtoarei recomandÄƒri de siguranÈ›Äƒ: Recomandarea nr.4 Autoritatea de SiguranÈ›Äƒ FeroviarÄƒ RomânÄƒ â€“ ASFR va evalua modul în care gestionarul de infrastructurÄƒ feroviarÄƒ neinteroperabilÄƒ SC GFR SA, a identificat È™i aplicat mÄƒsurile ce trebuiau luate pentru implementarea recomandÄƒrilor de siguranÈ›Äƒ emise în cadrul rapoartelor de investigare finalizate pentru accidentele feroviare produse pe secÈ›ia de circulaÈ›ie Palas - Capu Midia, în ultimii cinci ani, care au avut cauze È™i factori similari.</t>
  </si>
  <si>
    <t>RO-6012/8</t>
  </si>
  <si>
    <t>Considering also the railway events happened between 2014-2019 on the track section Palas-Capu Midia, managed by SC GFR SA, occurred and investigated before this accident, in order to improve the railway safety and to prevent some similar events, the investigation commission considers timely to address ASFR also the next safety recommendation: Recommendation no.4 Romanian Railway Safety Authority â€“ ASFR shall assess the way the manager of the noninteroperable railway infrastructure SC GFR SA identified and applied the measures that had to be taken for the implementation of the safety recommendations issued within the investigation reports completed for the accidents occurred on the track section Palas - Capu Midia, during the last five years, having similar causes and factors.</t>
  </si>
  <si>
    <t>RO-6017/1</t>
  </si>
  <si>
    <t>La data de 08.07.2019, la ora 01:28, pe raza de activitate a Sucursalei Regionale CF Craiova, secÈ›ia ...</t>
  </si>
  <si>
    <t>La data de 08.07.2019, la ora 01:28, pe raza de activitate a Sucursalei Regionale CF Craiova, secÈ›ia de circulaÈ›ie Videle â€“ RoÈ™iori Nord (linie dublÄƒ electrificatÄƒ), între halta de miÈ™care RÄƒdoieÈ™ti È™i staÈ›ia CFR Olteni pe firul II de circulaÈ›ie, la km 76+400, trenul de marfÄƒ nr.20919-2 remorcat cu locomotiva EC 121 (aparÈ›inând operatorului de transport feroviar de marfÄƒ SC Cargo Trans Vagon SA) a ajuns din urmÄƒ È™i a tamponat violent trenul de marfÄƒ nr.34393-2 (aparÈ›inând operatorului de transport feroviar de marfÄƒ SC Constantin Grup SRL) ce se afla oprit la semnalul prevestitor Pr Y al semnalului de intrare al staÈ›iei CFR Olteni, fapt ce a avut ca urmare deraierea a trei vagoane din compunerea trenului de marfÄƒ nr.20919-2. În urma investigaÈ›iei desfÄƒÈ™urate s-a constatat cÄƒ accidentul feroviar s-a produs ca urmare a modului în care a acÈ›ionat personalul care a condus locomotiva EA 121, pe fondul oboselii fizice È™i psihice acumulate ca urmare a depÄƒÈ™irii duratei serviciului maxim admis pe locomotivÄƒ precum È™i a perioadei mari de timp de când acesta se afla neîntrerupt în serviciu. MenÈ›inerea în serviciu a personalului de locomotivÄƒ timp de aproximativ 90 de ore este rezultatul deficienÈ›elor existente atât în proiectarea cât È™i la modul de aplicare a sistemului de management al siguranÈ›ei È™i constituie o cauzÄƒ în producerea accidentului. Având în vedere cele prezentate la capitolele C.2.2. Sistemul de management al siguranÈ›ei al operatorului de transport feroviar de marfÄƒ SC Cargo Trans Vagon SA È™i C.7. Evenimente anterioare cu caracter similar, referitoare la: ï‚§ lipsa mÄƒsurilor necesare pentru reducerea riscurilor, precum È™i neconcordanÈ›ele existente între procedurile care reglementeazÄƒ punerea în practicÄƒ a mÄƒsurilor de control a riscurilor; ï‚§ neconformitÄƒÈ›ile constatate în Procedura OperaÈ›ionalÄƒ de SiguranÈ›Äƒ â€Serviciul continuu maxim admis pe locomotivÄƒâ€ cod: POS â€“ 043, Ed.0, Rev.2; ï‚§ depÄƒÈ™irea în mod repetat a duratei serviciului continuu maxim pe locomotivÄƒ, precum È™i mÄƒsurile luate de cÄƒtre operatorul de transport feroviar de marfÄƒ SC Cargo Trans Vagon SA dupÄƒ producerea accidentului investigat, în scopul prevenirii producerii unor accidente sau incidente similare în viitor, în conformitate cu prevederile art.26, alin.(2) din OUG nr.73/2019 privind siguranÈ›a feroviarÄƒ, comisia de investigare emite urmÄƒtoarele recomandÄƒri: Recomandarea nr.1 Autoritatea de SiguranÈ›Äƒ FeroviarÄƒ RomânÄƒ-ASFR se va asigura cÄƒ modul în care operatorul de transport feroviar SC Cargo Trans Vagon SA, È™i-a revizuit procedurile referitoare la: ï‚§ identificarea riscurilor asociate operaÈ›iunilor feroviare È™i elaborarea È™i instituirea mÄƒsurilor de control a riscurilor; ï‚§ durata serviciului continuu maxim admis pe locomotivÄƒ, corespunde scopului propus, astfel încât, modificÄƒrile aduse acestor proceduri sÄƒ conducÄƒ la È›inerea sub control a riscurilor generate de starea de oboseala a personalului de locomotivÄƒ.</t>
  </si>
  <si>
    <t>RO-6017/2</t>
  </si>
  <si>
    <t>Recomandarea nr.2 În cadrul acÈ›iunilor de supraveghere ce vor fi efectuate la SC Cargo Trans Vagon SA, Autoritatea de SiguranÈ›Äƒ FeroviarÄƒ RomânÄƒ-ASFR va verifica dacÄƒ operatorul feroviar efectueazÄƒ serviciile de transport feroviar cu respectarea prevederilor referitoare la durata serviciului continuu maxim admis pe locomotivÄƒ.</t>
  </si>
  <si>
    <t>RO-6017/3</t>
  </si>
  <si>
    <t>Recomandarea nr.2 În cadrul acÈ›iunilor de supraveghere ce vor fi efectuate la SC Cargo Trans Vagon ...</t>
  </si>
  <si>
    <t>RO-6017/4</t>
  </si>
  <si>
    <t>Recommendation no.2 During the supervision that shall be performed at SC Cargo Trans Vagon SA, Romanian Railway Safety Authority - ASFR shall check if the railway undertaking performs the railway transports meeting with the maximum continuous duty accepted for the locomotive.</t>
  </si>
  <si>
    <t>RO-6037/1</t>
  </si>
  <si>
    <t>În conformitate cu prevederile Art.26(2) din OUG nr.73/2019 privind siguranÈ›a feroviarÄƒ È™i ...</t>
  </si>
  <si>
    <t>În conformitate cu prevederile Art.26(2) din OUG nr.73/2019 privind siguranÈ›a feroviarÄƒ È™i ale Directivei (CE) nr.49/2004, recomandÄƒrile de siguranÈ›Äƒ sunt adresate AutoritÄƒÈ›ii de SiguranÈ›Äƒ FeroviarÄƒ RomânÄƒ - ASFR, care va solicita È™i urmÄƒri implementarea acestora de cÄƒtre partea identificatÄƒ în recomandare. Pe distanÈ›a dintre halta de miÅŸcare Plosca ÅŸi P.O. Buzescu, unde s-a produs accidentul, respectiv în zona de siguranÈ›Äƒ a infrastructurii feroviare, a existat la momentul respectiv un incendiu de vegetaÈ›ie, provocat de cÄƒtre proprietarii de terenuri din zonÄƒ, incendiu care s-a extins dinspre câmpurile agricole pânÄƒ în zona cÄƒii ferate. În InstrucÈ›iuni pentru activitatea personalului de locomotivÄƒ în transportul feroviar nr.201/2007 È™i Regulamentul pentru circulaÈ›ia trenurilor È™i manevra vehiculelor feroviare nr.005/2005 nu sunt prevederi pentru cazurile în care, în apropierea cÄƒii ferate, respectiv în zona de siguranÈ›Äƒ a infrastructurii feroviare, incendiile de vegetaÈ›ie ar putea constitui un pericol de producere a unui accident. Acest fapt poate aduce mecanicului de locomotivÄƒ o eventualÄƒ rÄƒspundere viitoare în cazul în care opreÈ™te sau nu trenul. Avînd în vedere cÄƒ s-au mai emis recomandÄƒri de siguranÅ£Äƒ legate de aspectul menÅ£ionat mai sus în cazuri asemÄƒnÄƒtoare de provocare de incendii la vehicolele feroviare, comisia de investigare considerÄƒ cÄƒ nu mai este necesarÄƒ emiterea de noi recomandÄƒri de siguranÅ£Äƒ pentru acest caz. Având în vedere cauza primarÄƒ ÅŸi factorul care a contribuit la producerea accidentului, comisia de investigare recomandÄƒ AutoritÄƒÈ›ii de SiguranÈ›Äƒ FeroviarÄƒ RomânÄƒ sÄƒ solicite operatorului de transport feroviar de cÄƒlÄƒtori SNTFC â€žCFR CÄƒlÄƒtoriâ€ SA: â€¢ analizarea oportunitÄƒÈ›ii revizuirii specificaÈ›iei tehnice REVIZII PLANIFICATE TIP Pth3, RT, R1, R2, 2R2, R3 LA LOCOMOTIVELE DIESEL ELECTRICE DE 2100 CP, cod ST 6-2004, astfel încât lucrÄƒrile de întreÈ›inere programate la instalaÅ£iile de combustibil ÅŸi ungere la MD, sÄƒ asigure o verificare ÅŸi remediere a scurgerilor de produse petroliere în toate punctele unde acestea se produc, în intervalul de timp cuprins între douÄƒ revizii planificate.</t>
  </si>
  <si>
    <t>RO-6037/2</t>
  </si>
  <si>
    <t>According to the provisions of Art.26(2) from the Emergency Government Decision no.73/2019 for the railway safety and of the Directive (CE) no.49/2004, the safety recommendations are addressed to Romanian Railway Safety Authority - ASFR, that shall ask and track their implementation by the part identified in the recommendations. Between Plosca railway station and Buzescu halt, where the accident happened, respectively in the safety perimeter of the railway infrastructure, there was a vegetation fire, caused by the land owners, this fire extending from the agricultural lands to the track. In the Instructions for the activity of the locomotive crew no.201/2007 and the Regulation for the running of the trains and shunting of railway vehicles no.005/2005 there are no provisions for the cases when, close to the track, respectively in the safety perimeter of the railway infrastructure, the vegetation fires could be an accident danger. It can generate a possible future responsibility for the driver, if he stops the train or does not. Considering that safety recommendations for the above mentioned problem were issued in similar cases of fires at railway vehicles, the investigation commission considers that there is no more necessary to issue new safety recommendations for this case. Considering the root cause and the factor contributing to the accident occurrence, the investigation commission recommends Romanian Railway Safety Authority shall ask the railway passenger undertaking SNTFC â€žCFR CÄƒlÄƒtoriâ€ SA: â€¢ analysis the opportunity to revise the technical specification PLANNED INSPECTIONS TYPE Pth3, RT, R1, R2, 2R2, R3 AT DIESEL ELECTRIC LOCOMOTIVES, code ST 6-2003, so the maintenances scheduled at the fuel and greasing installations at MD ensure the checking and fixing of the oil leaks in all points where they happened, between two planned inspections.</t>
  </si>
  <si>
    <t>RO-6039/1</t>
  </si>
  <si>
    <t>În cadrul reviziilor tehnice planificate efectuate, nu au fost respectate prevederile din ...</t>
  </si>
  <si>
    <t>În cadrul reviziilor tehnice planificate efectuate, nu au fost respectate prevederile din specificaÈ›ia tehnicÄƒ referitoare la înlocuirea filtrului separator aer-ulei. Pentru respectarea acestei prevederi, piesa respectivÄƒ trebuie sÄƒ fie pusÄƒ la dispoziÈ›ie entitÄƒÈ›ii responsabile cu efectuarea întreÈ›inerii, de cÄƒtre operatorul de transport feroviar. Recomandarea nr.1 SNTFC â€žCFR CÄƒlÄƒtoriâ€ SA va lua mÄƒsurile care se impun pentru a pune la dispoziÈ›ie în cadrul procesului de revizie tehnicÄƒ planificatÄƒ a locomotivelor, a necesarului de piese de schimb, pentru a se asigura cÄƒ prevederile din specificaÈ›iile tehnice se respectÄƒ întocmai.</t>
  </si>
  <si>
    <t>RO-6039/2</t>
  </si>
  <si>
    <t>During the planned technical inspections made, one did not meet with the provisions of the technical specification regarding the replacement of the water-oil filter. For the compliance with these provisions, the respective part had to be supplied by the railway undertaking to the entity in charge with the maintenance. Recommendation no.1 SNTFC â€žCFR CÄƒlÄƒtoriâ€ SA takes the measures imposed to supply, within the process of planned technical inspection at the locomotives, the necessary spare parts, so the provisions of technical specifications be exactly met.</t>
  </si>
  <si>
    <t>RO-6039/3</t>
  </si>
  <si>
    <t>DupÄƒ producerea accidentului, la faÈ›a locului nu au fost prezenÈ›i reprezentanÈ›i ai conducerii ...</t>
  </si>
  <si>
    <t>DupÄƒ producerea accidentului, la faÈ›a locului nu au fost prezenÈ›i reprezentanÈ›i ai conducerii operatorului de transport SNTFC â€žCFR CÄƒlÄƒtoriâ€ SA, pentru luarea mÄƒsurilor de înlÄƒturare a urmÄƒrilor È™i redeschidere a circulaÈ›iei, contrar prevederilor Art.57 din Regulamentul de investigare. Recomandarea nr.2 SNTFC â€žCFR CÄƒlÄƒtoriâ€ SA va lua mÄƒsurile care se impun pentru reinstruirea personalului responsabil de implementarea prevederilor menÈ›ionate, la nivelul fiecÄƒrei Sucursale Regionale în parte.</t>
  </si>
  <si>
    <t>RO-6039/4</t>
  </si>
  <si>
    <t>After the accident occurrence, at the accident site the representatives of the management of the railway undertaking SNTFC â€žCFR CÄƒlÄƒtoriâ€ SA were not present for taking the measures for the removal of the consequences and resuming the traffic, against the provisions of Art.57 from the Investigation Regulation. Recommendation no.2 SNTFC â€žCFR CÄƒlÄƒtoriâ€ SA takes the measures imposed for re-training of the staff in charge with the implementation of the provisions above mentioned, in each railway county.</t>
  </si>
  <si>
    <t>REC-000638</t>
  </si>
  <si>
    <t>RO-6043/1</t>
  </si>
  <si>
    <t>În timpul investigaÈ›iei s-a constatat cÄƒ, diagnoza cÄƒii în vederea planificÄƒrii mentenanÈ›ei ...</t>
  </si>
  <si>
    <t>În timpul investigaÈ›iei s-a constatat cÄƒ, diagnoza cÄƒii în vederea planificÄƒrii mentenanÈ›ei suprastructurii cÄƒii nu a fost realizatÄƒ în conformitate cu prevederile codurilor de practicÄƒ (documente de referinÈ›Äƒ/asociate ale procedurilor din cadrul sistemului de management al siguranÈ›ei al CNCF â€žCFRâ€ SA). Comisia de investigare a constatat cÄƒ administratorul infrastructurii feroviare publice dispune de proceduri pentru a garanta faptul cÄƒ personalului cÄƒruia i-au fost delegate responsabilitÄƒÈ›i în cadrul structurilor responsabile cu mentenanÈ›a, dispune de competenÈ›ele È™i resursele adecvate pentru realizarea sarcinilor ce îi revin în acest sens, dar în Anexa nr.1 a procedurii operaÈ›ionale PO SMS 0-4.07 â€žDiagrama flux a procesului de întreÈ›inereâ€, pentru identificarea lucrÄƒrilor de întreÈ›inere È™i reparaÈ›ie a liniilor, printre codurile de practicÄƒ menÈ›ionate nu se regÄƒseÈ™te ÎndrumÄƒtorul pentru folosirea vagoanelor È™i cÄƒrucioarelor de mÄƒsurat calea nr.329 B din 1966, privitor la mÄƒsurarea trimestrialÄƒ a liniilor din staÈ›ii cu cÄƒruciorul de mÄƒsurat calea, mÄƒsurÄƒtoare necesarÄƒ pentru depistarea defectelor de ecartament È™i nivel a suprastructurii cÄƒii. TotodatÄƒ analizarea resurselor de care dispun unitatea È™i subunitatea de bazÄƒ responsabilÄƒ cu mentenanÈ›a infrastructurii feroviare din staÈ›ia CFR Bod, a scos în evidenÈ›Äƒ cÄƒ aceste structuri îÈ™i desfÄƒÈ™oarÄƒ activitatea cu un volum inadecvat al resurselor în raport cu cel necesar. DacÄƒ ar fi fost aplicate propriile proceduri ale sistemului de management al siguranÈ›ei, în integralitatea lor, precum È™i prevederile codurilor de practicÄƒ, parte componentÄƒ a SMS, administratorul de infrastructurÄƒ ar fi putut sÄƒ menÈ›inÄƒ parametrii tehnici ai cÄƒii în limitele impuse de siguranÈ›a feroviarÄƒ, prevenind astfel producerea acestui accident. Abaterile de la codurile de practicÄƒ identificate de comisia de investigare, indicÄƒ faptul, cÄƒ sistemul de management al siguranÈ›ei nu a fost aplicat corespunzÄƒtor de cÄƒtre CNCF â€žCFRâ€ SA. Comisia de investigare a constatat cÄƒ unitatea È™i subunitatea de bazÄƒ responsabilÄƒ cu mentenanÈ›a infrastructurii feroviare din staÈ›ia CFR Bod a menÈ›inut defecte de nivel pe schimbÄƒtorul de cale nr.14, din cauzÄƒ cÄƒ la data producerii acestui accident feroviar nu deÈ›inea date actualizate la termenele stabilite prin codurile de practicÄƒ. Acest fapt a fost determinat de neefectuarea la timp a mÄƒsurÄƒtorilor cu cÄƒruciorul de mÄƒsurat calea È™i a reviziilor chenzinale în conformitate cu codurile de practicÄƒ. La data de 10.09.2019 Sucursala RegionalÄƒ de CÄƒi Ferate BraÈ™ov a revizuit Registrul de riscuri. Pentru activitatea â€žDiagnoza cÄƒii în vederea planificÄƒrii mentenanÈ›eiâ€, a identificat riscul â€žDate incomplete privind starea cÄƒiiâ€. Pentru È›inerea sub control a pericolelor care favorizeazÄƒ apariÈ›ia acestui risc a stabilit ca mÄƒsuri: gestionarea documentelor, dispoziÈ›iilor interne, prelucrarea legilor, a normelor È™i procedurilor. Comisia de investigare a constatat cÄƒ gestionarea documentelor, dispoziÈ›iilor interne, prelucrarea legilor, a normelor È™i procedurilor, ca aspect general, nu reprezintÄƒ mÄƒsuri concrete pentru È›inere sub control a riscului menÈ›ionat. Operatorul de transport feroviar SC Rail Force SRL BraÈ™ov nu deÈ›inea date complete privind mÄƒsurÄƒtorile osiilor montate dupÄƒ ieÈ™irea locomotivei din reparaÈ›ie planificatÄƒ, respectiv valorile diametrelor cercurilor de rulare È™i nu a prevÄƒzut suficiente coduri de practicÄƒ pentru È›inerea sub control a riscului de producere a unui accident ca urmare a exploatÄƒrii acestora, cum ar fi InstrucÈ›ia pentru repararea osiilor montate de la vehiculele feroviare Nr.931/1986. Având în vedere concluziile comisiei de investigare menÈ›ionate anterior, pentru prevenirea unor cazuri de accidente care s-ar putea produce în condiÈ›ii similare cu cele prezentate în acest raport, AGIFER emite urmÄƒtoarele recomandÄƒri de siguranÈ›Äƒ: Recomandarea nr.1 Autoritatea de SiguranÈ›Äƒ FeroviarÄƒ RomânÄƒ â€“ ASFR va solicita CNCFâ€žCFRâ€SA reevaluarea procedurilor È™i a mÄƒsurilor pentru È›inerea sub control a riscurilor proprii generate de starea geometriei È™i planificarea mentenanÈ›ei suprastructurii cÄƒii.</t>
  </si>
  <si>
    <t>RO-6043/2</t>
  </si>
  <si>
    <t>During the investigation, one found that the track diagnosis for the planning of the superstructure maintenance was not made in accordance with the provisions of the practice codes (reference/associated documents of the procedures of the safety management system of CNCF â€žCFRâ€ SA). The investigation commission found that the administrator of the public railway infrastructure has procedures to guarantee the fact that the staff, to which the responsibilities were appointed within the structures, in charge with the maintenance, gets the competences and resources suitable for the performance of his tasks, but in the Annex no.1 of the operational procedure PO SMS 0-4.07 â€žFlow diagram of the maintenance processâ€, for the identification of the maintenances and repairs at lines, among the practice codes mentioned there is not the Guide for the use of the testing and recording cars and of the trolleys for the track measuring no.329 B from 1966, regarding the quarterly measuring of the station lines with the trolley for the track measuring, it being necessary for the identification of the failures at the superstructure gauge and level. Also, the analysis of the resources got by the unit and basic subunit in charge with the maintenance of the railway infrastructure in the railway station Bod, put in evidence the fact that these structures carry out the activity with improper resources in relation to the necessary ones. If its own procedures of the safety management system had been completely applied, as well as the provisions of the practice codes, part of SMS, the infrastructure administrator should have been able to keep the technical parameters of the track between the limits imposed by the railway safety, preventing in a such way the accident occurrence. The deviations from the practice codes identified by the investigation commission show that the safety management system was not properly applied by CNCF â€žCFRâ€ SA. The investigation commission found that the unit and basic subunit in charge with the maintenance of the railway infrastructure from Bod railway station kept the level failures from the switch no.14, because when the accident happened it did not get data updated at the deadlines established in the practice codes. It favoured the lack of performance in good time of the measurements with the trolley and of the fortnightly inspections in accordance with the practice codes. On the 10th September 2019, the railway county BraÈ™ov revised the Register of risks. For the activityâ€žTrack diagnosis for the maintenance planningâ€ identified the risk â€žPartial data regarding the track conditionâ€. For keeping under control the dangers that favoure the appearance of this risk there were established as measures: management of the documents, internal disposals, handing of laws, norms and procedures. The investigation commission found that the management of the documents, internal disposals, handling of law, norms and procedures are not concrete measures for keeping under control the risk above mentioned. The railway undertaking SC Rail Force SRL BraÈ™ov did not get complete data regarding the measurements of the pair of wheelsets after a planned repair at the locomotive, respectively the values of the running threads, and it did not stipulate enough practice codes for keeping under control the risk of accident following their operation, ex. Instruction for the repair of the pair of wheels from the railway vehicles no.931/1986. Considering the conclusions of the commission, above mentioned, for the prevention of similar accidents, AGIFER issues the next safety recommendations: Recommendation no.1 Railway Safety Authority â€“ ASFR shall ask CNCFâ€žCFRâ€SA the reassessment of the procedures and measures for keeping under control the own risks generated by the geometry condition and the planning of the superstructure maintenance.</t>
  </si>
  <si>
    <t>RO-6043/3</t>
  </si>
  <si>
    <t>Recomandarea nr.2 Autoritatea de SiguranÈ›Äƒ FeroviarÄƒ RomânÄƒ â€“ ASFR va solicita SC Rail Force SRL ...</t>
  </si>
  <si>
    <t>Recomandarea nr.2 Autoritatea de SiguranÈ›Äƒ FeroviarÄƒ RomânÄƒ â€“ ASFR va solicita SC Rail Force SRL BraÈ™ov reevaluarea procedurilor pentru È›inerea sub control a riscurilor asociate cu activitatea de transport pe calea feratÄƒ, aferente reparÄƒrii osiilor montate.</t>
  </si>
  <si>
    <t>RO-6043/4</t>
  </si>
  <si>
    <t>Recommendation no.2 Railway Safety Authority â€“ ASFR shall ask SC Rail Force SRL BraÈ™ov the reassessment of the procedures for keeping under control the risks associated to the railway transport, afferent to the repair of the wheelsets.</t>
  </si>
  <si>
    <t>RO-6044/1</t>
  </si>
  <si>
    <t>RecomandÄƒri de siguranÈ›Äƒ La data de 14.08.2019, ora 19:48, pe raza de activitate a Sucursalei ...</t>
  </si>
  <si>
    <t>RecomandÄƒri de siguranÈ›Äƒ La data de 14.08.2019, ora 19:48, pe raza de activitate a Sucursalei Regionale CF ConstanÈ›a, secÈ›ia de circulaÈ›ie ConstanÈ›a Port Zona B â€“ Palas (linie dublÄƒ, electrificatÄƒ), la km 2+000, în circulaÈ›ia trenului de marfÄƒ nr.50792, aparÈ›inând operatorului de transport feroviar de marfÄƒ SC EXFO SRL, s-a produs un incendiu la locomotiva EA 047 care a asigurat remorcarea trenului. Având în vedere cÄƒ unul din factori care a contribuit la producerea accidentului feroviar îl reprezintÄƒ contactul necorespunzÄƒtor realizat între periile motorului de tracÈ›iune nr.4 È™i colectorul acestuia, defect care s-a produs la un interval de 52 de zile de la ultima revizie planificatÄƒ efectuatÄƒ (scadenÈ›a fiind la 60 de zile), precum È™i faptul cÄƒ acest defect putea fi identificat È™i implicit remediat cu ocazia reviziilor planificate comisia de investigare emite urmÄƒtoarea recomandare: Recomandarea nr.1 Autoritatea de SiguranÈ›Äƒ FeroviarÄƒ RomânÄƒ-ASFR se va asigura cÄƒ operatorii de transport feroviar de marfÄƒ SC EXFO SRL È™i SC THF SRL (în calitate de Entitate ResponsabilÄƒ cu ÎntreÈ›inerea) vor analiza posibilitatea reducerii timpului dintre douÄƒ revizii în funcÈ›ie de gradul de uzurÄƒ È™i starea tehnicÄƒ a locomotivelor.</t>
  </si>
  <si>
    <t>RO-6044/2</t>
  </si>
  <si>
    <t>On the 14th August 2019, at 19:48 oâ€™clock, in the railway county ConstanÈ›a, track section ConstanÈ›a Port Zona B â€“ Palas (electrified double-track line), km 2+000, in the running of the freight train no.50792, got by the railway undertaking SC EXFO SRL, a fire burst into the hauling locomotive EA 047. Considering that one of the factors contributing to the accident occurrence is the improper contact between the brushes of the traction motor no.4 and its collector, failure that appeared within 52 days from the last planned inspection carried out (deadline being 60 days), as well as the fact that this failure could be identified and implicitly fixed during the planned inspections, the investigation commission issues the next recommendation: Recommendation no.1 Romanian Railway Safety Authority-ASFR shall take care that the railway undertakings SC EXFO SRL and SC THF SRL (as entity in charge with maintenance) analyse the possibility to reduce the time between two inspections, according to the wear level and technical condition of the locomotive.</t>
  </si>
  <si>
    <t>RO-6044/3</t>
  </si>
  <si>
    <t>Având în vedere menÈ›iunile de la capitolul D.4. ObservaÈ›ii suplimentare referitor la faptul cÄƒ SC ...</t>
  </si>
  <si>
    <t>Având în vedere menÈ›iunile de la capitolul D.4. ObservaÈ›ii suplimentare referitor la faptul cÄƒ SC INJECTOR SRL cu ocazia reviziilor planificate nu a efectuat verificarea rezistenÈ›ei de izolaÈ›ie comisia de investigare emite urmÄƒtoarea recomandare: Recomandarea nr.2 Autoritatea de SiguranÈ›Äƒ FeroviarÄƒ RomânÄƒ-ASFR se va asigura cÄƒ SC INJECTOR SRL (în calitate de entitate pentru funcÈ›ii de întreÈ›inere a vehiculelor feroviare motoare) va revizui specificaÈ›ia tehnicÄƒ ST.REV.LE-INJ/2018 astfel încât aceasta sÄƒ fie în concordanÈ›Äƒ cu prevederile Normei tehnice feroviare "Vehicule de cale feratÄƒ. Locomotive electrice de 5.100 kW È™i 3.400 kW. PrescripÈ›ii tehnice pentru revizii È™i reparaÈ›ii planificate" din 18.03.2008 aprobatÄƒ prin Ordinul MT nr.366/2008 din 18 martie 2008.</t>
  </si>
  <si>
    <t>RO-6044/4</t>
  </si>
  <si>
    <t>Considering the mentions from chapter D.4.Additional remarks about the fact that SC INJECTOR SRL, during the planned inspections, did not check the insulation resistance, the investigation commission issues the next recommendation: Recommendation no.2 Romanian Railway Safety Authority-ASFR shall take care that SC INJECTOR SRL (entity with functions of maintenance of the locomotives or motor railcars) revises the technical specification ST.REV.LE-INJ/2018, so complies with the provisions of the Railway technical norm "Railway vehicles. Electric locomotives of 5.100 kW and 3.400 kW. Technical provisions for planned inspections and repairs" from the 18th March 2008, approved by Order of Minister of Transports no.366/2008 from the 18th March 2008.</t>
  </si>
  <si>
    <t>RO-6045/1</t>
  </si>
  <si>
    <t>La data de data de19.08.2019, ora 14:10, pe raza de activitate a Sucursalei Regionale CF IaÈ™i, în ...</t>
  </si>
  <si>
    <t>La data de data de19.08.2019, ora 14:10, pe raza de activitate a Sucursalei Regionale CF IaÈ™i, în staÈ›ia CFR DorneÈ™ti, pe linia curentÄƒ dintre staÈ›iile CFR DorneÈ™ti-RÄƒdÄƒuÈ›i în timpul deplasÄƒrii unui convoi de manevrÄƒ din incinta agentului economic SC EGGER România SRL cÄƒtre staÈ›ia CFR DorneÈ™ti, pe podul metalic km 0+522 s-a produs un incident feroviar prin deraierea primului boghiu al locomotivei, deraierea ambelor boghiuri ale primelor 3 vagoane È™i deraierea primului boghiu al celui de al patrulea vagon, în sensul de mers al convoiului. Ca urmare a investigaÈ›iei efectuate s-a constatat cÄƒ, incidentul s-a produs în condiÈ›iile în care convoiul de manevrÄƒ a circulat cu o vitezÄƒ mai mare decât cea admisÄƒ pe zona podului metalic de la km 0+522, iar starea tehnicÄƒ a traverselor de lemn speciale era necorespunzÄƒtoare. Astfel, în timpul investigÄƒrii s-a constatat cÄƒ, în cadrul lucrÄƒrilor de înlocuire a traverselor de lemn speciale, pe podul de la km 0+522, efectuate în anul 2015, executantul a folosit traverse impregnate de cÄƒtre un furnizor care nu avea dreptul de a presta acest serviciu feroviar pentru infrastructura administratÄƒ de cÄƒtre CNCF â€žCFRâ€ SA. De asemenea, aceste lucrÄƒri de înlocuire a traverselor s-au executat fÄƒrÄƒ ca beneficiarul lucrÄƒrii (Sucursala RegionalÄƒ CF IaÈ™i) sÄƒ punÄƒ la dispoziÈ›ia executantului, împreunÄƒ cu Caietul de Sarcini, proiectul tehnic al acestei lucrÄƒri. La terminarea lucrÄƒrilor de înlocuire a traverselor pe pod, circulaÈ›ia È™i manevra feroviarÄƒ pe calea largÄƒ a fost redeschisÄƒ cu viteza de 10 km/h, la fel ca treapta de vitezÄƒ anterioarÄƒ executÄƒrii lucrÄƒrilor. TotodatÄƒ, comisia de investigare a stabilit ca È™i cauze primare nerespectarea procedurilor din Sistemul de Management al SiguranÈ›ei al CNCF â€žCFRâ€ SA, referitoare la: - aplicarea codurilor de practicÄƒ ce reglementeazÄƒ asigurarea resurselor necesare mentenanÈ›ei infrastructurii feroviare; - analiza de risc pe care trebuia sÄƒ o efectueze în cazul pericolului determinat de lipsa unui proiect tehnic din documentaÈ›ia întocmitÄƒ pentru executarea lucrÄƒrilor de mentenanÈ›Äƒ a infrastructurii feroviare. Având în vedere cauzele primare ce au stat la baza producerii acestui incident, pentru prevenirea unor evenimente feroviare cu caracter similar, AGIFER emite urmÄƒtoarele recomandÄƒri de siguranÈ›Äƒ: 1. Autoritatea de SiguranÈ›Äƒ FeroviarÄƒ RomânÄƒ-ASFR va analiza cazurile în care se utilizeazÄƒ traverse de lemn impregnate de cÄƒtre societÄƒÈ›i care nu deÈ›in agrement tehnic feroviar È™i livreazÄƒ aceste traverse cÄƒtre administratorul de infrastructurÄƒ feroviarÄƒ publicÄƒ CNCF â€žCFRâ€ SA.</t>
  </si>
  <si>
    <t>RO-6045/2</t>
  </si>
  <si>
    <t>On the 19th August 2019, at 14:10 oâ€™clock, in the railway county IaÈ™i, in DorneÈ™ti railway station, on the running line between the railway stations DorneÈ™ti-RÄƒdÄƒuÈ›i, during the shunting running of a rake of wagons from the economic agent SC EGGER România SRL to DorneÈ™ti railway station, on the metallic bridge km 0+522, a railway incident happened, consisting in the derailment of the first bogie of the locomotive, of both bogies of the first three wagons and of the first bogie of the fourth wagon, in the running direction of the rake of wagons. Following the investigation, one found that the incident happened because the rake of wagons ran with a speed over the accepted one on the metallic bridge from km 0+522, and the technical condition of the special wooden sleepers was improper. So, during the investigation one found that, for the replacement of the special wooden sleepers on the bridge from km 0+522, performed in 2015, the contractor used sleepers impregnated by a supplier, that had no right to provide that railway service for the railway infrastructure administrated by CNCF â€žCFRâ€ SA. Also, the replacement of the sleepers was made without by the beneficiary of the work (railway county IaÈ™i) shall submit to the contractor, the Technical Specification and the technical project of that work. When the works for the sleeper replacement on the bridge were completed, the railway traffic and shunting on the broad track were resumed with the speed of 10 km/h, the same to the speed limit existing before the works. Also the investigation commission established as root causes the inobservance of the procedures from the Safety Management System of CNCF â€žCFRâ€ SA, regarding: - application of the practice codes that regulate the provision with the resurces necessary for the infrastructure maintenance; - the risk analysis that has to be done for the danger generated by the lack of a technical project from the docmentation worked out for the performance of the infrastructure maintenance. Considering the root causes that were basis for the incident occurrence, for the prevention of some similar events, AGIFER issues the next safety recommendations: 1. Romanian Railway Safety Authority-ASFR shall anlyze the cases where there are used impregnated sleepers by companies that do not get railway technical agreeement and supply these sleepers to the public railway infrastructure administrator CNCF â€žCFRâ€ SA.</t>
  </si>
  <si>
    <t>RO-6045/3</t>
  </si>
  <si>
    <t>2. Pentru lucrÄƒrile de înlocuire la rând a traverselor de lemn speciale pe poduri Autoritatea de ...</t>
  </si>
  <si>
    <t>2. Pentru lucrÄƒrile de înlocuire la rând a traverselor de lemn speciale pe poduri Autoritatea de SiguranÈ›Äƒ FeroviarÄƒ RomânÄƒ-ASFR va solicita CNCF â€žCFRâ€ SA sÄƒ deÈ›inÄƒ un proiect tehnic de execuÈ›ie.</t>
  </si>
  <si>
    <t>RO-6045/4</t>
  </si>
  <si>
    <t>2. for the replacement of the consecutive special wooden sleepers on bridges Romanian Railway Safety Authority-ASFR shall ask CNCF â€žCFRâ€ SA to get a technical performance project.</t>
  </si>
  <si>
    <t>RO-6045/5</t>
  </si>
  <si>
    <t>3. Autoritatea de SiguranÈ›Äƒ FeroviarÄƒ RomânÄƒ-ASFR va verifica modul în care CNCF â€žCFRâ€ SA respectÄƒ ...</t>
  </si>
  <si>
    <t>3. Autoritatea de SiguranÈ›Äƒ FeroviarÄƒ RomânÄƒ-ASFR va verifica modul în care CNCF â€žCFRâ€ SA respectÄƒ prevederile actului Organismului Notificat Feroviar Român nr.3000/16/22.05.2019 privind achiziÈ›ionarea traverselor de lemn impregnate, omologate È™i încadrate la clasa de risc 1A.</t>
  </si>
  <si>
    <t>RO-6045/6</t>
  </si>
  <si>
    <t>3. Romanian Railway Safety Authority-ASFR shall check the way CNCF â€žCFRâ€ SA meets with the provisions of the paper no. 3000/16/22.05.2019, issued by Romanian Railway Notified Body for the purchase of wooden impregnated sleepers, homologated and classified in the risk class 1A.</t>
  </si>
  <si>
    <t>RO-6045/7</t>
  </si>
  <si>
    <t>4. Autoritatea de SiguranÈ›Äƒ FeroviarÄƒ RomânÄƒ-ASFR va verifica fundamentarea variaÈ›iei treptelor de ...</t>
  </si>
  <si>
    <t>4. Autoritatea de SiguranÈ›Äƒ FeroviarÄƒ RomânÄƒ-ASFR va verifica fundamentarea variaÈ›iei treptelor de vitezÄƒ pe cale largÄƒ È™i normalÄƒ, cât È™i variaÈ›ia sarcinilor pe osie pe cale largÄƒ în perioada anilor 2005-2020.</t>
  </si>
  <si>
    <t>RO-6045/8</t>
  </si>
  <si>
    <t>4. Romanian Railway Safety Authority-ASFR shall check the basis of the variation of the speed levels on standard and broad track, and the variation of the loads on axle for broad track between 2005-2020.</t>
  </si>
  <si>
    <t>RO-6066/1</t>
  </si>
  <si>
    <t>RecomandÄƒri de siguranÈ›Äƒ La data de 27.08.2019, ora 13:30, pe raza de activitate a Sucursalei ...</t>
  </si>
  <si>
    <t>RecomandÄƒri de siguranÈ›Äƒ La data de 27.08.2019, ora 13:30, pe raza de activitate a Sucursalei Regionala CF ConstanÈ›a, secÈ›ia de circulaÈ›ie neinteroperabilÄƒ Palasâ€“NÄƒvodari, între staÈ›iile Palas È™i ConstanÈ›a MÄƒrfuri, linie simplÄƒ neelectrificatÄƒ, la km 1+175,5, în circulaÈ›ia trenului de marfÄƒ nr.89847, s-a produs deraierea de prima osie în sensul de mers al locomotivei DA 1647 care asigura remorcarea trenului format din douÄƒ locomotive cuplate. În timpul investigaÈ›iei s-a constatat cÄƒ starea tehnicÄƒ a cÄƒii a fost necorespunzÄƒtoare datoritÄƒ unei mentenanÈ›e care nu a fost executatÄƒ în conformitate cu prevederile codurilor de practicÄƒ. Luând în considerare È™i evenimentele feroviare care au avut loc în perioada 2014-2019 pe secÈ›ia de circulaÈ›ie Palas-Capu Midia, gestionatÄƒ de SC GFR SA, produse È™i investigate anterior acestui accident feroviar( ex: la data de 14.03.2014, ora 12:50, la km 0+950 Palas CÈ›a - MÄƒrfuri, la data de 14.09.2017, ora 15:27 pe secÈ›iunea 049 din staÈ›ia CF Capu Midia, la data de 20.04.2019, ora 4:40, km 17+573 ConstanÈ›a MÄƒrfuri - NÄƒvodari, la data de 30.06.2019, ora 23:40, la km 1+175, Palas - ConstanÈ›a MÄƒrfuri), comisia de investigare a constatat faptul cÄƒ gestionarul de infrastructurÄƒ nu a gestionat riscurile generate de nerealizarea întreÈ›inerii liniilor CF pentru a putea dispune în consecinÈ›Äƒ soluÈ›ii È™i mÄƒsuri viabile în vederea È›inerii sub control a pericolului deraierii. Întrucât aceste aspecte au fost constatate È™i prezentate cu ocazia investigÄƒrii accidentelor de mai sus menÅ£ionate, în urma cÄƒrora s-au dispus recomandÄƒri de siguranÈ›Äƒ, comisia de investigare recomandÄƒ: Recomandarea nr.1 Autoritatea de SiguranÈ›Äƒ FeroviarÄƒ RomânÄƒ â€“ ASFR sÄƒ analizeze oportunitatea menÈ›inerii autorizaÈ›iilor în baza cÄƒrora iÈ™i desfÄƒÈ™oarÄƒ activitatea de gestionare a infrastructurii feroviare neinteroperabile SC GFR SA.</t>
  </si>
  <si>
    <t>RO-6066/2</t>
  </si>
  <si>
    <t>Safety recommendations On the 27th August 2019, at 13:30 oâ€™clock, in the railway county ConstanÈ›a, noninteroperable track section Palasâ€“NÄƒvodari, between Palas and ConstanÈ›a MÄƒrfuri railway stations, nonelectrified single-track line, km 1+175,5, in the running of the freight train no.89847, the first axle of the hauling locomotive DA 1647 derailed. The train consisted in two locomotives, coupled, DA 1647 hauling and DA1657 dead engine. During the investigation, there was found that the technical condition of the track was improper following a maintenance that was not made in accordance with the provisions of the practice codes. Considering the railway events happened between the years 2014-2019 on the track section Palas-Capu Midia, managed by SC GFR SA, before this accident( ex: on the 14th March 2014, at 12:50 oâ€™clock, km 0+950 Palas ConstanÈ›a - MÄƒrfuri,on the 14th September 2017, at 15:27 oâ€™clock, on the track section 049 of Capu Midia railway station, on 20th April 2019, at 4:40 oâ€™clock, km 17+573 ConstanÈ›a MÄƒrfuri - NÄƒvodari, on the 30th June 2019, at 23:40 oâ€™clock, km 1+175, Palas - ConstanÈ›a MÄƒrfuri), the investigation commission found that the infrastructure manager did not managed the risks generated by the lack of line maintenance, in order to be able to dispose consequently viable solutions and measures for keeping under control the derailment danger. Because these issues were found and presented within the investigations of the accidents above mentioned, after which safety recommendations were issued, the investigation commission recommends: Recommendation no.1 Romanian Railway Safety Authority - ASFR shall analyze the opportunity to keep the authorizations for the performance of the management of the noninteroperable infrastructure SC GFR SA.</t>
  </si>
  <si>
    <t>RO-6066/3</t>
  </si>
  <si>
    <t>Având în vedere cÄƒ începând cu data 01.04.2019, lucrÄƒrile de întreÈ›inere sunt asigurate de SC LOG ...</t>
  </si>
  <si>
    <t>Având în vedere cÄƒ începând cu data 01.04.2019, lucrÄƒrile de întreÈ›inere sunt asigurate de SC LOG FER SRL, perioadÄƒ în care au fost produse încÄƒ douÄƒ accidente feroviare în condiÈ›ii similare cu cele ale accidentului investigat, cauzele producerii accidentelor constituind-o mentenanÈ›a necorespunzÄƒtoare, cumulat cu lipsa unei proceduri care sÄƒ asigure executarea lucrÄƒrilor de întreÈ›inere curentÄƒ linii de cale feratÄƒ, în execuÈ›ie manualÄƒ fÄƒrÄƒ sudarea È™inelor pentru linii neinteroperabile, comisia de investigare recomandÄƒ: Recomandarea nr.2 Autoritatea de SiguranÈ›Äƒ FeroviarÄƒ RomânÄƒ â€“ ASFR sÄƒ analizeze oportunitatea menÈ›inerii autorizaÈ›iei de furnizor feroviar a SC LOG FER SRL.</t>
  </si>
  <si>
    <t>RO-6066/4</t>
  </si>
  <si>
    <t>Considering that starting with the 1st April 2019, the maintenances are provided by SC LOG FER SRL, when there were two accidents similar to the investigated one, the causes being the improper maintenance, cumulated with the lack of a procedure that for the performance of the manual maintenance of the railway tracks, without welding the rails, for the noninteroperable lines, the investigation commission recommends: Recommendation no.2 Romanian Railway Safety Authority â€“ ASFR shall analyze the opportunity to keep the authorization of railway supplier of SC LOG FER SRL.</t>
  </si>
  <si>
    <t>RO-6077/1</t>
  </si>
  <si>
    <t>La data de 30.08.2019, pe raza de activitate a Sucursalei Regionale de CÄƒi Ferate TimiÈ™oara secÈ›ia ...</t>
  </si>
  <si>
    <t>La data de 30.08.2019, pe raza de activitate a Sucursalei Regionale de CÄƒi Ferate TimiÈ™oara secÈ›ia de circulaÈ›ie OrÈ™ova - CaransebeÈ™, la intrare în staÈ›ia CFR IablaniÈ›a, pe linia 3 abÄƒtutÄƒ, în circulaÈ›ia trenului de marfÄƒ nr.59426, format din 17 vagoane încÄƒrcate, remorcat cu locomotiva EA 089, s-a produs deraierea locomotivei de prima osie în sensul de mers al trenului. În cursul acÈ›iunii desfÄƒÈ™urate, comisia de investigare a constatat faptul cÄƒ managementul administratorului de infrastructurÄƒ la nivel central È™i regional cât È™i managementul operatorului de transport feroviar au identificat dar nu au gestionat riscurile generate de nerealizarea mentenanÈ›ei liniilor CF respectiv a mijoacelor de tracÈ›iune din dotare, pentru a putea dispune în consecinÈ›Äƒ soluÈ›ii È™i mÄƒsuri viabile în vederea È›inerii sub control a pericolului deraierii. Astfel, dacÄƒ gestionarul de infrastructurÄƒ feroviarÄƒ publicÄƒ È™i operatorul de transport feroviar ar fi aplicat propriile proceduri ale sistemului de management al siguranÈ›ei, în integritatea lor, precum È™i prevederile codurilor de practicÄƒ, parte a SMS, ar fi putut sÄƒ menÈ›inÄƒ parametrii tehnici ai geometriei cÄƒii în limitele toleranÈ›elor impuse de siguranÈ›a feroviarÄƒ, respectiv sÄƒ ia mÄƒsuri în cazul depÄƒÈ™irii toleranÈ›elor de exploatare la locomotiva din dotare, prevenind astfel producerea acestui accident. - Autoritatea de SiguranÈ›Äƒ FeroviarÄƒ RomânÄƒ â€“ ASFR va evalua modul în care CNCF â€žCFRâ€ SA a identificat È™i a aplicat mÄƒsurile ce trebuiau luate pentru implementarea recomandÄƒrilor de siguranÈ›Äƒ emise în cadrul rapoartelor de investigare finalizate de cÄƒtre AGIFER în ultimii doi ani, pentru accidentele feroviare produse pe reÈ›eaua CFR, care au avut cauze È™i factori similari;</t>
  </si>
  <si>
    <t>RO-6077/2</t>
  </si>
  <si>
    <t>On the 30th August 2019, in the railway county TimiÈ™oara, track section OrÈ™ova - CaransebeÈ™, at the entry into IablaniÈ›a railway station, on the diverging track 3, in the running of the freight train no.59426, consisting in 17 wagons loaded, hauled with the locomotive EA 089, the first axle of the locomotive derailed in the running direction of the train. During the investigation, the commission found that both the management of the central and regional infrastructure administrator and the management of the railway undertaking identified but did not manage the risks generated by the lack of the maintenance of the railway tracks, respectively of the traction means got, in order to be able to dispose consequently viable solutions and measures for keeping under control the derailment danger. So, if the public railway infrastructure administrator and the railway undertaking had been applied its own procedures of the safety management system, entirely, as well as the provisions of the practice codes, part of SMS, they should have kept the technical parameters of the track geometry between the limits of tolerances imposed by the railway safety, respectively taken measures in case of exceeding the operation tolerances at the locomotives got, preventing in a such way the accident occurrence. - Romanian Railway Safety Authority â€“ ASFR shall assess the way CNCF â€žCFRâ€ SA identified and applied the measures that had to be taken for the implementation of the safety recommendations issued within the investigation reports completed by AGIFER in the last two years, for the accidents occurred on the railway networks, that had similar causes and factors;</t>
  </si>
  <si>
    <t>RO-6077/3</t>
  </si>
  <si>
    <t>- Autoritatea de SiguranÈ›Äƒ FeroviarÄƒ RomânÄƒ â€“ ASFR se va asigura cÄƒ operatorul de transport feroviar ...</t>
  </si>
  <si>
    <t>- Autoritatea de SiguranÈ›Äƒ FeroviarÄƒ RomânÄƒ â€“ ASFR se va asigura cÄƒ operatorul de transport feroviar UNICOM TRANZIT SA, identificÄƒ pericolele generate de exploatarea materialului rulant motor ale cÄƒror osii È™i roÈ›i nu sunt echilibrate corespunzÄƒtor È™i ale cÄƒror dispozitive de ungere a buzei bandajului roÈ›ilor osiilor conducÄƒtoare nu îndeplinesc condiÈ›iile prevÄƒzute în reglementÄƒrile în vigoare, iar eficacitatea modului de gestionare a riscurilor generate de cÄƒtre aceste pericole este adecvatÄƒ.</t>
  </si>
  <si>
    <t>RO-6077/4</t>
  </si>
  <si>
    <t>- Romanian Railway Safety Authority â€“ ASFR will ensure that the railway undertaking UNICOM TRANZIT SA identifies the dangers generated by the operation of the railway traction units whose axels and wheels are not properly balanced and whose lubricating wheels flange of the guiding axles do not comply with the conditions stipulated in the regulations in force, and the effectiveness of the management of the risks generated by these dangers is proper.</t>
  </si>
  <si>
    <t>REC-000676</t>
  </si>
  <si>
    <t>RO-6091/1</t>
  </si>
  <si>
    <t>RecomandÄƒri de siguranÈ›Äƒ Deraierea locomotivei de remorcare a trenului de marfÄƒ nr.50418 ...</t>
  </si>
  <si>
    <t>RecomandÄƒri de siguranÈ›Äƒ Deraierea locomotivei de remorcare a trenului de marfÄƒ nr.50418 (aparÅ£inând Operatorului de Transport Feroviar SC UNICOM TRANZIT SA), la data de 15.09.2019 s-a produs pe fondul nerealizÄƒrii mentenanÈ›ei corespunzÄƒtoare pentru menÈ›inerea în parametrii instrucÈ›ionali a geometriei schimbÄƒtorului de cale nr.14 din halta de miÈ™care Bod È™i de neactualizarea datelor referitoare la starea cÄƒii urmare a neefectuÄƒrii reviziei tehnice a cÄƒii la cincisprezece zile È™i recepÈ›ionarea lucrÄƒrilor din chenzina anterioarÄƒ, în conformitate cu prevederile codurilor de practicÄƒ (documente de referinÈ›Äƒ/asociate ale procedurilor din cadrul sistemului de management al siguranÈ›ei al CNCF â€žCFRâ€ SA). Întrucât aceste aspecte au fost constatate È™i prezentate È™i la investigarea accidentului feroviar similar produs în data de 14.08.2019 pe schimbÄƒtorul de cale nr.14 din halta de miÈ™care Bod, în urma cÄƒruia s-a adresat cÄƒtre ASFR o recomandare de siguranÈ›Äƒ referitoare la monitorizarea CNCF â€žCFRâ€ SA, în legÄƒturÄƒ cu â€žreevaluarea procedurilor È™i a mÄƒsurilor pentru È›inerea sub control a riscurilor proprii generate de starea geometriei È™i planificarea mentenanÈ›ei suprastructurii cÄƒiiâ€ considerÄƒm cÄƒ nu mai este necesarÄƒ emiterea altei recomandÄƒri cu caracter identic. În cursul acÈ›iunii de investigare s-au constatat unele deficienÈ›e în ceea ce priveÈ™te È›inerea sub control a evoluÈ›iei diametrelor pe cercurile de rulare ale osiilor montate ale locomotivelor, care au condus la apariÈ›ia unor diferenÈ›e la roÈ›ile aceleiaÈ™i osii, peste limita admisÄƒ. Având în vedere concluziile comisiei de investigare menÈ›ionate anterior, pentru prevenirea unor cazuri de accidente care s-ar putea produce în condiÈ›ii similare cu cele prezentate în acest raport, AGIFER emite urmÄƒtoarea recomandare de siguranÈ›Äƒ: Autoritatea de SiguranÈ›Äƒ FeroviarÄƒ RomânÄƒ â€“ ASFR va solicita operatorului feroviar de transport UNICOM TRANZIT SA, revizuirea acÈ›iunii de identificarea a riscurilor asociate operaÈ›iunilor feroviare în ceea ce priveÈ™te â€žefectuarea reviziei planificate la osia montatÄƒâ€ È™i completarea procedurilor din SMS cu mÄƒsuri de siguranÈ›Äƒ din coduri de practicÄƒ (instrucÈ›iile) în vigoare, pentru a se asigura cÄƒ osiile motoare ale locomotivelor vor funcÈ›iona în condiÈ›ii normale È™i în deplinÄƒ siguranÈ›Äƒ.</t>
  </si>
  <si>
    <t>RO-6091/2</t>
  </si>
  <si>
    <t>. SAFETY RECOMMENDATIONS The derailment of the locomotive, hauling the freight train no.50418 (got by the railway undertaking SC UNICOM TRANZIT SA), on the 15th September 2019, happened following the lack of suitable maintenance for keeping between the instruction parameters the geometry of the switch no.14 in the railway station Bod and of the failure to update the data regarding the track condition, following the lack of track technical inspection at 15 days and the reception of the works from the previous period of 15 days, in accordance with the provisions of the practice codes (reference/associated documents from the procedures of the safety management system of CNCF â€žCFRâ€ SA). Because these issues were found and presented also within the investigation of the similar accident happened on 14th August 2019 on the switch no.14 in the railway station Bod, following which Romanian Railway Safety Authority was addressed with the safety recommendation to monitor CNCF â€žCFRâ€ SA, regarding â€žreassessment of the procedures and measures for keeping under control the own risks generated by the geometry condition and schedule of the superstructure maintenanceâ€ we consider that there is no need to issue another identical recommendation. During the investigation, one found some deficiencies regarding the keeping under control the evolution of the diameters on the running treads of the locomotive wheelsets, that led to the appearance of some differences at the wheels of the same axle, over the accepted limit. Considering the conclusions of the investigation commission before mentioned, in order to prevent some accidents similar to those presented in this report, AGIFER issues the next safety recommendations: Romanian Railway Safety Authority â€“ ASFR shall ask the railway undertaking UNICOM TRANZIT SA, the revision of the identifications of the risks associated to the railway operations regarding â€žthe performance of the planned inspection at the wheelsetsâ€ and the insert on the SMS procedures of safety measures from the practice codes (instructions) in force, on order to be sure that the driving axles of the locomotives shall work in normal conditions and complete safety.</t>
  </si>
  <si>
    <t>RO-6093/1</t>
  </si>
  <si>
    <t>La data de 17.09.2019, ora 13:00, pe raza de activitate a Sucursalei Regionale CF BucureÈ™ti, secÈ›ia ...</t>
  </si>
  <si>
    <t>La data de 17.09.2019, ora 13:00, pe raza de activitate a Sucursalei Regionale CF BucureÈ™ti, secÈ›ia de circulaÈ›ie Chiajna â€“ Jilava (linie dublÄƒ, neelectrificatÄƒ), între staÈ›iile CFR BucureÈ™ti Vest â€“ Vârteju, pe firul I de circulaÈ›ie, la km 64+900, s-a produs un incendiu la locomotiva DA 1108, care remorca trenul de marfÄƒ nr.93618-1 (aparÈ›inând operatorului de transport feroviar SNTFM â€žCFR MarfÄƒâ€ SA). În urma investigaÈ›iei desfÄƒÈ™urate comisia de investigare a stabilit cÄƒ producerea accidentului feroviar a avut drept cauzÄƒ primarÄƒ neidentificarea È™i neevaluarea riscurilor, de producere a unui incendiu la locomotivÄƒ, asociate pericolelor ce ar putea apare în circulaÈ›ia trenurilor. Având în vedere cele prezentate, comisia de investigare recomandÄƒ AutoritÄƒÈ›ii de SiguranÈ›Äƒ FeroviarÄƒ RomânÄƒ â€“ ASFR sÄƒ analizeze, împreunÄƒ cu operatorului de transport feroviar de marfÄƒ SNTFM â€žCFR MarfÄƒâ€ SA, revizuirea Sistemului de management al siguranÈ›ei astfel încât sÄƒ fie identificate È™i evaluate riscurile de producere a unui incendiu la locomotivÄƒ, asociate pericolelor ce ar putea apare în circulaÈ›ia trenurilor, inclusiv celor care ar putea apÄƒrea ca urmare a neretragerii locomotivelor din serviciu pentru efectuarea reparaÈ›iilor planificate conform normelor naÈ›ionale în vigoare.</t>
  </si>
  <si>
    <t>RO-6093/2</t>
  </si>
  <si>
    <t>On 17th September 2019, at 13:00 oâ€™clock, in the railway county BucureÈ™ti, track section Chiajna â€“ Jilava (nonelectrified double-track line), between BucureÈ™ti Vest â€“ Vârteju railway stations, on the line I, km 64+900, a fire burst into the locomotive DA 1108, hauling the freight train no.93618-1 (got by the railway undertaking SNTFM â€žCFR MarfÄƒâ€ SA). Following the investigation, the commission established that the accident had as root cause lack of identification and assessment of the risks of fire in the locomotive, associated to the dangers that could appear in the running of the trains. Considering those presented, the investigation commission recommends Romanian Railway Safety Authority â€“ ASFR shall analyze with the railway freight undertaking SNTFM â€žCFR MarfÄƒâ€ SA, the revision of Safety management system so one identifies and assesses the risks of fire into the locomotive, associated to the dangers that could appear in the train running, including those that could appear following the non-withdrawal of the locomotives from operation for planned repairs according to the national norms in force.</t>
  </si>
  <si>
    <t>REC-000677</t>
  </si>
  <si>
    <t>RO-6094/1</t>
  </si>
  <si>
    <t>RecomandÄƒri de siguranÈ›Äƒ La data de 22.09.2019, ora 01:00, pe raza de activitate a Sucursalei ...</t>
  </si>
  <si>
    <t>RecomandÄƒri de siguranÈ›Äƒ La data de 22.09.2019, ora 01:00, pe raza de activitate a Sucursalei Regionala CF ConstanÈ›a, secÈ›ia de circulaÈ›ie neinteroperabilÄƒ Palasâ€“NÄƒvodari, între staÈ›iile CFR Palas È™i ConstanÈ›a MÄƒrfuri, linie simplÄƒ neelectrificatÄƒ, la km 1+180, în circulaÈ›ia trenului de marfÄƒ nr.89972, s-a produs deraierea de toate osiile a vagonului nr.33877852158-7, al 7- lea vagon de la urma trenului, vagon aflat în stare încÄƒrcatÄƒ. În timpul investigaÈ›iei s-a constatat cÄƒ acest accident a avut loc ca urmare a stÄƒrii tehnice necorespunzÄƒtoare a cÄƒii, stare ce a fost generatÄƒ de o mentenanÈ›a necorespunzÄƒtoare a acesteia. AÈ™a cum este precizat la capitolul C.5.6. Evenimente anterioare cu caracter similar, în aceiaÈ™i zonÄƒ, numai în anul 2019, au mai avut loc încÄƒ douÄƒ accidente feroviare cu cauze similare. Prin raportule de investigare întocmite în cazul accidentelor produse, AGIFER a emis recomandÄƒri de siguranÈ›Äƒ. Având în vedere recomandÄƒrile emise prin rapoartele de investigare ale accidentelor din 30.06.2020 È™i 27.08.2020, AGIFER reitereazÄƒ recomandÄƒrile de siguranÈ›Äƒ emise în cazul acestor accidente È™i în cazul acestui accident, dupÄƒ cum urmeazÄƒ: Recomandarea nr.1 Autoritatea de SiguranÈ›Äƒ FeroviarÄƒ RomânÄƒ â€“ ASFR va analiza dacÄƒ SC GFR SA, în calitate de gestionar de infrastructurÄƒ feroviarÄƒ neinteroperabilÄƒ, mai îndeplineÈ™te condiÈ›iile care au stat la baza eliberÄƒrii autorizaÈ›iei de siguranÈ›Äƒ.</t>
  </si>
  <si>
    <t>RO-6094/2</t>
  </si>
  <si>
    <t>Safety recommendations On the 22nd September 2019, at 01:00 oâ€™clock, in the railway county ConstanÈ›a, nontnteroperable track section Palasâ€“NÄƒvodari, between the railway stations Palas and ConstanÈ›a MÄƒrfuri, nonelectrified single-track line, km 1+180, in the running of the freight train no.89972, all axles of the wagon no. 33877852158-7, the 7th one from the rear of the train, loaded, derailed. During the investigation, one found that the accident happened following the improper technical condition of the track, generating by its improper maintenance. As it is stipulated in chapter C.5.6. Previous similar events, in the same area, only in 2019, there were two more similar railway accidents. In the investigation reports of the accidents happened, AGIFER issued safety recommendations. Considering the recommendations issued in the investigation reports of the accidents from the 30th June 2020 and 27th August 2020, AGIFER renews the safety recommendations issued for these accidents also for this accident, as follows: Recommendation no.1 Romanian Railway Safety Authority â€“ ASFR shall analyse if SC GFR SA, like manager of noninteroperable railway infrastructure, still complies with the conditions that are basis for the granting of the safety authorization.</t>
  </si>
  <si>
    <t>REC-000678</t>
  </si>
  <si>
    <t>RO-6094/3</t>
  </si>
  <si>
    <t>Recomandarea nr.2 Autoritatea de SiguranÈ›Äƒ FeroviarÄƒ RomânÄƒ â€“ ASFR va analiza dacÄƒ SC LOG FER SRL ...</t>
  </si>
  <si>
    <t>Recomandarea nr.2 Autoritatea de SiguranÈ›Äƒ FeroviarÄƒ RomânÄƒ â€“ ASFR va analiza dacÄƒ SC LOG FER SRL mai îndeplineÈ™te condiÈ›iile care au stat la baza emiterii autorizaÈ›iei de furnizor feroviar pentru serviciul feroviar critic â€žîntreÈ›inere curentÄƒ linii de cale feratÄƒ, în execuÈ›ie manualÄƒ, fÄƒrÄƒ sudarea È™inelorâ€.</t>
  </si>
  <si>
    <t>RO-6094/4</t>
  </si>
  <si>
    <t>Recommendation no.2 Romanian Railway Safety Authority â€“ ASFR shall analyse if SC GFR SA, still complies with the conditions that are basis for the granting of the authorization of railway supplier for the railway critical service â€žusual manual work maintenance of the tracks, without the rail weldingâ€.</t>
  </si>
  <si>
    <t>REC-000679</t>
  </si>
  <si>
    <t>RO-6094/5</t>
  </si>
  <si>
    <t>Recomandarea nr.3 Autoritatea de SiguranÈ›Äƒ FeroviarÄƒ RomânÄƒ â€“ ASFR va evalua modul în care ...</t>
  </si>
  <si>
    <t>Recomandarea nr.3 Autoritatea de SiguranÈ›Äƒ FeroviarÄƒ RomânÄƒ â€“ ASFR va evalua modul în care gestionarul de infrastructurÄƒ feroviarÄƒ neinteroperabilÄƒ SC GFR SA, a identificat È™i aplicat mÄƒsurile ce trebuiau luate pentru implementarea recomandÄƒrilor de siguranÈ›Äƒ emise în cadrul rapoartelor de investigare finalizate pentru accidentele feroviare produse pe secÈ›ia de circulaÈ›ie Palas - Capu Midia, în ultimii cinci ani, care au avut cauze È™i factori similari.</t>
  </si>
  <si>
    <t>RO-6094/6</t>
  </si>
  <si>
    <t>Recommendation no.3 Romanian Railway Safety Authority â€“ ASFR shall assess the way the noninteroperable railway infrastructure manager SC GFR SA, identified and applied the measures that had to be taken for the implementation of the safety recommendations issued within the investigation reports completed for the railway accidents happened on the track section Palas - Capu Midia, in the last five years, with similar causes and factors.</t>
  </si>
  <si>
    <t>REC-000674</t>
  </si>
  <si>
    <t>RO-6098/1</t>
  </si>
  <si>
    <t>PânÄƒ la data întocmirii prezentului raport de investigare, pe linia curentÄƒ Balota-Valea AlbÄƒ-P.M. ...</t>
  </si>
  <si>
    <t>PânÄƒ la data întocmirii prezentului raport de investigare, pe linia curentÄƒ Balota-Valea AlbÄƒ-P.M. È˜imian s-au produs mai multe accidente feroviare, care au avut cauze similare, în urma cÄƒrora AGIFER a emis recomandÄƒri de siguranÈ›Äƒ, care au fost implementate parÈ›ial. AGIFER reitereazÄƒ recomandarea de siguranÈ›Äƒ emisÄƒ în raportul de investigare anterior, respectiv raportul întocmit în urma investigÄƒrii accidentului feroviar produs la data de 01.02.2018 pe linia curentÄƒ Valea AlbÄƒ-Drobeta Turnu Severin, la km 349+819, accentuând necesitatea implementÄƒrii acesteia, respectiv: â€žAnalizarea prin acÈ›iuni de supraveghere a modului în care CNCFâ€žCFRâ€ SA, în calitate de administrator al infrastructurii feroviare publice, asigurÄƒ condiÈ›iile pentru ca mÄƒsurile de siguranÈ›Äƒ pe care acesta È™i le-a propus pentru È›inerea sub control a pericolelor È™i riscurilor asociate, în legÄƒturÄƒ cu realizarea mentenanÈ›ei infrastructurii feroviare publice, sÄƒ fie aplicabile. TotodatÄƒ AgenÈ›ia de Investigare FeroviarÄƒ RomânÄƒ-AGIFER atenÈ›ioneazÄƒ administratorul de infrastructurÄƒ publicÄƒ, cÄƒ trebuie sÄƒ efectueze, într-un timp cât mai scurt, reevaluarea mÄƒsurilor de siguranÈ›Äƒ pe care aceasta È™i le-a propus în â€žRegistrul de EvidenÈ›Äƒ a Pericolelor Proprii CNCF CFR SAâ€ în legÄƒturÄƒ cu mentenanÈ›a infrastructurii feroviare, astfel încât acestea sÄƒ poatÄƒ fi aplicabile în integritatea lor. Neluarea în considerare a acestei atenÈ›ionÄƒri va avea ca efect creÈ™terea numÄƒrului de accidente pe reÈ›eaua feroviarÄƒ, efect care deja a început sÄƒ se manifesteâ€. TotodatÄƒ, AGIFER considerÄƒ cÄƒ este necesar ca Autoritatea de SiguranÈ›Äƒ FeroviarÄƒ RomânÄƒ-ASFR în acÈ›iunile de inspecÈ›ie de stat sÄƒ impunÄƒ administratorului de infrastructurÄƒ feroviarÄƒ publicÄƒ CNCF â€CFRâ€ SA implementarea mÄƒsurilor dispuse. Neimplementarea recomandÄƒrilor de siguranÈ›Äƒ are contribuÈ›ie directÄƒ asupra stÄƒrii tehnice a infrastructurii feroviare, iar repetarea accidentelor, care au aceleaÈ™i cauze, demonstreazÄƒ o slabÄƒ preocupare pentru îmbunÄƒtÄƒÈ›irea siguranÈ›ei circulaÈ›iei.</t>
  </si>
  <si>
    <t>RO-6098/2</t>
  </si>
  <si>
    <t>Up to the working out of the investigation report, on the running line Balota-Valea AlbÄƒ-P.M. È˜imian many similar accidents happened, following which AGIFER issued safety recommendations, that were partially implemented. AGIFER renews the safety recommendation issued in the previous investigation report, that is the report for the accident happened on 1st February 2018, on the running line Valea AlbÄƒ-Drobeta Turnu Severin, km 349+819, underlining the need of its implementation, respectively: â€žAnalysis through monitoring actions how CNCFâ€žCFRâ€ SA, like administrator of the public railway infrastructure, ensures the conditions so the safety measures proposed for keeping under control the dangers and risks associated, regarding the performance of the infrastructure maintenance, shall be applicable. Romanian Railway Investigation Agency-AGIFER also alerts the public infrastructure administrator about the need to do, as soon as possible, the reassessment of the safety measures proposed by itself in the â€žRegister for the evidence of the own dangers CNCF CFR SAâ€ regarding the maintenance of the railway infrastructure, so they may be completely applicable. Disregard of this alert shall have like result the increase of the accident number on the railway network, it has already begun to appearâ€. AGIFER also considers necessary that Romanian Railway Safety Authority-ASFR, within the inspections shall impose to the public railway infrastructure administrator CNCF â€CFRâ€ SA the implementation of the measures disposed. No implementation of the safety recommendations has a direct contribution on the technical condition of the railway infrastructure, and the recurrence of the accidents, with same causes, shows a minimum concern for the improvement of the traffic safety.</t>
  </si>
  <si>
    <t>REC-000682</t>
  </si>
  <si>
    <t>RO-6101/1</t>
  </si>
  <si>
    <t>În conformitate cu prevederile Art.26(2) din OUG nr.73/2019 privind siguranÈ›a feroviarÄƒ È™i ale Directivei (CE) nr.798/2016, recomandÄƒrile de siguranÈ›Äƒ sunt adresate AutoritÄƒÈ›ii de SiguranÈ›Äƒ FeroviarÄƒ RomânÄƒ -ASFR, care va solicita È™i urmÄƒri implementarea acestora de cÄƒtre partea identificatÄƒ în recomandare. RecomandÄƒri de siguranÈ›Äƒ asociate cu producerea accidentului Accidentul feroviar s-a produs datoritÄƒ stÄƒrii tehnice necorespunzÄƒtoare a infrastructurii feroviare, pe fondul menÈ›inerii pe timp îndelungat a unei restricÈ›ii de vitezÄƒ de 10 km/h, introdusÄƒ în data de 05.03.2020 din cauza traverselor de lemn necorespunzÄƒtoare. Comisia de investigare a constatat cÄƒ administratorul infrastructurii feroviare publice dispune de proceduri prin care garanteazÄƒ faptul cÄƒ personalului cÄƒruia i-au fost delegate responsabilitÄƒÈ›i în cadrul structurilor responsabile cu mentenanÈ›a, dispune de competenÈ›ele È™i resursele adecvate pentru realizarea sarcinilor ce îi revin în acest sens. Analizarea resurselor de care dispun unitatea È™i subunitatea de bazÄƒ responsabilÄƒ cu mentenanÈ›a infrastructurii feroviare din staÈ›ia CFR SighiÈ™oara, a scos în evidenÈ›Äƒ cÄƒ aceste structuri îÈ™i desfÄƒÈ™oarÄƒ activitatea cu un volum inadecvat al resurselor în raport cu cel necesar. Treapta de vitezÄƒ de 10 km/h a fost stabilitÄƒ de cÄƒtre personalul autorizat în siguranÈ›a circulaÈ›iei, având ca suport pentru analizÄƒ experienÈ›a profesionalÄƒ a acestuia. MenÈ›inerea acestei restricÈ›ii de vitezÄƒ de 10 km/h, de la data de 05.03.2010 È™i pânÄƒ în prezent, coroboratÄƒ cu asigurarea unui volum inadecvat al resurselor în raport cu cel necesar a contribuit la mentenanÈ›a necorespunzÄƒtoare a acestei linii, mentenanÈ›Äƒ care nu a fost realizatÄƒ în conformitate cu prevederile codurilor de practicÄƒ (documente de referinÈ›Äƒ/asociate ale procedurilor din cadrul sistemului de management al siguranÈ›ei al CNCF â€žCFRâ€ SA), împiedicând menÈ›inerea geometriei cÄƒii în toleranÈ›ele admise. Recomandarea de siguranÈ›Äƒ nr.1 CNCF â€žCFRâ€ SA va revizui acÈ›iunea de identificare a riscurilor proprii generate de starea tehnicÄƒ necorespunzÄƒtoare ce impune menÈ›inerea pe timp îndelungat, a restricÈ›iilor de vitezÄƒ datorate traverselor de lemn necorespunzÄƒtoare.</t>
  </si>
  <si>
    <t>RO-6101/2</t>
  </si>
  <si>
    <t>SAFETY RECOMMENDATIONS In accordance with the provisions of Art.26(2) from the Emergency Ordinance no.73/2019 for the railway safety and of the Directive (EC) no.798/2016, the safety recommendations are addressed to Romanian Railway Safety Authority -ASFR, that shall ask and monitor their implementation by the part identified in the recommendation. Safety recommendations associated to the accident occurrence The railway accident happened following the improper technical condition of the railway infrastructure, keeping for a long time a speed restriction of 10 km/h, introduced on the 5th March 2020, because of the unsuitable wooden sleepers. The investigation commission found that the administrator of the public railway infrastructure has procedures for the guarantee the fact that the staff to whom the responsibilities were appointed within the structures in charge with the maintenance, has the competences and resources suitable for the achievement of the tasks. The anlysis of the resources of the unit and basis subunit in charge with the maintenance of the railway infrastructure in SighiÈ™oara railway station put in evidence that these structures perform the activity with inadequate resources against the necessary ones. The speed level of 10 km/h was established by the staff authorized for the traffic safety, considering as support for analysis its professional experience. Keeping of this speed restriction of 10 km/h, from the 5th March 2010 and up to now, corroborated with the provision of inadequate resources against the necessary ones contributed to the improper maintenance of this track, the maintenance was not made in accordance with the provisions of the practice codes (reference/associated documents of the procedures from the safety management system of CNCF â€žCFRâ€ SA), preventing the keeping of the track geometry between the tolerances accepted. Safety recommendation no.1 CNCF â€žCFRâ€ SA shall revise the identification of the own risks generated by the improper technical condition that imposes the keeping for a long time of the speed restrictions, generated by the unsuitable wooden sleepers.</t>
  </si>
  <si>
    <t>REC-000683</t>
  </si>
  <si>
    <t>RO-6101/3</t>
  </si>
  <si>
    <t>În acÈ›iunea de evaluare È™i apreciere a riscurilor asociate operaÈ›iunilor feroviare, SC LTE-RAIL ...</t>
  </si>
  <si>
    <t>În acÈ›iunea de evaluare È™i apreciere a riscurilor asociate operaÈ›iunilor feroviare, SC LTE-RAIL ROMÂNIA SRL nu a identificat pericolul deformÄƒrii în timp a suspensiei locomotivei ca urmare a acÈ›iunii prin È™ocuri dure din partea elementelor suprastructurii cÄƒii respectiv macazuri, inimi de încruciÈ™are, joante, denivelÄƒri ale cÄƒii, care pot conduce la o repartizare neuniformÄƒ a sarcinilor locomotivei pe roÈ›i È™i osii. DacÄƒ ar fi fost identificat acest pericol, operatorul de transport ar fi putut în conformitate cu punctul 1.2.2 din Anexa I la Regulamentul nr.402/2013, sÄƒ transfere gestionarea acestui pericol cÄƒtre interfeÈ›ele relevante. Recomandarea de siguranÈ›Äƒ nr.2 Operatorul feroviar de transport SC LTE-RAIL ROMÂNIA SRL va revedea acÈ›iunea de evaluare È™i apreciere a riscurilor, pentru interfeÈ›ele relevante în scopul identificÄƒrii pericolului de deformare în timp a suspensiei locomotivei ca urmare a acÈ›iunii prin È™ocuri dure din partea elementelor suprastructurii cÄƒii È™i va solicita gestionarea comunÄƒ a riscului aferent, prin mÄƒsuri de siguranÈ›Äƒ corespunzÄƒtoare.</t>
  </si>
  <si>
    <t>RO-6101/4</t>
  </si>
  <si>
    <t>Within the assessment and estimation of the risks associated to the railway operations, SC LTE-RAIL ROMÂNIA SRL did not identify the danger of distorting along the time of the locomotive suspension, following the action through hard shocks from the parts of the track superstructure, respectively switches, common crossing, joints, differences of level, that can lead to an unsuitable distribution of the locomotive loads on the wheels and axles. If this danger had been identified, the railway undertaking should have been able, according to the point 1.2.2 from the Annex I of the Regulation no.402/2013, to transfer the management of tis danger to the relevant interfaces. Safety recommendation no.2 The railway undertaking SC LTE-RAIL ROMÂNIA SRL shall review the assessment and estimation of the risks, for the relevant interfaces in order to identify the danger of distorting along the time of the locomotive suspension, following the action through hard shocks of the parts of the track superstructure and shall ask te joint management of the afferent risk, by suitable safety measures.</t>
  </si>
  <si>
    <t>REC-000687</t>
  </si>
  <si>
    <t>RO-6101/5</t>
  </si>
  <si>
    <t>RecomandÄƒri de siguranÈ›Äƒ asociate cu observaÈ›iile suplimentare Locomotiva implicatÄƒ în accident, nu ...</t>
  </si>
  <si>
    <t>RecomandÄƒri de siguranÈ›Äƒ asociate cu observaÈ›iile suplimentare Locomotiva implicatÄƒ în accident, nu a mai efectuat reviziei intermediarÄƒ într-o unitate de tracÈ›iune de la data de 22.08.2019, contrar prevederilor art.44 din InstrucÈ›iuni pentru activitatea personalului de locomotivÄƒ în transportul feroviar nr.201/2007, care prevede efectuarea unei astfel de revizii la un interval de 7 zile. Recomandarea de siguranÈ›Äƒ nr.3 Operatorul feroviar de transport SC LTE-RAIL ROMÂNIA SRL va lua mÄƒsurile necesare pentru efectuarea reviziilor intermediare în conformitate cu instrucÈ›iile în vigoare.</t>
  </si>
  <si>
    <t>RO-6101/6</t>
  </si>
  <si>
    <t>Safety recommendations associated to the additional remarks The locomotive involved in the accident was not submitted to the intermediary inspection in a traction unit from the 22nd August 2019, against the provisions of art.44 from the Instructions for the activity of the locomotive crew no.201/2007, that stipulates the performance of a such inspection at 7 days. Safety recommendation no.3 The railway undertaking SC LTE-RAIL ROMÂNIA SRL shall take the measures necessary for the performance of the intermediary inspections in accordance with the instructions in force.</t>
  </si>
  <si>
    <t>REC-000689</t>
  </si>
  <si>
    <t>RO-6104/1</t>
  </si>
  <si>
    <t>RecomandÄƒri de siguranÈ›Äƒ Deraierea de un boghiu (primul în sensul de mers) a vagonului ...</t>
  </si>
  <si>
    <t>RecomandÄƒri de siguranÈ›Äƒ Deraierea de un boghiu (primul în sensul de mers) a vagonului nr.81536650964-5 s-a produs atât pe fondul unor neconformitÄƒÈ›i tehnice È™i de încÄƒrcare ale acestuia precum È™i pe fondul unor deficienÈ›e ale suprastructurii cÄƒii. Comisia de investigare a constatat faptul cÄƒ managementul administratorului de infrastructurÄƒ la nivel central È™i regional nu a identificat în totalitate È™i nu a gestionat corespunzÄƒtor riscurile generate de nerealizarea mentenanÈ›ei È™i monitorizÄƒrii liniilor CF (în acest caz cauza fiind neînlocuirea È™inelor cu uzuri laterale peste limitele admise), pentru a putea dispune în consecinÈ›Äƒ soluÈ›ii È™i mÄƒsuri viabile în vederea Å£inerii sub control a pericolului dat de acestea. Astfel, în â€žRegistrul de riscuri â€“ centralizatorâ€ al SRCF Craiova, ultima ediÈ›ie, nu este prevÄƒzut acest aspect, nefiind luate în consecinÈ›Äƒ toate mÄƒsurile care se impuneau. Cu scopul de a preveni producerea unor accidente sau incidente similare în viitor, în conformitate cu prevederile Art.26(2) din OUG nr.73/2019 privind siguranÈ›a feroviarÄƒ, comisia de investigare emite urmÄƒtoarea recomandare: - reevaluarea â€žRegistrului de riscuri â€“ centralizatorâ€ al SRCF Craiova, astfel încât pericolele manifestate în activitatea de exploatare sÄƒ poatÄƒ fi È›inute sub control prin dispunerea de soluÈ›ii È™i mÄƒsuri viabile. Referitor la factorul favorizant al producerii deraierii reprezentat de încÄƒrcarea necorespunzÄƒtoare a vagonului nr.81536650964-5, întrucât în timpul desfÄƒÈ™urÄƒrii acÈ›iunii de investigare au fost luate o serie de mÄƒsuri în vederea È›inerii sub control a riscului indus de încÄƒrcarea neconformÄƒ a vagoanelor de marfÄƒ, membri comisiei de investigare au considerat cÄƒ nu mai este necesarÄƒ emiterea unor recomandÄƒri de siguranÈ›Äƒ cÄƒtre operatorul de transport feroviar de marfÄƒ în legÄƒturÄƒ cu aceastÄƒ neconformitate.</t>
  </si>
  <si>
    <t>RO-6104/2</t>
  </si>
  <si>
    <t>The derailment of a bogie (first one in the running direction) from the wagon no.81536650964-5 happened following both to some technical and loading nonconformities and to some deficiencies of the track superstructure. The investigation commission found that the management of the infrastructure administrator, central and regional level, did not completely identify and did not properly manage the risks generated by the lack of maintenance and monitoring of the lines (in this case the cause being the failure of replacement of the rails with lateral wears over the limits accepted), in order to be able to dispose consequently viable solutions and measures for keeping under control the danger given by these. So, in the â€žRegister of risks â€“ synoptic tableâ€ of SRCF Craiova, last edition, this issue is not stipulated, consequently all the necessary measures not being taken. In order to prevent the occurrence of some similar accidents or incidents in the future, in accordance with the provisions of Art.26(2) from the Emergency Ordinance no.73/2019 for the railway safety, the investigation commission issues the next recommendation: - reassessment of the â€žRegister of risks â€“ synoptic tableâ€ of SRCF Craiova, so the dangers from the operation be kept under control disposing viable solutions and measures. Regarding the factor favouring the derailment, represented by the improper loading of the wagon no.81536650964-5, because during the investigation one took a series of measures for keeping under control the risks generated by the irregular loading of the wagons, the members of the investigation commission did no more consider necessary the issuing of some safety recommendations for the railway freight undertaking regarding this nonconformity.</t>
  </si>
  <si>
    <t>REC-000697</t>
  </si>
  <si>
    <t>RO-6111/1</t>
  </si>
  <si>
    <t>Având în vedere modul inadecvat prin care mecanicul de locomotivÄƒ È™i-a dus la îndeplinire sarcinile ...</t>
  </si>
  <si>
    <t>Având în vedere modul inadecvat prin care mecanicul de locomotivÄƒ È™i-a dus la îndeplinire sarcinile de serviciu, fapt ce a contribuit la producerea accidentului, comisia de investigare emite urmÄƒtoarea recomandare: Autoritatea de SiguranÈ›Äƒ FeroviarÄƒ RomânÄƒ â€“ ASFR sÄƒ solicite operatorului de transport feroviar de marfÄƒ SC Unicom Tranzit SA sÄƒ reevalueze riscurilor generate de pericolul â€Neexecutarea de cÄƒtre personalul feroviar a atribuÈ›iilor de serviciu stabilite în cadrul de reglementare specific È™i care ar putea conduce la producerea de pagube materiale accidente sau incidenteâ€ È™i sÄƒ dispunÄƒ mÄƒsuri eficiente pentru È›inerea sub control a acestuia.</t>
  </si>
  <si>
    <t>RO-6111/2</t>
  </si>
  <si>
    <t>Safety recommendations Considering the improper way, the driver met with his duties, it contributing at the accident occurrence, the investigation commission issues the next recommendations: Romanian Railway Safety Authority â€“ ASFR shall ask the railway freight undertaking SC Unicom Tranzit SA the reassessment of the risks generated by the dangerâ€ Not meeting by the railway staff of his duties established by the specific regulation framework, it could lead to material damages, accidents and incidentsâ€ and to dispose effective measures for keeping it under control.</t>
  </si>
  <si>
    <t>REC-000857</t>
  </si>
  <si>
    <t>RO-6118/1</t>
  </si>
  <si>
    <t>RecomandÄƒri de siguranÅ£Äƒ Deraierea vagonului nr. 84537850319-5 (al 24-lea din compunerea trenului) ...</t>
  </si>
  <si>
    <t>RecomandÄƒri de siguranÅ£Äƒ Deraierea vagonului nr. 84537850319-5 (al 24-lea din compunerea trenului) s-a produs pe fondul mentenanÈ›ei necorespunzÄƒtoare a cÄƒii pe curba de la km 347+742 la km 348+433. MenÈ›inerea în exploatare a unor linii cu multe elemente componente defecte, din cauza: - neasigurÄƒrii resurselor materiale È™i umane corespunzÄƒtor cerinÈ›elor determinate de condiÈ›iile tehnice pe care infrastructura feroviarÄƒ trebuie sÄƒ le îndeplineascÄƒ pentru ca circulaÈ›ia feroviarÄƒ sÄƒ se efectueze în condiÈ›ii normale de siguranÈ›Äƒ; - nerealizÄƒrii pe termen lung a executÄƒrii lucrÄƒrilor de întreÈ›inere, reparaÈ›ie periodicÄƒ/refacÈ›ie a cÄƒii; - stabilirii mÄƒsurilor de È›inere sub control a riscurilor de producere a accidentelor/incidentelor feroviare, prin impunerea respectÄƒrii prevederilor codurilor de practicÄƒ, dar fÄƒrÄƒ asigurarea resurselor care sÄƒ facÄƒ posibilÄƒ respectarea acestora, constituie puncte slabe ale managementului, pentru soluÈ›ionarea cÄƒrora se impune implicarea managerului de infrastructurii feroviare publice. Având în vedere faptul cÄƒ pe distanÈ›a Balota â€“ È˜imian au avut loc mai multe accidente cu caracter similar în ultimii ani, cu scopul de a preveni producerea altora în viitor, în conformitate cu prevederile Art.26(2) din OUG nr.73/2019 privind siguranÈ›a feroviarÄƒ, comisia de investigare emite urmÄƒtoarele recomandÄƒri de siguranÈ›Äƒ : 1. Autoritatea de SiguranÈ›Äƒ FeroviarÄƒ RomânÄƒ â€“ ASFR va evalua modul în care administratorul de infrastructurÄƒ feroviarÄƒ publicÄƒ CNCF â€žCFRâ€ SA, a identificat È™i aplicat mÄƒsurile ce trebuiau luate pentru implementarea recomandÄƒrilor de siguranÈ›Äƒ emise în cadrul rapoartelor de investigare finalizate pentru accidentele feroviare produse pe secÈ›ia de circulaÈ›ie Balota â€“ T. Severin, în ultimii trei ani, care au avut cauze È™i factori similari.</t>
  </si>
  <si>
    <t>RO-6118/2</t>
  </si>
  <si>
    <t>The derailment of the wagon no. 84537850319-5 (the 24th one of the train) happened following the improper maintenance of the track, at the curve from km 347+742 to km 348+433. Keeping in operation of some railway tracks with many components out of service, because of: - non provision with the material and human resources in accordance with the requirements generated by the technical conditions that the railway infrastructure has to meet with so the railway traffic be safety; - for a long time, the maintenance, periodical repair/renewal of the track were not performed; - setting up of measures for keeping under control the risks of accidents/incidents, imposing the compliance with the provisions of the practice codes, but without ensuring the resources that make possible their compliance, there are weaknesses of the management, for whose removal it is necessary the involvement of the public railway infrastructure manager. Considering the fact that between Balota â€“ È˜imian there were many similar accidents in the last years, for their prevention in the future, in accordance with the provisions of Art.26(2) from the Government Ordinance no.73/2019 for the railway safety, the investigation commission issues the next safety recommendations: 1. Romanian Railway Safety Authority â€“ ASFR shall assess how the public railway infrastructure administrator CNCF â€žCFRâ€ SA identified and applied the measures that had to be taken for the implementation of the safety recommendations issued in the investigation reports completed for the accidents happened on the track section Balota â€“ T. Severin, in the last three years, with similar causes and factors.</t>
  </si>
  <si>
    <t>REC-000858</t>
  </si>
  <si>
    <t>RO-6118/3</t>
  </si>
  <si>
    <t>2. Autoritatea de SiguranÈ›Äƒ FeroviarÄƒ RomânÄƒ â€“ ASFR va analiza împreunÄƒ cu administratorul de infrastructurÄƒ feroviarÄƒ publicÄƒ CNCF â€žCFRâ€ SA, activitatea acestuia cu privire la gestionarea pericolului generat de menÈ›inerea în exploatare a traverselor de lemn necorespunzÄƒtoare care trebuie înlocuite în urgenÈ›a I, ocazie cu care va stabili È™i mÄƒsuri concrete pentru îmbunÄƒtÄƒÈ›irea nivelului de siguranÈ›Äƒ feroviarÄƒ.</t>
  </si>
  <si>
    <t>RO-6118/4</t>
  </si>
  <si>
    <t>2. Romanian Railway Safety Authority â€“ ASFR shall analize with the public railway infrastructure administrator CNCF â€žCFRâ€ SA, its activity of management of the risk generated by the keeping in operation of the improper wooden sleepers that have to be replaced very urgently, when there will be established also concrete measures for the improvement of the railway safety level.</t>
  </si>
  <si>
    <t>REC-000859</t>
  </si>
  <si>
    <t>RO-6129/1</t>
  </si>
  <si>
    <t>La data de 19.11.2019, ora 13:55, pe raza de activitate a Sucursalei Regionale CF TimiÅŸoara, în ...</t>
  </si>
  <si>
    <t>La data de 19.11.2019, ora 13:55, pe raza de activitate a Sucursalei Regionale CF TimiÅŸoara, în staÈ›ia CFR Bârzava, în circulaÈ›ia trenului de cÄƒlÄƒtori nr.74-1(aparÈ›inând operatorului de transport feroviar SNTFC â€žCFR CÄƒlÄƒtoriâ€ S.A.), remorcat cu locomotiva EA 551, în cuprinsul schimbÄƒtorului de cale nr.7, pe parcursul de trecere din firul I al liniei curente BÄƒtuÈ›a-Bârzava pe linia III directÄƒ (linia din staÈ›ie corespunzÄƒtoare firului II de circulaÈ›ie), s-a produs deraierea de prima osie a locomotivei EA 551. În cursul acÈ›iunii desfÄƒÈ™urate, comisia de investigare a constatat faptul cÄƒ managementul administratorului de infrastructurÄƒ feroviarÄƒ publicÄƒ la nivel central È™i regional a identificat dar nu a gestionat cu eficacitate riscurile generate de nerealizarea mentenanÈ›ei liniilor administrate, pentru a putea dispune în consecinÈ›Äƒ soluÈ›ii È™i mÄƒsuri viabile în vederea È›inerii sub control a pericolului deraierii. Astfel, dacÄƒ gestionarul de infrastructurÄƒ feroviarÄƒ publicÄƒ ar fi aplicat propriile proceduri ale sistemului de management al siguranÈ›ei, în integritatea lor, precum È™i prevederile codurilor de practicÄƒ, parte integrantÄƒ a SMS, ar fi putut sÄƒ menÈ›inÄƒ parametrii tehnici ai geometriei cÄƒii în limitele toleranÈ›elor impuse de siguranÈ›a feroviarÄƒ, prevenind astfel producerea acestui accident. Având în vedere obiectivele comune de prevenire a accidentelor È™i incidentelor, respectiv dezvoltare È™i îmbunÄƒtÄƒÈ›ire a siguranÈ›ei feroviare în operaÈ›iunile de transport pe cÄƒile ferate sau pe reÈ›eaua de transport cu metroul din România È™i È›inând cont de învÄƒÈ›Äƒmintele care se pot trage de la acest accident feroviar, comisia de investigare considerÄƒ oportunÄƒ adresarea cÄƒtre ASFR a urmÄƒtoarelor recomandÄƒri de siguranÈ›Äƒ: 1. Autoritatea de SiguranÈ›Äƒ FeroviarÄƒ RomânÄƒ â€“ ASFR va solicita administratorului de infrastructurÄƒ feroviarÄƒ publicÄƒ CNCF â€žCFRâ€ S.A., sÄƒ înregistreze în formularul evidenta pericolelor proprii, pericolul generat de existenÈ›a pragului lateral la joantÄƒ È™i sÄƒ stabileascÄƒ mÄƒsurile pentru È›inerea sub control a producerii unei deraieri din cauza acestui pericol.</t>
  </si>
  <si>
    <t>RO-6129/2</t>
  </si>
  <si>
    <t>Safety recommendations On the 19th November, at 13:55 oâ€™clock, in the railway county TimiÈ™oara, track section Radna - Ilia (electrified double-track line) (drawing no.1), administrated by CNCF â€žCFRâ€ S.A., in Bârzava railway station, in the running of the passenger train no.74-1, consisting in 2 cars, hauled with the locomotive EA 551, got by the railway undertaking SNTFC â€žCFR CÄƒlÄƒtoriâ€ S.A., the first axle of the locomotive derailed in the running direction of the train. During the investigation, the commission found that the management of the public railway infrastructure administrator, at central and regional level, identified but did not effectively manage the risks generated by the shortcomings in the maintenance of the line administrated, in order to dispose consequently solutions and measures viable for keeping under control the derailment danger. So, if the public railway infrastructure manager should have completely applied the own procedures of the safety management system, as well as the provisions of the practice codes, part of SMS, had been able to keep the technical parameters of the track geometry between the limits of the tolerances imposed by the railway safety, preventing in a such way this accident occurrence. Considering the common objectives of prevention, the accidents and incidents, respectively of development and improvement of railway safety on Romanian railway and metro network and taking into account the lessons that can be learned from this accident, the investigation commission considers relevant to address ASFR the next safety recommendations: 1. Romanian Railway Safety Authority â€“ ASFR shall ask the public railway infrastructure administrator CNCF â€žCFRâ€ S.A. to record in the form for the evidence of the own dangers, the danger generated by the existence of the lateral thresholds at the joint and to establish measures for keeping under control the derailment, following this danger.</t>
  </si>
  <si>
    <t>REC-000861</t>
  </si>
  <si>
    <t>RO-6129/3</t>
  </si>
  <si>
    <t>2. Autoritatea de SiguranÈ›Äƒ FeroviarÄƒ RomânÄƒ â€“ ASFR va analiza împreunÄƒ cu administratorul de infrastructurÄƒ feroviarÄƒ publicÄƒ CNCF â€žCFRâ€ S.A., activitatea acestuia cu privire la eficienÈ›a mÄƒsurilor de È›inere sub control a pericolelor generate de întreÈ›inerea necorespunzÄƒtoare a geometriei cÄƒii pe zona diagonalelor CF din linie curentÄƒ È™i din liniile de primiri / expedieri, ocazie cu care va stabili È™i mÄƒsuri eficiente pentru îmbunÄƒtÄƒÈ›irea siguranÈ›ei feroviare;</t>
  </si>
  <si>
    <t>RO-6129/4</t>
  </si>
  <si>
    <t>2. Romanian Railway Safety Authority â€“ ASFR shall analyze with the public railway infrastructure administrator CNCF â€žCFRâ€ S.A. its activity regarding the effectiveness of the measures for keeping under control the dangers generated by the improper maintenance of the track geometry on the crosses-over of the running lines and of the reception/dispatching lines, when it shall establish also effective measures for the improvement of the railway safety;</t>
  </si>
  <si>
    <t>REC-000863</t>
  </si>
  <si>
    <t>RO-6220/1</t>
  </si>
  <si>
    <t>Având în vedere nr de incidente similare produse pe reÈ›eaua CFR în acest an (4), comisia de ...</t>
  </si>
  <si>
    <t>Având în vedere nr de incidente similare produse pe reÈ›eaua CFR în acest an (4), comisia de investigare recomandÄƒ AutoritÄƒÅ£ii de SiguranÅ£Äƒ FeroviarÄƒ Române sÄƒ se asigure cÄƒ: Administratorul de infrastructurÄƒ feroviarÄƒ publicÄƒ CNCF â€žCFRâ€ SA va lua mÄƒsuri pentru: 1. analizarea necesitÄƒÅ£ii includerii pericolului reprezentat de neefectuarea corectÄƒ a parcursului de intrare în cazul în care se executÄƒ revizii bianuale, iar parcursul trebuie asigurat prin manevrarea individualÄƒ a macazurilor prin acÈ›ionarea butoanelor de manevrare macaz în poziÈ›ia cerutÄƒ de parcurs, în categoria neconformitÄƒÅ£ilor inacceptabile.</t>
  </si>
  <si>
    <t>RO-6220/2</t>
  </si>
  <si>
    <t>Safety recommendations Considering the number of similar incidents happened on the railway network during this year (4), the investigation commission recommends Romanian Railway Safety Authority to take care that: Public railway infrastructure administrator CNCF â€žCFRâ€ SA shall take measures for: 1. Analysis of the need to include the danger represented by the wrong setting of the entry route, in case of biannual inspections, and the route has to be set by the individual operation of the switches, pressing the buttons for the switch operation on the position required by the route, in the category of the unacceptable nonconformities.</t>
  </si>
  <si>
    <t>REC-000799</t>
  </si>
  <si>
    <t>RO-6219/1</t>
  </si>
  <si>
    <t>Având în vedere cauzele primare ale accidentului feroviar ÅŸi Å£inând cont cÄƒ la data de ...</t>
  </si>
  <si>
    <t>Având în vedere cauzele primare ale accidentului feroviar ÅŸi Å£inând cont cÄƒ la data de 15.04.2019 s-a produs un incident similar prin efectuarea eronatÄƒ a parcursului la linia 4 în loc de linia 2, comisia de investigare recomandÄƒ AutoritÄƒÅ£ii de SiguranÅ£Äƒ FeroviarÄƒ Române sÄƒ se asigure cÄƒ administratorul de infrastructurÄƒ feroviarÄƒ publicÄƒ CNCF â€žCFRâ€ SA va lua mÄƒsuri pentru: 1. Montarea pe teren a indicatoarelor de macaz pentru respectarea prevederilor Regulamentului de Semnalizare nr. 004/2006.</t>
  </si>
  <si>
    <t>RO-6219/2</t>
  </si>
  <si>
    <t>Considering the root causes of the incident and that on the 15th April 2019 a similar incident happened, consisting in the wrong setting of the route on the line 4 instead the line 2, the investigation commission recommends Romanian Railway Safety Authority to get sure that the public railway administrator CNCF â€žCFRâ€ SA shall take the measures for: 1. Fitting on site switch indicators to meet with the provisions of the Signalling Regulation no. 004/2006.</t>
  </si>
  <si>
    <t>REC-000801</t>
  </si>
  <si>
    <t>RO-6219/3</t>
  </si>
  <si>
    <t>2. Modificarea prevederilor fiÈ™ei postului revizorului de ace referitoare la verificarea vizualÄƒ pe ...</t>
  </si>
  <si>
    <t>2. Modificarea prevederilor fiÈ™ei postului revizorului de ace referitoare la verificarea vizualÄƒ pe teren a executÄƒrii corecte a parcursului.</t>
  </si>
  <si>
    <t>RO-6219/4</t>
  </si>
  <si>
    <t>Considering the root causes of the incident and that on the 15th April 2019 a similar incident happened, consisting in the wrong setting of the route on the line 4 instead the line 2, the investigation commission recommends Romanian Railway Safety Authority to get sure that the public railway administrator CNCF â€žCFRâ€ SA shall take the measures for: 2. Change of the provisions from the job discription of the points examiner regarding the visual inspection on site of the right setting of the route</t>
  </si>
  <si>
    <t>REC-000804</t>
  </si>
  <si>
    <t>RO-6219/5</t>
  </si>
  <si>
    <t>Având în vedere cauzele primare ale accidentului feroviar ÅŸi Å£inând cont cÄƒ la data de 15.04.2019 ...</t>
  </si>
  <si>
    <t>Având în vedere cauzele primare ale accidentului feroviar ÅŸi Å£inând cont cÄƒ la data de 15.04.2019 s-a produs un incident similar prin efectuarea eronatÄƒ a parcursului la linia 4 în loc de linia 2, comisia de investigare recomandÄƒ AutoritÄƒÅ£ii de SiguranÅ£Äƒ FeroviarÄƒ Române sÄƒ se asigure cÄƒ administratorul de infrastructurÄƒ feroviarÄƒ publicÄƒ CNCF â€žCFRâ€ SA va lua mÄƒsuri pentru: 3. Analizarea posibilitÄƒÈ›ii înlocuirii sau îmbunÄƒtÄƒÅ£irii actualei instalaÈ›ii SBW ATM BLA din staÈ›ia PiteÈ™ti cu o instalaÈ›ie de centralizare care rezolvÄƒ toate limitele actualei instalaÈ›ii.</t>
  </si>
  <si>
    <t>RO-6219/6</t>
  </si>
  <si>
    <t>Considering the root causes of the incident and that on the 15th April 2019 a similar incident happened, consisting in the wrong setting of the route on the line 4 instead the line 2, the investigation commission recommends Romanian Railway Safety Authority to get sure that the public railway administrator CNCF â€žCFRâ€ SA shall take the measures for: 3. Analisys of the possibility to replace or improve the present installation SBW ATM BLA in the railway station PiteÈ™ti with an interllocking system which solve all the limits of the present one.</t>
  </si>
  <si>
    <t>REC-000809</t>
  </si>
  <si>
    <t>RO-6219/7</t>
  </si>
  <si>
    <t>Având în vedere cauzele primare ale accidentului feroviar ÅŸi Å£inând cont cÄƒ la data de 15.04.2019 s-a produs un incident similar prin efectuarea eronatÄƒ a parcursului la linia 4 în loc de linia 2, comisia de investigare recomandÄƒ AutoritÄƒÅ£ii de SiguranÅ£Äƒ FeroviarÄƒ Române sÄƒ se asigure cÄƒ administratorul de infrastructurÄƒ feroviarÄƒ publicÄƒ CNCF â€žCFRâ€ SA va lua mÄƒsuri pentru: 4. Efectuarea unei analize de risc legatÄƒ de pericolele reprezentate de manipularea necorespunzÄƒtoare a instalaÅ£iilor SCB ÅŸi verificarea necorespunzÄƒtoare a parcursurilor de intrare/ieÅŸire ÅŸi evaluarea necesitatÄƒÅ£ii introducerii acestor pericole în categoria neconformitÄƒÅ£ilor inacceptabile.</t>
  </si>
  <si>
    <t>RO-6219/8</t>
  </si>
  <si>
    <t>Considering the root causes of the incident and that on the 15th April 2019 a similar incident happened, consisting in the wrong setting of the route on the line 4 instead the line 2, the investigation commission recommends Romanian Railway Safety Authority to get sure that the public railway administrator CNCF â€žCFRâ€ SA shall take the measures for: 4. Performance of a risk analysis regarding the dangers represented by the improper operation of the installations SCB and the unsuitable insection of the entry/exit routes and the assessment of the need to introduce these dangers in the category of the unacceptable nonconformities.</t>
  </si>
  <si>
    <t>RO-6144/1</t>
  </si>
  <si>
    <t>Considering the improper way, the shunting crew carried his duty tasks, it contributing to the incident occurrence, the investigation commission issues the next safety recommendations:
Romanian Railway Safety Authority – ASFR shall ask the railway freight undertaking CER-Fersped SA to reassess the risks generated by the danger „not ensuring the trains and the rakes of wagons stopped in the marshalling yards (end of track section)” and to dispose additional measures for their keeping under control.</t>
  </si>
  <si>
    <t>RO-6175/1</t>
  </si>
  <si>
    <t>According to the provisions of art.26(2) from the Emergency Government Decision n.73/2019 for the railway safety, the safety recommendations are addressed to Romanian Railway Safety Authority - ASFR, that shall ask and track their implementation by the party identified in the recommendation.
Although the public railway infrastructure administrator had, according to the provisions  (UE) Regulation no.1169/2010, „procedures that guarantee the safe management and operation of the infrastructure, considering the number, type and size of the railway undertaking that render services using the respective network, including all the necessary interactions that depend on the complexity of the operations”, these are not completely observed and the consequences in the activity of the infrastructure administrator are getting worse.
The provisions of some of the practice codes, regarding the maintenance can not be applied in their entirety, because the material and human resources considered when the practice codes (instructions) were drafted are no more met
The investigation commission found that the infrastructure administrator identified the risk generated by the not taking the safety measures for the removal of the failures of levels 5 and 6 found during the inspection at the running and main track, using the track recording coach, but this risk was not properly managed. 
Also, after the removal of these failures, there was necessary the replacement of the improper consecutive wooden sleepers. Keeping in operation of improper wooden sleepers, that have to be immediately replaced (emergency I) is not mentioned in the Register of risks, drafted by the territorial structure of the public railway infrastructure administrator (railway county Craiova), altough the danger of non-performance of this type of works has serious consequences for the traffic safety, it being very frequent in the last years.
For the improvement of the railway safety and prevention of some similar events, following the unsuitable technical condition of the railway infrastructure, the investigation commission considers timely to address the next safety recommendations:
Safety recommendation no.1:
CNCF „CFR” SA – railway county Craiova shall analyse the risk generated by the failure in the removal, at the stipulated deadlines, of the failures levels 5 and 6, found during the inspection of the running and main tracks in the railway stations, made with the track recording coach and shall dispose effective measures for keeping it under control.</t>
  </si>
  <si>
    <t>RO-6175/2</t>
  </si>
  <si>
    <t>According to the provisions of art.26(2) from the Emergency Government Decision n.73/2019 for the railway safety, the safety recommendations are addressed to Romanian Railway Safety Authority - ASFR, that shall ask and track their implementation by the party identified in the recommendation.
Although the public railway infrastructure administrator had, according to the provisions  (UE) Regulation no.1169/2010, „procedures that guarantee the safe management and operation of the infrastructure, considering the number, type and size of the railway undertaking that render services using the respective network, including all the necessary interactions that depend on the complexity of the operations”, these are not completely observed and the consequences in the activity of the infrastructure administrator are getting worse.
The provisions of some of the practice codes, regarding the maintenance can not be applied in their entirety, because the material and human resources considered when the practice codes (instructions) were drafted are no more met
The investigation commission found that the infrastructure administrator identified the risk generated by the not taking the safety measures for the removal of the failures of levels 5 and 6 found during the inspection at the running and main track, using the track recording coach, but this risk was not properly managed. 
Also, after the removal of these failures, there was necessary the replacement of the improper consecutive wooden sleepers. Keeping in operation of improper wooden sleepers, that have to be immediately replaced (emergency I) is not mentioned in the Register of risks, drafted by the territorial structure of the public railway infrastructure administrator (railway county Craiova), altough the danger of non-performance of this type of works has serious consequences for the traffic safety, it being very frequent in the last years.
For the improvement of the railway safety and prevention of some similar events, following the unsuitable technical condition of the railway infrastructure, the investigation commission considers timely to address the next safety recommendations:
Safety recommendation no.2:
CNCF „CFR” SA – railway county Craiova shall revise the identification of the own risks generated by keeping in operation the unsuitable normal wooden sleepers, that have to be replaced immediately (emergency I), on the curves with radius under 350 m and shall establish the measures necessary for the improvement of the railway safety.</t>
  </si>
  <si>
    <t>RO-6171/1</t>
  </si>
  <si>
    <r>
      <t xml:space="preserve">The investigation commission found that the fire was generated by the hauling of a train with a tonnage too big, that led to the overloading of electric motors of the locomotive EA 1012, it leading to the increase of the amperage over the values for continuous mode, so being created the conditions of breakdown of the traction motors and of the fire start. Regarding the train tonnage, the investigation commission found that there are deficiencies about the tonnage calculation, testing for the increase of the tonnage and the way to write down this tonnage in the working timetable.
The investigation commission found also that the fire developed following the technical condition of electric motors, whose repair was made upon other requirements than those of the standard in force and the repairs were made by suppliers that had no certification in accordance with the certification
systems established by the legislation.
Also, the investigation commission found that the fire developed following the keeping in operation of the electric cables, not being keep under control the compliance with their life time and the
requirements for behaviour at fire, stipulated by the standards in force (standard SR EN 45545-2:2013+A1:2016) for these cables were not adopted.
Considering the issues presented, for reducing the risks of similar accidents, the investigation commission recommends Romanian Railway Safety Authority – ASFR:
</t>
    </r>
    <r>
      <rPr>
        <b/>
        <sz val="11"/>
        <color theme="1"/>
        <rFont val="Calibri"/>
        <family val="2"/>
        <scheme val="minor"/>
      </rPr>
      <t>▪ Safety recommendation no.1:</t>
    </r>
    <r>
      <rPr>
        <sz val="11"/>
        <color theme="1"/>
        <rFont val="Calibri"/>
        <family val="2"/>
        <scheme val="minor"/>
      </rPr>
      <t xml:space="preserve">
to ask GRUP FEROVIAR ROMÂN SA the performance of a risk analysis for the danger represented by the hauling of some tonnages bigger than those that ensure operation of the electric locomotive in continuous mode and at most 5 minutes in hourly mode</t>
    </r>
  </si>
  <si>
    <t>RO-6171/2</t>
  </si>
  <si>
    <r>
      <t xml:space="preserve">The investigation commission found that the fire was generated by the hauling of a train with a tonnage too big, that led to the overloading of electric motors of the locomotive EA 1012, it leading to the increase of the amperage over the values for continuous mode, so being created the conditions of breakdown of the traction motors and of the fire start. Regarding the train tonnage, the investigation commission found that there are deficiencies about the tonnage calculation, testing for the increase of the tonnage and the way to write down this tonnage in the working timetable.
The investigation commission found also that the fire developed following the technical condition of electric motors, whose repair was made upon other requirements than those of the standard in force and the repairs were made by suppliers that had no certification in accordance with the certification
systems established by the legislation.
Also, the investigation commission found that the fire developed following the keeping in operation of the electric cables, not being keep under control the compliance with their life time and the
requirements for behaviour at fire, stipulated by the standards in force (standard SR EN 45545-2:2013+A1:2016) for these cables were not adopted.
Considering the issues presented, for reducing the risks of similar accidents, the investigation commission recommends Romanian Railway Safety Authority – ASFR:
</t>
    </r>
    <r>
      <rPr>
        <b/>
        <sz val="11"/>
        <color theme="1"/>
        <rFont val="Calibri"/>
        <family val="2"/>
        <scheme val="minor"/>
      </rPr>
      <t>▪ Safety recommendation no.2:</t>
    </r>
    <r>
      <rPr>
        <sz val="11"/>
        <color theme="1"/>
        <rFont val="Calibri"/>
        <family val="2"/>
        <scheme val="minor"/>
      </rPr>
      <t xml:space="preserve">
to ask GRUP FEROVIAR ROMÂN SA the performance of a risk analysis for the danger represented by the use within the repairs at electric motors, of some services that do not comply with the relevant safety requirements from the technical standards in force.</t>
    </r>
  </si>
  <si>
    <t>RO-6171/3</t>
  </si>
  <si>
    <r>
      <t xml:space="preserve">The investigation commission found that the fire was generated by the hauling of a train with a tonnage too big, that led to the overloading of electric motors of the locomotive EA 1012, it leading to the increase of the amperage over the values for continuous mode, so being created the conditions of breakdown of the traction motors and of the fire start. Regarding the train tonnage, the investigation commission found that there are deficiencies about the tonnage calculation, testing for the increase of the tonnage and the way to write down this tonnage in the working timetable.
The investigation commission found also that the fire developed following the technical condition of electric motors, whose repair was made upon other requirements than those of the standard in force and the repairs were made by suppliers that had no certification in accordance with the certification
systems established by the legislation.
Also, the investigation commission found that the fire developed following the keeping in operation of the electric cables, not being keep under control the compliance with their life time and the
requirements for behaviour at fire, stipulated by the standards in force (standard SR EN 45545-2:2013+A1:2016) for these cables were not adopted.
Considering the issues presented, for reducing the risks of similar accidents, the investigation commission recommends Romanian Railway Safety Authority – ASFR:
</t>
    </r>
    <r>
      <rPr>
        <b/>
        <sz val="11"/>
        <color theme="1"/>
        <rFont val="Calibri"/>
        <family val="2"/>
        <scheme val="minor"/>
      </rPr>
      <t>▪ Safety recommendation no.3:</t>
    </r>
    <r>
      <rPr>
        <sz val="11"/>
        <color theme="1"/>
        <rFont val="Calibri"/>
        <family val="2"/>
        <scheme val="minor"/>
      </rPr>
      <t xml:space="preserve">
to ask GRUP FEROVIAR ROMÂN SA the performance of a risk analysis for the danger represented by the use within the repairs at MET, of some suppliers that comply with the conditions for certification.</t>
    </r>
  </si>
  <si>
    <t>RO-6171/4</t>
  </si>
  <si>
    <r>
      <t xml:space="preserve">The investigation commission found that the fire was generated by the hauling of a train with a tonnage too big, that led to the overloading of electric motors of the locomotive EA 1012, it leading to the increase of the amperage over the values for continuous mode, so being created the conditions of breakdown of the traction motors and of the fire start. Regarding the train tonnage, the investigation commission found that there are deficiencies about the tonnage calculation, testing for the increase of the tonnage and the way to write down this tonnage in the working timetable.
The investigation commission found also that the fire developed following the technical condition of electric motors, whose repair was made upon other requirements than those of the standard in force and the repairs were made by suppliers that had no certification in accordance with the certification
systems established by the legislation.
Also, the investigation commission found that the fire developed following the keeping in operation of the electric cables, not being keep under control the compliance with their life time and the
requirements for behaviour at fire, stipulated by the standards in force (standard SR EN 45545-2:2013+A1:2016) for these cables were not adopted.
Considering the issues presented, for reducing the risks of similar accidents, the investigation commission recommends Romanian Railway Safety Authority – ASFR:
</t>
    </r>
    <r>
      <rPr>
        <b/>
        <sz val="11"/>
        <color theme="1"/>
        <rFont val="Calibri"/>
        <family val="2"/>
        <scheme val="minor"/>
      </rPr>
      <t>▪ Safety recommendation no.4:</t>
    </r>
    <r>
      <rPr>
        <sz val="11"/>
        <color theme="1"/>
        <rFont val="Calibri"/>
        <family val="2"/>
        <scheme val="minor"/>
      </rPr>
      <t xml:space="preserve">
to ask GRUP FEROVIAR ROMÂN SA the performance of a risk analysis for the danger represented by the use in the operation of the hauling vehicles without the planned repair made, having exceeded the norm of time and the norm of km run, or having the electric cables with the
life time exceeded.</t>
    </r>
  </si>
  <si>
    <t>RO-6171/5</t>
  </si>
  <si>
    <r>
      <t xml:space="preserve">The investigation commission found that the fire was generated by the hauling of a train with a tonnage too big, that led to the overloading of electric motors of the locomotive EA 1012, it leading to the increase of the amperage over the values for continuous mode, so being created the conditions of breakdown of the traction motors and of the fire start. Regarding the train tonnage, the investigation commission found that there are deficiencies about the tonnage calculation, testing for the increase of the tonnage and the way to write down this tonnage in the working timetable.
The investigation commission found also that the fire developed following the technical condition of electric motors, whose repair was made upon other requirements than those of the standard in force and the repairs were made by suppliers that had no certification in accordance with the certification
systems established by the legislation.
Also, the investigation commission found that the fire developed following the keeping in operation of the electric cables, not being keep under control the compliance with their life time and the
requirements for behaviour at fire, stipulated by the standards in force (standard SR EN 45545-2:2013+A1:2016) for these cables were not adopted.
Considering the issues presented, for reducing the risks of similar accidents, the investigation commission recommends Romanian Railway Safety Authority – ASFR:
</t>
    </r>
    <r>
      <rPr>
        <b/>
        <sz val="11"/>
        <color theme="1"/>
        <rFont val="Calibri"/>
        <family val="2"/>
        <scheme val="minor"/>
      </rPr>
      <t>▪ Safety recommendation no.5:</t>
    </r>
    <r>
      <rPr>
        <sz val="11"/>
        <color theme="1"/>
        <rFont val="Calibri"/>
        <family val="2"/>
        <scheme val="minor"/>
      </rPr>
      <t xml:space="preserve">
to analyze together CNCFR(IM) and RU (railway undertakings) the way to establish (calculation and testing) and to record the information regarding the tonnages of the trains in the working timetables, without eliminating from the analysis the possibility to update the national regulation  framework or the implementation of some procedures of SMS of CNCFR and RU.</t>
    </r>
  </si>
  <si>
    <t>RO-6174/1</t>
  </si>
  <si>
    <t>The investigation commission found that the management of the infrastructure administrator, at central and regional level, did not managed properly the risks generated by the danger of lack of maintenance at the lines (in this case the failure in the replacement of the improper wooden sleepers within the switches) and which were in the operation, in order to dispose consequently viable solutions and measures for keeping them under control. In the „Register of risks – synoptic table -2019”, of the railway county Craiova, the danger represented by the failure in the replacement of the improper wooden sleepers is not mentioned, consequently the measures for keeping under control the risks associated to this danger not being analyzed and disposed.
For the prevention of some similar accidents in the future, according to the provisions of art.26(2) from the Emergency Government Ordinance no.73/2019 for the railway safety, the investigation commission issues the next recommendation:
1. Romanian Railway Safety Authority – ASFR shall ask the public railway infrastructure administrator CNCF „CFR” SA the re-assessment of the „Register of risks – synoptic table - 2019” of the railway county Craiova regarding the analysis of the danger represented by the failure in the replacement of the improper wooden sleepers and setting of concrete measures for the management of the risks associated to this danger.</t>
  </si>
  <si>
    <t>RO-6184/1</t>
  </si>
  <si>
    <t xml:space="preserve">Considering the nonconformities identified at the railway infrastructure at the accident site, as it is mentioned at chapter C.5.2. Safety management system, the investigation commission considers that: 
- inobservance of the provisions of the Instruction of norms and tolerances for the construction and maintenance of track – lines with standard gauge no.314/1989 and of the Instruction for the line maintenance no.300/1982, documents associated to the operational procedure code PO SMS 0-4.07. „Compliance with the technical specifications, standards and requirements relevant for whole life time of the lines in maintenance process”, through:
• failure in keeping the track geometry between the limits of the operation tolerances, as well as the failure in ensuring in operation a railway superstructure whose broken stone bed meets with the shape and sizes stipulated;
• failure in the performance of all maintenance, periodical repairs and overhauls, as well as the lack of provision with human and material resources for the removal of the nonconformities that led to the appearance of the dangerous points;  
- unsuitable application of the provisions of the system procedure PS SMS 0–6.10 ,,Management of the safety risks” part of the safety management system of CNCF „CFR” SA, as follows:
•  dangers represented by „inobservance of the safety provisions for the maintenance of the areas with unsuitable track beds” and „failure in ensuring the sizes corresponding to the broken stone bed”, were identified and mentioned in the SMS danger record at point 15, respectively point 43, but the measures for their keeping under control were not effective;
•  one did not identify the danger that following the control of the track geometry with the track recording coach, for the dangers recorded not be established the deviation level of the failures and not be recorded in the report with the failures found, for the schedule and removal;
generated an unsuitable maintenance of the track superstructure at the derailment site.
Recommendation no.1
Romanian Railway Safety Authority– ASFR shall ask the public railway infrastructure administrator - CNCF „CFR” SA to perform a risk analysis for the danger represented by the failure in the setting of the deviation level of the failures recorded and the failure in their recording in the report of failures found, following the control of the track geometry with the track recording coach, for its schedule and removal. </t>
  </si>
  <si>
    <t>RO-6184/2</t>
  </si>
  <si>
    <t>The railway county Brașov, during the identification and assessment of the risks associated to the railway operations, made in accordance with the provisions of the Regulation (UE) no.1158/2010, did not identify the danger as, in operation, the differences of the diameters of the wheel treads from the same axle not be between the limits stipulated by the Instruction no.931/1986 or by the Guide for the operation of the type of locomotive with bogies identical to the bogies of the locomotive involved in the accident. 
Recommendation no.2
Romanian Railway Safety Authority– ASFR shall ask the railway county Brașov of the RU SNTFC ”CFR Călători” SA to revise the identification of the risks associated to the railway operations regarding „failure in the compliance with the technical conditions that the wheelset of the railway vehicles have to meet with, in order to be accepted for running” and to add to SMS procedures the own safety measures or from the practice codes in force, in order to ensure that the wheelset of the locomotives work upon the conditions regulated, in complete safety.</t>
  </si>
  <si>
    <t>RO-6184/3</t>
  </si>
  <si>
    <r>
      <rPr>
        <i/>
        <sz val="11"/>
        <color theme="1"/>
        <rFont val="Calibri"/>
        <family val="2"/>
        <scheme val="minor"/>
      </rPr>
      <t>Safety recommendation associated to the additional remarks</t>
    </r>
    <r>
      <rPr>
        <sz val="11"/>
        <color theme="1"/>
        <rFont val="Calibri"/>
        <family val="2"/>
        <scheme val="minor"/>
      </rPr>
      <t xml:space="preserve">
The wheel flange lubrication device of the locomotive involved in the accident was uncoupled, not working, for the removal of the possibilities of leakages of oil on the locomotive bogies, in order to prevent the appearance of fire at this type of locomotive. 
Lack of lubrication of the flange face of wheel, for the diminution of the wears and of the friction coefficient, can favour the climbing of the active shoulder of the rails up to the stabilisation of the wheel profile after reprofiling.
Recommendation no.3
Romanian Railway Safety Authority– ASFR shall ask the railway undertaking SNTFC „CFR Călători” SA to analyse again the conditions basis for the issuing of the paper that disposed the uncoupling wheel flange lubrication device, so the lubrication of the running surfaces of the wheelsets be made, at least until the appearance of some wears stabilized at these.</t>
    </r>
  </si>
  <si>
    <t>RO-6176/1</t>
  </si>
  <si>
    <r>
      <t xml:space="preserve">Although the public railway infrastructure administrator had, according to the provisions of the Regulation (UE) no.1169/2010, „procedures that guarantee the safe management and operation of the infrastructure, considering the number, type and size of the railway undertaking that render services using the respective network, including all the necessary interactions that depend on the complexity of the operations”, these are not completely observed.
The provisions of some of the practice codes, regarding the maintenance cannot be applied in their entirety, because the material and human resources considered when the practice codes (instructions) were drafted are no more met.
The investigation commission found that the infrastructure administrator assessed the risk generated by the failure in the ensuring of the gauge prescribed for the lines and failure in the compliance with the tolerances for the gauge, but it was not properly managed. For the compliance with the tolerances, it was necessary the replacement, in turn, of all unsuitable normal wooden sleepers, in the track length situated between the switches no.23 and no.31, with wooden sleepers or concrete ones T13 (new or second hand). For this reason, on the 17th November 2008, the staff in charge with the maintenance of the line introduced the speed restriction of 5 km/h. The speed restriction of 5 km/h was established by the staff authorized for the traffic safety, having like support for analysis the professional experience of him. 
The investigation commission considers that the keeping of this speed restriction of 5 km/h, from the 17th November 2008 up to the accident occurrence, without taking the measures necessary for the rehabilitation of the track geometry and the removal of the speed restriction, is a danger for the railway safety, the danger not being identified and managed by the infrastructure administrator.
Therewith, the investigation commission found that one of the factors contributing to the accident occurrence was the irregular distribution of the loads on the wheels of the leading axle from the locomotive LE-MA 014. 
This irregular distribution was generated by the using in operation of the locomotive with the clearances between the axle boxes and the bogie frames at the axles no.1, no.3, no.4 and no.6 with \ values at the limits of the tolerances accepted or very close to them and which, under the action of the dynamic forces generated by the oscillations of the suspended equipment, by the action of the centrifugal forces, by the action of the inertia forces at the start and braking, by the vertical and cross nonconformities of the track and its discontinuities, had changes over the accepted tolerances. 
Considering these above mentioned, for the improvement of the railway safety and prevention of similar events, according to the provisions of art.26(2) of the Emergency Government Ordinance no.73/2019 for railway safety, the investigation commission considers timely to address Romanian Railway Safety Authority - ASFR the next safety recommendations:
</t>
    </r>
    <r>
      <rPr>
        <b/>
        <sz val="11"/>
        <color theme="1"/>
        <rFont val="Calibri"/>
        <family val="2"/>
        <scheme val="minor"/>
      </rPr>
      <t>Safety recommendation no.1</t>
    </r>
    <r>
      <rPr>
        <sz val="11"/>
        <color theme="1"/>
        <rFont val="Calibri"/>
        <family val="2"/>
        <scheme val="minor"/>
      </rPr>
      <t xml:space="preserve">
</t>
    </r>
    <r>
      <rPr>
        <i/>
        <sz val="11"/>
        <color theme="1"/>
        <rFont val="Calibri"/>
        <family val="2"/>
        <scheme val="minor"/>
      </rPr>
      <t>CNCF „CFR” SA – railway county București shall assess the danger generated by the keeping for a long time of the speed restrictions of 5 km/h and 10 km/h on the lines and switches of București Triaj railway station, on which the trains run, so it can be controlled.</t>
    </r>
  </si>
  <si>
    <t>RO-6176/2</t>
  </si>
  <si>
    <r>
      <t xml:space="preserve">Although the public railway infrastructure administrator had, according to the provisions of the Regulation (UE) no.1169/2010, „procedures that guarantee the safe management and operation of the infrastructure, considering the number, type and size of the railway undertaking that render services using the respective network, including all the necessary interactions that depend on the complexity of the operations”, these are not completely observed.
The provisions of some of the practice codes, regarding the maintenance cannot be applied in their entirety, because the material and human resources considered when the practice codes (instructions) were drafted are no more met.
The investigation commission found that the infrastructure administrator assessed the risk generated by the failure in the ensuring of the gauge prescribed for the lines and failure in the compliance with the tolerances for the gauge, but it was not properly managed. For the compliance with the tolerances, it was necessary the replacement, in turn, of all unsuitable normal wooden sleepers, in the track length situated between the switches no.23 and no.31, with wooden sleepers or concrete ones T13 (new or second hand). For this reason, on the 17th November 2008, the staff in charge with the maintenance of the line introduced the speed restriction of 5 km/h. The speed restriction of 5 km/h was established by the staff authorized for the traffic safety, having like support for analysis the professional experience of him. 
The investigation commission considers that the keeping of this speed restriction of 5 km/h, from the 17th November 2008 up to the accident occurrence, without taking the measures necessary for the rehabilitation of the track geometry and the removal of the speed restriction, is a danger for the railway safety, the danger not being identified and managed by the infrastructure administrator.
Therewith, the investigation commission found that one of the factors contributing to the accident occurrence was the irregular distribution of the loads on the wheels of the leading axle from the locomotive LE-MA 014. 
This irregular distribution was generated by the using in operation of the locomotive with the clearances between the axle boxes and the bogie frames at the axles no.1, no.3, no.4 and no.6 with \ values at the limits of the tolerances accepted or very close to them and which, under the action of the dynamic forces generated by the oscillations of the suspended equipment, by the action of the centrifugal forces, by the action of the inertia forces at the start and braking, by the vertical and cross nonconformities of the track and its discontinuities, had changes over the accepted tolerances. 
Considering these above mentioned, for the improvement of the railway safety and prevention of similar events, according to the provisions of art.26(2) of the Emergency Government Ordinance no.73/2019 for railway safety, the investigation commission considers timely to address Romanian Railway Safety Authority - ASFR the next safety recommendations:
</t>
    </r>
    <r>
      <rPr>
        <b/>
        <sz val="11"/>
        <color theme="1"/>
        <rFont val="Calibri"/>
        <family val="2"/>
        <scheme val="minor"/>
      </rPr>
      <t>Safety recommendation no.2</t>
    </r>
    <r>
      <rPr>
        <sz val="11"/>
        <color theme="1"/>
        <rFont val="Calibri"/>
        <family val="2"/>
        <scheme val="minor"/>
      </rPr>
      <t xml:space="preserve">
</t>
    </r>
    <r>
      <rPr>
        <i/>
        <sz val="11"/>
        <color theme="1"/>
        <rFont val="Calibri"/>
        <family val="2"/>
        <scheme val="minor"/>
      </rPr>
      <t>The railway freight undertaking SC DB Cargo Romania SRL, together with the economic operator SC Softronic SRL Craiova shall make an assessment of the risk associated to the danger represented by the using in operation of rolling stock with values of the mechanical clearances at the limit of the of the tolerances accepted and which shorter can be exceeded and, so, can lead to a irregular distribution of the loads on the locomotive axles.</t>
    </r>
  </si>
  <si>
    <t>RO-6193/1</t>
  </si>
  <si>
    <r>
      <t xml:space="preserve">The investigation commission established that the lack, since 1984, of overhauls type RK, as they are stipulated in „Instructions for overhauls at lines – no.303/2003” as well as of all maintenances stipulated in „Instruction 300-Maintenance of lines/2003”, led to a well-worn and fatigue of the rails at the accident site. It, cumulated with some failures existing in operation, failures recorded following the measurements with the track recording car (VMC), that led to additional stresses, in dynamic conditions, of the exterior rail of the curve, influenced its breakage when the rolling stock passed over, respectively the derailment of 13 wagons of the train.
In case of this accident, the investigation commission found that, the infrastructure administrator identified, but did not manage the risks generated by the lack of maintenance at the lines, in order to dispose consequently solutions and measures viable for keeping under control the dangers that lead to the derailment. 
Considering these presented in the chapters C.5.2. Safety management system, C.5.4.1. Data found about the lines, C.7.1. – Conclusions about the technical condition of the track superstructure and C.7.3.- Analysis of the accident occurrence, for the prevention of some similar accidents or incidents in the future, according to the provisions of art.26, paragraph (2) of the Emergency Government Decision no.73/2019 for the railway safety,  the investigation commission issues the next recommendations:
</t>
    </r>
    <r>
      <rPr>
        <b/>
        <sz val="11"/>
        <color theme="1"/>
        <rFont val="Calibri"/>
        <family val="2"/>
        <scheme val="minor"/>
      </rPr>
      <t>Safety recommendation no.1</t>
    </r>
    <r>
      <rPr>
        <sz val="11"/>
        <color theme="1"/>
        <rFont val="Calibri"/>
        <family val="2"/>
        <scheme val="minor"/>
      </rPr>
      <t xml:space="preserve">
</t>
    </r>
    <r>
      <rPr>
        <i/>
        <sz val="11"/>
        <color theme="1"/>
        <rFont val="Calibri"/>
        <family val="2"/>
        <scheme val="minor"/>
      </rPr>
      <t>Romanian Railway Safety Authority – ASFR shall take care that the public railway infrastructure administrator will assess the risk associated to the danger of failure to perform, in good time, the overhauls at infrastructure, imposed by the practice codes and will establish the measures for keeping it under control.</t>
    </r>
  </si>
  <si>
    <t>RO-6193/2</t>
  </si>
  <si>
    <r>
      <t xml:space="preserve">The investigation commission established that the lack, since 1984, of overhauls type RK, as they are stipulated in „Instructions for overhauls at lines – no.303/2003” as well as of all maintenances stipulated in „Instruction 300-Maintenance of lines/2003”, led to a well-worn and fatigue of the rails at the accident site. It, cumulated with some failures existing in operation, failures recorded following the measurements with the track recording car (VMC), that led to additional stresses, in dynamic conditions, of the exterior rail of the curve, influenced its breakage when the rolling stock passed over, respectively the derailment of 13 wagons of the train.
In case of this accident, the investigation commission found that, the infrastructure administrator identified, but did not manage the risks generated by the lack of maintenance at the lines, in order to dispose consequently solutions and measures viable for keeping under control the dangers that lead to the derailment. 
Considering these presented in the chapters C.5.2. Safety management system, C.5.4.1. Data found about the lines, C.7.1. – Conclusions about the technical condition of the track superstructure and C.7.3.- Analysis of the accident occurrence, for the prevention of some similar accidents or incidents in the future, according to the provisions of art.26, paragraph (2) of the Emergency Government Decision no.73/2019 for the railway safety,  the investigation commission issues the next recommendations:
</t>
    </r>
    <r>
      <rPr>
        <b/>
        <sz val="11"/>
        <color theme="1"/>
        <rFont val="Calibri"/>
        <family val="2"/>
        <scheme val="minor"/>
      </rPr>
      <t>Safety recommendation no.2</t>
    </r>
    <r>
      <rPr>
        <sz val="11"/>
        <color theme="1"/>
        <rFont val="Calibri"/>
        <family val="2"/>
        <scheme val="minor"/>
      </rPr>
      <t xml:space="preserve">
</t>
    </r>
    <r>
      <rPr>
        <i/>
        <sz val="11"/>
        <color theme="1"/>
        <rFont val="Calibri"/>
        <family val="2"/>
        <scheme val="minor"/>
      </rPr>
      <t>Romanian Railway Safety Authority – ASFR shall take care that the public railway infrastructure administrator will assess the risk associated to the danger of keeping within the curves the rails well-worn at the head of the rail and will set measures for keeping it under control.</t>
    </r>
  </si>
  <si>
    <t>RO-6193/3</t>
  </si>
  <si>
    <r>
      <t xml:space="preserve">The investigation commission established that the lack, since 1984, of overhauls type RK, as they are stipulated in „Instructions for overhauls at lines – no.303/2003” as well as of all maintenances stipulated in „Instruction 300-Maintenance of lines/2003”, led to a well-worn and fatigue of the rails at the accident site. It, cumulated with some failures existing in operation, failures recorded following the measurements with the track recording car (VMC), that led to additional stresses, in dynamic conditions, of the exterior rail of the curve, influenced its breakage when the rolling stock passed over, respectively the derailment of 13 wagons of the train.
In case of this accident, the investigation commission found that, the infrastructure administrator identified, but did not manage the risks generated by the lack of maintenance at the lines, in order to dispose consequently solutions and measures viable for keeping under control the dangers that lead to the derailment. 
Considering these presented in the chapters C.5.2. Safety management system, C.5.4.1. Data found about the lines, C.7.1. – Conclusions about the technical condition of the track superstructure and C.7.3.- Analysis of the accident occurrence, for the prevention of some similar accidents or incidents in the future, according to the provisions of art.26, paragraph (2) of the Emergency Government Decision no.73/2019 for the railway safety,  the investigation commission issues the next recommendations:
</t>
    </r>
    <r>
      <rPr>
        <b/>
        <sz val="11"/>
        <color theme="1"/>
        <rFont val="Calibri"/>
        <family val="2"/>
        <scheme val="minor"/>
      </rPr>
      <t>Safety recommendation no.3</t>
    </r>
    <r>
      <rPr>
        <sz val="11"/>
        <color theme="1"/>
        <rFont val="Calibri"/>
        <family val="2"/>
        <scheme val="minor"/>
      </rPr>
      <t xml:space="preserve">
</t>
    </r>
    <r>
      <rPr>
        <i/>
        <sz val="11"/>
        <color theme="1"/>
        <rFont val="Calibri"/>
        <family val="2"/>
        <scheme val="minor"/>
      </rPr>
      <t>Romanian Railway Safety Authority – ASFR shall take care that the public railway infrastructure administrator will assess again the risk associated to the danger to keep within the track the rails with surface failures and  will set up measures for keeping it under control.</t>
    </r>
  </si>
  <si>
    <t>RO-6193/4</t>
  </si>
  <si>
    <r>
      <t xml:space="preserve">The investigation commission established that the lack, since 1984, of overhauls type RK, as they are stipulated in „Instructions for overhauls at lines – no.303/2003” as well as of all maintenances stipulated in „Instruction 300-Maintenance of lines/2003”, led to a well-worn and fatigue of the rails at the accident site. It, cumulated with some failures existing in operation, failures recorded following the measurements with the track recording car (VMC), that led to additional stresses, in dynamic conditions, of the exterior rail of the curve, influenced its breakage when the rolling stock passed over, respectively the derailment of 13 wagons of the train.
In case of this accident, the investigation commission found that, the infrastructure administrator identified, but did not manage the risks generated by the lack of maintenance at the lines, in order to dispose consequently solutions and measures viable for keeping under control the dangers that lead to the derailment. 
Considering these presented in the chapters C.5.2. Safety management system, C.5.4.1. Data found about the lines, C.7.1. – Conclusions about the technical condition of the track superstructure and C.7.3.- Analysis of the accident occurrence, for the prevention of some similar accidents or incidents in the future, according to the provisions of art.26, paragraph (2) of the Emergency Government Decision no.73/2019 for the railway safety,  the investigation commission issues the next recommendations:
</t>
    </r>
    <r>
      <rPr>
        <b/>
        <sz val="11"/>
        <color theme="1"/>
        <rFont val="Calibri"/>
        <family val="2"/>
        <scheme val="minor"/>
      </rPr>
      <t>Safety recommendation no.4</t>
    </r>
    <r>
      <rPr>
        <sz val="11"/>
        <color theme="1"/>
        <rFont val="Calibri"/>
        <family val="2"/>
        <scheme val="minor"/>
      </rPr>
      <t xml:space="preserve">
</t>
    </r>
    <r>
      <rPr>
        <i/>
        <sz val="11"/>
        <color theme="1"/>
        <rFont val="Calibri"/>
        <family val="2"/>
        <scheme val="minor"/>
      </rPr>
      <t>Romanian Railway Safety Authority – ASFR shall take care that the public railway infrastructure administrator will assess the risk associated to the danger to keep within the track the failures found following the measurements with the track recoding car and will establish measures for keeping it under control.</t>
    </r>
  </si>
  <si>
    <t>RO-6194/1</t>
  </si>
  <si>
    <r>
      <t xml:space="preserve">In case of the accident investigated, one found that the derailment was generated by the improper condition of some parts of the railway infrastructure. 
When the accident happened, the maintenance of the railway infrastructure on the noninteroperable section Mintia - Păuliș Lunca Technical Sidings was ensured by the noninterperable railway infrastructure manager SC RC-CF Trans SRL Brașov. Before the completion of the investigation report, the noninteroperable track section Mintia - Păuliș Lunca Technical Sidings was given to the public infrastructure administrator SNCFR „CFR” SA, this track section not being written down in the annex of the Safety Authorization Part B no.AS20003, got by SC RC-CF Trans SRL Brașov from th 25th August 2020. In th annex of the Safety Authorization no.AS20003 there are written down many track sections situated in the railway counties București, Timișoara, Brașov and Iași, these sections are managed by SC RC-CF Trans SRL Brașov.
On the track sections managed by SC RC - CF Trans SRL Brașov, situated in the railway cunty Timișoara, in 2019, there were other two accidents, with causes and factors similar to this investigated in this report, as follows: 
- on the 21st April 2019, on the not electrified single-track line, between Vasiova and Reșița Nord railway stations, km 57+235, 2 wagons of the freight train no.69492-1 (got by the railway freight undertaking Tim Rail Cargo SRL) derailed;
- on the 1st June 2019, on the not electrified single-track line, between Vasiova and Reșița railway stations Nord, km.53+900, the multiple unit AMX 572-7, being in the composition of the passenger train no.16104 (got by the railway passenger undertaking Regio Călători SRL Brașov) derailed.
Considering the fact that, following the investigation, one found that this accident happened following the existence of some nonconformities at the technical condition of the railway superstructure, appeared following the non-full application of the provisions of some procedures of the safety management system got by the noninteroperable infrastructure manager  SC RC - CF Trans SRL Brașov, and taking into account that the continuous activity for supervision of the railway superstructure and infrastructure is one of the main task of the staff in charge with the track maintenance, and the safety levels that have to be got are expressed by criterion for the risk acceptance, defined like common safety objectives, </t>
    </r>
    <r>
      <rPr>
        <b/>
        <sz val="11"/>
        <color theme="1"/>
        <rFont val="Calibri"/>
        <family val="2"/>
        <scheme val="minor"/>
      </rPr>
      <t xml:space="preserve">the investigation commission considers necessary to issue the next safety recommendation: </t>
    </r>
    <r>
      <rPr>
        <sz val="11"/>
        <color theme="1"/>
        <rFont val="Calibri"/>
        <family val="2"/>
        <scheme val="minor"/>
      </rPr>
      <t xml:space="preserve">
</t>
    </r>
    <r>
      <rPr>
        <i/>
        <sz val="11"/>
        <color theme="1"/>
        <rFont val="Calibri"/>
        <family val="2"/>
        <scheme val="minor"/>
      </rPr>
      <t>Romanian Railway Safety Authority – ASFR shall take care that the manager of the noninteroperable railway infrastructure SC RC – CF Trans SRL Brașov has the resources and capability to meet with the requirements for the maintenance of the railway infrastructure, that were basis for the granting of the safety authorization.</t>
    </r>
  </si>
  <si>
    <t>RO-6210/1</t>
  </si>
  <si>
    <t>The accident occurrence is based on causes and factors generated both by the deficiencies existing in the system for the vehicle maintenance of  SNTFM, like entity in charge with the maintenance ECM, and by the deviations from the practice codes.
In the exercise of management of the rolling stock sheet maintenance function,  SNTFM was required to draft a procedure  that shall ensure the withdrawal from operation the locomotives for their submission to maintenance, but SNTFM did not do it. 
Lack of the procedure that shall ensure the withdrawal from operation the locomotives for being submitted to maintenance, was analyzed by AGIFER, within the Investigation Report for the railway incident happened on the 27th September 2019, in the railway county Cluj, between the railway stations Oradea and Oșorhei, consisting in the hit of some parts of the railway installations by a component detached from the locomotive DA 926, hauling the freight train no.83256C. 
In order to prevent accidents caused by the lack of a procedure that shall ensure the withdrawal from operation of the locomotives for being submitted to the maintenance, in the case before mentioned, whose investigation was completed during the investigation of the present case, one issued a safety recommendation, for this reason one does not more issue a safety recommendation for this investigation. So, the safety recommendation addressed to Romanian Railway Safety Authority – ASFR was to ask railway undertaking SNTFM the implementation of a procedure that shall ensure the withdrawal from operation of the locomotives in order to be submitted to maintenance, according to the requirement with code III.4 from the ANNEX III of the Regulation 445/2011.</t>
  </si>
  <si>
    <t>RO-6209/1</t>
  </si>
  <si>
    <r>
      <t xml:space="preserve">On the 25th February 2020, at 10:35 o’clock, in the railway county Craiova, in the railway station Balota, in the running of the freight train no.60274 (got by the railway undertaking LTE-Rail România SRL), hauled with the locomotive DA 909 EURORUNER, before the last joint of the switch no.11,on the exit route from the line no.5 to the running line Balota - Gîrnița (electrified single-track line), the first two wagons of the train were side collided by the set of locomotives EA 691 and EA 640 (got by the railway undertaking SC Grup Feroviar Roman SA), that started to move from the line no.4, without having the permissive order.
Following the investigation, the commission established:
- leaving of the driving cab of the locomotive EA 601 without taking the measures corresponding to keep stopped it was a factor that contributed to the accident occurrence. This factor is a danger, that was identified by the railway freight undertaking SC Grup Feroviar Român SA, but it was not properly managed. 
- release of the direct brake of the locomotive EA 691, following the interaction between the driver seat and the lever of the cock FD1 was a factor that contributed to the accident occurrence. This factor is a danger that was not identified  by the railway freight undertaking SC Grup Feroviar Român SA, during the risk analysis. 
</t>
    </r>
    <r>
      <rPr>
        <b/>
        <sz val="11"/>
        <color theme="1"/>
        <rFont val="Calibri"/>
        <family val="2"/>
        <scheme val="minor"/>
      </rPr>
      <t>Considering these above mentioned, for the prevention of some similar accidents or incidents in the future, according to the provisions of art.26, paragraph (2) of the Emergency Government Decision no.73/2019 for the railway safety, the investigation commission issues the next recommendations</t>
    </r>
    <r>
      <rPr>
        <sz val="11"/>
        <color theme="1"/>
        <rFont val="Calibri"/>
        <family val="2"/>
        <scheme val="minor"/>
      </rPr>
      <t xml:space="preserve">:
</t>
    </r>
    <r>
      <rPr>
        <i/>
        <sz val="11"/>
        <color theme="1"/>
        <rFont val="Calibri"/>
        <family val="2"/>
        <scheme val="minor"/>
      </rPr>
      <t>1) Romanian Railway Safety Authority – ASFR shall take care that the railway freight undertaking SC Grup Feroviar Român SA will assess again the risk associated to the danger represented by leaving the working place by the staff in charge with the traffic safety, without meeting with the specific regulations and shall establish effective measures for keeping it under control.</t>
    </r>
    <r>
      <rPr>
        <sz val="11"/>
        <color theme="1"/>
        <rFont val="Calibri"/>
        <family val="2"/>
        <scheme val="minor"/>
      </rPr>
      <t xml:space="preserve">
</t>
    </r>
  </si>
  <si>
    <t>RO-6209/2</t>
  </si>
  <si>
    <r>
      <t xml:space="preserve">On the 25th February 2020, at 10:35 o’clock, in the railway county Craiova, in the railway station Balota, in the running of the freight train no.60274 (got by the railway undertaking LTE-Rail România SRL), hauled with the locomotive DA 909 EURORUNER, before the last joint of the switch no.11,on the exit route from the line no.5 to the running line Balota - Gîrnița (electrified single-track line), the first two wagons of the train were side collided by the set of locomotives EA 691 and EA 640 (got by the railway undertaking SC Grup Feroviar Roman SA), that started to move from the line no.4, without having the permissive order.
Following the investigation, the commission established:
- leaving of the driving cab of the locomotive EA 601 without taking the measures corresponding to keep stopped it was a factor that contributed to the accident occurrence. This factor is a danger, that was identified by the railway freight undertaking SC Grup Feroviar Român SA, but it was not properly managed. 
- release of the direct brake of the locomotive EA 691, following the interaction between the driver seat and the lever of the cock FD1 was a factor that contributed to the accident occurrence. This factor is a danger that was not identified  by the railway freight undertaking SC Grup Feroviar Român SA, during the risk analysis. 
</t>
    </r>
    <r>
      <rPr>
        <b/>
        <sz val="11"/>
        <color theme="1"/>
        <rFont val="Calibri"/>
        <family val="2"/>
        <scheme val="minor"/>
      </rPr>
      <t>Considering these above mentioned, for the prevention of some similar accidents or incidents in the future, according to the provisions of art.26, paragraph (2) of the Emergency Government Decision no.73/2019 for the railway safety, the investigation commission issues the next recommendations</t>
    </r>
    <r>
      <rPr>
        <sz val="11"/>
        <color theme="1"/>
        <rFont val="Calibri"/>
        <family val="2"/>
        <scheme val="minor"/>
      </rPr>
      <t xml:space="preserve">:
</t>
    </r>
    <r>
      <rPr>
        <i/>
        <sz val="11"/>
        <color theme="1"/>
        <rFont val="Calibri"/>
        <family val="2"/>
        <scheme val="minor"/>
      </rPr>
      <t>2) Romanian Railway Safety Authority – ASFR shall take care that the railway freight undertaking SC Grup Feroviar Român SA will assess the risk associated to the danger represented by the release of the direct brake of the locomotive, following the interaction between the driver seat and the lever of the cock FD1,  and shall establish measures for keeping it under control.</t>
    </r>
  </si>
  <si>
    <t>RO-6225/1</t>
  </si>
  <si>
    <r>
      <t xml:space="preserve">In accordance with the provisions of art.26, paragraph (2) of the Emergency Government Decision no.73/2019 and of the Directive (EC) no.798/2016 for the railway safety, the safety recommendations are addressed to Romanian Railway Safety Authority - ASFR, that shall ask and track their implementation by the part identified in the recommendation.
The multiple unit diesel, series 1000, no.1017, was submitted to the last repair – type RG, on the 22nd November 2011, at SC RELOC Craiova SA, its system for command and diagnosis being also modernized, the work being assigned, upon the contract, to the repairing society SC TEHMIN - BRAŞOV SRL. 
The deadline for the same type repair was the 22nd December 2015, following the extension of the time for keeping in function, in the railway transport, got by the Technical Approval series AT no.1220/2014, issued by Romanian Railway Authority – AFER. So, when the accident happened, the multiple unit had exceeded the deadline for withdrawal from the railway transport activity, for being submitted to repair type RG, with 4 (four) years and 3 (three) months.  The investigation commission appreciates that the responsibility for keeping in operation, over the limits stipulated by the norms in force (of time/km) and the extensions given by the authorities competent, is in charge of the vehicle owner. 
Considering these above mentioned, in accordance with the provisions of art.26, paragraph (2) from the Emergency Government Decision no.73/2019 for the railway safety, </t>
    </r>
    <r>
      <rPr>
        <b/>
        <sz val="11"/>
        <color theme="1"/>
        <rFont val="Calibri"/>
        <family val="2"/>
        <scheme val="minor"/>
      </rPr>
      <t xml:space="preserve">the investigation commission recommends Romanian Railway Safety Authority: </t>
    </r>
    <r>
      <rPr>
        <sz val="11"/>
        <color theme="1"/>
        <rFont val="Calibri"/>
        <family val="2"/>
        <scheme val="minor"/>
      </rPr>
      <t xml:space="preserve">
</t>
    </r>
    <r>
      <rPr>
        <i/>
        <sz val="11"/>
        <color theme="1"/>
        <rFont val="Calibri"/>
        <family val="2"/>
        <scheme val="minor"/>
      </rPr>
      <t>1) shall ask the railway passenger undertaking SNTFC „CFR Călători” SA the revision of the procedure regarding „Planning of the inspections and repairs at the locomotives, multiple units and electric train sets got by SNTFC „CFR Călători” SA, that is the add-in duties and responsibilities regarding the withdrawal from traffic of the multiple units, when they reach the norms of time/km for the performance of planned repairs, in accordance with the regulations in force.</t>
    </r>
  </si>
  <si>
    <t>RO-6225/2</t>
  </si>
  <si>
    <r>
      <t xml:space="preserve">In accordance with the provisions of art.26, paragraph (2) of the Emergency Government Decision no.73/2019 and of the Directive (EC) no.798/2016 for the railway safety, the safety recommendations are addressed to Romanian Railway Safety Authority - ASFR, that shall ask and track their implementation by the part identified in the recommendation.
The multiple unit diesel, series 1000, no.1017, was submitted to the last repair – type RG, on the 22nd November 2011, at SC RELOC Craiova SA, its system for command and diagnosis being also modernized, the work being assigned, upon the contract, to the repairing society SC TEHMIN - BRAŞOV SRL. 
The deadline for the same type repair was the 22nd December 2015, following the extension of the time for keeping in function, in the railway transport, got by the Technical Approval series AT no.1220/2014, issued by Romanian Railway Authority – AFER. So, when the accident happened, the multiple unit had exceeded the deadline for withdrawal from the railway transport activity, for being submitted to repair type RG, with 4 (four) years and 3 (three) months.  The investigation commission appreciates that the responsibility for keeping in operation, over the limits stipulated by the norms in force (of time/km) and the extensions given by the authorities competent, is in charge of the vehicle owner. 
Considering these above mentioned, in accordance with the provisions of art.26, paragraph (2) from the Emergency Government Decision no.73/2019 for the railway safety, </t>
    </r>
    <r>
      <rPr>
        <b/>
        <sz val="11"/>
        <color theme="1"/>
        <rFont val="Calibri"/>
        <family val="2"/>
        <scheme val="minor"/>
      </rPr>
      <t xml:space="preserve">the investigation commission recommends Romanian Railway Safety Authority: </t>
    </r>
    <r>
      <rPr>
        <sz val="11"/>
        <color theme="1"/>
        <rFont val="Calibri"/>
        <family val="2"/>
        <scheme val="minor"/>
      </rPr>
      <t xml:space="preserve">
</t>
    </r>
    <r>
      <rPr>
        <i/>
        <sz val="11"/>
        <color theme="1"/>
        <rFont val="Calibri"/>
        <family val="2"/>
        <scheme val="minor"/>
      </rPr>
      <t xml:space="preserve">2) shall ask the railway passenger undertaking SNTFC „CFR Călători” SA to make again the identification and assessment of the risks associated to the railway operations, for the risk of keeping in service of the engine rolling stock (locomotives, multiple units, electric train sets) with the norm of time/km for the performance of planned repairs exceeded, considering that, regarding this accident, these risks were very serious. </t>
    </r>
  </si>
  <si>
    <t>RO-6235/1</t>
  </si>
  <si>
    <r>
      <t xml:space="preserve">According to the provisions of art.26, paragraph (2) of the Emergency Government Decision no.73/2019 for the railway safety and of the Directive (EC) no.798/2016, the safety recommendations are addressed to Romanian Railway Safety Authority -ASFR.
</t>
    </r>
    <r>
      <rPr>
        <b/>
        <sz val="11"/>
        <color theme="1"/>
        <rFont val="Calibri"/>
        <family val="2"/>
        <scheme val="minor"/>
      </rPr>
      <t>Safety recommendations associated to the accident occurrence</t>
    </r>
    <r>
      <rPr>
        <sz val="11"/>
        <color theme="1"/>
        <rFont val="Calibri"/>
        <family val="2"/>
        <scheme val="minor"/>
      </rPr>
      <t xml:space="preserve">
There were no safety recommendations associated to the causes and factors contributing to the accident occurrence</t>
    </r>
    <r>
      <rPr>
        <i/>
        <sz val="11"/>
        <color theme="1"/>
        <rFont val="Calibri"/>
        <family val="2"/>
        <scheme val="minor"/>
      </rPr>
      <t>.</t>
    </r>
    <r>
      <rPr>
        <sz val="11"/>
        <color theme="1"/>
        <rFont val="Calibri"/>
        <family val="2"/>
        <scheme val="minor"/>
      </rPr>
      <t xml:space="preserve">
</t>
    </r>
    <r>
      <rPr>
        <b/>
        <sz val="11"/>
        <color theme="1"/>
        <rFont val="Calibri"/>
        <family val="2"/>
        <scheme val="minor"/>
      </rPr>
      <t>Safety recommendations associated to the additional remarks</t>
    </r>
    <r>
      <rPr>
        <sz val="11"/>
        <color theme="1"/>
        <rFont val="Calibri"/>
        <family val="2"/>
        <scheme val="minor"/>
      </rPr>
      <t xml:space="preserve">
CNCF „CFR” SA did not draft a plan of actions, agreed with the corresponding public authorities, for the case of fire in a railway vehicle from the composition of a train in running on an electrified line</t>
    </r>
    <r>
      <rPr>
        <i/>
        <sz val="11"/>
        <color theme="1"/>
        <rFont val="Calibri"/>
        <family val="2"/>
        <scheme val="minor"/>
      </rPr>
      <t>.</t>
    </r>
    <r>
      <rPr>
        <sz val="11"/>
        <color theme="1"/>
        <rFont val="Calibri"/>
        <family val="2"/>
        <scheme val="minor"/>
      </rPr>
      <t xml:space="preserve">
</t>
    </r>
    <r>
      <rPr>
        <b/>
        <u/>
        <sz val="11"/>
        <color theme="1"/>
        <rFont val="Calibri"/>
        <family val="2"/>
        <scheme val="minor"/>
      </rPr>
      <t xml:space="preserve">Recommendation no.1
</t>
    </r>
    <r>
      <rPr>
        <i/>
        <sz val="11"/>
        <color theme="1"/>
        <rFont val="Calibri"/>
        <family val="2"/>
        <scheme val="minor"/>
      </rPr>
      <t>ASFR shall ask CNCF „CFR” SA to draft a plan of actions with the corresponding public authorities, for the case of fires in the railway vehicles from the composition of a train in running, on an electrified line, plan that meets with all the requirements stipulated at the criterion R of the Annex II of EU Regulation no.1169/2010.
If there were warning systems inside the car, that provide operatively information about the fire occurrence, the intervention could be faster triggered.</t>
    </r>
  </si>
  <si>
    <t>RO-6235/2</t>
  </si>
  <si>
    <r>
      <t xml:space="preserve">According to the provisions of art.26, paragraph (2) of the Emergency Government Decision no.73/2019 for the railway safety and of the Directive (EC) no.798/2016, the safety recommendations are addressed to Romanian Railway Safety Authority -ASFR.
</t>
    </r>
    <r>
      <rPr>
        <b/>
        <sz val="11"/>
        <color theme="1"/>
        <rFont val="Calibri"/>
        <family val="2"/>
        <scheme val="minor"/>
      </rPr>
      <t>Safety recommendations associated to the accident occurrence</t>
    </r>
    <r>
      <rPr>
        <sz val="11"/>
        <color theme="1"/>
        <rFont val="Calibri"/>
        <family val="2"/>
        <scheme val="minor"/>
      </rPr>
      <t xml:space="preserve">
There were no safety recommendations associated to the causes and factors contributing to the accident occurrence</t>
    </r>
    <r>
      <rPr>
        <i/>
        <sz val="11"/>
        <color theme="1"/>
        <rFont val="Calibri"/>
        <family val="2"/>
        <scheme val="minor"/>
      </rPr>
      <t>.</t>
    </r>
    <r>
      <rPr>
        <sz val="11"/>
        <color theme="1"/>
        <rFont val="Calibri"/>
        <family val="2"/>
        <scheme val="minor"/>
      </rPr>
      <t xml:space="preserve">
</t>
    </r>
    <r>
      <rPr>
        <b/>
        <sz val="11"/>
        <color theme="1"/>
        <rFont val="Calibri"/>
        <family val="2"/>
        <scheme val="minor"/>
      </rPr>
      <t>Safety recommendations associated to the additional remarks</t>
    </r>
    <r>
      <rPr>
        <sz val="11"/>
        <color theme="1"/>
        <rFont val="Calibri"/>
        <family val="2"/>
        <scheme val="minor"/>
      </rPr>
      <t xml:space="preserve">
CNCF „CFR” SA did not draft a plan of actions, agreed with the corresponding public authorities, for the case of fire in a railway vehicle from the composition of a train in running on an electrified line</t>
    </r>
    <r>
      <rPr>
        <i/>
        <sz val="11"/>
        <color theme="1"/>
        <rFont val="Calibri"/>
        <family val="2"/>
        <scheme val="minor"/>
      </rPr>
      <t>.</t>
    </r>
    <r>
      <rPr>
        <sz val="11"/>
        <color theme="1"/>
        <rFont val="Calibri"/>
        <family val="2"/>
        <scheme val="minor"/>
      </rPr>
      <t xml:space="preserve">
</t>
    </r>
    <r>
      <rPr>
        <b/>
        <u/>
        <sz val="11"/>
        <color theme="1"/>
        <rFont val="Calibri"/>
        <family val="2"/>
        <scheme val="minor"/>
      </rPr>
      <t xml:space="preserve">Recommendation no.2
</t>
    </r>
    <r>
      <rPr>
        <i/>
        <sz val="11"/>
        <color theme="1"/>
        <rFont val="Calibri"/>
        <family val="2"/>
        <scheme val="minor"/>
      </rPr>
      <t>ASFR shall ask SNTFC „CFR Călători” SA to make an analysis about the opportunity to incorporate the equipment CCTV of the car and, where appropriate, of other warning systems, into a monitoring system that shall provide operative information in case of some railway failures/incidents/accidents.
Order of operations that the locomotive and train crew, got by SNTFC „CFR Călători” SA has to perform in case of a fire in a passenger train in running, stipulates the insulation of the car where the fire burst, before removing the travellers from the car affected.</t>
    </r>
  </si>
  <si>
    <t>RO-6235/3</t>
  </si>
  <si>
    <r>
      <t xml:space="preserve">According to the provisions of art.26, paragraph (2) of the Emergency Government Decision no.73/2019 for the railway safety and of the Directive (EC) no.798/2016, the safety recommendations are addressed to Romanian Railway Safety Authority -ASFR.
</t>
    </r>
    <r>
      <rPr>
        <b/>
        <sz val="11"/>
        <color theme="1"/>
        <rFont val="Calibri"/>
        <family val="2"/>
        <scheme val="minor"/>
      </rPr>
      <t>Safety recommendations associated to the accident occurrence</t>
    </r>
    <r>
      <rPr>
        <sz val="11"/>
        <color theme="1"/>
        <rFont val="Calibri"/>
        <family val="2"/>
        <scheme val="minor"/>
      </rPr>
      <t xml:space="preserve">
There were no safety recommendations associated to the causes and factors contributing to the accident occurrence</t>
    </r>
    <r>
      <rPr>
        <i/>
        <sz val="11"/>
        <color theme="1"/>
        <rFont val="Calibri"/>
        <family val="2"/>
        <scheme val="minor"/>
      </rPr>
      <t>.</t>
    </r>
    <r>
      <rPr>
        <sz val="11"/>
        <color theme="1"/>
        <rFont val="Calibri"/>
        <family val="2"/>
        <scheme val="minor"/>
      </rPr>
      <t xml:space="preserve">
</t>
    </r>
    <r>
      <rPr>
        <b/>
        <sz val="11"/>
        <color theme="1"/>
        <rFont val="Calibri"/>
        <family val="2"/>
        <scheme val="minor"/>
      </rPr>
      <t>Safety recommendations associated to the additional remarks</t>
    </r>
    <r>
      <rPr>
        <sz val="11"/>
        <color theme="1"/>
        <rFont val="Calibri"/>
        <family val="2"/>
        <scheme val="minor"/>
      </rPr>
      <t xml:space="preserve">
CNCF „CFR” SA did not draft a plan of actions, agreed with the corresponding public authorities, for the case of fire in a railway vehicle from the composition of a train in running on an electrified line</t>
    </r>
    <r>
      <rPr>
        <i/>
        <sz val="11"/>
        <color theme="1"/>
        <rFont val="Calibri"/>
        <family val="2"/>
        <scheme val="minor"/>
      </rPr>
      <t>.</t>
    </r>
    <r>
      <rPr>
        <sz val="11"/>
        <color theme="1"/>
        <rFont val="Calibri"/>
        <family val="2"/>
        <scheme val="minor"/>
      </rPr>
      <t xml:space="preserve">
</t>
    </r>
    <r>
      <rPr>
        <b/>
        <u/>
        <sz val="11"/>
        <color theme="1"/>
        <rFont val="Calibri"/>
        <family val="2"/>
        <scheme val="minor"/>
      </rPr>
      <t xml:space="preserve">Recommendation no.3
</t>
    </r>
    <r>
      <rPr>
        <i/>
        <sz val="11"/>
        <color theme="1"/>
        <rFont val="Calibri"/>
        <family val="2"/>
        <scheme val="minor"/>
      </rPr>
      <t>ASFR shall ask SNTFC „CFR Călători” SA the revision of the action in case of fire into a passenger train in running, so the actions for removing the travellers in safety be a priority.</t>
    </r>
  </si>
  <si>
    <t>RO-6278/1</t>
  </si>
  <si>
    <r>
      <t>Until the occurrence of this accident, on the non-interoperable running lines managed by GI, there were many accidents, with similar causes.
 Appearance of the failures at the track geometry, that exceed the tolerances accepted and  keeping them for long times led to the increase of the risk of derailment.
On 27th November 2008, at the accident site there was introduced a speed restriction of 15 km/h, following the sleepers improper.
The commission found that there were not identified the own risks generated by keeping for a long time  the speed restrictions, established following the existence of some failures at the track geometry. 
The unsuitable maintenance of the lines, that was not made in accordance with the provisions of the practice codes, did not make possible keeping of the track geometry between the tolerances accepted.
The investigation commission found that, the derailment happened following the improper condition of the track superstructure, considering the existence of a group of normal wooden sleepers improper, that led to the exceeding of the maximum accepted value of the gauge in operation.
The investigation commission also concluded also that, the existence of some nonconformities, regarding the checking of the operations of weighing and interpretation of the results got, led to the running of the wagons of the train no.89158, with the maximum accepted load on the axles exceeded, it growing the horizontal component of the guiding force.           
Considering the findings and conclusions of the investigation commission, above mentioned, in order to prevent some accidents in similar conditions to those presented in this report, AGIFER issues t</t>
    </r>
    <r>
      <rPr>
        <b/>
        <sz val="11"/>
        <color theme="1"/>
        <rFont val="Calibri"/>
        <family val="2"/>
        <scheme val="minor"/>
      </rPr>
      <t>he next safety recommendations</t>
    </r>
    <r>
      <rPr>
        <sz val="11"/>
        <color theme="1"/>
        <rFont val="Calibri"/>
        <family val="2"/>
        <scheme val="minor"/>
      </rPr>
      <t xml:space="preserve">:        
</t>
    </r>
    <r>
      <rPr>
        <b/>
        <i/>
        <u/>
        <sz val="11"/>
        <color theme="1"/>
        <rFont val="Calibri"/>
        <family val="2"/>
        <scheme val="minor"/>
      </rPr>
      <t>Safety recommendations no.1</t>
    </r>
    <r>
      <rPr>
        <sz val="11"/>
        <color theme="1"/>
        <rFont val="Calibri"/>
        <family val="2"/>
        <scheme val="minor"/>
      </rPr>
      <t xml:space="preserve">
</t>
    </r>
    <r>
      <rPr>
        <i/>
        <sz val="11"/>
        <color theme="1"/>
        <rFont val="Calibri"/>
        <family val="2"/>
        <scheme val="minor"/>
      </rPr>
      <t>ASFR (Romanian Safety Authority) shall take care that SC GFR SA will identify the own risks generated by the keeping for a long time the speed restrictions established following the existence of some failures at the track geometry.</t>
    </r>
  </si>
  <si>
    <t>RO-6278/2</t>
  </si>
  <si>
    <r>
      <t>Until the occurrence of this accident, on the non-interoperable running lines managed by GI, there were many accidents, with similar causes.
 Appearance of the failures at the track geometry, that exceed the tolerances accepted and  keeping them for long times led to the increase of the risk of derailment.
On 27th November 2008, at the accident site there was introduced a speed restriction of 15 km/h, following the sleepers improper.
The commission found that there were not identified the own risks generated by keeping for a long time  the speed restrictions, established following the existence of some failures at the track geometry. 
The unsuitable maintenance of the lines, that was not made in accordance with the provisions of the practice codes, did not make possible keeping of the track geometry between the tolerances accepted.
The investigation commission found that, the derailment happened following the improper condition of the track superstructure, considering the existence of a group of normal wooden sleepers improper, that led to the exceeding of the maximum accepted value of the gauge in operation.
The investigation commission also concluded also that, the existence of some nonconformities, regarding the checking of the operations of weighing and interpretation of the results got, led to the running of the wagons of the train no.89158, with the maximum accepted load on the axles exceeded, it growing the horizontal component of the guiding force.           
Considering the findings and conclusions of the investigation commission, above mentioned, in order to prevent some accidents in similar conditions to those presented in this report, AGIFER issues t</t>
    </r>
    <r>
      <rPr>
        <b/>
        <sz val="11"/>
        <color theme="1"/>
        <rFont val="Calibri"/>
        <family val="2"/>
        <scheme val="minor"/>
      </rPr>
      <t>he next safety recommendations</t>
    </r>
    <r>
      <rPr>
        <sz val="11"/>
        <color theme="1"/>
        <rFont val="Calibri"/>
        <family val="2"/>
        <scheme val="minor"/>
      </rPr>
      <t xml:space="preserve">:        
</t>
    </r>
    <r>
      <rPr>
        <b/>
        <i/>
        <u/>
        <sz val="11"/>
        <color theme="1"/>
        <rFont val="Calibri"/>
        <family val="2"/>
        <scheme val="minor"/>
      </rPr>
      <t>Safety recommendations no.2</t>
    </r>
    <r>
      <rPr>
        <sz val="11"/>
        <color theme="1"/>
        <rFont val="Calibri"/>
        <family val="2"/>
        <scheme val="minor"/>
      </rPr>
      <t xml:space="preserve">
</t>
    </r>
    <r>
      <rPr>
        <i/>
        <sz val="11"/>
        <color theme="1"/>
        <rFont val="Calibri"/>
        <family val="2"/>
        <scheme val="minor"/>
      </rPr>
      <t>ASFR (Romanian Safety Authority) shall take care that SC GFR SA will reassess the risk associated to the danger of keeping within the track the sleepers improper.</t>
    </r>
  </si>
  <si>
    <t>RO-6278/3</t>
  </si>
  <si>
    <r>
      <t>Until the occurrence of this accident, on the non-interoperable running lines managed by GI, there were many accidents, with similar causes.
 Appearance of the failures at the track geometry, that exceed the tolerances accepted and  keeping them for long times led to the increase of the risk of derailment.
On 27th November 2008, at the accident site there was introduced a speed restriction of 15 km/h, following the sleepers improper.
The commission found that there were not identified the own risks generated by keeping for a long time  the speed restrictions, established following the existence of some failures at the track geometry. 
The unsuitable maintenance of the lines, that was not made in accordance with the provisions of the practice codes, did not make possible keeping of the track geometry between the tolerances accepted.
The investigation commission found that, the derailment happened following the improper condition of the track superstructure, considering the existence of a group of normal wooden sleepers improper, that led to the exceeding of the maximum accepted value of the gauge in operation.
The investigation commission also concluded also that, the existence of some nonconformities, regarding the checking of the operations of weighing and interpretation of the results got, led to the running of the wagons of the train no.89158, with the maximum accepted load on the axles exceeded, it growing the horizontal component of the guiding force.           
Considering the findings and conclusions of the investigation commission, above mentioned, in order to prevent some accidents in similar conditions to those presented in this report, AGIFER issues t</t>
    </r>
    <r>
      <rPr>
        <b/>
        <sz val="11"/>
        <color theme="1"/>
        <rFont val="Calibri"/>
        <family val="2"/>
        <scheme val="minor"/>
      </rPr>
      <t>he next safety recommendations</t>
    </r>
    <r>
      <rPr>
        <sz val="11"/>
        <color theme="1"/>
        <rFont val="Calibri"/>
        <family val="2"/>
        <scheme val="minor"/>
      </rPr>
      <t xml:space="preserve">:        
</t>
    </r>
    <r>
      <rPr>
        <b/>
        <i/>
        <u/>
        <sz val="11"/>
        <color theme="1"/>
        <rFont val="Calibri"/>
        <family val="2"/>
        <scheme val="minor"/>
      </rPr>
      <t>Safety recommendations no.3</t>
    </r>
    <r>
      <rPr>
        <sz val="11"/>
        <color theme="1"/>
        <rFont val="Calibri"/>
        <family val="2"/>
        <scheme val="minor"/>
      </rPr>
      <t xml:space="preserve">
</t>
    </r>
    <r>
      <rPr>
        <i/>
        <sz val="11"/>
        <color theme="1"/>
        <rFont val="Calibri"/>
        <family val="2"/>
        <scheme val="minor"/>
      </rPr>
      <t>ASFR (Romanian Safety Authority) shall take care that SC GFR SA, like railway undertaking, will identify the own risks generated by the danger of coupling into the trains wagons with the maximum load on axle exceeded.</t>
    </r>
  </si>
  <si>
    <t>RO-6170/1</t>
  </si>
  <si>
    <t>On the 24th January 2020, at 19:05 o’clock, in the railway county București, in the railway station București Triaj, Post 17, in the running of the freight train no.30744 (owned by the railway undertaking DB Cargo România SRL), that have executed a facing point movement, on the switch no.31, set on diverging path, the first axle in the train running direction (no.6) of the locomotive LE-MA 014, derailed.
During the investigation, one found that the failures existing at the gauge, the cross level and the track direction, at the accident site, contributed at the accident occurrence, and they were generated by the fact that the maintenance of the track superstructure was not made in accordance with the provisions of the practice codes. 
Considering that the improper maintenance of the track was generated by the low number of staff of Line District București Triaj, by the lack of proper technical endowments and the insufficient materials necessary for the performance of the track maintenance and repair, in order to prevent some accidents similar to those presented in this report, according to the provisions of art.26, paragraph (2) of the Government Emergency Ordinance no.73/2019 for railway safety, the investigation commission considers timely to address the next safety recommendation:
Romanian Railway Safety Authority – ASFR shall take care that the public railway infrastructure administrator CNCF „CFR” SA shall reassess the risks associated to the hazards consisting in:
-   failure in the assignment of a number of workers according to the subunits sizing,
-   failure in the proper provision with the materials necessary for the performance of the track maintenance and repair, so, they be kept under control.</t>
  </si>
  <si>
    <t>RO-6141/1</t>
  </si>
  <si>
    <t>A1</t>
  </si>
  <si>
    <t>Romanian Railway Safety Authority – ASFR shall take care that the public railway infrastructure administrator CNCF „CFR” SA shall:
1.    regulate the performance of an analysis of a change in accordance with the Regulation UE no.402/2013 regarding the common safety method for risk evaluation and assessment;</t>
  </si>
  <si>
    <t>RO-6141/2</t>
  </si>
  <si>
    <t>A2</t>
  </si>
  <si>
    <t>Romanian Railway Safety Authority – ASFR shall take care that the public railway infrastructure administrator CNCF „CFR” SA shall:
2.     include in its own monitoring strategy also the monitoring of the changes about the works made at the railway infrastructure that have an impact on the traffic and shunting for the identification and management in safety conditions of all dangers and risks associated in the own activity.</t>
  </si>
  <si>
    <t>RO-6141/3</t>
  </si>
  <si>
    <t>A3</t>
  </si>
  <si>
    <t>Romanian Railway Safety Authority – ASFR shall take care that the public railway infrastructure administrator CNCF „CFR” SA shall:
3.    organize with the railway undertakings interested the identification of interface hazards and risks, following the changes about the works made at the railway infrastructure that impact the traffic and shunting for their safety management</t>
  </si>
  <si>
    <t>RO-6141/4</t>
  </si>
  <si>
    <t>A4</t>
  </si>
  <si>
    <t>Romanian Railway Safety Authority – ASFR shall take care that the public railway infrastructure administrator CNCF „CFR” SA shall:
4.    analyze the opportunity to make a pilot project using the radio records in the railway station, supporting the improvement of railway safety, extending it in accordance with the results and identification of the financing sources.</t>
  </si>
  <si>
    <t>RO-6141/5</t>
  </si>
  <si>
    <t>B1</t>
  </si>
  <si>
    <t>B.        Romanian Railway Safety Authority – ASFR shall take care that the railway freight undertaking DBCR shall:
1.         organize the training of its own staff so the regulations sent by the infrastructure administrator be notified to the interested staff;</t>
  </si>
  <si>
    <t>RO-6141/6</t>
  </si>
  <si>
    <t>B2</t>
  </si>
  <si>
    <t>B.        Romanian Railway Safety Authority – ASFR shall take care that the railway freight undertaking DBCR shall:
2.         include in its own monitoring strategy also the monitoring of the changes about the works at the railway infrastructure that impact the traffic and shunting for the identification and management in safety conditions of all hazards and risks associated in its own and interface activity</t>
  </si>
  <si>
    <t>RO-6141/7</t>
  </si>
  <si>
    <t>B3</t>
  </si>
  <si>
    <t>B.        Romanian Railway Safety Authority – ASFR shall take care that the railway freight undertaking DBCR shall:
3.         draft again the documents of training/authorization/certification of the drivers, in order to be sure that they receive all the information relevant for the job exercise and that the evaluation exam for the certification shall be done so ensure the understanding of all requirements necessary for the train driving on the railway infrastructure for which the certification is got.</t>
  </si>
  <si>
    <t>RO-6141/8</t>
  </si>
  <si>
    <t>C1</t>
  </si>
  <si>
    <t>C. Romanian Railway Safety Authority – ASFR shall:
1.   ask all infrastructure administrators and managers the identification of all signals for traffic and shunting that are not of the type presented in the signalling regulation and dispose measures accordingly.</t>
  </si>
  <si>
    <t>RO-6141/9</t>
  </si>
  <si>
    <t>C2</t>
  </si>
  <si>
    <t>C. Romanian Railway Safety Authority – ASFR shall:
2.   analyse the opportunity of changing the Signalling Regulations no.004 so be excluded the use of the light red position at a shunting light signal or be stipulated unequivocally its use.</t>
  </si>
  <si>
    <t>RO-6143/1</t>
  </si>
  <si>
    <t xml:space="preserve">Safety recommendation no.1
CNCF „CFR” SA shall revise the identification of the own risks generated by the existence of some failures at the track geometry that impose the keeping for long time the speed restrictions due to the improper wooden sleepers. </t>
  </si>
  <si>
    <t>RO-6143/2</t>
  </si>
  <si>
    <t xml:space="preserve">Safety recommendation no.2
Railway undertaking SNTFM „CFR Marfă” SA shall assess the risk generated by the appearance of some failures at the polyamide centre wear plates put between the lower and upper centre castings of the wagon bogies, failures appeared between the planned repairs and shall set up measures necessary for keeping under control this risk. </t>
  </si>
  <si>
    <t>RO-6221/1</t>
  </si>
  <si>
    <t>Considering the root causes of the incident and taking into account that on the 13th April 2010 a similar incident happened, consisting in a wrong setting of the route to Aradul Nou instead Glogovăţ, the investigation commission recommends Romanian Railway Safety Authority take care that:
1.   the public railway infrastructure administrator CNCF „CFR” SA shall take measures to run a risk analysis for the dangers represented by:
•         the movements inspector did not comply with all the obligations regarding the dispatching of a train;
•         lack of analysis of the movements inspector activity upon the reports supplied by the electronic signal box;
and the analysis of the need to include these nonconformities in the category of the unacceptable nonconformities.</t>
  </si>
  <si>
    <t>RO-6221/2</t>
  </si>
  <si>
    <t>Considering the root causes of the incident and taking into account that on the 13th April 2010 a similar incident happened, consisting in a wrong setting of the route to Aradul Nou instead Glogovăţ, the investigation commission recommends Romanian Railway Safety Authority take care that:
2.         the railway passenger undertaking SNTFC „CFR Călători” SA shall take measures for the performance of a risk analysis for the danger represented by:the drivers did not comply with all the obligations for train dispatching;
and the analysis of the need to include these nonconformities in the category of unacceptable nonconformities.</t>
  </si>
  <si>
    <t>RO-6142/1</t>
  </si>
  <si>
    <t>1.   Romanian Railway Safety Authority – ASFR shall assess the way the public railway infrastructure administrator CNCF „CFR” SA identified and applied the measures that had to be taken for the implementation of the safety recommendations issued within the investigation reports completed for the accidents happened on the track section Turceni - Drăgotești, in the last five years, with similar causes and factors;</t>
  </si>
  <si>
    <t>RO-6142/2</t>
  </si>
  <si>
    <t xml:space="preserve">2.  Romanian Railway Safety Authority – ASFR shall ask the railway public infrastructure administrator CNCF „CFR” SA the re-evaluation of „Register of risks – summary” of SRCF Craiova, so the hazards in the operation shall be kept under control disposing viable solutions and measures;
</t>
  </si>
  <si>
    <t>RO-6142/3</t>
  </si>
  <si>
    <t>3.  Romanian Railway Safety Authority – ASFR shall analyze, together the public railway infrastructure administrator CNCF „CFR” SA, its activity regarding the management of the hazard generated by the keeping in operation of improper wooden sleepers that have to be replaced immediately, when it shall set clear measures for the improvement of the railway safety.</t>
  </si>
  <si>
    <t>RO-6142/4</t>
  </si>
  <si>
    <t>4.   Romanian Railway Safety Authority – ASFR shall take care that the railway undertaking revises the measures established for the inspection of the way of loading the wagons at their reception in Drăgotești railway station, in order to keep under control, the risk of exceeding the limit of loading and implicitly of the accepted axle load.</t>
  </si>
  <si>
    <t>RO-6297/1</t>
  </si>
  <si>
    <t xml:space="preserve">Considering the causal, contributing and systemic factors identified during the investigation, for the prevention of similar accidents or incidents in the future, in accordance with the provisions of art.26, paragraph (2) of the Emergency Government Ordinance no.73/2019 for the railway safety, the investigation commission issues the next recommendations:
Preamble recommendation no.1
Detachment of the half-casing of the support bearing from the axle no.5 of the locomotive DA 010 that led to the entry of it between the wheel of the axle and the rail and the derailment was generated by the breakage of the toothed crown of axle no.5 from the locomotive DA 010, provided that the structure of the material it was made off was improper.
Safety recommendation no.1
Romanian Railway Safety Authority – ASFR shall ask the railway undertakings to identify the diesel electric locomotives provided with toothed crown made off material belonging to the burden 82592 and be sure that those dispose measures for keeping under control the risk associated to the danger represented by the breakage of the toothed crown in operation.  
</t>
  </si>
  <si>
    <t xml:space="preserve">Considering the causal, contributing and systemic factors identified during the investigation, for the prevention of similar accidents or incidents in the future, in accordance with the provisions of art.26, paragraph (2) of the Emergency Government Ordinance no.73/2019 for the railway safety, the investigation commission issues the next recommendations:
Preamble recommendation no.2
During the investigation there were found many deficiencies in the organisation of the activity of the departments for Maintenance and Operations, regarding the coordination, communication, flow of documents and re-putting in operation of the locomotives, after the intervention of the mobile teams.
Safety recommendation no.2
Romanian Railway Safety Authority – ASFR shall be sure that SC Deutsche Bahn Cargo România SRL shall re-assess the management of the maintenance and putting in operation of the locomotives and shall dispose viable measures for keeping under control the risks specific to those activities.
</t>
  </si>
  <si>
    <t xml:space="preserve">The investigation commission concludes that the accident happened following the factors identified, that led to putting into operation of the wagon no.81536666128-9, partially downloaded, provided that the duties of SNTFM staff were not met, these duties are established by the practice codes and in the job description.
The commission analysed „Sheet of measurements for the prevention of SMS risks” code F 432-SMS-2 afferent to the technological process „Reception of the empty/loaded wagons from the customers” and found that „not-checking the conditions imposed by Regulation no.005, art.88, point 1, letters a-t” is identified like risk from the frequency category unlikely, presenting a severity level critical, being quantified like tolerable risk. The safety measure identified in this case for keeping under control the risk keeping of the professional competences and permanent checking of the regulation’s application (hierarchical control). Because the safety measures set did not achieve the purpose, a wagon partially downloaded being put into operation, for the prevention of some accidents with similar causes, the investigation commission considers necessary to issue the next safety recommendation:
1. Romanian Railway Safety Authority – ASFR shall make sure that SNTFM will make an analysis of risk associated to the danger represented by the putting into operation of wagons partially downloaded.
The wagon had also technical problems that influenced the accident occurrence and which could not be found in operation, that contributed to the accident occurrence (improper condition of the polyamide plates). Because this phenomenon was found also during the investigation of other accidents, and for the accident happened on 20th December 2019, between the railway stations Drobeta Turnu Severin Mărfuri and Valea Albă, a recommendation was issued in this respect (recommendation in analysis process), the commission considers that it is no need to issue another similar recommendation.
</t>
  </si>
  <si>
    <t xml:space="preserve">Considering that the repeated tentative to put in motion the train, on the track section between the caution signal and the entry one of the railway station Predeal, are a danger that can increase the probability of accident and that according to the provisions of art.82 of the Regulation for hauling and braking no.006, the number of these tentative is not limited, without creating no presumption of guilty or civil liability, in order to prevent the occurrence of similar accidents/incident in the future, in accordance with the provisions of art.26, paragraph (2) of the Government Emergency Ordinance no.73/2019 for the railway safety, the investigation commission issues the next recommendation:
Safety recommendation no.1
Romanian Railway Safety Authority – ASFR shall ask the railway freight undertaking SC Unicom Tranzit SA to make an assessment of the risks generated by the danger generated by the repeated tentative to put the train in motion, in the situation of some stops that are not stipulated in the timetable for the running line, on the track section Brașov – Predeal. 
</t>
  </si>
  <si>
    <t xml:space="preserve">The investigation commission found that the railway undertaking identified but did not eficiently manage the risks associated to the dangers represented by „Lack of inspections at the locomotives when they are put into service or along the route” and „Carrying out the duty on the locomotives with the planned inspections and repairs exceeded”, the safety measures viable for the decrease of these risks not being adopted.
The investigation commission found also that the railway undertaking did not identify and assess the risks associated to the dangers represented by the schedule and performance of other types of planned inspections, against those regulated by the norms in force and did not establish safety measures viable for keeping them under control.
 Considering these above mentioned, in order to prevent the occurrence of some future accidents and taking into account the lessons learnt from this accident, according to the provisions of art.26, paragraph (2) of the Emergency Government Decision no.73/2019 for the railway safety, the investigation commission considers timely to issue the next safety recommendations, addressed to Romanian Railway Safety Authority - ASFR:
1. ASFR shall assure that the railway undertaking, getting the rolling stock and being also provider of repairs and inspections for its own rolling stock, will re-assess the risks associated to the dangers represented by „Lack of inspections at the locomotives when they are put into service or along the route” and „Carrying out the duty on the locomotives with the planned inspections and repairs exceeded”, and it will establish safety measures viable for keeping under control these risks;
</t>
  </si>
  <si>
    <t>The investigation commission found that the railway undertaking identified but did not eficiently manage the risks associated to the dangers represented by „Lack of inspections at the locomotives when they are put into service or along the route” and „Carrying out the duty on the locomotives with the planned inspections and repairs exceeded”, the safety measures viable for the decrease of these risks not being adopted.
The investigation commission found also that the railway undertaking did not identify and assess the risks associated to the dangers represented by the schedule and performance of other types of planned inspections, against those regulated by the norms in force and did not establish safety measures viable for keeping them under control.
 Considering these above mentioned, in order to prevent the occurrence of some future accidents and taking into account the lessons learnt from this accident, according to the provisions of art.26, paragraph (2) of the Emergency Government Decision no.73/2019 for the railway safety, the investigation commission considers timely to issue the next safety recommendations, addressed to Romanian Railway Safety Authority - ASFR:
2. ASFR shall assure that the railway undertaking, getting the rolling stock and being also provider of repairs and inspections for its own rolling stock, will identify and fill in „The list for the risk identification” with the risks associated to the dangers represented by „Schedule and performance of all types of planned inspections, instead those regulated by the norms in force”, will re-assess them and establish the safety measures viable for keeping under control these risks.</t>
  </si>
  <si>
    <t xml:space="preserve">The railway accident happened on the 13th September 2020, between the railway stations Brebu and Cornuțel Banat was caused both by the improper technical condition of the track superstructure, and by the failure found at the 6th wagon of the train
During the investigation, one found that the improper technical condition of the track was generated by the unsuitable maintenance, that was not performed in accordance with the provisions of the practice codes (reference/associated documents of SMS procedures level IM).
Considering the findings and conclusions of the investigation commission, before mentioned, for the improvement of the railway safety and prevention of similar events, AGIFER considers timely to address to Romanian Railway Safety Authority - ASFR, the next safety recommendations:
Preamble recommendation no.1
The investigation commission found that the infrastructure administrator identified but did not efficiently manage the risks generated by the lack of line maintenance, in order to be able to dispose viable safety measures for the decrease of these risks. 
Safety recommendation no.1
ASFR shall assure that the infrastructure manager CNCF „CFR” SA will re-assess the risks associated to the danger generated by keeping in operation the improper wooden sleepers within the curves and will establish viable safety measures for keeping under control these risks.
</t>
  </si>
  <si>
    <t xml:space="preserve">The railway accident happened on the 13th September 2020, between the railway stations Brebu and Cornuțel Banat was caused both by the improper technical condition of the track superstructure, and by the failure found at the 6th wagon of the train
During the investigation, one found that the improper technical condition of the track was generated by the unsuitable maintenance, that was not performed in accordance with the provisions of the practice codes (reference/associated documents of SMS procedures level IM).
Considering the findings and conclusions of the investigation commission, before mentioned, for the improvement of the railway safety and prevention of similar events, AGIFER considers timely to address to Romanian Railway Safety Authority - ASFR, the next safety recommendations:
Preamble recommendation no.2
As it is presented at chapter 4.e., in case of the railway accident happened on the 8th March 2019, between the railway stations Telciu and Coșbuc, the investigation commission found out that, at the derailment site the wooden sleepers were under warranty or close to the expiration of the warranty and had inside accelerated damage processes of the wooden, that led to the accident. In the investigation report, worked out for the accident before mentioned, AGIFER recommended ASFR, inter alia, to ask the infrastructure manager, the performance of a risk analysis, for the dangers generated by the wooden sleepers fitted already within the track and that were purchased according other requirements than those from the technical standard in force, or they did not meet with the condition for the certification of the conformity with the technical specification.
Safety recommendation no.2
ASFR shall check how the infrastructure manager CNCF „CFR” SA analysed and implemented the safety recommendation in case of the railway accident happened on the 8th March 2019, between the railway stations Telciu and Coșbuc and, in accordance with the findings resulted from these checking, shall ask the infrastructure manager to take the required safety measures.
</t>
  </si>
  <si>
    <t>no.3</t>
  </si>
  <si>
    <t xml:space="preserve">The railway accident happened on the 13th September 2020, between the railway stations Brebu and Cornuțel Banat was caused both by the improper technical condition of the track superstructure, and by the failure found at the 6th wagon of the train
During the investigation, one found that the improper technical condition of the track was generated by the unsuitable maintenance, that was not performed in accordance with the provisions of the practice codes (reference/associated documents of SMS procedures level IM).
Considering the findings and conclusions of the investigation commission, before mentioned, for the improvement of the railway safety and prevention of similar events, AGIFER considers timely to address to Romanian Railway Safety Authority - ASFR, the next safety recommendations:
Preamble recommendation no.3
The investigation commission found out that, the railway undertaking identified, but did not efficiently manage the risks associated to the danger generated by the non-identification of all failures, of the parts worn out or of the shortages at wagons. If the railway undertaking had been applied also other safety measures for keeping under control these risks, it could have prevented keeping in operation the wagons with failures.
Safety recommendation no.3
ASFR shall assure that the railway undertaking Tim Rail Cargo SRL will re-assess the risks associated to the danger generated by the non-identification of all failures, of the parts worn out or of the shortages at wagons and it will establish viable safety measures for keeping under control these risks.
</t>
  </si>
  <si>
    <t>no.4</t>
  </si>
  <si>
    <t xml:space="preserve">The railway accident happened on the 13th September 2020, between the railway stations Brebu and Cornuțel Banat was caused both by the improper technical condition of the track superstructure, and by the failure found at the 6th wagon of the train
During the investigation, one found that the improper technical condition of the track was generated by the unsuitable maintenance, that was not performed in accordance with the provisions of the practice codes (reference/associated documents of SMS procedures level IM).
Considering the findings and conclusions of the investigation commission, before mentioned, for the improvement of the railway safety and prevention of similar events, AGIFER considers timely to address to Romanian Railway Safety Authority - ASFR, the next safety recommendations:
Preamble recommendation no.4
The railway undertaking did not identify and assess the risks associated to the danger generated by the use for the transport of steel billets (steel half-finished – round bars) some wagons with metallic floors, not with wooden ones, as it is stipulated in UIC regulations. If the railway undertaking had been assessed these risks, it would have been able to avoid the use of some wagons unsuitable for the transports of this type of good.
Safety recommendation no.4
ASFR shall assure that the railway undertaking Tim Rail Cargo SRL will assess the risks associated to the danger generated by the use of some improper wagons for the transport of some type of good and will establish the safety measures for keeping under control these risks.
</t>
  </si>
  <si>
    <t xml:space="preserve">The railway accident, happened on the 13th September 2020, on the exit route from the railway station București Obor, at 5,50 m after passing over the last joint of the common crossing of the double diamond crossing no.4/5, on a curve, was generated by the improper technical condition of the railway infrastructure. 
During the investigation, one found that the improper technical condition of the track was determined by the unsuitable maintenance, that was not carried out in accordance with the provisions of the practice codes (reference/associated reference documents of SMS procedures of the infrastructure administrator).
Between the 9th and 12th September 2020, before the accident, the technical inspection of the line between the railway stations București Obor and Pantelimon was made with not-authorized staff, it favouring the decrease of the efficiency of this activity, following the non-identification in good time the deficiencies at the line.
The investigation commission found that the infrastructure administrator identified but did not efficiently manage the risks generated by the lack of line maintenance, in order to be able to dispose the viable safety measures for reducing these risks.
By applying the procedures of safety management system, in their entirety, as well as the provisions of the practice codes, part of SMS, the infrastructure administrator should have kept the technical parameters of the track geometry between the limits imposed by the railway safety and, so, it could have avoided the accident occurrence.
Considering the findings and conclusions of the investigation commission above mentioned, for the prevention of some similar accidents, AGIFER issues the next safety recommendations:
Recommendation no.1
Romanian Railway Safety Authority – ASFR shall assure that the infrastructure administrator will re-assess the risk associated to the danger represented by keeping within the track the improper wooden sleepers and will establish efficient measures for keeping it under control.
</t>
  </si>
  <si>
    <t xml:space="preserve">The railway accident, happened on the 13th September 2020, on the exit route from the railway station București Obor, at 5,50 m after passing over the last joint of the common crossing of the double diamond crossing no.4/5, on a curve, was generated by the improper technical condition of the railway infrastructure. 
During the investigation, one found that the improper technical condition of the track was determined by the unsuitable maintenance, that was not carried out in accordance with the provisions of the practice codes (reference/associated reference documents of SMS procedures of the infrastructure administrator).
Between the 9th and 12th September 2020, before the accident, the technical inspection of the line between the railway stations București Obor and Pantelimon was made with not-authorized staff, it favouring the decrease of the efficiency of this activity, following the non-identification in good time the deficiencies at the line.
The investigation commission found that the infrastructure administrator identified but did not efficiently manage the risks generated by the lack of line maintenance, in order to be able to dispose the viable safety measures for reducing these risks.
By applying the procedures of safety management system, in their entirety, as well as the provisions of the practice codes, part of SMS, the infrastructure administrator should have kept the technical parameters of the track geometry between the limits imposed by the railway safety and, so, it could have avoided the accident occurrence.
Considering the findings and conclusions of the investigation commission above mentioned, for the prevention of some similar accidents, AGIFER issues the next safety recommendations:
Recommendation no.2
Romanian Railway Safety Authority – ASFR shall assure that the public railway infrastructure administrator will re-assess the risk associated to the danger represented by the performance of the track inspection with not-authorized staff for the traffic safety and will establish efficient measures for keeping it under control.
</t>
  </si>
  <si>
    <t>Preamble of safety recommendation no.1
Regarding the intervention times for earth connection of the contact line, the investigation commission found out, that in this case, as well as in other investigated ones, repeatedly, these times were very high, although the provisions from the contract concluded between CNCFR and SC Electrificare SA were met with, but the firemen intervention delayed. The emergency intervention of IFTE gangs is made with the tower wagon, without no difference against the situation of the current interventions for the contact line repair. The investigation revealed that the circuit for the notification of IFTE gangs could be improved and that the intervention times of IFTE gangs could be improved if these intervened in the critical points, without the travelling mean be limited to the tower wagon.
For the decrease of these intervention times, in order to minimize the consequences of the future fires, in accordance with the provisions of art.26, paragraph (2) from Emergency Government Ordinance no.73/2019 for railway safety, the investigation commission issues the next recommendation:
Safety recommendation no.1
ASFR shall ensure that CNCFR, together with Electrificare CFR and, if case, with the railway undertakings, will analyse how to intervene for earth connection of the contact line, for the identification of some ways of reducing the times necessary for the performance of these operations.</t>
  </si>
  <si>
    <t xml:space="preserve">Preamble of safety recommendation no.2
During the investigation, one found that the rules and procedures that the staff of the railway undertaking VTR has to meet with, in order to ensure that the trains requested for schedule, comply with the provisions from the Working Timetable, were not established and known by the relevant staff. It was allowing that the train schedule shall be made without the relevant staff check the conformity of the trains scheduled with all provisions of Working Timetable.
Considering these above mentioned, in accordance with the provisions of art.26, paragraph (2) from the Emergency Government Decision no.73/2019 for the railway safety, the investigation commission issued the next recommendation:
Safety recommendation no.2
ASFR shall ensure that the railway undertaking VTR will re-assess how the train schedule is managed, for the assignment, to its own staff, of the duties that shall ensure that the trains requested for schedule correspond to all the provisions from Working Timetable.
</t>
  </si>
  <si>
    <t>BE-743/1</t>
  </si>
  <si>
    <t>Lâ€™accompagnateur regagne la plateforme dont il nâ€™est autorisé à fermer la porte quâ€™après le premier demi-tour de roue du convoi. Cette procédure a été établie pour assurer la sécurité des usagers : elle permet à lâ€™accompagnateur de jeter un ultime coup dâ€™oeil sur le quai pour sâ€™assurer de la sécurité des voyageurs. Durant cette «zone grise», lâ€™accompagna¬teur doit conserver la dernière porte ouverte et empêcher sans intervention physique les voyageurs qui tentent de monter à bord.</t>
  </si>
  <si>
    <t>Lâ€™Autorité de Sécurité devrait veiller à ce que lâ€™entreprise ferroviaire et le gestionnaire dâ€™infrastructure mettent en place la nouvelle procédure de départ y inclus la période de transition entre la procédure actuelle et la procédure future.</t>
  </si>
  <si>
    <t>BE-743/2</t>
  </si>
  <si>
    <t>The Safety Authority should ensure that the railway undertaking and the infrastructure manager implement the new starting procedure including the transition period between the current process and the future procedure.</t>
  </si>
  <si>
    <t>BE-743/3</t>
  </si>
  <si>
    <t>Il semblerait quâ€™aucune annonce dans le train lors de son arrivée en gare nâ€™ait été effectuée pour indiquer aux voyageurs quâ€™un train à destination de Libramont avec arrêt en gare de Houyet stationnait à la voie 1 du côté B.</t>
  </si>
  <si>
    <t>Lâ€™Autorité de Sécurité devrait sâ€™assurer que lâ€™entreprise ferroviaire propose des mesures pour pallier aux risques de confusion induite par le manque dâ€™information sur les liaisons possibles lors de lâ€™arrivée du train en « gare » et en réalise une surveillance accrue.</t>
  </si>
  <si>
    <t>BE-743/4</t>
  </si>
  <si>
    <t>The Safety Authority should ensure that the railway undertaking proposes measures to overcome the confusion caused by the lack of information on possible links with the arrival of the train on "station" and performs increased surveillance.</t>
  </si>
  <si>
    <t>BE-743/5</t>
  </si>
  <si>
    <t>Il semblerait quâ€™aucune annonce en gare nâ€™ait été effectuée pour indiquer aux voyageurs quâ€™un train à destination de Libramont avec arrêt en gare de Houyet stationnait à la voie 1 du côté B. A fortiori, une annonce de départ imminent de la voie 3 aurait été entendue par les voyageurs et provoqué le mouvement vers la voie 3</t>
  </si>
  <si>
    <t>Lâ€™Autorité de Sécurité devrait sâ€™assurer que le gestionnaire dâ€™infrastructure propose des mesures pour pallier aux risques de confusion induite par le manque dâ€™information sur les liaisons possibles lors de lâ€™arrivée du train en « gare » et en réalise une surveillance accrue.</t>
  </si>
  <si>
    <t>BE-743/6</t>
  </si>
  <si>
    <t>The Safety Authority should ensure that the infrastructure manager proposes measures to overcome the confusion caused by the lack of information on possible links with the arrival of the train on "station" and performs increased surveillance.</t>
  </si>
  <si>
    <t>BE-743/7</t>
  </si>
  <si>
    <t>Rien nâ€™indiquait lâ€™interdiction de traverser les voies aux voyageurs. Actuellement un panneau E5 est dessiné sur la traverse mais rien ne matérialise lâ€™interdiction (ex : barrière, chaine) et rien nâ€™indique que la traversée ne peut être effectuée que sous la supervision, autorisation du personnel qualifié.</t>
  </si>
  <si>
    <t>Lâ€™Autorité de Sécurité doit sâ€™assurer que le gestionnaire dâ€™infrastructure propose des mesures pour pallier aux risques que des voyageurs traversent les voies via les traverses de service sans y être invité par du personnel qualifié et assure un contrôle intensifié.</t>
  </si>
  <si>
    <t>BE-743/8</t>
  </si>
  <si>
    <t>The Safety Authority must ensure that the infrastructure manager proposes measures to mitigate the risks of travelers crossing the tracks via the service crossings without being authorised by the qualified personnel and provides increased control.</t>
  </si>
  <si>
    <t>BE-743/9</t>
  </si>
  <si>
    <t>Le signal dâ€™arrêt dâ€™urgence ne se trouve pas à hauteur des portes dâ€™accès mais à lâ€™entrée des compartiments voyageurs. Lâ€™accompagnateur de train nâ€™a pas pu actionner le signal dâ€™alarme.</t>
  </si>
  <si>
    <t>Lâ€™Autorité de Sécurité devrait sâ€™assurer que lâ€™entreprise ferroviaire propose des mesures pour pallier à cette disposition particulière du matériel roulant concernant le signal dâ€™arrêt dâ€™urgence.</t>
  </si>
  <si>
    <t>BE-743/10</t>
  </si>
  <si>
    <t>The Safety Authority should ensure that the railway undertaking proposes measures to overcome this particular provision of rolling stock on the emergency stop signal.</t>
  </si>
  <si>
    <t>BE-743/11</t>
  </si>
  <si>
    <t>Le jour de lâ€™accident, lorsque les deux conditions sont remplies, le conducteur, nâ€™ayant rien remarqué dâ€™anormal, démarre. Lâ€™accident démontre que la procédure actuelle ne répond pas totalement aux exigences du RSEIF 4.1 du gestionnaire de lâ€™infrastructure stipulant que le conducteur doit sâ€™assurer de la présence de lâ€™accompagnateur à bord</t>
  </si>
  <si>
    <t>Lâ€™Autorité de Sécurité devrait sâ€™assurer que lâ€™entreprise ferroviaire propose des mesures pour garantir la présence à bord du train de lâ€™accompagnateur.</t>
  </si>
  <si>
    <t>BE-743/12</t>
  </si>
  <si>
    <t>The Safety Authority should ensure that the railway undertaking proposes measures to ensure the presence on board of the train the accompanying person.</t>
  </si>
  <si>
    <t>BE-584/1</t>
  </si>
  <si>
    <t>Remind safety regulations.</t>
  </si>
  <si>
    <t>BE-584/2</t>
  </si>
  <si>
    <t>Strictly apply procedures.</t>
  </si>
  <si>
    <t>BE-584/3</t>
  </si>
  <si>
    <t>Use written procedures to inform personnel.</t>
  </si>
  <si>
    <t>BE-584/4</t>
  </si>
  <si>
    <t>Provide internal and external supervision of the conditions to apply procedures.</t>
  </si>
  <si>
    <t>BE-561/1</t>
  </si>
  <si>
    <t>Provide the Belgian railway infrastructure with an automatic system to control the speed of the trai</t>
  </si>
  <si>
    <t>Provide the Belgian railway infrastructure with an automatic system to control the speed of the trains.</t>
  </si>
  <si>
    <t>BE-561/2</t>
  </si>
  <si>
    <t>Continue their action programs to avoid crossing stop signs</t>
  </si>
  <si>
    <t>BE-561/3</t>
  </si>
  <si>
    <t>Carry out risk analyses of the crossing of signs at critical points in order to take coordinated act</t>
  </si>
  <si>
    <t>Carry out risk analyses of the crossing of signs at critical points in order to take coordinated actions to avoid these crossings.</t>
  </si>
  <si>
    <t>BE-561/4</t>
  </si>
  <si>
    <t>Assure the quality criteria of the electrical power supply.</t>
  </si>
  <si>
    <t>BE-481/1</t>
  </si>
  <si>
    <t>to have a more strict and rigorous application of the procedures</t>
  </si>
  <si>
    <t>BE-481/2</t>
  </si>
  <si>
    <t>a strict compliance with procedures,</t>
  </si>
  <si>
    <t>BE-481/3</t>
  </si>
  <si>
    <t>The bringing into service of a materialised system to temporarily cancel the announcement zones</t>
  </si>
  <si>
    <t>BE-421/1</t>
  </si>
  <si>
    <t>remove from the carriages the outside handles when they are no longer in use</t>
  </si>
  <si>
    <t>BE-421/2</t>
  </si>
  <si>
    <t>take measures against trainsurfing / trainhopping</t>
  </si>
  <si>
    <t>BE-420/1</t>
  </si>
  <si>
    <t>The emergency command must be clearly distinguished from the normal opening command.</t>
  </si>
  <si>
    <t>BE-420/2</t>
  </si>
  <si>
    <t>The command of emergency issue must only unlock the door wihtout automatically opening of this door.</t>
  </si>
  <si>
    <t>BE-420/3</t>
  </si>
  <si>
    <t>An appropriate alarm system must inform the staff of the train that a door stay open.</t>
  </si>
  <si>
    <t>BE-420/4</t>
  </si>
  <si>
    <t>Opening the emergnecy issue must only be possible if the train is stopped</t>
  </si>
  <si>
    <t>BE-417/1</t>
  </si>
  <si>
    <t>improve the competence of the staff, involved in safety operations and give then a better support, e</t>
  </si>
  <si>
    <t>improve the competence of the staff, involved in safety operations and give then a better support, especially concerning the regulation matters</t>
  </si>
  <si>
    <t>BE-417/2</t>
  </si>
  <si>
    <t>develop technical systems to give a better prot ection of the warfs so that the human factor in t</t>
  </si>
  <si>
    <t>develop technical systems to give a better protection of the warfs so that the human factor in this protection becomes lesser important</t>
  </si>
  <si>
    <t>BE-417/3</t>
  </si>
  <si>
    <t>improve the feedback on the experience on the field, so that the secyrity processes are more based o</t>
  </si>
  <si>
    <t>improve the feedback on the experience on the field, so that the security processes are more based on real experience</t>
  </si>
  <si>
    <t>BE-417/4</t>
  </si>
  <si>
    <t>reinforce the system of control of the applicated safety measures and take care that traces exist of</t>
  </si>
  <si>
    <t>reinforce the system of control of the applicated safety measures and take care that traces exist of the operations</t>
  </si>
  <si>
    <t>BE-363/1</t>
  </si>
  <si>
    <t>promote as much as possible the natural evolution to abolish the use of wheels with a bandage and ev</t>
  </si>
  <si>
    <t>promote as much as possible the natural evolution to abolish the use of wheels with a bandage and eventually prohibide in a reasonable time this type of wheelst</t>
  </si>
  <si>
    <t>BE-363/2</t>
  </si>
  <si>
    <t>evaluate the minimal admitted thickness of a bandage</t>
  </si>
  <si>
    <t>BE-363/3</t>
  </si>
  <si>
    <t>set up a specific system to follow the life - cycle of an axle</t>
  </si>
  <si>
    <t>BE-363/4</t>
  </si>
  <si>
    <t>examine what can be done to improve the signaling of the presence on a wagon of wheels with a bandag</t>
  </si>
  <si>
    <t>examine what can be done to improve the signaling of the presence on a wagon of wheels with a bandage, also to improve the system of inspection before the departure of a train</t>
  </si>
  <si>
    <t>BE-362/1</t>
  </si>
  <si>
    <t>improve the training of the driver and the shunter, especially the practical training on the working</t>
  </si>
  <si>
    <t>improve the training of the driver and the shunter, especially the practical training on the working circunstances and explain the philosophy of the procedures and methods</t>
  </si>
  <si>
    <t>BE-362/2</t>
  </si>
  <si>
    <t>establish a more systhematic supervision on the operating practices and take care that the operation</t>
  </si>
  <si>
    <t>establish a more systhematic supervision on the operating practices and take care that the operations are registrated, especially the radio communications</t>
  </si>
  <si>
    <t>BE-362/3</t>
  </si>
  <si>
    <t>examine and take measures to improve the quality and fiability of the equipments to communicate and</t>
  </si>
  <si>
    <t>examine and take measures to improve the quality and fiability of the equipments to communicate and elaborate suitable metods of use</t>
  </si>
  <si>
    <t>BE-362/4</t>
  </si>
  <si>
    <t>examine the reduction of risks through the use of modern technology and adapting of the operating ru</t>
  </si>
  <si>
    <t>examine the reduction of risks through the use of modern technology and adapting of the operating rules</t>
  </si>
  <si>
    <t>BE-1411/1</t>
  </si>
  <si>
    <t>Lâ€™Autorité de Sécurité devrait veiller à ce que le gestionnaire dâ€™infrastructure : - effectue une ...</t>
  </si>
  <si>
    <t>Lâ€™Autorité de Sécurité devrait veiller à ce que le gestionnaire dâ€™infrastructure : - effectue une évaluation afin de vérifier dans quelle mesure le risque identifié, surtension amenée par du matériel roulant, impacte les analyses de risques réalisées pour la signalisation présente sur le réseau et - mette en place un processus assurant que ce risque est pris en compte dans lâ€™ensemble des études de risques à venir.</t>
  </si>
  <si>
    <t>BE-1411/2</t>
  </si>
  <si>
    <t>The Safety Authority should ensure that the infrastructure manager: - Conduct an assessment to determine the extent of the identified hazard, overvoltage caused by rolling, impact risk analysis carried out for the signs present on the network and - Put in place a process to ensure that this risk is taken into account in all studies of future risks.</t>
  </si>
  <si>
    <t>BE-1411/3</t>
  </si>
  <si>
    <t>Lâ€™Autorité de Sécurité devrait veiller à ce que le système mis en place par le gestionnaire ...</t>
  </si>
  <si>
    <t>Lâ€™Autorité de Sécurité devrait veiller à ce que le système mis en place par le gestionnaire dâ€™infrastructure permette une meilleure gestion des problèmes récurrents et assure la mise à disposition des informations utiles et complètes aux techniciens de terrain.</t>
  </si>
  <si>
    <t>BE-1411/4</t>
  </si>
  <si>
    <t>The Safety Authority should ensure that the system set up by the Infrastructure Manager allows better management of recurring problems and ensure the provision of useful and complete information to field technicians.</t>
  </si>
  <si>
    <t>BE-1411/5</t>
  </si>
  <si>
    <t>Lâ€™Autorité de Sécurité devrait veiller à recevoir du gestionnaire dâ€™infrastructure une liste des ...</t>
  </si>
  <si>
    <t>Lâ€™Autorité de Sécurité devrait veiller à recevoir du gestionnaire dâ€™infrastructure une liste des signaux concernés, une planification de lâ€™installation de lâ€™isolation galvanique sur ces signaux et un rapport de suivi. Lâ€™Autorité de Sécurité devrait veiller à recevoir du gestionnaire dâ€™infrastructure une liste des signaux concernés, une planification de lâ€™installation du système DGN croco sur ces signaux et un rapport de suivi.</t>
  </si>
  <si>
    <t>BE-1411/6</t>
  </si>
  <si>
    <t>The Safety Authority should ensure the infrastructure manager receive a list of relevant signals, planning the installation of the electrical isolation of these signals and a follow-up report. The Safety Authority should ensure the infrastructure manager receive a list of relevant signals, a planning system installation DGN crocodile on these signals and a follow-up report.</t>
  </si>
  <si>
    <t>BE-1411/7</t>
  </si>
  <si>
    <t>Lâ€™Autorité de Sécurité devrait veiller à ce que lâ€™entreprise ferroviaire SNCB réalise une évaluation ...</t>
  </si>
  <si>
    <t>Lâ€™Autorité de Sécurité devrait veiller à ce que lâ€™entreprise ferroviaire SNCB réalise une évaluation des procédures de communications internes mises en place au sein de son système de gestion de la sécurité et de leur application correcte par les différents services et niveaux hiérarchiques.</t>
  </si>
  <si>
    <t>BE-1411/8</t>
  </si>
  <si>
    <t>The Safety Authority should ensure that the railway company SNCB conduct an assessment of internal communications procedures implemented within the system security management and their correct application by the various departments and hierarchical levels.</t>
  </si>
  <si>
    <t>BE-1411/9</t>
  </si>
  <si>
    <t>Lâ€™Autorité de Sécurité devrait veiller à ce que lâ€™entreprise ferroviaire SNCB formalise au sein de ...</t>
  </si>
  <si>
    <t>Lâ€™Autorité de Sécurité devrait veiller à ce que lâ€™entreprise ferroviaire SNCB formalise au sein de son système de gestion de la sécurité, la procédure de révisions des fiches et procédures de travail du personnel de maintenance, dans lâ€™optique du transfert de connaissance aux générations futures.</t>
  </si>
  <si>
    <t>BE-1411/10</t>
  </si>
  <si>
    <t>The Safety Authority should ensure that the railway company SNCB formalized within the management system safety, procedure revisions of files and working procedures of the maintenance personnel, in the context of knowledge transfer for future generations.</t>
  </si>
  <si>
    <t>BE-1411/11</t>
  </si>
  <si>
    <t>L'Autorité de Sécurité devrait veiller à ce qu'une réflexion soit menée par les acteurs du secteur ...</t>
  </si>
  <si>
    <t>L'Autorité de Sécurité devrait veiller à ce qu'une réflexion soit menée par les acteurs du secteur ferroviaire impliqué sur les risques de la composition des convois, en incluant les contraintes économiques, organisationnelles et opérationnelles dans un contexte de concurrence européen entre entreprises ferroviaires et entre modes de transport.</t>
  </si>
  <si>
    <t>BE-1411/12</t>
  </si>
  <si>
    <t>The Safety Authority should ensure that consideration should be conducted by the railway sector stakeholders on the risks involved in the composition of convoys, including the economic, organizational and operational constraints in the context of European competition between railway undertakings and between modes of transport.</t>
  </si>
  <si>
    <t>BE-1411/13</t>
  </si>
  <si>
    <t>Lâ€™Autorité de Sécurité devrait veiller à ce que les entreprises ferroviaires et le gestionnaire ...</t>
  </si>
  <si>
    <t>Lâ€™Autorité de Sécurité devrait veiller à ce que les entreprises ferroviaires et le gestionnaire dâ€™infrastructure mènent une réflexion afin d'optimiser les processus liés à la complétion et à la transmission des divers formulaires (E361, M510,..), en tenant compte des risques liés aux activités de toutes les parties concernées.</t>
  </si>
  <si>
    <t>BE-1411/14</t>
  </si>
  <si>
    <t>The Safety Authority should ensure that railway undertakings and infrastructure managers are reflecting to optimize processes related to the completion and transmission of various forms (E361, M510, ..), taking the risks associated with the activities of all parties involved.</t>
  </si>
  <si>
    <t>BE-1411/15</t>
  </si>
  <si>
    <t>Lâ€™Autorité de Sécurité devrait veiller à ce que lâ€™entreprise ferroviaire SNCB-Logistics prenne des ...</t>
  </si>
  <si>
    <t>Lâ€™Autorité de Sécurité devrait veiller à ce que lâ€™entreprise ferroviaire SNCB-Logistics prenne des mesures pour éliminer le risque identifié (lâ€™inversion des compositions de wagons de marchandises).</t>
  </si>
  <si>
    <t>BE-1411/16</t>
  </si>
  <si>
    <t>The Safety Authority should ensure that the railway company SNCB Logistics take steps to eliminate the risk identified (inversion compositions freight cars).</t>
  </si>
  <si>
    <t>BE-1436/1</t>
  </si>
  <si>
    <t>a) DVIS zou er moeten op toezien bij de infrastructuurbeheerder dat deze maatregel, wordt veralgemeend naar de overheidsopdrachten van werken die werden aanbesteed vòòr het van toepassing stellen van deze maatregel en die nog steeds in uitvoering zijn. b) DVIS zou er moeten op toezien bij de infrastructuurbeheerder dat zowel voor werven gestart vóór 2010 als voor werven gestart na 2010, hoe in deze maatregel de motivatie om veilig te werken op spoorwerven bij iedereen gegarandeerd is en blijft.</t>
  </si>
  <si>
    <t>Vaststelling â€“ conclusie van de analyse a) Het infrastructuurproject in Duffel is aanbesteed in 2008 en de werken zijn gestart in 2009. Sinds 2010 is er voor nieuw aanbestede overheidsopdrachten van de infrastructuurbeheerder een nieuwe maatregel, een badgesysteem, dat wordt opgelegd aan het personeel van de aannemer en diens onderaannemers.Het dragen van de badge is het formeel bewijs dat het personeel, van de aannemer en diens onderaannemers, parate kennis heeft en geëvalueerd is, over de risicoâ€™s eigen aan de werken van de desbetreffende werf. De leidend ambtenaar staat in voor de controle erop en is bevoegd om bij inbreuken de badge in te trekken en zo de toegang tot de werf te ontzeggen. b) De direct betrokken operatoren waren onvoldoende op de hoogte van welke veiligheidsmaatregelen op welke plaats op de werf langsheen de sporen op welk ogenblik van toepassing waren. In de risicoanalyse van de methode met hijsbanden waren de gevaren onvoldoende afgedekt. De communicatie was onvoldoende, er was niet uitdrukkelijk gemeld wat te doen indien er problemen waren met de uitvoerbaarheid van de opdracht Aanbeveling: a) DVIS zou er moeten op toezien bij de infrastructuurbeheerder dat deze maatregel, wordt veralgemeend naar de overheidsopdrachten van werken die werden aanbesteed vòòr het van toepassing stellen van deze maatregel en die nog steeds in uitvoering zijn. b) DVIS zou er moeten op toezien bij de infrastructuurbeheerder dat zowel voor werven gestart vóór 2010 als voor werven gestart na 2010, hoe in deze maatregel de motivatie om veilig te werken op spoorwerven bij iedereen gegarandeerd is en blijft.</t>
  </si>
  <si>
    <t>Dutch</t>
  </si>
  <si>
    <t>BE-1436/2</t>
  </si>
  <si>
    <t>Determination - conclusion of the analysis a) The infrastructure project is tendered in Duffel in 2008 and work began in 2009. Since 2010 there has been tendered for new public of the infrastructure a new measure , a badge system , that is imposed on the staff of the contractor and his onderaannemers.Het wear the badge is the formal proof that the staff, the contractor and his subcontractors , ready knowledge and has evaluated is , the risks specific to the work of the yard in question . The leading official is responsible for its monitoring and empowered to pull the badge in case of infringement and so as to deny access. to the yard b ) The operators directly involved were insufficient aware of what safety in any place in the yard along the tracks at any moment were applicable. The risk of method slings were the dangers insufficiently covered. The communication was insufficient , there was not explicitly reported what to do if there were problems with the enforceability of contract recommendation: a) DVIS would need to ensure the infrastructure that this measure is generalized to the public of works that were tendered for applicable provision of this measure and which are still in progress . b ) DVIS would need to ensure the infrastructure both for recruiting started before 2010 and started to recruit after 2010, how to measure the motivation to work safely at rail yards at all guaranteed and remains .</t>
  </si>
  <si>
    <t>BE-1436/3</t>
  </si>
  <si>
    <t>DVIS zou er moeten op toezien bij de infrastructuurbeheerder en de aannemers betrokken bij spoorinfrastructuurwerken dat de veiligheidsregels en de daaraan gekoppelde veiligheidsmaatregelen op alle spoorwerven onder gelijkaardige omstandigheden: a) Uniform zijn b) Correct worden toegepast c) De hoogst mogelijke veiligheid nastreven</t>
  </si>
  <si>
    <t>Vaststelling â€“ conclusie van de analyse: Op de werf in Duffel zijn er striktere veiligheidsregels opgelegd dan op andere werven zo zijn er drie types indringing gedefinieerd met daaraan gekoppelde beveiligingsmaatregelen (strenger dan Bundel 63 versie 1). Ondanks deze striktere regels treedt na verloop van tijd een afzwakking van deze regels en de daaraan gekoppelde veiligheidsmaatregelen op. Zo waren op de dag van het ongeval, op de sporen naast het tussenperron een BTS en Minimel ingesteld: - De BTS op een van deze sporen was 90km/h i.p.v. 60km/h overdag zoals voorzien in de regels in Duffel; - De Minimel ingesteld op het spoor B lijn 25 was enkel in normaalspoor terwijl het voor spoor A lijn 27 voor beide rijrichtingen gold. Aanbeveling: DVIS zou er moeten op toezien bij de infrastructuurbeheerder en de aannemers betrokken bij spoorinfrastructuurwerken dat de veiligheidsregels en de daaraan gekoppelde veiligheidsmaatregelen op alle spoorwerven onder gelijkaardige omstandigheden: a) Uniform zijn b) Correct worden toegepast c) De hoogst mogelijke veiligheid nastreven</t>
  </si>
  <si>
    <t>BE-1436/4</t>
  </si>
  <si>
    <t>Determination - conclusion of the analysis : At the shipyard in Duffel there are stringent safety imposed than in other recruit as there are three types of intrusion defined with associated security ( stricter than Bundle 63 version 1 ) . Despite these stricter rules occurs over time a weakening of these rules and the associated security measures . so were on the day of the accident , on the tracks next to the platform between a BTS and Minimel set : - The BTS was on one of these tracks 90km / h i.p.v. 60km / h during the day as planned the rules in Duffel ; - The Minimel set on the track line B 25 was only in standard gauge while A railway line for 27 for both directions gold . recommendation: DRIS would have to ensure the infrastructure and contractors involved in railway infrastructure that the safety and related security at all rail yards under similar circumstances : a) Uniform are b ) are applied correctly c ) The highest possible safety pursue</t>
  </si>
  <si>
    <t>BE-1436/5</t>
  </si>
  <si>
    <t>DVIS zou er moeten op toezien bij de infrastructuurbeheerder, dat er een bundeling, stroomlijning van de regels komt. Regels die helder zijn voor iedereen en die de ruimte voor interpretaties en afzwakkingen zo klein mogelijk maken en het aantal uitzonderingen tot een absoluut minimum herleid</t>
  </si>
  <si>
    <t>Vaststelling - conclusie van de analyse: De veelheid aan regelgeving bij het werken in de nabijheid van sporen in dienst waarnaar wordt verwezen. Aanbeveling: DVIS zou er moeten op toezien bij de infrastructuurbeheerder, dat er een bundeling, stroomlijning van de regels komt. Regels die helder zijn voor iedereen en die de ruimte voor interpretaties en afzwakkingen zo klein mogelijk maken en het aantal uitzonderingen tot een absoluut minimum herleid</t>
  </si>
  <si>
    <t>BE-1436/6</t>
  </si>
  <si>
    <t>Determination - conclusion of the analysis: The multitude of regulations when working in the vicinity of traces in service which reference is made. recommendation: DRIS would have to ensure the infrastructure, that there is a bundling, streamlining of the rules comes. rules that clear to everyone and that the room for interpretations and slacks as small as possible and the number of exceptions to an absolute minimum reduced</t>
  </si>
  <si>
    <t>BE-1436/7</t>
  </si>
  <si>
    <t>DVIS zou er op moeten toezien bij de infrastructuurbeheerder dat zowel bij infrastructuurwerken, als bij onderhoudswerkzaamheden dezelfde strikste veiligheidsregels worden toegepast, volgens de aard van de werkzaamheden, exploitatiemogelijkheden en plaatselijke omstandigheden</t>
  </si>
  <si>
    <t>Vaststelling - conclusie van de analyse: De veiligheidsregels voor infrastructuurwerken en onderhoudswerken waarbij dezelfde activiteiten plaatsvinden kunnen verschillen op dezelfde locatie omdat er strengere veiligheidsregels voor de infrastructuurwerken in het lastenboek zijn opgenomen. Aanbeveling: DVIS zou er op moeten toezien bij de infrastructuurbeheerder dat zowel bij infrastructuurwerken, als bij onderhoudswerkzaamheden dezelfde strikste veiligheidsregels worden toegepast, volgens de aard van de werkzaamheden, exploitatiemogelijkheden en plaatselijke omstandigheden</t>
  </si>
  <si>
    <t>BE-1436/8</t>
  </si>
  <si>
    <t>Determination - conclusion of the analysis: The safety rules for infrastructure and maintenance work which same activities can take place differences in the same location because stricter safety rules for the infrastructure are included. in the specifications recommendation: DRIS would have to ensure the infrastructure that both infrastructure, as during maintenance same strictest safety rules, in accordance with the nature of the work, exploitation and local conditions</t>
  </si>
  <si>
    <t>BE-1436/9</t>
  </si>
  <si>
    <t>DVIS zou er op moeten toezien bij de infrastructuurbeheerder dat personen, die op zijn infrastructuur zicht moeten houden op aankomende treinen en werknemers moet waarschuwen, uniform opgeleid zijn en blijven, en in geen enkele situatie andere activiteiten mogen doen dan waken over de veiligheid bij het werken langsheen sporen in dienst</t>
  </si>
  <si>
    <t>Vaststelling - conclusie van de analyse: In bepaalde gevallen is het toegestaan dat iemand die volledig autonoom moet waken over de veiligheid van werknemers aan het werk in of in de nabijheid van sporen mag deelnemen aan deze werken20 . Naar aanleiding van het ongeval in Duffel werd deze regel in de lastenboeken van district Noord â€“ Oost geschrapt. Aanbeveling: DVIS zou er op moeten toezien bij de infrastructuurbeheerder dat personen, die op zijn infrastructuur zicht moeten houden op aankomende treinen en werknemers moet waarschuwen, uniform opgeleid zijn en blijven, en in geen enkele situatie andere activiteiten mogen doen dan waken over de veiligheid bij het werken langsheen sporen in dienst</t>
  </si>
  <si>
    <t>BE-1436/10</t>
  </si>
  <si>
    <t>Determination - conclusion of the analysis: In certain cases it is permissible that someone to watch completely autonomous about the safety of workers to work in or in the vicinity of trace may participate in this werken20. Following the accident in Duffel was this line in the specifications of District North - East deleted. recommendation: DRIS would have to ensure the infrastructure that persons who its infrastructure to keep sight on arriving trains and employees should warn uniformly trained and continue, and in any other situation activities may do more than watch about safety when working along tracks in service</t>
  </si>
  <si>
    <t>BE-860/1</t>
  </si>
  <si>
    <t>1.1: Infrabel and SNCB provide a detailed action plan to respondon the various recommendations to th</t>
  </si>
  <si>
    <t>1.1: Infrabel and SNCB provide a detailed action plan to respondon the various recommendations to the NSA (SSICF) within a maximum of 3 months including the time estimated for realisation. 1.2: The NSA (SSICF) verifies the need to distribute recommendations to other RU.</t>
  </si>
  <si>
    <t>BE-860/2</t>
  </si>
  <si>
    <t>2.1: SNCB and Infrabel take concrete steps to prevent collisions resulting from the overrunning of s</t>
  </si>
  <si>
    <t>2.1: SNCB and Infrabel take concrete steps to prevent collisions resulting from the overrunning of signals at danger and to reduce the consequences of collisions between trains. 2.2: SNCB and Infrabel take concrete measures to reduce the number of signals overrun at danger and the short and long-term consequences in a systematic way.</t>
  </si>
  <si>
    <t>BE-860/3</t>
  </si>
  <si>
    <t>The NSA (SSICF), in coordination with the service or services concerned within FPS Mobility and Tran</t>
  </si>
  <si>
    <t>The NSA (SSICF), in coordination with the service or services concerned within FPS Mobility and Transport, provide a follow-up to the deployment of the ETCS with an overview of the development of safety, with the intention to check that the rate of deployment is being respected, and at the same time to check that the transition, and in particular the deactivation of existing systems, is not being done to the detriment of safety.</t>
  </si>
  <si>
    <t>BE-860/4</t>
  </si>
  <si>
    <t>Infrabel and SNCB submit to the NSA (SSICF) a review of their manuals for Safety Management Systems</t>
  </si>
  <si>
    <t>Infrabel and SNCB submit to the NSA (SSICF) a review of their manuals for Safety Management Systems to positively develop and take the appropriate measures to compensate for the insufficiencies identified in the investigation report.</t>
  </si>
  <si>
    <t>BE-860/5</t>
  </si>
  <si>
    <t>Infrabel and SNCB remind its personnel to respect the instructions for access to the site of an acci</t>
  </si>
  <si>
    <t>Infrabel and SNCB remind its personnel to respect the instructions for access to the site of an accident, to remind personnel that taking measures, or carrying out repairs is forbidden without prior authorisation from the judicial authority and/or the investigation body, that access should be strictly limited to the emergency services and to the investigators.</t>
  </si>
  <si>
    <t>BE-860/6</t>
  </si>
  <si>
    <t>The infrastructure manager and SNCB adjust their emergency plans for the evacuation of the injured,</t>
  </si>
  <si>
    <t>The infrastructure manager and SNCB adjust their emergency plans for the evacuation of the injured, passengers etc. according to the lessons learned from this accident.</t>
  </si>
  <si>
    <t>BE-860/7</t>
  </si>
  <si>
    <t>Infrabel reviews its priorities for informing parties to allow everyone to carry out their duties in</t>
  </si>
  <si>
    <t>Infrabel reviews its priorities for informing parties to allow everyone to carry out their duties in case of accident.</t>
  </si>
  <si>
    <t>BE-860/8</t>
  </si>
  <si>
    <t>Infrabel is recommended to propose an amendment to its safety management manual to the NSA (SSICF) t</t>
  </si>
  <si>
    <t>Infrabel is recommended to propose an amendment to its safety management manual to the NSA (SSICF) to ensure respect of the periodic signal maintenance and of its clear-cut traceability.</t>
  </si>
  <si>
    <t>BE-860/9</t>
  </si>
  <si>
    <t>Infrabel, in the conception of new installations or for major readjustments of existing installation</t>
  </si>
  <si>
    <t>Infrabel, in the conception of new installations or for major readjustments of existing installations, limits, in consultation with operators, the risk that an authorised and travelled route may be crossed or result in a face-to-face situation in the case of the overrunning of a signal by any other movement.</t>
  </si>
  <si>
    <t>BE-2063/1</t>
  </si>
  <si>
    <t>The axle breakage was due to the reduced fatigue resistance being exceeded. In the area where a break later occurred, the fatigue resistance was reduced due to impact damage and corrosion. This impact damage and corrosion had not been noticed before. The last overhaul of the wheel set of wagon 14 took place in 2009. A record and inspection sheet for reporting and inspecting the coatings on the axle could not be presented.</t>
  </si>
  <si>
    <t>The National Safety Authority would, via the certifying bodies approved for this purpose: Ensure that a comprehensive system of registration and traceability of maintenance is available from the ECM and the workshops where the ECMs entrust inspection and maintenance of their wagon fleet</t>
  </si>
  <si>
    <t>BE-2063/2</t>
  </si>
  <si>
    <t>The loading and tare inscriptions on wagons involved in the accident: - the sum of the tare and the maximum load of the wagons involved in the accident exceeded 80 gross tons per wagon. - converted to 4 axles per wagon, the maximum axle load of 20 ton/axle for an axle diameter of 160mm, may be exceeded. The risk is that when inscriptions are followed for loading the wagons with their maximum load, the maximum axle load is exceeded as a result.</t>
  </si>
  <si>
    <t>The National Safety Authority should ensure that the procedures for determining the maximum load follow the rules and they cannot contribute to the maximum load per axle being exceeded when using the wagons.</t>
  </si>
  <si>
    <t>BE-2063/3</t>
  </si>
  <si>
    <t>The GSM-R connection was temporarily lost after Boortmeerbeek, making communication between the freight train and Traffic Control momentarily impossible. The connection was cut off due to the possible suppression of the GSM-R signal by a strong public mobile network signal whose mobile phone mast was less than 150m from the station in Boortmeerbeek. Currently in Belgium, in contrast to some other European countries, there are no regulations that: - require consultation between the public mobile network operators and the infrastructure manager that the GSM-R network manages, on the positioning of public mobile phone masts in the vicinity of railway lines. - establish to what extent for example public mobile network masts that use a 900MHz mobile frequency must be moved from a railway line and how they must be oriented. In this way that suppressions between the public mobile network and the GSM-R network can be avoided.</t>
  </si>
  <si>
    <t>The telecom regulator (BIPT) and the National Safety Authority (DRSI) should go to the public mobile network operators on the one hand and the infrastructure manager that manages the GSM-R network on the other, to ensure that there is at least constructive cooperation: a) studies are being carried out on the impact of the public mobile network being in close proximity to the railway GSM-R network in order to respond to the identified risk of suppressions between public mobile networks and the GSM-R network b) risk assessments are being carried out in future studies and projects, such as the implantation of GSM-R and public mobile phone masts, and this in relation to the risk of suppressions</t>
  </si>
  <si>
    <t>BE-2139/1</t>
  </si>
  <si>
    <t>Lorsquâ€™un conducteur de train franchit le dernier signal fermé permissif le séparant du train qui le précède, et quâ€™il progresse en marche à vue dans une section occupée par un autre train, aucun autre dispositif technique ne prend le relais pour assister le conducteur : â€¢ il nâ€™existe plus aucun élément de signalisation garantissant lâ€™espacement entre les trains et leur non-rattrapage. â€¢ aucun contact nâ€™est prévu entre le poste de signalisation et le conducteur pour lâ€™informer des conditions dans lesquelles il entre dans la section.</t>
  </si>
  <si>
    <t>* Lâ€™Autorité de Sécurité devrait veiller à ce que le gestionnaire dâ€™infrastructure et lâ€™entreprise ferroviaire prennent des mesures nécessaires pour palier au risque identifié dâ€™une collision suite au rattrapage dâ€™un train par un autre lors dâ€™une marche à vue après avoir franchi un signal permissif fermé. * Lâ€™Autorité de Sécurité devrait vérifier la nécessité dâ€™étendre la recommandation aux autres entreprises ferroviaires.</t>
  </si>
  <si>
    <t>BE-2139/2</t>
  </si>
  <si>
    <t>* The Safety Authority should ensure that the railway infrastructure manager and the company take steps to overcome the identified risk of collision due to catch a train by another during a walk view after crossing a closed permissive signal. * The Safety Authority should verify the need to extend the recommendation to other railway companies.</t>
  </si>
  <si>
    <t>BE-2139/3</t>
  </si>
  <si>
    <t>Le bulletin de freinage du train EE44883, rédigé lors de la formation du train par la SNCF (partenaire de SNCB Logistics pour le transport de trafic diffus Belgique-France), nâ€™indique pas la présence de matières dangereuses dans le convoi. La présence de matière dangereuse (citernes vides mais non dégazées) était bien indiquée sur les documents de chaque véhicule. Ceci a concouru à une confusion lors des échanges dâ€™informations entre le conducteur du train EE44883 et Traffic Control, et par voie de conséquence, à la nécessité de vérification supplémentaire par les services de secours</t>
  </si>
  <si>
    <t>Lâ€™Autorité de Sécurité devrait veiller à ce que lâ€™entreprise ferroviaire SNCB Logistics effectue un audit des procédures adoptées par ses sous-traitants et ses partenaires afin de notamment vérifier les procedures de rédaction des documents lors des formations des trains.</t>
  </si>
  <si>
    <t>BE-2139/4</t>
  </si>
  <si>
    <t>The Safety Authority should ensure that the railway company SNCB Logistics must audit procedures adopted by its subcontractors and partners to verify the procedures including drafting of documents when putting trains into service.</t>
  </si>
  <si>
    <t>BE-2138/1</t>
  </si>
  <si>
    <t>Processus de contrôle</t>
  </si>
  <si>
    <t>Lâ€™Autorité de Sécurité devrait veiller à ce que la société SNCB-Logistics mette en place, dans le cadre de ces processus de contrôle, une surveillance effective basée sur les risques pour lâ€™ensemble des tâches effectuées par son personnel.</t>
  </si>
  <si>
    <t>BE-2138/2</t>
  </si>
  <si>
    <t>The Safety Authority should ensure that the company SNCB Logistics put in place as part of the screening process, an effective risk-based supervision for all tasks performed by its staff.</t>
  </si>
  <si>
    <t>BE-2138/3</t>
  </si>
  <si>
    <t>Structure du rapport d'enquête</t>
  </si>
  <si>
    <t>Lâ€™Autorité de Sécurité devrait sâ€™assurer que les analyses réalisées par la société SNCB-Logistics dans le cadre dâ€™une enquête suite à un accident soient structurées au sein dâ€™un rapport dâ€™enquête, afin dâ€™y faire apparaitre lâ€™analyse systémique et organisationnelle.</t>
  </si>
  <si>
    <t>BE-2138/4</t>
  </si>
  <si>
    <t>The Safety Authority should ensure that the analyzes carried out by the company SNCB Logistics as part of an investigation into an accident are structured in a survey report, in order to bring up the systemic and organizational analysis.</t>
  </si>
  <si>
    <t>BE-1206/1</t>
  </si>
  <si>
    <t>Lâ€™Autorité de Sécurité devrait sâ€™assurer que le gestionnaire dâ€™infrastructure analyse la pertinence ...</t>
  </si>
  <si>
    <t>Lâ€™Autorité de Sécurité devrait sâ€™assurer que le gestionnaire dâ€™infrastructure analyse la pertinence de lâ€™utilisation systématique de la procédure, et de vérifier le bien fondé de la procédure : gain réel en temps par rapport à lâ€™augmentation du risque de dépassement de petit signaux dâ€™arrêts et le cas échéant la mise en place de barrière de défense.</t>
  </si>
  <si>
    <t>BE-1206/2</t>
  </si>
  <si>
    <t>The Safety Authority should ensure that the infrastructure manager analyzes the relevance of the systematic use of the procedure, and verify the correctness of the procedure: real time gain against the increased risk of small overflow and optionally stops the establishment of barrier protection signals.</t>
  </si>
  <si>
    <t>BE-1206/3</t>
  </si>
  <si>
    <t>Lâ€™Autorité de Sécurité devrait sâ€™assurer que le gestionnaire dâ€™infrastructure et lâ€™entreprise ...</t>
  </si>
  <si>
    <t>Lâ€™Autorité de Sécurité devrait sâ€™assurer que le gestionnaire dâ€™infrastructure et lâ€™entreprise ferroviaire structurent les rapports dâ€™enquêtes pour y faire apparaître lâ€™analyse systémique et organisationnelle.</t>
  </si>
  <si>
    <t>BE-1206/4</t>
  </si>
  <si>
    <t>The Safety Authority should ensure that the infrastructure manager and the railway undertaking structured survey reports to reflect of the systemic and organizational analysis.</t>
  </si>
  <si>
    <t>BE-1206/5</t>
  </si>
  <si>
    <t>Lâ€™Autorité de Sécurité devrait sâ€™assurer que le gestionnaire dâ€™infrastructure et à lâ€™entreprise ...</t>
  </si>
  <si>
    <t>Lâ€™Autorité de Sécurité devrait sâ€™assurer que le gestionnaire dâ€™infrastructure et à lâ€™entreprise ferroviaire ont et mettent en pratique une procédure de décision dâ€™ouverture dâ€™enquête approfondie des presquâ€™accidents.</t>
  </si>
  <si>
    <t>BE-1206/6</t>
  </si>
  <si>
    <t>The Safety Authority should ensure that the infrastructure manager and the railway undertaking and practice have a decision procedure for opening thorough investigation of near misses.</t>
  </si>
  <si>
    <t>BE-2269/1</t>
  </si>
  <si>
    <t>Preventive measures: The presence of works (and the lights) on the day of the accident could have diverted the driver's attention away from correctly perceiving the meaning of signal RX-W.6: the works and the signal were simultaneously visible. In a situation like that which occurred in Wetteren, the infrastructure manager's procedures do not impose temporary speed restrictions.</t>
  </si>
  <si>
    <t>The DRSI should ensure that railway undertakings re-evaluate the procedure for informing train drivers, in the context of works in progress that do not require temporary speed restriction but could create a distraction. The DRSI should ensure that the infrastructure manager re-evaluates the procedure for temporary speed restrictions and ensures that the risk of â€˜train drivers being distracted by works in progress in the adjacent tracksâ€™, as was the case in Wetteren, is incorporated in the safety management system.</t>
  </si>
  <si>
    <t>BE-2269/2</t>
  </si>
  <si>
    <t>Preventive measures: The investigation into the driver's timetable indicated a significant level of fatigue at the start of his service and at the time of the accident. Railway undertakings follow rules related to shift organisation, including for night shifts. This type of shift work scheduling is part of the special assessment during training and recruitment of staff (psychological and medical profile). Nevertheless, depending on the circumstances a specific form of fatigue can occur. When estimation of the fatigue level is based on self-evaluation, the relative ineffectiveness of this evaluation has been demonstrated.</t>
  </si>
  <si>
    <t>The DRSI should ensure that railway undertakings set up procedures to limit the risks of impaired alertness of drivers to a minimum by introducing a system of fatigue management or by any other system.</t>
  </si>
  <si>
    <t>BE-2269/3</t>
  </si>
  <si>
    <t>Recovery measures: The railway system expects the drivers on its railway network to correctly perceive and interpret the signals and to take the appropriate action. The railway undertakings have adopted diff erent protection mechanisms to help prevent accidents. These mechanisms are inadequate in case a driver wrongly perceives or misinterprets a warning signal.</t>
  </si>
  <si>
    <t>The DRSI should ensure that railway undertakings and the infrastructure manager, within the framework of what is possible, take into account the principle of human error, so that a simple failure does not immediately lead to a disaster and that the identified risks are limited by structural and operational measures</t>
  </si>
  <si>
    <t>BE-2269/4</t>
  </si>
  <si>
    <t>Recovery measures: One of the tasks of the train protection system MEMOR is to remind the driver of restrictions using lights on the display: this was not sufficiently striking to be perceived by the driver and to play a role in recalling information. In the best case, the MEMOR light allows the driver to evaluate the situation again, however a correction of their perception of the situation is not possible as the signal is no longer visible and as MEMOR gives no indication of its aspect. In the absence of physical defences with the built-in safety management of trains, the protective measures, present at the time of the accident, were insufficient to prevent an accident.</t>
  </si>
  <si>
    <t>It is important that the commitments, made after the railway accident in Buizingen, are observed to equip the Belgian railway network and the trains with ETCS. It is recommended at all levels of decision making to continue the eff orts to implement the proposed plans. The DRSI should ensure that railway undertakings and infrastructure manager evaluate their safety management system as to elaborate operational measures for the interim period between now and the full equipping of the network with ETCS, that could improve the level of security.</t>
  </si>
  <si>
    <t>BE-2269/5</t>
  </si>
  <si>
    <t>Mitigation measures: During the day of the accident, representatives from several companies entered the safety perimeter around the site of the accident, without prior risk analysis or LMRA (Last Minute Risk Analysis) and without appropriate personal protective equipment. The company responsible for the salvage work applied the above method correctly and effectively and the organization of access to the site of the accident during the salvage operations was more than outstanding</t>
  </si>
  <si>
    <t>The DRSI should ensure that railway undertakings and the infrastructure manager carry out the necessary risk assessments and LMRA in their procedures and ensure that agreements, safety rules and perimeters are respected by its own staff and (sub-) contractors and that persons present are sufficiently aware of the risks associated with the presence of RID goods.</t>
  </si>
  <si>
    <t>BE-2269/6</t>
  </si>
  <si>
    <t>Mitigation measures: The analysis of the GSM-R messages from the driver displayed a relative confusion that has already been brought to light by persons present in other accidents. Certain functions of the GSM-R device seem complex and must be used by a train driver under stress conditions during emergencies.</t>
  </si>
  <si>
    <t>The DRSI should ensure that the railway companies take the necessary measures to address the risks associated with an incorrect manipulation of the GSM-R in emergency situations</t>
  </si>
  <si>
    <t>BE-2269/7</t>
  </si>
  <si>
    <t>Mitigation measures: After the end of the provincial stage, various parties, including provincial authorities, organised and discussions and sharing of lessons learned with all stakeholders. Railway undertakings and the infrastructure manager have so far partially exchanged their experiences.</t>
  </si>
  <si>
    <t>The DRSI should ensure that railway undertakings and the infrastructure manager develop the principle of exchange meetings after serious incidents so that experiences and lessons can be systematically shared.</t>
  </si>
  <si>
    <t>BE-2269/8</t>
  </si>
  <si>
    <t>Mitigation measures: The infrastructure manager's emergency plan foresees that Traffic Control (TC) alerts the emergency service HC100 and acts as the single point of contact. As a result of communication problems with the driver, TC was required to gather information. TC did not directly contact HC100 but allows contacts through a service of SNCB/ NMBS Holding, the SOC, which is not offi cially recognised by the HC100 for these situations.</t>
  </si>
  <si>
    <t>The DRSI should ensure that the infrastructure manager meets all its obligations as foreseen in the internal emergency intervention plan in order to avoid possible misunderstandings.</t>
  </si>
  <si>
    <t>BE-2269/9</t>
  </si>
  <si>
    <t>Mitigation measures: The intervention of the emergency services took place before complete and accurate information on the RID goods, provided by the railway undertakings, was communicated. Ideally the emergency services must be informed of this information before their arrival on site, in order to ensure the safety of residents and of own staff and to adopt proper procedures when fighting fires.</t>
  </si>
  <si>
    <t>The DRSI should ensure that the infrastructure manager evaluates procedures to ensure that all expected information about RID goods is immediately and automatically communicated to HC100.</t>
  </si>
  <si>
    <t>BE-2269/10</t>
  </si>
  <si>
    <t>Mitigation measures: The driving behaviour of train drivers can be evaluated through the analysis of train data recorders. There is no original manual for the use of the train data recorder in an official language, reviews could not be traced and a manual for the analysis of train data recorders relating to evaluations of drivers was not available. Recent technical adjustments to the locomotives involved in the accident, including the provision for registration of the use of the horn are properly documented and traceable. The information from train data recorders was insufficiently used by the railway undertaking for evaluation and guidance of train drivers.</t>
  </si>
  <si>
    <t>The DRSI should ensure that the railway undertaking completes the working procedures, documentation and manuals for the train data recorders and that all changes are traceable.</t>
  </si>
  <si>
    <t>BE-3941/1</t>
  </si>
  <si>
    <t>When a train driver passes the final permissive signal at danger separating them from the train in front, and they continue in running at sight in a section occupied by another train, no technical measure takes over to assist the driver: â€¢ with the exception of the tail light, there is no signalling element guaranteeing the space between trains, to avoid catching up. â€¢ no contact is foreseen in the infrastructure managerâ€™s regulations between the signal box and the driver: the signal box has no view of the automatic signals.</t>
  </si>
  <si>
    <t>The Safety Authority should Ensure that there is consideration of the risks of collision following the catching up of a train by another, led by the actors in the railway sector: â€¢ in order to identify the various elements that come into play whether at an organisational, technical or operational level; â€¢ and in order to identify control and recovery measures to be taken</t>
  </si>
  <si>
    <t>BE-3941/2</t>
  </si>
  <si>
    <t>The service life of a lamp is 2 years. It is equipped with a main battery with a service life of 2600 hours and a back-up battery with a life of 50 hours. Estimating the service life of the battery by counting service hours is difficult: the power switch is only automatically switched on and the lamp illuminated when the lamp is slid into the lamp bracket on the rear wagon of the train. Using the lamp's testing button, it is possible to check that it works using the back-up battery. This check is made in theory before using the lamp, but this operation is not recorded.</t>
  </si>
  <si>
    <t>The Safety Authority should Ensure that the railway undertaking takes the necessary measures to mitigate the identified risks of a failure of the lamp battery placed on the rear wagon. The Safety Authority should verify the need to extend the recommendation to other railway undertakings.</t>
  </si>
  <si>
    <t>BE-3941/3</t>
  </si>
  <si>
    <t>During its investigation, the IB checked the placement of a lamp on different types of wagons operating on the Belgian railway network. The problems of compatibility have been raised: the lamp does not lock sufficiently into the support on certain types of wagons: â€¢ it is not sufficiently held in and could therefore fall out; â€¢ he on switch is not activated. This situation seems to be known to agents on the ground, who have adapted their working methods: they mitigate the problem of support by forcing the lamp into the bracket with the help of a hammer, without being able to resolve the problem with switching on. These incompatibilities and the deviation of working methods have not been transmitted to the management of the railway undertaking.</t>
  </si>
  <si>
    <t>The Safety Authority should Ensure that the railway undertaking takes the necessary measures to mitigate the identified risk of the incompatibility of tail lamps and brackets on the wagons in which they are placed. The Safety Authority should verify the necessity of extending the recommendation to the whole railway sector. The Safety Authority should Ensure that the railway undertaking SNCB/NMBS Logistics takes the necessary measures to: â€¢ raise the awareness of personnel on submitting information to the management (via, for example, the involvement of management in checks on the ground); â€¢ apply the procedures described in its SMS and possibly adapt them.</t>
  </si>
  <si>
    <t>BE-4281/1</t>
  </si>
  <si>
    <t>Coordination RUs/IM about ETCS implementation</t>
  </si>
  <si>
    <t>Nous recommandons que l'Autorité de Sécurité veille à ce que : â€¢ les échanges entre le gestionnaire de l'infrastructure et les entreprises ferroviaires permettent une meilleure coordination de l'implémentation de l'ETCS; â€¢ des échanges soient menés sur les analyses de sécurité et/ ou études de risques ainsi que sur les mesures proposées pour atténuer les risques induits; â€¢ en l'absence de certaines études, celles-ci soient réalisées.</t>
  </si>
  <si>
    <t>BE-4281/2</t>
  </si>
  <si>
    <t>We recommend that the Security Authority ensure that: â€¢ exchanges between the infrastructure manager and the railway undertakings allow better coordination of the implementation of ETCS; â€¢ exchanges are conducted on safety analyzes and / or risk studies and on proposed measures to mitigate the risks involved; â€¢ in the absence of some studies, they are carried out.</t>
  </si>
  <si>
    <t>BE-4281/3</t>
  </si>
  <si>
    <t>Risk-Fatigue of train drivers</t>
  </si>
  <si>
    <t>Nous recommandons que l'Autorité de Sécurité impose au travers du système de gestion de sécurité des entreprises ferroviaires de gérer en continu les risques de sécurité lié à la fatigue des conducteurs de train et plus particulièrement par une gestion multi-dimensionnelle des horaires</t>
  </si>
  <si>
    <t>BE-4281/4</t>
  </si>
  <si>
    <t>We recommend that the Safety Authority impose, through the safety management system of the railway undertakings, to continuously manage the safety risks associated with the tiredness of train drivers and more particularly by multi-dimensional management schedules</t>
  </si>
  <si>
    <t>BE-4281/5</t>
  </si>
  <si>
    <t>Report</t>
  </si>
  <si>
    <t>Nous recommandons qu'un système soit mis en place pour encourager les collaborateurs de l'entreprise ferroviaire et du gestionnaire d'infrastructure à rapporter les comportements prudents et imprudents au sein de son entreprise.</t>
  </si>
  <si>
    <t>BE-4281/6</t>
  </si>
  <si>
    <t>We recommend that a system be put in place to encourage employees of the railway undertaking and the infrastructure manager to report cautious and reckless behavior within their company.</t>
  </si>
  <si>
    <t>BE-4363/1</t>
  </si>
  <si>
    <t>Le SSICF devrait veiller à ce que le gestionnaire dâ€™infrastructure gère la végétation le long des ...</t>
  </si>
  <si>
    <t>Le SSICF devrait veiller à ce que le gestionnaire d'infrastructure gère la végétation le long des voies afin que les problèmes d'adhérence suite à la chute des feuilles soient évités.</t>
  </si>
  <si>
    <t>BE-4363/2</t>
  </si>
  <si>
    <t>DVIS zou erop moeten toezien dat de infrastructuurbeheerder de vegetatie langs de sporen zodanig beheert dat adhesieproblemen door bladval vermeden worden.</t>
  </si>
  <si>
    <t>BE-4363/3</t>
  </si>
  <si>
    <t>The NSA will ensure that the infrastructure manager manages the vegetation along the tracks so that the adhesion problems following the fall of the leaves are avoided.</t>
  </si>
  <si>
    <t>BE-4363/4</t>
  </si>
  <si>
    <t>Le SSICF devrait veiller à ce que le gestionnaire d'infrastructure élabore des lignes directrices ...</t>
  </si>
  <si>
    <t>Le SSICF devrait veiller à ce que le gestionnaire d'infrastructure élabore des lignes directrices traçables pour le nettoyage des voies, en tenant compte des constatations du rapport.</t>
  </si>
  <si>
    <t>BE-4363/5</t>
  </si>
  <si>
    <t>DVIS zou erop moeten toezien dat de infrastructuurbeheerder traceerbare richtlijnen voor het reinigen van de sporen uitwerkt, rekening houdend met de vaststellingen uit het verslag.</t>
  </si>
  <si>
    <t>BE-4363/6</t>
  </si>
  <si>
    <t>The NSA should ensure that the infrastructure manager traceable develops guidelines for cleaning the tracks, taking into account the report of the findings.</t>
  </si>
  <si>
    <t>BE-4363/7</t>
  </si>
  <si>
    <t>Le SSICF devrait veiller à ce que le gestionnaire d'infrastructure mette en place un système ...</t>
  </si>
  <si>
    <t>Le SSICF devrait veiller à ce que le gestionnaire d'infrastructure mette en place un système permettant de mesurer et d'analyser la qualité du nettoyage.</t>
  </si>
  <si>
    <t>BE-4363/8</t>
  </si>
  <si>
    <t>DVIS zou erop moeten toezien dat de infrastructuurbeheerder een systeem invoert dat toelaat de kwaliteit van de reinigingen te meten en te analyseren.</t>
  </si>
  <si>
    <t>BE-4363/9</t>
  </si>
  <si>
    <t>The NSA should ensure that the infrastructure manager should set up a system to measure and analyze the quality of the cleaning.</t>
  </si>
  <si>
    <t>BE-4363/10</t>
  </si>
  <si>
    <t>Le SSICF devrait veiller à ce que le gestionnaire d'infrastructure améliore l'efficacité du système ...</t>
  </si>
  <si>
    <t>Le SSICF devrait veiller à ce que le gestionnaire d'infrastructure améliore l'efficacité du système de prévision de l'état glissant (adhérence) des voies.</t>
  </si>
  <si>
    <t>BE-4363/11</t>
  </si>
  <si>
    <t>DVIS zou erop moeten toezien dat de infrastructuurbeheerder de betrouwbaarheid verbetert van het voorspellingssysteem voor het voorspellen van de gladheid van de sporen.</t>
  </si>
  <si>
    <t>BE-4363/12</t>
  </si>
  <si>
    <t>The NSA should ensure that the infrastructure manager improves the efficiency of forecasting the slipperiness system (adhesion) of the tracks.</t>
  </si>
  <si>
    <t>BE-4363/13</t>
  </si>
  <si>
    <t>Le SSICF devrait veiller à ce que les entreprises ferroviaires signalent sans délai au gestionnaire ...</t>
  </si>
  <si>
    <t>Le SSICF devrait veiller à ce que les entreprises ferroviaires signalent sans délai au gestionnaire d'infrastructure les informations urgentes concernant les problèmes d'adhérence.</t>
  </si>
  <si>
    <t>BE-4363/14</t>
  </si>
  <si>
    <t>DVIS zou erop moeten toezien dat spoorwegondernemingen dringende informatie over adhesieproblemen zonder vertraging doorgeven aan de infrastructuurbeheerder.</t>
  </si>
  <si>
    <t>BE-4363/15</t>
  </si>
  <si>
    <t>The NSA should ensure that railway companies report without delay to the infrastructure manager urgent information about grip problems.</t>
  </si>
  <si>
    <t>BE-4363/16</t>
  </si>
  <si>
    <t>Le SSICF devrait veiller à ce que le gestionnaire d'infrastructure donne les instructions à ses ...</t>
  </si>
  <si>
    <t>Le SSICF devrait veiller à ce que le gestionnaire d'infrastructure donne les instructions à ses services afin de répondre en temps opportun aux problèmes d'adhérence.</t>
  </si>
  <si>
    <t>BE-4363/17</t>
  </si>
  <si>
    <t>DVIS zou erop moeten toezien dat de infrastructuurbeheerder aan haar diensten instructies geeft om tijdig te reageren bij adhesieproblemen.</t>
  </si>
  <si>
    <t>BE-4363/18</t>
  </si>
  <si>
    <t>The NSA should ensure that the infrastructure manager gives instructions to its services to meet timely to adhesion problems.</t>
  </si>
  <si>
    <t>BE-4363/19</t>
  </si>
  <si>
    <t>Le SSICF devrait veiller à ce que les entreprises ferroviaires et le gestionnaire d'infrastructure ...</t>
  </si>
  <si>
    <t>Le SSICF devrait veiller à ce que les entreprises ferroviaires et le gestionnaire d'infrastructure coopèrent afin de garantir un échange efficace d'informations.</t>
  </si>
  <si>
    <t>BE-4363/20</t>
  </si>
  <si>
    <t>DVIS zou erop moeten toezien dat de spoorwegondernemingen en infrastructuurbeheerder samenwerken om een efficiënte uitwisseling van informatie te verzekeren</t>
  </si>
  <si>
    <t>BE-4363/21</t>
  </si>
  <si>
    <t>The NSA should ensure that railway undertakings and infrastructure managers shall cooperate to ensure efficient information exchange.</t>
  </si>
  <si>
    <t>BE-4363/22</t>
  </si>
  <si>
    <t>Le SSICF devrait veiller à ce que le gestionnaire d'infrastructure et les entreprises ferroviaires ...</t>
  </si>
  <si>
    <t>Le SSICF devrait veiller à ce que le gestionnaire d'infrastructure et les entreprises ferroviaires identifient en collaboration tous les risques associés aux problèmes d'adhérence et définissent des objectifs concrets pour s'assurer que les risques identifiés soient gérés.</t>
  </si>
  <si>
    <t>BE-4363/23</t>
  </si>
  <si>
    <t>DVIS zou erop moeten toezien dat de infrastructuurbeheerder en de spoorwegondernemingen in samenwerking alle risicoâ€™s verbonden aan adhesieproblemen identificeren en concrete objectieven definiëren om ervoor te zorgen dat geïdentificeerde risicoâ€™s effectief beheerd worden.</t>
  </si>
  <si>
    <t>BE-4363/24</t>
  </si>
  <si>
    <t>The NSA should ensure that infrastructure managers and railway undertakings together identify all risks associated with adhesion and set concrete targets to ensure that problems identified risks are managed.</t>
  </si>
  <si>
    <t>BE-4363/25</t>
  </si>
  <si>
    <t>Le SSICF devrait veiller à ce que le gestionnaire d'infrastructure et les entreprises ferroviaires prennent les mesures de correction appropriées afin de mesurer et d'analyser tous les problèmes d'adhérence sur la base de critères permettant d'évaluer la véritable ampleur des problèmes d'adhérence.</t>
  </si>
  <si>
    <t>BE-4363/26</t>
  </si>
  <si>
    <t>DVIS zou erop moeten toezien dat de infrastructuurbeheerder en de spoorwegondernemingen de nodige maatregelen nemen om alle relevante adhesieproblemente meten en te analyseren aan de hand van criteria die toelaten de juiste omvang van adhesieproblemen te evalueren.</t>
  </si>
  <si>
    <t>BE-4363/27</t>
  </si>
  <si>
    <t>The NSA should ensure that infrastructure managers and railway undertakings shall take appropriate corrective action to measure and analyze all adhesion problems on the basis of criteria to assess the true extent of problems adhesion.</t>
  </si>
  <si>
    <t>BE-4363/28</t>
  </si>
  <si>
    <t>Le SSICF devrait veiller à ce que les entreprises ferroviaires évaluent le bon fonctionnement et le ...</t>
  </si>
  <si>
    <t>Le SSICF devrait veiller à ce que les entreprises ferroviaires évaluent le bon fonctionnement et le bon réglage du système de graissage des boudins.</t>
  </si>
  <si>
    <t>BE-4363/29</t>
  </si>
  <si>
    <t>DVIS zou erop moeten toezien dat de spoorwegondernemingen de juiste werking en de goede afregeling van de wielkranssmering evalueren.</t>
  </si>
  <si>
    <t>BE-4363/30</t>
  </si>
  <si>
    <t>The NSA should ensure that railway undertakings assess the proper functioning and the proper adjustment of the wheel flange lubrication system.</t>
  </si>
  <si>
    <t>BE-4363/31</t>
  </si>
  <si>
    <t>Le SSICF devrait veiller à ce que le gestionnaire d'infrastructure et les entreprises ferroviaires identifient tous les risques associés au graissage de boudin des roues et définissent des objectifs spécifiques pour s'assurer que les risques identifiés soient gérés efficacement.</t>
  </si>
  <si>
    <t>BE-4363/32</t>
  </si>
  <si>
    <t>DVIS zou erop moeten toezien dat de infrastructuurbeheerder en de spoorwegondernemingen in samenwerking alle risicoâ€™s verbonden aan wielkranssmering identificeren en concrete objectieven definiëren om ervoor te zorgen dat geïdentificeerde risicoâ€™s effectief beheerd worden.</t>
  </si>
  <si>
    <t>BE-4363/33</t>
  </si>
  <si>
    <t>The NSA should ensure that infrastructure managers and railway undertakings identifies any risks associated with the wheel flange lubrication and define specific targets to ensure that the identified risks are effectively managed.</t>
  </si>
  <si>
    <t>BE-4888/1</t>
  </si>
  <si>
    <t>Training on possible routine errors and the traps linked to routine</t>
  </si>
  <si>
    <t>The IB recommends that the NSA makes sure that the railway undertaking, in cooperation with training centres, reinforce the trained drivers on possible routine errors and the traps linked to routine in operational situations rarely encountered.</t>
  </si>
  <si>
    <t>BE-4888/2</t>
  </si>
  <si>
    <t>Rules of good practice after long work-interruption</t>
  </si>
  <si>
    <t>The IB recommends that railway undertakings identify rules of good practice be installed with regard to management of leave and return from leave</t>
  </si>
  <si>
    <t>BE-4888/3</t>
  </si>
  <si>
    <t>Management of overspeed risks</t>
  </si>
  <si>
    <t>The IB recommends that railway undertakings carry out: â€¢ sufficient sampling of speed tapes in order to assure efficient management of overspeed risks; â€¢ statistics permitting the cross-checking of data in terms of potential explanatory factors.</t>
  </si>
  <si>
    <t>BE-4888/4</t>
  </si>
  <si>
    <t>Risk management</t>
  </si>
  <si>
    <t>The IB recommends that the infrastructure manager review its current risk management to determine if new elements related with the analyzed accident do not require an adaptation of this risk management.</t>
  </si>
  <si>
    <t>BE-5098/1</t>
  </si>
  <si>
    <t>Distraction during driving</t>
  </si>
  <si>
    <t>The Investigation Body recommends that the railway company continue its investigations and checks to avoid distractions during driving.</t>
  </si>
  <si>
    <t>BE-5098/2</t>
  </si>
  <si>
    <t>Compliance with driving rules</t>
  </si>
  <si>
    <t>The Investigation Body recommends that the railway company continue raising awareness and accountability of train drivers regarding the risks posed by the non-compliance with driving rules</t>
  </si>
  <si>
    <t>BE-5133/1</t>
  </si>
  <si>
    <t>Mieux identifier les risques de déraillement suite à une accélération en combinaison de facteurs tels que mouvement poussé et courbe en S à faible rayon</t>
  </si>
  <si>
    <t>Lâ€™Autorité de Sécurité devrait veiller à ce que lâ€™entreprise ferroviaire identifie mieux les risques de déraillement suite à une accélération en combinaison de facteurs tels que mouvement poussé et courbe en S à faible rayon et sâ€™assure de prendre les mesures pour diminuer les risques liés à ces facteurs, au travers de contrôles, de formations, dâ€™instructions, etc.</t>
  </si>
  <si>
    <t>BE-5133/2</t>
  </si>
  <si>
    <t>The Safety Authority shall ensure that the railway undertaking identifies better the risks of derailment after an acceleration combined with factors such as the pushed movement and small radius S curves and makes sure that measures are taken to diminish the risks connected to these factors based on controls, trainings, instructions, etc.</t>
  </si>
  <si>
    <t>BE-5133/3</t>
  </si>
  <si>
    <t>Mieux informer des risques liés au serrage non conforme des attelages</t>
  </si>
  <si>
    <t>Lâ€™Autorité de Sécurité devrait veiller à ce que lâ€™entreprise ferroviaire sâ€™assure de mieux informer des risques liés au serrage non conforme des attelages et dâ€™uniformiser les règles ou instructions concernant le montage, lâ€™inspection et lâ€™utilisation des attelages.</t>
  </si>
  <si>
    <t>BE-5133/4</t>
  </si>
  <si>
    <t>The Safety Authority shall check that the railway undertaking makes sure that information on risks connected to incorrectly tightening of couplings is conveyed and harmonizes the rules or instructions related to the assembling, the inspection and the use of couplings.</t>
  </si>
  <si>
    <t>BE-5133/5</t>
  </si>
  <si>
    <t>Identification du risque de mauvaise exécution des travaux dâ€™aménagement</t>
  </si>
  <si>
    <t>Lâ€™Autorité de Sécurité devrait veiller à ce que le système de gestion de la sécurité de lâ€™entreprise ferroviaire garantisse que, pour une modification au matériel roulant, le risque de mauvaise exécution des travaux dâ€™aménagement soit identifié et que des mesures soient prises pour palier au risque identifié.</t>
  </si>
  <si>
    <t>BE-5133/6</t>
  </si>
  <si>
    <t>The Safety Authority shall check that the management system of the railway undertaking guarantees that for a modification of rolling stock, the risk of a bad execution of development works is identified and that measures are taken to cover the identified risk.</t>
  </si>
  <si>
    <t>BE-5181/1</t>
  </si>
  <si>
    <t>Risk analysis</t>
  </si>
  <si>
    <t>The IB recommends that the infrastructure manager ensures that its internal procedures reflect the experience acquired and the formalising of results of risk analysis in documents so that they allow every step of studies, works and tests carried out to be validated in the context of the alteration of signalling installations.</t>
  </si>
  <si>
    <t>BE-5181/2</t>
  </si>
  <si>
    <t>Action plan for improvements</t>
  </si>
  <si>
    <t>The IB recommends that the DRSI ensures there is a follow-up to the implementation of a comprehensive action plan for improvements made by Infrabel. The audit has been planned by the DRSI for the second half of 2016.</t>
  </si>
  <si>
    <t>BE-5182/1</t>
  </si>
  <si>
    <t>Change management</t>
  </si>
  <si>
    <t>La SNCB devrait évaluer ses procédures actuelles afin de s'assurer que des modifications, même mineures, impactant des systèmes de sécurité (système de freinage,â€¦) soient analysées d'un point de vue des risques engendrés, avant d'effectuer le changement.</t>
  </si>
  <si>
    <t>BE-5182/2</t>
  </si>
  <si>
    <t>The SNCB should evaluate its current procedures to ensure that even minor changes affecting the safety systems (braking system, etc.) are analyzed from the point of view of the risks generated, before making the change.</t>
  </si>
  <si>
    <t>REC-000571</t>
  </si>
  <si>
    <t>BE-5266/1</t>
  </si>
  <si>
    <t>Het niet correct verwerken van de door de signalisatie gegeven informatie (bevelen) met betrekking tot de na te leven snelheidsbeperkingen ten gevolge een verkeerde mentale voorstelling (cognitieve bias).</t>
  </si>
  <si>
    <t>Het onderzoekorgaan raadt de infrastructuurbeheerder en de spoorwegonderneming aan na te gaan of gelijkaardige vaststellingen een invloed kunnen hebben op hun werking op andere plaatsen en, zo dit het geval zou zijn, om hiervoor gepaste actieplannen op te stellen.</t>
  </si>
  <si>
    <t>BE-5266/2</t>
  </si>
  <si>
    <t>The investigating body advises the infrastructure manager and the railway undertaking to examine whether similar findings can affect their operation in other places and, if this were the case, to draw up appropriate action plans for this.</t>
  </si>
  <si>
    <t>REC-000572</t>
  </si>
  <si>
    <t>BE-5266/3</t>
  </si>
  <si>
    <t>Twee specifieke passages in de interne regelgeving van de spoorwegonderneming kunnen leiden tot willekeurige beroepshandelingen of onjuiste interpretaties.</t>
  </si>
  <si>
    <t>Het Onderzoeksorgaan raadt de infrastructuurbeheerder en de spoorwegonderneming aan na te gaan dat de sector de regelgeving met betrekking tot het versnellen aan einde-zoneborden en met betrekking tot de definitie van de lijnmerkborden evalueert.</t>
  </si>
  <si>
    <t>BE-5266/4</t>
  </si>
  <si>
    <t>The Investigation Body advises the infrastructure manager and the railway undertaking to verify that the sector is evaluating the regulations with regard to speeding up end-of-road signs and with regard to the definition of the line markers.</t>
  </si>
  <si>
    <t>BE-5445/1</t>
  </si>
  <si>
    <t>Medecines</t>
  </si>
  <si>
    <t>The DRSI should ensure that railway undertakings take into account the identified risk linked to the taking, prior to driving, of medicines not considered as unsafe but, which have an ef-fect over a limited time, and which can nonetheless have a negative effect on driving.The DRSI should ensure that railway undertakings make drivers aware of the fact that the effect of a medicine is limited over time and risks giving them a false sense of their ability to perform their service.</t>
  </si>
  <si>
    <t>BE-5445/2</t>
  </si>
  <si>
    <t>ATP/ATC on 7D or 7D1 locomotives</t>
  </si>
  <si>
    <t>The DRSI should ensure that all railway undertakings take the necessary measures to adapt all the locomotives to configuration 7D or 7D1</t>
  </si>
  <si>
    <t>BE-5445/3</t>
  </si>
  <si>
    <t>Conflicts in planning and timetables</t>
  </si>
  <si>
    <t>The DRSI should ensure that the Infrastructure Manager implements as quickly as possible the project which is currently being studied, aiming to eliminate conflicts in the planning and main-tenance of timetables</t>
  </si>
  <si>
    <t>BE-5445/4</t>
  </si>
  <si>
    <t>FMRS</t>
  </si>
  <si>
    <t>The DRSI should ensure that railway undertakings deploy an efficient FRMS that is not only based on strict application of the rules but also on elements such as training and driving awa-reness, service planning, introduction of hypovigilance detection systems, etc</t>
  </si>
  <si>
    <t>BE-5446/1</t>
  </si>
  <si>
    <t>Recommendation 1 â€“ direct factor</t>
  </si>
  <si>
    <t>The infrastructure manager should ensure that there is an active safety method in place at all times when works are being carried out.</t>
  </si>
  <si>
    <t>BE-5446/2</t>
  </si>
  <si>
    <t>Recommendation 2 â€“ indirect factor - 1</t>
  </si>
  <si>
    <t>The infrastructure manager and the contractor should ensure that the communication between the various parties involved is complete and unambiguous, at both the start and the end of a safety method as well as when switching between safety methods.</t>
  </si>
  <si>
    <t>BE-5446/3</t>
  </si>
  <si>
    <t>Recommendation 3 â€“ indirect factor - 2</t>
  </si>
  <si>
    <t>The infrastructure manager and the contractor should ensure that the â€œclear trackâ€ rules and instructions for the use of forms are followed strictly.</t>
  </si>
  <si>
    <t>BE-5446/4</t>
  </si>
  <si>
    <t>Recommendation 4 â€“ underlying factor - 1</t>
  </si>
  <si>
    <t>The infrastructure manager should supervise to ensure that full procedures are developed for: â€¢ the commencement and termination of safety methods (specific working conditions) and â€¢ switching between safety methods (dynamic working conditions).</t>
  </si>
  <si>
    <t>BE-5446/5</t>
  </si>
  <si>
    <t>Recommendation 5 â€“ underlying factor - 2</t>
  </si>
  <si>
    <t>The contractor should ensure that a risk analysis (including the accompanying measures) is made for the application of safety measures that are imposed by the infrastructure manager.</t>
  </si>
  <si>
    <t>BE-5446/6</t>
  </si>
  <si>
    <t>Recommendation 6 â€“ underlying factor - 3</t>
  </si>
  <si>
    <t>The infrastructure manager and the contractor should ensure that the contractor includes a risk analysis of the safety methods provided for in its health and safety plan.</t>
  </si>
  <si>
    <t>BE-5446/7</t>
  </si>
  <si>
    <t>Recommendation 7 â€“ underlying factor - 4</t>
  </si>
  <si>
    <t>The contractor and the infrastructure manager should ensure that the training sessions give consideration to dangers and risks related to a change in operational circumstances (dynamic working circumstances).</t>
  </si>
  <si>
    <t>REC-000884</t>
  </si>
  <si>
    <t>BE-5514/1</t>
  </si>
  <si>
    <t>Risk of runaway vehicles</t>
  </si>
  <si>
    <t>Several cases of runaway railway vehicles are analysed or have already been the subject of a finalised investigation by the IB. Each time, the circumstances are different and the analyses of these different cases allow to detect that the causes reveal both technical aspects and operational, even organisational, aspects. The risks of a runaway railway vehicle have been analysed, but the measures taken by the railway industry do not appear to be adapted to the present railway situation. The railway geography, the organisation of the sector, the numerous customisation and modernisation works and the evolution of the rolling stock have brought about important changes with respect to the analyses of the past and it seems right to review these risk analyses, in particular in terms of the elements highlighted in this investigation: â€¢ a train with a non-braked vehicle at the rear of the convoy is authorised to travel to the closest station, although there is no emergency procedure that enables to stop a runaway vehicle for sure should this occur. â€¢ certain measures taken to protect personnel working on the tracks (closing of the signals) do not protect from the risk of being hit by a runaway railway vehicle, whether this vehicle ran away from a â€œtechnical trainâ€ (re-railing train, work train) travelling by regulation on the obstructed track, or it ran away from a train located at the signals giving access to the obstructed section. In the case of such events of a runaway train, maintaining automatic signals giving access to the obstructed section or track closed does not protect the personnel (of the infrastructure manager and/or of the re-railing train) standing in the tracks. The IB recommends that the railway undertakings and the infrastructure manager jointly verify the risk analyses and the technical, regulatory and procedural measures to provide an adequate response to the risk of runaway vehicles.</t>
  </si>
  <si>
    <t>REC-000885</t>
  </si>
  <si>
    <t>BE-5514/2</t>
  </si>
  <si>
    <t>Training procedures</t>
  </si>
  <si>
    <t>In the past, the SNCB/NMBS identified a problem with the manual uncoupling system of the AM96: damages were detected to the sheath of the cable connecting the lever of the coupler to the crank. The analysis that was then carried out by the SNCB/NMBS rightly concluded that damage appears when drivers use their foot to apply greater force on the crank. The risks of improper use of the crank have been identified by the railway undertaking and measures had been taken in the workshop during servicing of the rolling stock. However, it seems that the measures taken by the SNCB/NMBS were insufficient to get the driving personnel to use the crank the procedures: â€¢ practical exercises on the procedure of manually uncoupling AM96 are not systematically integrated in the driversâ€™ training; â€¢ the sticker placed next to the crank in the driverâ€™s cabin reminds that the crank must be used manually, but does not mention the simultaneous manoeuvre in both driverâ€™s cabins; â€¢ the SNCB/NMBS documentation did not allow to efficiently draw the attention of the driving personnel on the issue. Based on these elements, the IB recommends that SNCB/NMBS analyses its training procedure so as to raise awareness of staff in terms of the risks identified.</t>
  </si>
  <si>
    <t>BE-5774/1</t>
  </si>
  <si>
    <t>Traceability</t>
  </si>
  <si>
    <t>The Investigation Unit recommends the Infrastructure Manager to take the necessary measures to ensure that all documents and plans are traceable at all stages of a project.</t>
  </si>
  <si>
    <t>BE-5774/2</t>
  </si>
  <si>
    <t>Auditing</t>
  </si>
  <si>
    <t>The Investigation Unit recommends the Infrastructure Manager to ensure that the audit of Notice 22 complies with the requirements of its Safety Management System, and that it covers all areas.</t>
  </si>
  <si>
    <t>BE-5774/3</t>
  </si>
  <si>
    <t>Staff</t>
  </si>
  <si>
    <t>The Infrastructure Manager should ensure that project managers put in place teams whose experience is commensurate with the project.</t>
  </si>
  <si>
    <t>BE-5774/4</t>
  </si>
  <si>
    <t>Reglementation</t>
  </si>
  <si>
    <t>The Infrastructure Manager has undertaken an adaptation project to strengthen Notice 22: the Investigation Unit recommends the Infrastructure Manager to ensure that the elements identified during the investigation are integrated into this adaptation</t>
  </si>
  <si>
    <t>BG-997/1</t>
  </si>
  <si>
    <t>RAâ€™ EA (Railway Administration Executive Agency) should order a special inspection on the compliance</t>
  </si>
  <si>
    <t>RAâ€™ EA (Railway Administration Executive Agency) should order a special inspection on the compliance with the regulations on the safety procedures in railway transport concerning the process of handover of duty by the traffic organization officers and the engine crews, as well as the documentary recording of facts and circumstances.</t>
  </si>
  <si>
    <t>BG-997/2</t>
  </si>
  <si>
    <t>â€˜RAâ€™ EA shall require preparation and introduction of emergency measures cards describing the sequen</t>
  </si>
  <si>
    <t>â€˜RAâ€™ EA shall require preparation and introduction of emergency measures cards describing the sequence of actions by traffic organization officers and engine crews in occurrence of direct threat of railway accident.</t>
  </si>
  <si>
    <t>BG-997/3</t>
  </si>
  <si>
    <t>The â€˜RAâ€™ EA shall organize a training seminar with the traffic organization officers and engine crew</t>
  </si>
  <si>
    <t>The â€˜RAâ€™ EA shall organize a training seminar with the traffic organization officers and engine crews for action in cases of possible railway accident. The attendance of officers should be recorded in a protocol.</t>
  </si>
  <si>
    <t>BG-997/4</t>
  </si>
  <si>
    <t>The â€˜RAâ€™ EA shall require a review of the procedure for use of service telephones and radio communic</t>
  </si>
  <si>
    <t>The â€˜RAâ€™ EA shall require a review of the procedure for use of service telephones and radio communications and shall order their use only for official calls.</t>
  </si>
  <si>
    <t>BG-997/5</t>
  </si>
  <si>
    <t>The â€˜RAâ€™ EA shall order the creation of a map for the areas of stations and inter station sections w</t>
  </si>
  <si>
    <t>The â€˜RAâ€™ EA shall order the creation of a map for the areas of stations and inter station sections which are out of range and inaccessible for communication by radio or GSM between the traffic control officer and the engine driver.</t>
  </si>
  <si>
    <t>BG-997/6</t>
  </si>
  <si>
    <t>The General Director of NRIC and the Executive Director of BDZ EAD shall, in conformity with the ap</t>
  </si>
  <si>
    <t>The General Director of NRIC and the Executive Director of BDZ EAD shall, in conformity with the applicable Safety Management Systems (SMS) perform periodical unexpected checks of the operational personnel during the time of taking over duty shifts at the work stations.</t>
  </si>
  <si>
    <t>BG-997/7</t>
  </si>
  <si>
    <t>The General Director of NRIC shall undertake relevant measures towards alteration of Plan II-24 for</t>
  </si>
  <si>
    <t>The General Director of NRIC shall undertake relevant measures towards alteration of Plan II-24 for receiving and dispatching the employee service train at Dragoman station from a track with a duplicated traffic light at the exit with a platform for the personnel who travel every day from and to Dimitrovgrad RS.</t>
  </si>
  <si>
    <t>BG-951/1</t>
  </si>
  <si>
    <t>Certificate renovation</t>
  </si>
  <si>
    <t>â€œBulgarian State Railwaysâ€ EAD (BDG EAD) to take immediate measures on renewing the safety certificate to verify the suitability for the movement of the vehicle on the railway network due to its expiration on 01 July 2009.</t>
  </si>
  <si>
    <t>BG-951/2</t>
  </si>
  <si>
    <t>Instruction</t>
  </si>
  <si>
    <t>BDG EAD to give special instructions to the train crews regarding the danger of fires outbreak in the areas of traction rectifiers, main controllers, reactors and their cables of EMU series 32-00.</t>
  </si>
  <si>
    <t>BG-951/3</t>
  </si>
  <si>
    <t>Aerosol fire extinguishing system</t>
  </si>
  <si>
    <t>To experiment and possibly implement local aerosol fire extinguishing system in the cabinets of traction rectifier, main controller and filter reactor.</t>
  </si>
  <si>
    <t>BG-951/4</t>
  </si>
  <si>
    <t>Statutory inspection</t>
  </si>
  <si>
    <t>BDG EAD to regulate statutory implementation of inspection, repair and control for compliance with the acting mechanical-geometric and electrical standards of all elements and connecting cables in the power circuit, both in 'move' and 'suspension' modes, while implementing "Repair in needs" in event of malfunction of any of them.</t>
  </si>
  <si>
    <t>BG-951/5</t>
  </si>
  <si>
    <t>Control measurements</t>
  </si>
  <si>
    <t>Maintenance staff to perform measurement of the main controller angular chart, the power distribution diagram of the traction rectifiers and adjusting the protect bridges for maximum current of EMU series 32-00 accordingly to the methodology established. This must be done also in all cases of failure and during implementation of "Repair in needs" of any element of the power circuit, both in 'move' and 'suspension' modes.</t>
  </si>
  <si>
    <t>BG-951/6</t>
  </si>
  <si>
    <t>Training and control</t>
  </si>
  <si>
    <t>To take measures for further training and familiarization of the maintenance staff with technical requirements related to maintenance repair activities. To increase the level of the technical control applied during acceptance, repair and delivery of EMU of 32-00 series by the managing repair personnel and the Technical quality control inspector, in order to avoid disturbances in complying with the technology requirements on the repairs carried out in engine-sheds.</t>
  </si>
  <si>
    <t>BG-951/7</t>
  </si>
  <si>
    <t>Container seals</t>
  </si>
  <si>
    <t>Inspection for and bringing in good condition the cover seals of the traction rectifier, main control unit and filtering reactor containers.</t>
  </si>
  <si>
    <t>BG-934/1</t>
  </si>
  <si>
    <t>Video surveillance.</t>
  </si>
  <si>
    <t>In order to minimise the risks of accidents on the railway level crossings due violation of the Law of the road by the drivers of road vehicles, the manager of the railway infrastructure to analyse the risk level crossings and propose their equipment with video surveillance to be carried out jointly with the state and municipal authorities.</t>
  </si>
  <si>
    <t>BG-934/2</t>
  </si>
  <si>
    <t>Installation of barrier beams</t>
  </si>
  <si>
    <t>The railway infrastructure manager to develop and fit out new automatic level crossing control (ALC) equipment with barrier devices beams closing the entire roadbed of the road vehicles for level crossings with intense road traffic.</t>
  </si>
  <si>
    <t>BG-934/3</t>
  </si>
  <si>
    <t>Optimizing the train schedule</t>
  </si>
  <si>
    <t>The RU and RI Manager to optimize the timetable of train movement through areas with intensive road traffic over level crossings with the aim to reduce the time of road closures.</t>
  </si>
  <si>
    <t>BG-934/4</t>
  </si>
  <si>
    <t>Traffic lights repeater</t>
  </si>
  <si>
    <t>On the road, parallel to the railway line, to be fitted repeaters of the traffic lights, pursuant to article 56, paragraph 3 of The Ordinance No. 4 of 27 March 1997 for railroad crossings.</t>
  </si>
  <si>
    <t>BG-926/1</t>
  </si>
  <si>
    <t>Training.</t>
  </si>
  <si>
    <t>RI Manager to continue working for improving the qualifications of the staff members and for creation of respective habits to ensure the safe movement of trains.</t>
  </si>
  <si>
    <t>BG-926/2</t>
  </si>
  <si>
    <t>Control.</t>
  </si>
  <si>
    <t>RI Manager to improve the quality of control and methodological guidance on the station staff work.</t>
  </si>
  <si>
    <t>BG-926/3</t>
  </si>
  <si>
    <t>Security equipment.</t>
  </si>
  <si>
    <t>RI Manager to reduce the participation of subjective factor in securing the movement of trains through rigging the stations and inter-station sections with security equipment that corresponds to the modern requirements, with possibilities for completely â€œimpersonal movementâ€ of trains on double rail for regular signals.</t>
  </si>
  <si>
    <t>BG-901/1</t>
  </si>
  <si>
    <t>Director General of National Railway Infrastructure Company (NRIC) shall initiate by 30.06.2010 a pr</t>
  </si>
  <si>
    <t>Director General of National Railway Infrastructure Company (NRIC) shall initiate by 30.06.2010 a procedure for the closure of railway level crossing at 290+285 km in the inter-station section Chintulovo-Sliven.</t>
  </si>
  <si>
    <t>BG-901/2</t>
  </si>
  <si>
    <t>The Director General of NRIC shall take the necessary measures to control the availability and state</t>
  </si>
  <si>
    <t>The Director General of NRIC shall take the necessary measures to control the availability and state of road signs signaling railway level crossings in order to be able to duly recover these following their theft or damage.</t>
  </si>
  <si>
    <t>BG-901/3</t>
  </si>
  <si>
    <t>The Director General of NRIC shall notify by 12.07. 2010 the Directorate Unit for Aircraft, Maritime</t>
  </si>
  <si>
    <t>The Director General of NRIC shall notify by 12.07. 2010 the Directorate Unit for Aircraft, Maritime and Railway Transport Accidents Investigation at the Ministry of Transport, Information Technology and Communications of the measures taken under it. 1 and 2 hereinabove.</t>
  </si>
  <si>
    <t>BG-858/1</t>
  </si>
  <si>
    <t>The Director General of the National Railway Infrastructure Companyâ€ (NRIC) shall give orders for ex</t>
  </si>
  <si>
    <t>The Director General of the National Railway Infrastructure Companyâ€ (NRIC) shall give orders for extraordinary inspection of the critical sections of the railway network in terms of continuity of the rails, using non-destructive methods. Deadline â€“ 15.06.2010</t>
  </si>
  <si>
    <t>BG-858/2</t>
  </si>
  <si>
    <t>The NRICâ€™s head safety inspector shall carry out control checks of the fulfillment of point 1 and sh</t>
  </si>
  <si>
    <t>The NRICâ€™s head safety inspector shall carry out control checks of the fulfillment of point 1 and shall report in writing to the director of the UAMRAI Directorate with the Ministry of Transport, Information Technologies and Communications (MTITC). Deadline â€“ 30.06.2010</t>
  </si>
  <si>
    <t>BG-858/3</t>
  </si>
  <si>
    <t>The Director General of the Bulgarian State Railways (BDZ) EAD shall update: the passenger carriage</t>
  </si>
  <si>
    <t>The Director General of the Bulgarian State Railways (BDZ) EAD shall update: the passenger carriage intermediate repair rules, the instructions for current maintenance and repair of all types of passenger carriage bogies, the protocols for passenger carriage balancing, the instructions for inspection, repair and test of shock-absorbers, the carriage wheel axle instructions, the train ticket-maser instructions, the passenger trainmaster instructions.</t>
  </si>
  <si>
    <t>BG-858/4</t>
  </si>
  <si>
    <t>The Director General of the Bulgarian State Railways (BDZ) EAD shall, by 20.06.2010, provide the Rai</t>
  </si>
  <si>
    <t>The Director General of the Bulgarian State Railways (BDZ) EAD shall, by 20.06.2010, provide the Railway Administration Executive Agency with the instructions under 12.3 for updating the carrierâ€™s safety management system.</t>
  </si>
  <si>
    <t>BG-858/5</t>
  </si>
  <si>
    <t>The Director General of the Bulgarian State Railways (BDZ) EAD shall take measures for rolling stock</t>
  </si>
  <si>
    <t>The Director General of the Bulgarian State Railways (BDZ) EAD shall take measures for rolling stock certification in accordance with the provisions of the Railway Transport Act.</t>
  </si>
  <si>
    <t>BG-858/6</t>
  </si>
  <si>
    <t>The Director General of the Bulgarian State Railways (BDZ) EAD shall, by 30.06.2010, report in writi</t>
  </si>
  <si>
    <t>The Director General of the Bulgarian State Railways (BDZ) EAD shall, by 30.06.2010, report in writing to the director of the UAMRAI Directorate with the Ministry of Transport, Information Technologies and Communications (MTITC) on the fulfillment of points 3, 4 and 5.</t>
  </si>
  <si>
    <t>BG-820/1</t>
  </si>
  <si>
    <t>BDZ EAD shall give directions to the competent departments to reconsider the location of the Ð¡Ðž2 fir</t>
  </si>
  <si>
    <t>BDZ EAD shall give directions to the competent departments to reconsider the location of the Ð¡Ðž2 fire extinguishers in the engine compartments of all locomotives being currently used, in view of their possible relocation to a suitable place for easier and unobstructed access in case of their use by the engine-drivers.</t>
  </si>
  <si>
    <t>BG-820/2</t>
  </si>
  <si>
    <t>BDZ EAD shall give directions for inspection of the condition of the fire-alarm and fire-extinguishi</t>
  </si>
  <si>
    <t>BDZ EAD shall give directions for inspection of the condition of the fire-alarm and fire-extinguishing systems of all electric locomotives being currently used, and find a technical solution to ensure safer and more efficient way of their activation from the standard places.</t>
  </si>
  <si>
    <t>BG-820/3</t>
  </si>
  <si>
    <t>BDZ EAD shall give directions for the provision of new type of fire-safe dry capacitors for the RC o</t>
  </si>
  <si>
    <t>BDZ EAD shall give directions for the provision of new type of fire-safe dry capacitors for the RC over-voltage protection units of the rectifiers, in view of their replacement during the next scheduled repairs (HR, MLR, MR).</t>
  </si>
  <si>
    <t>BG-820/4</t>
  </si>
  <si>
    <t>A special briefing on fire and accident safety and the actions of the locomotive crews in case of fi</t>
  </si>
  <si>
    <t>A special briefing on fire and accident safety and the actions of the locomotive crews in case of fire in the hauling rolling stock (HRS) shall be conducted by 31.01.2010.</t>
  </si>
  <si>
    <t>BG-820/5</t>
  </si>
  <si>
    <t>By 31.03.2010, BDZ EAD shall notify the chairman of the investigation commission of the measures und</t>
  </si>
  <si>
    <t>By 31.03.2010, BDZ EAD shall notify the chairman of the investigation commission of the measures undertaken with the aim of fulfilling the proposals under the above points 1-4.</t>
  </si>
  <si>
    <t>BG-431/1</t>
  </si>
  <si>
    <t>BDZ EAD should review and update its regulations regarding fire safety, and specify and submit up-to</t>
  </si>
  <si>
    <t>BDZ EAD should review and update its regulations regarding fire safety, and specify and submit up-to-date measures for operative control of their fulfillment. BDZ EAD should notify in writing the Directorate for Aircraft, Maritime and Railway Accident Investigation (DAMRAI) in the Ministry of Transport, Information Technologies and Communications of the specified measures and their implementation.</t>
  </si>
  <si>
    <t>BG-431/2</t>
  </si>
  <si>
    <t>BDZ EAD should conduct additional training of the staff for practical familiarization with the opera</t>
  </si>
  <si>
    <t>BDZ EAD should conduct additional training of the staff for practical familiarization with the operation of various types of fire extinguishers.</t>
  </si>
  <si>
    <t>BG-431/3</t>
  </si>
  <si>
    <t>BDZ EAD should ensure permanent availability of the necessary operative anti-fire equipment in the t</t>
  </si>
  <si>
    <t>BDZ EAD should ensure permanent availability of the necessary operative anti-fire equipment in the trains, and maintain the electric installations of the rolling stock in good working order.</t>
  </si>
  <si>
    <t>BG-431/4</t>
  </si>
  <si>
    <t>. Executive Agency â€œRailway Administrationâ€, in its capacity of a national agency in charge of safet</t>
  </si>
  <si>
    <t>. Executive Agency â€œRailway Administrationâ€, in its capacity of a national agency in charge of safety, based on a thorough analysis of the circumstances relating to the case, should draw up additional proposals for organizational and technical measures to ensure the necessary level of safety, and prescribe them to the railway carriers providing passenger transport services, and provide preventive control for their implementation through General Directorate â€œRailway inspectionâ€ and its regional railway inspection bodies.</t>
  </si>
  <si>
    <t>BG-1194/1</t>
  </si>
  <si>
    <t>Managers of' "BDZ - Passenger Transport" Ltd. to order the relevant responsible agencies to re-inspe</t>
  </si>
  <si>
    <t>Managers of' "BDZ - Passenger Transport" Ltd. to order the relevant responsible agencies to re-inspect and take appropriate measures and actions for: - change of the extinguishing installation with more efficient one, giving possibilities for extinguishing outbreaks of fire in the rectifier cabinet and other difficult to reach areas in the electric locomotive; - replacement of currently extinguishing agent with a more modern type, allowing for more successful firefighting; - exploring the possibility of placement of additional resources (pyro-extinguishing cartridges) providing timely and reliable suppression of a fire. - on the basis of the results from the conducted experiments with the planned new type dry capacitors for the rectifier unit of the electric locomotives, timely replacement of the old at the planned subsequent repairs (LR, MR and CR); - upgrading the fire alarm installation of the electric locomotives of the same series; - timely correction of any leaks or loss of oil from the links and aggre</t>
  </si>
  <si>
    <t>BG-1194/2</t>
  </si>
  <si>
    <t>By 30.03.2012 the managers of "BDZ - Passenger Transport" LTD to inform in writing the "Unit for in</t>
  </si>
  <si>
    <t>By 30.03.2012 the managers of "BDZ - Passenger Transport" LTD to inform in writing the "Unit for investigation of accidents in air, sea and rail transport" Directorate in the Ministry of Transport, Information Technologies and Communication about the measures and actions taken for the implementation of the recommendations in the previous section to prevent accidents and incidents of a similar nature.</t>
  </si>
  <si>
    <t>BG-2495/1</t>
  </si>
  <si>
    <t>Staff Training</t>
  </si>
  <si>
    <t>1. Holding Bulgarian State Railways EAD should perform extraordinary instructions and give a specialized training to be done by the Fire Safety and Civil Protection General Department (FSCP GD) with the Ministry of Interior (MoI) to the staff directly involved in the operation of traction rolling stock and train servicing on actions in an event of emergency (a fire in rolling stock) so that they can effectively deal with fire safety installations and equipment fitted;</t>
  </si>
  <si>
    <t>BG-2495/2</t>
  </si>
  <si>
    <t>Inspection of the electrical locomotives repair procedures implementation</t>
  </si>
  <si>
    <t>2. To carry out inspection of all electric locomotives of 44000 and 45000 series operated by Holding Bulgarian State Railways EAD for compliance with the requirements of Art. 664, Art. 667, Art. 680 and Art. 681 of the Prescription for Locomotive holding (PLH-127/05) "Regulations for factory repair of electric locomotives of 44000 and 45000 series" and the results of the inspection to be presented in a statement of findings;</t>
  </si>
  <si>
    <t>BG-2495/3</t>
  </si>
  <si>
    <t>Improvementr of the fire extinguishig locomotive equipment</t>
  </si>
  <si>
    <t>3. Holding Bulgarian State Railways EAD to explore the possibility for and put extra temperature sensors or optical smoke detectors for the Fire Alarm System (FAS) in the cabinets of the accumulator battery, which should be connected to the existing FAS of the electric locomotives;</t>
  </si>
  <si>
    <t>BG-2495/4</t>
  </si>
  <si>
    <t>Improving of the control systems</t>
  </si>
  <si>
    <t>4. Holding Bulgarian State Railways EAD to explore the possibility to install a system for monitoring of the insulation resistance of power and auxiliary control circuits allowing continuous monitoring and signalling with an indicating light signalling on the control panel in real time;</t>
  </si>
  <si>
    <t>BG-2495/5</t>
  </si>
  <si>
    <t>Improving of the locomotive control systems.</t>
  </si>
  <si>
    <t>5. Holding Bulgarian State Railways EAD to introduce diagnostics of the temperature of the contact connections of the electric locomotives with thermal imaging cameras in the process of performance of every Small Periodic Repair (SPR);</t>
  </si>
  <si>
    <t>BG-2495/6</t>
  </si>
  <si>
    <t>Control for the national regulation implementation</t>
  </si>
  <si>
    <t>6. The Safety departments in Holding Bulgarian State Railways EAD should perform continuous control for the compliance with the requirements of Art. 24 and Art. 28 of Ordinance â„– 54 of 02.06.2003 on the medical and psychological status of the staff members who operate the railway passenger and freight transport and associated activities and for the conduction of pre-travel (pre-shift) medical examinations.</t>
  </si>
  <si>
    <t>BG-2062/1</t>
  </si>
  <si>
    <t>Extraordinary Briefing &amp; Portable fire extinguishers unification</t>
  </si>
  <si>
    <t>The Executive Director of the Railway Administration Executive Agency to order: a) Holding of an extraordinary briefing of the locomotive brigades on fire and emergency safety procedures and modus operandi of the locomotive brigades in case of occurrence of fire in traction rolling stock; b) Portable fire extinguishers to be unified by type and location plans for all series of electric locomotives in operation. Deadline for implementation: 28.06.2013.</t>
  </si>
  <si>
    <t>BG-2062/2</t>
  </si>
  <si>
    <t>Inspection for compliance with "Rules for Depot Repairs and Maintenance</t>
  </si>
  <si>
    <t>To perform one-off inspection of all electric locomotives in â€œHolding BDZâ€ EAD under the requirements of art. 623, 624, 625 and 626of the â€œRules for Depot Repair and Maintenance of Electric Locomotives in BDZâ€ from 1979 and art. 743 and 748 of â€œRules for Factory Repair of electric Locomotives of Series 41000, 42000 and 43000â€ from 1991; Deadline for implementation: 30.08.2013.</t>
  </si>
  <si>
    <t>BG-2062/3</t>
  </si>
  <si>
    <t>Inspection on fire alarm and firefighting systems functionality</t>
  </si>
  <si>
    <t>To perform one-off inspection for functionality of the fire alarm and firefighting systems of all electric locomotives in â€œHolding BDZâ€ EAD; Deadline for implementation: 28.06.2013.</t>
  </si>
  <si>
    <t>BG-2062/4</t>
  </si>
  <si>
    <t>Inspections for compliance with medical and psychological requirements</t>
  </si>
  <si>
    <t>The Executive Director of Railway Administration Executive Agency to order RUs to organize and carry out inspections on compliance with the requirements of art. 24, §4 and art. 28, §2 and §3 of the Ordinance No. 54 of 02.06.2003 for medical and psychological requirements to the staff who perform rail transport of passengers and goods and associated activities and for implementation of pre-travel (pre-shift) medical examinations. Deadline for implementation: 28.06.2013.</t>
  </si>
  <si>
    <t>BG-2062/5</t>
  </si>
  <si>
    <t>Provision of healthy and safe working conditions</t>
  </si>
  <si>
    <t>Pursuant to art. 427, §1, item 7 of Ordinance 13 of 30.12.2005 for provision of healthy and safe working conditions in the rail transport, the Executive Director of â€œHolding BDZâ€ EAD to take measures to comply with and implementation of the requirements of the Ordinance. Deadline for implementation: 31.07.2013.</t>
  </si>
  <si>
    <t>BG-2062/6</t>
  </si>
  <si>
    <t>Additional aerosol fire extinguishing means.</t>
  </si>
  <si>
    <t>The Executive Director of â€œHolding BDZâ€ EAD to order a study for additional placement of up to date aerosol fire extinguishing means providing timely and reliable extinguishing of fire occurred during movement in the cabin and in the engine compartment of the traction rolling stock. Deadline for implementation: 30.09.2013.</t>
  </si>
  <si>
    <t>BG-2801/1</t>
  </si>
  <si>
    <t>Inspection of the railway</t>
  </si>
  <si>
    <t>The Infrastructure Manager (SE "NRIC") to order an inspection of the railroad in the section from Gorna Oryahovitsa station to Dabovo station, between stations and in the station areas in order to determine where there is no chaining and benchmarking of the railroad or these do not correspond to the actual condition. In these sections to make chaining and benchmarking of the track in accordance with the requirements of the regulations for upper structure and maintenance of the track in order to monitor and optimize its parameters and elements.</t>
  </si>
  <si>
    <t>BG-2801/2</t>
  </si>
  <si>
    <t>Examination of the railway strings geometry</t>
  </si>
  <si>
    <t>In order to take appropriate decisions for the maintenance and repair of the railroad, on the grounds of accumulated information from track recording laboratory, the Infrastructure Manager (SE "NRIC") to order examination of the geometry of the railway strings in plan and profile to be done not only on the main tracks but on all arrival and departure tracks in the station areas in which passenger and freight trains move.</t>
  </si>
  <si>
    <t>BG-2801/3</t>
  </si>
  <si>
    <t>Contineous Control IM</t>
  </si>
  <si>
    <t>The Control body of the SE "NRIC" to carry out continuous control of the parameters measured by the ongoing railroad maintenance staff in unloaded condition to be in compliance with the requirements of the legal acts concerning the upper structure of railroads.</t>
  </si>
  <si>
    <t>BG-3353/1</t>
  </si>
  <si>
    <t>1. Instruction</t>
  </si>
  <si>
    <t>â€œHolding BDZâ€ PLC to draw up Instruction on maintaining diesel locomotives in warm state when working in winter conditions.</t>
  </si>
  <si>
    <t>BG-3353/2</t>
  </si>
  <si>
    <t>2. Organisation &amp; Control</t>
  </si>
  <si>
    <t>,,Holding BDZâ€ PLC to establish the necessary organization and preventive control in order to guarantee that open sources of ignition (flame from gasoline lamps, gas burners, paraffin torches, etc.) will not be used for thawing of frozen elements of pneumatic and heating installations of the locomotives and multiple unit motorcars.</t>
  </si>
  <si>
    <t>BG-3353/3</t>
  </si>
  <si>
    <t>3. Functionality check</t>
  </si>
  <si>
    <t>To be implemented a single check of the fire alarm and fire suppression systems functionality in all series of diesel locomotives operated by "Holding BDZ".</t>
  </si>
  <si>
    <t>BG-3353/4</t>
  </si>
  <si>
    <t>4. Temperature sensors</t>
  </si>
  <si>
    <t>â€œHolding BDZâ€ to study the possibility and install extra temperature sensors or optical smoke detectors for fire alarm installation in the command cabins, which shall be connected to the existing Fire Alarm installation in diesel locomotives of 06000 and 07000 series.</t>
  </si>
  <si>
    <t>BG-3631/1</t>
  </si>
  <si>
    <t>Survey</t>
  </si>
  <si>
    <t>To conduct a study for delivery of a non-destructive control equipment with better capacity and functions in order a more precise detection of rail profile, switches and other track elements defects.</t>
  </si>
  <si>
    <t>BG-3631/2</t>
  </si>
  <si>
    <t>Increased control</t>
  </si>
  <si>
    <t>The Director General of the State Enterprise National Railway Infrastructure Company to order increased control and punctuality in the work of the staff members involved in the non-destructive control tests of welded components and rehabilitated through layering elements in the rail track and preventive NDC of rails and switch elements laid in the rail track.</t>
  </si>
  <si>
    <t>BG-3631/3</t>
  </si>
  <si>
    <t>Quality of materials</t>
  </si>
  <si>
    <t>In carrying out construction-repair works for rehabilitation and modernization of rail infrastructure, to be carried out continuous control of the rail infrastructure and facilities for temporary construction and operation to it for the quality of materials intended for re-use accordingly to the requirements of the normative acts concerning maintenance of track.</t>
  </si>
  <si>
    <t>BG-3633/1</t>
  </si>
  <si>
    <t>Restructuring the exit of the â€œWagon-repair plant 99â€œ PLC" towards the LC.</t>
  </si>
  <si>
    <t>The Director General of the NRIC and the Director of the â€œWagon-repair plant 99â€œ PLC to carry out a joint study and decide to change the car's exit of the WRP-99 towards the railway track, so that motor vehicles to cross the railway line in accordance with the requirements of Ordinance 4 for railway crossings. The Commission to comply with the requirements for the traffic safety for increase of the scope of vision and timely adoption of the sound and light signals regarding the railway line by the drivers of motor vehicles.</t>
  </si>
  <si>
    <t>BG-3959/1</t>
  </si>
  <si>
    <t>Locomotive personnel competence</t>
  </si>
  <si>
    <t>Licensed railway undertakings, which carry out railway transport of passengers and goods in sections equipped with â€œAutomatic locomotive signallingâ€ (ALS), not to allow the locomotive personnel not qualified to work with ALS to enter in a working shift.</t>
  </si>
  <si>
    <t>BG-3959/2</t>
  </si>
  <si>
    <t>ALS Equipment</t>
  </si>
  <si>
    <t>Licensed railway undertakings, which carry out railway transport of passengers and goods in sections equipped with ALS, shall prevent from operation the traction rolling stock, which is not equipped with ALS or the ALS equipment is not functional or turned off.</t>
  </si>
  <si>
    <t>BG-3959/3</t>
  </si>
  <si>
    <t>Amendment of Ordinance No 58</t>
  </si>
  <si>
    <t>The RAEA to amend and add to the text of art. 192, para. 1 of Ordinance No 58 dated 2.06.2006 on the rules of technical operation, movement of trains and signalling in the rail transport a new item with the following text: â€œnot equipped with on-board ALS equipment and with inoperative one in sections, equipped with ALSâ€;</t>
  </si>
  <si>
    <t>BG-3959/4</t>
  </si>
  <si>
    <t>Amendment of Ordinance No 54</t>
  </si>
  <si>
    <t>RAEA to amend and integrate art. 23 of the Ordinance No 54 dated 2.06.2003 on the medical and psychological requirements for the operating personnel who provide railway transport of passengers and freights and perform associated activities, and for conducting of pre-travel (pre-shift) medical examinations, as the existing text in art. 23 shall be separated in paragraph 1 and a new paragraph 2 shall be created with the text: "On proposal of the chairman of the Commission for accident investigation appointed by MTITC, psychological tests and examinations to be carried out to the staff referred to in art. 18, para. 1, p. 1 and. 2, that admitted and caused railway accidents.â€</t>
  </si>
  <si>
    <t>BG-3997/1</t>
  </si>
  <si>
    <t>Fuses Replacement</t>
  </si>
  <si>
    <t>Railway Administration Executive Agency shall order â€œHolding BDZâ€ EAD to perform replacement of safety fuses 246 and 248 with automatic high-speed fuses with nominal current 40A to all electric locomotives of 44000 and 45000 series in operation.</t>
  </si>
  <si>
    <t>BG-3997/2</t>
  </si>
  <si>
    <t>Single check to all electric locomotives</t>
  </si>
  <si>
    <t>Railway Administration Executive Agency shall order â€œHolding BDZâ€ EAD to perform a single check to all electric locomotives in operation for fulfilment of: - Requirements of art. 371, art. 372, art. 586 and art. 587 of the ,,Rules on depot repair and maintenance to electric locomotives of BDZâ€ (Sign. No LS 0103) dated 1979 and art. 461, art. 462, art. 469 and art. 471 of the PLS 127/05 ,,Regulation on factory repair of electric locomotives of series 44000 and 45000â€; - Requirements of art. 728 art. 730, art. 733, art. 735 and art. 743 of the PLS 127/05 ,,Regulation on factory repair of electric locomotives series 44000 and 45000â€ in regards to wires 208, 213, 260, 261, 262 and 263; - Installation of wires 208, 213, 260, 261, 262 and 263 in corrugated metal body; - The portable fire extinguishers to be unified under type and location schemes for all the series of electric locomotives in operation.</t>
  </si>
  <si>
    <t>BG-3997/3</t>
  </si>
  <si>
    <t>Ensure healthy working conditions</t>
  </si>
  <si>
    <t>Railway Administration EA shall require the implementation of art. 427, para. 1 pt. 7 of Ordinance No 13 from 30.12.2005 on provision of healthy and safe working conditions in the rail transport and to ensure and equip the locomotives operated by the licensed railway undertakings in the country with gas protection masks.</t>
  </si>
  <si>
    <t>BG-4284/1</t>
  </si>
  <si>
    <t>LC Closure</t>
  </si>
  <si>
    <t>The Director General of the State Enterprise National Railway Infrastructure Company shall initiate a procedure on the closure of a level-crossing, situated on km 5+375 at Obelya halt between Sofia-Voluyak stations in accordance with the requirements of Ordinance No 4 from 27.03.1997 on the railway level-crossings not later than 30.12.2014</t>
  </si>
  <si>
    <t>BG-4690/1</t>
  </si>
  <si>
    <t>Advanced Test equipment</t>
  </si>
  <si>
    <t>SE NRIC shall study the opportunity and supply equipment for non-destructive testing with opportunities for precise finding of defects on the switch parts profile and components in the permanent way.</t>
  </si>
  <si>
    <t>BG-4690/2</t>
  </si>
  <si>
    <t>Certificates from licensed training centre</t>
  </si>
  <si>
    <t>The railway undertaking DB Schenker Rail Bulgaria EOOD shall organize and conduct training and shall issue new certificates of qualification for the locomotive personnel operating the respective locomotive series from licensed training centre as per the requirements of art. 18, item 6 of the Professional Education and Training Act.</t>
  </si>
  <si>
    <t>BG-4713/1</t>
  </si>
  <si>
    <t>Special Exam</t>
  </si>
  <si>
    <t>With reference to Art. 7, par. 1 and par. 2 of Ordinance No 56 dated 14 February 2003, the Railway Administration Executive Agency shall hold an extraordinary examination of persons occupying positions Station master, Duty traffic manager and Switchman/post working at Koprivshtitsa and Stryama stations.</t>
  </si>
  <si>
    <t>BG-4713/2</t>
  </si>
  <si>
    <t>Training Programmes</t>
  </si>
  <si>
    <t>As per Art. 22, par. 3, it. 13 of Ordinance No 59, the SE NRIC Director General shall organize and prepare training programmes to guarantee the technical competence of the personnel as well as including work in case of damaged signaling technique for the stations and inter-stations on the section along 3-d main railway line from Pirdop station to Sopot station including the persons with following positions: 1. Station master; 2. Traffic manager; 3. Switchman/post and/or Switchman/level-crossing guard.</t>
  </si>
  <si>
    <t>BG-4850/1</t>
  </si>
  <si>
    <t>1. ,,BDZ Passenger Services" Ltd. to organise the training of locomotive personnel serving international passenger trains in the section Plovdiv - Kapakule - Plovdiv and hold an extraordinary examination in accordance with the requirements of art. 7, para. 1 of Ordinance No 56 from 14.02.2003.</t>
  </si>
  <si>
    <t>BG-4850/2</t>
  </si>
  <si>
    <t>Control</t>
  </si>
  <si>
    <t>"Railway Administration" Executive Agency to carry out control for the full and correct application of the regulations.</t>
  </si>
  <si>
    <t>BG-4850/3</t>
  </si>
  <si>
    <t>Extra equipment</t>
  </si>
  <si>
    <t>,,BDZ Passenger Services" Ltd. to equip the control cabins of the traction railway rolling stock with devices for video surveillance and recording the actions of the locomotive personnel during operation.</t>
  </si>
  <si>
    <t>BG-4910/1</t>
  </si>
  <si>
    <t>Auto transformer switch visual inspection</t>
  </si>
  <si>
    <t>1. â€œHolding BDZâ€ Ltd and the railway undertakings, which operate electrical locomotives with auto-transformer switch (ATS) within the performance of the operational inspections (48 hours) there shall be performed a visual inspection to the ATS circuit closer unit too.</t>
  </si>
  <si>
    <t>BG-4910/2</t>
  </si>
  <si>
    <t>Mechanical angle diagram</t>
  </si>
  <si>
    <t>2. After performed inspection and possible repair, there shall be mandatorily prepared and taken angle diagram, respecting the standards of the periodical overhaul (PO).</t>
  </si>
  <si>
    <t>BG-4910/3</t>
  </si>
  <si>
    <t>Delivery of ATS contact elements</t>
  </si>
  <si>
    <t>3. There shall be elaborated technical specifications for delivery of contact elements prepared of material with characteristics, which are as much as possible similar to those installed from the factory-manufacturer of the ATS as per the TSI.</t>
  </si>
  <si>
    <t>BG-4985/1</t>
  </si>
  <si>
    <t>The Holding BDZ EAD through the Vocational Training Center to organize periodic training to refresh the knowledge of the staff directly involved in the transport safety on the current (operational) regulatory provisions.</t>
  </si>
  <si>
    <t>BG-4985/2</t>
  </si>
  <si>
    <t>Periodic checks and tests of the direct and train controller</t>
  </si>
  <si>
    <t>The Holding BDZ EAD to organize periodic checks and tests of direct and train controller and registering speedometers of locomotives of all series, and regularly to read and follow the speedometer tapes of locomotives with strictly monitoring the registration of all parameters</t>
  </si>
  <si>
    <t>BG-4985/3</t>
  </si>
  <si>
    <t>Stands for testing of brake units</t>
  </si>
  <si>
    <t>The "Holding BDZ" EAD to take action for the design, construction and implementation of electronic stands for testing of brake units in main locomotive depots of BDZ EAD.</t>
  </si>
  <si>
    <t>BG-4985/4</t>
  </si>
  <si>
    <t>Computer stand for inspection and testing of registering locomotive speedometers.</t>
  </si>
  <si>
    <t>The "Holding BDZ" EAD to design, to construct and to implement a computer stand in both companies for inspection and testing of registering locomotive speedometers.</t>
  </si>
  <si>
    <t>BG-4985/5</t>
  </si>
  <si>
    <t>Holding BDZ" EAD to organize the implementation of all the locomotives devices to record digitally and store all the data on the status of the locomotive.</t>
  </si>
  <si>
    <t>BG-4985/6</t>
  </si>
  <si>
    <t>Simulator for practical skills training</t>
  </si>
  <si>
    <t>Holding BDZ" EAD to assign the construction of simulator for training and testing the practical skills of the train drivers in brake control.</t>
  </si>
  <si>
    <t>BG-4985/7</t>
  </si>
  <si>
    <t>Amendment of Article 334 of the Rules for the traffic of trains and shunting on railways</t>
  </si>
  <si>
    <t>SE National Railway Infrastructure Company to amend and integrate supplement the text of the Regulations for railway transport - Part II - Article 334 of the Rules for the traffic of trains and shunting on railways, as follows: 1. The existing text of article 334 to become paragraph 1. 2. Adding new paragraph 2 with the following text: â€œ(2) The Ttrain drivers upon departure of a freight train from a profiled station must verify the effectiveness of the train brake at a temperature below minus 10 ° C.â€œ</t>
  </si>
  <si>
    <t>BG-5073/1</t>
  </si>
  <si>
    <t>Inspection of the fire-fighting installations</t>
  </si>
  <si>
    <t>Carrying out an immediate inspection of the fire-fighting installations and the major safety systems of all locomotives.</t>
  </si>
  <si>
    <t>BG-5073/2</t>
  </si>
  <si>
    <t>Control over the locomotive operation inspections</t>
  </si>
  <si>
    <t>Strengthening the control over the locomotive operation inspections at the major and the turnover depots and at the operating stations.</t>
  </si>
  <si>
    <t>BG-5073/3</t>
  </si>
  <si>
    <t>Additional fire sensors</t>
  </si>
  <si>
    <t>Mounting of additional sensors to the fire alarm installation and spraying nozzles to the fire-fighting installation in the fire hazard zones.</t>
  </si>
  <si>
    <t>BG-5073/4</t>
  </si>
  <si>
    <t>Modernizing of fire alarm and firefighting installations.</t>
  </si>
  <si>
    <t>Modernizing of the locomotives from series 44 and 45 by building of new locomotive fire alarm and firefighting installations.</t>
  </si>
  <si>
    <t>BG-5073/5</t>
  </si>
  <si>
    <t>Electric equipment condition</t>
  </si>
  <si>
    <t>Strengthening the control on the inspections and check-ups of the electric equipment condition according to the â€˜Rules for BDZ electric locomotive repair and maintenance at locomotive depots.â€™</t>
  </si>
  <si>
    <t>BG-5073/6</t>
  </si>
  <si>
    <t>Control of the admission in use of electrical machinery</t>
  </si>
  <si>
    <t>Strengthening the control of the observance of the standards of admission in use of electrical machinery and apparatus in locomotives</t>
  </si>
  <si>
    <t>BG-5073/7</t>
  </si>
  <si>
    <t>Carrying out of periodic training of locomotive staff in the set-up and operation of locomotive firefighting installation and in actions in case of fire in the railway rolling stock during movement.</t>
  </si>
  <si>
    <t>BG-5073/8</t>
  </si>
  <si>
    <t>Interaction between the IM and RU's</t>
  </si>
  <si>
    <t>To improve the coordination of interaction between various operating services at the National Railway Infrastructure Company with licensed railway carriers at the occurrence of accidents and incidents in accordance with Ordinance No 59 and Ordinance No 58.</t>
  </si>
  <si>
    <t>BG-5100/1</t>
  </si>
  <si>
    <t>Check of the fire-extinguishing and fire-alarming installations for their working order.</t>
  </si>
  <si>
    <t>Immediate check of the fire-extinguishing and fire-alarming installations for their current working order, as well as of the main protections of all the operative locomotives.</t>
  </si>
  <si>
    <t>BG-5100/2</t>
  </si>
  <si>
    <t>Inspections.</t>
  </si>
  <si>
    <t>Strengthening the control over the operating inspections of the locomotives in the main and turnover depots, as well as in the operational service points.</t>
  </si>
  <si>
    <t>BG-5100/3</t>
  </si>
  <si>
    <t>Conducting periodic training sessions of locomotive personnel regarding the structure and operation of the fire-fighting installation of locomotives and actions to be undertaken in case of fire.</t>
  </si>
  <si>
    <t>BG-5100/4</t>
  </si>
  <si>
    <t>Modernization.</t>
  </si>
  <si>
    <t>Accomplish modernization of locomotives of 44 and 45 series by means of introducing new fire alarm and fire-extinguishing installations with automatic action and more effective firefighting agent.</t>
  </si>
  <si>
    <t>BG-5100/5</t>
  </si>
  <si>
    <t>Additional smoke and flame sensors.</t>
  </si>
  <si>
    <t>Remake of the existing fire-fighting installation of the locomotives and adding of extra smoke and flame sensors in danger zones.</t>
  </si>
  <si>
    <t>BG-5132/1</t>
  </si>
  <si>
    <t>Risk Reassessment</t>
  </si>
  <si>
    <t>The railway undertaking BDZ Passenger - Services Ltd. shall perform analysis and assessment of the risk as a result from the more frequent fires occurred in TRS and shall prepare measures for minimizing the risk.</t>
  </si>
  <si>
    <t>BG-5132/2</t>
  </si>
  <si>
    <t>Amendment and integration of the â€œMethodology for analysis and assessment of the risk for the safetyâ€.</t>
  </si>
  <si>
    <t>The railway undertaking BDZ Passenger - Services Ltd. shall make amendment and integration of the â€œMethodology for analysis and assessment of the risk for the safetyâ€, which is an integral part of the Safety Management System, where to include and assess the probabilities of possible risk for fire occurrence in TRS during movement.</t>
  </si>
  <si>
    <t>BG-5132/3</t>
  </si>
  <si>
    <t>Aassessment of the risk and hazards related to â€œsubjective factorâ€</t>
  </si>
  <si>
    <t>The railway undertaking BDZ Passenger - Services Ltd. shall perform assessment of the risk and hazards related to â€œsubjective factorâ€ (locomotive and traffic crews), as well as in the part â€œtechnical factorâ€ related to the maintenance and repair of electrical locomotives.</t>
  </si>
  <si>
    <t>REC-000478</t>
  </si>
  <si>
    <t>BG-5132/4</t>
  </si>
  <si>
    <t>Register of hazards for the maintenance activities</t>
  </si>
  <si>
    <t>The railway undertaking BDZ Passenger - Services Ltd. shall complete the â€œRegister of hazards for the maintenance activities in Annex No 2â€, as to the respective maintenance level shall be assessed the possible risks for fire occurrence in the operation in separate apparatuses and aggregates upon the performed repair in TRS.</t>
  </si>
  <si>
    <t>BG-5132/5</t>
  </si>
  <si>
    <t>Protective masks</t>
  </si>
  <si>
    <t>The railway undertaking BDZ Passenger - Services Ltd. shall provide the locomotive crews with protective masks.</t>
  </si>
  <si>
    <t>BG-5150/1</t>
  </si>
  <si>
    <t>1. The railway undertaking â€œBDZ Cargoâ€ Ltd. shall strengthen the control on the proper loading of the wagons in the loading districts for bulk cargo.</t>
  </si>
  <si>
    <t>BG-5150/2</t>
  </si>
  <si>
    <t>Quality of Inspections</t>
  </si>
  <si>
    <t>To be increased the quality of the inspections of freight wagons, performed by the technical personnel of the railway undertaking â€œBDZ Cargoâ€ Ltd. and of the owner of the wagons â€œBobov Dol Thermal Power Plantâ€ Plc. which are operated on the railway infrastructure.</t>
  </si>
  <si>
    <t>BG-5161/1</t>
  </si>
  <si>
    <t>Weighing-measuring facilities</t>
  </si>
  <si>
    <t>The railway undertaking BDZ-Cargo Ltd. and the consignors of bulk cargo shall construct weighing-measuring facilities for vertical loading of each wheel of the freight wagons in the regions, where loading-unloading activities are performed.</t>
  </si>
  <si>
    <t>BG-5161/2</t>
  </si>
  <si>
    <t>Control of the RS System</t>
  </si>
  <si>
    <t>In case of technical possibility to be constructed a system for control of the rolling stock in motion â€žCheck Pointâ€ of the railway infrastructure at NRIC.</t>
  </si>
  <si>
    <t>BG-5161/3</t>
  </si>
  <si>
    <t>Loading Control</t>
  </si>
  <si>
    <t>The railway undertaking BDZ Cargo Ltd. shall strengthen the control on the proper loading of the wagons before their inclusion to a train composition.</t>
  </si>
  <si>
    <t>BG-5161/4</t>
  </si>
  <si>
    <t>Control Over Locomotive Crew Performance</t>
  </si>
  <si>
    <t>The railway undertaking BDZ Cargo Ltd. shall strengthen the control on fulfilment of the obligations of the locomotive crews within train servicing.</t>
  </si>
  <si>
    <t>BG-5167/1</t>
  </si>
  <si>
    <t>Assessment of the risks resulted from irregularities and connection of the electronic electrometers.</t>
  </si>
  <si>
    <t>To be examined the behavior of the voltage transformer of the installed in the electrical locomotives of 44 and 45 series electronic electrometers during movement. To be assessed the risk from occurrence of hazards as a result from irregularities and the connection of the electrometers.</t>
  </si>
  <si>
    <t>BG-5167/2</t>
  </si>
  <si>
    <t>Inspection of the Transformer Cooling System</t>
  </si>
  <si>
    <t>During each small periodical repair (SPR), it shall be performed inspection to the condition and density of the oil cooling contour of the locomotive transformer with focus on the connecting rubber compounds.</t>
  </si>
  <si>
    <t>BG-5208/1</t>
  </si>
  <si>
    <t>Discussions with staff members.</t>
  </si>
  <si>
    <t>The â€œRailway Administrationâ€ Executive Agency shall recommend to the managers of railway undertakings and the General Director of the National Railway Infrastructure Company (NRIC) to carry out discussions with the staff members, connected with safety of transport, acquainting them with the contents of the Final Report from the performed investigation.</t>
  </si>
  <si>
    <t>BG-5208/2</t>
  </si>
  <si>
    <t>Further equipment and certification of wagon-tanks</t>
  </si>
  <si>
    <t>The wagon-cisterns, transporting liquefied hydro-carbonic gases, shall be equipped with pulling-deviating devices with crash elements, according to the requirements of BSS EN 15227:2008+A1:2010, and shall possess safety certificates.</t>
  </si>
  <si>
    <t>BG-5208/3</t>
  </si>
  <si>
    <t>Instruction for a four years unified periodical check/repairs of the tank-wagons.</t>
  </si>
  <si>
    <t>The â€œRailway Administrationâ€ Executive Agency shall order eliminating the possibility for the owners of wagons transporting hazardous freights to decide by themselves on the period of repair of the running parts, the frame and the pulling-deviating devices, which at the time being could be 4 or 6 years. The period of repair shall be fixed only to 4 years, as is stipulated by the requirements to the reservoirs transporting hazardous freights according to RID Rules.</t>
  </si>
  <si>
    <t>BG-5208/4</t>
  </si>
  <si>
    <t>Permission for acceptance of freight wagons in the country.</t>
  </si>
  <si>
    <t>Permitted at the border stations shall be the acceptance in the country of wagons for transport of hazardous freights on the railway structure only in a faultless state, as per documents and technical condition, from the relevant railway carrier.</t>
  </si>
  <si>
    <t>BG-5208/5</t>
  </si>
  <si>
    <t>Training and periodic check examinations of locomotive engine drivers on the safety of transport.</t>
  </si>
  <si>
    <t>The â€œRailway Administrationâ€ Executive Agency shall organize the performance of check examinations of the operative staff members, connected with safety of transport, in connection with the requirements of Art. 6, par. 1 of Ordinance Nr. 56 dt. 2003 on a permanent, and not campaign basis. These shall be preceded as a must by periodic training and shall be related with checking of the theoretical knowledge, as well as the practical skills of the locomotive engine drivers through simulators, enabling checking of their reactions in emergency and stress situations.</t>
  </si>
  <si>
    <t>BG-5208/6</t>
  </si>
  <si>
    <t>Technical conditions for provision of a recording device on board.</t>
  </si>
  <si>
    <t>The â€œRailway Administrationâ€ Executive Agency shall elaborate technical conditions for the provision of a recording device from a confirmed type and shall oblige all railway carriers, the Manager of the railway infrastructure and the owners of traction rolling stock to mount such a device on their traction vehicles. The device shall be designed in a way, providing its capability to record the most important parameters of trafficking of the relevant vehicle: Traffic speed; Traveled road; Astronomic time; Time of travel and time of stay; Activating of the automatic train break and whether this is performed by the crane machine driver or from another place in the train; Activating of the additional (direct) break; Activating of another type of break, mounted on the vehicle, and values of the realized breaking force; Position of the controller (value of the traction force); El. current in the traction engines; Voltage in the catenary; Revolutions per minute of diesel (or another type of) engine; Maintaining of the alertness maintenance device in readiness by the locomotive engine driver; Condition of the alertness maintenance device (switched on â€“ switched off position); Rendering of audible signal by the horn of the traction vehicle; Personification of driving of the relevant vehicle by a chip, magnet card, or in another appropriate manner, and respectively blocking of its movement upon the absence of personification and identification on the part of the operative staff members; The devices shall be structured in a manner providing possibility for immediate unloading of the requested information by the safety authorities (the National Safety Authority and the administrative safety authorities), without the necessity of transforming or processing of such information.</t>
  </si>
  <si>
    <t>BG-5208/7</t>
  </si>
  <si>
    <t>Verification of of the RS technical condition check into the train dokuments.</t>
  </si>
  <si>
    <t>Upon each going out of rolling stock for travel on the railway infrastructure, its technical condition shall be checked by mechanic, â€œrevision of wagonsâ€ â€“ a staff member of the railway infrastructure, which shall be verified in a relevant manner in the trainâ€™s trafficking documents.</t>
  </si>
  <si>
    <t>BG-5208/8</t>
  </si>
  <si>
    <t>Alert devices</t>
  </si>
  <si>
    <t>The â€œRailway Administrationâ€ Executive Agency shall oblige all carries to mount in their traction rolling stock alertness maintenance devices with variable time of activation, which shall prevent monotonous work of the operational staff.</t>
  </si>
  <si>
    <t>BG-5208/9</t>
  </si>
  <si>
    <t>Training for the acquisition of professional qualification</t>
  </si>
  <si>
    <t>The Management of â€œBulmarket Rail Cargoâ€ EOOD shall organize the performance of training for the acquisition of professional qualification on a part of profession at a licensed organization in accordance with Art. 9, par. 5 of the Law on professional education and training.</t>
  </si>
  <si>
    <t>BG-5208/10</t>
  </si>
  <si>
    <t>Increase of control upon issuing of passes to locomotives and rendering of pre-shift instructions</t>
  </si>
  <si>
    <t>â€œBulmarket Rail Cargoâ€ EOOD shall increase the control upon issuing of passes of locomotives and rendering of pre-shift instructions to the locomotive brigades and upon ensuring rests in accordance with the requirements of the normative base.</t>
  </si>
  <si>
    <t>BG-5208/11</t>
  </si>
  <si>
    <t>Increase of the RU control over the RU technical condition and the safety staff members</t>
  </si>
  <si>
    <t>â€œBulmarket Rail Cargoâ€ EOOD shall increase the control upon the performance of checks by the control authorities in respect of the technical condition of the railway rolling stock and the staff members connected with safety of transport.</t>
  </si>
  <si>
    <t>BG-5208/12</t>
  </si>
  <si>
    <t>Requirements for the appointment of locomotive engine drivers</t>
  </si>
  <si>
    <t>â€œBulmarket Rail Cargoâ€ EOOD shall precise the requirements for the appointment of locomotive engine drivers for working in the company, who have acquired right of pension, have gained years of experience and age for social security, in accordance with their category of labor.</t>
  </si>
  <si>
    <t>BG-5208/13</t>
  </si>
  <si>
    <t>Stations' staff training</t>
  </si>
  <si>
    <t>The National Railway Infrastructure Company (NRIC) shall organize and carry out training of staff at all stations on their actions upon the occurrence of railway accidents.</t>
  </si>
  <si>
    <t>BG-5208/14</t>
  </si>
  <si>
    <t>Correction of the time schedule of movement of freight trains with hazardous freights</t>
  </si>
  <si>
    <t>Corrected shall be the time schedule for trafficking of freight trains transporting hazardous freights, where possible, transit on the main platforms of the stations, moving with a speed close to the permissible one for the relevant railway sections, providing reserve in the time of traveling.</t>
  </si>
  <si>
    <t>BG-5208/15</t>
  </si>
  <si>
    <t>Building and implementation of control system for the RS</t>
  </si>
  <si>
    <t>The National Railway Infrastructure Company (NRIC) shall organize urgent building and implementation of control system for the railway rolling stock upon trafficking (â€œCheck Pointâ€) on the railway network of the Republic of Bulgaria.</t>
  </si>
  <si>
    <t>BG-5208/16</t>
  </si>
  <si>
    <t>Building and implementation of automatic locomotive signaling system</t>
  </si>
  <si>
    <t>The National Railway Infrastructure Company (NRIC), together with the railway undertakings, performing transports by their own traction rolling stock, shall organize urgent building and implementation of automatic locomotive signaling system â€“ road equipment on the major railway network of the Republic of Bulgaria and on-board equipment of the locomotives and the rail motor trains.</t>
  </si>
  <si>
    <t>BG-5251/1</t>
  </si>
  <si>
    <t>Technical Examinations</t>
  </si>
  <si>
    <t>Refreshing the knowledge and drawing the attention of staff members from the Bulgarian Railway Company A.D., responsible for the performance of technical examinations in the border transit points upon entry of railway transport vehicles, owned by foreign railway carriers, operating on the railway infrastructure of the Republic of Bulgaria.</t>
  </si>
  <si>
    <t>BG-5251/2</t>
  </si>
  <si>
    <t>Attention to Irregularities in the RS</t>
  </si>
  <si>
    <t>The locomotive engine drivers shall look for any peculiarities having occurred during movement of the trains driven on their part, and when observing any irregularities in the rolling stock, the locomotive engine drivers shall take timely measures for stopping of the rolling stock, aimed at prevention of accidents and incidents.</t>
  </si>
  <si>
    <t>BG-5251/3</t>
  </si>
  <si>
    <t>Automated Monitoring and Control System of the RS in Movement</t>
  </si>
  <si>
    <t>Implementation on the railway infrastructure of an automated monitoring and control system of the rolling stock in movement, to signal for any damages having occurred on the running parts of the rolling stock (wheel axes, axle/grease boxes, suspension and unevenly loaded wagons).</t>
  </si>
  <si>
    <t>BG-5332/1</t>
  </si>
  <si>
    <t>Compliance with the regulatory requirements</t>
  </si>
  <si>
    <t>The technical staff of â€œD. B. Cargo Bulgariaâ€ EOOD responsible for the safety of railway transport of non-traction rolling stock shall observe strictly and exactly the requirements stipulated by Art. 243, par. 4 of Ordinance Nr. 58/2006, Art. 89, par. 4 and Art. 309, par. 1 and par. 3 of the Rules on trainâ€™s trafficking and maneuvering work in the railway transport, as well as the safety management system procedures.</t>
  </si>
  <si>
    <t>BG-5332/2</t>
  </si>
  <si>
    <t>Professional Certification of locomotive drivers</t>
  </si>
  <si>
    <t>The railway carrier â€œD. B. Cargo Bulgariaâ€ EOOD shall organize and give the locomotive staff members a training on operating the relevant locomotive series at a educational institution licensed under Art. 18, item 6 of the Law on Professional Education and Training and in conformity with Art. 44, par. 1, item 1 of Ordinance Nr. 56/2003 the staff members shall be provided with new professional training certificates.</t>
  </si>
  <si>
    <t>BG-5332/3</t>
  </si>
  <si>
    <t>Ultrasonic Fault Detection</t>
  </si>
  <si>
    <t>The management of â€œExpress Serviceâ€ OOD shall undertake measures for thoroughly implementation of ultrasonic fault detections of the locomotive wheel pair axles and axles, and for strict application of the technology for complete setting of locomotive wheel pair axles.</t>
  </si>
  <si>
    <t>BG-5466/1</t>
  </si>
  <si>
    <t>Control over Operational Examinations</t>
  </si>
  <si>
    <t>Strengthening the control upon the performance of the operational examinations of the locomotives at the major locomotive depots and the operational stations.</t>
  </si>
  <si>
    <t>BG-5466/2</t>
  </si>
  <si>
    <t>Modernization of Locomotives</t>
  </si>
  <si>
    <t>Modernization of the locomotives, though construction of new fire signaling and fire extinguishing installations in the locomotives, aimed at fast and timely reaction of the locomotive brigade servicing the locomotive.</t>
  </si>
  <si>
    <t>BG-5466/3</t>
  </si>
  <si>
    <t>Improving Fire Extinguishing Installation</t>
  </si>
  <si>
    <t>Improvement of the existing fire extinguishing installation of the locomotives and adding in the hazardous areas of smoke and flame detection sensors, connected with the fire signaling installation, for timely reaction of the locomotive brigades.</t>
  </si>
  <si>
    <t>BG-5466/4</t>
  </si>
  <si>
    <t>Appropriate Insulation</t>
  </si>
  <si>
    <t>Elimination of the causes for the occurrence of discharge processes in the textolite insulation plates in view of their ageing, supporting the low voltage bus system of the power transformer - requested is appropriate insulation of the buses in the area of transition through the supporting textolite plates.</t>
  </si>
  <si>
    <t>BG-5637/1</t>
  </si>
  <si>
    <t>Train masters and Conductors Training</t>
  </si>
  <si>
    <t>Recommendation â„– 1 proposes to train trainmasters and conductors to operate Inverters mounted in coaches.</t>
  </si>
  <si>
    <t>BG-5637/2</t>
  </si>
  <si>
    <t>Power Inverters Instalation</t>
  </si>
  <si>
    <t>Recommendation â„– 2 proposes to change the location and the way of installation of the Inverter in a horizontal surface for operation in operating conditions.</t>
  </si>
  <si>
    <t>BG-5637/3</t>
  </si>
  <si>
    <t>Automatic 80A Fuses</t>
  </si>
  <si>
    <t>Recommendation â„– 3 proposes to remodel the inverter power scheme in automatic mode with separate automatic 80A fuses.</t>
  </si>
  <si>
    <t>BG-5637/4</t>
  </si>
  <si>
    <t>Protection of 24 V Power Wires</t>
  </si>
  <si>
    <t>Recommendation â„– 4 proposes the power cables of the 24 V wiring to be protected in a corrugated casing.</t>
  </si>
  <si>
    <t>BG-5637/5</t>
  </si>
  <si>
    <t>Print Guidance of 220 V Contacts Use</t>
  </si>
  <si>
    <t>Recommendation â„– 5 proposes to provide guidance close to 220 V contacts in coach compartments to illustrate their purpose.</t>
  </si>
  <si>
    <t>BG-5637/6</t>
  </si>
  <si>
    <t>Warning System for Repair</t>
  </si>
  <si>
    <t>Recommendation â„– 6 proposes to supplement the Inverter Maintenance System, which is linked to SSMâ€™s Plan - Warning System for repair.</t>
  </si>
  <si>
    <t>BG-5637/7</t>
  </si>
  <si>
    <t>SMM Provisions Implementation</t>
  </si>
  <si>
    <t>Recommendation â„– 7 offers to the personnel carrying out Inverter maintenance in coaches, to follow the relevant procedures provided by SSM.</t>
  </si>
  <si>
    <t>BG-5637/8</t>
  </si>
  <si>
    <t>Instruction for Operation and Maintenance of Inverters</t>
  </si>
  <si>
    <t>Recommendation â„– 8 proposes to develop an Instruction for Operation and Maintenance of Inverters in coaches with built-in 220 V wiring.</t>
  </si>
  <si>
    <t>BG-5666/1</t>
  </si>
  <si>
    <t>ATS-related reconstructions</t>
  </si>
  <si>
    <t>Recommendation â„– 1 proposes a technical documentation to be prepared for to align ATS-related reconstructions in the electric locomotives series 44 and 45 and the adjacent elements</t>
  </si>
  <si>
    <t>BG-5666/2</t>
  </si>
  <si>
    <t>Provision of a controlled access to compulsion power-off devices</t>
  </si>
  <si>
    <t>Recommendation â„– 2 proposes a controlled access to be provided to MACB compulsion power-off devices</t>
  </si>
  <si>
    <t>BG-5666/3</t>
  </si>
  <si>
    <t>Increased control of the FDS.</t>
  </si>
  <si>
    <t>Recommendation â„– 3 suggests that during the execution of TI the control of the fire detection system (FDS) of the electric locomotives series 44 and 45 to be increased.</t>
  </si>
  <si>
    <t>BG-5908/1</t>
  </si>
  <si>
    <t>Introduction the FR content to the Staff</t>
  </si>
  <si>
    <t>The managers of "DB Cargo Bulgaria" Ltd and SE RINC in the working talks with the transport safety personnel should be familiar with the content of the final report.</t>
  </si>
  <si>
    <t>BG-5908/2</t>
  </si>
  <si>
    <t>Railway track measurements</t>
  </si>
  <si>
    <t>SE RINC to analyze the results of the measurements on the railway track, carried out by "TINSA" Ltd M-120 Laboratory in the Dubovo-Zimnitsa section, with a deteriorated state in particular sections.</t>
  </si>
  <si>
    <t>BG-5908/3</t>
  </si>
  <si>
    <t>"DB Cargo Bulgaria" Ltd shall instruct the personnel engaged in the technical maintenance of the ...</t>
  </si>
  <si>
    <t>"DB Cargo Bulgaria" Ltd shall instruct the personnel engaged in the technical maintenance of the non-tractive rolling stock that it operates to increase the quality of the technical examinations carried out at the stations with technical persons in accordance with the prepared "Risk Assessment" part of SSM.</t>
  </si>
  <si>
    <t>BG-5923/1</t>
  </si>
  <si>
    <t>Acquaintance with the content of the report</t>
  </si>
  <si>
    <t>Recommendation â„– 1 proposes the staff in operation of RINC and â€œBulmarket Rail Cargoâ€ EOOD to get known with the contents of the report;</t>
  </si>
  <si>
    <t>BG-5923/2</t>
  </si>
  <si>
    <t>Rules Ammendment</t>
  </si>
  <si>
    <t>Recommendation â„– 2 proposes RINC to make an amendment to Art. 94 of the "Rules on the movement of trains and maneuvering in railway transport" (Ð ÐœÐ¢Ðœ).</t>
  </si>
  <si>
    <t>REC-000573</t>
  </si>
  <si>
    <t>BG-5923/3</t>
  </si>
  <si>
    <t>Monitoring of railway switches</t>
  </si>
  <si>
    <t>Recommendation â„– 3 proposes RINC to undertake non-destructive monitoring of railway switches in accordance with the category of railway lines.</t>
  </si>
  <si>
    <t>REC-000574</t>
  </si>
  <si>
    <t>BG-5923/4</t>
  </si>
  <si>
    <t>NSA control measures</t>
  </si>
  <si>
    <t>Recommendation â„– 4 proposes EA "Railway Administration" to take control measures in relation to the violations of the normative acts related to railway safety by â€œBulmarket Rail Cargoâ€ EOOD and RINC during the investigation.</t>
  </si>
  <si>
    <t>BG-5957/1</t>
  </si>
  <si>
    <t>Staff Familiarization</t>
  </si>
  <si>
    <t>To familiarize the staff in service (locomotive and transport brigades with the contents of the report</t>
  </si>
  <si>
    <t>BG-5957/2</t>
  </si>
  <si>
    <t>Replacement of oil separator, oil filter, air filter and straps</t>
  </si>
  <si>
    <t>Recommendation â„– 2 proposes for the renovated locomotives in "BDZ Konchar" JSC, when performing a large periodic repair (LPR) of the compressor unit to replace oil separator, oil filter, air filter and straps</t>
  </si>
  <si>
    <t>BG-5957/3</t>
  </si>
  <si>
    <t>Replacement of the noise insulation installed with one of a non-combustible material</t>
  </si>
  <si>
    <t>Recommendation â„– 3 proposes to replace the available flammable noise insulation installed on the inside of the compressor aggregate walls with such of a non-combustible material in the renovated locomotives in "BDZ Konchar" JSC</t>
  </si>
  <si>
    <t>BG-5957/4</t>
  </si>
  <si>
    <t>Installation of a thermal sensor</t>
  </si>
  <si>
    <t>Recommendation â„– 4 proposes to install a thermal sensor in the compressor cooling camera and to be connected to the locomotive's fire alarm system.</t>
  </si>
  <si>
    <t>REC-000811</t>
  </si>
  <si>
    <t>BG-6054/1</t>
  </si>
  <si>
    <t>Strict compliance with the Manager's Order for preventing occurrence of fire</t>
  </si>
  <si>
    <t>Recommendation No. 1 proposes that when performing technical inspections and repairs (TI and BRM) of diesel and electric locomotives, to comply strictly with the prescribed order laid down in Order No. 01-01-191 / June 29, 2017 of BDZ â€œFTâ€ EOOD Manager, to prevent the premises for occurrence of fires in locomotives owned by BDZ" FT "EOOD.</t>
  </si>
  <si>
    <t>REC-000812</t>
  </si>
  <si>
    <t>BG-6054/2</t>
  </si>
  <si>
    <t>Repairs' documentation</t>
  </si>
  <si>
    <t>Recommendation No. 2 proposes that during the repairs by necessity (RN), real and accurate information after completing the repairs should be filled in the accounting documents</t>
  </si>
  <si>
    <t>BG-6054/3</t>
  </si>
  <si>
    <t>Firefighting equipment &amp; Protection masks</t>
  </si>
  <si>
    <t>Recommendation No. 3 proposes to provide the locomotive personnel at BDZ â€œFTâ€ EOOD fire masks allowing access to the fire center and extinguishing with portable hand fire extinguishers in the event of fires in the engine room of the locomotives.</t>
  </si>
  <si>
    <t>BG-6054/4</t>
  </si>
  <si>
    <t>Inspection of train-dispatcher radio connection reliability</t>
  </si>
  <si>
    <t>BDZ â€œFTâ€ EOOD to carry out inspections of their own locomotives in accordance with the requirements of Art. 192, para. 1, item 33 of Ordinance No. 58 / June 2, 2006, on the worthy radio stations for train-dispatcher radio connection during the movement in sections with radio coverage.</t>
  </si>
  <si>
    <t>BG-6110/1</t>
  </si>
  <si>
    <t>Familiarize the staff with the FR content.</t>
  </si>
  <si>
    <t>BDZ Freight Transport EOOD and SE NRIC to familiarize the personnel directly engaged in OMT, operation, station and maneuvering activities with the contents of the report by an extraordinary briefing.</t>
  </si>
  <si>
    <t>BG-6110/2</t>
  </si>
  <si>
    <t>Licensing motormen accordingly to the Directive 2007/59 / EC.</t>
  </si>
  <si>
    <t>BDZ Freight Transport EOOD to issue a motorman license indicating the railway infrastructure for which he has been certified and the rolling stock entitled to drive in accordance with the requirements of Directive 2007/59 / EC.</t>
  </si>
  <si>
    <t>BG-6110/3</t>
  </si>
  <si>
    <t>IM Instruction â„– 13/June 29, 2006 for joint work update.</t>
  </si>
  <si>
    <t>SE NRIC to update "Instruction â„– 13/June 29, 2006 for joint work between Kaspichan Station and Kaspichan OP" when moving locomotives from the post to the station and vice versa.</t>
  </si>
  <si>
    <t>BG-6110/4</t>
  </si>
  <si>
    <t>Supplementing the "Rules for the Operational Management".</t>
  </si>
  <si>
    <t>BDZ Freight Transport EOOD to supplement the "Rules for the management of the transport activity in the transport planning and operational management" in Section VII "Operational interaction in the transport managementâ€ with a text obliging the operational sector in OMT to pass the operational decisions to the immediate contractors.</t>
  </si>
  <si>
    <t>BG-6127/1</t>
  </si>
  <si>
    <t>Recommendation № 1</t>
  </si>
  <si>
    <t>Recommendation № 1 proposes the heads of SE NRIC and “BDZ-Passenger Transport” EOOD, by a special instruction, to get acquainted with the content of this report, the staff directly involved in the safe operational activity in the railway transport</t>
  </si>
  <si>
    <t>BG-6127/2</t>
  </si>
  <si>
    <t>Recommendation № 2</t>
  </si>
  <si>
    <t>Recommendation № 2 proposes to BDZ-Passenger Transport EOOD to issue a driver's certificate indicating the railway infrastructure for which the driver has acquired legal capacity and the rolling stock, which he has the right to drive in accordance with the requirements of Art. 36, para. 1, item 2 of Ordinance № 56 /February 14, 2003.</t>
  </si>
  <si>
    <t>BG-6127/3</t>
  </si>
  <si>
    <t>Recommendation № 3</t>
  </si>
  <si>
    <t>Recommendation № 3 proposes by taking into account the category and intensity of vehicles passing through the level crossing, and in order to minimize the human factor, NRIC should re-equip the level crossing at km 8 + 830 in the interstation Krumovo - Asenovgrad with an automatic crossing
device (ACD) equipped with four automatic barriers' mechanisms and an on-duty crossing guard on shift.</t>
  </si>
  <si>
    <t>BG-6127/4</t>
  </si>
  <si>
    <t>Recommendation № 4</t>
  </si>
  <si>
    <t>Recommendation № 4 proposes given the intensity of vehicles passing through the level crossing, NRIC to build 24-hour video surveillance, covering the flow of cars and rolling stock through the level crossing at km 8 + 830 between the stations Krumovo and Asenovgrad.</t>
  </si>
  <si>
    <t>PL-975/1</t>
  </si>
  <si>
    <t>The PR ÅšlÄ…ski will work out the bulletin about the accident.</t>
  </si>
  <si>
    <t>PL-975/2</t>
  </si>
  <si>
    <t>To talk over on periodic trainings of circumstances, causes and preventive conclusions established</t>
  </si>
  <si>
    <t>To talk over on periodic trainings of circumstances, causes and preventive conclusions established by the railway accident commission. During trainings the particular attention should be paid on:</t>
  </si>
  <si>
    <t>PL-975/3</t>
  </si>
  <si>
    <t>The owner of vehicles â€žFlirtâ€ type in concordance with the keeper PR Katowice and with the producer</t>
  </si>
  <si>
    <t>The owner of vehicles â€žFlirtâ€ type in concordance with the keeper PR Katowice and with the producer will consider the possibility of the registration video record from external video cameras on the hard disk.</t>
  </si>
  <si>
    <t>PL-975/4</t>
  </si>
  <si>
    <t>PR Katowice will make the detailed analysis of the working period of drivers with the regard the tra</t>
  </si>
  <si>
    <t>PR Katowice will make the detailed analysis of the working period of drivers with the regard the travel to the workplace for the purpose of elimination of the overwork at the cyclic employment and will inform the Head of NIB Poland about taken actions.</t>
  </si>
  <si>
    <t>PL-975/5</t>
  </si>
  <si>
    <t>The infrastructure manager and rail carriers will undertake suitable works for the purpose of the in</t>
  </si>
  <si>
    <t>The infrastructure manager and rail carriers will undertake suitable works for the purpose of the introduction of the cabinâ€²s signaling on traction vehicles.</t>
  </si>
  <si>
    <t>PL-975/6</t>
  </si>
  <si>
    <t>The infrastructure manager will consider the change of the construction of the indicator W24 in the</t>
  </si>
  <si>
    <t>The infrastructure manager will consider the change of the construction of the indicator W24 in the purpose of the improvement of parameters of the visibility of given picture light in indicators W24.</t>
  </si>
  <si>
    <t>PL-975/7</t>
  </si>
  <si>
    <t>The infrastructure manager will limit to the indispensable minimum emergency closures of the railway</t>
  </si>
  <si>
    <t>The infrastructure manager will limit to the indispensable minimum emergency closures of the railway lines without earlier changes in the organization of the railway traffic next door to performed works, in compliance with § 52 the passage of 26 instructions Ir-1.</t>
  </si>
  <si>
    <t>PL-975/8</t>
  </si>
  <si>
    <t>The infrastructure manager and rail carriers will consider the possibility to add</t>
  </si>
  <si>
    <t>PL-975/9</t>
  </si>
  <si>
    <t>The infrastructure manager will will make analyses in the range of possibilities the unification of</t>
  </si>
  <si>
    <t>The infrastructure manager will will make analyses in the range of possibilities the unification of the light-chambers set on the semaphores with red and white masts with the rule of the division of chambers with the red light so that the single light below red signal if is shown independently it means that it is a doubtful signal.</t>
  </si>
  <si>
    <t>PL-957/1</t>
  </si>
  <si>
    <t>See annex_1</t>
  </si>
  <si>
    <t>PL-932/1</t>
  </si>
  <si>
    <t>In the opinion of the accident commission the time intended on the change of the shifts of traction</t>
  </si>
  <si>
    <t>In the opinion of the accident commission the time intended on the change of the shifts of traction teams is insufficient, thereby Przewozy Regionalne Ltd (PR) will work out - for every type of the engine railway vehicle - the required time for exchanging of traction teams in compliance with binding regulations, decisions, instructions and will adapt the timetable to these times.</t>
  </si>
  <si>
    <t>PL-932/2</t>
  </si>
  <si>
    <t>PR in Katowice will work out the bulletin about the accident.</t>
  </si>
  <si>
    <t>PL-932/3</t>
  </si>
  <si>
    <t>PR in Katowice and PR In Kraków will present the accident bulletin during the periodical trainings o</t>
  </si>
  <si>
    <t>PR in Katowice and PR In Kraków will present the accident bulletin during the periodical trainings organized for traction teams.</t>
  </si>
  <si>
    <t>PL-932/4</t>
  </si>
  <si>
    <t>Polskie Linie Kolejowe (PLK) in Tarnowskie Góry will regulate the rail traffic of auxiliary rail veh</t>
  </si>
  <si>
    <t>Polskie Linie Kolejowe (PLK) in Tarnowskie Góry will regulate the rail traffic of auxiliary rail vehicles and special rolling stock in compliance with the instruction Ir1 (instruction of PLK).</t>
  </si>
  <si>
    <t>PL-932/5</t>
  </si>
  <si>
    <t>PLK in Tarnowskie Góry, because of the proximity of the blockade semaphore Sbl230 of the section Gli</t>
  </si>
  <si>
    <t>PLK in Tarnowskie Góry, because of the proximity of the blockade semaphore Sbl230 of the section Gliwice â€“ Zabrze to the warning shield semaphore ToB, indicating the signal of the semaphore B of the post Maciejów PóÅ‚nocny, will consider possibility of changing the position of the warning shield semaphore ToB onto the level of the semaphore sbl 230 according to the regulation of the instruction WTBE-10.</t>
  </si>
  <si>
    <t>PL-932/6</t>
  </si>
  <si>
    <t>PLK in Tarnowskie Góry will regulate documenting of moves of auxiliary rail vehicles, special rolli</t>
  </si>
  <si>
    <t>PLK in Tarnowskie Góry will regulate documenting of moves of auxiliary rail vehicles, special rolling stock ordered by the dispatcher of PLK.</t>
  </si>
  <si>
    <t>PL-932/7</t>
  </si>
  <si>
    <t>PLK in Tarnowskie Góry will update the regulations of the railroad repair units.</t>
  </si>
  <si>
    <t>PL-932/8</t>
  </si>
  <si>
    <t>PLK in Tarnowskie Góry will talk over the accident during the periodical trainings organized for the</t>
  </si>
  <si>
    <t>PLK in Tarnowskie Góry will talk over the accident during the periodical trainings organized for the positions of: the driver of the rail trolley, economic and working train manager, track inspector, rail traffic manager.</t>
  </si>
  <si>
    <t>PL-868/1</t>
  </si>
  <si>
    <t>PKP PLK in Kielce (IM) will assign the appendix to the contract No. 22/208/178/007838/09 (â€œContract</t>
  </si>
  <si>
    <t>PKP PLK in Kielce (IM) will assign the appendix to the contract No. 22/208/178/007838/09 (â€œContractâ€) with the ZakÅ‚ady UsÅ‚ugowe â€œWschódâ€ Ltd which will contain following legacies: (a) the necessity of the possession by workers engaged at the realization of works resulting from the contract authorized medical examinations performed by the competent doctors of the Centre for Railway medicine what is the part of the analyses of labor risk, (b) passage for travelers on the level of rails between platform No. 1 and the platform No. 2 km. point 47,775 â€“ surface 43,5 m2. shall be included in the Enclosure No. 2 to the Contract (scope of works), (c) in the § 5. point 4 it must be add performing labor safety and fire-fighting trainings for workers at the expense of the performer (ZakÅ‚ady UsÅ‚ugowe â€œWschódâ€) according to present internal regulations of PKP PLK, (d) in the § 5. point 8 â€“ lack of obligation to meet the regulation â€œWinter actionâ€ by the performer of works (it must be added to the te</t>
  </si>
  <si>
    <t>PL-868/2</t>
  </si>
  <si>
    <t>The performer will update the list of workers performing services resulting from the Contract.</t>
  </si>
  <si>
    <t>PL-868/3</t>
  </si>
  <si>
    <t>The section of the maintenance of PKP PLK in WÅ‚oszczowa PóÅ‚noc will work out guidelines about t</t>
  </si>
  <si>
    <t>The section of the maintenance of PKP PLK in WÅ‚oszczowa PóÅ‚noc will work out guidelines about the course of action of workers of the performer by the realization of services within the range of to maintain order, cleanness, snow removals from platforms and passages for travelers on the WÅ‚oszczowa station including: (a) rules of notifying workers every time before the beginning to perform their works; (b) informing by the employees of railway traffic posts about approaching trains; (c) the communication of workers of the performer with the employees of railway traffic posts and with the manager of the â€œWinter actionâ€ of the section of the maintenance of PKP PLK in WÅ‚oszczowa PóÅ‚noc.</t>
  </si>
  <si>
    <t>PL-868/4</t>
  </si>
  <si>
    <t>The guidelines will be enclosure to the â€œRegulation of Winter action of the section of the mainten</t>
  </si>
  <si>
    <t>The guidelines will be enclosure to the â€œRegulation of Winter action of the section of the maintenance of PKP PLK in WÅ‚oszczowa PóÅ‚nocâ€.</t>
  </si>
  <si>
    <t>PL-868/5</t>
  </si>
  <si>
    <t>The section of the maintenance of PKP PLK in WÅ‚oszczowa PóÅ‚noc will renew unreadable board â€žThe pa</t>
  </si>
  <si>
    <t>The section of the maintenance of PKP PLK in WÅ‚oszczowa PóÅ‚noc will renew unreadable board â€žThe passage on the platform No. 2â€ and â€žBeware of the trainâ€ and will</t>
  </si>
  <si>
    <t>PL-868/6</t>
  </si>
  <si>
    <t>PKP PLK in Kielce and other branches of the PKP PLK company will make the verification of issued cer</t>
  </si>
  <si>
    <t>PKP PLK in Kielce and other branches of the PKP PLK company will make the verification of issued certificates authorizing to the training from the range of labor safety regulations and anti-fire matters in the aspect of their correctness and validity of content.</t>
  </si>
  <si>
    <t>PL-868/7</t>
  </si>
  <si>
    <t>The management board of the ZakÅ‚ady UsÅ‚ugowe â€œWschódâ€ Ltd will take action</t>
  </si>
  <si>
    <t>PL-868/8</t>
  </si>
  <si>
    <t>Patrols of the SÅ‚uÅ¼ba Ochrony Kolei (Guard of railway protection) realizing their duties in the area</t>
  </si>
  <si>
    <t>Patrols of the SÅ‚uÅ¼ba Ochrony Kolei (Guard of railway protection) realizing their duties in the area of stations and railway zones should carry out inspections of persons performing works in the interest of PKP</t>
  </si>
  <si>
    <t>PL-868/9</t>
  </si>
  <si>
    <t>Comply the content of contracts to the Appendix of the Order No. 8/2009 of the Management Board of P</t>
  </si>
  <si>
    <t>Comply the content of contracts to the Appendix of the Order No. 8/2009 of the Management Board of PKP PLK from 4 May 2009.</t>
  </si>
  <si>
    <t>PL-767/1</t>
  </si>
  <si>
    <t>IM - PLK Warszawa will take steps to eliminate the irregularities written in the Part "Other irregul</t>
  </si>
  <si>
    <t>IM - PLK Warszawa will take steps to eliminate the irregularities written in the Part "Other irregularities which do not have influence on accident occurence"</t>
  </si>
  <si>
    <t>PL-767/2</t>
  </si>
  <si>
    <t>PCC Rail will take steps to eliminate the irregularities written in the part of the Protocol "other</t>
  </si>
  <si>
    <t>PCC Rail will take steps to eliminate the irregularities written in the part of the Protocol "other irregularities which do not have influence on the accident occurence"</t>
  </si>
  <si>
    <t>PL-767/3</t>
  </si>
  <si>
    <t>PCC Rail will prepare bulletin of the accident and will get known it to the locomotive drivers. The</t>
  </si>
  <si>
    <t>PCC Rail will prepare bulletin of the accident and will get known it to the locomotive drivers. The bulletin will be sent to NIB and NSA Poland.</t>
  </si>
  <si>
    <t>PL-767/4</t>
  </si>
  <si>
    <t>IM - PLK Warszawa will made changes in the Regulation of the LC service which will regulate how to</t>
  </si>
  <si>
    <t>IM - PLK Warszawa will made changes in the Regulation of the LC service which will regulate how to use key to emergency closing of the barriers of the LC in case of safety threats. IM will also analyse in which place should be located the key which guarantes fast access in case of emergency.</t>
  </si>
  <si>
    <t>PL-766/1</t>
  </si>
  <si>
    <t>In the progress of the investigation from 04.September 2009 to 07. September 2009, the PKP Intercit</t>
  </si>
  <si>
    <t>In the progress of the investigation from 04.September 2009 to 07. September 2009, the PKP Intercity (RU) - the Office of Engines in Warsaw, withdrew from the exploitation 23 engines in which were equipped with the axles of the same melting as in the engine EP-09-027; on that 23 engines the workshop â€“ the ZNLE Gliwice has performed the exchange of the wheelsets on the new ones. According to the information obtained from Mr. Bartosz KrzemiÅ„ski - the Manager of the Production of the ZNLE Gliwice, until the 08.June.2010, the exchange of the axles has covered 13 engines of the EP09 series. Beside that, the ZNLE Gliwice workshop have been performed the huge reviews on 8 engines what made possible extension of the operating period of these engines without the necessity of putting away the engines awaiting for the execution of the periodical repair.</t>
  </si>
  <si>
    <t>PL-766/2</t>
  </si>
  <si>
    <t>On 9 September 2009 the Chairman of the NIB Poland (PaÅ„stwowa Komisja Badania Wypadków Kolejowych) i</t>
  </si>
  <si>
    <t>On 9 September 2009 the Chairman of the NIB Poland (PaÅ„stwowa Komisja Badania Wypadków Kolejowych) issued recommendations to the ZNLE Gliwice factory concerning necessity to take urgent actions targeting on: (1) specifying of the content of the order for the description of applicable requirements to the leading of the processing of the technological axis with the indication of current drawings and conditions of performing of the axles in the light of binding norms and determined regulations specified by the constructor, (2) the assurance of the supervision and rolling stock acceptance inspectors, (3) the assurance of the permanent protection of the axis before mechanical damages in time of the transport between workshops (belts). On 25.September 2009 year the President of the ZNLE Gliwice in the letter No. NZJ-1/37/2009 gave to the Chairman of NIB Poland the answer about the taking by ZNLE Gliwice actions seized in detail in 21- points-letter, including the points 12., 13. and 14. referred to the realization</t>
  </si>
  <si>
    <t>PL-766/3</t>
  </si>
  <si>
    <t>It is required the elaboration of the document in the form of the order of the Minster of Infrastruc</t>
  </si>
  <si>
    <t>It is required the elaboration of the document in the form of the order of the Minster of Infrastructure defining the manner of the execution of inspections of traction vehicles and qualifications of workers responsible for execution technical inspections, within the range of issuing the certificates of the technical efficiency of the traction vehicle.</t>
  </si>
  <si>
    <t>PL-766/4</t>
  </si>
  <si>
    <t>It is required the elaboration of the draft of the Law concerning requirements and duties and indep</t>
  </si>
  <si>
    <t>It is required the elaboration of the draft of the Law concerning requirements and duties and independences of rolling stock technical inspectors remaining at present in the structures of the PKP companies and other railway undertakings.</t>
  </si>
  <si>
    <t>PL-766/5</t>
  </si>
  <si>
    <t>It is required the elaboration of the enclosure to the Order of the Minister of the Infrastructure i</t>
  </si>
  <si>
    <t>It is required the elaboration of the enclosure to the Order of the Minister of the Infrastructure in the matter of the exploitation of traction vehicles within the range of the manner of the performing repairs of wheelsets taking into account border exploitation conditions of the axles of wheelsets of the rolling stock, the manner of the exchanging of crude wheels on axles after the special qualification with application to specific individual types of traction vehicles</t>
  </si>
  <si>
    <t>PL-766/6</t>
  </si>
  <si>
    <t>The ZNLE Gliwice will make the successive exchange the wheelsets of the engines series EP 09 install</t>
  </si>
  <si>
    <t>The ZNLE Gliwice will make the successive exchange the wheelsets of the engines series EP 09 installed from the beginning of the production, onto wheelsets with new axles performed in the production cycle from the drop forging to the final product in the ZNLE Gliwice which will possess the under mentioned minimal documentation: (1) the certificate of ultrasonic research, (2) the certificate of magnetic and powder research, (3) the certificate of materials.</t>
  </si>
  <si>
    <t>PL-766/7</t>
  </si>
  <si>
    <t>The constructor will make analyses and will cause the execution of research which will define the le</t>
  </si>
  <si>
    <t>The constructor will make analyses and will cause the execution of research which will define the legitimacy of applied material and constructional parameters of the axles for the assurance of the safety of the railway vehicle movement for the determined construction of the drive and the speed of the vehicle together with the definition of the time of safe exploitation.</t>
  </si>
  <si>
    <t>PL-766/8</t>
  </si>
  <si>
    <t>The PKP the Intercity S.A. will make the actualization ( constructional changes and periods condense</t>
  </si>
  <si>
    <t>The PKP the Intercity S.A. will make the actualization ( constructional changes and periods condensed) of documentation connected with the process of technical maintenance of the vehicles railway-series EP 09 and will apply to the Office of Railways (NSA Poland) for the new temporary type approval certificate and simultaneously will begin the supervised exploitation of this series of engines according to the program worked out along with the research institute accepted by NSA Poland. PKP Intercity will also trigger the process to have new documentation of maintenance approved by NSA.</t>
  </si>
  <si>
    <t>PL-766/9</t>
  </si>
  <si>
    <t>PKP IC S.A. will improve the supervision over the time limits of activities concerning the maintenan</t>
  </si>
  <si>
    <t>PKP IC S.A. will improve the supervision over the time limits of activities concerning the maintenance of the engines series EP 09 within the range of periodical overview (PO), control overview (PK) and periodical repairs of traction vehicles</t>
  </si>
  <si>
    <t>PL-766/10</t>
  </si>
  <si>
    <t>The railway undertaking PKP Intercity using the engines series EP 09, the ZNLE Gliwice, research uni</t>
  </si>
  <si>
    <t>The railway undertaking PKP Intercity using the engines series EP 09, the ZNLE Gliwice, research units and constructional units, will indicate the body being responsible for the structural design of the railway vehicle of the series EP 09, which also will be liable for the authorization of all constructional changes in the vehicle type</t>
  </si>
  <si>
    <t>PL-663/1</t>
  </si>
  <si>
    <t>As the consequence of the conclusion of NIB Poland Chairman, as an exception to the Order of the Mi</t>
  </si>
  <si>
    <t>As the consequence of the conclusion of NIB Poland Chairman, as an exception to the Order of the Minsiter of Transportation from 26 February 1996 (Official Journal No 33 post. 133 from 1996), the road manager has performed another measurement of the road traffic volume on the LC on 27 April 2009. The LC has been retrained to the higher category - B (semi-barriers) by the local commission.</t>
  </si>
  <si>
    <t>PL-663/2</t>
  </si>
  <si>
    <t>Temoraily, to the moment of mounting the B category devices on the LC, the speed limit of 20 km/h wa</t>
  </si>
  <si>
    <t>Temoraily, to the moment of mounting the B category devices on the LC, the speed limit of 20 km/h was introduced and another W6a indicator for rail vehicles was located min. 150 m before the LC.</t>
  </si>
  <si>
    <t>PL-663/3</t>
  </si>
  <si>
    <t>The road manager will post the road sign with the notice "caution accidents" until the B category de</t>
  </si>
  <si>
    <t>The road manager will post the road sign with the notice "caution accidents" until the B category devices is installed.</t>
  </si>
  <si>
    <t>PL-663/4</t>
  </si>
  <si>
    <t>The road manager will limit the car speed to 50km/h before the LC.</t>
  </si>
  <si>
    <t>PL-663/5</t>
  </si>
  <si>
    <t>It is highly reccomended to continue the medial action "The safe level crossing" which purpose is to</t>
  </si>
  <si>
    <t>It is highly reccomended to continue the medial action "The safe level crossing" which purpose is to increase the drivers knowleadge about safety on level crossings.</t>
  </si>
  <si>
    <t>PL-576/1</t>
  </si>
  <si>
    <t>During repairs and overviews made in PKP Cargo branches strictly meet DTSU (Maintenance Documentatio</t>
  </si>
  <si>
    <t>During repairs and overviews made in PKP Cargo branches strictly meet DTSU (Maintenance Documentation) and the Instruction Mw-2 and the procedure should be the subject of functional inspections</t>
  </si>
  <si>
    <t>PL-576/2</t>
  </si>
  <si>
    <t>The more detailed records connected defectoscope measurements of the axle and real dimension of the</t>
  </si>
  <si>
    <t>The more detailed records connected defectoscope measurements of the axle and real dimension of the wheelset before repairing must be made in wheelset measuring cards.</t>
  </si>
  <si>
    <t>PL-576/3</t>
  </si>
  <si>
    <t>PKP Cargo will take action targeting successive withdrawing of the maintenance the axis about the jo</t>
  </si>
  <si>
    <t>PKP Cargo will take action targeting successive withdrawing of the maintenance the axis about the journal diameter of 120 mm with the protection of the bearing with the nut on the journal type B according to the Polish standard PN-K-91049:1970, which have been in the maintenance above 20 years.</t>
  </si>
  <si>
    <t>PL-576/4</t>
  </si>
  <si>
    <t>PKP Cargo ÅódÅº will apply to the Rolling Stock Office of the PKP Cargo for considering of the possi</t>
  </si>
  <si>
    <t>PKP Cargo ÅódÅº will apply to the Rolling Stock Office of the PKP Cargo for considering of the possibility of the dependence of the frequency of made repair-reviews not only from the in-service time, but also from the quantity of spent kilometers at determined load.</t>
  </si>
  <si>
    <t>PL-576/5</t>
  </si>
  <si>
    <t>5. PKP Cargo ÅódÅº will prepare bulletin about the accident which will be the subject of trainings f</t>
  </si>
  <si>
    <t>5. PKP Cargo ÅódÅº will prepare bulletin about the accident which will be the subject of trainings for responsible workers for the maintenance and the repair of the rolling stock.</t>
  </si>
  <si>
    <t>PL-575/1</t>
  </si>
  <si>
    <t>On the teritory of the Infrastructure Branch in Olsztyn the rules of notification of each gateman se</t>
  </si>
  <si>
    <t>On the teritory of the Infrastructure Branch in Olsztyn the rules of notification of each gateman separatelly about the comming train was introduced. According to the rule each gateman is infirmed individually about the train number or vehicle number.</t>
  </si>
  <si>
    <t>PL-575/2</t>
  </si>
  <si>
    <t>It was introduced the additional requirement on the section Konopki - MÅ‚awa to informing by gatemen</t>
  </si>
  <si>
    <t>It was introduced the additional requirement on the section Konopki - MÅ‚awa to informing by gatemen about the time of receiving of information about departure of the train from the previuos post. The information is directed to the traffic manager by gatemen (is written in documents by traffic manager and gatemen)</t>
  </si>
  <si>
    <t>PL-575/3</t>
  </si>
  <si>
    <t>PKP PLK in Olsztyn (IM) will publish the information about the accident which will be sent to all pa</t>
  </si>
  <si>
    <t>PKP PLK in Olsztyn (IM) will publish the information about the accident which will be sent to all parties of interest of the PKP Group and other railway carriers.</t>
  </si>
  <si>
    <t>PL-575/4</t>
  </si>
  <si>
    <t>PKP PLK Olsztyn will make investment application to build up the additional device informing the LC</t>
  </si>
  <si>
    <t>PKP PLK Olsztyn will make investment application to build up the additional device informing the LC staff in km. 127,882 of the line 009 about approaching of the train to the LC</t>
  </si>
  <si>
    <t>PL-575/5</t>
  </si>
  <si>
    <t>The modrnization plan of the line No 009 foreseens to build up the viaduct over the line and luquida</t>
  </si>
  <si>
    <t>The modrnization plan of the line No 009 foreseens to build up the viaduct over the line and luquidation ot the LC in km. 127,882.</t>
  </si>
  <si>
    <t>PL-574/1</t>
  </si>
  <si>
    <t>PKP PLK ZLK in Katowice will elaborate information about the accident.</t>
  </si>
  <si>
    <t>PL-574/2</t>
  </si>
  <si>
    <t>PKP PLK IZKI will present during periodical trainings for the PKP PLK employees circumstances of the</t>
  </si>
  <si>
    <t>PKP PLK IZKI will present during periodical trainings for the PKP PLK employees circumstances of the accident, causes of accident in reference to internal instructions, technical regulation of the station, in particular:</t>
  </si>
  <si>
    <t>PL-574/3</t>
  </si>
  <si>
    <t>Section of Exploitation ISE Tychy will perform toming of labour load firstly on the traffic post KL</t>
  </si>
  <si>
    <t>Section of Exploitation ISE Tychy will perform toming of labour load firstly on the traffic post KL of the Katowice Ligota station according to the Order of PKP PLK MB Chairman form 7.11.2008 (letter No. IPR3c-051-23/08).</t>
  </si>
  <si>
    <t>PL-394/1</t>
  </si>
  <si>
    <t>Local recommendations IM PKP PLK in Bydgoszcz</t>
  </si>
  <si>
    <t>Local recommendations IM PKP PLK in Bydgoszcz 1.1 PKP PLK Bydgoszcz is to work out information newsletter concerning the accident A20 category and is going to send for interested companies of PKP Group, railway carriers being the party of agreement on railway access and PKBWK (NIB). 1.2 On 09.10.2007, PKP PLK incompany commission has applied accompanied by the local police for changing the catogory of the a/m railway crossing from C to B category (semi-barriers). PKP PLK In Bydgoszcz will realise decision No. IZDK9-5003-49/07 from 22.10.2007 until 30.06.2009</t>
  </si>
  <si>
    <t>PL-394/2</t>
  </si>
  <si>
    <t>2. Local recommendations for PKP PLK divisions 2.1 Local PKP PLK divisions will apply to local polic</t>
  </si>
  <si>
    <t>2. Local recommendations for PKP PLK divisions 2.1 Local PKP PLK divisions will apply to local police departments and railway police performing its activity on the area of IM for continuous controll of road drivers in scope of road traffic rules fullfilment on railway level crossings cat. B, C and D. 2.2 Local PKP PLK divisions will apply to companies responsible for trainings of road drivers for learning the drivers in subject of rules of drivers behaviour while passing the railway level crossings especially cat. B and C.</t>
  </si>
  <si>
    <t>PL-394/3</t>
  </si>
  <si>
    <t>3. Network recommendations. 3.1 President of PKBWK (NIB) will organise meeting with representatives</t>
  </si>
  <si>
    <t>3. Network recommendations. 3.1 President of PKBWK (NIB) will organise meeting with representatives of Main Police Headquater and PKP PLK in purpose to work out actions to improve safety on railway level crossings. 3.2 President of PKBWK (NIB) will apply to proper Minister for changes in the Order of Minister of Infrastructure from 27.Oct 2005 concerning trainings, examining and obtaining permision by drivers, instructors and examminers (official Journal No 217 posit. 1834 with later chanages) in scope of obligatory trainings of practical driving learning within railway level crossing during trainings and examining of candidates for drivers. 3.3 PKP PLK (IM) will continue IV th edition of the programm "Safe rail level crossing" refered to road drivers, employees of level crossing devices and media</t>
  </si>
  <si>
    <t>PL-1378/1</t>
  </si>
  <si>
    <t>Trainings IM, RU</t>
  </si>
  <si>
    <t>1. Poczawszy od najblizszych szkolen druzyn pociagowych i dyzurnych ruchu uwzglednic w nich w szczególnosci zasady podawania sygnalów zastepczych (Sz) i jazdy na Sz w powiazaniu z wyswietlaniem wskaznika W24 i innych majacych wplyw na sposób prowadzenia jazdy. Zasady te powinny byc uwzglednione i lepiej doprecyzowane przy nowelizacji przepisów wewnetrznych PKP PLK S.A. W ramach szkolen nalezy takze omawiac zagadnienia dotyczace przyjmowania rozkazów pisemnych z wykorzystaniem radiolacznosci oraz postepowania druzyn trakcyjnych po zmianie kanalu radiolacznosci.</t>
  </si>
  <si>
    <t>Polish</t>
  </si>
  <si>
    <t>PL-1378/2</t>
  </si>
  <si>
    <t>1. Starting with upcoming training for train teams and train dispatchers, including in such training, in particular, the rules for issuing Sz and travelling on Sz in connection with displaying a W24 indicator and others affecting traffic management methods. These rules should be taken into account and better defined when the internal regulations of PKP PLK S.A. are updated. The training should also discuss issues regarding receipt of written instructions via radio communication and the conduct of traction teams after a radio communication channel is changed. (Translation provided for information purposes, by the Translation Centre for the bodies of the EU. The only valid version is the original version provided by the NIB)</t>
  </si>
  <si>
    <t>PL-1378/3</t>
  </si>
  <si>
    <t>Trainings on simulators</t>
  </si>
  <si>
    <t>2. W szkoleniu dyzurnych ruchu na symulatorach (w przypadku wyposazenia stanowisk pracy w urzadzania komputerowe) nalezy uwzglednic zasady postepowania w przypadku wystapienia usterek urzadzen srk. Szkolenia, w tym szczególnie dotyczace usterek, powinny byc powtarzane okresowo.</t>
  </si>
  <si>
    <t>PL-1378/4</t>
  </si>
  <si>
    <t>2. For training of train dispatchers on simulators (if positions are equipped with computer devices) the rules of conduct if railway traffic control devices fail should be covered. Training, especially regarding failures, should be repeated periodically. (Translation provided for information purposes, by the Translation Centre for the bodies of the EU. The only valid version is the original version provided by the NIB)</t>
  </si>
  <si>
    <t>PL-1378/5</t>
  </si>
  <si>
    <t>Timetable update</t>
  </si>
  <si>
    <t>3. PKP PLK S.A. powinny dokonac kontroli w zakresie prawidlowosci i aktualnosci przekazywanych przewoznikom kolejowym danych dotyczacych opisu infrastruktury oraz ich uwzgledniania w zeszytach Wewnetrznych Rozkladów Jazdy.</t>
  </si>
  <si>
    <t>PL-1378/6</t>
  </si>
  <si>
    <t>3. PKP PLK S.A should carry out checks as regards the correctness of data given to rail carriers, and whether it is up to date or not regarding descriptions of infrastructure, and these data should be included in Internal Timetable notebooks. (Translation provided for information purposes, by the Translation Centre for the bodies of the EU. The only valid version is the original version provided by the NIB)</t>
  </si>
  <si>
    <t>PL-1378/7</t>
  </si>
  <si>
    <t>Construction of infrastructure (switchboards)</t>
  </si>
  <si>
    <t>4. Przy projektach i wprowadzaniu zmian konstrukcyjnych w rozjazdach uwzglednic ich skutki w wymiarach obudów oslaniajacych elementy nastawcze i kontrolne, aby nie moglo dochodzic do przypadku zwierania elektrycznych obwodów kontroli niezajetosci rozjazdów na skutek wprowadzonych zmian. Wymiary obudów nalezy skorygowac równiez w rozjazdach juz zabudowanych, w przypadku gdy moze dochodzic do takich zwarc.</t>
  </si>
  <si>
    <t>PL-1378/8</t>
  </si>
  <si>
    <t>4. For design and implementation of structural changes to turnouts, to include their effects on the dimensions of switch and control housings, so as to avoid shorting the electrical circuits of turnout occupancy checks as a result of any introduced changes. The housing dimensions are to also be amended in turnouts that are already encased, if such shorting is possible. (Translation provided for information purposes, by the Translation Centre for the bodies of the EU. The only valid version is the original version provided by the NIB)</t>
  </si>
  <si>
    <t>PL-1378/9</t>
  </si>
  <si>
    <t>Analysis of issued approvals</t>
  </si>
  <si>
    <t>5. UTK powinien przeanalizowac dotychczas wydane zezwolenia na montaz i eksploatacje sygnalizatorów z Sz na posterunkach odgaleznych bez semaforów wyjazdowych pod wzgledem zasadnosci ich dalszego wykorzystywania.</t>
  </si>
  <si>
    <t>PL-1378/10</t>
  </si>
  <si>
    <t>5. The UTK should analyse previously released permits for assembly and operation of signals from Sz at signal boxes without approach semaphores in terms of the validity of their continued use. (Translation provided for information purposes, by the Translation Centre for the bodies of the EU. The only valid version is the original version provided by the NIB)</t>
  </si>
  <si>
    <t>PL-1378/11</t>
  </si>
  <si>
    <t>Update of technical regulations</t>
  </si>
  <si>
    <t>6. Nalezy bezwzglednie przestrzegac aktualizacji regulaminów technicznych i innych dokumentów dotyczacych stanowisk pracy na posterunkach ruchu po montazu lub modernizacji nowych urzadzen srk.</t>
  </si>
  <si>
    <t>PL-1378/12</t>
  </si>
  <si>
    <t>6. It is essential always to comply with updated technical regulations and other documents regarding positions at block signal boxes after assembly or modernisation of new railway traffic control devices. (Translation provided for information purposes, by the Translation Centre for the bodies of the EU. The only valid version is the original version provided by the NIB)</t>
  </si>
  <si>
    <t>PL-1378/13</t>
  </si>
  <si>
    <t>Authorisation of employees</t>
  </si>
  <si>
    <t>7. PKP PLK S.A. powinny dokonac kontroli sposobu przeprowadzanych autoryzacji i zapisów w dokumentacji oraz w upowaznieniach do wykonywania czynnosci na danym stanowisku. W przypadku rozbieznosci z zapisami Instrukcji Ia-5 nalezy przeprowadzic ponownie szkolenia i autoryzacje.</t>
  </si>
  <si>
    <t>PL-1378/14</t>
  </si>
  <si>
    <t>7. PKP PLK S.A. should inspect the method of authorisations being carried out and records in documentation and authorisation regarding the execution of duties in a given position. If there are any discrepancies with the provisions of Instruction Ia 5, training and authorisations should be carried out again. (Translation provided for information purposes, by the Translation Centre for the bodies of the EU. The only valid version is the original version provided by the NIB)</t>
  </si>
  <si>
    <t>PL-1378/15</t>
  </si>
  <si>
    <t>Authorisation of employees after modernisations</t>
  </si>
  <si>
    <t>8. Nalezy wprowadzic zasade obowiazkowego przeprowadzania autoryzacji na stanowiskach pracy w przypadku dokonanej modernizacji lub wymiany urzadzen srk.</t>
  </si>
  <si>
    <t>PL-1378/16</t>
  </si>
  <si>
    <t>8. It is necessary to introduce a rule regarding mandatory authorisations for positions if there has been a modernisation or replacement of railway traffic control devices. (Translation provided for information purposes, by the Translation Centre for the bodies of the EU. The only valid version is the original version provided by the NIB)</t>
  </si>
  <si>
    <t>PL-1378/17</t>
  </si>
  <si>
    <t>Update of set of instructions</t>
  </si>
  <si>
    <t>9. Zestaw instrukcji Ie uzupelnic o ogólne zasady obslugi urzadzen komputerowych srk.</t>
  </si>
  <si>
    <t>PL-1378/18</t>
  </si>
  <si>
    <t>9. The Ie instruction set should be amended to include general principles of operation of computer railway traffic control devices. (Translation provided for information purposes, by the Translation Centre for the bodies of the EU. The only valid version is the original version provided by the NIB)</t>
  </si>
  <si>
    <t>PL-1378/19</t>
  </si>
  <si>
    <t>Computer system of railway traffic management</t>
  </si>
  <si>
    <t>10. W instrukcji Ie-104 i innych wewnetrznych dokumentach, w tym w instrukcjach obslugi blokad liniowych nalezy zmienic opis â€žpociag na szlakuâ€ przy zobrazowaniu w postaci czerwonej strzalki i zastapic go opisem â€žwykorzystany ustawiony kierunek blokadyâ€ z komentarzem, ze wyswietlenie tego obrazu nie oznacza rzeczywistej zajetosci toru szlakowego przez pociag.</t>
  </si>
  <si>
    <t>PL-1378/20</t>
  </si>
  <si>
    <t>10. Instruction Ie 104 and other internal documents, including instructions for operation of line blocks, should be changed so that the description 'train on the track' pictured as a red arrow be replaced with the description 'set block direction used' with a comment that the display of this image does not actually mean that a mainline track is occupied by a train. (Translation provided for information purposes, by the Translation Centre for the bodies of the EU. The only valid version is the original version provided by the NIB)</t>
  </si>
  <si>
    <t>PL-1378/21</t>
  </si>
  <si>
    <t>Change of secondary legislation</t>
  </si>
  <si>
    <t>11. W postanowieniach rozporzadzenia z dnia 18 lipca 2005r. ws. ogólnych warunków prowadzenia ruchu kolejowego i sygnalizacji (Dz.U z 2005 r. Nr 172, poz.1444 z pózn. zmianami) oraz wynikajacych z niego przepisach instrukcji Ir-1 nalezy doprecyzowac zapisy dotyczace trybu postepowania i odpowiedzialnosci kierownika pociagu w zakresie bezpieczenstwa ruchu kolejowego w sytuacji gdy kierownik pociagu nie znajduje sie w kabinie pojazdu trakcyjnego.</t>
  </si>
  <si>
    <t>PL-1378/22</t>
  </si>
  <si>
    <t>11. In the provisions of the ordinance of 18 July 2005 on the general conditions for managing railway traffic and signalling devices (Journal of Laws of 2005 No 172, item 1444, as amended) and the resulting Ir 1 instruction the provisions regarding the method of conduct and responsibilities of a train manager as regards rail traffic safety when a train manager is not present in the cab or a traction vehicle should be clarified. (Translation provided for information purposes, by the Translation Centre for the bodies of the EU. The only valid version is the original version provided by the NIB)</t>
  </si>
  <si>
    <t>PL-1378/23</t>
  </si>
  <si>
    <t>Update of instruction concerning train traffic</t>
  </si>
  <si>
    <t>12. W instrukcji o prowadzeniu ruchu pociagów Ir-1 w §63 ust. 4 wprowadzic dodatkowy podpunkt nakazujacy zatrzymanie pociagu, o tresci: â€žpociag zostal skierowany na tor prawy, przy wyswietlonym wskazniku W24â€, natomiast w §57 ust. 4 tej instrukcji wprowadzic dodatkowy punkt, np. 7a), o tresci: â€žzezwolenie na dalsza jazde zatrzymanego pociagu skierowanego na tor prawy, gdy jego czolo minelo semafor z wyswietlonym wskaznikiem W24â€.</t>
  </si>
  <si>
    <t>PL-1378/24</t>
  </si>
  <si>
    <t>12. Section 63(4) of Instruction Ir 1 on train traffic management should be amended to include an additional subsection instructing that a train should be stopped, reading as follows: 'a train was directed onto the right track, with indicator W24 displayed', and Section 57(4) of this instruction should be amended to include an additional point, e.g. 7(a) reading as follows: 'permission to continue journey of a stopped train directed onto the right track, when its front passed a semaphore with indicator W24 displayed'. (Translation provided for information purposes, by the Translation Centre for the bodies of the EU. The only valid version is the original version provided by the NIB)</t>
  </si>
  <si>
    <t>PL-1378/25</t>
  </si>
  <si>
    <t>Veryfication of the number of internal inspections</t>
  </si>
  <si>
    <t>13. Nalezy dokonac weryfikacji ilosci wewnetrznych kontroli z zakresu: a) obowiazku okresowego (w trybie uregulowanym instrukcjami wewnetrznymi) odsluchiwania rozmów przeprowadzanych z wykorzystaniem lacznosci i radiolacznosci, b) prawidlowosci zapisów w dokumentacji techniczno-ruchowej prowadzonej na posterunkach ruchu, w tym w dziennikach prowadzenia ruchu, szczególnie pod wzgledem aktualnosci i czytelnosci, c) rodzajów i czestotliwosci powtarzania sie usterek urzadzen srk oraz czytelnosci i dokladnosci opisów ich objawów, przyczyn oraz zakresu wykonywanych czynnosci naprawczych.</t>
  </si>
  <si>
    <t>PL-1378/26</t>
  </si>
  <si>
    <t>13. Verification is required of the number of internal inspections regarding: a) the obligation of periodic (as specified in internal regulations) playback of conversations carried out using communications and radio communications, b) the correctness of provisions of operation and maintenance documentation kept at block signal boxes, including in traffic management journals, in particular as regards currency and clarity, c) the types and frequency of repeated faults of railway traffic control devices and the accuracy of descriptions and their signs, causes and the scope of repair activities carried out. (Translation provided for information purposes, by the Translation Centre for the bodies of the EU. The only valid version is the original version provided by the NIB)</t>
  </si>
  <si>
    <t>PL-1378/27</t>
  </si>
  <si>
    <t>Update of instruction Ir-5</t>
  </si>
  <si>
    <t>14. Zgodnie z wymaganiami §19 ust. 7 instrukcji Ir-5, przepisy wewnetrzne powinny zostac doprecyzowane odnosnie zasad biezacego sprawdzania systemu â€žRadio-stopâ€ przez personel obslugi, wymaganego na podstawie ust. 4 tego paragrafu, zgodnie z dokumentacja poszczególnych typów urzadzen radiolacznosci.</t>
  </si>
  <si>
    <t>PL-1378/28</t>
  </si>
  <si>
    <t>14. In accordance with the requirements of Section 19(7) of instruction Ie 5, the internal regulations should be better defined regarding the rules of ongoing testing of the Radiostop system by service personnel, as required by item 4 of this paragraph, in accordance with the documentation of individual radio communications device types. (Translation provided for information purposes, by the Translation Centre for the bodies of the EU. The only valid version is the original version provided by the NIB)</t>
  </si>
  <si>
    <t>PL-1378/29</t>
  </si>
  <si>
    <t>Update of internal regulations of RUs and IMs in aspect of employees training frequency</t>
  </si>
  <si>
    <t>15. Dokonac analizy przepisów wewnetrznych zarzadców infrastruktury i przewozników kolejowych w zakresie czestotliwosci i czasu trwania szkolen personelu zatrudnionego na stanowiskach bezposrednio zwiazanych z bezpieczenstwem ruchu kolejowego oraz prowadzacych pojazdy kolejowe. Minimalna czestotliwosc szkolen nie powinna byc mniejsza niz trzy razy w roku przy lacznej liczbie godzin tych szkolen zaleznej od zajmowanego stanowiska.</t>
  </si>
  <si>
    <t>PL-1378/30</t>
  </si>
  <si>
    <t>15. Analyse the internal regulations of infrastructure managers and rail carriers as regards the frequency and duration of training of personnel employed in positions directly related to rail traffic safety and personnel driving rail vehicles. The minimum frequency of such training should not be less than three times a year, with a total number of hours of this training depending on the position held. (Translation provided for information purposes, by the Translation Centre for the bodies of the EU. The only valid version is the original version provided by the NIB)</t>
  </si>
  <si>
    <t>PL-1378/31</t>
  </si>
  <si>
    <t>16. W §105 ust. 6 rozporzadzenia z dnia 18 lipca 2005 r. ws. ogólnych warunków prowadzenia ruchu kolejowego i sygnalizacji (Dz.U z 2005 r. nr 172, poz.1444 z pózn. zmianami) oraz wynikajace z niego przepisach instrukcji Ie-1wprowadzic zapis dotyczacy osygnalizowania pociagów i pojazdów kolejowych znajdujacych sie na torze zamknietym: â€žNa pociagach lub innych pojazdach kolejowych jadacych w kierunku zasadniczym po torze zamknietym linii kolejowej dwutorowej w porze nocnej nalezy stosowac sygnal Pc 1 dla oznaczenia czola pociagu i sygnal Pc 2 dla jego konca, natomiast w przypadku jazdy pociagu w kierunku przeciwnym do zasadniczego po torze zamknietym linii dwutorowej na czole pociagu stosowac sygnal Pc 2 i sygnal Pc 1 na jego koncu nie zmieniajac osygnalizowania w czasie zatrzymania na szlaku.â€</t>
  </si>
  <si>
    <t>PL-1378/32</t>
  </si>
  <si>
    <t>16. In Section 105(6) of the ordinance of 18 July 2005 on the general conditions for managing railway traffic and signalling devices (Journal of Laws of 2005 No 172, item 1444, as amended) and the resulting provisions of instruction Ie 1, a provision should be made regarding the ditch lights of trains and rail vehicles on a closed track: 'For trains or other rail vehicles travelling in the main direction on a closed track of a two track railway line, at night, the Pc 1 signal should be used to mark the front of the train and a Pc 2 signal for its back, and if the train is driving in the opposite direction to the main direction on a closed track of a two track railway line, the front of the train should display the Pc 2 signal and the back the Pc 1 signal, not changing the ditch lights while stopping on a route.' (Translation provided for information purposes, by the Translation Centre for the bodies of the EU. The only valid version is the original version provided by the NIB)</t>
  </si>
  <si>
    <t>PL-1378/33</t>
  </si>
  <si>
    <t>17. W postanowieniach rozporzadzenia z dnia 18 lipca 2005r. ws. ogólnych warunków prowadzenia ruchu kolejowego i sygnalizacji (Dz.U z 2005 r. nr 172, poz.1444 z pózn. zmianami) oraz wynikajacych z niego przepisach instrukcji Ir-1 wprowadzic znaczace ograniczenie liczbe przypadków stosowania Sz oraz zaostrzenie procedur dotyczacych jego kazdorazowego uzycia.</t>
  </si>
  <si>
    <t>PL-1378/34</t>
  </si>
  <si>
    <t>17. In the provisions of the ordinance of 18 July 2005 on the general conditions for managing railway traffic and signalling devices (Journal of Laws of 2005 No 172, item 1444, as amended) and the resulting provisions of instruction Ir 1, a provision should be introduced regarding a significant reduction in the use of Sz and a tightening of the procedures regarding its use each time. (Translation provided for information purposes, by the Translation Centre for the bodies of the EU. The only valid version is the original version provided by the NIB)</t>
  </si>
  <si>
    <t>PL-1378/35</t>
  </si>
  <si>
    <t>Change of secondary legislation and internal regulations of IM</t>
  </si>
  <si>
    <t>18. W postanowieniach rozporzadzenia z dnia 18 lipca 2005 r. ws. ogólnych warunków prowadzenia ruchu kolejowego i sygnalizacji (Dz.U. z 2005r. Nr 172, poz.1444 z pózn. zmianami) oraz wynikajacych z niego przepisach instrukcji Ie-1 wprowadzic zapisy okreslajace wyraznie, które wskazniki obowiazuja pomimo podania sygnalu zastepczego.</t>
  </si>
  <si>
    <t>PL-1378/36</t>
  </si>
  <si>
    <t>18. In the provisions of the ordinance of 18 July 2005 on the general conditions for managing railway traffic and signalling devices (Journal of Laws of 2005 No 172, item 1444, as amended) and the resulting provisions of instruction Ie 1, provisions should be introduced clearly specifying which indicators apply despite the issue of a substitute signal. (Translation provided for information purposes, by the Translation Centre for the bodies of the EU. The only valid version is the original version provided by the NIB)</t>
  </si>
  <si>
    <t>PL-1378/37</t>
  </si>
  <si>
    <t>Update of IM - WTB-E10 internal regulation</t>
  </si>
  <si>
    <t>19. W Wytycznych technicznych budowy urzadzen srk (WTB-E10), wprowadzic szczególowe zasady zezwalania na stosowanie sygnalów zastepczych na posterunkach odgaleznych bez semaforów wyjazdowych i okreslic czas obowiazywania takich zezwolen, przy czym zezwolenie takie powinno obowiazywac wylacznie w sytuacji czestych zamkniec torów szlakowych, np. w okresie intensywnych prac budowlanych i remontowych.</t>
  </si>
  <si>
    <t>PL-1378/38</t>
  </si>
  <si>
    <t>19. In the Technical Guidelines for railway traffic control device construction (WTB E10), detailed rules should be introduced regarding the use of substitute signals at signal boxes without exit semaphores, and the duration of such permits should be determined, and such a permit should apply only in the case of frequent mainline track closures, e.g. during periods of intensive construction and renovation work. (Translation provided for information purposes, by the Translation Centre for the bodies of the EU. The only valid version is the original version provided by the NIB)</t>
  </si>
  <si>
    <t>PL-1214/1</t>
  </si>
  <si>
    <t>Changes in regulations</t>
  </si>
  <si>
    <t>The IM â€œPKP PLK SAâ€ and other infrastructure managers will consider the possibility of introduction of changes in the Ir-1 (R-1) internal regulation or in the other internal regulations of other IMs related to the introduction of obligation to inform train drivers by traffic managers of the stations not covered by the remote control system for traffic about changes of tracks by entry to the station in relation to the timetable, if it is connected with the need to reduce the speed of the train because of the going on reversible track. Such information would have supplement character and would not excuse drivers from the obligation to follow a track situation and display on semaphores. Ministry of Transport, Construction and Maritime Economy will consider the introduction of these changes to the Regulation of the Minister of Infrastructure of 18 July 2005 on the general conditions of railway traffic.</t>
  </si>
  <si>
    <t>PL-1214/2</t>
  </si>
  <si>
    <t>Changes in timetable</t>
  </si>
  <si>
    <t>The RU â€œPKP Intercity SAâ€ and other carriers will take actions to introduce internal procedures for informing the employees concerned about changes in timetables of trains in all organizational units of the carrier and procedure to get known employees with the provisional regulations of traffic in connection with the planned track works requiring closures or reducing the speed of trains.</t>
  </si>
  <si>
    <t>PL-1214/3</t>
  </si>
  <si>
    <t>Mobile phones</t>
  </si>
  <si>
    <t>Introduction to instructions and internal regulations the prohibition of using mobile phones by drivers while driving of RUs and IMs having powered railway vehicles except of special circumstances (e.g. lack of communication, accident) referred to the internal regulations.</t>
  </si>
  <si>
    <t>PL-1214/4</t>
  </si>
  <si>
    <t>Unauthorized person in cabin</t>
  </si>
  <si>
    <t>The RU â€œPKP Intercity SAâ€ and other carriers will eliminate being unauthorized persons in the driver's cabin and driving the railway vehicles by the unauthorized persons</t>
  </si>
  <si>
    <t>PL-1214/5</t>
  </si>
  <si>
    <t>Permission of cabin access</t>
  </si>
  <si>
    <t>IMs and RUs will implement the obligation to comply with the internal regulations on the legitimacy of being persons other than driver in the rail vehicle cabins and having permition by these persons as well as registry in the vehicle documentation by these persons.</t>
  </si>
  <si>
    <t>PL-1214/6</t>
  </si>
  <si>
    <t>Drivers obligation</t>
  </si>
  <si>
    <t>The RU â€œPKP Intercity SAâ€ will take action to enforce the obligation to comply with instructions by the drivers on giving back records of speedometers as well as labor cards immediately after finishing work shift.</t>
  </si>
  <si>
    <t>PL-1214/7</t>
  </si>
  <si>
    <t>Medical checks of drivers</t>
  </si>
  <si>
    <t>The medical science institute â€œCentrum Naukowe Medycyny Kolejowejâ€ will oblige doctors examinating drivers and co-drivers to write in the medical certificates the need to wear correcting glasses by these employees if the ophthalmologist indicates such a need.</t>
  </si>
  <si>
    <t>PL-1214/8</t>
  </si>
  <si>
    <t>Synchronization of time in electronic devices</t>
  </si>
  <si>
    <t>The IM â€œPKP PLK SAâ€, the â€œPKP Energetyka SAâ€ and the RU â€œPKP Intercity SAâ€ will take the necessary amandements in their internal regulations concerning the obligation of periodic synchronization of time of the devices of power systems, electricity, voice recorders and onboard speed recorders of the railway vehicles.</t>
  </si>
  <si>
    <t>PL-1214/9</t>
  </si>
  <si>
    <t>Written orders for drivers</t>
  </si>
  <si>
    <t>The IM â€œPKP PLK SAâ€ will take actions on supervision over the proper implementation of the provisions of the internal regulation Ir-1 (R-1) on providing of written orders to the drivers.</t>
  </si>
  <si>
    <t>PL-1214/10</t>
  </si>
  <si>
    <t>Maintenance of rail traffic control devives</t>
  </si>
  <si>
    <t>The IM â€œPKP PLK SAâ€ will take actions on supervision over the proper implementation of the provisions of the internal regulation Ie-12 (E-24) on the cycles and effectiveness of maintenance of rail traffic control devices.</t>
  </si>
  <si>
    <t>PL-1214/11</t>
  </si>
  <si>
    <t>Case study during trainings</t>
  </si>
  <si>
    <t>RUs and IMs will analyse the accident case during the next periodical trainings for workers connected with rail traffic safety and driving the railway vehicles with the special stress on the procedure while the driver recognizes the entry on the reversible track with exceeded speed.</t>
  </si>
  <si>
    <t>PL-1213/1</t>
  </si>
  <si>
    <t>Head of NIB will consider the possibility of ti issue recommendation for rail infrastructure manager</t>
  </si>
  <si>
    <t>Head of NIB will consider the possibility of ti issue recommendation for rail infrastructure managers for the verification of the designated points for loading and unloading of goods on the trade routes of suspended railway train movement. These sites should be organized as a loading points or siding meet the requirements of Section 71 and 72 "Technical Guidelines for the construction of signaling equipment in the station (WTB-E10)" and Regulation of Minster of Transport and Maritime Economy of 10 September 1998 on the technical conditions correspond to railway structures and their location Chapter 3 facilities for handling freight</t>
  </si>
  <si>
    <t>PL-1213/2</t>
  </si>
  <si>
    <t>The unloading of goods on the lines to organize the loading points - on a siding.</t>
  </si>
  <si>
    <t>PL-1137/1</t>
  </si>
  <si>
    <t>The railway comitee recommends bulding devices of B category (semi-barriers) as soon as possible too</t>
  </si>
  <si>
    <t>The railway comitee recommends bulding devices of B category (semi-barriers) as soon as possible toogether with monitoring devices and electronic display of the LC view in the signal-box in LÄ™bork and the police station.</t>
  </si>
  <si>
    <t>PL-1137/2</t>
  </si>
  <si>
    <t>The speed limit on LC up to 20 km/h has been introduced until B category LC devices to be completed</t>
  </si>
  <si>
    <t>PL-1025/1</t>
  </si>
  <si>
    <t>The rail carrier ORLEN KolTrans Ltd and other rail carriers performing freight traffic embraced with</t>
  </si>
  <si>
    <t>The rail carrier ORLEN KolTrans Ltd and other rail carriers performing freight traffic embraced with the International Regulations RID, will introduce to labor contracts for the positions directly connected with driving of railway vehicles , the clause about the prohibition of the work at other rail carriers, in purpose to guarantee labor time especially during 24 hours and weekly and to comply labor time in the nighttime and to comply required rest.</t>
  </si>
  <si>
    <t>PL-1025/2</t>
  </si>
  <si>
    <t>The department of the Railways in the Ministry of the Transport, Building and Maritime economy will</t>
  </si>
  <si>
    <t>The department of the Railways in the Ministry of the Transport, Building and Maritime economy will take action aiming to the introduction of changes in the act from the day 28 March 2003 about railway transport and executive regulations within the range the manner of the employment by employers of workers performing activities on positions directly connected with the safety of the railway traffic and driving of railway vehicles exclusively on the basis of labor contract.</t>
  </si>
  <si>
    <t>PL-1025/3</t>
  </si>
  <si>
    <t>The Commission obliges rail carriers to prepare lists of workers possessing of the railway vehicle d</t>
  </si>
  <si>
    <t>The Commission obliges rail carriers to prepare lists of workers possessing of the railway vehicle driving license with the definition of the character of their employment (labor contract, civil-law contract), presentation of the lists to the National Safety Authority (UTK) and to their constant update.</t>
  </si>
  <si>
    <t>PL-1025/4</t>
  </si>
  <si>
    <t>NSA will consider the possibility to increase the quantity of inspections performed on engines of ca</t>
  </si>
  <si>
    <t>NSA will consider the possibility to increase the quantity of inspections performed on engines of carriers particularly within the range of activeness of safety devices of the control of driverâ€™s vigilance, in engines by double traction service</t>
  </si>
  <si>
    <t>PL-1025/5</t>
  </si>
  <si>
    <t>NSA will perform the inspection of railway carriers Hagans Logistic Ltd and ORLEN KolTrans Ltd. part</t>
  </si>
  <si>
    <t>NSA will perform the inspection of railway carriers Hagans Logistic Ltd and ORLEN KolTrans Ltd. particularly within the range of conditions of possessed licencenses on the performing of rail freight transports and Safety Management System.</t>
  </si>
  <si>
    <t>PL-1025/6</t>
  </si>
  <si>
    <t>1. NSA will perform the inspection of the company Hagans Logistic Ltd within the range the collabora</t>
  </si>
  <si>
    <t>1. NSA will perform the inspection of the company Hagans Logistic Ltd within the range the collaboration with other rail carriers and performances of conditions to which drivers of railway-vehicles should be the subject.</t>
  </si>
  <si>
    <t>PL-1025/7</t>
  </si>
  <si>
    <t>PKP Cargo joint-stock company will take actions connected with the adaptation schedules of train dri</t>
  </si>
  <si>
    <t>PKP Cargo joint-stock company will take actions connected with the adaptation schedules of train drivers to indispensable needs for starting of freight trains.</t>
  </si>
  <si>
    <t>PL-1025/8</t>
  </si>
  <si>
    <t>PKP PLK in BiaÅ‚ystok will adapt the regulations (RTS) of the station Bialystok to the present track</t>
  </si>
  <si>
    <t>PKP PLK in BiaÅ‚ystok will adapt the regulations (RTS) of the station Bialystok to the present track layout and railway traffic control devices, in which the range of performed actions by employees of traffic posts will be defined, especially in case of liquidation of the chosen posts</t>
  </si>
  <si>
    <t>PL-1025/9</t>
  </si>
  <si>
    <t>Licensed railway carriers will introduce in the manuals for drivers - the definition of duties of th</t>
  </si>
  <si>
    <t>Licensed railway carriers will introduce in the manuals for drivers - the definition of duties of the team of the second traction engine in case of double traction service.</t>
  </si>
  <si>
    <t>PL-1025/10</t>
  </si>
  <si>
    <t>PKP PLK S.A. will initiate to the usage the notification system by PKP PLK workers about transports</t>
  </si>
  <si>
    <t>PKP PLK S.A. will initiate to the usage the notification system by PKP PLK workers about transports of TWR freights (high risk goods) from starting station to the terminal station, together with the full information on the kind of the load and the duty of its monitoring.</t>
  </si>
  <si>
    <t>PL-2666/1</t>
  </si>
  <si>
    <t>1. IM PKP PLK in Lublin shall fully adopt all procedures of Safety Management System which is binding at IM.</t>
  </si>
  <si>
    <t>PL-2666/2</t>
  </si>
  <si>
    <t>Technical regulations</t>
  </si>
  <si>
    <t>2. IM PKP PLK in Lublin should strictly meet upadate of technical regulations and other regulations concerning work positions in the traffic posts.</t>
  </si>
  <si>
    <t>PL-2666/3</t>
  </si>
  <si>
    <t>Improvement of communication</t>
  </si>
  <si>
    <t>3. IM PKP PLK in Lublin should take the steps in aim to assure permanent communication between traffic managers and the F category level crossing gateman.</t>
  </si>
  <si>
    <t>PL-2605/1</t>
  </si>
  <si>
    <t>Trainings for railway staff</t>
  </si>
  <si>
    <t>The accident shall be included in the program of periodic trainings for the technical staff of the rolling stock, traction teams and shunting teams. The accident shall be presented on the basis of bulletin of the event prepared by IM PKP PLK in Gdynia which will be send to WAM (RU) and NIB PL. WAM will send the bulletin electronically to all of the licensed RU.</t>
  </si>
  <si>
    <t>PL-2605/2</t>
  </si>
  <si>
    <t>Periodic trainings for railway staff</t>
  </si>
  <si>
    <t>As a part of the periodic trainings WAM shall talk over the provisions for testing the brake and the rules of filling the brake test documents.</t>
  </si>
  <si>
    <t>PL-2605/3</t>
  </si>
  <si>
    <t>Verification of operational documentation</t>
  </si>
  <si>
    <t>WAM shall verify records in the tabs of the knowledge of railway lines and registers.</t>
  </si>
  <si>
    <t>PL-2605/4</t>
  </si>
  <si>
    <t>As part of the periodic trainings for traction teams, the principles of operation of trains on the lines equipped with automatic line blockade shall be talk over.</t>
  </si>
  <si>
    <t>PL-2605/5</t>
  </si>
  <si>
    <t>Staff qualification update (exams)</t>
  </si>
  <si>
    <t>The additional control exams in RU WAM for the positions related to railway traffic safety shall be performed.</t>
  </si>
  <si>
    <t>PL-2605/6</t>
  </si>
  <si>
    <t>Internal control of labour time.</t>
  </si>
  <si>
    <t>WAM shall increase the amount and frequency of inspections of dispatching office in range of respecting of labour time.</t>
  </si>
  <si>
    <t>PL-2824/1</t>
  </si>
  <si>
    <t>Level crossing operator AH, at the time of the investigation can not perform any level crossing ...</t>
  </si>
  <si>
    <t>Level crossing operator AH, at the time of the investigation can not perform any level crossing operator activity.</t>
  </si>
  <si>
    <t>PL-2824/2</t>
  </si>
  <si>
    <t>Immediate increasing staff of the level crossing No. 1/3.407 to 2 persons during the daily shift. ...</t>
  </si>
  <si>
    <t>Immediate increasing staff of the level crossing No. 1/3.407 to 2 persons during the daily shift. PKP PLK will analyse legitimacy to double staff at the level crossing also during night shift.</t>
  </si>
  <si>
    <t>PL-2824/3</t>
  </si>
  <si>
    <t>The road administrator with the Police will set the appropriate road signs identifying restricted ...</t>
  </si>
  <si>
    <t>The road administrator with the Police will set the appropriate road signs identifying restricted tonnage vehicles.</t>
  </si>
  <si>
    <t>PL-2824/4</t>
  </si>
  <si>
    <t>Reconstruction of barrier devices to the required width of the roadway at the level crossing and ...</t>
  </si>
  <si>
    <t>Reconstruction of barrier devices to the required width of the roadway at the level crossing and completion of work related to the widening of the roadway. The proper width of the roadway is only guaranteed between rails and in their area to ensure the passing of road vehicles.</t>
  </si>
  <si>
    <t>PL-2824/5</t>
  </si>
  <si>
    <t>Installation of additional window to the right side of the front wall looking from the position of ...</t>
  </si>
  <si>
    <t>Installation of additional window to the right side of the front wall looking from the position of level crossing operator or changing the location of the controler of the barriers, which will enable proper observation of all the danger zone of the level crossing.</t>
  </si>
  <si>
    <t>PL-2824/6</t>
  </si>
  <si>
    <t>During the next periodic trainings for level crossing operators the accident will be discussed with ...</t>
  </si>
  <si>
    <t>During the next periodic trainings for level crossing operators the accident will be discussed with particular emphasis on compliance with closing time of the barriers, in accordance with regulations of the level crossings.</t>
  </si>
  <si>
    <t>PL-2824/7</t>
  </si>
  <si>
    <t>As a part of the safety management system the risk analyses of level crossings category A shall be ...</t>
  </si>
  <si>
    <t>As a part of the safety management system the risk analyses of level crossings category A shall be performed and consider the equipment of level crossing with the high risk of occurrence with the device of train approach controll and install of the system RADIO - STOP.</t>
  </si>
  <si>
    <t>PL-2824/8</t>
  </si>
  <si>
    <t>Increase the number of on-site inspections on level crossings with the high risk of occurance ...</t>
  </si>
  <si>
    <t>Increase the number of on-site inspections on level crossings with the high risk of occurance selected by the infrastructure manager following a risk analysis within the Safety Management System</t>
  </si>
  <si>
    <t>PL-2824/9</t>
  </si>
  <si>
    <t>9) With regard to the safety management system, PKP Polskie Linie Kolejowe shall take action aiming ...</t>
  </si>
  <si>
    <t>9) With regard to the safety management system, PKP Polskie Linie Kolejowe shall take action aiming to: a) full implementation of the safety management system in all organizational units and train all employees having influence on safety during the next periodic trainings exclusively to issues related to SMS, in particular procedures: PR-02, PR-03, PD-02, PD-05 and PD-06. b) extending the range of audits of the safety management system to cover the entire process of SMS, including the safety issues at level crossings (procedure PD-02), c) more effective monitoring and analysis of dangerous situations occurring in the rail network of the infrastructure manager, in particular in relation to level crossings, d) a more effective analysis of the risks and take appropriate measures to limit the risks of the activity, in particular with regard to level crossings â€“ chnge in the process of risk management relaying on providing the opportunity to report risks directly by employees to coordinators of SMS. e) performing analysis of the occurrence of narrowings of the road at level crossings that prevent the free passing of vehicles on the level crossings and in cases of narrowings - to eliminate threats. f) adding in the Register of threats to level crossings undertaken within SMS, the risks identified in this report, i.e.: ïƒ˜ too late closure of the barriers, ïƒ˜ improper organization of traffic on the level crossing relaying on narrowings of the road on the level crossings and/or on the roads adjoining to the level crossings, causing traffic jams through the level crossing. ïƒ˜ lack of adequate visibility of the danger zone pass from the level crossing operator post.</t>
  </si>
  <si>
    <t>PL-2824/10</t>
  </si>
  <si>
    <t>Completion of the widening the road to 9 m width making possible free passing vehicles in the ...</t>
  </si>
  <si>
    <t>Completion of the widening the road to 9 m width making possible free passing vehicles in the level crossing and eliminating narrowings.</t>
  </si>
  <si>
    <t>PL-2824/11</t>
  </si>
  <si>
    <t>Fit the level crossing in semi-automatic traffic lights with audible signal, informing car users ...</t>
  </si>
  <si>
    <t>Fit the level crossing in semi-automatic traffic lights with audible signal, informing car users about start of the closing of barriers and equipe with the device of train approach controll.</t>
  </si>
  <si>
    <t>PL-2824/12</t>
  </si>
  <si>
    <t>PKP PLK SA will consider managing the infrastructure and the staff by the same organizational unit. ...</t>
  </si>
  <si>
    <t>PKP PLK SA will consider managing the infrastructure and the staff by the same organizational unit.</t>
  </si>
  <si>
    <t>PL-2824/13</t>
  </si>
  <si>
    <t>The railway undertakings: "PKP Intercity" and â€œKoleje Mazwieckieâ€ will remind during the next ...</t>
  </si>
  <si>
    <t>The railway undertakings: "PKP Intercity" and â€œKoleje Mazwieckieâ€ will remind during the next periodic trainings about an absolute obligation to use the signal RADIO - STOP in case of threat.</t>
  </si>
  <si>
    <t>PL-2824/14</t>
  </si>
  <si>
    <t>Ministry of Infrastructure and Development will consider possibility of implementing tests for ...</t>
  </si>
  <si>
    <t>Ministry of Infrastructure and Development will consider possibility of implementing tests for psychotropic substances to the executive legal regulations related to health, medical and psychological tests and physical and mental capabilities of people applying for positions related to the safety of rail traffic -</t>
  </si>
  <si>
    <t>PL-2824/15</t>
  </si>
  <si>
    <t>During the next inspections of the A category level crossing watchtowers PKP PLK will check the ...</t>
  </si>
  <si>
    <t>During the next inspections of the A category level crossing watchtowers PKP PLK will check the visibility of the danger zone from the work position of the level crossing operator as well as the visibility of the signal D-8 (level crossing present on the level crossing) from the position of the driver and in case of restrictions on the visibility will take appropriate measures.</t>
  </si>
  <si>
    <t>PL-2824/16</t>
  </si>
  <si>
    <t>The infrastructure managers and railway undertakings shall consider the possibility of introducing ...</t>
  </si>
  <si>
    <t>The infrastructure managers and railway undertakings shall consider the possibility of introducing within the safety management obligation of inspection of workers related to the occurrence in range of the content of psychotropic substances (drug content tests based on saliva) at any time after the occurrence and during random checks unrelated to the occurance.</t>
  </si>
  <si>
    <t>PL-4725/1</t>
  </si>
  <si>
    <t>SMS risk analyses</t>
  </si>
  <si>
    <t>In the framework of the Safety Management System, successively conduct an analysis of the occurrence of risks due to a failure to perform thorough vehicle examinations after accidents in accordance with internal regulations.</t>
  </si>
  <si>
    <t>PL-4725/2</t>
  </si>
  <si>
    <t>Increase numer of internal controls</t>
  </si>
  <si>
    <t>Increase the number of controls of the rolling stockâ€™s technical condition following technical servicing and repairs conducted by the railway carrier in accordance with the accepted and valid â€œAction programme for the improvement of the railway traffic safety in the in the company facilitiesâ€ by PKP Cargo S.A.</t>
  </si>
  <si>
    <t>PL-4725/3</t>
  </si>
  <si>
    <t>IM SMS Analyses</t>
  </si>
  <si>
    <t>In the framework of the Safety Management System of the infrastructure manager, successively conduct risk analysis for the occurrence of risks reported by inspectors following the control of the technical condition of tracks.</t>
  </si>
  <si>
    <t>PL-4725/4</t>
  </si>
  <si>
    <t>Increase numer of track controls by IM</t>
  </si>
  <si>
    <t>Increase the number of controls of the condition of a track in the locations (in which the risk of accident occurrence is high) selected by the infrastructure manager, following the risk analysis conducted in the framework of the Safety Management System.</t>
  </si>
  <si>
    <t>PL-4725/5</t>
  </si>
  <si>
    <t>RU SMS-related actions</t>
  </si>
  <si>
    <t>In relation to the Safety Management System, PKP Cargo S.A. will: a. undertake actions to include in the Risk register the risk connected with an incorrect method of placing rail vehicles into service, including the rolling stock after accidents. According to the P/10 Procedure, the valuation of risk connected with this threat needs to be performed, b. increase the number of Safety Management System audits in the company facilities, c. increase the scope of the Safety Management System audits, including covering the P/12 process â€˜Maintenance of the rolling stock in efficiencyâ€™ with audits.</t>
  </si>
  <si>
    <t>PL-4725/6</t>
  </si>
  <si>
    <t>IM SMS-related actions</t>
  </si>
  <si>
    <t>In relation to the Safety Management System, PKP Polskie Linie Kolejowe S.A. will: a. fully implement the safety management system in all organizational units, especially the risk analysis procedure (SMS-PR-02), SMS-PW-1 procedure â€˜maintenance of the railway line in technical and organisational efficiencyâ€™ and â€˜Corrective and preventive measuresâ€™ procedure (SMS-PD-05), b. increase the number of thorough Safety Management System audits in the facilities of PKP PLK S.A.,</t>
  </si>
  <si>
    <t>PL-4725/7</t>
  </si>
  <si>
    <t>Action related to cabin recorders</t>
  </si>
  <si>
    <t>PKP Cargo S.A. will undertake actions to ensure compliance with the rule of using consumables for speedometers, including recording tapes, which are authorised by producers.</t>
  </si>
  <si>
    <t>PL-4826/1</t>
  </si>
  <si>
    <t>Analyse the need to install a fence around the guard post on the crossing at km 23.506 from the road ...</t>
  </si>
  <si>
    <t>Analyse the need to install a fence around the guard post on the crossing at km 23.506 from the road and parking to eliminate direct access for unauthorized persons to doors and windows of the crossing guard post. Moreover, verify whether there is a need to limit access to other similar guard posts, which allow easy access for unauthorized persons.</t>
  </si>
  <si>
    <t>PL-4826/2</t>
  </si>
  <si>
    <t>Provide details in item III.6 of the technical regulations concerning operation of crossing on the ...</t>
  </si>
  <si>
    <t>Provide details in item III.6 of the technical regulations concerning operation of crossing on the line (in particular at km 20.831, 22.005 and 23.506) in relation to the place a person operating the crossing should be when it comes to a term "in the guard post window". The regulations should provide detailed method of performing a duty of a crossing guard, resulting from § 13 par. 3 "Railway crossings operation manual" Ir-7 (R-20) PKP PLK S.A., especially, this sentence should have the following wording "in open window of guard post" indicating specific side and window of a guard post and method of sending D8 signal by a crossing guard as well as the method (place) of sending D7 or D2 signal, when necessary.</t>
  </si>
  <si>
    <t>PL-4826/3</t>
  </si>
  <si>
    <t>Provide conformity between actual configuration of crossing guard work station at the crossing at km ...</t>
  </si>
  <si>
    <t>Provide conformity between actual configuration of crossing guard work station at the crossing at km 23.506 line No. 17 and the final documentation, after previous optimum configuration of this work station.</t>
  </si>
  <si>
    <t>PL-4826/4</t>
  </si>
  <si>
    <t>Crossing cat. A equipped with warning lights or designed with such equipment should provide the ...</t>
  </si>
  <si>
    <t>Crossing cat. A equipped with warning lights or designed with such equipment should provide the option to activate Top depending on the track and direction a train is approaching the crossing. Signal displayed on Top should depend on the gates closing status and not only on the status of light signalling devices, warning road users. After displaying a signal Osp2 on Top, crossing guard should be able to open the gates after passing the train, only by means of special command (or other special operation of a device).</t>
  </si>
  <si>
    <t>PL-4826/5</t>
  </si>
  <si>
    <t>Provide the option to work by all persons authorized to operate the system SCP-2 using own ...</t>
  </si>
  <si>
    <t>Provide the option to work by all persons authorized to operate the system SCP-2 using own identifier and password, according to technical regulations of the station, without using spare identifier "Jan Kowalski".</t>
  </si>
  <si>
    <t>PL-4826/6</t>
  </si>
  <si>
    <t>Verify validity of certificates concerning operation of the systems SCP-2 and SPD-2 according to requirements given in the devices documentations.</t>
  </si>
  <si>
    <t>PL-4826/7</t>
  </si>
  <si>
    <t>In relation to employees employed on positions related to train traffic safety, where special ...</t>
  </si>
  <si>
    <t>In relation to employees employed on positions related to train traffic safety, where special licenses are required, eliminate the cases of work of persons without having valid licenses covering such works.</t>
  </si>
  <si>
    <t>PL-4826/8</t>
  </si>
  <si>
    <t>Detail, in regulations and instructions, the principles concerning the location of sending Rp1 ...</t>
  </si>
  <si>
    <t>Detail, in regulations and instructions, the principles concerning the location of sending Rp1 "Attention" signal by driver in relation W6a indicator position, when, based on traffic situation (semaphore information) or location of a stop, it results that train approach time to the crossing is significantly longer than in case of travelling with admissible maximum speed (based on which the indicator is positioned). The requirement should apply to sending "Attention" signal at such a distance from the crossing which corresponds to time of travel from the place of such indicator to the crossing it applies to, assuming maximum admissible travelling speed along such section. In cases justified with frequent repeating of the above traffic situations, one should consider replacing W6a indicator with W6b indicator. The similar rules apply to W6 and W7 indicators.</t>
  </si>
  <si>
    <t>PL-4826/9</t>
  </si>
  <si>
    <t>Trainings of train drivers should include passing "good practice" consisting in sending "Attention ...</t>
  </si>
  <si>
    <t>Trainings of train drivers should include passing "good practice" consisting in sending "Attention signal" activating it before passing a train travelling from opposite direction, especially at locations endangered to trespass of people, such as platforms, before railway crossings. etc. One should consider such recommendation as an obligation imposed by regulations.</t>
  </si>
  <si>
    <t>PL-4826/10</t>
  </si>
  <si>
    <t>One should consider the necessity to separate, in the "Register of Hazards" in the SMS system ...</t>
  </si>
  <si>
    <t>One should consider the necessity to separate, in the "Register of Hazards" in the SMS system documentation of infrastructure administrator, PKP PLK S.A., from a hazard No. 5.6.4."failure to observe information resulting from road sings (vertical and horizontal)", such incorrect behaviour of road users on a crossing, as failure to observe light signals, entry to the crossing while lifting or lowering the gates, breaking the gates, etc., because this may contribute to taking actions in order to limit or liquidate this group of hazards. Moreover, introduce to this Register stipulations concerning hazards related to limited visibility, caused by acoustic screens, especially when they are installed near railway-road crossing. The above hazards are caused both by missing visibility of trains by road uses, including from a distance of 5 m from the extreme rail of the track on crossings cat. A and visibility of road vehicles approaching the crossing by train drivers.</t>
  </si>
  <si>
    <t>PL-4826/11</t>
  </si>
  <si>
    <t>During next inspections of crossing guard posts on all crossings cat. A, PKP PLK S.A. will inspect ...</t>
  </si>
  <si>
    <t>During next inspections of crossing guard posts on all crossings cat. A, PKP PLK S.A. will inspect visibility zone of approaching trains from the place of operating the crossing gate devices by a guard as well as visibility of D8 signal sent by crossing guard for drivers of trains approaching a crossing, and in case of limited visibility, it will take adequate measures.</t>
  </si>
  <si>
    <t>PL-4826/12</t>
  </si>
  <si>
    <t>Install no left turn sign from DW716: to ul. Kolejowa towards GaÅ‚kówek for vehicles driving through ...</t>
  </si>
  <si>
    <t>Install no left turn sign from DW716: to ul. Kolejowa towards GaÅ‚kówek for vehicles driving through the crossing and also to the left to parking at the crossing guard post, for vehicles driving through the crossing towards Å»akowice PoÅ‚udniowe. Current situation is presented on below photo 1 and 2. Vertical signs B-21 â€žno left turnâ€, positioned before the crossing, because the distance after the crossing is less than 50 m, should be properly completed with horizontal signs.</t>
  </si>
  <si>
    <t>PL-5061/1</t>
  </si>
  <si>
    <t>Inspections on employees in the scope of presence of substance with similar influence to alcohol</t>
  </si>
  <si>
    <t>Infrastructure managers and railway undertakings will intensify inspections on employees in the scope of presence of substance with similar influence to alcohol in their organisms, or if there are no such inspections, they will develop and implement internal systems of random inspections on employees that have direct influence on railway traffic safety.</t>
  </si>
  <si>
    <t>PL-5061/2</t>
  </si>
  <si>
    <t>verify documentation in terms of provisions related to irregularities in operation of train radio communication systems</t>
  </si>
  <si>
    <t>PKP PLK S.A., within the scope of supervision, will verify documentation in terms of provisions related to irregularities in operation of train radio communication systems, and will undertake appropriate preventive measures.</t>
  </si>
  <si>
    <t>PL-5061/3</t>
  </si>
  <si>
    <t>SMS-related recommendations</t>
  </si>
  <si>
    <t>In relation to the Safety Management System, PKP Polskie Linie Kolejowe S.A. will undertake the following actions: a) as regards the PKP PLK S.A. scale, to accelerate identification of cat. â€œAâ€ level crossings operated by train dispatchers or other operators of signal boxes and technical posts, and to undertake appropriate actions intended to successive subordination of the possibility to give the signal allowing to proceed on the position of the gates; the above should be realized on the basis of performed risk assessment as regards accidents on those level crossings, and if necessary, undertake appropriate corrective or preventive actions, b) enter the following threat identified during the investigation carried out by the accident investigation team, i.e. â€œfailure to make the signal dependent on closure of the gates for cat. â€œAâ€ level crossings, operated from signal boxes and technical postsâ€ to the â€œHazard Registerâ€, and carry out necessary further actions, including those resulting from the SMS employed by the infrastructure manager. c) carry out an extraordinary comprehensive inspection of the SMS again, checking implementation of corrective and preventive actions that result from the comprehensive audit in the Railway Lines in Bydgoszcz, especially in the scope of SMS procedures: PR-02, PW-01, PR-03, PG-01 i SMS-PD-05 and to undertake appropriate corrective actions, if necessary; the repeated comprehensive audit should also cover the Exploitation Section in InowrocÅ‚aw; d) efficiently monitor and analyze data related to the occurred dangerous events and situations, especially on cat. â€œAâ€ level crossings, and to initiate adequate preventive actions with consideration of previous recommendations proposed by the National Railway Accident Investigation Committee (PKBWK) and railway commissions investigating the circumstances and causes of accidents on level crossings of this category.</t>
  </si>
  <si>
    <t>PL-4802/1</t>
  </si>
  <si>
    <t>Levelling of the surface of level crossing</t>
  </si>
  <si>
    <t>Base on the letter No. PKBWK.4631.52.2015.BP of 31.07.2015 PKP Polskie Linie Kolejowe S.A. were obliged to perform levelling of the surface on left side of the access road to the crossing at km 36.658 in order to correctly profile the road verge, i.e. to improve visibility of approaching trains from a vehicle.</t>
  </si>
  <si>
    <t>PL-4802/2</t>
  </si>
  <si>
    <t>Changes within the organization of roads and level crossing</t>
  </si>
  <si>
    <t>Due to lack of option to adapt the crossing to technical conditions in accordance with the Decision of the Minister of Infrastructure and Development of 20 October 2015 on technical conditions which railway crossings and sidings with public roads and their location should satisfy (Journal of Laws 2015, item 1744), the infrastructure manager and manager of the road should consider the option to eliminate inconsistencies by: ïƒ˜ - liquidating railway-road crossing of cat. â€žDâ€, at km 36.658 and changing to pedestrian crossing cat. â€žEâ€ with labyrinth, ïƒ˜ - leading the public road so that it connects with one of the roads passing through neighbouring crossings cat. â€žCâ€.</t>
  </si>
  <si>
    <t>PL-4802/3</t>
  </si>
  <si>
    <t>extraordinary inspection of validity concerning â€žDâ€ category crossings</t>
  </si>
  <si>
    <t>PKP PLK S.A. will perform extraordinary inspection of validity concerning â€žDâ€ category crossings, especially from the point of view of data validity concerning train front visibility from 5, 10 and 20 m from the extreme rail.</t>
  </si>
  <si>
    <t>PL-4802/4</t>
  </si>
  <si>
    <t>Beter supervision under investment process</t>
  </si>
  <si>
    <t>PKP PLK S.A. will take actions leading to: a) more effective supervision over provision of opinions and acceptances of project and documentations related to modernization of railway lines, in particular in order to provide conformity of design documentation with applicable technical and national regulations; not imposing limitations on the designers by the functional and utility program, which preclude implementation of projects in conformity with national regulations b) more effective supervision over final acceptances of works, in particular provision of conformity of the works with applicable technical and national regulations and project documentation.</t>
  </si>
  <si>
    <t>PL-4802/5</t>
  </si>
  <si>
    <t>SMS - related recommendations</t>
  </si>
  <si>
    <t>In relation to the Safety Management System, PKP Polskie Linie Kolejowe S.A. will take actions in order to: a) perform extraordinary complex audit of SMS in relation to ZakÅ‚ad Linii Kolejowych w Bydgoszczy, especially within the scope of SMS procedures: PR-02, PW-01, PR-03, PD-02, PW-09 and PW-11 and take proper correcting measures, if necessary, b) modify information flow procedures concerning hazards reported by crossing users (including postulates of residents of areas located near crossings) or employees of the administrator so that ZakÅ‚ad Linii Kolejowych informs the Director of Safety Office of the administrator, who orders proper measures in order to eliminate or minimize such hazards, c) more effective monitoring and analysis of data on hazardous situations occurring within the area of railway network of the infrastructure administrator, including increase of speed, especially in reference to railway-road crossing cat. â€žDâ€, d) continue to increase the number of complex SMS audits in relation to all organizational units of the infrastructure administrator, e) inclusion in the Register of hazards concerning railway crossings kept within the scope of SMS, hazards included herein, i.e.: ïƒ˜ improper lengthwise inclination of access roads, improper type of surface, inconsistent with the Decision of the Minister of Infrastructure and Development of 20 October 2015 on technical conditions which railway crossings and sidings with public roads and their location should satisfy (Journal of Laws 2015, item 1744), ïƒ˜ in clause 8.6.8 of the hazards â€žHazards registerâ€ i.e. "lack of assessment of the change before creating the crossing", one should add "lack of assessment of the change during designing and implementing the line modernization task", f) PKP PLK S.A. will take measures in order to more effectively verify correctness of road traffic measurements on crossing by the road administrators and in case of found inconsistencies within this scope, it will notify road administrators about the necessity to perform measurements according to applicable regulations.</t>
  </si>
  <si>
    <t>PL-4802/6</t>
  </si>
  <si>
    <t>Designing proces improvement before modernization of lines</t>
  </si>
  <si>
    <t>Railway infrastructure managers should consider, that when designing modernization works concerning railway lines, the road communication system as a whole functionally connected with railway crossing is verified by designers. At the design stage, it is reasonable to prepare a project of changes of such roads organization within applicable area of impact near railway-road crossings so that after reorganization of such system, it is possible to redirect traffic to neighbouring crossings of higher category or of the same category in order to channelize traffic in a single point (railway - road crossing). This action should lead to liquidation of unnecessary railway - road crossings. Local administration authorities and road administrators should cooperate within the scope of reaching the aforementioned goal with an infrastructure administrator within a given area, covered by the above mentioned works.</t>
  </si>
  <si>
    <t>PL-4802/7</t>
  </si>
  <si>
    <t>NSA inspections</t>
  </si>
  <si>
    <t>As a result of a control, during which the President of Railway Transport Office finds inconsistencies concerning among other things signs and technical conditions not in conformity with the regulations and decisions concerning given railway - road crossing, it should inform such road administrator and body authorized to manage traffic about such fact.</t>
  </si>
  <si>
    <t>PL-5199/1</t>
  </si>
  <si>
    <t>Analyses</t>
  </si>
  <si>
    <t>Carry out analyses of whether the provisions of the terms and regulations of the level crossings operation on the sections of the line undergoing revitalization are updated, especially in terms of adequate time for notifying and informing that a train is approaching. If there is such a need, introduce appropriate changes</t>
  </si>
  <si>
    <t>PL-5199/2</t>
  </si>
  <si>
    <t>Requalification of the level crossing</t>
  </si>
  <si>
    <t>Analyze the possibility to requalify the â€œMorycaâ€ level crossing to cat. B, since such a solution is permitted with three tracks, based on provisions stipulated in the Regulation issued by the Minister of Infrastructure and Development of 20 October 2015 on technical conditions that must be met by railway lines and railway sidings junctions with roads and their location (OJ Dz.U. of 2016, item 1744) and to implement that change.</t>
  </si>
  <si>
    <t>PL-5199/3</t>
  </si>
  <si>
    <t>IM to undertake approprote actions</t>
  </si>
  <si>
    <t>Until â€œBâ€ cat. is introduced on the â€œMorycaâ€ level crossing at 148.388-km point, the infrastructure manager will undertake appropriate actions as to ensure that the proceed signal given by any of the exit signals from the Piotrków Trybunalski station to the route leading to Rozprza will be there only if the gates at the level crossing at 148.388 km point are closed.</t>
  </si>
  <si>
    <t>PL-5199/4</t>
  </si>
  <si>
    <t>Share of responsibility between employees</t>
  </si>
  <si>
    <t>Until comprehensive change and improvement of the system for notifying and informing the crossing keepers on traveling trains, the technical terms and regulations of the Piotrków Trybunalski station must present determine division of actions and exchange of information between the senior signalman of the signal box PT2 in the scope of level crossing operation, and allocate the responsibility to inform about trains traveling through the â€œBujnyâ€ level crossing to the senior signalman of that signal box.</t>
  </si>
  <si>
    <t>PL-5199/5</t>
  </si>
  <si>
    <t>Ad-hoc improvement of the workplaces in the dispatching signal box PT in Piotrków Trybunalski</t>
  </si>
  <si>
    <t>Ad-hoc improvement of the workplaces in the dispatching signal box PT in Piotrków Trybunalski, to provide the auxiliary train dispatcher with a possibility to observe the approaching sections, and to consider equipping the train dispatcherâ€™s workplace in an additional monitor presenting the actual timetable of trains. There is a need to consider a change in the scope of responsibilities between the train dispatcher and the auxiliary train dispatcher. Especially introduce a change assuming that one of them operates between the Baby and Piotrków Trybunalski stations, and the second one between the Piotrków Trybunalski and Rozprza stations, and manages the work of the executive signal box PT2. It would eliminate the need to exchange information, what at the current work organization provides the threat of negligence or inaccuracy in the process of mutual information exchange by the keepers, especially as regard notifying the guard posts about the approaching trains</t>
  </si>
  <si>
    <t>PL-5199/6</t>
  </si>
  <si>
    <t>Authorisation of posts of signalmen</t>
  </si>
  <si>
    <t>In case of posts staffed with a signalman and a senior signalman, and the responsibilities of the senior signalman include carrying out tasks of the signalman in special circumstances, employ two types of authorization and adequate entries in the authorization process for a given job position: a) signalman (exclusively), b) signalman and senior signalman, not applying authorization limited to just the scope of the senior signalmanâ€™s duties, without simultaneous authorization as a signalman.</t>
  </si>
  <si>
    <t>PL-5199/7</t>
  </si>
  <si>
    <t>Improvement of radio talks recording system</t>
  </si>
  <si>
    <t>Ensure that the existing radio talks recording system from the announcement and guard posts registers whole talks. For this purpose, introduce outrunning of recording (e.g. by 2 seconds, as in case of radio-communication) of talks initiated by voice (by analog subscribers), and implement an additional criterion for finishing of the talks initiated by a subscriber equipped with new-generation devices, which apart from ending the call by the subscriber (by hanging up) would be finishing the talk by other parties, regardless of their equipment (including telephones with batteries).</t>
  </si>
  <si>
    <t>PL-5199/8</t>
  </si>
  <si>
    <t>Periodic trainings</t>
  </si>
  <si>
    <t>During the periodic trainings for crossing keepers, discuss the serious accidents with special emphasis put on compliance with correct times for closure of the gates, pursuant to provisions of the terms and regulations regarding operation of the level crossings.</t>
  </si>
  <si>
    <t>PL-5199/9</t>
  </si>
  <si>
    <t>Carrrying on risk analysis within SMS</t>
  </si>
  <si>
    <t>Within the safety management system of the infrastructure manager carry on with risk analysis for threats on cat. A level crossings, and improve the number of level crossings equipped with automatic signaling devices informing about approaching trains, and in the â€œradio-stopâ€ system devices, first at the level crossings, where the risk of accidents is high.</t>
  </si>
  <si>
    <t>PL-5199/10</t>
  </si>
  <si>
    <t>SMS-related actions</t>
  </si>
  <si>
    <t>Undertake appropriate actions by the PKP Polskie Linie Kolejowe S.A. railway infrastructure manager, updating the safety management system in such a manner that the â€œHazard Registerâ€ includes the threats for level crossings, identified within the scope of performed investigation, especially those discussed in sub-chapter III.1.3 of this Reports, especially the threats: - caused by loss of individual predispositions of a crossing keeper for operation of new devices, improved rail and road traffic intensity, as well as increased travel speeds or trains, - consisting in failure to adjust the system of notifying and informing about times of trains approaching, to the required time for closure of the gates, - resulting from non-optimum adjustment of the system notifying and informing about times of train approaching, in terms and conditions of announcement and crossing keeperâ€™s posts in relation to guaranteed times in comparison to train timetables, i.e. lack of proper updates to the terms and conditions of level crossings operation when the line revitalization is completed, - caused by failure to inform the guard posts that a train is approaching what results from no or wrong allocation of responsibilities between the train dispatchers and signalmen in the traffic posts. What is more, an analysis of work organization of posts at the Piotrków Trybunalski station, carried out as a part of the investigation, the Team found out that is is justified to complement the appropriate sub-chapter of the â€œRegister of Threatsâ€ (e.g. 7.9) in terms of provisions resulting from: - wrong allocation of responsibilities between the postâ€™s employees, - wrong ergonomics of workplaces on technical posts, as well as consideration of purposefulness of a threat that may arise on the design phase of a technical post, resulting from wrong assumptions as regards work organization of the technical post, including e.g. its division into switch circles. As a result of the analysis there is a need to formulate the hazards and enter them into the Register in a more precise manner than currently in chapter 8. Presentation of hazards regarding level crossings in three different chapters of the â€œHazards Registerâ€ causes that some of them, including those identified during the accident investigation carried out by the Team, could not have been considered in the current version of the Register. There is a need to analyze the â€œHazard Registerâ€ in terms of notes included in sub-chapter III.1.3 of this Report, and to consider introduction of adequate changes and amendments.</t>
  </si>
  <si>
    <t>PL-5199/11</t>
  </si>
  <si>
    <t>Consider and of the internal audits change the organizational structure</t>
  </si>
  <si>
    <t>Consider and of the internal audits change the organizational structure carried out by the infrastructure manager, whenever possible, consisting in the fact that the auditor working for the railway lines are subordinate to the Comapnyâ€™s HQ.</t>
  </si>
  <si>
    <t>PL-5320/1</t>
  </si>
  <si>
    <t>Organizational change of the place of giving D8 signal</t>
  </si>
  <si>
    <t>PKP PLK S.A. will change the place, which the gateman gives the D8 signal from into a more visible one what has been shown in the PKP PLK S.A. inspection protocol.</t>
  </si>
  <si>
    <t>PL-5320/2</t>
  </si>
  <si>
    <t>Check a radiocommunication system</t>
  </si>
  <si>
    <t>PKP PLK S.A. will check correctness of the train radio-communication operation on the Zawadówka - Uherka road, railway line No. 7</t>
  </si>
  <si>
    <t>PL-5320/3</t>
  </si>
  <si>
    <t>PKP PLK S.A. will enforce the obligation to use high visibility vests by gatemen.</t>
  </si>
  <si>
    <t>PL-5320/4</t>
  </si>
  <si>
    <t>Improvement of the labor conditions of gatemen</t>
  </si>
  <si>
    <t>Within its OHS operations, PKP PLK S.A.: a) will align the working condition of the lineman on the level crossing in the 244.676-km point, railway line No. 7, with the applicable regulations, especially with the Regulation of the Ministry of Labour and Social Policy of 26 September 1997 (Dz.U. of 2003, No. 169, item 1650, as amended) and will eliminate all regularities mentioned in chapter III.1.3).1 of the Report, b) within the systemic approach to the working condition of the level crossing operators - PKP PLK. S.A. will verify the working conditions of linemen on all cat. A level crossings, and if any discrepancies with the above-mentioned Regulation are found out, it will undertake adequate corrective actions.</t>
  </si>
  <si>
    <t>PL-5320/5</t>
  </si>
  <si>
    <t>SMS-related issues (IM)</t>
  </si>
  <si>
    <t>In relation to the Safety Management System, PKP Polskie Linie Kolejowe S.A. will undertake the following actions: a) on cat. A level crossings, operated from a fixed place, it will successively check visibility of D8 signals from the cabins of powered railway vehicles, from the train driverâ€™s position, given by linemen; if there is any shortage in visibility or no visibility at all, there will be a need to undertake some adequate corrective and/or preventive actions, b) within the scope of inspections of the signals visibility, it will be checked whether open boom barriers on level crossings are visible; and if limited visibility is identified or there is no visibility at all, there will be a need for adequate corrective and/or preventive actions, c) improve the number of team inspections in relation to cat. A level crossings; when determining the objects for the above-mentioned inspection activities, the decisions should be based first of all on threats that occur on the level crossings.</t>
  </si>
  <si>
    <t>PL-5320/6</t>
  </si>
  <si>
    <t>SMS-related issues (RU)</t>
  </si>
  <si>
    <t>Within the scope of the safety management system, Przewozy Regionalne Sp. z o.o. will ensure: a) on-going and periodical inspection of all parameters registered on electromechanical recorders of powered railway, b) implementation of the train driversâ€™ duty to check correctness of the parameters registered on the speed velocity metersâ€™ tapes while taking the tape out of the speed velocity meter; in case any irregularities are found out - they should be noted down in logbooks of the powered vehicles, c) within the scope of the â€œSafety improvement programâ€, to increase the number of inspections of the speed velocity metersâ€™ tapes, d) will undertake actions regarding development of front video cameras in railway vehicles according to the order issued by the President of the Office of the Rail Transport (UTK) No. DBK-550/R-03/KB/12 of 30.05.2012, addressed to railway undertakings stating the obligation to install recording devices - digital cameras or dashcams in newly produced and exploited railway vehicles, in accordance with the recommendation provided by PKBWK - No. PKBWK-076-305/RL/R/11 of 22.11.2011.</t>
  </si>
  <si>
    <t>PL-5325/1</t>
  </si>
  <si>
    <t>eliminate the existing deflection of the road profile on the LC</t>
  </si>
  <si>
    <t>PKP PLK IZ in Opole together with the road manager will eliminate the existing deflection of the road profile in the travel area, at the 56.977-km point, amounting to over 9%, which occurs at the joint of slabs with the bituminous road surface; and until the irregularities are eliminated - they will carry out a risk assessment and introduce a safe speed limit for traveling trains.</t>
  </si>
  <si>
    <t>PL-5325/2</t>
  </si>
  <si>
    <t>PKP Intercity S.A. will implement the order issued by the President of the Office of the Rail ...</t>
  </si>
  <si>
    <t>PKP Intercity S.A. will implement the order issued by the President of the Office of the Rail Transport (UTK) No. DBK-550/R-03/KB/12 of 30.05.2012, addressed to railway undertakings stating the obligation to install recording devices - digital cameras or dashcams in newly produced and exploited railway vehicles, in accordance with the recommendation provided by PKBWK - No. PKBWK-076-305/RL/R/11 of 22.11.2011.</t>
  </si>
  <si>
    <t>PL-5325/3</t>
  </si>
  <si>
    <t>passenger warning systems</t>
  </si>
  <si>
    <t>PKP Intercity S.A. and other carriers will analyze the possibility to employ the passenger warning systems in electrical multiple units activated in case of immediate braking, in order to eliminate any body injuries of the travelers, along with the form of exploitation of such devices.</t>
  </si>
  <si>
    <t>PL-5325/4</t>
  </si>
  <si>
    <t>prioritize starting up the "radio-stop" system</t>
  </si>
  <si>
    <t>PKP PLK S.A. will prioritize starting up the "radio-stop" system by traffic orderly or any other means aiming at immediate stopping of trains in case information about obstacles on the track is received.</t>
  </si>
  <si>
    <t>PL-5325/5</t>
  </si>
  <si>
    <t>activate the system of recording calls</t>
  </si>
  <si>
    <t>PKP PLK S.A., the Railways Plant in Opole will activate the system of recording calls between dispatchers and traffic orderly on the recorder in the dispatcher's telephone exchange.</t>
  </si>
  <si>
    <t>PL-5325/6</t>
  </si>
  <si>
    <t>heck the recording of calls between the orderly and the dispatcher on all DGT devices in the entire network</t>
  </si>
  <si>
    <t>PKP PLK S.A. will check the recording of calls between the orderly and the dispatcher on all DGT devices in the entire network.</t>
  </si>
  <si>
    <t>PL-5325/7</t>
  </si>
  <si>
    <t>accomplish the program of locating pictograms in the area of level crossings</t>
  </si>
  <si>
    <t>PKP PLK S.A. together with the Ministry of Interior Affairs and Administration will accomplish the program of locating pictograms in the area of level crossings informing about the possibility of notifying the Traffic Management Center in case of danger at the crossing.</t>
  </si>
  <si>
    <t>PL-5325/8</t>
  </si>
  <si>
    <t>social campaigns on the level crossings.</t>
  </si>
  <si>
    <t>The infrastructure manager, by way of â€œSafe crossing - stop and liveâ€ and other social campaigns will inform the level crossings users on how they can notify about the threats that occurred on the level crossings.</t>
  </si>
  <si>
    <t>PL-5325/9</t>
  </si>
  <si>
    <t>extraordinary inspection of level crossings</t>
  </si>
  <si>
    <t>PKP PLK S.A. will order all plants of railway lines to carry out an extraordinary inspection of level crossings in terms of the correct road grid line in relation to level crossing plates, and in case of any irregularities, will request the road manager to set A-11 signs "uneven road".</t>
  </si>
  <si>
    <t>PL-5325/10</t>
  </si>
  <si>
    <t>the possibility to read data from on-board recorders on site</t>
  </si>
  <si>
    <t>In relation to users of motor driven railway vehicles, ED250 series, PKP Intercity S.A. will provide the workers carrying out the accident investigation with the possibility to read data from on-board recorders on site, including provision of software for analysis of travel parameters after the occurrences and - within the internal management systems - on-going analysis intended to monitor the train drivers work.</t>
  </si>
  <si>
    <t>PL-5325/11</t>
  </si>
  <si>
    <t>update the safety management systems, especially the threats register</t>
  </si>
  <si>
    <t>PKP PLK S.A. will update the safety management systems, especially the threats register in terms of possibility of incorrect deflections in the longitudinal profile of the road on level crossings and the interconnected hazards.</t>
  </si>
  <si>
    <t>PL-5325/12</t>
  </si>
  <si>
    <t>media campaign informing the drivers about the new labeling of LC</t>
  </si>
  <si>
    <t>PKP PLK S.A. will organize a media campaign informing the drivers that information on phone numbers to be utilized in case of threat is now available on the level crossings.</t>
  </si>
  <si>
    <t>PL-5325/13</t>
  </si>
  <si>
    <t>periodical trainings issues</t>
  </si>
  <si>
    <t>The railway carriers (RUs) and infrastructure managers (IMs), within periodical and ad-hoc trainings, will introduce the rules for train drivers governing their observance of the track area which the railway vehicle travels through, regarding their interpretation and response to the observed untypical signs given by third persons to stop the train.</t>
  </si>
  <si>
    <t>PL-5325/14</t>
  </si>
  <si>
    <t>periodical trainings issues (IM)</t>
  </si>
  <si>
    <t>During the periodical and ad-hoc trainings, PKP PLK S.A. will carry on with the themes of employing the â€œradio-stopâ€ system or other emergency train stoppage along with definite response to the obtained information about threats that can influence the train traffic safety on train stations and adjacent routes.</t>
  </si>
  <si>
    <t>PL-5325/15</t>
  </si>
  <si>
    <t>improve the ergonomics of a train dispatcherâ€™s job at the Ozimek train station.</t>
  </si>
  <si>
    <t>PKP PLK S.A. Railways Plant in Opole will undertake certain actions intended to improve the ergonomics of a train dispatcherâ€™s job at the Ozimek train station.</t>
  </si>
  <si>
    <t>PL-5325/16</t>
  </si>
  <si>
    <t>analyze the risk on the level crossing</t>
  </si>
  <si>
    <t>PKP PLK S.A. Railways Plant in Opole will analyze the risk on the level crossing in question, and in case any irregularities are identified, it will take steps intended to improve safety at the crossing.</t>
  </si>
  <si>
    <t>PL-5325/17</t>
  </si>
  <si>
    <t>equip the F6 signs embedded in front of the national road No. 46 and Kuczki street crossing</t>
  </si>
  <si>
    <t>The National Road administrator will supplement the F6 signs embedded in front of the national road No. 46 and Kuczki street crossing in Schodnia with information on the traffic ban for heavy goods vehicles (together with the T21 plate â€œ100mâ€ or â€œexcept access to the baseâ€) at the entrance to the P. Kuczki street from both directions (photo 22 on page 64, photo 23 on page 65).</t>
  </si>
  <si>
    <t>PL-5325/18</t>
  </si>
  <si>
    <t>embed the A-30 â€œother dangerâ€ signs on both sides along with the T-14d board, which should precede the B-33 â€œspeed limitâ€ signs.</t>
  </si>
  <si>
    <t>Bearing in mind the previous accidents that occurred at the level crossing in question (described in point IV.1) and the serious accident of 07.04.2017, the District Roads Administration in Opole, acting as the poviat road No. 1744.O manager will embed the A-30 â€œother dangerâ€ signs on both sides along with the T-14d board, which should precede the B-33 â€œspeed limitâ€ signs (Fig. 6, p. 33).</t>
  </si>
  <si>
    <t>PL-5325/19</t>
  </si>
  <si>
    <t>install safety devices on top luggage shelves in ED 250 vehicles</t>
  </si>
  <si>
    <t>PKP Intercity S.A. will install safety devices on top luggage shelves in ED 250 vehicles, in order to eliminate movement of luggage along the shelf and their falling down to the travelersâ€™ seats during immediate breaking or as a result of centrifugal force.</t>
  </si>
  <si>
    <t>PL-5362/1</t>
  </si>
  <si>
    <t>Inspection of SOT2 devices</t>
  </si>
  <si>
    <t>The infrastructure managers will perform an inspection of cased SOT 2 devices for fixture of MER 111401/1 receivers and their manufacturing date.</t>
  </si>
  <si>
    <t>PL-5362/2</t>
  </si>
  <si>
    <t>Replacement of MER111401/1 older than 20 year</t>
  </si>
  <si>
    <t>If MER 111401/1 devices manufactured before 1998 are identified, infrastructure managers will immediately replace them with receivers recommended by the manufacturers, notified bodies, and having certificates or type approvals.</t>
  </si>
  <si>
    <t>PL-5362/3</t>
  </si>
  <si>
    <t>Supervision of MER111401/1 devices</t>
  </si>
  <si>
    <t>Until all MER 111401/1 devices are replaced with different receivers, infrastructure managers will exercise special supervision of the devicesâ€™ operation and will take actions aimed at mitigating the risk of potentially dangerous events and situations, such as track occupancy signal maintenance.</t>
  </si>
  <si>
    <t>PL-5362/4</t>
  </si>
  <si>
    <t>Increase number of inspections of railway traffic devices</t>
  </si>
  <si>
    <t>The Investigation Team recommends that PKP Polskie Linie Kolejowe S.A. should increase the number of inspections of railway traffic control devices, in particular as concerns the aspects connected with introduction of effective mechanisms for monitoring and verification of efficiency of execution of the recommendations formulated after inspections of the technical condition and correctness of operation of railway traffic control devices, as stipulated by the provisions of the Safety Management System in the case of devices with use restrictions.</t>
  </si>
  <si>
    <t>PL-5362/5</t>
  </si>
  <si>
    <t>Update of technical documentation</t>
  </si>
  <si>
    <t>Infrastructure managers will update technical and traffic documentation of the traffic control devices.</t>
  </si>
  <si>
    <t>PL-5362/6</t>
  </si>
  <si>
    <t>Update of the regulation of the station Podstolice</t>
  </si>
  <si>
    <t>PKP Polskie Linie Kolejowe S.A., ZakÅ‚ad Linii Kolejowych in PoznaÅ„ will specify the provisions of the Podstolice Station Technical Regulations as concerns the way in which trains are followed by the signalman.</t>
  </si>
  <si>
    <t>PL-5362/7</t>
  </si>
  <si>
    <t>CCTV onboard camera in moror railway vehicles</t>
  </si>
  <si>
    <t>PKP Cargo S.A. shall implement: a. The recommendation included in the Report of the State Commission for Investigation of Railway Accidents No PKBWK/1/2015 approved by Resolution No 4/PKBWK/2015 of 27 July 2015 which reads as follows: â€œPKP Cargo S.A. will undertake actions to ensure compliance with the rule of using consumables for speedometers, including recording tapes, which are authorised by producers.â€ b. The Order of the President of the Office of Rail Transport No DBK-550/R-03/KB/12 of 30.05.2012 directed at railway carriers concerning the obligation to install recording devices â€“ digital cameras or video recorders in newly built and already used railway vehicles, in line with recommendation of the State Commission for Investigation of Railway Accidents No PKBWK-076-305/RL/R/11 of 22.11.2011.</t>
  </si>
  <si>
    <t>PL-5362/8</t>
  </si>
  <si>
    <t>risk analysis programme within SMS (IM)</t>
  </si>
  <si>
    <t>In the framework of the Safety Management System, infrastructure managers will develop a risk analysis programme for the systems of devices used according to the rules which did not stipulate an obligation to approve these devices by the President of the Office of Rail Transport (including devices MER-111401 and MER-111404), but an internal decision of the infrastructure manager and an opinion of the Railway Research Institute. In the case of a negative decision, they will take adequate actions.</t>
  </si>
  <si>
    <t>PL-5362/9</t>
  </si>
  <si>
    <t>other SMS - related actions (RU)</t>
  </si>
  <si>
    <t>In relation to the Safety Management System, PKP Cargo S.A. will supplement the threat register with the following elements: a. Irregularities in the operation of rail traffic control devices, b. Irregularities in the implementation of the recommendations of the State Commission for Investigation of Railway Accidents.</t>
  </si>
  <si>
    <t>PL-5371/1</t>
  </si>
  <si>
    <t>Use of Pc5 night signs</t>
  </si>
  <si>
    <t>To restore the use of Pc5 night signals also on cargo trains on lines with a multi-block (automatic) line block.</t>
  </si>
  <si>
    <t>PL-5371/2</t>
  </si>
  <si>
    <t>Pc5 signal shield dimensions</t>
  </si>
  <si>
    <t>To implement the use of Pc5 signal shields at the dimensions defined in Instruction Ie-102 (see: page 31 of the Report).</t>
  </si>
  <si>
    <t>PL-5371/3</t>
  </si>
  <si>
    <t>ABS semaphore masts painting</t>
  </si>
  <si>
    <t>To paint the masts of ABS semaphores with white signal paint (the face of the mast was light brown with a darker brown tarnish) (Ie-12 § 24(2)).</t>
  </si>
  <si>
    <t>PL-5371/4</t>
  </si>
  <si>
    <t>Continuity of lighting of S1 signal on ABS semaphores</t>
  </si>
  <si>
    <t>Infrastructure managers will take action to case the block system ensuring continuity of lighting of S1 signal on ABS semaphores in the case of a power outage at non-traction demand lines.</t>
  </si>
  <si>
    <t>PL-5371/5</t>
  </si>
  <si>
    <t>CCTV onboard cameras in traction units</t>
  </si>
  <si>
    <t>PKP Cargo S.A. and Euronaft Trzebinia Sp. z o.o. will implement: The Order of the President of the Office of Rail Transport No DBK-550/R-03/KB/12 of 30.05.2012 directed at railway carriers concerning the obligation to install recording devices â€“ digital cameras or video recorders in newly built and already used railway vehicles, in line with recommendation of the State Commission for Investigation of Railway Accidents No PKBWK-076-305/RL/R/11 of 22.11.2011.</t>
  </si>
  <si>
    <t>PL-5422/1</t>
  </si>
  <si>
    <t>CCTV cameras</t>
  </si>
  <si>
    <t>STK S.A. shall execute the order of the President of the Office of Rail Transport No. DBK-550/R-03/KB/12 of 30.05.2012, addressed to railway carriers with the obligation to install recording devices - digital cameras or video recorders in newly built and in operation railway vehicles , in accordance with the recommendation of PKBWK â€“ Nr PKBWK-076-305/RL/R/11 of 22.11.2011.</t>
  </si>
  <si>
    <t>PL-5422/2</t>
  </si>
  <si>
    <t>SMS-related issues</t>
  </si>
  <si>
    <t>As part of the safety management system, STK S.A. a. will analyze and evaluate the risk for cases of running railway traction vehicles with the intention of shutting down the SHP and CA alertness devices and not complying with the provisions of § 63 para. 13 of Instructions Ir-1 (R-1), b. will increase as part of the safety improvement program for the following years: the number of speedometer tape controls and the number of control trips in the traction vehicle cabins, c. will increase the number of security audits in the framework of the security improvement program for the coming years, in particular with regard to the transport process, with particular emphasis on supervision of the work of drivers and rolling stock auditors.</t>
  </si>
  <si>
    <t>PL-5422/3</t>
  </si>
  <si>
    <t>supervision under train drivers</t>
  </si>
  <si>
    <t>STK SA will increase supervision over the work of train drivers in terms of railway safety, and especially driving vehicles with SHP and CA devices turned on.</t>
  </si>
  <si>
    <t>PL-5422/4</t>
  </si>
  <si>
    <t>IM staff training issue</t>
  </si>
  <si>
    <t>PKP PLK S.A. as part of periodic instructions for directly related persons with the railway traffic will put a special emphasis on: a. the need for employees to check traffic posts before giving the permission signal on the semaphore, whether the route is prepared, i.e. whether it is properly set and secured and there are no obstacles to drive ", which is required by § 40 para. 1, 2 and 3 of the Ir-1 instruction, b. correct formulation of telephoneograms and radiographs announcers, c. good practice of informing by radio the drivers of railway vehicles driving by traffic police officers about changes in the traffic organization of a given train within the station, in particular about unplanned stops at the station, in order to pass other trains.</t>
  </si>
  <si>
    <t>PL-5422/5</t>
  </si>
  <si>
    <t>maintenance issues (rail vehicles and devices)</t>
  </si>
  <si>
    <t>STK S.A. verify the correctness of the inspections performed: a. train radio equipment operated by subcontractors and increase the supervision over the performance of these services, b. traction vehicles in order to comply with the provisions of the Maintenance System Documentation of this series of vehicles and increase the supervision over the performance of these services.</t>
  </si>
  <si>
    <t>REC-000556</t>
  </si>
  <si>
    <t>PL-5422/6</t>
  </si>
  <si>
    <t>Supervision under radiocommunication devices</t>
  </si>
  <si>
    <t>STK S.A. will take actions to supervise the train radio devices in terms of compliance of the time of these devices with real time.</t>
  </si>
  <si>
    <t>REC-000557</t>
  </si>
  <si>
    <t>PL-5422/7</t>
  </si>
  <si>
    <t>W3 indicator</t>
  </si>
  <si>
    <t>The location of the "W3" indicator at track No. 2 at kilometer 457,486 at SmÄ™towo station is not justified by the current internal regulations. PKP PLK S.A. ZakÅ‚ad Linii Kolejowych in Gdynia, at the request of the PKBWK, he liquidated this indicator during the proceedings.</t>
  </si>
  <si>
    <t>PL-5422/8</t>
  </si>
  <si>
    <t>internal regulation WTB-E10 of IM</t>
  </si>
  <si>
    <t>Infrastructure manager of PKP PLK S.A. will take measures to adapt the internal rule Ie-4 (WTB-E10) in the scope of protective routes taking into account train journeys by the station at different speeds, when these trains enter the route equipped with in a multi-block automatic line lock.</t>
  </si>
  <si>
    <t>REC-000561</t>
  </si>
  <si>
    <t>PL-5422/9</t>
  </si>
  <si>
    <t>protective route issues</t>
  </si>
  <si>
    <t>To obtain an effective protection route of 50 m to the turnoff of the Rz24 and Rz25 crossroads after the L2 and K2 signposting semaphores with the speed of trains passing by 120 km / h through the station on the main main track, the manager will consider the possibility of moving the semaphores to the Sm2 control room by a minimum of 28 meters, or, without moving the semaphores, build gauge blocks at the extension of track No. 32 and 31 at least 50m behind the 2 i K. semaphores. The current application of the protection route is in accordance with the applicable internal regulations of the Ie-4 manager (WTB-E10). As part of the system approach to safety, railway infrastructure managers will analyze protective routes used at traffic posts with similar conditions of traffic organization, including the track system.</t>
  </si>
  <si>
    <t>REC-000566</t>
  </si>
  <si>
    <t>PL-5422/10</t>
  </si>
  <si>
    <t>Technical Reulation of the SmÄ™towo station issues</t>
  </si>
  <si>
    <t>Infrastructure manager PKP PLK S.A.. until the protection route for the course of z232 and z231 before the intersections of switches 24 and 25, will be introduced in the Technical Standpoint of the Movement Post (RTPR) - station SmÄ™towo: a. before proceeding with the preparation of the route for the train entry to track No. 2 from the Z-semaphore for route Z12, , the duty of the train operator to make sure that the train stops after completing the course on track No. 32, b. before proceeding with the preparation of the route for the train entry to track No. 1 from semaphore A for route A1, the duty of the train operator to make sure that the train stops after completing the course on track No. 31.</t>
  </si>
  <si>
    <t>PL-5488/1</t>
  </si>
  <si>
    <t>Reflective elements in suport rail vehicles</t>
  </si>
  <si>
    <t>The infrastructure managers and other entities operating support vehicles will undertake actions to equip the support vehicles running on railway lines with reflective elements in order to improve the visibility of these vehicles from the side, and will draw up guidelines in relation to additional vehicle-labelling with these elements to the internal rules.</t>
  </si>
  <si>
    <t>PL-5488/2</t>
  </si>
  <si>
    <t>Empoyees to know temporary regulations</t>
  </si>
  <si>
    <t>PKP PLK S.A. will ensure that its employees, as well as the employees of other entities on railway lines where works are executed and track-maintenance cars are operating, observe the temporary rules.</t>
  </si>
  <si>
    <t>PL-5488/3</t>
  </si>
  <si>
    <t>Onboard recorders</t>
  </si>
  <si>
    <t>PKP PLK S.A. will equip the support vehicles which are modernized, subject to inspections of P4 and P5 maintenance levels, as well as the newly-purchased vehicles with on-board recorders of running parameters (recording at least speed, pressure in the brake pipe and brake cylinders, and activation of â€œattentionâ€ signal).</t>
  </si>
  <si>
    <t>PL-5488/4</t>
  </si>
  <si>
    <t>Training of employees</t>
  </si>
  <si>
    <t>PKP PLK S.A. will undertake actions to ensure that all employees of the infrastructure managerâ€™s Investment Execution Centre are trained on an ongoing basis in the field of Safety Management System and its updates.</t>
  </si>
  <si>
    <t>PL-5488/5</t>
  </si>
  <si>
    <t>IM to ensure subcontractors to know temporary regulations</t>
  </si>
  <si>
    <t>PKP PLK S.A. will undertake actions to ensure that all subcontractorsâ€™ employees are demonstrably acquainted in particular with the temporary rules in force concerning the operation of traffic, with the documentation concerning the Safety Management System of the infrastructure manager which is mandatory for subcontractors, as well as with other documents, including those relating to the topic of safety and health risks for persons executing works in the managerâ€™s area.</t>
  </si>
  <si>
    <t>PL-5488/6</t>
  </si>
  <si>
    <t>In relation to the Safety Management System, PKP Polskie Linie Kolejowe S.A. will undertake the following actions: a. it will perform special supervision over the observance of the PR-02, PR-03 and PD-05 procedures, including the controls and audits system, b. it will undertake actions to shorten the implementation of the above-mentioned procedures and make the process more effective, and to end the procedures no later than prior to the commencement of the works</t>
  </si>
  <si>
    <t>REC-000903</t>
  </si>
  <si>
    <t>PL-5515/1</t>
  </si>
  <si>
    <t>â€œThreats registerâ€ of the railway infrastructure manager</t>
  </si>
  <si>
    <t>The PKBWK investigation team recommends including the following item in the â€œThreats registerâ€ of the railway infrastructure manager: â€œDisconnection of a train with uncontrolled displacement of railway vehicles or without such displacementâ€ resulting from an unfavourable railway line profile.</t>
  </si>
  <si>
    <t>REC-000907</t>
  </si>
  <si>
    <t>PL-5515/2</t>
  </si>
  <si>
    <t>Changes in the in the Traffic Posts Regulations</t>
  </si>
  <si>
    <t>The Railway Line Facility in Opole shall regulate the issue of freight trains not stopping at home signals ahead of Nowy ÅšwiÄ™tów station from the direction of Nysa station, by including appropriate provisions in the Traffic Posts Regulations on these stations.</t>
  </si>
  <si>
    <t>REC-000908</t>
  </si>
  <si>
    <t>PL-5515/3</t>
  </si>
  <si>
    <t>changes in the Technical Regulations of the Technical Post at Nysa station</t>
  </si>
  <si>
    <t>According to the investigation team, Part 40 of RTPR (Technical Regulations of the Technical Post at Nysa station) should be clearly specified in line with the §71(9) of the Ir-1 instruction â€œA detailed procedure depending on local conditions should be set in the technical regulationâ€.</t>
  </si>
  <si>
    <t>REC-000909</t>
  </si>
  <si>
    <t>PL-5515/4</t>
  </si>
  <si>
    <t>excluding wagons from operation</t>
  </si>
  <si>
    <t>Until all irregularities found in the documentation of wagons taking part in the incident are explained, the Committee recommends that the carrier excludes these wagons from operation.</t>
  </si>
  <si>
    <t>REC-000910</t>
  </si>
  <si>
    <t>PL-5515/5</t>
  </si>
  <si>
    <t>Implementation the Order of the President of the Office of Rail Transport No. DBK-550/R-03/KB/12 of 30 May 2012</t>
  </si>
  <si>
    <t>The company â€œCargo PTTâ€ shall implement the Order of the President of the Office of Rail Transport No. DBK-550/R-03/KB/12 of 30 May 2012 addressed to railway carriers, concerning the obligation of installing devices recording the train front view â€“ digital cameras or video recorders in newly constructed and currently operated railway vehicles, in accordance with the PKBWK Recommendation No. PKBWK-076-305/RL/R/11 of 22 November 2011.</t>
  </si>
  <si>
    <t>REC-000911</t>
  </si>
  <si>
    <t>PL-5515/6</t>
  </si>
  <si>
    <t>increase the quality and the number of audits and controls relating to transport process implementation</t>
  </si>
  <si>
    <t>The railway carrier â€œCargo PTTâ€ will increase the quality and the number of audits and controls relating to transport process implementation, especially in terms of supervision over the work of traction teams and rolling stock auditors as well as maintaining rolling stock in operation. During the proceeding, the Regulation No. 01/06/2018 of the CEO of â€œCargo PTTâ€ of 4 June 2018 on adopting and implementing the amendment No. 5 to the safety management system â€œSMSâ€ in railway transport activities of the carrier â€œCargo PTTâ€ â€“ concerning only P/17 Procedure â€“ Controls was adopted.</t>
  </si>
  <si>
    <t>REC-000912</t>
  </si>
  <si>
    <t>PL-5515/7</t>
  </si>
  <si>
    <t>develop and implement an organisation structure for the maintenance process and the scope of performed operations</t>
  </si>
  <si>
    <t>The company â€œCargo PTTâ€ shall develop and implement an organisation structure for the maintenance process and the scope of performed operations, especially concerning railway vehicles, including all freight wagons and traction units.</t>
  </si>
  <si>
    <t>REC-000913</t>
  </si>
  <si>
    <t>PL-5515/8</t>
  </si>
  <si>
    <t>explain the rules of procedure for drivers and rolling stock auditors</t>
  </si>
  <si>
    <t>As part of their periodic instructing exercises, railway carriers operating freight trains shall explain the rules of procedure for drivers and rolling stock auditors as regards: ï€­ correct train composition, ï€­ performing technical inspections before departure of a train, ï€­ correct manner of performing the required brake checks, ï€­ correct technique of train operation (start, smooth driving considering the profile of the railway line section, braking).</t>
  </si>
  <si>
    <t>REC-000924</t>
  </si>
  <si>
    <t>PL-5515/9</t>
  </si>
  <si>
    <t>enhance their supervision of proper implementation of the railway vehicles maintenance process</t>
  </si>
  <si>
    <t>Carriers operating freight trains and entities responsible for the maintenance of freight wagons (ECM) shall enhance their supervision of proper implementation of the railway vehicles maintenance process, in line with the DSU (documentation of the maintenance system), AVV or other documents concerning maintenance and operation of freight wagons.</t>
  </si>
  <si>
    <t>REC-000925</t>
  </si>
  <si>
    <t>PL-5519/1</t>
  </si>
  <si>
    <t>implementation the Order of the President of the Office of Rail Transport No. DBK-550/R-03/KB/12 of 30 May 2012</t>
  </si>
  <si>
    <t>POL- MIEDÅ¹ TRANS Sp. z o.o. and LOTOS Kolej Sp. z o.o. shall implement the Order of the President of the Office of Rail Transport No. DBK-550/R-03/KB/12 of 30 May 2012 addressed to railway carriers, concerning the obligation of installing devices recording the train front view â€“ digital cameras or video recorders in newly constructed and currently operated railway vehicles, in accordance with the PKBWK Recommendation No. PKBWK-076-305/RL/R/11 of 22 November 2011.</t>
  </si>
  <si>
    <t>REC-000926</t>
  </si>
  <si>
    <t>PL-5519/2</t>
  </si>
  <si>
    <t>strengthen supervision of train drivers in terms of railway safet</t>
  </si>
  <si>
    <t>POL- MIEDÅ¹ TRANS Sp. z o.o. shall strengthen supervision of train drivers in terms of railway safety. During the proceedings, the Company implemented an increased number of control rides by training drivers.</t>
  </si>
  <si>
    <t>REC-000927</t>
  </si>
  <si>
    <t>PL-5519/3</t>
  </si>
  <si>
    <t>verify the provisions of its Work Regulations</t>
  </si>
  <si>
    <t>POL- MIEDÅ¹ TRANS Sp. z o.o. shall verify the provisions of its Work Regulations concerning the operations that are included in the working time and performed by employees whose work is related to driving and railway traffic safety.</t>
  </si>
  <si>
    <t>REC-000929</t>
  </si>
  <si>
    <t>PL-5519/4</t>
  </si>
  <si>
    <t>verify whether the descriptions of operations made at the specific levels of coal transport wagon maintenance are correct within the Maintenance System Documentation.</t>
  </si>
  <si>
    <t>POL- MIEDÅ¹ TRANS Sp. z o.o. shall verify whether the descriptions of operations made at the specific levels of coal transport wagon maintenance are correct within the Maintenance System Documentation.</t>
  </si>
  <si>
    <t>REC-000930</t>
  </si>
  <si>
    <t>PL-5519/5</t>
  </si>
  <si>
    <t>adapt work contracts with employees</t>
  </si>
  <si>
    <t>POL- MIEDÅ¹ TRANS Sp. z o.o. shall adapt work contracts with employees to the operations performed in particular positions.</t>
  </si>
  <si>
    <t>REC-000932</t>
  </si>
  <si>
    <t>PL-5519/6</t>
  </si>
  <si>
    <t>enforce compliance with time synchronisation in time-indicating and time-recording devices with the real time.</t>
  </si>
  <si>
    <t>The users of train vehicles and the infrastructure managers shall enforce compliance with time synchronisation in time-indicating and time-recording devices with the real time.</t>
  </si>
  <si>
    <t>REC-000934</t>
  </si>
  <si>
    <t>PL-5519/7</t>
  </si>
  <si>
    <t>streamline communication on disabled wagons</t>
  </si>
  <si>
    <t>POL- MIEDÅ¹ TRANS Sp. z o.o. shall streamline communication on disabled wagons between the Dispatching Department and the Wagon Maintenance Department.</t>
  </si>
  <si>
    <t>REC-000650</t>
  </si>
  <si>
    <t>PL-5617/1</t>
  </si>
  <si>
    <t>Road manager-related recommendation - illumination of the level crossing</t>
  </si>
  <si>
    <t>The road manager will consider the possibility of ensuring continuity of the illumination of the road in order to eliminate the dark zone in the area of approaching to the level crossing.</t>
  </si>
  <si>
    <t>PL-5617/2</t>
  </si>
  <si>
    <t>Road manager-related recommendation - illumination (legal basis)</t>
  </si>
  <si>
    <t>The Commission recognises the need to install illumination on the crossing based on § 85(2) of the Regulation of the Minister of Infrastructure and Development of 20 October 2015 on technical conditions which must be fulfilled by crossings of railway lines and railway sidings with roads and their location (Dz. U. item 1744, as amended; hereinafter: â€œthe Regulation of 2015â€).</t>
  </si>
  <si>
    <t>REC-000654</t>
  </si>
  <si>
    <t>PL-5617/3</t>
  </si>
  <si>
    <t>Road manager-related recommendation - road signs</t>
  </si>
  <si>
    <t>The road manager will complement the missing vertical road signs with the F6a sign on the side road.</t>
  </si>
  <si>
    <t>REC-000655</t>
  </si>
  <si>
    <t>PL-5617/4</t>
  </si>
  <si>
    <t>Road manager-related recommendation - speed limit</t>
  </si>
  <si>
    <t>The road manager will reduce the maximum speed allowed in the area if the level crossing from 90 km/h to 50 km/h.</t>
  </si>
  <si>
    <t>REC-000656</t>
  </si>
  <si>
    <t>PL-5617/5</t>
  </si>
  <si>
    <t>Improvement of the level crossing surface</t>
  </si>
  <si>
    <t>The Manager of the Railway Infrastructure will fill up the bitumen cavities in the area of the level crossing.</t>
  </si>
  <si>
    <t>REC-000852</t>
  </si>
  <si>
    <t>PL-5617/6</t>
  </si>
  <si>
    <t>Road manager-related recommendation - building U1a posts</t>
  </si>
  <si>
    <t>The road manager will build U1a delineator posts on the crossing (the recommendation was implemented during the proceedings).</t>
  </si>
  <si>
    <t>REC-000853</t>
  </si>
  <si>
    <t>PL-5617/7</t>
  </si>
  <si>
    <t>Revitatlisation/modernizatrion of railway lines</t>
  </si>
  <si>
    <t>For all D-category level crossings located on revitalized/modernized railway lines, the Railway Infrastructure Managers will introduce, together with putting the railway line into service, a gradual increase in the speed of the trains at level crossings until the target speed is reached. The value of the irst temporary speed restriction should be 60 km/h, and every 30 days the speed should be raised by 20 km/h after the prior risk assessment, until timetable speed is reached. Until the target speed is introduced before these level crossings, the Railway Infrastructure Managers will install W6b indicators at a distance resulting from the vision triangles for 20 m.</t>
  </si>
  <si>
    <t>REC-000854</t>
  </si>
  <si>
    <t>PL-5617/8</t>
  </si>
  <si>
    <t>media compains</t>
  </si>
  <si>
    <t>In compliance with the declaration included in the letter no. IBR1u-0701-20.1/2018 of 10/09/2018, PKP PLK S.A. will undertake activities with the aim of raising awareness among the road users when it comes to the change of local conditions on D-category level crossings situated on revitalized/modernized railway lines by way of informing the local community living in the area of the level crossing via local governments and local media.</t>
  </si>
  <si>
    <t>REC-000855</t>
  </si>
  <si>
    <t>PL-5617/9</t>
  </si>
  <si>
    <t>synchronization of time indications with the real time on all data recorders.</t>
  </si>
  <si>
    <t>The railway undertakings and the railway infrastructure managers will ensure synchronization of time indications with the real time on all data recorders.</t>
  </si>
  <si>
    <t>REC-000856</t>
  </si>
  <si>
    <t>PL-5617/10</t>
  </si>
  <si>
    <t>Onboard devices recording picture of the infrastructure in front of the vehicle</t>
  </si>
  <si>
    <t>Przewozy Regionalne Sp. z o.o. will implement the order of the Chairman of the Railway Transport Office no. DBK-550/R-03/KB/12 of 30/05/2012 addressed to railway undertakings on the obligation to install devices recording picture of the infrastructure in front of the vehicle â€“ digital cameras or video recorders in newly built and currently operated railway vehicles, in accordance with the PKBWK recommendation no. PKBWK-076-305/RL/R/11 of 22/11/2011.</t>
  </si>
  <si>
    <t>PL-5617/11</t>
  </si>
  <si>
    <t>actions in order to complement the data on the registration of the use of â€œattentionâ€ signal in ATM-type electronic recorders</t>
  </si>
  <si>
    <t>Przewozy Regionalne Sp. z o.o. will undertake actions in order to complement the data on the registration of the use of â€œattentionâ€ signal in ATM-type electronic recorders installed in the operated traction units.</t>
  </si>
  <si>
    <t>PL-5617/12</t>
  </si>
  <si>
    <t>update the level crossing certificate</t>
  </si>
  <si>
    <t>PKP PLK S.A., Railway Lines Plant in Opole will update the level crossing certificate.</t>
  </si>
  <si>
    <t>PL-5617/13</t>
  </si>
  <si>
    <t>actions in order to remove the ground mound before the level crossing</t>
  </si>
  <si>
    <t>PKP PLK S.A., Railway Lines Plant in Opole will undertake actions in order to remove the ground mound before the level crossing (the recommendation was implemented during the proceedings).</t>
  </si>
  <si>
    <t>REC-000860</t>
  </si>
  <si>
    <t>PL-5617/14</t>
  </si>
  <si>
    <t>making correct write-offs in the Motor Vehicle Logbook</t>
  </si>
  <si>
    <t>Przewozy Regionalne Sp. z o.o. will implement, during the periodic instructions and instructions for temporary train drivers, the theme relating to making correct write-offs in the Motor Vehicle Logbook after the event.</t>
  </si>
  <si>
    <t>PL-5617/15</t>
  </si>
  <si>
    <t>Road manager - related recommendatrions - adjust the road infrastructure to the requirements included in the Regulation of the Minister Transport and Maritime Economy of 2 March 1999</t>
  </si>
  <si>
    <t>The district road manager will adjust the road infrastructure to the requirements included in the Regulation of the Minister Transport and Maritime Economy of 2 March 1999 on technical conditions which must be fulfilled by public roads and their location (Dz. U. of 2016, item 124), annex no. 2, and in the Regulation of the Minister of Infrastructure and Development of 20 October 2015 on technical conditions which must be fulfilled by crossings of railway lines and railway sidings with roads and their location.</t>
  </si>
  <si>
    <t>REC-000862</t>
  </si>
  <si>
    <t>PL-5617/16</t>
  </si>
  <si>
    <t>Trainings for employees</t>
  </si>
  <si>
    <t>PKP PLK S.A., during the periodic instructions for employees of control points, will implement the theme relating to making correct write-offs in the Telephone Calls Log (R-138 books).</t>
  </si>
  <si>
    <t>PL-5617/17</t>
  </si>
  <si>
    <t>Media compains</t>
  </si>
  <si>
    <t>PKP PLK S.A. will intensify the â€œBezpieczny przejazd â€“ Zatrzymaj siÄ™ i Å¼yjâ€ (â€œSafe crossing â€“ stop and liveâ€) campaign in the vicinity of D-category level crossings.</t>
  </si>
  <si>
    <t>REC-000864</t>
  </si>
  <si>
    <t>PL-5617/18</t>
  </si>
  <si>
    <t>Checks of level crossings</t>
  </si>
  <si>
    <t>On all D-category level crossings, Railway Infrastructure Managers will carry out checks concerning: - the existing admissible maximum speed limits in relation to the actual vision triangles; - the correctness of the crossing marking from the side of the road.</t>
  </si>
  <si>
    <t>REC-000865</t>
  </si>
  <si>
    <t>PL-5617/19</t>
  </si>
  <si>
    <t>detailed analysis of the correctness of the data included in the crossing certificates in relation to the actual state.</t>
  </si>
  <si>
    <t>For all D-category level crossings, the Managers of the Railway Infrastructure will carry out a detailed analysis of the correctness of the data included in the crossing certificates in relation to the actual state.</t>
  </si>
  <si>
    <t>REC-000866</t>
  </si>
  <si>
    <t>PL-5617/20</t>
  </si>
  <si>
    <t>process of designing revitalization or modernization works of the railway lines</t>
  </si>
  <si>
    <t>The Railway Infrastructure Managers should consider that during the process of designing revitalization or modernization works of the railway lines, the communication structure of the roads should be verified by the designers as a whole which is functionally connected to the level crossings. During the design, it is legitimate to make a design of an organizational change of a layout of such roads in the adequate impact area in the vicinity of level crossings in such a way, that after the reorganization of that layout it would be possible to redirect the traffic to the nearby crossings of the same or higher category in order to channel the traffic at one point. This action should lead to the removal of unnecessary level crossings. The local administration authorities as well as the road managers should cooperate for the achievement of the above-mentioned aim with the infrastructure manager in a given area covered by the above-mentioned works. Instead of removing the D-category level crossing, the creation of an E-category level crossing should be considered.</t>
  </si>
  <si>
    <t>PL-5665/1</t>
  </si>
  <si>
    <t>Security measures to be used in bearing axle-boxes</t>
  </si>
  <si>
    <t>The railway carriers and the entities responsible for maintanance (ECM) the rolling stock shall continue to be obliged to implement the PKBWKâ€™s recommendation concerning security measures to be used in bearing axle-boxes after they are installed on wheelset pins by means of new screws and lock-washers.</t>
  </si>
  <si>
    <t>PL-5665/2</t>
  </si>
  <si>
    <t>Identification the employee responsible for installing the axle-box</t>
  </si>
  <si>
    <t>The employees of companies responsible for conducing level P3, P4 and P5 inspections who install axle-boxes on wheelset pins by means of lock-washers will imprint the individual parameters identifying the employee responsible for installing the axle-box along with installation date.</t>
  </si>
  <si>
    <t>PL-5665/3</t>
  </si>
  <si>
    <t>Obligation to replace the wheelsetsâ€™ rolling bearings which were in operation for up to 25 years with new bearings during level P4 or P5 inspections</t>
  </si>
  <si>
    <t>Based on the expertâ€™s report, the entities in charge of freight wagonsâ€™ maintenance (ECM) will introduce the obligation to replace the wheelsetsâ€™ rolling bearings which were in operation for up to 25 years with new bearings during level P4 or P5 inspections</t>
  </si>
  <si>
    <t>PL-5665/4</t>
  </si>
  <si>
    <t>To include the following elements in MMS systems: (a) detailed requirements applicable to entities performing level P4 and P5 inspections, (b) describing in detail the tasks of accepting inspectors under the Maintenance Management System (MMS) of freight wagons, especially with regard to partial inter-operational acceptances.</t>
  </si>
  <si>
    <t>Entities in charge of maintenance will check the MMS systems for causes identified in this report and will consider whether to include the following elements in these systems: (a) detailed requirements applicable to entities performing level P4 and P5 inspections, (b) describing in detail the tasks of accepting inspectors under the Maintenance Management System (MMS) of freight wagons, especially with regard to partial inter-operational acceptances.</t>
  </si>
  <si>
    <t>PL-5665/5</t>
  </si>
  <si>
    <t>Equip the dSAT (hot axle detectors) devices used on the 351 line with dual-track devices, to ensure that the failure diagnostics of the rolling stock can be carried out for all directions.</t>
  </si>
  <si>
    <t>PKP PLK S.A. will equip the dSAT devices used on the 351 line with dual-track devices, to ensure that the failure diagnostics of the rolling stock can be carried out for all directions.</t>
  </si>
  <si>
    <t>PL-5665/6</t>
  </si>
  <si>
    <t>Equipped with devices for detecting failures of the rolling stock on operational railway lines</t>
  </si>
  <si>
    <t>PKP PLK S.A. will take measures to ensure that railway lines are systematically equipped with devices for detecting failures of the rolling stock on operational railway lines based on the analysis of the risk of potential emergence of such events.</t>
  </si>
  <si>
    <t>PL-5665/7</t>
  </si>
  <si>
    <t>MMS related actions</t>
  </si>
  <si>
    <t>Under the maintenance management system, CTL Logistics will take measures aiming at: (a) strengthening supervision over the implementation of Maintenance Management System procedures, (b) ensuring detailed supervision over repair services providers, including supervision over WWK Åapy.</t>
  </si>
  <si>
    <t>PL-5665/8</t>
  </si>
  <si>
    <t>Take measures aiming at strengthening supervision over the process of repairing the rolling stock, including improving quality control of the repair-related activities.</t>
  </si>
  <si>
    <t>WWK Åapy will take measures aiming at strengthening supervision over the process of repairing the rolling stock, including improving quality control of the repair-related activities.</t>
  </si>
  <si>
    <t>PL-5692/1</t>
  </si>
  <si>
    <t>consider the possibility of changing the category of this level crossing</t>
  </si>
  <si>
    <t>The railway infrastructure manager (IM) PKP PLK S.A. Railway Lines in Szczecin will carry out an operational risk assessment to consider the possibility of changing the category of this level crossing from the currently applicable â€œDâ€ to higher.</t>
  </si>
  <si>
    <t>PL-5692/2</t>
  </si>
  <si>
    <t>Until this risk analysis is completed, PKP PLK S.A. Railway Lines in Szczecin will introduce a restriction of the permissible speed of trains at each track and in both ways at this level crossing within the triangle of visibility over the entire length of the trainâ€™s approach, in accordance with the provisions of the Ordinance of the Minister of Infrastructure of 20 October 2015 included in part B of Annex No. 3.</t>
  </si>
  <si>
    <t>PL-5692/3</t>
  </si>
  <si>
    <t>Carry out an inspection of all â€œDâ€ category level crossings</t>
  </si>
  <si>
    <t>The infrastructure managers and the users of railway sidings will carry out an inspection of all â€œDâ€ category level crossings in terms of the appropriateness of the markings, as well as the need to continuously update the level crossing metrics.</t>
  </si>
  <si>
    <t>PL-5692/4</t>
  </si>
  <si>
    <t>check the installed systems for registering image</t>
  </si>
  <si>
    <t>The operators of driven railway vehicles will check the installed systems for registering image in front of the traction unit in terms of the correctness and stability of image registration without any delays in the case of buffer registration. In the case of delayed image registration systems the operators will modify the power supply system in such a way as to ensure its continuous operation even in the even of loss of external power supply.</t>
  </si>
  <si>
    <t>PL-5692/5</t>
  </si>
  <si>
    <t>Check whether the required driving parameters of the driven railway vehicle are recorded by the electromechanical and electronic loggers (recorders)</t>
  </si>
  <si>
    <t>After conducting repairs related to the registration of the vehicleâ€™s operating parameters and after carrying out tasks related to level P3, P4 and P5 maintenance, Przewozy Regionalne Sp. z o.o. will introduce â€“ as part of the measures related to the control of traction units â€“ an obligation to check whether the required driving parameters of the driven railway vehicle are recorded by the electromechanical and electronic loggers.</t>
  </si>
  <si>
    <t>PL-5737/1</t>
  </si>
  <si>
    <t>Warning boards installing actions</t>
  </si>
  <si>
    <t>Infrastructure manager (IM) PKP PLK S.A. ZakÅ‚ad Linii Kolejowych in Poznan will take action to set up warning boards informing the driver about the status of securing the crossing in km 43,141 on track 1 and 2 on the Pierzyska - Gniezno route, while preventing the opening of the gates when the train passes the crossing warning board.</t>
  </si>
  <si>
    <t>PL-5737/2</t>
  </si>
  <si>
    <t>practical check of the employee's skills</t>
  </si>
  <si>
    <t>Infrastructure manager (IM) PKP PLK S.A. during all inspections of checkpoints which service rail-road level crossings shall carry out a practical check of the employee's skills as regards emergency procedures with annotation in the Control book for rail traffic control equipment as well as regarding the introduction and cancellation of restrictions (E-1758).</t>
  </si>
  <si>
    <t>PL-5737/3</t>
  </si>
  <si>
    <t>trainings for employees</t>
  </si>
  <si>
    <t>Infrastructure managers during periodic trainings for employees servicing crossing barriers shall carry out theoretical and, additionally, practical training aimed at refreshing the rules of conduct in case of emergency closing of barriers</t>
  </si>
  <si>
    <t>PL-5737/4</t>
  </si>
  <si>
    <t>amend the regulation concerning the reduction of the pre-warning time for category "A" level crossings</t>
  </si>
  <si>
    <t>The chairman of the PKBWK (NIB PL) will ask the minister responsible for transport to take action to amend the regulation concerning the reduction of the pre-warning time for category "A" level crossings operated locally to 3 seconds, and for those with remote operation - to 8 seconds</t>
  </si>
  <si>
    <t>PL-5737/5</t>
  </si>
  <si>
    <t>uniform technical requirements and rules for using the system (function) for emergency closing of barriers</t>
  </si>
  <si>
    <t>The infrastructure manager (IM) PKP PLK S.A. will take actions to develop uniform technical requirements and rules for using the system (function) for emergency closing of barriers on the control panel with the registration of the use of this function.</t>
  </si>
  <si>
    <t>PL-5737/6</t>
  </si>
  <si>
    <t>trainings on railway vehicle simulators</t>
  </si>
  <si>
    <t>The railway undertaking (RU) PKP Intercity S.A, during periodical trainings shall refresh the rules of conduct while driving rail vehicles with a drive in the situation of noticing open crossing gates and will cause such situations to be practiced each time while running a railway vehicle simulator</t>
  </si>
  <si>
    <t>PL-5751/1</t>
  </si>
  <si>
    <t>assess operational risk</t>
  </si>
  <si>
    <t>Infrastructure manager of PKP PLK S.A. ZakÅ‚ad Linii Kolejowych in Nowy SÄ…cz shall assess operational risk in order to consider changing the existing category "D" of the level crossing in question to a higher category or its liquidation, leaving only a category "E" pedestrian crossing. Until the reconstruction of the crossing, the train speed limit shall be reduced to 60 km/h for the section of the railway line at the 5-meter visibility triangles.</t>
  </si>
  <si>
    <t>PL-5751/2</t>
  </si>
  <si>
    <t>repair the bituminous pavement in the section of the level crossing</t>
  </si>
  <si>
    <t>The infrastructure manager shall repair the bituminous pavement in the section of the level crossing and update the crossing records.</t>
  </si>
  <si>
    <t>PL-5751/3</t>
  </si>
  <si>
    <t>check the image quality of cameras of train-front recording devices</t>
  </si>
  <si>
    <t>Przewozy Regionalne sp. z o. o. shall check the image quality of cameras of train-front recording devices in the railway vehicles being in operation.</t>
  </si>
  <si>
    <t>PL-5751/4</t>
  </si>
  <si>
    <t>adapt the rail-road level crossing markings to the applicable regulations</t>
  </si>
  <si>
    <t>PKP PLK S.A. IZ Nowy SÄ…cz shall adapt the rail-road level crossing markings to the applicable regulations (regarding sign B20, G2 and G3).</t>
  </si>
  <si>
    <t>PL-5751/5</t>
  </si>
  <si>
    <t>adjust the width of the road at the approach to the level crossing</t>
  </si>
  <si>
    <t>The road manager shall adjust the width of the road at the approach to the level crossing in order to ensure the possibility of collision-free passing of road vehicles at the rail-road level crossing at km 25,749 of the railway line No. 99 Chabówka - Zakopane, and then - in consultation with the infrastructure manager - the width of the level crossing shall be adjusted to the width of the road.</t>
  </si>
  <si>
    <t>REC-000543</t>
  </si>
  <si>
    <t>PL-5751/6</t>
  </si>
  <si>
    <t>put A30 ("Other danger") signs on both sides of the crossing along with T14d ("Accidents") road signs</t>
  </si>
  <si>
    <t>In connection with previous accidents at the level crossing in question and the serious accident that took place on 23.08.2018, the road administrator (the Mayor of Nowy Targ) shall put A30 ("Other danger") signs on both sides of the crossing along with T14d ("Accidents") road signs</t>
  </si>
  <si>
    <t>PL-5751/7</t>
  </si>
  <si>
    <t>amandement of state regulations</t>
  </si>
  <si>
    <t>The chairman of the State Railway Accident Investigation Commission shall request from the Minister of Infrastructure that the provisions of § 7 para. 1 point 1 of the Ordinance of the Minister of Infrastructure and Construction of 24 February 2016 regarding the examination of applicants for driving licenses, training, examination and obtaining permissions by examiners, as well as sample documents used in these matters, be supplemented with the requirement to install image and sound recording devices inside examination vehicles</t>
  </si>
  <si>
    <t>PL-5751/8</t>
  </si>
  <si>
    <t>training aspects</t>
  </si>
  <si>
    <t>All railway carriers, during periodic and ad hoc train drivers' instructions and trainings shall re-address the following rules: - pertaining to the use of driver's emergency brake in a situation of immediate safety threat, - pertaining to performing a detailed brake test in accordance with applicable regulations, - pertaining to making entries in the Drive Vehicle Book after incidents.</t>
  </si>
  <si>
    <t>PL-5751/9</t>
  </si>
  <si>
    <t>carry out reviews of level crossings</t>
  </si>
  <si>
    <t>Managers of railway infrastructure and managers of roadways shall carry out: - review of all category B, C and D rail and road level crossings in terms of the appropriateness of setting the B20 ("Stop") signs as provided for in Annex No. 3, Section B of the Ordinance of the Minister of Infrastructure and Development of 20 October 2015 on technical and organizational conditions which need to be met by intersections of railway lines and railway sidings with roads and their location (Journal of Laws, item 1744, as amended) - measures to introduce conditions for train speed appropriate to visibility in accordance with the provisions of Annex 4 to the Ordinance of the Minister of Infrastructure and Development of 20 October 2015 on technical and organizational conditions which need to be met by intersections of railway lines and railway sidings with roads and their location.</t>
  </si>
  <si>
    <t>PL-5751/10</t>
  </si>
  <si>
    <t>Infrastructure managers to request road managers to agree on the placement of B-20 ("Stop") signs before rail and road crossings</t>
  </si>
  <si>
    <t>Infrastructure managers shall request road managers to agree on the placement of B-20 ("Stop") signs before rail and road crossings. In addition, road managers shall inform the relevant infrastructure manager of any changes to the way vertical and horizontal road and rail crossings are marked before they are introduced.</t>
  </si>
  <si>
    <t>PL-5751/11</t>
  </si>
  <si>
    <t>The chairman of the State Railway Accident Investigation Commission shall request from the Minister competent for transport for the content of the Ordinance of the Minister of Infrastructure and Development of 20 October 2015 on technical and organizational conditions which need to be met by intersections of railway lines and railway sidings with roads and their location to be changed as regards the operation of category D rail-road crossings within the boundaries of a railway station on tracks over which train runs are carried out.</t>
  </si>
  <si>
    <t>REC-000549</t>
  </si>
  <si>
    <t>PL-5751/12</t>
  </si>
  <si>
    <t>amandement of state regulation</t>
  </si>
  <si>
    <t>The minister competent for transport shall introduce the obligation of absolute visibility of the front of the train from 5 and 10 meters to Annex 3 point B item 5 and 6 to the Ordinance of the Minister of Infrastructure and Development of 20 October 2015 on technical and organizational conditions which need to be met by intersections of railway lines and railway sidings with roads and their location. If visibility from 10 meters is not ensured, it shall be necessary to determine the speed of the trains at which visibility from a distance of 10 m is met.</t>
  </si>
  <si>
    <t>PL-5852/1</t>
  </si>
  <si>
    <t>conduct an exploitation risk assessment</t>
  </si>
  <si>
    <t>Due to the local conditions and the trainsâ€™ maximum speed of 100 km per hour, the railway manager, PKP PLK S.A ZakÅ‚ad Linii Kolejowych in Rzeszów, shall conduct an exploitation risk assessment to consider changing the current â€œDâ€ category of the railroad crossing to a higher one.</t>
  </si>
  <si>
    <t>PL-5852/2</t>
  </si>
  <si>
    <t>implement the recommendation of the President of the Office of Rail Transport (NSA) on the obligation to install recording devices â€“</t>
  </si>
  <si>
    <t>The operator, SKPL Cargo sp. z o.o., shall implement the recommendation of the President of the Office of Rail Transport no. DBK-550/R03/KB/12 of 30.05.2012 for railroad operators on the obligation to install recording devices â€“ digital cameras or video recorders â€“ on newly constructed and already operated railway vehicles, in line with the recommendation of PKBWK â€“ no. PKBWK-076-305/RL/R/11 of 22.11.2011.</t>
  </si>
  <si>
    <t>PL-5852/3</t>
  </si>
  <si>
    <t>undertake measures to ensure the recording of â€œAttentionâ€ signal transmission</t>
  </si>
  <si>
    <t>The SKPL Cargo sp. z o.o. operator shall undertake measures to ensure the recording of â€œAttentionâ€ signal transmission on the electronic recorders used.</t>
  </si>
  <si>
    <t>PL-5852/4</t>
  </si>
  <si>
    <t>place the F6a sign</t>
  </si>
  <si>
    <t>The operator of poviat road no. 1922 R in StrzyÅ¼ów shall place the F6a sign at the exit from the yard of WiÅ›niowa rail station.</t>
  </si>
  <si>
    <t>PL-5852/5</t>
  </si>
  <si>
    <t>undertake measures related to the amendment to point 3.2.21 of Appendix 1 to the Ordinance of the Minister of Infrastructure on detailed technical conditions for traffic signs and signals and road safety devices,</t>
  </si>
  <si>
    <t>The minister responsible for transport shall undertake measures related to the amendment to point 3.2.21 of Appendix 1 to the Ordinance of the Minister of Infrastructure on detailed technical conditions for traffic signs and signals and road safety devices, as well as the conditions for their placement on the roads of 3 July 2003, with regard to the obligation to place the B-20 sign under the G-3 or G-4 signs at D category crossings to allow for unambiguous indication by the B-20 â€œSTOPâ€ sign of a place where a road vehicle is to be stopped before railroad crossings.</t>
  </si>
  <si>
    <t>PL-5852/6</t>
  </si>
  <si>
    <t>improve visibility of the G-3 signs and update the technical information on the crossing with regard to the down gradient of the road at the crossing.</t>
  </si>
  <si>
    <t>The railway infrastructure manager, PKP PLK S.A ZakÅ‚ad Linii Kolejowych in Rzeszów, shall improve visibility of the G-3 signs and shall update the technical information on the crossing with regard to the down gradient of the road at the crossing.</t>
  </si>
  <si>
    <t>REC-000740</t>
  </si>
  <si>
    <t>PL-5879/1</t>
  </si>
  <si>
    <t>To complete the extended 2nd stage of the reconstruction project</t>
  </si>
  <si>
    <t>The road manager, in consultation with the railway infrastructure manager, will take joint action to complete the extended 2nd stage of the reconstruction project, which aims to close the road crossing in line with the project developed in February 2019.</t>
  </si>
  <si>
    <t>REC-000743</t>
  </si>
  <si>
    <t>PL-5879/2</t>
  </si>
  <si>
    <t>Take action to eliminate other irregularities found during the investigation</t>
  </si>
  <si>
    <t>The road manager and the railway infrastructure manager will take action to eliminate other irregularities found during the investigation, included in this report, according to their scope of competence under applicable laws.</t>
  </si>
  <si>
    <t>REC-000744</t>
  </si>
  <si>
    <t>PL-5879/3</t>
  </si>
  <si>
    <t>strengthen supervision under PD-05 SMS procedure</t>
  </si>
  <si>
    <t>As for the safety management system, railway infrastructure manager PKP Polskie Linie Kolejowe S.A. will strengthen its supervision of compliance with the PD-05 procedure (Corrective and Preventive Actions), in particular with regard to taking appropriate corrective and preventive actions after railway events.</t>
  </si>
  <si>
    <t>REC-000746</t>
  </si>
  <si>
    <t>PL-5879/4</t>
  </si>
  <si>
    <t>Inspections of level crossings</t>
  </si>
  <si>
    <t>When carrying out inspections of level crossings, the railway infrastructure manager, PKP Polskie Linie Kolejowe S.A., will also include in their scope checking whether road traffic organisation at the level crossing approach complies with the law in force. Road managers should be always informed of any irregularities found (according to Risk Registry adopted by PKP PLK S.A. â€“ risk no. 5.1.5).</t>
  </si>
  <si>
    <t>REC-000747</t>
  </si>
  <si>
    <t>PL-5879/5</t>
  </si>
  <si>
    <t>To ensure that tractive vehicles are equipped with reliable cameras</t>
  </si>
  <si>
    <t>The railway undertaking, Przewozy Regionalne Sp. z o.o., will take action to ensure that tractive vehicles are equipped with reliable cameras that record the image of the route in front of the vehicle. As part of these actions, the railway undertaking will increase the number of inspections aimed at checking the appropriateness of recording of these devices and will take relevant corrective and preventive actions if there are any irregularities.</t>
  </si>
  <si>
    <t>REC-000748</t>
  </si>
  <si>
    <t>PL-5879/6</t>
  </si>
  <si>
    <t>To ensure that train crews systematically report dangerous situations on level crossings</t>
  </si>
  <si>
    <t>Railway undertakings will take action to ensure that train crews systematically report dangerous situations on level crossings and that this information is forwarded by railway undertakings to infrastructure managers.</t>
  </si>
  <si>
    <t>REC-000754</t>
  </si>
  <si>
    <t>PL-5879/7</t>
  </si>
  <si>
    <t>Systematically analyse dangerous situations</t>
  </si>
  <si>
    <t>If dangerous situations occur, infrastructure managers will systematically analyse them, and, where necessary, they will take appropriate preventive action in cooperation with road managers.</t>
  </si>
  <si>
    <t>REC-000755</t>
  </si>
  <si>
    <t>PL-5947/1</t>
  </si>
  <si>
    <t>trainings of employees</t>
  </si>
  <si>
    <t>As part of periodic and ad-hoc training, infrastructure managers will discuss the rules included in internal regulations, concerning the obligation to immediately stop the train if the signalman or other employee receives information about sparking in the train.</t>
  </si>
  <si>
    <t>REC-000788</t>
  </si>
  <si>
    <t>PL-5947/2</t>
  </si>
  <si>
    <t>increase the supervision of quality and effectiveness of periodic trainings</t>
  </si>
  <si>
    <t>DEPOL Sp. z o. o. will increase the supervision of quality and effectiveness of periodic training courses organised for all employees working on posts related to control and safety of rail traffic and for train drivers.</t>
  </si>
  <si>
    <t>REC-000789</t>
  </si>
  <si>
    <t>PL-5947/3</t>
  </si>
  <si>
    <t>Adjust within internal regulations</t>
  </si>
  <si>
    <t>DEPOL Sp. z o. o. will adjust within internal regulations the rules for authorising employees working on posts related to driving trains and rail traffic safety.</t>
  </si>
  <si>
    <t>REC-000790</t>
  </si>
  <si>
    <t>PL-5947/4</t>
  </si>
  <si>
    <t>Changes in internal regulations of the railway undertaking</t>
  </si>
  <si>
    <t>DEPOL Sp. z o. o. will implement, in internal regulations of the railway undertaking, the obligation to: a) archive speedometer tapes, specifying, among other things, the rules and periods for their storage, rules of description, the obligation of the train driver or another employee to check whether parameters are recorded correctly after every train ride, b) periodically check speedometer tapes at random to ascertain whether train drivers work correctly</t>
  </si>
  <si>
    <t>REC-000791</t>
  </si>
  <si>
    <t>PL-5947/5</t>
  </si>
  <si>
    <t>Changes in SMS procedures</t>
  </si>
  <si>
    <t>DEPOL Sp. z o. o. will adjust the employment relationship of employees working on posts related to driving trains and rail traffic safety, as well as train drivers, to applicable requirements of Procedure P/09 (employment only under contract of employment).</t>
  </si>
  <si>
    <t>REC-000793</t>
  </si>
  <si>
    <t>PL-5947/6</t>
  </si>
  <si>
    <t>supplementary training for rolling stock auditors</t>
  </si>
  <si>
    <t>DEPOL Sp. z o. o. will carry out supplementary training for rolling stock auditors, with particular regard to assessing the validity of deadlines for level P4 and P5 repairs.</t>
  </si>
  <si>
    <t>PL-5947/7</t>
  </si>
  <si>
    <t>take the necessary action related to train inspections</t>
  </si>
  <si>
    <t>For internal control system, DEPOL Sp. z o. o. will take the necessary action in order to, among other things: a) increase the number of train driver work inspections, b) extend the scope of inspection to include all crucial areas related to railway traffic safety (wagons, locomotives, transport, staff, maintenance, technical condition of railway vehicles etc.) c) make the inspections more thorough.</t>
  </si>
  <si>
    <t>PL-5947/8</t>
  </si>
  <si>
    <t>SMS related actions</t>
  </si>
  <si>
    <t>With regard to the safety management system, DEPOL Sp. z o. o. will take the following actions: a) review compliance of SMS procedures and internal regulations with applicable law and make appropriate adjustments, including to the P/15 procedure, b) increase supervision over the application of SMS procedures and related documents, in particular P/03, P/04, P/05, P/06 and P/09, and increase the quantity and efficiency of safety audits, c) mandatory audits of all suppliers before they are included in the â€œQualified supplier listâ€, d) DEPOL will take action to appoint future audit teams in a manner which ensures compliance with the impartiality principle of SMS audits, e) inclusion in the Risk Registry within the Safety Management System new risks identified during the investigation carried out by the Investigation team, i.e.: ïƒ˜ incorrect labelling on railway vehicles, ïƒ˜ the certificate of good technical working order or the certificate of returning the railway vehicle to operation issued incorrectly or without compliance with applicable laws,</t>
  </si>
  <si>
    <t>REC-000800</t>
  </si>
  <si>
    <t>PL-5947/9</t>
  </si>
  <si>
    <t>strengthen supervision of the correct maintenance of freight wagons</t>
  </si>
  <si>
    <t>INTER KOMTRANS, as an ECM for freight wagons, will strengthen supervision of the correct maintenance of freight wagons, in particular in terms of respecting maintenance cycles.</t>
  </si>
  <si>
    <t>REC-000802</t>
  </si>
  <si>
    <t>PL-5947/10</t>
  </si>
  <si>
    <t>review of internal regulations</t>
  </si>
  <si>
    <t>Certified railway undertakings and authorised infrastructure managers will review their internal regulations whether: a) the regulations specify how authorisation of employees working on posts related to driving trains and rail traffic safety is carried out and documented â€“ if this area needs more clarification, they will take appropriate measures, b) the regulations define how speedometer tapes are archived, specifying, among other things, the rules and periods for their storage, description, the obligation of the train driver or another employee to check whether parameters are recorded correctly after every train ride â€“ if this area needs more clarification, they will take appropriate measures, c) whether the regulations specify the rules for periodic random checks of speedometer tapes to ascertain whether train drivers work correctly</t>
  </si>
  <si>
    <t>REC-000803</t>
  </si>
  <si>
    <t>PL-5947/11</t>
  </si>
  <si>
    <t>ECM related actions</t>
  </si>
  <si>
    <t>Because non-destructive testing of the wheelset axle, carried out under the maintenance process required by maintenance system documentation, did not detect the internal flaws in the middle of the axle, the entities in charge of maintenance of freight wagons (ECMs) will introduce additional testing of middle sections of wheelset axles (between wheel discs) as mandatory in the maintenance system documentation, carried out as part of P3, P4 and P5 level maintenance activities.</t>
  </si>
  <si>
    <t>REC-000805</t>
  </si>
  <si>
    <t>PL-5947/12</t>
  </si>
  <si>
    <t>additional testing of middle sections of wheelset axles</t>
  </si>
  <si>
    <t>Infrastructure managers and railway undertakings who are entities in charge of maintenance of freight wagons (ECMs) but who conduct only technical operations or operations for their own purposes, will introduce additional testing of middle sections of wheelset axles (between wheel discs) as mandatory in the maintenance system documentation, carried out as part of P4 and P5 level maintenance activities.</t>
  </si>
  <si>
    <t>REC-000810</t>
  </si>
  <si>
    <t>PL-5947/13</t>
  </si>
  <si>
    <t>introduce a requirement to ensure wheelset traceability for axles of freight wagons</t>
  </si>
  <si>
    <t>The President of the Office of Rail Transport (NSA) will take action to introduce a requirement to ensure wheelset traceability for axles of freight wagons in line with the Implementation Guide for European Wheelset Traceability (EWT) for freight wagon axles prepared in Brussels on 26 July 2010 by Joint Sector Group of the ERA Task Force on Freight Wagon/Axles, which was agreed with the National Safety Authority.</t>
  </si>
  <si>
    <t>PL-5985/1</t>
  </si>
  <si>
    <t>Elimination of irregularities</t>
  </si>
  <si>
    <t>PKP CARGO S.A. railway operator and PKP PLK S.A. ZakÅ‚ad Linii Kolejowych w Tarnowskich Górach railway infrastructure manager will take action to eliminate other irregularities found during the investigation, included in this report, according to their scope of competence under applicable laws.</t>
  </si>
  <si>
    <t>PL-5985/2</t>
  </si>
  <si>
    <t>Periodic traininngs</t>
  </si>
  <si>
    <t>PKP CARGO S.A. railway operator and PKP PLK S.A. ZakÅ‚ad Linii Kolejowych w Tarnowskich Górach railway infrastructure manager will include the rules of shunting manoeuvres and driving with a pusher locomotive in the programme of periodic training.</t>
  </si>
  <si>
    <t>PL-5985/3</t>
  </si>
  <si>
    <t>Periodic briefings</t>
  </si>
  <si>
    <t>PKP CARGO S.A. railway operator, as part of periodic briefings, will remind the rules of proper execution of the simplified test of combined brake in freight trains with pusher locomotive and preparation of the train for the route as regards railway traffic safety.</t>
  </si>
  <si>
    <t>PL-5985/4</t>
  </si>
  <si>
    <t>review shunting regulations</t>
  </si>
  <si>
    <t>PKP PLK S.A. infrastructure manager will review its shunting regulations and check them in terms of discussing shunting manoeuvres between signallers and the freight manager or another railway undertakingâ€™s employee organising shunting manoeuvres.</t>
  </si>
  <si>
    <t>PL-5985/5</t>
  </si>
  <si>
    <t>periodic briefings (2)</t>
  </si>
  <si>
    <t>PKP PLK S.A. infrastructure manager, as part of periodic briefings, will remind the rules of proper operation of track occupation controls, traffic logs, rules of conducting manoeuvres at the station and correct ways of making contact with the use of radio communication devices and station communication.</t>
  </si>
  <si>
    <t>PL-5985/6</t>
  </si>
  <si>
    <t>enhance scrutiny</t>
  </si>
  <si>
    <t>In order to enforce compliance with internal rules and instructions, railway operators and infrastructure managers will enhance scrutiny with regard to: - the correct formulation of radiograms and telegrams, - proper performance of the brake tests, - proper discussion and execution of manoeuvring.</t>
  </si>
  <si>
    <t>PL-6000/1</t>
  </si>
  <si>
    <t>eliminate other irregularities defined in the report</t>
  </si>
  <si>
    <t>Przewozy Regionalne Sp. z o.o. (currently POLREGIO Sp. z o.o.) railway undertaking and PKP PLK S.A infrastructure manager will take action to eliminate other irregularities not related to the causes of the serious accident but found during the investigation of the causes of the serious accident.</t>
  </si>
  <si>
    <t>PL-6000/2</t>
  </si>
  <si>
    <t>verify road signs during inspections</t>
  </si>
  <si>
    <t>During inspection, railway infrastructure managers, in concert with road operators will verify if the road signs are properly located in accordance with the applicable provisions.</t>
  </si>
  <si>
    <t>PL-6000/3</t>
  </si>
  <si>
    <t>Przewozy Regionalne Sp. z o.o. (currently POLREGIO Sp. z o.o.) railway undertaking will enhance scrutiny with regard to correctness checks of parameter registration by electronic registers on railway vehicles with traction.</t>
  </si>
  <si>
    <t>PL-6000/4</t>
  </si>
  <si>
    <t>enclose the camera on locomotive EP07P-2004</t>
  </si>
  <si>
    <t>Przewozy Regionalne Sp. z o.o. (currently POLREGIO Sp. z o.o.) railway undertaking will enclose the camera on locomotive EP07P-2004 in accordance with the instruction from the President of the Office of Rail Transport no DBK-550/R-03/KB/12 of 30 May 2012 and the recommendation of the State Commission on Rail Accident Investigation no PKBWK-076-305/RL/R/11 of 22 November 2011 on installing digital cameras or video recorders on vehicles.</t>
  </si>
  <si>
    <t>PL-6000/5</t>
  </si>
  <si>
    <t>discuss the serious accident at periodic briefings.</t>
  </si>
  <si>
    <t>The Przewozy Regionalne Sp. z o.o. (currently POLREGIO Sp. z o.o.) railway undertaking and PKP PLK S.A infrastructure manager will discuss the serious accident at periodic briefings.</t>
  </si>
  <si>
    <t>PL-6000/6</t>
  </si>
  <si>
    <t>The road operator â€“ Municipality Office of KÄ…ty WrocÅ‚awskie â€“ will properly locate the G1a, G1b and ...</t>
  </si>
  <si>
    <t>The road operator â€“ Municipality Office of KÄ…ty WrocÅ‚awskie â€“ will properly locate the G1a, G1b and G1c signs.</t>
  </si>
  <si>
    <t>PL-6000/7</t>
  </si>
  <si>
    <t>ensure the required visibility of road signs</t>
  </si>
  <si>
    <t>The road operator â€“ the Municipality Office of KÄ…ty WrocÅ‚awskie â€“ will ensure the required visibility of the G1a, G1b, G1c, A10 signs as well as the visibility of the level crossing from the required distance by removing the unnecessary plants.</t>
  </si>
  <si>
    <t>PL-6000/8</t>
  </si>
  <si>
    <t>enclose the speed limit sign on the road no. 120603D</t>
  </si>
  <si>
    <t>The road operator â€“ the Municipality Office of KÄ…ty WrocÅ‚awskie â€“ will enclose the speed limit sign on the road no. 120603D Nowa WieÅ› KÄ…cka â€“ Sokolniki in accordance with the road classification</t>
  </si>
  <si>
    <t>PL-6014/1</t>
  </si>
  <si>
    <t>rules of a track-maintenance car moving on a closed track</t>
  </si>
  <si>
    <t>The infrastructure manager, PKP PLK S.A., will introduce to its instructions detailed rules of procedure for a track-maintenance car moving on a closed track, with the automatic crossing system sensors off while the traffic on the other tracks is allowed.</t>
  </si>
  <si>
    <t>REC-000505</t>
  </si>
  <si>
    <t>PL-6014/2</t>
  </si>
  <si>
    <t>procedures need to be followed when the work of a track-maintenance car</t>
  </si>
  <si>
    <t>Until such changes are introduced, the following procedures need to be followed when the work of a track-maintenance car is necessary with the automatic crossing system devices off and the other track in operation, including the case when the connectivity of the sensors in the track with track identification is off: ï€­ introduction of the speed limit of 20 km/h for a train on the working track and on the closed track at the whole level crossing; ï€­ warning the train staff of trains moving on the working track and track-maintenance cars by means of a written order about the necessity of giving the Rp1 â€œattentionâ€ sound signal at the section from the W 6a sign to the level crossing until the W 6b sign is placed, and in the case the W 6a sign is not placed, from the km set in the technical regulations for each crossing individually; ï€­ placing at the level crossing the B-20 â€œStopâ€ traffic sign with the board indicating â€œhalf barrier out of orderâ€ or â€œsignalling out of orderâ€.</t>
  </si>
  <si>
    <t>REC-000506</t>
  </si>
  <si>
    <t>PL-6014/3</t>
  </si>
  <si>
    <t>increase the number of inspections and improve the supervision over observing the temporary regulations and internal provisions</t>
  </si>
  <si>
    <t>The PKP PLK S.A. infrastructure manager will increase the number of inspections and improve the supervision over observing the temporary regulations and internal provisions in the case of track closure related to investment works and it will take these actions into accountin the safety improvement programmes under the SMS.</t>
  </si>
  <si>
    <t>PL-6014/4</t>
  </si>
  <si>
    <t>Widespreading the scope of recommendations No. 1 and 3 of the State Commission on Rail Accident Investigation, indicated in report No. PKBWK/05/2018</t>
  </si>
  <si>
    <t>The scope of recommendations No. 1 and 3 of the State Commission on Rail Accident Investigation, indicated in report No. PKBWK/05/2018 from the investigation of the A18 category serious accident which occurred on 2 November 2017 at 18:49 at the category A level crossing with suspended operation, located at 37.119 km of the railway route Åšniadowoâ€“Åapy, in route track No. 1 of railway line No. 36 OstroÅ‚Ä™kaâ€“Åapy, related to the equipping support vehicles with reflective elements improving vehicleâ€™s visibility at the side, and with the on-board recorders of running parameters (recording at least speed, pressure in the brake pipe and brake cylinders, and activation of â€œattentionâ€ signal) shall be extended to cover special vehicles.</t>
  </si>
  <si>
    <t>PL-6014/5</t>
  </si>
  <si>
    <t>undertake actions aimed at eliminating irregularities i</t>
  </si>
  <si>
    <t>The PKP PLK S.A. infrastructure manager shall undertake actions aimed at eliminating irregularities in the scope of correct issuance of certificates of good technical working order of railway vehicles.</t>
  </si>
  <si>
    <t>PL-6014/6</t>
  </si>
  <si>
    <t>nclude the risk consisting in turning the automatic crossing system devices off on one of the tracks on the level crossing into the risk register.</t>
  </si>
  <si>
    <t>The PKP PLK S.A. infrastructure manager will include the risk consisting in turning the automatic crossing system devices off on one of the tracks on the level crossing into the risk register.</t>
  </si>
  <si>
    <t>PL-6036/1</t>
  </si>
  <si>
    <t>Verify mechanical eqipment</t>
  </si>
  <si>
    <t>Within 3 months after publication of this report, the railway infrastructure managers will verify whether the upgraded mechanical equipment with light signals fulfils the requirements under the provisions of §47(7) of Instruction Ie-4 on the light plan, in particular whether the track diagram was included. Should there be any irregularities, the managers will take action to remove them.</t>
  </si>
  <si>
    <t>REC-000560</t>
  </si>
  <si>
    <t>PL-6036/2</t>
  </si>
  <si>
    <t>ensure compliance with §47(7) of Instruction Ie-4.</t>
  </si>
  <si>
    <t>As part of current and future modernization of mechanical equipment, the PKP PLK S.A. railway infrastructure manager will ensure compliance with §47(7) of Instruction Ie-4.</t>
  </si>
  <si>
    <t>PL-6036/3</t>
  </si>
  <si>
    <t>internal controls aspects</t>
  </si>
  <si>
    <t>As part of current internal controls, PKP PLK S.A. railway infrastructure manager will include issues concerning the developed temporary regulations for traffic control during works implemented as part of the ongoing investment tasks in view of ensuring safety of railway traffic control.</t>
  </si>
  <si>
    <t>REC-000562</t>
  </si>
  <si>
    <t>PL-6036/4</t>
  </si>
  <si>
    <t>extend the scope of the obligation to seal the dPo buttons of the semi-automatic relay line block,</t>
  </si>
  <si>
    <t>The railway infrastructure managers will extend the scope of the obligation to seal the dPo buttons of the semi-automatic relay line block, independent of the counterâ€™s operation.</t>
  </si>
  <si>
    <t>PL-6036/5</t>
  </si>
  <si>
    <t>amend the provisions of § 28 of Instruction Ir-1</t>
  </si>
  <si>
    <t>The PKP PLK S.A. railway infrastructure manager will amend the provisions of § 28 of Instruction Ir-1 â€œrailway traffic control on routes with a one-section (manual) block signallingâ€ by adding in paragraph 19 a rule that the point operator shall operate the entrance block only by order of the signaller when train announcement by phone applies.</t>
  </si>
  <si>
    <t>PL-6036/6</t>
  </si>
  <si>
    <t>regularly synchronize devices</t>
  </si>
  <si>
    <t>The railway infrastructure managers and operators will take action to regularly synchronize with real time (documented) â€“ the internal system clocks in voice recorders, computer systems and other time recording devices.</t>
  </si>
  <si>
    <t>PL-6036/7</t>
  </si>
  <si>
    <t>amend provisions of Instruction Ir-1 on issuing written orders via communication devices</t>
  </si>
  <si>
    <t>The PKP PLK S.A. railway infrastructure manager will amend provisions of Instruction Ir-1 on issuing written orders via communication devices to a train manager who is outside of the train driverâ€™s cab.</t>
  </si>
  <si>
    <t>PL-6036/8</t>
  </si>
  <si>
    <t>amend the provisions of §58(4)(2) of Instruction Ir-1</t>
  </si>
  <si>
    <t>The PKP PLK S.A. railway infrastructure manager will amend the provisions of §58(4)(2) of Instruction Ir-1 by adding at the end of the point, after words â€œ...of this signalâ€ the phrase â€œâ€“ the number of the open line to which the train exitsâ€. This information should be entered in space 4 â€œOtherâ€ of the written order â€œSâ€.</t>
  </si>
  <si>
    <t>PL-6038/1</t>
  </si>
  <si>
    <t>conduct an operational risk assessment to consider changing the current â€œDâ€ category of the level crossing to a higher one</t>
  </si>
  <si>
    <t>The railway infrastructure manager, PKP PLK S.A ZakÅ‚ad Linii Kolejowych in Kielce, shall conduct an operational risk assessment to consider changing the current â€œDâ€ category of the level crossing to a higher one or decreasing the train speed limit due to the local conditions and the trainsâ€™ speed of 120 km/h as well as local authorities requests</t>
  </si>
  <si>
    <t>PL-6038/2</t>
  </si>
  <si>
    <t>implement recommendation of the President of the Office of Rail Transport No. DBK-550/R03/KB/12 of 30.05.2012</t>
  </si>
  <si>
    <t>The operator (RU), PKP Intercity S.A., shall implement recommendation of the President of the Office of Rail Transport No. DBK-550/R03/KB/12 of 30.05.2012 for railroad operators on the obligation to install recording devices â€“ digital cameras or video recorders â€“ on newly constructed and already operated railway vehicles, in line with the recommendation of PKBWK â€“ No. PKBWK-076-305/RL/R/11 of 22.11.2011, so that the image and sound were constantly registered at the entire train route.</t>
  </si>
  <si>
    <t>PL-6038/3</t>
  </si>
  <si>
    <t>set the allowed speed limit for wheel vehicles on the road</t>
  </si>
  <si>
    <t>The Poviat Road Management in WÅ‚oszczowa, due to the local conditions, shall set the allowed speed limit for wheel vehicles on the road in the relevant level crossing region and it shall complete the P12 pavement sign and adjust the placing of B20 sign to the requirements in agreement with the railway infrastructure manager.</t>
  </si>
  <si>
    <t>PL-6038/4</t>
  </si>
  <si>
    <t>update the crossing certificate</t>
  </si>
  <si>
    <t>The railway infrastructure manager, PKP PLK S.A ZakÅ‚ad Linii Kolejowych in Kielce, shall update the crossing certificate for the records in line with the ILK2d-5003-500/1/2018 letter introducing â€œGuidelines on creating and updating the level crossing certificateâ€.</t>
  </si>
  <si>
    <t>PL-6038/5</t>
  </si>
  <si>
    <t>flatten the slopes on both sides of the level crossing at 34.751 km of railway line No. 64 KozÅ‚ówâ€“Koniecpol in order to improve visibility triangles from 10 and 20 meters.</t>
  </si>
  <si>
    <t>The railway infrastructure manager, PKP PLK S.A ZakÅ‚ad Linii Kolejowych in Kielce, shall flatten the slopes on both sides of the level crossing at 34.751 km of railway line No. 64 KozÅ‚ówâ€“Koniecpol in order to improve visibility triangles from 10 and 20 meters.</t>
  </si>
  <si>
    <t>REC-000787</t>
  </si>
  <si>
    <t>PL-6065/1</t>
  </si>
  <si>
    <t>improve the supervision of the implementation of the rolling stock maintenance level process</t>
  </si>
  <si>
    <t>From now on, the carrier, PKP CARGO S.A., will improve the supervision of the implementation of the rolling stock maintenance level process, especially as regards wheelsets.</t>
  </si>
  <si>
    <t>PL-6065/2</t>
  </si>
  <si>
    <t>enforce the quality of inter-operational and final acceptances</t>
  </si>
  <si>
    <t>The carrier, PKP CARGO S.A., will enforce the quality of inter-operational and final acceptances, especially for wheelsets.</t>
  </si>
  <si>
    <t>PL-6065/3</t>
  </si>
  <si>
    <t>add a hazard of â€œthe breaking of a wheelset axle pivotâ€ to the Hazards Register of SMS</t>
  </si>
  <si>
    <t>For the Safety Management System, the infrastructure manager and the carrier will add a hazard of â€œthe breaking of a wheelset axle pivotâ€ to the Hazards Register. The Infrastructure Manager implemented the above-mentioned recommendation during the proceedings conducted.</t>
  </si>
  <si>
    <t>PL-6065/4</t>
  </si>
  <si>
    <t>hasten the implementation of the recommendation included in Report No. PKBWK 02/2019</t>
  </si>
  <si>
    <t>PKP PLK S.A. will hasten the implementation of the recommendation included in Report No. PKBWK 02/2019 which is as follows: PKP PLK S.A. will undertake actions aimed at equipping railway lines on a systematic basis with devices for detecting degraded conditions of the rolling stock on the operated railway lines on the basis of an analysis based on the risk of possibility of incidents. It will also follow the provisions in Instruction Ie-3.</t>
  </si>
  <si>
    <t>PL-6065/5</t>
  </si>
  <si>
    <t>extend the period instruction topics for train dispatchers to include rules of procedure to be followed if irregularities are noticed in the car running system</t>
  </si>
  <si>
    <t>To emphasise the importance of the issue and raise awareness of the safety culture, the railway infrastructure managers and railway carriers will extend the period instruction topics for train dispatchers to include rules of procedure to be followed if irregularities are noticed in the car running system in line with internal provisions (for PKP PLK S.A., included in § 76 of Instruction Ir-1).</t>
  </si>
  <si>
    <t>REC-000792</t>
  </si>
  <si>
    <t>PL-6065/6</t>
  </si>
  <si>
    <t>provide traction vehicles which lead trains and/or drivers with light sources (torches)</t>
  </si>
  <si>
    <t>The carriers will provide traction vehicles which lead trains and/or drivers with light sources (torches) so that it would be possible to conduct visual inspections of railway vehicles in the dark.</t>
  </si>
  <si>
    <t>PL-6065/7</t>
  </si>
  <si>
    <t>review the Maintenance System Documentation and introduces an obligation to have measurement sheets filled in properly during maintenance inspections</t>
  </si>
  <si>
    <t>PKP CARGO S.A. will review the Maintenance System Documentation and introduces an obligation to have measurement sheets filled in properly during maintenance inspections at all the plants which carry out the maintenance process</t>
  </si>
  <si>
    <t>REC-000706</t>
  </si>
  <si>
    <t>PL-6208/1</t>
  </si>
  <si>
    <t>Road manage'sr actions</t>
  </si>
  <si>
    <t>The road manager, the Community Office in Czerwonak, in consultation with the railway infrastructure manager PKP Polskie Linie Kolejowe S.A., will undertake actions aimed at developing a conceptual design to construct a public road along the railway line (on its left-hand side) to channel the traffic from cat. D railway crossings at km 7.018, 7.483 and 7.765 into a single railway crossing with a higher category.</t>
  </si>
  <si>
    <t>PL-6208/2</t>
  </si>
  <si>
    <t>identify appropriate actions aimed at immediately remedying irregularities</t>
  </si>
  <si>
    <t>The road manager, the Community Office in Czerwonak, will identify appropriate actions aimed at immediately remedying irregularities reported by the infrastructure manager PKP Polskie Linie Kolejowe S.A. as arising from inspections and diagnostic tests of railway crossings.</t>
  </si>
  <si>
    <t>PL-6208/3</t>
  </si>
  <si>
    <t>inspection and diagnostic test scope</t>
  </si>
  <si>
    <t>As an obligatory item of the inspection and diagnostic test scope for railway crossings, the infrastructure manager, PKP Polskie Linie Kolejowe S.A., will each time check the following: a. the compliance of the access road gradeline inclination with regulations in force and the railway crossing certificate, b. the visibility of the railway crossing from access roads, c. the check of the validity of the railway crossing certificate. If any irregularities are found, remedial actions shall be undertaken as appropriate</t>
  </si>
  <si>
    <t>REC-000709</t>
  </si>
  <si>
    <t>PL-6208/4</t>
  </si>
  <si>
    <t>undertake actions aimed at improving the quality of final acceptances of projects</t>
  </si>
  <si>
    <t>The infrastructure manager, PKP Polskie Linie Kolejowe S.A., will undertake actions aimed at improving the quality of final acceptances of projects, e.g. ensure that the technical parameters of the railway crossings subject to acceptances comply with the regulations in force.</t>
  </si>
  <si>
    <t>REC-000711</t>
  </si>
  <si>
    <t>PL-6208/5</t>
  </si>
  <si>
    <t>As part of the safety management system (SMS), the infrastructure manager, PKP Polskie Linie Kolejowe S.A., will undertake actions aimed at: a. enhancing the efficiency of the monitoring and analysis of information on safety hazards arising from requests submitted by carriers and users of railway crossings and findings from proceedings concerning railway incidents, in line with a procedure, b. enhancing the effectiveness of implementation of SMS procedures: PW-01 and PD-05, c. adding â€œthe failure to meet the conditions for the visibility of the railway crossing from the access roadâ€ to the â€œhazard registerâ€.</t>
  </si>
  <si>
    <t>PL-6208/6</t>
  </si>
  <si>
    <t>CCTV onboard cameras</t>
  </si>
  <si>
    <t>The owner of railway vehicle VT628, i.e. carrier Arriva RP will implement recommendation no. 4 included in Point VI of Report No. PKBWK/01/2019 adopted by the Commission with resolution on 26 March 2019, i.e. the carrier will check the installed systems for recording images in front of traction vehicles for the proper and continuous recording of images without delays if buffered recording is used. For systems with delayed image recording, the carrier will modify power supply systems such as to ensure continuous recording even if external power supply is lost.</t>
  </si>
  <si>
    <t>PL-6208/7</t>
  </si>
  <si>
    <t>undertake actions aimed at eliminating the car parking spot</t>
  </si>
  <si>
    <t>PKP S.A., the Real Estate Management Branch in PoznaÅ„ will undertake actions aimed at eliminating the car parking spot on the right-hand side of the railway crossing, located on the left-hand side of the access road leading to the railway crossing when view from the regional road (area of plot no. 9/3), due to the fact that the vehicles which park there limit drivers' visibility of the head of trains approaching the railway crossing and as well as the visibility on the right-hand side of the track for the drivers of trains approaching the railway crossing in the direction of the WÄ…growiec station.</t>
  </si>
  <si>
    <t>REC-000716</t>
  </si>
  <si>
    <t>PL-6208/8</t>
  </si>
  <si>
    <t>inform road managers about irregularities</t>
  </si>
  <si>
    <t>The railway infrastructure managers will send information about irregularities found, including those in the marking and traffic road organisation, to the managers of access roads leading to railway crossings and request information that they are remedied.</t>
  </si>
  <si>
    <t>PL-6362/1</t>
  </si>
  <si>
    <t>Add road sign</t>
  </si>
  <si>
    <t>The District Roads Authority in Tomaszów Mazowiecki will add the F-6a road sign on the road approaching the county road no. 4321E (access road to the crossing) on the left side of the level crossing at km 120.779 of the railway line no. 1.</t>
  </si>
  <si>
    <t>PL-6362/2</t>
  </si>
  <si>
    <t xml:space="preserve">The District Roads Authority in Tomaszów Mazowiecki will take actions to ensure that all irregularities reported by the infrastructure administrator PKP Polskie Linie Kolejowe S.A. resulting from inspections and diagnostic tests of level crossings carried out by the infrastructure administrator PKP PLK S.A. are eliminated immediately. </t>
  </si>
  <si>
    <t>PL-6362/3</t>
  </si>
  <si>
    <t>remove road sign</t>
  </si>
  <si>
    <t>The District Roads Authority in Tomaszów Mazowiecki will remove the B-20 signs at the level crossing at km 120.779 of the railway line no. 1 and at other crossings of cat. C located within the roads managed by it in agreement with the railway infrastructure administrator in accordance with the Regulation of the Minister of Infrastructure and Development, currently in force, issued on the basis of Art. 7(2)(2) and Art. 7(3)(2) of the Act of 7 July 1994 - Construction Law. The above is an obligation for all road administrators.</t>
  </si>
  <si>
    <t>PL-6362/4</t>
  </si>
  <si>
    <t>take actions to ensure visibility</t>
  </si>
  <si>
    <t>The County Roads Authority in Tomaszów Mazowiecki will take actions to remove the trees and shrubs growing near level crossings to ensure continuous visibility of traffic lights, gate equipment, and road signs.</t>
  </si>
  <si>
    <t>PL-6362/5</t>
  </si>
  <si>
    <t>use level crossing ID by IM employees</t>
  </si>
  <si>
    <t>The infrastructure administrator PKP Polskie Linie Kolejowe S.A. and other infrastructure administrators will take actions in order to ensure that their employees, including staff of rail traffic posts reporting incidents at level crossings to the Emergency Notification Center, will use the identification number of the level crossing, which will contribute to quicker launching of a rescue operation, and those entities will regulate this matter in Technical Regulations of the stations.</t>
  </si>
  <si>
    <t>PL-6362/6</t>
  </si>
  <si>
    <t>training aspe</t>
  </si>
  <si>
    <t xml:space="preserve">The infrastructure administrator PKP Polskie Linie Kolejowe S.A. and other infrastructure administrators will include in the topics discussed in periodical instructions fo rtrafficmanagers  the rules to follow in the event of threats to traffic safety and railway incidents included in sec. 69-79 of Instruction Ir-1 of PKP PLK S.A. and in relevant regulations of other infrastructure operators. </t>
  </si>
  <si>
    <t>PL-6362/7</t>
  </si>
  <si>
    <t>improve cooperation between IM and road managers</t>
  </si>
  <si>
    <t xml:space="preserve">Railway infrastructure administrators and road administrators will take measures to improve cooperation at the stage of design, implementation, and final acceptance of investment projects in accordance with applicable regulations concerning access to level crossings. </t>
  </si>
  <si>
    <t>PL-6362/8</t>
  </si>
  <si>
    <t>dismentle inoperative equipment</t>
  </si>
  <si>
    <t>The infrastructure administrator PKP Polskie Linie Kolejowe S.A. will dismantle the inoperative cabinet supplying power to the signaling equipment located on the right side of the crossing. Additionally, during diagnostic tests of all crossings, it should be checked if in the field of visibility from the access roads at the distance of 5 meters from the crossing there are power supply cabinets of ACS devices or other structures obstructing visibility of the train front end and, if such structures are identified, they should be removed or moved to another place to improve visibility. The infrastructure administrator PKP Polskie Linie Kolejowe S.A. will carry out urgent physical removal of inoperative equipment and structures after acceptance for operation.</t>
  </si>
  <si>
    <t>PL-6362/9</t>
  </si>
  <si>
    <t>instalation of level crossing monitoring</t>
  </si>
  <si>
    <t xml:space="preserve">The infrastructure administrator PKP Polskie Linie Kolejowe S.A. will speed up its activities with regard to the installation at level crossings of equipment for monitoring offences committed by the drivers who use those crossings, to enable imposing fines, as agreed on 27 June 2019 with the Chief Road Transport Inspectorate on the initiative of the Chairman of the National Railway Accident Investigation Committee. </t>
  </si>
  <si>
    <t>PL-6362/10</t>
  </si>
  <si>
    <t>onboard recorders</t>
  </si>
  <si>
    <t>The railway carrier PKP Intercity S.A. will take actions aiming to ensure correct registration of parameters in recorders installed on powered railway vehicles. Additionally, in the framework of the safety improvement programs of the Safety Management System (SMS), PKP Intercity S.A. will include carrying out additional checks on the correctness of the parameter recordings in the recorders of powered railway vehicles.</t>
  </si>
  <si>
    <t>PL-6362/11</t>
  </si>
  <si>
    <t>installing onboard monitoring</t>
  </si>
  <si>
    <t xml:space="preserve">The carrier PKP Intercity S.A. will continue systematically equipping powered railway vehicles, including the EP07-411 locomotive, with route monitoring systems (digital cameras) thus implementing the order of the President of the Railway Transport Office to that effect. </t>
  </si>
  <si>
    <t>PL-6227/1</t>
  </si>
  <si>
    <t>risk assesment aspects</t>
  </si>
  <si>
    <t>In accordance with the applicable Safety Management System (SMS), the infrastructure manager PKP PLK S.A. shall conduct a risk assessment and evaluation concerning the threats identified in this Report that had contributed to the examined incident or constituted other relevant irregularities. The infrastructure manager shall also undertake relevant measures to mitigate the risk of the above-mentioned threa</t>
  </si>
  <si>
    <t>PL-6227/2</t>
  </si>
  <si>
    <t>add a hazzard to the hazard register</t>
  </si>
  <si>
    <t>The infrastructure manager PKP PLK S.A. shall add a hazard of “the use of mobile phones to issue rail-operation commands instead of the means allowed in internal regulations” to the “hazard register”, conduct the risk assessment and evaluation and also undertake relevant measures to mitigate the risk of occurrence.</t>
  </si>
  <si>
    <t>PL-6227/3</t>
  </si>
  <si>
    <t>implement recommendation from NIB Annual Report for 2013</t>
  </si>
  <si>
    <t xml:space="preserve">The infrastructure manager PKP PLK S.A. shall strictly implement the following recommendation included in the Annual Report on the Operations of PKBWK (State Commission on Railway Accidents Investigation) for 2013:“Verify the number of internal checks concerning:
a) the obligation to listen to conversations held by means of communications or radiocommunications on a periodic basis (as regulated by internal instruction),
b) the correct entries in the operation and maintenance documentation kept at signal posts, including train register books, in particular to see if they are legible and up to date,
c) the types and frequency of faults of railway traffic control devices and legibility
</t>
  </si>
  <si>
    <t>PL-6227/4</t>
  </si>
  <si>
    <t>extend a training program</t>
  </si>
  <si>
    <t xml:space="preserve"> The infrastructure manager PKP PLK S.A. shall extend the training program to include the rules related to train arrival, departure and passing on the basis of § 61 of Instruction Ir-1 and the organisation of the transportation process operation by the train dispatcher, the issue of commands, the issue of authorities and communication with the driver and manager of a work train (§ 23 of Instruction Ir-1).</t>
  </si>
  <si>
    <t>PL-6227/5</t>
  </si>
  <si>
    <t>actions to eliminate irregularities</t>
  </si>
  <si>
    <t>The infrastructure manager PKP PLK S.A. and carrier HSL Polska Sp. z o.o. shall undertake action aimed at eliminating other irregularities that doe not have a causal connection but are included in this Report in point IV.6.</t>
  </si>
  <si>
    <t>PL-6227/6</t>
  </si>
  <si>
    <t>ban on the use of mobile phones</t>
  </si>
  <si>
    <t xml:space="preserve">The infrastructure manager PKP PLK S.A. shall effectively implement the ban on the use of mobile phones during the performance of job duties related to the rail operation, shunting tasks for trains in connection with closures – in accordance with the order of the Vice-President of the Office of Rail Transport of 30.05.2012 in letter no. DKKBK-550/R-03/KB/2012. </t>
  </si>
  <si>
    <t>PL-6227/7</t>
  </si>
  <si>
    <t>enforce compliance with internal regulations</t>
  </si>
  <si>
    <t>The infrastructure manager PKP PLK S.A. shall enforce compliance with the obligation to provide signage with “D1” board for a closed track according to the provisions of § 53 para. 6 of Instruction Ir-1 plus the use of auxiliary measures (warning plates) according to provisions of § 50 of Instruction Ir-1.</t>
  </si>
  <si>
    <t>PL-6122/1</t>
  </si>
  <si>
    <t>strengthen supervision under works</t>
  </si>
  <si>
    <t xml:space="preserve">1. As part of their internal regulations or safety management systems, the contractors for works shall undertake actions aimed at implementing supervision of the securing of the works site, following the provisions of the rules for temporary works, ensuring proper cooperation of works leaders with the train dispatcher and complying with OHS regulations. To this end, they shall increase the number of internal inspections for the above-mentioned issues and issues covered e.g. in the internal regulation Id-18. </t>
  </si>
  <si>
    <t>PL-6122/2</t>
  </si>
  <si>
    <t>develope temporary rules</t>
  </si>
  <si>
    <t xml:space="preserve">2. The infrastructure manager PKP PLK S.A. shall ensure the development of temporary rules and internal regulations for scheduled works that require track closures. </t>
  </si>
  <si>
    <t>PL-6122/3</t>
  </si>
  <si>
    <t>safety culture</t>
  </si>
  <si>
    <t>3. To emphasise the importance of the issue and raise awareness of the safety culture, the infrastructure manager PKP PLK S.A. shall extend the period instruction topics for train dispatchers and supervision employees to include rules of procedure covered in § 53 para. 1 point 9) of Instruction Ir-1 concerning scheduled track closures and in § 62 and § 63 of Instruction Id-1</t>
  </si>
  <si>
    <t>PL-6122/4</t>
  </si>
  <si>
    <t>include relevant provisions concerning the obligation of train dispatchers to inform train drivers</t>
  </si>
  <si>
    <t>4. The infrastructure managers shall include relevant provisions concerning the obligation of train dispatchers to inform train drivers unmistakeably about any works near the tracks along which trains are operated</t>
  </si>
  <si>
    <t>PL-6122/5</t>
  </si>
  <si>
    <t>implement the order of the President of the Office of Rail Transport no. DBK-550/R03/KB/12 of 30.05.2011</t>
  </si>
  <si>
    <t>5. The carrier PKP Intercity S.A. shall implement the order of the President of the Office of Rail Transport no. DBK-550/R03/KB/12 of 30.05.2011, addressing railway carriers  and concerning the obligation to install recording equipment – digital cameras or video recorders in railway vehicles newly constructed or already operated, according to the recommendation of the State Commission on Railway Accidents Investigation (PKBWK) – No. PKBWK-076-305/RL/R/11 of 22.11.2011, in such a manner as to ensure continuous image and sound recording along the entire train running route</t>
  </si>
  <si>
    <t>PL-6122/6</t>
  </si>
  <si>
    <t>enable the function to record the sound signal parameters</t>
  </si>
  <si>
    <t xml:space="preserve">6. The carrier PKP Intercity S.A. shall enable the function to record the sound signal parameters sent in the recorder HASLER TELOC 1500 of vehicle EP07-1056 and shall verify the proper recording of train running parameters in the operated railway vehicles with traction. </t>
  </si>
  <si>
    <t>PL-6122/7</t>
  </si>
  <si>
    <t xml:space="preserve">enhance supervision of ongoing verification of proper recording of all parameters by electronic recorders </t>
  </si>
  <si>
    <t xml:space="preserve">7. The railway carriers shall enhance supervision of ongoing verification of proper recording of all parameters by electronic recorders of running of railway vehicles with traction, in particular “Attention” signals sent. </t>
  </si>
  <si>
    <t>PL-6168/1</t>
  </si>
  <si>
    <t>enforce the participation in the commitees</t>
  </si>
  <si>
    <t xml:space="preserve">1. The infrastructure manager PKP PLK S.A. shall enforce the participation of works contractors and subcontractors and other entities concerned in the rules committees that prepare temporary rules for traffic operation during works and also in coordination conferences related to the construction process. </t>
  </si>
  <si>
    <t>PL-6168/2</t>
  </si>
  <si>
    <t>enhance communication</t>
  </si>
  <si>
    <t xml:space="preserve">2. The infrastructure manager PKP PLK S.A. shall oblige works contractors and subcontractors to provide detail information defining the scope of works (phase, stage etc.), including their location, in the request for track closures sent to the Infrastructure Manager.  </t>
  </si>
  <si>
    <t>PL-6168/3</t>
  </si>
  <si>
    <t>comply with the internal instructions</t>
  </si>
  <si>
    <t xml:space="preserve">3. The infrastructure manager PKP PLK S.A shall strictly comply with the provisions of Instruction Ir-19 concerning the issuance of “a notification of the disposition to close a track/tracks” addressing everybody concerned. </t>
  </si>
  <si>
    <t>PL-6168/4</t>
  </si>
  <si>
    <t>enforce records in the documents</t>
  </si>
  <si>
    <t xml:space="preserve">4. The infrastructure manager PKP PLK S.A. shall enforce detailed records on works (kilometres of works, stage etc.) in the Turnout visual inspection logbook (D-831). </t>
  </si>
  <si>
    <t>PL-6168/5</t>
  </si>
  <si>
    <t>veryfy employee competences</t>
  </si>
  <si>
    <t xml:space="preserve">5. The carrier TKol Sp. z o.o. shall implement mechanisms to verify the competences of its employees to prevent the assignment of employees to tasks without the right qualifications and shall enforce the proper implementation of procedures under the SMS system, in particular Procedure P-12. </t>
  </si>
  <si>
    <t>PL-6168/6</t>
  </si>
  <si>
    <t>eliminate irregularities</t>
  </si>
  <si>
    <t xml:space="preserve">6. The carriers: TKol Sp. z o.o. and PKP Energetyka S.A. and infrastructure manager PKP PLK S.A. shall undertake measures to eliminate other irregularities not related to the causes of the serious accident but revealed during the investigation into the causes of the serious accident. </t>
  </si>
  <si>
    <t>PL-6168/7</t>
  </si>
  <si>
    <t>instal digital cammeras</t>
  </si>
  <si>
    <t xml:space="preserve">7. The owner of the railway vehicle SM42-9288, PKP Energetyka S.A., shall implement the order of the President of the Office of Rail Transport concerning the installation of digital cameras or video recorders in railway vehicles. </t>
  </si>
  <si>
    <t>PL-6168/8</t>
  </si>
  <si>
    <t>carry on inspection</t>
  </si>
  <si>
    <t xml:space="preserve">8. PKP Energetyka S.A., the owner of the technical and maintenance carriage type 3Z; year of construction 1949, factory no. – 0689, with the railway vehicle ID no. EVN PL-PKPE 99 51 9530 165–1, shall carry out an inspection of the relevant level and issue a new certificate of vehicle worthiness once all the necessary requirements are fulfilled  </t>
  </si>
  <si>
    <t>PL-6168/9</t>
  </si>
  <si>
    <t>ensure technical efficiency of on-board recorders</t>
  </si>
  <si>
    <t xml:space="preserve">9. PKP Energetyka S.A., the owner of the traction vehicle SM42-9288, shall take measures to ensure the PIAP recorders use all signals available, including the recording of the “Attention” sound signal.  </t>
  </si>
  <si>
    <t>PL-6168/10</t>
  </si>
  <si>
    <t>trainings</t>
  </si>
  <si>
    <t xml:space="preserve">10. The entities whose employees were involved in the incident shall discuss the serious accident in their OHS periodic guidance and training. </t>
  </si>
  <si>
    <t>PL-6263/1</t>
  </si>
  <si>
    <t>administrative proceedings by the Voivodeship Road Transport Inspector in Poznańa</t>
  </si>
  <si>
    <t>1.     As regards the improper operation of the MAN vehicle, the Commission has not issued any recommendations, because on the basis of the material received from the Prosecutor's Office, the Voivodeship Road Transport Inspector in Poznań initiated administrative proceedings for the owner of the vehicle; the Commission was notified thereof by the Main Road Transport Inspector.</t>
  </si>
  <si>
    <t>PL-6263/2</t>
  </si>
  <si>
    <t>consider to build up the viaduct</t>
  </si>
  <si>
    <t>2.     On account of the vehicle traffic product at the crossing at km 15.753 of railway line no. 356 exceeding 400,000, the accidents that have occurred so far and the substantial risk of recurrence of such incidents, in order to increase the safety level and improve the road capacity, the road manager and the railway infrastructure manager will consider taking measures in order to construct an overbridge as part of the voivodeship road no. 196 over the railway line. The terrain configuration, which works against the access to the railway crossing, would aid the construction of a two-level junction.</t>
  </si>
  <si>
    <t>PL-6263/3</t>
  </si>
  <si>
    <t>install A-29 road sign</t>
  </si>
  <si>
    <t>3.     The road manager will erect road sign A-29 “Light signals” on both sides of the railway crossing and add line P-14 “conditional stop line” to road marking.</t>
  </si>
  <si>
    <t>PL-6263/4</t>
  </si>
  <si>
    <t>install monitoring at the level crossing</t>
  </si>
  <si>
    <t>4.     PKP PLK S.A. The Railway Line Unit in Poznań will install a monitoring system at the railway crossing cat. “B” located at km 15.753 of railway line no. 356.</t>
  </si>
  <si>
    <t>PL-6263/5</t>
  </si>
  <si>
    <t>amand the agreement in aim to have ongoing acess to logs</t>
  </si>
  <si>
    <t xml:space="preserve">5.     PKP PLK S.A. The Railway Line Unit in Poznań will make amendments to the existing contracts regarding the possibility for the manager to have an ongoing access to the status records for traffic remote control devices (logs) and their analysis by the unit employees without the need to request such data from the system provider on a case-to-case basis. </t>
  </si>
  <si>
    <t>PL-6263/6</t>
  </si>
  <si>
    <t>modify comuter software</t>
  </si>
  <si>
    <t xml:space="preserve">6.     PKP PLK S.A. The Railway Line Unit in Poznań will modify the computer system software in order to eliminate the keeping of manual train run charts by the train dispatcher at the Local Control Centre Wągrowiec and will replace the operation with the computer system drawing up such charts. Until the computer recording system is implemented, a manual chart shall be kept according to the specimen established in Annex no. 2 to Instruction Ir-11. </t>
  </si>
  <si>
    <t>PL-6343/1</t>
  </si>
  <si>
    <t>Risk assesment</t>
  </si>
  <si>
    <t xml:space="preserve">Due to the local conditions and the train speed at this level crossing, which is equal to 100 km/h, the railway infrastructure manager PKP PLK S.A. Railway Line Branch in Rzeszów will carry out an operational risk assessment to consider decreasing the train speed along the sections where the train front is visible from the public road. </t>
  </si>
  <si>
    <t>PL-6343/2</t>
  </si>
  <si>
    <t>Periodic briefings topics</t>
  </si>
  <si>
    <t xml:space="preserve">The infrastructure manager PKP Polskie Linie Kolejowe S.A., during periodic briefings and ad-hoc trainings, will remind the concerned employees about the obligation of using the Individual Identification Number (junction number) of level crossings crossing, especially during accidents and when calling emergency services, so that the situation presented in the Report of the State Committee for Investigation of Railway Accidents no. 02/2021 is not repeated. </t>
  </si>
  <si>
    <t>PL-6343/3</t>
  </si>
  <si>
    <t>Informing road manager by raiwlay infrastructure manager on irregularities</t>
  </si>
  <si>
    <t xml:space="preserve">If irregularities occur in the maintenance and traffic organisation in the area of roads approaching level crossings, railway infrastructure managers will immediately inform competent road managers and indicate those irregularities and their location. </t>
  </si>
  <si>
    <t>PL-6343/4</t>
  </si>
  <si>
    <t>Training aspects</t>
  </si>
  <si>
    <t xml:space="preserve">Railway carriers operating motive power railroad vehicles equipped with an ‘emergency braking’ device during trainings will include topics related to the methods and principles of train braking in emergency situations in train driver training, i.e., using the emergency brake (mushroom button) to shorten the braking distance — as specified in section IV.4 of this Report. </t>
  </si>
  <si>
    <t>PL-6343/5</t>
  </si>
  <si>
    <t>On-board recorders</t>
  </si>
  <si>
    <t xml:space="preserve">The railway carrier PKP Intercity S.A. will introduce requirements for vehicle manufacturers and maintenance service concerning installation of emergency power supply for video recorders, so that continuity of recording images from cameras mounted on railway vehicles is ensured (in case of tenders by including them in the ToR), thus properly implementing the order of President of the Office of Rail Transport no. DBK-550/R03/KB/12 dated 30 May 2012, directed to railway carriers about the obligation to install devices to record the image of the space in front of moving trains, i.e., digital cameras or video recorders in newly-built and currently-operated railway vehicles according to the recommendation of the State Committee for Investigation of Railway Accidents no. PKBWK-076-305/RL/R/11 dated 22 November 2011. </t>
  </si>
  <si>
    <t>Assessment of the significance of the change</t>
  </si>
  <si>
    <t>The infrastructure manager of PKP Polskie Linie Kolejowe S.A. will assess the significance of the change and the risk, taking into account the irregularities listed in points II.1.5., IV.5.3., IV.5.4. and IV.6. of the Report.</t>
  </si>
  <si>
    <t>Inspection of level crossings</t>
  </si>
  <si>
    <t xml:space="preserve">Railway infrastructure managers will extend their duties of inspecting:
a. the visibility of the crossing from access roads,
b. proper preservation of visibility triangles,
c. proper arrangement of the traffic signal boxes and their visibility from the access roads,
d. the validity of the level crossing certificate and its compliance with the parameters on the ground,
for all workers performing maintenance procedures, as well as inspections and diagnostics of the crossings
</t>
  </si>
  <si>
    <t>SMS-related recommendation</t>
  </si>
  <si>
    <t>As part of a safety management system (SMS), the railway infrastructure manager of PKP Polskie Linie Kolejowe S.A. will take actions intended to improve the efficiency of implementing SMS procedures, in particular procedures PW-01 and PR-03, as well as to improve the efficiency of the performed inspections and diagnostics of level crossings, and they will apply effective mechanisms for supervising the implementation of obligations resulting from these procedures.</t>
  </si>
  <si>
    <t>SE-982/1</t>
  </si>
  <si>
    <t>Review the infrastructure managers system for revisions, incident reporting and risk assessments.</t>
  </si>
  <si>
    <t>Transportstyrelsen rekommenderas att granska Trafikverkets revisions-, avvikelse- och riskhantering med syfte att se till att den får sådan kvalitet att brister i projekts ledning och planering, upptäcks och åtgärdas (se avsnitt 2.2.3 och 3.2.2) (RJ 2012:03 R1).</t>
  </si>
  <si>
    <t>Swedish</t>
  </si>
  <si>
    <t>SE-982/2</t>
  </si>
  <si>
    <t>Transportstyrelsen is recommended to review the infrastructure managers system for revisions, incident reporting and risk assessments with the purpose of ensuring that the system has such a quality that deficiencies and deviations in project management and planning can be detected and corrected.</t>
  </si>
  <si>
    <t>SE-925/1</t>
  </si>
  <si>
    <t>Recommendation on measures to ensure safety at track work</t>
  </si>
  <si>
    <t>Since the Swedish work environment authority has not answered the recommendations of the investigation report RJ 2011:03, the swedish national investigation board choose to once again make the same recommendations to the Swedish Work Environment Authority, ie. SWEA is recommended that: â€¢ together with the NSA take the necessary measures to ensure that the track work is done with a sufficient level of safety, (RJ 2011:03 R5). â€¢ Through its supervision activities, verify that the systematic work environment activities captures deviations in operations (see Section 2.3.2, 3.2.2) (RJ 2011:03 B6). Following the Transport Agency implemented measures refrain Board to make recommendations to the Transportation Board.</t>
  </si>
  <si>
    <t>SE-925/2</t>
  </si>
  <si>
    <t>Då Arbetsmiljöverket inte besvarat rekommendationerna i utredningsrapporten RJ 2011:03 väljer SHK att återigen ställa samma rekommendationer till Arbetsmiljöverket, dvs. Arbetsmiljöverket rekommenderas att: â€¢ tillsammans med Transportstyrelsen vidta de åtgärder som krävs för att säkerställa att spårarbeten sker med en tillräcklig säkerhetsnivå, (RJ 2011:03 R5,). â€¢ genom sin tillsyn verifiera att företagens systematiska arbetsmiljöarbete fångar upp avvikelser i verksamheten (se avsnitt 2.3.2, 3.2.2) (RJ 2011:03 R6). Med anledning av Transportstyrelsens genomförda åtgärder avstår SHK att lämna rekommendationer till Transportstyrelsen.</t>
  </si>
  <si>
    <t>SE-875/1</t>
  </si>
  <si>
    <t>Recommendation on single cause errors in brake tests</t>
  </si>
  <si>
    <t>The Swedish Transport Agency is recommended to ensure that the risk of single faults in connection with the establishment of a trainâ€™s braking capacity is minimised, for example by the introduction of checklists, etc. (RJ 2007:02 R1)</t>
  </si>
  <si>
    <t>SE-875/2</t>
  </si>
  <si>
    <t>Järnvägsstyrelsen bör verka för att risken för enkelfel i samband med fastställande av ett tågs bromsförmåga minimeras, t.ex. genom införande av checklistor eller en särskild notering om att omställningshandtagens läge har kontrollerats. (RJ 2007:2 R1).</t>
  </si>
  <si>
    <t>SE-875/3</t>
  </si>
  <si>
    <t>Recommendation regarding rules for brake tests.</t>
  </si>
  <si>
    <t>Transport Agency is recommended to examine if the rules for brake testing can be adapted to achieve better clarity and so that braking tests ensure that the driver can slow trains. (RJ2011: 02 R1).</t>
  </si>
  <si>
    <t>SE-875/4</t>
  </si>
  <si>
    <t>Transportstyrelsen rekommenderas att undersöka om reglerna för bromsprov kan anpassas för att uppnå bättre tydlighet och så att bromsproven säkerställer att föraren kan bromsa tågen. (RJ2011:02 R1)</t>
  </si>
  <si>
    <t>SE-875/5</t>
  </si>
  <si>
    <t>Recommendation regarding time scheduled for work tasks such as brake tests</t>
  </si>
  <si>
    <t>Transportation Board is recommended in its regulatory activities to check that the rail companies have systems which ensure that staff have enough working hours to perform their duties. (RJ2011: 02 R2)</t>
  </si>
  <si>
    <t>SE-875/6</t>
  </si>
  <si>
    <t>Transportstyrelsen rekommenderas att i sin tillsynsverksamhet även kontrollera att järnvägsföretagen har system som säkerställer att personalen har tillräckligt med arbetstid för att utföra arbetsuppgifterna enligt föreskrifterna. (RJ2011:02 R2)</t>
  </si>
  <si>
    <t>SE-875/7</t>
  </si>
  <si>
    <t>Recommendation regarding risk assessment for changes in rules and regulations</t>
  </si>
  <si>
    <t>Transportation Board is recommended to perform and document risk assessments when proposing changes to regulations that may affect traffic safety. (RJ2011: 02 R3)</t>
  </si>
  <si>
    <t>SE-875/8</t>
  </si>
  <si>
    <t>Transportstyrelsen rekommenderas att utföra och dokumentera riskanalyser när den föreslår förändringar i föreskrifter som kan påverka trafiksäkerheten. (RJ2011:02 R3)</t>
  </si>
  <si>
    <t>SE-875/9</t>
  </si>
  <si>
    <t>Recommendation for investigation on rules for protection of train routes.</t>
  </si>
  <si>
    <t>Transportation Authority is recommended to investigate if the requirements for protection of train routes are sufficient to achieve adequate safety in the rail system. (RJ2011: 02 R4)</t>
  </si>
  <si>
    <t>SE-875/10</t>
  </si>
  <si>
    <t>Transportstyrelsen rekommenderas att utreda om kraven på skydd av tågväg är tillräckliga för att uppnå en tillräcklig säkerhet i järnvägssystemet. (RJ2011:02 R4)</t>
  </si>
  <si>
    <t>SE-851/1</t>
  </si>
  <si>
    <t>NSA and Work environment authority recommended to take measures to protect track workers</t>
  </si>
  <si>
    <t>The Transportation Agency is recommended to, in cooperation with with the Swedish Work Environment Authority,l take the measures necessary to ensure that the track work is done with a sufficient level of security (RJ 2011:03 R1).</t>
  </si>
  <si>
    <t>SE-851/2</t>
  </si>
  <si>
    <t>Transportstyrelsen rekommenderas att tillsammans med Arbetsmiljöverket vidta de åtgärder som krävs för att säkerställa att spårarbeten sker med en tillräcklig säkerhetsnivå (RJ 2011:03 R1).</t>
  </si>
  <si>
    <t>SE-851/3</t>
  </si>
  <si>
    <t>Investigate factors affecting time pressure leading to unallowed working methods being used.</t>
  </si>
  <si>
    <t>The transportation agency is recommended to investigate factors affecting time pressure leading to unallowed working methods being used.</t>
  </si>
  <si>
    <t>SE-851/4</t>
  </si>
  <si>
    <t>Transportstyrelsen rekommenderas att undersöka vilka faktorer som kan minska den tidspress som medför att otillåtna arbetsmetoder används (se avsnitt 2.1.2, 3.2.2, 4.3) (RJ 2011:03 R2)</t>
  </si>
  <si>
    <t>SE-851/5</t>
  </si>
  <si>
    <t>Recommendation on monitoring of safety management system</t>
  </si>
  <si>
    <t>Transportation Board recommended that, through its monitoring also verify that the railway companies safety management system captures deviations in operations (see Section 2.1.1, 3.2.1), (â€‹â€‹RJ 2011:03 R3).</t>
  </si>
  <si>
    <t>SE-851/6</t>
  </si>
  <si>
    <t>Transportstyrelsen rekommenderas att genom sin tillsyn även verifiera att företagens säkerhetsstyrningssystem fångar upp avvikelser i verksamheten (se avsnitt 2.1.1, 3.2.1), (RJ 2011:03 R3).</t>
  </si>
  <si>
    <t>SE-851/7</t>
  </si>
  <si>
    <t>Recommendation on accident and incident reporting system as tool for accident prevention</t>
  </si>
  <si>
    <t>Transportation Board recommended to use incident reports as a systematic basis in order to take immediate measures to prevent accidents and incidents (see section 2.1.3, 3.2.2), (â€‹â€‹RJ 2011:03 B4).</t>
  </si>
  <si>
    <t>SE-851/8</t>
  </si>
  <si>
    <t>Transportstyrelsen rekommenderas att använda tillbudsrapporteringar som ett systematiskt underlag för att kunna vidta omedelbara åtgärder för att förebygga olyckor och tillbud (se avsnitt 2.1.3, 3.2.2), (RJ 2011:03 R4).</t>
  </si>
  <si>
    <t>SE-851/9</t>
  </si>
  <si>
    <t>Work environment authority recommended together with NSA to take measures to protect track workers</t>
  </si>
  <si>
    <t>The Swedish Work Environment Authority is recommended to, in cooperation with with the Transportation Agency, take the measures necessary to ensure that the track work is done with a sufficient level of security (RJ 2011:03 R1).</t>
  </si>
  <si>
    <t>SE-851/10</t>
  </si>
  <si>
    <t>Arbetsmiljöverket rekommenderas att tillsammans med Transportstyrelsen vidta de åtgärder som krävs för att säkerställa att spårarbeten sker med en tillräcklig säkerhetsnivå, (RJ 2011:03 R5).</t>
  </si>
  <si>
    <t>SE-851/11</t>
  </si>
  <si>
    <t>Arbetsmiljöverket rekommenderas att genom sin tillsyn verifiera att företagens systematiska arbetsmi</t>
  </si>
  <si>
    <t>SWEA is recommended to through its monitoring activities verify that the railway organisations systematic work with work environment issues captures deviations in operations (see Section 2.3.2, 3.2.2) (RJ 2011:03 B6).</t>
  </si>
  <si>
    <t>SE-851/12</t>
  </si>
  <si>
    <t>SE-827/1</t>
  </si>
  <si>
    <t>Recommendation on clearer regulatory requirements for safety management systems.</t>
  </si>
  <si>
    <t>Transport Agency is recommended to review the need for a clearer regulatory requirements for safety management systems, validation of technical systems and the management of common risks for businesses where there are several operators, such as the subway, (RJ 2009:10 R1)</t>
  </si>
  <si>
    <t>SE-827/2</t>
  </si>
  <si>
    <t>Transportstyrelsen rekommenderas att se över behovet av en tydligare reglering för krav på säkerhetsstyrningssystem, godkännande av tekniska system och hantering av gemensamma risker för verksamheter där det finns flera olika verksamhetsutövare, exempelvis tunnelbanan, (RJ 2009:10 R1)</t>
  </si>
  <si>
    <t>SE-827/3</t>
  </si>
  <si>
    <t>Recommendation on review of construction of C14 vehicles.</t>
  </si>
  <si>
    <t>Transport Agency and the National Electrical Safety Board recommended to ensure that the railway undertaking examine the structure of C14 vehicles to ensure the function of rolling over its remaining life (RJ 2009:10 R2)</t>
  </si>
  <si>
    <t>SE-827/4</t>
  </si>
  <si>
    <t>Transportstyrelsen och Elsäkerhetsverket rekommenderas att tillse att trafikutövaren granskar konstruktionen av C14-fordonen för att säkerställa fordonens funktion under hela dess återstående livslängd (RJ 2009:10 R2)</t>
  </si>
  <si>
    <t>SE-827/5</t>
  </si>
  <si>
    <t>Recommendation on tactical public emergency plan</t>
  </si>
  <si>
    <t>Swedish Civil Contingencies Agency, MSB, is recommended to ensure the development of a tactical response planning involving the possibility for fire and rescue / evacuation of more than a few injuries from a subway station platform level (RJ 2009:10 R3)</t>
  </si>
  <si>
    <t>SE-827/6</t>
  </si>
  <si>
    <t>Myndigheten för samhällsskydd och beredskap, MSB, rekommenderas att tillse utarbetande av en taktisk insatsplanering som medför möjlighet till brandsläckning och livräddning/utrymning av fler än ett fåtal skadade personer från en tunnelbanestations plattformsnivå (RJ 2009:10 R3)</t>
  </si>
  <si>
    <t>SE-827/7</t>
  </si>
  <si>
    <t>Recommendation on guidelines for evacuation possibilities in complex environments under earth</t>
  </si>
  <si>
    <t>Swedish Civil Contingencies Agency, MSB, it is recommended to ensure that the guidelines are established in collaboration with the Swedish Work Environment Authority and the National Housing Board to ensure the necessary evacuation in complex environments to the public which are located underground, such as existing subway, by clear instructions provided on such (RJ 2009:10 B4) - To escape, eg shafts for escalators, secured againstsmoke filling, - Evacuation signal - Exit signs and emergency lighting; - The emergency escape routes are available.</t>
  </si>
  <si>
    <t>SE-827/8</t>
  </si>
  <si>
    <t>Myndigheten för samhällsskydd och beredskap, MSB, rekommenderas att tillse att riktlinjer fastställs i samverkan med Arbetsmiljöverket och Boverket för att säkerställa nödvändiga utrymningsmöjligheter i kom-plexa miljöer för allmänheten som är förlagda under jord, som t.ex. befintlig tunnelbana, genom att tydliga anvisningar lämnas angående bl.a. (RJ 2009:10 R4) - att utrymningsvägar, t.ex. schakt för rulltrappor, säkerställs mot rökfyllnad, - utrymningssignal, - utgångsmarkeringar och nödbelysning, - att nödutrymningsvägar finns tillgängliga.</t>
  </si>
  <si>
    <t>SE-827/9</t>
  </si>
  <si>
    <t>Myndigheten för samhällsskydd och beredskap, MSB, rekommenderas att tillse att tillsynsarbetet prior</t>
  </si>
  <si>
    <t>Swedish Civil Contingencies Agency, MSB, it is recommended to ensure that supervisory work a priority in order to clearly illustrate how the municipality's emergency services are organized and planned so that emergency services can be started within acceptable time and in an effective manner. The supervision should include. a follow up how the municipality cooperates with other stakeholders in planning, training, response exercises, tactical planning efforts and alerting to manage large and complex response situations such as accidents in the metro (RJ 2009:10 R5)</t>
  </si>
  <si>
    <t>SE-827/10</t>
  </si>
  <si>
    <t>Myndigheten för samhällsskydd och beredskap, MSB, rekommenderas att tillse att tillsynsarbetet prioriteras i syfte att tydligt belysa hur kommunens räddningstjänst organiseras och planeras så att räddningstjänsten kan påbörjas inom godtagbar tid och genomföras på ett effektivtsätt. I tillsynen bör bl. a. följas upp hur kommunen samverkar med övriga intressenter avseende planering, utbildning, insatsövningar, taktisk utformning av insatser och alarmering för att kunna hantera omfattande och komplexa insatssituationer som t. ex olyckor i tunnelbanan (RJ 2009:10 R5)</t>
  </si>
  <si>
    <t>SE-683/1</t>
  </si>
  <si>
    <t>Recommendation on rules for safe position of switches</t>
  </si>
  <si>
    <t>Transportation Agency is recommended to explore the possibility of developing standards for the protection on side tracks, using switches to prevent vehicles from rolling out on the main track also when a train path is not set for the main track (RJ 2011:01 R1).</t>
  </si>
  <si>
    <t>SE-683/2</t>
  </si>
  <si>
    <t>Transportstyrelsen rekommenderas att undersöka möjligheten att ta fram normer för hur skydd ska anordnas för parkeringsspår så att skydden hindrar fordon från att rulla ut i, eller nära, anslutande huvudspår även då det inte är reserverat en tågväg i huvudspåret (RJ 2011:01 R1).</t>
  </si>
  <si>
    <t>SE-683/3</t>
  </si>
  <si>
    <t>Recommendation on monitoring of operators safety management systems</t>
  </si>
  <si>
    <t>Transportation Board is recommended to, in connection with monitoring activities, investigate whether the operators safety management systems are sufficient to capture behaviors that may cause danger to traffic safety (RJ2011: 01 R2)</t>
  </si>
  <si>
    <t>SE-683/4</t>
  </si>
  <si>
    <t>Transportstyrelsen rekommenderas att i samband med tillsyner undersöka om verksamhetsutövarnas säkerhetsstyrningssystem är tillräckliga för så att fånga upp beteenden som kan medföra fara för trafiksäkerheten (RJ2011:01 R2)</t>
  </si>
  <si>
    <t>SE-630/1</t>
  </si>
  <si>
    <t>Transportstyrelsen rekommenderas att risken för enkelfel i samband med fastställande av ett tågs bro</t>
  </si>
  <si>
    <t>Transportation Board is recommended to reduce the risk of single failure in the setting of a train's braking ability, eg by introducing checklists "or the similar (RJ 2007:02 R1).</t>
  </si>
  <si>
    <t>SE-630/2</t>
  </si>
  <si>
    <t>Transportstyrelsen rekommenderas att risken för enkelfel i samband med fastställande av ett tågs bromsförmåga minimeras, t.ex. genom införande av checklistorâ€ e.d. (RJ 2007:02 R1)</t>
  </si>
  <si>
    <t>SE-630/3</t>
  </si>
  <si>
    <t>Transportstyrelsen rekommenderas att överväga om det behöver tas fram övergripande principer och sta</t>
  </si>
  <si>
    <t>Transport Agency is recommended to consider whether there is a need for principles and standards on safety tracks with a focus on how the safe braking of vehicles should be done with regard to the risk of damage to both vehicles and the environment behind the track end (RJ 2007:02 B5).</t>
  </si>
  <si>
    <t>SE-630/4</t>
  </si>
  <si>
    <t>Transportstyrelsen rekommenderas att överväga om det behöver tas fram övergripande principer och standarder för skyddsspår med fokus på hur en säker inbromsning av fordon ska ske med hänsyn till risken för skador på såväl fordon som omgivningen bakom spårslutet (RJ 2007:02 R5).</t>
  </si>
  <si>
    <t>SE-630/5</t>
  </si>
  <si>
    <t>Recommendation on selection procedures and psycological tests</t>
  </si>
  <si>
    <t>Transportation Authority is recommended to take advantage of experience from selection tests in order to find which properties are to be assessed in the context of the psychological assessment. (RJ 2009:09 R1)</t>
  </si>
  <si>
    <t>SE-630/6</t>
  </si>
  <si>
    <t>Transportstyrelsen rekommenderas att ta vara på erfarenheter från urvalsproven i syfte att finna vilka egenskaper som ska bedömas i samband med den psykologiska bedömningen.(RJ 2009:09 R1)</t>
  </si>
  <si>
    <t>SE-630/7</t>
  </si>
  <si>
    <t>Recommendation on Training</t>
  </si>
  <si>
    <t>Transport Agency is recommended to review the proposed actions in the Railway Board's report 2007:6 KY - education, continuing education and skills performed (RJ 2009:09 R2).</t>
  </si>
  <si>
    <t>SE-630/8</t>
  </si>
  <si>
    <t>Transportstyrelsen rekommenderas att se över hur förslagen till åtgärder i Järnvägsstyrelsens rapport 2007:6 KY â€“ utbildning, fortbildbildning och kompetens genomförts (RJ 2009:09 R2).</t>
  </si>
  <si>
    <t>SE-630/9</t>
  </si>
  <si>
    <t>Review rules for brake tests</t>
  </si>
  <si>
    <t>Transport Agency is recommended to review the Railway Board's traffic regulations to identify if they need to be changed so that control braking may be used only when it is not possible to implement a different braking test and no activities may be planned so as to control brake tests must be used (RJ2009: 09 B3).</t>
  </si>
  <si>
    <t>SE-630/10</t>
  </si>
  <si>
    <t>Transportstyrelsen rekommenderas att göra en översyn om Järnvägsstyrelsens trafikföreskrifter behöver förändras så att kontrollbromsprov enbart får användas när det inte är möjligt att genomföra ett annat bromsprov och att ingen verksamhet får planeras så att kontrollbromsprov måste användas (RJ2009:09 R3).</t>
  </si>
  <si>
    <t>SE-564/1</t>
  </si>
  <si>
    <t>Järnvägsstyrelsen rekommenderas att på lämpligt sätt säkerställa att verksamhetsutövare med tillstån</t>
  </si>
  <si>
    <t>Railway Board advised to take steps to ensure that an operator with a license issued before 1 July 2007 have a safety management and documentation that meets basic requirements for staff competence, vehicle maintenance and use of contractors (including cases in which another entity has its own operations in the license holder's responsibility) . (RJ 2008:1 R1)</t>
  </si>
  <si>
    <t>SE-564/2</t>
  </si>
  <si>
    <t>Järnvägsstyrelsen rekommenderas att på lämpligt sätt säkerställa att verksamhetsutövare med tillstånd utfärdade före 1 juli 2007 har en säkerhetsstyrning och dokumentation som uppfyller grundläggande krav beträffande personalens behörighet, fordonsunderhåll och användning av entreprenörer (inkluderande fall där en annan juridisk person bedriver egen verksamhet inom en tillståndshavares ansvar). (RJ 2008:1 R1)</t>
  </si>
  <si>
    <t>SE-563/1</t>
  </si>
  <si>
    <t>Recommendation on review of IM safety management system</t>
  </si>
  <si>
    <t>Transportation Authority is recommended to ensure that Banverket's safety management system to fully include the design of safety critical systems and that it meets the requirements of the Transport Agency's regulations on the area (RJ 2009:08 R1)</t>
  </si>
  <si>
    <t>SE-563/2</t>
  </si>
  <si>
    <t>Transportstyrelsen rekommenderas att tillse att Banverkets säkerhetsstyrningssystem till fullo även omfattar konstruktion av säkerhetskritiska system och att detta uppfyller kraven i Transportstyrelsens föreskrifter om området (RJ 2009:08 R1)</t>
  </si>
  <si>
    <t>SE-563/3</t>
  </si>
  <si>
    <t>Transportstyrelsen rekommenderas att tillse att Banverkets säkerhetsstyrningssystem även omfattar pr</t>
  </si>
  <si>
    <t>Transportation Authority is recommended to ensure that Banverket safety management including project management and planning, and that it is able to capture defects and abnormalities of the contractor (RJ2009: 08 R2)</t>
  </si>
  <si>
    <t>SE-563/4</t>
  </si>
  <si>
    <t>Transportstyrelsen rekommenderas att tillse att Banverkets säkerhetsstyrningssystem även omfattar projektens ledning och planering samt att det förmår uppfånga brister och avvikelser hos entreprenören (RJ2009:08 R2)</t>
  </si>
  <si>
    <t>SE-563/5</t>
  </si>
  <si>
    <t>Transportstyrelsen rekommenderas att tillse att i samband med prövning av säkerhetstillstånd för inf</t>
  </si>
  <si>
    <t>Transportation Authority is recommended to ensure that the purposes of examining the safety conditions for infrastructure managers, examine that they have a safety management system for the design of safety-critical components and subsystems and safety management system meets the requirements of the Transport Agency's regulations (RJ 2009:08 R3).</t>
  </si>
  <si>
    <t>SE-563/6</t>
  </si>
  <si>
    <t>Transportstyrelsen rekommenderas att tillse att i samband med prövning av säkerhetstillstånd för infrastrukturförvaltare, granska att dessa har ett säkerhetsstyrningssystem som omfattar konstruktion av säkerhetskritiska komponenter och delsystem och att säkerhetsstyrningssystemet uppfyller kraven i Transportstyrelsens föreskrifter (RJ 2009:08 R3).</t>
  </si>
  <si>
    <t>SE-513/1</t>
  </si>
  <si>
    <t>Recommendation on scope of responsibility/geographical area for CTC dispatchers.</t>
  </si>
  <si>
    <t>Transportation Agency is recommended to ensure that the IM revise how large surveillance area a remote dispatcher should have in order to be in control of the area even in the event of disruptions (RJ 2009:05 R1)</t>
  </si>
  <si>
    <t>SE-513/2</t>
  </si>
  <si>
    <t>Transportstyrelsen rekommenderas att verka för att Banverket ser över hur stort övervakningsområde en fjärrtågklarerare bör ha för att ur trafiksäkerhetssynpunkt kunna ha kontroll över området även vid störningar (RJ 2009:05 R1)</t>
  </si>
  <si>
    <t>SE-513/3</t>
  </si>
  <si>
    <t>Recommendation on systems available to CTC dispatchers for making safety critical decisions.</t>
  </si>
  <si>
    <t>The Transportation Agency is recommended to act to ensure that the IM is reviewing the system CTC dispatcher have available for making decisions of importance for safety (RJ 2009:05 R2)</t>
  </si>
  <si>
    <t>SE-513/4</t>
  </si>
  <si>
    <t>Transportstyrelsen rekommenderas att verka för att Banverket ser över vilka system som en tågklarerare har tillgängliga och som påverkar tågklarerarens möjlighet att fatta beslut av betydelse för trafiksäkerheten (RJ 2009:05 R2)</t>
  </si>
  <si>
    <t>SE-513/5</t>
  </si>
  <si>
    <t>Recommendation on measures to stimulate attention in monitoring work.</t>
  </si>
  <si>
    <t>Transportation Agency is recommended to, through the IM, create measures to stimulate attention ability in monitoring work (RJ 2009:05 R3)</t>
  </si>
  <si>
    <t>SE-513/6</t>
  </si>
  <si>
    <t>Transportstyrelsen rekommenderas att verka för att Banverket skapar åtgärder för att stimulera uppmärksamhetsförmågan vid övervakningsarbete (RJ 2009:05 R3)</t>
  </si>
  <si>
    <t>SE-513/7</t>
  </si>
  <si>
    <t>Recommendation on system for follow-up identifying weaknesses and deficiencies in behaviour of CTC dispatchers.</t>
  </si>
  <si>
    <t>The Transportation Agency is recommended to create a system to track where the shortcomings and weaknesses of dispatchers behaviours , eg by being able to simulate and practice different situations (RJ2009: 04 B4)</t>
  </si>
  <si>
    <t>SE-513/8</t>
  </si>
  <si>
    <t>Transportstyrelsen rekommenderas att verka för att Banverket skapar ett system för uppföljning där brister och svagheter hos tågklarerare bättre kan uppmärksammas, t.ex. genom att kunna simulera och träna olika situationer (RJ2009:04 R4)</t>
  </si>
  <si>
    <t>SE-513/9</t>
  </si>
  <si>
    <t>Recommendation on review of rules regulating health tests performed before re-entry into service</t>
  </si>
  <si>
    <t>Transportation Board is recommended to update the BV-FS 2000:4 so that both the physical and mental ability is assessed before re-entry of staff into safety-critical positions (RJ2009: 05 R5)</t>
  </si>
  <si>
    <t>SE-513/10</t>
  </si>
  <si>
    <t>Transportstyrelsen rekommenderas att verka för att uppdatera BV-FS 2000:4 så att både den fysiska och psykiska förmågan bedöms innan återinträde i säkerhetstjänst sker (RJ2009:05 R5)</t>
  </si>
  <si>
    <t>SE-513/11</t>
  </si>
  <si>
    <t>Recommendation on review and monitoring of compliance with requirements in BV-FS 2000:4 and other rules.</t>
  </si>
  <si>
    <t>Transportation Agency is recommended to work for operators to review and improve applications and provisions to meet the requirements of the BV-FS 2000:4 and that other rules and procedures are followed (RJ2009: 05 R6)</t>
  </si>
  <si>
    <t>SE-513/12</t>
  </si>
  <si>
    <t>Transportstyrelsen rekommenderas att verka för att verksamhetsutövarna ser över och förbättrar tillämpningar och bestämmelser för att uppfylla kraven i BV-FS 2000:4 samt att egna regler och rutiner följs (RJ2009:05 R6)</t>
  </si>
  <si>
    <t>SE-513/13</t>
  </si>
  <si>
    <t>Recommendation on review of rules for passing red signals</t>
  </si>
  <si>
    <t>Transportatino Agency is recommended to revise rules for passing signal does not show "run" in order to introduce safer barriers (RJ2009: 04 B7)</t>
  </si>
  <si>
    <t>SE-513/14</t>
  </si>
  <si>
    <t>Transportstyrelsen rekommenderas att verka för att se över regler för passage av signal som inte visar "kör" i syfte att införa säkrare barriärer (RJ2009:04 R7)</t>
  </si>
  <si>
    <t>SE-512/1</t>
  </si>
  <si>
    <t>Recommendation on requirements for use of train protection systems</t>
  </si>
  <si>
    <t>The Transportation Agency is recommended to act to urgently to introduce requirements for use of train protection systems in the vehicle trafficing infrastructure equipped with train protection (RJ2009: 04 R1)</t>
  </si>
  <si>
    <t>SE-512/2</t>
  </si>
  <si>
    <t>Transportstyrelsen rekommenderas att verka för att snarast införa krav på användning av tågskyddssystem i fordon vid trafikering på infrastruktur som är utrustad med tågskyddssystem (RJ2009:04 R1)</t>
  </si>
  <si>
    <t>SE-512/3</t>
  </si>
  <si>
    <t>Recommendation on monitoring and revisions</t>
  </si>
  <si>
    <t>Transport Agency advised to act to improve procedures for the authorisation and supervision so that the absence of safety-critical rules are detected (RJ2009: 04 B2).</t>
  </si>
  <si>
    <t>SE-512/4</t>
  </si>
  <si>
    <t>Transportstyrelsen rekommenderas att verka för att förbättra rutinerna för tillståndsgivning och tillsyn så att avsaknad av för trafiksäkerheten väsentliga bestämmelser upptäcks (RJ2009:04 R2).</t>
  </si>
  <si>
    <t>SE-511/1</t>
  </si>
  <si>
    <t>Recommendation on test of capacity before re-entry into service</t>
  </si>
  <si>
    <t>Transportstyrelsen rekommenderas att verka för att uppdatera BV-FS 2000:4 så att både den fysiska och psykiska förmågan bedöms innan återinträde sker i säkerhetstjänst (RJ 2009:07 R1),</t>
  </si>
  <si>
    <t>SE-511/2</t>
  </si>
  <si>
    <t>The Swedish Transport Agency is recommended to take steps to ensure that BV-FS 2000:4 is updated so that both physical and psychological capacities are assessed before people are reinstated to safety duties (RJ 2009:07 R1),</t>
  </si>
  <si>
    <t>SE-511/3</t>
  </si>
  <si>
    <t>Review rules for allowing trains to pass red signals</t>
  </si>
  <si>
    <t>Transportstyrelsen rekommenderas att verka för att se över regler för passage av signal som inte visar â€körâ€ i syfte att införa säkrare barriärer (RJ 2009:07 R2),</t>
  </si>
  <si>
    <t>SE-511/4</t>
  </si>
  <si>
    <t>The Swedish Transport Agency is recommended to take steps to ensure that rules for passing a signal which does not show â€goâ€ are reviewed, with the object of introducing safer barriers (RJ 2009:07 R2),</t>
  </si>
  <si>
    <t>SE-511/5</t>
  </si>
  <si>
    <t>Review application and rules fulfilling requirements in BV-FS 2000:4</t>
  </si>
  <si>
    <t>Transportstyrelsen rekommenderas att verka för att Banverket ser över och förbättrar tillämpningar och bestämmelser för att uppfylla kraven i BV-FS 2000:4 samt att egna regler och rutiner följs (RJ 2009:07 R3)</t>
  </si>
  <si>
    <t>SE-511/6</t>
  </si>
  <si>
    <t>The Swedish Transport Agency is recommended to take steps to ensure that the Swedish Rail Administration review and improve applications and provisions to meet the requirements in BV-FS 2000:4 and to ensure that their own rules and procedures are followed (RJ 2009:07 R3),</t>
  </si>
  <si>
    <t>SE-511/7</t>
  </si>
  <si>
    <t>Adapt support systems and rules so they harmonise</t>
  </si>
  <si>
    <t>Transportstyrelsen rekommenderas att verka för att Banverket anpassar stödsystem och regler så att de harmoniserar med varandra (RJ 2009:07 R4),</t>
  </si>
  <si>
    <t>SE-511/8</t>
  </si>
  <si>
    <t>The Swedish Transport Agency is recommended to take steps to ensure that the Swedish Rail Administration adapt support systems and rules to bring them into line with each other (RJ 2009:07 R4),</t>
  </si>
  <si>
    <t>SE-511/9</t>
  </si>
  <si>
    <t>Review system for follow-up in order to identify weaknesses in performance of train dispatchers.</t>
  </si>
  <si>
    <t>Transportstyrelsen rekommenderas att verka för att Banverket ser över systemet för uppföljning så att brister och svag-heter hos tågklarerare bättre kan uppmärksammas, t.ex. genom att kunna simulera och träna olika scenarion (RJ 2009:07 R5).</t>
  </si>
  <si>
    <t>SE-511/10</t>
  </si>
  <si>
    <t>The Swedish Transport Agency is recommended to take steps to ensure that the Swedish Rail Administration review the monitoring system so that shortcomings and weaknesses among train dispatchers can be better detected, for example by being able to simulate and provide training for various scenarios (RJ 2009:07 R5).</t>
  </si>
  <si>
    <t>SE-510/1</t>
  </si>
  <si>
    <t>Transportstyrelsen rekommenderas att undersöka möjligheten att tillse att det genomförs en genomgrip</t>
  </si>
  <si>
    <t>Transportation Agency is recommended to explore the possibility of ensuring that it is carried out a thorough study of the risks of wear on the rims a long distance or high speeds can cause (RJ2010: 04 R1).</t>
  </si>
  <si>
    <t>SE-510/2</t>
  </si>
  <si>
    <t>Transportstyrelsen rekommenderas att undersöka möjligheten att tillse att det genomförs en genomgripande undersökning av vilka risker för materialutmattningar på hjulringar en lång löpsträcka eller höga hastigheter kan medföra (RJ2010:04 R1).</t>
  </si>
  <si>
    <t>SE-510/3</t>
  </si>
  <si>
    <t>Transportstyrelsen rekommenderas att tillse att järnvägsföretagen i samband med underhåll, periodisk</t>
  </si>
  <si>
    <t>Transportation Agency is recommended to ensure that the rail undertakings, during periodic or need-driven maintenance, have procedures to ensure that wheels are adequately inspected so that wheels with incipient fractures are prevented from leaving the workshop without being attended to.</t>
  </si>
  <si>
    <t>SE-510/4</t>
  </si>
  <si>
    <t>Transportstyrelsen rekommenderas att tillse att järnvägsföretagen i samband med underhåll, periodisk eller behovsstyrt, har rutiner som säkerställer att hjul kontrolleras tillräckligt väl så att hjul med begynnande sprickor hindras från att lämna verkstaden utan åtgärd.</t>
  </si>
  <si>
    <t>SE-510/5</t>
  </si>
  <si>
    <t>Transportstyrelsen rekommenderas att tillse att järnvägsföretagen har rutiner som underlättar för pe</t>
  </si>
  <si>
    <t>Transportation Agency is recommended to ensure that the rail companies have procedures that facilitate the staff to take the right action when notifying of errors that can have serious safety implications (RJ2010: 04 B3).</t>
  </si>
  <si>
    <t>SE-510/6</t>
  </si>
  <si>
    <t>Transportstyrelsen rekommenderas att tillse att järnvägsföretagen har rutiner som underlättar för personalen att vidta rätt åtgärd vid anmälan om fel som kan få svåra säkerhetsmässiga konsekvenser (RJ2010:04 R3).</t>
  </si>
  <si>
    <t>SE-460/1</t>
  </si>
  <si>
    <t>Transportstyrelsen rekommenderas att verka för att infrastrukturförvaltaren verkar för en ökad anvä</t>
  </si>
  <si>
    <t>The Transportation Agency is recommended to promote that the infrastructure manager is pushing for increased use of vehicle detection systems at level crossings. (RJ 2009:03 R1)</t>
  </si>
  <si>
    <t>SE-460/2</t>
  </si>
  <si>
    <t>Transportstyrelsen rekommenderas att verka för att infrastrukturförvaltaren verkar för en ökad användning av hinderdetekteringssystem i plankorsningar (RJ 2009:03 R1)</t>
  </si>
  <si>
    <t>SE-460/3</t>
  </si>
  <si>
    <t>Transportstyrelsen rekommenderas att tillsammans med infrastrukturförvaltare och väghållare verka f</t>
  </si>
  <si>
    <t>The Transportation Agency is recommended along with infrastructure managers and road infrastructure manager to develop common standards and practices, and to establish cooperation between the municipality and other stakeholders so that the traffic environment at level crossings evaluated as well as the current changes. (RJ 2009:03 R2)</t>
  </si>
  <si>
    <t>SE-460/4</t>
  </si>
  <si>
    <t>Transportstyrelsen rekommenderas att tillsammans med infrastrukturförvaltare och väghållare verka för att gemensamma normer och arbetsmetoder utvecklas, och att samverkan mellan kommun och andra intressenter utvecklas så att trafikmiljön vid plankorsningar utvärderas så väl löpande som vid förändringar. (RJ 2009:03 R2)</t>
  </si>
  <si>
    <t>SE-460/5</t>
  </si>
  <si>
    <t>Transportstyrelsen rekommenderas att möjliggöra att information om plankorsningar med särskilda bes</t>
  </si>
  <si>
    <t>The Swedish Transportation Agency is recommended to enable the information on level crossings with special difficulties in a simple way is available for scheduling different routes. (RJ 2009:03 R3)</t>
  </si>
  <si>
    <t>SE-460/6</t>
  </si>
  <si>
    <t>Transportstyrelsen rekommenderas att möjliggöra att information om plankorsningar med särskilda besvärligheter på ett enkelt sätt finns tillgängligt för planering av olika transporter på väg. (RJ 2009:03 R3)</t>
  </si>
  <si>
    <t>SE-416/1</t>
  </si>
  <si>
    <t>Järnvägsstyrelsen rekommenderas att verka för att Järnvägsföretagens system för säkerhetsstyrning är</t>
  </si>
  <si>
    <t>Swedish Transportation Agency is recommended to ensure that railway undertakings safety management system are capable of ensuring that staff have the right skills to perform their duties (RJ 2008:04 R1).</t>
  </si>
  <si>
    <t>SE-416/2</t>
  </si>
  <si>
    <t>Järnvägsstyrelsen rekommenderas att verka för att Järnvägsföretagens system för säkerhetsstyrning är tillräckliga för att fånga upp att personalen har rätt kompetens att utföra sina arbetsuppgifter (RJ 2008:04 R1).</t>
  </si>
  <si>
    <t>SE-416/3</t>
  </si>
  <si>
    <t>Järnvägsstyrelsen rekommenderas att verka för att Banverket snarast informerar om lokala förhållande</t>
  </si>
  <si>
    <t>Swedish Transportation Agency is recommended to ensure that Banverket (IM) as soon as possible transfer information about local conditions that may have impact on other operator's activities, eg gradient conditions (RJ 2008:04 R2).</t>
  </si>
  <si>
    <t>SE-416/4</t>
  </si>
  <si>
    <t>Järnvägsstyrelsen rekommenderas att verka för att Banverket snarast informerar om lokala förhållanden som kan ha påverkan på andra verksamhetsutövares verksamheter, t.ex. lutningsförhållanden (RJ 2008:04 R2).</t>
  </si>
  <si>
    <t>SE-416/5</t>
  </si>
  <si>
    <t>Järnvägsstyrelsen rekommenderas att verka för att Banverket genomför fattade beslut som är av betyde</t>
  </si>
  <si>
    <t>Swedish Transportation Agency is recommended to act to ensure that Banverket (IM) implement decisions that are important for safety, with a particular focus on the decisions that affect other operators (RJ 2008:04 R3).</t>
  </si>
  <si>
    <t>SE-416/6</t>
  </si>
  <si>
    <t>Järnvägsstyrelsen rekommenderas att verka för att Banverket genomför fattade beslut som är av betydelse för trafiksäkerheten, med särskild inriktning på de beslut som påverkar andra verksamhetsutövare;</t>
  </si>
  <si>
    <t>SE-404/1</t>
  </si>
  <si>
    <t>Recommendation on obstacle detection in level crossings</t>
  </si>
  <si>
    <t>The Transportation Agency is recommended to promote increased use of obstacle detection systems at level crossings. RJ2008:03 R1</t>
  </si>
  <si>
    <t>SE-404/2</t>
  </si>
  <si>
    <t>Järnvägsstyrelsen rekommenderas att verka för en ökad användning av hinderdetekteringssystem i plankorsningar. RJ2008:03 R1</t>
  </si>
  <si>
    <t>SE-404/3</t>
  </si>
  <si>
    <t>Recommendation on coordination between IM and local authorities</t>
  </si>
  <si>
    <t>National Rail and Road Administrations are recommended to work together for common standards and procedures to be developed at the track owners and road authorities, and that cooperation between the municipality and other stakeholders develop so that the traffic environment at level crossings evaluated as well as the current changes. RJ2008: 03 R2</t>
  </si>
  <si>
    <t>SE-404/4</t>
  </si>
  <si>
    <t>Vägverket och Banverket rekommenderas att tillsammans verka för att gemensamma normer och arbetssätt utvecklas hos spårinnehavare och väghållare, och att samverkan mellan kommun och andra intressenter utvecklas så att trafikmiljön vid plankorsningar utvärderas så väl löpande som vid förändringar. RJ2008:03 R2</t>
  </si>
  <si>
    <t>SE-404/5</t>
  </si>
  <si>
    <t>Vägverket och Banverket rekommenderas att fortsatt verka för att öka och vidmakthålla vägtrafikanter</t>
  </si>
  <si>
    <t>National Rail Administration and the Road Administration is recommended to continue their efforts to increase and maintain road users' awareness of risks at level crossings and how to act in the event that you become trapped between the barriers. RJ2008: 03 R3</t>
  </si>
  <si>
    <t>SE-404/6</t>
  </si>
  <si>
    <t>Vägverket och Banverket rekommenderas att fortsatt verka för att öka och vidmakthålla vägtrafikanters medvetenhet om risker vid plankorsningar och hur man handlar i händelse av att man blir instängd mellan bommarna. RJ2008:03 R3</t>
  </si>
  <si>
    <t>SE-366/1</t>
  </si>
  <si>
    <t>Järnvägsstyrelsen rekommenderas att verka för att Banverket verkar för att tågklareraren har förutsä</t>
  </si>
  <si>
    <t>Railway Board advised to ensure that train dispatchers have an easy way to get the correct phone number to contact drivers (RJ 2008:2 R1).</t>
  </si>
  <si>
    <t>SE-366/2</t>
  </si>
  <si>
    <t>Järnvägsstyrelsen rekommenderas att verka för att Banverket verkar för att tågklareraren har förutsättningar att på ett enkelt sätt få fram korrekta telefonnummer för att kunna kontakta förare (RJ 2008:2 R1).</t>
  </si>
  <si>
    <t>SE-366/3</t>
  </si>
  <si>
    <t>Recommendation on follow-up of variations in individual service / working conditions.</t>
  </si>
  <si>
    <t>The NSA is recommended to ensure that the IMs (Banverket) system of individual follow-up takes into account the variations that occur in service (RJ 2008:2 R2).</t>
  </si>
  <si>
    <t>SE-366/4</t>
  </si>
  <si>
    <t>Järnvägsstyrelsen rekommenderas att verka för att Banverket verkar för att systemet för den individuella uppföljningen tar hänsyn till variationer som förekommer i tjänstgöringen (RJ 2008:2 R2).</t>
  </si>
  <si>
    <t>SE-366/5</t>
  </si>
  <si>
    <t>Recommendation on installation of automatic line block systems</t>
  </si>
  <si>
    <t>Railway Board advised to act to Banverket urgently expand the block or ERTMS-based security on lines with manual train dispatching and with high traffic. (RJ 2004:2 B1).</t>
  </si>
  <si>
    <t>SE-366/6</t>
  </si>
  <si>
    <t>Järnvägsstyrelsen rekommenderas att verka för att Banverket snarast bygger ut linjeblockering eller ERTMS-baserade säkerhetssystem på tambanor med omfattande trafik. (RJ 2004:2 R1).</t>
  </si>
  <si>
    <t>SE-366/7</t>
  </si>
  <si>
    <t>Recommendation on new and more efficient barriers in systems for manual train dispatching.</t>
  </si>
  <si>
    <t>The transportation agency is recommended to ask Banverket to identify and introduces more effective barriers in the system of manual train dispatching (RJ 2004:2 R2).</t>
  </si>
  <si>
    <t>SE-366/8</t>
  </si>
  <si>
    <t>Järnvägsstyrelsen rekommenderas att verka för att Banverket identifierar och inför effektivare barriärer i systemet med tåganmälan (RJ 2004:2 R2).</t>
  </si>
  <si>
    <t>SE-366/9</t>
  </si>
  <si>
    <t>Järnvägsstyrelsen rekommenderas att verka för att Banverket skapar effektiva uppföljningssystem för</t>
  </si>
  <si>
    <t>The Transportation Agency is recommended to ask Banverket to create effective monitoring systems to capture systemic deficiencies and abnormalities, such as in terms of compliance and practices. (RJ 2004:2 B6).</t>
  </si>
  <si>
    <t>SE-366/10</t>
  </si>
  <si>
    <t>Järnvägsstyrelsen rekommenderas att verka för att Banverket skapar effektiva uppföljningssystem för att fånga upp systematiska brister och avvikelser, t.ex. i fråga om regelefterlevnad och lokal praxis. (RJ 2004:2 R6).</t>
  </si>
  <si>
    <t>SE-341/1</t>
  </si>
  <si>
    <t>Recommendation on risk analyis of changes in maintenance plan for commuter trains.</t>
  </si>
  <si>
    <t>Transport Authority is recommended to ensure that a risk assessment is carried out to analyze the impact of the revised maintenance arrangements for commuter trains (lit. X1) in Stockholm and work to ensure that measures are taken to reduce any residual risks that such an analysis shows (RJ 2009:06 R1)</t>
  </si>
  <si>
    <t>SE-341/2</t>
  </si>
  <si>
    <t>Transportstyrelsen rekommenderas att verka för att en riskanalys genomförs som analyserar konsekvenserna av de ändrade underhållsrutinerna för pendeltågen (litt. X1) i Stockholm och verka för att åtgärder vidtas för att reducera de eventuella restrisker som en sådan analys visar på (RJ 2009:06 R1)</t>
  </si>
  <si>
    <t>SE-341/3</t>
  </si>
  <si>
    <t>Transportstyrelsen rekommenderas att införa rutiner som medför att Transportstyrelsen i sitt arbete</t>
  </si>
  <si>
    <t>Transport Authority is recommended to implement procedures that causes Transport Agency in its work detects changes in rules and practices of the operators who should lead risk assessments and accompanying measures (RJ 2009:06 R2).</t>
  </si>
  <si>
    <t>SE-341/4</t>
  </si>
  <si>
    <t>Transportstyrelsen rekommenderas att införa rutiner som medför att Transportstyrelsen i sitt arbete upptäcker förändringar i regler och rutiner hos verksamhetsutövarna som borde medföra riskanalyser och kompletterande åtgärder (RJ 2009:06 R2).</t>
  </si>
  <si>
    <t>SE-340/1</t>
  </si>
  <si>
    <t>Recommendation on controls performed in licensing process ensuring that the SMS controls safety critical equipment</t>
  </si>
  <si>
    <t>Transport Authority is recommended in connection with licensing and audit of infrastructure managers ensure that the safety management system ensures that safety critical equipment meets the requirements for safe operation that can be set (see Section 1.5.6) (RJ 2010:03 R1).</t>
  </si>
  <si>
    <t>SE-340/2</t>
  </si>
  <si>
    <t>Transportstyrelsen rekommenderas att i samband med tillståndsgivning och revision av infrastrukturförvaltare kontrollera att säkerhetsstyrningssystemet säkerställer att säker-hetskritisk utrustning uppfyller de krav på säker funktion som kan ställas (se avsnitt 1.5.6) (RJ 2010:03 R1).</t>
  </si>
  <si>
    <t>SE-340/3</t>
  </si>
  <si>
    <t>Recommendation on archiving of documentation of staff data and readiness checks</t>
  </si>
  <si>
    <t>Transport Authority is recommended to conduct an audit of how the requirements for archiving of documentation and personnel competence and how documentation from infrastructure inspections are followed (see section 1.6 and 2.2.2) (RJ 2010:03 R2).</t>
  </si>
  <si>
    <t>SE-340/4</t>
  </si>
  <si>
    <t>Transportstyrelsen rekommenderas att genomföra en revision av hur kraven på arkivering av dokumentation av dels personalens behörighet och dels genomförda besiktningar följs, (se avsnitt 1.6 samt 2.2.2) (RJ 2010:03 R2).</t>
  </si>
  <si>
    <t>SE-340/5</t>
  </si>
  <si>
    <t>Recommendation on register for staff competence and licences.</t>
  </si>
  <si>
    <t>Transport Authority is recommended to investigate the feasibility of establishing an eligibility register (similar register of license) and written for personnel with duties of traffic safety to facilitate the transition between different operators (see Section 2.2.2) (RJ 2010:03 B3).</t>
  </si>
  <si>
    <t>SE-340/6</t>
  </si>
  <si>
    <t>Transportstyrelsen rekommenderas att utreda förutsättningarna för att införa ett behörighetsregister (liknande registret över förarbevis) för samtligt personal med arbetsuppgifter av betydelse för trafiksäkerheten för att underlätta övergång mellan olika verksamhetsutövare (se avsnitt 2.2.2) (RJ 2010:03 R3).</t>
  </si>
  <si>
    <t>SE-340/7</t>
  </si>
  <si>
    <t>Recommendation on verification of traffic safety instructions and how oral communication should be done.</t>
  </si>
  <si>
    <t>Transport Authority is recommended in conjunction with approval of traffic safety instructions verify that there are clear rules for safety critical communications are carried out to avoid confusion (see sections 2.3.2 and 3.3) (RJ 2010:03 B4).</t>
  </si>
  <si>
    <t>SE-340/8</t>
  </si>
  <si>
    <t>Transportstyrelsen rekommenderas att i samband med godkännandet av trafiksäkerhetsinstruktioner kontrollera att det finns tydliga regler för hur säkerhetskritisk kommunikation ska utföras för att undvika missförstånd (se avsnitt 2.3.2 och 3.3) (RJ 2010:03 R4).</t>
  </si>
  <si>
    <t>SE-339/1</t>
  </si>
  <si>
    <t>Recommendatino on installation of ATC on non-protected spots</t>
  </si>
  <si>
    <t>The Swedish Transport Agency is recommended to ask the IM to speed up the work with installing ATC supporting equipement on the spots currently not equipped (RJ2005:01 R1)</t>
  </si>
  <si>
    <t>SE-339/2</t>
  </si>
  <si>
    <t>Transportstyrelsen rekommenderas verka för att Banverket påskyndar åtgärder för att ATC-utrusta de s.k. ATC - öarna (RJ 2005:01 R1)</t>
  </si>
  <si>
    <t>SE-339/3</t>
  </si>
  <si>
    <t>Recommendation on measures improving ability to pay attention to different signal aspects.</t>
  </si>
  <si>
    <t>Transport Agency recommended to ask Banverket, pending the above recommendation is implementedm, to take steps to improve the ability of drivers to pay attention to the different signal aspects in the head dwarf signals (RJ 2005:01 R2).</t>
  </si>
  <si>
    <t>SE-339/4</t>
  </si>
  <si>
    <t>Transportstyrelsen rekommenderas verka för att Banverket i avvaktan på att rekommendationen ovan genomförs vidtar åtgärder för att förbättra möjligheten för förare m.fl. att uppmärksamma de olika signalbilderna i huvuddvärgsignaler (RJ 2005:01 R2).</t>
  </si>
  <si>
    <t>SE-339/5</t>
  </si>
  <si>
    <t>The Swedish Transport Agency is recommended to work for that linjebeskrivningarna i järnvägsföretage</t>
  </si>
  <si>
    <t>The Swedish Transport Agency is recommended to improve the user friendliness of the the line documentation at the RUs. (RJ2009:01 R1)</t>
  </si>
  <si>
    <t>SE-339/6</t>
  </si>
  <si>
    <t>Transportstyrelsen rekommenderas verka för att linjebeskrivningarna i järnvägsföretagens linjeböcker anpassas så att de blir användarvänliga. (RJ2009:01 R1)</t>
  </si>
  <si>
    <t>SE-339/7</t>
  </si>
  <si>
    <t>The Swedish Transport Agency is recommended to work for that tydligare krav på linjekännedom införs</t>
  </si>
  <si>
    <t>The Swedish Transport Agency is recommended to implement more explicit and clear requirements on the line documentation for complex stations, for example Stockholm central station (RJ2009:01 R2)</t>
  </si>
  <si>
    <t>SE-339/8</t>
  </si>
  <si>
    <t>Transportstyrelsen rekommenderas verka för att tydligare krav på linjekännedom införs för komplexa stationer, t.ex. Stockholms central (RJ2009:01 R2).</t>
  </si>
  <si>
    <t>SE-339/9</t>
  </si>
  <si>
    <t>Recommendation on design of signalling layouts and complexity and user adaptations.</t>
  </si>
  <si>
    <t>The Swedish Transport Agency is recommended to ask the IM to ensure taht the design of information environments are adapted to human capabilities (RJ2009: 01 B3).</t>
  </si>
  <si>
    <t>SE-339/10</t>
  </si>
  <si>
    <t>Transportstyrelsen rekommenderas verka för att Banverket ser över utformningen av informationsmiljöer så att de anpassas efter människans förutsättningar (RJ2009:01 R3).</t>
  </si>
  <si>
    <t>SE-338/1</t>
  </si>
  <si>
    <t>Recommendation on design of boogies.</t>
  </si>
  <si>
    <t>Transport Authority is recommended to use the experience from the derailment and the boogie designs importance for the consequences of his work with the approval of vehicles and in European rulemaking (RJ 2009:11 R1).</t>
  </si>
  <si>
    <t>SE-338/2</t>
  </si>
  <si>
    <t>Transportstyrelsen rekommenderas att använda erfarenheterna från urspårningen och löpverkens betydelse för en urspårnings konsekvenser vid sitt arbete med godkännanden av fordon och i europeiska regelarbetet (RJ 2009:11 R1).</t>
  </si>
  <si>
    <t>SE-338/3</t>
  </si>
  <si>
    <t>Recommendation on risks from flying rail clips.</t>
  </si>
  <si>
    <t>Banverket is recommended to study the relationship to flying spring loops in order to reduce risks to people and property in the vicinity of the track area (RJ 2009:11 R2).</t>
  </si>
  <si>
    <t>SE-338/4</t>
  </si>
  <si>
    <t>Banverket rekommenderas att närmare studera förhållandet med kringflygande fjäderbyglar med syfte att reducera riskerna för personer och egendom i närheten av spårområdet (RJ 2009:11 R2).</t>
  </si>
  <si>
    <t>SE-337/1</t>
  </si>
  <si>
    <t>Recommendation on certification of staff for maintenance and repairs</t>
  </si>
  <si>
    <t>Transport Agency is recommended to review the need for certification of personnel for maintenance and repairs (RJ 2010:01 R1)</t>
  </si>
  <si>
    <t>SE-337/2</t>
  </si>
  <si>
    <t>Transportstyrelsen rekommenderas att se över behovet av certifiering av personal för underhåll och reparationer (RJ 2010:01 R1)</t>
  </si>
  <si>
    <t>SE-337/3</t>
  </si>
  <si>
    <t>Recommendation on documentation of machines function and changes after repairs and changes.</t>
  </si>
  <si>
    <t>Transport Authority is recommended to ensure that Infranord ensures that documentation is updated to reflect for machine performance and drawings for alterations or other changes (RJ 2010:01 R2)</t>
  </si>
  <si>
    <t>SE-337/4</t>
  </si>
  <si>
    <t>Transportstyrelsen rekommenderas att tillse hur Infranord säkerställer att dokumentation sker för maskiners funktion och ritningsuppföljningar vid ombyggnation eller andra förändringar (RJ 2010:01 R2)</t>
  </si>
  <si>
    <t>SE-337/5</t>
  </si>
  <si>
    <t>Recommendation on inspections and readiness checks after repairs and modifications.</t>
  </si>
  <si>
    <t>Transport Authority is recommended to ensure that Infranord look at how machine operation shall be ensured in their own conversions and extensions or connections to machines (RJ 2010:01 R3)</t>
  </si>
  <si>
    <t>SE-337/6</t>
  </si>
  <si>
    <t>Transportstyrelsen rekommenderas att tillse att Infranord ser över hur maskinfunktionen ska säkerställas vid egna om- och tillbyggnader eller inkopplingar på maskiner (RJ 2010:01 R3)</t>
  </si>
  <si>
    <t>SE-337/7</t>
  </si>
  <si>
    <t>Recommendation on documentation of repair history of maintenance and repairs.</t>
  </si>
  <si>
    <t>Transport Authority is recommended to ensure that Infranord ensures the repair history will be maintained for annual monitoring, machine approval and inspection (RJ 2010:01 R4)</t>
  </si>
  <si>
    <t>SE-337/8</t>
  </si>
  <si>
    <t>Transportstyrelsen rekommenderas att tillse att Infranord säkerställer hur reparationshistorik ska upprätthållas för årlig uppföljning, maskingodkännande och besiktning</t>
  </si>
  <si>
    <t>SE-337/9</t>
  </si>
  <si>
    <t>Recommendation on SMS for staff training and procedures for hand-over of machines.</t>
  </si>
  <si>
    <t>Transport Authority is recommended to ensure that Infranord reviews its safety management system for staff training and procedures for delivery of machinery between staff (RJ2010: 01 R5)</t>
  </si>
  <si>
    <t>SE-337/10</t>
  </si>
  <si>
    <t>Transportstyrelsen rekommenderas att tillse att Infranord ser över säkerhetsstyrningssystemet för utbildning av personal och rutiner för överlämnande av maskiner mellan personalen (RJ2010:01 R5)</t>
  </si>
  <si>
    <t>SE-261/1</t>
  </si>
  <si>
    <t>Recommendation on measures to reduce possibilities of single cause failure when establishing braking capacity</t>
  </si>
  <si>
    <t>Railway Board should work to ensure that the risk of a single failure relating to the identification of a train's braking ability is minimized, eg through the introduction of checklists or a special note on load lever position has been checked. (RJ 2007:2 B1).</t>
  </si>
  <si>
    <t>SE-261/2</t>
  </si>
  <si>
    <t>SE-261/3</t>
  </si>
  <si>
    <t>Recommendation on follow-up training after basic education or change of duties.</t>
  </si>
  <si>
    <t>Railway Board should seek to impose obligations on monitoring of security personnel carried out after completion basic education or when duties change. (2007:2 R2)</t>
  </si>
  <si>
    <t>SE-261/4</t>
  </si>
  <si>
    <t>Järnvägsstyrelsen bör verka för att införa krav på uppföljning av säkerhetspersonal genomförs efter genomförd grundutbilding eller när arbetsuppgifterna förändras. (2007:2 R2)</t>
  </si>
  <si>
    <t>SE-261/5</t>
  </si>
  <si>
    <t>Recommendation on planning and monitoring of production</t>
  </si>
  <si>
    <t>Railway Board should work to ensure that the planning and monitoring of production by operators to improve. (RJ2007: 02 R3)</t>
  </si>
  <si>
    <t>SE-261/6</t>
  </si>
  <si>
    <t>Järnvägsstyrelsen bör verka för att den planering och uppföljning av produktionen som verksamhetsutövarna gör förbättras. (RJ2007:02 R3)</t>
  </si>
  <si>
    <t>SE-261/7</t>
  </si>
  <si>
    <t>Recommendation on procedures to minimize design flaws.</t>
  </si>
  <si>
    <t>Railway Board should work to ensure that IM has procedures in the safety control so that design flaws are minimized. (RJ2007: 02 B4)</t>
  </si>
  <si>
    <t>SE-261/8</t>
  </si>
  <si>
    <t>Järnvägsstyrelsen bör verka för att infrastrukturförvaltaren har förfaranden i säkerhetsstyrningen så att projekteringsbrister minimeras. (RJ2007:02 R4)</t>
  </si>
  <si>
    <t>SE-261/9</t>
  </si>
  <si>
    <t>Recommendation on guidelines and principles for design of protective sidings</t>
  </si>
  <si>
    <t>Railway Board should consider whether it needs to be developed global principles and standards on track with a focus on how a safe braking of vehicles shall be made with respect to risk of damage to both vehicles and the environment behind the track end (RJ 2007:2 R5).</t>
  </si>
  <si>
    <t>SE-261/10</t>
  </si>
  <si>
    <t>Järnvägsstyrelsen bör överväga om det behöver tas fram övergripande principer och standarder för skyddsspår med fokus på hur en säker inbromsning av fordon ska ske med hänsyn till risken för skador på såväl fordon som omgivningen bakom spårslutet (RJ 2007:2 R5).</t>
  </si>
  <si>
    <t>SE-261/11</t>
  </si>
  <si>
    <t>Recommendation on Decision support for civil protection and modeling of chemical risks.</t>
  </si>
  <si>
    <t>Swedish Rescue Services Agency (Swedish rescue services agency) should develop Integrated Decision Support for Civil Protection (RIB) and detailed modeling of chemical exposure in order to facilitate the calculation of the risk area (RJ 2007:2 B6).</t>
  </si>
  <si>
    <t>SE-261/12</t>
  </si>
  <si>
    <t>Statens räddningsverk (Swedish rescue services agency) bör utveckla Integrerat beslutsstöd för skydd mot olyckor (RIB) och ingående beräkningsmodeller för kemikalieexponering för att underlätta beräkning av riskområde (RJ 2007:2 R6).</t>
  </si>
  <si>
    <t>SE-261/13</t>
  </si>
  <si>
    <t>Recommendation on communication of responsibilities and sharing of costs for rescuing operations.</t>
  </si>
  <si>
    <t>Swedish Rescue Services Agency (Swedish rescue services agency) should appropriately inform municipal fire on the operator's liability for damage or injury both measures and associated costs during a rescue operation. (RJ 2007:2 B7).</t>
  </si>
  <si>
    <t>SE-261/14</t>
  </si>
  <si>
    <t>Statens räddningsverk (Swedish rescue services agency) bör på ett lämpligt sätt informera kommunal räddningstjänst om verksamhetsutövarens ansvar för både skadeavhjälpande åtgärder och åtföljande kostnader under en räddningsinsats. (RJ 2007:2 R7).</t>
  </si>
  <si>
    <t>SE-1348/1</t>
  </si>
  <si>
    <t>The Swedish Transport Authority is recommended to when performing supervision and authorization, control that infrastructure managers through their safety management system meets their obligations to manage the risks that arise e.g. by giving attention to changing conditions at level crossings through systematic reviews of decisions on protection levels (see sections 2.3.2, 2.3.3 and 3.2.2).</t>
  </si>
  <si>
    <t>SE-1348/2</t>
  </si>
  <si>
    <t>The Swedish Transport Authority is recommended to in consultation with The Swedish Transport Administration and The Swedish National Board of Housing, Building and Planning, consider the need for regulations or guidelines for the design of private roads where they are crossing railways (see sections 2.3.4 and 3.2.2).</t>
  </si>
  <si>
    <t>SE-1336/1</t>
  </si>
  <si>
    <t>RJ 2013:02 R1</t>
  </si>
  <si>
    <t>The NSA is recommended to through audit promote that the IMs and RUs in their system for deviations/occurences follow up the number of SPAD with shunting signal on right side compared to left sight to be able to make conclusions (see chapter 2.8 and 3.2).</t>
  </si>
  <si>
    <t>SE-1336/2</t>
  </si>
  <si>
    <t>RJ 2013:02 R2</t>
  </si>
  <si>
    <t>The NSA is recommend to through audit promote that IMs look over shunting signals placed at the right side to find out if the placement is still motivated (see chapter 2.4.2, 2.7.3 och 3.2).</t>
  </si>
  <si>
    <t>SE-1336/3</t>
  </si>
  <si>
    <t>RJ 2013:02 R3</t>
  </si>
  <si>
    <t>The NSA is recommended to through audit make sure that RUs clearly point out signals with deviated placement in their local shunting yard instructions (see chapter 2.1.1, 2.4.2 och 3.2.2).</t>
  </si>
  <si>
    <t>SE-1336/4</t>
  </si>
  <si>
    <t>RJ 2013:02 R4</t>
  </si>
  <si>
    <t>The NSA is recommended to audit that the IMs uses arrowsigns in accordance with the NSA-rules (JvSFS 2008:7). See chapter 2.3.3, 2.3.4, 2.4.1 och 3.2.</t>
  </si>
  <si>
    <t>SE-1165/1</t>
  </si>
  <si>
    <t>The NSA is recommended to review their inspection methods for the R1 review.</t>
  </si>
  <si>
    <t>Transportstyrelsen rekommenderas att i arbetet med att analysera och utvärdera sina arbetsmetoder särskilt överväga om tillsynsformen R1 (brevtillsyn) och företagsmöten är tillräckliga för att kunna verifiera att verksamhetsutövare inom spårtrafikområdet uppfyller sin skyldighet att ha ändamålsenliga rutiner för att uppmärksamma brister och avvikelser i fordonsunderhållet. (se avsnitt 2.3.1 och 3.2.2) (RJ 2013:04 R1).</t>
  </si>
  <si>
    <t>SE-1165/2</t>
  </si>
  <si>
    <t>Transport Authority is recommended in efforts to analyze and evaluate their working methods especially consider whether regulatory form R1 (letter Supervision) and corporate meetings are sufficient to be able to verify that the operators of the rail area fulfills its obligation to have appropriate procedures in place to pay attention to deficiencies and discrepancies in vehicle maintenance. (see sections 2.3.1 and 3.2.2) (RJ 2013:04 R1).</t>
  </si>
  <si>
    <t>SE-1164/1</t>
  </si>
  <si>
    <t>Recommendation on working hours and routines for monitoring of work environment.</t>
  </si>
  <si>
    <t>Arbetsmiljöverket rekommenderas att genomföra en tillsyn av huruvida Trafikverkets järnvägsentreprenörer har dokumenterade rutiner för att säkerställa att arbetstidernas förläggning och längd är sådana att arbetsmiljön och säkerheten inte äventyras. (RJ2012:01 R1)</t>
  </si>
  <si>
    <t>SE-1164/2</t>
  </si>
  <si>
    <t>Work Environment Authority is recommended to conduct an oversight of whether the Swedish Transport Administration railway contractors have documented procedures to ensure that working hoursâ€™ time and length are such that the working environment and safety is not compromised.</t>
  </si>
  <si>
    <t>SE-1164/3</t>
  </si>
  <si>
    <t>Recommendation on monitoring of IMs safety management system and competence management.</t>
  </si>
  <si>
    <t>Transportstyrelsen rekommenderas att genomföra en tillsyn av Trafikverket för att undersöka hur Trafikverket i sitt säkerhetsstyrningssystem har säkerställt att arbeten som är säkerhetspåverkande utförs korrekt och av personal som har rätt kompetens (RJ2012-01 R2)</t>
  </si>
  <si>
    <t>SE-1164/4</t>
  </si>
  <si>
    <t>Swedish Transport Agency is recommended to conduct an oversight of the Swedish Transport Administration to investigate how the Swedish Transport Administration in its safety management system has ensured that jobs are safety sensitive are correctly and by personnel with the right skills.</t>
  </si>
  <si>
    <t>SE-1113/1</t>
  </si>
  <si>
    <t>Recommendation regarding roles and distribution of responsibilities</t>
  </si>
  <si>
    <t>The transport agency is recommended, when issuing licences and performing supervision, to focus on different actors / contractors' roles and responsibilities to ensure the requirement to ensure the safe operation of the Railway Act (RJ 2012:05 R1).</t>
  </si>
  <si>
    <t>SE-1113/2</t>
  </si>
  <si>
    <t>Transportstyrelsen rekommenderas att i samband med tillståndsprövning och tillsyn fokusera på olika aktörer/avtalspartners roller och ansvar för att säkerställa kravet att trygga en säker verksamhet enligt järnvägslagen (se avsnitt 2.2.4, 3.2.2 och 4.3) (RJ 2012:05 R1).</t>
  </si>
  <si>
    <t>SE-1113/3</t>
  </si>
  <si>
    <t>Review of systems and process for risk assessment, follow-up and of activities</t>
  </si>
  <si>
    <t>The Transport Agency should, in connection with the authorization and supervision of railway companies, place particular focus on the company's practices in risk assessment of activities, and the management and monitoring of activities including, organization and administration of the rules and procedures (RJ 2012 : 05 R2).</t>
  </si>
  <si>
    <t>SE-1113/4</t>
  </si>
  <si>
    <t>Transportstyrelsen rekommenderas att i samband med tillståndsprövning och tillsyn av järnvägsföretag lägga särskilt fokus på företagets förfaranden vad gäller riskhantering samt uppföljning av verksamhet även med avseende på organisation och förvaltning av regler och rutiner (se avsnitt 2.3.2 och 3.2.2) (RJ 2012:05 R2).</t>
  </si>
  <si>
    <t>SE-1113/5</t>
  </si>
  <si>
    <t>In processes re-issuing certificates, review old supervisions and follow-up issues</t>
  </si>
  <si>
    <t>The transport agency is recommended, in the processes re-issuing certificates, to review old inspections and consider outstanding issues to ensure that the deficiencies found have been taken into account (RJ 2012:05 R3).</t>
  </si>
  <si>
    <t>SE-1113/6</t>
  </si>
  <si>
    <t>Consider to launch focus study on rules and practice for securing cargo.</t>
  </si>
  <si>
    <t>The Swedish Transport Agency is recommended to consider initiating a work programme for secure loading of cargo on the railways (RJ 2012:05 R4).</t>
  </si>
  <si>
    <t>SE-1113/7</t>
  </si>
  <si>
    <t>Transportstyrelsen rekommenderas att överväga att inleda ett arbete inom området ansvar för lastsäk-ring för järnväg liknande det fokusområde som identifierades för vägtrafiken i Transportstyrelsens projekt om lastsäkring (RJ 2012:05 R4).</t>
  </si>
  <si>
    <t>SE-1080/1</t>
  </si>
  <si>
    <t>Recommendation concerning methods for inspections of safety at infrastructure maintenance</t>
  </si>
  <si>
    <t>Transportstyrelsen rekommenderas att analysera och utvärdera de arbetsmetoder för tillsyn som tillämpas i syfte att öka förmågan att uppmärksamma sådana avvikelser som Transportstyrelsen systemtillsyn inte har förmått att upptäcka (se avsnitt 2.3.1), t.ex. att infrastrukturförvaltaren inte följer kraven angående arbete i spårmiljö (se avsnitt 3.2.2), BV-FS 2000:3 angående kompetenskrav för personer med arbete i säkerhetstjänst (se avsnitt 2.2.2 och 3.2.2) och BV-FS 2000:4 angående genomförande av läkarundersökningar innan tjänstgöringen återupptas (se avsnitt 2.6.2) (RJ2012:04 R1).</t>
  </si>
  <si>
    <t>SE-1080/2</t>
  </si>
  <si>
    <t>The NSA is recommended to analyse and evaluate the methods used for inspection, with the purpose of detecting the type of deviations that has not been detected by the NSA monitoring system, for example that the IM is not following the requirements for work on the tracks, the non-compliance to competence requirements for staff in safety classified roles and the performance of medical examinations before service is resumed.</t>
  </si>
  <si>
    <t>SE-1286/1</t>
  </si>
  <si>
    <t>Review the use of direct-planned maintenance work</t>
  </si>
  <si>
    <t>The transport agency is recommended to examine in particular the existence of direct-planned work of infrastructure managers in order to clarify to what extent direct-planned work is used, although the conditions for this as required in JTF does not exist, and if necessary, take appropriate action (see section 2.1 and 4.3) (RJ 2013:01 B1).</t>
  </si>
  <si>
    <t>SE-1286/2</t>
  </si>
  <si>
    <t>Transportstyrelsen rekommenderas att särskilt undersöka förekomsten av direktplanerat arbete hos infra-strukturförvaltarna i syfte att klarlägga i vilken omfattning direktpla-nerat arbete används trots att förutsättningar för detta enligt JTF inte föreligger samt vid behov vidta erforderliga åtgärder (se avsnitt 2.1 samt 4.3) (RJ 2013:01 R1).</t>
  </si>
  <si>
    <t>SE-1286/3</t>
  </si>
  <si>
    <t>Review the certification process to ensure the right competence is used.</t>
  </si>
  <si>
    <t>The Transport Agency is recommended to review the approval process to ensure that the right skills are involved in assessments of whether an approval is required so that it takes into account both operational aspects and user aspects in the assessment (see section 2.6 and 3.2.2) (RJ 2013:01 R2).</t>
  </si>
  <si>
    <t>SE-1286/4</t>
  </si>
  <si>
    <t>Transportstyrelsen rekommenderas att se över godkännandeprocessen för att säkerställa att rätt kompetens medverkar vid bedömningar av om ett godkännande behövs så att det både tas hänsyn till operativa aspekter och användaraspekter vid bedömningen (se avsnitt 2.6 samt 3.2.2) (RJ 2013:01 R2).</t>
  </si>
  <si>
    <t>SE-1286/5</t>
  </si>
  <si>
    <t>Increase interaction between sections to ensure right information is used in assessment processes.</t>
  </si>
  <si>
    <t>Within the work started for increased interaction between sections of approval and permission, the Transport Agency is recommended to create procedures or processes ensuring that the information transmitted to the Transportation Board is transferred between different processes (see Section 2.6 and 3.2.2) (RJ 2013:01 R3).</t>
  </si>
  <si>
    <t>SE-1286/6</t>
  </si>
  <si>
    <t>Transport styrelsen redommenderas, inom det arbete som startats för ökad interaktion mellan sektionerna för godkännande och tillstånd, skapa rutiner eller motsvarande för att säkra att information som sänds till Transportstyrelsen överförs mel-lan olika processer (se avsnitt 2.6 samt 3.2.2) (RJ 2013:01 R3).</t>
  </si>
  <si>
    <t>SE-1285/1</t>
  </si>
  <si>
    <t>Procedures for train preparation, information transfer and follow-up.</t>
  </si>
  <si>
    <t>Vidta de åtgärder som behövs för att säkerställa att järnvägsföretagen och deras anlitade entreprenörer har ändamålsenliga rutiner för in-formationsöverföring, funktionskontroll och klargöring, liksom för uppföljning av personalens kunskaper i praktiken.</t>
  </si>
  <si>
    <t>SE-1285/2</t>
  </si>
  <si>
    <t>Take the measures necessary to ensure that the railway companies and their hired contractors have appropriate procedures for in-formation transfer, train preparation, as well as for follow-up of staff knowledge in practice.</t>
  </si>
  <si>
    <t>SE-1285/3</t>
  </si>
  <si>
    <t>Knowledge of rules in different countries and follow-up of knowledge</t>
  </si>
  <si>
    <t>Vidta de åtgärder som behövs för att särskilt säkerställa att personal hos järnvägsföretag eller deras anlitade entreprenörer som utför arbete i Sverige av betydelse för trafiksäkerheten, men som har sin anställning eller utbildning i ett annat land, dels har den utbildning som behövs om de föreskrifter och rutiner för funktionskontroll och klargöring som gäller i Sverige, dels att tillämpningen av deras kunskaper i dessa avseenden i praktiken regelbundet följs upp av det ansvariga järnvägsföretaget</t>
  </si>
  <si>
    <t>SE-1285/4</t>
  </si>
  <si>
    <t>Take the necessary measures to ensure in particular that the personnel of the railway companies or their hired contractors who carries out work in Sweden related to traffic safety, but who have their employment or training in another country, have the necessary training on the regulations and procedures for inspection and preparation applicable in Sweden, and that the application of their practical knowledge is regularly monitored by the responsible RU</t>
  </si>
  <si>
    <t>SE-0109/1</t>
  </si>
  <si>
    <t>RJ 2014:01 R1</t>
  </si>
  <si>
    <t>The Swedish Transport Agency is recommended to review the need to apply the rule of green zone working after train, both in general and in direct planning when trains are already on the monitored section (see Sections 2.6.4 and 3.3).</t>
  </si>
  <si>
    <t>SE-0109/2</t>
  </si>
  <si>
    <t>RJ 2014:01 R2</t>
  </si>
  <si>
    <t>The Swedish Transport Agency is recommended to within the framework of its oversight, review whether and how the industry applies the rules regarding when pre-planning and direct planning are to be used and, as necessary, urge industry stakeholders to implement appropriate measures. In that context, the Swedish Transport Agency is recommended to investigate whether the rules are appropriate (see Sections 2.1.2 and 3.2).</t>
  </si>
  <si>
    <t>SE-0109/3</t>
  </si>
  <si>
    <t>The Swedish Transport Agency is recommended to urge all educational/training institutions to reach a consensus on the content of the regulatory framework and how it is to apply to â€˜after trainâ€™, for example (see Sections 2.3.7 and 3.2).</t>
  </si>
  <si>
    <t>SE-0109/4</t>
  </si>
  <si>
    <t>The Swedish Transport Agency is recommended to within the framework of its oversight, conduct follow-up to ensure that the new supplementary training â€“ which was developed for dispatchers who switch from solely working with system H to also working with system M â€“ includes a thorough run-through of the steps that are particularly important when working with system M (see Sections 2.3.7, 2.6.4, and 3.2).</t>
  </si>
  <si>
    <t>SE-0109/5</t>
  </si>
  <si>
    <t>The Swedish Transport Agency and the Swedish Work Environment Authority is recommended to examining the degree to which users of the rules on working plans and risk assessments feel the rules to be appropriate and practical and, based on the results, take appropriate measures (see Section 2.5.3, 2.6.4, and 3.2).</t>
  </si>
  <si>
    <t>SE-984/1</t>
  </si>
  <si>
    <t>Recommendation on review of level crossing standards</t>
  </si>
  <si>
    <t>Transportstyrelsen rekommenderas att tillse att Trafikverket genomför en översyn av plankorsningar så att farliga plankorsningar uppmärksammas och upprättar uppdaterade åtgärdsplaner för att åtgärda plankorsningarna (se avsnitt 2.4.1),(RJ 2011:04 R1),</t>
  </si>
  <si>
    <t>SE-984/2</t>
  </si>
  <si>
    <t>It is recommended that the Swedish Transport Agency ensures that the Swedish Transport Administration reviews all level crossings so that dangerous crossings are noted and updates action plans relating to level crossings (see paragraph 2.4.1) (RJ 2011:04 R1)</t>
  </si>
  <si>
    <t>SE-984/3</t>
  </si>
  <si>
    <t>Recommendation on review of criteria for upgrading of level crossings</t>
  </si>
  <si>
    <t>Transportstyrelsen rekommenderas att tillse att Trafikverket i samarbete med berörda intressenter, exempelvis kommuner, väghållare, systematiskt gör en översyn över de kriterier som legat till grund för fattade beslut om skydd i plankorsningar, upprättar åtgärdsplaner samt åtgärdar upptäckta brister (se avsnitt 2.2.1, 2.2.4 och 3.2.2 ), (RJ 2011:04 R2),</t>
  </si>
  <si>
    <t>SE-984/4</t>
  </si>
  <si>
    <t>It is recommended that the Swedish Transport Agency ensures that the Swedish Transport Administration, in cooperation with other interested parties, such as the municipalities and road maintenance authorities, carries out a systematic review of the criteria on which decisions regarding level crossing protection are taken, establishes an action plan and takes measures to rectify deficiencies detected (see paragraph 2.2.1, 2.2.4 and 3.2.2) (RJ 2011:04 R2)</t>
  </si>
  <si>
    <t>SE-984/5</t>
  </si>
  <si>
    <t>TransportsRecommendation on inspection of level crossings</t>
  </si>
  <si>
    <t>Transportstyrelsen rekommenderas att i sin tillsyn kontrollera att infrastrukturförvaltarna utför besiktningar av de anläggningar som påverkar trafiksäkerhet, att besiktningarna dokumenteras och att vid besiktningarna funna brister åtgärdas brister (se avsnitt 2.2.1, 2.3.2, 2.4.1, och 4.3), (RJ 2011:04 R3).</t>
  </si>
  <si>
    <t>SE-984/6</t>
  </si>
  <si>
    <t>It is recommended that the Swedish Transport Agency as part of it supervisory work, checks that infrastructure managers inspect installations which affect traffic safety, record their findings and take steps to remedy deficiencies found in the course of inspections (see paragraph 2.2.1, 2.3.2, 2.4.1 and 4.3) (RJ 2011:04 R3)</t>
  </si>
  <si>
    <t>SE-2084/1</t>
  </si>
  <si>
    <t>RJ 2014:02 R1</t>
  </si>
  <si>
    <t>The Swedish Transport Authority is recommended to check how Railway Undertakings are working with continuous improvements in respect to deficiencies in safety-critical designs where deviations previously have been noted but not taken care of, for example when a component's expected life cycle is not achieved.</t>
  </si>
  <si>
    <t>SE-2084/2</t>
  </si>
  <si>
    <t>RJ 2014:02 R2</t>
  </si>
  <si>
    <t>The Swedish Transport Authority is recommended to encourage owners / users of locomotives of a similar type and similar uses as Z70, to ensure that safety-critical assemblies and components of these vehicles are subject to periodic examinations in order to find incipient hazardous deficiencies.</t>
  </si>
  <si>
    <t>SE-2065/1</t>
  </si>
  <si>
    <t>The Swedish Transport Agency is recommended to take the following measures. When performing track works it may occur that the contractor has a better knowledge of the premises than the infrastructure manager. It also happens that several levels of subcontractors are used. These factors might affect how local information is transferred and how such measures are documented, which may result in persons performing tasks relating to safety without having the local information needed to be able to perform the work in a safe way. The Swedish Transport Agency is recommended to encourage the Swedish Transport Administration, for example during revision of rules for local information or in other ways, to take these factors into account in order to develop rules and routines that ensure that staff with tasks relating to safety issues has got the local information needed.</t>
  </si>
  <si>
    <t>Accident to persons caused by RS in motion, 03-12-12, Sweden (Sweden)</t>
  </si>
  <si>
    <t>SE-2065/2</t>
  </si>
  <si>
    <t>The Swedish Transport Agency is recommended to ensure that the Swedish Transport Administration investigates the possibility to examine safety critical operations and compliance with rules concerning track works when following up on procurements.</t>
  </si>
  <si>
    <t>SE-2065/3</t>
  </si>
  <si>
    <t>The Swedish Transport Agency is recommended to allocate more resources dedicated to inspections and audits in order to enable more verifications when revising infrastructure managers and railway undertakings.</t>
  </si>
  <si>
    <t>SE-2065/4</t>
  </si>
  <si>
    <t>The Swedish Transport Agency is recommended to encourage an industry-wide database for accidents and near-misses. This database should be run by an organization with adequate tools and sufficient resources to ensure the maintenance of quality. Within the scope of this the Swedish Transport Agency is recommended to investigate the possibilities to enable anonymous reporting.</t>
  </si>
  <si>
    <t>SE-2065/5</t>
  </si>
  <si>
    <t>The Swedish Transport Agency is recommended to follow up the revision (TSJ 2010-1860) that the Agency has earlier performed and the measures taken by the Swedish Transport Administration in order to ensure that the measures deals with the deficiencies reported in chapter 3 (mainly lack of local information, lack of documented risk evaluations, work without protection or work with the wrong type of protection).</t>
  </si>
  <si>
    <t>SE-2065/6</t>
  </si>
  <si>
    <t>The Swedish Transport Agency and the Swedish Work Environment Authority are recommended to increase their collaboration in order to enhance the Swedish Work Environ-ment Authorityâ€™s possibilities to make inspections of track works.</t>
  </si>
  <si>
    <t>SE-459/1</t>
  </si>
  <si>
    <t>Transportstyrelsen rekommenderas att tillse att Infranord säkerställer att maskiners funktion och ri</t>
  </si>
  <si>
    <t>The transport authority is recommended to ensure that Infranord ensures machine performance and drawing ups for alterations or other changes are documented (RJ 2010:02 R1)</t>
  </si>
  <si>
    <t>SE-459/2</t>
  </si>
  <si>
    <t>Transportstyrelsen rekommenderas att tillse att Infranord säkerställer att maskiners funktion och ritningsuppföljningar vid ombyggnation eller andra förändringar dokumenteras (RJ 2010:02 R1)</t>
  </si>
  <si>
    <t>SE-459/3</t>
  </si>
  <si>
    <t>Transportstyrelsen rekommenderas att tillse att Infranord vid egna om- och tillbyggnader eller inkop</t>
  </si>
  <si>
    <t>Transport Authority is recommended to ensure that Infranord at own extensions or connections on machines ensures that risk and impact assessment is carried out (RJ 2010:02 R2)</t>
  </si>
  <si>
    <t>SE-459/4</t>
  </si>
  <si>
    <t>Transportstyrelsen rekommenderas att tillse att Infranord vid egna om- och tillbyggnader eller inkopplingar på maskinindivider säkerställer att risk- och konsekvensanalys utförs (RJ 2010:02 R2),</t>
  </si>
  <si>
    <t>SE-459/5</t>
  </si>
  <si>
    <t>Transportstyrelsen rekommenderas att tillse att Infranord säkerställer reparationshistorik inför årl</t>
  </si>
  <si>
    <t>Transport Authority is recommended to ensure that Infranord ensures repair history for the annual monitoring, machine approval and inspection (RJ2010: 02 R3)</t>
  </si>
  <si>
    <t>SE-459/6</t>
  </si>
  <si>
    <t>Transportstyrelsen rekommenderas att tillse att Infranord säkerställer reparationshistorik inför årlig uppföljning, maskingodkännande och besiktning (RJ2010:02 R3)</t>
  </si>
  <si>
    <t>SE-459/7</t>
  </si>
  <si>
    <t>Transportstyrelsen rekommenderas att överväga att införa ett system för certifiering av auktoriserad</t>
  </si>
  <si>
    <t>Transport Authority is recommended to consider introducing a system for certification of authorized personnel for maintenance and repairs (RJ 2010:02 B4)</t>
  </si>
  <si>
    <t>SE-459/8</t>
  </si>
  <si>
    <t>Transportstyrelsen rekommenderas att överväga att införa ett system för certifiering av auktoriserad personal för underhåll och reparationer (RJ 2010:02 R4)</t>
  </si>
  <si>
    <t>SE-459/9</t>
  </si>
  <si>
    <t>Transportstyrelsen rekommenderas att tillse att Infranord ser över sitt säkerhetsstyrningssystem med</t>
  </si>
  <si>
    <t>Transport Authority is recommended to ensure that Infranord reviewing its safety management with the training of personnel and procedures, and documentation supplied individual machines for communicating between staff (RJ 2010:02 R5)</t>
  </si>
  <si>
    <t>SE-459/10</t>
  </si>
  <si>
    <t>Transportstyrelsen rekommenderas att tillse att Infranord ser över sitt säkerhetsstyrningssystem med utbildning av personal och rutiner samt dokumentation medföljande maskinindivider vid överlämnande personalen emellan (RJ 2010:02 R5)</t>
  </si>
  <si>
    <t>SE-3684/1</t>
  </si>
  <si>
    <t>The Swedish Transport Authority (Transportstyrelsen) is recommended to take action, with the purpose of ensuring that Infrastructure Managers, in their safety management systems, have included rules and procedures that aim to ascertain that damage to signalling equipment, that might occur in the course of works on the permanent way, is identified and properly noted for need of re-pair.</t>
  </si>
  <si>
    <t>SE-2618/1</t>
  </si>
  <si>
    <t>RJ2015:03 R1</t>
  </si>
  <si>
    <t>The Swedish NSA (Transportstyrelsen) is recommended to encourage Infrastructure Managers to develop a more consistent system for regulating how inspections are carried out, after maintenance activities that have impact on traffic safety.</t>
  </si>
  <si>
    <t>SE-2618/2</t>
  </si>
  <si>
    <t>RJ2015:03 R2</t>
  </si>
  <si>
    <t>The NSA is recommended to check, as a part of inspections carried out, that Infrastructure Managers ensure that their contractors and sub-contractors have a system for communicating relevant, vital information between all involved parties.</t>
  </si>
  <si>
    <t>SE-4051/1</t>
  </si>
  <si>
    <t>Ahus-Alstätter Eisenbahn AG is recommended to ascertain that any maintenance carried out on vehicles, for which they are the entity in charge of maintenance, is carried out in accordance with the pertinent instructions and, if the need is identified, highlight any particular hazards that may be associated with maintenance operations on vehicles or their subsystems (see section 3.2).</t>
  </si>
  <si>
    <t>SE-4881/1</t>
  </si>
  <si>
    <t>RJ 2016:01 R1</t>
  </si>
  <si>
    <t>Safety recommendations The Swedish Transport Agency, possibly in conjunction with the Swedish Work Environment Authority, is recommended to ascertain, that the Infrastructure Managers perform a review of their Safety Management Systems, in order to assure, that these systems reach a higher level of efficiency pertaining to their influence related to overall safety in connection with work on the tracks. The review should address particularly the following items: ï‚· The design of the relevant rules, especially with an aim to make them clear and easy to understand and use, to the persons who are expected to use them. ï‚· The efficiency of the system of education of track workers; all railroad workers should have the same understanding of how the rules should be used and why they exist. ï‚· The system of following-up of rule adherence in actual practice. ï‚· The system of feedback regarding how the rules actually relate to the real environment in which they should be applied. A reliable procedure to collect information about deviations, deficiencies and suggestions for improvements should exist, which includes personnel in all levels of contracting (contractors, sub-contractors etc). ï‚· The greater perspective that needs to exist in all planning of safety and security of any work in the track environment. E.g. how risks related to an activity are assessed, having in mind that preparatory and finishing work must be included. ï‚· The on-site responsibility for safety and security in connection with activities in the track environment, should be given to a designated person/function in the working team, and it should be clearly pronounced to include all activities carried out in the connection with work in an area with railroad tracks, i.e. what goes on outside the track area proper should also be considered from a safety perspective.</t>
  </si>
  <si>
    <t>SE-5173/1</t>
  </si>
  <si>
    <t>RJ 2017:03 R1</t>
  </si>
  <si>
    <t>The Swedish Transport Administration is recommended to with regard to the controls that a traffic controller is obliged to perform when allowing a train to pass a signal at â€œdangerâ€, analyze if the conditions for safe operations are fully met when allowing the traffic controller to choose the control method and to use only one method.</t>
  </si>
  <si>
    <t>SE-5173/2</t>
  </si>
  <si>
    <t>RJ 2017:03 R2</t>
  </si>
  <si>
    <t>The Swedish Transport Administration is recommended to review if there is need for clarification, or additional educational efforts, regarding how the traffic controller shall review their documentation, what the review should include and which status and relation to each other the different paper forms and electronical systems have.</t>
  </si>
  <si>
    <t>SE-5173/3</t>
  </si>
  <si>
    <t>The Swedish Transport Agency is recommended to within the framework of the agencyâ€™s supervisory efforts review how the Swedish Transport Administration through its safety management system, handles the findings highlighted in this report regarding the understanding of, education in, functionality of and follow up on the planning and documentation system STEG and its relation to other traffic control tools (electronical systems and paper forms).</t>
  </si>
  <si>
    <t>SE-5174/1</t>
  </si>
  <si>
    <t>RJ 2017:04 R1</t>
  </si>
  <si>
    <t>The Swedish Transport Administration is recommended to evaluate, if the upper speed limit that is associated with the safety precaution â€œsighting speedâ€, should be one of the parameters considered when the automatic train protection system is adjusted, before a â€œmovement with assisting locomotivesâ€ is allowed to begin.</t>
  </si>
  <si>
    <t>SE-5194/1</t>
  </si>
  <si>
    <t>RJ 2017:05 R1</t>
  </si>
  <si>
    <t>Railcare T is recommended to in addition to the measures already taken, consider if it is possible to improve the physical working conditions regarding the visibility, lighting and sound conditions for the driver in this type of locomotive.</t>
  </si>
  <si>
    <t>SE-5194/2</t>
  </si>
  <si>
    <t>RJ 2017:05 R2</t>
  </si>
  <si>
    <t>The Swedish Transport Agency, possibly in conjunction with the Swedish Work Environment Authority, is recommended to within the framework of the agencyâ€™s supervisory efforts review how other railway undertakings handle the visibility, lighting and sound conditions in older types of locomotives.</t>
  </si>
  <si>
    <t>SE-5513/1</t>
  </si>
  <si>
    <t>RJ 2019:02 R1</t>
  </si>
  <si>
    <t>Green Cargo is recommended to test the coil springs on type V5 locomotive at eg. periodic maintenance to ensure proper functionality.</t>
  </si>
  <si>
    <t>SE-5513/2</t>
  </si>
  <si>
    <t>RJ 2019:02 R2</t>
  </si>
  <si>
    <t>Green Cargo is recommended to evaluate whether the V5 locomotive, after modification with angled shock absorbers, receives sufficient vertical damping capability, in relation to the original design and the locomotiveâ€™s suspension.</t>
  </si>
  <si>
    <t>SE-5513/3</t>
  </si>
  <si>
    <t>RJ 2019:02 R3</t>
  </si>
  <si>
    <t>Green Cargo is recommended to review what conditions and values that are used in simulations and test runs in the event of changes to vehicles to ensure that also less favourable conditions are tested.</t>
  </si>
  <si>
    <t>SE-5513/4</t>
  </si>
  <si>
    <t>RJ 2019:02 R4</t>
  </si>
  <si>
    <t>The Swedish Transport Administration is recommended to evaluate whether the current regulations and applied routines for track errors, inspection notes and action times, based on current regulations for moving dynamics of railway vehicles, takes care of the identified risks resulting from the combination of the moving dynamics of three-axle locomotives with short wheelbase and the type of track errors on the site.</t>
  </si>
  <si>
    <t>SE-5513/5</t>
  </si>
  <si>
    <t>RJ 2019:02 R5</t>
  </si>
  <si>
    <t>The Swedish Transport Administration is recommended to review how the routines for disconnecting traction current function in different situations.</t>
  </si>
  <si>
    <t>SE-5513/6</t>
  </si>
  <si>
    <t>RJ 2019:02 R6</t>
  </si>
  <si>
    <t>The Swedish Transport Agency is recommended to review the extent to which the approval process ensures that the applicant has ensured that the effect of the change has also been tested under less favourable conditions.</t>
  </si>
  <si>
    <t>SE-5513/7</t>
  </si>
  <si>
    <t>RJ 2019:02 R7</t>
  </si>
  <si>
    <t>SOS Alarm Sverige AB is recommended, in dialogue with the Swedish Transport Administration, to improve the support for SOS operators to handle a request from rescue services to stop railway traffic and to disconnect traction current.</t>
  </si>
  <si>
    <t>SE-5513/8</t>
  </si>
  <si>
    <t>RJ 2019:02 R8</t>
  </si>
  <si>
    <t>The Fire and rescue service Dala Mitt is recommended, in cooperation with the Swedish Transport Administration, to take actions to strengthen the ability to quickly isolate and earth catenary lines in railway areas within their area of operation.</t>
  </si>
  <si>
    <t>SE-5513/9</t>
  </si>
  <si>
    <t>RJ 2019:02 R9</t>
  </si>
  <si>
    <t>The Swedish Civil Contingencies Agency is recommended, in consultation with representatives from mainly the Swedish Transport Administration and fire and rescue services, to survey local conditions to quickly isolate and earth catenary lines in railway areas at rescue operations in Sweden.</t>
  </si>
  <si>
    <t>SE-5513/10</t>
  </si>
  <si>
    <t>RJ 2019:02 R10</t>
  </si>
  <si>
    <t>The Swedish Civil Contingencies Agency is recommended, in consultation with representatives from mainly the Swedish Transport Administration and fire and rescue services, to based on the survey, if necessary, produce guidance to municipal rescue services and the Swedish Transport Administration when developing local solutions for isolation and earthing catenary lines in railway areas.</t>
  </si>
  <si>
    <t>SE-5597/1</t>
  </si>
  <si>
    <t>RJ 2018:01 R1</t>
  </si>
  <si>
    <t>The Swedish Transport Administration is recommended to chart sites on roads in road category 5 where multiple concurrent factors could make it called for increasing the category level. (RJ 2018:01 R1)</t>
  </si>
  <si>
    <t>SE-5597/2</t>
  </si>
  <si>
    <t>RJ 2018:01 R2</t>
  </si>
  <si>
    <t>The Swedish Transport Administration is recommended to reveiw how and in what way the requirements that are put forward to the subcontractors in â€Standardbeskrivning för Basunderhåll Vägâ€ can be considered to handle severely slippery conditions in intersections on roads in road category 5. (RJ 2018:01 R2)</t>
  </si>
  <si>
    <t>SE-5597/3</t>
  </si>
  <si>
    <t>RJ 2018:01 R3</t>
  </si>
  <si>
    <t>The Swedish Transport Administration is recommended to consider if the regular heavy lumber traffic on county road 755 and 759 results in the fulfilment of the traffic related requirement â€road vehicles with particular riskâ€, which would in turn lead to an upgrade of the choice of protection at the level crossing. (RJ 2018:01 R3)</t>
  </si>
  <si>
    <t>SE-5597/4</t>
  </si>
  <si>
    <t>RJ 2018:01 R4</t>
  </si>
  <si>
    <t>The Swedish Transport Administration is recommended to consider if the area of use for obstacle detections systems can be expanded to also include other railway crossing types with other specific risks, other than high speed. (RJ 2018:01 R4)</t>
  </si>
  <si>
    <t>SE-5597/5</t>
  </si>
  <si>
    <t>RJ 2018:01 R5</t>
  </si>
  <si>
    <t>Leif Löfgrens Åkeri AB is recommended to in an appropriate way ensure that the employees at the company receive information on the proposed route before starting an assignment, regardless if a vehicle is equipped with a computer terminal or not. (RJ 2018:01 R5)</t>
  </si>
  <si>
    <t>SE-5907/1</t>
  </si>
  <si>
    <t>RJ 2019:01 R1</t>
  </si>
  <si>
    <t>The Swedish Transport Agency, in conjunction with the Swedish Work Environment Authority and Railway undertakings, is recommended to examine how a safer design on existing wagons could be achieved.</t>
  </si>
  <si>
    <t>SE-5907/2</t>
  </si>
  <si>
    <t>RJ 2019:01 R2</t>
  </si>
  <si>
    <t>The Swedish Transport Agency, in conjunction with the Swedish Work Environment Authority and Railway undertakings, is recommended to consider how the Swedish internal regulations can be improved from a safety point of view in terms of design, placement and use of handrails and shunterâ€™s step for shunting with remotely driven locomotives. Similarly, which initiatives that may need to be taken at European level should be considered.</t>
  </si>
  <si>
    <t>SE-5907/3</t>
  </si>
  <si>
    <t>RJ 2019:01 R3</t>
  </si>
  <si>
    <t>The Swedish Transport Administration and Infranord is recommended to jointly follow up and evaluate how they can ensure that it is safe to carry out shunting even under particularly difficult weather conditions. In this context, there may be reasons to follow up and evaluate, for example, routines for dialogue, planning, prioritization between assignments, resource access and notification when there is a risk that requirements cannot be met.</t>
  </si>
  <si>
    <t>SE-6053/1</t>
  </si>
  <si>
    <t>RJ 2020:03 R1</t>
  </si>
  <si>
    <t>The Swedish Transport Administration is recommended toreview whether the basis for risk analyses for change in signal systems needs to be expanded with regard to (see section 3.4): - Special conditions and changes regarding signal technology and design rules, - Deficiencies and experience from previous signal design, security review and commissioning.</t>
  </si>
  <si>
    <t>SE-6053/2</t>
  </si>
  <si>
    <t>Trafikverket rekommenderas att se över om underlagen för riskanalyser inför förändring i signal-anläggningar behöver utökas med hänsyn till (se avsnitt 3.4): - Särskilda förutsättningar och förändringar avseende signalteknik och projekteringsregler, - Brister och erfarenheter från tidigare signalprojektering, säkerhets-granskning och ibruktagning. (RJ 2020:03 R1)</t>
  </si>
  <si>
    <t>REC-000867</t>
  </si>
  <si>
    <t>SE-6053/3</t>
  </si>
  <si>
    <t>RJ 2020:03 R2</t>
  </si>
  <si>
    <t>The Swedish Transport Administration is recommended to review how safety management system provides support for individual deficiencies identified during planning or safety reviews also to be analysed from a broader risk perspective (see section 3.3).</t>
  </si>
  <si>
    <t>SE-6053/4</t>
  </si>
  <si>
    <t>Trafikverket rekommenderas att se över hur säkerhetsstyrningen ger stöd för att enskilda brister som identifieras under projektering eller säkerhetsgranskning också analyseras ur ett bredare riskperspektiv (se avsnitt 3.3). (RJ 2020:03 R2)</t>
  </si>
  <si>
    <t>REC-000870</t>
  </si>
  <si>
    <t>SE-6053/5</t>
  </si>
  <si>
    <t>RJ 2020:03 R3</t>
  </si>
  <si>
    <t>The Swedish Transport Administration is recommended to review how training and information for projectors, safety examiners and commissioning inspectors can be improved based on past experience and changes in technology and regulations (see section 3.5).</t>
  </si>
  <si>
    <t>SE-6053/6</t>
  </si>
  <si>
    <t>Trafikverket rekommenderas att se över hur utbildning och information till projektörer, säkerhetsgranskare och ibruktagandebesiktningsmän kan förbättras baserat på tidigare erfarenheter och förändringar i teknik och regelverk (se avsnitt 3.5). (RJ 2020:03 R3)</t>
  </si>
  <si>
    <t>SE-5922/1</t>
  </si>
  <si>
    <t>RJ 2020:01 R1</t>
  </si>
  <si>
    <t>Transdev Sverige AB is recommended to in an appropriate way, ensure that train drivers understand when to send an emergency message and how they go about formulating and sending such a message.</t>
  </si>
  <si>
    <t>SE-5922/2</t>
  </si>
  <si>
    <t>RJ 2020:01 R2</t>
  </si>
  <si>
    <t>The Swedish Transport Administration is recommended to perform a review of the regulation regarding railway traffic (TTJ) with the purpose of in a more clear way regulating how information shall be exchanged between e.g. a signaller and a shunter.</t>
  </si>
  <si>
    <t>SE-5922/3</t>
  </si>
  <si>
    <t>RJ 2020:01 R3</t>
  </si>
  <si>
    <t>Investigate if shunting operations in situations such as in this one, i.e. when shunting movements can come in conflict with passenger trains, actually are carried out in a sufficiently safe manner and, if it is motivated from a safety standpoint, suggest appropriate measures.</t>
  </si>
  <si>
    <t>SE-5922/4</t>
  </si>
  <si>
    <t>RJ 2020:01 R4</t>
  </si>
  <si>
    <t>Perform a review of both the paper and computer-based version of the checklist for accident, incident and discrepancy so that both versions can provide a uniform and equally clear support, regardless of which version that is used.</t>
  </si>
  <si>
    <t>SE-5922/5</t>
  </si>
  <si>
    <t>RJ 2020:01 R5</t>
  </si>
  <si>
    <t>In an appropriate way strengthen the local signallers preparedness and capability to handle serious and rare emergency events, e.g. by conducting additional training sessions, improving technical support systems or clarifying what support a signaller can rely on from other available personnel.</t>
  </si>
  <si>
    <t>SE-6266/1</t>
  </si>
  <si>
    <t>RJ 2021:01 R1</t>
  </si>
  <si>
    <t>The Swedish Transport Agency is recommended to:
• Within the supervisory framework audit how the Swedish Transport Administration handles the risk that identified traffic safety deficiencies that have led to decided measures but conse_x0002_quently to the measures not being carried out. (RJ 2021:01 R1)</t>
  </si>
  <si>
    <t>SE-6266/2</t>
  </si>
  <si>
    <t>RJ 2021:01 R2</t>
  </si>
  <si>
    <t>The Swedish Transport Agency is recommended to:
•  Within the supervisory framework audit how the Swedish Transport Administration, as the railway infrastructure manager, handles the risk posed by special vehicles at level crossings. (RJ 2021:01 R2)</t>
  </si>
  <si>
    <t>SE-6266/3</t>
  </si>
  <si>
    <t>RJ 2021:01 R3</t>
  </si>
  <si>
    <t>The Swedish Transport Agency is recommended to:
• Within the supervisory framework audit how the Swedish Transport Administration via their Safety Management System follow-up the ongoing work to facilitate the possibility to equip additional level crossings with obstacle detection and that the work is progressing in a way that is sufficiently satisfactory from a traffic safety standpoint. (RJ 2021:01 R3)</t>
  </si>
  <si>
    <t>SE-6266/4</t>
  </si>
  <si>
    <t>RJ 2021:01 R4</t>
  </si>
  <si>
    <t>The Swedish Transport Administration is recommended to:
• Investigate whether there are other traffic safety measures, in addition to the one identified in the investigation, which were decided on before the Swedish Transport Administration was formed, but that were not carried out or otherwise followed up on after the Swedish Transport Administration took over the operation. (RJ 2021:01 R4)</t>
  </si>
  <si>
    <t>SE-6266/5</t>
  </si>
  <si>
    <t>RJ 2021:01 R5</t>
  </si>
  <si>
    <t>The Swedish Transport Administration is recommended to:
• In consultation with private road managers perform a review of how the winter maintenance of level crossings on private roads is currently performed, with the purpose of specifying what parts that the Swedish Transport Administration’s entrepreneurs maintain and what parts that the private road manager main_x0002_tains. The review should include how the winter maintenance could be performed in a safe manner and how the need of specific preparations for special transports is communicated. If necessary, it could also be relevant to review the corresponding 
relationship with municipal road managers. (RJ 2021:01 R5)</t>
  </si>
  <si>
    <t>SE-6266/6</t>
  </si>
  <si>
    <t>RJ 2021:01 R6</t>
  </si>
  <si>
    <t>The Swedish Transport Administration is recommended to:
• Perform a complete review of the way that dangerous crests at level crossings are measured, identified, analysed and risk assessed, and if needed take corrective action. The review should include the measuring of the level crossings vertical 
profile, how the assessment criteria is defined and documented and how the passage of a vehicle is analysed in order to ascertain the risk of getting stuck on a level crossing. (RJ 2021:01 R6)</t>
  </si>
  <si>
    <t>NL-999/1</t>
  </si>
  <si>
    <t>To the Minister of Transport, Public Works and Water Management: a) Call the rail companies to accou</t>
  </si>
  <si>
    <t>To the Minister of Transport, Public Works and Water Management: a) Call the rail companies to account, in accordance with the Railways Act, for their individual and shared responsibility for rail traffic safety. This can be achieved by effective supervision and stringent enforcement of their duty of care for safety. In addition, require the rail companies to demonstrate that they have reduced the safety risks to ALARP level. b) Achieve adequate control of the goods-train derailment risk by: â€¢ arranging for the direction of the consultations and the decision-making on the implementation of control measures; â€¢ imposing specific targets for the reduction of the derailment risk.</t>
  </si>
  <si>
    <t>NL-999/2</t>
  </si>
  <si>
    <t>To Railion, ProRail and NS Reizigers: a) Extend the safety management to the risks to the relevant c</t>
  </si>
  <si>
    <t>To Railion, ProRail and NS Reizigers: a) Extend the safety management to the risks to the relevant companyâ€™s operations that are caused by other companies and/or require a joint approach. b) Make sure that the available technical options for defect and derailment detection are used to reduce the goods train derailment risk to ALARP level.</t>
  </si>
  <si>
    <t>NL-999/3</t>
  </si>
  <si>
    <t>To Xpedys: Evaluate the periodic maintenance of the axle boxes of the series of wagons involved in t</t>
  </si>
  <si>
    <t>To Xpedys: Evaluate the periodic maintenance of the axle boxes of the series of wagons involved in the Muiderpoort derailment, with due regard for the chipping damage encountered in one of the bearings of the derailed wagons.</t>
  </si>
  <si>
    <t>NL-999/4</t>
  </si>
  <si>
    <t>To Railion and ProRail: Carry out an investigation of the current-flow damage to the axle box bearin</t>
  </si>
  <si>
    <t>To Railion and ProRail: Carry out an investigation of the current-flow damage to the axle box bearings observed with the wagons involved in the Muiderpoort derailment and make sure that the necessary measures are implemented to prevent this form of damage.</t>
  </si>
  <si>
    <t>NL-300/1</t>
  </si>
  <si>
    <t>ensure that regional railway projects such as RandstadRail be placed within the operative scope of t</t>
  </si>
  <si>
    <t>ensure that regional railway projects such as RandstadRail be placed within the operative scope of the Railways Act (augment Section 94 of the said Act) This would mainly concern linking the legislation to the desired allocation of responsibilities and reviewing the role of the Minister of Transport, Public Works and Water Management in that regard.</t>
  </si>
  <si>
    <t>NL-300/2</t>
  </si>
  <si>
    <t>establish the Normative Document for Light Rail Safety as binding in law and thereby make its use as</t>
  </si>
  <si>
    <t>establish the Normative Document for Light Rail Safety as binding in law and thereby make its use as an instrument to ensure safety mandatory. This would involve establishing which safety related stipulations would in any case be mandatory for projects like RandstadRail.</t>
  </si>
  <si>
    <t>NL-168/1</t>
  </si>
  <si>
    <t>The Minister of Transport, Public Works and Water Management, ProRail, the operators and the Transpo</t>
  </si>
  <si>
    <t>The Minister of Transport, Public Works and Water Management, ProRail, the operators and the Transport and Water Management Inspectorate are recommended to supervise implementation of the â€˜STS reduction planâ€™, of the STS working group, by critically monitoring and evaluating the progress and results, and working on a renewed European ATB system for the long term, whereby the speed of trains is continuously and automatically controlled.</t>
  </si>
  <si>
    <t>NL-168/2</t>
  </si>
  <si>
    <t>The Minister of Transport, Public Works and Water Management is recommended, to that end, to draw up</t>
  </si>
  <si>
    <t>The Minister of Transport, Public Works and Water Management is recommended, to that end, to draw up a concrete plan in which a timetable is included, which lays down the implementation of the continuous automatic speed control.</t>
  </si>
  <si>
    <t>NL-168/3</t>
  </si>
  <si>
    <t>ProRail and the operators are recommended to take up and put into practice their own responsibility</t>
  </si>
  <si>
    <t>ProRail and the operators are recommended to take up and put into practice their own responsibility for safety by demonstrating that they operate as safety as possible (ALARP) within the possible safety limitations of the railway system (ATB, visibility of signals, rail characteristics,etc.). However, they should nonetheless work progressively and creatively on solving these problems. In this respect, they should not in advance exclude drastic measures (e.g. reducing train frequencies), and communicating clearly on these matters with the Ministry of Transport, Public Works and Water Management, as the body responsible for the system.</t>
  </si>
  <si>
    <t>NL-168/4</t>
  </si>
  <si>
    <t>The Minister of Transport, Public Works and Water Management is recommended to improve theeffectiven</t>
  </si>
  <si>
    <t>The Minister of Transport, Public Works and Water Management is recommended to improve theeffectiveness of guidance and inspection of ProRail and the operators, under all circumstances by: formulating clear, company-specific safety targets (for example concrete reduction in number of STS passages), which are â€˜compulsoryâ€™ for the parties involved. - explicitly basing the concessions, safety certificates and supervision on the assessment of the quality of application in daily practice of the safety management system of the parties involved - undertaking an evaluation of the degree to which the safety vertificate has contributed to the quality of the safety management and safety culture of the operators. - Altering the measurement of train ponctuality in suvh a way that in determining punctuality of rail traffic, only the arrival time of trains is counted, and not, as is currently the case, also the departure time.</t>
  </si>
  <si>
    <t>NL-161/1</t>
  </si>
  <si>
    <t>for the accident on 6th June : 1. Voestalpine Railpro is advised to develop the maintenance system f</t>
  </si>
  <si>
    <t>for the accident on 6th June : 1. Voestalpine Railpro is advised to develop the maintenance system for its railway equipment in such a way as to guarantee that the equipment continues to fulfil the applicable requirements. This includes a complete and clear registration of the state of repair of each vehicle.</t>
  </si>
  <si>
    <t>NL-161/2</t>
  </si>
  <si>
    <t>For the accident on 6th june : 2. The Inspectorate for Transport, Public Works and Water Management</t>
  </si>
  <si>
    <t>For the accident on 6th june : 2. The Inspectorate for Transport, Public Works and Water Management is advised to implement, as a priority, the plan described in the Second Framework Policy Document on Rail Safety in the Netherlands to maintain strict supervision of the maintenance and maintenance processes for goods equipment. In particular, the Safety Board recommends an improvement in the system of technical checks and regular maintenance which ensures that deficiencies such as the lack of wheel markings can no longer occur.</t>
  </si>
  <si>
    <t>NL-161/3</t>
  </si>
  <si>
    <t>for the accident on 10th June : 3. ProRail is advised to ensure that the safety management system is</t>
  </si>
  <si>
    <t>for the accident on 10th June : 3. ProRail is advised to ensure that the safety management system is implemented in a way that guarantees the safety of the daily work processes used by ProRail and the contractors. On the basis of the investigation at hand, the Safety Board particularly recommends that:- rail safety is demonstrably included in the decision-making process when dealing with calamities. -- the safety of the track is explicitly assessed, communicated and recorded whenever responsibility for the infrastructure is transferred.- - the SMS aspect of â€˜quality, control, communication and implementation of technical and general safety regulationsâ€™ is adapted and executed in such a way that unclear and outdated regulations (can) no longer apply - - the Railways Emergency Plan is implemented and communicated in such a way that it is clear to all the parties involved in calamities which responsibilities and authorities apply in the situation that has arisen (depending on the level of scaling up).</t>
  </si>
  <si>
    <t>NL-161/4</t>
  </si>
  <si>
    <t>For the accident on 10th June : 4. The Inspectorate for Transport, Public Works and Water Management</t>
  </si>
  <si>
    <t>For the accident on 10th June : 4. The Inspectorate for Transport, Public Works and Water Management is advised to assess the operation of ProRailâ€™s safety management system in practice.</t>
  </si>
  <si>
    <t>NL-161/5</t>
  </si>
  <si>
    <t>for the accident on 15th August : We recommend that NS Reizigers ensure that when a new or modified</t>
  </si>
  <si>
    <t>for the accident on 15th August : We recommend that NS Reizigers ensure that when a new or modified train is introduced, the evaluation of the risks is based on the actual state of the track and on scientifically reliable practical tests/measurements (and not just on unsubstantiated or insufficiently substantiated simulation results).</t>
  </si>
  <si>
    <t>NL-161/6</t>
  </si>
  <si>
    <t>for the accident on 15th August : We recommend that ProRail draw up a national list of all the place</t>
  </si>
  <si>
    <t>for the accident on 15th August : We recommend that ProRail draw up a national list of all the places in the railway network that do not comply with current design requirements and make transparent decisions about the way in which these shortcomings are to be dealt with. ProRail must also ensure that shortcomings such as the actual state of the track are incorporated into admission tests. Especially important in this respect is data on the bend radii and on the straight sections between bends.</t>
  </si>
  <si>
    <t>NL-161/7</t>
  </si>
  <si>
    <t>for the accident on 15th August : We recommend that the Transport and Water Management Inspectorate</t>
  </si>
  <si>
    <t>for the accident on 15th August : We recommend that the Transport and Water Management Inspectorate refrain from making official statements about specific admissions if a statement is not required by law. However, we do recommend that the Inspectorate come to a general opinion about the equipment admission procedures used by transport providers and notified bodies, and in particular about the soundness of the basic principles and investigation methods used.</t>
  </si>
  <si>
    <t>NL-1001/1</t>
  </si>
  <si>
    <t>Passende beheersmaatregelen</t>
  </si>
  <si>
    <t>Zorg voor passende maatregelen om de veiligheidsrisicoâ€™s die aan de exploitatie van het metrovervoer zijn verbonden afdoende te kunnen beheersen. Bewerkstellig dit door structureel en systematisch de risicoâ€™s te inventariseren en te evalueren. Doe dit in elk geval bij incidenten, bij wijzigingen als gevolg van de implementatie van vernieuwingsprojecten of renovatie, en bij wijzigingen in de organisatie, contractafspraken en de begroting. Kijk hierbij ook steeds naar de mogelijke invloed van systeemwijzigingen op samengestelde risicoâ€™s. Maak in ieder geval hierbij ook een nieuwe en transparante beoordeling van de risicoâ€™s die uit dit onderzoek naar voren gekomen zijn, zoals het blijven gebruiken van de huidige metrotreinen (van met name het type M2/M3), gladheid en het blokkerend remmen bij een ZUB-ingreep.</t>
  </si>
  <si>
    <t>NL-1001/2</t>
  </si>
  <si>
    <t>To take the appropriate measures in order to manage safety risks associated with the effective operation of the subway. To accomplish this through structural and systematic action to identify and evaluate risks. This refers to incidents, with changes resulting from the implementation of new projects of renewal and changes in the organization, the contract agreements and the budget. Special attention has to be given to the potential impact of system changes due to compound risks. To proceed also to a new and transparent assessment of risks that have emerged from this research, such as the continued use of the existing subway trains (in particular of type M2 / M3), the smooth operation and the blocking of brakes in ZUB operations.</t>
  </si>
  <si>
    <t>NL-1001/3</t>
  </si>
  <si>
    <t>Safe Haven principe</t>
  </si>
  <si>
    <t>Hanteer het strikte â€˜safe havenâ€™ principe (â€œtrein mag een station pas verlaten indien zeker is dat het volgende station vrij isâ€) indien en zolang de doorstroming in de tunnel verstoord is.</t>
  </si>
  <si>
    <t>NL-1001/4</t>
  </si>
  <si>
    <t>To strictly apply the 'safe haven' principle ("trains shall not leave a station, unless it is sure that the next station is free"), if and as long as the flow in the tunnel is disturbed.</t>
  </si>
  <si>
    <t>NL-1001/5</t>
  </si>
  <si>
    <t>Minimum veiligheidseisen</t>
  </si>
  <si>
    <t>Leg in de concessie vast wat de concrete minimum veiligheidseisen zijn. Spreek met de concessiehouder af dat deze periodiek rapporteert over de wijze waarop hij aan deze eisen voldoet en borg dat hier actief op wordt toegezien. Voor voorbeelden van dergelijke veiligheidseisen wordt verwezen naar de Derde kadernota railveiligheid, waarin dergelijke eisen voor de hoofdspoorwegen staan vermeld. Een voorbeeld van een concrete eis is het maximum toelaatbare aantal gewonden/doden per reizigerskilometer.</t>
  </si>
  <si>
    <t>NL-1001/6</t>
  </si>
  <si>
    <t>To integrate the minimum safety requirements into the set of rules. To discuss with the concessionary on periodic reports about the fulfilment of these requirements and guarantees which have to be monitored. For example, these safety requirements will be included in the third railway safety rules, which contain similar requirements for the main railways. An example of such a requirement is the maximum number of injuries/deaths per passenger kilometer tolerated.</t>
  </si>
  <si>
    <t>NL-1000/1</t>
  </si>
  <si>
    <t>ProRail (IM) - Take full responsibility for the safety of your own projects, including work that has</t>
  </si>
  <si>
    <t>ProRail (IM) - Take full responsibility for the safety of your own projects, including work that has been outsourced.</t>
  </si>
  <si>
    <t>NL-1000/2</t>
  </si>
  <si>
    <t>Netherlands Association for Railway Regulations and Documentation (VSD) - Ensure that the sector reg</t>
  </si>
  <si>
    <t>Netherlands Association for Railway Regulations and Documentation (VSD) - Ensure that the sector regulations concerning passengers travelling in the cabin are tightened.</t>
  </si>
  <si>
    <t>NL-1000/3</t>
  </si>
  <si>
    <t>railAlert Foundation - Ensure that the issue of â€˜transporting staff/material/equipmentâ€™ becomes</t>
  </si>
  <si>
    <t>railAlert Foundation - Ensure that the issue of â€˜transporting staff/material/equipmentâ€™ becomes an integral part of sector regulations for safety at work when working on the railways (Safety at Work Standards Framework, NVW, and the Safety at Work Regulations, VVW).</t>
  </si>
  <si>
    <t>NL-1000/4</t>
  </si>
  <si>
    <t>ProRail (IM) - Ensure that the rules relating to the application of uncommon signals and signs (such</t>
  </si>
  <si>
    <t>ProRail (IM) - Ensure that the rules relating to the application of uncommon signals and signs (such as the approach markers) are tightened.</t>
  </si>
  <si>
    <t>NL-1413/1</t>
  </si>
  <si>
    <t>Prevent trains from approaching yellow and red signals - Ensure conflict-free scheduling.</t>
  </si>
  <si>
    <t>Ensure conflict-free scheduling, applying as a minimum requirement consistent compliance with the ProRail planning standards. In addition, perform systematic risk analyses to formulate measures - exceeding those set out in the planning standards â€“ to ensure the safest possible schedule.</t>
  </si>
  <si>
    <t>NL-1413/2</t>
  </si>
  <si>
    <t>Prevent trains from approaching yellow and red signals - Ensure rail traffic is kept free of conflict during both scheduling and rail operations.</t>
  </si>
  <si>
    <t>Ensure rail traffic is kept free of conflict during both scheduling and rail operations. This includes reviewing whether the schedule provided by the transport operators meets the planning standards, as well as identifying and resolving conflicts arising during rail operations in a reliable manner.</t>
  </si>
  <si>
    <t>NL-1413/3</t>
  </si>
  <si>
    <t>Prevent trains from approaching yellow and red signals - Focus on continuously reducing the number of conflicts during the actual operation of the timetable.</t>
  </si>
  <si>
    <t>Focus on continuously reducing the number of conflicts during the actual operation of the timetable.</t>
  </si>
  <si>
    <t>NL-1413/4</t>
  </si>
  <si>
    <t>Prevent trains from driving past as red signal - Prevent train drivers from from passing a red signal whilst not noticing this.</t>
  </si>
  <si>
    <t>Prevent train drivers from from passing a red signal whilst not noticing this, by: a. implementing a system that issues a warning immediately when a train approaches or passes a red signal; b. employing more specific procedures in respect of a train driverâ€™s conduct after passing a yellow signal.</t>
  </si>
  <si>
    <t>NL-1413/5</t>
  </si>
  <si>
    <t>Prevent trains from colliding after a train has passed a red signal - Ensure measures are in place: a. that warn signallers if a train drives past a red signal; b. to promptly switch signals to red for approaching or overtaking trains, if a train has driven passed a red signal.</t>
  </si>
  <si>
    <t>Ensure measures are in place: a. that warn signallers if a train drives past a red signal; b. to promptly switch signals to red for approaching or overtaking trains, if a train has driven passed a red signal.</t>
  </si>
  <si>
    <t>NL-1413/6</t>
  </si>
  <si>
    <t>Prevent injury in the event of a collision - Incorporate the crashworthiness of rolling stock in the safety management system.</t>
  </si>
  <si>
    <t>Incorporate the crashworthiness of rolling stock in the safety management system, such that it is taken into account when considering the purchase or modification of trains, and to ensure that reasonably practicable improvements regarding safety will be implemented.</t>
  </si>
  <si>
    <t>NL-1413/7</t>
  </si>
  <si>
    <t>Prevent injury in the event of a collision - a. Incorporate the knowledge that is now available on interior crashworthiness in the passenger train admission requirements. b. At the same time expedite the further implementation of European regulations in this area. c. Ensure that re-ordered trains meet the requirements for newly built trains prevailing at the time the order is placed.</t>
  </si>
  <si>
    <t>a. Incorporate the knowledge that is now available on interior crashworthiness in the passenger train admission requirements. b. At the same time expedite the further implementation of European regulations in this area. c. Ensure that re-ordered trains meet the requirements for newly built trains prevailing at the time the order is placed.</t>
  </si>
  <si>
    <t>NL-1413/8</t>
  </si>
  <si>
    <t>Prevent injury in the event of a collision - Perform an additional investigation (in respect of both the train structure and the interior) and incorporate the lessons learned from this accident in future train designs.</t>
  </si>
  <si>
    <t>Perform an additional investigation (in respect of both the train structure and the interior) and incorporate the lessons learned from this accident in future train designs.</t>
  </si>
  <si>
    <t>NL-869/1</t>
  </si>
  <si>
    <t>Undertake joint adequate actions for the suitable control of the SPAD issue in both the short and long term</t>
  </si>
  <si>
    <t>Undertake joint adequate actions for the suitable control of the SPAD issue in both the short and long term. Begin by identifying all potential measures focused on the reduction of the number of signals set at danger, the prevention of SPADs and the prevention of collisions due to SPADs. Then implement these measures unless specific measures have demonstrably unreasonable consequences.</t>
  </si>
  <si>
    <t>NL-869/2</t>
  </si>
  <si>
    <t>Develop a (technical or organisational) system within the near future which assigns the power to make a decision on the train driverâ€™s continuation of the journey following an intervention by the dead manâ€™s system to a functionary other than the driver.</t>
  </si>
  <si>
    <t>NL-869/3</t>
  </si>
  <si>
    <t>Make sure, as the party bearing the responsibility for the system, that the railway companies assume their responsibility for the adequate control of the SPAD issue in the short and long term.</t>
  </si>
  <si>
    <t>NL-869/4</t>
  </si>
  <si>
    <t>Within the next twelve months, specify which blocks of tracks, yards and rolling stock shall be equipped with ERTMS together with the associated timeframes, and specify which measures shall be implemented on blocks of track and yards that will not be equipped with ERTMS. Make sure that all parties involved invest in the necessary interim measures to be implemented before the actual introduction of ERTMS.</t>
  </si>
  <si>
    <t>NL-3286/1</t>
  </si>
  <si>
    <t>Organize Railway maintenance</t>
  </si>
  <si>
    <t>Organise railway maintenance in such a way that the safety risks are explicitly and demonstrably managed, irrespective of other interests (such as availability and costs). Develop stimuli for maintenance contracts that offer contractors maximum encouragement in actively promoting railway safety. Monitor to ensure that contractors actually carry out the necessary maintenance and that this maintenance has the desired result.</t>
  </si>
  <si>
    <t>NL-3286/2</t>
  </si>
  <si>
    <t>Knowledge sharing</t>
  </si>
  <si>
    <t>Ensure that relevant design, user and maintenance information on all railway infrastructure parts is available to the various chain partners. Also encourage active knowledge sharing on (near) accidents and innovative developments (both nationally and internationally).</t>
  </si>
  <si>
    <t>NL-3286/3</t>
  </si>
  <si>
    <t>Countering flange-back contact</t>
  </si>
  <si>
    <t>Tighten up regulations governing the (design, laying and inspection/maintenance of) switches in such a way that flange-back contacts are effectively countered. Incorporate the tightened regulations as mandatory in the (current and future) contractual agreements with the companies involved</t>
  </si>
  <si>
    <t>NL-3286/4</t>
  </si>
  <si>
    <t>Actual picture about technical condition</t>
  </si>
  <si>
    <t>Together, ensure an up-to-date and complete picture of the technical condition of the railway infrastructure. Use this information for adequate management (asset management) whereby â€“ besides monitoring the functionality and service life â€“ safety is demonstrably guaranteed.</t>
  </si>
  <si>
    <t>NL-3286/5</t>
  </si>
  <si>
    <t>transferring information by changing maintenance contract</t>
  </si>
  <si>
    <t>Make sure when transferring a maintenance contract, that all relevant information about the technical condition and maintenance history of the railway infrastructure in question is transferred fully and in an accessible manner to the future contractor.</t>
  </si>
  <si>
    <t>NL-3286/6</t>
  </si>
  <si>
    <t>Safety-related user specifications</t>
  </si>
  <si>
    <t>When supplying railway parts (such as the EBI switch point machine), provide users with clear, safety-related user specifications. Monitor to ensure that these requirements are met in practice, and warn users if this is not the case.</t>
  </si>
  <si>
    <t>NL-3286/7</t>
  </si>
  <si>
    <t>Policy framework for Railway safety</t>
  </si>
  <si>
    <t>Make sure that the safe usability of the railway infrastructure is granted sufficient weight in relation to other interests (such as capacity and punctuality). Integrate this vision in the current rethink of the policy framework for railway safety, and bring about a situation whereby ProRail and the maintenance contractors are able to successfully act in accordance with it.</t>
  </si>
  <si>
    <t>NL-4737/1</t>
  </si>
  <si>
    <t>Operational control of transport of dangerous goods by rail</t>
  </si>
  <si>
    <t>The railway companies responsible for the control of the run-into freight train (ProRail and DB Schenker): Organise the operational control of freight trains with dangerous goods in such a way that no operational decisions are taken that lead to an increase in known and managed safety risks.</t>
  </si>
  <si>
    <t>NL-4737/2</t>
  </si>
  <si>
    <t>Responsibility of chemical companies for the chain</t>
  </si>
  <si>
    <t>The chemical companies involved as shippers of dangerous goods in the run-into freight train (SABIC, DSM and OCI): Fulfil responsibility for the chain by demanding from railway undertakings that in the operational control of freight trains carrying dangerous goods, no risk-increasing decisions are taken. Include this in transport agreements and monitor compliance.</t>
  </si>
  <si>
    <t>NL-4737/3</t>
  </si>
  <si>
    <t>The sector organisations coordinating the action programme Safety First: Consider the transport of dangerous goods as part of the responsibility for the chain in the action programme Safety First. Ensure that all chemical companies acting as shippers in the transport of dangerous goods by rail fulfil recommendation 2a.</t>
  </si>
  <si>
    <t>NL-4737/4</t>
  </si>
  <si>
    <t>Technical measures for the transport of dangerous goods by rail</t>
  </si>
  <si>
    <t>The Secretary of State for Infrastructure and the Environment: Ensure the tightening up of international regulations for the transport of dangerous goods by rail (RID) in such a way that the following is adopted: - no dangerous goods may be contained in the final wagon of a train; - tank wagons for the transport of non-toxic dangerous goods should also be equipped with buffer overriding protection devices.</t>
  </si>
  <si>
    <t>NL-4737/5</t>
  </si>
  <si>
    <t>In advance of the proposed change to the RID in 3a, reach agreement with shippers from the chemical industry and goods carriers to introduce these measures in the Netherlands as quickly as possible. This could take place along the line of the already existing agreement on the â€˜hot-BLEVE-freeâ€™ composition of freight trains.</t>
  </si>
  <si>
    <t>NL-4737/6</t>
  </si>
  <si>
    <t>Collision compatibility of passenger trains in relation to the transport of dangerous goods by rail</t>
  </si>
  <si>
    <t>The railway undertaking of the passenger train involved in the accident (NS Reizigers): For all relevant types of passenger trains, assess the collision compatibility in respect of freight stock. Do not use train types with poor collision compatibility on routes designated for the transport of dangerous goods.</t>
  </si>
  <si>
    <t>NL-5022/1</t>
  </si>
  <si>
    <t>Enhancing crashworthiness requirements</t>
  </si>
  <si>
    <t>Encourage enhancement of the international standard for the crashworthiness of trains (EN-15227) so that the survival space that must remain for the train driver in the event of the reference collisions should, in any event, also be found at the train driverâ€™s seat, separately from the existence of any escape option. This enhancement is without prejudice to the fact that the opportunity to be able to escape is also desirable.</t>
  </si>
  <si>
    <t>NL-5022/2</t>
  </si>
  <si>
    <t>Risk control when crossing a level crossing with an exceptional vehicle</t>
  </si>
  <si>
    <t>Ensure that drivers and operators working with exceptional vehicles (such as man lifts and earth moving machinery) are aware of the regulations and risks associated with crossing a level crossing, and encourage them to include this in the preparation and completion of the activities. Draw attention to this in, for instance, training courses, newsletters, rental contracts, etcetera.</t>
  </si>
  <si>
    <t>NL-5022/3</t>
  </si>
  <si>
    <t>Instructions for level crossing users in exceptional situations</t>
  </si>
  <si>
    <t>Make clear to level crossing users, preferably at the level crossing itself, in what situations it is necessary for them to contact ProRail to be able to cross the railway safely. Set up a procedure, supported by technical aids if necessary, to provide level crossing users in exceptional circumstances with proper and effective information about when they can safely cross the railway in a reasonable period of time.</t>
  </si>
  <si>
    <t>NL-5022/4</t>
  </si>
  <si>
    <t>Alerting train drivers to objects on the level crossing</t>
  </si>
  <si>
    <t>Introduce a fitting solution to alert the driver of an approaching train as soon as possible if a level crossing is blocked and to brake the train. If existing solutions in other countries are unsuitable for use in the Netherlands, develop a solution that can be used in the Netherlands.</t>
  </si>
  <si>
    <t>NL-5022/5</t>
  </si>
  <si>
    <t>Improving joint risk assessment of level crossings</t>
  </si>
  <si>
    <t>Improve the assessment model for level crossing safety (the level crossing register) by also including in it the factors that influence the severity of the outcome (both on the road user side and for the train occupants). The Safety Board has in mind matters such as the approach speed for trains, the distance at which train drivers can recognise the threat of an accident and the extent to which heavy road vehicles use and can use the level crossing. In consultation with road managers, ensure that relevant information about the road traffic aspects are included in the level crossing register. Organise structural consultation with the road managers concerned on monitoring and improving the safety of level crossings. The Safety Board recommends a periodic consultation at a regional level between ProRail and the road managers involved (by ProRail region or by track section, for instance).</t>
  </si>
  <si>
    <t>NL-5022/6</t>
  </si>
  <si>
    <t>Ensure that the local road managers (municipal authorities, provincial authorities, water boards and private individuals), together with the rail network manager, assess the safety of the level crossings on their roads and improve it where possible (thereby actively contributing to the governmentâ€™s objective of reducing the number of incidents at level crossings).</t>
  </si>
  <si>
    <t>CZ-10005/1</t>
  </si>
  <si>
    <t>for Municipal Authority of Ostrava: to adopt corresponding measure that the railway undertaking Dopravní podnik Ostrava, a. s., will not apply the provisions of § 17, section 2 of Government Decree No. 589/2006 Coll., which provides for a deviating regulation of working hours and rest of employees in transport, as amended, which can be used to shorten the continuous rest between two shifts of any employee below the limit of 11 hours determined by Act No. 262/2006 Coll., the Labor Code, as amended, respectively § 17 section 1 of Government Decree No. 589/2006 Coll., which provides for a deviating regulation of working hours and rest of employees in transport, as amended, in the full extent, but in the maximum possible reduction rate.</t>
  </si>
  <si>
    <t>Addressed to The Czech National Safety Authority (NSA):
• to adopt own measure, which ensure at IM Správa železnic, státní organizace:                        ◦ from the point of view of current and possible future development of the modern                     defectoscopic methods, all available defectoscopic methods and procedures by which it is      possible to detect hidden defects in the area of the the point blade rail foot on the side            adjacent to stock rail will be continuously exercised, resp. evaluated and the most                  effective method or methods and procedures will be applied into the system of the                  exercised controls.</t>
  </si>
  <si>
    <t>LV-832/1</t>
  </si>
  <si>
    <t>Safety Management System in the RKF â€žTransceltnieksâ€ Ltd.</t>
  </si>
  <si>
    <t>LV-832/2</t>
  </si>
  <si>
    <t>Railway repair works application submitting.</t>
  </si>
  <si>
    <t>LV-832/3</t>
  </si>
  <si>
    <t>Infrastructure manager regulations according exchange information between station master and railway</t>
  </si>
  <si>
    <t>Infrastructure manager regulations according exchange information between station master and railway track foreman.</t>
  </si>
  <si>
    <t>LV-832/4</t>
  </si>
  <si>
    <t>Supervision of subcontractors activities for traffic safety control.</t>
  </si>
  <si>
    <t>LV-625/1</t>
  </si>
  <si>
    <t>For infrastructure manager â€“ State Joint Stock company â€žLatvijas dzelzceÄ¼Å¡â€ should consider possibil</t>
  </si>
  <si>
    <t>For infrastructure manager â€“ State Joint Stock company â€žLatvijas dzelzceÄ¼Å¡â€ should consider possibility to ensure main lines (1520 mm) railway infrastructure with automatic locomotive signalling (coding of rail circuit) devices.</t>
  </si>
  <si>
    <t>LV-625/2</t>
  </si>
  <si>
    <t>For railway operators â€“ should consider possibility to equip locomotives of freight and passenger tr</t>
  </si>
  <si>
    <t>For railway operators â€“ should consider possibility to equip locomotives of freight and passenger train main lines (1520 mm) with train drivers vigilance control devices, which operates not only periodically requesting the confirmation of train driver, but also stops the train, if it has passed the restrictive signal, but which operation should allow:</t>
  </si>
  <si>
    <t>LV-625/3</t>
  </si>
  <si>
    <t>For â€žLDZ Cargoâ€ Ltd. and other operators - should carry out the audit of its safety management syste</t>
  </si>
  <si>
    <t>For â€žLDZ Cargoâ€ Ltd. and other operators - should carry out the audit of its safety management system with purpose to improve efficiency of this system, paying particular attention to observation and control of the mutual communication regulation of train drivers and their assistants.</t>
  </si>
  <si>
    <t>LV-625/4</t>
  </si>
  <si>
    <t>For infrastructure manager â€“ State Joint Stock company â€žLatvijas dzelzceÄ¼Å¡â€ should update procedure</t>
  </si>
  <si>
    <t>For infrastructure manager â€“ State Joint Stock company â€žLatvijas dzelzceÄ¼Å¡â€ should update procedure how station master on duty or railway traffic controller delivers in time information, using radio communication, to train driver concerning the holdup of train at traffic lights, unexpected stop or in other nonstandard cases.</t>
  </si>
  <si>
    <t>LV-426/1</t>
  </si>
  <si>
    <t>. Shunting trains operators and infrastructure managers should arrange and improve the process of o</t>
  </si>
  <si>
    <t>. Shunting trains operators and infrastructure managers should arrange and improve the process of obtaining of security certificate issue in order to increase safety level.</t>
  </si>
  <si>
    <t>LV-426/2</t>
  </si>
  <si>
    <t>Shunting trains operators and infrastructure managers should arrange using the train radio communic</t>
  </si>
  <si>
    <t>Shunting trains operators and infrastructure managers should arrange using the train radio communication system.</t>
  </si>
  <si>
    <t>LV-426/3</t>
  </si>
  <si>
    <t>Public infrastructure managers should examine all of the railway stations radio communication syst</t>
  </si>
  <si>
    <t>Public infrastructure managers should examine all of the railway stations radio communication system where private shunting trains operators are used.</t>
  </si>
  <si>
    <t>LV-426/4</t>
  </si>
  <si>
    <t>National safety authority should perform additional control in accordance with recommendations menti</t>
  </si>
  <si>
    <t>National safety authority should perform additional control in accordance with recommendations mentioned above.</t>
  </si>
  <si>
    <t>LV-1321/1</t>
  </si>
  <si>
    <t>Recommendation 2012-1</t>
  </si>
  <si>
    <t>The infrastructure manager should analyze flaw detection units (departments) work organization and guarantee independent flaw detectors data decoding in the future.</t>
  </si>
  <si>
    <t>LV-1321/2</t>
  </si>
  <si>
    <t>Recommendation 2012-2</t>
  </si>
  <si>
    <t>The infrastructure manager should improve own internal normative documentation, which regulate flaw detectors data decoding order, flaw detector operators time-table and training.</t>
  </si>
  <si>
    <t>LV-1321/3</t>
  </si>
  <si>
    <t>Recommendation 2012-3</t>
  </si>
  <si>
    <t>The infrastructure manager should examine possibility to use hardware which can reduce human factor error influence on track flaw detection and flaw detectors data decoding.</t>
  </si>
  <si>
    <t>LV-3762/1</t>
  </si>
  <si>
    <t>incoming trains receiving technology</t>
  </si>
  <si>
    <t>Recommendation 2015-1 Infrastructure manager should make changes in own requirements and should include switchesÊ¹ lockersÊ¹ fixation norm with padlocks or another device, which guarantee lockersÊ¹ fixation according to switches, that is used for route of incoming trains.</t>
  </si>
  <si>
    <t>LV-3762/2</t>
  </si>
  <si>
    <t>switch checking technology</t>
  </si>
  <si>
    <t>Recommendation 2015-2 State company â€œLatvian railwaysâ€ should update railway tracks maintenance documentation, where specify checking and defect detection technology for switches drive mechanism and switches details</t>
  </si>
  <si>
    <t>LV-4067/1</t>
  </si>
  <si>
    <t>Reducing shunters environment risk factors</t>
  </si>
  <si>
    <t>The railway infrastructure manager should examine the possibility of reducing shuntersâ€™ working environment risk factors, in cases there are changes in the workload and responsibilities of staff members, providing training opportunities to do special exercises to remove drowsiness and fatigue.</t>
  </si>
  <si>
    <t>LV-5354/1</t>
  </si>
  <si>
    <t>Inventory for the shift of components of diesel engine of the diesel locomotive</t>
  </si>
  <si>
    <t>LDZ Rolling Stock Service, Ltd, to implement procedures in order for the shifted component for every diesel locomotive to be listed during the technical maintenance and renovation repair, including barell and bracket detail, in order to control the amount of repair and the duration of component exploitation.</t>
  </si>
  <si>
    <t>LV-5354/2</t>
  </si>
  <si>
    <t>Control of maintenance and repair of diesel locomotive</t>
  </si>
  <si>
    <t>LDZ Rolling Stock Service, Ltd, to implement procedures, in order the performance of technical maintenance and renovation repair of diesel locomotive to be examined and examination to be documented in order to control the scope and quality of performed works.</t>
  </si>
  <si>
    <t>LV-5354/3</t>
  </si>
  <si>
    <t>Amendments to the legislation in relation with the investigation of fire of rolling stock</t>
  </si>
  <si>
    <t>State Railway technical inspectorate to provide proposals to the amendments to legal enactments, in order to provide in the future in the legislation the norm to investigate the fire of rolling stock, which are not serious accidents.</t>
  </si>
  <si>
    <t>LV-5920/1</t>
  </si>
  <si>
    <t>Recommendation 2020-1</t>
  </si>
  <si>
    <t>For â€œLDZ apsardzeâ€ Ltd. to make respective amendments in the labor safety instruction, describing in detail actions of security guards in performing their duties on the railway bridge</t>
  </si>
  <si>
    <t>LV-5920/2</t>
  </si>
  <si>
    <t>Recommendation 2020-2</t>
  </si>
  <si>
    <t>For â€œLDZ apsardzeâ€ Ltd. to consider possibility to put additional light reflecting elements on the guards work clothes within the area of arms and legs or to use other type of work clothes with HI-VIS technology, or to find other option, in order for guards to be better visible for train drivers during their patrol</t>
  </si>
  <si>
    <t>LV-5920/3</t>
  </si>
  <si>
    <t>Recommendation 2020-3</t>
  </si>
  <si>
    <t>For railway infrastructure manager to modernize existing lighting of technological walk way and tracks on the railway bridge over river Daugava, by finding such a technical solution, that train drivers wouldnâ€™t be dazzled and could in due time notice people on the bridge.</t>
  </si>
  <si>
    <t>LV-6240/1</t>
  </si>
  <si>
    <t>To improve the level crossings regulations</t>
  </si>
  <si>
    <t>Recommendation 2021-1
The Ministry of Transport shall evaluate the possibility to make amendments or issue new regulatory enactments regarding the equipment and maintenance of level crossings in order to increase traffic safety at railway level crossings, including the provision of level crossings with barriers or other safety and warning elements.</t>
  </si>
  <si>
    <t>Level crossing accident, 04-04-20, Open line between station Ilmaja - Kalvene</t>
  </si>
  <si>
    <t>LV-6240/2</t>
  </si>
  <si>
    <t>To improve the pavement of the road before the level crossing</t>
  </si>
  <si>
    <t>Recommendation 2021-2
SJSC "Latvijas Valsts celi" to evaluate the possibility on the pavement of the road before the crossing No. 731 to install a transverse noise bar to draw the attention of drivers when approaching a level crossing.</t>
  </si>
  <si>
    <t>LV-6240/3</t>
  </si>
  <si>
    <t>To equip the level crossing with barriers</t>
  </si>
  <si>
    <t>Recommendation 2021-3
State SJSC „Latvijas dzelzceļš” to consider the possibility of crossing No. 731 and equipping with automatic barriers.</t>
  </si>
  <si>
    <t>LV-5919/1</t>
  </si>
  <si>
    <t>To improve the technological processes of the wagon maintenance points</t>
  </si>
  <si>
    <r>
      <rPr>
        <b/>
        <sz val="11"/>
        <color theme="1"/>
        <rFont val="Calibri"/>
        <family val="2"/>
        <scheme val="minor"/>
      </rPr>
      <t>Recommendation 2021-4</t>
    </r>
    <r>
      <rPr>
        <sz val="11"/>
        <color theme="1"/>
        <rFont val="Calibri"/>
        <family val="2"/>
        <scheme val="minor"/>
      </rPr>
      <t xml:space="preserve">
The Railway Infrastructure Manager shall make changes to the technological processes of the operation of all wagon maintenance points, ensuring the requirement to check the middle parts of the side beams of the flat car frame from the outside.</t>
    </r>
  </si>
  <si>
    <t>LV-5919/2</t>
  </si>
  <si>
    <t>To improve the training and instructions for the staff</t>
  </si>
  <si>
    <r>
      <rPr>
        <b/>
        <sz val="11"/>
        <color theme="1"/>
        <rFont val="Calibri"/>
        <family val="2"/>
        <scheme val="minor"/>
      </rPr>
      <t>Recommendation 2021-5</t>
    </r>
    <r>
      <rPr>
        <sz val="11"/>
        <color theme="1"/>
        <rFont val="Calibri"/>
        <family val="2"/>
        <scheme val="minor"/>
      </rPr>
      <t xml:space="preserve">
The Railway Infrastructure Manager, when performing technical training and instructions for the staff of wagon maintenance points, to examine the damage to the frames of flat cars of type 13-7024 (model) and the methods of their detection.</t>
    </r>
  </si>
  <si>
    <t>LV-5919/3</t>
  </si>
  <si>
    <t>To exclude flat car side beam cracking in operations</t>
  </si>
  <si>
    <r>
      <rPr>
        <b/>
        <sz val="11"/>
        <color theme="1"/>
        <rFont val="Calibri"/>
        <family val="2"/>
        <scheme val="minor"/>
      </rPr>
      <t>Recommendation 2021-6</t>
    </r>
    <r>
      <rPr>
        <sz val="11"/>
        <color theme="1"/>
        <rFont val="Calibri"/>
        <family val="2"/>
        <scheme val="minor"/>
      </rPr>
      <t xml:space="preserve">
When organizing the planned repair of 13-7024 type (model) flat car, the wagon owner shall include strengthening of the frame side beam corner plate and the bottom flange area regardless of the presence of cracks, using the recommendations of  PJSC “Kryukovsky railway car building works” instruction TU 25000.00042, with further monitoring of the condition of the flat cars during operation.</t>
    </r>
  </si>
  <si>
    <t>HU-915/1</t>
  </si>
  <si>
    <t>The IC recommends MÁV Co. to relocate the remote-control door-locking switches on the passenger coac</t>
  </si>
  <si>
    <t>The IC recommends MÁV Co. to relocate the remote-control door-locking switches on the passenger coaches of series 21-55 and those belonging to the same product family from their position near the door to another location, accessible by the operator staff, but also ensuring protection from impurities and damage.</t>
  </si>
  <si>
    <t>HU-915/2</t>
  </si>
  <si>
    <t>The IC recommends MÁV Co. and GySEV Co. to revise the regulations regarding handover procedures of p</t>
  </si>
  <si>
    <t>The IC recommends MÁV Co. and GySEV Co. to revise the regulations regarding handover procedures of passenger train coaches to ensure the handover being actually executed according to the rules, and the information on errors detected being forwarded to the right place and recorded in some wise.</t>
  </si>
  <si>
    <t>HU-915/3</t>
  </si>
  <si>
    <t>The IC recommends the NTA to control during their inspections the compliance with the rules of the C</t>
  </si>
  <si>
    <t>The IC recommends the NTA to control during their inspections the compliance with the rules of the Coach Service Regulation no. E.12 regarding remote control of doors during the running of passenger coaches and take the necessary measures where required.</t>
  </si>
  <si>
    <t>HU-915/4</t>
  </si>
  <si>
    <t>The IC recommends MÁV Co. and GySEV Co. to apply on passenger trains routing tables from which, cons</t>
  </si>
  <si>
    <t>The IC recommends MÁV Co. and GySEV Co. to apply on passenger trains routing tables from which, considering the direction of traffic, the originating station and the destination of the train can be unambiguously determined.</t>
  </si>
  <si>
    <t>HU-915/5</t>
  </si>
  <si>
    <t>The IC recommends MÁV Co. and GySEV Co. to ensure when forming passenger trains that coaches assembl</t>
  </si>
  <si>
    <t>The IC recommends MÁV Co. and GySEV Co. to ensure when forming passenger trains that coaches assembled between coaches with remote-control door-locking equipment are serviceable for the distribution of the remote control.</t>
  </si>
  <si>
    <t>HU-915/6</t>
  </si>
  <si>
    <t>In the course of the investigation the IC has found that â€“ resulting from the actual station technol</t>
  </si>
  <si>
    <t>In the course of the investigation the IC has found that â€“ resulting from the actual station technology and work organisation â€“ the movements inspector is not always able to perform his train reception obligations. Therefore, the IC recommends MÁV Co. to determine the activity of the outside movements inspector in the passenger station in GyÅ‘r in such a way that shall allow the compliance with the train reception obligations specified in both the Train loading and running regulations no. F. 2 and the Station Instructions.</t>
  </si>
  <si>
    <t>HU-915/7</t>
  </si>
  <si>
    <t>In the course of the investigation the IC has found that the passenger information displays are regu</t>
  </si>
  <si>
    <t>In the course of the investigation the IC has found that the passenger information displays are regularly scribbled. Therefore, the IC recommends MÁV Co. to make sure that the visual displays are constantly clear in order to ensure the visibility of the information displayed.</t>
  </si>
  <si>
    <t>HU-914/1</t>
  </si>
  <si>
    <t>The IC recommends the NTA to obligate the infrastructure manager supplement LC no. AS41 with another</t>
  </si>
  <si>
    <t>The IC recommends the NTA to obligate the infrastructure manager supplement LC no. AS41 with another warning light (similar to warning lights â€˜aâ€™) so that the light signal is visible to vehicles arriving to the LC from Balmazújváros direction as well.</t>
  </si>
  <si>
    <t>HU-911/1</t>
  </si>
  <si>
    <t>In the course of the investigation the IC has found the different regulations in effect to be incons</t>
  </si>
  <si>
    <t>In the course of the investigation the IC has found the different regulations in effect to be inconsistent regarding speed limits applicable on railway lines. Therefore, the IC recommends the NTA to revise with the co-operation of the railway undertakings operating the infrastructure the regulations in effect and take the necessary measures for the harmonization of these.</t>
  </si>
  <si>
    <t>HU-911/2</t>
  </si>
  <si>
    <t>The IC recommends the NTA to obligate the railway undertaking responsible for the maintenance of the</t>
  </si>
  <si>
    <t>The IC recommends the NTA to obligate the railway undertaking responsible for the maintenance of the regulation to revise from instruction editing aspect the Rules regarding protecting signals controlling the operation of level crossing equipments in the Signalling Regulation no. F.1 in order to ensure â€“ by foregoing to keep all signals regarding barriers in the same chapter â€“ that the indications displayed together on protecting signals controlling barriers capable of sending pre-indication also are interpretable as instructions and eliminate this way the actual regulation deficiency.</t>
  </si>
  <si>
    <t>HU-911/3</t>
  </si>
  <si>
    <t>The IC recommends the NTA to revise with the co-operation of MÁV Co. the function of the junction at</t>
  </si>
  <si>
    <t>The IC recommends the NTA to revise with the co-operation of MÁV Co. the function of the junction at Andráshida and take the necessary measures to create a uniform regulation regarding the junction concerned and those of similar structure (extant or to be established).</t>
  </si>
  <si>
    <t>HU-911/4</t>
  </si>
  <si>
    <t>The IC recommends the NTA to examine with the co-operation of the operator of the infrastructure the</t>
  </si>
  <si>
    <t>The IC recommends the NTA to examine with the co-operation of the operator of the infrastructure the system of the clear indications distributable to the signal â€˜YEâ€™ by the safety installation in the junction at Andráshida and take the necessary measures in order to prevent a dangerous situation resulting from the possibility of a train travelling on the straight line (at 100 km/h) being directed to the diverging direction, to which section speed limit of 60 km/h applies.</t>
  </si>
  <si>
    <t>HU-881/1</t>
  </si>
  <si>
    <t>Having regard to the fact that the fire-extinguishing began with a significant delay (42 minutes) as</t>
  </si>
  <si>
    <t>Having regard to the fact that the fire-extinguishing began with a significant delay (42 minutes) as the work permit was not granted on time, the IC recommends MÁV Zrt to compile a regulation - in cooperation with the Disaster Prevention - which ensures that the fires under the overhead contact lines can be extinguished as soon as possible.</t>
  </si>
  <si>
    <t>HU-880/1</t>
  </si>
  <si>
    <t>We recommend BKV Zrt to ensure the visibility of the approaching trains at the LC.</t>
  </si>
  <si>
    <t>HU-879/1</t>
  </si>
  <si>
    <t>The IC recommends the NTA to review â€“ in co-operation with MÁV Zrt - the current regulations on the</t>
  </si>
  <si>
    <t>The IC recommends the NTA to review â€“ in co-operation with MÁV Zrt - the current regulations on the route knowledge of the engine drivers and make recommendations to their change accordingly. In particular, the IC suggests that a booklet which contains the major changes in the infrastructure (including the setting up of main signals) should be issued no later than the Modifications to Timetables, and that the engine-drivers shall be familiar with the information in the booklet as a precondition to work.</t>
  </si>
  <si>
    <t>HU-879/2</t>
  </si>
  <si>
    <t>The IC recommends the NTA to fully review the regulations on route knowledge including positions in</t>
  </si>
  <si>
    <t>The IC recommends the NTA to fully review the regulations on route knowledge including positions in which to work is subject to route knowledge, with special regard to Directive 2007/59/EC of the European Parliament and of the Council as well as Directive 18/2010. (III.12.) of the Ministry of Transport, Telecommunication and Energy in case of engine-drivers.</t>
  </si>
  <si>
    <t>HU-879/3</t>
  </si>
  <si>
    <t>The IC recommends the NTA to review â€“ in co-operation with MÁV Zrt - the current regulations on disa</t>
  </si>
  <si>
    <t>The IC recommends the NTA to review â€“ in co-operation with MÁV Zrt - the current regulations on disabling the Unified Vigilance Warning and Train Control Device (EÉVB) in certain situations in order to clarify where exactly the EÉVB may be disabled (at places such as Nagylapos crossover)</t>
  </si>
  <si>
    <t>HU-879/4</t>
  </si>
  <si>
    <t>The IC recommends the NTA to review â€“ in co-operation with MÁV Zrt - the rules of writing and handin</t>
  </si>
  <si>
    <t>The IC recommends the NTA to review â€“ in co-operation with MÁV Zrt - the rules of writing and handing out written orders with regard to Nagylapos crossover and similar places, in order to find a reasonable and feasible solution while ensuring safe railway transport.</t>
  </si>
  <si>
    <t>HU-879/5</t>
  </si>
  <si>
    <t>The IC recommends the NTA to review the definition of crossover and the rules and procedures related</t>
  </si>
  <si>
    <t>The IC recommends the NTA to review the definition of crossover and the rules and procedures related to railway traffic at crossovers, with special emphasis on the different functions and modern structure of crossovers.</t>
  </si>
  <si>
    <t>HU-753/1</t>
  </si>
  <si>
    <t>The IC recommends MÁV-Trakció Zrt to examine how the â€œTimetables to be keptâ€ is handed over to engin</t>
  </si>
  <si>
    <t>The IC recommends MÁV-Trakció Zrt to examine how the â€œTimetables to be keptâ€ is handed over to engine-drivers and what way it is documented. MÁV-Trakció Zrt should take the necessary measures to ensure that engine-drivers are in possession of the timetable of their driven trains.</t>
  </si>
  <si>
    <t>HU-752/1</t>
  </si>
  <si>
    <t>The IC recommends the NTA to obligate the operator to apply baffle plates inside the tanks of the on</t>
  </si>
  <si>
    <t>The IC recommends the NTA to obligate the operator to apply baffle plates inside the tanks of the on-track weed control vehicles in order to obstruct waves perpendicular to the heading direction, thus to reduce the risk of sideward waves that may arise in case of the speed limit being exceeded.</t>
  </si>
  <si>
    <t>HU-720/1</t>
  </si>
  <si>
    <t>The IC recommends MÁV Zrt. to revise regulations regarding the acknowledgement and provisional entry</t>
  </si>
  <si>
    <t>The IC recommends MÁV Zrt. to revise regulations regarding the acknowledgement and provisional entry of statements given and received by employees of the infrastructure manager and the railway undertaking during rail traffic and shunting, with special regard to train inspections, handling of scotch blocks and brake tests done by the employees of railway undertakings.</t>
  </si>
  <si>
    <t>HU-719/1</t>
  </si>
  <si>
    <t>The IC recommends the NTA to oblige MÁV to authorise movements inspectors at Székesfehérvár station</t>
  </si>
  <si>
    <t>The IC recommends the NTA to oblige MÁV to authorise movements inspectors at Székesfehérvár station to signal out trains until the track is reconstructed to be capable of train-control, in order to avoid misunderstandings.</t>
  </si>
  <si>
    <t>HU-719/2</t>
  </si>
  <si>
    <t>The IC recommends MÁV Zrt. to modify regulations regarding troubleshooting of faulty signal boxes ou</t>
  </si>
  <si>
    <t>The IC recommends MÁV Zrt. to modify regulations regarding troubleshooting of faulty signal boxes outside working hours so that at stations where there is no extra red light bulb built into the signal and the track is not able to control trains, the light circuits in the signals should be repaired as soon as possible.</t>
  </si>
  <si>
    <t>HU-719/3</t>
  </si>
  <si>
    <t>The IC recommends MÁV Zrt. to revise the notification/reporting order and the compliance with it in</t>
  </si>
  <si>
    <t>The IC recommends MÁV Zrt. to revise the notification/reporting order and the compliance with it in case of signal box failure, especially on occasions when the contribution of other expert services are required for troubleshooting.</t>
  </si>
  <si>
    <t>HU-719/4</t>
  </si>
  <si>
    <t>The IC recommends MÁV Zrt. to ensure - by increasing the frequency of periodical maintenance - that</t>
  </si>
  <si>
    <t>The IC recommends MÁV Zrt. to ensure - by increasing the frequency of periodical maintenance - that the bulbs in the signals are replaced before they burn out.</t>
  </si>
  <si>
    <t>HU-713/1</t>
  </si>
  <si>
    <t>The IC recommends the NTA - pursuant to Decree 20/1984. (XII. 21.) KM section 3. § (3) a) - to revis</t>
  </si>
  <si>
    <t>The IC recommends the NTA - pursuant to Decree 20/1984. (XII. 21.) KM section 3. § (3) a) - to revise together with the organisations concerned whether the existence of the LC in section 102+66 on railway line no. 85 (Vámosgyörk â€“ Gyöngyös) is necessary, with regard to the fact that traffic at this LC is low. Therefore it might be reasonable to divert traffic to a safer LC (protected by warning lights) in section 110+40.</t>
  </si>
  <si>
    <t>HU-711/1</t>
  </si>
  <si>
    <t>The IC recommends MÁV Zrt. to disable the insulation switch-off button by modifying the signal box -</t>
  </si>
  <si>
    <t>The IC recommends MÁV Zrt. to disable the insulation switch-off button by modifying the signal box - in case of automatic points control. This would prevent the changing of points under a train (which, in this accident, was caused by pressing three buttons at the same time).</t>
  </si>
  <si>
    <t>HU-711/2</t>
  </si>
  <si>
    <t>The IC recommends MÁV Zrt. that the control panel of the signal box at Rákos station should be re-ex</t>
  </si>
  <si>
    <t>The IC recommends MÁV Zrt. that the control panel of the signal box at Rákos station should be re-examined and its deficiencies corrected. The markings on the control panel are faded therefore they are not clearly legible. Some of the springs of flip covers intended against accidental pressing are broken therefore they cannot function.</t>
  </si>
  <si>
    <t>HU-711/3</t>
  </si>
  <si>
    <t>The IC recommends MÁV Zrt. to revise its policy for the evaluation of splitting points open. The cur</t>
  </si>
  <si>
    <t>The IC recommends MÁV Zrt. to revise its policy for the evaluation of splitting points open. The current strict policy induces concealing of such occurrences. The IC considers that it is more important to reveal these occurrences and maintain transport safety than sanctioning and compensating damages.</t>
  </si>
  <si>
    <t>HU-710/1</t>
  </si>
  <si>
    <t>The IC recommends the NTA to obligate infrastructure managers to introduce a system at busy stations</t>
  </si>
  <si>
    <t>The IC recommends the NTA to obligate infrastructure managers to introduce a system at busy stations by which the permission and provisional entries of maintenance work can be done efficiently and reasonably, and the important information on track works is not lost.</t>
  </si>
  <si>
    <t>HU-710/2</t>
  </si>
  <si>
    <t>The IC recommends the NTA to obligate infrastructure managers to prohibit setting the points towards</t>
  </si>
  <si>
    <t>The IC recommends the NTA to obligate infrastructure managers to prohibit setting the points towards track sections where works are in progress, with consideration to the characteristics of the different signal boxes.</t>
  </si>
  <si>
    <t>HU-710/3</t>
  </si>
  <si>
    <t>The IC recommends the NTA to initiate - in cooperation with the infrastructure managers - the revisi</t>
  </si>
  <si>
    <t>The IC recommends the NTA to initiate - in cooperation with the infrastructure managers - the revision of regulations regarding the placing of low speed flags and to enforce compliance with them. Furthermore, the flags should also be in harmony with the actual speed restrictions (listed on a handout given to engine-drivers)</t>
  </si>
  <si>
    <t>HU-709/1</t>
  </si>
  <si>
    <t>With regard to the recurring accidents at LC AS 41, the IC recommends the National Transport Authori</t>
  </si>
  <si>
    <t>With regard to the recurring accidents at LC AS 41, the IC recommends the National Transport Authority to review the design and construction of LC AS41 (between Tócóvölgy and Balmazújváros stations at railway section 41+16 hm) from transport safety point of view as well as to examine whether or not it would be necessary to improve the technical conditions of railway safety and to install a traffic control system which is integrated with the LC.</t>
  </si>
  <si>
    <t>HU-570/1</t>
  </si>
  <si>
    <t>The IC recommends MÁV Zrt. to revise 4.2.2. of the Appendix of E.1. Regulations for traction vehicle</t>
  </si>
  <si>
    <t>The IC recommends MÁV Zrt. to revise 4.2.2. of the Appendix of E.1. Regulations for traction vehicle staff and consider narrowing its scope, and initiate its modification accordingly.</t>
  </si>
  <si>
    <t>HU-570/2</t>
  </si>
  <si>
    <t>The IC recommends the NTA to review the regulations as to when can block signals be considered inope</t>
  </si>
  <si>
    <t>The IC recommends the NTA to review the regulations as to when can block signals be considered inoperative, and how these regulations are implemented. The IC also suggests that the NTA should consider improving the relevant education, compiling guides and checklists, or further specifying the current regulation.</t>
  </si>
  <si>
    <t>HU-570/3</t>
  </si>
  <si>
    <t>The IC recommends the NTA to revise - with the cooperation of railway undertakings - the questions o</t>
  </si>
  <si>
    <t>The IC recommends the NTA to revise - with the cooperation of railway undertakings - the questions of speed limit applied in case of subsidiary signals, with special regard to: - technical circumstances having changed since its introduction, - psychological effects on engine-drivers, - active and passive safety risks deriving from the applied speed.</t>
  </si>
  <si>
    <t>HU-570/4</t>
  </si>
  <si>
    <t>The IC recommends the NTA to obligate the usage of communications equipment for the communication be</t>
  </si>
  <si>
    <t>The IC recommends the NTA to obligate the usage of communications equipment for the communication between traffic controllers and engine-drivers while the train is running, and regularly examine that the equipment is operable and is used.</t>
  </si>
  <si>
    <t>HU-570/5</t>
  </si>
  <si>
    <t>The IC recommends - via the European Railway Agency (ERA) - manufacturers of vehicles to re-examine</t>
  </si>
  <si>
    <t>The IC recommends - via the European Railway Agency (ERA) - manufacturers of vehicles to re-examine certain equipment, installations and furnishings of vehicles manufactured or redesigned by them (e.g. baggage racks, lights, windows, doors, etc) with regards to risk effects in a possible accident. When designing the vehicles, they should choose solutions which decrease the extent of injuries to persons to the possible minimum in case of such occurrences.</t>
  </si>
  <si>
    <t>HU-478/1</t>
  </si>
  <si>
    <t>The IC recommends GYSEV Zrt. - as the infrastructure manager - to supplement LC no. AS 347 between R</t>
  </si>
  <si>
    <t>The IC recommends GYSEV Zrt. - as the infrastructure manager - to supplement LC no. AS 347 between Rábatamási and Csorna station in section 347+25 with half barriers.</t>
  </si>
  <si>
    <t>HU-477/1</t>
  </si>
  <si>
    <t>HU-474/1</t>
  </si>
  <si>
    <t>HU-472/1</t>
  </si>
  <si>
    <t>The IC recommends the NTA to obligate infrastructure managers to compile and hand out written guides</t>
  </si>
  <si>
    <t>The IC recommends the NTA to obligate infrastructure managers to compile and hand out written guides or bulletins for the obligatory labour safety education of third party working in the territory of the railways, as this way such accidents would be avoidable.</t>
  </si>
  <si>
    <t>HU-470/1</t>
  </si>
  <si>
    <t>In order to reduce the number of accidents in which the involved persons suffer electric shock as a</t>
  </si>
  <si>
    <t>In order to reduce the number of accidents in which the involved persons suffer electric shock as a result of climbing up on permanently stored wagons, the IC recommends MÁV Zrt. that these wagons should be stored on tracks without overhead contact lines or the contact lines should be off voltage. The wagons should also be kept at physically fenced off areas.</t>
  </si>
  <si>
    <t>HU-470/2</t>
  </si>
  <si>
    <t>In order to reduce the number of accidents in which the involved persons suffer electric shock as a result of climbing up on permanently stored wagons, the IC recommends the National Committee for Accident Prevention that they should include the source of dangers of railway transport (e.g. possibilities of suffering electric shock, jumping on and off moving railway vehicles, dangers of crossing railway lines, etc.) in their curriculum within the framework of their educational activities.</t>
  </si>
  <si>
    <t>HU-469/1</t>
  </si>
  <si>
    <t>The IC recommends the National Transport Authority that it should conduct checks of railway track-bu</t>
  </si>
  <si>
    <t>The IC recommends the National Transport Authority that it should conduct checks of railway track-building work more frequently.</t>
  </si>
  <si>
    <t>HU-468/1</t>
  </si>
  <si>
    <t>HU-467/1</t>
  </si>
  <si>
    <t>The IC recommends infrastructure managers to ensure that only such points should be accepted and put</t>
  </si>
  <si>
    <t>The IC recommends infrastructure managers to ensure that only such points should be accepted and put into operation after repair which are professionally assembled. The practice of accepting points should be reviewed and if necessary, detailed guidelines/manuals should be compiled with regard to the aspects of inspection.</t>
  </si>
  <si>
    <t>HU-466/1</t>
  </si>
  <si>
    <t>The IC recommends Lesaffre Magyarország Kft to revise and amend the â€œTechnology for loading and unlo</t>
  </si>
  <si>
    <t>The IC recommends Lesaffre Magyarország Kft to revise and amend the â€œTechnology for loading and unloading molassesâ€. The current version does not contain requirements with regard to cooling down the tanks to ambient temperature and measures against vacuum-forming inside the tanks after unloading molasses. Furthermore, it does not contain regulations or procedures for measuring temperature inside the tanks and conditions for closing tank lids either.</t>
  </si>
  <si>
    <t>HU-466/2</t>
  </si>
  <si>
    <t>The IC recommends the European Railway Agency to suggest railway undertakings and shipping companies</t>
  </si>
  <si>
    <t>The IC recommends the European Railway Agency to suggest railway undertakings and shipping companies which use similar technology for loading and unloading that they should revise and amend their procedures in order to ensure that the tanks are cooled down and to prevent vacuum-forming inside the tanks.</t>
  </si>
  <si>
    <t>HU-466/3</t>
  </si>
  <si>
    <t>The IC recommends MÁV Cargo Zrt to notify its business partners using similar technology for loading</t>
  </si>
  <si>
    <t>The IC recommends MÁV Cargo Zrt to notify its business partners using similar technology for loading and unloading about the occurrence, its possible causes and recommended actions regarding procedures for measuring temperature inside the tanks and conditions for closing tank lids.</t>
  </si>
  <si>
    <t>HU-390/1</t>
  </si>
  <si>
    <t>HU-384/1</t>
  </si>
  <si>
    <t>The IC recommends MÁV Zrt (as the infrastructure manager) to introduce such working order/procedure</t>
  </si>
  <si>
    <t>The IC recommends MÁV Zrt (as the infrastructure manager) to introduce such working order/procedure on single-track lines and the relevant stations where there is no possibility for trains to meet by which the above described risks are avoidable.</t>
  </si>
  <si>
    <t>HU-383/1</t>
  </si>
  <si>
    <t>In order to prevent accidents caused by technical failures which can be noticed during wagon inspect</t>
  </si>
  <si>
    <t>In order to prevent accidents caused by technical failures which can be noticed during wagon inspection, the IC recommends MÁV Zrt. that in the trainings of traffic staff, particular attention should be paid to the process of wagon inspection, possible arising problems and their causes as well as the to importance of necessary immediate preventive actions to be taken.</t>
  </si>
  <si>
    <t>HU-381/1</t>
  </si>
  <si>
    <t>The IC recommends the Romanian investigating body to draw the attention of the owner and the mainten</t>
  </si>
  <si>
    <t>The IC recommends the Romanian investigating body to draw the attention of the owner and the maintenance and repair personnel of the concerned vehicles to the dangers of the missing securing plates as well as to the importance of their replacement.</t>
  </si>
  <si>
    <t>HU-381/2</t>
  </si>
  <si>
    <t>The IC recommends MÁV Cargo Zrt. that during the inspection of wagons, particular attention should b</t>
  </si>
  <si>
    <t>The IC recommends MÁV Cargo Zrt. that during the inspection of wagons, particular attention should be paid to checking the closed position of the hopper opening covers.</t>
  </si>
  <si>
    <t>HU-381/3</t>
  </si>
  <si>
    <t>The IC recommends MÁV Gépészet Zrt. that during the maintenance work of such wagons, particular atte</t>
  </si>
  <si>
    <t>The IC recommends MÁV Gépészet Zrt. that during the maintenance work of such wagons, particular attention should be paid to the checking of securing plates and their replacement as required.</t>
  </si>
  <si>
    <t>HU-378/1</t>
  </si>
  <si>
    <t>The IC recommends the National Transport Authority that it should - together with the bodies concern</t>
  </si>
  <si>
    <t>The IC recommends the National Transport Authority that it should - together with the bodies concerned - re-examine the position of LC no. AS380. The NTA should also consider whether it is justified to maintain LC no. AS380 - taking into consideration that LC no. SR2 at Balatonkenese station approximately 500 metres away is secured with warning lights and half barrier, and LC no. AS373 approximately 700 metres away in the direction of Lake Balaton are much safer and there are turning lanes to both latter LCs - or whether the application of other technical instruments should be ordained.</t>
  </si>
  <si>
    <t>HU-256/1</t>
  </si>
  <si>
    <t>It would be advisable to examine whether restricting the speed of trains approaching LC AS182 would</t>
  </si>
  <si>
    <t>It would be advisable to examine whether restricting the speed of trains approaching LC AS182 would increase safety with particular attention to the fact that the vehicles using the LC may â€˜occupyâ€™ the clearance for a longer time as their size or cargo maybe larger than usual. Furthermore, vehicles carrying dangerous goods (for the road construction) may mean increased danger for railway traffic.</t>
  </si>
  <si>
    <t>HU-256/2</t>
  </si>
  <si>
    <t>The IC established that the traffic regulations in force are insufficient with regards to cases when</t>
  </si>
  <si>
    <t>The IC established that the traffic regulations in force are insufficient with regards to cases when the LC is damaged - as a result of an accident - to an extent that it can no longer function normally (e.g. its half barrier is broken) but it is not obvious from the light-messages on the signal box (e.g. the cables remained intact), there is no regulation according to which such LCs can be declared inoperative.</t>
  </si>
  <si>
    <t>HU-255/1</t>
  </si>
  <si>
    <t>Until new regulations are issued, the IC recommends that F.2 Traffic Regulations should be complemen</t>
  </si>
  <si>
    <t>Until new regulations are issued, the IC recommends that F.2 Traffic Regulations should be complemented with the following: in track sections installed with automatic block signals, if it is not possible to ascertain the traffic conditions by evaluating the light signals (reports) on the signal box, the switchover to station-distance traffic should be ordered. Furthermore, the IC recommends a new regulation which permits the traffic operation staff to switch over to â€œstation-distance trafficâ€ before the arrival of the technical staff - if circumstances require doing so.</t>
  </si>
  <si>
    <t>HU-255/2</t>
  </si>
  <si>
    <t>The IC recommends that F.2 Traffic Regulations should be further complemented with the following: li</t>
  </si>
  <si>
    <t>The IC recommends that F.2 Traffic Regulations should be further complemented with the following: light signals should be considered unserviceable, if the signalling (reporting) on their normal operation ceases.</t>
  </si>
  <si>
    <t>HU-255/3</t>
  </si>
  <si>
    <t>The IC recommends railway undertakings operating traction vehicles to work out a solution to be able</t>
  </si>
  <si>
    <t>The IC recommends railway undertakings operating traction vehicles to work out a solution to be able to control switchovers from train mode to shunting mode on the train control installations of locomotives and other traction-vehicles by checking the recordings of strip chart recorders â€“ automatically where possible. This way, engine drivers would be obliged to operate the installation as prescribed.</t>
  </si>
  <si>
    <t>HU-255/4</t>
  </si>
  <si>
    <t>The IC recommends railway undertakings employing engine drivers that in the recurrent education of e</t>
  </si>
  <si>
    <t>The IC recommends railway undertakings employing engine drivers that in the recurrent education of engine drivers, particular attention should be paid to special solutions and principles of signal boxes and train control installations which influence their daily work. (E.g. the recognition of the yellow light signal recorded by EVM 120 vigilance warning device and train control installation on insulated rail sections turning D/SR1 entry signal to â€œStopâ€ position at AlmásfüzitÅ‘ station.)</t>
  </si>
  <si>
    <t>HU-253/1</t>
  </si>
  <si>
    <t>We recommend MAV Zrt (IM) to increase the visibility of brake shoes laid on track</t>
  </si>
  <si>
    <t>HU-252/1</t>
  </si>
  <si>
    <t>In order to maintain transport safety, the IC recommends MÁV Zrt. to take measures during constructi</t>
  </si>
  <si>
    <t>In order to maintain transport safety, the IC recommends MÁV Zrt. to take measures during construction work requiring dismantling of track panels without gaps - when weather conditions may affect the work - so that railway traffic shall not be started before ensuring the stability and sufficient transversal and longitudinal resistance of the reconstructed track section and before the bedding has temporarily or permanently been resettled.</t>
  </si>
  <si>
    <t>HU-251/1</t>
  </si>
  <si>
    <t>We recommend National Transport Authority (NSA) to check up the installation of LC or in accordance</t>
  </si>
  <si>
    <t>We recommend National Transport Authority (NSA) to check up the installation of LC or in accordance with the local circumstances to check up the feasibility of abolition of this level crossing</t>
  </si>
  <si>
    <t>HU-250/1</t>
  </si>
  <si>
    <t>We recommend MAV Zrt (IM)to increase the level of safety and confidence of the train communication s</t>
  </si>
  <si>
    <t>We recommend MAV Zrt (IM)to increase the level of safety and confidence of the train communication system</t>
  </si>
  <si>
    <t>HU-250/2</t>
  </si>
  <si>
    <t>We rercommend National Transport Authority (NSA) to check up the validity of train crew's qualificat</t>
  </si>
  <si>
    <t>We rercommend National Transport Authority (NSA) to check up the validity of train crew's qualification (enacting clause)</t>
  </si>
  <si>
    <t>HU-250/3</t>
  </si>
  <si>
    <t>We recommend National Transport Authority (NSA) that the movement inspectors of KÖFI ( central con</t>
  </si>
  <si>
    <t>We recommend National Transport Authority (NSA) that the movement inspectors of KÖFI ( central control-comand and signalling system) stations shuold be involved in the process of order of departure.</t>
  </si>
  <si>
    <t>HU-250/4</t>
  </si>
  <si>
    <t>We recommend MAV Zrt (IM) to solve the problem of the high outside temperature under the reconstruct</t>
  </si>
  <si>
    <t>We recommend MAV Zrt (IM) to solve the problem of the high outside temperature under the reconstruction process of engines</t>
  </si>
  <si>
    <t>HU-248/1</t>
  </si>
  <si>
    <t>We recommend MAVZrt (IM) to provide proper visibility for drivers in accordance with safety standard</t>
  </si>
  <si>
    <t>We recommend MAVZrt (IM) to provide proper visibility for drivers in accordance with safety standards in this LC</t>
  </si>
  <si>
    <t>HU-248/2</t>
  </si>
  <si>
    <t>We recommend MAV Zrt (IM) to amend train running regulatins</t>
  </si>
  <si>
    <t>HU-248/3</t>
  </si>
  <si>
    <t>We recommend MAV Zrt (IM) to alter the signalling system to stop trains automatically in cases like</t>
  </si>
  <si>
    <t>We recommend MAV Zrt (IM) to alter the signalling system to stop trains automatically in cases like this</t>
  </si>
  <si>
    <t>HU-248/4</t>
  </si>
  <si>
    <t>We recommend MAVZrt (IM) to solve the problem of recording the conversation on traffic controllers c</t>
  </si>
  <si>
    <t>We recommend MAVZrt (IM) to solve the problem of recording the conversation on traffic controllers cell phone</t>
  </si>
  <si>
    <t>HU-248/5</t>
  </si>
  <si>
    <t>We recommend MAV Zrt (IM) to record the conversations of the movement inspectors</t>
  </si>
  <si>
    <t>HU-248/6</t>
  </si>
  <si>
    <t>We recommend MAVZrt (IM) to record the conversation on the phones of the dispatcher of signalling u</t>
  </si>
  <si>
    <t>We recommend MAVZrt (IM) to record the conversation on the phones of the dispatcher of signalling unit</t>
  </si>
  <si>
    <t>HU-1427/1</t>
  </si>
  <si>
    <t>BA2012-360-5-01A</t>
  </si>
  <si>
    <t>The investigation established that the specified sight at the level crossing in section No. 1817+54 is obstructed due to the vegetation along the railway: the reduced sight triangles are not provided, and thus the level crossing does not comply with the specifications in Article 26.3 g) of Decree 20/1984. (XII. 21.) KM. In addition, the colours of the road sign â€˜Level crossing aheadâ€™ at the southerly side of the level crossing have faded. TSB recommends Inspectorate of Transport of Somogy County Government Office to oblige the operator of the infrastructure (MÁV Co.) to provide the sight triangle as specified for the permitted speed limit in the statute of law at the level crossing between Balatonszentgyörgy and Sávoly stations in section No. 1817, and the visibility of the road sign â€˜Level crossing aheadâ€™ at the southerly side of the level crossing.</t>
  </si>
  <si>
    <t>HU-1425/1</t>
  </si>
  <si>
    <t>BA2012-315-5-01</t>
  </si>
  <si>
    <t>A KBSZ javasolja a Nemzeti Közlekedési Hatóságnak, hogy vizsgálja meg a MÁV Zrt. Biztonságirányítási Rendszerében a külsÅ‘ vállalkozások által végzett pályafenntartási munkákkal és azok átvételével kapcsolatos szabályokat, és tegye meg a szükséges intézkedéseket.</t>
  </si>
  <si>
    <t>Hungarian</t>
  </si>
  <si>
    <t>HU-1425/2</t>
  </si>
  <si>
    <t>KBSZ recommends that the National Transport Authority examines MÁV Zrt. In its Safety Management System, the rules relating to maintenance work and the taking-over of maintenance work by external undertakings and take the necessary measures.</t>
  </si>
  <si>
    <t>HU-1382/1</t>
  </si>
  <si>
    <t>BA2012-179-5-1</t>
  </si>
  <si>
    <t>During the investigation, the Investigation Committee (IC) established that, on the basis of the rules set out in Train Loading and Running Regulation no. F.2 for backing movement, nobody stays on the leading vehicle (according to the direction of travel), and thus the obligation to watch as specified in Train Loading and Running Regulation no. F.2 cannot be met, which significantly increases the risk of accidents. Transportation Safety Bureau recommends the National Transport Authority to review the safety risk of the current regulation and take steps to modify it if necessary.</t>
  </si>
  <si>
    <t>HU-1382/2</t>
  </si>
  <si>
    <t>BA2012-179-5-2</t>
  </si>
  <si>
    <t>During the investigation, the Investigation Committee established that the contact details of Tárnok Station are not indicated in the route books issued for Line no. 30. Thus, the engine drivers cannot establish direct telephone connection with the movement inspector of Tárnok Station. Transportation Safety Bureau recommends the National Transport Authority to oblige MÁV Co. to ensure, by using the enforcement procedure, required by Annex 1, point 4.2.1.2.2.1 of Decree 18/2010. (III.12.) of the Minister of Transport, Telecommunications and Energy on the technical requirements relevant to the interoperability of the operation and traffic control subsystems of the Trans-European traditional railway system and established within its safety management system, that the information handed over to the railway companies for the purpose of compilation of the line book should contain the name and contact details (via radio or other means of communication) of each district control office and control office.</t>
  </si>
  <si>
    <t>HU-1382/3</t>
  </si>
  <si>
    <t>BA2012-179-5-3</t>
  </si>
  <si>
    <t>During the investigation, the Investigation Committee established that, due to damage, the connector of the block telephone located near entry signal A at Tárnok Station cannot be used for the intended purpose, and the inoperability of the connector has not been noticed by the maintenance staff. Transportation Safety Bureau recommends the National Transport Authority to check the integrity and operability of the block telephone network and to take action if necessary.</t>
  </si>
  <si>
    <t>HU-1382/4</t>
  </si>
  <si>
    <t>BA2012-179-5-4</t>
  </si>
  <si>
    <t>During the investigation, the Investigation Committee established that the locomotive no. 91 55 0630 024-2 involved in the occurrence was not equipped with any 450 MHz radio set fit for the block network, and thus the engine driver was only able to establish contact with the traffic controller through mobile phone. Transportation Safety Bureau recommends the National Transport Authority to oblige the railway undertakings apply such radio sets on their traction units which can be used to connect to the radio network operated by the operator of the rail network.</t>
  </si>
  <si>
    <t>HU-1382/5</t>
  </si>
  <si>
    <t>BA2012-179-5-5</t>
  </si>
  <si>
    <t>During the investigation, the Investigation Committee established that, in the case of calls started from the internal telephone network of MÁV Co., the callerâ€™s phone number is always the same central phone number which cannot be called back from the public telephone network, and this may mislead the party called. Transportation Safety Bureau recommends the National Transport Authority to examine whether the potentially misleading nature of displaying a non-callable telephone number on telephones used as a communication channel for traffic control purposes represents a safety risk. If yes, please take action to eliminate such risk.</t>
  </si>
  <si>
    <t>HU-1370/1</t>
  </si>
  <si>
    <t>BA2012-126-5-01</t>
  </si>
  <si>
    <t>The Investigation Committee established that combining of the IC trains by type TRAXX locomotives at Csoma Station is performed using the type MESA23 engine radio sets installed on these locomotives. In the course of shunting, the communications transmitted were not in each case audible on the locomotive. This condition of operation may occur when two radio sets speak on the same channel concurrently, or when the button of a third radio set is depressed in transmission position during a radio exchange. Therefore, Transportation Safety Bureau recommends the National Transport Authority to examine or have examined the operation of the type MESA 23 radios installed on locomotives, across the entire network, as well as the safety risk of using such radio sets in the course of controlling the shunting movement, and to take any necessary measures in order to reduce such risk.</t>
  </si>
  <si>
    <t>HU-1367/1</t>
  </si>
  <si>
    <t>BA2012-135-5-01A</t>
  </si>
  <si>
    <t>In the course of the investigation of the train derailment accident on 25 February 2012 at Rácalmás station, the IC established, as contributing factor to the occurrence of the accident, the breakage of the locking washer of the axle bearings. The washer applied had been installed at the end of 2006 and the IC concluded from marks visible on its surface that a spent part had been used. The IC found broken, deformed washers forced into the pivots also on other bearings examined of the vehicle concerned. After the accident, RailCargo Hungaria Co. examined another vehicle (a wagon not concerned by the accident), also equipped with axle head support bearings. The IC examined the records and photos of this verification and established that one of the bearings of the vehicle examined also had a broken washer. TSB therefore recommends the NSA to obligate the railway undertakings operating and maintaining vehicles of this kind to carry out, with special attention and on a priority basis, technical inspections of the axle head washers and immediately replace broken or deformed pieces.</t>
  </si>
  <si>
    <t>HU-1367/2</t>
  </si>
  <si>
    <t>BA2012-135-02A</t>
  </si>
  <si>
    <t>In the course of the investigation of the train derailment accident on 25 February 2012 at Rácalmás station, the IC established as contributing factor to the occurrence of the accident the breakage of the tightening washer of the axle bearings. The locking washer was of worn condition, it was visible that it had not been new when mounted. The IC found bent, broken or cracked washers forced into the axle end pin also when involving other bearings in the investigation. By analysing standards and technological specifications, as well as by on-site examination of vehicle maintenance, the IC established during further investigation that the rules allow the reuse of used locking washers on condition that the washers are inspected prior to mounting. It was also established that such inspections do not always take place, and for this reason the IC does not regard the reuse of worn locking washers reliable. TSB therefore recommends the NSAto administratively forbid the reuse of the locking washers of the bearings with axle nuts. For this end, a modification of the section 3.2.3 of the standard MÁVSZ 1856-1 and the technological specification of the vehicle maintenance organizations should be initiated.</t>
  </si>
  <si>
    <t>HU-1347/1</t>
  </si>
  <si>
    <t>BA2012-094-5-01</t>
  </si>
  <si>
    <t>The IC established that Section 3.6 (and its subsections) of Brake Instruction E.2 include do not clearly specify the rules of the brake test of locomotives departing from their trains (e.g.: the method of the test, speed, place of the brake test, etc.) and in certain cases such rules cannot be applied in the practice (e.g.: the locomotive with train stops at a shunting limit signal). Transportation Safety Bureau therefore recommends the National Transport Agency (NSA) to request the railway undertaking responsible for the maintenance of Brake Inspection E.2 to perform risk assessment relevant to the brake test of hauling vehicles without their trains after starting the first shunting movement, and to initiate a modification of the relevant Instruction if necessary.</t>
  </si>
  <si>
    <t>HU-1317/1</t>
  </si>
  <si>
    <t>BA2011-608-5-01</t>
  </si>
  <si>
    <t>Transportation Safety Bureau recommends the National Transport Authority to examine the safety risk of a potential power failure at the current points-operating and train-protecting signal apparatus of the branch line of the Ferencváros Shed, and to ensure the elimination of such risk through appropriate modification of such apparatus.</t>
  </si>
  <si>
    <t>HU-1244/1</t>
  </si>
  <si>
    <t>2011-465-05-01</t>
  </si>
  <si>
    <t>TSB recommends the NTA to examine the Action Plan issued by GYSEV Zrt. and cooperate in its completion in case of conformity. (According to the Action Plan GYSEV Zrt. should install INDUSI signalling equipment, magnets where necessary on tracks at Sopron station to ensure train control being always applied, in order to decrease the consequences of a possible SPAD occurrence.)</t>
  </si>
  <si>
    <t>HU-1244/2</t>
  </si>
  <si>
    <t>2011-465-05-02</t>
  </si>
  <si>
    <t>TSB recommends the NTA to oblige GYSEV Zrt. to regulate the switch operations of train control systems also â€“ on which segments these operations are allowed â€“ on tracks equipped with different train control systems, with consideration to train protection equipments installed on locomotives of trains concerned.</t>
  </si>
  <si>
    <t>HU-1233/1</t>
  </si>
  <si>
    <t>The IC recommends the Inspectorate of Transport of the Government Office for Csongrád County to revi</t>
  </si>
  <si>
    <t>The IC recommends the Inspectorate of Transport of the Government Office for Csongrád County to revise the structure of the level crossing and take the necessary measures.</t>
  </si>
  <si>
    <t>HU-1230/1</t>
  </si>
  <si>
    <t>2011-425-05-01</t>
  </si>
  <si>
    <t>The IC established the inadequate visibility of the tools designated to stop railway vehicles from breaking away, this inefficiency resulting in situations when these tools remain under the departing vehicles and cause derailments. TSB therefore recommends the NTA to examine in cooperation with the organisations concerned the regulations related to tools designated for stopping railway vehicles from breaking away and to propose the introduction of a tool or signal appropriate for clear indication, perceptible from a larger distance, of the application of a tool of this kind under a certain vehicle.</t>
  </si>
  <si>
    <t>HU-1227/1</t>
  </si>
  <si>
    <t>2011-376-05-01</t>
  </si>
  <si>
    <t>TSB recommends the Inspectorate of Transport of Somogy County Government Office to examine the LC and the traffic order in the level crossing, as well as traffic habits in the area, and take the necessary measures according to the findings.</t>
  </si>
  <si>
    <t>HU-1183/1</t>
  </si>
  <si>
    <t>The IC recommends the Inspectorate of Transport of the Government Office for Borsod-Abaúj-Zemplén Co</t>
  </si>
  <si>
    <t>The IC recommends the Inspectorate of Transport of the Government Office for Borsod-Abaúj-Zemplén County to revise the structure of the level crossing in the railway section no 199+95 between Bodrogkeresztúr and Olaszliszka-Tolcsva stations, with particular attention to quantitative and qualitative requirements on road traffic signs and visibility conditions and take the necessary measures according to the investigation conducted.</t>
  </si>
  <si>
    <t>HU-1180/1</t>
  </si>
  <si>
    <t>The IC recommends the Inspectorate of Transport of the Government Office for Vas County to obligate</t>
  </si>
  <si>
    <t>The IC recommends the Inspectorate of Transport of the Government Office for Vas County to obligate the undertaking operating the infrastructure (MÁV Co.) to ensure the sight triangle obstructed by the dense vegetation (trees, bushes) in the level crossing protected by the light signal no. AS24 in the railway section no. 24+97 between ÖlbÅ‘-Alsószeleste and Porpác stations.</t>
  </si>
  <si>
    <t>HU-1178/1</t>
  </si>
  <si>
    <t>2011-213-5-01</t>
  </si>
  <si>
    <t>Transportation Safety Bureau recommends the Inspectorate of Transport of the Government Office for Szabolcs-Szatmár-Bereg County to examine the design of the level crossing and take the necessary measures according to the findings.</t>
  </si>
  <si>
    <t>HU-1177/1</t>
  </si>
  <si>
    <t>2011-211-05-01A</t>
  </si>
  <si>
    <t>MÁV Zrt., GYSEV Zrt., as well as BKV Zrt. â€“ being the main railway infrastructure operators in Hungary â€“ should implement at every location equipped with safety installation the application of a checklist accessible for the whole traffic management crew, listing related to each field of activity the special tasks different from the general routines, to be completed in case of certain not ordinary traffic situations.</t>
  </si>
  <si>
    <t>HU-1177/2</t>
  </si>
  <si>
    <t>2011-211-05-02A</t>
  </si>
  <si>
    <t>The unit responsible for the maintenance of Train Loading and Running Regulation no. F.2, in co-operation with the unit responsible for the maintenance of Regulation no. E.1 concerning staff of locomotives, should develop a checklist available on locomotives that determines for the crew of the locomotive the special procedures, tasks, different from the general routine, to be applied in case of certain not ordinary traffic situations.</t>
  </si>
  <si>
    <t>HU-1177/3</t>
  </si>
  <si>
    <t>2011-211-05-03A</t>
  </si>
  <si>
    <t>TSB recommends the Minister of National Development to examine the possibility of an amendment in section 36 (2) of the abovementioned decree to the provision specifying 1st January 2013 as date of entry in force, so that the regulation included would be â€“ without prejudice to the preparation period necessary â€“ applicable as soon as possible for every activity involved in railway safety.</t>
  </si>
  <si>
    <t>HU-1177/4</t>
  </si>
  <si>
    <t>2011-211-05-04A</t>
  </si>
  <si>
    <t>During registration phase of the training organization process, the NTA (the NSA) should draw the attention of the parties concerned to include with particular emphasis in the professional content of their recurrent trainings the rules and procedures that differ from the daily routine and are applicable in extraordinary traffic situations.</t>
  </si>
  <si>
    <t>HU-1177/5</t>
  </si>
  <si>
    <t>2011-211-05-05A</t>
  </si>
  <si>
    <t>The NTA (NSA) should invite the examination centre under its supervision to include with particular emphasis in the basic and recurrent examinations content and regularly check the knowledge on rules and procedures applicable in extraordinary traffic situations.</t>
  </si>
  <si>
    <t>HU-1177/6</t>
  </si>
  <si>
    <t>2011-211-05-06A</t>
  </si>
  <si>
    <t>The NTA (NSA) should implement as soon as possible the procedure that ensures the control of professional knowledge of the personnel involved in traffic situations affecting railway safety and should apply, when necessary, the provisions of section 22 (3) of Decree 19/2011 (V.10.) of the Minister of National Development, according to which employees with insufficient knowledge shall be required to take recurrent examinations.</t>
  </si>
  <si>
    <t>HU-1158/1</t>
  </si>
  <si>
    <t>BA2011-128-5-1</t>
  </si>
  <si>
    <t>Transportation Safety Bureau recommends the National Transport Authority to ensure that the rules applied on privately owned rail networks should be aligned with the rules of the rail network from which such privately owned networks branch off.</t>
  </si>
  <si>
    <t>HU-1157/1</t>
  </si>
  <si>
    <t>Revision of the structure of the level crossing</t>
  </si>
  <si>
    <t>TSB recommends the Government Office of the Capital City Budapest to examine the structure of the level crossing in the railway section no. 87+68 between Háros and Nagytétény-Diósd stations, with particular attention to the crossing with the footpath and bikeway parallel to the road (pedestrian gate â€“ â€œlabyrinth barrierâ€, visibility of the warning light signal) and take the necessary measures according to the investigation conducted.</t>
  </si>
  <si>
    <t>HU-1155/1</t>
  </si>
  <si>
    <t>The IC recommends the NSA to have the rules regarding restricted visibility in the Train loading and</t>
  </si>
  <si>
    <t>The IC recommends the NSA to have the rules regarding restricted visibility in the Train loading and running regulations no. F.2 revised on those KÖFI lines on which no movements inspectors are in charge of ensuring for traffic controllers the availability of the necessary information regarding the occurrence of certain ambient conditions affecting â€“ in some cases considerably â€“ the train service.</t>
  </si>
  <si>
    <t>HU-1155/2</t>
  </si>
  <si>
    <t>In order to reduce safety risks the IC recommends MÁV Co. to specify for Boba-Bajánsenye oh. railway</t>
  </si>
  <si>
    <t>In order to reduce safety risks the IC recommends MÁV Co. to specify for Boba-Bajánsenye oh. railway line (like in the case of other railway lines of similar structure) that train crossings are not carried out with parallel movements, that is, clear indication for the train travelling from the opposite direction should not appear on the entry signal before the movements inspector at the traffic control station receives information that the trains had stopped.</t>
  </si>
  <si>
    <t>HU-1072/1</t>
  </si>
  <si>
    <t>The IC recommends the National Transport Authority to review whether or not the required resources a</t>
  </si>
  <si>
    <t>The IC recommends the National Transport Authority to review whether or not the required resources are provided for the infrastructure manager - in harmony with the operation licence - and whether the way they use the resources fulfils the safety requirements at the location of the accident (financial and professional suitability).</t>
  </si>
  <si>
    <t>HU-1070/1</t>
  </si>
  <si>
    <t>BA2011-425-5-01</t>
  </si>
  <si>
    <t>HU-1069/1</t>
  </si>
  <si>
    <t>HU-1050/1</t>
  </si>
  <si>
    <t>The IC recommends the NSA to revise in co-operation with the railway undertakings concerned the rule</t>
  </si>
  <si>
    <t>The IC recommends the NSA to revise in co-operation with the railway undertakings concerned the rules regarding â€œjunction freight serviceâ€, take effective measures for the precise determination of the stations served by a junction freight service station, in order to ensure the allowance in justified cases only of runnings with no train protection systems conforming to the infrastructure requirements.</t>
  </si>
  <si>
    <t>HU-1045/1</t>
  </si>
  <si>
    <t>The IC recommends the NSA to focus their control programme on the compliance with existing operation</t>
  </si>
  <si>
    <t>The IC recommends the NSA to focus their control programme on the compliance with existing operational rules and the fulfilment of the conditions meant to ensure it.</t>
  </si>
  <si>
    <t>HU-1027/1</t>
  </si>
  <si>
    <t>the IC recommends the NTA to examine the LC, including the visibility of the warning lights with spe</t>
  </si>
  <si>
    <t>the IC recommends the NTA to examine the LC, including the visibility of the warning lights with special emphasis on heavy lorries which take up most of the traffic at the LC, and take the necessary actions.</t>
  </si>
  <si>
    <t>HU-1027/2</t>
  </si>
  <si>
    <t>the IC recommends the NTA to examine the LC with particular attention to the reduced visibility tria</t>
  </si>
  <si>
    <t>the IC recommends the NTA to examine the LC with particular attention to the reduced visibility triangles, and take the necessary actions.</t>
  </si>
  <si>
    <t>HU-1024/1</t>
  </si>
  <si>
    <t>The IC recommends the National Transport Authority to examine concerning the level crossing located</t>
  </si>
  <si>
    <t>The IC recommends the National Transport Authority to examine concerning the level crossing located on railway line no.110 in the railway section no. 313+59, within the municipality boundaries of Nyírmihálydi, the traffic order on the streets leading to the level crossing and those connected to them, the presence or absence of traffic signs, and â€“ having regard to the low crossing angle â€“ examine the adequacy of sight triangles, and take the necessary measures according to the investigation conducted.</t>
  </si>
  <si>
    <t>HU-1012/1</t>
  </si>
  <si>
    <t>In the course of the investigation the IC has found deficiencies on line no. 71 at the unprotected l</t>
  </si>
  <si>
    <t>In the course of the investigation the IC has found deficiencies on line no. 71 at the unprotected level crossing in the railway section no. 235+95 between Årbottyán and Vácrátót stations. Therefore, the IC recommends the Inspectorate of Transport of the Government Office for Pest County to examine the structure of the level crossing concerned and according to the findings take the necessary measures to eliminate the deficiencies.</t>
  </si>
  <si>
    <t>HU-1011/1</t>
  </si>
  <si>
    <t>The IC recommends NSA and the Railway Examination and Certification Centre to take notice of importa</t>
  </si>
  <si>
    <t>The IC recommends NSA and the Railway Examination and Certification Centre to take notice of importance of the notification to the emergency services in the process of making the schedule of both basic and periodic training for the train crew. They should draw the train crewâ€™s attention to notify to the emergency services even in that case when the official notification procedures are not available.</t>
  </si>
  <si>
    <t>HU-1010/1</t>
  </si>
  <si>
    <t>The IC recommends the NTA to obligate the infrastructure manager (MÁV Zrt.) to ensure the reduced vi</t>
  </si>
  <si>
    <t>The IC recommends the NTA to obligate the infrastructure manager (MÁV Zrt.) to ensure the reduced visibility triangle (which is not ensured at present due to the thick vegetation) at LC no. AS386 between Pápa and Vaszar stations. The justification of the safety recommendation is that neither the reduced nor the full visibility triangle is ensured at present at the LC in railway section no. 386, which creates risks in both road and railway transport as the vehicles cannot always see each other.</t>
  </si>
  <si>
    <t>HU-1009/1</t>
  </si>
  <si>
    <t>The IC recommends the NTA to obligate the undertakings operating the locomotives to ensure in case o</t>
  </si>
  <si>
    <t>The IC recommends the NTA to obligate the undertakings operating the locomotives to ensure in case of locomotives regularly hauling trains that run with less than 20 braked axles the proper safety of the brake cylinder stroke operation until the end of the test cycle time by modifying the regulation parameters or by shortening the cycle time.</t>
  </si>
  <si>
    <t>HU-1009/2</t>
  </si>
  <si>
    <t>The IC recommends MÁV-TRAKCIÓ Co. to equip locomotives of series V34 with (mechanical or electronic)</t>
  </si>
  <si>
    <t>The IC recommends MÁV-TRAKCIÓ Co. to equip locomotives of series V34 with (mechanical or electronic) brake cylinder stroke display installations.</t>
  </si>
  <si>
    <t>HU-1008/1</t>
  </si>
  <si>
    <t>the IC recommends the NTA to examine the construction of the LC between Nyékládháza and HejÅ‘keresztú</t>
  </si>
  <si>
    <t>the IC recommends the NTA to examine the construction of the LC between Nyékládháza and HejÅ‘keresztúr stations in railway section no. 13+75, with special emphasis on the visibility of the warning lights, and take the necessary actions after the completion of the examination.</t>
  </si>
  <si>
    <t>HU-1008/2</t>
  </si>
  <si>
    <t>the IC recommends the NTA to examine the LC, with special emphasis on the visibility triangle, and t</t>
  </si>
  <si>
    <t>the IC recommends the NTA to examine the LC, with special emphasis on the visibility triangle, and take the necessary actions after the completion of the examination. By ensuring the required visibility triangle, both the railway and road vehicles would clearly see the LC, which reduces the risk of further accidents</t>
  </si>
  <si>
    <t>HU-1008/3</t>
  </si>
  <si>
    <t>the IC recommends the NTA to examine the signposting of the LC on the road, and take the necessary a</t>
  </si>
  <si>
    <t>the IC recommends the NTA to examine the signposting of the LC on the road, and take the necessary actions after the completion of the examination</t>
  </si>
  <si>
    <t>HU-1003/1</t>
  </si>
  <si>
    <t>The IC recommends the NTA to examine the construction of the LC between Makó and Apátfalva stations</t>
  </si>
  <si>
    <t>The IC recommends the NTA to examine the construction of the LC between Makó and Apátfalva stations in railway section no. 795+76; the visibility and adequacy of the signposts on the road before the LC and take the necessary actions after the completion of the examination.</t>
  </si>
  <si>
    <t>HU-0083/1</t>
  </si>
  <si>
    <t>BA2012-483-5-01A</t>
  </si>
  <si>
    <t>A Nemzeti Közlekedési Hatóság kötelezze az infrastruktúra mÅ±ködtetÅ‘jét, hogy Tárnok állomás ideiglenes biztosító berendezésén az oldalvédelmi hiányosságot azonnali hatállyal szüntesse meg. A biztosító berendezés átalakításáig a MÁV Zrt. a forgalom lebonyolításának megszervezésével biztosítsa, hogy állomástávolságú közlekedés esetén a hasonló esetek elkerülhetÅ‘ek legyenek.</t>
  </si>
  <si>
    <t>HU-0083/2</t>
  </si>
  <si>
    <t>The National Transport Authority shall require the infrastructure manager to correct the site protection deficiency on the temporary safety device of The Tárnok station with immediate effect. Until the equipment is modified, MÁV Zrt. shall ensure that similar cases can be avoided in the case of station-spacing traffic by organising the conduct of traffic.</t>
  </si>
  <si>
    <t>HU-0083/3</t>
  </si>
  <si>
    <t>BA2012-483-5-02</t>
  </si>
  <si>
    <t>A KBSZ javasolja a Nemzeti Közlekedési Hatóságnak, hogy kötelezze a pályahálózat mÅ±ködtetÅ‘ket arra, hogy a megváltozott infrastrukturális helyzetrÅ‘l az adatok pályavasúti portálon történÅ‘ nyilvánosságra hozatalától számított 14 napig Írásbeli rendelkezésen értesítsék a vonatok mozdonyvezetÅ‘it a megváltozott helyzetrÅ‘l.</t>
  </si>
  <si>
    <t>HU-0083/4</t>
  </si>
  <si>
    <t>It is recommended that the National Transport Authority require infrastructure operators to provide written information on the changed infrastructure situation for 14 days from the date of publication of the data on the track rail portal train drivers of the changed situation.</t>
  </si>
  <si>
    <t>HU-0083/5</t>
  </si>
  <si>
    <t>BA2012-483-5-03</t>
  </si>
  <si>
    <t>A KBSZ javasolja a Nemzeti Közlekedési Hatóságnak, hogy kötelezze a pályahálózat mÅ±ködtetÅ‘jét arra, hogy az Érd-elágazás és Tárnok állomások között, a 14 sz. szelvényben lévÅ‘ térközjelzÅ‘re a jogszabályban elÅ‘írt rálátást biztosítsa.</t>
  </si>
  <si>
    <t>HU-0083/6</t>
  </si>
  <si>
    <t>KBSZ proposes that the National Transport Authority will be obliged to require the infrastructure manager to use the infrastructure between Érd junction and Tárnok stations in accordance with Article 14. the statutory visibility of the section.</t>
  </si>
  <si>
    <t>HU-0104/1</t>
  </si>
  <si>
    <t>BA2012-443-5-01A</t>
  </si>
  <si>
    <t>The IC established that, at Budapest-Déli Railway Station, the parts of Tracks I to III falling to the switching zone side are not sufficiently visible due to the built environment which limits visibility, and thus it is fairly complicated to provide visibility of the track as specified in point 27.4. of Instruction F.2 when setting the tracks for trains approaching and leaving those tracks. Due to the aforesaid, TSB Hungary recommends National Transport Authority to inspect, out of turn, the fulfilment of the obligation to provide track visibility Budapest-Déli Railway Station as specified in point 27.4. of Instruction F.2 and in the Station Instructions, and to take action if necessary for the sake of providing the conditions of compliance with the requirements which may take place either by technical development (e.g. installation of cameras) or by measures of organising of work.</t>
  </si>
  <si>
    <t>HU-0359/1</t>
  </si>
  <si>
    <t>BA2012-705-5-01</t>
  </si>
  <si>
    <t>During the investigation, the Investigation Committee found that the system of the rail network operator includes no regulation to determine the degree of limitation (exclusion) to be introduced in function of the deviation of the dimensions of turnouts from the standard dimensions. Transportation Safety Bureau therefore recommends the National Transport Authority to approve the next modification to the track supervision instructions and maintenance rules only if the definitions of procedures and limitations necessary in function of the deviation of the dimensions of turnouts are included in them.</t>
  </si>
  <si>
    <t>HU-0657/1</t>
  </si>
  <si>
    <t>BA2012-402-5-01A:</t>
  </si>
  <si>
    <t>It was established during the investigation that the required visibility at the level crossing in Section 731+58 between Baja and Mátéházapuszta railway stations is not available due the vegetation along the track, i.e. the reduced sight triangles are not provided, and thus, the level crossing does not comply with the provisions in point g) Section 26.3 of Decree 20/1984. (XII. 21.) KM. In addition, the colours of the road sign â€˜beginning of railway crossingâ€™ at the southern side of the level crossing have faded. TSB Hungary recommends Inspectorate of Transport of Bács-Kiskun County Government Office to review the layout of the level crossing and, if necessary, obligate the responsible entity to provide the layout as specified in the relevant statute of law.</t>
  </si>
  <si>
    <t>HU-1073/1</t>
  </si>
  <si>
    <t>2011-011-05-01A</t>
  </si>
  <si>
    <t>TSB recommends the Inspectorate of Transport, Government Office of the Capital City Budapest, to oblige the operator of the road to change the current traffic order in the unprotected level crossing located in section no. 135+77 in such manner that those arriving from Vasút Street should not be allowed to turn left into NagykÅ‘rösi Road or to cross NagykÅ‘rösi Road but should only be allowed to turn right, with an effect lasting until the introduction of the new traffic technology at the level crossing and its surroundings and the putting into service of the barrier installation.</t>
  </si>
  <si>
    <t>HU-2225/1</t>
  </si>
  <si>
    <t>BA2013-296-5-01</t>
  </si>
  <si>
    <t>A KBSZ javasolja a Nemzeti Közlekedési Hatóságnak, hogy kötelezze üzembentartókat a központi, vonóvezetékes állítású váltók karbantartási szabályai kockázatelemzésének elvégzésére és a feltárt kockázatok csökkentéséhez szükséges intézkedések meghozatalára.</t>
  </si>
  <si>
    <t>HU-2225/2</t>
  </si>
  <si>
    <t>It is recommendedthat the National Transport Authority obliges operators to carry out a risk assessment of the maintenance rules for central, drawbar-based switches and to take the necessary measures to reduce the risks identified.</t>
  </si>
  <si>
    <t>HU-2317/1</t>
  </si>
  <si>
    <t xml:space="preserve"> BA2013-367-5-01A</t>
  </si>
  <si>
    <t>The IC recommends the Inspectorate of Transport of the Government Office for Veszprem County to revise the structure of the level crossing involved in the occurrence, with particular attention to quantitative and qualitative requirements on road traffic signs and visibility conditions and take the necessary measures according to the investigation conducted.</t>
  </si>
  <si>
    <t>HU-0758/1</t>
  </si>
  <si>
    <t>BA2012-637-5-01</t>
  </si>
  <si>
    <t>The Investigation Committee found that the members of the train crew are not trained to operate the safety installations of each wagon type they manage, although they may travel on wagons they are not familiar with, so they are expected to know how to use the safety installations of those vehicles as well. Therefore, Transport Safety Bureau (TSB) recommends the minister responsible for transport to include in the regulations that the train crew should also be obliged to receive training, in an appropriately defined system, in the knowledge of the wagon types, and they should be allowed to serve on trains which they have been qualified for.</t>
  </si>
  <si>
    <t>HU-2632/1</t>
  </si>
  <si>
    <t>BA2013-666-5-01A</t>
  </si>
  <si>
    <t>TSB Hungary recommends the Inspectorate of Transport of Gyor-Moson-Sopron County Government Office to obligate the upkeeper of the infrastructure (MÁV Ltd.) to provide the triangle required by the regulation according to the relevant speed limit, and to obligate the upkeeper of the road to place the road signs properly.</t>
  </si>
  <si>
    <t>HU-2632/2</t>
  </si>
  <si>
    <t>BA2013-666-5-02</t>
  </si>
  <si>
    <t>TSB Hungary recommends National Transport Authority to examine in its safety management system the procedure of providing the assets required for keeping the sight triangles clear as well as the actual provision of such assets.</t>
  </si>
  <si>
    <t>HU-2632/3</t>
  </si>
  <si>
    <t>BA2013-666-5-03</t>
  </si>
  <si>
    <t>TSB Hungary recommends the inspectorates of transport of the county government offices to check also the sight triangles at the level crossings during their inspections, and, if necessary, to take actions to have such triangles cleared or alternative safety measures taken.</t>
  </si>
  <si>
    <t>HU-2864/1</t>
  </si>
  <si>
    <t>BA2013-887-5-01A</t>
  </si>
  <si>
    <t>A KBSZ javasolja a Nemzeti Közlekedési Hatóságnak a Vörösmarty tér váltókörzetben a jelenlegi sínkenési technológia felülvizsgálatát, szükség esetén módosítását.</t>
  </si>
  <si>
    <t>HU-2864/2</t>
  </si>
  <si>
    <t>The TSB recommends to the National Transport Authority to review and, if necessary, amend the current track lubrication technology in the Red Marty Square Replacement Area.</t>
  </si>
  <si>
    <t>HU-0053/1</t>
  </si>
  <si>
    <t>BA2012-475-5-01</t>
  </si>
  <si>
    <t>In the course of the investigation, the IC established that the regulation concerning local railways specified only maintenance and action limits for the depth of the side wear of rails, but the rules did not determine measures to be taken, speed limits to be applied or values that require declaration as unserviceable of the rail. Transportation Safety Bureau recommends the National Transport Authority to initiate consultations with the operators of local railways in order to discuss improvement of the regulation. As a result, measures to be taken and/or speed limitations to be applied, as well as values requiring declaration of the rail as unserviceable should be included in the regulation in relation with the limits specified on the acceptable wear of the rails.</t>
  </si>
  <si>
    <t>HU-0053/2</t>
  </si>
  <si>
    <t>In the course of the investigation, the IC established that safety verifications of works carried out on the tracks (e.g. welding) did not have the required effectiveness. Transportation Safety Bureau recommends the National Transport Authority to revise work acceptance rules and application of these by the operators of the local railways, in order to assure, by improving and enforcing these rules (when necessary), that only safe tracks are released to service.</t>
  </si>
  <si>
    <t>HU-0126/1</t>
  </si>
  <si>
    <t>BA2012-538-5-01</t>
  </si>
  <si>
    <t>It was established during the investigation that, in the technically unprotected level crossing located in section 64+80 between KÅ‘szeg and Szombathely stations, the quality of the road surface is poorer than that of the asphalt road leading to the level crossing, and thus the level crossing does not comply with the requirements set out in Article 9 (5) of Decree no. 20/1984. (XII. 21.) of the Minister of Transport. Transportation Safety Bureau recommends Inspectorate of Transport, Government Office of Vas County, to examine the layout of that level crossing and oblige the parties concerned to ensure the condition specified in the statute of law mentioned above.</t>
  </si>
  <si>
    <t>HU-3024/1</t>
  </si>
  <si>
    <t>BA2013-938-5-01A</t>
  </si>
  <si>
    <t>The Investigation Committee established that each of the 8 wagons affected by the derailment of the train no. 65822-1 at Hatvan station on 4 November 2013, as well as five of the six further wagons (chosen randomly) of the same train, was qualified â€žNON-COMPLIANTâ€ at the wheel load measurement. In two of the derailed wagons, the measured qR values indicated such degrees of wear which jeopardise safe operation. The affected vehicles are owned by RailCargoHungaria Zrt. Therefore, TSB recommends National Transport Authority (NSA) to order an extraordinary inspection of the flat wagons with subserial no. 390, 391, 393 owned by RailCargoHungaria Zrt. in a garage, to check whether the safe operation of such vehicles is provided.</t>
  </si>
  <si>
    <t>HU-3025/1</t>
  </si>
  <si>
    <t>BA2013-766-5-01</t>
  </si>
  <si>
    <t>In the case of extraordinary events and capacity narrowing, the Network Statement specifies obligations for the infrastructure manager only, but none for the railway un-dertakings with access rights. Consequently, the railway undertakings are not obliged to co-operate and reduce the number of moving trains in such cases, and so, it is diffi-cult to prevent and manage the accompanying traffic jams. Transportation Bureau of Hungary recommends Rail Capacity Alloca-tion Office Ltd. to elaborate a regulation which will obligate railway un-dertakings to co-operate and take actions in extraordinary situations in order to make traffic management as efficient as possible.</t>
  </si>
  <si>
    <t>HU-3025/2</t>
  </si>
  <si>
    <t>BA2013-766-5-02</t>
  </si>
  <si>
    <t>At those stations in the national rail network where the departure of a train only affects one switching zone and maximum one exit signal, the authorisation issued partly or wholly by hand signal device also implies the information that the train may enter the interstation section. At those stations where a departing train passes several exit sig-nals the above situation does not occur, which may easily lead to a mistake because the train crew will not receive a pre-signal relevant to the next exit signal. Transportation Bureau of Hungary recommends National Transport Agency to take into account during approval of the next revision of the Train Loading and Running Regulations No. 2 that in the case of paths involving more than one exit signal if the first exit signal does not display a clear signal and the second exit signal is at danger (â€œStop!â€) then the rule of interoperability of conventional railway sys-tems specified in Section 3.1.1.3.2 of the GKM Decree 103/2003 (XII.27) cannot work.</t>
  </si>
  <si>
    <t>HU-3025/3</t>
  </si>
  <si>
    <t>BA2013-766-5-03</t>
  </si>
  <si>
    <t>The Train Loading and Running Regulations No. 2 Does not require a safety distance of 50 m between simultaneously set up departure and arrival paths; it only requires such safety distance in the case of two arriving trains, although both situations imply similar danger, i.e. the risk of collision of the trains. Transportation Bureau of Hungary recommends National Transport Agency to take into account during approval of the next revision of the Train Loading and Running Regulations No. 2 the risks of transacting simultaneous movements which jeopardise each other.</t>
  </si>
  <si>
    <t>HU-3025/4</t>
  </si>
  <si>
    <t>BA2013-766-5-04</t>
  </si>
  <si>
    <t>Currently, there is no such source of information at the stations in the national railway network which contains the details relating to the existence of safety distances to be observed when setting up paths, although the Train Loading and Running Regulations No. 2 requires its availability. Transportation Bureau of Hungary recommends National Transport Agency to check how the regulation â€“ which is part of the Safety Management System â€“ is enforced in this aspect.</t>
  </si>
  <si>
    <t>HU-3025/5</t>
  </si>
  <si>
    <t>BA2013-766-5-05</t>
  </si>
  <si>
    <t>There are individual exit signals at the down-side end of the tracks â€œIII.aâ€, â€œIV.aâ€, â€œV.aâ€, and â€œVI.aâ€ at Kelenföld station. The locomotive drivers of the passenger trains stop-ping in front of these signals must be authorised by previous signal handling and a hand signal device, according to the relevant rules. Such authorisation does not actu-ally take place. Transportation Bureau of Hungary recommends National Transport Agency to inspect the enforcement of the relevant rule and to check the enforcement of the relevant rule at Kelenföld station, and to obligate the infrastructure manager to take appropriate measures.</t>
  </si>
  <si>
    <t>HU-2585/1</t>
  </si>
  <si>
    <t>BA2013-458-5-01</t>
  </si>
  <si>
    <t>NIB Hungary recommends National Safety Authority to inspect whether the internal processes and requirements of MÁV Ltd. are suitable from the aspect of achieving the safety goals specified in the Safety Management Manual, with special regard to the identifying and evaluation of the safety risks caused by the size deviations found during maintenance of the turnouts, and to regulated management of the risks identified.</t>
  </si>
  <si>
    <t>HU-3386/1</t>
  </si>
  <si>
    <t>2016-0216-5-01A</t>
  </si>
  <si>
    <t>TSB recommends the Inspectorate of Transport of Csongrád County Government Office to take action to have the layout of the road improved and to limit motor vehicle traffic until such improvement is performed.</t>
  </si>
  <si>
    <t>HU-3386/2</t>
  </si>
  <si>
    <t>2016-0216-5-02A</t>
  </si>
  <si>
    <t>TSB recommends the Inspectorate of Transport of Csongrád County Government Office to obligate the owners of the affected lands to remove the vegetation which blocks the sight triangle.</t>
  </si>
  <si>
    <t>HU-3800/1</t>
  </si>
  <si>
    <t>BA2014-617-5-01A</t>
  </si>
  <si>
    <t>The technical investigation established that the required sight is insufficient at the unprotected level crossing in Railway Section No. 1610 between Búcsúszentlászló and Zalaszentmihály-Pacsa stations due to the terrain features and vegetation along the railway; the minimal sight triangles are insufficient, and thus the level crossing does not comply with Section 26.3 g), Annex to KM Decree 20/1984 (XII. 21.). TSB recommends the Inspectorate of Transport of Zala County Government Office to review the design of the level crossing and obligate the responsible entities to provide the conditions required in the relevant rules of law.</t>
  </si>
  <si>
    <t>HU-3800/2</t>
  </si>
  <si>
    <t>A vizsgálat során megállapítást nyert, hogy Búcsúszentlászló és Zalaszentmihály-Pacsa állomások között az 1610 sz. szelvényben lévÅ‘ nem biztosított útátjárónál az elÅ‘írt rálátás a vasúti pálya mellett húzódó domborzat és növényzet miatt nem szabad, a csökkentett rálátási háromszögek nem biztosítottak, az útátjáró nem felel meg a 20/1984. (XII. 21.) KM rendelet mellékletének 26.3 g) pontjában foglaltaknak. A KBSZ javasolja a Zala Megyei Kormányhivatal Közlekedési FelügyelÅ‘ségének, hogy vizsgálja meg az átjáró kialakítását, és szükség esetén kötelezze az érintetteket a jogszabályokban meghatározott állapot biztosítására.</t>
  </si>
  <si>
    <t>HU-3027/1</t>
  </si>
  <si>
    <t>BA2013-667-5-01</t>
  </si>
  <si>
    <t>Open/close feedback signal is integrated into the doors of Bz DMU (diesel multiply unit) operating on the Hungarian network but due to construction failure of the end-position control panel on the doors, it is not enable to controll reliable. Therefore the feedback is systemtically wrong and does not make an alarm in certain case of clamped part of body. National Safety Body recommend National Safety Authority to authorise the construction and the reliability of end-position control in Bz DMU and take actions if it is necessary.</t>
  </si>
  <si>
    <t>HU-3027/2</t>
  </si>
  <si>
    <t>A Magyarországon üzemelÄ± Bz motorvonatok ajtóiba ugyan be van építve nyitott/zárt helyzetet gépi visszajelentése, de az ajtók és az ajtó-végállás ellenÄ±rzés konstrukciója nem teszi lehetÄ±vé a megbízható ellenÄ±rzését. Emiatt a visszajelentés rendszeresen hamis, illetve egy odazárt testrész nem feltétlenül észlelhetÄ±. A Közlekedésbiztonsági Szervezet javasolja a Nemzeti Közlekedési Hatóságnak, hogy vizsgálja meg a Bz motorvonatok ajtó-végállás ellenÄ±rzésének konstrukcióját, megbízhatóságát, és ha szükséges, írjon elÄ± átalakításokat. Az ajánlás elfogadása és végrehajtása esetén észlelhetÄ±vé válik, ha valakit az ajtó odazár.</t>
  </si>
  <si>
    <t>HU-3101/1</t>
  </si>
  <si>
    <t>BA2013-1118-5-01</t>
  </si>
  <si>
    <t>In case of emergency or any other critical situation in LCâ€™s (level crossings) you can be in a dangerous situation if you want to take notification due to the lack of clear identification of LCâ€™s. National Safety Body recommend Minister responsible for transportation to prescribe in the law related to LCâ€™s sings how could LCâ€™s be clearly identified for calling assisstance in a dangerous situation.</t>
  </si>
  <si>
    <t>HU-3101/2</t>
  </si>
  <si>
    <t>BA2013-1118-5-02</t>
  </si>
  <si>
    <t>Fire-working under the overhead wire requires that the groundig procedure has been done and prooved with written permission, nevertheless, this procedure would take as long time as fire work is not an issue anymore. National Safety Body recommend National Safety Authority to authorise the groundig procedure in an emergency situation (especially responsible persons, tools, rules, etc.) through the SMS of IM and take actions if it is necessary.</t>
  </si>
  <si>
    <t>HU-3613/1</t>
  </si>
  <si>
    <t>BA2014-441-5-01A</t>
  </si>
  <si>
    <t>The technical investigation established that the required visibility at the level crossing in the railway section No. 197 between Veresegyház and Årbottyán stations is not provided due to the terrain and vegetation along the railway track, and thus, the level crossing does not comply with the requirements specified in Section c6.3 g) of the Annex to the KM Decree 20/1984. (XII. 21.). Further, there is a speed bump 4 m before the â€œlevel crossingâ€ sign at each side of the level crossing, which may distract the drivers of the road vehicles approaching the level crossing, and which increases the time of crossing and the risk of getting stuck. The â€œlevel crossing aheadâ€ sign placed at the east side of the level crossing is bent, the signs indicating the level crossing are hidden by the vegetation, and the â€œlevel crossingâ€ sign for the railway at the end point side of the level crossing is missing. TSB recommends the Inspectorate of Transport of Pest County Government Office to review the design of the level crossing and, if necessary, obligate the responsible entities to provide the conditions required in the relevant rules of law.</t>
  </si>
  <si>
    <t>HU-3613/2</t>
  </si>
  <si>
    <t>A vizsgálat során megállapítást nyert, hogy Veresegyház és Årbottyán állomások között a 197 sz. szelvényben lévÅ‘ útátjárónál az elÅ‘írt rálátás a vasúti pálya mellett húzódó domborzat és növényzet miatt nem szabad, a csökkentett rálátási háromszögek nem biztosítottak, az útátjáró nem felel meg a 20/1984. (XII. 21.) KM rendelet mellékletének 26.3 g) pontjában foglaltaknak. Továbbá az átjáró mindkét oldalán a â€žvasúti átjáró kezdeteâ€ tábla elÅ‘tt 4 m-re sebességcsillapító eszköz (fekvÅ‘rendÅ‘r) található, amely az átjáró felé közeledÅ‘ közúti jármÅ±vezetÅ‘k figyelmét elvonhatja, hosszabb jármÅ±vek közlekedése esetén az útátjárón történÅ‘ áthaladás idejét megnöveli, az esetleges elakadás veszélyét megnöveli. Az átjáró keleti oldalán elhelyezett â€žvasúti átjáró kezdeteâ€ tábla görbült, a â€žvasúti átjáróra figyelmeztetÅ‘â€ táblákat növényzet takarja, az útátjáró végponti oldala felÅ‘li â€žútátjáró jelzÅ‘â€ hiányzik. A KBSZ javasolja a Pest Megyei Kormányhivatal Közlekedési FelügyelÅ‘ségének, hogy vizsgálja meg az átjáró kialakítását, és szükség esetén kötelezze az érintetteket a jogszabályokban meghatározott állapot biztosítására.</t>
  </si>
  <si>
    <t>HU-4457/1</t>
  </si>
  <si>
    <t>BA2014-0720-5-01</t>
  </si>
  <si>
    <t>A KBSZ javasolja a Nemzeti Fejlesztési Minisztériumnak, mint a jogszabály elÅ‘készítÅ‘jének, hogy tegyen javaslatot a vasúti közlekedés biztonságával összefüggÅ‘ munkaköröket betöltÅ‘ munkavállalókkal szemben támasztott egészségügyi követelményekrÅ‘l és az egészségügyi vizsgálat rendjérÅ‘l szóló 203/2009. (IX.18.) Korm. rendelet módosítására oly módon, hogy a pszichikai vizsgálat a jogszabályban meghatározott gyakorisággal legyen része a vasúti jármÅ±vezetÅ‘i (mozdonyvezetÅ‘i) idÅ‘szakos orvosi vizsgálatoknak.</t>
  </si>
  <si>
    <t>HU-4457/2</t>
  </si>
  <si>
    <t>It is recommended that the Ministry of National Development, as the body responsible for preparing the legislation, make a proposal for a directive on the health requirements of workers in railway safety-related posts and the organization of health inspections 203/2009. (IX.18) Korm. so that the psychological examination is part of the periodic medical examinations of drivers (train drivers) at the statutory frequency.</t>
  </si>
  <si>
    <t>HU-4457/3</t>
  </si>
  <si>
    <t>BA2014-0720-5-02</t>
  </si>
  <si>
    <t>A KBSZ javasolja a Nemzeti Közlekedési Hatóságnak, hogy az â€žEÉVBâ€ berendezéseket üzemeltetÅ‘ vasútvállalatokkal végeztessen kockázatelemzést az ilyen berendezések üzemeltetésével kapcsolatban, és szükség esetén tegye meg a szükséges intézkedéseket az ilyen kockázatokat csökkentÅ‘ berendezések alkalmazására.</t>
  </si>
  <si>
    <t>HU-4457/4</t>
  </si>
  <si>
    <t>It is recommended that the National Transport Authority carry out a risk analysis of the operation of such equipment with railway undertakings and, if necessary, to take the necessary measures to ensure that the use of equipment to reduce such risks.</t>
  </si>
  <si>
    <t>HU-4457/5</t>
  </si>
  <si>
    <t>BA2014-0720-5-03</t>
  </si>
  <si>
    <t>A KBSZ javasolja a Nemzeti Közlekedési Hatóságnak, hogy a MÁV Zrt. Biztonságirányítási rendszerében vizsgálja meg a végrehajtói munkát irányító vezetÅ‘k képzésének és kinevezésének szabályait, gyakorlatát, és tegye meg a szükséges intézkedéseket, hogy a kockázatok csökkentése érdekében szabott személyi feltételek a kiválasztási folyamat során valóban érvényesítésre kerüljenek.</t>
  </si>
  <si>
    <t>HU-4457/6</t>
  </si>
  <si>
    <t>It is recommended that the National Transport Authority examine the rules and practices of the training and appointment of executives who manage the executive work in the safety management system of MÁV Zrt. conditions mposedto reduce risks are indeed enforced during the selection process.</t>
  </si>
  <si>
    <t>HU-4500/1</t>
  </si>
  <si>
    <t>BA2014-186-5-01</t>
  </si>
  <si>
    <t>The mix of locomotives running on the Hungarian railway network has changed significantly during recent years. In many cases, the axle loads of some high-performance locomotives which recently appeared on the network are higher than 21 ton (210 kN) value typical of the major part of the railway network. There are â€œislandsâ€ of track sections built for heavier axle loads, however, many tracks rated for axle loads below 210 kN are also present, and occasionally different axle load limits apply to the various tracks within a station. Based on the technical investigation and previous experience, the IC concluded that the regulations (Technical Tables, Part II. (Track Data Tables) Table 5) relevant to the traffic of locomotives and light engines are too general, apply to the railway network level, and do not indicate in detail the axle load data of each track section or track. As a result of those above, it occurs (as in the occurrence under review) occasionally that a vehicle with higher axle loads represents unbearable load to a track which is designed for lower loads and may also be worn, and thus imply higher safety risk. The Translation Safety Bureau recommends the National Transport Authority to review the safety management systems of railway infrastructure companies to see whether the applied rules provide for the keeping record of sufficiently detailed, current axle load data of the network and for the usage of such data in the planning of routes and in traffic management. By implementing the recommendation, sufficiently detailed and current axle load data could be made available, and could be taken into consideration both by the infrastructure manager and the users of the rail network when planning and transacting traffic. A properly designed system would also provide the possibility to introduce and enforce local axle load limits in the case of the worn-out state of a track section.</t>
  </si>
  <si>
    <t>HU-4500/2</t>
  </si>
  <si>
    <t>Az elmúlt években jelentÅ‘s mértékben átalakult a hazai vasúti hálózaton közlekedÅ‘ vontatójármÅ±vek összetétele. A vasútvonalakon újonnan megjelent, nagyteljesítményÅ± vontatójármÅ±vek tengelyterhelése több esetben is nagyobb, mint a vasúti hálózat nagy részére jellemzÅ‘ 21 tonnás (210 kN) érték. SzigetszerÅ±en vannak a hálózaton nagyobb tengelyterhelésre kiépített pályasza-kaszok, ugyanakkor jelen vannak 210 kN-nál kisebb tengelyterhelésre méretezett vágányok is, esetenként egy-egy állomáson belül is különbözÅ‘ az egyes vágá-nyok megengedett tengelyterhelése. Az eset vizsgálata és korábban szerzett tapasztalatai alapján a Vb arra a követ-keztetésre jutott, hogy a mozdonyok, mozdonyvonatok közlekedésének szabályo-zására vonatkozó rendelkezések (MÅ±szaki Táblázatok II. Rész. (Pályaadatok táb-lázatok) 5. táblázat) általánosak, vasútvonal szintÅ±ek, nem kellÅ‘ részletességgel tüntetik fel az egyes pályaszakaszok, vágányok tengelyterhelési adatait. A fentiek következményeként elÅ‘fordul, hogy â€“ a vizsgált esethez hasonlóan â€“ egy kisebb terhelésre tervezett és emellett avult, ezáltal nagyobb biztonsági koc-kázatot rejtÅ‘ pálya számára egy nagyobb tengelyterhelésÅ± jármÅ± már olyan igénybe vételt jelent, melyet a vasúti pálya már elviselni képtelen. A Közlekedésbiztonsági Szervezet ezért javasolja a Nemzeti Közlekedé-si Hatóságnak, hogy a pályavasúti társaságok biztonságirányítási rend-szerében vizsgálja meg, hogy az alkalmazott szabályok biztosítják-e a hálózat kellÅ‘en részletezett, az aktuális állapotnak megfelelÅ‘ tengelyter-helési adatainak nyilvántartását, az adatok felhasználását a menetvona-lak tervezése és a forgalom lebonyolítása során. Az ajánlás végrehajtása lehetÅ‘séget biztosít arra, hogy a közlekedés tervezésénél és lebonyolításánál rendelkezésre álljanak a kellÅ‘en részletes és aktuális tengely-terhelési adatok, azokat mind a pályavasúti társaság mind a pályahálózat igénybe vevÅ‘je figyelembe tudja venni. Egy megfelelÅ‘en kialakított rendszer arra is lehetÅ‘séget teremt, hogy avult pálya-állapot esetén helyi tengelyterhelés korlátozást lehessen bevezetni, és a forgalom lebonyolítása során érvényre juttatni.</t>
  </si>
  <si>
    <t>HU-4616/1</t>
  </si>
  <si>
    <t>BA2014-1357-5-01</t>
  </si>
  <si>
    <t>During the investigation of the circumstances of the occurrence, the IC found that the traffic control tasks between the stations Istvánteleki FÅ‘mÅ±hely and RákosrendezÅ‘ are not consistently regulated. In the practice, the personnel participating in the organising of daily train traffic neglect this existing inconsistence and perform their activities according to the locally developed practice. This circumstance implies a potential safety risk from the aspect of organising the traffic of the trains. Therefore, Transportation Safety Bureau proposes National Transport Authority, and indirectly to the railway companies affected, to revise the current procedures in order to harmonise the traffic control of the rolling stock moving between the stations RákosrendezÅ‘ and Istvánteleki FÅ‘mÅ±hely with the instructions which constitute part of the safety management system.</t>
  </si>
  <si>
    <t>HU-4692/1</t>
  </si>
  <si>
    <t>BA2015-0023-5-01</t>
  </si>
  <si>
    <t>The IC established that the evaluation of the plane distortion of the track was performed during the track surveillance measurements along BHÉV network, but only with base lengths used in the practice of the national networks, which is not appropriate for wheel base of the bogies of the vehicles which run on this line. The Transportation Safety Bureau recommends the National Transport Authority to initiate the supervision of the practical efficacy of the track supervision rules defined as part of the safety management system for the rail network of BHÉV and modification as necessary, for the sake of the use of proper base length with respect to the wheel bases of the trains used. In the case of accepting and implementing the recommendation the conclusions drawn from the evaluation of plane distortion values would be in accordance with the actual risks of derailment originating from such plane distortion values.</t>
  </si>
  <si>
    <t>HU-4767/1</t>
  </si>
  <si>
    <t>BA2015-0320-5-01</t>
  </si>
  <si>
    <t>The TSB of Hungary recommends the Hungarian Transport Authority to review the harmony between â€œStation Instructions for traffic man-agement on the Malé Straciny/Nógrádszakál â€“ Ipolytarnóc/Lucenec shared (peage) railway line used by MÁV Ltd. and Å½SSK CARGO a.s.â€ and the F.2. Train Loading and Running Regulations in effect in Hungary, and to call MÁV Ltd. to upgrade the Station Instructions.</t>
  </si>
  <si>
    <t>HU-4810/1</t>
  </si>
  <si>
    <t>BA2015-0639-5-01</t>
  </si>
  <si>
    <t>A KBSZ javasolja a Nemzeti Fejlesztési Minisztérium Vasúti Hatósági FÅ‘osztálynak, hogy vizsgálja meg a Magyarországon közlekedÅ‘, nem modernizált, 628 sorozatú dízelmozdonyok mÅ±szaki állapotát, különös tekintettel a kipufogórendszerbÅ‘l távozó, izzó szilárd részecskéket tartalmazó égéstermék tÅ±zbiztonsági kockázatára, és szükség esetén tegye meg a szükséges intézkedéseket.</t>
  </si>
  <si>
    <t>HU-4810/2</t>
  </si>
  <si>
    <t>It is recommended to the Department of Railway Authority of the Ministry of National Development to examine the technical condition of the non-modernised 628 series diesel locomotives operating in Hungary, in particular the light bulb leaving the exhaust system fire safety risk of a combustion product containing solid particles and, if necessary, take the necessary measures.</t>
  </si>
  <si>
    <t>HU-4810/3</t>
  </si>
  <si>
    <t>BA2015-0639-5-02</t>
  </si>
  <si>
    <t>A KBSZ javasolja az Országos Katasztrófavédelmi FÅ‘igazgatóságnak, hogy vizsgálja felül a vasúti fuvarozás során alkalmazott rakományrögzítÅ‘k alkalmazásának feltételeit tÅ±zvédelmi szempontból, és amennyiben szükséges, tegyen javaslatot a tárgykör jogszabályban, vagy egyéb szabályozásban történÅ‘ rendezésére.</t>
  </si>
  <si>
    <t>HU-4810/4</t>
  </si>
  <si>
    <t>It is recommended that the National Disaster Management Directorate-General review the conditions for the use of cargo securing equipment in rail transport from the point of view of fire protection and, if necessary, propose a legislative or other regulation to address the issue.</t>
  </si>
  <si>
    <t>HU-4831/1</t>
  </si>
  <si>
    <t>2015-0729-5-01A</t>
  </si>
  <si>
    <t>TSB recommends the Inspectorate of Transport of GyÅ‘r-Moson-Sopron County Government Office to review the design and environment of the level crossing and to take actions as necessary to have the road signs repaired and to provide uninterrupted visibility of the level crossing warning lights.</t>
  </si>
  <si>
    <t>HU-4849/1</t>
  </si>
  <si>
    <t>BA 2015-0845-5-01</t>
  </si>
  <si>
    <t>A KBSZ javasolja az NFM Vasúti Hatósági FÅ‘osztálynak, hogy a MÁV Zrt. biztonságirányítási rendszerében vizsgálja meg a forgalomirányító- és a vonatszemélyzet közötti szóbeli kommunikáció formai és tartalmi elemeire vonatkozó szabályokat és tegye meg a szükséges intézkedéseket.</t>
  </si>
  <si>
    <t>HU-4849/2</t>
  </si>
  <si>
    <t>It is recommended to the NFM Railway Authority Department that MÁV Zrt. in its safety management system, examine the rules on the form and content of the verbal communication between the traffic control staff and the train staff and take the necessary measures.</t>
  </si>
  <si>
    <t>HU-4759/1</t>
  </si>
  <si>
    <t>2015-0315-5-01</t>
  </si>
  <si>
    <t>TSB recommends National Transport Authority to initiate the revision of Instruction D.56 (including reasonably less strict dimension limits which are in proportion to safety risks) with the railway infrastructure manager.</t>
  </si>
  <si>
    <t>HU-4929/1</t>
  </si>
  <si>
    <t>BA2015-1160-5-01</t>
  </si>
  <si>
    <t>TSB recommends Department for Railways, Ministry of National Development to inspect the track maintenance system of the network operator to see to what extent it is suitable for identifying and elimination of track defects falling outside the dimension limits (with special regard to the toothed rack profile as), and to take action as necessary.</t>
  </si>
  <si>
    <t>HU-4941/1</t>
  </si>
  <si>
    <t>BA2015-1190-5-01</t>
  </si>
  <si>
    <t>Transportation Safety Bureau proposes Division of Road and Railway Transport, Ministry of National Development to review the safety management system of Szegedi Közlekedési Társaság (Szeged Transport Company) and the operation of that system to see whether the vehicle drivers have sufficient opportunity to acquire the internal rules of the Company, whether such acquisition can be proven, and whether compliance with such rules is adequately supervised, and to take action as necessary.</t>
  </si>
  <si>
    <t>HU-4946/1</t>
  </si>
  <si>
    <t>BA2015-1234-5-01</t>
  </si>
  <si>
    <t>Transportation Safety Bureau proposes Division of Road and Railway Transport, Ministry of National Development to review whether there are appropriate requirements relating to asymmetric wear of the wheelsets, and whether such requirements are adequately enforced in the safety management systems of the railway companies, and to take action as necessary.</t>
  </si>
  <si>
    <t>HU-4974/1</t>
  </si>
  <si>
    <t>2016-0027-5-01</t>
  </si>
  <si>
    <t>TSB Hungary recommends National Transport Authority to add the operability and use of the door control from the locomotive in trains to their inspection program, and to take appropriate actions to enforce adequate maintenance and normal use in rail traffic of this equipment on the vehicles where it is installed.</t>
  </si>
  <si>
    <t>HU-5081/1</t>
  </si>
  <si>
    <t>2016-0490-5-01A</t>
  </si>
  <si>
    <t>TSB Hungary recommends the Inspectorate of Transport of Jász-Nagykun-Szolnok County Government Office to review the environment and design of the level crossings near the level crossing involved in the accident, and to take action as necessary to provide visibility of the rail track as specified in the relevant rules of law. In the case of accepting and implementing the above recommendations, the risk of accidents occurring due to similar causes may be reduced significantly in the opinion of the IC.</t>
  </si>
  <si>
    <t>HU-5102/1</t>
  </si>
  <si>
    <t>BA2016-0534-5-01A</t>
  </si>
  <si>
    <t>A KBSZ javasolja a Pest Megyei Kormányhivatal Közlekedési Útügyi Osztályának, hogy vizsgálja meg a balesetben érintett vasúti átjáró kialakítását, környezetét, és tegye meg a szükséges intézkedéseket a közúti â€“ vasúti keresztezÅ‘dés minél biztonságosabb megközelítésének biztosítására.</t>
  </si>
  <si>
    <t>HU-5102/2</t>
  </si>
  <si>
    <t>It is recommended that the Transport Road Department of the Pest County Government Office examine the design and environment of the level crossing affected by the accident and take the necessary measures to take the necessary measures to ensure the safest possible approach to the road and rail crossing.</t>
  </si>
  <si>
    <t>HU-5104/1</t>
  </si>
  <si>
    <t>BA2016-0699-5-01</t>
  </si>
  <si>
    <t>TSB recommends Railway Authority Division, Ministry of National Development to review whether the safety management system of MÁV Zrt. specifies an obligatory procedure to follow when the person responsible for track possession is changing, with special regard to the possibility for the traffic controlling personnel to be informed on the fact of the change, as well as the identity and contact details of the new person.</t>
  </si>
  <si>
    <t>HU-5104/2</t>
  </si>
  <si>
    <t>BA2016-0699-5-02</t>
  </si>
  <si>
    <t>TSB recommends Railway Authority Division, Ministry of National Development to review whether the safety management system of MÁV Zrt. contains adequate management of the construction and maintenance works, and whether it is applied in practice.</t>
  </si>
  <si>
    <t>HU-5104/3</t>
  </si>
  <si>
    <t>BA2016-0699-5-03</t>
  </si>
  <si>
    <t>TSB recommends Railway Authority Division, Ministry of National Development to review the safety management system of MÁV Zrt. to see whether the rules related to the planning, performing and closing the track possession process and the application of such rules ensure that the organisations working together during such works are aware of one anotherâ€™s demands and limits and clarify their relative competences.</t>
  </si>
  <si>
    <t>HU-5105/1</t>
  </si>
  <si>
    <t>BA2016-0602-5-01A</t>
  </si>
  <si>
    <t>HU-5105/2</t>
  </si>
  <si>
    <t>It is recommended that the Traffic Road Department of the Pest County Government Office examine the construction, environment of the railway crossing involved in the accident and take the necessary measures to ensure the safest possible approach to the road and rail crossing.</t>
  </si>
  <si>
    <t>HU-5137/1</t>
  </si>
  <si>
    <t>BA2016-0808-5-01A</t>
  </si>
  <si>
    <t>A KBSZ javasolja a Baranya Megyei Kormányhivatal Útügyi Osztályának, hogy vizsgálja meg a 60 sz. vasútvonalon, Barcs és Babócsa állomások között lévÅ‘ AS 695 jelÅ± útátjáró, és környezetének forgalomtechnikai kialakítását, és tegye meg a szükséges intézkedéseket a közúti â€“ vasúti keresztezÅ‘dés minél biztonságosabb kialakításának biztosítására.</t>
  </si>
  <si>
    <t>HU-5137/2</t>
  </si>
  <si>
    <t>It is recommended that the Road Department of the Baranya County Government Office investigate the use of Section 60. road crossing AS 695 between Barcs and Babócsa stations and the technical development of its surroundings and take the necessary measures to ensure the safest possible development of the road/rail crossing.</t>
  </si>
  <si>
    <t>HU-5144/1</t>
  </si>
  <si>
    <t>BA2016-0898-5-01</t>
  </si>
  <si>
    <t>A KBSZ javasolja a Nemzeti Fejlesztési Minisztérium Vasúti Hatósági FÅ‘osztálynak, hogy vizsgálja meg, hogy a MÁV Zrt. biztonságirányítási rendszere megfelelÅ‘en tartalmazza-e a pályafelügyeletre vonatkozó elÅ‘írásokban a vágányszabályozások utáni vizsgálatokat, méréseket és azok dokumentálását.</t>
  </si>
  <si>
    <t>HU-5144/2</t>
  </si>
  <si>
    <t>It is recommended to the Railway Authority Department of the Ministry of National Development to examine whether máv Zrt.'s safety management system adequately includes post-track control tests, measurements and documentation.</t>
  </si>
  <si>
    <t>HU-5144/3</t>
  </si>
  <si>
    <t>BA2016-0898-5-02</t>
  </si>
  <si>
    <t>A KBSZ javasolja a Nemzeti Fejlesztési Minisztérium Vasúti Hatósági FÅ‘osztálynak, hogy vizsgálja meg, hogy a MÁV Zrt. biztonságirányítási rendszere megfelelÅ‘en tartalmazza-e a biztosítóberendezések fÅ‘vizsgálati rendszerét, a fÅ‘vizsgálatok, valamint a hiányosságok megszüntetése annak megfelelÅ‘en megvalósul-e, továbbá azt, hogy annak hiányosságai, elmaradó lépései a biztonsági ellenÅ‘rzések során feltárásra, az abból adódó kockázatok kezelésre kerülnek-e.</t>
  </si>
  <si>
    <t>HU-5144/4</t>
  </si>
  <si>
    <t>KBSZ recommends to the Railway Authority Department of the Ministry of National Development to examine whether máv Zrt.'s safety management system adequately includes the main inspection system of the safety equipment, the main tests and the whether deficiencies are addressed and whether its shortcomings and lagging steps are identified during safety checks and the risks arising therefrom are addressed.</t>
  </si>
  <si>
    <t>HU-5144/5</t>
  </si>
  <si>
    <t>BA2016-0898-5-03</t>
  </si>
  <si>
    <t>A KBSZ javasolja a Nemzeti Fejlesztési Minisztérium Vasúti Hatósági FÅ‘osztálynak, vizsgálja meg, hogy a MÁV Zrt. biztonságirányítási rendszere megfelelÅ‘en tartalmazza-e a biztosítóberendezéseken alkalmazott fémzárak, papírzárak felhasználását, kezelését, nyilvántartását. Olyan zárak használatát javasoljuk bevezetni, amelyeken az egyedi azonosító a gyártáskor kerül fel a zárra.</t>
  </si>
  <si>
    <t>HU-5144/6</t>
  </si>
  <si>
    <t>The KBSZ recommends the Department of Railway Authority of the Ministry of National Development, to examine whether the safety management system of MÁV Zrt. adequately includes the use of metal locks and paper locks used on the safety equipment, management and record-keeping. We recommend the use of locks where the unique identifier is applied to the lock at the time of manufacture.</t>
  </si>
  <si>
    <t>HU-5159/1</t>
  </si>
  <si>
    <t>BA2016-0968-5-01</t>
  </si>
  <si>
    <t>A KBSZ javasolja a Nemzeti Fejlesztési Minisztérium Vasúti Hatósági FÅ‘osztályának, hogy az áramütéses balesetek megelÅ‘zése céljából hívja fel a 1415 sorozatú motorvonatot üzemeltetÅ‘ vasúttársaságokat a motorvonat szellÅ‘zÅ‘ablakainak érintésvédelmi kockázatainak â€“ a gyártó bevonásával történÅ‘ â€“ soron kívüli elemzésére, és szükség esetén a szellÅ‘zÅ‘ablak-kereteknek a jármÅ±szekrénnyel egyenpotenciálra hozására</t>
  </si>
  <si>
    <t>HU-5159/2</t>
  </si>
  <si>
    <t>KBSZ recommends to the Railway Authority Department of the Ministry of National Development to call the railway undertakings operating the 1415 series engine trains to protect the contact with the ventilation windows of the engine train in order to prevent electric shock accidents. analysis of the risks, involving the manufacturer, and, if necessary, to bring the ventilation window frames to the same potential as the vehicle</t>
  </si>
  <si>
    <t>HU-5229/1</t>
  </si>
  <si>
    <t>BA2017-0033-5-01</t>
  </si>
  <si>
    <t>TSB recommends Railway Authority Division, Ministry of National Development to review the harmony and enforcement of the rules related to the prevention of runaway in Train loading and running regulations 2 and the Station Instructions which are among the internal rules of the safety management of MÁV Zrt.</t>
  </si>
  <si>
    <t>HU-5252/1</t>
  </si>
  <si>
    <t>A KBSZ javasolja a Nemzeti Fejlesztési Minisztérium Vasúti Hatósági FÅ‘osztályának, hogy vizsgálja felül a MÁV Zrt. biztonságirányítási rendszerét képezÅ‘ belsÅ‘ szabályok közül az F.2. sz. forgalmi utasítás és az Állomási Végrehajtási Utasítások megfutamodás megakadályozásával kapcsolatos szabályainak összhangját és azok érvényesülését.</t>
  </si>
  <si>
    <t>HU-5252/2</t>
  </si>
  <si>
    <t>The KBSZ recommends to the Railway Authority Department of the Ministry of National Development to review the internal rules of the security management system of MÁV Zrt. in accordance with The F.2. Case No 103/20 compliance with and enforcement rules on preventing the cancellation of the traffic order and station execution instructions.</t>
  </si>
  <si>
    <t>HU-5349/1</t>
  </si>
  <si>
    <t>BA2016-0706-5-01A</t>
  </si>
  <si>
    <t>A KBSZ javasolja a Pest Megyei Kormányhivatal Közlekedési Útügyi Osztályának, hogy vizsgálja meg a balesetben érintett vasúti átjáró, és környezetének kialakítását, és tegye meg a szükséges intézkedéseket a közúti â€“ vasúti keresztezÅ‘dés minél biztonságosabb megközelítésének biztosítására.</t>
  </si>
  <si>
    <t>HU-5349/2</t>
  </si>
  <si>
    <t>It is recommended that the Traffic Road Department of the Pest County Government Office examine the construction of the rail crossing involved in the accident and its environment, and take the necessary measures to ensure the safest possible approach to road and rail crossing.</t>
  </si>
  <si>
    <t>HU-5349/3</t>
  </si>
  <si>
    <t>BA2016-0706-5-02</t>
  </si>
  <si>
    <t>A KBSZ javasolja a MÁV-HÉV Zrt.-nek, hogy az átjáró fénysorompós biztosításának üzembe helyezéséig a 143 sz. szelvényben lévÅ‘ útátjáróban a Szigetszentmiklós-Gyártelep felÅ‘l a (helytelen) jobb vágányon közlekedÅ‘ vonatok sebességét úgy szabályozza, hogy az átjáróba kellÅ‘ körültekintéssel behaladó közúti jármÅ±vek a vonat odaérkezése elÅ‘tt biztonságosan el tudják hagyni az átjárót.</t>
  </si>
  <si>
    <t>HU-5349/4</t>
  </si>
  <si>
    <t>The KBSZ recommends to MÁV-HÉV Zrt. that, pending the installation of the light barrier provision of the gateway, the provisions of Law No 143 should be awarded. In the section al-Junction, the speed of trains running on the (incorrect) right track from szigetszentmiklós-Factory is controlled so that road vehicles passing into the crossing with due care can safely reach the train before the train arrives leave the gateway.</t>
  </si>
  <si>
    <t>HU-5263/1</t>
  </si>
  <si>
    <t>BA2016-1244-5-01</t>
  </si>
  <si>
    <t>A KBSZ javasolja a Fejér Megyei Kormányhivatal Közlekedési FelügyelÅ‘ségének, hogy vizsgálja meg az átjáró megvilágítását, és szükség esetén kötelezze az érintetteket a jogszabályokban meghatározott állapot biztosítására.</t>
  </si>
  <si>
    <t>HU-5263/2</t>
  </si>
  <si>
    <t>KBSZ recommends that the Traffic Inspectorate of the Fejér County Government Office examine the illumination of the crossing and, if necessary, order the persons concerned to ensure the status laid down by the legislation.</t>
  </si>
  <si>
    <t>HU-5356/1</t>
  </si>
  <si>
    <t>BA2017-0720-5-01</t>
  </si>
  <si>
    <t>Transportation Safety Bureau recommends Railway Authority Division, Ministry of National Development to consider ordering MÁV Zrt. to perform risk assessment in order to see whether the reliability of the switch tongue to adjusting rod to inspection rod connection in switches is acceptable, or is it necessary to include regular inspection of such connections in the rules of the safety management system.</t>
  </si>
  <si>
    <t>HU-4992/1</t>
  </si>
  <si>
    <t>HU-4992/2</t>
  </si>
  <si>
    <t>It is recommended to the Department of Railway Authorities of the Ministry of National Development to examine the technical state of the non-modernized 628 series of diesel locomotives running in Hungary, in particular the fire safety risk of combustion products with hot particulate matter leaving the exhaust system, and to take the necessary measures if necessary.</t>
  </si>
  <si>
    <t>HU-4992/3</t>
  </si>
  <si>
    <t>HU-4992/4</t>
  </si>
  <si>
    <t>HU-5361/1</t>
  </si>
  <si>
    <t>BA2017-0771-5-01</t>
  </si>
  <si>
    <t>A KBSZ javasolja a BKV Zrt-nek, hogy a tabulátorkezelÅ‘k gyakorlati oktatása és munkavégzése során helyezzenek fokozottabb hangsúlyt a végállásuk ellenÅ‘rzését elveszítÅ‘ központi állítású váltók kézi állítása alkalmával ellenÅ‘rizendÅ‘ forgalombiztonsági feltételekre, valamint vizsgálják meg annak a lehetÅ‘ségét, hogy a fentebb említett váltók kézi állítása esetén a kötelezÅ‘ teendÅ‘k körébe hogyan lehetne beépíteni e váltók rögzítettségének ellenÅ‘rzését is.</t>
  </si>
  <si>
    <t>HU-5361/2</t>
  </si>
  <si>
    <t>KBSZ recommends that BKV Zrt., in the practical training and work of tab managers, should place greater emphasis on traffic safety conditions to be checked when manually adjusting the central switches which have lost their stop-over control, and should also consider the possibility of including in the mandatory scope the verification of the anchorage of these switches when manually adjusting the aforementioned switches.</t>
  </si>
  <si>
    <t>HU-5379/1</t>
  </si>
  <si>
    <t>BA2017-0850-5-01</t>
  </si>
  <si>
    <t>Transportation Safety Bureau recommends Budapesti Közlekedési Zrt. to consider reviewing the harmony of the technical solutions and rules of signalling applied with the switchpoint lights along the tram network of the Company, and to take action to reach harmony between the rules and the capabilities of available technical equipment.</t>
  </si>
  <si>
    <t>HU-5397/1</t>
  </si>
  <si>
    <t>BA2017-0953-5-01</t>
  </si>
  <si>
    <t>A KBSZ javasolja az Innovációs és Technológiai Minisztérium Vasúti Hatósági FÅ‘osztálynak, hogy vizsgálja meg, hogy a MÁV Zrt. TB.1. sz. Utasítása megfelelÅ‘ elÅ‘írásokat tartalmaz-e a régi, elöregedÅ‘ elektronikus alkatrészek okozta biztonságkritikus helyzetek megelÅ‘zését szolgáló ellenÅ‘rzések elvégzésére.</t>
  </si>
  <si>
    <t>HU-5397/2</t>
  </si>
  <si>
    <t>It is recommended that the Department of Railway Authority of the Ministry of Innovation and Technology examine whether MÁV Zrt. Instruction TB.1 contains adequate requirements to carry out checks to prevent safety critical situations caused by old, ageing electronic components.</t>
  </si>
  <si>
    <t>HU-5449/1</t>
  </si>
  <si>
    <t>2016-1362-5-01</t>
  </si>
  <si>
    <t>TSB recommends BKV Zrt. to elaborate, in a joint effort with the manufacturer of the train, a technical solution which provides sufficient adhesion between the wheels of the train and the rails even in adverse weather conditions</t>
  </si>
  <si>
    <t>HU-5449/2</t>
  </si>
  <si>
    <t>2016-1362-5-02</t>
  </si>
  <si>
    <t>TSB recommends BKV Zrt. to elaborate and apply rules for moving on track sections which have become slippery due to weather conditions.</t>
  </si>
  <si>
    <t>HU-5449/3</t>
  </si>
  <si>
    <t>2016-1362-5-03</t>
  </si>
  <si>
    <t>TSB recommends BKV Zrt. to elaborate a procedure for the purpose of increasing and maintaining vehicle driversâ€™ manual driving skills</t>
  </si>
  <si>
    <t>HU-5454/1</t>
  </si>
  <si>
    <t>HU-5454/2</t>
  </si>
  <si>
    <t>It is recommended that the Traffic Inspectorate of the Fejér County Government Office investigate the lighting of the gateway and, if necessary, oblige those involved to ensure that it is in a state specified by law.</t>
  </si>
  <si>
    <t>HU-5483/1</t>
  </si>
  <si>
    <t>BA2017-1372-5-01</t>
  </si>
  <si>
    <t>a KBSZ javasolja az Innovációs és Technológiai Minisztérium Vasúti Hatósági FÅ‘osztályának, hogy hívja fel a vasúti pályahálózatot mÅ±ködtetÅ‘ társaságokat arra, hogy amennyiben a zavarba került közelített útátjáró állapotára vonatkozóan a mozdonyvezetÅ‘ jelzés útján információt nem kap, dolgozzanak ki eljárási rendet a veszélyrÅ‘l történÅ‘ tájékoztatás, és annak elhárítása érdekében.</t>
  </si>
  <si>
    <t>HU-5483/2</t>
  </si>
  <si>
    <t>the TSB recommends to the Department of Railway Authority of the Ministry of Innovation and Technology to invite the railway track network management companies to draw up a procedure to inform the driver of the danger and to prevent it in the absence of information by means of a signal on the state of disruption at the level crossing. .</t>
  </si>
  <si>
    <t>HU-5559/1</t>
  </si>
  <si>
    <t>BA2017-1620-5-01</t>
  </si>
  <si>
    <t>A Közlekedésbiztonsági Szervezet javasolja az Innovációs és Technológiai Minisztérium Vasúti Hatósági FÅ‘osztályának, hogy a vasúti pályahálózat mÅ±ködtetÅ‘k vasútbiztonsági engedélyének részét képezÅ‘ pályafelügyeleti eljárásokban követeljen meg olyan kitérÅ‘ és/vagy vágánymérési technológiát, amely biztosítja, hogy a nyomtáv mérése és kiértékelése a kitérÅ‘kön is â€“ a folyóvágányokhoz hasonlóan â€“ folyamatos legyen.</t>
  </si>
  <si>
    <t>HU-5559/2</t>
  </si>
  <si>
    <t>The Transport Safety Bureau recommends to the Department of Railway Authority of the Ministry of Innovation and Technology to require, in track monitoring procedures which form part of the railway safety authorisation of railway infrastructure managers, switches and/or track measurement technology to ensure that the track gauge is measured and evaluated on the switches and crossings on a continuous basis, as is the case for running tracks.</t>
  </si>
  <si>
    <t>HU-5619/1</t>
  </si>
  <si>
    <t>BA2018-0139-5-01</t>
  </si>
  <si>
    <t>Transportation Safety Bureau recommends Ministry for Innovation and Technology to consider reviewing whether the safety management system of BKV Zrt. contains the system of management inspections in the suitable form, and whether it is implemented in the practice, i.e. if it achieves its objective.</t>
  </si>
  <si>
    <t>HU-5540/1</t>
  </si>
  <si>
    <t>Transportation Safety Bureau recommends Railway Authority Division, Ministry for Innovation and Technology to consider including such a provision in the track supervision procedures (which constitute part of the safety licence of railway infrastructure managing companies) which requires the application of measurement technologies for turnouts and/or tracks that ensure continuous measurement and evaluation along turnouts, similarly to running tracks.</t>
  </si>
  <si>
    <t>HU-5673/1</t>
  </si>
  <si>
    <t>BA2018-0610-5-01</t>
  </si>
  <si>
    <t>Transportation Safety Bureau recommends Budapesti Közlekedési Zrt. to review the procedure of selection and hiring of subcontractors in order to ensure that appropriately qualified contractors be hired to perform or supervise works.</t>
  </si>
  <si>
    <t>HU-5691/1</t>
  </si>
  <si>
    <t>BA2018-0634-5-01</t>
  </si>
  <si>
    <t>A Közlekedésbiztonsági Szervezet javasolja az Innovációs és Technológiai Minisztérium Vasúti Hatósági FÅ‘osztályának, valamint a Magyar Államvasutak Zrt.-nek, mint pályahálózat mÅ±ködtetÅ‘nek, hogy vizsgálja felül a 142 sz. vonalon alkalmazott kommunikációs rendszert és a rendszer alkalmazásának indokoltságát arra a szempontra is kitérve, hogy a rendkívüli eset meghatározása megfelel-e a MÁV Zrt. Biztonságirányítási rendszerében elÅ‘írtaknak. Vizsgálatának megállapításai alapján, szükség esetén hozza meg a szükséges intézkedéseket.</t>
  </si>
  <si>
    <t>HU-5691/2</t>
  </si>
  <si>
    <t>The Transport Safety Bureau recommends to the Department of Railway Authority of the Ministry of Innovation and Technology and to the Hungarian State Railways Zrt., as infrastructure manager, to review the communication system used on line 142 and the justification for using the system, including the criterion of whether the definition of the exceptional case corresponds to MÁV Zrt. As specified in its safety management system. On the basis of the findings of its investigation, it shall, if necessary, take the necessary measures.</t>
  </si>
  <si>
    <t>HU-5471/1</t>
  </si>
  <si>
    <t>BA2017-1393-5-01</t>
  </si>
  <si>
    <t>Transportation Safety Bureau recommends Railway Authority Division, Ministry of National Development to consider reviewing the training syllabuses, in a joint effort with the training and assessment organisations of the affected railway companies, with special emphasis on non-technological knowledge (e.g. communication, decision making, team work, etc.). On the basis of the findings of the investigation, we recommend taking action as necessary.</t>
  </si>
  <si>
    <t>HU-5476/1</t>
  </si>
  <si>
    <t>A Közlekedésbiztonsági Szervezet javasolja az Budapesti Közlekedési Zrt-nek, hogy vizsgálja felül a villamoshálózatán a váltójelzÅ‘knél alkalmazott mÅ±szaki megoldások és jelzési szabályok összhangját, és intézkedjen arról, hogy a szabályokkal összhangban legyenek a rendelkezésre álló berendezések mÅ±szaki képességei.</t>
  </si>
  <si>
    <t>HU-5476/2</t>
  </si>
  <si>
    <t>The TSB recommends the Budapest Transport Zrt to review the consistency of the technical solutions and signaling rules applied to its electrical network at the interchange signaling devices and to ensure that the technical capabilities of the available equipment are in accordance with the rules.</t>
  </si>
  <si>
    <t>HU-5784/1</t>
  </si>
  <si>
    <t>BA2018-1211-5-01</t>
  </si>
  <si>
    <t>A Közlekedésbiztonsági Szervezet javasolja az Innovációs és Technológiai Minisztérium Vasúti Hatósági FÅ‘osztálynak, hogy vizsgálja meg a MÁV START Zrt.-nek a 95 55 0117 sorozatú motorkocsik és mellékkocsijaik karbantartási rendszerét, abból a szempontból, hogy az képes-e biztosítani, hogy a jármÅ±vek csak jól mÅ±ködÅ‘ közlekedésbiztonsági berendezésekkel vehessenek részt a forgalomban.</t>
  </si>
  <si>
    <t>HU-5784/2</t>
  </si>
  <si>
    <t>The Transport Safety Organisation recommends to the Department of Railway Authority of the Ministry of Innovation and Technology to examine to MÁV START Zrt. the maintenance system of 95 55 0117 series of motor cars and their sidecars with a view to ensuring that vehicles can only be used with well-functioning road safety equipment</t>
  </si>
  <si>
    <t>HU-5784/3</t>
  </si>
  <si>
    <t>BA2018-1211-5-02</t>
  </si>
  <si>
    <t>A Közlekedésbiztonsági Szervezet javasolja az Innovációs és Technológiai Minisztérium Vasúti Hatósági FÅ‘osztálynak, hogy vizsgálja meg a megállóhelyeken a térvilágítás meglétét és szükségességét, és ahol nincs, ott tegye meg a szükséges intézkedéseket.</t>
  </si>
  <si>
    <t>HU-5784/4</t>
  </si>
  <si>
    <t>The Transport Safety Organisation recommends that the Department of Railway Authority of the Ministry of Innovation and Technology examine the existence and necessity of area lighting at staging points and take the necessary measures where this is not the case.</t>
  </si>
  <si>
    <t>HU-5899/1</t>
  </si>
  <si>
    <t>2019-0003-5-01</t>
  </si>
  <si>
    <t>Transportation Safety Bureau recommends MÁV Zrt. to consider reviewing the contents, structure and design of its regularly published instructions (e.g. Track Operator Capacity Demand Use and Instruction for Track Possession and Power Cut) and modify them as necessary to better help usersâ€™ proper understanding and implementation thereof.</t>
  </si>
  <si>
    <t>HU-5899/2</t>
  </si>
  <si>
    <t>2019-0003-5-02</t>
  </si>
  <si>
    <t>Transportation Safety Bureau recommends Railway Authority Division, Ministry for Innovation and Technology to consider, during the annual audit of the safety management system of MÁV Zrt., reviewing how the lessons learnt from accidents are integrated in the system of internal instructions, with special regard to the implementation of the Safety Recommendation â„– 2019-0003-5-01.</t>
  </si>
  <si>
    <t>HU-5344/1</t>
  </si>
  <si>
    <t>BA2018-0661-5-01</t>
  </si>
  <si>
    <t>Transportation Safety Bureau recommends Ministry for Innovation and Technology to consider reviewing the procedures applied in the track monitoring system of MÁV Zrt. in order to see to what extent such procedures are suitable for identification of the corrosion of spike screws that are corroded (thinned) in not visible areas, and to take action as necessary to have such track monitoring procedures modified.</t>
  </si>
  <si>
    <t>HU-6006/1</t>
  </si>
  <si>
    <t>BA2019-0697-5-01</t>
  </si>
  <si>
    <t>Transportation Safety Bureau recommends MÁV-Start Zrt. to consider reviewing, in a joint effort with MÁV Zrt. as necessary, the motor train set technology (organising of maintenance, parameters of clock-face scheduling of traffic, etc.) in order to make it possible to utilise the advantages of motor train sets in traffic, such as to reduce the need for shunting at the terminal station.</t>
  </si>
  <si>
    <t>REC-000816</t>
  </si>
  <si>
    <t>HU-6050/1</t>
  </si>
  <si>
    <t>BA2019-0911-5-01</t>
  </si>
  <si>
    <t>Transportation Safety Bureau recommends Railway Authority Division, Ministry for Innovation and Technology to consider reviewing the practical implementation of the maintenance processes specified in the safety management system of MÁV-FKG Kft. and to take action as necessary.</t>
  </si>
  <si>
    <t>HU-6022/1</t>
  </si>
  <si>
    <t>BA2019-0575-5-01</t>
  </si>
  <si>
    <t>Transportation Safety Bureau recommends BKV Zrt. to consider reviewing the track maintenance requirements relating to the rack railway and modify such requirements as necessary, with special regard to the connection between the supporting concrete blocks integrated in the substructure and the superstructure, to the limit values of plane distortion (due to low tolerance of the vehicles involved to plane distortion), and to the methods of assessment of the superstructure.</t>
  </si>
  <si>
    <t>HU-6022/2</t>
  </si>
  <si>
    <t>BA2019-0575-5-02</t>
  </si>
  <si>
    <t>Transportation Safety Bureau recommends BKV Zrt. to ensure that its track maintenance system involves personnel with rack railway expertise, in sufficient number.</t>
  </si>
  <si>
    <t>HU-6022/3</t>
  </si>
  <si>
    <t>BA2019-0575-5-03</t>
  </si>
  <si>
    <t>Transportation Safety Bureau recommends BKV Zrt. to determine specification for the rubber springs in the maintenance system for the rack railway vehicles in such manner that stiffness of the springs used should be suitable and uniform.</t>
  </si>
  <si>
    <t>HU-6031/1</t>
  </si>
  <si>
    <t>BA2019-0560-5-01</t>
  </si>
  <si>
    <t>Transportation Safety Bureau recommends Railway Authority Division, Ministry for Innovation and Technology to consider expecting, during reviewing of the Train loading and running regulations, the user of such regulations to regulate clearly and in detail the station-to-station mode to be introduced between turnouts and stations.</t>
  </si>
  <si>
    <t>HU-6031/2</t>
  </si>
  <si>
    <t>BA2019-0560-5-02</t>
  </si>
  <si>
    <t>Transportation Safety Bureau recommends Railway Authority Division, Ministry for Innovation and Technology to consider reviewing the visibility of the signals of the turnout at Rákosliget and ordering actions in order to provide adequate visibility or to install a repeating signal as necessary.</t>
  </si>
  <si>
    <t>HU-6103/1</t>
  </si>
  <si>
    <t>Ordering the use of the built-in speed limiting function relating to the area of tram sheds</t>
  </si>
  <si>
    <t>Transportation Safety Bureau recommends BKV Zrt. to consider ordering the use of the built-in speed limiting function relating to the area of tram sheds for those vehicles in which such that function is available.</t>
  </si>
  <si>
    <t>HU-5844/1</t>
  </si>
  <si>
    <t>BA2018-0662-5-01</t>
  </si>
  <si>
    <t>A Közlekedésbiztonsági Szervezet javasolja az Innovációs és Technológiai Minisztériumnak, mint a jogszabály elÅ‘készítÅ‘jének, hogy tegyen javaslatot a forgalomirányító jelzÅ‘lámpák követelményeirÅ‘l, tervezési, telepítési és üzemeltetési elÅ‘írásairól szóló 41/2003. (VI. 20.) GKM rendelet módosítására oly módon, hogy a forgalomirányító jelzÅ‘lámpák fázisterveinek tervezésénél vegyék figyelembe a forgalomban jellemzÅ‘en résztvevÅ‘ jármÅ±vek és a keresztezÅ‘dés paramétereit is.</t>
  </si>
  <si>
    <t>HU-5844/2</t>
  </si>
  <si>
    <t>The Transport Safety Bureau recommends to the Ministry of Innovation and Technology, as the drafter of the legislation, to make a proposal on the requirements, design, installation and operation requirements for traffic signalling lamps. (VI. To amend Decree No 20/of the Minister for Economy and Transport in such a way that the phase design of traffic signalling lamps takes into account the parameters of the rolling stock typically on the road and of the crossing.</t>
  </si>
  <si>
    <t>HU-6300/1</t>
  </si>
  <si>
    <t>BA2020-0685-5-01</t>
  </si>
  <si>
    <t xml:space="preserve"> A KBSZ javasolja a kapcsolókészülékekre vonatkozó szabványok – hasonló jellegű vasúti társaságok bevonásával való – kidolgozását valamennyi alkalmazott (alkalmazható) típusra, gondoskodva a biztonságos kapcsolhatóságról és/vagy alkalmazási korlátozások előírásáról.</t>
  </si>
  <si>
    <t>HU-6300/2</t>
  </si>
  <si>
    <t>BA2020-0685-5-02</t>
  </si>
  <si>
    <t xml:space="preserve"> A KBSZ javasolja a kapcsolókészülékekre vonatkozó szaA KBSZ javasolja a folyamatban lévő járműfelújítási (és a tervezett pályafelújítási) projektben a műszaki döntéseket meghozó, azokért felelős személy egyértelmű meghatározását.bványok – hasonló jellegű vasúti társaságok bevonásával való – kidolgozását valamennyi alkalmazott (alkalmazható) típusra, gondoskodva a biztonságos kapcsolhatóságról és/vagy alkalmazási korlátozások előírásáról.</t>
  </si>
  <si>
    <t>HU-6300/3</t>
  </si>
  <si>
    <t>BA2020-0685-5-03</t>
  </si>
  <si>
    <t>A KBSZ javasolja a keskenynyomközű vasutak műszaki szabályainak kialakítását a keskenynyomközű vasúti szakma érdemi bevonásával, az e vasutakon előforduló kockázatokkal és lehetőségekkel arányos szabályozási követelményekkel.</t>
  </si>
  <si>
    <t>HU-6301/1</t>
  </si>
  <si>
    <t>HU-6301/2</t>
  </si>
  <si>
    <t>HU-6301/3</t>
  </si>
  <si>
    <t>HU-6302/1</t>
  </si>
  <si>
    <t>HU-6302/2</t>
  </si>
  <si>
    <t>HU-6302/3</t>
  </si>
  <si>
    <t>HU-6162/1</t>
  </si>
  <si>
    <t>BA2020-0050-5-01</t>
  </si>
  <si>
    <t>A Közlekedésbiztonsági Szervezet javasolja a MÁV-START Zrt.-nek, hogy a személykocsik karbantartási rendszerében vezessen be olyan eljárást, mely figyelembe veszi a csapágyak élettartamára vonatkozó gyártói ajánlásokat, és előírja a csapágyak várható élettartamának vége előtti cseréjét.</t>
  </si>
  <si>
    <t>BA2020-0301-5-01</t>
  </si>
  <si>
    <t>TSB recommends that the railway undertakings should be obligated to include such procedures in their safety management systems which reveal and manage those situations of vehicle driving where locomotive drivers do not have current line knowledge (e.g. due to line reconstruction or rarely visited line) and assess the risks of such situations and apply risk mitigation procedures as necessary.</t>
  </si>
  <si>
    <t>BA2020-0301-5-02</t>
  </si>
  <si>
    <t>TSB recommends KTI Railway Training Methodology Center to consider reviewing the applicability of simulators and virtual reality in the line knowledge training of locomotive drivers and, on the basis of the results, taking action to design and introduce a scheme of simulator training in the Hungarian railway industry, including the formulation of legislative proposals as necessary.</t>
  </si>
  <si>
    <t>BA2020-0301-5-03</t>
  </si>
  <si>
    <t>Transportation Safety Bureau recommends Railway Authority Division, ITM to consider reviewing the sufficient length of the section of installation of continuous signalling for supporting safe vehicle driving, and requiring that the rules relating to track sections without continuous signalling be applied to track sections with too short continuous signalling installation accordingly.</t>
  </si>
  <si>
    <t>BA2020-0515-5-01</t>
  </si>
  <si>
    <t>TSB recommends Railway Authority Division, ITM to consider reviewing the safety management system of MÁVV Zrt. as well as its operation, in order to see whether it adequately provide taking immediate corrective actions in response to newly revealed risks and whether the company carries out safety management activity accordingly.</t>
  </si>
  <si>
    <t>BA2020-1144-5-01</t>
  </si>
  <si>
    <t>TSB recommends MÁV-HÉV Zrt. to consider reviewing the requirements for the frequency of track measurements in the track supervision rules applicable to the MÁV-HÉV railway infrastructure, in order to provide sufficient frequency of the assessment of tracks used by trains, with due attention to the definitions of the terms used relating to the tracks.</t>
  </si>
  <si>
    <t>BA2020-1144-5-02</t>
  </si>
  <si>
    <t>TSB recommends adjustment of the track supervision rules and practice on the MÁV-HÉV railway infrastructure in such manner that the follow-up measurements carried out on completion of track repairs should also cover an appropriate length of such adjacent track sections which were not worked on but may have conceded geometric changes due to such works.</t>
  </si>
  <si>
    <t>Addressed to the Czech National Safety Authority (NSA):
• to take own measure to ensure addition of the level crossing No. P5332 which is secure by flashing light level crossing warning system to a level crossing systém equipped with barriers which with regard to point of view of optical and manual barrier will reduce probability of the driver ́ s entrance at the level crossing when he does not respond to light signalization in the warning state even because of near railway stop, where stopped only regional passenger trains.</t>
  </si>
  <si>
    <t>Actions aimed at immediate removal of irregularities</t>
  </si>
  <si>
    <t>The road manager, Mayor of Trzciel will undertake actions aimed at immediate removal of irregularities identified in the applications of the railway infrastructure manager during diagnostic tests or controls at crossings.</t>
  </si>
  <si>
    <t>Check in all railway vehicles correctness of operation of installed forecourt recorders</t>
  </si>
  <si>
    <t>Railway undertaking POLREGIO sp. z o.o. will check in all railway vehicles, which are in use of the company, correctness of operation of installed forecourt recorders and will take appropriate measures to ensure technical efficiency of these recorders</t>
  </si>
  <si>
    <t>Adjust the access to the level crossing to the width of 2 x 2,75 m</t>
  </si>
  <si>
    <t>The administrator of the L class municipal road together with the administrator of the railway infrastructure will adjust the access to the level crossing to the width of 2 x 2,75 m on the length of at least 34 m (according to the provisions of § 15 clause 1 item 5 of the Regulation of the Minister of Transport and Maritime Economy of 2 March 1999 on technical conditions to be met by public roads and their location (i.e. Journal of Laws 2016, item 124, as amended)).  The current width of the road meets the requirements of §14 item 3 point 1 of the aforementioned regulation, which is allowed for the time of staging the construction or for the reconstruction of the road.</t>
  </si>
  <si>
    <t xml:space="preserve">Maintain the train speed limit of 60 km/h </t>
  </si>
  <si>
    <t>The railway infrastructure manager will maintain the train speed limit of 60 km/h until the width of the access road is adjusted to the width of the crossing platform.</t>
  </si>
  <si>
    <t>Addressed to the Czech Ministry of Transport:
• we recommend that the Ministry of Transport initiate a change of the provisions of the Decree No. 173/1995 Coll., the Traffic Rules of Railways, so that it will not be allowed to exceed a speed of 40 kph when running at sight on a wide line if there is not ensured a transmission of information on the main signals and warning signals to the leading tractive unit on the line (there is no light on the cab signalling of the leading tractive unit, or only a blue light illuminates).</t>
  </si>
  <si>
    <t>Addressed to the Czech National Safety Authority (the NSA):
• we recommend that the NSA ensure that the internal regulation of the IMs and RUs will determine the obligation not to exceed a speed of 40 kph when running at sight if there is not ensured a transmission of information on the main signals and warning signals to the leading tractive unit on the line (there is no light on the cab signalling of the leading tractive unit, or only a blue light illuminates) until the Decree No. 173/1995 Coll., the Traffic Rules of Railways, will be amended;                                                                                                 • we recommend that the NSA ensure that the RUs will be obligated to technically ensure all of their eligible rolling stocks (e. g. equipped with the AVV system) so that these rolling stocks will not be possible to exceed a speed of 40 kph when running at sight if there is not ensured a transmission of information on the main signals and warning signals to the leading tractive unit on the line (there is no light on the cab signalling of the leading tractive unit, or only a blue light illuminates);
• we recommend the NSA ensure that there will be imposed an obligation to the RUs to have individual technological times defined in their internal regulations, from which the minimum times for the turnovers of the passengers trains with an appropriate reserve will be determined.</t>
  </si>
  <si>
    <t xml:space="preserve">Addressed to the Czech National Safety Authority (the NSA):
• as part of its activities we recommend the NSA evaluate and eventually order the change of connection of control of the existing sanding equipment so that this equipment will be activated without necessity for its operation by the train driver always when the fast-acting braking is implemented (when the air pressure in the main pipe of the continuous train auto-brake falls below 3 bars) and when, at the same time, the operating of the rolling stock is activated by the relevant controls and the driving direction is selected, this should be made regardless of the train speed (the train speed is indicated as less than or equal to 0 during the skid of the braked wheelset). The recommended change should be done at the rail tractive vehicle of the 810 series and for all other eligible rolling stocks;
</t>
  </si>
  <si>
    <t>Addressed to the Czech National Safety Authority (the NSA):
• as a part of its activities we also recommend the NSA adopt its own measures to ensure that the infrastructure manager Správa železnic, státní organizace, will change his technological procedures related to the maintenance of the station and line tracks so that the application of the spray for the control of undesirable vegetation will be accepted in a certain advance as before, but this advance will respond to the actual state of vegetation on the individual lines. The above mentioned change should lead to determine the latest limit of intervention to spray so that the tops of the heads of the rail strings should not overgrow by the undesirable vegetation. We recommend to use more effective control activities, which will involve not only employees directly in operation when executing the regular line patrols of the lines but also the senior employees of the infrastructure manager when executing the regular controls.</t>
  </si>
  <si>
    <t>BA2020-0304-5-01</t>
  </si>
  <si>
    <t>Responsible for TSB recommends Railway Authority Division, Ministry for Innovation and Technology to consider performing risk assessment with the safety management system at work in order to find out whether it stands to reason to extend superficial crack tests to a lower class of turnouts or to a group determined on the basis of operation circumstances (frequency of use, loads, service time since installation, etc.); and the track supervision system may be amended accordingly.</t>
  </si>
  <si>
    <t>BA2021-0235-5-01</t>
  </si>
  <si>
    <t>30/11/2021</t>
  </si>
  <si>
    <t xml:space="preserve">TSB recommends considering a review of the safety management system as well as completion of the processes in it, and taking action as necessary, with a focus on
 the accuracy of the rules of monitoring the technical defects of vehicles and compliance with such rules in practice, and
 compliance with the rules relating to the inspection of recordings from the on-board data recorders.
</t>
  </si>
  <si>
    <t>BA2020-1058-5-01</t>
  </si>
  <si>
    <t>TSB recommends considering a review of the safety installation maintenance organisation of MÁV Zrt. to see whether it works in compliance with its approved organisational structure, and to modify their organisational structure as necessary or restore operation in compliance with it.</t>
  </si>
  <si>
    <t>The NIB asked for cooperation of the police force to increase patrol activities at the incriminated place.</t>
  </si>
  <si>
    <t>AIN/06-SR-07/2021</t>
  </si>
  <si>
    <t>The involved railway undertaking should take action regarding the installation of a fire detector in the engine compartment and a hydrostatic transmission on sets of series 7121 and 
7122.</t>
  </si>
  <si>
    <t>AIN/06-SR-08/2021</t>
  </si>
  <si>
    <t>The involved railway undertaking should take steps to install an automatic fire extinguishing system at the next regular repair process on sets of series 7121 and 7122.</t>
  </si>
  <si>
    <t>Recommendation systemic factor - 1</t>
  </si>
  <si>
    <t>The DRSI should ensure that the infrastructure users subject the danger of train driver glare (due to the sun) to a risk analysis showing that appropriate risk management measures have been taken.</t>
  </si>
  <si>
    <t>Recommendation systemic factor - 2</t>
  </si>
  <si>
    <t>The DRSI should ensure that the infrastructure manager subjects decisions with an impact on safety to a prior risk analysis, including hazardous points affected by a project.</t>
  </si>
  <si>
    <t>The intent of this recommendation is that West Midlands Trains reduces 
the risk to train drivers and other staff when walking and working in 
depots, yards and sidings, including those working across functions 
within WMT or for other companies.
As part of its ongoing revision of risk assessments at Tyseley depot, 
West Midlands Trains should identify hazards and assess the risk to 
train drivers and other persons when they are walking and working in 
depots, yards and sidings for which it is responsible. The output from 
this assessment should be used to ensure that suitable measures 
are in place to mitigate risks and that any measures adopted will be 
appropriate for staff working for other functions within West Midlands 
Trains and for persons working for other duty holders.
West Midlands Trains should also develop and implement processes  
to ensure that risk assessments are reviewed whenever significant 
changes are made in depot operations, such as following timetable 
changes. 
This recommendation may also apply to other duty holders who 
are responsible for depots, yards and sidings (paragraph 146a, 
paragraph 147a and b, paragraph 148a)</t>
  </si>
  <si>
    <t>The intent of this recommendation is to ensure that West Midlands 
Trains understands the behaviours of its staff and how these impact on 
safety performance.
West Midlands Trains should review its safety assurance processes to 
ensure that it can effectively identify and understand the reasons for 
unsafe working practices within the company and address their causes, 
including the effects of organisational culture on safety. This review 
should consider relevant law, guidance and good practice from other 
industries that may be applicable.
West Midlands Trains should produce an updated safety assurance 
process based on the findings of this review (paragraph 146a, 
paragraph 147c, paragraph 148a).</t>
  </si>
  <si>
    <t>The intent of this recommendation is to reduce the risk of failure of 
elevated cast iron shoulders, such as those on RT60 S&amp;C layouts.
Network Rail should develop a strategy to assess and control the risk 
of failure of track fastening systems incorporating elevated shoulders in 
RT60 switch and crossing layouts. It should also confirm that the failure 
mode identified in these shoulders does not apply to other elevated 
designs of track fastening system (paragraph 92a.ii).</t>
  </si>
  <si>
    <t>The intent of this recommendation is that Network Rail considers how 
dynamic track gauge measurement is undertaken in the areas of its 
network that are not traversed by its track measurement trains.
Network Rail should review its arrangements for the dynamic 
measurement of track geometry on the parts of its infrastructure not 
covered by its track measurement trains. The review should include 
the identification of high risk locations where additional safeguards 
are required (such as those subject to high lateral forces, or where 
there is an increased risk of track geometry faults). Consideration 
should be given to the number and routing of track measurement trains 
and alternative ways of measuring track geometry under dynamic 
conditions. Any additional safeguards identified by this review should be 
implemented by means of a risk-based programme (paragraph 92a.ii)</t>
  </si>
  <si>
    <t>The intent of this recommendation is to ensure that the rail industry has 
an improved process for considering when to install tactile surfaces at 
the edge of station platforms. Implementation of this recommendation 
is expected to be based on information already available to the UK rail 
industry and not delayed while information is collected by implementation 
of Recommendation 5.
The Department for Transport and Network Rail (in consultation with 
Rail Delivery Group and RSSB) should create a coherent policy 
and associated process (including effective risk management) for 
establishing when tactile surfaces should be provided at the edge of 
station platforms. This process should include:
l explicit consideration of safety and accessibility for all passengers;
l determining when installation of tactile surfaces is justified at 
particular locations, taking account of total passenger usage and any 
location- specific circumstances likely to affect usage by passengers at 
greater risk (including visually impaired people); 
l identifying stations where installation of tactile surfaces would give 
greatest benefit; 
l identifying and remedying locations where tactile surfaces have been 
installed incorrectly (including where they have been installed partially 
along the length of a platform); and 
l ensuring that analysis tools used to determine risk levels at the 
platform-train interface include adequate consideration of passengers 
at greater risk (including visually impaired passengers).
This recommendation may also apply to train operating companies with 
franchise agreements that include ‘full repairing and insuring lease’ asset 
management arrangements (paragraphs 127b,128, 132).</t>
  </si>
  <si>
    <t>The intent of this recommendation is to ensure that tactile surfaces 
justified by work done to implement Recommendation 1 are installed in 
a timely manner across the UK rail network. It is not expected that the 
installation programme will rely on data collected by implementation of 
Recommendation 5.
Network Rail and the Department for Transport (in consultation with 
train operators) should develop and progress a time-bound programme 
to install tactile surfaces at stations where justified by safety benefits. 
The programme should take account of priorities based on identification 
of locations where installation would give greatest benefit (paragraphs 
127b, 128).
This recommendation may also apply to train operating companies with 
franchise agreements that include ‘full repairing and insuring lease’ asset 
management arrangements.</t>
  </si>
  <si>
    <t>The intent of this recommendation is to ensure that the rail industry 
identifies and implements appropriate mitigations to manage the risk of 
visually impaired people falling from the edge of station platforms that 
are not yet fitted with tactile surfaces.
The Rail Delivery Group, assisted where necessary by RSSB, train 
operating companies and passenger groups representing visually 
impaired people, should research and develop means of reducing the 
risk associated with visually impaired people using station platforms 
where tactile surfaces have not yet been installed (paragraph 130).</t>
  </si>
  <si>
    <t>The intent of this recommendation is to ensure that visually impaired 
people have access to the information they need for safe independent 
travel.
The Office of Rail and Road should amend its ‘Accessible Travel Policy’
guidance for station operators, to ensure operators publish information 
on whether station platforms they manage are fitted with tactile surfaces 
(paragraph 131).</t>
  </si>
  <si>
    <t>This recommendation is intended to ensure that, in the long term, the UK rail industry has sufficient information, guidance and decision-support tools to fully assess and manage safety risks associated with use of the railway by disabled people. RSSB, assisted where necessary by train operating companies, Network Rail and passenger groups representing disabled40 people, should develop and implement means of collecting and analysing the data needed to properly understand and manage the safety risks associated with disabled people travelling on the UK railway. This information should be used to improve railway guidance and decision-support tools to better understand and manage the risks associated with use of the railway by disabled people (paragraph 132).</t>
  </si>
  <si>
    <t>The intent of this recommendation is to ensure that the emergency 
services have improved processes for requesting and confirming 
safe access to railway infrastructure where this is urgently needed to 
preserve life, but appropriate Network Rail staff are not present on-site to 
facilitate this access.
The British Transport Police, National Fire Chiefs Council, Association 
of Ambulance Chief Executives, London Fire Brigade and London 
Ambulance Service (facilitated, co-ordinated and informed by Network 
Rail) should review and improve their processes for requesting and 
confirming that no trains are moving and electrical power supplies are 
switched off when Network Rail staff are not present on-site. This should 
include the consideration of:
l individual service procedures, guidance and training; 
l joint working arrangements that align with Joint Emergency Services 
Interoperability Principles, including the Joint Decision Model; and
l procedures and training to promote high standards of safety critical 
communication and decision making.
(paragraph 129)</t>
  </si>
  <si>
    <t>The intent of this recommendation is for all AmcoGiffen staff to maintain 
sufficient levels of competence.
AmcoGiffen should develop and implement formal performance 
monitoring and appraisal arrangements for identifying and developing 
the ongoing safety performance and competence of its work force, 
at all grades. The procedure should include elements of proactive 
monitoring of staff performance and competence, identify areas of 
concern, define development needs and monitor their implementation. 
Suitable information about staff should be made available to all relevant 
managers across the business (paragraph 106)</t>
  </si>
  <si>
    <t>The intent of this recommendation is to ensure that AmcoGiffen assures 
itself that new projects and sites are operated in a safe and compliant 
manner.
AmcoGiffen should review the management arrangements and 
resources that are intended to ensure that work is planned, undertaken 
and reviewed in compliance with its safety management systems, 
particularly in the early stages of establishing new projects and sites of 
work. It should implement any changes identified as being necessary to 
provide adequate assurance of compliance (paragraph 97).</t>
  </si>
  <si>
    <t>The intent of this recommendation is to minimise the need for personnel 
to access the track.
Network Rail should review and amend the Electrical Safety Delivery 
programme to confirm that it takes account of the learning from the 
Roade investigation. In particular, it should consider ways of minimising 
the need for personnel to access the track, such as remotely operated 
earthing devices, and improved co-ordination and visibility of key 
information when planning and taking isolations of electrical traction 
supply and contact systems (paragraph 60).</t>
  </si>
  <si>
    <t>The interface between platform and train (PTI) presents various risks 
to passengers and, although most are found on all platforms, some 
platforms present additional or enhanced risk because of specific 
features such as track curvature creating a significantly higher 
risk of a person falling below the platform level. The intent of this 
recommendation is to recognise and assess location-specific risks 
so they can be properly managed. Reference to RSSB guidance 
on risk management at the platform-train interface is likely to assist 
implementation of this recommendation. 
London Underground Limited should carry out and document a suitable 
risk assessment of each tightly curved platform on its network, and any 
other locations at which passengers are considered to be at particularly 
high risk due to characteristics of the platform. In each case, this should 
include consideration of:
● the platform-train gap at all positions along the vehicle body;
● the influence of low, normal and high passenger numbers;
● the train operator’s visibility of the PTI during despatch;
● the safety of vulnerable passengers; 
● opportunities to expand the use of incident data to improve risk 
assessments;
● potential engineering measures to prevent access to the gap, to 
reduce the gap, and/or to detect the presence of people in the gap; 
and
● non-engineering measures to reduce the likelihood of people falling 
into the gap and to mitigate the consequences if they do so.
London Underground Limited should develop a timebound programme 
for the implementation of any additional control measures that are 
justified (paragraphs 100 and 101).</t>
  </si>
  <si>
    <t>The intent of this recommendation is to provide those who are 
responsible for managing risk with reliable risk assessment data that 
enables them to identify those locations on its network where the risk 
of harm is highest and to better inform their decisions on the need for 
additional risk mitigation measures.
London Underground Limited should review and update its quantified 
system risk model (LUQRA) to ensure that it is consistent with:
● current good practice in the rail industry;
● achieving a better understanding of how risk is distributed across its 
rail network;
● identifying potentially high-risk locations that warrant more detailed risk 
assessment;
● providing useful risk information to those with the responsibility for the 
safety of individual lines and stations; 
● understanding the entire risk of harm, including that associated with 
non-fatal injuries; and
● the systematic evaluation of whether additional safety measures are 
justified.
In conjunction with any updates to its quantified system risk model, LUL
should review and update its safety decision making standard to clarify 
how the model and other risk assessment processes should be applied 
in practice (paragraphs 101 and 102).</t>
  </si>
  <si>
    <t>The intent of this recommendation is that learning from previous 
accidents should be consistently actioned effectively to help prevent 
future accidents from occurring.
LUL should review and improve its management processes for ensuring 
that appropriate actions are taken in response to the findings and 
recommendations of its formal investigations (paragraph 101).</t>
  </si>
  <si>
    <t>The intent of this recommendation is to reduce the risks arising from 
human performance by improving Chiltern Railways’ management of 
drivers.
Chiltern Railways should review its driver management processes and 
introduce improved processes based on the review findings. The review 
should include consideration of: 
● providing drivers with adequate training and assessment of tripcock 
reset procedures on both Network Rail and London Underground 
infrastructure
● identifying conditions such as sleep apnoea during periodic medical 
examinations
● sharing the key findings of the route risk assessment process with 
drivers and driver managers
● adopting ORR fatigue guidance when designing driver rosters 
● how to promote good quality working relationships within the driver 
management function
● resourcing, training and ongoing support for those managing drivers
● periodic assessment and retraining in assessment techniques for staff 
undertaking competence assessments
● providing guidance on driver assessment methods, frequency, duration 
and time of day, which covers: 
o an appropriate range of routine and unusual activities on both 
London Underground and Network Rail infrastructure; and
o the identification of situations such as loss of attention due to fatigue 
and/or other causes.
● how best to highlight important information in operational documents to 
draw drivers’ attention to rules that are critical to safe train operation.
(paragraphs 154a, 154b, 154c, 155, 156b and 156c)</t>
  </si>
  <si>
    <t>This recommendation is intended to improve the understanding and 
management of risk at the interface between the national rail network 
and London Underground operations. 
Chiltern Railways and London Underground Ltd should jointly 
establish an effective process for the management of safety at the 
interfaces between their respective operations. This should include 
further assessment of the risk associated with operation of Chiltern 
Railways trains on London Underground Ltd’s infrastructure and 
the implementation of any further risk controls deemed necessary 
(paragraph 156a).
This recommendation may also apply to other passenger and 
freight train operators working onto London Underground Ltd 
infrastructure.</t>
  </si>
  <si>
    <t>The intent of this recommendation is to reduce the likelihood of a 
collision with another train due to a driver resetting tripcock equipment 
and proceeding without authority.
Chiltern Railways and London Underground Ltd (LUL) should jointly 
review the design of train protection equipment with the objective of 
reducing the risk associated with resetting of train protection equipment 
after activation due to a SPAD on LUL infrastructure. The review should 
consider: 
● ways of discouraging the immediate resetting of train protection 
equipment following its activation (known as ‘reset and go’) 
● the need for limiting the speed of train movements after train protection 
equipment has been activated (similar to SCAT); and
● ways of minimising unnecessary brake activations on non-LUL lines.
The review should take into account any planned upgrades of 
signalling equipment on LUL lines. Any additional measures found to 
be justified should be implemented in accordance with a timebound 
plan agreed between Chiltern Railways and London Underground Ltd 
(paragraph 154b).
This recommendation may also apply to other passenger and 
freight train operators working onto London Underground Ltd 
infrastructure.</t>
  </si>
  <si>
    <t>Correction and submission of safety procedure SP-54</t>
  </si>
  <si>
    <t>Recommendation 2 proposes Bulmarket Rail Cargo EOOD to correct and submit safety procedure SP-54 “Instruction for the operation of a locomotive instructor/receiver on the quality of the production processes”, by imposing duties of presence during the formation of wheel-sets with change of elements, as well as during the performance of non-destructive control (ultrasonic and penetrant defectoscopy), to characterise and accept the repair works with signature in the repair cards.</t>
  </si>
  <si>
    <t>Informing the interested staff on the content of the Report.</t>
  </si>
  <si>
    <t>Recommendation 1 proposes that NRIC SE and Bulmarket Rail Cargo EOOD shall acquaint the interested staff with the content of this report.</t>
  </si>
  <si>
    <t xml:space="preserve">The maintenance contractor to perform, in addition to the ultrasonic control a penetrant defectoscopy as well. </t>
  </si>
  <si>
    <t>Recommendation 3 proposes that Bulmarket Rail Cargo EOOD shall assign to the maintenance contractor to perform, in addition to the ultrasonic control a penetrant defectoscopy as well, when performing all types of repairs on the wheel-sets. This additional defectoscopy shall be recorded as an obligation in the Rules for Repair of Locomotives Series 87.000.</t>
  </si>
  <si>
    <t>R1 - road design of the level crossing</t>
  </si>
  <si>
    <t>To finalise, in accordance with the conclusions of the diagnosis carried out on 18 October 2018, the study of the possibility of installing a central island with a border on the Bourg-en-Bresse side of level crossing no. 7, in order to dissuade users coming from the city centre from crossing the level crossing in a chicane.</t>
  </si>
  <si>
    <t>34/20-1: effective works of maintenance of the overpasses over railway lines.</t>
  </si>
  <si>
    <t>Encourage the development of the appropriate legal instruments to ensure that owners of overpasses over railway lines carry out their monitoring and maintenance works effectively.
Final implementer: MITMA (Ministry of Transport, Mobility and Urban Agenda)</t>
  </si>
  <si>
    <t>34/20-2: monitoring the condition of the overpasses over the railway lines by the IM.</t>
  </si>
  <si>
    <t>Develop appropriate regulations for railway infrastructure managers to monitor the condition of all overpasses over the lines they manage, including their vehicle restraint systems, and report the results obtained to the competent road authorities so that they can act accordingly.
Final implementer: ADIF (IM)</t>
  </si>
  <si>
    <t xml:space="preserve">34/20-3: falling object detectors. </t>
  </si>
  <si>
    <t>Analyse the feasibility of installing falling object detectors on those overpasses over conventional railway lines not included in paragraph 4 of article 63 of Railway Operational Safety and Interoperability Regulation in those cases where their features may pose a special potential threat.
Final implementer: ADIF (IM)</t>
  </si>
  <si>
    <t>34/20-4: upgrade the vehicle restraint system.</t>
  </si>
  <si>
    <t>Upgrade the vehicle restraint system on the overpass on the ZA-P-1405 road over the railway line 822 from Zamora to A Coruña.
Final implementer: ZAMORA PROVINCIAL COUNCIL (Road owner)</t>
  </si>
  <si>
    <t>34/20-5: review the condition of the other overpasses.</t>
  </si>
  <si>
    <t xml:space="preserve">
Review the condition of the other overpasses owned by the Zamora Provincial Council and with similarities to the one of La Hiniesta, on lines 820 and 822 (from Toro to Lubián) and their maintenance procedures (with a particular focus on their Vehicle Restraint Systems), taking appropriate action if needed.
Final implementer: ZAMORA PROVINCIAL COUNCIL (Road owner)
</t>
  </si>
  <si>
    <t>34/20-6: eliminate the uncertainty in the consideration of an overpass as an element of the railway infrastructure or not.</t>
  </si>
  <si>
    <t xml:space="preserve">
Communicate to the competent authorities the necessity of adopting legal provisions aimed to eliminate the uncertainty in the consideration of an overpass as an element of the railway infrastructure or not and to clarify the relationship between overpasses and the railway infrastructure.
Final implementer: MITMA (Ministry of Transport, Mobility and Urban Agenda)
</t>
  </si>
  <si>
    <t>Safety recommendations associated with engineering &amp; infrastructure - 1</t>
  </si>
  <si>
    <t>IÉ-IM must introduce an adequate train protection systems on all of the IÉ network for the protection of trains; this system should be robust and to an acceptable standard within Europe; and have the appropriate ATP and speed supervision functionality</t>
  </si>
  <si>
    <t>Safety recommendations associated with engineering &amp; infrastructure - 2</t>
  </si>
  <si>
    <t xml:space="preserve">IÉ-IM should review the functionality of the ATP’s running release to ensure that the train protection function in relation to passing a signal at danger is appropriately maintained where drivers are approaching signals displaying red aspects. If this is not feasible with the current equipment it should be included any new train protection system introduced on the network. </t>
  </si>
  <si>
    <t>Safety recommendations associated with engineering &amp; infrastructure - 3</t>
  </si>
  <si>
    <t>IÉ-IM should review the functionality of signals in the Connolly area so that the instances of abnormal downgrades are minimised.</t>
  </si>
  <si>
    <t xml:space="preserve">Safety recommendations associated with human factors </t>
  </si>
  <si>
    <t xml:space="preserve">IÉ-RU should commission an independent review, in terms of human factors, to determine 
why there is a prevalence for the occurrence of SPADs: at certain times of the day; at 
certain times of drivers shifts; and for drivers with three-five years driving experience. </t>
  </si>
  <si>
    <t>Safety recommendation associated with driver management and the DD&amp;SS</t>
  </si>
  <si>
    <t>IÉ RU should review the culture within the company so that actions taken after SPAD’s 
supports learning within the driver grades should errors occur, and that the DD&amp;SS is 
used for redeveloping competence in driving skills and supporting the drivers in returning 
to driving duties, after a SPAD event.</t>
  </si>
  <si>
    <t>Safety recommendations associated with near miss SPAD events -1</t>
  </si>
  <si>
    <t>IÉ-RU should introduce a near miss reporting system, whereby, drivers may report near 
misses without the fear of sanctions being imposed.</t>
  </si>
  <si>
    <t>Safety recommendations associated with near miss SPAD events -2</t>
  </si>
  <si>
    <t>IÉ-IM should identify high risk signals and, where the technology exists, introduce a 
mechanism to monitor the approach speed to these signals; to ensure that near misses 
are identified and managed</t>
  </si>
  <si>
    <t>Safety recommendations in relation to Traffic Regulation -1</t>
  </si>
  <si>
    <t>IÉ-IM should review the Traffic Regulator’s Manual with a view to introducing guidance for 
Traffic Regulator’s in terms of the management of train delays and the switching of 
crossing points.</t>
  </si>
  <si>
    <t>Safety recommendations in relation to Traffic Regulation -2</t>
  </si>
  <si>
    <t>IÉ-IM should review their training and competency management for Traffic Regulators so 
that they have the appropriate skill set in terms of identifying potential risks associated 
with the regulating of trains</t>
  </si>
  <si>
    <t>Safety recommendations related to SPADs during degraded train operations and 
safety critical communications - 1</t>
  </si>
  <si>
    <t>IÉ-RU and IÉ-IM should carry out a review of the interfaces between different operational 
staff (i.e. drivers, LCCOs, signalmen and EOs) so that all operational staff can adequately 
manage train operations during degraded situations. Part of this review should focus on 
the safety critical communications between operational staff.</t>
  </si>
  <si>
    <t>Safety recommendations related to SPADs during degraded train operations and 
safety critical communications - 2</t>
  </si>
  <si>
    <t>IÉ-IM should identify all locations where safety critical communications are not recorded and develop a programme of works for the introduction of recording safety critical communications at these locations.</t>
  </si>
  <si>
    <t>Safety recommendations related to the LCCOs</t>
  </si>
  <si>
    <t>IÉ-IM should review the procedures applicable to signalman, Level Crossing Keeper, LCCO 
and level crossing emergency operators with particular emphasis on the actions to be 
taken by each when a fault is detected at a level crossing. This review should consider 
circumstances where a train may already have entered the affected section of line, and 
circumstances where the signal may be missing or extinguished</t>
  </si>
  <si>
    <t>New safety recommendation related to the accident</t>
  </si>
  <si>
    <t>Due to different publication dates and with the introduction of the Traffic Signs Manual (2010), alongside the recent work undertaken by IÉ on user worked level crossings, the RAIU have made 
one new safety recommendation (AO-01): 
The RSC, RSA and IÉ in consultation with any relevant stakeholders should agree a common policy in connection with instructions and warnings related to user worked level crossings.</t>
  </si>
  <si>
    <t xml:space="preserve">Reiterated safety recommendations related to the accident -1 </t>
  </si>
  <si>
    <t>Given the number of accident, serious near misses and regular misuse at this Level Crossing, the 
RAIU reiterate the safety recommendation made in the RAIU investigation report published in 
October 2011, ‘Car Strike at Knockaphunta Level Crossing (XM250), County Mayo, 24th October 2010’; and given that this recommendation has not been closed, the RAIU suggest that the following recommendation be expedited (CF-01, CF-02 &amp; UC-01): 
IÉ should upgrade the Level Crossing to ensure that the operation of the Level Crossing is not reliant on any direct action by the level crossing user.</t>
  </si>
  <si>
    <t>Reiterated safety recommendations related to the accident -2</t>
  </si>
  <si>
    <t>In relation to the misuse at the Level Crossing, the RAIU reiterate the safety recommendation, made in the investigation report ‘Vehicle Struck by Train at Corraun Level Crossing, XX024, Co. Mayo, 12th February 2014’ and published in April 2015. It should be noted that the RAIU made a similar recommendation in 2009, which has also not been closed, therefore the RAIU suggest that the following recommendation be expedited (CF-02 &amp; UC-01):
IÉ should carry out a full review of known misused user worked level crossings on public and private roads and either upgrade the level crossing or introduce measures to minimise 
their misuse.</t>
  </si>
  <si>
    <t>Reiterated safety recommendations related to the additional observations</t>
  </si>
  <si>
    <t>As a result of the confusion associated with the Stop Line applied 2m from the crossing, the RAIU reiterate the safety recommendation made in the investigation report ‘Vehicle Struck by Train at Corraun Level Crossing, XX024, Co. Mayo, 12th February 2014’ and published in April 2015 (A)-01):
IÉ should ensure that where a Decision Line is present on a user worked level crossing, 
that the purpose of this Decision Line is conveyed to the level crossing users.</t>
  </si>
  <si>
    <t>New safety recommendations related to the occurrence</t>
  </si>
  <si>
    <t>IÉ-RU should review all traction fleets that do not have sanding capabilities, and fit 
suitable systems to minimise the risk of low adhesion incidents.</t>
  </si>
  <si>
    <t>Safety Recommendation 2021004-01</t>
  </si>
  <si>
    <t>IÉ-RU CME should review all weld repairs carried out to structures of all rolling stock 
to assess the risk posed by such weld repairs and mitigate against the failure mode.</t>
  </si>
  <si>
    <t>Safety Recommendation 2021004-02</t>
  </si>
  <si>
    <t xml:space="preserve">IÉ-RU CME should develop a procedure for evaluating maintenance advice received 
from OEMs or other railway organisations to determine applicability to IÉ fleets and 
assess any associated risks. </t>
  </si>
  <si>
    <t>Safety Recommendation 2021004-03</t>
  </si>
  <si>
    <t>IÉ-RU CME and IÉ-IM CCE should carry out a risk assessment on the implications 
of the increased axle load of a 201 Locomotive.</t>
  </si>
  <si>
    <t>Safety Recommendation Rail 2021/02T</t>
  </si>
  <si>
    <t>On Monday 2 March 2020 at 1338, a signal error occurred at Grønland Metro station in Oslo. A safety relay failed when it over time was exposed to a higher load than it was designed for. The investigation has revealed deficiencies in Oslo Metros process for replacement and maintenance of components in the signalling system.
The Norwegian Safety Investigation Authority recommends that the Norwegian Railway Authority follow up that Oslo Metro has a process that ensures that all components in the signalling system can withstand the load to which they are exposed.</t>
  </si>
  <si>
    <t>Safety Recommendation Rail 2021/03T</t>
  </si>
  <si>
    <t>On Monday 2 March 2020 at 1338, a safety relay failed and caused a signal error at the Grønland Metro station in Oslo. The error led to different information being given in the main signal, the automatic train protection (ATP) and the information to the traffic manager. Even though the main signal was dark, the ATP and information to the traffic manager displayed “green”.</t>
  </si>
  <si>
    <t>Safety recommendation Rail no. 2021/16T</t>
  </si>
  <si>
    <t>On Thursday 25 June 2020, GreenCargo AB’s train derailed when it caused buckling of the track at Flå on the Bergen Line. There had been several days of high temperatures, at the same time as ballast cleaning was taking place during the night, on assignment for Bane NOR SF. According to Bane NOR SF’s regulations, this type of activity must not be performed if the rail temperature exceeds 30 °C. The parties involved were under the impression that the temperature requirement only applied when work was actually being performed, without considering the expected daytime temperature.
The Norwegian Safety Investigation Authority recommends that the Norwegian Railway Authority ask Bane NOR SF to clarify and ensure a correct understanding of the temperature requirement in the technical regulations.</t>
  </si>
  <si>
    <t>Safety recommendation Rail no 2021/04T</t>
  </si>
  <si>
    <t>Every year, a number of accidents and undesirable incidents occur in connection with work in the
vicinity of overhead contact systems on the national railway network. The investigation has shown
that faults and defects in the drawings that form the basis for high-voltage systems can contribute to
accidents.
The Norwegian Safety Investigation Authority recommends that the Norwegian Railway Authority
request Bane NOR SF to review the process for preparing and updating documentation of highvoltage
systems in order to ensure that the drawings are correct.</t>
  </si>
  <si>
    <t>Safety recommendation Rail no 2021/05T</t>
  </si>
  <si>
    <t>Every year, a number of accidents and undesirable incidents occur in connection with work in the
vicinity of overhead contact systems on the national railway network. Several incidents and
incorrect actions can be ascribed to inadequate competence and understanding of the systems on the
part of the different functions involved in planning and execution. The process for work on Bane
NOR's high-voltage systems involves several disciplines and requires coordination between
planning, traffic control and operational work in the field.
The Norwegian Safety Investigation Authority recommends that Bane NOR SF identify all
functions that affect the safety of work on high-voltage systems and assess the need for competence,
instruction, training and follow-up of these functions.</t>
  </si>
  <si>
    <t>Safety recommendation Rail no 2021/06T</t>
  </si>
  <si>
    <t>Every year, a number of accidents and undesirable incidents occur in connection with work in the
vicinity of overhead contact systems on the national railway network. The investigation has shown
that Bane NOR SF does not adequately analyse reported incidents with a view to organisational
learning and improvement. Given the number of registered accidents, the number of reports on
near-misses and condition reports should be higher.
The Norwegian Safety Investigation Authority recommends that the Norwegian Railway Authority
request Bane NOR SF to assess its process for handling reported near-misses, conditions and
accidents relating to high-voltage systems, so that these are considered both individually and
together for the purpose of implementing targeted measures to remove the causes of such incidents.</t>
  </si>
  <si>
    <t>Safety recommendation Rail no 2021/07T</t>
  </si>
  <si>
    <t>Every year, a number of accidents and undesirable incidents occur in connection with work in the
vicinity of overhead contact systems on the national railway network. The investigation has shown
that inadequate planning has been a contributory cause of accidents. It is challenging to establish
safety at work if the job is not ordered and planned in a structured way that enables coordination.
The Norwegian Safety Investigation Authority recommends that the Norwegian Railway Authority
request Bane NOR SF to assess its process for planning works on power supply systems, so that all
factors are taken into consideration prior to execution of the work.</t>
  </si>
  <si>
    <r>
      <t xml:space="preserve">Addressed to the Czech National Safety Authority (the NSA):
• to ensure at the infrastructure manager Správa železnic, státní organizace:
</t>
    </r>
    <r>
      <rPr>
        <sz val="10"/>
        <color rgb="FF000000"/>
        <rFont val="Arial"/>
        <family val="2"/>
        <charset val="1"/>
      </rPr>
      <t xml:space="preserve">◦ increased effectiveness and strengthening of the control activities aimed at consistent enforcement of the existing technological procedures for the shunting operation (with an emphasis on employee communication) until simplification of the technological procedures for the shunting operation will be implemented;                                                                          ◦ preparation and implementation of overall simplification of the technological procedures for the shunting operation (with emphasis on communication) so that impracticality of these procedures will no longer lead to their non-fullfilment;
◦ in cooperation with the railway undertakings, they will consider using modern technologies, which would, in addition to current methods, enable to inform trains without personal contact only by using data communication (e. g. In a mobile application ensuring the acceptance of the order and the confirmation of acquaintance with it) which also offers the possibility of using its other benefits, such as notification of the relevant facts depending on the current
position of the train or shunting between operating control points.                                           </t>
    </r>
    <r>
      <rPr>
        <b/>
        <sz val="10"/>
        <color rgb="FF000000"/>
        <rFont val="Arial"/>
        <family val="2"/>
        <charset val="1"/>
      </rPr>
      <t xml:space="preserve">• to ensure at all railway undertakings on the lines of the IM Správa železnic, státní
organizace:
</t>
    </r>
    <r>
      <rPr>
        <sz val="10"/>
        <color rgb="FF000000"/>
        <rFont val="Arial"/>
        <family val="2"/>
        <charset val="1"/>
      </rPr>
      <t>◦ the obligation for the train driver to always have the appropriate forms for writing orders at the control position from which he leads the train will be established in the uniform technological procedures;
◦ increased effectiveness and strengthening of the control activities aimed at consistent enforcement of the existing technological procedures for the shunting operation (with an emphasis on employee communication).</t>
    </r>
  </si>
  <si>
    <t>AIN/06-SR-09/2021</t>
  </si>
  <si>
    <t>The Infrastructure Manager should develop additional procedures/methods for risk assessment on railway sections where wooden sleepers are installed with regard to their oldness and determine the necessary measures to keep the risk under control.</t>
  </si>
  <si>
    <t>R1 - preparation and recognition of an itinerary adapted to a special transport</t>
  </si>
  <si>
    <t>Following the put on-line of the new cartographic tool on the Géoportail website:
- update the contact details of the managers to be notified before the convoy passes ;
- display only the general and specific prescriptions associated with each section viewed ; 
- create a route planner adapted to exceptional convoys, which would identify the singular points to be crossed, in particular the level crossings.</t>
  </si>
  <si>
    <t>R2 - loss of the ground-train radio following the collision</t>
  </si>
  <si>
    <t>Study the feasibility of installing an automatic, energy-autonomous system on board "AGC" trains, which, following an impact, sends an alert to the operational traffic management center associated with the operating line, so that it adapts the circulation of surrounding trains.</t>
  </si>
  <si>
    <t>Acquitance of the interested staff with the report content.</t>
  </si>
  <si>
    <t>Recommendation 1 proposes that SE NRIC and BDZ Cargo Ltd. shall acquaint the interested staff with the content of this report</t>
  </si>
  <si>
    <t xml:space="preserve">Strengthen the control on places with continuously welded rail track </t>
  </si>
  <si>
    <t>Recommendation 2 proposes SE NRIC to strengthen the control on places with continuously welded rail track for strict compliance with the “Technical norms for the planning, construction and repair of continuously welded rail track.</t>
  </si>
  <si>
    <t>Strengthen the control of the state of the continuously welded rail track</t>
  </si>
  <si>
    <t>Recommendation 3 proposes that SE NRIC strengthen the control of the state of the continuously welded rail track, especially at extreme temperatures during the summer season based on weather forecasts, by carrying out additional on-the-spot checks and inspections. Particular attention shall be paid to the ballasting and fastening of the rail track.</t>
  </si>
  <si>
    <t xml:space="preserve">During the investigation one found out that the improper technical condition of the track was generated by the unsuitable maintenance, that was not run in accordance with the provisions of the practice codes (reference/associated documents of CNCF SMS procedures).
Considering the findings and conclusions of the investigation commission, above mentioned, for the improvement of the railway safety and the prevention of similar events, AGIFER considers timely to address Romanian Railway Safety Authority – ASFR the next safety recommendations:
Preamble at the safety recommendation no. 1
The investigation commission found out that CNCF identified but did not manage efficiently the risks generated by the lack of line maintenance, in order to be able to dispose monitoring measures for the decrease of these risks. 
Safety recommendation no.1
ASFR shall ensure that CNCF „CFR” SA re-assess the risks associated to the danger generated by keeping in operation the improper wooden sleepers within the curves and establishes monitoring measures for keeping under control these risks.
</t>
  </si>
  <si>
    <t xml:space="preserve">During the investigation one found out that the improper technical condition of the track was generated by the unsuitable maintenance, that was not run in accordance with the provisions of the practice codes (reference/associated documents of CNCF SMS procedures).
Considering the findings and conclusions of the investigation commission, above mentioned, for the improvement of the railway safety and the prevention of similar events, AGIFER considers timely to address Romanian Railway Safety Authority – ASFR the next safety recommendations:
Preamble at the safety recommendation no. 2
The investigation commission found out that CNCF ensured unsuitable human resources against the necessary one, it being generated and caused by the improper line maintenance. 
Safety recommendation no.2
ASFR shall ensure that CNCF „CFR” SA re-assesses the risks associate the danger of not ensuring the number of staff necessary for the performance of maintenances according to the practice codes.
</t>
  </si>
  <si>
    <t xml:space="preserve">During the investigation one found out that the improper technical condition of the track was generated by the unsuitable maintenance, that was not run in accordance with the provisions of the practice codes (reference/associated documents of CNCF SMS procedures).
Considering the findings and conclusions of the investigation commission, above mentioned, for the improvement of the railway safety and the prevention of similar events, AGIFER considers timely to address Romanian Railway Safety Authority – ASFR the next safety recommendations:
Preamble at the safety recommendation no. 3
The investigation commission found out that OTF did not draft, together with CRH, a join regulation for the dispatching-reception the wagons at and from the loading in accordance with the provisions in force.
Safety recommendation no.3 
ASFR shall ensure that GFR SA re-assesses the risks associated to the danger generated by the not ensuring of the optimum conditions for checking the distribution of the load in wagons, according to the practice codes and establishes the safety measures necessary for keeping these risks under control.
</t>
  </si>
  <si>
    <t>Addressed to the Czech National Safety Authority (NSA):
• as a part of its activities as a National Safety Authority, to adopt own measure to ensure at IMs of railway tracks national and regional:
- to create and implement a system of practical training for train dispatchers, when it will be create crisis situations requiring an appropriate reaction to the immediate threat to the safe operation of railway transport in order to avert an occurrence or reduce their consequences without unnecessary delay.</t>
  </si>
  <si>
    <t>Safety Recommendation No. 2021/11: Shunting regime with single-cab locomotives</t>
  </si>
  <si>
    <t>It is recommended that the NSA, within a period of three months, clarify to the RUs using 1400 series locomotives and others types with single-cab, the regime applicable to shunting using that type of locomotives, taking into account the conditions existing in each type for the feasibility of the defined shunting regimes.
As part of subsequent ordinary supervisory actions, the NSA should verify that the RUs’ internal procedures adequately reflect that regime, including the training of relevant staff.</t>
  </si>
  <si>
    <t>Safety Recommendation No. 2021/12: Maintenance of railway infrastructure lighting systems</t>
  </si>
  <si>
    <t>It is recommended that IM Infraestruturas de Portugal, within a time-period to be determined by the NSA, establishes in its procedures a maximum period for repairing damaged spotlights in its sites where shunting activities are regularly carried out.</t>
  </si>
  <si>
    <t>Safety Recommendation No. 2021/13: Lighting conditions for railway infrastructure</t>
  </si>
  <si>
    <t>It is recommended that IM Infraestruturas de Portugal, within a time-period to be determined by the NSA, defines the appropriate procedures so that the sites where shunting activities are regularly carried out with the presence of workers on the field are subject to lighting projects complying with the applicable rules and recommendations, and that the contributions of the railway undertakings operating there are also taken into account.
Also within a time-period to be determined by the NSA, the sites already in operation should be checked in accordance to the aforementioned procedures, implementing any corrective measures that may be necessary.</t>
  </si>
  <si>
    <t>Safety Recommendation No. 2021/14: Conditions for on-foot circulation of workers in marshalling and parking yards</t>
  </si>
  <si>
    <t>It is recommended that IM Infraestruturas de Portugal, within a time-period to be determined by the NSA, establishes the appropriate procedures for the definition of criteria for the installation of footpaths in the sites where shunting activities are regularly carried out with the presence of workers on the field, taking into account the personal health and safety of the workers, as identified by the respective railway companies.
In the sites already in operation, they must be verified in accordance to the aforementioned procedures, implementing any corrective measures that may be necessary, also within a time-period to be determined by the NSA.</t>
  </si>
  <si>
    <t>Safety Recommendation No. 2021/15: Emergency plans on railway infrastructure where shunting is carried out regularly</t>
  </si>
  <si>
    <t>It is recommended that IM Infraestruturas de Portugal, within a time-period to be determined by the NSA, reviews the emergency plans of all its facilities where shunting activities are regularly carried out with the presence of workers on the field, in order to guarantee, in accordance with the degree of risk of the installations, the definition of adequate access for rescue by the public services, and to implement the measures that result from this analysis, including the carrying out of drills. The plans must be properly communicated and agreed with the relevant entities.</t>
  </si>
  <si>
    <t>Safety Recommendation No. 2021/16: Supervision of the activity in marshalling yards</t>
  </si>
  <si>
    <t>It is recommended that RU MEDWAY, within a time-period to be determined by the NSA, strengthens its procedures for supervising the activity and local management of the marshalling yards where it operates, namely by establishing a supervision plan for regular and unannounced inspections, covering, among other aspects deemed necessary, the use of PPE by all workers as well as the conditions in which the shunting is carried out.</t>
  </si>
  <si>
    <t>Safety Recommendation No. 2021/17: Control of workers' fitness to perform their duties</t>
  </si>
  <si>
    <t>It is recommended that RU MEDWAY, within a time-period to be determined by the NSA, review and introduce the necessary changes in its personnel management procedures, in order to ensure that workers only perform functions with the mandatory medical examinations up to date.</t>
  </si>
  <si>
    <t>Safety Recommendation No. 2021/18: Risk analysis of rolling stock door opening in unsafe situations and implementation of control measures</t>
  </si>
  <si>
    <t>It is recommended that CP – Comboios de Portugal, EPE, within a timeframe to be accepted by the NSA, carries out a formal and documented risk analysis regarding the opening of manually operated doors to the outside of rolling stock in an unsafe situation, taking into account, among other aspects that are identified as relevant:
― The history of related events,
― The different types of manually operated doors on rolling stock,
― The usage characteristics of each type of rolling stock,
― Procedures capable of being carried out effectively by the crew,
― Applicable technological systems,
implementing, within a period also to be accepted by the NSA, the measures necessary to control the risks to passengers as resulting from this analysis and as deemed acceptable by the NSA.</t>
  </si>
  <si>
    <t>R1 - requirements for geotechnical investigation of earthworks for new lines</t>
  </si>
  <si>
    <t>Strengthen the requirements of the technical specifications for the construction of high-speed lines regarding the amount of testing leading to the choice of geomechanical parameters for the verification of the stability of large cuttings slopes.</t>
  </si>
  <si>
    <t>R2 - securing the embankments on the East European High Speed Line</t>
  </si>
  <si>
    <t>Complete the analyses and the projects of comfort works following the accident, in order to treat the risk of slope sliding on the eastern section of East European high speed line.</t>
  </si>
  <si>
    <t>R3 - methods for monitoring excavated material</t>
  </si>
  <si>
    <t>Investigate and decide on the value of incorporating radar interferometry analysis, or any other relevant technique, into the monitoring of excavated works classified as sensitive under the maintenance policy.</t>
  </si>
  <si>
    <t>R4 - rules for monitoring drainage works</t>
  </si>
  <si>
    <t>Review the monitoring requirements for internal drainage structures on large slopes to ensure that they are examined by camera and are known to be in good working order.</t>
  </si>
  <si>
    <t>Addressed to The Czech Ministry of Labour and Social Affairs in cooperation with The Czech Ministry of Transport:
• initiate change in the provisions of the Government Decree No. 589/2006 Coll., which determines the divergent regulation of the working hours and the rest periods for the employees in transport, so that there will be determined the clear rules for work performance of the employees in transport: the rest period and the conditions of its possible shortening will be determined, the highest daily driving time of a rolling stock (not just the length of the shift, i.e. restrictions of driving overtime) will be determined, definition of overhead ride will be adjust, the maximum daily driving time will be determined, the definition of the shift and overhead ride will be modified, the obligation of frequency and length of the breaks will be determined, and when it will be allowed to take the reasonable time for rest and food, then the obligation of frequency and length of the reasonable time for rest and food would also be determined, and the obligation to register taken breaks (reasonable time for rest and food) at least for the train drivers will be determined. It is also necessary to strengthen the legal certainty of the addressees of Act No. 262/2006 Coll. and Government Decree No. 589/2006 Coll. and the exclusion of different interpretations clearly defined in the regulations (or refer to the definition in other regulations) terms „day time”, „daily driving time”, „work at night” and „night shift”.</t>
  </si>
  <si>
    <t>no.376-1</t>
  </si>
  <si>
    <t xml:space="preserve">Considering the causal, contributing and systemic factors identified during the investigation, as well as the mentions from chapter 5.c. Additional remarks, for the prevention of similar accidents or incidents, in the future, in accordance with the provisions of art.26, paragraph (2) from the Emergency Government Decision no.73/2019 for the Railway Safety, the investigation commission issues the next safety recommendations:
Preamble at the recommendation no.376-1
The investigation commission found that SC Tim Rail Cargo SRL, like railway undertaking, did not identify, respectively did not manage effectively the risks associated to the danger represented by ”use in operation of the locomotives with deadline for planned repair overdue”.
Safety recommendation no.376-1
ASFR shall ensure that SC Tim Rail Cargo SRL, like railway undertaking, getting rolling stock, will assess the danger represented by ”the use in operation of locomotives with the deadline for planned repair overdue” and will establish viable safety measures for keeping it under control.
</t>
  </si>
  <si>
    <t>no.376-2</t>
  </si>
  <si>
    <t xml:space="preserve">Considering the causal, contributing and systemic factors identified during the investigation, as well as the mentions from chapter 5.c. Additional remarks, for the prevention of similar accidents or incidents, in the future, in accordance with the provisions of art.26, paragraph (2) from the Emergency Government Decision no.73/2019 for the Railway Safety, the investigation commission issues the next safety recommendations:
Preamble at the safety recommendation no. 376-2
During the investigation one found that the locomotive EA 1084 was not withdrawn from running when it reached the norm of time between two planned repairs type overhauls. Following the analysis of the procedure code: P – ERI 02 / III, one found that it does not contain clear provisions regarding the measures that have to be taken when the locomotives used reach the norm of time/km for the performance of planned repairs.
Safety recommendation no.376/2
ASFR shall ensure that SC Constantin Grup SRL, like entity in charge with the maintenance will re-assess the procedure code: P – ERI 02 / III so that it shall contain clear provisions regarding the measures that have to be taken when the locomotives used reach the norm of time/km for the performance of planned repairs.
</t>
  </si>
  <si>
    <t>no.376-3</t>
  </si>
  <si>
    <t xml:space="preserve">Considering the causal, contributing and systemic factors identified during the investigation, as well as the mentions from chapter 5.c. Additional remarks, for the prevention of similar accidents or incidents, in the future, in accordance with the provisions of art.26, paragraph (2) from the Emergency Government Decision no.73/2019 for the Railway Safety, the investigation commission issues the next safety recommendations:
Preamble at the safety recommendation no. 376-3
According to the mentions from chapters 4.b. Infrastructure and 5.c. Additional remarks, one found that the hauling of the freight train no.60516-1, that had a tonnage closed to the maximum accepted one, established upon experience, between the railway stations Mehadia Nouă and Poarta and into unfavourable weather conditions could not be realized. On this distance, until the accident occurrence the speeds and running times could not be met.
Safety recommendation no.376-3 
ASFR shall assure that CNCF „CFR” SA, like public railway infrastructure administrator and SC Tim Rail Cargo SRL, like railway undertaking, will take the necessary steps for checking the maximum accepted tonnage, that can be hauled between the railway stations Mehadia Nouă and Poarta, upon the calculation and experiment made meeting with the conditions imposed by the regulations in force. 
This recommendation is not a restricting one, it could be extended also at other track sections for which the tonnages were established upon experience/experiment and for which there is no justifying documents regarding the conditions in which they were reached.
</t>
  </si>
  <si>
    <t>AIN/06-SR-01/2022</t>
  </si>
  <si>
    <t>The involved wagon maintenance workshop should revise its Rolling Stock revision Risk Register updating where necessary to sufficiently cover all reasonably foreseeable risks and eliminate them by adopting operational measures.</t>
  </si>
  <si>
    <t>Recommendations no. 1</t>
  </si>
  <si>
    <t>1. It is recommended that the National Agency for the Safety of Railways and Road and Motorway Infrastructures ask the railway infrastructure managers to review the activities provided for in the Quality Control Plan (QCP) of the hydraulic switches actuators:
• introducing, instead of the simple visual inspection of the wiring, a functional test that verifies the correct input-output connection at the different positions of the actuator contact shaft;
• verifying the completeness of the phases of "Complete actuator testing" and "Final functional testing of complete actuator".</t>
  </si>
  <si>
    <t>Recommendations no. 2</t>
  </si>
  <si>
    <t>It is recommended that the National Agency for the Safety of Railways and Road and Motorway Infrastructures ask the railway infrastructure managers to adapt the reference documentation and the related training activities so that it is clearly stated that all maintenance activities on switches, which involve interventions on the relative command and control circuits, must always end with a check of concordance between the physical configuration of the switch on the apron and the commanded one, returned remotely, confirmed by visual documentation of the evidence.</t>
  </si>
  <si>
    <t>Recommendations no. 3</t>
  </si>
  <si>
    <t>It is recommended that the National Agency for the Safety of Railways and Road and Motorway Infrastructures ask the railway infrastructure managers to adapt the reference documentation and the related training activities so that the return to operation of a switch, or any other safety device, at the end of any maintenance activity on it, in cases in which anomalous behavior of the devices occurs, is carried out by the subjects involved always inspired by a precautionary principle, i.e. by adopting the most restrictive measure to protect safety.</t>
  </si>
  <si>
    <t>Recommendations no. 4</t>
  </si>
  <si>
    <t>It is recommended that the National Agency for the Safety of Railways and Road and Motorway Infrastructures ask the railway infrastructure managers to reorganize the internal procedures for the use of switch immobilization devices by maintenance staff.</t>
  </si>
  <si>
    <t>Recommendations no. 5</t>
  </si>
  <si>
    <t>It is recommended that the National Agency for the Safety of Railways and Road and Motorway Infrastructures ask the railway infrastructure managers to start a process aimed at the design, construction and implementation of hydraulic switches with control circuit capable of signaling the position of each actuator constituting the turnout, as well as the adaptation of the ACC operating logic aimed at appropriately managing the control parameters that govern the functioning of the turnout.</t>
  </si>
  <si>
    <t>Acquainting the interested staff with the content of the final report.</t>
  </si>
  <si>
    <t>•Recommendation 1 proposes that SE NRIC and BDZ PS Ltd. shall acquaint the interested staff with the content of this report.</t>
  </si>
  <si>
    <t>Technical requirements concerning the equipment and areas associated with fire hazards.</t>
  </si>
  <si>
    <t xml:space="preserve">Recommendation 2 proposes that BDZ PS Ltd. when renewing or upgrading (capital repair) passenger coaches, shall include in the passenger coaches’ specification, technical requirements concerning the equipment and areas associated with fire hazards as the coaches shall be equipped with an early-stage fire detection system (fire alarm system). </t>
  </si>
  <si>
    <t>Technical requirements referring the optical and audible alarm systems in the coach.</t>
  </si>
  <si>
    <t>• Recommendation 3 proposes BDZ PS Ltd. when renewing or upgrading (capital repair) passenger coaches, shall include in the passenger coaches’ specification, technical requirements, by the virtue of which, when a fire is detected, an optical and audible alarm shall be activated in the coach.</t>
  </si>
  <si>
    <t>Installation of video recording cameras at both ends of the coach.</t>
  </si>
  <si>
    <t>• Recommendation 4 proposes BDZ PS Ltd. when renewing or upgrading (capital repair) all series of passenger coaches, shall envisage in the technical specification the installation of video recording cameras at both ends of the coach in order to monitor the actions of the passengers.</t>
  </si>
  <si>
    <t xml:space="preserve"> Implement the arrangements for upgrading the crossing category</t>
  </si>
  <si>
    <t xml:space="preserve"> The infrastructure manager PKP PLK S.A., in order to ensure safety in the area of the railway-road crossing, will implement the arrangements for upgrading the crossing category resulting from Protocol No. IZ16KI.505.36.2021 of 20.04.2021. </t>
  </si>
  <si>
    <t>Effectiveness of supervision</t>
  </si>
  <si>
    <t xml:space="preserve">Infrastructure managers shall take measures regarding the effectiveness of supervision of the implementation of SMS procedures or internal rules. In the case of changes to the railway line parameters concerning an increase in train speeds in the area of level crossings, an assessment of the significance of the change shall be carried out individually for each level crossing. </t>
  </si>
  <si>
    <t>Improve the quality and depth of inspections</t>
  </si>
  <si>
    <t>Infrastructure managers shall take measures to improve the quality and depth of inspections, diagnostic tests and the way the visibility triangle of level crossings is measured. When measuring visibility triangles account must be taken of the fact that the visibility of the train head from 5 metres from the outermost rail must be continuous (not obscured by any objects as the train approaches the level crossing) and must include the front end signal lanterns. If this condition is not complied with, the speed of trains in the area of level crossings shall be reduced in accordance with the legislation in force.</t>
  </si>
  <si>
    <t>Risiken bei Unwelterereignissen</t>
  </si>
  <si>
    <t>Es wird empfohlen, für den Bahnbetrieb topographisch kritische Infrastrukturanlagen zu identifizieren und gemäß delegierter Verordnung (EU) 2018/762 Anhang II Nr. 3.1. Sicherheitsmaßnahmen zu entwickeln, die zur Beherrschung von Risiken bei Unwelterereignissen, wie beispielsweise Starkregen, beitragen können.</t>
  </si>
  <si>
    <t xml:space="preserve">The railway accident happened on the 26th March 2021, on the exit route from the line no.5 of the railway station Augustin to the track II Augustin – Apața, was caused by the improper condition of the track within the switch no.27a from the double diamond crossing TJD 21/27. 
During the investigation one found out that the improper condition of the track within the double diamond crossing TJD 21/27 was generated by the unsuitable maintenance and the lack of compliance with the track maintenance and repair cycles, that were not carried out in accordance with the provisions of the practice codes (reference/associated documents of SMS procedures of the infrastructure administrator).
Applying the own procedures of the safety management system, completely, as well as the provisions of the practice codes, part of SMS, the infrastructure administrator should have kept the values of the technical parameters of the track between the limits of tolerances imposed by the railway safety and, so, could be able to avoid the accident.
Considering the findings and conclusions of the investigation commission above mentioned, for the prevention of similar accidents, AGIFER issues the next safety recommendation:
Recommendation no.378/1
Romanian Railway Safety Authority – ASFR shall ensure that the public railway infrastructure administrator will re-assess the risk associated to the danger generated by the lack of preventive and scheduled maintenance, non-compliance with the track maintenance and repair cycles and it will establish effective measures for keeping them under control.
</t>
  </si>
  <si>
    <t>BA2021-0039-5-01</t>
  </si>
  <si>
    <t>TSB recommends considering a risk assessment relating to the conditions of keeping the switches continuously in closed position and, depending on the results, modify the related rules as necessary.</t>
  </si>
  <si>
    <t>Improve communication</t>
  </si>
  <si>
    <t>Infrastructure managers shall ensure that train dispatchers, when providing information to railway vehicle drivers that other trains must be allowed to pass, will keep them constantly informed about changes to the traffic organisation of the station.</t>
  </si>
  <si>
    <t>Move the D semaphore in order to improve visibility</t>
  </si>
  <si>
    <t>To ensure visibility of semaphore D at Grodzisko Dolne station of PKP PLK S.A., the Rzeszów Railway Department shall move the overhead traction line pole 163-44 located in the area of GD1 setting area.</t>
  </si>
  <si>
    <t>Check visibility of semaphores</t>
  </si>
  <si>
    <t>Infrastructure managers shall perform exceptional checks on the visibility of shaped semaphores, during day and night, in stations with overhead traction lines, both over the main and auxiliary tracks.</t>
  </si>
  <si>
    <t>Proper fitting of tables in passenger wagons</t>
  </si>
  <si>
    <t>Railway undertakings will take measures to improve passenger safety on trains through the appropriate fitting of tables in the non-compartment passenger coaches, guaranteeing travellers' safety.</t>
  </si>
  <si>
    <t>Implement the provisions of the  Protocol No. IZATA-I/3-22-068/2019 of 21.06.2021</t>
  </si>
  <si>
    <t>The infrastructure manager will implement the recommendation specified in the protocol from diagnostic tests of railway traffic control devices (hereinafter referred to as the rtc devices, see Protocol No. IZATA-I/3-22-068/2019 of 21.06.2021) with the following content: "Provide for renovation of railway traffic control (rtc) devices, replacement of shaped semaphores with light semaphores and installation of EAP (Interlocking Early Action Project) on adjacent routes to Tryńcza-Leżajsk station".</t>
  </si>
  <si>
    <t xml:space="preserve">Restore the technical condition of infrastructure </t>
  </si>
  <si>
    <t>To ensure safety of train traffic on routes a11 b2 and a23 PKP PLK S.A., Rzeszów Railway Department, shall restore the technical condition of infrastructure in Grodzisko Dolne station to the currently existing technical documentation.</t>
  </si>
  <si>
    <t>Introduce internal rules to restrict the use of non-traffic related multimedia devices by train crew and traffic posts staf</t>
  </si>
  <si>
    <t>Railway undertakings and infrastructure managers shall introduce internal rules to restrict the use of non-traffic related multimedia devices by train crew and traffic posts staff, hindering the correct reception of the acoustic signals and announcements made as well as shall include this issue in the programme of periodic instructions.
8) Railway undertaking LOTOS Kolej Sp</t>
  </si>
  <si>
    <t>Implement order of the President of Office of Rail Transport (UTK) No. DBK-550/R03/KB/12 dated 30.05.2012, addressed to railway operators, about obligation to install pre-field recording devices - digital cameras or video recorders</t>
  </si>
  <si>
    <t>Railway undertaking LOTOS Kolej Sp. z o. o. will implement order of the President of Office of Rail Transport (UTK) No. DBK-550/R03/KB/12 dated 30.05.2012, addressed to railway operators, about obligation to install pre-field recording devices - digital cameras or video recorders in newly built and operating railway vehicles, according to recommendation PKBWK-076-305/RL/R/11 dated 22.11.2011.</t>
  </si>
  <si>
    <t>Addressed to the Czech National Safety Authority (NSA):
• to ensure at IMs of railway tracks national and regional to create and implement a system of practical training for train dispatchers, when it will be create crisis situations, it will be require its immediately and correct evaluation and on its basis consequent requiring an appropriate reaction to the immediate threat to the safe operation of railway transport in order to avert an occurrence or reduce their consequences;</t>
  </si>
  <si>
    <t>Addressed to the Czech National Safety Authority (NSA):
• to ensure for all relevant station interlocking plants a reassessment of the hazard state analysis resulting from the interface between the device and its manipulation and subsequently consider of addittion a requirement for a graphical indication of the switch track section occupation by coloring the switch branch which was actually occupied, at least in cases when is the switch section directly behind the signal device and unauthorized movement behind this signal device is not specifically indicated by other function of the station interlocking plant.</t>
  </si>
  <si>
    <t>Baureihe 711.1</t>
  </si>
  <si>
    <t>Es wird empfohlen bei den Fahrzeugen der Baureihe 711.1 risikominimierende Maßnahmen gegen einen unkontrollierten Ablauf zu erarbeiten und in einem Aktionsplan umzusetzen. Hierbei sollten ins-besondere Maßnahmen in den Bereichen Brandent-stehung und -detektion sowie Optimierung der Bremsanlage in Erwägung gezogen werden.
Addressee and safety recommendation:
National safety authority
It is recommended that risk-minimizing measures to prevent an uncontrolled course of events should be developed for vehicles of the 711.1 series and these 
should be implemented in an action plan. In this case, particular consideration should be given to measures relating to the outbreak and detection of fires, as well as the optimisation of the brake system
Relates to Keeper/railway undertaking</t>
  </si>
  <si>
    <t>German and English</t>
  </si>
  <si>
    <t>Acquainting the interested staff with the content of the report.</t>
  </si>
  <si>
    <t xml:space="preserve"> Recommendation 1 proposes that SE NRIC and Bulmarket Rail Cargo EOOD shall acquaint the interested staff with the content of this report.</t>
  </si>
  <si>
    <t>Precise control of the technical condition of the wagons</t>
  </si>
  <si>
    <t>Recommendation 2 proposes that Bulmarket Rail Cargo EOOD shall carry out precise control of the technical condition of the wagons, both at the border and train-forming stations, and during their movement along the national railway network.</t>
  </si>
  <si>
    <t>Specifying the personnel controlling the technical condition of the wagons</t>
  </si>
  <si>
    <t xml:space="preserve"> Recommendation 3 proposes that Bulmarket Rail Cargo EOOD shall specify the personnel controlling the technical condition of the wagons in the hub stations along the route of the trains.</t>
  </si>
  <si>
    <t xml:space="preserve">Refreshment and control of the marking on the outside of the flange wheels </t>
  </si>
  <si>
    <t xml:space="preserve"> • Recommendation 4 proposes that Bulmarket Rail Cargo EOOD shall request refreshment and control of the marking on the outside of the flange wheels for quick and easy control of the flange-disc assembly.</t>
  </si>
  <si>
    <t xml:space="preserve">Informing the National Safety Authority of Romania and the certification body SCONRAIL Ltd of two consecutive accidents </t>
  </si>
  <si>
    <t>Recommendation 5 proposes that the RAEA shall inform the National Safety Authority of Romania and the certification body SCONRAIL Ltd of the two consecutive accidents with rolling stock registered in the Romanian Vehicle Register, with owner, user and entity in charge of the maintenance ROLLING STOСK COMPANY SA, due to possible poor maintenance of 665/Fals series wagons.</t>
  </si>
  <si>
    <t>no.384-1</t>
  </si>
  <si>
    <t xml:space="preserve">The investigation commission found out that the deficiencies identified at the railway infrastructure were generated by the exceeding of the tolerances accepted for the cross level of a rail against another one.               The accident investigated is part of a series of accidents with superstructure deficiencies similar to those happened on the railway infrastructure managed by the infrastructure manager, investigated by AGIFER. The investigation reports completed (mentioned at point 4.e of this report), contain a series of safety recommendations (for the same elements/findings that are also in this report), intended to prevent the occurrence of accident with similar causes, for this reason the investigation commission does not consider necessary to issue other safety recommendations.
The result of the investigation was that the regulations for the composition of the freight train no.80639 were not met (the running of the train with having a dead locomotive at its rear). Considering the findings and the conclusions of the investigation commission above mentioned, for the improvement of railway safety and prevention of some similar events, AGIFER considers timely to address to ASFR, the next safety recommendation:
Safety recommendation no.384/1
ASFR shall ask OTF a re-assessment of the risks associated to the danger represented by the inobservance of the conditions recorded in the running order and the establishment of proper measures for keeping it under control.
</t>
  </si>
  <si>
    <t>Preparations for railway work and final inspection on tracks with a weakened support 
layer</t>
  </si>
  <si>
    <t>The Finnish Transport Infrastructure Agency instructs that when preparing for railway work on the surface structure of sections of track where the support layer is weakened, the condition of the support layer and the rail joints should be examined and they should be taken into account in the planning, scheduling and implementation of the work. The ability of the rail to withstand lateral forces in particular must be verified in the final inspection.</t>
  </si>
  <si>
    <t xml:space="preserve">Recording and monitoring rail temperatures in railway work </t>
  </si>
  <si>
    <t>The Finnish Transport Infrastructure Agency instructs that the rail temperatures should be recorded regularly and that the parties managing and monitoring railway work should monitor their development in real time and take measures, if necessary.</t>
  </si>
  <si>
    <t>Specifying clear interruption criteria and procedures for railway work in exceptional environmental conditions</t>
  </si>
  <si>
    <t>The Finnish Transport Infrastructure Agency clearly defines the criteria for interrupting railway work, the party responsible for the decision and the allocation of the costs due to the interruption</t>
  </si>
  <si>
    <t xml:space="preserve">Taking deviations from normal operation such as track buckles into account in safety 
management systems </t>
  </si>
  <si>
    <t>The Finnish Transport and Communications Agency emphasises safety management methods when auditing the monitoring of deviations in everyday activities and the assessment and management of risks identified through them in addition to situations involving change.</t>
  </si>
  <si>
    <t xml:space="preserve">Addressed to The Czech National Safety Authority (NSA):
As part of its activities as a National Safety Authority, we recommend to the NSA adopt
measures at railway infrastructure managers to ensure that:
1. the refine and careful optical quality control of the switch blades surface from all sides by sight, including the underside of the switch blade heel will be executed before the point blades will be mounted into the switches to prevent the possibility of montage a surface-damaged point blade to the new or operated switch;
2. the regular controls should be implemented in the control activities at the overtaking stations on the running track which are high work loaded and/or running at high speeds. Due to found impact of running clearance of fit of the switch blades on the slide baseplates, catching up of the web of the switch blades to the studs and catching up of the switch blade heads to the stock rail on size of dynamic loading of switch blades, these controls should be focused on clearances mentioned above by the value measurement or by implementation of the regular finding of size of dynamic loading of the blade switches using modern diagnostic methods which fix appropriate limits of these clearances, so that the limit violation of these clearances will be revealed. In the same time, the record of the measuring data will be kept, the found defects will be removed in time and the values of clearances will be constrained.
</t>
  </si>
  <si>
    <t>Safety recommendation Rail no 2022/01T</t>
  </si>
  <si>
    <t>On Tuesday 9 February 2021, a collision took place between a road-rail machine and a Robel 25 near Jevnaker. The immediate cause of the collision was that the road-rail machine was operated in a way that put its safety systems out of action. Bane NOR SF’s supplier Spordrift AS had not identified the necessary skills required to operate the machine, nor carried out any systematic training in the machine’s functions.
The Norwegian Safety Investigation Authority recommends that the Norwegian Railway Authority request Bane NOR SF to follow up that suppliers have adequate systems in place to identify competence needs and provide appropriate training to ensure compliance with Bane NOR SF’s safety policy.</t>
  </si>
  <si>
    <t>Safety recommendation Rail no 2022/02T</t>
  </si>
  <si>
    <t>On Tuesday 9 February 2021, a collision took place between a road-rail machine and a Robel 25 near Jevnaker. The immediate cause of the collision was that the road-rail machine was operated in a way that put its safety systems out of action. Bane NOR SF’s supplier Spordrift AS had not identified the necessary skills required to operate the machine, nor carried out any systematic training in the machine’s functions.
Shortly before the accident, Spordrift AS had been issued an ISO 9001 certificate as a full service supplier of construction, operation and maintenance services for railway-related infrastructure. However, the management system was not an effective means of identifying competence needs and thereby training needs in the company.
The Norwegian Safety Investigation Authority recommends that Norwegian Accreditation evaluate whether its procedures for granting accreditation to certification bodies in this industry are sufficient to achieving the purpose of an ISO certification.</t>
  </si>
  <si>
    <t>Addressed to the Czech National Safety Authority (the NSA):
• as part of its activities (not only using the execution of the state supervision in matters regarding rail systems) over the activities of the railway undertaking Retrack Czech, s. r. o., and other railway undertakings we recommend that the NSA continue in verification whether the procedures for ensuring compliance with the established safety management system ensure its observance and taking into account the type, area and extent of traffic and whether the procedures also effectively minimalize the risk of overspeeding.</t>
  </si>
  <si>
    <t>Ensuring the appropriate maintenance of rolling stock</t>
  </si>
  <si>
    <t>VR Group Ltd ensures that the rolling stock is maintained in the safe condition required by the authorisation for placing in service. [2022-S10]</t>
  </si>
  <si>
    <t>Selection and use of the types of extinguishers</t>
  </si>
  <si>
    <t>The railway operators inspect the types of extinguishers available on the rolling stock and ensure that they have been selected correctly in relation to the most likely types of fire. [2022-S11]</t>
  </si>
  <si>
    <t>Updating the risk assessment on the removal of train personnel from the Dm12 rail buses</t>
  </si>
  <si>
    <t>VR Group Ltd updates the risk assessment concerning the effects of removing train personnel from the Dm12 rolling stock and takes the risks of fire and the potential inability of the driver to function into account in it in particular. [2022-S12]</t>
  </si>
  <si>
    <t>Self-monitoring and handling of deviations as a part of the supervision of safety management</t>
  </si>
  <si>
    <t>The Finnish Transport and Communications Agency develops its operating methods and the focus of its supervision to ensure the functioning of the operators' self-monitoring and handling of deviations in practice. [2022-S13]</t>
  </si>
  <si>
    <t>Expanding the supervision possibilities of the national safety authority</t>
  </si>
  <si>
    <t>The European Union Agency for Railways (ERA) investigates the potential of expanding the possibilities of the national safety authority to monitor the operators in the field in practice. [2022-S14]</t>
  </si>
  <si>
    <t>59/2021-1: safety reinforcement measures in this level crossing</t>
  </si>
  <si>
    <t xml:space="preserve">On the basis of the detected difficulties at this level crossing, analyze safety reinforcement measures, including the possibility of accelerating its suppression process.
Final implementer: ADIF (IM) and Novelda Town Council </t>
  </si>
  <si>
    <t>59/2021-2: identify and act on similar level crossings</t>
  </si>
  <si>
    <t xml:space="preserve">Accelerating or leveraging the implementation of the Royal Decree 929/2020 on Railway Operational Safety and Interoperability, in particular Article 52(6), promoting concerted actions or studies between the different authorities involved, in order to identify those level crossings where road layout could be prone to similar accidents.
Final implementer: AESF (NSA) and ADIF (IM) </t>
  </si>
  <si>
    <t>AIN/06-SR-02/2022</t>
  </si>
  <si>
    <t>The Infrastructure Manager should ensure that the execution plan is prepared in accordance with the Regulations on safety at work on temporary construction sites Annex IV („Official Gazette“, No. 48/18), and apply the relevant provisions in their telegrams.</t>
  </si>
  <si>
    <t>AIN/06-SR-03/2022</t>
  </si>
  <si>
    <t>The involved railway undertaking, the company HŽ Cargo, should include more attention in the regular trainings of train drivers in the teaching content of teaching the procedures for the danger of train collisions with railway workers during the performance of works.</t>
  </si>
  <si>
    <t>AIN/06-SR-04/2022</t>
  </si>
  <si>
    <t>The company, „Remont pruga Matić“ Ltd, as a subcontractor, should revise its Risk Assessment Register and update it where necessary to sufficiently cover the risk of train collisions on all track workers during their execution of works and removed by adopting additional new measures.</t>
  </si>
  <si>
    <t>AIN/06-SR-05/2022</t>
  </si>
  <si>
    <t>The company, „Remont pruga Matić“ Ltd., as a subcontractor, should develop and implement a process of monitoring and assessing the identification and development of continuous safety performance and competence of its staff, to ensure that works are planned, performed and revised on the basis of laws, sub-legal acts and internal procedures for work safety, especially in the early stages of establishing new contract works and sites of works.</t>
  </si>
  <si>
    <t>Addressed to the Czech National Safety Authority (NSA):
• as part of its activities as a national safety authority accept measure which ensure at the IM Jindřichohradecké místní dráhy, a. s.:
◦ update, replenishment, mutual harmonization and interconnection all internal regulations and technological procedures in the area of railway track, removal defect and make subsequent checking activity.</t>
  </si>
  <si>
    <t>Recommendation - contributing factor 3</t>
  </si>
  <si>
    <t>The RAIIU recommends that the NSA should ensure that the infrastructure manager develops the regulations regarding the powers/duties of the Agent in Charge of the Execution of the Works in more specific terms in relation to the powers of the contractor.</t>
  </si>
  <si>
    <t>Recommendation - systemic factor 1</t>
  </si>
  <si>
    <t xml:space="preserve">The RAIIU recommends that the contractor and subcontractor concerned develop a process concerning the activity and monitoring of rail cutting. </t>
  </si>
  <si>
    <t>Recommendation - systemic factor 2</t>
  </si>
  <si>
    <t xml:space="preserve"> The RAIIU recommends the contractor to identify risks inherent to the rail
cutting works, and include them in their risk analysis, including risk management measures.</t>
  </si>
  <si>
    <t>Recommendation - systemic factor 3</t>
  </si>
  <si>
    <t>The RAIIU recommends the contractor concerned to monitor that the clearance gauge has been checked after the execution of the works.</t>
  </si>
  <si>
    <t>Recommendation - systemic factor 4</t>
  </si>
  <si>
    <t>The RAIIU recommends the NSA to verify that the infrastructure manager
raises the awareness of contractors on potential safety risks relating to the position of cut rails, and, by extension, on other potential safety risks.</t>
  </si>
  <si>
    <t>09/2021-1: procedure for application Article 4.3.1.3 of Railway Circulation Regulation</t>
  </si>
  <si>
    <t>Definition of a specific procedure that develops Article 4.3.1.3 of Spanish Railway Circulation Regulation regarding the lack of train occupation at ARB (automatic Release Block) sections. 
These procedures should provide a clear understanding of the train location at real time. Therefore, the appropriate channels of communication should be established between signallers and between signallers and  train drivers.</t>
  </si>
  <si>
    <t>09/2021-2: remind to signallers that videographic information is an assistance tool</t>
  </si>
  <si>
    <t>Training sessions to signallers to highlight that the videographic information should be used only as an assistance management tool.</t>
  </si>
  <si>
    <t>09/2021-3: protocol for appropriate chain of command when authorising a signal overtaking</t>
  </si>
  <si>
    <t>Definition of a specific protocol to establish the appropriate chain of command at the Train Dispatch Office whilst managing a Signal Overpassing with Authorisation, in accordance with Article 5.2.1.2 of Spanish Railway Circulation Regulation.
Thus, it is necessary to incorporate prior control checks by a higher supervisor at the Train Dispatch Office in case of a Signal Overpassing with Authorisation.</t>
  </si>
  <si>
    <t xml:space="preserve">09/2021-4: monitoring of loss of train numbering </t>
  </si>
  <si>
    <t>Compilation of a log to record the loss of train numbering, being classified as faults requiring to be fixed at the earliest opportunity.</t>
  </si>
  <si>
    <t>09/2021-5: protocol for communications between RU Management Centre and IM Train Dispatch Office</t>
  </si>
  <si>
    <t>Definition of a specific protocol to manage communications in a centralised manner between the RU Management Centre and the Train Dispatch Office that enables better coordination.</t>
  </si>
  <si>
    <t>08/2021-1: procedures for communication IM Control Post - RU Management Centres</t>
  </si>
  <si>
    <t>Establishment of procedures for communication between the ADIF Control Posts and the Management Centers of the railway undertakings, regulating the transmission of reliable and concrete information.
Final implementer: ADIF (IM)</t>
  </si>
  <si>
    <t>08/2021-2: definition of responsibilities and tasks of staff at Control Posts</t>
  </si>
  <si>
    <t>Preparation of a specific procedure, to be included in the SMS, that defines the responsibilities and functions of all the staff at Control Posts, as well as the operating procedures of the tasks to be performed by them.
Final implementer: ADIF (IM)</t>
  </si>
  <si>
    <t>08/2021-3: regulation of communications between RU Management Centre and IM Control Posts or drivers</t>
  </si>
  <si>
    <t>Including the regulations of the Management Centers in the SMS of Renfe Viajeros. These regulations should be modified to specify the communications of the Management Centers with the Control Posts of the Infrastructure Managers, and the communications of the MCs with the train drivers.
Final implementer: Renfe Viajeros (RU)</t>
  </si>
  <si>
    <t>08/2021-4: teach drivers to detect and question orders that don't comply with regulations</t>
  </si>
  <si>
    <t>Reinforce the knowledge of train drivers on the application of traffic regulations so that they do not obey orders that do not comply with the regulations and that do not come from the signallers.
Final implementer: Renfe Viajeros (RU)</t>
  </si>
  <si>
    <t>change the road's connection</t>
  </si>
  <si>
    <t>1) The mayor of the Kołbaskowo municipality shall implement measures to eliminate the current connection between the district road no. 3492Z and the access to the gravel pit by constructing a road in accordance with construction project No. P-872/2017 “Construction of a municipal road to service and production investment areas within the area of Barnisław,” approved by the Starost of Police.</t>
  </si>
  <si>
    <t>new traffic organisation</t>
  </si>
  <si>
    <t>2) Until the current connection of the district road no. 3492Z with the access to the gravel pit is removed, the administrator of the district road shall develop and introduce a new traffic organisation in the area of the access to the railway crossing guaranteeing the improvement of traffic safety</t>
  </si>
  <si>
    <t>increase level crossing category</t>
  </si>
  <si>
    <t>3) The infrastructure manager PKP PLK S.A. will undertake actions aimed at increasing the category of this crossing in order to improve safety in the area of the railway crossing at 7.585 km.</t>
  </si>
  <si>
    <t>improve follow-up of conslusions drawn from diagnostic checks</t>
  </si>
  <si>
    <t>4) Infrastructure managers shall take measures to put in place mechanisms to implement conclusions and recommendations from diagnostic checks at railway crossings.</t>
  </si>
  <si>
    <t>RJ 2022:02 R1</t>
  </si>
  <si>
    <t>The Swedish Transport Administration is recommended to:
• Continue the development work it is doing to enable crack formation in 
rail to be identified at an earlier stage.</t>
  </si>
  <si>
    <t>RJ 2022:02 R2</t>
  </si>
  <si>
    <t xml:space="preserve">The Swedish Transport Administration is recommended to:
• From a comprehensive perspective, review how current systems for preventing surface fatigue leading to broken rails can be improved. This review should include evaluating the intervals applied for non_x0002_destructive testing, follow-up of how defects are located, reported and 
marked out in practice and an analysis of the potential consequences of departing from the set interval for preventive machining. </t>
  </si>
  <si>
    <t>RJ 2022:02 R3</t>
  </si>
  <si>
    <t>The Swedish Transport Agency is recommended to:
• Within the scope of its supervision, follow up the action taken by the 
Swedish Transport Administration as a result of recommendation 
RJ 2022:02 R1 and RJ 2022:02 R2.</t>
  </si>
  <si>
    <t>no.386-1</t>
  </si>
  <si>
    <t xml:space="preserve">The investigation commission found that in the procedure PO 04.3, part of Safety Management System - SMS of SNTFM, are missing clear provisions regarding the measures that have to be taken for the locomotives exceeding the operational life prescribed, respectively clear rules for the withdrawal of the locomotives from traffic, for the performance of the interventions necessary to get from AFER the Technical Approval for a vehicle with the operational life exceeded.
For decreasing the risks, for the future prevention of some similar accidents or incidents, in accordance with the provisions of art.26, paragraph (2) of the Government Decision no.73/2019, the investigation commission issues the next recommendation:
Safety recommendation no. 386-1
ASFR shall make sure that SNTFM revises the procedure PO 04.3, so it includes clear provisions regarding the measures that have to be taken for the locomotives with the prescribed operational life exceeded, respectively their withdrawal from traffic for the performance of the interventions necessary for getting from AFER a Technical Approval for a vehicle with the operational life exceeded.
</t>
  </si>
  <si>
    <t>no.385-1</t>
  </si>
  <si>
    <t xml:space="preserve">Preamble of recommendation no.385/1
During the investigation there were found deficiencies about the working of the valves for the brake control P106 and that within the planned repairs type R8 and R9, there is not stipulated that these valves shall be checked on benches for proving their good working.
Safety recommendation no.385/1
Romanian Railway Safety Authority – ASFR shall ensure that SNTFC „CFR Călători” SA re-assesses the drafting of the technical specifications, so these include also the checkings of the valves for the brake control P106 on authorized benches.
</t>
  </si>
  <si>
    <t>no.385-2</t>
  </si>
  <si>
    <t xml:space="preserve">Preamble of recommendation no.385/2
During the investigation, there was found that, SNTFC „CFR Călători” SA has the operational procedure „Planning of inspections and repairs at locomotives, multiple units and electric train sets got by SNTFC „CFR Călători” SA” - PO-0-8.1-15, for the regulation of the schedule of the planned inspections and repairs, but for the multiple units type Desiro, this schedule is made without meeting with the norms of time and km imposed by the Railway Norm 67-006:2011 „Railway vehicles. Types of inspections and planned repairs. Norms of time and km run for the performance of planned inspections and repairs", approved by Order of Minister of Transports and Infrastructure no.315/2011, amended by Order of Minister of Transports and Infrastructure no.1359/2012, Order no.1255/2014, Order no.1187/2018, Order no.1744/2020 and Order no.2159/2020. With reference to the procedure above mentioned, there was found that it does not contain provisions for the withdrawal of locomotives/multiple units when they reach the norm of time/km as well as the lack of appointment of staff responsible for the performance of this activity.
Safety recommendation no.385/2
Romanian Railway Safety Authority – ASFR shall ensure that SNTFC „CFR Călători” SA revises the operational procedure „Planning of inspections and repairs at locomotives, multiple units and electric train sets got by SNTFC „CFR Călători” SA” - PO-0-8.1-15, so by its application be met the provisions imposed by Railway Norm 67-006:2011 „Railway vehicles. Types of inspections and planned repairs. Norms of time and km run for the performance of planned inspections and repairs", approved by Order of Minister of Transports and Infrastructure no.315/2011, amended by Order of Minister of Transports and Infrastructure no.1359/2012, Order no.1255/2014, Order no.1187/2018, Order no.1744/2020 and Order no.2159/2020.
</t>
  </si>
  <si>
    <t>no.385-3</t>
  </si>
  <si>
    <t xml:space="preserve">Preamble of recommendation no.385/3
During the investigation, there was found that, SNTFC „CFR Călători” SA identified the dangers mentioned at chapter „4.d. Mechanisms for feedback and control, including the management of risks and safety management, as well as the monitoring processes”, but the measures disposed for keeping under control the risks associated were not completely applied, and the monitoring process was ineffective.
Safety recommendation no.385/3
Romanian Railway Safety Authority – ASFR shall ensure that SNTFC „CFR Călători” SA re-assesses the monitoring of the measures established for keeping under control the risk associated to the dangers that developed in case of this incident.
</t>
  </si>
  <si>
    <t>Addressed to the Czech National Safety Authority (NSA): 
• ensure that train drivers will be notified of the season when reduction of adhesion rate necessary for starting and stop of the rolling stocks (worsened adhesion condition) occures very often due to the fallen leaves in combination with atmospheric humidity and the train drivers should also be notified of the right method of braking (technology of braking device and sanding equipment). This should be done at railway undertakings always before the season mentioned above starts. This notification will be carry out until realization training to acquire and maintain the right way of driving of train drivers on the rolling stock simulator – see next indent;
• until realization below stated recommendation it should be ensured at railway undertakings, which using rolling stock simulator for improvement of the train driver's training to acquire and maintain the right way of driving, that these trainings shlould be supplemented by simulatation of driving on downgrade for the stuck train under the conditions when adhesion rate necessary for stop of the rolling stocks is reduced; 
• in cooperation with the Ministry of transport, we recommend that the NSA create the legal framework and system which will determine the scope and content of knowledge, skills and procedure necessary to prove professional competence for driving the rolling stocks on the national and regional lines and this system should be extend by verification of train driver’s practical ability to also solve the situations which can rarely happen, including braking when adhesion rate necessary for starting and stop of the rolling stocks is reduced, this should be proved on the rolling stock simulator adequately.</t>
  </si>
  <si>
    <t>Safety recommendation Rail no 2022/03T</t>
  </si>
  <si>
    <t>On 9 December 2021 at 03:15, Railcare T’s train 42601 derailed at Straumsnes station on the Ofoten line. The cause of the derailment was an unevenly loaded ore wagon. The uneven load was registered by Bane NOR SF’s detector system, but the system was not configured to issue a warning. The Norwegian Safety Investigation Authority recommends that the Norwegian Railway Authority request Bane NOR SF to establish systems to ensure that the relevant railway undertaking and the traffic controllers are informed of dangerous situations identified by the detector systems on the Ofoten line.</t>
  </si>
  <si>
    <t>no.389-1</t>
  </si>
  <si>
    <t xml:space="preserve">Preamble of recommendation no.389/1
The investigation commission found that the railway incident was the result of multiple errors in the command and control in the switching the passing route commanded on the direct line II in the railway station Robănești, consisting in the non-operation of switch no.2  on the position corresponding to the commanded route, conflicting with the signalling system necessary for the driving the passenger train no.9036, and improper use of the key 2-, resulted from the ensuring of switch no.2 on „minus”, in the ensuring of switch no.4 on „plus”(against the Regulations  for the working of the interlocking system of the railway station Robănești – chapter III, point 1).
Safety recommendation no.389/1
ASFR shall ensure that the infrastructure manager reinforces the training and surveillance of operating staff (movements inspectors, pointsmen, points examiner), regarding the issues connecting to the operation of safety installations, focusing on the compulsory dispositions specific to their use rules specified in the instructions in force (operation) or the user’s guide.
</t>
  </si>
  <si>
    <t>no.389-2</t>
  </si>
  <si>
    <t xml:space="preserve">Preamble of recommendation no.389/2
The investigation commission found that the railway incident was the result of unsuitable working of the locking from the switch 4+, that allowed the ensuring on „plus”, access on the direct line II, with another key (2-), than that namely intended (2+), (against the Instruction no.351/2017, art.109. Installations for ensuring with locks and block and installations for ensuring with mechanical penal for the control of the switches position and signals have to ensure the reciprocal interlocking of the switches and signals, by the control locks for the switches and signals, according to the schedule of locking established for each station).
Safety recommendation no.389/2
ASFR shall ensure that the infrastructure manager drafts a procedure that shall include the checking of technical parameters of the switch lock with two keys, during the planned periodical technical inspections at the switch locks, so there was no more allowed the operation and securing of a lock with two keys, with another key than that namely intended.
</t>
  </si>
  <si>
    <t>RJ 2022: 03 R1</t>
  </si>
  <si>
    <t xml:space="preserve">The Swedish Transport Agency is recommended to:
• in their supervision, monitor how railway undertakings with safety certificates for freight traffic ensure loading of wood chips so that traffic safety is not affected as a result of speed wind and lost cargo on to the track. </t>
  </si>
  <si>
    <t>RJ 2022: 03 R2</t>
  </si>
  <si>
    <t>The Swedish Transport Administration is recommended to:
• review rules and support to ensure fact-finding in the event of incidents involving traffic safety.</t>
  </si>
  <si>
    <t>no.387-1</t>
  </si>
  <si>
    <t xml:space="preserve">The investigation commission concluded that the accident happened following the identified factors that led to the putting into operation the wagon no. 825369937578, loaded partially, with load rested on a side, in the conditions where there were no internal procedures at CNCF and SNTFM, clear tasks for the control of the uniform distribution of the rested load. 
CNCF has not an internal procedure for checking the wagons used for the transport of the materials necessary in the performance of works at lines. The handling after unloading of the wagons carrying pit or ballast products for the own units are mentioned in the paper no.41/73/1988 of the Traffic Safety Inspectorate within the Minister of Transports, Tourism and Constructions-DEP.C.F., that does not assign to the own staff the responsibilities for checking the distribution as uniform as possible the rested load.
During the investigation resulted that SNTFM has procedures for the delivery-reception and checking of the complete unloading of wagons, only for the own wagons or those got by the railway undertaking used by SNTFM for making transports in the system of successive carriers (that is  a transport is made by many carriers from one point to another one).In case of wagons got by entities that are not railway undertakings, there are not drafted/used procedures/regulations for the  delivery-reception of wagons.
 For the prevention of some accidents, in accordance with the provisions of art.26, paragraph (2) of the Emergency Government Decision no.73/2019 for the railway safety, the investigation commission considers timely to issue for ASFR, the next safety recommendations:
387/1 - Romanian Railway Safety Authority – ASFR shall ensure that CNCF drafts internal procedures for the wagons used for the material necessary in the performance of works at lines, that assign for the own staff the responsibilities for checking the distribution as uniform as possible of the rested load and notification of the respective information.
</t>
  </si>
  <si>
    <t>no.387-2</t>
  </si>
  <si>
    <t xml:space="preserve">The investigation commission concluded that the accident happened following the identified factors that led to the putting into operation the wagon no. 825369937578, loaded partially, with load rested on a side, in the conditions where there were no internal procedures at CNCF and SNTFM, clear tasks for the control of the uniform distribution of the rested load. 
CNCF has not an internal procedure for checking the wagons used for the transport of the materials necessary in the performance of works at lines. The handling after unloading of the wagons carrying pit or ballast products for the own units are mentioned in the paper no.41/73/1988 of the Traffic Safety Inspectorate within the Minister of Transports, Tourism and Constructions-DEP.C.F., that does not assign to the own staff the responsibilities for checking the distribution as uniform as possible the rested load.
During the investigation resulted that SNTFM has procedures for the delivery-reception and checking of the complete unloading of wagons, only for the own wagons or those got by the railway undertaking used by SNTFM for making transports in the system of successive carriers (that is  a transport is made by many carriers from one point to another one).In case of wagons got by entities that are not railway undertakings, there are not drafted/used procedures/regulations for the  delivery-reception of wagons.
 For the prevention of some accidents, in accordance with the provisions of art.26, paragraph (2) of the Emergency Government Decision no.73/2019 for the railway safety, the investigation commission considers timely to issue for ASFR, the next safety recommendations:
387/2 - Romanian Railway Safety Authority – ASFR shall ensure that SNTFM re-assesses the procedures (regulations) for delivery-reception of wagons, including all cases of taking for transport, inclusively the wagons got by entities that are not railway undertaking.
</t>
  </si>
  <si>
    <t>Acquaint the interested staff with the content of the report</t>
  </si>
  <si>
    <t>Recommendation 1 proposes that SE NRIC and Bulmarket Rail Cargo EOOD shall acquaint the interested staff with the content of this report.</t>
  </si>
  <si>
    <t>Assess the psychological human factor of the locomotive staff</t>
  </si>
  <si>
    <t>Recommendation 2 proposes Bulmarket Rail Cargo EOOD to assess the psychological human factor of the locomotive staff in order to improve teamwork in a positive atmosphere.</t>
  </si>
  <si>
    <t xml:space="preserve">Bulmarket Rail Cargo EOOD to hold periodically interviews with the locomotive staff in the presence of a psychologist </t>
  </si>
  <si>
    <t>Recommendation 3 proposes Bulmarket Rail Cargo EOOD to hold periodically interviews with the locomotive staff in the presence of a psychologist to discuss the development and promotion of collective good practices.</t>
  </si>
  <si>
    <t xml:space="preserve">RAEA to assess the functioning of the Safety Management Systems </t>
  </si>
  <si>
    <t>Recommendation 4 proposes RAEA to assess the functioning of the Safety Management Systems with regard to the performance of pre-shift briefings and checks on alcohol and other intoxicants of locomotive staff in railway undertakings carrying freights and passengers and, at its discretion and need to restore the points for carrying out pre-travel medical examinations.</t>
  </si>
  <si>
    <t>RAEA to issue mandatory instructions to railway undertakings to organize training of staff on the formation of mechanisms such as resilience to stress</t>
  </si>
  <si>
    <t>Recommendation 5 proposes in case when assessing the functioning of the Safety Management Systems of the railway undertakings, discrepancies or omissions are established regarding compliance with the requirements of item 4.2 Competence, item 4.6 Integration of the human and organizational factor from Annex 1 of Commission Delegated Regulation (EU) 2018/762, RAEA to issue mandatory instructions to railway undertakings to organize training of staff on the formation of mechanisms such as resilience to stress, personal stability and dynamic balance of psychological state, building and playing a subjective sense of control.</t>
  </si>
  <si>
    <t xml:space="preserve">RAEA to carry out an inspection regarding the type of signalling at Iliyantsi station </t>
  </si>
  <si>
    <t>Recommendation 6 proposes RAEA to carry out an inspection regarding the type of signalling at Iliyantsi station and together with SE NRIC to take action to comply with the requirements of Art. 305 of Ordinance № 58.</t>
  </si>
  <si>
    <t>no.393-1</t>
  </si>
  <si>
    <t xml:space="preserve">The accident happened on the 15th July 2021, on the route for passing on line no.2 of the railway station Bucureștii Noi, on the switch no.12C operated on ”deflecting section” was generated by the improper technical condition of the railway infrastructure.
During the investigation, there was found that the improper technical condition of the track was generated by the unsuitable maintenance, that was not made in accordance with the provisions of the practice codes (reference documents associated to the procedures of infrastructure administrator safety management system).
Applying the own procedures from the safety management system, completely, as well as the provisions of the practice codes, part of safety management system, the infrastructure administrator should keep the technical parameters of the track geometry between the limits of tolerances imposed by the railway safety and, so, it could been avoided the accident occurrence.
Considering the findings and conclusions of the investigation commission above mentioned, for the prevention of some similar accidents, AGIFER issues the next safety recommendations:
Preamble recommendation no.393/1
The investigation commission found that the public railway infrastructure administrator did not keep the technical parameters of the track geometry between the limits of the tolerances imposed by the railway safety and did not effectively manage the risks associated to the dangers generated by the exceeding of the tolerances accepted for the gauge and level at the switch 12C.
Recommendation no.393/1
Romanian Railway Safety Authority – ASFR shall ensure that the railway public infrastructure administrator re-assesses the risks associated to the danger generated by the exceeding of the tolerances accepted for the gauge and level at the switch.
</t>
  </si>
  <si>
    <t>03/2022</t>
  </si>
  <si>
    <t xml:space="preserve">Nationale Sicherheitsbehörde:
Es wird empfohlen im Sicherheitsmanagementsystem der Eisenbahnen Prozesse zu entwickeln bzw. zu verbessern, mit denen sich die Wirksamkeit der Einhaltung der Regeln nach Eintreten einer PZB-Zwangsbremsung effektiv überprüfen lassen. Entsprechende Maßnahmen zur Bewusstseinsförderung der Mitarbeiter im Bahnbetrieb sind aus diesen Erkenntnissen abzuleiten
</t>
  </si>
  <si>
    <t>04/2022</t>
  </si>
  <si>
    <t>Nationale Sicherheitsbehörde:
Es wird empfohlen, die Fahrzeugtechnik dahingehend zu erweitern, dass dem Tf nach Eintritt einer PZB-Zwangsbremsung ein angemessener Zeitraum zum Nachdenken (Situationsbewusstsein) und Handeln (Abarbeiten der Richtlinie 408.2651) zwingend eingeräumt wird.</t>
  </si>
  <si>
    <t>Addressed to the Czech National Safety Authority (NSA) in cooperation with Ministry of the
Interior:
• to ensure expansion of the function of the electronic information system about open lines and circuits of operating points at the operational centers of the Fire and Rescue Service of the Czech Republic, which currently generates to operation officer the direct contacts to employees of the IM who have technical means for immediate stop of railway traffic at accidents at level crossings</t>
  </si>
  <si>
    <t>Addressed to the Regional Authority of the Pardubice Region:
• to improve the quality of the verge and place a restraint system (crash barrier) or take other appropriate measures to increase safety around the railway line on the road of 1st class No. 14 in places where there is a parallel with the railway line.</t>
  </si>
  <si>
    <t>Addressed to the Ministry of Transport of the Czech Republic:
• to select places in the road network where the road is so close to the national and regional railway that in the event of a road vehicle coming off the verge there is a risk of the cargo falling or dumped into the structure gauge of the operated track. Consequently to perform the installation of restraint systems which eliminate this risk or take other appropriate measures to increase safety around the railway line at the identified places.</t>
  </si>
  <si>
    <t>no.401-1</t>
  </si>
  <si>
    <t xml:space="preserve">The railway accident happened on the 19th August 2021, between the railway stations Mintia and Brănișca, km 492+680, in the running of freight train no.50783, was caused by the load transfer of the guiding wheel, left wheel in the running direction, from the first axle of the wagon no.33539333447-9, being the 13th one in the composition of the freight train no.50783, got by the railway undertaking EXFO, that ran on the public railway infrastructure with the maximum accepted load on axle exceeded. 
Considering the findings and conclusions of the investigation commission above mentioned, for the improvement of railway safety and prevention of similar events, AGIFER considers timely to address Romanian Railway Safety Authority the next safety recommendation, without excluding its extension also to other railway undertakings:
Safety recommendation no.401/1
The railway undertaking EXFO shall re-assess the riks associated to the danger generated by the reception of the wagons after their loading by the economic operators (forwarders), with which it has concluded railway transport contracts/agreements type B, for excluding the cases of existence within the trains the wagons without complying with the specific regulations, respectively the wagons with the maximum accepted load on axle exceeded. 
</t>
  </si>
  <si>
    <t>no.404-1</t>
  </si>
  <si>
    <t xml:space="preserve">The railway accident happened on the 27th August 2021, when the freight train no.59401 was stabled on the deflecting section 5 of the railway station Nucet, on the curve after the switch no.11, was generated by the improper technical condition of the railway infrastructure.
During the investigation, there was found that the improper technical condition of the track was determined by the unsuitable maintenance, that was not made in accordance with the provisions of the practice codes (reference documents associated to the procedures of the safety management system got by the infrastructure administrator).
In cases with similar causes (presented at point 4.e), the final reports include safety recommendations. These were issued after the occurrence of this accident or they were in implementation process and consequently it is not considered necessary the issuing of new recommendations similar to those already issued
Considering the findings and conclusions of the investigation commission above mentioned, considering also the recommendations issued for the similar railway events occurred between 2019÷2021 in the railway county București, presented within chapter 4.e ,,Previous similar accidents or incidents”, for the prevention of some accidents similar to those presented in this report, AGIFER issues the next safety recommendation:
Preamble of recommendation no.404/1
The investigation commission found that the public railway infrastructure administrator did not keep the technical parameters of track between the limits of tolerances imposed by the railway safety and it did not efficiently manage the risks associated to the dangers generated by the exceeding of the deadlines stipulated by the practice codes for the performance of the quarterly measurements with the trolley.
Recommendation no.404/1
Romanian Railway Safety Authority – ASFR shall ensure that the public railway infrastructure administrator re-assesses the risk associated to the danger represented by the exceeding of deadlines stipulated by the practice codes for the performance of quarterly measurements with trolley and it establishes effective measures for the suitable management of it.
</t>
  </si>
  <si>
    <t xml:space="preserve">Include an obligation in  internal regulations to turn away crossing traffic signals and to cover them </t>
  </si>
  <si>
    <t>The Infrastructure Managers shall include an obligation in their internal regulations to turn away crossing traffic signals and to cover them in a manner that the signalling chambers are not visible to crossing users when the signals are erected but not yet commissioned.</t>
  </si>
  <si>
    <t>Introduce mechanisms for effective inspection of the correct execution of diagnostic tests for level crossings</t>
  </si>
  <si>
    <t xml:space="preserve">Infrastructure managers shall take steps to introduce mechanisms for effective inspection of the correct execution of diagnostic tests for level crossings. 
In respect of level crossings where road traffic occurs, the obligation to carry out periodic diagnostic tests shall rest with the infrastructure manager.
</t>
  </si>
  <si>
    <t xml:space="preserve">Equip modernised auxiliary vehicles , as well as newly purchased vehicles, with on-board recorders of driving parameters </t>
  </si>
  <si>
    <t xml:space="preserve">It is imperative that dispatchers of special vehicles implement the outstanding recommendations of the PKBWK Reports:
- Recommendation No. 3 of Report No. PKBWK/05/2018: “PKP PLK S.A. shall equip modernised auxiliary vehicles undergoing maintenance level P4 and P5 inspections, as well as newly purchased vehicles, with on-board recorders of driving parameters (registering at least the speed, pressure in the main line and brake cylinders, activation of the “attention” signal),”
- Recommendation No. 4 of Report No. PKBWK/03/2020: “Recommendations No. 1 and No. 3 of the State Commission on Railway Accident Investigation, indicated in Report No. PKBWK/05/2018 of the investigation of category A18 severe accident occurring on 2 November 2017 at 18:49 at the cat. A level crossing with suspended service, located at 37.119 km of the Śniadowo – Łapy route, plain line no. 1 of the railway line no. 36 Ostrołęka – Łapy, referring to the equipment of auxiliary vehicles with reflective elements improving the side visibility of the vehicle as well as an on-board recorder of driving parameters (registering at least the speed, pressure in the main tube and brake cylinders, activation of the “attention” signal) for special vehicles.”
</t>
  </si>
  <si>
    <t>Introduce the speed limit up to 50 km/h on the road no. 1283R by the accesses to the level crossing</t>
  </si>
  <si>
    <t>The Road Manager is going to introduce the speed limit up to 50 km/h on the road no. 1283R by the accesses to the level crossing due to the occurrence of an increased risk of accidents related to excessive speed (in accordance with the issued recommendation ref. no. PKBWK.4631.5.2.2021 dated 14 July 2021).</t>
  </si>
  <si>
    <t>Dispatchers of special vehicles shall implement the Recommendation No. 4 contained in the Report PKBWK/03/2020 related to fitting the special vehicles with an on-board driving parameters recorder, and shall take additional measures aiming to retrofit these vehicles with the recorders of the foreground of the driving and working area.</t>
  </si>
  <si>
    <t>Develop the rules for carrying out works on the slope of the railway track using self-propelled special vehicles</t>
  </si>
  <si>
    <t>The authorised infrastructure managers shall develop the rules for carrying out works on the slope of the railway track using self-propelled special vehicles combined with other, non-propelled railway vehicles, which are going to be mandatory for economic operators performing renovation and maintenance works, including the obligation to ensure supervision mechanisms over the application of this procedure.</t>
  </si>
  <si>
    <t xml:space="preserve"> Implement a supervision system for maintaining discipline at work and compliance with regulations and instructions</t>
  </si>
  <si>
    <t>Undertakings carrying out repair and maintenance works on railway infrastructure, organised on a long-term basis in a manner preventing direct contact with workers, shall implement a supervision system for maintaining discipline at work and compliance with regulations and instructions, and in particular for traffic management, the performance of work and the psycho-physical state of workers.</t>
  </si>
  <si>
    <t>Develop provisions concerning mutual communication in these work situations</t>
  </si>
  <si>
    <t>Infrastructure managers:
a. who do not have appropriate regulations for the operation of machinery and equipment running concurrently in different locations on the same track must develop provisions concerning mutual communication in these work situations, and must implement them,
b. those who have implemented the aforementioned provisions shall carry out a training reminding of the rules in place.</t>
  </si>
  <si>
    <t>Equipping rail vehicles with recorders and radio</t>
  </si>
  <si>
    <t xml:space="preserve">The authorised infrastructure managers, when drawing up the specifications for procurements in relation to planned investment/modernisation works shall take follow the recommendations issued concerning
a. equipping track-mounted mobile rail welding machines with recorders of data on travel parameters, and working video recorders of the foreground of driving and work area,
b. equipping workers with radio communication equipment. </t>
  </si>
  <si>
    <t>64/2021-1: additional safety measures in wagons without ISO spigots</t>
  </si>
  <si>
    <t>Inform freight RUs that wagons not equipped with ISO spigots would require the adoption of additional safety measures to avoid empty load units overturning caused by lateral wind components.
Addressee: NSA Spain
Final implementer: Freight RUs</t>
  </si>
  <si>
    <t>64/2021-2: consideration of operational risks when modifying wagons</t>
  </si>
  <si>
    <t>Supervise and control that all operational risks are taken into consideration when modifying wagons; track and assign any unmitigated risk to the relevant actor.
Addressee: NSA Spain
Final implementer: NSA Spain</t>
  </si>
  <si>
    <t>64/2021-3: guidelines for loading and safe fastening</t>
  </si>
  <si>
    <t>Prepare and distribute guidelines and prescriptions applicable to loading, fitting, and fastening of goods, so RLOs implement them appropriately and RUs verify that safety requirements are met.
Addressee: NSA Spain
Final implementer: Freight RUs</t>
  </si>
  <si>
    <t>AIN/06-SR-06/2022</t>
  </si>
  <si>
    <t>The involved railway undertaking, ENNA, should include in the regular trainings of train drivers process of the procedure for stopping trains on the line when the means of communication with neighboring stations or TK dispatcher are not available, in accordance with the Regulations on the manner and conditions for safe operation and management of railway traffic (Official Gazette, No. 107/16).</t>
  </si>
  <si>
    <t>AIN/06-SR-07/2022</t>
  </si>
  <si>
    <t>The railway undertaking involved, ENNA, should include in the regular trainings of train drivers more attention in the teaching of proven communication procedures in railway transport in accordance with the Regulations on the manner and conditions for safe operation and 
management of railway traffic (Official Gazette, No. 107/16) both in the theoretical part and in the practical part of achieving proven communication.</t>
  </si>
  <si>
    <t>AIN/06-SR-08/2022</t>
  </si>
  <si>
    <t>The railway undertaking involved, ENNA, should reassess the risk/hazard posed by the danger of a train passing a signal showing a "Stop" signal and eliminate it by adopting new measures.</t>
  </si>
  <si>
    <t>AIN/06-SR-09/2022</t>
  </si>
  <si>
    <t>In accordance with the Manual for the Maintenance of the Radio Dispatching Network, the Infrastructure Manager should regularly perform measurements in accordance with the prescribed deadlines and keep records for the same.</t>
  </si>
  <si>
    <t>AIN/06-SR-10/2022</t>
  </si>
  <si>
    <t>The Infrastructure Manager should inform all Railway Undertakings that 
communication via mobile devices owned by Railway Undertakings, which are outside the official closed communication system, is not a method of prescribed proven communication.</t>
  </si>
  <si>
    <t>AIN/06-SR-11/2022</t>
  </si>
  <si>
    <t>The involved Railway Undertaking, should provide at any moment the pilot with an unobstructed view of current speed of the train in cases when the trains are driving in the presence of the pilot.</t>
  </si>
  <si>
    <t>AIN/06-SR-12/2022</t>
  </si>
  <si>
    <t>Agency for Railway Safety when issuing the Approvals for the use of certain towing vehicles or sets should pay more attention to those series of vehicles equipped with a pilot's seat, so that it has an unobstructed view of the current speed of the train with regard to the intended 
seating position while driving in the steering wheel.</t>
  </si>
  <si>
    <t>Safety Recommendation No. 2022/01: Training of RU staff on the procedures applicable in case of malfunction in the automatic brakes of wagons</t>
  </si>
  <si>
    <t>It is recommended that RU MEDWAY, within a timeframe to be accepted by the NSA, instructs the train crews and relevant sedentary agents, on the company's sms procedures regarding malfunctions in the automatic brake of vehicles of a train, including but not limited to the situation of inactive automatic brake on the rear wagon, ensuring that those workers understand them and maintain the skills to apply them proficiently.</t>
  </si>
  <si>
    <t>Safety Recommendation No. 2022/02: Reinforcement of the RU sms regarding the control and monitoring of the applied procedures in case of malfunction in the automatic brakes of wagons</t>
  </si>
  <si>
    <t>It is recommended that RU MEDWAY, within a timeframe to be accepted by the NSA, makes the necessary changes in its sms procedures for the purpose of controlling and monitoring compliance with its sms regarding situations of malfunctions in the automatic braking system of wagons in trains.</t>
  </si>
  <si>
    <t>Safety Recommendation No. 2022/03: Promotion of the reassessment of procedures within the IM and RUs sms’, considering the risk of the impact of the included procedures for the case of malfunction in the automatic brake of the rear wagon, while on route</t>
  </si>
  <si>
    <t>It is recommended that the NSA requires the RUs of freight trains and the IM to verify and improve, if needed, the procedures of their sms in order to ensure that they cover the required actions in the event of a breakdown on route of the automatic brake of the rear wagon of a train, after analysing the risks and considering their applicability in view of the current features of the wagon fleet.</t>
  </si>
  <si>
    <t>15/4/2021</t>
  </si>
  <si>
    <t xml:space="preserve">The railway accident happened on the 17th April 2020, at 16:25 o’clock, in the running of freight train no.80489, consisting in the derailment of first axle from the first bogie, in the running direction of the locomotive EA 426, was generated by the improper suspension of the blocked axle, leading to the decrease of the load acting on the axle no.6 and the exceeding of the derailment stability limit. 
Considering the causes and the contributing factors, for the prevention of similar accidents, the investigation commission issues the next safety recommendation: 
1. Romanian Railway Safety Authority – ASFR shall ensure that the railway undertaking SC Grup Feroviar Român SA re-assesses the risks form the activity field „maintenance of the railway vehicles”, considering the dangers generated by the putting into operation of a railway motorised vehicle with failures that impose the suspension of an axle.
</t>
  </si>
  <si>
    <t>no.392-1</t>
  </si>
  <si>
    <t>4/7/2022</t>
  </si>
  <si>
    <t xml:space="preserve">Preamble at the safety recommendation 
Because the contributing factor of the accident is the most probably that above mentioned, the investigation commission considers that these are conditions that can repeat and generate fires in the future, if no additional safety measures are taken.
During the investigation resulted that the railway undertaking VTR could not reasonably anticipate the danger of detachment from the support of the pantograph slipper of some hot aluminium granules and that those could trigger a load fire, because there are no practice codes for the control of risks of fires having the causes mentioned and there was not been a change upon which the railway undertaking VTR shall start the performance of a change analysis.
Although, the investigation commission found that within the railway field there are no previous documented cases investigated, fires caused by fall of hot particles from the support of the pantograph slipper, lessons for VTR to learn that it is necessary to control the risks of fires having the mentioned causes.
We underline that the national regulations recommend that the locomotive 060-EA shall run with the back pantograph working (the closet to the train set), these being the circumstances that can lead again to a similar accident.
The investigation identified that, with a few exceptions, the national safety norms do not prohibit the use of front pantograph of the locomotive, the farthest one from the first wagon after the locomotive. So, using the front pantograph, the fuel loads from the first wagon after the electric locomotive could be better protected, increasing the time available for cooling the hot particles detached from the pantograph slipper, before these shall reach the first wagon after the locomotive.
The investigation also identified that the type of pantograph slipper with mechanical fastening has the drawback of an electric contact by points, having like consequence the zone overheating of the aluminium support of the pantograph and the release of some aluminium particles heated over 600 oC. These particles overheated at 600 oC, generate risks of ignition of the materials with the ignition temperature under 600 oC.
The contact defects between the pantograph and the contact wire lead to transitory electric phenomena similar to those generated when the electric circuits are on. In case of electric traction, the electric sparks appeared when the electric circuits are on and that can be avoided, are mostly fire sources, according to the book Fires Prevention. It stands to reason that the wagons loaded with hazardous/fuel products, open ones, being close to those electric phenomena, generate the risks of load ignition.
Considering these above mentioned, in accordance with the provisions of art.26, paragraph (2) from the Emergency Government Decision no.73/2019 for the railway safety, the investigation commission considers necessary an analysis of the risks of fires at the fuel load of open wagons, being in the composition of trains hauled with electric locomotives, without excluding safety measures that consist in the use of the front pantograph of the locomotives, use of the pantograph slippers version with glued brush or the use of safety wagons, therefore the next safety recommendation is issued
Safety recommendation nr. 392/1
ASFR shall ask the railway undertaking VTR to assess the risks of a fire at fuel load from the open wagons, being in the composition of trains hauled with electric locomotives, not excluding the draft of a specific regulation or the request spread to the other railway undertakings.
</t>
  </si>
  <si>
    <t xml:space="preserve">The railway accident happened on the 11th June 2020, between the railway stations Baru Mare and Crivadia was caused by the improper technical condition of the railway infrastructure.
During the investigation, there was found that the improper technical condition of the track was generated by the unsuitable maintenance, that was not made in accordance with the provisions of the practice codes (reference/associated documents of the procedures from the safety management system of the infrastructure administrator).
The investigation commission found that the infrastructure administrator identified but did not effectively manage the risks generated by the lack of line maintenance, in order to be able to dispose consequently viable safety measures for the decrease of these risks.
Applying completely the own procedures of the safety management system - SMS, as well as the provisions of the practice codes, part of SMS, the infrastructure administrator should have been able to keep the technical parameters of the track geometry between the limits of tolerances imposed by the railway safety and, in a such way, it could have been able to avoid the accident occurrence.
Considering the railway events happened between the years 2019÷2020, in the railway county Timișoara, presented within Chapter 4.e ,,Previous similar accidents/incidents” and taking into account the lessons that can be learnt from this accident, for the improvement of the railway safety and the prevention of similar events, AGIFER considers timely to address Romanian Railway Safety Authority-ASFR the next safety recommendation:
ASFR shall ensure that the public railway infrastructure administrator CNCF „CFR” SA re-assesses the risks associated to the danger generated by the keeping in operation improper wooden sleepers within the curves and it establishes viable safety measures for keeping under control these risks.
</t>
  </si>
  <si>
    <t>DK-2022 R 1 af d. 13-01-2022</t>
  </si>
  <si>
    <t>The AIB DK recommends that the European Railway Agency ERA ensure unambiguous requirements for ensuring vertical restraint of semi-trailer trailers loaded on pocket wagons.</t>
  </si>
  <si>
    <t>DK-2022 R 2 af d. 13-01-2022</t>
  </si>
  <si>
    <t>The AIB DK recommends that the Danish Transport Authority ensure that DBCSc's safety management system, in light of the current and the previous incidents mentioned in the report, sufficiently ensures that relevant risks are identified and barriers to operation.
The safety management system should also ensure that experiences from incident handling and handling of periodic incidents / trends, such as the attachment of goods and the handling of incidents in this connection, are included in the ongoing assessment of the overall risk picture.</t>
  </si>
  <si>
    <t>DK-2022 R 3 af d. 13-01-2022</t>
  </si>
  <si>
    <t>The AIB DK recommends that the Danish Transport Authority, in its handling of the task as a safety authority, ensure that potentially railway safety-critical documentation is adequate, so that the documentation also includes safety-critical risks.</t>
  </si>
  <si>
    <t>DK-2022 R 5 af d. 05-07-2022</t>
  </si>
  <si>
    <t>The AIB DK recommends that the Danish Transport Authority ensure that Banedanmark, through its safety management system, ensures planning and implementation of as well as follow-up of standard and condition work in accordance with the safety rules. The safety management system must also ensure that any exceedances are risk assessed and treated, cf. current legal requirements.</t>
  </si>
  <si>
    <t>DK-2022 R 4 af d. 02-06-2022</t>
  </si>
  <si>
    <t>The AIB DK recommends that the Danish Transport Authority ensures that Banedanmark carries out a risk assessment of whether the presence of old non-invalidated crossing signals on an ETCS section may entail a railway safety hazard when driving on sections with older signaling systems.</t>
  </si>
  <si>
    <t>9/9/2021</t>
  </si>
  <si>
    <t xml:space="preserve">Following the investigation, the investigation commission established that the accident was possible in the conditions of:
- failure at the roller bearing, part put into gear (blocking of the roller bearing), from the electric traction engine no.4, cumulated with the loss of the fastening force of the unit got by shrinking process between the rotor axis and the roller bearing sleeve, at its part put into gear;
- inobservance of the cycle of periodical inspections at the locomotive;
Existence of oil rests at the electric traction engine no.4 allowed the spreading and increasing of the fire.
Considering the measures disposed by SC GFR SA during the investigation, the investigation commission considered necessary to issue the next safety recommendation that aim the decrease of fire risk, generated by the leakage of flammable liquids.
Safety recommendation
Romanian Railway Safety Authority - ASFR shall ensure that SC GFR SA re-assesses the risks of fire due to the leakages of flammable liquids from the locomotive.
</t>
  </si>
  <si>
    <t xml:space="preserve">Addressed to The Czech National Safety Authority (NSA):
• to take measures to immediately increase the perception of vertical traffic signs by road users with the current way of interlocking of the level crossings P6433 and P6434 by addition the existing traffic signs A32a „Warning cross” for single-track level crossing and P6 „Stop, give a priority!” by yellow-green retroreflective foundation and appropriately add horizontal traffic signs.
</t>
  </si>
  <si>
    <t>A-2016/006</t>
  </si>
  <si>
    <t>An appropriate procedure should ensure, that after manipulations on the underfloor area of RailJet sets (e.g. filling with water, emptying the toilet tank, etc.), the proper closing or locking of the covers to prevent them from accidental opening before the departure should be checked.
Addition:
Furthermore, it must be ensured that this inspection is carried out by trained and authorized staff in accordance with ZSB 31 § 13.
Durch ein geeignetes Verfahren ist sicherzustellen,
dass nach erfolgter Manipulation im Unterflurbereich von RailJet-Garnituren (z.B. Wasserfüllung,
WC-Tankentleerung udgl.) das ordnungsgemäße
Schließen bzw. Verriegeln der Abdeckungen gegen unbeabsichtigtes Öffnen vor Fahrtantritt durch entsprechend ausgebildetes Personal überprüft wird.
Ergänzung:
Des Weiteren ist sicherzustellen, dass diese Überprüfung durch ein gem. ZSB 31 § 13 ausgebildetes und ermächtigtes Personal durchgeführt wird.
Begründung: Mangelhaftes Schließen bzw. Verriegeln von Abdeckungen können bei Begegnungen von Fahrten - insbesondere bei Begegnungen von Fahrten mit hohen Geschwindigkeiten - zu Beschädigungen und in weiterer Folge zu einem Verlust von Fahrzeugteilen führen</t>
  </si>
  <si>
    <t>A-2016/019</t>
  </si>
  <si>
    <t>In accordance with the regulations of ZSB 31 Section 42 Paragraph 8, the type, scope, inspection location and frequency of technical treatment of the wagon is to be carried out and an inspection concept about that must be drawn up  in accordance with ZSB 31 Section 42 Paragraph 3. It must be checked if such investigation concepts are subject to an official approval procedure.
Gemäß den Bestimmungen der ZSB 31
§ 42 Abs. 8 ist für Art, Umfang, Untersuchungsort und Häufigkeit einer wagentechnischen Behandlung gem. ZSB 31 § 42 Abs. 3 ein Untersuchungskonzept zu erstellen. Es ist zu prüfen, ob solche
Untersuchungskonzepte einem behördlichen Genehmigungsverfahren unterliegen.</t>
  </si>
  <si>
    <t>A-2016/020</t>
  </si>
  <si>
    <t>In context with the provisions of ZSB 31 regarding the vehicle inspection, the obligations in DV V3 § 63 Para. 4  for train attendants and train drivers specified must be checked to determine whether and to what extent these provisions are to be applied. 
In further consequence it should be checked if training in accordance with ZSB 31 Section 13 is required for the activities specified in DV V3 Section 63 Paragraph 4.
Im Zusammenhang mit den Bestimmungen der
ZSB 31 betreffend Fahrzeugprüfung sind die in der
DV V3 § 63 Abs. 4 genannten Verpflichtungen für
Zugbegleiter bzw. Zugführer dahingehend zu prüfen, ob bzw. in welchem Umfang diese Bestimmungen anzuwenden sind.
In weiterer Folge wäre zu prüfen, ob für die in der DV V3 § 63 Abs. 4 genannten Tätigkeiten eine Ausbildung nach ZSB 31 § 13 erforderlich ist.</t>
  </si>
  <si>
    <t>R1 - Training in safety communications</t>
  </si>
  <si>
    <t>Develop specific training and education in safety communications between maintenance staff and traffic controllers. Develop monitoring the quality of these exchanges by using appropriate means (e.g. recordings where available).</t>
  </si>
  <si>
    <t>R2 - Adequacy between inspections of line and worksite insurance</t>
  </si>
  <si>
    <t>Implement a safety monitoring to verify the adequacy between the inspections of line carried out on the track and the worksite insurance actually taken out where they are prescribed, to anticipate any difficulty that could affect safety.</t>
  </si>
  <si>
    <t>R3 - modernisation of staff safety devices in high traffic areas</t>
  </si>
  <si>
    <t>Ensure that a modern system is in place that is less susceptible to human error for the safety of staff working on the tracks when traffic management systems are regenerated. Make an inventory of the dense traffic areas covered by the modern devices already implemented to quantify this modernisation.</t>
  </si>
  <si>
    <t>R4 - automatic train horn in case of emergency braking</t>
  </si>
  <si>
    <t>Study reasonably practicable ways of enabling a train’s horn to automatically sound when a driver initiated emergency brake application is made on a moving train</t>
  </si>
  <si>
    <t>BA2021-0682-5-01</t>
  </si>
  <si>
    <t>The TSB recommends reviewing the train identification procedures at Ferencváros station to see to what extent they allow continuous monitoring of trains in service; and, if necessary, introducing a logging system and/or train number tracking technology that allows traffic management staff to continuously monitor the exact location of trains moving on the network controlled by them.</t>
  </si>
  <si>
    <t>BA2021-0682-5-02</t>
  </si>
  <si>
    <t>The TSB recommends carrying out a workload analysis of the traffic management staff of Ferencváros station, also from the point of view of how suitable the existing technology and equipment are to keep the workload below the critical level for the safe control of traffic (which is expected to increase in the future), or what changes and improvements could be made to make them suitable.</t>
  </si>
  <si>
    <t>BA2021-0682-5-03</t>
  </si>
  <si>
    <t>The TSB recommends reviewing the procedures for issuing instructions of MÁV Zrt., with a view on how it provides the necessary preparation before entry into force, taking into account that the instructions may affect several railway companies.</t>
  </si>
  <si>
    <t>BA2021-0682-5-04</t>
  </si>
  <si>
    <t>The TSB recommends that the safety management systems of railway undertakings using the national network should review the competence management in order to ensure that their training instructions contain the training requirements set out in Chapter 2.3 of Instruction T.25.</t>
  </si>
  <si>
    <t>no.396/-1</t>
  </si>
  <si>
    <t xml:space="preserve">The railway accident happened on the 21st July 2021, on the exit route of the freight train no.64288, on the direct line 3 of the railway station Fetești, on the switches no.33 and 11, km 145+620, to the railway station Lehliu, was caused by the fall between the rails of the third shutter cover of the wagon no.31539337010-3.
During the investigation, there was found that, for the fastening of the shutter cover, the lock that is operated through the handle of safety system, the wheel outside the wagon was not operated (put) on “closed”, fact for which the unit for closing/opening of the shutter cover, consisting in “drive head (toothed wheel) – rack rail (fitted on by welding on the shutter cover)”, following the vibrations appeared in the wagon running, moved the shutter cover on “open”. Following the inspections there was found the lack of blocks-limitting devices from the shutter cover, without traces that show that they existed previously. 
Preamble recommendation no.1
During the investigation, there was found that SC ROFERSPED SA did not identify and assess the dangers mentioned within chapter „4.d. Mechanisms for feedback and control, including the management of risks and the management of safety , as well as the monitoring processes” and did not get operational procedures for the identification of the risks associated to the railway safety, to technical inspection of the wagons and to measures corresponding to the dangers not identified and that developed in case of this accident. 
Recommendation no. 396/1
Considering these above mentioned, the investigation commission considers necessary to issue a safety recommendation for Romanian Railway Safety Authority – ASFR, that is it shall ensure that SC ROFERSPED SA, like railway undertaking, re-assesses the own prevention measures for keeping under control and decrease of the risks associated to the technical inspection and maintenance of the wagons in operation.
</t>
  </si>
  <si>
    <t>no.396/2</t>
  </si>
  <si>
    <t xml:space="preserve">The railway accident happened on the 21st July 2021, on the exit route of the freight train no.64288, on the direct line 3 of the railway station Fetești, on the switches no.33 and 11, km 145+620, to the railway station Lehliu, was caused by the fall between the rails of the third shutter cover of the wagon no.31539337010-3.
During the investigation, there was found that, for the fastening of the shutter cover, the lock that is operated through the handle of safety system, the wheel outside the wagon was not operated (put) on “closed”, fact for which the unit for closing/opening of the shutter cover, consisting in “drive head (toothed wheel) – rack rail (fitted on by welding on the shutter cover)”, following the vibrations appeared in the wagon running, moved the shutter cover on “open”. Following the inspections there was found the lack of blocks-limitting devices from the shutter cover, without traces that show that they existed previously. 
Preamble recommendation no.2
During the investigation, there was found that SNTFM „CFR Marfă” SA identified the dangers mentioned withla capitolul 4.d. „Mechanisms for feedback and control, including the management of risks and the management of safety, as well as the monitoring processes”, but the measures disposed for keeping under control the risks associated were not completeley applied, and the monitoring process was uneffective. 
Recommendation no. 396/2
Considering these above mentioned, the investigation commission considers necessary to issue a safety recommendation for Romanian Railway Safety Authority – ASFR, that is it shall ensure that, SNTFM „CFR Marfă” SA, like entity in charge with the maintenance, re-assesses the own preventive measures for keeping under control and decrease the riks associated to the technical inspection and maintenance of wagons in operation.
</t>
  </si>
  <si>
    <t>no.396/1</t>
  </si>
  <si>
    <t xml:space="preserve">The railway accident happened on the 20th July 2021, in the railway county Constanța, track section Medgidia - Palas (electrified double-track line), in the railway station Dorobanțu, on switch no.22, in the running of freight train no.50830-1, was caused by the impact between the wagon wheel and a buffing gear, detached from the welded joint and fallen on the line (left side in the train running direction, corresponding to the wheel no.1) from the wagon no.82536653595-2.
During the investigation, one found that the technical condition of the buffing gear (corresponding to the wheel no.1 from the wagon no.82536653595-2) was improper.
Preamble recommendation no.1
During the investigation, one found that SC EXPRESS FORWARDING SRL identified the dangers mentioned into chapter 4.d. ”Mechanisms of feedback and control, including the management of risks and management of safety, as well as the monitoring processes”, but the measures disposed for keeping under control the risks associated were not completely applied, and the monitoring process was ineffective. There was also found the lack of agreements/ contracts, having like object the performance of train technical inspections, so not being established the obligations and responsibilities of parties.
Recommendation no. 395/1
Considering these above mentioned, the investigation commission considers necessary to issue a safety recommendation for Romanian Railway Safety Authority – ASFR, that is it shall ensure that, SC EXPRESS FORWARDING SRL, like railway undertaking, re-assesses the own prevention measures for keeping under control and reducing the risks associated to the technical inspections and maintenances of wagons in operation, respectively of the risk to perform works/render services with thirds, without setting obligations and responsibilities for the parties by agreements/contracts.
</t>
  </si>
  <si>
    <t>no.398/1</t>
  </si>
  <si>
    <t xml:space="preserve">The railway accident happened on the 1st August 2021, on the industrial branch got by ROMCIM SA București – Working Point Medgidia, was caused by the irregular loading of the wagon no.83536658166-7 in relation to its longitudinal axis, it leading to the increase of the ratio, between the guiding force and the load acting on the guiding wheel (IR), over the derailment stability limit.
During the investigation, one found that the wagon involved was in the composition of freight train no.30658-1, having the goods loaded irregularly, because it was taken over for transport by the railway undertaking, without checking visually if the loading of goods complies with the provisions from Book I –” Principles” of the Loading Rules established by UIC.
Considering the findings and conclusions of the investigation commission, previously mentioned, for the improvement of railway safety and prevention of similar events, AGIFER considers timely to address to ASFR, the next safety recommendations:
Preamble recommendation no.398/1
The investigation commission found that the documents concluded between the railway undertaking and the forwarder of the goods don’t comply with the provisions of the national regulation framework regarding the delivery-reception of wagons loaded with goods. 
Safety recommendation no.398/1
ASFR shall ensure, through specific surveillances, that the documents concluded between the railway undertaking and the forwarder of the goods comply with the provisions of the national regulation framework regarding the delivery-reception of wagons loaded with goods.
We underline that, although the safety recommendation concerns the activity of Deutsche Bahn Cargo Romania SRL (it being analyzed during the investigation of the accident), it is not limitative, it can be extended also to other railway undertakings at which, ASFR finds, during the surveillances, similar gaps.
</t>
  </si>
  <si>
    <t>no.398/2</t>
  </si>
  <si>
    <t xml:space="preserve">The railway accident happened on the 1st August 2021, on the industrial branch got by ROMCIM SA București – Working Point Medgidia, was caused by the irregular loading of the wagon no.83536658166-7 in relation to its longitudinal axis, it leading to the increase of the ratio, between the guiding force and the load acting on the guiding wheel (IR), over the derailment stability limit.
During the investigation, one found that the wagon involved was in the composition of freight train no.30658-1, having the goods loaded irregularly, because it was taken over for transport by the railway undertaking, without checking visually if the loading of goods complies with the provisions from Book I –” Principles” of the Loading Rules established by UIC.
Considering the findings and conclusions of the investigation commission, previously mentioned, for the improvement of railway safety and prevention of similar events, AGIFER considers timely to address to ASFR, the next safety recommendations:
Preamble recommendation no.398/2
The investigation commission found that the railway undertaking identified, but did not effectively manage the risk represented by the train routing with wagons where the goods are not loaded in accordance with the Loading Rules established by UIC. 
Safety recommendation no. 398/2
ASFR shall ensure that the railway undertaking re-assesses the risk represented by the routing of the trains with wagons where the goods are not loaded in accordance with the Loading Rules issued by UIC and it establishes viable measures for keeping under control this risk.
</t>
  </si>
  <si>
    <t>71/2021-1: formalization when communicating the position of trackside apparatus</t>
  </si>
  <si>
    <t>In the training courses for infrastructure and circulation staff and in the different channels of learning, insist on the obligation to formalize any type of tests, verifications and corrective maintenance actions that imply the communication of the position of trackside apparatus.
Addressee: NSA Spain
Final implementer: Adif (IM)</t>
  </si>
  <si>
    <t>71/2021-2: protocol for unequivocally naming the position of trackside apparatus</t>
  </si>
  <si>
    <t>Preparation of a protocol in which the status and position of the trackside apparatus are unequivocally named in the communications between the maintenance agents and the signallers, during the performance of tests, verifications and corrective maintenance actions.
Addressee: NSA Spain
Final implementer: Adif (IM)</t>
  </si>
  <si>
    <t>71/2021-3: definition of priorities and incompatibilities between automatic and manual operations of signallers</t>
  </si>
  <si>
    <t>Define the priorities and incompatibilities between the automatic operation assistance systems and the manual operations of the signaller, to improve the operation of all those actions that, without being safety actions, may have repercussions on safety. This must be done in the software of interlockings and/or CTC systems, or through the specific Instructions of the stations.
Addressee: NSA Spain
Final implementer: Adif (IM)</t>
  </si>
  <si>
    <t>BA2021-1110-5-01</t>
  </si>
  <si>
    <t>The TSB recommends MÁV Zrt. to consider reviewing the criteria used to determine the classification of station tracks as “equipped for train control”, taking into account whether those tracks perform the train control functions on which the relevant rules and instructions are based. On this basis, the necessary measures should be taken to ensure that the Station Instructions include correct information on the suitability of the tracks for continuous signalling.</t>
  </si>
  <si>
    <t>Extraordinary briefing for the personnel in the repair and operation of RRS</t>
  </si>
  <si>
    <t>Recommendation 1 proposes BDZ PS Ltd. and BDZ Cargo Ltd. to conduct an extraordinary briefing for the personnel in the repair and operation of RRS and to be acquainted with the Final Report of the NAMRTAIB on the occurred accident.</t>
  </si>
  <si>
    <t xml:space="preserve">Updated training for the personnel in the repair and operation of RRS on the safety measures </t>
  </si>
  <si>
    <t>Recommendation 2 proposes BDZ PS Ltd. and BDZ Cargo Ltd. to conduct an updated training for the personnel in the repair and operation of RRS on the safety measures as per Ordinance No7 and Ordinance No13.</t>
  </si>
  <si>
    <t xml:space="preserve">BDZ PS Ltd. and BDZ Cargo Ltd. to make amendments and additions to the normative documents regulating the types of repairs of TRS </t>
  </si>
  <si>
    <t>Recommendation 3 proposes BDZ PS Ltd. and BDZ Cargo Ltd. to make amendments and additions to the normative documents regulating the types of repairs of TRS (Regulations for the organization of repair activities in locomotive depots, Instructions for safe work when servicing electric locomotives and motor trains in locomotive depots, Regulations for depot repairs and maintenance of electric locomotives of BDZ and Samples by which TRS is accepted and handed over for repair as necessary).</t>
  </si>
  <si>
    <t>BDZ PS Ltd. and BDZ Cargo Ltd. to change the work instructions and PLD</t>
  </si>
  <si>
    <t>Recommendation 4 proposes BDZ PS Ltd. and BDZ Cargo Ltd. to change the work instructions and PLD, which will guarantee increased control by the officials during the performance and acceptance of the repair works, checking of the protective locks of the locomotives, ensuring traceability and personal responsibility.</t>
  </si>
  <si>
    <t>BDZ PS Ltd. and BDZ Cargo Ltd. to create order and organization after coming out of repair and during operation</t>
  </si>
  <si>
    <t>Recommendation 5 proposes BDZ PS Ltd. and BDZ Cargo Ltd. to create order and organization after coming out of repair and during operation, upon acceptance of the locomotive, the locomotive crews to check and enter in the logbook the state of all the protective locks of the locomotives.</t>
  </si>
  <si>
    <t>no.397/1</t>
  </si>
  <si>
    <t xml:space="preserve">Following the investigation of this accident resulted that the passing of the entry signal XC of the railway station Fetești in stop position, that was on ”Red” – ”STOP without pass the signal in stop position!”, taking over and coming into collision of the freight train nr.50790-1 by the freight train no.60514-1, happened following the lack of some measures of  braking both taken by the human factor and by the devices of safety, vigilance, control of train speed. Considering the findings and conclusions of the investigation commission presented in this report, and taking into account the measures already taken after the accident, for the improvement of railway safety and prevention of similar events, AGIFER considers timely to issue the next safety recommendations.
Preamble safety recommendation no.397/1
During the investigation, it emerged the inobservance of the regulations in the field regarding the maximum duty accepted for the locomotive and ensuring of rest at home or during the duty, and from the analysis of the content of this procedure and from the questioning of the staff that had to apply it resulted that this procedure reiterates the provisions of the Minister of Transports ‘Order no.256/2013 without establishing clear barriers that prevent the infringement of these provisions.
Considering these findings and conclusions of the investigation commission, above mentioned, for the improvement of railway safety and prevention of similar events, AGIFER considers timely to address to Romanian Railway Safety Authority - ASFR, the next safety recommendation:
Safety recommendation no.397/1
ASFR shall ask the railway undertaking TRC to revise the General Procedure PG-20 – Maximum continuous duty accepted for the locomotive, in order to establish provisions (barriers), that have both preventive character and effective applicability during the driving of the freight trains, for ensuring that the staff of the company involved in the railway freight transport complies with the provisions of Minister of Transports ‘Order no.256/2013.
</t>
  </si>
  <si>
    <t>no.397/2</t>
  </si>
  <si>
    <t xml:space="preserve">Following the investigation of this accident resulted that the passing of the entry signal XC of the railway station Fetești in stop position, that was on ”Red” – ”STOP without pass the signal in stop position!”, taking over and coming into collision of the freight train nr.50790-1 by the freight train no.60514-1, happened following the lack of some measures of  braking both taken by the human factor and by the devices of safety, vigilance, control of train speed. Considering the findings and conclusions of the investigation commission presented in this report, and taking into account the measures already taken after the accident, for the improvement of railway safety and prevention of similar events, AGIFER considers timely to issue the next safety recommendations.
Preamble safety recommendation no.397/2
During the investigation, it emerged that the railway undertaking TRC had issued, at the conclusion of the individual employment contract, a complementary certificate that was indicating like infrastructure on which the driver was authorized to drive, including the track section Bucuresti – Constanta, track section where the accident happened, without meeting with the regulations in the field regarding the route reconnoitring.
Following the checking of how the issuing of the complementary certificates is regulated within the railway undertaking TRC, the investigation commission found that, within this railway undertaking, this activity is not regulated.
Considering these findings and conclusions of the investigation commission, above mentioned, for the improvement of railway safety and prevention of similar events, AGIFER considers timely to address to Romanian Railway Safety Authority - ASFR, the next safety recommendation:
Safety recommendation no.397/2
ASFR shall ask the railway undertaking TRC to regulate its own activity of issuing complementary certificates for the drivers, in order to eliminate the cases of issuing these certificates, before they meet with all the requirements.
</t>
  </si>
  <si>
    <t>no.397/3</t>
  </si>
  <si>
    <t xml:space="preserve">Following the investigation of this accident resulted that the passing of the entry signal XC of the railway station Fetești in stop position, that was on ”Red” – ”STOP without pass the signal in stop position!”, taking over and coming into collision of the freight train nr.50790-1 by the freight train no.60514-1, happened following the lack of some measures of  braking both taken by the human factor and by the devices of safety, vigilance, control of train speed. Considering the findings and conclusions of the investigation commission presented in this report, and taking into account the measures already taken after the accident, for the improvement of railway safety and prevention of similar events, AGIFER considers timely to issue the next safety recommendations.
Preamble safety recommendation no.397/3
During the investigation, there was found that the railway undertaking TRC identified and assessed the risks associated to the dangers stipulated into chapter 4.d. ”Mechanisms of feedback and control......”, but the measures disposed for keeping under control these risks were ineffective.
Considering these findings and conclusions of the investigation commission, above mentioned, for the improvement of railway safety and prevention of similar events, AGIFER considers timely to address to Romanian Railway Safety Authority - ASFR, the next safety recommendation
Safety recommendation no.397/3
ASFR shall ask the railway undertaking TRC to re-assess the risks associated and to establish effective measures for keeping under control the next dangers: 
- ”failures at the devices of safety, vigilance, control of train speed and recording of the locomotive parameters”;
- ”lack of compliance with the stop positions of the signals or in case of a situation that endangers the traffic safety”;
- ”the locomotive crew did not do the route reconnoitring of the track section on what the train runs”;
- ”exceeding of the maximum duty accepted for the locomotive”. 
</t>
  </si>
  <si>
    <t>no.397/4</t>
  </si>
  <si>
    <t>Following the investigation of this accident resulted that the passing of the entry signal XC of the railway station Fetești in stop position, that was on ”Red” – ”STOP without pass the signal in stop position!”, taking over and coming into collision of the freight train nr.50790-1 by the freight train no.60514-1, happened following the lack of some measures of  braking both taken by the human factor and by the devices of safety, vigilance, control of train speed. Considering the findings and conclusions of the investigation commission presented in this report, and taking into account the measures already taken after the accident, for the improvement of railway safety and prevention of similar events, AGIFER considers timely to issue the next safety recommendations.
Preamble safety recommendation no.397/4
During the investigation it emerged that the locomotive EA 194, involved in this event had the devices of safety, vigilance, control of train speed isolated unduly (without meeting with the regulations in field) and recording of locomotive parameters (DSV and INDUSI). The issues regarding the isolation of the devices DSV and INDUSI, and how these devices, if they had been in operation, they should have ordered the emergency braking of the freight train no.60514-1, was analysed into chapter 3.a.4. ”Train composition and equipments”.
Considering these findings and conclusions of the investigation commission, above mentioned, for the improvement of railway safety and prevention of similar events, AGIFER considers timely to address to Romanian Railway Safety Authority - ASFR, the next safety recommendation
Safety recommendation no.397/4
ASFR shall ask the railway undertaking TRC to make an assessment of the risks associated to the danger represented by the unjustified isolation of the devices of safety, vigilance, control of train speed and recording of the locomotive parameters (without meeting with the regulations in the field) and to establish the measures suitable for keeping them under control.
We mention that, although the safety recommendations issued are for the activity of the railway undertaking TRC (it being analysed during the investigation of the railway accident) but, considering the existence of some cases with similar causes (presented into Chapter 4.e), these recommendations are not limitative, they could be extended also to other railway undertakings at which ASFR finds similar gaps during the surveillances.</t>
  </si>
  <si>
    <t>Addressed to the Czech National Safety Authority (NSA):
• as a part of its activities by the suitable instruments we recommend the NSA ensure minimalization of events, when the IMs who operate the nation-wide railway and regional railway will not order withdrawing of the current collector by the portable signal device for electric operation. This should be done especially at construction (reconstructions, modernizations) on the railway lines, when this minimalization should be taken into acount during preparation and concrete construction procedures. For this purpose, It is possible to use administrative and technical measures – e.g. temporary insertion of the section insulators onto contact wire at suitable places of the station head of the operating points, i.e. at the space between the switch of the crossover and the first switch of the next track development which is not connected to the crossover (and vice versa);
• with respect to development and operating of the European train control systém (hereinafter the ETCS) in the Czech republic we recommend the NSA adopt its own mesuares to ensure that the IMs will verificate and apply accessible options of this system in relation to elimination of occurrences caused by disobedience of the signal devices for electric operation, so primarily options for transfer of information about the signal devices for electric operation (including the portable signal devices) from the line part of the ETCS to the mobile part of the ETCS and also their consequent processing and using (e.g. notification by the text messages on display and control unit of the mobile part of the ETCS and similar measures) shlould be applied.
Addressed to the Czech Ministry of Transport in cooperation with the Czech National
Safety Authority:
• we recommend the Ministry comprehensively revise and appropriately modify the text of the Decree No. 173/1995 Coll., on transport rules on the railways, as amended, in relation to the signal devices for electric operation (e.g. based on knowledge of this Final report and also on knowledge of the IMs and RUs). We also recommend using only portable signal devices for electric operation made of the blue color with the orange frame in railway transport.</t>
  </si>
  <si>
    <t>no.400/1</t>
  </si>
  <si>
    <t xml:space="preserve">The railway accident happened on the 7th August 2021, between the railway stations Vlăduleni and Piatra Olt, on a curve with left deviation, was caused by the failures existing at the track geometry.
During the investigation, one found that the keeping of the track geometry over the tolerances accepted in operation was generated by the improper maintenance, that was not carried out in accordance with the provisions of the practice codes (reference documents associated to the procedures of the Safety Management System got by the infrastructure administrator).
Applying the measures established by the own procedures of the safety management system, in their entirety, respectively of the provisions of the practice codes, part of safety management system, the infrastructure administrator could have kept the technical parameters of the track geometry between the tolerances imposed by the railway safety and, in a such way, it could have avoided the accident occurrence.
Considering the findings and conclusions of the investigation commission, above mentioned, for the prevention of similar accidents, AGIFER issues the next safety recommendation:
Preamble of recommendation no.1
The investigation commission found that the infrastructure administrator did not assess the risks generated by the lack, within the sections of lines, of a sufficient number of employees with high graduation and competences in line maintenance, who can carry out the traffic safety tasks specific to the welded track. 
Recommendation no.400/1
Romanian Railway Safety Authority – ASFR shall ensure that the infrastructure administrator CNCF „CFR” SA re-assesses the risks generated by the lack, within the sections of lines, a sufficient number of employees with high graduation and competences in line maintenance, who can carry out the traffic safety tasks specific to the welded track and it establishes safety measures for keeping under control those risks.
</t>
  </si>
  <si>
    <t>SR 2022/04: Implementation on level crossing 128,209 (Linha do Alentejo) of adequate safety measures, compliant with the national rules</t>
  </si>
  <si>
    <t>1/9/2022</t>
  </si>
  <si>
    <t>It is recommended that IM Infraestruturas de Portugal, S.A., within a timeframe to be accepted by the NSA, promotes at private level crossing 128,209 (Linha do Alentejo) the establishment of safety conditions compliant with the national rules and as resulting from a formal and documented risk assessment, as derives from the national legislation and its own safety management system.</t>
  </si>
  <si>
    <t>SR 2022/05: Risk assessment of user-worked private level crossings and implementation of control measures</t>
  </si>
  <si>
    <t>It is recommended that IM Infraestruturas de Portugal, S.A., within a timeframe to be accepted by the NSA, undertakes the formal and documented risk assessment for every private level crossings without an automatic warning system existing on the national network, in accordance to the legal requirements and the provisions of its own safety management system, so as to confirm the suitability of the safety measures presently implemented on each crossing and to define any necessary additional measures that may result from the risk assessments.</t>
  </si>
  <si>
    <t>Addressed to the Czech National Safety Authority (NSA):
1. as a part of its activities as a national safety authority, to take own measures that will ensure that the railway undertaking České dráhy, a. s.:
• determination of the checks and its parameters at maintenance of the outside door of service compartment of diesel railcars series 854, determination of limiting value for the telescopic latches of the mechanism of these doors and register of these checks until the end of the service life of these diesel railcars;
• determination of the check method of the door by train crew at the beginning of shift at the diesel railcars series 854 and ensuring demonstrable familiarization of train crews with these procedures.
2. as a part of its activities as a national safety authority, to take own measures that will ensure more stringent checks of the diesel railcars with a similar design solution of the outside door of service compartment and their registration with railway undertaking in the Czech Republic who operate them. The rolling stocks are a historic diesel railcars, especially series 820, 850 and 851 of the manufacturer Vagónka Tatra Studénka (including successor organizations).
3. delivery of the above-mentioned point No. 2 of the safety recommendation to all owners and operators of the diesel railcars series 820, 850 and 851 manufactured by Vagónka Tatra Studénka (including successor organizations) outside the Czech Republic through the Network of National Safety Authorities at the European Union Agency for Railways.</t>
  </si>
  <si>
    <t>IM-related recomendations</t>
  </si>
  <si>
    <t>21/7/2022</t>
  </si>
  <si>
    <t xml:space="preserve">1) The railway infrastructure manager PKP PLK S.A. shall take measures intended to:
a. increase the supervision of the Investment Performance Centre of the construction work contractors as part of ongoing investments.
b. improve the quality and depth of technical acceptance of individual stages of works in terms of inspecting the conformity of the design documentation with the condition on the ground.
c. update the trainings for employees with issues related to the operation of trains in the station and adjacent routes during restrictions, telephonic announcement of trains on the routes, telephonic recommendation and notification of the preparation of routes in the station.
</t>
  </si>
  <si>
    <t>Extend the scope of controls</t>
  </si>
  <si>
    <t xml:space="preserve">2) Railway infrastructure manager PKP PLK S.A., within the framework of supervision of executed investments, shall extend the scope of control in the scope of compliance of executed phases 
with the documentation, in particular during changes between successive transitional phases of investment works related to railway traffic operation and safety.
</t>
  </si>
  <si>
    <t xml:space="preserve">Temporary train traffic regulations </t>
  </si>
  <si>
    <t>3) After completion of each stage of an investment project containing phases, new temporary train traffic regulations should be drawn up during execution of works on the premises of PKP PLK S.A. Zakład Linii Kolejowych, which will constitute a continuation of the specific investment task.</t>
  </si>
  <si>
    <t xml:space="preserve">Updating the risk assessment  </t>
  </si>
  <si>
    <t>When auditing the safety management systems of railway operators, the Finnish Transport and Communications Agency should evaluate whether the assessments are updated as needed in addition to the risk assessment procedures. [2022-S20]</t>
  </si>
  <si>
    <t>The use and maintenance of towing adapters and other auxiliary devices used for connecting trains</t>
  </si>
  <si>
    <t>Railway operators should ensure that the towing adapters and other auxiliary devices they use for connections have been identified and are included in the maintenance programme and that there are instructions for their use. [2022-S21]</t>
  </si>
  <si>
    <t>Taking the risk caused by the train breaking up into account</t>
  </si>
  <si>
    <t>Railway operators should verify that brakes work in transfers of rolling stock implemented with special arrangements and take the risk of the train breaking up into account. [2022-S22]</t>
  </si>
  <si>
    <t>Taking safety into account in arranging school transports</t>
  </si>
  <si>
    <t>The Finnish National Agency for Education should instruct education providers to ensure that safety issues are taken into account regardless of how school transports are arranged, and notify transport operators and education providers about the goals and existence of the instructions. [2022-S23]</t>
  </si>
  <si>
    <t>Making it easier to clear areas of unobstructed visibility at level crossings with deficient conditions</t>
  </si>
  <si>
    <t>The Ministry of Transport and Communications proposes that the Railway Act should be changed so that clearing the areas of unobstructed visibility to ensure their safety could also be done as smoothly as possible in level crossings, in which there are existing buildings or vegetation in the areas of unobstructed visibility. [2022-S24]</t>
  </si>
  <si>
    <t>05/2022</t>
  </si>
  <si>
    <t>30/8/2022</t>
  </si>
  <si>
    <t xml:space="preserve">Es wird empfohlen, die strikte Einhaltung von Geschwindigkeitsvorgaben und die korrekte Bedienung von Sicherheitseinrichtungen durch Triebfahrzeugführer stärker in den Fokus der unternehmerischen und behördlichen Überwachung zu rücken.
Addressee and safety recommendation:
Safety authority
It is recommended that speed guidelines should be strictly adhered to and there should be greater focus on the correct operation of safety devices by the 
driver during corporate and official monitoring. 
Relates to Railway undertaking </t>
  </si>
  <si>
    <t>06/2022</t>
  </si>
  <si>
    <t>Es wird empfohlen, zur Beherrschung von Risiken im Zusammenhang mit der Instandhaltung entsprechend den Anforderungen der Delegierten Verordnung (EU) 2018/762 Anhang II Punkt 5.2.4 die Verfahren zur Inspektion des Oberbaus in „sonstigen Hauptgleisen“ zu prüfen und ggf. zu verbessern.
Addressee and safety recommendation:
Safety authority
It is recommended that in order to manage risks in relation to maintenance according to the requirements of Delegated Regulation (EU) 2018/762 Annex II point 5.2.4, the procedure for inspecting the superstructure in “other main tracks” 
should be examined and improved if necessary.
Relates to DB Netz AG</t>
  </si>
  <si>
    <t>07/2022</t>
  </si>
  <si>
    <t xml:space="preserve">Es wird empfohlen, die Einführung einer einheitlichen und individuell zugeteilten Triebfahrzeugführernummer zu überprüfen, um die Überwachung der Personale durch die Eisenbahnverkehrsunternehmen und Aufsichtsbehörden zu verbessern bzw. zu ermöglichen. 
Addressee and safety recommendation:
Safety authority
It is recommended that consideration should be given to introducing a standardised and individually assigned driver number in order to improve/allow for the monitoring of staff by the railway undertakings and supervisory authorities. 
Relates to Railway undertaking </t>
  </si>
  <si>
    <t>08/2022</t>
  </si>
  <si>
    <t>Es wird empfohlen, zur Begrenzung von Folgeschäden die Ausrüstung von Mineralölkesselwagen mit zusätzlichen Sicherheitselementen zu überprüfen. 
Addressee and safety recommendation:
Safety authority
It is recommended that consideration should be given to equipping oil tank wagons with additional safety features in order to limit consequential losses.  
Relates to Wagon owner</t>
  </si>
  <si>
    <t>Addressed to the Czech National Safety Authority (NSA):
• to take own measure to ensure addition of the level crossing No. P7054 which is secure by flashing light level crossing warning system to a level crossing systém equipped with barriers which with regard to point of view of optical and manual barrier will reduce probability of the driver’s entrance at the level crossing when he does not respond to light signalization in the warning state.</t>
  </si>
  <si>
    <t>Addressed to the Czech Ministry of Transport (hereinafter “the Ministry”):
• we recommend that the Ministry ensure the modification of the Decree No. 173/1995 Coll. so, that the rules for driving the individual and connected (active) locomotives on the nation-wide and regional railways and on the sidings will be feasible in practice, simple and unequivocal. It is necessary to define rules for shunting the connected (active) locomotives with respect on the fact, that it is not shunting by pull nor shunting by push. Also it is necessary to define rules in case, when it is not possible to drive the locomotive from the driver's footplate where it is the best view ensured (when the driver's footplate of the second locomotive for shunting in the opposite direction is practically unattainable), and define the upper limits of the shunting speed depending on the position of the train driver from which the movement of the shunting operation is control. We also recommend that the Ministry modify the definition of running at sight, at least for shunting by push, because in that case the driver of the locomotive can not drive the locomotive according to running at sight, if the running at sight means the ride which is driven by sight of the driver.</t>
  </si>
  <si>
    <t>Addressed to the National Safety Authority (hereinafter “the NSA”):
• we recommend that the NSA exact such a form of the internal regulations of all railway undertakings on the nation-wide and regional railway and on the sidings, so that the instructions for driving the individual and connected (active) locomotives will be feasible in practice, simple and unequivocal. Until the modification of the Decree No. 173/1995 Coll. will be done it is necessary to determinate the rules in case, when it is not possible to drive the locomotive from the driver's footplate where it is the best view ensured (when the driver's footplate of the second locomotive for shunting in the opposite direction is practically unattainable);
• we recommend to require such a form of relative internal regulations for all IMs of national, regional railways and sidings that should be established the upper limits of the shunting speed depending on the position of the train driver from which the movement of the shunting operation is control.</t>
  </si>
  <si>
    <t>Addressed to the Czech National Safety Authority (NSA):
• as a part of its activities as a national safety authority, to take own measure to ensure installation of construct adjustment for holder of bolt of spring switch mechanism which prevent to locked up of connecting lock (without the switch being in resetting mode) at all IMs who operates switches which are equipped by mechanism of self-returning switch by producer AŽD Praha s. r. o.</t>
  </si>
  <si>
    <t>BA2022-0049-5-01</t>
  </si>
  <si>
    <t>TSB recommends MÁV Zrt. to review the fulfilment of the expected staff competences in its safety management system to ensure that the language skills of the staff and the applicable language under the border transition contracts are in line.</t>
  </si>
  <si>
    <t>BA2022-0049-5-02</t>
  </si>
  <si>
    <t>TSB recommends MÁV Zrt. to review the fulfilment of tTSB recommends MÁV Zrt. ensure that the audio recording of the communication equipment (including service mobile phones) used at Hidasnémeti station is properly implemented, including the purpose of making their voice material available. The Railway Authority Division, TIM should, where necessary, oblige the infrastructure manager to provide adequate voice recording services.he expected staff competences in its safety management system to ensure that the language skills of the staff and the applicable language under the border transition contracts are in line.</t>
  </si>
  <si>
    <t>BA2022-0381-5-01</t>
  </si>
  <si>
    <t>4/10/2022</t>
  </si>
  <si>
    <t>TSB recommends Csongrád-Csanád County Government Office to review the construction of the railway crossing in section 187 on the Tiszatenyő-Szentes-Hódmezővásárhely railway line and to take the necessary measures to ensure visibility of the railway track as required by law.</t>
  </si>
  <si>
    <t>BA2022-0381-5-02</t>
  </si>
  <si>
    <t>The TSB recommends that the technical certificates for the 117 series (Bzmot) motor vehicles be reviewed and, if necessary, amended to ensure that there are no unsecured parts in the passenger compartment that could cause injury to passengers if the vehicle derails or even turns over.</t>
  </si>
  <si>
    <t>BA2022-0381-5-03</t>
  </si>
  <si>
    <t>The TSB recommends that the technical approvals of the Series 117 (Bzmot) motor vehicles and their trailers be reviewed and, if necessary, amended to ensure that the vehicles are fitted with the necessary emergency exits (doors and windows that can also be used as emergency exits) and that the vehicle is equipped with the necessary accessories.</t>
  </si>
  <si>
    <t>AIN/06-SR-13/2022</t>
  </si>
  <si>
    <t>28/10/2022</t>
  </si>
  <si>
    <t>The involved railway undertaking, Transagent, should include in the regular trainings of train drivers in the teaching content more attention around the teaching of hazard procedures train passing the signal prohibiting further driving.</t>
  </si>
  <si>
    <t>AIN/06-SR-14/2022</t>
  </si>
  <si>
    <t>The involved railway undertaking, Transagent, should increase number of 
random checks of alcohol concentration measurements in the train driver's body during their work.</t>
  </si>
  <si>
    <t>AIN/06-SR-15/2022</t>
  </si>
  <si>
    <t>The involved railway undertaking, Transagent, should revise its own safety management system, so that by applying all its own procedures and methods for detecting and carrying out risk assessment, implements safety measures to manage the risk caused by the reduced
train driver perception during working hours due to fatigue or alcohol consumption.</t>
  </si>
  <si>
    <t>1.) Recommendation addressed to IM and RU</t>
  </si>
  <si>
    <t>24/10/2022</t>
  </si>
  <si>
    <t xml:space="preserve">During 4Q 2022, the infrastructure manager and the carrier will carry out an increased control of the speech discipline of operational employees.
</t>
  </si>
  <si>
    <t>2) Recommendation addressed to RU</t>
  </si>
  <si>
    <t>During 4Q 2022, the carrier will carry out an increased control of speed compliance by train drivers valid during the shift</t>
  </si>
  <si>
    <t>Lfd. Nr.: 1/2020</t>
  </si>
  <si>
    <t>17/1/2020</t>
  </si>
  <si>
    <t xml:space="preserve">Bei der untersuchten Heizungsanlage Bauart Whzdes wurde ein Fehler in der Steuer- und Regeleinrichtung festgestellt. Der Heizstrom konnte in der Folge nicht automatisch abgeschaltet werden. Eine autark und unabhängig arbeitende Sicherungseinrichtung, wie beispielsweise ein Übertemperaturschutz, war nicht verbaut. 
Zur Vermeidung ähnlich gelagerter Ereignisse wird empfohlen, 
• an den potentiell betroffenen Wagen mit Heizungen der Bauart Whzdes und 
• Wagen mit Heizungsanlagen in analoger technischer Ausführung (ohne Übertemperaturschutz mit direkt wirkender und autarker Energieabschaltung),
durch geeignete betrieblich-organisatorische bzw. vorzugsweise technische Maßnahmen den sicheren Betrieb der Heizungsanlagen zu gewährleisten.
</t>
  </si>
  <si>
    <t>BA2021-0797-5-01</t>
  </si>
  <si>
    <t>TSB recommends MÁV-HÉV Zrt. to develop a uniform standard for employees working in jobs related to railway safety in order to ensure that the designation of individual points on the network is always carried out in
a uniform, clear reference system.</t>
  </si>
  <si>
    <t>BA2021-0797-5-02</t>
  </si>
  <si>
    <t>TSB recommends MÁV-HÉV Zrt. to review its basic and periodic training topics for employees employed or intended to be employed in jobs related to railway
safety in order to ensure that safety-critical
communication is also consciously practised during training.</t>
  </si>
  <si>
    <t>R1 - The renewal deficit of old reused rails</t>
  </si>
  <si>
    <t>18/11/2022</t>
  </si>
  <si>
    <t>Improve the reliability of the data in the national databases on the state of disrepair of the rails with a view to identifying and locating the oldest and most stressed rails.</t>
  </si>
  <si>
    <t>R2 - The renewal deficit of old reused rails</t>
  </si>
  <si>
    <t>Review the requirements for the rail couponing and renewal of rails to ensure that the oldest and most stressed rails are quickly eradicated or remain in good working order.</t>
  </si>
  <si>
    <t>R3 - The effectiveness of the process of monitoring the condition of old rails</t>
  </si>
  <si>
    <t>Complete the strengthening of the analysis and monitoring of the actual state of the rails in the reference systems in order to deal with the risks associated with the obsolescence of old rails, particularly vertical cracking defects.
Include in the overall maintenance organisation arrangements to ensure that these new measures are taken into account in a reliable and auditable manner.</t>
  </si>
  <si>
    <t>R4 - The quality of ultrasonic rail inspection by heavy machinery</t>
  </si>
  <si>
    <t>Study the feasibility of improving the quality of detection by strengthening the methods and means used on heavy ultrasonic rail testing equipment in order to improve the rate of safe detection of rail defects, in particular vertical longitudinal head cracking defects, using, where appropriate, the new techniques available and the useful cross-references with the national rail network description databases.
Pending conclusive results, prescribe that the 113/213 sensors be more systematically operational, that the speed of inspection be adapted to the quality of the rail-sensor coupling and that the trigger thresholds be reset, in view of the other actions taken to minimise the risk of non-recognition.</t>
  </si>
  <si>
    <t>R5 - The quality of the visual rail monitoring rounds</t>
  </si>
  <si>
    <t>To analyse the task of carrying out rail periodic tours aimed at detecting defects from the point of view of human and organisational factors in order to draw useful lessons from it in terms of periodic tour organisation, operator training and the provision of appropriate practical support.</t>
  </si>
  <si>
    <t>R6 - Return walls of railway bridges</t>
  </si>
  <si>
    <t>Evaluate the relevance of further studying the scenario of a collision on a clear obstacle that a structure may present, as part of the programme of activities of the experts associated with the revision of this UIC leaflet.
Depending on the outcome of this assessment, incorporate the objective of improving sheet 777-2 into the ongoing revision work or a future revision.</t>
  </si>
  <si>
    <t>Acquaint the interested personnel with the contents of the Final report</t>
  </si>
  <si>
    <t>28/11/2022</t>
  </si>
  <si>
    <t>• Recommendation 1 proposes that SE NRIC and "Rail Cargo Carrier - Bulgaria" EOOD shall acquaint the interested personnel with the contents of the Final report.</t>
  </si>
  <si>
    <t xml:space="preserve">Analysis and evaluation of the functioning of the SE NRIC Safety Management System </t>
  </si>
  <si>
    <t>• Recommendation 2 suggests that the Railway Administration EA analyses and evaluates the functioning of the Safety Management System of the SE NRIC in terms of operation, maintenance and repair of the rail track, and the transitions between the continuously welded and jointed track.</t>
  </si>
  <si>
    <t>Restoration of the whitewashing of the continuously welded rail track during the summer season</t>
  </si>
  <si>
    <t>• Recommendation 3, suggests that the SE NRIC restore the whitewashing of the continuously welded rail track during the summer season in order to limit the increase in temperatures in the rails due to the solar heating.</t>
  </si>
  <si>
    <t>Planning and performance of repairs of the rail track in the interstation Kremikovtsi - Yana</t>
  </si>
  <si>
    <t>• Recommendation 4, suggests that SE NRIC plan and carry out repairs of the rail track in the interstation Kremikovtsi - Yana, guaranteeing the traffic safety.</t>
  </si>
  <si>
    <t>no.410/1</t>
  </si>
  <si>
    <t>The railway accident, happened on the 27th December 2021, on the exit route of the freight train no.67400 from the deflecting section no.2 of the railway station Chiajna to the railway station Bucureștii Noi, on the connection rails of the switch no.19, was caused by the technical condition of the track superstructure corroborated with the technical condition of the wagon.
During the investigation it was found that the improper technical condition of the track was generated by the unsuitable maintenance, that was not carried out in accordance with the provisions of the practice codes (reference/associated documents of the SMS procedures gets by the infrastructure administrator - AI).
Considering the similar railway events happened between 13th September 2020 and 30th March 2021, in the railway county București, presented into the chapter 4.e. „Previous similar accidents and incidents” and taking into account the fact that there were issued safety recommendations in this respect, the commission considers that it is no more necessary to issue other similar recommendations for the track maintenance.
During the investigation, it was found that the wagon no.33535320016-5 ran in the composition of the freight train no.67400, with the thickness of the flange of wheel no.1 under the limit accepted in operation and that the railway undertaking - OTF managed ineffectively the danger represented by the non-identification of all failures existing at the wagons.
Preamble of the recommendation
During the investigation it was found that SC TIM RAIL CARGO SRL identified the dangers presented into chapter„4.d Mechanisms of feedback and control, including the management of risks and the management of safety, as well as the monitoring processes”, but the measures disposed for keeping under control the risks associated were not completely applied, and the monitoring process was ineffective. 
In order to prevent accidents that could happen in conditions similar to those presented in this report, AGIFER issues only the next safety recommendation:
Recommendation no.410/1
Romanian Railway Safety Authority – ASFR shall ensure that OTF TRC re-assesses the danger represented by the non-identification of all failures existing at the wagons, establishing additional effective measures for keeping under control the risks generated by it.</t>
  </si>
  <si>
    <t>familiarize the interested personnel with the contents of the repor</t>
  </si>
  <si>
    <t>• Recommendation 1, proposes that SE NRIC and "BDZ-Passenger Services" EOOD familiarize the interested personnel with the contents of the report.</t>
  </si>
  <si>
    <t>National Safety Authority RAEA organizes and proposes amendments and additions to Ordinance No. 4</t>
  </si>
  <si>
    <t>• Recommendation 2, suggests that the National Safety Authority RAEA organizes and proposes amendments and additions to Ordinance No. 4 of 27.03.1997 on the railway level crossings, that a representative of the State Agency be included in the commission under chapter five of the Ordinance “Road traffic safety”.</t>
  </si>
  <si>
    <t xml:space="preserve">National Safety Authority RAEA organizes and proposes an amendment and supplement to Ordinance No. 4 </t>
  </si>
  <si>
    <t>• Recommendation 3, suggests that the National Safety Authority RAEA organizes and proposes an amendment and supplement to Ordinance No. 4 of 27.03.1997 on the railway level crossings, regarding updating the categorization of level crossings, on the main railway lines railway crossings equipped with ALCD, to re-equip with automatic semi-barriers (ASB).</t>
  </si>
  <si>
    <t>SE NRIC develops a program for the phased re-equipment of the level crossings equipped with ALCD</t>
  </si>
  <si>
    <t>• Recommendation 4, proposes that the SE NRIC develop a program for the phased re-equipment of the level crossings equipped with ALCD in the interstation of the main railway lines with automatic semi-barriers (APB), after amendment and supplement to Ordinance No. 4 for updating the categorization of the railway level crossings.</t>
  </si>
  <si>
    <t xml:space="preserve">SE NRIC gradually builds 24-hour video surveillance </t>
  </si>
  <si>
    <t>• Recommendation 5, proposes that SE NRIC gradually builds 24-hour video surveillance covering the passing flow of road vehicles and rolling stock through the level crossings located on the main railway lines.</t>
  </si>
  <si>
    <t>Municipality of Dimovo restores and maintains the missing road signs A33</t>
  </si>
  <si>
    <t>• Recommendation 6, proposes that the Municipality of Dimovo restores and maintains the missing road signs A33 (railway level crossing without barriers) and A35 (balises) from the two road approaches to the railway level crossing at km 127+123 in the Dimovo - Oreshets interstation in accordance with the requirements of RIRTA and Ordinance No. 4/27.03.1997 on the railway level crossings.</t>
  </si>
  <si>
    <t>no.412/1</t>
  </si>
  <si>
    <t xml:space="preserve">Considering the causal, contributing and systemic factors identified during the investigation, in order to prevent future similar accidents or incidents, in accordance with the provisions of art.26, paragraph (2) of the Emergency Government Decision no.73/2019 for the railway safety, the investigation commission issues the next recommendation:
Preamble of the recommendation no.412/1
The beginning of the fire at the locomotive DA 1547 happened because it was not suitable for hauling the tonnage stipulated in the working timetable, it leading to the exceeding of the maximum accepted current into the groups of engines in operation.
Considering that, during the investigation, it was found that the railway undertaking GFR did not identify the danger „Hauling of the trains with locomotives whose condition does not allow the hauling of the tonnage stipulated into the working timetables”, for the prevention of accidents with causes similar to those presented in this report, the investigation commission issues the next safety recommendation:
Safety recommendation no.412/1
Romanian Railway Safety Authority – ASFR shall analyse the opportunity to ask the railway undertaking SC Grup Feroviar Român SA the assessment of the risks associated to the danger „Hauling of the trains with locomotives whose condition does not allow the hauling of the tonnage stipulated into the working timetables” and the disposition of effective measures for keeping it under control.
We underline that, although the safety recommendation issued aims the activity of the railway undertaking SC Grup Feroviar Român SA (it being analysed during the investigation of this accident) and considering the existence of some cases with similar causes, (presented into „Chapter 4.e”) this recommendation is not restricting, it can be extended to other railway undertakings to which ASFR finds similar gaps during the surveillances.
</t>
  </si>
  <si>
    <t>no.413/1</t>
  </si>
  <si>
    <t xml:space="preserve">The railway accident happened on the 7th January 2022, between the railway stations Fileşti (Connection Line CSG) and CFU Cătuşa (from the industrial branch with wide gauge, got by SC Liberty Galați SA), km 2+733, in the running of freight train no.77146 (got by OTF UTZ) was caused by the improper technical condition of the track superstructure and favoured by the operation way of the rolling stock. 
During the investigation, there was found that the improper technical condition of the track was determined by the unsuitable maintenance, it not being made in accordance with the provisions of the practice codes (reference/associated documents of the infrastructure administrator SMS procedures).
Preamble of recommendation no.1
The investigation commission found that the infrastructure administrator identified, but did not effectively manage the risks generated by the non-performance of the line maintenance according to the provisions of the practice codes, in order to be able to dispose viable safety measures for the decrease of these risks. 
Considering the findings and conclusions of the investigation commission, above mentioned, for the improvement of the railway safety and prevention of similar events, AGIFER considers timely to address to Romanian Railway Safety Authority - ASFR, the next safety recommendation:
Safety recommendation no.413/1
ASFR shall ensure that the infrastructure administrator CNCF „CFR” SA re-assesses the risk associated to the danger generated by the keeping in operation the improper wooden sleepers within the curves and it establishes viable safety measures for keeping them under control.
</t>
  </si>
  <si>
    <t>no.413/2</t>
  </si>
  <si>
    <t xml:space="preserve">The railway accident happened on the 7th January 2022, between the railway stations Fileşti (Connection Line CSG) and CFU Cătuşa (from the industrial branch with wide gauge, got by SC Liberty Galați SA), km 2+733, in the running of freight train no.77146 (got by OTF UTZ) was caused by the improper technical condition of the track superstructure and favoured by the operation way of the rolling stock. 
During the investigation, there was found that the improper technical condition of the track was determined by the unsuitable maintenance, it not being made in accordance with the provisions of the practice codes (reference/associated documents of the infrastructure administrator SMS procedures).
Preamble of recommendation no.2
The investigation commission found that the railway undertaking identified, but it did not effectively manage the risks generated by the danger represented by the exceeding by the trains of the maximum speeds accepted by the line, of the maximum speeds stipulated into the working timetables or into the running slip, in order to be able to dispose viable safety measures for the decrease of these risks.
Considering the findings and conclusions of the investigation commission above mentioned, for the improvement of the railway safety and prevention of similar events, AGIFER considers timely to address to Romanian Railway Safety Authority - ASFR, the next safety recommendation:
Safety recommendation no.2/413
ASFR shall ensure that OTF UTZ re-assesses the risks associated to the danger generated by the exceeding by the trains of the maximum speeds accepted by the line, of the maximum speeds stipulated into the working timetables or the running slip and it establishes viable safety measures for keeping them under control.
</t>
  </si>
  <si>
    <t>DK-2022 R 10 af d. 19-12-2022.</t>
  </si>
  <si>
    <t>Havarikommissionen anbefaler, at Trafikstyrelsen sikrer, at Nordjyske Jernbaner håndterer ændringer af teknisk, driftsmæssig eller organisatorisk art via sit sikkerhedsledelsessystem (SLS) og i overensstemmelse med gældende lovgivning, herunder at virksomheden håndterer ændringerne af trykkappebolte på Desiro togsæt i henhold til dette.</t>
  </si>
  <si>
    <t>Anbefaling 1
Havarikommissionen vurderer, at ved undladelse af brug af kortslutningsstrop (stedlig dækning) sættes de sikkerhedsmæssige barrierer, der skulle hindre hændelser (potentielle ulykker) i sådanne situationer, ud af kraft.</t>
  </si>
  <si>
    <t>DK-2022 R 6 af d. 07-12-2022
Havarikommissionen anbefaler, at Trafikstyrelsen sikrer, at Lokaltog A/S fører tilsyn med - især kortvarige - sporspærringer med henblik på at tilse, at sikkerhedsbestemmelserne overholdes af såvel SR-arbejdsledere som stationsbestyrere og trafikal(e) driftsansvarlige /planlæggere, samt at hensynet til toggang og prioritering af entreprenørernes arbejde på intet tidspunkt medfører, at sikkerhedsbestemmelser tilsidesættes.</t>
  </si>
  <si>
    <t>Anbefaling 2
Havarikommissionens undersøgelse har vist, at regelændringer i Sikkerhedsregelment SR af 1975 (SR) ikke er blevet tilstrækkeligt implementeret hos Lokaltog A/S, hvorved de jernbanesikkerhedsmæssige forbedringer som regelændringerne medfører ikke opnås hos Lokaltog A/S.</t>
  </si>
  <si>
    <t>DK-2022 R 7 af d. 07-12-2022
Havarikommissionen anbefaler, at Trafikstyrelsen sikrer, at Lokaltog A/S afdækker alle bagvedliggende årsager til den utilstrækkelige implementering og efterlevelse af de ændrede regler i SR for kortvarige sporspærringer, og effektivt forebygger, at lignende mangelfuld implementering og manglende regelefterlevelse kan forekomme fremover.</t>
  </si>
  <si>
    <t>Anbefaling 3
Havarikommissionens undersøgelse har vist, at medarbejderes arbejdspres blev øget i forbindelse med de driftsmæssige ændringer som fulgte udrulningen af nyt signalsystem. Der er en risiko for, at jernbanesikkerheden udsættes for fare, når der ikke i tilstrækkelig grad bliver risikovurderet ved ændringer af driftsmæssig art og etableret barrierer for farer relateret til medarbejdernes arbejdspres.</t>
  </si>
  <si>
    <t>DK-2022 R 8 af d. 07-12-2022
Havarikommissionen anbefaler, at Trafikstyrelsen sikrer, at Lokaltog A/S gennem deres sikkerhedsledelsessystem sikrer, at ændringer i personalets arbejdsbetingelser risikovurderes og farehåndteres, så eventuelle risici afledt af øget arbejdspres bliver reduceret.</t>
  </si>
  <si>
    <t>Anbefaling 4
Havarikommissionens undersøgelse har vist, at den jernbanesikkerhedsplan, der var gældende, mere synes at være en generel/generisk jernbanesikkerhedsplan, end en konkret jernbanesikkerhedsplan, der er udarbejdet i forhold til den konkrete arbejdstype og materiel.</t>
  </si>
  <si>
    <t>DK-2022 R 9 af d. 07-12-2022
Havarikommissionen anbefaler, at Trafikstyrelsen sikrer, at Lokaltog A/S ifm. planlægning af infrastrukturarbejder udarbejder jernbanesikkerhedsplaner for de aktuelle arbejder, og at gennemførelse af infrastrukturarbejder sker i henhold til sikkerhedsbestemmelserne.</t>
  </si>
  <si>
    <t xml:space="preserve">Addressed to the Czech National Safety Authority (NSA) in cooperation with Czech
Ministry of Transport:                                                                                                        • to create a legal framework and system, by which will expand the scope and content of knowledge and skills and procedures necessary to demonstrate special professional competence for driving a rolling stock on a railway, national and regional categories, about verify the practical ability of driver on a locomotive simulator to adequately solve situations that can occur only rarely, incl. Monitoring the signaling, its correct interpretation and the corresponding way of acting, the way of driving and the maximum speed given the characteristics of the track and variable data, such as speed limits or weather conditions;
• to verify at railway undertakings whether the exam demonstrating a special professional competence pass only applicants who have completed training to acquire the relevant knowledge, skills and procedures in the specified scope and content, in conjunction with the control of the observance of the obligations of individuals or legal persons accredited for training according to § 46j par. 4 of Act No. 266/1994 Coll., on rail systems, as amended.
</t>
  </si>
  <si>
    <t>Addressed to the Czech Ministry of Transport:
• in cooperation with the NSA, more specify the minimum length of the practical part of the training to acquire detailed knowledge, skills and procedures to demonstrate special professional competence for driving a rolling stock of the relevant category and type, which is Annex No. 2 to Decree No. 16/2012 Coll., about the professional competence of persons driving a rolling stock and persons carrying out revisions, inspections and tests of specified technical equipment and about the amendment of Decree of the Czech Ministry of Transport No. 101/1995 Coll., which is issued by the Order on the health and professional competence of persons in the operation of railways and railway transport, determine for 12 weeks so that the requirement of precision will be fulfilled, incl. legal certainty, and the addressees of the given legal obligation were not hindered by practice in its consistent application, similar to the
case of the theoretical part of the given training.</t>
  </si>
  <si>
    <t>Addressed to the Czech National Safety Authority (NSA):
• systematically register the software versions of the systems which have an effect the control and safety driving of the rolling stock in serviceability certificate of a track-guided vehicle;
 • to take measure which will ensure at railway undertakings a duty to register software versions of rolling stock systems which have an effect the control and safety driving of the rolling stock. For individual versions of the software, to register changes in functions and in the case of more significant changes to these functions that effect the indication, operation and working of the rolling stock, to carry out demonstrable training for operating and maintenance employees;
• to take measure to ensure that railway owners and infrastructure managers, during infrastructure reconstructions, preserve to the maximum extent possible preserve the transmission of the code of the LS type automatic train control (in the original scope) until the instalation of exclusive operation under the supervision of the automatic train control ETCS;
•to take measure to ensure that railway owners and and infrastructure managers expand the implementation of the track part of the ETCS system to the maximum extent possible. At least on the TEN-T network, NIB recommends implementing ETCS L2 enabling Full supervision mode as soon as possible and continuously. To use this full supervision to the maximum extent possible so that even defaults trains pass the departure signal devices of stations already in this mode;
• to take measure to ensure that railway undertakings reduce the time of equipping the relevant rolling stocks with on-board parts of the ETCS system to the maximum extent possible (shorten the so-called migration period).</t>
  </si>
  <si>
    <t>BA2021-1166-5-01A</t>
  </si>
  <si>
    <t xml:space="preserve">The TSB recommends ITM Railway Authority Division to consider obligating national infrastructure managers to perform a risk analysis to find out whether there is appropriate cooperation in all circumstances between
 automatic warning light equipment designed with a train detection mode using 13 kHz track circuits, and 
 railway vehicles using disc brakes during their service braking,
and then, depending on the results of the analysis, take the necessary steps to prevent similar cases from recurring.
</t>
  </si>
  <si>
    <t>Safety recommendation No 174</t>
  </si>
  <si>
    <t>Safety deficit
According to SBBI's rough estimates, the train control system does not function correctly on an average of three trains a day. If a train runs with a non-functioning train control system, a serious accident may result. Depending on how they are interpreted, existing regulations on how to act in the event of a train control system failure also permit journeys other than those whose purpose is to take the vehicle to a repair point as quickly and simply as possible. As a rule, the specifications are interpreted in such a way that the measures can be implemented individually or may be combined. Specifications tend to be selected and combined to achieve trouble-free operation with the least possible effort. This results in vehicles still running at a maximum of 80 km/h for 12 hours after the train control system has failed, without the additional safety of being accompanied by a second driver. Because these 12 hours are interpreted as applying to driving time only, defective vehicles may be in use for several days. As with the incident in Aarau on 29 November 2017, in the incident in Zollikofen a locomotive train was running unnecessarily and with reduced safety from a maintenance location as a result of a train control system failure. Moreover, in both of these incidents, the engine ran from a locomotive crew location without an additional driver, contrary to the regulation.
Safety recommendation No 174
The Federal Office of Transport (FOT) should examine to what extent the specifications can be adapted so that priority is given to preventing a ride being driven without a functional train control system. If journeys are nonetheless still necessary in such a situation, then measures to effectively reduce the resulting increased risk must be in place.</t>
  </si>
  <si>
    <t>Safety recommendation No 175</t>
  </si>
  <si>
    <t>Safety deficit
Reports on train control system failures are not systematically evaluated. At the time of the event, it was not known about how long locomotives operate without train control, why system failures occur and whether the statutory requirements for substitute measures were met.
Safety recommendation No 175
As part of its supervisory activities, the Federal Office of Transport should check whether the infrastructure managers and railway undertakings systematically document train control failures and draw conclusions from the reports received.</t>
  </si>
  <si>
    <t>38/2021-1: training and expertise in complex or novel infrastructure elements</t>
  </si>
  <si>
    <t>Establish programs and actions that guarantee the training and expertise of ADIV-AV (HS-IM) and ADIF (IM)´s internal and external staff in charge of the management and maintenance of complex or novel infrastructure elements before coming into service, particularly in the case of mixed gauge turnouts.
Addressee: NSA Spain
Final implementers: Adif and Adif AV (IMs)</t>
  </si>
  <si>
    <t>38/2021-2: application of procedures to avoid undertaking works not previously risk assessed</t>
  </si>
  <si>
    <t>Establish the appropriate internal mechanisms to guarantee that the ADIF-PE-101-003-010-SC-312 procedure is applied to avoid undertaking works that have not previously been risk assessed.
Addressee: NSA Spain
Final implementers: Adif and Adif AV (IMs)</t>
  </si>
  <si>
    <t>38/2021-3: modification of procedures for detection of new hazards</t>
  </si>
  <si>
    <t>Study the advisability of including a new task within the ADIF-PE-101-003-010-SC-312 procedure, consisting of detecting, documenting, and collating new hazards and incorporating them into the final register of hazards (specific and general). This will enable hazard control in such a way that the references to the hazards remain live for subsequent similar works.
Addressee: NSA Spain
Final implementers: Adif and Adif AV (IMs)</t>
  </si>
  <si>
    <t>38/2021-4: accreditation of knowledge and expertise of technical managers</t>
  </si>
  <si>
    <t>Establish accreditations to guarantee that the technical managers appointed to different works, according to the ADIF-IT-301-001-007-SC-524 procedure, have actual knowledge and expertise on the specific areas of their responsibility.
Addressee: NSA Spain
Final implementers: Adif and Adif AV (IMs)</t>
  </si>
  <si>
    <t>38/2021-5: guarantee that subcontractors also comply with the technical requirements applied to contractors</t>
  </si>
  <si>
    <t>Study the incorporation of methods that guarantee that the technical requirements requested to the contractors and defined on the legal and technical contractual documents are also applied to the subcontractors appointed.
Addressee: NSA Spain
Final implementers: Adif and Adif AV (IMs)</t>
  </si>
  <si>
    <t>38/2021-6: technical regulation of mixed gauge turnouts</t>
  </si>
  <si>
    <t>Ensure the preparation and update of the technical regulations referring to turnouts so that the technical aspects of mixed gauge turnouts are considered with regards to their assembly and maintenance, as well as the correct placement of different types of clamped devices authorized by the ADIF-AV (HS-IM) and ADIF (IM).
Addressee: NSA Spain
Final implementers: Adif and Adif AV (IMs)</t>
  </si>
  <si>
    <t>Establishment a risk assessment and evaluation team</t>
  </si>
  <si>
    <t xml:space="preserve">Related to the change in infrastructure: level crossing 
(from category C to category B), track layout and designation of tracks on the siding adjacent to the railway line track, and the change in traffic organization within the crossing, PKN Orlen S.A. will establish a risk assessment and evaluation team to identify risks affecting the traffic safety of railway vehicles and road vehicles at the level crossing and on track No. 101. It is recommended that the team identifying risks include representatives of the Railway Infrastructure Manager, Road Manager, Siding User and the organizer of traffic in the area of the siding.
</t>
  </si>
  <si>
    <t>Update the start of the Widełka Fuel Terminal siding</t>
  </si>
  <si>
    <t>PKN Orlen S.A., in consultation with PKP PLK S.A., will update the start of the Widełka Fuel Terminal siding in relevant documentation.</t>
  </si>
  <si>
    <t>Liquidate redundant built-up vertical rails along line No. 71</t>
  </si>
  <si>
    <t>PKP PLK S.A. will liquidate redundant built-up vertical rails along line No. 71, which are fixed points of the long-welded rail. Use the existing catenary pylons as fixed points.</t>
  </si>
  <si>
    <t>Equipment for carrying injured persons</t>
  </si>
  <si>
    <t>Railway operators licensed to transport passengers shall equip railway vehicles in places accessible to the train operator with rescue stretchers or other equipment for carrying injured persons.</t>
  </si>
  <si>
    <t>Re-evaluate change</t>
  </si>
  <si>
    <t xml:space="preserve">Infrastructure manager PKP PLK Railway Line Department in Bydgoszcz will re-evaluate the significance of the change considering local conditions in connection with the implementation of post-accident recommendations. </t>
  </si>
  <si>
    <t>Implement findings included in the Note</t>
  </si>
  <si>
    <t>The infrastructure manager PKP PLK Railway Line Department in Bydgoszcz will implement the findings included in the Note from the meeting of the Team for the assessment of the significance of the change in accordance with the procedure SMS-PR-03 "Management of change" for the assessment of the significance of the change for the technical change consisting in the reconstruction of level crossings from category A to B on the line No. 131 Chorzów Batory - Tczew located at km 344.021; 437.386; 440.762 dated 15.04.2015, in particular, with regard to TVU monitors at the control panel of the Warlubie station</t>
  </si>
  <si>
    <t>Develop new traffic organization</t>
  </si>
  <si>
    <t>The road manager will develop a new traffic organization project in the area of the cat. B level crossing, considering the topographical conditions of the intersection of the railway line and the road, in such a way that priority of passage through the crossing will be given to vehicles coming from the direction of the village of Bąkowski Młyn.</t>
  </si>
  <si>
    <t>Public safety campaigns</t>
  </si>
  <si>
    <t>Infrastructure managers during public campaigns to improve safety at rail-road crossings will emphasize the formation of correct behavior of crossing users when a road vehicle is between the barriers, including, among other things, the need to immediately exit the vehicle by braking the barriers or to leave the vehicle when it is damaged at the crossing.</t>
  </si>
  <si>
    <t>Assesment of significance of change</t>
  </si>
  <si>
    <t>Authorized infrastructure managers, in the event of a change in the category of a level crossing, reconstruction or construction of a new crossing or pedestrian crossing, will make it mandatory to assess the significance of the change, taking into account existing local conditions.</t>
  </si>
  <si>
    <t>Addressed to the Czech National Safety Authority (NSA):
• to take own measure to ensure addition of the level crossing No. P847 which is secure by flashing light level crossing warning system to a level crossing systém equipped with barriers which with regard to point of view of optical and manual barrier will reduce probability of the driver’s entrance at the level crossing when he does not respond to light signalization in the warning state.</t>
  </si>
  <si>
    <t>;Estonian Railways Ltd
1. To further develop a culture of communication as part of the safety
culture in order to supplement Estonian Railways Ltd instructions for the
safe organization of train traffic and shunting work, by adding a
requirement to immediately inform the train dispatcher in the event of an
unannounced change in the locomotive traffic light reading on a line with
automatic blocking and automatic locomotive signalling.</t>
  </si>
  <si>
    <t>Estonian Railways Ltd+E7743:
2. To supplement the company's work management instructions with the
requirement to check the circumstances of the sudden change in the
reading of the locomotive signal received by the dispatcher, and as
feedback to give the necessary instructions to the locomotive driver to
ensure the safety of railway traffic.</t>
  </si>
  <si>
    <t>Estonian Railways Ltd:
3. Until the traffic centralization of Ropka station is rebuilt and the
equipment at the level crossing is upgraded in 2024, pay special
attention to the operation of the equipment. Considering the age of the
equipment, intensify its technical inspection.</t>
  </si>
  <si>
    <t>AS Eesti Liinirongid:
4. To use the materials of the serious railway traffic accident in Ropka on
11.03.22 in the training of railway rolling stock drivers, to form an attitude
for the development of their communication culture with the railway
traffic managers with the aim of forwarding information about the
changes characterizing the traffic in the event that it is unexpected and
the reasons or connections may not have been fully clarified.</t>
  </si>
  <si>
    <t>Emergency Centre:
5. To analyze all the characteristic features of the term "information holder".
Bring the use of the term "information holder" in line with the meaning of
the Rescue Act, the Railways Act and the Regulation on the
establishment of a database for the processing of emergency
notifications and the basic regulations for maintaining the database.</t>
  </si>
  <si>
    <t>SHK 2023:04 R1</t>
  </si>
  <si>
    <t xml:space="preserve">The Swedish Transport Administration is recommended to:
• Investigate what would be required to better identify transverse cracks of internal origin. The investigation should include both the need for the development of technical equipment and support in carrying out the control. </t>
  </si>
  <si>
    <t>SHK 2023:04 R2</t>
  </si>
  <si>
    <t>The Swedish Transport Administration is recommended to:
• Evaluate whether the manual ultrasound checks following indications from ultrasonic train measurements should be extended, for example whether extra checks should be carried out in cases where an indicated transverse crack is not identified at the
first check</t>
  </si>
  <si>
    <t>SHK 2023:04 R3</t>
  </si>
  <si>
    <t>The Swedish Transport Administration is recommended to:
• Investigate more closely which factors can contribute to increased tensile stress in the rail and how such factors can be identified.</t>
  </si>
  <si>
    <t>no.414/1</t>
  </si>
  <si>
    <t xml:space="preserve">As for the railway infrastructure, considering that AGIFER issued safety recommendations aiming the identification of the risks generated by the existence of some failures at the track geometry, because of the improper wooden sleepers, non-performance of periodical repairs,  and  that Romanian Railway Safety Authority – ASFR notified over June 2022 (after this accident) that the measures made following the issued recommendations were in in implementation process, following to be controlled, along the surveillances organized and made in accordance with Minister of Transports’ Order OMT no.650/1998 and with the Regulation (EU) 761/2018, the investigation commission does not consider necessary  to issue other safety recommendations for it. We underline that, safety recommendations missing, upon the remarks of the investigation commission for the nonconformities found, CNCF can dispose safety measures considered necessary, for keeping under control the risk of derailment.
At the locomotive GM 1138, the investigation commission identified that the worn springs HH were to be adjusted, paired or replaced over the planned repairs, respectively at 6 years. It was also identified the fact that there are not stipulated periodical operations for measuring, adjusting and/or pairing the springs HH during the planned repairs, under the conditions in which it is not stipulated in ST 13, that the operation has to be carried out periodically, during the planned inspections. Existence of serious wears at the springs HH, that can caused derailments at 5 year after their assembling in new condition, between two planned repairs, lead to the conclusion that it can be necessary the checking, adjusting and/or more frequent pairing of those springs, respectively during the planned repairs and not only over the planned repairs at 6 years.
Following the checkings it resulted that there were no more registered before, at the locomotives type EGM, provided with springs HH, derailment investigations caused by this type of suspension, from which one can learn lessons in the future. The locomotive GM 1138 was in the normal working period of time, time over which the designer of that type of suspension did not stipulated checkings of the length of the springs HH or other operations of adjusting and/or pairing. In these conditions, SNTFC could not detect as soon as possible, reasonably, the cases of nonconformity with the working requirements before or during the asset operation, applying inclusively using restrictions, if case, in order to ensure that the asset is kept in safety working conditions.
 Considering the findings and conclusions of the investigation commission above mentioned, for the improvement of railway safety and prevention of similar events, AGIFER issues the next safety recommendation:
Safety recommendation no.414/1
Romanian Railway Safety Authority – ASFR shall ask SNTFC to assess the danger represented by the change of the technical parameters of the springs HH, between the planned repairs, against the tolerances regulated and to establish effective measures for keeping under control the risks induced by it.
</t>
  </si>
  <si>
    <t>Addressed to the Czech National Safety Authority (NSA), alternatively in cooperation with
the relevant road administration authority, Municipality of the city of Teplice:
• due to improvement work conditions and elimination possible inadvertent faults (mistakes) of train drivers to adopt own measure which will ensure elimination (by for example properly bulding-technical measures) of light source, which could be interchangeable with signal aspects in meaning of section 9, paragraph 1 of Act No. 266/1994 Coll., specifically traffic light on crossroad Na Hrázi and Dubská in Teplice.</t>
  </si>
  <si>
    <t>no.415/1</t>
  </si>
  <si>
    <t xml:space="preserve">Preamble of the safety recommendation no.415-1/1:
During the investigation, there was found that the locomotive involved in the accident had an irregular distribution of the loads on the wheels of the first axle in the running direction. In the identification of the risks associated to the railway operations performed by the keeper of the locomotive, for the derailment risk, there was not identified the possibility that it be generated by the loss of the mechanical resistance of the spring type Metalastik, necessary to support the locomotive weight, that involve an irregular distribution of the loads on the wheels of an axle.
Considering the findings and conclusions of the investigation commission, above mentioned, for the improvement of railway safety and prevention of similar events, AGIFER considers timely to address Romanian Railway Safety Authority-ASFR the next safety recommendation:
Safety recommendation no.415/1:
Romanian Railway Safety Authority - ASFR shall ask the railway undertaking SC Cargo Trans Vagon SA the assessment of the danger represented by the change, over the time, of the characteristics of the springs type Metalastik.
</t>
  </si>
  <si>
    <t>no.416/1</t>
  </si>
  <si>
    <t xml:space="preserve">Preamble of safety recommendation
Over the investigation, there was found that 11 train wagons, including the first wagon derailed and another three ones situated before it, had the load on axle exceeded. The measures, established by SNTFM „CFR Marfă” SA for keeping under control the risks generated by the loading condition of the wagons, were not enough for keeping them under control. Considering the findings and conclusions of the investigation commission, above mentioned, for the improvement of railway safety and prevention of similar events, AGIFER considers timely to address ASFR the next safety recommendation:
Safety recommendation no.416/1
Romanian Railway Safety Authority - ASFR shall ask the railway undertaking SNTFM „CFR Marfă” SA the re-assessment of the risks generated by the taking over of the wagons, after their loading, from the economic operators (forwarders), in order to eliminate the cases of coupling wagons at freight trains, without meeting with the specific regulations for the maximum load accepted on the axle. 
</t>
  </si>
  <si>
    <t>R1 - Operations in the workshop</t>
  </si>
  <si>
    <t>21/2/2023</t>
  </si>
  <si>
    <t>Establish a state of the art of axle cap assembly operations in the workshop, with a view to improve the operating procedure, control and traceability, and to guarantee a durable prestressing of the cap screws.</t>
  </si>
  <si>
    <t>R2 - Feedback on the use of "SNCF" model brake plates for wagons</t>
  </si>
  <si>
    <t>Ensure the completeness of the feedback on the use of "SNCF" model brake plates for wagons, by integrating the events collected by the AFWP. In the event of a risk being observed, decide on actions to cover this risk.</t>
  </si>
  <si>
    <t>R3 -  Feedback on "SNCF" type brake plates</t>
  </si>
  <si>
    <t>Investigate AFWP members' feedback on "SNCF" type brake plates. If risks are confirmed and after examination of the elements provided by SNCF Voyageurs, decide on a request for correction of the VPI standard concerning this brake plate.</t>
  </si>
  <si>
    <t>Recommendation to RU</t>
  </si>
  <si>
    <t>14/2/2022</t>
  </si>
  <si>
    <t>CFL cargo Sweden AB is recommended to continue to develop its safety management system regarding personal safety risks during shunting.</t>
  </si>
  <si>
    <t>CFL cargo Sweden AB is recommended to continue to develop procedures to verify that procured services provided by subcontractors meet the requirements of the safety management system.</t>
  </si>
  <si>
    <t>Recommendation to freight terminal operator (subcontractor)</t>
  </si>
  <si>
    <t>Sandahls Goods &amp; Parcel AB is recommended to develop the systematic work environment management regarding shunting, considering interacting factors such as physical work environment, professional skills, personal conditions, deviation reporting and risk assessment, if necessary in collaboration with railway undertakings, infrastructure managers and vehicle owners.</t>
  </si>
  <si>
    <t>Recommendation to NSA</t>
  </si>
  <si>
    <t>The Swedish Transport Agency is recommended to through their supervisory activities, monitor how the railway companies' safety management systems handles personal safety risks during shunting.</t>
  </si>
  <si>
    <t>Recommendation to the Swedish Work Environment Authority</t>
  </si>
  <si>
    <t>The Swedish Work Environment Authority is recommended to, in collaboration with the Swedish Transport Agency, develop its supervision of railway yards and shunting of railway wagons in order to improve personal safety when shunting.</t>
  </si>
  <si>
    <t>R1 - Remove of the pedestrian level crossing</t>
  </si>
  <si>
    <t>18/1/2023</t>
  </si>
  <si>
    <t>Given the existing safe non-level crossings nearby, permanently remove level crossing for pedestrians n° 27a.</t>
  </si>
  <si>
    <t>R2 - Regulation</t>
  </si>
  <si>
    <t>As part of the "pedestrians" think tank led by EPSF, pay particular attention to category 3 safety level crossings by identifying the specific problems and the associated solutions, with a view to a possible modification of the decree of March 18 1991 (amended) relating to the classification, regulations and equipment of level crossings.</t>
  </si>
  <si>
    <t>Internal acceptance process</t>
  </si>
  <si>
    <t>2/2/2023</t>
  </si>
  <si>
    <t>Infrastructure managers shall introduce a requirement for the participation of the manufacturer of railway station equipment computer systems or its authorized representative in the process of internal acceptance of the equipment before commissioning.</t>
  </si>
  <si>
    <t>Programs of periodic training of personnel</t>
  </si>
  <si>
    <t>Infrastructure managers shall include in the programs of periodic training of personnel for operation and maintenance of railway equipment the subject of operation of fire-fighting equipment, in particular fixed gas extinguishing equipment.</t>
  </si>
  <si>
    <t xml:space="preserve">Install an emergency extinguisher button </t>
  </si>
  <si>
    <t>Infrastructure managers shall install an emergency extinguisher button in the rooms of the staff of srk equipment operation at stations equipped with an automatic extinguishing system.</t>
  </si>
  <si>
    <t>Supplement the records of the Hazard Register</t>
  </si>
  <si>
    <t>PKP PLK S.A. shall supplement the records of the Hazard Register in terms of diagnosed risks of fire source of railway equipment.</t>
  </si>
  <si>
    <t>Change the location of fire switches in the Leszczyny switchyard</t>
  </si>
  <si>
    <t>PKP PLK S.A. shall change the location of fire switches in the Leszczyny switchyard relay room from the right side to the left side of the door leading out of the relay room, and will install a white "extinguisher interlock" button.</t>
  </si>
  <si>
    <t xml:space="preserve">Changes in technical documentation (DTR) </t>
  </si>
  <si>
    <t xml:space="preserve">Zakłady Automatyki Kombud S.A. shall specify in the DTR of the equipment:
- permissible time to leave the door of the computer cabinet open for the duration of the performed maintenance, 
- the maximum permissible ambient temperature of the cabinet in a closed room,
- the limits of setting the thermostat of the computer cabinet fan.
</t>
  </si>
  <si>
    <t>Changes in the MOR-1 system</t>
  </si>
  <si>
    <t>Zakłady Automatyki Kombud S.A. shall make changes in the MOR-1 system regarding the sending of information to the traffic officer's service station about alarms with information about exceeding the operating temperature of PLCs.</t>
  </si>
  <si>
    <t>Change the location of the fan thermostat in the computer cabinets of the MOR-1 system</t>
  </si>
  <si>
    <t>Zakłady Automatyki Kombud S.A. shall change the location of the fan thermostat in the computer cabinets of the MOR-1 system, so that there is a possibility of receiving the increase in temperature values from the upper part of the cabinet.</t>
  </si>
  <si>
    <t>Install computer cabinet elements in the newly built MOR-1 system installations</t>
  </si>
  <si>
    <t>Zakłady Automatyki Kombud S.A. shall install computer cabinet elements in the newly built MOR-1 system installations, which will ensure the arrangement of controllers with the minimum free space around the base cassette, in accordance with the requirements of the manufacturer of controllers.</t>
  </si>
  <si>
    <t>Recommendation no. IT-6349-1</t>
  </si>
  <si>
    <t>20/7/2022</t>
  </si>
  <si>
    <t>It is recommended to the National Agency for the Safety of Railways and Road and Highway Infrastructure (ANSFISA), to verify that the railway company Trenord, within its context, has implemented all the operations aimed at identifying serious risks to railway safety (Annex I, point 1.1.b Reg.to EU 2018/762) and the appropriate mitigating measures, taking into account the movement of vehicles in the various line and operating conditions (Annex I, point 5.1.3. Reg.to EU 2018/762), "parking" included, in relation to the specificity of the rolling stock in use.</t>
  </si>
  <si>
    <t>Recommendation no. IT-6349-2</t>
  </si>
  <si>
    <t>It is recommended to the National Agency for the Safety of Railways and Road and Highway Infrastructure (ANSFISA), as part of its supervision processes, to verify that Trenord, as also Entity in Charge of Maintenance and, more generally, the other railway undertakings, with the involvement of the senior management, have foreseen and complied with the training process of the staff involved in the conduct, escort and maintenance of the trains, the correct and effective application of the Safety Management System, including through comprehensive provisions concerning the promotion of a positive safety culture (Annex I, point 2.1.1.g-h-i-j, point 2.2.2.c-d, point 4.3. Reg.to UE 2018/762).</t>
  </si>
  <si>
    <t>Recommendation no. IT-6349-3</t>
  </si>
  <si>
    <t>It is recommended to the National Agency for the Safety of Railways and Road and Highway Infrastructure (ANSFISA), to verify that railway companies have in place, within their Safety Management System, procedures ensuring an adequate level of reliability, traceability and monitoring of the processes of training and retention of skills of drivers, train managers and maintainers (Annex I, point 2.3. and 4.2. Reg.to UE 2018/762).</t>
  </si>
  <si>
    <t>Recommendation no. IT-6349-4</t>
  </si>
  <si>
    <t>It is recommended to the National Agency for the Safety of Railways and Road and Highway Infrastructure (ANSFISA) to ask RFI and other infrastructure managers a verification of the specific provisions adopted for the parking of trains in locations with sloping level, providing, where possible, the independence of the railway track, also taking into account the expected parking times (Annex II, p.to 3.1.1.1.a, point 5.1.3.a Reg.to UE 2018/762).</t>
  </si>
  <si>
    <t>Recommendation no. IT-6349-5</t>
  </si>
  <si>
    <t>It is recommended that the National Agency for the Safety of Railways and Road and Highway Infrastructure (ANSFISA) verify that railway companies have in place, as part of their Safety Management System, a systematic method involving the use of recognised processes from the field of human and organisational factors (Annex I, point 4.6. Reg.to UE 2018/762).</t>
  </si>
  <si>
    <t>Recommendation no. IT-6349-6</t>
  </si>
  <si>
    <t>It is recommended that the National Agency for the Safety of Railways and Road and Highway Infrastructure (ANSFISA) verify that infrastructure managers and railway companies have adequate communication and information activities, related to accident and incident investigations, to its own personnel, to properly assess the means of testing, to review the risk assessment and draw lessons from it, with a view to improving safety, by taking corrective and improvement measures (Annex I and II, point 7.1.3. Reg.to UE 2018/762)</t>
  </si>
  <si>
    <t>Recommendation no. IT-10072-1</t>
  </si>
  <si>
    <t>16/6/2022</t>
  </si>
  <si>
    <t>It is recommended to the National Agency for the Safety of Railways and Roads and Motorways Infrastructures (ANSFISA) to ask infrastructure managers and railway companies to deepen the preparation of staff  in the communication of movement requirements for the management of degradation, in particular as regards the clarity, uniqueness and completeness of the order given by the Traffic Regulator.</t>
  </si>
  <si>
    <t>Recommendation no. IT-10072-2</t>
  </si>
  <si>
    <t>It is recommended to the National Agency for the Safety of Railways and Road and Motorway Infrastructures (ANSFISA) to ask the railway companies to reiterate the need and consequently the obligation, on the part of the Driving Agents and, where required, of the Train Managers, of the complete collation of the communication, highlighting its usefulness also in order to better understanding and assimilation of the order given by the Traffic Regulator.</t>
  </si>
  <si>
    <t>Recommendation no. IT-10072-3</t>
  </si>
  <si>
    <t>It is recommended that the National Agency for the Safety of Railways and Road and Motorway Infrastructures (ANSFISA) to ask the railway companies to adopt a procedure that requires, where the participation of the Chief Train is required, the reading and counter-signing of the M40 Telec, containing the prescriptions given by the Traffic Regulators to the Driver.</t>
  </si>
  <si>
    <t>Recommendation no. IT-10072-4</t>
  </si>
  <si>
    <t>It is recommended that the National Agency for the Safety of Railways and Road and Motorway Infrastructures (ANSFISA) to ask railway companies to expand the use of driving simulator exercises intended for Driver Agents, through the implementation of applications to the reproduction of degraded operating conditions and the related applicable requirements, also involving the other agents potentially involved in said exercises.</t>
  </si>
  <si>
    <t>Recommendation no. IT-10072-5</t>
  </si>
  <si>
    <t>It is recommended that the National Agency for the Safety of Railways and Road and Motorway Infrastructures (ANSFISA) make every effort to ensure that railway companies can equip trains with forward facing cameras (train running direction) and with recording equipment to document the state of the places and the environmental conditions that arise along the way.
This recommendation is also extended to the ERA, in anticipation of any changes to the LOC &amp; PAS TSI aimed at introducing the aforementioned devices.</t>
  </si>
  <si>
    <t>Recommendation no. IT-10072-6</t>
  </si>
  <si>
    <t>It is recommended that the National Agency for the Safety of Railways and Road and Motorways Infrastructures (ANSFISA) to ask the infrastructure managers and railway companies to monitor the behavior of their personnel qualified for safety activities during the circulation of trains in a degraded regime. , making sure that the relative results are traced in order to assess the clarity of the instructions received, the ease of carrying out the operations, any difficulties encountered, so as to be able to prepare any corrective or improvement actions to ensure traffic safety.</t>
  </si>
  <si>
    <t>Recommendation no. IT-10072-7</t>
  </si>
  <si>
    <t>It is recommended that the National Agency for the Safety of Railways and Road and Motorway Infrastructures (ANSFISA) to ask Rete Ferroviaria Italiana and the railway companies, as far as they are concerned, the correct application of the Provisions for Operation in Remote Control, with reference to art. 24 and 24 bis, and in particular the last paragraph of art. 24 bis, for which it is necessary to ascertain which is the operational method actually adopted by the Traffic Regulators, verify its compliance with the Provisions and, if necessary, adopt a single detailed shared operational method. This check will have to clarify in particular the behavior to be followed if the movement authorization signal fails to switch on after the transmission of the provisions of art. 24 bis via M40 Telec, that is, if it is necessary to proceed with an additional supplementary M40 Telec or with a new M40 Telec which cancels and completely replaces the previous one.</t>
  </si>
  <si>
    <t>Recommendation no. IT-10168-1</t>
  </si>
  <si>
    <t>23/11/2022</t>
  </si>
  <si>
    <t>It is recommended that the National Agency for the Safety of Railways and Road and Highway Infrastructure (ANSFISA) to ensure that infrastructure managers, when planning, development, implementation and review of the operational processes provided for by the Safety Management Systems, verify the effectiveness of the activities of monitoring the slopes and the interior of the tunnels that have highlighted evolutionary phenomena, also considering the use of appropriate instrumentation, technologically available, suitable to process  and transmit alert information in real time so that the most appropriate measures can be taken with regard to rail traffic.</t>
  </si>
  <si>
    <t>Recommendation no. IT-10168-2</t>
  </si>
  <si>
    <t>23/12/2022</t>
  </si>
  <si>
    <t>It is recommended that the National Agency for the Safety of Railways and Road and Highway Infrastructure (ANSFISA) to ensure that infrastructure managers, when planning, elaboration, implementation and revision of the operational processes provided for by the Safety Management Systems, demonstrate they have set up a specific inspection procedure in the event of rocky subsidence, even of small scale, affecting the railway site.</t>
  </si>
  <si>
    <t>Recommendation no. IT-10168-3</t>
  </si>
  <si>
    <t>It is recommended that the National Agency for the Safety of Railways and Road and Highway Infrastructure (ANSFISA) ensure that the operator FERROVIENORD, when planning, elaboration, implementation and revision of the operational processes of the Safety Management Systems, makes a classification of the tunnels of the Iseo-Edolo line according to the risk factors related to the fessurative framework of the specific context of each of them.</t>
  </si>
  <si>
    <t>Recommendation no. IT-10168-4</t>
  </si>
  <si>
    <t>It is recommended to the National Agency for the Safety of Railways and Road and Highway Infrastructure (ANSFISA), to ensure that infrastructure managers, evaluate the opportunity to introduce in the Safety Management Systems with regard to interventions and procedures, to be implemented in the event of spillage of fuel for traction following accident events, defined on the basis of representative scenarios identified in consultation with the Railway Undertakings.</t>
  </si>
  <si>
    <t>07/2020</t>
  </si>
  <si>
    <t>Es wird empfohlen, weitere möglicherweise betroffene Radsatzlager des Herstellers Tatravagónka Poprad zu identifizieren um Lieferketten nachzuvollziehen und Eisenbahnverkehrsunternehmen sowie Fahrzeughalter über ein möglicherweise
bestehendes Risiko zu informieren.</t>
  </si>
  <si>
    <t>Safety recommendation Rail no 2023/01T</t>
  </si>
  <si>
    <t>In the early hours of 26 September 2021, a wooden snow shed burnt down near Vegårshei on the Sørlandsbanen line. Bane NOR SF was carrying out track maintenance using a rail grinding train, and the fire was probably caused by hot particles from the grinding. No fire prevention measures had been implemented in the snow shed. The risk associated with hot work near wooden structures is known from previous fires, but the organisational learning process has been ineffective.The Norwegian Safety Investigation Authority recommends that the Norwegian Railway Authority request Bane NOR SF to ensure that the process for disseminating lessons learnt from incidents and accidents functions so that it can help to prevent recurrence.</t>
  </si>
  <si>
    <t>BA2013-980-5-1</t>
  </si>
  <si>
    <t>The investigation performed by the Investigating Board of TSB found that at the railway stations (in the national network) without exit signals accompanied by distant signals, the main rule for stopping trains that cross according to timetable requires preliminary notification only. In the case it takes place, there is no other activity at the station to remind it to stop, while in the case it no such notification takes place then the train crew’s attention is attracted by several activities (blocking at the signal, giving manual signal). For this reason,
TSB Hungary recommends National Transport Authority to review in the safety management system of MÁV Ltd. whether the rules applying to the stopping of the trains that cross according to timetable give adequate answer to all risks, and to take action as necessary.
According to the Investigating Committee, if the main rule is completed and, at the stations without exit signal, specific activities are performed to remind the train crews to stop, then the risk of repetition of occurrences caused by similar attention errors could be reduced significantly.</t>
  </si>
  <si>
    <t>BA2013-980-5-2</t>
  </si>
  <si>
    <t>The investigation performed by the Investigating Board of TSB found that the format of the service timetables delivered to the trains running by prompt timetable fully corresponds with the format of the specified timetables despite the fact that the safety critical traffic data (e.g. the direction of entry to stations without safety installation) included in the former type may not necessarily reflect the real situation, so they may mislead the train crew. For this reason,
TSB Hungary recommends National Transport Authority to review in the safety management system of MÁV Ltd. the risk in the similarity of the formats of the service time table for the trains running by prompt timetable and the specified service timetable, and to take action as necessary
 In the opinion of TSB, in the case of accepting and implementing the above recommendation, the differentiation of the formats of the service timetables including false data as well will call the train crew’s attention more efficiently to interpret the data indicated therein appropriately.</t>
  </si>
  <si>
    <t>BA 2019-1245-5-01</t>
  </si>
  <si>
    <t>BA 2019-1245-5-01: On 11 November 2019, at Nyírbátor station, a train approaching with signal handling derailed due to changing of switch position under the moving train. The investigation conducted by TSB found that a technical error of the safety installation and the operating personnel’s activity contributed to the occurrence.
Transportation safety Bureau recommends MÁV Zrt. to consider completing the operation manual of type Siemens-Halske safety installations with a description of the technical defect which led to this accident, including its risk, detection and the procedure to apply if it occurs.
By acceptance and expected implementation of the safety recommendation, the relevant personnel will understand the importance of the applicable rules, and have adequate competences to manage critical situations arising from similar technical errors.</t>
  </si>
  <si>
    <t>BA2020-0169-5-01</t>
  </si>
  <si>
    <t>BA2020-0169-5-01: The level crossing in the railway section № 226 between Vecsés and Üllő stations saw two accidents within half a year where a road vehicle had run off the road and become immobile within the level crossing. The investigation carried out by TSB found that the continuous line indicating the centreline of the road is not painted within the level crossing, and the edge of the road is not indicated either.
Transportation Safety Bureau recommends MÁV Zrt. to arrange for painting a continuous centreline as required by relevant legislation and, if possible, the painting of the lines indicating the edges of the road within the level crossing situated in the railway section № 226 between Vecsés and Üllő stations.
By acceptance and expected implementation of the safety recommendation, the course of the road will become better visible for its users, thus reducing the risk that road vehicles run over the edge of the road and get stuck in between the tracks where they expose both themselves and railway vehicles to the danger of collision.</t>
  </si>
  <si>
    <t>BA2020-0722-5-01</t>
  </si>
  <si>
    <t>Kiadás oka: A Vb a vizsgálat során feltárta, hogy Piliscsaba állomás „B” jelű bejárati jelzőjére az előírt rálátási távolság nem biztosított, mert a jelző az OVSZ I. szerint előírt legalább 233 méter távolság helyett kb. 130 méterről látható. Ezért a KBSZ a következő biztonsági ajánlást adja ki:
Szöveg: A KBSZ javasolja az ITM Vasúti Hatósági Főosztálynak, hogy kötelezze a pályahálózatot működtető MÁV Zrt.-t Piliscsaba állomás „B” jelű bejárati jelzője esetén az OVSZ I. kötetben előírt feltételek biztosítására.
Várt hatás: Az ajánlás elfogadásával és végrehajtásával Piliscsaba állomás „B” jelű bejárati jelzője biztonságos távolságból megfigyelhetővé válik, ezáltal a vasúti közlekedés baleseti kockázata csökkenthető.</t>
  </si>
  <si>
    <t>BA2020-1179-5-01</t>
  </si>
  <si>
    <t>Kiadás oka: A Vb a vizsgálat során feltárta, hogy a MÁV Zrt. pályahálózatán a biztosítóberendezések fenntartása során előírt ellenőrzési-karbantartási lépések egyes esetekben elmaradhatnak, illetve hogy a biztosítóberendezési fővizsgálatok során feltárt hiányosságokat nem, vagy nem megfelelően javítják ki; ezért a KBSZ a következő biztonsági ajánlást adja ki:
Szöveg: A KBSZ javasolja az ITM Vasúti Hatósági Főosztálynak, hogy vizsgálja meg, hogy a MÁV Zrt. biztonságirányítási rendszerében meghatározott folyamatok a biztosítóberendezések fenntartása és fővizsgálata terén a gyakorlatban megvalósíthatóak-e, illetve megvalósulnak-e, és amennyiben hiányosságokat tár fel, tegye meg a szükséges intézkedéseket.
Várt hatás: Az ajánlás elfogadása és végrehajtása esetén elérhető, hogy a biztosítóberendezések időszakos ellenőrzése és javítása megfelelő minőségben megvalósuljon.</t>
  </si>
  <si>
    <t>BA2021-0132-5-01</t>
  </si>
  <si>
    <t>Kiadás oka: A Vb a vizsgálat során feltárta, hogy mozdonyvonatként közlekedve a 240 sorozatú mozdonyok fékezési teljesítménye, az üzembehelyezési engedélyükben megállapított 120 km/h legnagyobb engedélyezett sebességről való fékezés során elégtelen lehet. Ezért a KBSZ a következő biztonsági ajánlást adja ki:
Szöveg: A KBSZ javasolja az ITM Vasúti Hatósági Főosztálynak, vizsgálja meg, hogy Magyarországon történő közlekedtetése során a 240 sorozatú mozdonyok fékberendezése megfelel-e a jogszabályokban, valamint a típus- vagy üzembehelyezési engedélyben meghatározott követelményeknek.
Várt hatás: Az ajánlás elfogadásával és végrehajtásával szabályozás útján kikényszeríthető, hogy a 240 sorozatú mozdonyok a tényleges fékteljesítményüknek megfelelő sebességi csoportban közlekedjenek, ezzel csökkentve a balesetek bekövetkezésének kockázatát.</t>
  </si>
  <si>
    <t>BA2021-1302-5-01</t>
  </si>
  <si>
    <t>Kiadás oka: A Vb a vizsgálat során megállapította, hogy az eseményben részes mozdonyvezető az MVÁ Kft. mozdonyvezetői képzésének keretén belül feltételhiányosan vett részt a vonalismereti vizsgán, így a baleset helyén vasúti jármű vezetésére feljogosító tanúsítványát jogszabályellenesen szerezte. Ezért a KBSZ az alábbi biztonsági ajánlást adja ki:
Szöveg: A KBSZ javasolja az ÉKM Vasúti Hatósági Főosztálynak, hogy hatósági jogkörében eljárva ellenőrizze, hogy az MVÁ Kft. a mozdonyvezető képzésein részt vevő mozdonyvezető gyakornokokat a jogszabályban előírt feltételek teljesülése esetén engedi-e vonalismereti vizsgára. Egyúttal a KBSZ javasolja az ÉKM Vasúti Hatósági Főosztálynak az ajánlás megvalósításának kiterjesztését azon vállalkozó vasúttársaságokra is, akik jelen vizsgálat fókuszán kívül estek.
Várt hatás: Az ajánlás elfogadása és végrehajtása esetén a vonalismereti vizsgák jogtalan megszerzésével kapcsolatos jogszabálysértések visszaszorulhatnak, amivel az országos pályahálózaton a vasúti közlekedés biztonsága szavatolható.</t>
  </si>
  <si>
    <t>BA2020-0945-5-01</t>
  </si>
  <si>
    <t>Kiadás oka: A Vb a vizsgálat során megállapította, hogy a fordavonatokban közlekedő kocsik esetében nagy az esélye annak, hogy az előírások ellenére az ütközőtányérok kenetlensége hosszú ideig rejtve marad, ezzel a kisiklás veszélye megnő.
Szöveg: A KBSZ javasolja a Innovációs és Technológiai Minisztérium Vasúti Hatósági Főosztályának, hogy a rendszeres ellenőrzései során fordítson figyelmet a fordaszerelvényben közlekedő kocsik ütközőinek kenőanyaggal való megfelelő ellátottságára.
Várt hatás: Az ajánlás elfogadása és végrehajtása esetén elérhető, hogy a kocsik üzembentartói, üzemeltetői, használói közösen megelőzzék a kenetlen ütközőkkel történő, balesetveszélyes közlekedést.</t>
  </si>
  <si>
    <t>BA2021-0616-5-01</t>
  </si>
  <si>
    <t>Kiadás oka: A Vb a vizsgálat során megállapította, hogy a 11 számú vasútvonalon a sínkenő berendezések és a 418 sorozatú mozdonyokon a nyomkarimakenő berendezések hatása nem érvényesült, ezért az ívek kritikus pontjaihoz és a nyomkarimákra nem került megfelelő mennyiségű kenőanyag, a száraz súrlódás miatt felérdesedtek. Ennek következtében a járművek nyomkarimái és a külső sínszálak közötti súrlódási tényező megnövekedett, ezek következtében a kerekek felmásztak a sínre.
Szöveg: A KBSZ javasolja a 11. számú vasútvonal jelenleg alkalmazott sínkenési rendszerének és a 418 sorozatú mozdonyok nyomkarimakenési technológiájának együttes működésének és az alkalmazott szerelvény- és mozdonyfordulók hatásainak felülvizsgálatát, szükség esetén műszaki és szervezési intézkedések megtételét.
Várt hatás: Az ajánlás elfogadása és végrehajtása esetén az érintett vasútvonalon a pálya és jármű együttműködése során csökkenthető a nagy súrlódást okozó elhasználódás és ezzel a kisiklás kockázata.</t>
  </si>
  <si>
    <t>70/2022-1: traffic agents assertive skills and authority</t>
  </si>
  <si>
    <t>16/3/2023</t>
  </si>
  <si>
    <t>Encouraging the assertive skills of traffic agents to grant their traffic management competence as well as to reinforce their authority to avoid any possible interference by other railway staff.
Addressee: NSA Spain
Final implementer: Adif (IM)</t>
  </si>
  <si>
    <t>70/2022-2: signallers monitoring</t>
  </si>
  <si>
    <t>Strengthening the vigilance of traffic-related activities to ensure sufficient theoretical and practical training of signallers, before and during the assignment of tasks.
Addressee: NSA Spain
Final implementer: Adif (IM)</t>
  </si>
  <si>
    <t>70/2022-3: regulation of communications between local signallers and RU management centres</t>
  </si>
  <si>
    <t>Establishing a channel and procedure for communications between the local signallers and the railways undertakings management centres, to avoid interferences in the coordination and supervision of the information required by signallers for the performance of their duties.
Addressee: NSA Spain
Final implementer: Adif (IM) and RUs</t>
  </si>
  <si>
    <t>70/2022-4: correct transmission of information between drivers and local signallers</t>
  </si>
  <si>
    <t>Instructing the train drivers on the importance of correct transmission of information between them and the signallers as well as the formalisation of the communications to guarantee safety.
Addressee: NSA Spain
Final implementer: Renfe Viajeros (RU)</t>
  </si>
  <si>
    <t>no.419-1</t>
  </si>
  <si>
    <t xml:space="preserve">Regarding the dangers resulting following the exceeding of the tolerances specific to the track gauge within the ash pits, the railway county Cluj ran, after the accident, an identification and assessment of the risk factors associated to those dangers. Following the risk analysis, the measure proposed was the traffic discontinuance on the ash pits or their liquidation. Because the railway county Cluj took the necessary steps in that direction, the investigation commission considers that it is no more timely to issue a safety recommendation for it.
With reference to the wagons load, analysing the documents submitted by the railway undertaking OTF SC CARGO TRANS VAGON SA, the investigation commission found that it did not identify the danger represented by the train routing with one or more wagons in which the load did not comply with the provisions for loading from the Loading Provisions.
Considering the findings and conclusions of the investigation commission above mentioned, for the improvement of railway safety and prevention of similar events, AGIFER issues the next safety recommendation:
Safety recommendation no.419-1
Romanian Railway Safety Authority - ASFR shall ask SC CARGO TRANS VAGON SA to assess the danger represented by the train routing with one or more wagons in which the load does not comply with the Loading Provisions.
</t>
  </si>
  <si>
    <t>no. 421-1</t>
  </si>
  <si>
    <t xml:space="preserve">Following the investigation of the accident, the result was that it happened because at the wagon no.31842780080-6, the 4th one of the freight train no.66708, the braking installation got out of order.
Preamble of the safety recommendation no.421/1
During the investigation, the result was that, OTF DBCR did not identify and did not assess the risks associated to the danger represented by the failure at the braking installation of a wagon.
Considering the findings and conclusions of the investigation commission above mentioned, for the improvement of the railway safety and prevention of similar events, AGIFER considers timely to address Romanian Railway Safety Authority - ASFR, the next safety recommendation:
Safety recommendation no.421/1
Romanian Railway Safety Authority - ASFR shall ask the railway undertaking SC Deutsche Bahn Cargo Romania SRL to assess the danger represented by the failure at the braking installation of a wagon, establishing effective measures for keeping under control the risks generated by it.
</t>
  </si>
  <si>
    <t>2023002-01</t>
  </si>
  <si>
    <t>IÉ-IM and IÉ-RU should consider developing a system, whereby Signalmen must provide a Unique Possession Authority Number, or similar, when authorising T3 Possessions to the PICOP; this number or safeguard should be provided to all staff prior to entering a T3 Possession</t>
  </si>
  <si>
    <t>2023002-02</t>
  </si>
  <si>
    <t>IÉ-IM should review the current system of supervising and monitoring T3 Possessions, in terms of possession arrangements (e.g. Authority Number) and safety documentation (e.g. method statements); this review should identify improvements in terms of managing T3 Possessions</t>
  </si>
  <si>
    <t>2023002-03</t>
  </si>
  <si>
    <t>IÉ-IM should promote a positive culture between staff, at different grades, to ensure ground level staff (including contractors) feel confident to challenge more senior staff in terms of safety. This can be achieved through staff briefing days, safety campaigns and development of a means for staff to provide feedback on supervision activities</t>
  </si>
  <si>
    <t>2023002-04</t>
  </si>
  <si>
    <t>2023002-04 – IÉ-IM should introduce processes to ensure that information submitted to the RAIU is correct and submitted within the requested timeframes</t>
  </si>
  <si>
    <t>2023002-05</t>
  </si>
  <si>
    <t>2023002-05 – The IÉ CCE Department (Engineering Department Division 3) should
ensure the requirements of CCE-TMS-422 (2022) are met in full.</t>
  </si>
  <si>
    <t xml:space="preserve">2023002-06 </t>
  </si>
  <si>
    <t>2023002-06 – IÉ-IM should conduct a full review on the reporting of accidents by IÉ-IM staff and contractors, consideration should be given to:
• Reviewing CCE-SMS-007 and CCE-SMS-005 to identify any areas where
improvements can be made related to the reporting of safety related occurrences;
where areas of concern are identified these should be addressed;
• Enhance and promote its confidential reporting system to ensure all staff (with a
particular emphasis on contracted staff) can report issues related to safety and welfare;
• Promote a positive culture, associated with the reporting of occurrences, in an effort to eliminate on-site authority gradients whereby staff cannot challenge supervisors.</t>
  </si>
  <si>
    <t>2023002-07</t>
  </si>
  <si>
    <t>2023002-07 – The CCE Department review and update CCE-SMS-001 and CCE-SMS-
008 with a view to addressing the monitoring and supervision of works, in terms of quality of works that affects track safety, which are carried out under internal method statements (and contractor) method statements.</t>
  </si>
  <si>
    <t xml:space="preserve">2023001-01 </t>
  </si>
  <si>
    <t>2023001-01 – The Head of Health &amp; Safety Iarnród Éireann Railway Undertaking (IÉ-RU) should arrange for the development and issue of a guidance document for drivers outlining the understanding of the ATP equipment and the driving technique required. New training, monitoring and assessment material should be developed from this guidance</t>
  </si>
  <si>
    <t>2023001-02</t>
  </si>
  <si>
    <t>2023001-02 – The Head of Health &amp; Safety IÉ-RU should arrange for the development of a briefing for DTEs on analysis of driving trends by use of the OTDR.</t>
  </si>
  <si>
    <t>2023001-03</t>
  </si>
  <si>
    <t xml:space="preserve">2023001-03 – IÉ-RU Chief Mechanical Engineer Department (CME) should upgrade the OTDRs on the 8500 Electrical Multiple Unit (EMU) fleet to the most up-to-date version, to ensure that digital signals are recorded for ATP penalty brake applications. </t>
  </si>
  <si>
    <t>2023001-04</t>
  </si>
  <si>
    <t>2023001-04 – IÉ-RU CME should consider retrofitting all EMU fleets with a Remote Diagnostic System, whereby a rule can be introduced so that DTEs are immediately notified of ATP penalty brake applications</t>
  </si>
  <si>
    <t>2023001-05</t>
  </si>
  <si>
    <t>2023001-05 – Iarnród Éireann Infrastructure Manager (IÉ-IM) Chief Civil Engineer (CCE) should consider, based on a risk-based approach, the introduction of Traction Gel Applicators (TGAs) at more locations</t>
  </si>
  <si>
    <t>2023001-06</t>
  </si>
  <si>
    <t>2023001-06 – IÉ-IM Signalling, Electrical and Telecommunications (SET) should undertake a review of I-SIG-2145, Calculation of Signal Spacing Distance, to consider if the risk approaches identified in the standard are effective in relation to the calculation of the spacing of signal distances, in particular, in relation to sharp speed decreases on the approach to signals and consideration should be given to incorrect driving techniques (i.e. driving into the bonds). A review of the use of derogations should also be undertaken.</t>
  </si>
  <si>
    <t>2023001-07</t>
  </si>
  <si>
    <t>2023001-07 – IÉ-IM SET should put systems in place to ensure that the train simulator staff are provided with updated signal layout schematics as and when required e.g. altered signal positions.</t>
  </si>
  <si>
    <t>2023001-08</t>
  </si>
  <si>
    <t>2023001-08 – IÉ-RU CME should update its commissioning documents, to ensure that maintenance tasks commence after installation.</t>
  </si>
  <si>
    <t>2023001-09</t>
  </si>
  <si>
    <t>2023001-09 – IÉ-RU CME should review the 8500 EMU sanding improvement plan (2016) against current standards with a view to updating and implementing the sanding improvements to current standards.</t>
  </si>
  <si>
    <t>2023001-10</t>
  </si>
  <si>
    <t>2023001-10 – IÉ-RU Ops should update the OTDR Download Assessment Form for DART drivers with only tasks pertinent to DART drivers; allowing DTEs to carry out comprehensive assessments of the DART drivers’ driving techniques.</t>
  </si>
  <si>
    <t>2023001-11</t>
  </si>
  <si>
    <t>2023001-11 – IÉ-RU Ops should update its competency assessment processes to ensure that the assessments carried out, are the most beneficial, in terms of identifying driver discrepancies.</t>
  </si>
  <si>
    <t>2023001-12</t>
  </si>
  <si>
    <t>2023001-12 – IÉ-RU Ops should brief all drivers on the importance of making an open call in an emergency situation rather that calling the Signalmen direct.</t>
  </si>
  <si>
    <t>no.420-1</t>
  </si>
  <si>
    <t>31/3/2023</t>
  </si>
  <si>
    <t xml:space="preserve">Preamble of the safety recommendation no.420/1
      During the investigation there was found that the identification and assessment of the risks associated to the own railway operations, done by the entity in charge with the maintenance of the track superstructure, regarding the risk „derailment of railway vehicles”, was unsuitable. Therefore, the risk could not be controlled. 
      Considering it, as well as the fact that previously the accident, on the track section Drăgotești-Turceni, because keeping within the track the improper wooden sleepers, there were many accidents/derailments, for the improvement of railway safety and prevention of similar events, AGIFER considers timely to address Romanian Railway Safety Authority – ASFR the next safety recommendation:
Safety recommendation no.420/1
       Romanian Railway Safety Authority – ASFR shall take care that CNCF „CFR” SA, like administrator of public railway infrastructure, re-assesses the risk „Derailment of railway vehicles” generated by „Keeping within the track improper sleepers” and it establishes clear measures for the management of the risks associated to this danger.
</t>
  </si>
  <si>
    <t>no.422-1</t>
  </si>
  <si>
    <t>3/4/2023</t>
  </si>
  <si>
    <t xml:space="preserve">Preamble                                                                                            The accident happened following the identified factors that led to the operation of the switch under the train, following the non-performance of duties established by the working instructions and sheets of the Technical Plan for Operation, respectively: not-established stop of the train, lack of checking on site of its parking and operation of switch no.5 by the movements inspector without controlling on site the running route wanted to be switched, in conditions of failure. 
   During the investigation, there was found that both the factor causing the accident and those increasing the probability of occurrence were deviations from the practice codes (regarding the traffic in failure condition) and for keeping under control the operation and organization risks associated to the railway operations in relation to SMS application by the infrastructure manager, that is obligation given by granting the Safety Authorization. 
 The investigation commission found that the railway undertaking – GFR, together with CNCF, identified the problems appeared at the installations of the railway station Nazarcea. GFR did not manage effectively the risks generated by the non-performance of the installation’s maintenance, for their fixing in accordance with the instruction deadlines, so be able to take measures for their monitoring and decreasing. 
Safety recommendation no.422-1
Romanian Railway Safety Authority-ASFR shall take care that SC Grup Feroviar Român SA fills in the list ”Risks assessment – provisions of R EU 2018/762; R EU 402/2013; R EU 1078/2012” associated to the danger generated by keeping the interlocking system installations (SCB) out of order for a long time and it establishes monitoring measures for keeping those risks under control.
</t>
  </si>
  <si>
    <t>R1 - priority between road users at the level crossing</t>
  </si>
  <si>
    <t>Regulate and signal in warning and position the rules of priority between road users.
Study, in association with SNCF Réseau :
1) increasing the width of the road in front of the level crossing ;
2) increasing the radii of the last road bends approaching, in order to  reduce the angle at which the road cross to improve visibility on the railway line.</t>
  </si>
  <si>
    <t>R2 - visibility of the level crossing equipments</t>
  </si>
  <si>
    <t>In the direction of approach to the level crossing from the west, clear the visibility of the equipment by cutting down the vegetation in the vicinity of the last bend and then ensuring regular maintenance of the shoulders.</t>
  </si>
  <si>
    <t>R3 - visibility of the level crossing equipments</t>
  </si>
  <si>
    <t>In the direction of approach to the level crossing from the east, taking into account the work carried out since the accident or planned, change the orientation of the right-hand red flashing light so that it can be seen until this one.</t>
  </si>
  <si>
    <t>R4 - ground-train radio tuning</t>
  </si>
  <si>
    <t>Make aware the drivers to the priority that must be given, when conditions permit, to initialize the ground-train radio and more generally to carry out the actions which require them to take their eyes off the track and the catenary, outside geographical areas with level crossings, or any other notorious risk factor.
When designing or reconditioning equipment, take into account the objective of reducing the duration of actions during which the driver is no longer able to observe the track and the catenary.</t>
  </si>
  <si>
    <t>AIN/06-SR-01/2023</t>
  </si>
  <si>
    <t>All towing railway vehicles that operate on the railway network of the Republic of Croatia should be equipped with devices with a digital record of movement speed during the first modernization or regular repair, and no later than July 01, 2027.</t>
  </si>
  <si>
    <t>AIN/06-SR-02/2023</t>
  </si>
  <si>
    <t>All towing railway vehicles that participate in the transport of passengers and operate on the railway network of the Republic of Croatia should be equipped with video train recording devices during the first modernization or regular repair, and no later than July 01, 2027.</t>
  </si>
  <si>
    <t>AIN/06-SR-03/2023</t>
  </si>
  <si>
    <t>11/4/2023</t>
  </si>
  <si>
    <t>The involved railway undertaking, HŽPP, should include in the content for the professional training of train drivers more attention to the danger of train passing signals that prohibit further driving, as well as more attention to the mandatory application of the provisions of the Regulation on signals, signal signs and signal markings in railway traffic (Official Gazette 94/15) and the Regulation on the manner and conditions for safe operation and management of railway traffic (Official Gazette 107/16).</t>
  </si>
  <si>
    <t>AIN/06-SR-04/2023</t>
  </si>
  <si>
    <t>The involved railway undertaking, HŽPP, should revise its own safety management system, in terms of train drivers work procedures.</t>
  </si>
  <si>
    <t>AIN/06-SR-05/2023</t>
  </si>
  <si>
    <t>Railway undertakings in the territory of the Republic of Croatia are obliged to harmonize the time of the video train recording devices and devices with a digital record of movement speed of movement on a regular basis once a month.</t>
  </si>
  <si>
    <t>AIN/06-SR-06/2023</t>
  </si>
  <si>
    <t>Infrastructure manager, HŽI, is obliged to carry out the harmonization of time on devices that record the data once a month.</t>
  </si>
  <si>
    <t>AIN/06-SR-07/2023</t>
  </si>
  <si>
    <t>On all towing railway vehicles operating on the territory of the Croatian railway area in cases of driving by order when crossing the balise, the installed auto-stop equipment on the vehicles should limit the driving speed to Vmax= 40 km/h, and driving to the next spatial signal is limited to Vmax=30 km/h. In case that the currently installed auto-stop equipment cannot meet the aforementioned requirements, the deadline is July 1, 2025 at the latest for the vehicles to be adapted to the required requirements.</t>
  </si>
  <si>
    <t>AIN/06-SR-08/2023</t>
  </si>
  <si>
    <t>Infrastructure manager, HŽI, should improve the supervision of SS devices in accordance with the provisions of the Regulation of the maintenance of signal-security devices (HŽI-400) and the Instructions of the procedure of executive service workers with signal-security and telecommunication devices (HŽI-432).</t>
  </si>
  <si>
    <t>no.424-1</t>
  </si>
  <si>
    <t xml:space="preserve">The railway accident happened on the 13th April 2022, when the train left the railway station Drăgotești, from the deflecting section 3, between the exit signal and the entry signal situated against the running direction, of the railway station Drăgotești, from the railway station Borăscu, on the direct line II, 40+830, was generated by the improper technical condition of the railway infrastructure.
During the investigation, there was found that the improper technical condition of the track was generated by the unsuitable maintenance, that was not carried out in accordance with the provisions of the practice codes (reference documents associated to the procedures of SMS, got by the infrastructure administrator).
Applying the own procedures of the safety management system, completely, as well as the provisions of the practice codes, part of SMS, the infrastructure administrator should have been able to keep the technical parameters of the track geometry between the limits of tolerances imposed by railway safety and, in a such way, it should have been able to avoid the accident occurrence.
Preamble of recommendation no.424/1
The investigation commission found that the infrastructure administrator did not assess the risks generated by the non-provision of the line sections with an enough number of employees for the performance of proper maintenance of the line and keeping of track geometry between the tolerances accepted.
Considering the findings and conclusions of the investigation commission above mentioned, for the prevention of accidents that could happen in conditions similar to those presented in this report, AGIFER issues the next safety recommendation:
Recommendation no.424/1 
Romanian Railway Safety Authority – ASFR shall take care that CNCF „CFR” SA re-assesses the risks generated by the non-provision of the line sections with an enough number of employees for the performance of proper maintenance of the line and keeping of track geometry between the tolerances accepted and it establishes measures for keeping these risks under control.  
</t>
  </si>
  <si>
    <t>Addressed to the Czech National Safety Authority (NSA):
• as a part of its activities as a national safety authority to take measure which ensure at:       
◦ IM Správa železnic, státní organizace:
repair, addition and specification part of internal regulation „Provision diagnostic permanenet way and railway substructure by measuring devices with continual record” for calculation of synthetic signal of change in cross level;                                                                                         
◦ RU ORLEN Unipetrol Doprava s.r.o. within the framework of contractual cooperation with the logistics company M+L LOGISTIK, s.r.o. and consignor ORLEN Unipetrol RPA s.r.o.:
addition internal regulation of consignor RPA „Working procedure No. 1B – Working procedure for storing, loading and restocking” about technological procedures from Loading directive UIC. part 3.3 „Arrangement of loads” including graphic illustration of ordering loads in container, to it was not to unevenly arrangement and exceeding allowed limit values.</t>
  </si>
  <si>
    <t>48/2022-1: brake tests for short trains and single locomotives</t>
  </si>
  <si>
    <t>20/4/2023</t>
  </si>
  <si>
    <t>Promoting the inclusion of peculiarities of brake tests on single locomotives and short trains within the RU´s SMS.
Addressee: NSA Spain
Final implementer: NSA Spain</t>
  </si>
  <si>
    <t>48/2022-2: brake adjustment and checking after wheel reprofiling</t>
  </si>
  <si>
    <t>Promoting entities in charge of maintenance (ECMs) and entities certified for the execution of rolling stock maintenance to include in their management systems the adjustment and checking of the braking system after wheel reprofiling, especially those where the brake pads act on the tread and in those with manual adjustment available.
Addressee: NSA Spain
Final implementer: NSA Spain</t>
  </si>
  <si>
    <t xml:space="preserve">DK-2023 R 1 af d. 27-04-2023. </t>
  </si>
  <si>
    <t>27/4/2023</t>
  </si>
  <si>
    <t>AIB DK recommends that the Danish Transport Agency (NSA) ensure that Banedanmark (IM) assesses whether in the description/planning of infrastructure works in general, consideration should be given to the need for directions for access roads and possible prohibitions against traffic in special tracks/areas where there may be increased risk for accidents, including collisions with persons.</t>
  </si>
  <si>
    <t>Recommendation no. IT-10167-1</t>
  </si>
  <si>
    <t>17/3/2023</t>
  </si>
  <si>
    <t xml:space="preserve">It is recommended that the National Agency for Railway, Road Infrastructure and Motorway Safety ensure that railway undertakings equipped with traditionally coupled rolling stock define in detail, in their operating manuals and/or operating regulations the procedures to be adopted and the type of verbal agreements and/or hand signals that must take place between the operator on the ground (whether a Train Preparer or a Driver) and the Driver in the driver's cab, in order to ensure adequate coordination between them during coupling operations between a locomotive and other stationary rolling stock. </t>
  </si>
  <si>
    <t>Recommendation no. IT-10167-2</t>
  </si>
  <si>
    <t>It is recommended that the National Agency for Railway, Road Infrastructure and Motorway Safety ensure that the railway undertaking Mercitalia Rail updates the Driver's trade manual (MMC), completing the transposition of the provisions of the agreement relating to Train Ancillary Services (PAT) concluded on 29.12.2012, specifying the situations in which the Driver is authorised to carry out coupling and uncoupling operations, instead of the Multi-functional Train Technician (TPT).</t>
  </si>
  <si>
    <t>Recommendation no. IT-10167-3</t>
  </si>
  <si>
    <t>It is recommended that the National Agency for Railway, Road Infrastructure and Motorway Safety consider the advisability of requesting the railway undertaking Mercitalia Rail to issue an internal provision clearly stating that the Driver cannot carry out coupling and uncoupling operations on his own initiative, which have not been authorised in advance by the relevant Territorial Operations Centre.</t>
  </si>
  <si>
    <t>Recommendation no. IT-10167-4</t>
  </si>
  <si>
    <t>It is recommended that the National Agency for Railway, Road Infrastructure and Motorway Safety ensure that the railway undertaking Mercitalia Rail verifies the appropriateness of the training and skills maintenance activities addressed to Drivers, specifically with regard to shunting movements linked to coupling and uncoupling operations, in order to avoid the risk that the correct operating methods for carrying them out are perceived as being of little importance by the latter or of exclusive importance to Multi-functional Train Technician.</t>
  </si>
  <si>
    <t>Recommendation no. IT-10167-5</t>
  </si>
  <si>
    <t>It is recommended that the National Agency for Railway, Road Infrastructure and Motorway Safety ensure that railway undertakings provide for periodic sample monitoring activities of the coupling operations of rolling stock in motion with other stationary rolling stock, aimed at verifying that they are carried out under safe conditions (first and foremost with the operator in charge always waiting for the coupling to take place outside the tracks and lowering himself under the buffers to enter the middle of the rolling stock, only when the whole complex is stationary).</t>
  </si>
  <si>
    <t>Recommendation no. IT-10167-6</t>
  </si>
  <si>
    <t>It is recommended that the National Agency for Railway, Road Infrastructure and Motorway Safety ensure that railway undertakings can equip rolling stock with forward-facing cameras that allow the Driver to see the area immediately in front of the buffers ("blind spot"), which is not visible from the driver's station, during coupling operations1. 
1 It should be noted that this recommendation is in line with Recommendation No. IT-10072-05 already issued by DiGIFeMa within the framework of the investigation report on the Erroneous Routing of Part of Train 2231 of Trenord, at PM Bivio Adda, Milano-Bergamo Line, of 21/03/2021 (Erail Identifier: It-10072). Although on that occasion the use of the same video cameras was proposed for different purposes, they appear compatible with those highlighted in the present investigation.</t>
  </si>
  <si>
    <t>IT-10073-01</t>
  </si>
  <si>
    <t>9/3/2023</t>
  </si>
  <si>
    <t xml:space="preserve">It is recommended that the Nation National Agency for Railway, Road Infrastructure and Motorway Safety ensure that the Railway Infrastructure Manager:
a) makes available for each traction power substation (TPSS) what is necessary, including the Safety Recommendations concerning the execution of field tests, in order to allow the technicians in charge to carry out a correct maintenance of the systems; in particular, makes available the reports of periodic verification of the calibrations with current injection, necessary to check the efficiency of the measurement and protection circuits that determine the tripping of the protections for exceeding the calibration currents; 
b) carry out a punctual verification of the conformity of the calibration parameters with those of the approved design, in particular those relating to the protections for "far" short circuit;
c) carry out a punctual verification on the procedures adopted in case of operation of ET power supply systems in the permitted "degraded" situations;
d) in order to ensure adequate electrical protection against faults, also carry out a check on the efficiency of the line test both for traction power substations (TPSS) with "Siemens" power supplies and for TPSS without them.
</t>
  </si>
  <si>
    <t>IT-10073-02</t>
  </si>
  <si>
    <t xml:space="preserve">It is recommended that the National Agency for Railway, Road Infrastructure and Motorway Safety ensure that the Railway Undertaking:
a) implements a constant verification of the maintenance status of the rolling stock;
b) performs a check on the correct execution and traceability of the maintenance actions carried out in compliance with the approved maintenance plan;
c) makes available the calibration certificate of the override circuit breaker;
d) verify the suitability of the on-board communication system, in particular that relating to communications from train crew to passengers for emergency management in the event of an incident involving evacuation from the train even in the absence of ET power supply.
</t>
  </si>
  <si>
    <t>IT-10073-03</t>
  </si>
  <si>
    <t>It is recommended that the National Agency for Railway, Road Infrastructure and Motorway Safety ensure that the Railway Infrastructure Manager:
implement an efficient interlocking system between the traction power substations (TPSS) that, in particular, in the event of the opening of an IR  that feeds a section, also drags the corresponding IR that feeds the same section into opening.</t>
  </si>
  <si>
    <t>IT-10073-04</t>
  </si>
  <si>
    <t>It is recommended that the National Agency for Railway, Road Infrastructure and Motorway Safety ensure that the Railway Undertaking/Railway Infrastructure Manager:
a. provide a programme of specific training/education/maintenance of skills for staff identified with a task relating to the safe operation of the railway also in emergency conditions;
b. provide such staff with what is necessary to perform their assigned tasks (in particular, for the proper maintenance management of the installations, specific operating procedures and adequate instrumentation).</t>
  </si>
  <si>
    <t>IT-10073-05</t>
  </si>
  <si>
    <t>It is recommended that the National Agency for Railway, Road Infrastructure and Motorway Safety ensure that the Railway Infrastructure Manager:
foresees, in the maintenance plan, adequate procedures for the periodic verification of the positioning of the contact line and other live parts in order to guarantee the respect of the electrical fixed parts as well as the respect of the safety distances of continuous and discontinuous fixed obstacles.</t>
  </si>
  <si>
    <t>IT-10073-06</t>
  </si>
  <si>
    <t>It is recommended that the National Agency for Railway, Road Infrastructure and Motorway Safety ensure that the Railway Infrastructure Manager:
carry out risk analysis activities in the event of an accident involving the evacuation of railway staff and passengers from the train in order to adopt appropriate mitigating measures, possibly also providing for the construction along the line of suitable footpaths and gathering spots (safe place).</t>
  </si>
  <si>
    <t>IT-10073-07</t>
  </si>
  <si>
    <t>It is recommended that the National Agency for Railway, Road Infrastructure and Motorway Safety ensure that the Railway Undertaking:
if not yet carried out, due to lack of or expired Revision, proceed to a verification of the state of functionality and efficiency of the override circuit breakers of the entire CAF MA300 fleet.</t>
  </si>
  <si>
    <t>IT-10073-08</t>
  </si>
  <si>
    <t xml:space="preserve">It is recommended that the National Agency for Railway, Road Infrastructure and Motorway Safety ensure that the Railway Undertaking:
take all the most appropriate initiatives to comply with the maintenance plan of the CAF MA300 rolling stock provided by the manufacturer while guaranteeing compliance with the "compensatory checks". </t>
  </si>
  <si>
    <t>Familiarize the interested personnel with the contents of the report</t>
  </si>
  <si>
    <t>13/4/2023</t>
  </si>
  <si>
    <t>Recommendation 1, proposes that SE NRIC and "BDZ-Passenger Services" EOOD familiarize the interested personnel with the contents of the report</t>
  </si>
  <si>
    <t>BDZ PS EOOD to restore the performance of monthly talks and trainings</t>
  </si>
  <si>
    <t>Recommendation 2, proposes that BDZ PS EOOD restores the performance of monthly talks and trainings for the operation and repair personnel in the locomotive depots</t>
  </si>
  <si>
    <t xml:space="preserve">BDZ PS EOOD to replace all the elastic joints </t>
  </si>
  <si>
    <t xml:space="preserve"> Recommendation 3, proposes that BDZ PS EOOD replace all the elastic joints in the cooling circuits of the transformer oil of locomotives series 44 and 45 with metal elastic joints</t>
  </si>
  <si>
    <t>BDZ PS EOOD  to carry out checks on the serviceability of the baroscopes</t>
  </si>
  <si>
    <t>Recommendation 4, proposes that BDZ PS EOOD within TI to carry out checks on the serviceability of the baroscopes to control the operation of the engine-pumps, as well as the condition of their starting capacitors</t>
  </si>
  <si>
    <t>BDZ PS EOOD to design, develop and install a new FEI</t>
  </si>
  <si>
    <t>Recommendation 5, proposes that BDZ PS EOOD design, develop and install a new FEI on the locomotive series 44 and 45</t>
  </si>
  <si>
    <t>BDZ PS EOOD to create an organization for amending and supplementing the departmental regulation</t>
  </si>
  <si>
    <t>Recommendation 6, proposes that BDZ PS EOOD create an organization for amending and supplementing the departmental regulation PLS 100/2018 for the restoration of capital repairs and the inter-repair runs of locomotive series 43, 44 and 45</t>
  </si>
  <si>
    <t xml:space="preserve">BDZ PS EOOD to take actions to limit the access of the locomotive crew to the apparatus and electrical hard connections </t>
  </si>
  <si>
    <t>Recommendation 7, proposes that BDZ PS EOOD take actions to limit the access of the locomotive crew to the apparatus and electrical hard connections for control in apparatus cabinets M1 and M2 in the first and second cabins of locomotives series 44 and 45</t>
  </si>
  <si>
    <t xml:space="preserve">BDZ PS EOOD to install video recorders </t>
  </si>
  <si>
    <t>Recommendation 8, proposes that BDZ PS EOOD install video recorders on the two front walls of the locomotives with visibility to the railway infrastructure and in the two command cabins of the locomotives</t>
  </si>
  <si>
    <t>Addressed to the Czech National Safety Authority (NSA):
• to take own measure to ensure addition of the level crossing No. P7414 which is secure by flashing light level crossing warning system to a level crossing systém equipped with barriers which with regard to point of view of optical and manual barrier will reduce probability of the driver’s entrance at the level crossing when he does not respond to light signalization in the warning state.</t>
  </si>
  <si>
    <t>Addressed to the Czech National Safety Authority (NSA):
• it is recommended to adopt own measure which ensure safeguarding of the level crossing No. P6309 by level crossing safety equipment with warning lights and barriers.</t>
  </si>
  <si>
    <t xml:space="preserve">Addressed to the road administration office of Tábor Municipal Office and Malšice town:
• to install the traffic device Z 4a Directional board with slanted lanes to left, supplemented with delta blocks for physicall moving the crossing roads point to a greater distance from the level crossing No. P6309, thereby creating the possibility of a view of traffic participants on the purpose-built road to the regional railway and to right in the direction of their driving to the level crossing;
• the possible addition of other traffic sign in front of the level crossing No. P6309 leading to increase safety and thereby reduce the possibility of accidents at the level crossing.
</t>
  </si>
  <si>
    <t>46/2022-1: "return to work" procedures</t>
  </si>
  <si>
    <t>7/6/2023</t>
  </si>
  <si>
    <t>Implementing return to work procedures for drivers after long off-work periods. Taking into consideration potential additional training as well as checking the SMS regarding infrastructure refreshers.
Addressee: NSA Spain
Final implementer: RUs</t>
  </si>
  <si>
    <t>46/2022-2: new tool for drivers' psychological examinations</t>
  </si>
  <si>
    <t>Completion of a new tool for drivers´ psychological examinations; checking the content and criteria of the assessments and tests for access and refresher examinations. Checking the additional examinations after long off-work periods according to the off-sick reasons, so unfit circumstances or situations for the driving operations can be detected. Systematic content updates using feedback from the results of the examinations would be incorporated whilst granting the enforcement of the regulations for the protection of personal data processing.
Addressee: NSA Spain
Final implementer: NSA Spain &amp; Certified Medical Centres</t>
  </si>
  <si>
    <t>46/2022-3: supervision and day-to-day mentoring of drivers</t>
  </si>
  <si>
    <t>Promoting supervision and mentoring of drivers in their day-to-day tasks. Establishing coordination, training, and continuous mentoring procedures to enhance communication and a trust environment.
Furthermore, assessing the availability of the appropriate skilled and experienced staff to supervise and mentor novice drivers at their training halls.
Addressee: NSA Spain
Final implementer: Renfe Viajeros (RU)</t>
  </si>
  <si>
    <t>46/2022-4: reinforcement of risk appreciation and awareness about fitness to drive</t>
  </si>
  <si>
    <t>Reinforcing access and refreshers theoretical and practical training to enhance risk appreciation during critical safety operations.
Raise awareness within the staff about their reporting obligations regarding their fitness to drive putting safety first, according to the Spanish Regulation “DA5ª Orden FOM/2872/2010”.
Addressee: NSA Spain
Final implementer: Renfe Viajeros (RU) &amp; other RUs</t>
  </si>
  <si>
    <t>46/2022-5: checking communications when there are constraints</t>
  </si>
  <si>
    <t>Checking “Ready-to-depart” communication procedures when verbal communications are operatively constrained, aiming to avoid non-authorized movements.
Addressee: NSA Spain
Final implementer: Renfe Viajeros (RU) &amp; Adif (IM)</t>
  </si>
  <si>
    <t>46/2022-6: ensure that drivers comprehend service iformation in advance</t>
  </si>
  <si>
    <t>Enforcing the NSA-ES´s Technical Recommendation “RT1/2020” as well as guaranteeing that drivers allow enough time in advance prior to the services to comprehend the essential service information so they can successfully fulfill their driving tasks. 
Establishing surveillance measures to assess the comprehension of the essential service information and if needed providing support to solve any complications that may arise.
Addressee: NSA Spain
Final implementer: RUs</t>
  </si>
  <si>
    <t>108/2022-1: general application of the prescriptions for the variation of routes</t>
  </si>
  <si>
    <t>Extend application of the prescriptions established in the Railway Traffic Regulations for the variation of routes in the event of abnormal interlockings to a general application.
Addressee: NSA Spain
Final implementer: NSA Spain</t>
  </si>
  <si>
    <t>108/2022-2: training on checking train position next to signals</t>
  </si>
  <si>
    <t>Establish regulatory conditions and include in training actions, both for driving staff and signal staff, on the existence of an area around the signals, such that a stop on the signal makes it necessary to check the indication again before resuming the journey.
Addressee: NSA Spain
Final implementer: Adif (IM) and RUs</t>
  </si>
  <si>
    <t>AIN/06-SR-09/2023</t>
  </si>
  <si>
    <t>5/6/2023</t>
  </si>
  <si>
    <t>The infrastructure manager, HŽI, should improve its own safety management system by introducing and monitoring safety measures for the safe performance of work of track workers on an open track, and identify and assess risks resulting from human and organizational factors (e.g. reduced attention and awareness when performing work tasks, workload, job description,...).</t>
  </si>
  <si>
    <t>AIN/06-SR-10/2023</t>
  </si>
  <si>
    <t xml:space="preserve">The infrastructure manager, HŽI, should include in the additional content of regular training for track workers greater attention to analyzing all the risks of working on an open track. </t>
  </si>
  <si>
    <t>no.428-1</t>
  </si>
  <si>
    <t>9/6/2023</t>
  </si>
  <si>
    <t xml:space="preserve">The accident happened on 13th June 2022, in the railway county Bucureşti, track section Bucureşti - Videle (electrified double-track line), in the railway station Zăvestreni, in the running of freight train no.66306, had like cause the improper fastening of the screws for fixing the cover of the loading dome from the wagon no.82537942512-7, it allowing the release of gas vapors in that area.
During the investigation, there was found at the cover of the loading dome that the screw for fixing and sealing, on the right side, in the running direction, fell from the fixing „ear” outside the dome cover and the other screws and fly nuts were unfastened, their unfastening for the dome opening was made by hand, being easy to manipulate.
Preamble of the recommendation no.428-1
During the investigation there was found that, although between the railway undertaking and the economic agent, that loaded the wagons of the train involved, there are procedures that regulate the delivery-reception of the empty/loaded wagons, from technical and commercial point of view, they do not contain any provisions which set up how to control the systems for fastening/ensuring the units and subunits situated on the upper side of the tank wagons.
From the analysis of the documents submitted by SC ROMPETROL RAFINARE SA, into the paper no.2752/30.05.2023 (by that paper there was sent the view on the Draft of the Investigation Report), there was found the existence of some problems between the ones and the documents that regulate the organization of the reception for transport of wagons after their loading, submitted to the investigation commission by the railway undertaking GFR.  
Considering the findings and conclusions of the investigation commission, above mentioned, for the improvement of railway safety and prevention of similar events, AGIFER considers timely to address Romanian Railway Safety Authority – ASFR the next safety recommendation:
Recommendation no. 428-1
Romanian Railway Safety Authority – ASFR shall take care that SC GRUP FEROVIAR ROMÂN SA, like railway undertaking and the economic agent, that loaded the wagons of the train involved, shall revise the procedures that regulate the delivery-reception of the empty/loaded wagons, from technical and commercial point of view, so they stipulate also how to control the systems for fastening/ensuring of the units and subunits situated on the upper side of the tank wagons.
</t>
  </si>
  <si>
    <t>Safety recommendation Rail no 2023/03T</t>
  </si>
  <si>
    <t>On Tuesday 27 July 2021, a short circuit occurred in the overhead contact line system at Sandefjord station. This created a connection between the high-voltage and low-voltage systems that caused extensive fire damage to the systems and disrupted train traffic for a long time. The design, operation and maintenance of power supply systems are regulated by a number of laws and regulations that fall within two different supervisory bodies’ areas of responsibility. The interface between the Directorate for Civil Protection and Emergency Planning and the Norwegian Railway Authority needs clarification.
The Norwegian Safety Investigation Authority recommends that the Ministry of Justice and Public Security clarify how supervision of power supply systems in railway infrastructure is to be attended to when responsibility for the regulatory framework is shared between two official bodies.</t>
  </si>
  <si>
    <t>Safety recommendation Rail no 2023/04T</t>
  </si>
  <si>
    <t xml:space="preserve">On Tuesday 27 July 2021, a short circuit occurred in the overhead contact line system at Sandefjord station. This created a connection with the low-voltage system that caused extensive fire damage and disrupted train traffic for a long time. The cause was related to the fact that, for various reasons, protective devices in the system did not work as intended. Bane NOR’s organisation of the planning, development and operation of the power supply system is complex, with multiple interfaces related to responsibilities and personnel.
The Norwegian Safety Investigation Authority recommends that Bane NOR SF consider whether the organisation can be changed to reduce the risk of undesirable incidents. </t>
  </si>
  <si>
    <t>Addressed to the Czech National Safety Authority (NSA):
• to take measure to ensure that:
- railway owners and infrastructure managers expand implementation of track part of ETCS to the maximum extent possible. At least on the TEN-T network, NIB recommends implementing ETCS L2 enabling Full supervision mode as soon as possible and continuously. To use this full supervision to maximum extent possible so that even defaults trains pass departure signal devices of stations already in this mode;                                                                                   - ride of rolling stocks equipped compatible mobile part train control system of ETCS with track part of ETCS, which infrastructure is equip, will be realise too at initial trains and trains which become to change in its formation, in maximum extent with active mobile part of ETCS in relevant mode (without mode isolation);
- to minimize way of the operation of the mobile part of the European Train Control System ETCS (restart of the ETCS mobile part, switching it to Isolation mode, etc.) which would cause the loss of its position information. To achieve this state through the reliability of the equipment, but also through the technological procedures of RUs and uniform technological procedures of Ims and consistent control over their compliance.                                                                                  • to take measure, which ensure to complete missing safety measure (station dispatcher in past) until to installation operation trains under sight ETCS, when station dispatcher dispatched trains with passengers which stood by platform by signal „Departure” (written order, telecommunication equipment or audio order), by technical equipment or other way, when as advantageous and simple way in present system guideway operating and guided transport operating is in cooperation with Czech Ministry of Transport, integrate to Decree No. 173/1995 Coll., traffic rules of railway, to obligation of head of train attending crew with train with passenger transport or first person of train attending crew from front forefront of train, which does not go by full supervision of ETCS, give to driver of train signal „Consent with departure” after fulfilment one of low stated conditions, when:
- makes sure by look or other way (e.g. by question at train driver), that relevant main signal device valid for departure train permits ride of train, or
- by question at train driver find out, that ride of train behind main signal device with signal „Stop” was allowed other way including set conditions, or that train driver get permission for shunting from station dispatcher (e.g. ride train as shunting operation), or;
- by question at train driver verify way of permission ride train behind main signal device including set conditions by IM in case, when its signal aspects does not see from platform, so verify, if IM allows ride (departure) train, carry out next qualified person of RU (next to train driver), thereby it will be make safety measure who reduces risk of
mistake of train driver.</t>
  </si>
  <si>
    <t>Addressed to Government Office of the Czech Republic:
• adjust Government Regulation No. 589/2006 Coll., which establish the different regulation of working hours and rest periods of employees in transport, which contains different conditions between employees of rail transport and employees of international rail transport contains in:
- § 14, § 15b and § 15c of this regulation, which establish the rest period,
- § 3 letter f) and § 15e of this regulation, which stipulates driving times of rail vehicles only for employees of international rail transport,
so that it should not distinguished whether or not it is an employee (the train driver) of international rail transport, because the risks of the influence of fatigue, in connection with the monotonous work of driving a rail vehicle and the physiological processes of human biorhythms are the same for the behavior of all employees (the train drivers).</t>
  </si>
  <si>
    <t>Addressed to the Czech National Safety Authority (NSA):
• within framework of its activity, to ensure, with appropriate tools, minimization of cases where will be ordered to pulled down the current collectors of rolling stocks by portable signal devices for electric operation, especially during constructions (reconstructions, modernization) carried out on railways where this minimization should already be taken into account during preparation of construction and specific construction procedures by IM of national and regional railways. For this purpose, use both purely administrative and technical measures – for example insert (temporarily insert) section insulator into overhead contact circuit at suitable places of station heads;
• check relevant available options of the ETCS in relation to prevention of occurrences related with failure to respect of signal devices for electric operation by IMs, that is above all possibility of transmitting information about signal devices for electric operation, including portable signal devices, from trackside to mobile parts of the ETCS and their subsequent processing and application.</t>
  </si>
  <si>
    <t>Addressed to the Czech National Safety Authority (NSA):
• as a part of its activities as a national safety authority, to take own measure to ensure at IM Správa železnic, státní organizace: by adjustment of the internal regulation „SŽDC E6 Regulation for activity of electrodispatching”, alternatively by next related internal regulations, about directing of structure guidances given by separate electrodispatcher (dispatcher order), but also by guidances and conditions for ride rolling stocks electric traction and next necessary traffic measures, their exaxt defining and frame determanition of content of the message, alternatively determination of fixed of content of the message (obligatory wording).</t>
  </si>
  <si>
    <t>107/2022-1: new criteria for passing signal with "P" sign.</t>
  </si>
  <si>
    <t>Promote new criteria for passing of signals with "stop" aspect and "P" sign ("permissive": passing allowed under statutory conditions).
Addressee: NSA Spain
Final implementer: NSA Spain</t>
  </si>
  <si>
    <t>107/2022-2: new criteria for passing signal with "P" sign.</t>
  </si>
  <si>
    <t>Promote RUs to increase training and monitoring actions regarding special marching conditions to guarantee that staff is correctly trained and applies the required attention and rigour.
Addressee: NSA Spain
Final implementer: NSA Spain</t>
  </si>
  <si>
    <t xml:space="preserve"> ensure the supervision of implementation quality</t>
  </si>
  <si>
    <t xml:space="preserve">Infrastructure Manager PKP PLK S.A. will ensure the supervision of implementation quality of the Company's investment process and diagnostic process. </t>
  </si>
  <si>
    <t>system of supervision of training and authorization of employees</t>
  </si>
  <si>
    <t>Infrastructure Manager PKP PLK S.A. will strengthen the system of supervision of training and authorization of employees in connection with organizational or technical changes affecting the way they perform their activities.</t>
  </si>
  <si>
    <t>adapt internal regulations</t>
  </si>
  <si>
    <t>Infrastructure Manager PKP PLK S.A. will adapt its internal regulations to the provisions of the Regulation of the Minister of Infrastructure of January 11, 2021 on employees working in positions directly related to the operation and safety of railway traffic and the operation of certain types of railway vehicles (Journal of Laws of 2021, item 101) with regard to authorizations.</t>
  </si>
  <si>
    <t>no.430-1</t>
  </si>
  <si>
    <t xml:space="preserve">Preamble of recommendation no.1/430
Regarding the performance of periodical repairs with complete screening of ballast, carried out on that track section, the investigation commission found out as follows:
From the documents sent by Line Division Iași – Section SRLU regarding the performance of periodical repairs - RPc (between 22nd March 2022- 5th May 2022 with complete closing of line and daily closing between 6th May 2022 – 10th August 2022), it appears that all the works of the technological process (complete mechanical screening of ballast, intermediary packings of sleepers, packings of sleepers  I, II and III) were performed without previous stress relief from the rails, as it is stipulated in the Instruction no. 302 for the performance of line overhauls, edition 1986, at chapter II, letter C, point 3: „For the welded track, over the high temperatures, that is with rail temperatures over the temperature for final fixing, during the performance of some operations and up to the line stabilization, it must take measures for previous stress relief of the rails”.
It is stipulated that, although the works afferent to the technological process RPc were performed over the times with rail temperature close to the fixing temperature (works during the night or in the first part of the day), missing a stabilisation tonnage or some works for dynamic stabilisation of the track, the broken stone bed not being compact, it could not ensure a proper resistance that opposes the axial forces of compression under the action of daily variations of the temperatures.
Also, after the performance of screening III and a traffic of 300.000 gross tonnage, in order to put the rails between the limits of temperatures for final fixing accepted for the welded track, it was necessary the stress relief of the rails and uniformity of efforts, according to the Instruction no. 302 for the performance of line overhauls, edition 1986, chapter II, letter C, point 10.
Missing the stress reliefs and uniformity of efforts, made after the performance of all the works that can destabilize the broken stone bed (row replacement of sleepers, complete screening, technological packing of sleepers, etc) and after achieving its compacting (in accordance with I 341 „Instruction for the composition, maintenance and surveillance of welded track - 1980” Art.8), it is possible to get track distortions under the action of temperature variations. 
Considering the findings and conclusions of the investigation commission above mentioned, for the improvement of railway safety and prevention of similar events, AGIFER considers timely to address ASFR the next safety recommendation:
Safety recommendation no.1/430
Romanian Railway Safety Authority - ASFR shall ensure that the infrastructure manager CNCF „CFR” SA re-assesses the risks associated to the danger generated by the lack of stress reliefs and uniformity of the efforts, after the performance of complete screening and technological packing of sleepers (permanent closing of the line) and after its compaction.
</t>
  </si>
  <si>
    <t>no.430-2</t>
  </si>
  <si>
    <t xml:space="preserve">Preamble of recommendation no.2/430
The investigation commission found the existence of some deficiencies in the organization of the activity for ensuring the competences necessary for the staff that performed the next services: technical checking of the wagons type CSI transposed, both during their reception in border, and during the performance of technical inspections at the trains having in their composition these wagons on Romanian network.
Even if the deficiencies above mentioned did not influence the occurrence of the event, for the improvement of railway safety and prevention of similar events, AGIFER considers timely to address ASFR the next safety recommendation:
Safety recommendation no.2/430
ASFR shall take care that the railway undertaking Grup Feroviar Român SA re-assesses how the training ensures the competences necessary for the staff in charge with: technical checking of the wagons type CSI transposed, both during their reception in border, and during the performance of technical inspections at the trains having in their composition these wagons on Romanian network.
</t>
  </si>
  <si>
    <t>Safety recommendation Rail no 2023/05T</t>
  </si>
  <si>
    <t>On 31 May 2022, a passenger train collided with a tractor with a trailer at the Hagamælen level crossing on the Dovre line. The level crossing was equipped with flashing red stop lights and audible warning, but no physical barrier. 30 level crossings on the Bane NOR SF's network are equipped with similar systems.
The Norwegian Safety Investigation Authority recommends the Norwegian Railway Authority to request Bane NOR SF to assess whether it is possible to take measures that increase the attention of road users at level crossings equipped with flashing red stop light and audible warning.</t>
  </si>
  <si>
    <t xml:space="preserve"> BDZ PS EOOD organizes the performance of monthly discussions</t>
  </si>
  <si>
    <t xml:space="preserve">• Recommendation 2, proposes that BDZ PS EOOD organizes the performance of monthly discussions and gets acquainted the operation and repair personnel in the wagon-repair depots of the entity with the circumstances and causes for the accident occurrence. </t>
  </si>
  <si>
    <t xml:space="preserve">BDZ PS EOOD, when carrying out major repairs of passenger coaches in railway depot, to control the requirements for compliance with the relevant fire protection requirements </t>
  </si>
  <si>
    <t xml:space="preserve">• Recommendation 3, proposes BDZ PS EOOD, when carrying out major repairs of passenger coaches in railway depot, to control the requirements for compliance with the relevant fire protection requirements for electrical installations and internal equipment, listed in Regulation (EU) No. 1302/2014 of the Commission of November 18, 2014. </t>
  </si>
  <si>
    <t>BDZ PS EOOD during the monthly electrical revisions of the passenger coaches, series 1974 and 2974 to undertake inspection and measurements</t>
  </si>
  <si>
    <t>• Recommendation 4 proposes BDZ PS EOOD during the monthly electrical revisions of the passenger coaches, series 1974 and 2974 to undertake inspection and measurements of the electrical installations and equipment in order to prevent ignition of other coaches. To install video surveillance cameras in the passenger coaches.</t>
  </si>
  <si>
    <t>Railway Administration Executive Agency undertakes an amendment and supplement to the legislation regulating the actions of the operating personnel</t>
  </si>
  <si>
    <t>• Recommendation 5, proposes that the Railway Administration Executive Agency undertakes an amendment and supplement to the legislation regulating the actions of the operating personnel related to switching off and switching on the voltage in the catenary in emergency cases where a fire has occurred in the rolling stock (locomotive or wagons) during the train movement along interstation.</t>
  </si>
  <si>
    <t>AIN/06-SR-11/2023</t>
  </si>
  <si>
    <t>The infrastructure manager, should introduce additional measures and procedures to ensure the safe flow of traffic in cases where the cause of the failure cannot be accurately determined on the signal safety devices, and which is eliminated by manually resetting the signal security device.</t>
  </si>
  <si>
    <t>no.432-1</t>
  </si>
  <si>
    <t>Romanian Railway Safety Authority - ASFR shall take care that the railway undertaking SNTFC „CFR Călători” SA analyses the risks associated to the danger of injury by burning generated to the operation staff, following the situations of leakages from diesel tank (including following the damage along the route at the diesel tanks of the locomotives type LDH).</t>
  </si>
  <si>
    <t>no.439-1</t>
  </si>
  <si>
    <t xml:space="preserve">Preamble of recommendation no.1
During the investigation it was found that, the railway undertaking GFR SA identified the dangers generated by the infringement of planned inspections and repairs and the staff allocated for the maintenance was insufficient. By outsourcing the infrastructure inspection, repair and maintenance, the company had to implement the changes made at the safety management system, to manage those changes and to examine again the safety risks. Also, it was found that there is concluded a service contract and minutes for the lines handling, where there are not established the duties and responsibilities of parties.
Considering the findings and conclusions of investigation commission above mentioned, for the improvement of railway safety and prevention of similar events, AGIFER considers timely to address Romanian Railway Safety Authority – ASFR the next safety recommendations:
Recommendation no. 439/1
Romanian Railway Safety Authority – ASFR shall assure that, GRUP FEROVIAR ROMÂN SA, like infrastructure manager, re-assesses own prevention measures for keeping under control and reducing the risks associated to the performance of inspection, repair and maintenance works/services at the lines with thirds.
</t>
  </si>
  <si>
    <t xml:space="preserve">Addressed to the Czech National Safety Authority (NSA):
• to adopt effective measures to eliminate the risk of the occurrence at the level crossing No. P8232 in time when the traffic signal control equipment of the crossroad (as a basic safety element for ensure safety) is not in service;
</t>
  </si>
  <si>
    <t>Addressed to the Czech National Safety Authority (NSA):
• performance of inspection at all level crossings with level crossing signaling plant without barriers with electric dependence on traffic signal control equipment of crossroad and concentrate on finding out state the most important safety parameters according to Section 6 paragraph 1 of Act No 266/1994 Coll. and Section 4 paragraph 7 appendix 5 of Decree No. 177/1995 Coll., which are important for ensure safety at level crossings in time when the traffic signal control equipment of crossroad is not in service.</t>
  </si>
  <si>
    <t xml:space="preserve">Addressed to Municipality of Zlín:
• take internal measure as the owner of traffic signal control equipments of crossroads which are adjacent with level crossings at Zlín city, and which will ensure to inform about state of traffic signal control equipments of crossroads by all accessible technical resources and enables remote access to technology of traffic signal control equipments of crossroad to an employee of service organization;
</t>
  </si>
  <si>
    <t>Addressed to Municipality of Zlín:
 • performance of risk analysis on traffic signal control equipments of crossroads which are adjacent with level crossings at Zlín city and determination procedures for quick elimination of failure of traffic signal control equipments of crossroads;</t>
  </si>
  <si>
    <t>Addressed to Municipality of Zlín:
• to establish cooperation with the Regional Directorate of the Police of Zlín Region, the Municipal Police of Zlín city and the Zlín-Otrokovice Transport Company, regarding possibility of immediate notification of failure of traffic signal control equipments of crossroads for service organization on base the analysis of the risks of traffic signal control equipments of crossroads which are adjacent with level crossings at Zlín city, detected through their own technology informing about state of traffic signal control equipments of crossroads or during patrol of Police or during driving vehicles of public transport.</t>
  </si>
  <si>
    <t>Recommendation Nr. 1</t>
  </si>
  <si>
    <t>The Investigation Unit recommends the National Safety Authority to ensure that all those involved in rail freight 
transport (infrastructure manager, railway undertakings, shippers, consignors, etc.) engage in a process of 
reflection and analysis in order to identify the risks associated with the transport of potentially wrongly loaded 
wagons/containers and implement measures to limit the risks identified.
L'Organisme d'Enquête recommande à l'ANS de veiller à ce que les acteurs impliqués dans le transport ferroviaire de marchandises (gestionnaire d'infrastructure, entreprises ferroviaires, chargeurs, expéditeurs, etc.) mènent une réflexion et une analyse afin d'identifier les risques liés au transport de wagons/conteneurs potentiellement mal chargés et mettent en œuvre des mesures pour limiter les risques identifiés.</t>
  </si>
  <si>
    <t>no.431-1</t>
  </si>
  <si>
    <t xml:space="preserve">Following the analysis of the documents submitted by railway undertaking UNICOM TRANZIT (REGISTER of RISKS no.3651/25.08.2021, code F: POSF 03 – 02) it was found that, within the actions for the identification and assessment of risks, there were not identify the risks generated by the situations where, within the works performed during the technical inspections at the own trains, there are not identified the failures that can endanger the railway safety. According to point 1.5.1 from the Register of Risks, it is identified the risk ”Lack of technical inspection at trains during their composition, in transit and at the arrival”, without being identified the risk when the technical examiner carries out the technical inspection, but he did not identify a failure (ex. unfastened tyre) that can generate a railway accident.
Considering findings and conclusions of investigation commission, above mentioned, for the improvement of railway safety and prevention of similar events, AGIFER considers timely to address Romanian Railway Safety Authority – ASFR the next safety recommendation, without excluding the extension of the recommendation also at other railway undertakings:
Safety recommendation no.434/1
The railway undertaking SC UNICOM TRANZIT SA shall identify and re-assess the risks associated to the danger that during the works performed within the technical inspections at the own trains, the failures that can endanger the railway safety not be identified.
</t>
  </si>
  <si>
    <t xml:space="preserve">Addressed to the Czech National Safety Authority (NSA):                                                    • to ensure that the procedure of securing rolling stocks against uncontrolled movement by a brake weight was eliminated from the applicable regulations of infrastructure managers to the maximum extent possible, at least that the required braking percentages for individual intervals of track inclination was re-evaluated, while we recommend specify these values on the basis of a wider investigation of the given problematics;
• to ensure that a demonstrable reduction in the braking effect was compensated by uniform technological procedures of the railway undertaking in the case of long-term detached rolling stocks, while we recommended define specific values on the basis of a wider investigation of the given problematics;
• to ensure that the railway undertaking has information about whether the rolling stocks are put into service after a long-term detached, even when it comes to rolling stocks taken over from another railway undertaking, even a foreign one, and when the railway undertaking does not have information about this rolling stocks, it treated the rolling stocks as long-term detached rolling stocks (see the previous point of the safety recommendation).
</t>
  </si>
  <si>
    <t>• Recommendation 1, proposes that SE NRIC and “DB Cargo Bulgaria” EOOD familiarize the interested personnel with the contents of the report</t>
  </si>
  <si>
    <t xml:space="preserve">When accepting rolling stock at the border stations to increase the quality </t>
  </si>
  <si>
    <t>• Recommendation 2, proposes that “DB Cargo Bulgaria” EOOD when accepting rolling stock at the border stations, which will be served by the railway company, to increase the quality and control when performing technical inspections</t>
  </si>
  <si>
    <t xml:space="preserve">SE NRIC to build a check point between Kapikule and Svilengrad </t>
  </si>
  <si>
    <t>• Recommendation 3, proposes SE NRIC to build a check point between Kapikule and Svilengrad border stations with the following functionalities</t>
  </si>
  <si>
    <t>The Investigation Unit recommends the NSA to ensure that all parties concerned work together to verify the effectiveness of the measures already taken, to evaluate the remaining risks and to take measures in order to mitigate the risks identified.</t>
  </si>
  <si>
    <t>Recommendation Nr. 1
(third indirect factor)</t>
  </si>
  <si>
    <t>The NSA is recommended to ensure that the Infrastructure Manager manages the dynamic working conditions, which arise during the shift change, in such a way as to avoid hasty decisions that could endanger operations.</t>
  </si>
  <si>
    <t>Recommendation Nr. 2
(first systemic factor)</t>
  </si>
  <si>
    <t>The NSA is recommended to ensure that the Infrastructure Manager takes measures to eliminate or avoid the risks associated with an 'urgent signal closing'.</t>
  </si>
  <si>
    <t>Recommendation Nr. 3
(second systemic factor)</t>
  </si>
  <si>
    <t xml:space="preserve">The NSA is recommended to ensure that the Infrastructure Manager and all railway undertakings discuss whether communication can be improved in the case of an 'urgent signal closing’ and how to achieve this goal. </t>
  </si>
  <si>
    <t>Recommendation Nr. 4
(third systemic factor)</t>
  </si>
  <si>
    <t>The NSA is recommended to ensure that the Infrastructure Manager examines whether their  rules and instructions take sufficient account of the characteristics of running in ETCS 1 on HSL4.</t>
  </si>
  <si>
    <t>Recommendation Nr. 5
(fourth systemic factor)</t>
  </si>
  <si>
    <t>The NSA is recommended to ensure that the Infrastructure Manager makes sure that the rules for operating the help function SDG and NT will be better complied with.</t>
  </si>
  <si>
    <t>Recommendation Nr. 6
(fourth systemic factor)</t>
  </si>
  <si>
    <t xml:space="preserve">The NSA is recommended to ensure that the Infrastructure Manager makes sure that the early signal closing procedure is made compatible with ETCS Level 1, taking into account the location of the balises (safe integration procedures in the ETCS system). </t>
  </si>
  <si>
    <t>Recommendation Nr. 7
(fifth systemic factor)</t>
  </si>
  <si>
    <t>The NSA should ensure that the operation of HSL4 in ETCS1 nominal mode is regularised in cooperation with the parties involved.</t>
  </si>
  <si>
    <t>Recommendation Nr. 8
(sixth systemic factor)</t>
  </si>
  <si>
    <t>The Investigation Unit recommends all parties involved (FPS Mobility and Transport, NSA, IM, ...) to ensure that decisions and risk analyses leading to the drafting of operating conditions are traceable and made by mutual agreement. This is regardless of whether these decisions are taken on the basis of legal, technical, or political motives.</t>
  </si>
  <si>
    <t>Recommendation no. IT-10312-1</t>
  </si>
  <si>
    <t>It is recommended that the National Agency for the Safety of Railways and Road and Highway Infrastructure ensure that the Railway Companies provide to realize on all ATR 220 series of PESA an effective system of tightness/catchment of any leachate. Evaluate the Agency whether to extend the recommendation to other rolling stock with thermal engines in operation or new construction.</t>
  </si>
  <si>
    <t>Recommendation no. IT-10312-2</t>
  </si>
  <si>
    <t>It is recommended that the National Agency for the Safety of Railways and Road and Highway Infrastructure ensure that the Railway Companies provide to place in both the cockpits of the ATR 220 series of manufacture PESA, the wagon shoes. Evaluate the Agency whether to extend the recommendation to other rolling stock.</t>
  </si>
  <si>
    <t>Recommendation no. IT-10312-3</t>
  </si>
  <si>
    <t>It is recommended that the National Agency for the Safety of Railways and Road and Highway Infrastructure to ensure that railway companies provide programming on all ATR 220 series of manufacture PESA, the adaptation of the fire protection system by providing for the installation of rain extinguishing systems of the water mist system type for passenger lounges to protect passengers and the rolling stock themselves. Evaluate the Agency whether to extend the recommendation to other rolling stock.</t>
  </si>
  <si>
    <t>Addressed to the Czech National Safety Authority (NSA):
• in a reasonable time (with regard to the duration of the development and approval process) ensure, for station interlocking plant controlled through a unified service workplace, that the operator cannot set up the specified emergency train route and inform about the conditions preventing the creation of the emergency train route (e.g. with a label warning about incorrect operation), in cases where:
◦ to movement of train on an other track than operating employee selected or,
◦ to movement a rolling stocks against to each other on the same track,
◦ or also in other justified cases based on the analysis carried out by the IM (e.g. when the rolling stock should arrive to the level crossing before the approach time expires);
• to ensure at the same time for these devices prevent the creation of a train route on a track on which is also create an opposite emergency train route or an emergency shunting route as an adequate addition to the previous safety recommendation for the opposite sequence of creation of train routes;
• until the implementation of the first safety recommendation mentioned above, for these devices, to consider setting the display priority on the entry computer of the unified service workplace so that during the display of the risk page in the relief of trackage were not highlighted with a dashed red tint such elements from this risk page which are marked with a warning label (introduce and cancel by the command „STIT“) or with a track possession label (introduce and cancel by the command „VYL“) and the serving employee is alerted in a different way (the serving employee marked these elements with the knowledge of the need to ensure fulfillment of the unfulfilled conditions in an alternative way);
• to ensure at IM (Správa železnic, státní organizace):
◦ to amend wording of Article 404 of the internal regulation SŽ D1 about the addition of the text imposing the authorized station dispatcher to start a track possession on lines and in operating points remotely controlled with remote control of interlocking plant the obligation to announce the start of the track possession also to the employees of the transport service affected by the track possession in occupied operating points;
◦ to adopt of a measure which prevents the unauthorized use of employee personal identification cards (i.e. a security element necessary for the operation of the interlocking plant) by persons other than holders of this cards.</t>
  </si>
  <si>
    <t>no.437-1</t>
  </si>
  <si>
    <t xml:space="preserve">Preamble of safety recommendation no.437/1
During the investigation, it was found that SNTFM did not ensure the training of the technical examiner, according to the provisions of the Agreement about ”Regulation for the use of the wagons in international traffic”- PGV, that was imposing some technical conditions for running, for the type of wagons composing the trains that were object of transport contract.
Safety recommendation no.437/1
Romanian Railway Safety Authority – ASFR shall ask SNTFM to improve the program for keeping the competences for the job technical examiner, in order to ensure that the executive staff shall get the competences necessary for the performance of the inspections for all types of wagons inspected.
</t>
  </si>
  <si>
    <t>no.437-2</t>
  </si>
  <si>
    <t xml:space="preserve">Preamble of the safety recommendation no.437/2
During the investigation, there was found that the technical inspection at the composition, when the wagon entered on Romanian railway network and the last technical inspection in transit, before the accident, they were carried out by a single technical examiner and not by a gang of two technical examiners. It can lead to the nonidentification, during the inspections, o some failures at the wagons inspected, failures that had to be identified according to the specific legislation.
Safety recommendation no.437/2
Romanian Railway Safety Authority – ASFR shall ask SNTFM, being able to extend the request to other railway undertaking, the performance of an analysis of the operational risks generated by the performance of the technical inspections by a single technical examiner, in order to be sure that these can be controlled.
</t>
  </si>
  <si>
    <t>no.435-1</t>
  </si>
  <si>
    <t xml:space="preserve">Preamble of the recommendation no.435/1
The fire at the locomotive DA 1394 burst because the locomotive was used in operation with isolation of the cables old, the cables was 14 years old, at least, it generating a short circuit at the locomotive command cables, in the cables hose, close to the water pump.
Considering that during the investigation it was found that the railway undertaking SC Unicom Tranzit SA did not identify any danger represented by ”Keeping in operation the locomotives with the cables or other sub-parts having the lifetime exceeded”, for the prevention of accidents similar to those presented in this report, the investigation commission issues the next safety recommendation:
Safety recommendation no.435/1
Romanian Railway Safety Authority – ASFR shall ask the railway undertaking SC Unicom Tranzit SA, to assess the risks associated to the danger ”Keeping in operation of the locomotives with the cables or other sub-parts having the lifetime exceeded”, and to dispose effective measures for keeping it under control.
</t>
  </si>
  <si>
    <t>no.435-2</t>
  </si>
  <si>
    <t xml:space="preserve">Preamble of the recommendation no.435/2
The fire at the locomotive DA 1394 burst because the locomotive was used in operation with an improper cleaning condition, finding the presence in the cables horse water, diesel and oil cumulations, so increasing the probability to appear a short circuit, and following the appearance of the short circuit at the command cables to be generated the ignition of these wastes and the spreading of the fire.
Considering that during the investigation it was found that the railway undertaking SC Unicom Tranzit SA did not identify any danger represented by ”Keeping in operation the locomotives with an improper cleaning condition at the cables hoses”, for the prevention of  accidents similar to those presented in this report, the investigation commission issues the next safety recommendation:
Safety recommendation no.435/2
Romanian Railway Safety Authority – ASFR shall ask the railway undertaking SC Unicom Tranzit SA, to assess the risks associated to the danger ”Keeping in operation the locomotives with an improper cleaning condition at the cables hoses”, and to dispose effective measures to keep it under control.
</t>
  </si>
  <si>
    <t>DK-2023 R 2 af 22-08-2023</t>
  </si>
  <si>
    <t>22/8/2023</t>
  </si>
  <si>
    <t>English:AIB recommends that the Danish Transport Agency ensures that Banedanmark documents and archives safety-relevant information regarding repairs and risk assessments on the railway's drainage elements, and ensures traceability between the drainage elements and the archived safety-relevant information.
Danish: Havarikommissionen anbefaler, at Trafikstyrelsen sikrer, at Banedanmark dokumenterer og arkiverer sikkerhedsrelevante informationer vedrørende reparationer og risikovurderinger på jernbanens afvandingselementer, samt sikrer sporbarhed mellem afvandingselementerne og den arkiverede sikkerhedsrelevante information.</t>
  </si>
  <si>
    <t>English/Danish</t>
  </si>
  <si>
    <t>DK-2023 R 3 af 22-08-2023</t>
  </si>
  <si>
    <t>English:AIB recommends that the Danish Transport Agency ensures that Banedanmark investigates whether the rules regarding driving with “enhanced lookout” (SR), as well as “lookout while driving” at a maximum of 40 km/h (Rulebook for ERTMS), on sections that are at risk of being affected by water, displacements of the track, missing ballast or landslides on embankments, provide sufficient protection against the dangers associated with trains traveling on parts of the infrastructure that have become impassable due to these conditions.
Danish: Havarikommissionen anbefaler, at Trafikstyrelsen sikrer, at Banedanmark undersøger om reglerne vedr. kørsel med skærpet udkig (SR), samt udkig under kørsel med max 40 km/t (ORF), på strækninger, som har risiko for at være påvirket af vand, sætninger i sporet, manglende skærver eller skred på dæmninger, yder tilstrækkelig sikring mod de farer som er forbundet med, at tog befarer dele af infrastrukturen, som er blevet ufarbare pga. disse forhold.</t>
  </si>
  <si>
    <t>Recommendation no. IT-10311-1</t>
  </si>
  <si>
    <t>It is recommended that the National Agency for the Safety of Railways and Road and Highway Infrastructure to ensure that the Railway Undertakings make the "sensitive edge" protection of the carriages of low-floor local trains always available and active, even in the event of the emergency opening of a door, or agree on the implementation of a effective plan for the disposal of these rolling stock.</t>
  </si>
  <si>
    <t>Recommendation no. IT-10311-2</t>
  </si>
  <si>
    <t>It is recommended that the National Agency for the Safety of Railways and Road and Highway Infrastructure to ensure that the Railway Undertaking Trenitalia performs an extraordinary maintenance activity on the doors of the rolling stock in question accompanied by subsequent checks in order to allow the maintenance in operation of only coaches in ensuring compliance with obstacle detection in accordance with the design value of obstacles (obstacle 35x35 mm).</t>
  </si>
  <si>
    <t>Recommendation no. IT-10311-3</t>
  </si>
  <si>
    <t>It is recommended that the National Agency for the Safety of Railways and Road and Highway Infrastructure to ensure that the Railway Undertaking Trenitalia performs an extraordinary maintenance activity on the control device opening emergency doors to ensure that, when  operated correctly, the handle remains firmly in the opening position avoiding involuntary closures. Also consider whether to extend the recommendation to other Railway Undertakings.</t>
  </si>
  <si>
    <t>Recommendation no. IT-10311-4</t>
  </si>
  <si>
    <t>It is recommended that the National Agency for the Safety of Railways and Road and Highway Infrastructure to ensure that the Railway Undertakings accelerate the decommissioning of trains for which it is difficult to ensure compliance with the latest safety standards and compliance with efficient and modern safety systems such as, where possible, the adoption of the principle of redundancy.</t>
  </si>
  <si>
    <t>no. 438-1</t>
  </si>
  <si>
    <t>11/9/2023</t>
  </si>
  <si>
    <t xml:space="preserve">Preamble of safety recommendation no.438/1
Considering the findings of investigation commission about the existence in the present  PGV of two similar requirements at point 2.1.6, paragraphs 2 and 3 regarding ”Distance between the interior faces of the tyres from the wheels sets or of the parts that stand for tyres at the cast wheels”, and lack of  the requirement regarding ”,Distance between the exterior faces of the wheels lips from an axle  measured between two points situated at 10 mm outside the wheels threads close to the upper level of the rails”, as well as that with reference to the wagon derailed, it did not meet with the last mentioned requirement, for the improvement of railway safety and prevention of some similar events, AGIFER considers timely to address  Romanian Railway Safety Authority – ASFR the next safety recommendation:
Safety recommendation no.438/1
Romanian Railway Safety Authority – ASFR shall take care that the railway undertaking SNTFM „CFR Marfă” SA proposes to Railways Cooperation Organization - OCCF to re-introduce into the Agreement about ”Regulation for the use of the wagons in international traffic” (PGV), of the conditions to be complied with, regarding the distance between the exterior faces of the wheels lips from an axle, measured between two points situated at 10 mm outside the wheels threads close to the upper level of the rails. 
</t>
  </si>
  <si>
    <t>no. 438-2</t>
  </si>
  <si>
    <t xml:space="preserve">Preamble of safety recommendation no.438/2
The railway undertaking SNTFM „CFR Marfă” SA did not identify the possibility that the risk of accident on Romanian railway network be generated by the improper preparation for running of the wagons got by the contract partner (in this case Ukrainian railways UZ, using improper parts at the wagons transposition on the bogies with gauge of 1435 mm in the border railway station from Ukraine), with failures that cannot be found at the delivery-reception of the wagons into the border stations (failures hidden or parts that are not checked at the delivery-reception of the wagons in the border stations). Therefore, it was not established this requirement in contract or other document and neither it performed controls in Ukrainian border station, where the transposition is made. For the improvement of railway safety and prevention of similar events, AGIFER considers timely to address ASFR the next safety recommendation:
Safety recommendation no.438/2
Romanian Railway Safety Authority – ASFR shall take care that the railway undertaking SNTFM „CFR Marfă” SA assesses the risks associated to the danger represented by the equipping with improper parts of the wagons, by the contract partners, with which they perform successive transport, parts that are not inspected at the delivery-reception of the wagons in the border stations.
</t>
  </si>
  <si>
    <t>Recommendations No. 183</t>
  </si>
  <si>
    <r>
      <t xml:space="preserve">Die Radscheiben sind sicherheitskritische Komponenten, die bei einem Ausfall unmittelbar zu einem schwerwiegenden Unfall führen können.
Unabhängig davon, was die ursprüngliche Ursache eines Radscheibenrisses ist, wächst dieser, wenn er einmal initiiert ist, langsam im Rad. Sein Wachstum schreitet in Abhängigkeit der Anzahl Lastzyklen kontinuierlich bis zum Gewaltbruch des Rades im Radkörper fort.
Ein Riss in einer Radscheibe kann bis zum heutigen Zeitpunkt durch den Stand der Technik der heute in der Schweiz infrastrukturseitig vorhandenen Zugkontrolleinrichtungen nicht detektiert werden. Bei technischen Zuguntersuchungen im Betrieb kann ein Riss nur bedingt, abhängig von seiner Ausprägung und nur im sichtbaren Radbereich, festgestellt werden. 
Die ersten Ergebnisse der Untersuchung sowie die ersten Resultaten der metallurgischen Untersuchung zeigen eine Ähnlichkeit mit den Radbrüchen, die Gegenstand der ersten «JNS Procedure Broken wheels» waren.
</t>
    </r>
    <r>
      <rPr>
        <b/>
        <sz val="11"/>
        <color theme="1"/>
        <rFont val="Calibri"/>
        <family val="2"/>
        <scheme val="minor"/>
      </rPr>
      <t xml:space="preserve">Sicherheitsempfehlung Nr. 183
</t>
    </r>
    <r>
      <rPr>
        <sz val="11"/>
        <color theme="1"/>
        <rFont val="Calibri"/>
        <family val="2"/>
        <scheme val="minor"/>
      </rPr>
      <t>Die SUST empfiehlt dem Bundesamt für Verkehr (BAV), eine Ausweitung der Massnahmen, die im Rahmen des ersten JNS Urgent Procedure zur Risikobegrenzung im Betrieb und während der Instandhaltung der Radsätze definiert wurden (siehe Auszug in Anlage 1 dieses Berichtes), auf den Radsatz der Baureihe BA 390 einzuleiten.</t>
    </r>
  </si>
  <si>
    <t>Recommendations No. 184</t>
  </si>
  <si>
    <r>
      <t xml:space="preserve">Die Radsätze sind austauschbare Komponenten, die nicht einzelnen Wagen zugeordnet werden können. Der Radsatz der Baureihe BA 390 ist bei verschiedenen Wagenhaltern in Europa im Einsatz.
Eine überstaatliche Übersicht über die Anzahl des Achsentyps der Baureihe BA 390, die in Betrieb sind, fehlt.
Wie die ersten Ergebnisse der Untersuchung darlegen, zeigt der Radscheibenbruch im Gotthard-Basistunnel eine Ähnlichkeit mit den Radscheibenbrüchen, die Gegenstand der ersten «JNS Procedure Broken wheels» war. Es zeigt sich ein gewisses systemisches Problem bei den verschiedenen Radscheibenbrüchen.
</t>
    </r>
    <r>
      <rPr>
        <b/>
        <sz val="11"/>
        <color theme="1"/>
        <rFont val="Calibri"/>
        <family val="2"/>
        <scheme val="minor"/>
      </rPr>
      <t>Sicherheitsempfehlung Nr.184</t>
    </r>
    <r>
      <rPr>
        <sz val="11"/>
        <color theme="1"/>
        <rFont val="Calibri"/>
        <family val="2"/>
        <scheme val="minor"/>
      </rPr>
      <t xml:space="preserve">
Die SUST empfiehlt dem Bundesamt für Verkehr (BAV), die Einberufung einer «JNS Procedure» bei der ERA zu beantragen.</t>
    </r>
  </si>
  <si>
    <t>R1 - Designation of convoy leader</t>
  </si>
  <si>
    <t>Update the regulations on the movement of abnormal loads, so that in the absence of a formally designated convoy leader, a default convoy leader is provided for in the regulations.</t>
  </si>
  <si>
    <t>R2 - Examination of applications for authorisation of low ground clearance
vehicles and the authorisation order issued</t>
  </si>
  <si>
    <t>Clarify the status of the various documents sent to the haulier or his authorised representative at the end of the traffic authorisation application examination phase (order, annexes, documents sent without annex status) so that all the mandatory requirements incumbent on him are even more clearly identified.</t>
  </si>
  <si>
    <t>R3 - Data available to help prepare for passing over a level crossing</t>
  </si>
  <si>
    <t>Make data available on the longitudinal profiles of road infrastructure in the vicinity of level crossings, so that passenger and goods road hauliers can more easily assess the capacity of their vehicles to pass over level crossings.
In each department, provide the departmental level crossing safety committee with updated data on an annual basis, in addition to the list of level crossings requiring difficult access.</t>
  </si>
  <si>
    <t>R4 - Safety of the train driver</t>
  </si>
  <si>
    <t>Bringing to international level the benefits of a shared definition of the minimum performance expected for the attachment of certain portable equipment, such as short-circuiting bars and fire extinguishers, present inside trains and, in some cases, inside driver's cabs.
Pending harmonised international regulations, organise exchanges at national level between railway equipment manufacturers and railway companies with a view to developing best practice and technological solutions in the short term.</t>
  </si>
  <si>
    <t>R5 - Exchanges between infrastructure managers</t>
  </si>
  <si>
    <t>When the departmental committees provided for in measure 10 of the action plan to make level crossings safer are held on 3 May 2019, ask the departmental Prefet to stress the following points to all those involved:
- share the modifications made, in particular the new topographical surveys and the longitudinal and cross-sectional profiles of the infrastructures in the vicinity of and at the right-hand side of the level crossings following the road or railworks;
- before the road is reopened following the works, to study the new conditions for road users crossing the LCs, in particular abnormal loads convoys and school transport, which may use vehicles with a lower crossing capacity than a light vehicle;
- Take advantage of the updated diagnostics and the annual update of the list of LCs that are difficult to cross to discuss any changes to the configuration of the site or traffic flows;
- ensure the availability of data relating to the longitudinal profiles of infrastructure in the vicinity of, and to the right of, the LCs, to make it easier for road haulage professionals, both passenger and freight, to study the crossing of LCs by their vehicles.</t>
  </si>
  <si>
    <t>no.441-1</t>
  </si>
  <si>
    <r>
      <rPr>
        <i/>
        <sz val="10"/>
        <color rgb="FF000000"/>
        <rFont val="Arial"/>
        <family val="2"/>
        <charset val="238"/>
      </rPr>
      <t>Preamble of recommendation no.441/1</t>
    </r>
    <r>
      <rPr>
        <sz val="10"/>
        <color rgb="FF000000"/>
        <rFont val="Arial"/>
        <family val="2"/>
      </rPr>
      <t xml:space="preserve">
Working in failure conditions of the installation CED-CR2, from the railway station Borăscu, for a long time, materialized in the fact that the insulated sections included into a running route were occupied on the control panel, clear on site, did not allow the electric locking of the running routes, so being removed a safety barrier man-machine.
Considering the findings and conclusions of the investigation commission, above mentioned, for the improvement of railway safety and prevention of similar events, AGIFER considers timely to address Romanian Railway Safety Authority – ASFR the next safety recommendation:
</t>
    </r>
    <r>
      <rPr>
        <b/>
        <sz val="10"/>
        <color rgb="FF000000"/>
        <rFont val="Arial"/>
        <family val="2"/>
        <charset val="238"/>
      </rPr>
      <t>Safety recommendation no.441/1</t>
    </r>
    <r>
      <rPr>
        <sz val="10"/>
        <color rgb="FF000000"/>
        <rFont val="Arial"/>
        <family val="2"/>
      </rPr>
      <t xml:space="preserve">
Romanian Railway Safety Authority - ASFR shall take care that the public railway infrastructure administrator CNCF „CFR” SA re-analyses and fills in ”Risks Register - 2022” of Installations Division Craiova – r 0-6,1-01, Ed.3, revision 0 and, if case, of other railway counties, the risk associated to the danger generated by keeping the interlocking system (SCB) in failure conditions for a long time and it sets monitoring measures for keeping these risks under control.
</t>
    </r>
  </si>
  <si>
    <t>Informing the interested personnel on the contents of the report</t>
  </si>
  <si>
    <t>Recommendation 1, proposes that SE NRIC and "BDZ-Passenger Services" EOOD shall inform the interested personnel on the contents of this report</t>
  </si>
  <si>
    <t xml:space="preserve">Analysis of the failure </t>
  </si>
  <si>
    <t>Recommendation 2 proposes that BDZ PS EOOD to carry out an analysis of the damage that occurred, which led to accidents and the subsequent repairs as necessary</t>
  </si>
  <si>
    <t xml:space="preserve">Comprehensive change of the regulations for the repair and maintenance </t>
  </si>
  <si>
    <t>Recommendation 3, proposes BDZ PS EOOD to carry out a comprehensive change of the regulations for the repair and maintenance of the electric locomotives series 43, 44 and 45 that have not been overhauled (PDR-LS 0103/1978 and PZR - PLS 127/2005 )</t>
  </si>
  <si>
    <t>Periodic trainings for the professional qualification development</t>
  </si>
  <si>
    <t>Recommendation 4, proposes BDZ PS EOOD to conduct periodic trainings to increase the professional qualification of the engineering and technical personnel involved in the repair and maintenance of the locomotives</t>
  </si>
  <si>
    <t>Assignment to the locomotive depots of every locomotive entered for TI</t>
  </si>
  <si>
    <t>Recommendation 5, proposes that BDZ PS EOOD assigns to the locomotive depots every locomotive entered for TI, that the engine compartment is regularly cleaned with a vacuum cleaner, and that the large aggregates are dismantled and thoroughly cleaned at each IPR</t>
  </si>
  <si>
    <t>Equip the locomotive depots with infrared cameras</t>
  </si>
  <si>
    <t>• Recommendation 6, proposes BDZ PS EOOD to equip the locomotive depots with infrared cameras to detect the places with increased temperature after prolonged operation of the locomotive</t>
  </si>
  <si>
    <t>no.442-1</t>
  </si>
  <si>
    <t xml:space="preserve">Preamble of recommendation nr.442/1
The investigation commission found that the railway undertaking did not assess the risks associated to the dangers generated by the lack, within the technical inspection at composition, the operation of blowing the general air pipe for the groups of 5÷10 wagons.
Considering the findings and conclusions of the investigation commission above mentioned, for the improvement of railway safety and prevention of similar events, AGIFER considers timely to address Romanian Railway Safety Authority – ASFR the next safety recommendation:
Safety recommendation no.442/1
Romanian Railway Safety Authority – ASFR shall ask the railway undertaking SNTFM „CFR Marfă” SA to assess the risks associated to the dangers generated by the lack, within the technical inspection at composition, the operation of blowing the general air pipe for the groups of 5÷10 wagons and to dispose effective safety measures for keeping them under control.
</t>
  </si>
  <si>
    <t>Trainings</t>
  </si>
  <si>
    <t>RU operating passenger services shall provide refresher training to train crews on compliance with the provisions of the regulations on where to stop the front of the train at the designated location in the station and at the passenger stop.</t>
  </si>
  <si>
    <t>Equipment tracks in W32 indicators</t>
  </si>
  <si>
    <t>PKP PLK S.A. will supplement W32 indicators in passenger stations and stops preceding W4 train head stop indicators at platforms longer than 100 meters.</t>
  </si>
  <si>
    <t>Information campaign</t>
  </si>
  <si>
    <t>RU providing passenger transportation will conduct an information campaign among travelers on the purpose and possibility of using intercoms on passenger trains in situations including emergencies or security threats. At present, the description of their purpose and mode of operation is not very clear and incomprehensible to travelers.</t>
  </si>
  <si>
    <t>Checking internal communication</t>
  </si>
  <si>
    <t>RU’s providing passenger transportation shall require the train crew, upon arrival of a train at the station of departure, to check the internal communication by means of the intercom and to respond appropriately to the call.</t>
  </si>
  <si>
    <t xml:space="preserve"> Information exchange on board</t>
  </si>
  <si>
    <t>RU’s operating passenger transportation will be instructed on the issue of information exchange on board the train between the passenger, the train crew, and the train driver, using the available technical means, in situations that pose a threat to the safety of passengers and the train.</t>
  </si>
  <si>
    <t>Eliminating  irregularities</t>
  </si>
  <si>
    <t>PKP PLK S.A. Railway Line Department in Kielce will eliminate the irregularities mentioned in point V.3 of the report.</t>
  </si>
  <si>
    <t>Recommendation no. IT-10276-1</t>
  </si>
  <si>
    <t>It is recommended to the National Agency for the Safety of Railways and Road and Highway Infrastructure to require to RFI to deepen the formation of staff on the provisions in force regarding the retention of module M.100 b and the formulation and registration of operational notification; in particular, regarding the identification of the corresponding Signaller and the clarity, uniqueness and completeness of the information communicated/received.</t>
  </si>
  <si>
    <t>Recommendation no. IT-10276-2</t>
  </si>
  <si>
    <t>It is recommended to the National Agency for the Safety of Railways and Road and Highway Infrastructure to require to the railway companies, also to those not involved in the event in question, to deepen the formation of staff that deal with the safety activity of trains conduction on the provisions in force regarding the formulation and registration of the communications exchanged with the Signaller, in particular, as regards the regular and progressive numbering of the M40a modules, as well as the clarity, uniqueness and completeness of the information communicated/received.</t>
  </si>
  <si>
    <t>Recommendation no. IT-10276-3</t>
  </si>
  <si>
    <t>It is recommended to the National Agency for the Safety of Railways and Road and Highway Infrastructure to strive that railway companies dealing with freight transport service can make proposals for amendements to the WAG TSI in force (specification 4.2.2.3 “Integrity of the unit”) as part of a European technical commitee, in order to consider, in addition to the protection against accidental movements of moving parts of freight wagons, also the protection against movements caused by voluntary acts (tampering). 
This Recommendation is also extended to ERA for the same purposes.</t>
  </si>
  <si>
    <t>Recommendation no. IT-10276-4</t>
  </si>
  <si>
    <t>It is recommended to the National Agency for the Safety of Railways and Road and Highway Infrastructure to require to the railway companies dealing with freight transport service to verify the effectiveness of all safety measures put in place to ensure the acceptability of the risks related to the undue opening of the mobile parts of wagons, by means of its own implemented monitoring system, in order to reviewing that risk, if necessary, in relation to the outcome of that verification. In particular, it is recommended to require to pinpoit into the own register of the hazards also the risk associated with unauthorised access by third parties, in violation of the law, with a potential effect on operation safety (with regard to the systems for closing the swing doors of wagons) and, therefore, evaluate it and monitor it systematically, taking the necessary corrective action as appropriate.</t>
  </si>
  <si>
    <t>Recommendation no. IT-10276-5</t>
  </si>
  <si>
    <t>It is recommended to the National Agency for the Safety of Railways and Road and Highway Infrastructure to require to the railway companies dealing with passengers transport service to verify the completeness, accuracy and clarity of the disposition regarding the verification of rolling stock, in refer to the articles relating to speed restrictions to be adopted in the event of malfunctioning or failure of functional components of traffic safety, and accordingly to adopt the related training courses for the personnel concerned.</t>
  </si>
  <si>
    <t>Recommendation no. IT-10276-6</t>
  </si>
  <si>
    <t>It is recommended to the National Agency for the Safety of Railways and Road and Highway Infrastructure to require to RFI to verify, with specific reference to the prescription referred to in art. 36 letter a) of the Railway Traffic Circulation Regulations, where it is indicated "...between the two places concerned..." , whether the measures taken by the Signaller in the presence of potential obstacles or loads dispersed in line are such as to ensure safety and are suitable to avoid potential danger conditions for traffic circulation on the entire route concerned, taking appropriate corrective action.</t>
  </si>
  <si>
    <t>Recommendation no. IT-10276-7</t>
  </si>
  <si>
    <t>It is recommended to the National Agency for the Safety of Railways and Road and Highway Infrastructure to require to infrastructure managers and railway companies to keep, according to their respective competences, all digital recordings (surveillance cameras, recordings of telephone conversation or other types) for longer periods than those currently in use. Indicativly: at least one month for video recording and at least one year for digital conversations. Moreover, it is asked that the managers and the companies promptly provide, to the reception of the communication of initiation of investigation from the DiGIFeMa, to acquire and to preserve, according to competences, copy of all the documentation and the digital recordings (surveillance cameras, recordings of telephone conversation or other types) so that such documental material will not be lost. Furthermore, the Agency is recommended to require infrastructure managers to verify the actual presence, in the rail stations where freight trains, during prolonged stops, may be subject to tampering or access by third parties, suitable and efficient video surveillance systems for the detection of undue presence of people in the railway sector.</t>
  </si>
  <si>
    <t>Addressed to the Czech National Safety Authority (NSA):
• as a part of its activities as a national safety authority, to take own measure to ensure at IM Správa železnic, státní organizace:
-to adjust the internal regulation SŽ D1 so that obligations of the train driver in meaning Section 35 (1, f) of Decree No. 173/1995 Coll. were not determine only to employee in forehead of the shunting operation during shunting with shunting gang;
-to adjust the internal regulation SŽ D1 in the case of condition to giving guidance to set the drawn shunting operation in motion by head of the shunting operation;
-to adjust the internal regulation SŽ D1 in the case of definition of running at sight.</t>
  </si>
  <si>
    <t>Addressed to the Czech National Safety Authority (NSA):
• to take own measure to ensure addition of the level crossing No. P3277 which is secure by flashing light level crossing warning system to a level crossing systém equipped with barriers which with regard to point of view of optical and manual barrier will reduce probability of the driver’s entrance at the level crossing when he does not respond to light signalization in the warning state.</t>
  </si>
  <si>
    <t>Addressed to Municipality of Rumburk, as the road administrative office in matters of municipal roads in the administrative territory of the municipality with extended powers Rumburk and the administrator of the road:
• to ensure, beyond the scope of legal obligations, regular (several times a year) check and maintenance of vertical road markings and greenery (trees and bushes) in front of the level crossing No. P3277 so that the road markings will be clearly visible, legible and not to be confused with other road markings;
• to ensure that the existing traffic signing A 31c „Signal board (80 m)” and A 30 „Level crossing without barriers” will be added by traffic signing A 31b „Signal board (160 m)” and A 31a „Signal board (240 m)” in accordance with the technical conditions of TP 169 Principles for marking traffic situations on roads and TP 65 Principles for road markings on roads.</t>
  </si>
  <si>
    <t>Addressed to the Czech Ministry of Transport:
• to initiate a change of a legal regulations so that the vertical traffic signing A 31 „Signal board” and A 30 „Level crossing without barriers" or A 29 „Level crossing with barriers” will be mandatory installed, with the exception of service road, while in justified cases may be allowed an exception upon fulfillment of the condition to ensure visibility of traffic signs A 32 „Warning cross for level crossing" outside the village at least from a distance of 100 m, in the village at least 50 m.</t>
  </si>
  <si>
    <t>Recommendation no. IT-10270-1</t>
  </si>
  <si>
    <t>It is recommended to the National Agency for the Safety of Railways and Road and Highway Infrastructure (ANSFISA) to urge railway infrastructure managers to undertake analysis, study and research, as far as relevant, aimed at deepening all the situations in which the singularity of the railway network configuration can render atypical the dynamics related to thermal stresses, in order to verify the adequacy of the operating modes for the construction and control of the  track with countinuous welded rail implemented in its operational context by activating the appropriate changes if necessary.</t>
  </si>
  <si>
    <t>Recommendation no. IT-10270-2</t>
  </si>
  <si>
    <t>It is reccomended to The National Agency for the Safety of Railways and Road and Highway Infrastructure (ANSFISA) to urge railway infrastructure managers to identify the sections of the network, identifiable as singular configurations for the purposes of the dynamics connected with the thermal stress, for which, including following the results of the analyses, studies and research referred to in Recommendation 1, it's needed to define specific preventive actions to ensure safe operation of the infrastructure.</t>
  </si>
  <si>
    <t>Recommendation no. IT-10270-3</t>
  </si>
  <si>
    <t>It is recommended to the National Agency for the Safety of Railways and Road and Highway Infrastructure (ANSFISA) to urge railway infrastructure managers to undertake training activities for the proper performance of the tasks addressed to the staff concerned, with regard to the procedures and operational instructions relating to the construction and control of the track with continuous welded rail, with particular reference to the recordings and actions to be taken in the event of non-compliance being detected.</t>
  </si>
  <si>
    <t>Recommendation no. IT-10270-4</t>
  </si>
  <si>
    <t>It is recommended to the National Agency for the Safety of Railways and Road and Highway Infrastructure (ANSFISA) to urge railway infrastructure managers to activate controls and define the necessary actions following the detection of non-conformity such as to prevent potentially dangerous events by defining the allowable maximum intervention times or permitted limits states and mitigation action to be activated for the management of the transitory.</t>
  </si>
  <si>
    <t>Recommendation no. IT-10270-5</t>
  </si>
  <si>
    <t>It is recommended that the National Agency for the Safety of Railways and Road and Highway Infrastructure (ANSFISA) to propose such recommendations in appropriate international offices.</t>
  </si>
  <si>
    <t>no.444-1</t>
  </si>
  <si>
    <t xml:space="preserve">Preamble of safety recommendation no.444/1
During the investigation, the result was that the regulations for the length of maximum accepted duty for the locomotive, of the rest at home or outside of it, as well as of the daily working time and daily rest were not met with.
Safet recommendation no.444/1
Romanian Railway Safety Authority – ASFR shall ask the railway undertaking SC Tim Rail Cargo SRL to revise the Operational Procedure – Making the railway traffic process Code: PO-01 Ed:3 in order to establish concrete tasks and duties for real time effective monitoring of the locomotive crew activity and meeting with the provisions from Law 53/2003 – Labour Code.  
</t>
  </si>
  <si>
    <t>no.444-2</t>
  </si>
  <si>
    <t xml:space="preserve">Preamble of safety recommendation no.444/2
During the investigation there was found that into the Annexes, worked in accordance with the provisions from the procedure PG-14, there are not identified and assessed the risk factors represented by: 
- infringement of the instruction provisions by the trains crews; 
- infringement of the regulation framework regarding the length of rest at home and outside it;
- infringement of regulation framework regarding the length of daily working time and daily rest.
Safety recommendation no.444/2
Romanian Railway Safety Authority – ASFR shall ask the railway undertaking SC Tim Rail Cargo SRL to make again the identification and assessment of risks corresponding to Railway Traffic Process. 
</t>
  </si>
  <si>
    <t>Recommendation no. IT-10335-1</t>
  </si>
  <si>
    <t>It is recommended to the National Agency for the Safety of Railways and Road and Highway Infrastructure to strive that infrastructure managers respect and monitor the implementation of activities provided for by preventive maintenance plans of railway equipments and devices, evaluating the effectiveness and adequacy in terms of frequency of maintenance activities, also in relation to the age of the railway equipments and devices subject of the maintenance.</t>
  </si>
  <si>
    <t>Recommendation no. IT-10335-2</t>
  </si>
  <si>
    <t>It's recommended to the National Agency for the Safety of Railways and Road and Highway Infrastructure to ensure that infrastructure managers and railway companies carry out a verification and a possible revaluation of working hours or remodulation of the service, in relation to the increase in the workload resulting from degraded operating conditions of the infrastructure due to the occurrence of failures.</t>
  </si>
  <si>
    <t>Recommendation no. IT-10335-3</t>
  </si>
  <si>
    <t xml:space="preserve">It is recommended to the National Agency for Safety of Railways and Road and Highway Infrastructure to ensure that the RU (Railway Undertaking) and IM (Infrastructure Manager) EAV quickly proceed to a reworking of its regulations inspired by the principles of clarity, precision, uniformity, simplicity and completeness, especially with regard to the safety procedures to be adopted to ensure the operation of the traffic circulation under conditions of degradation of the infrastructure due to the occurrence of failures.  </t>
  </si>
  <si>
    <t>Recommendation no. IT-10335-4</t>
  </si>
  <si>
    <t>It is recommended to the National Agency for the Safety of Railways and Road and Highway Infrastructure to evaluate the opportunity to require the RU and IM EAV to issue an internal measure that clearly highlights the importance, for safety, full compliance with the regulatory provisions, accompanied by appropriate training actions of the operators involved, especially with regard to the safety procedures to be adopted to ensure the service of the traffic circulation degraded operating conditions of the infrastructure due to the occurrence of failures.</t>
  </si>
  <si>
    <t>Recommendation no. IT-10335-5</t>
  </si>
  <si>
    <t>It is recommended to the National Agency for the Safety of Railways and Road and Highway Infrastructure take steps to ensure that the EAV IM takes measures to prevent unauthorized third party access to the working environment of the Local Manager.</t>
  </si>
  <si>
    <t>RS 2023/01: Reliability of the Infrastructure Manager's process for issuing an opinion on the use of roads for purposes other than the normal use by pedestrians or vehicles, when they include level crossings</t>
  </si>
  <si>
    <t>It is recommended that the Infrastructure Manager IP – Infraestruturas de Portugal, S.A., within a period to be defined by the NSA, reviews its internal procedures in order to ensure that opinions on requests for the use of public roads for purposes other than the normal use by pedestrians or vehicles which involve the use of level crossings, are always subject to a specific and appropriate assessment of the risks for the railway system and for the users of the crossings, identifying the appropriate control measures to be applied.
This reassessment of procedures must consider the need for:
i) objective and unequivocal criteria regarding the action to be adopted in the analysis of requests for use,
ii) consideration of the risks specific to each use, including those inherent to the type of users, their number and objectives,
iii) appropriate control mechanisms to prevent the issuance of the opinion without carrying out the aforementioned risk assessment of the various components involved, namely due to the sole failure of a participant in the process.</t>
  </si>
  <si>
    <t>RS 2023/02: Training of police officers regarding operating protocols in railway sites</t>
  </si>
  <si>
    <t>It is recommended that the PSP National Directorate take the necessary measures to reinforce the knowledge of all its agents performing functions in the areas under the jurisdiction of that police force where there is rail transport, regarding the conditions for safe action in a railway environment, namely:
i) establishing a regular training and refresher plans on risks in the railway environment and action protocols,
ii) creating the conditions so that agents always have immediately available the direct contact number with the rail traffic control centres, as agreed with the Infrastructure Manager.</t>
  </si>
  <si>
    <t>RS 2023/03: Involvement of the railway infrastructure manager in the planning and authorization of organized events involving the use of level crossings</t>
  </si>
  <si>
    <t>It is recommended that the Associação Nacional de Municípios Portugueses reinforces to its members the obligation to make a prior request for an opinion from the railway infrastructure manager whenever they organize or authorize any use of a public road for purposes other than the normal use by pedestrians and vehicles, when it includes level crossings on its route.</t>
  </si>
  <si>
    <t>RS 2023/04: Road signage at the level crossing at PK 395,401 on the Algarve line</t>
  </si>
  <si>
    <t>It is recommended that the Câmara Municipal de Vila Real de Santo António, on the roads under its responsibility accessing the level crossing inserted on Avenida Município de Playa, reviews the signage so as to guarantee compliance with the provisions of the Traffic Signalling Regulation regarding the placement of pre-signaling signs 19a to 19f, also taking into account the provisions in the normative document “Level Crossing Signaling” published by the Instituto da Mobilidade e dos Transportes.
As a preventive measure, the City Council may wish to extend this review to other existing level crossings in its territory.</t>
  </si>
  <si>
    <t>Addressed to the Czech National Safety Authority (NSA):
• as a part of its activities as a national safety authority in cooperation with producer of jaw locks (AŽD Praha), producer of switches (DT – Výhybkárna a strojírna) and with operators of double switches with jaw locks, to solve problems repeated and undesirable non-standard contacts of locking hooks with next switch components (stock rail) and definitive remove this contacts which it will prevent undesirable stress of this locking hooks.</t>
  </si>
  <si>
    <t>Recommendation no. IT-10253-01</t>
  </si>
  <si>
    <t>27/11/2023</t>
  </si>
  <si>
    <t>It is recommended to the National Agency for the Safety of Railways and Road and Highway Infrastructure to ensure that GTS Rail and other railway undertakings, when buying new wagons, verify or have the ECM verify (Entity in Charge of Maintenance), the presence and correct installation of the fasteners of the hooks to the draw gear, including their restraint systems (bolts and plates), preserving documentary evidence.</t>
  </si>
  <si>
    <t>Recommendation no. IT-10253-02</t>
  </si>
  <si>
    <t>It is recommended to the National Agency for the Safety of Railways and Road and Highway Infrastructure to ensure that manufacturers responsible for the manufacture and realization of vehicles, during the assembly of traction components, ensure the correct installation of the fasteners of the hooks to the draw gear, as well as the restraint systems (bolts and plates).</t>
  </si>
  <si>
    <t>Recommendation no. IT-10253-03</t>
  </si>
  <si>
    <t>It is recommended to the National Agency for the Safety of Railways and Road and Highway Infrastructure to propose such recommendations in appropriate international offices.</t>
  </si>
  <si>
    <t>Addressed to the Czech National Safety Authority (NSA):
• to adopt measure which ensure change of the level crossing No. P7263 safeguarding (which make use of above all lorries) by level crossing safety equipment with warning lights and barriers due to big traffic moment (bigger than 10 000);
 • to adopt measure which immediately ensure that at current safeguarding of the level crossing No. P7263 will be road markings A 32a „Warning cross for single rail level crossing“ highlighted by a retroreflective yellow-green fluorescence base to emphasize their importance, which will significantly eliminate the possibility of their oversight while driving over the level crossing.</t>
  </si>
  <si>
    <t>11/12/2023</t>
  </si>
  <si>
    <t xml:space="preserve">Authorised infrastructure managers shall take targeted actions addressed to their personnel (operation, repair, maintenance) to refresh the uniform rules of conduct in the event of non-activity of traffic protection devices at level crossings. </t>
  </si>
  <si>
    <t>Osp-1 related actions</t>
  </si>
  <si>
    <t xml:space="preserve">In the event of a malfunction of automatic crossing system devices which cause the Osp-1 signal (Polish: tarcza ostrzegawcza przejazdowa, TOP) to be displayed by level crossing warning signal lights for one track of a given level crossing, infrastructure managers shall cause that the Osp-1 signal is displayed for all tracks within the level crossing concerned. </t>
  </si>
  <si>
    <t>Prohobit re-activation of the automatic crossing system</t>
  </si>
  <si>
    <t>In the event of an unserviceability of the automatic crossing system due to a malfunction of its elements, infrastructure manager PKP PLK S.A. shall prohibit re-activation of the automatic crossing system from the remote control device level by the operating personnel after signalling by road signals is turned off by the operating personnel.</t>
  </si>
  <si>
    <t>Inspection of records</t>
  </si>
  <si>
    <t>Infrastructure manager PKP PLK S.A. shall inspect and enhance supervision of the correctness and completeness of the provisions laid down in Books E1758</t>
  </si>
  <si>
    <t>Enhance supervision</t>
  </si>
  <si>
    <t>Railway undertaking PKP CARGO S.A. shall enhance supervision of the management of rail vehicle maintenance documentation, in particular as regards its accuracy concerning the condition of the vehicle.</t>
  </si>
  <si>
    <t xml:space="preserve">Synchronisation of time </t>
  </si>
  <si>
    <t>Infrastructure manager PKP PLK S.A. shall take effective actions to synchronise time in the electronic time system which it operates.</t>
  </si>
  <si>
    <t>Risk analyses-related actions</t>
  </si>
  <si>
    <t xml:space="preserve">Authorised infrastructure managers shall include in their hazard records hazards related to any structures erected within the visibility triangle. In each case, they shall conduct a risk analysis at the stage of designing structures close to level crossings, 
taking into account the local conditions of a given level crossing. 
</t>
  </si>
  <si>
    <t xml:space="preserve">Users of rail sidings, operators of narrow-gauge railways and infrastructure managers exempt from the obligation to obtain a safety authorisation and authorised to operate under a safety certificate shall inspect the conditions of development within visibility triangles, taking into account inter alia the provisions of paragraphs 14 and 15 of Part B of Annex 3 to the Regulation of the Minister of Infrastructure and Development of 20 October 2015 on the technical conditions to be met by crossings of railway lines and sidings with roads, and on their positioning (Journal of Laws of 2015, item 1744, as amended). </t>
  </si>
  <si>
    <t>AIN/06-SR12/2023</t>
  </si>
  <si>
    <t>29/12/2023</t>
  </si>
  <si>
    <t xml:space="preserve">The infrastructure manager should further develop the technological process of the Škrljevo station for the cases of disassembling freight trains with the final destination at the Šoići station. </t>
  </si>
  <si>
    <t>AIN/06-SR-13/2023</t>
  </si>
  <si>
    <t>22/12/2023</t>
  </si>
  <si>
    <t>The involved Railway Undertaking should, until the procedures for testing the accuracy of the handbrake in situations of prolonged detention of a diesel motor train 7122 series due to a failure on the track regardless of the track slope are developed, prescribe that in addition to the use of the handbrake the manual stop shoes that are in the vehicle should also be placed.</t>
  </si>
  <si>
    <t>AIN/06-SR-14/2023</t>
  </si>
  <si>
    <t>The involved Railway Undertaking in cooperation with the authorized vehicle maintainer should work out the procedures for testing the accuracy of the handbrake on the diesel motor train 7122 series.</t>
  </si>
  <si>
    <t>AIN/06-SR-15/2023</t>
  </si>
  <si>
    <t>The involved Railway Undertaking should provide further training to the engine crew about the use and operation of the handbrake on the diesel motor train 7122 series.</t>
  </si>
  <si>
    <t>no.445-1</t>
  </si>
  <si>
    <t>18/12/2023</t>
  </si>
  <si>
    <t xml:space="preserve">Preamble of the recommendation no.445/1
The investigation commission found that the infrastructure administrator did not make an analysis regarding the assessment of the derailment risk identified in „Evidence of safety dangers - Lines”, associated to the danger „exceeding of tolerances accepted for the track geometry”.
Considering the findings and conclusions of the investigation commission above mentioned, for the prevention of accident similar to those presented in this report, AGIFER issues the next safety recommendations:
Recommendation no.445/1 
Romanian Railway Safety Authority– ASFR shall take care that the railway county Timișoara assesses the risk associated to the danger of exceeding the tolerances accepted for the track geometry and it establishes viable safety measures for keeping under control those risks.
</t>
  </si>
  <si>
    <t>no.446-1</t>
  </si>
  <si>
    <t>4/1/2023</t>
  </si>
  <si>
    <t xml:space="preserve">Preamble of the safety recommendation no.446/1
The investigation commission found that the railway undertaking did not assess the risks associated to the dangers generated by the acceptance and keeping in running a wagon with failures that did not allow its running loaded.
Considering the findings and conclusions of the investigation commission, before mentioned, for the improvement of railway safety and prevention of similar events, AGIFER considers timely to address ASFR the next safety recommendation, without excluding the extension of the recommendation also to other railway undertakings:
Safety recommendation no.446/1
Romanian Railway Safety Authority – ASFR shall ask the railway undertaking SNTFM „CFR Marfă” SA to assess the risks associated to the dangers generated by the acceptance and keeping in traffic a wagon with failures that do not allow its running loaded and to establish possible measures for keeping these risks under control.
</t>
  </si>
  <si>
    <t>Safety recommendation Rail no 2024/01T</t>
  </si>
  <si>
    <t>On 4 November 2022, a freight train ran into a landslide at Heskestad on the Sørlandsbanen Line and derailed. The landslide was triggered by heavy rainfall in the area, but Bane NOR SF had not introduced any emergency measures. Bane NOR SF's weather guard is responsible for assessing if weather conditions require emergency measures. The role of weather guard is combined with other key functions, and during worsening weather conditions, the weather guard therefore has a number of simultaneous tasks to attend to.
The Norwegian Safety Investigation Authority recommends that the Norwegian Railway Authority request Bane NOR SF to evaluate and, if necessary, improve the organisation for weather preparedness.</t>
  </si>
  <si>
    <t>Safety recommendation Rail no 2024/02T</t>
  </si>
  <si>
    <t>On 4 November 2022, a freight train ran into a landslide at Heskestad on the Sørlandsbanen Line and derailed. The landslide was triggered by locally heavy rainfall, but Bane NOR SF had not introduced any emergency measures. An increase in precipitation amounts is expected in the years to come, and railway infrastructure will therefore be at increased risk of being affected by landslides and flooding events.
The Norwegian Safety Investigation Authority recommends that the Norwegian Railway Authority request Bane NOR SF to evaluate and, if necessary, improve the method for mapping and monitoring areas with a risk of water-triggered landslides, at a time of steadily increasing precipitation intensity.</t>
  </si>
  <si>
    <t>01/2023</t>
  </si>
  <si>
    <t>Sicherheitsbehörde &gt; EIU: Es wird empfohlen, das Arbeitssystem zur Verar‐beitung und Übermittlung von Zugmeldungen dahingehend zu überprüfen und zu modifizieren, dass deren Information zu jedem Zeitpunkt ins‐besondere bei Übergang zwischen automatisier‐ten zu manuellen Prozessen den Anforderungen gemäß VO (EU) 2018/762, Anhang 2, Punkt 4.4.3 entspricht.</t>
  </si>
  <si>
    <t>02/2023</t>
  </si>
  <si>
    <t>Sicherheitsbehörde &gt; EIU: Es wird empfohlen, die Prozesse zur Planung, Ausführung, Freigabe und Abnahme der Funktio‐nalitäten von ZN‐Anlagen gem. VO (EU) 2018/762 Anh. II Punkt 5.2.1 einschließlich des zugehörigen Änderungs‐ und Risikomanagements zur sicheren Integration der Sachanlage in die Arbeitssysteme zu überprüfen und zu verbessern.</t>
  </si>
  <si>
    <t>03/2023</t>
  </si>
  <si>
    <t>Sicherheitsbehörde &gt; EIU: Es wird empfohlen, zur Gewährleistung der Schutzfunktion des Arbeitsverfahrens „derselbe Zug ist in einen Abschnitt ein‐ und wieder ausge‐fahren“ entsprechend VO (EU) 2018/762 Anh. II Punkt 3.1.1.1 die Risiken für den Fall von Fehl‐handlungen der Beteiligten zu ermitteln und das Arbeitsverfahren zu verbessern.</t>
  </si>
  <si>
    <t>04/2023</t>
  </si>
  <si>
    <t>Sicherheitsbehörde &gt; EIU: Es wird empfohlen, entsprechend VO (EU) 2018/762 Anh. II Punkt 3.1.1.1 die Risiken bei Widersprüchen zwischen dem angenommenen Standort eines Zuges durch den Fahrdienstleiter und dem durch den Triebfahrzeugführer gemel‐deten Standort zu ermitteln und geeignete Ar‐beitsverfahren für die sichere Weiterführung des Betriebes zu entwickeln.</t>
  </si>
  <si>
    <t>05/2023</t>
  </si>
  <si>
    <t>Sicherheitsbehörde &gt; EIU: Es wird empfohlen, die technischen Bedingungen zur Wirksamkeit der Bedienhandlung einer Achs‐zählgrundstellung weiter zu entwickeln um hier‐durch die Risiken aus erfolgreichen, unzeitigen Bedienhandlungen weiter zu minimieren bzw. auszuschließen. Bis zur technischen Umsetzung und zur Minimierung eines potenziellen Scha‐densausmaßes wird empfohlen, kompensierende verfahrensbasierte Lösungen zu implementieren.</t>
  </si>
  <si>
    <t>Changes of legislation</t>
  </si>
  <si>
    <t>19/12/2023</t>
  </si>
  <si>
    <t xml:space="preserve">The Minister competent for transport shall lay down, among others, the conditions of positioning pedestrian crossings at level crossings in the implementing provisions to the Construction Law. </t>
  </si>
  <si>
    <t xml:space="preserve">The Minister competent for transport shall take actions to amend the Regulation of the Minister of Infrastructure and Development on the technical conditions to be met by crossings of railway lines and sidings with roads, and on their positioning 
as regards activation of lights on all barrier bars simultaneously with the start of emitting signals on road signals.
</t>
  </si>
  <si>
    <t>Authorised rail infrastructure managers, users of railway sidings, operators of narrow-gauge railways and infrastructure managers exempt from the obligation to obtain a safety authorisation and authorised to operate under a safety certificate shall inspect level crossings as regards the location of pedestrian crossings in their immediate vicinity. Shall any such pedestrian crossings be identified, they shall immediately act together with the relevant road manager to move those pedestrian crossings outside the level crossing's danger zone.</t>
  </si>
  <si>
    <t xml:space="preserve">To adopt of PKBWK's recommendation </t>
  </si>
  <si>
    <t xml:space="preserve">Rail infrastructure managers shall implement recommendation no. 2) from Point 4.2 issued by the Commission in the PKBWK's Annual Report 2018, i.e.
"Infrastructure managers shall remove exit barriers in automatic crossing systems at Category B level crossings where solutions with four half-barriers are employed. Such a configuration is inconsistent with the provisions of Point 6.2 of Annex no. 4 to the Regulation of the Minister of Infrastructure of 3 July 2003 on the detailed technical conditions concerning road signs and signals and road traffic safety devices, and on the conditions of their installation on roads (consolidated text: Journal of Laws of 2019, item 2311), which provide that: "barriers U-13a and U-13b which close the entire width of the roadway shall be used at Category A level crossings, whereas half-barriers U-13c shall be used at Category B level crossings. Half-barriers shall be positioned so that they close the right half of the road on each side (also where half-barriers are installed on one-way roadways)".
In addition to the recommendation of 2018, efforts should be made to separate traffic lanes on one-way roads by means of installing separators.
</t>
  </si>
  <si>
    <t>Changes within the level crossing</t>
  </si>
  <si>
    <t xml:space="preserve">PKP PLK S.A. Railway Line Plant in Tarnowskie Góry shall:
- change the position of the cameras at the level crossing to provide for monitoring of the area of the entire level crossing together with the road signals,
- change the operation of the sound signal, which at present generates acoustic warning signals after rolling stock engages the switch-off sensor (as per the system's Technical and Operational Documentation, DTR).
</t>
  </si>
  <si>
    <t>Addressed to the Czech National Safety Authority (NSA):
within the framework of own activity as a national safety authority, to take own measures, which will ensure at infrastructure managers of railway (with the exception of special railways):
• to reassess (taking into account the local conditions) the installation of fixed buffer stops in safety tracks and in the future to use of such types of buffer stops, which, in the event of a collision with a rolling stock, have a lower risk of endangering the structure gauge of traffic tracks due to the consequences of this collision.</t>
  </si>
  <si>
    <t>Recommendation A-2023_001 - Train to standstill before reaching the danger point</t>
  </si>
  <si>
    <t>In order to prevent collisions when crossing signals, it is recommended that the regulations specify that the specified speeds of the train be adjusted, taking into account the braking behavior, so that when a signal is crossed, the braking process initiated thereby brings the train to a standstill before reaching the danger point. In addition to the existing instruments, such as book timetables, LA reports or speed signaling on the route, it is recommended to also use the existing real-time train data (ARAMIS) in order to specify speeds in electronic form to the locomotive control via existing communication channels.</t>
  </si>
  <si>
    <t>Recommendation A-2023_002 - Obligation to inform the locomotive (train) driver</t>
  </si>
  <si>
    <t>It is recommended to include in the existing regulations the obligation to inform the locomotive driver electronically (automatically) about certain deviations from regular operations that must be determined in advance and which could be relevant to safety (such as delays). If possible, existing facilities such as real-time train data (ARAMIS), communication channels and receiving devices (e.g. TIM device) should be used. It is recommended that working with this information and its safety relevance be included in the training and presented in a practical way in a service aid.</t>
  </si>
  <si>
    <t>16/1/2024</t>
  </si>
  <si>
    <t>Infrastructure manager PKP PLK S.A. shall, within the framework of its periodic and additional training and courses for signallers, place particular emphasis on the prescribed use of telephone signalling messages when managing traffic on the basis of train signalling by telephone, as prescribed in Instruction Ir-1.</t>
  </si>
  <si>
    <t>Extend supervision</t>
  </si>
  <si>
    <t>Infrastructure manager PKP PLK S.A. shall extend particular supervision to workers directly involved in rail traffic management (traffic officers, point operators) with less than two years of employment.</t>
  </si>
  <si>
    <t xml:space="preserve">Replays of recorded conversations </t>
  </si>
  <si>
    <t>Infrastructure manager PKP PLK S.A. shall enhance actions concerning periodic replays of recorded conversations from traffic operation posts, in particular under restriction in force (signalling by telephone, issuing orders and reporting readiness of routes).</t>
  </si>
  <si>
    <t>Introduce permanent supervision</t>
  </si>
  <si>
    <t>Infrastructure manager PKP PLK S.A. shall introduce permanent supervision of the correct use of telephone signalling messages when managing traffic on the basis of train signalling by telephone, in accordance with templates contained in Instruction Ir-1.</t>
  </si>
  <si>
    <t>Verify the presence of the W28 indicators</t>
  </si>
  <si>
    <t>Infrastructure manager PKP PLK S.A. shall verify the presence, in the railway network under its management, of the W28 "Radio channel indicators" at the locations of change of the prescribed train radio communication channel.</t>
  </si>
  <si>
    <t>Using Pc 5 signal disks</t>
  </si>
  <si>
    <t>In order to ensure good visibility of the return reflection from Pc 5 signal disks (day) on curves, the railway carriers shall implement the obligation to use Pc 5 signal disks "Marking of the end of a train or another rail vehicle" in accordance with the technical requirements laid down in Part II of Instruction Ie-102 "Technical requirements for indicators and signal discs" on freight trains operating on railway lines managed by PKP Polskie Linie Kolejowe S.A.</t>
  </si>
  <si>
    <t>Correct setting of the real time in traction vehicle recorders</t>
  </si>
  <si>
    <t>Railway carrier CTL Logistics Sp. z o.o. shall ensure supervision of the correct setting of the real time in traction vehicle recorders.</t>
  </si>
  <si>
    <t xml:space="preserve">Eliminate visibility of sources of light which dazzle drivers of rail vehicles.
</t>
  </si>
  <si>
    <t xml:space="preserve">The infrastructure managers shall procure that works contractors eliminate visibility of sources of light illuminating their construction sites 
in the area of active railway tracks which dazzle drivers of rail vehicles.
</t>
  </si>
  <si>
    <t>05/2020</t>
  </si>
  <si>
    <t>22/6/2020</t>
  </si>
  <si>
    <t>Strecken ohne technisch realisierten Folge- und Gegenfahrschutz sollten, über die bisher getroffenen Regelungen hinaus, einer Sicherheitsbewertung unterzogen werden. Anhand der Ergebnisse sollten zusätzlich geeignete Maßnahmen getroffen werden, um ein unbeabsichtigtes Einfahren eines Zuges in einen bereits durch einen anderen Zug beanspruchten Streckenabschnitt auszuschließen.</t>
  </si>
  <si>
    <t>no.449-1</t>
  </si>
  <si>
    <t>7/2/2024</t>
  </si>
  <si>
    <t xml:space="preserve">Preamble of safety recommendation no.449-1
Along the investigation resulted that the inobservance, by the economic operator SC ROLLING STOCK COMPANY SA – keeper of the rolling stock, of the procedures for introduction, respectively reception and putting into operation, in and from the contract repairing unit (SIRV SRL Săcele), of the rolling stock, according to the system procedures worked out by SC ROLLING STOCK COMPANY SA. 
Following the control of the way the technical reception activity is regulated and performed– at the certification keeper ERI - SC ROLLING STOCK COMPANY SA - the investigation commission found that within the contract relationships with SIRV SRL Săcele the activity above mentioned was not observed with, regarding the repair type RIF, so the staff in charge with technical reception from SC ROLLING STOCK COMPANY SA not being present.
Considering the findings and conclusions of the investigation commission, above mentioned, for the improvement of railway safety and prevention of similar events, AGIFER considers timely to address Romanian Railway Safety Authority – ASFR the next safety recommendation:
Safety recommendation no.449-1
Romanian Railway Safety Authority shall ask the economic operator SC ROLLING STOCK COMPANY SA the revision of the provisions from the own system procedure PSF-45 – Identification of dangers in the management of the maintenance of wagon and locomotive stock and from the procedures that define the control measures applied to the maintenance caried out and return to operation of the wagons.  
</t>
  </si>
  <si>
    <t>ECM to strengthen supervision of the process of repairs</t>
  </si>
  <si>
    <t>23/1/2024</t>
  </si>
  <si>
    <t>Entities in charge of maintenance (ECMs) of freight wagons shall strengthen supervision of the process of repairs of wheelsets during replacement of wheels and P4 and P5 maintenance.</t>
  </si>
  <si>
    <t>Checking of MMS</t>
  </si>
  <si>
    <t>Entities in charge of maintenance (ECMs) of freight wagons shall check their Maintenance Management Systems (MMSs) for factors contributing to the occurrence, and shall consider inclusion of the following elements in those systems:
a) detailed requirements regarding contractors that perform P4 and P5 maintenance activities,
b) inclusion in the freight wagon Maintenance Management System (MMS) of competence requirements and detailed tasks for workers authorised to perform commissioning, in particular as regards in-process commissioning.</t>
  </si>
  <si>
    <t>Strengthen supervision</t>
  </si>
  <si>
    <t>As part of its Maintenance Management System, TORPOL S.A. shall take actions relating to:
a) increasing the supervision of compliance with the Maintenance Management System procedures,
b) ensuring detailed supervision of rail vehicle maintenance service providers, in particular as regards tests of running gear.</t>
  </si>
  <si>
    <t>Strengthen the supervision of its P4 and P5 maintenance activities</t>
  </si>
  <si>
    <t>MEGA–MET Sp. z o.o. Sp.k. in Łazy shall take actions to strengthen the supervision of its P4 and P5 maintenance activities, including enhanced quality control of repair activities provided, in particular ones that are outsourced.</t>
  </si>
  <si>
    <t xml:space="preserve"> Traceability of wheelsets for freight wagon axles </t>
  </si>
  <si>
    <t>The President of the Rail Transport Office shall finalise the actions commenced in 2020 to introduce the obligation regarding traceability of wheelsets for freight wagon axles in accordance with the Implementation guide for the European Wheelset Traceability (EWT) for freight wagon axles made in Brussels on 26 July 2010 by the Joint Sector Group for ERA Task Force on wagon/axle maintenance and agreed with the National Safety Authority.</t>
  </si>
  <si>
    <t>Performing non-destructive tests of wheelset axles</t>
  </si>
  <si>
    <t>Entities in charge of maintenance (ECMs) of freight wagons shall immediately implement the obligation to carry out detailed documented1) non-destructive tests of wheelset axles prior to their re-introduction to service.</t>
  </si>
  <si>
    <t>Appointing a team of experts</t>
  </si>
  <si>
    <t>The President of the Rail Transport Office shall consider appointing a team of experts to obtain opinions and knowledge to define the scope of additional tests of wheelset axles in service in freight wagons for longer than 40 years.</t>
  </si>
  <si>
    <t>Implement temporary reccommendations issued by NIB during the investigation</t>
  </si>
  <si>
    <t>1/2/2024</t>
  </si>
  <si>
    <t>The infrastructure manager Warszawska Kolej Dojazdowa Sp. z o. o. and the County Governor's Office in Pruszków shall implement the recommendations issued during the investigation and set forth in Section V.2 of this Report: (1). Introduce no left turn after passing the level crossing from left to right from the county road to the municipal road running in parallel with track no. 2 of line 47 WKD (addressee: the manager of the county road – the County Governor's Office in Pruszków).
(2). Ensure visibility of road signs, in particular: A-10, G1-a, G1-b, G1-c, B-20 and G-4 from both sides of the approach roads, and introduce mechanisms to ensure on-going supervision in the future of removing the vegetation to ensure good visibility of those signs (addressee: the manager of the county road - the County Governor's Office in Pruszków).
(3). Adjust the settings of the mirrors so that they ensure visibility of the head of trains approaching the level crossing (addressee: the manager of the county road - the County Governor's Office in Pruszków).
(4). Adjust – move the apparatus cabinets to ensure visibility of the head of train approaching the level crossing (addressee: the infrastructure manager – WKD Sp. z o. o.).
(5). Install speed bumps on both sides of the level crossing to limit the speed of cars approaching the level crossing (addressee: the manager of the county road - the County Governor's Office in Pruszków).
(6). Move the obligatory stop lines P-12 on both sides of the level crossing so that they are no longer located as today in the axis of intersections with the roads running parallel with the railway line (addressee: the manager of the county road - the County Governor's Office in Pruszków).
(7). Install additional devices at the level crossing to record transgressions committed by road vehicle drivers where the B-20 sign is placed, and install light panels with the message "Caution. Train" to inform road vehicle drivers about the level crossing (addressee: the infrastructure manager – WKD Sp. z o. o.) ).
(8). Considering the exposure factor, the manager of the railway line shall take action to re-classify the level crossing from Category D to a higher category "C" (it is not possible to install Cat. B devices due to terrain limitations) and to install additional devices to warn/record transgressions of road vehicle drivers when signals are given by roadside signalling devices (addressee: the infrastructure manager - WKD Sp. z o.o.).</t>
  </si>
  <si>
    <t>Ensure supervision and control mechanisms</t>
  </si>
  <si>
    <t>The manager of the county road - the County Governor's Office in Pruszków shall ensure supervision and control mechanisms for the appropriate visibility of the level crossing from the road, and of the road signs informing about the level crossing, including actions to ensure regular removal of vegetation that obstructs the visibility of the road signs.</t>
  </si>
  <si>
    <t>re-analyse the risk of accidents at level crossings</t>
  </si>
  <si>
    <t>The infrastructure manager - Warszawska Kolej Dojazdowa Sp. z o. o. shall re-analyse the risk of accidents at level crossings and, where necessary, shall take measures to mitigate the risk.</t>
  </si>
  <si>
    <t>no.448-1</t>
  </si>
  <si>
    <t>19/2/2024</t>
  </si>
  <si>
    <t xml:space="preserve">The investigation revealed that the motor coach no.1416 was in the normal running time and at this type of multiple units provided with metalastic springs there were no more investigations of derailments caused by this type of suspension, from which be learned lessons.
At the carrying bogie of the motorised coach no.1416, the investigation commission identified that the metalastic springs used, there were not stipulated controls, adjustments or replacements during the planned repairs.
Development of advanced wears of the metalastic springs, that can generate derailments, led to the conclusions that the periodical control of these springs may be required, considering that these are safety critical parts.
Considering the findings and conclusions of the investigation above mentioned, for the improvement of railway safety and prevention of similar events, AGIFER issues next safety recommendation:
Safety recommendation no.448/1
Romanian Railway Safety Authority - ASFR shall ask the railway undertaking SNTFC ”CFR Călători” SA to assess the danger represented by the lack, within the technical specifications for the planned inspections, of some provisions for the control and maintenance of metalastic springs from the carrying bogie of the motorised coach, part of the multiple unit type ADH and to establish effective measures for keeping under control the risks generated by it.
</t>
  </si>
  <si>
    <t>6/2/2024</t>
  </si>
  <si>
    <t>Recommendation 1, proposes that SE NRIC and "BDZ-Passenger Services" EOOD familiarize the interested personnel with the contents of the report;</t>
  </si>
  <si>
    <t>BDZ PS EOOD undertakes the replacement of electrolytic capacitors</t>
  </si>
  <si>
    <t>Recommendation 2 proposes that BDZ PS EOOD undertakes the replacement of electrolytic capacitors of the R-C groups with dry type capacitors of locomotive series 44 and 45</t>
  </si>
  <si>
    <t>BDZ PS EOOD installs technical means (thermostats)</t>
  </si>
  <si>
    <t>Recommendation 3 proposes that BDZ PS EOOD installs technical means (thermostats) for temperature control of rectifier groups 020 and 022 of locomotive series 44 and 45</t>
  </si>
  <si>
    <t>BDZ PS EOOD restores the power supply to the electronic unit</t>
  </si>
  <si>
    <t>Recommendation 4 that BDZ PS EOOD restores the power supply to the electronic unit for controlling the auxiliary machines Y2 from its own transformer 222, in accordance with the design schemes of the manufacturing plant for series 44 and 45</t>
  </si>
  <si>
    <t>BDZ PS EOOD organizes and carries out renovation (overhaul)</t>
  </si>
  <si>
    <t>Recommendation 5 proposes that BDZ PS EOOD organizes and carries out renovation (overhaul) of the locomotives of series 44 and 45, which are due for overhaul.</t>
  </si>
  <si>
    <t>DK-2024 R1</t>
  </si>
  <si>
    <t>27/2/2024</t>
  </si>
  <si>
    <t xml:space="preserve">Banedanmark's (Infrastructure manager) approval of the HDD in question was given on the basis of the risk management of the HDD that was described in the document "Sikkerhedspakke LED version 3.0". Banedanmark did in the risk management - and thus in the approval of the HDD, not
• take the co-interfering over all track project Roskilde - Ringsted into consideration as a prerequisite for the risk assessment.
• state the danger of vertical irregularity, as a result of blow-up, as a measurable quantity (quantification) that could be compared directly with the limit values in the regulation BN1-38-6, section 11.3.2, with which sufficient traffic restrictions could be introduced.
• acknowledge that visual monitoring of the tracks in practice did not ensure that track irregularities could be identified and reported in time for traffic restrictions to be implemented, so that the risk caused by track irregularity was mitigated.
DK-2024 R1
AIB Denmark recommends that the Danish Transport Authority ensures that Banedanmark, through risk management of the activity Horizontal Directional Drilling, while taking human factors into account, introduces sufficient and effective proactive and/or reactive barriers to reduce the risk posed by track irregularities to an acceptable level.
</t>
  </si>
  <si>
    <t>Addressed to the Czech National Safety Authority (NSA):
• within the framework of own activity as a national safety authority:
- to adopt of measures to ensure the comply and feasibility of established technological procedures during mutual interaction on a common interface during the operation of sidings with a focus on their mutual compatibility at infrastructure managers and railway undertakings.</t>
  </si>
  <si>
    <t>no.451-1</t>
  </si>
  <si>
    <t>6/3/2024</t>
  </si>
  <si>
    <t xml:space="preserve">Preamble safety recommendation no.451/1
Along the investigation, it was found that the assembling on the track bed of the check rail from the bridge at km 262+858 was unsuitable, both before the accident and after the performance of the repairs after the accident. It was also found that in the railway county Brașov, there are still such situations where the check rails of the bridges did not play their part for which they were assembled.
Safety recommendations no.451/1
Romanian Railway Safety Authority – ASFR shall ask CNCF ”CFR” SA to make an action plan for reducing the risks of improper assembling of the check rails on the bridges from whole managed infrastructure (see the provisions of art.28, point 14 from the Instruction no.314/1989 of norms and tolerances for the track construction and maintenance-lines with normal gauge).
</t>
  </si>
  <si>
    <t>no.451-2</t>
  </si>
  <si>
    <t xml:space="preserve">Preamble of safety recommendation no.451/2
Annex II RIV was replaced by Trends/guides/rules of loading worked out by UIC. Agency for European Railways – ERA considers these norms as being „Acceptable Means of Conformity” that guarantee that the freight loaded on the wagon is secured and rested in a such condition along the journey to the client. These are updated and completed from time to time. 
Safety recommendation no.451/2
Romanian Railway Safety Authority – ASFR shall ask the railway undertaking SNTFM ”CFR Marfă” SA to work out some provisions/ procedures for ensuring permanently that the practice codes used for loading and checking the loading way of the wagons are updated from time to time, in order to ensure that the transport operations are performed in safety conditions.
We underline that, although the safety recommendation aims the activity of railway undertaking SNTFM (it being analysed along the investigation of the railway accident), it is not restricting, it could be extended at other railway undertakings at which ASFR finds similar gaps along the surveillances.
</t>
  </si>
  <si>
    <t>Safety recommendation Rail no 2024/03T</t>
  </si>
  <si>
    <t>11/3/2024</t>
  </si>
  <si>
    <t>On Sunday 12 March 2023 LKAB Malmtrafik AB derailed with an ore train in track 4 at Narvik station at the Ofoten line. The railway is of great importance for the region’s mining industry, for passenger and freight traffic between Norway and Sweden, and is very important from a societal safety and emergency preparedness perspective. In the derailment area, for a long time there had been demanding ground conditions that could be linked to known track faults, that increased the risk of derailment. A major reconstruction project at the station in 2023–2025 was expected to repair the track faults permanently, but the project was halted indefinitely by Bane NOR SF in February 2024.
The Norwegian Safety Investigation Authority recommends that the Norwegian Railway Authority ask Bane NOR SF to assess the safety consequences of stopping work and promoting any compensatory measures.</t>
  </si>
  <si>
    <t>no.450-1</t>
  </si>
  <si>
    <t xml:space="preserve">Considering the causal, contributing and systemic factors identified along the investigation, as well as the measures already taken after the accident, in order to prevent similar accidents/incidents in the future, in accordance with the provisions art.26, paragraph(2) of the Emergency Government Decision no.73/2019 for the railway safety, the investigation commission considers timely to issue the next safety recommendation, addressed to Romanian Railway Safety Authority - ASFR, that, upon its limits of competences, takes the necessary measures in order to be sure that the safety recommendations issued by AGIFER are considered and, if case, implemented. According to the provisions of art.26, paragraph (3) of the Emergency Government Decision no.73/2019 ASFR shall notify AGIFER, periodically, once every 6 months at least, about the measures taken or planned, following the recommendations issued.
Preamble of safety recommendation no.450/1
Along the investigation it was found, as it is mentioned at point 4.d. ”Feedback and control mechanisms......”, that the railway undertaking SNTFC identified and assessed a part of dangers developed in case of this accident. Considering the seriousness of damages resulted from the accident and frequency change, the basic elements on which the risk is established and implicitly the measures for its monitoring are disposed, AGIFER considers timely to issue the next safety recommendation:
Safety recommendation no.450/1
SNTFC re-assessment of the risks associated to the next dangers and taken of some effective measures for keeping them under control: 
- passing by the signals, that command stop;
- delayed application of train brake;
- locomotive crew fatigue or lack of attention;
- non-compliance with the maximum running speeds stipulated by the working timetable, sheets for the notification of speed restrictions or running order, by the locomotive crew.
</t>
  </si>
  <si>
    <t>no.450-2</t>
  </si>
  <si>
    <t xml:space="preserve">Considering the causal, contributing and systemic factors identified along the investigation, as well as the measures already taken after the accident, in order to prevent similar accidents/incidents in the future, in accordance with the provisions art.26, paragraph(2) of the Emergency Government Decision no.73/2019 for the railway safety, the investigation commission considers timely to issue the next safety recommendation, addressed to Romanian Railway Safety Authority - ASFR, that, upon its limits of competences, takes the necessary measures in order to be sure that the safety recommendations issued by AGIFER are considered and, if case, implemented. According to the provisions of art.26, paragraph (3) of the Emergency Government Decision no.73/2019 ASFR shall notify AGIFER, periodically, once every 6 months at least, about the measures taken or planned, following the recommendations issued.
Preamble of safety recommendation no.450/2
Along the investigation, it was found, as it is mentioned at point 4.d. ”Feedback and control mechanisms......”, that the railway undertaking SNTFC did not identify and assess some dangers that developed in case of this accident, because of it AGIFER considers timely to issue the next safety recommendation:
Safety recommendation no.450/2
SNTFC re-assessment of the risks associated to the next dangers and taken of some effective measures for keeping them under control: 
- unjustified/non-instruction pushing of button „Commanded passing the signal in stop position” at the running by the signals ordering stop.
</t>
  </si>
  <si>
    <t>BA2022-1166-5-01</t>
  </si>
  <si>
    <t>4/12/2023</t>
  </si>
  <si>
    <t>The TSB recommends that the competent vehicle maintenance service of BKV Zrt. investigate the possibility of installing a treadplate to protect the engine wiring during maintenance in the tunnel ducts of MillFAV vehicles.</t>
  </si>
  <si>
    <t>BA2022-1166-5-02</t>
  </si>
  <si>
    <t>The TSB recommends that the competent infrastructure management service of BKV Zrt. to consider investigating ways of providing platform guards with a continuous overview of events at the stations under their supervision.</t>
  </si>
  <si>
    <t xml:space="preserve">Safety Recommendation 2024002-01 </t>
  </si>
  <si>
    <t>22/3/2024</t>
  </si>
  <si>
    <t>IÉ-IM CCE to update CCE-TMS-323, to include a more robust guidance for welders, in relation to recognising when there may be issues with the Rail Tensors; and what actions are to be taken when difficulties arise with the Rail Tensors</t>
  </si>
  <si>
    <t xml:space="preserve">Safety Recommendation 2024002-02 </t>
  </si>
  <si>
    <t>IÉ-IM CCE should review the current suite of documents related to welding to ensure consistency across the relevant documents</t>
  </si>
  <si>
    <t xml:space="preserve">Safety Recommendation 2024002-03 </t>
  </si>
  <si>
    <t>IÉ-IM CCE should develop systems for the management and certification of rail stressing equipment (including contractor’s rail stressing equipment), to ensure equipment is regularly serviced and recalibrated at a nominated frequency. These updated requirements should be reflected in the relevant documents</t>
  </si>
  <si>
    <t xml:space="preserve">Safety Recommendation 2024002-04 </t>
  </si>
  <si>
    <t>IÉ-IM CCE should review and update the CWR Record Sheet to include sections for recording the serial number and calibration/ recalibration date of the Rail Tensors being used, the pressure gauge readings and the frequency of these checks on the pressure gauges. On completion, ensure staff are briefed on the changes, and changes should be incorporated into future training programmes for a Person in Charge of Stressing</t>
  </si>
  <si>
    <t xml:space="preserve">Safety Recommendation 2024002-05 </t>
  </si>
  <si>
    <t>IÉ-IM CCE should update CCE-TMS-323 to include guidance for the Person in Charge of Stressing, in relation to actions to be taken when difficulties are encountered with Thermit SoW-5 (including when Thermit SoW-5 can continue, be restarted or must be abandoned; and, who is responsible for this decision, the Person in Charge of Stressing or their Supervisor). On completion of the update, Persons in Charge of Stressing should be briefed and the training programme for the role revised with the new guidance</t>
  </si>
  <si>
    <t>no.453-1</t>
  </si>
  <si>
    <t>26/3/2024</t>
  </si>
  <si>
    <t xml:space="preserve">Considering the causal, contributing and systemic factors identified along the investigation, in order to prevent the  occurrence of some similar accidents/incidents in the future, in accordance with the provisions of article 26, paragraph (2) from the Emergency Government Decision no.73/2019 on railway safety, the investigation commission considers timely to issue the next safety recommendations, addressed to Romanian Railway Safety Authority - ASFR, that, upon its limits of competences, takes the necessary measures in order to ensure that the safety recommendations issued by AGIFER are taken into account and, if case, they are followed. In accordance with the provisions of article 26, paragraph (3) from the Emergency Government Decision no.73/2019 ASFR shall periodically notify AGIFER, at 6 months at least, about the measures taken or planned consequently the recommendations issued.
Preamble of safety recommendation no.453/1
Along the investigation, it was found that the event happened following the fall of a part (buffing gear) from the wagon no.81536653796-8 of freight train no.60566, that was hit afterwards by the locomotive DA 1129, the train banking locomotive. Considering the findings and conclusions of the investigation commission before mentioned, for the improvement of the railway safety and prevention of similar events, AGIFER considers timely to issue the next safety recommendation:
Safety recommendation no.453/1
The railway undertaking SNTFM „CFR Marfă” SA shall assess the risks associated to the danger represented by the fall, during the running, a part of the train wagon and shall dispose effective safety measures for keeping them under control.
</t>
  </si>
  <si>
    <t>BA2022-0682-5-01</t>
  </si>
  <si>
    <t>The TSB recommends MÁV-START Zrt. to modify the maintenance requirements for those wagon types where the main air supply pipe space and the main air reservoir pipe space are not completely independent of each other, in order to detect possible pressure equalisation between these air spaces during the inspections.</t>
  </si>
  <si>
    <t>Safety recommendation Bane nr. 2024/04T</t>
  </si>
  <si>
    <t>2/4/2024</t>
  </si>
  <si>
    <t>On 28 March 2023, an accident with injuries occurred on Bergen light rail´s line 2, when light rail vehicle 228 hit the buffer stop at Fyllingsdalen terminal. The investigation has not demonstrated a clear causal link between the lack of training in the use of the Variobahn light rail vehicles and the specific accident. However, a systemic safety problem has been uncovered in the organization in terms of a mismatch between the scope of the training curriculum and the time available for students learning. This may have contributed to misunderstandings about the vehicles functionality while driving in conditions with low adhesion.
The Norwegian Safety Investigation Authority recommends the Norwegian Railway Authority to ask Tide Buss og Bane AS to evaluate the training system, and if necessary, make changes, to ensure that future students reach the set learning goals.</t>
  </si>
  <si>
    <t>DK-2024 R 2</t>
  </si>
  <si>
    <t>11/4/2024</t>
  </si>
  <si>
    <t>Havarikommissionen anbefaler, at Trafikstyrelsen underretter de relevante nationale organer eller myndigheder med ansvar for akkreditering eller anerkendelse om resultatet af Havarikommissionens sikkerhedsundersøgelse og den identificerede sikkerhedsmæssige forbedring, som kan gennemføres ved at sikre, at VTG identificerer områder, hvor VTG-MI indeholder skærpede krav ift. VPI-EMG, og at VTG gennemfører aktiviteter som sikrer, at VPI certificerede vedligeholdelsesleverandører lever op til kravene i VTG-MI for disse områder.</t>
  </si>
  <si>
    <t>DK-2024 R 3</t>
  </si>
  <si>
    <t>Havarikommissionen anbefaler, at Trafikstyrelsen underretter de relevante nationale organer eller myndigheder med ansvar for akkreditering eller anerkendelse om resultatet af Havarikommissionens sikkerhedsundersøgelse og den identificerede sikkerhedsmæssige forbedring, som kan gennemføres ved at sikre, at VTG gennemfører monitorering af vedligeholdelsesleverancer fra VPI certificerede vedligeholdelsesleverandører, i tilfælde hvor VTG-MI indeholder skærpede krav til udførelse eller tolerancer ift., hvad der er beskrevet i VPI-EMG.</t>
  </si>
  <si>
    <t>Addressed to the Czech National Safety Authority (NSA):
• to ensure that all on-board radio stations uses on the national and regional railways send the confirmation code 1612 and it was possible effectively and provable perform check of success emergency calls in GSM-R network within control activity.</t>
  </si>
  <si>
    <t>BA2022-0048-5-01</t>
  </si>
  <si>
    <t>13/12/2022</t>
  </si>
  <si>
    <t>The TSB recommends that the Deputy State Secretariat for Transport Strategy, Ministry of Transport, as the technical preparatory body for transport legislation, to consider proposing an amendment to Government Decree 203/2009 (IX.18.) on the health requirements and medical evaluation procedure for workers performing railway transport safety-related tasks, so that psychological examinations are included in the periodic medical evaluations of railway vehicle drivers (locomotive drivers) at a specified frequency.</t>
  </si>
  <si>
    <t>BA2022-0960-5-01A</t>
  </si>
  <si>
    <t>3/10/2022</t>
  </si>
  <si>
    <t>The TSB recommends to the Road Department of the Transport, Technical Licensing and Consumer Protection Department of Bács-Kiskun County Government Office that in accordance with the provisions of the Government Decree 382/2016 (XII. 2.) on the designation of the bodies performing official tasks related to traffic administration,  consider ordering the road operator to review the traffic regulations at the level crossings concerned and to make the necessary changes to eliminate the situation that is detrimental or dangerous to traffic safety, pursuant to Section 34(2) of Act I of 1988 on Road Traffic; and  order the felling of trees or other vegetation in the area of the sight triangle of level crossings in accordance with Chapter VIII, point 26.4(d) of the Technical Regulation on Traffic Regulation, issued as an annex to KM Decree 20/1984 (XII. 21.) on the regulation of traffic on roads and the installation of road signs.</t>
  </si>
  <si>
    <t>Enforce the rules of admission of workers</t>
  </si>
  <si>
    <t>18/3/2024</t>
  </si>
  <si>
    <t>PKP PLK S.A. shall enforce the rules of admission of workers with required authorisations and permits to works and supervision.</t>
  </si>
  <si>
    <t>Enforce the rules of admission of outsourced company workers</t>
  </si>
  <si>
    <t>Enforce the rules of admission of outsourced company workers with access cards to perform work on the managed infrastructure.</t>
  </si>
  <si>
    <t xml:space="preserve">Standardise the work of contract managers and supervision inspectors </t>
  </si>
  <si>
    <t>PKP PLK S.A. shall standardise the work of contract managers and supervision inspectors on line investments in terms of the ability to fulfil tasks arising under the provisions of the Construction Law and internal procedures, and shall take appropriate actions based on the said standardisation.</t>
  </si>
  <si>
    <t>The staff on board the train (driver and chief train) did not comply with the provisions of the Train Movement Regulations in force on the Vesuvian lines. It acted in an erroneous and non-compliant manner, adopting unconventional operating methods.</t>
  </si>
  <si>
    <t>1) non-continuity (declared by the on-board staff) of the appearance of the protection sign placed at via impedita;
2) pressure exerted by passengers after the first minutes of waiting with the train stopped;
3) working environment in tunnel not suitable (poorly lit);
4) obsolete on-board instrumentation;
5) regulatory provisions not always clear and complete.</t>
  </si>
  <si>
    <t>Recommendation no. IT-10368-1</t>
  </si>
  <si>
    <t>It's recommended to the National Agency for the Safety of Railways and Road and Highway Infrastructure to ensure that the "Ente Autonomo Volturno", as a Railway Undertaking, has procedures in place that guarantee an adequate level of reliability, traceability and monitoring of the training  and maintenance of the skills of drivers and train managers, and verify their effectiveness.</t>
  </si>
  <si>
    <t>Recommendation no. IT-10368-2</t>
  </si>
  <si>
    <t>It's recommended to the National Agency for the Safety of Railways and Road and Highway Infrastructure to ensure that the "Ente Autonomo Volturno", as Infrastructure Manager, adopt effective procedures to monitor the maintenance status of the works of art, in particular by ensuring in tunnels conditions of practicability and lighting levels suitable for the safe conduct also of activities resulting from degraded infrastructure conditions or the occurrence of emergency online. 
Let the Agency evaluate whether to extend the recommendation to other Infrastructure Managers.</t>
  </si>
  <si>
    <t>Recommendation no. IT-10368-3</t>
  </si>
  <si>
    <t>It's recommended to the National Agency for the Safety of Railways and Road and Highway Infrastructure to ensure that the "Ente Autonomo Volturno", as a Railway Undertaking, prepares, if not already done and compatibly with the available resources, a programme of technological adaptation or replacement of rolling stock in use in order to increase operational safety standards.</t>
  </si>
  <si>
    <t>Recommendation no. IT-10368-4</t>
  </si>
  <si>
    <t>It's recommended to the National Agency for the Safety of Railways and Road and Highway Infrastructure to ensure that the "Ente Autonomo Volturno" quickly guarantees coverage of the GSM-R mobile phone signal within the tunnels of the Vesuvian lines.
Let the Agency evaluate whether to extend the recommendation to other Infrastructure Managers.</t>
  </si>
  <si>
    <t>Recommendation no. IT-10368-5*</t>
  </si>
  <si>
    <t>It's recommended to the National Agency for Safety of Railways and Road and Highway Infrastructure to ensure that the Railway Undertaking and Infrastructure Manager "Ente Autonomo Volturno" proceed quickly to a reworking of its regulations inspired by the principles of clarity, precision, uniformity, simplicity and completeness.*
[*The text corresponds to that of Recommendation no. IT-10335-03 issued at the end of the final investigation report on the derailment of train no. 4132 of EAV at the Pompei Santuario station, which occurred on 07/11/2022]</t>
  </si>
  <si>
    <t>Recommendation no. IT-10368-6</t>
  </si>
  <si>
    <t>It's recommended to the National Agency for the Safety of Railways and Road and Highway Infrastructure to ensure that the "Ente Autonomo Volturno", evaluate the possibility and feasibility of equipping the Vesuvian lines of SCMT (Sistema Controllo Marcia Treno) in order to increase the operating safety standards guaranteed by the current ATP (Automatic Train Protection) system.</t>
  </si>
  <si>
    <t>CZ-10546</t>
  </si>
  <si>
    <t>Train derailment, 02-05-24, Čisovice station (Czech Republic)</t>
  </si>
  <si>
    <t>Unsecured movement of diesel railcar from station to line and consequent derailment.</t>
  </si>
  <si>
    <t>Čisovice station, station track No. 1</t>
  </si>
  <si>
    <t>Station, line</t>
  </si>
  <si>
    <t>detached diesel railcar</t>
  </si>
  <si>
    <t>CZK 9 100 000,- (€ 362 694,-); Rolling stock, infrastructure</t>
  </si>
  <si>
    <t>Trains collision near miss, 05-05-2023, between stations Andrijevci - Garčin (Croatia)</t>
  </si>
  <si>
    <t>On May 05, 2023, at 12:30 p.m., on the line M104, between stations Andrijevci and Garčin was trains collision near miss between passenger trains 2018 and 2011. Train no. 2018 stopped at km 199+270 because the train driver noticed another train driving towards him on the same track and due to a received phone call from the train operator of the station Andrijevci warning him to stop, while train no. 2011 stopped at km 200+750 because spatial signal 301 changed to the signal sign „Stop“ and the train driver noticed another train driving towards him on the same track. At the time of the incident, there were a total of 127 passengers in the trains (45 passengers in train number 2011 and 82 passengers in train number 2018), no one was injured and there was no material damage. At the time of the incident, construction work was being carried out for the mechanical regulation of switches and the arrangement of the LC in the station Garčin. The planned closure of the left track between stations Andrijevci-Garčin began on May 5, 2023 at 07:00 a.m. and ended at 10:27 a.m., while the closure of the right track between stations Andrijevci-Garčin began on the same day at 10:50 a.m. and ended at 1:56 p.m.</t>
  </si>
  <si>
    <t>Between stations Andrijevci - Garčin, line M104</t>
  </si>
  <si>
    <t xml:space="preserve"> HŽ Putnički prijevoz d.o.o. </t>
  </si>
  <si>
    <t xml:space="preserve">Causal factor
Existence within the track, at the accident site, a group of improper normal wooden sleepers in turn, whose technical condition could no longer ensure the safety fastening of the metallic plates, leading to the exceeding of the maximum accepted limit for the track gauge in operation, making both the loosing of the support and guiding capacity of the rails under the dynamic action of the rolling stock. 
</t>
  </si>
  <si>
    <t xml:space="preserve">Contributing factor:
Lack, along the last 10 years, before the accident, the measurements made with the testing and recording car at the tracks.
Systemic factors:
• provision with unsuitable material and human resources, against the necessary one, for the performance of the corresponding maintenance of the line geometry between the accepted tolerances.
• ineffective management of the risk associated to the dangers ”Exceeding of the maximum, value accepted for the track gauge” and ”Keeping within the track of improper wooden sleepers” by the infrastructure manager. 
</t>
  </si>
  <si>
    <t>no.454-1</t>
  </si>
  <si>
    <t xml:space="preserve">Preamble of safety recommendation no.454/1
During the investigation it was found, as it is mentioned at point ”4.d. Feedback and control mechanisms, including the management of risks and safety, as well as the monitoring processes”, that the railway infrastructure manager SC RC-CF Trans SRL Brașov identified and assessed the dangers developed in case of this accident, because of it AGIFER considers timely to issue the next safety recommendation:
Safety recommendation no.454/1
Re-assessment by the railway infrastructure manager SC RC-CF Trans SRL Brașov the risks associated and the establishment of some effective measures for keeping under control the next dangers: 
- non-provision with the material and human resources, necessary for the performance of railway infrastructure maintenance;
- exceeding of maximum value accepted for the track gauges;
- keeping within the track the improper wooden sleepers. 
</t>
  </si>
  <si>
    <t>Causal factors: 
1. The malfunction in the 3 kV lightning rod of the MCP resulted in a ground fault from the tension supplied by the catenary (Recommendation 11/2023-3).
2. Successive reattachments by the telecontrol center staff caused the pantograph, in contact with the catenary, to become welded to it, resulting in the fire (Recommendations 11/2023-4, 11/2023-5, and 11/2023-6).</t>
  </si>
  <si>
    <t>Contributing factors: 
1. The move through the gauge changer in a degraded state at Zaragoza Delicias was not executed correctly, resulting in the malfunction of the lightning rod (Recommendation 11/2023-3).
2. The absence of an indicator in the train system reporting a malfunction in the lightning rod contributed to the lack of diagnosis of the issue (Recommendation 11/2023-4).
3. The lack of specificity in the information provided by Lead Mind led the Online Technical Support to underestimate the severity of the malfunction, as Lead Mind indicated it was a voltage reading error (Lead Mind is tool that provides real-time information on various train 
parameters, and it’s used when diagnosing faults) (Recommendation 11/2023).
Systemic factors: 
1. The staff of in the telecontrol centres have limited information about the current train movements in each section of the line, leading to uncertainty in cases like the present one (Recommendation 11/2023-6).
2. Technical systems in the power substations currently do not differentiate between power consumption and short circuits (Recommendation 11/2023-7).
3. There are omissions and inaccuracies in the driving manual for the S 120.050 series, which can lead to errors for train operators during gauge-changing moves in degraded states, or even for maintenance staff regarding pantograph disconnection during faults (Recommendation 11/2023-2).</t>
  </si>
  <si>
    <t>11/2023-1: study procedure for gauge change in degraded conditions</t>
  </si>
  <si>
    <t>To study the operation of gauge change in degraded situations, in order that the risks derived from such a move are evaluated, especially when it is necessary to travel at a speed of more than 5 km/h. To establish procedures to mitigate these risks and include them in the corresponding documents.
Addressee: AESF (NSA Spain)
Final implementers: CAF (RS manufacturer), Renfe (RU)</t>
  </si>
  <si>
    <t>11/2023-2: update driving manual of involved RS</t>
  </si>
  <si>
    <t>To update the Driving Manual of the train S 120.050 series and similar, in order that the steps to be followed in gauge change procedures are accurately and in detail reflected, especially in degraded situations, as well as the assumptions in which pantographs should be cancelled.
Addressee: AESF (NSA Spain)
Final implementers: CAF (RS manufacturer), Renfe (RU)</t>
  </si>
  <si>
    <t>11/2023-3: additional checking of pantographs after gauge change in degraded conditions</t>
  </si>
  <si>
    <t>To establish additional procedures for checking the pantograph area when, due to any reason, a gauge change has been carried out in a degraded situation. In this procedure, communication of such an event by the actors involved in the gauge change move must be considered.
Addressee: AESF (NSA Spain)
Final implementers: Actren (ECM), Renfe (RU)</t>
  </si>
  <si>
    <t>11/2023-4: fault detection mechanisms in lightning rods</t>
  </si>
  <si>
    <t>To study the possibility of establishing fault detection mechanisms in lightning rods, as well as advancing the improvement of diagnostic tools like Lead Mind.
Addressee: AESF (NSA Spain)
Final implementers: Actren (ECM), CAF (RS manufacturer)</t>
  </si>
  <si>
    <t>11/2023-5: limit reattachments when successive and repeated power cuts occur</t>
  </si>
  <si>
    <t>To establish procedures that limit reattachments by telecontrol centres in situations where successive and repeated power cuts occur.
Addressee: AESF (NSA Spain)
Final implementers: Adif (IM)</t>
  </si>
  <si>
    <t>11/2023-6: real-time information on traffic for power telecontrol centres</t>
  </si>
  <si>
    <t>To study the possibility for telecontrol centres staff to have real-time information about existing traffic in a track section.
Addressee: AESF (NSA Spain)
Final implementers: Adif (IM)</t>
  </si>
  <si>
    <t>11/2023-7: distinction between high consumption and non-frank short circuits</t>
  </si>
  <si>
    <t>To promote a study to analyse the possibility of implementing technical measures in substations to allow to discriminate between high consumption and non-frank short circuits.
Addressee: AESF (NSA Spain)
Final implementers: Adif (IM)</t>
  </si>
  <si>
    <t>Trains collision, 14-09-23, Bezděčín overtaking station (Czech Republic)</t>
  </si>
  <si>
    <t>Unauthorized movement of the regional passenger train No. 6051, collision with the freight train No. 62422 and consequent derailment.</t>
  </si>
  <si>
    <t>Bezděčín overtaking station, km 24,850 (place of collision). Place of unauthorized movement was at the main (departure) signal device S1, km 24,878</t>
  </si>
  <si>
    <t>České dráhy, a. s. (RU of the regional passenger train No. 6051);
ČD Cargo, a. s. (RU of the freight train No. 62422)</t>
  </si>
  <si>
    <t>CZK 2 526 003,- (€ 103 207,-); Rolling stocks, infrastructure</t>
  </si>
  <si>
    <t>Causal factor:
• failure to stop of the regional passenger train No. 6051 in front of the main (departure) signal device S1 at Bezděčín overtaking station with signal „Stop”, due to incorrect driving style of the train driver of the regional passenger train No. 6051 to the signal „Warning signal”  signaled by the main (entrance) signal device S, which warning signalling the signal „Stop" at the following main signal device.
Contributing factor: none.</t>
  </si>
  <si>
    <t>HU-10547</t>
  </si>
  <si>
    <t>Level crossing accident, 7/5/2024, Adács</t>
  </si>
  <si>
    <t xml:space="preserve"> A freight train strucked a truck at a level crossing and derailed on 4 axles.</t>
  </si>
  <si>
    <t>Adács</t>
  </si>
  <si>
    <t>Retrack Hungary</t>
  </si>
  <si>
    <t>The locomotive  derailed, truck and locomotive were seriously damaged, the railway damaged about 100 mteres.</t>
  </si>
  <si>
    <t>HU-10548</t>
  </si>
  <si>
    <t>Trains collision near miss, 8/5/2024, Kaposmérő</t>
  </si>
  <si>
    <t xml:space="preserve"> A passenger train arrived on line nr. 3., witch was occupied by a freight train.</t>
  </si>
  <si>
    <t>Kaposmérő</t>
  </si>
  <si>
    <t>MÁV-START</t>
  </si>
  <si>
    <t>The line was closed for about 3 hour.</t>
  </si>
  <si>
    <t>AMEH, ODEG</t>
  </si>
  <si>
    <t>1 tank car derailed, infrastructure equipment damaged, vehicles on other tracks damaged.</t>
  </si>
  <si>
    <t>Toporu - Chiriacu</t>
  </si>
  <si>
    <t>SC UNITED RAILWAYS SRL and SC RAIL CARGO CARRIER ROMÂNIA SRL</t>
  </si>
  <si>
    <t>Both locomotive (DA 1692 and DA 1566) was severely damaged.</t>
  </si>
  <si>
    <t xml:space="preserve">Causal factors:
 lack of the braking measures for stopping the light locomotive DA1692, running like train no.79562, before the light exit signal XI of the railway station Toporu, whose position was „STOP without pass the signal in stop position!” – a light red unit to the train;
 unjustified pressing of the button „Commanded passing a signal in stop position” (it being left on pressed position), by the driver along the route, as well as the running with IVMS installation set on a level superior to the category of freight train no.79562;
 loss of the driving capacity by the driver of the locomotive DA1692, because he fell asleep during its duty;
 missing of the train manager in the driving cab of the locomotive DA1692 during the running of the freight train no.79562.
</t>
  </si>
  <si>
    <t xml:space="preserve">Contributing factor: 
 physical and mental conditions of the crew from the locomotive DA1692, that were affected by the fatigue cumulated because of frequent exceeding of the continuous maximum duty accepted for the locomotive, missing of the corresponding rest time at home and outside of it, as well as the consumption of alcohol during the duty.
Systemic factors:
 ineffectiveness of the control mechanisms and of the safety management system procedures, that ensure the compliance with the provisions of Minister of Transports and Infrastructure’s Order no.256/2013;
 lack of measures necessary to keep under control the dangers identified and recorded into the Register of Risks;
 lack of identification and implicitly of the assessment of the dangers represented by:
- not taking of braking measures by the locomotive’s crews, according to the situation imposed by the regulations in force;
- non-instruction operation of the safety and vigilance equipment’s, as well as of the installations for the automatic control of the train speed, providing the locomotive;
- missing of the train manager into the driving cab of the locomotive DA1692 during the trains running, in accordance with the regulations in force.
</t>
  </si>
  <si>
    <t>no.455-1</t>
  </si>
  <si>
    <t xml:space="preserve">Preamble safety recommendation no.455/1
During the investigation there was found that the railway undertaking SC United Railways SRL identified and assessed the risks associated to the dangers mentioned into chapter „4.d. Mechanisms of feedback and control, including the management of risks and safety, as well as monitoring processes”, but it did not take measures for keeping them under control.
Safety recommendation no.455/1
The railway freight undertaking SC United Railways SRL shall re-assess the risks associated and establish effective measures for keeping under control the next dangers: 
- exceeding of the maximum duty accepted for the locomotive;
- fatigue generated by the exceeding of the maximum duty accepted for the locomotive;
- passing in stop position the signals/indicators that are on stop position;
- performance the duty under the influence of alcohol, narcotics, drugs and/or substances that can reduce the working capacity;
- not-tracking and non-compliance with the positions of fixed and mobile signals and of the indicators that display stop for the driver;
- non-compliance with the maximum speeds accepted.
</t>
  </si>
  <si>
    <t>no.455-2</t>
  </si>
  <si>
    <t xml:space="preserve">Preamble of safety recommendation no.455/2
During the investigation, there was found that the railway undertaking SC United Railways SRL did not identify and implicitly assess the risks associated to the dangers mentioned into chapter„4.d. Mechanisms of feedback and control, including the management of risks and safety, as well as monitoring processes”.
Safety recommendation no.455/2
The railway freight undertaking SC United Railways SRL shall assess the risks associated and establish effective measures for keeping under control the next dangers: 
- not-taking of braking measures by the locomotives crew in accordance with the situation imposed by the regulations in force;
- non-instructional operation of the safety and vigilance installations, as well as of the installations for the automatic control of trains speed, providing the locomotive;
missing of the train manager into the driving cab of the locomotive DA1692, during the trains running, in accordance with the regulations in force.
</t>
  </si>
  <si>
    <t>RO-10549</t>
  </si>
  <si>
    <t>Fire in RS, 15/5/2024, Dorobanțu - Basarabi</t>
  </si>
  <si>
    <t xml:space="preserve">A fire brust out into hauling locomotive DA 1504 of the freight train no.66363 between Dorobanțu and Basarabi railway stations. </t>
  </si>
  <si>
    <t>Dorobanțu - Basarabi</t>
  </si>
  <si>
    <t>The locomotive DA 1504 was affected (diesel engine, traction engine no. 4 and various elements of the installations in this area).                       The geometry of the catenary related to the 1st track between Dorobanțu and Basarabi railway station was affected.</t>
  </si>
  <si>
    <t>Train derailment, 1/5/2024, station Rudna Gwizdanów</t>
  </si>
  <si>
    <t>PL-10550</t>
  </si>
  <si>
    <t xml:space="preserve">During the entry of train No. 664014/5 (Pol-Miedź Trans Spółka z o.o.) Lubin Kghm BSZ – Głogów Wróblin route route 6Dg-201-E from Koźlice station direction – track No. 1 at Rudna Gwizdanów station at exit No 2 and 3/7 was derailed 6 wagons, 9 and 10 behind locomotive No 84 51 0835092-5 (broken axle in the wagon) and 84 51 0835082-6 and 14, 15, 16 and 17 wagons 84 51 0835101-4, 33 51 0665185-4, 84 51 0835028-9 and 84 51 0835059-4 in train composition (cargots 90UN3077). The train was run on a route organised for a signal allowing the entry semaphore B. The train stopped by ISEDR at the Rudna Gwizdanów station using the radio-stop-A1r alarm signal “Alarm” (after noticing the derailment of the wagons). Interrupted train traffic from 1 hour. 10:35 p.m. 12:40.Tories 1, 3, 5 and 7 at Rudna Gwizdanów station closed from 10:35 until further notice. At 12:40 a.m., after securing the work of the committee, the route was dissolved and switches No 4/8b and 31ab were secured for sponozams and the trains were resumed on track 9 (track without platform edge). Technical rescue drazyna WM15A/PRT-00 from Wrocław Nadodrze station requested at 1 p.m. 11:00 left at 12:49 on the spot at 16:46. For ongoing repairs of the track, an emergency draisine from the Głogów station was deployed. Six wagons (not derailed from the end of the train) were moved to track 4 at 2.30 p.m. by locomotive 6Dg (Pol-Miedź Trans Spółka z o.o.) in order to clear lines 273 and 289. At 17:00, completion of the committee’s work and authorisation of railroad wagons. Turnout No. 7 (on track 1) and turnout No 3 (on track 2) were damaged – the speed limit of trains was introduced to 20 km/h, from km 77,248 to km 77,281 due to poor technical condition of section 3 ab/cd after derailment. </t>
  </si>
  <si>
    <t>station Rudna Gwizdanów</t>
  </si>
  <si>
    <t>Pol-Miedź Trans Spółka z o.o.(Ltd)</t>
  </si>
  <si>
    <t>demages of freight wagons and infrastructure</t>
  </si>
  <si>
    <t>Collision of the through train No. 1895 with a car at the level crossing No. P4874 between Čermná nad Orlicí and Borohrádek stations</t>
  </si>
  <si>
    <t>open line between Čermná nad Orlicí and Borohrádek stations</t>
  </si>
  <si>
    <t>Level crossing accident, 21/5/2024, open line between Čermná nad Orlicí and Borohrádek stations</t>
  </si>
  <si>
    <t>The through train No. 1895</t>
  </si>
  <si>
    <t>Total preliminary damage CZK 335 000,- (EUR 13 574,-)</t>
  </si>
  <si>
    <t>CZ-10551</t>
  </si>
  <si>
    <t>De Onderzoeksraad heeft niet kunnen vaststellen waardoor de kraan op een indienstzijnd spoor terechtkwam. Wel heeft de Raad ongevalsfactoren geïdentificeerd die mogelijk hebben bijgedragen aan het ontstaan van het ongeval: er reden treinen langs werkzaamheden en de werkplekken zijn niet op een robuuste manier maar via mondelinge communicatie afgeschermd van de rijdende treinen.
ProRail heeft zijn verantwoordelijkheid voor veilig over het spoor kunnen rijden, veilig aan het spoor kunnen werken en veilig langs het spoor kunnen wonen voor een belangrijk deel gedelegeerd aan railAlert en aan onderhoudsaannemers, zonder zelf regie te voeren. IenW stuurt ProRail vooral aan op beschikbaarheid en veilige 
berijdbaarheid, niet op de veiligheid van werkzaamheden en het veilig rijden langs werkzaamheden.
In de planning en uitvoering van de werkzaamheden is de aandacht gericht op arbeidsveiligheid, niet op de risico’s van werkzaamheden voor passerende treinen (spoorwegveiligheid).
Het risico dat mensen te veel uren en in de nacht werken is nog niet onderkend in de brancheregelgeving.</t>
  </si>
  <si>
    <t>Aan de staatssecretaris van Infrastructuur en Waterstaat
1. Zorg ervoor dat in het opdrachtgeverschap aan ProRail als infrastructuurbeheerder 
naast beschikbaarheid en veilige berijdbaarheid ook andere waarden, zoals veilig 
werken en veilig rijden langs werkzaamheden, worden belegd. Neem daarnaast de 
barrières voor ProRail weg om enerzijds innovaties ten aanzien van veilig werken aan 
het spoor in de sector te ontwikkelen en door te voeren en anderzijds een voor_x0002_ziening te creëren voor het registreren, analyseren en delen van informatie over 
(bijna-)ongevallen (zie aanbeveling 2)</t>
  </si>
  <si>
    <t>Aan ProRail
2. Zet een voorziening op waarin informatie over (bijna-)ongevallen op het spoor wordt 
geregistreerd en benut. Verplicht alle bij het spoor betrokken partijen, inclusief 
spoorwegondernemingen, om hun incidenten toe te voegen. Richt deze op het 
brede veiligheidsdomein (dus inclusief arbeidsveiligheid en spoorwegveiligheid). 
Zorg ervoor dat alle relevante partijen gezamenlijk leren van (bijna-)ongevallen en 
lessen breed met elkaar delen.</t>
  </si>
  <si>
    <t>Aan ProRail
3. Benut de op te richten voorziening (zie aanbeveling 2) om op basis van risicoanalyses 
gericht te werken aan veiligheid. Houd zelf regie op de veiligheid van werkzaam_x0002_heden en rijden van spoorverkeer in alle fases van de onderhoudswerkzaamheden, 
van strategie en innovatie tot uitvoering. Gebruik naast het stellen van regels vooral 
het vakmanschap in de sector om situationele afwegingen te maken.</t>
  </si>
  <si>
    <t>Aan ProRail
4. Bevorder de veiligheid van werkenden aan het spoor. Als het niet lukt om alle sporen 
buiten dienst te nemen, zorg dan in ieder geval voor het volgende:
a. een robuuste (fysieke) afscherming van de werkplek.
b. een werklocatie die veilig bereikbaar is. Stop met het gebruik van 
eilandbuitendienststellingen en tijdelijke oversteekperiodes naar werklocaties en 
railinzetplaatsen.
c. een voorziening zodat werkenden aan het spoor ter plaatse kunnen zien of 
sporen al dan niet buiten dienst zijn. Introduceer hiertoe hulpmiddelen 
aanvullend aan de mondelinge communicatie. 
d. mondelinge veiligheidscommunicatie die wordt vastgelegd ter bevordering van 
het leren van (bijna-)ongevallen.</t>
  </si>
  <si>
    <t>Aan ProRail
5. Dring de negatieve gevolgen van nachtarbeid en overmatig werken voor veiligheid 
en gezondheid terug zonder dat dit leidt tot een toename van veiligheidsrisico’s. Zie 
erop toe dat railAlert en de onderhoudsaannemers maatregelen nemen om de 
risico’s van nachtwerken te verminderen. Zorg er daarbij voor dat bij werkzaamheden 
aan het spoor de arbeidstijden van zzp’ers minimaal voldoen aan de 
Arbeidstijdenwet</t>
  </si>
  <si>
    <t>Engine derailed with 1 axle</t>
  </si>
  <si>
    <t>THM Kft.</t>
  </si>
  <si>
    <t>Poor maintenance</t>
  </si>
  <si>
    <t>BA2022-1184-5-01</t>
  </si>
  <si>
    <t>TSB recommends that MÁV Zrt. develop and implement an enforceable concept for the elimination of substructure defects on its network.</t>
  </si>
  <si>
    <t>Speed of train &amp; track condition</t>
  </si>
  <si>
    <t>Engine driver HF &amp; track maintenance</t>
  </si>
  <si>
    <t>The 22nd waggon of the freight train deralied with 1 boogie.</t>
  </si>
  <si>
    <t xml:space="preserve">Karcag </t>
  </si>
  <si>
    <t>PSZ</t>
  </si>
  <si>
    <t>1,2 km track destroyed</t>
  </si>
  <si>
    <t>Failure of wagon &amp; track</t>
  </si>
  <si>
    <t>DK-10552</t>
  </si>
  <si>
    <t>Accident to persons caused by RS in motion, 12/5/2024, Bispebjerg Station</t>
  </si>
  <si>
    <t xml:space="preserve">Person was hit by the train, right after it was leaving the platform. </t>
  </si>
  <si>
    <t>Bispebjerg Station</t>
  </si>
  <si>
    <t>DSB S-Tog</t>
  </si>
  <si>
    <t>On 9 May 2022, passenger train no. 7657 was on its way from Deutschkreutz station to Vienna Central Station. The train was made up of two permanently coupled 3-part multiple units of the Siemens Desiro Mainline series. At about 6:20pm, passenger train no. 7657 derailed while switching rails as it was passing through Münchendorf station. Derailment occurred at point no. 1 at km 18.022 after traffic control had set a suitable route for the train to exit Münchendorf station.</t>
  </si>
  <si>
    <t>Bf Münchendorf</t>
  </si>
  <si>
    <t>The impact force damaged some personal passenger objects (e.g. a bicycle, a laptop, a hard disk, a mobile, glasses,…). The total amount of loss incurred is unknown to the Federal Safety Investigation Authority of Austria (Sicherheitsuntersuchungsstelle des Bundes, SUB).
The derailment caused serious damage to all vehicles of train no. 7657. The total vehicle damage amounts to an estimated € 10,790,000.-.
Serious infrastructural damage includes two catenary pylons, one shunting signal, one shunting stop post, the signalling equipment, approx. 1,000 m of catenary, approx. 500 m of track superstructure, and point no. 1. The damage to the infrastructure amounts to an estimated € 1,710,000.-.
The meadow next to the track suffered field damage of an unknown amount.
Furthermore, the event massively interfered with regular operations.</t>
  </si>
  <si>
    <t>Derailment was caused by track guidance failure because of the train passing points no.2 and no. 1 at excessive speed. Due to expectations, the train driver wrongly perceived the setting of exit signal “H1”, which caused him/her to pass the point section at 145 km/h instead of at 60 km/h. 
Traffic control failed to inform the train driver of the temporarily set route and switching via GSM-R train radio. This is considered a systemic factor because a piece of information was withheld, although the Standard Operating Procedure (SOP) on deviation management includes a provision to this effect. The SUB assumes that this provision is not duly considered as safety-related and is therefore not consistently observed, not least since deviation management is not primarily safety-oriented. Knowing this piece of information might have prevented the train driver’s expectations. Exit signal “H1” can hardly be perceived wrongly, particularly if you know that you are driving up to a point. 
The design of the automatic train control (ATC) system run at the infrastructural end failed to prevent the train from passing exit signal “H1” at excessive speed already while accelerating further after that point. The ATC system therefore also failed to automatically stop the train. Between the end of the monitoring section at 1000 Hz and the section including points no. 2 and no. 1, there was no technical means of monitoring the train. The design of the ATC system run at the infrastructural end may also be seen as a systemic factor because it may cause similar effects on other trips. Also, similar situations may occur at other stations.
Other causal factors of the accident event are that a red light on block section “f51” was recognised too late and/or that the red light situation was handled too late. Had the red light been recognised and the ensuing clear track signal of the train ahead been collected in due time, a contingency measure like setting a route along the opposite track and monitoring its safety at and after exit signal “H1” would not have been necessary.
The cause of the red light having been recognised too late is assessed as a systemic factor, this cause being the fact that the traffic managers at the signalling control centres have to accept more and more scope of responsibility, such that they cannot continuously supervise the entire scope. Although there are technical limitations and organisational restrictions to the areas of responsibility, they are unable to prevent these areas from being expanded. Therefore, we may not expect a red light to be recognised immediately, unless it is supported by an acoustic or optical signal.</t>
  </si>
  <si>
    <t>The large distance of 1667 m between the advance signal and both the advance exit signal “h” and the exit signal “H1” is a factor that contributed to the accident. Due to this large distance and the lack of technical means of monitoring, the train driver was able to accelerate the train after the 1000 Hz speed monitoring section and while approaching exist signal “H1” (394 m). Had the advance signal been closer to both signals, the train may still have derailed, but the consequences might have been less serious at a lower train speed at the point of derailment. The large distance to the advance signal may be seen as a systemic factor because it may cause similar effects on other trips. Large distances to advance signals and their safety-related effects on trips may also be found at other stations.</t>
  </si>
  <si>
    <t>A-2024/002</t>
  </si>
  <si>
    <t>The operator should check whether it makes sense and is technically feasible to install signal-based velocity test &amp; control equipment for points no. 2 and no. 1 at Münchendorf station (but not for the upstream main signals) or whether there are alternative solutions serving the same purpose. If so, such velocity test &amp; control equipment (or alternative solution) should be implemented. The underlying rules and standards should be amended to provide a basis for these implementations.
Reason:
As the incident under investigation revealed, the presence of an operative “intermittent automatic train control system” (IATC) failed to prevent a very severe derailment because there was still a possibility of accelerating the train after the 1000 Hz speed monitoring section across about 1,200 m length of track without any technical means of monitoring. While implementing the recommended measure may not completely rule out the possibility of trains passing the point section at excessive speed, the train might still be slow enough to massively reduce the chances of derailment.
The efforts of installing velocity test &amp; control equipment and possibly amending the rules and standards would seem justifiable in relation to the increased level of safety not only at Münchendorf station but later also of the entire railway network.</t>
  </si>
  <si>
    <t>A-2024/003</t>
  </si>
  <si>
    <t>The operator should revise the rules of standardised communication between the signalling control centre and the train drivers, which are currently part of the SOP on deviation management but not considered a piece of safety-related literature by the infrastructure operator. The revised version should focus more on the safety-related aspects of communication by integrating such safety-related aspects in the objectives defined for all standardised communications and by having training courses put more weight on how important excellent communication is when it comes to avoiding accidents.
Reason:
As the incident under investigation revealed, the signalling control centre and the train driver did not communicate despite the diversion (change of track), although the SOP of deviation management contains a provision to that effect. In the course of its safety investigation, the SUB discovered that this provision is not duly considered as safety-related and is therefore not consistently observed, not least since deviation management is not primarily safety-oriented. The operating manual does not make communication a mandatory obligation when changing the entry or exit route. Had the train driver been aware of the oncoming track change, he/she might not have expected exit signal “H1” to show “Free”.
Since it will only take organisational measures to put this safety recommendation into practice, the efforts seem justifiable in relation to the increased level of safety.</t>
  </si>
  <si>
    <t>A-2024/004</t>
  </si>
  <si>
    <t>Station planners are recommended to focus on future infrastructural designs in order to prevent situations like that of the incident under investigation. Such focus predominantly refers to the fact that, to obey the regular speed limit along local point sections, a train may have to slow down excessively from the maximum on-route speed (i.e. by 100 km/h in this case) plus to the fact that the train is under IATC control for a long part of the track (more than 1,200 m) but not monitored by technical means, such that it can enter the switch section at massively excessive speed.
It would make sense to change the relation between the main track and the point such that the maximum speed on the main track does not have to be drastically reduced when switching to the diversion and back to the straight track.
Reason:
There is no rule as to how points are to reflect the relation of top speeds along the main and the diversion tracks. An adequate relation of speeds on the main track and the switch to the diversion track might prevent excessive speed reduction (by 100 km/h in this case).
Since it will primarily take organisational measures to put this safety recommendation into practice, the efforts seem justifiable in relation to the increased level of safety. Installing a point supporting, say, 100 km/h instead of the 60 km/h as in this case will increase the costs of installation by about 58%. On the other hand, a higher-quality point will reduce the probability of derailment caused by excessive speed. The SUB therefore thinks that higher costs of installation are justified.</t>
  </si>
  <si>
    <t>A-2024/005</t>
  </si>
  <si>
    <t>We recommend preparing measures that will allow the traffic managers on duty to recognise red lights earlier as this will be a preventive means against the future risks of recognising a red light too late, “red light” referring to track sections equipped with axle counters that will retain the red light even after the train has passed.
Reason:
As the investigation revealed, the red light that occurred in the incident was not recognised immediately, which proved to be a causal factor of the accident.
The scope of the traffic managers’ responsibilities at the signalling control centres has grown too much to be able to continuously supervise the entire scope. Therefore, we may not expect a red light to be recognised immediately, unless it is supported by an acoustic or optical signal.
The efforts of putting this safety recommendation into practice seem justifiable in relation to the increased level of safety.</t>
  </si>
  <si>
    <t>Causal factor                                                                                             Not paying attention to the line and to the position of the exit signal corresponding to the parking line of the train no.66691-007 in the railway station and delay taking of braking measures to stop before the exit signal, that was in stop position, following the fatigue of the driver, generated by the exceeding of the maximum accepted continuous duty.</t>
  </si>
  <si>
    <t xml:space="preserve">No contributing factors.
Systemic factors
Not elaborated identification of the risks associated to the railway operations performed by SC Grup Feroviar Român SA for the risk category ”railway transport”.
</t>
  </si>
  <si>
    <t>no. 456-1</t>
  </si>
  <si>
    <t xml:space="preserve">Preamble of safety recommendations no.456/1
Along the investigation it was found that SC Grup Feroviar Român SA performed a non-elaborated identification of risks associated to the railway operations for the risk category „railway transport”. The investigation commission considers necessary to issue the next safety recommendation:
Safety recommendation no.456/1
Re-assessment by SC Grup Feroviar Român SA the risks associated to its own railway operations and the establishment of effective measures for keeping under control the dangers ”inobservance of the provisions for the maximum accepted continuous duty for the locomotive”, ”wrong understanding by the driver of the positions of the fixed and mobile signals that are on STOP” and „fatigue/low attention following the exceeding by the driver of the maximum accepted continuous duty for the locomotive”.
</t>
  </si>
  <si>
    <t>no. 456-2</t>
  </si>
  <si>
    <t xml:space="preserve">Preamble of safety recommendation no.456/2
During the investigation, there were found some deficiencies in the activity of SC Grup Feroviar Român SA, regarding:
 monitoring of maximum accepted continuous duty;
 lessons learn from the accidents and incidents, respectively drafting of investigation reports following the incidents consisting in exceeding of maximum accepted continuous duty;
 monitoring of the activity doing train mannings by traction instructors.
Safety recommendation no.456/2
Re-assessment by SC Grup Feroviar Român SA of the mentioned activities and taking of measures considered necessary in order to improve the activity. 
</t>
  </si>
  <si>
    <t>no. 456-3</t>
  </si>
  <si>
    <t xml:space="preserve">Preamble of safety recommendation no.456/3
Along the investigation, there were found some deficiencies in the activity of CNCF „CFR” SA – railway county Brașov, regarding:
 monitoring of the activity of the movements inspectors from the railway stations provided with electronic signal box;
 identification of the risks associated to the own railway operations for the activity „Management of railway traffic”, regarding the lack of notification about an accident or incident.
Safety recommendation no.456/3
Re-assessment by CNCF „CFR” SA of the mentioned activities mentioned and of the identification of the associated them.
</t>
  </si>
  <si>
    <t>DK-10553</t>
  </si>
  <si>
    <t>Trains collision near miss, 27/3/2024, Nr. Asmindrup station</t>
  </si>
  <si>
    <t>SPAD lead to a near miss collision</t>
  </si>
  <si>
    <t>Nr. Asmindrup station</t>
  </si>
  <si>
    <t>Lokaltog</t>
  </si>
  <si>
    <t>BG-10554</t>
  </si>
  <si>
    <t>Collision between shunting rolling stock, serviced by locomotive No98520055057-4 with three passenger coaches in the tail end of fast train No 1621 on the first track in Sofia station on 28.05.2024</t>
  </si>
  <si>
    <t>Sofia railway station</t>
  </si>
  <si>
    <t>Trains collision, 28/05/204,  Sofia railway station</t>
  </si>
  <si>
    <t>BDZ Passenger Transport EOOD-national carrier</t>
  </si>
  <si>
    <t>slightly injured 11 passengers, damaged shunting locomotive</t>
  </si>
  <si>
    <t>Trains collision, 24-05-24, Praha hl.n. station (Czech Republic)</t>
  </si>
  <si>
    <t>Unauthorized movement (spad) of the regional passenger train No. 9123 and consequent collision with the shunting operation.</t>
  </si>
  <si>
    <t>Praha hl.n. station, departure signal device No. S26, km 185,614</t>
  </si>
  <si>
    <t>regional passenger train;
shunting operation</t>
  </si>
  <si>
    <t>CZK 100 700 000,- (€ 4 071 977,-); Rolling stocks, infrastructure</t>
  </si>
  <si>
    <t>CZ-10555</t>
  </si>
  <si>
    <t>DK-10556</t>
  </si>
  <si>
    <t>Other, 15/5/2024, Høje Taastrup, Spor 0</t>
  </si>
  <si>
    <t>Shunting movement collision against derailment device</t>
  </si>
  <si>
    <t>Høje Taastrup, Spor 0</t>
  </si>
  <si>
    <t>TX Logostic</t>
  </si>
  <si>
    <t>Derailment device + 2 wheel sets</t>
  </si>
  <si>
    <t>BE-10557</t>
  </si>
  <si>
    <t>Runaway, 24/5/2024, Mechelen</t>
  </si>
  <si>
    <t>Runaway passenger train with passengers on board</t>
  </si>
  <si>
    <t>Mechelen</t>
  </si>
  <si>
    <t>Minor damages to a switch. No damages to rolling stock and no victims.</t>
  </si>
  <si>
    <t>Causal factor
The cause was found to be a mix-up of the exit-signals “H2” and “H4” and the resulting acceleration to 70 km/h by the driver of train 40592.
Contributing factors
A 500 Hz magnet allocated to the exit-signal “H2” at the location of the protection-signal “Sch202R” that could have prevented the side-on collision was not fitted at the time of the incident.
The structural distance between the exit-signal “H2” that was passed and the fouling point indicator (danger point) was 70 m.
This distance, combined with the lack of a 500 Hz magnet and a permissible speed of 100 km/h when a signal is showing “STOP”, represents an increased risk for train collisions.</t>
  </si>
  <si>
    <t>Vehicles ans infrastructure damaged.</t>
  </si>
  <si>
    <t>Trains collision, 23/5/2020, München Nord Rbf</t>
  </si>
  <si>
    <t>München Nord Rbf</t>
  </si>
  <si>
    <t>Truck driver killed. Truck heavily destroyed. destroyed while by crossing interal track crossing. Locomotive lightly damaged.</t>
  </si>
  <si>
    <t>Train derailment, 3/6/2022, Garmisch-Partenkirchen - Farchant</t>
  </si>
  <si>
    <t>Garmisch-Partenkirchen - Farchant</t>
  </si>
  <si>
    <t>Regional passenger train derailed and haevily damaged. Infrastructure damages.</t>
  </si>
  <si>
    <t>Set of track ties brocken due to quality deficiencies of concrete</t>
  </si>
  <si>
    <t>Construction chemistry / IM Maintenance</t>
  </si>
  <si>
    <t>02/24</t>
  </si>
  <si>
    <t>Es wird empfohlen, ein technisches Verfahren zur vollumfänglichen Prüfung des Zustandes von Spannbetonschwellen aller Hersteller im eingebauten Zustand zu entwickeln.</t>
  </si>
  <si>
    <t>03/24</t>
  </si>
  <si>
    <t>Es wird empfohlen, eine zentrale Rückverfolgbarkeit verbauter Spannbetonschwellen zu gewährleisten.</t>
  </si>
  <si>
    <t>CZ-10558</t>
  </si>
  <si>
    <t>Trains collision, 05-06-24, Pardubice hl. n. (Czech Republic)</t>
  </si>
  <si>
    <t>Collision of the long distance passenger train No. 1021 with the freight tran No. 41340 at Pardubice hl. n. station. Unauthorized movement of the long distance passenger train No. 1021 behind the signal device S1a and collision with the freight tran No. 41340</t>
  </si>
  <si>
    <t>Pardubice hl. n.</t>
  </si>
  <si>
    <t>Long distance passenger train; Freight train</t>
  </si>
  <si>
    <t>RegioJet a.s.; ČD Cargo, a. s.</t>
  </si>
  <si>
    <t>Total preliminary damage CZK 110 300 000,- (EUR 4 489 214,-)</t>
  </si>
  <si>
    <t>Unauthorized movement of the long distance passenger train No. 1334 behind the
single-aspect signal with signal „End of the train route“ with consequent ride to
preparing train route for the oncoming long distance passenger train No. 1333</t>
  </si>
  <si>
    <t xml:space="preserve">SPAD, 16-01-24, Rynoltice station (Czech Republic) </t>
  </si>
  <si>
    <t>Rynoltice station</t>
  </si>
  <si>
    <t>ARRIVA vlaky, s. r. o.</t>
  </si>
  <si>
    <t>Total damage CZK 23 315,- (EUR 949,-)</t>
  </si>
  <si>
    <t>Causal factor:
• the train driver of the long distance passenger train No. 1334 did not act during entry and while driving on the station track No. 3 as at the train which regularly stops at Rynoltice station, which is station without departure signal devices and where train must stopped if it was not dispatched by station dispatcher.</t>
  </si>
  <si>
    <t>Addressed to the Czech Ministry of Transport in cooperation with Czech National Safety
Authority (NSA) to specify by contents of legal regulation:
• minimum range and way of perform familiarization with line conditions at railway lines and stations where train driver will be drive rolling stocks, e.g. determination of minimum numbers of travel on specified railway line or its part both directions during the day and at night;
• requirements on records and archiving documentations which prove real execution component parts of familiarization with line conditions at railway lines and stations where train driver will be drive rolling stocks,
So that was completely satisfy of requirement certainty, including legal assurance, and recipients this legal duty it was not hamper in practice in its consistent application for application duty from Article 35(1) of Decree No 173/1995 Coll., so that train drivers were demonstrably familiarization with line conditions at railway lines and stations where train drivers will be drive rolling stocks.</t>
  </si>
  <si>
    <t>HU-10559</t>
  </si>
  <si>
    <t>SPAD, 07/06/2024, Kőbánya felső</t>
  </si>
  <si>
    <t>Train № 553 passed the entrance signal at danger without authorisation</t>
  </si>
  <si>
    <t>Kőbánya felső</t>
  </si>
  <si>
    <t>No material damage occurred</t>
  </si>
  <si>
    <t>CZ-10560</t>
  </si>
  <si>
    <t>Trains collision, 09-06-24, Milovice station (Czech Republic)</t>
  </si>
  <si>
    <t>Unauthorised movement (spad) of the regional passenger train No. 25635, collision with a rail buffer stop and consequent derailment</t>
  </si>
  <si>
    <t>Milovice station, the signal device No. Sc2, km 5,550</t>
  </si>
  <si>
    <t>CZK 1 800 000,- (€ 73 245,-); Rolling stocks, infrastructure</t>
  </si>
  <si>
    <t>BG-10561</t>
  </si>
  <si>
    <t>Accident to persons caused by RS in motion, 6/6/2024, along Telizh-Gorni Dabnik interstation, track 2</t>
  </si>
  <si>
    <t>Collision of two employees during work by Fast train No 2654 along Telizh-Gorni Dabnik interstation, track 2</t>
  </si>
  <si>
    <t>along Telizh-Gorni Dabnik interstation, track 2</t>
  </si>
  <si>
    <t>BDZPP</t>
  </si>
  <si>
    <t>1 fatality, 1 seriously injured employee</t>
  </si>
  <si>
    <t>BG-10562</t>
  </si>
  <si>
    <t>Derailment of passenger train No 30114 along Anton-Koprivshtitsa interstation</t>
  </si>
  <si>
    <t>Trains derailment, 11-06-24, along Anton-Koprivshtitsa interstation</t>
  </si>
  <si>
    <t>along Anton-Koprivshtitsa interstation</t>
  </si>
  <si>
    <t>Draft gear of RRS, railway line</t>
  </si>
  <si>
    <t>Train derailment, 8/6/2024, Ploiești Est</t>
  </si>
  <si>
    <t>Hauling locomotive DHC 938 of the freight train no.77280-108  derailed in Ploiești Est railway station.</t>
  </si>
  <si>
    <t>Ploiești Est</t>
  </si>
  <si>
    <t>SC Vest Trans Rail SRL</t>
  </si>
  <si>
    <t xml:space="preserve">Slight damage to all 4 locomotive axles.                                                                                          The superstructure of the tracks was slightly affected within the switch no.37.                                                                                </t>
  </si>
  <si>
    <t>RO-10563</t>
  </si>
  <si>
    <t>Train collision at Floridsdorf train station on July 01, 2019</t>
  </si>
  <si>
    <t>On 1 July 2019 at 16:42 at Floridsdorf station, the Z 24646 regional train departing from platform 3 (track 103) and coming from Mödling collided with the side of a shunting train travelling in the opposite direction. There was a signalled shunting route for the shunting run. For train Z 24646, there was a signalled train route up to the intermediate signal "F 202". This intermediate signal which was indicating to stop was passed at a speed of 59 km/h.</t>
  </si>
  <si>
    <t>Floridsdorf train station</t>
  </si>
  <si>
    <t xml:space="preserve">The driver of train Z 24646 failed to perceive both the existing "STOP" signalling of the intermediate signal "F 202", as well as the signalling of the signal imitator located approx. 50,5 m in front of it and assigned to the intermediate signal. Due to the perception failure, the driver also failed to initiate the necessary braking process to stop the train before the intermediate signal. The lack of perception is therefore a causal factor for the collision.
Train Z 24646 automatically triggered the emergency braking when it passed the stop signal at a speed of 59 km/h due to the 2000 Hz magnet located there. This made it possible to reduce the impact speed by around 50 km/h to approx. 10 km/h, which significantly reduced the force generated in the collision. Nevertheless, due to the distance of the 2000 Hz magnet from the danger point, in conjunction with the signalled speed of 60 km/h and the resulting braking distance of more than 90 m, it was not possible to prevent the collision with this technical safety device. The design of the technical safety device (no 500 Hz magnet, no selective train control PZB 90 equipment) must therefore also be regarded as a causal factor for the collision.
</t>
  </si>
  <si>
    <t xml:space="preserve">Contributing factor
The lack of perception, which caused the collision in connection with the design of the technical safety device, is the result of a lack of attention. Lack of attention therefore is a contributing factor.
Systemic factors
The driver's full attention on the actual journey can be restricted by the tight time limit for the transfer. The driver was given one minute by the organisation to take over the Z 24646. As the train arrived at the handover/takeover station already more than three minutes late, the driver decided to put his/her personal TIM device (Train Driver Information Management) into operation only at the next stop. The driver thus set the Z  24646 in motion without having fully completed the necessary preparatory work. Although the missing TIM device did not cause the accident, as the permitted speed was indicated by the infrastructure signalling and the driver would not have received any information to the contrary from the TIM device, the knowledge that this work still had to be done may still have been on the driver's mind at the time of not noticing the stop signal. This means that both the lack of time at the pick-up location, caused by the time not specified by the organisations (railway undertakings, service providers) in accordance with the regulations of the infrastructure requirements (instead of 3 minutes, only 1 minute was scheduled), and the uncertainty regarding the handling of the TIM device at the start of the journey, possibly caused by unclear explanations in the regulations in conjunction with inefficient communication between the organisations and the driver, can be identified as systemic factors in the cause of the collision.
</t>
  </si>
  <si>
    <t>Train to standstill before reaching the danger point</t>
  </si>
  <si>
    <t xml:space="preserve">It is recommended that the organisations con-cerned be asked review current practice with regard to driver replacement and to adapt the provisions in their SMS and their regulations in accordance with the result of the review. 
The present study has shown that a review of current practice, particularly with regard to the time set for the driver transfer, as well as any adjustments to the regulations can make a con-tribution to safety in rail traffic. From a safety point of view, it is essential that practice and regulations are consistent. The implementation of the measure is purely organizational, so that the effort is proportionate to the benefits of increasing security.
</t>
  </si>
  <si>
    <t>RO-10564</t>
  </si>
  <si>
    <t>Train derailment, 11/6/2024, Roșiori Nord - Atârnați</t>
  </si>
  <si>
    <t>Two coaches (2and and 3th) from the composition of the pasenger train no.1596 derailed between Roșiori Nord and Atârnați railway stations.</t>
  </si>
  <si>
    <t xml:space="preserve">Damage to the coaches no.50533616025-2 and 50532616065-0.
The line was damaged for about 100 meters. </t>
  </si>
  <si>
    <t>CZ-10565</t>
  </si>
  <si>
    <t>SPAD, 10/06/2024, Chrudim station</t>
  </si>
  <si>
    <t>Unauthorized movement (SPAD) of the regional passenger train No. 15186 behind the main (departure) signal device L1a at Chrudim station</t>
  </si>
  <si>
    <t>Chrudim station</t>
  </si>
  <si>
    <t>Collision of the regional passenger train No. 4505 with a lorry at the level crossing
No. P7118 with consequent derailment at Božice u Znojma station</t>
  </si>
  <si>
    <t>Total damage CZK 24 251 764,- (EUR 981 853,-)</t>
  </si>
  <si>
    <t>Causal factor:
• an unauthorized entrance of the combination of vehicles at the level crossing No. P7118 at the time when the regional passenger train No. 4505 was arriving, caused by behavior of the driver of the combination of vehicles, who did not respect the light and acoustic warning of the level crossing safety equipment and did not make sure whether he could safely pass the level crossing.
Contributing factor:
• worsened view to the level crossing warning road signal in direction ride of the combination of vehicles due to stopping other van truck on right shoulder of road in distance 12,5 metres from the level crossing (traffic sign A32a „Warning cross for level crossing single track“ and level crossing warning road signal) in combination with exceeding speed limit (about ca. 26 km.h-1 ) by the driver of the combination of vehicles in front of the level crossing.</t>
  </si>
  <si>
    <t>Addressed to the Municipal Authority of Znojmo as the Road Administration Office in the
field of roads III. class:
• to add traffic signing on the road III. class No. 3975 , which attentions drivers who turns left about ride to the level crossing No. P7118, i.e. put here at least vertical traffic signing A 31c „Signal board (80 m)” and A29 „Level crossing with barriers” in accordance with the technical conditions of TP 169 Principles for marking traffic situations on roads and TP 65 Principles for road markings on roads.</t>
  </si>
  <si>
    <t>On June 22, 2023, at 09:28 a.m., on the line M202 Zagreb GK – Rijeka, at station Sušak Pećine at km 641+461 was trains collision near miss between freight trains No. 45997 and 69029. Freight train No. 45997 should have stopped in front of the entrance signal "A" of the station Sušak Pećine at km 641+208, but due to the untimely activation of the brakes, it extended the journey to km 641+461. Freight train No. 69029 was coming from station Rijeka and was supposed to cross at station Sušak Pećine with freight train No. 45997 at 09:30 a.m. Freight train No. 69029 stopped at switch number 6 at 09:30 a.m. and then entered the third track of station Sušak Pećine. After completed investigation of the joint investigation commission, at 12:05 p.m., train No. 45997 started towards the destination station Rijeka. After starting, the train driver notices that the train is not braking, he reports the same to the train dispatcher at the station Sušak Pećine, who sets the path for the train on the truncated track via switches number 6 and 7a, and the train stops at the end of the truncated track at 12:09 p.m. There were no injured persons in the incident, and no material damage to railway vehicles and railway infrastructure.</t>
  </si>
  <si>
    <t xml:space="preserve">Rail Cargo Carrier-Croatia d.o.o. (freight train) and HZ Cargo d.o.o. (locomotive train) </t>
  </si>
  <si>
    <t xml:space="preserve">The causal factor of the incident is the not stopping of train No. 45997 in front of the entrance signal "A" of station Sušak Pećine, which showed the signal sign "STOP" (chapter 3.2). </t>
  </si>
  <si>
    <t>Contributing factor: - track slope 27.00 ‰ (chapter 3.2). 
Systemic factors: - procedures for braking and securing against self-starting train no. 45997 (chapter 4.3.3), - procedures when performing the braking test of train no. 45997 (chapter 4.3.3).</t>
  </si>
  <si>
    <t>AIN/06-SR-01/2024</t>
  </si>
  <si>
    <t>The railway undertaking, RCCC, during the practical training of train drivers, should pay more attention to the part about braking procedures, ensuring against self-starting of trains and performing braking tests, especially on tracks with greater slopes in order to avoid in the future similar incidents.</t>
  </si>
  <si>
    <t>CZ-10566</t>
  </si>
  <si>
    <t>Train derailment, 15-06-24, Rychnov u Jablonce nad Nisou station (Czech Republic)</t>
  </si>
  <si>
    <t>Derailment of the regional passenger train No. 5414</t>
  </si>
  <si>
    <t>Rychnov u Jablonce nad Nisou station, the switch No. 2, km 143,294</t>
  </si>
  <si>
    <t>CZK 1 205 000,- (€ 48 707,-); Rolling stock, infrastructure</t>
  </si>
  <si>
    <t>Tampere Viinikka marshalling yard, Helsinki-Tampere section of line (line number 1301), km 186+253</t>
  </si>
  <si>
    <t xml:space="preserve">The traffic controller authorised the reversing of the train based on the mistaken assumption that the train would fit onto the assigned section of track. </t>
  </si>
  <si>
    <t>1. The actors within rail industry have failed to recognise all the risks associated with reversing. 
2. There are no technological systems in place for reversing that would safeguard against the risk of human error.
3. Current guidelines for reversing are not fully supportive of safety.
4. Actors in rail industry often only look at railway safety from their own perspective. This fragmented approach does not support or lead to the development of common safety standards within the rail industry as a whole. It appears, based on the investigation, that no one organisation is ultimately in charge of managing and improving railway safety.</t>
  </si>
  <si>
    <t>Upgrading of technological safety systems</t>
  </si>
  <si>
    <t>19/6/2024</t>
  </si>
  <si>
    <t>The Finnish Transport Infrastructure Agency and Fintraffic Railway Ltd join forces to improve the safety of reversing and other degraded operations by putting into place an array of technological systems to safeguard against an accident in the event of human error. [2024-S27]</t>
  </si>
  <si>
    <t>Updating of the guidelines for reversing and the associated checklist</t>
  </si>
  <si>
    <t>The Finnish Transport Infrastructure Agency update the sections of the Rail Transport and Shunting Safety Guidelines that deal with reversing and standardised communications so that trains can only be reversed into locations that the train driver is able to see from the cab. The existing checklist for the safe coordination and execution of reversing manoeuvres should also be updated and incorporated into the Finnish Transport Infrastructure Agency’s rail transport operation guidelines.  [2024-S28]</t>
  </si>
  <si>
    <t>Improving of the Finnish Transport Infrastructure Agency’s guidance drafting procedures</t>
  </si>
  <si>
    <t>The Finnish Transport Infrastructure Agency improve its guidance drafting procedures so as to better recognise the effect of guidelines on safety and to systematically analyse and document the risks involved in introducing new guidelines also in respect of rail transport operation. [2024-S29]</t>
  </si>
  <si>
    <t>Managing and improving of railway safety across the whole system</t>
  </si>
  <si>
    <t>The Finnish Transport and Communications Agency ensure not only compliance with the applicable rail transport operation guidelines but also the effectiveness of operators’ self-monitoring procedures in practice. The Finnish Transport and Communications Agency should also take a more active role in managing and improving railway safety across the whole system. [2024-S30]</t>
  </si>
  <si>
    <t>The person was demented</t>
  </si>
  <si>
    <t>BE-10567</t>
  </si>
  <si>
    <t>Trains collision, 13/5/2024, Schaerbeek</t>
  </si>
  <si>
    <t>Collision of a locomotive with an empty, parked passenger train while carrying out a shunting operation</t>
  </si>
  <si>
    <t>1/ Three SNCB/NMBS staff members have minor injuries.
2/ Damage to the buffers of the lead vehicle of the empty, parked passenger train.</t>
  </si>
  <si>
    <t>DK-10568</t>
  </si>
  <si>
    <t>Accident to persons caused by RS in motion, 22/6/2024, Nørrebrogade Århus.</t>
  </si>
  <si>
    <t>Tram hit a person on Nørrebrogade in Århus</t>
  </si>
  <si>
    <t>Nørrebrogade, Århus Letbane</t>
  </si>
  <si>
    <t>Århus Letbane</t>
  </si>
  <si>
    <t>broken windshield</t>
  </si>
  <si>
    <t>HU-10569</t>
  </si>
  <si>
    <t>Train derailment,27/06/2024</t>
  </si>
  <si>
    <t>3 wagons of the train derailed.</t>
  </si>
  <si>
    <t>350 m track and 3 passenger waggons are damaged</t>
  </si>
  <si>
    <t>Inspection point № 4 and Iliyiantsi station</t>
  </si>
  <si>
    <t>"Cargo Trans Vagon Bulgaria" JSC</t>
  </si>
  <si>
    <t>preceding circumstances related to the performance of the assigned tasks</t>
  </si>
  <si>
    <t xml:space="preserve">The requirements of the normative acts, which ensure safety at work in the workplace, have not been met. </t>
  </si>
  <si>
    <t>Familiarize the interested personnel with the content of this report</t>
  </si>
  <si>
    <t>25/6/2024</t>
  </si>
  <si>
    <t>With recommendation 1, it is proposed that SE NRIC and CTVB JSC familiarize the interested personnel with the content of this report</t>
  </si>
  <si>
    <t>SE NRIC's occupational safety and health authorities to undertake systematic inspections</t>
  </si>
  <si>
    <t>With recommendation 2, it is proposed to the SE NRIC that the occupational safety and health authorities undertake systematic inspections regarding the quality of the types of briefings conducted (including daily ones) by direct supervisors and the entries in the briefing books;</t>
  </si>
  <si>
    <t>CTVB JSC to supplement the texts regarding safety and control over the implementation of the provisions</t>
  </si>
  <si>
    <t>With recommendation 5, it is proposed that CTVB JSC supplement the texts regarding safety and control over the implementation of the provisions in the "Instructions for the work of locomotive drivers and assistant drivers when performing train and shunting activities" and in "Management of "Movement" of " Cargo Trans Wagon Bulgaria JSC, part of the Safety Management System</t>
  </si>
  <si>
    <t>SE NRIC's occupational safety and health authorities to organize and conduct trainings</t>
  </si>
  <si>
    <t>With recommendation 3, it is proposed to the SE NRIC that the occupational safety and health authorities organize and conduct trainings for the direct supervisors conducting the types of staff briefings in the railway sections, paying attention to the risk assessment and accompanying hazards in the types of works on the rail track</t>
  </si>
  <si>
    <t xml:space="preserve">SE NRIC to conduct systematically trainings </t>
  </si>
  <si>
    <t>With recommendation 4, it is proposed that SE NRIC systematically conduct trainings for personnel working with mechanized equipment and machines for which legal capacity is required</t>
  </si>
  <si>
    <t>CTVB JSC correct and supplement the texts in the book for daily instruction</t>
  </si>
  <si>
    <t>With recommendation 6, it is proposed that CTVB JSC correct and supplement the texts in the book for daily instruction regarding the safety of shunting trains in the interstation IP 4 - Iliyantsi</t>
  </si>
  <si>
    <t>Total damage CZK 25 469,- (EUR 1 018,-)</t>
  </si>
  <si>
    <t>Causal factor:
• performance of works by employees of the infrastructure manager in the operated non-excluded track line without ensuring safety and health protection at work, specifically without arrange the conditions of work on the equipment, without ensuring the safety of the workplace and without ensuring the safety of employees at the workplace.</t>
  </si>
  <si>
    <t>Addressed to the Czech National Safety Authority (NSA):
• to adopt own measure that will ensure effective and consistent control activity over the fulfillment and observance of obligations determine to individual employees, especially in connection with ensuring the safety and health protection of employees in an operated traffic route at infrastructure manager SŽ and other infrastructure managers of national and regional railways.</t>
  </si>
  <si>
    <t>CZ-10570</t>
  </si>
  <si>
    <t>Trains collision, 27/6/2024, open line between Holubice and Rousínov stations</t>
  </si>
  <si>
    <t>Unauthorized movement (SPAD) of the service train No. 52199 behind the signal device S1 and consequent collision with the freight train No. 54035</t>
  </si>
  <si>
    <t>open line between Holubice and Rousínov stations</t>
  </si>
  <si>
    <t>Správa železnic, státní organizace; TOMI-REMONT a.s.</t>
  </si>
  <si>
    <t>Total preliminary damage CZK 1 900 000,- (EUR 75 909,-)</t>
  </si>
  <si>
    <t>SK-10571</t>
  </si>
  <si>
    <t>Level crossing accident, 27/6/2024, between Nové Zámky - Dvory nad Žitavou</t>
  </si>
  <si>
    <t>between Nové Zámky - Dvory nad Žitavou</t>
  </si>
  <si>
    <t>collision of a train with a bus</t>
  </si>
  <si>
    <t>No material damages</t>
  </si>
  <si>
    <t>Causal factors: 
1. The software development was based on erroneous assumptions regarding the scope of the project. See Recommendations 43/2023-1 and 43/2023-4.
2. There was no follow-up or verification of the initial assumptions, so they were taken as valid in later phases of the project. See Recommendations 43/2023-1</t>
  </si>
  <si>
    <t>Contributing factors: 
1. The necessary test to detect the present error was not included in the technologist's testing campaign. See Recommendations 43/2023-2 and 43/2023-3.
2. There was a lack of definition of the scope of the project scope and the specification of the necessary tests by both Alstom (technologist) and ADIF (infrastructure manager). See Recommendations 43/2023-3 and 43/2003-4.</t>
  </si>
  <si>
    <t>43/2023-1: availability and validation of data prior to software generation</t>
  </si>
  <si>
    <t>To implement tools to ensure the availability of operating data prior to software generation and, in the case of setting hypotheses, to design methods to monitor and validate them.
Addressee: AESF (NSA Spain)
Final implementer: Alstom (software developer)</t>
  </si>
  <si>
    <t>43/2023-2: double-checking of test campaigns</t>
  </si>
  <si>
    <t>To establish double-checking procedures by the Safety team on the test campaigns designed by V&amp;V, and especially on the errors detected by the former ones, in order to confirm their management and solution.
Addressee: AESF (NSA Spain)
Final implementer: Alstom (software developer)</t>
  </si>
  <si>
    <t>43/2023-3: specific tools for analysing boundaries</t>
  </si>
  <si>
    <t>To include in Alstom's procedures specific tools that analyse existing and new boundaries to be created, as well as their scope and, if applicable, the necessary tests for their correct implementation.
Addressee: AESF (NSA Spain)
Final implementer: Alstom (software developer)</t>
  </si>
  <si>
    <t>43/2023-4: specific tools for analysing boundaries (IM)</t>
  </si>
  <si>
    <t>To include in ADIF's SMS specific tools to analyse existing and new boundaries, as well as their scope and, if applicable, the necessary tests for their correct implementation.
Addressee: AESF (NSA Spain)
Final implementer: Adif (IM)</t>
  </si>
  <si>
    <t>43/2023-5: improve performance and registration of factory test protocols</t>
  </si>
  <si>
    <t>To develop technological tools that allow greater agility both in the registration and in the performance of the tests detailed in IT-205-002-001 "Performance of Factory Tests", as well as the improvement of these protocols, to ensure strict compliance with them.
Addressee: AESF (NSA Spain)
Final implementer: Adif (IM)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</si>
</sst>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d/m/yyyy;@"/>
    <numFmt numFmtId="165" formatCode="[$]dd/mm/yyyy;@"/>
    <numFmt numFmtId="166" formatCode="[$]hh:mm;@"/>
  </numFmts>
  <fonts count="30" x14ac:knownFonts="1">
    <font>
      <sz val="11"/>
      <color theme="1"/>
      <name val="Calibri"/>
      <family val="2"/>
      <scheme val="minor"/>
    </font>
    <font>
      <sz val="11"/>
      <color rgb="FFFF0000"/>
      <name val="Calibri"/>
      <family val="2"/>
      <scheme val="minor"/>
    </font>
    <font>
      <b/>
      <sz val="11"/>
      <color theme="1"/>
      <name val="Calibri"/>
      <family val="2"/>
      <scheme val="minor"/>
    </font>
    <font>
      <u/>
      <sz val="11"/>
      <color theme="10"/>
      <name val="Calibri"/>
      <family val="2"/>
      <scheme val="minor"/>
    </font>
    <font>
      <sz val="11"/>
      <name val="Calibri"/>
      <family val="2"/>
      <scheme val="minor"/>
    </font>
    <font>
      <b/>
      <sz val="9"/>
      <color indexed="81"/>
      <name val="Tahoma"/>
      <family val="2"/>
    </font>
    <font>
      <sz val="9"/>
      <color indexed="81"/>
      <name val="Tahoma"/>
      <family val="2"/>
    </font>
    <font>
      <sz val="12"/>
      <color theme="1"/>
      <name val="Arial"/>
      <family val="2"/>
    </font>
    <font>
      <sz val="11"/>
      <color rgb="FF000000"/>
      <name val="Calibri"/>
      <family val="2"/>
      <scheme val="minor"/>
    </font>
    <font>
      <i/>
      <sz val="11"/>
      <color theme="1"/>
      <name val="Calibri"/>
      <family val="2"/>
      <scheme val="minor"/>
    </font>
    <font>
      <b/>
      <u/>
      <sz val="11"/>
      <color theme="1"/>
      <name val="Calibri"/>
      <family val="2"/>
      <scheme val="minor"/>
    </font>
    <font>
      <sz val="8"/>
      <name val="Calibri"/>
      <family val="2"/>
      <scheme val="minor"/>
    </font>
    <font>
      <b/>
      <i/>
      <u/>
      <sz val="11"/>
      <color theme="1"/>
      <name val="Calibri"/>
      <family val="2"/>
      <scheme val="minor"/>
    </font>
    <font>
      <b/>
      <i/>
      <sz val="11"/>
      <color theme="1"/>
      <name val="Calibri"/>
      <family val="2"/>
      <scheme val="minor"/>
    </font>
    <font>
      <sz val="11"/>
      <color theme="1"/>
      <name val="Calibri"/>
      <family val="2"/>
      <charset val="238"/>
      <scheme val="minor"/>
    </font>
    <font>
      <sz val="11"/>
      <color rgb="FF000000"/>
      <name val="Calibri"/>
      <family val="2"/>
      <charset val="1"/>
    </font>
    <font>
      <u/>
      <sz val="10"/>
      <color rgb="FF0000FF"/>
      <name val="Arial"/>
      <family val="2"/>
      <charset val="1"/>
    </font>
    <font>
      <sz val="10"/>
      <name val="Arial"/>
      <family val="2"/>
      <charset val="1"/>
    </font>
    <font>
      <sz val="11"/>
      <color rgb="FF006100"/>
      <name val="Calibri"/>
      <family val="2"/>
      <charset val="1"/>
    </font>
    <font>
      <u/>
      <sz val="11"/>
      <color rgb="FF0563C1"/>
      <name val="Calibri"/>
      <family val="2"/>
      <charset val="1"/>
    </font>
    <font>
      <sz val="10"/>
      <color rgb="FF000000"/>
      <name val="Arial"/>
      <family val="2"/>
    </font>
    <font>
      <sz val="10"/>
      <name val="Arial"/>
      <family val="2"/>
    </font>
    <font>
      <u/>
      <sz val="10"/>
      <color indexed="12"/>
      <name val="Arial"/>
      <family val="2"/>
    </font>
    <font>
      <b/>
      <sz val="10"/>
      <color theme="1"/>
      <name val="Arial"/>
      <family val="2"/>
      <charset val="238"/>
    </font>
    <font>
      <sz val="10"/>
      <color theme="1"/>
      <name val="Arial"/>
      <family val="2"/>
      <charset val="238"/>
    </font>
    <font>
      <sz val="10"/>
      <color rgb="FF000000"/>
      <name val="Arial"/>
      <family val="2"/>
      <charset val="1"/>
    </font>
    <font>
      <b/>
      <sz val="10"/>
      <color rgb="FF000000"/>
      <name val="Arial"/>
      <family val="2"/>
      <charset val="1"/>
    </font>
    <font>
      <sz val="10"/>
      <color rgb="FF000000"/>
      <name val="Arial"/>
      <family val="2"/>
      <charset val="238"/>
    </font>
    <font>
      <i/>
      <sz val="10"/>
      <color rgb="FF000000"/>
      <name val="Arial"/>
      <family val="2"/>
      <charset val="238"/>
    </font>
    <font>
      <b/>
      <sz val="10"/>
      <color rgb="FF000000"/>
      <name val="Arial"/>
      <family val="2"/>
      <charset val="238"/>
    </font>
  </fonts>
  <fills count="8">
    <fill>
      <patternFill patternType="none"/>
    </fill>
    <fill>
      <patternFill patternType="gray125"/>
    </fill>
    <fill>
      <patternFill patternType="solid">
        <fgColor rgb="FFFFFF00"/>
        <bgColor indexed="64"/>
      </patternFill>
    </fill>
    <fill>
      <patternFill patternType="solid">
        <fgColor theme="7" tint="0.39997558519241921"/>
        <bgColor indexed="64"/>
      </patternFill>
    </fill>
    <fill>
      <patternFill patternType="solid">
        <fgColor rgb="FF92D050"/>
        <bgColor indexed="64"/>
      </patternFill>
    </fill>
    <fill>
      <patternFill patternType="solid">
        <fgColor rgb="FFFF0000"/>
        <bgColor indexed="64"/>
      </patternFill>
    </fill>
    <fill>
      <patternFill patternType="solid">
        <fgColor theme="0"/>
        <bgColor indexed="64"/>
      </patternFill>
    </fill>
    <fill>
      <patternFill patternType="solid">
        <fgColor rgb="FFC6EFCE"/>
        <bgColor rgb="FFC5E0B4"/>
      </patternFill>
    </fill>
  </fills>
  <borders count="18">
    <border>
      <left/>
      <right/>
      <top/>
      <bottom/>
      <diagonal/>
    </border>
    <border>
      <left style="thin">
        <color rgb="FF000000"/>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indexed="64"/>
      </left>
      <right/>
      <top style="thin">
        <color indexed="64"/>
      </top>
      <bottom style="thin">
        <color indexed="64"/>
      </bottom>
      <diagonal/>
    </border>
    <border>
      <left/>
      <right style="thin">
        <color rgb="FF000000"/>
      </right>
      <top style="thin">
        <color rgb="FF000000"/>
      </top>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right style="thin">
        <color rgb="FF000000"/>
      </right>
      <top/>
      <bottom style="thin">
        <color rgb="FF000000"/>
      </bottom>
      <diagonal/>
    </border>
    <border>
      <left/>
      <right/>
      <top style="thin">
        <color rgb="FF000000"/>
      </top>
      <bottom style="thin">
        <color rgb="FF000000"/>
      </bottom>
      <diagonal/>
    </border>
    <border>
      <left/>
      <right style="thin">
        <color indexed="64"/>
      </right>
      <top style="thin">
        <color indexed="64"/>
      </top>
      <bottom/>
      <diagonal/>
    </border>
    <border>
      <left/>
      <right style="medium">
        <color auto="1"/>
      </right>
      <top style="thin">
        <color auto="1"/>
      </top>
      <bottom style="thin">
        <color auto="1"/>
      </bottom>
      <diagonal/>
    </border>
  </borders>
  <cellStyleXfs count="10">
    <xf numFmtId="0" fontId="0" fillId="0" borderId="0"/>
    <xf numFmtId="0" fontId="3" fillId="0" borderId="0" applyNumberFormat="0" applyFill="0" applyBorder="0" applyAlignment="0" applyProtection="0"/>
    <xf numFmtId="0" fontId="14" fillId="0" borderId="0"/>
    <xf numFmtId="0" fontId="15" fillId="0" borderId="0"/>
    <xf numFmtId="0" fontId="19" fillId="0" borderId="0" applyBorder="0" applyProtection="0"/>
    <xf numFmtId="0" fontId="16" fillId="0" borderId="0" applyBorder="0" applyProtection="0"/>
    <xf numFmtId="0" fontId="17" fillId="0" borderId="0"/>
    <xf numFmtId="0" fontId="18" fillId="7" borderId="0" applyBorder="0" applyProtection="0"/>
    <xf numFmtId="0" fontId="21" fillId="0" borderId="0"/>
    <xf numFmtId="0" fontId="22" fillId="0" borderId="0" applyNumberFormat="0" applyFill="0" applyBorder="0" applyAlignment="0" applyProtection="0">
      <alignment vertical="top"/>
      <protection locked="0"/>
    </xf>
  </cellStyleXfs>
  <cellXfs count="136">
    <xf numFmtId="0" fontId="0" fillId="0" borderId="0" xfId="0"/>
    <xf numFmtId="0" fontId="0" fillId="0" borderId="0" xfId="0" applyProtection="1">
      <protection locked="0"/>
    </xf>
    <xf numFmtId="164" fontId="2" fillId="2" borderId="2" xfId="0" applyNumberFormat="1"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wrapText="1"/>
      <protection locked="0"/>
    </xf>
    <xf numFmtId="14" fontId="2" fillId="3" borderId="2" xfId="0" applyNumberFormat="1" applyFont="1" applyFill="1" applyBorder="1" applyAlignment="1">
      <alignment horizontal="center" vertical="center" wrapText="1"/>
    </xf>
    <xf numFmtId="0" fontId="0" fillId="0" borderId="4" xfId="0" applyBorder="1" applyAlignment="1" applyProtection="1">
      <alignment wrapText="1"/>
      <protection locked="0"/>
    </xf>
    <xf numFmtId="164" fontId="0" fillId="0" borderId="5" xfId="0" applyNumberFormat="1" applyBorder="1" applyAlignment="1">
      <alignment horizontal="center" wrapText="1"/>
    </xf>
    <xf numFmtId="164" fontId="0" fillId="0" borderId="4" xfId="0" applyNumberFormat="1" applyBorder="1" applyAlignment="1">
      <alignment horizontal="center" wrapText="1"/>
    </xf>
    <xf numFmtId="0" fontId="0" fillId="0" borderId="2" xfId="0" applyBorder="1"/>
    <xf numFmtId="164" fontId="0" fillId="0" borderId="2" xfId="0" applyNumberFormat="1" applyBorder="1" applyAlignment="1">
      <alignment horizontal="center" wrapText="1"/>
    </xf>
    <xf numFmtId="164" fontId="0" fillId="0" borderId="3" xfId="0" applyNumberFormat="1" applyBorder="1" applyAlignment="1">
      <alignment horizontal="center" wrapText="1"/>
    </xf>
    <xf numFmtId="164" fontId="0" fillId="6" borderId="3" xfId="0" applyNumberFormat="1" applyFill="1" applyBorder="1" applyAlignment="1">
      <alignment horizontal="center" wrapText="1"/>
    </xf>
    <xf numFmtId="0" fontId="0" fillId="6" borderId="0" xfId="0" applyFill="1" applyProtection="1">
      <protection locked="0"/>
    </xf>
    <xf numFmtId="0" fontId="0" fillId="0" borderId="2" xfId="0" applyBorder="1" applyAlignment="1">
      <alignment wrapText="1"/>
    </xf>
    <xf numFmtId="0" fontId="3" fillId="0" borderId="4" xfId="1" applyBorder="1" applyAlignment="1">
      <alignment wrapText="1"/>
    </xf>
    <xf numFmtId="0" fontId="0" fillId="0" borderId="4" xfId="0" applyBorder="1" applyAlignment="1">
      <alignment wrapText="1"/>
    </xf>
    <xf numFmtId="0" fontId="1" fillId="0" borderId="4" xfId="1" applyFont="1" applyFill="1" applyBorder="1" applyAlignment="1">
      <alignment wrapText="1"/>
    </xf>
    <xf numFmtId="164" fontId="0" fillId="0" borderId="0" xfId="0" applyNumberFormat="1" applyAlignment="1" applyProtection="1">
      <alignment horizontal="center" wrapText="1"/>
      <protection locked="0"/>
    </xf>
    <xf numFmtId="0" fontId="0" fillId="2" borderId="4" xfId="0" applyFill="1" applyBorder="1" applyAlignment="1">
      <alignment wrapText="1"/>
    </xf>
    <xf numFmtId="164" fontId="0" fillId="0" borderId="10" xfId="0" applyNumberFormat="1" applyBorder="1" applyAlignment="1">
      <alignment horizontal="center" wrapText="1"/>
    </xf>
    <xf numFmtId="0" fontId="0" fillId="0" borderId="2" xfId="0" applyBorder="1" applyProtection="1">
      <protection locked="0"/>
    </xf>
    <xf numFmtId="0" fontId="0" fillId="0" borderId="2" xfId="0" applyBorder="1" applyAlignment="1" applyProtection="1">
      <alignment wrapText="1"/>
      <protection locked="0"/>
    </xf>
    <xf numFmtId="0" fontId="0" fillId="2" borderId="4" xfId="0" applyFill="1" applyBorder="1" applyAlignment="1" applyProtection="1">
      <alignment wrapText="1"/>
      <protection locked="0"/>
    </xf>
    <xf numFmtId="0" fontId="0" fillId="4" borderId="4" xfId="0" applyFill="1" applyBorder="1" applyAlignment="1" applyProtection="1">
      <alignment wrapText="1"/>
      <protection locked="0"/>
    </xf>
    <xf numFmtId="0" fontId="0" fillId="5" borderId="4" xfId="0" applyFill="1" applyBorder="1" applyAlignment="1" applyProtection="1">
      <alignment wrapText="1"/>
      <protection locked="0"/>
    </xf>
    <xf numFmtId="0" fontId="0" fillId="0" borderId="0" xfId="0" applyAlignment="1" applyProtection="1">
      <alignment wrapText="1"/>
      <protection locked="0"/>
    </xf>
    <xf numFmtId="0" fontId="0" fillId="4" borderId="4" xfId="0" applyFill="1" applyBorder="1" applyAlignment="1">
      <alignment wrapText="1"/>
    </xf>
    <xf numFmtId="0" fontId="3" fillId="0" borderId="4" xfId="1" applyFill="1" applyBorder="1" applyAlignment="1">
      <alignment wrapText="1"/>
    </xf>
    <xf numFmtId="14" fontId="0" fillId="0" borderId="4" xfId="0" applyNumberFormat="1" applyBorder="1" applyAlignment="1">
      <alignment wrapText="1"/>
    </xf>
    <xf numFmtId="0" fontId="0" fillId="0" borderId="4" xfId="0" applyBorder="1" applyAlignment="1">
      <alignment vertical="center" wrapText="1"/>
    </xf>
    <xf numFmtId="0" fontId="1" fillId="0" borderId="4" xfId="0" applyFont="1" applyBorder="1" applyAlignment="1">
      <alignment wrapText="1"/>
    </xf>
    <xf numFmtId="165" fontId="0" fillId="0" borderId="4" xfId="0" applyNumberFormat="1" applyBorder="1" applyAlignment="1">
      <alignment wrapText="1"/>
    </xf>
    <xf numFmtId="165" fontId="0" fillId="2" borderId="4" xfId="0" applyNumberFormat="1" applyFill="1" applyBorder="1" applyAlignment="1">
      <alignment wrapText="1"/>
    </xf>
    <xf numFmtId="164" fontId="0" fillId="2" borderId="2" xfId="0" applyNumberFormat="1" applyFill="1" applyBorder="1" applyAlignment="1">
      <alignment horizontal="center" wrapText="1"/>
    </xf>
    <xf numFmtId="166" fontId="0" fillId="0" borderId="4" xfId="0" applyNumberFormat="1" applyBorder="1" applyAlignment="1">
      <alignment horizontal="center" wrapText="1"/>
    </xf>
    <xf numFmtId="166" fontId="0" fillId="0" borderId="3" xfId="0" applyNumberFormat="1" applyBorder="1" applyAlignment="1">
      <alignment horizontal="center" wrapText="1"/>
    </xf>
    <xf numFmtId="1" fontId="0" fillId="0" borderId="4" xfId="0" applyNumberFormat="1" applyBorder="1" applyAlignment="1">
      <alignment horizontal="center" wrapText="1"/>
    </xf>
    <xf numFmtId="1" fontId="0" fillId="0" borderId="3" xfId="0" applyNumberFormat="1" applyBorder="1" applyAlignment="1">
      <alignment horizontal="center" wrapText="1"/>
    </xf>
    <xf numFmtId="1" fontId="0" fillId="0" borderId="4" xfId="0" applyNumberFormat="1" applyBorder="1" applyAlignment="1" applyProtection="1">
      <alignment wrapText="1"/>
      <protection locked="0"/>
    </xf>
    <xf numFmtId="0" fontId="4" fillId="0" borderId="4" xfId="1" applyFont="1" applyFill="1" applyBorder="1" applyAlignment="1">
      <alignment wrapText="1"/>
    </xf>
    <xf numFmtId="0" fontId="0" fillId="0" borderId="10" xfId="0" applyBorder="1" applyAlignment="1" applyProtection="1">
      <alignment wrapText="1"/>
      <protection locked="0"/>
    </xf>
    <xf numFmtId="0" fontId="0" fillId="0" borderId="11" xfId="0" applyBorder="1" applyAlignment="1" applyProtection="1">
      <alignment wrapText="1"/>
      <protection locked="0"/>
    </xf>
    <xf numFmtId="164" fontId="0" fillId="0" borderId="11" xfId="0" applyNumberFormat="1" applyBorder="1" applyAlignment="1">
      <alignment horizontal="center" wrapText="1"/>
    </xf>
    <xf numFmtId="164" fontId="0" fillId="0" borderId="2" xfId="0" applyNumberFormat="1" applyBorder="1" applyAlignment="1" applyProtection="1">
      <alignment horizontal="center" wrapText="1"/>
      <protection locked="0"/>
    </xf>
    <xf numFmtId="164" fontId="0" fillId="0" borderId="14" xfId="0" applyNumberFormat="1" applyBorder="1" applyAlignment="1">
      <alignment horizontal="center" wrapText="1"/>
    </xf>
    <xf numFmtId="0" fontId="0" fillId="0" borderId="4" xfId="0" applyBorder="1"/>
    <xf numFmtId="0" fontId="0" fillId="0" borderId="0" xfId="0" applyAlignment="1">
      <alignment wrapText="1"/>
    </xf>
    <xf numFmtId="0" fontId="1" fillId="0" borderId="4" xfId="0" applyFont="1" applyBorder="1" applyProtection="1">
      <protection locked="0"/>
    </xf>
    <xf numFmtId="0" fontId="0" fillId="0" borderId="4" xfId="0" applyBorder="1" applyProtection="1">
      <protection locked="0"/>
    </xf>
    <xf numFmtId="0" fontId="3" fillId="0" borderId="4" xfId="1" applyBorder="1" applyAlignment="1" applyProtection="1">
      <alignment wrapText="1"/>
      <protection locked="0"/>
    </xf>
    <xf numFmtId="166" fontId="0" fillId="0" borderId="3" xfId="0" applyNumberFormat="1" applyBorder="1" applyAlignment="1" applyProtection="1">
      <alignment horizontal="center" wrapText="1"/>
      <protection locked="0"/>
    </xf>
    <xf numFmtId="166" fontId="0" fillId="0" borderId="2" xfId="0" applyNumberFormat="1" applyBorder="1" applyAlignment="1">
      <alignment horizontal="center" wrapText="1"/>
    </xf>
    <xf numFmtId="166" fontId="0" fillId="0" borderId="4" xfId="0" applyNumberFormat="1" applyBorder="1" applyAlignment="1" applyProtection="1">
      <alignment horizontal="center" wrapText="1"/>
      <protection locked="0"/>
    </xf>
    <xf numFmtId="166" fontId="0" fillId="0" borderId="11" xfId="0" applyNumberFormat="1" applyBorder="1" applyAlignment="1">
      <alignment horizontal="center" wrapText="1"/>
    </xf>
    <xf numFmtId="0" fontId="0" fillId="0" borderId="3" xfId="0" applyBorder="1" applyAlignment="1" applyProtection="1">
      <alignment wrapText="1"/>
      <protection locked="0"/>
    </xf>
    <xf numFmtId="0" fontId="0" fillId="0" borderId="3" xfId="0" applyBorder="1" applyAlignment="1">
      <alignment wrapText="1"/>
    </xf>
    <xf numFmtId="164" fontId="0" fillId="0" borderId="3" xfId="0" applyNumberFormat="1" applyBorder="1" applyAlignment="1" applyProtection="1">
      <alignment horizontal="center" wrapText="1"/>
      <protection locked="0"/>
    </xf>
    <xf numFmtId="1" fontId="0" fillId="0" borderId="2" xfId="0" applyNumberFormat="1" applyBorder="1" applyAlignment="1">
      <alignment horizontal="center" wrapText="1"/>
    </xf>
    <xf numFmtId="1" fontId="0" fillId="0" borderId="3" xfId="0" applyNumberFormat="1" applyBorder="1" applyAlignment="1" applyProtection="1">
      <alignment wrapText="1"/>
      <protection locked="0"/>
    </xf>
    <xf numFmtId="1" fontId="0" fillId="0" borderId="11" xfId="0" applyNumberFormat="1" applyBorder="1" applyAlignment="1">
      <alignment horizontal="center" wrapText="1"/>
    </xf>
    <xf numFmtId="164" fontId="0" fillId="0" borderId="12" xfId="0" applyNumberFormat="1" applyBorder="1" applyAlignment="1">
      <alignment horizontal="center" wrapText="1"/>
    </xf>
    <xf numFmtId="164" fontId="0" fillId="0" borderId="13" xfId="0" applyNumberFormat="1" applyBorder="1" applyAlignment="1">
      <alignment horizontal="center" wrapText="1"/>
    </xf>
    <xf numFmtId="164" fontId="0" fillId="0" borderId="4" xfId="0" applyNumberFormat="1" applyBorder="1" applyAlignment="1" applyProtection="1">
      <alignment horizontal="center" wrapText="1"/>
      <protection locked="0"/>
    </xf>
    <xf numFmtId="14" fontId="0" fillId="0" borderId="2" xfId="0" applyNumberFormat="1" applyBorder="1" applyAlignment="1" applyProtection="1">
      <alignment wrapText="1"/>
      <protection locked="0"/>
    </xf>
    <xf numFmtId="0" fontId="26" fillId="0" borderId="12" xfId="0" applyFont="1" applyBorder="1" applyAlignment="1">
      <alignment horizontal="left" vertical="center" wrapText="1"/>
    </xf>
    <xf numFmtId="0" fontId="4" fillId="0" borderId="2" xfId="0" applyFont="1" applyBorder="1" applyProtection="1">
      <protection locked="0"/>
    </xf>
    <xf numFmtId="0" fontId="20" fillId="0" borderId="12" xfId="0" applyFont="1" applyBorder="1" applyAlignment="1">
      <alignment horizontal="left" vertical="center" wrapText="1"/>
    </xf>
    <xf numFmtId="0" fontId="0" fillId="0" borderId="4" xfId="0" applyBorder="1" applyAlignment="1">
      <alignment vertical="top" wrapText="1"/>
    </xf>
    <xf numFmtId="164" fontId="0" fillId="6" borderId="2" xfId="0" applyNumberFormat="1" applyFill="1" applyBorder="1" applyAlignment="1">
      <alignment horizontal="center" wrapText="1"/>
    </xf>
    <xf numFmtId="0" fontId="4" fillId="0" borderId="4" xfId="0" applyFont="1" applyBorder="1" applyAlignment="1" applyProtection="1">
      <alignment wrapText="1"/>
      <protection locked="0"/>
    </xf>
    <xf numFmtId="14" fontId="0" fillId="0" borderId="4" xfId="0" applyNumberFormat="1" applyBorder="1" applyAlignment="1">
      <alignment vertical="top" wrapText="1"/>
    </xf>
    <xf numFmtId="0" fontId="27" fillId="6" borderId="12" xfId="0" applyFont="1" applyFill="1" applyBorder="1" applyAlignment="1">
      <alignment horizontal="left" vertical="top" wrapText="1"/>
    </xf>
    <xf numFmtId="164" fontId="2" fillId="2" borderId="7" xfId="0" applyNumberFormat="1" applyFont="1" applyFill="1" applyBorder="1" applyAlignment="1" applyProtection="1">
      <alignment horizontal="center" vertical="center" wrapText="1"/>
      <protection locked="0"/>
    </xf>
    <xf numFmtId="164" fontId="0" fillId="0" borderId="6" xfId="0" applyNumberFormat="1" applyBorder="1" applyAlignment="1">
      <alignment horizontal="center" wrapText="1"/>
    </xf>
    <xf numFmtId="0" fontId="2" fillId="2" borderId="15" xfId="0" applyFont="1" applyFill="1" applyBorder="1" applyAlignment="1" applyProtection="1">
      <alignment horizontal="center" vertical="center" wrapText="1"/>
      <protection locked="0"/>
    </xf>
    <xf numFmtId="0" fontId="0" fillId="0" borderId="8" xfId="0" applyBorder="1" applyAlignment="1" applyProtection="1">
      <alignment wrapText="1"/>
      <protection locked="0"/>
    </xf>
    <xf numFmtId="0" fontId="0" fillId="0" borderId="9" xfId="0" applyBorder="1" applyAlignment="1" applyProtection="1">
      <alignment wrapText="1"/>
      <protection locked="0"/>
    </xf>
    <xf numFmtId="0" fontId="0" fillId="0" borderId="16" xfId="0" applyBorder="1" applyAlignment="1" applyProtection="1">
      <alignment wrapText="1"/>
      <protection locked="0"/>
    </xf>
    <xf numFmtId="0" fontId="0" fillId="0" borderId="9" xfId="0" applyBorder="1" applyAlignment="1">
      <alignment wrapText="1"/>
    </xf>
    <xf numFmtId="0" fontId="0" fillId="0" borderId="9" xfId="0" applyBorder="1" applyProtection="1">
      <protection locked="0"/>
    </xf>
    <xf numFmtId="0" fontId="0" fillId="0" borderId="9" xfId="0" applyBorder="1"/>
    <xf numFmtId="164" fontId="0" fillId="0" borderId="9" xfId="0" quotePrefix="1" applyNumberFormat="1" applyBorder="1" applyAlignment="1" applyProtection="1">
      <alignment horizontal="left" wrapText="1"/>
      <protection locked="0"/>
    </xf>
    <xf numFmtId="0" fontId="0" fillId="0" borderId="17" xfId="0" applyBorder="1" applyAlignment="1" applyProtection="1">
      <alignment wrapText="1"/>
      <protection locked="0"/>
    </xf>
    <xf numFmtId="0" fontId="4" fillId="0" borderId="9" xfId="0" applyFont="1" applyBorder="1" applyProtection="1">
      <protection locked="0"/>
    </xf>
    <xf numFmtId="0" fontId="25" fillId="0" borderId="17" xfId="0" applyFont="1" applyBorder="1" applyAlignment="1">
      <alignment horizontal="center" vertical="center" wrapText="1"/>
    </xf>
    <xf numFmtId="0" fontId="4" fillId="0" borderId="3" xfId="0" applyFont="1" applyBorder="1" applyAlignment="1" applyProtection="1">
      <alignment wrapText="1"/>
      <protection locked="0"/>
    </xf>
    <xf numFmtId="0" fontId="2" fillId="2" borderId="4" xfId="0" applyFont="1" applyFill="1" applyBorder="1" applyAlignment="1" applyProtection="1">
      <alignment horizontal="center" vertical="center" wrapText="1"/>
      <protection locked="0"/>
    </xf>
    <xf numFmtId="0" fontId="0" fillId="0" borderId="1" xfId="0" applyBorder="1" applyAlignment="1">
      <alignment wrapText="1"/>
    </xf>
    <xf numFmtId="0" fontId="0" fillId="0" borderId="7" xfId="0" applyBorder="1" applyAlignment="1" applyProtection="1">
      <alignment wrapText="1"/>
      <protection locked="0"/>
    </xf>
    <xf numFmtId="0" fontId="0" fillId="0" borderId="3" xfId="0" applyBorder="1" applyAlignment="1" applyProtection="1">
      <alignment horizontal="left" wrapText="1"/>
      <protection locked="0"/>
    </xf>
    <xf numFmtId="0" fontId="3" fillId="0" borderId="4" xfId="1" applyFill="1" applyBorder="1" applyProtection="1">
      <protection locked="0"/>
    </xf>
    <xf numFmtId="0" fontId="3" fillId="0" borderId="4" xfId="1" applyBorder="1" applyAlignment="1"/>
    <xf numFmtId="0" fontId="3" fillId="0" borderId="4" xfId="1" applyBorder="1"/>
    <xf numFmtId="49" fontId="0" fillId="0" borderId="4" xfId="0" applyNumberFormat="1" applyBorder="1" applyAlignment="1">
      <alignment wrapText="1"/>
    </xf>
    <xf numFmtId="2" fontId="3" fillId="0" borderId="4" xfId="1" applyNumberFormat="1" applyBorder="1" applyAlignment="1"/>
    <xf numFmtId="0" fontId="2" fillId="2" borderId="4"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5" fillId="0" borderId="3" xfId="0" applyFont="1" applyBorder="1" applyAlignment="1">
      <alignment horizontal="center" vertical="center" wrapText="1"/>
    </xf>
    <xf numFmtId="166" fontId="0" fillId="0" borderId="12" xfId="0" applyNumberFormat="1" applyBorder="1" applyAlignment="1">
      <alignment horizontal="center" wrapText="1"/>
    </xf>
    <xf numFmtId="20" fontId="25" fillId="0" borderId="3" xfId="0" applyNumberFormat="1" applyFont="1" applyBorder="1" applyAlignment="1" applyProtection="1">
      <alignment horizontal="center" wrapText="1"/>
      <protection locked="0"/>
    </xf>
    <xf numFmtId="164" fontId="0" fillId="0" borderId="5" xfId="0" applyNumberFormat="1" applyBorder="1" applyAlignment="1" applyProtection="1">
      <alignment horizontal="center" wrapText="1"/>
      <protection locked="0"/>
    </xf>
    <xf numFmtId="0" fontId="4" fillId="0" borderId="2" xfId="0" applyFont="1" applyBorder="1" applyAlignment="1" applyProtection="1">
      <alignment wrapText="1"/>
      <protection locked="0"/>
    </xf>
    <xf numFmtId="0" fontId="0" fillId="4" borderId="2" xfId="0" applyFill="1" applyBorder="1" applyAlignment="1" applyProtection="1">
      <alignment wrapText="1"/>
      <protection locked="0"/>
    </xf>
    <xf numFmtId="0" fontId="4" fillId="0" borderId="9" xfId="0" applyFont="1" applyBorder="1" applyAlignment="1" applyProtection="1">
      <alignment wrapText="1"/>
      <protection locked="0"/>
    </xf>
    <xf numFmtId="0" fontId="20" fillId="0" borderId="9" xfId="0" applyFont="1" applyBorder="1" applyAlignment="1">
      <alignment vertical="center" wrapText="1"/>
    </xf>
    <xf numFmtId="166" fontId="0" fillId="0" borderId="5" xfId="0" applyNumberFormat="1" applyBorder="1" applyAlignment="1">
      <alignment horizontal="center" wrapText="1"/>
    </xf>
    <xf numFmtId="166" fontId="0" fillId="0" borderId="2" xfId="0" applyNumberFormat="1" applyBorder="1" applyAlignment="1" applyProtection="1">
      <alignment horizontal="center" wrapText="1"/>
      <protection locked="0"/>
    </xf>
    <xf numFmtId="164" fontId="0" fillId="2" borderId="4" xfId="0" applyNumberFormat="1" applyFill="1" applyBorder="1" applyAlignment="1">
      <alignment horizontal="center" wrapText="1"/>
    </xf>
    <xf numFmtId="21" fontId="25" fillId="0" borderId="2" xfId="0" applyNumberFormat="1" applyFont="1" applyBorder="1" applyAlignment="1" applyProtection="1">
      <alignment horizontal="center" wrapText="1"/>
      <protection locked="0"/>
    </xf>
    <xf numFmtId="166" fontId="14" fillId="0" borderId="4" xfId="2" applyNumberFormat="1" applyBorder="1" applyAlignment="1">
      <alignment horizontal="center"/>
    </xf>
    <xf numFmtId="166" fontId="14" fillId="0" borderId="4" xfId="0" applyNumberFormat="1" applyFont="1" applyBorder="1" applyAlignment="1">
      <alignment horizontal="center"/>
    </xf>
    <xf numFmtId="164" fontId="0" fillId="0" borderId="2" xfId="0" applyNumberFormat="1" applyBorder="1" applyAlignment="1">
      <alignment horizontal="left" wrapText="1"/>
    </xf>
    <xf numFmtId="0" fontId="20" fillId="0" borderId="2" xfId="0" applyFont="1" applyBorder="1" applyAlignment="1" applyProtection="1">
      <alignment horizontal="left" vertical="top" wrapText="1"/>
      <protection locked="0"/>
    </xf>
    <xf numFmtId="164" fontId="0" fillId="0" borderId="3" xfId="0" applyNumberFormat="1" applyBorder="1" applyAlignment="1">
      <alignment horizontal="left" wrapText="1"/>
    </xf>
    <xf numFmtId="0" fontId="7" fillId="0" borderId="2" xfId="0" applyFont="1" applyBorder="1"/>
    <xf numFmtId="0" fontId="0" fillId="0" borderId="2" xfId="0" applyBorder="1" applyAlignment="1" applyProtection="1">
      <alignment horizontal="right" wrapText="1"/>
      <protection locked="0"/>
    </xf>
    <xf numFmtId="1" fontId="0" fillId="0" borderId="5" xfId="0" applyNumberFormat="1" applyBorder="1" applyAlignment="1">
      <alignment horizontal="center" wrapText="1"/>
    </xf>
    <xf numFmtId="0" fontId="0" fillId="0" borderId="2" xfId="0" applyBorder="1" applyAlignment="1">
      <alignment horizontal="right" wrapText="1"/>
    </xf>
    <xf numFmtId="0" fontId="25" fillId="0" borderId="4" xfId="0" applyFont="1" applyBorder="1" applyAlignment="1" applyProtection="1">
      <alignment horizontal="center" vertical="center" wrapText="1"/>
      <protection locked="0"/>
    </xf>
    <xf numFmtId="0" fontId="4" fillId="0" borderId="12" xfId="0" applyFont="1" applyBorder="1" applyAlignment="1" applyProtection="1">
      <alignment wrapText="1"/>
      <protection locked="0"/>
    </xf>
    <xf numFmtId="0" fontId="0" fillId="0" borderId="12" xfId="0" applyBorder="1" applyAlignment="1" applyProtection="1">
      <alignment wrapText="1"/>
      <protection locked="0"/>
    </xf>
    <xf numFmtId="0" fontId="25" fillId="0" borderId="2" xfId="0" applyFont="1" applyBorder="1" applyAlignment="1" applyProtection="1">
      <alignment horizontal="center" vertical="center" wrapText="1"/>
      <protection locked="0"/>
    </xf>
    <xf numFmtId="164" fontId="0" fillId="0" borderId="2" xfId="0" applyNumberFormat="1" applyBorder="1" applyAlignment="1" applyProtection="1">
      <alignment wrapText="1"/>
      <protection locked="0"/>
    </xf>
    <xf numFmtId="0" fontId="3" fillId="0" borderId="2" xfId="1" applyBorder="1" applyAlignment="1">
      <alignment wrapText="1"/>
    </xf>
    <xf numFmtId="0" fontId="4" fillId="0" borderId="2" xfId="0" applyFont="1" applyBorder="1" applyAlignment="1" applyProtection="1">
      <alignment horizontal="left" vertical="top"/>
      <protection locked="0"/>
    </xf>
    <xf numFmtId="0" fontId="23" fillId="0" borderId="2" xfId="0" applyFont="1" applyBorder="1" applyAlignment="1">
      <alignment horizontal="justify" vertical="top" wrapText="1"/>
    </xf>
    <xf numFmtId="0" fontId="23" fillId="0" borderId="11" xfId="0" applyFont="1" applyBorder="1" applyAlignment="1">
      <alignment horizontal="justify" vertical="top" wrapText="1"/>
    </xf>
    <xf numFmtId="0" fontId="4" fillId="0" borderId="2" xfId="0" applyFont="1" applyBorder="1" applyAlignment="1" applyProtection="1">
      <alignment vertical="top" wrapText="1"/>
      <protection locked="0"/>
    </xf>
    <xf numFmtId="0" fontId="24" fillId="0" borderId="2" xfId="0" applyFont="1" applyBorder="1" applyAlignment="1">
      <alignment horizontal="justify" vertical="top" wrapText="1"/>
    </xf>
    <xf numFmtId="0" fontId="0" fillId="0" borderId="13" xfId="0" applyBorder="1" applyAlignment="1" applyProtection="1">
      <alignment wrapText="1"/>
      <protection locked="0"/>
    </xf>
    <xf numFmtId="0" fontId="0" fillId="0" borderId="13" xfId="0" applyBorder="1" applyProtection="1">
      <protection locked="0"/>
    </xf>
    <xf numFmtId="0" fontId="23" fillId="0" borderId="11" xfId="0" applyFont="1" applyBorder="1" applyAlignment="1">
      <alignment horizontal="left" vertical="top" wrapText="1"/>
    </xf>
    <xf numFmtId="0" fontId="0" fillId="0" borderId="4" xfId="0" applyFill="1" applyBorder="1" applyAlignment="1" applyProtection="1">
      <alignment wrapText="1"/>
      <protection locked="0"/>
    </xf>
    <xf numFmtId="0" fontId="20" fillId="0" borderId="17" xfId="0" applyFont="1" applyBorder="1" applyAlignment="1">
      <alignment vertical="center" wrapText="1"/>
    </xf>
    <xf numFmtId="164" fontId="0" fillId="0" borderId="6" xfId="0" applyNumberFormat="1" applyFill="1" applyBorder="1" applyAlignment="1">
      <alignment horizontal="center" wrapText="1"/>
    </xf>
  </cellXfs>
  <cellStyles count="10">
    <cellStyle name="Excel Built-in Good" xfId="7" xr:uid="{00000000-0005-0000-0000-000000000000}"/>
    <cellStyle name="Hyperlink" xfId="1" builtinId="8"/>
    <cellStyle name="Hyperlink 2" xfId="5" xr:uid="{00000000-0005-0000-0000-000002000000}"/>
    <cellStyle name="Hyperlink 2 2" xfId="9" xr:uid="{00000000-0005-0000-0000-000003000000}"/>
    <cellStyle name="Hyperlink 3" xfId="4" xr:uid="{00000000-0005-0000-0000-000004000000}"/>
    <cellStyle name="Normal" xfId="0" builtinId="0"/>
    <cellStyle name="Normal 2" xfId="2" xr:uid="{00000000-0005-0000-0000-000006000000}"/>
    <cellStyle name="Normal 2 2" xfId="6" xr:uid="{00000000-0005-0000-0000-000007000000}"/>
    <cellStyle name="Normal 2 3" xfId="8" xr:uid="{00000000-0005-0000-0000-000008000000}"/>
    <cellStyle name="Normal 3" xfId="3" xr:uid="{00000000-0005-0000-0000-000009000000}"/>
  </cellStyles>
  <dxfs count="5">
    <dxf>
      <fill>
        <patternFill>
          <bgColor rgb="FFE2F0D9"/>
        </patternFill>
      </fill>
    </dxf>
    <dxf>
      <fill>
        <patternFill>
          <bgColor rgb="FFE2F0D9"/>
        </patternFill>
      </fill>
    </dxf>
    <dxf>
      <fill>
        <patternFill>
          <bgColor theme="9" tint="0.79998168889431442"/>
        </patternFill>
      </fill>
    </dxf>
    <dxf>
      <fill>
        <patternFill>
          <bgColor rgb="FFE2F0D9"/>
        </patternFill>
      </fill>
    </dxf>
    <dxf>
      <fill>
        <patternFill>
          <bgColor rgb="FFE2F0D9"/>
        </patternFill>
      </fill>
    </dxf>
  </dxfs>
  <tableStyles count="1" defaultTableStyle="TableStyleMedium2" defaultPivotStyle="PivotStyleLight16">
    <tableStyle name="Invisible" pivot="0" table="0" count="0" xr9:uid="{7ACECB32-6901-4A92-8D01-5F26AA7D126A}"/>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12" Type="http://schemas.openxmlformats.org/officeDocument/2006/relationships/customXml" Target="../customXml/item5.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4.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rotolfr\AppData\Local\Microsoft\Windows\INetCache\Content.Outlook\ZHWX6LY5\2022-0940-5_ERAIL.XLSX" TargetMode="External"/><Relationship Id="rId1" Type="http://schemas.openxmlformats.org/officeDocument/2006/relationships/externalLinkPath" Target="file:///C:\Users\rotolfr\AppData\Local\Microsoft\Windows\INetCache\Content.Outlook\ZHWX6LY5\2022-0940-5_ERAI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ccident Investigation"/>
      <sheetName val="Supporting data"/>
    </sheetNames>
    <sheetDataSet>
      <sheetData sheetId="0">
        <row r="10">
          <cell r="D10" t="str">
            <v>30/8/2022</v>
          </cell>
        </row>
        <row r="12">
          <cell r="D12" t="str">
            <v>Train derailment</v>
          </cell>
        </row>
        <row r="16">
          <cell r="D16" t="str">
            <v>Karcag</v>
          </cell>
        </row>
      </sheetData>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hyperlink" Target="https://www.era.europa.eu/system/files/2023-12/PT-10369%20-%20RI2023_01.pdf" TargetMode="External"/><Relationship Id="rId21" Type="http://schemas.openxmlformats.org/officeDocument/2006/relationships/hyperlink" Target="https://www.era.europa.eu/system/files/2023-11/CZ-10414%20-%20231128_final_report_Krasna_Lipa_Rumburk.pdf" TargetMode="External"/><Relationship Id="rId42" Type="http://schemas.openxmlformats.org/officeDocument/2006/relationships/hyperlink" Target="https://www.era.europa.eu/system/files/2024-01/NO-10331%20-%202024-01%20Heskestad.pdf" TargetMode="External"/><Relationship Id="rId47" Type="http://schemas.openxmlformats.org/officeDocument/2006/relationships/hyperlink" Target="https://www.era.europa.eu/system/files/2024-02/RO-10365%20-%20RI%20Bucurestii%20Noi%2026%2001%202023%20final%20transmis.pdf" TargetMode="External"/><Relationship Id="rId63" Type="http://schemas.openxmlformats.org/officeDocument/2006/relationships/hyperlink" Target="https://www.era.europa.eu/system/files/2024-03/DK-10401%20-%202023-163%20EN%20Report%20Summary%20Conclusion%20and%20Recommendations.pdf" TargetMode="External"/><Relationship Id="rId68" Type="http://schemas.openxmlformats.org/officeDocument/2006/relationships/hyperlink" Target="https://www.era.europa.eu/system/files/2024-03/CZ-10396%20-%20Final_report_Vlastec_II_CZ-10396.pdf" TargetMode="External"/><Relationship Id="rId84" Type="http://schemas.openxmlformats.org/officeDocument/2006/relationships/hyperlink" Target="https://www.era.europa.eu/system/files/2024-04/PL-10418%20-%20Report%20No%20PKBWK%2004%202024_EN.pdf" TargetMode="External"/><Relationship Id="rId89" Type="http://schemas.openxmlformats.org/officeDocument/2006/relationships/hyperlink" Target="https://www.era.europa.eu/system/files/2024-05/CZ-10450%20-%20240513_final_report_Bezdecin.pdf" TargetMode="External"/><Relationship Id="rId16" Type="http://schemas.openxmlformats.org/officeDocument/2006/relationships/hyperlink" Target="https://www.era.europa.eu/system/files/2023-11/CZ-10373-%20Final_Report_Cesky_Tesin_CZ-10373.pdf" TargetMode="External"/><Relationship Id="rId107" Type="http://schemas.openxmlformats.org/officeDocument/2006/relationships/hyperlink" Target="https://www.era.europa.eu/system/files/2024-07/ES-10479%20-%20Final%20Report%20-%202023-43-0518-IF.pdf" TargetMode="External"/><Relationship Id="rId11" Type="http://schemas.openxmlformats.org/officeDocument/2006/relationships/hyperlink" Target="https://www.era.europa.eu/system/files/2023-10/DK-10334%20-%202022-517%20Statement%20Odense%20personp%C3%A5k%C3%B8rsel%20%2812-11-2022%29%20%28002%29.pdf" TargetMode="External"/><Relationship Id="rId32" Type="http://schemas.openxmlformats.org/officeDocument/2006/relationships/hyperlink" Target="https://www.era.europa.eu/system/files/2023-12/DE-6173%20Final%20Report%20-%2020200123%20Hamburg-Altona%20Zugkollision.pdf" TargetMode="External"/><Relationship Id="rId37" Type="http://schemas.openxmlformats.org/officeDocument/2006/relationships/hyperlink" Target="https://www.era.europa.eu/system/files/2024-01/PL-10357%20-%20Report_PKBWK_4_2023_EN.pdf" TargetMode="External"/><Relationship Id="rId53" Type="http://schemas.openxmlformats.org/officeDocument/2006/relationships/hyperlink" Target="https://www.era.europa.eu/system/files/2024-02/PT-962%20-%20Relat%C3%B3rio_Sumario_ferro_PT_962_RF202304.pdf" TargetMode="External"/><Relationship Id="rId58" Type="http://schemas.openxmlformats.org/officeDocument/2006/relationships/hyperlink" Target="https://www.era.europa.eu/system/files/2024-02/PL-10379%20-%20Report%202%202024_EN.pdf" TargetMode="External"/><Relationship Id="rId74" Type="http://schemas.openxmlformats.org/officeDocument/2006/relationships/hyperlink" Target="https://www.era.europa.eu/system/files/2024-04/HU-10256%20-%202022-0740-5_zj_EN.pdf" TargetMode="External"/><Relationship Id="rId79" Type="http://schemas.openxmlformats.org/officeDocument/2006/relationships/hyperlink" Target="https://www.era.europa.eu/system/files/2024-04/HU-10178%20-%202022-0048-5_zj_EN_EN_BT.docx" TargetMode="External"/><Relationship Id="rId102" Type="http://schemas.openxmlformats.org/officeDocument/2006/relationships/hyperlink" Target="https://www.era.europa.eu/era-folder/fi-10451" TargetMode="External"/><Relationship Id="rId5" Type="http://schemas.openxmlformats.org/officeDocument/2006/relationships/hyperlink" Target="http://erail.era.europa.eu/recommendations.aspx?sfn=HU-6360&amp;sr=22&amp;public=1" TargetMode="External"/><Relationship Id="rId90" Type="http://schemas.openxmlformats.org/officeDocument/2006/relationships/hyperlink" Target="https://www.era.europa.eu/system/files/2024-05/RO-10411%20-%20RI%20Toporu%2017%2005%202023%20final%20transmis.pdf" TargetMode="External"/><Relationship Id="rId95" Type="http://schemas.openxmlformats.org/officeDocument/2006/relationships/hyperlink" Target="https://www.era.europa.eu/system/files/2024-05/AT-10226%20-%20795.404_UB_1.0_Optimized.pdf" TargetMode="External"/><Relationship Id="rId22" Type="http://schemas.openxmlformats.org/officeDocument/2006/relationships/hyperlink" Target="https://www.era.europa.eu/system/files/2023-11/DK-10391%20-%202023-185%20Statement%20Peter%20Bangsvej%20personp%C3%A5k%C3%B8rsel%20%2808-03-2023%29.pdf" TargetMode="External"/><Relationship Id="rId27" Type="http://schemas.openxmlformats.org/officeDocument/2006/relationships/hyperlink" Target="https://www.era.europa.eu/system/files/2023-12/HU-10336%20-%202022-1289-5_zj_EN.pdf" TargetMode="External"/><Relationship Id="rId43" Type="http://schemas.openxmlformats.org/officeDocument/2006/relationships/hyperlink" Target="https://www.era.europa.eu/system/files/2024-01/DE-10233_German%20investigation%20report%20trains%20collision%20Altheim%20%28Hess%29%20-%20Dieburg.pdf" TargetMode="External"/><Relationship Id="rId48" Type="http://schemas.openxmlformats.org/officeDocument/2006/relationships/hyperlink" Target="https://www.era.europa.eu/system/files/2024-02/PL-10366%20-%20Report%20PKBWK%201%202024_EN.docx.pdf" TargetMode="External"/><Relationship Id="rId64" Type="http://schemas.openxmlformats.org/officeDocument/2006/relationships/hyperlink" Target="https://www.era.europa.eu/system/files/2024-03/CZ-10377%20-%20Final_report_Chlumcany_u_Dobran.pdf" TargetMode="External"/><Relationship Id="rId69" Type="http://schemas.openxmlformats.org/officeDocument/2006/relationships/hyperlink" Target="https://www.era.europa.eu/system/files/2024-03/HU-10322%20-%202022-1166-5_zj_EN.pdf" TargetMode="External"/><Relationship Id="rId80" Type="http://schemas.openxmlformats.org/officeDocument/2006/relationships/hyperlink" Target="https://www.era.europa.eu/system/files/2024-04/HU-10184%20-%202022-0075-5_zj_EN_EN_BT.docx" TargetMode="External"/><Relationship Id="rId85" Type="http://schemas.openxmlformats.org/officeDocument/2006/relationships/hyperlink" Target="https://www.era.europa.eu/system/files/2024-04/CZ-10463%20-%20240426_final_report_DP_Plzen_Karlovarska.pdf" TargetMode="External"/><Relationship Id="rId12" Type="http://schemas.openxmlformats.org/officeDocument/2006/relationships/hyperlink" Target="https://www.era.europa.eu/system/files/2023-10/PL-10352%20-%20Report_EN_No_PKBWK_03_2023.pdf" TargetMode="External"/><Relationship Id="rId17" Type="http://schemas.openxmlformats.org/officeDocument/2006/relationships/hyperlink" Target="https://www.era.europa.eu/system/files/2023-11/RO-10333%20-%20RI%20Popesti%20Valcea%20Berbesti%2013%2011%202022%20final%20transmis.pdf" TargetMode="External"/><Relationship Id="rId33" Type="http://schemas.openxmlformats.org/officeDocument/2006/relationships/hyperlink" Target="https://www.era.europa.eu/system/files/2023-12/CZ-10347%20-%20ZZ_Final_report_Brno-Malomerice.pdf" TargetMode="External"/><Relationship Id="rId38" Type="http://schemas.openxmlformats.org/officeDocument/2006/relationships/hyperlink" Target="https://www.era.europa.eu/system/files/2024-01/HR-10342%20-%20Kona%C4%8Dno%20izvje%C5%A1%C4%87e%20%C5%A0krljevo14.11.2022%20z.pdf" TargetMode="External"/><Relationship Id="rId59" Type="http://schemas.openxmlformats.org/officeDocument/2006/relationships/hyperlink" Target="https://www.era.europa.eu/system/files/2024-02/PL-10416%20-%20Report%203%202024_EN.pdf" TargetMode="External"/><Relationship Id="rId103" Type="http://schemas.openxmlformats.org/officeDocument/2006/relationships/hyperlink" Target="https://www.era.europa.eu/system/files/2024-06/DK-10453%20-%202023-482%20Statement%20K%C3%B8ge%20Personp%C3%A5k%C3%B8rsel%20%2824-09-2023%29.pdf" TargetMode="External"/><Relationship Id="rId108" Type="http://schemas.openxmlformats.org/officeDocument/2006/relationships/printerSettings" Target="../printerSettings/printerSettings1.bin"/><Relationship Id="rId54" Type="http://schemas.openxmlformats.org/officeDocument/2006/relationships/hyperlink" Target="https://www.era.europa.eu/system/files/2024-02/PT-240%20-%20Relat%C3%B3rio_Sumario_ferro_PT_240_RF202303.pdf" TargetMode="External"/><Relationship Id="rId70" Type="http://schemas.openxmlformats.org/officeDocument/2006/relationships/hyperlink" Target="https://www.era.europa.eu/system/files/2024-03/HU-10242%20-%202022-0629-5_zj_EN.pdf" TargetMode="External"/><Relationship Id="rId75" Type="http://schemas.openxmlformats.org/officeDocument/2006/relationships/hyperlink" Target="https://www.era.europa.eu/system/files/2024-04/HU-10356%20-%202022-0512-5_zj_EN.pdf" TargetMode="External"/><Relationship Id="rId91" Type="http://schemas.openxmlformats.org/officeDocument/2006/relationships/hyperlink" Target="https://www.era.europa.eu/system/files/2024-05/NL-10405%20-%20Final%20report_0.pdf" TargetMode="External"/><Relationship Id="rId96" Type="http://schemas.openxmlformats.org/officeDocument/2006/relationships/hyperlink" Target="https://www.era.europa.eu/system/files/2024-05/RO-10420%20-%20RI%20Sighisoara%2008%2006%202023%20final%20transmis.pdf" TargetMode="External"/><Relationship Id="rId1" Type="http://schemas.openxmlformats.org/officeDocument/2006/relationships/hyperlink" Target="http://erail.era.europa.eu/recommendations.aspx?sfn=AT-6365&amp;sr=6&amp;public=1" TargetMode="External"/><Relationship Id="rId6" Type="http://schemas.openxmlformats.org/officeDocument/2006/relationships/hyperlink" Target="http://erail.era.europa.eu/recommendations.aspx?sfn=PL-6362&amp;sr=36&amp;public=1" TargetMode="External"/><Relationship Id="rId15" Type="http://schemas.openxmlformats.org/officeDocument/2006/relationships/hyperlink" Target="https://www.era.europa.eu/system/files/2023-11/CZ-10332%20-%20Final_Report_M%C4%9Bln%C3%ADk_CZ-10332.pdf" TargetMode="External"/><Relationship Id="rId23" Type="http://schemas.openxmlformats.org/officeDocument/2006/relationships/hyperlink" Target="https://www.era.europa.eu/system/files/2023-12/IT-10270%20-Relazione%20finale_Prenestina_03-06-2022_pubblica.pdf" TargetMode="External"/><Relationship Id="rId28" Type="http://schemas.openxmlformats.org/officeDocument/2006/relationships/hyperlink" Target="https://www.era.europa.eu/system/files/2023-12/DE-5705%20Final%20Report%20Oberhausen_West.pdf" TargetMode="External"/><Relationship Id="rId36" Type="http://schemas.openxmlformats.org/officeDocument/2006/relationships/hyperlink" Target="https://www.era.europa.eu/system/files/2023-12/CZ-10417%20-%20231217_final_report_Bystrice_pod_Hostynem_Holesov.pdf" TargetMode="External"/><Relationship Id="rId49" Type="http://schemas.openxmlformats.org/officeDocument/2006/relationships/hyperlink" Target="https://www.era.europa.eu/system/files/2023-07/DE-6099%20-%20K%C3%B6ln%20Bonntor%20%20K%C3%B6ln%20S%C3%BCd.pdf" TargetMode="External"/><Relationship Id="rId57" Type="http://schemas.openxmlformats.org/officeDocument/2006/relationships/hyperlink" Target="https://www.era.europa.eu/system/files/2024-02/DK-10419%20-%20Serious%20accident%20ID%20DK-10419%20Eskilstrup%20%20Person%20struck%20by%20train%20%2822-05-2023%29.pdf" TargetMode="External"/><Relationship Id="rId106" Type="http://schemas.openxmlformats.org/officeDocument/2006/relationships/hyperlink" Target="https://www.era.europa.eu/system/files/2024-07/CZ-10455%20-%20Final_report_Belcice_Blatna.pdf" TargetMode="External"/><Relationship Id="rId10" Type="http://schemas.openxmlformats.org/officeDocument/2006/relationships/hyperlink" Target="https://www.era.europa.eu/system/files/2023-10/RO-10329%20-%20RI%20Racari%2001%2011%202022%20final%20trimis.pdf" TargetMode="External"/><Relationship Id="rId31" Type="http://schemas.openxmlformats.org/officeDocument/2006/relationships/hyperlink" Target="https://www.era.europa.eu/system/files/2023-12/DE-5973%20-%20Final%20Report%20-%2020190212%20Augsburg%20Hbf%20Zugkollision.pdf" TargetMode="External"/><Relationship Id="rId44" Type="http://schemas.openxmlformats.org/officeDocument/2006/relationships/hyperlink" Target="https://www.era.europa.eu/system/files/2024-02/PL-10387%20-%20Raport%20nr%20PKBWK%205%202023_en.pdf" TargetMode="External"/><Relationship Id="rId52" Type="http://schemas.openxmlformats.org/officeDocument/2006/relationships/hyperlink" Target="https://www.era.europa.eu/system/files/2024-02/RO-10384%20-%20RI%20Augustin%20Apata%2028%2002%202023%20final%20transmis.pdf" TargetMode="External"/><Relationship Id="rId60" Type="http://schemas.openxmlformats.org/officeDocument/2006/relationships/hyperlink" Target="https://www.era.europa.eu/system/files/2024-02/DE-10309%20Summary%20in%20english%20Train%20derailment%20K%C3%B6ln%20Eifeltor.pdf" TargetMode="External"/><Relationship Id="rId65" Type="http://schemas.openxmlformats.org/officeDocument/2006/relationships/hyperlink" Target="https://www.era.europa.eu/system/files/2024-03/RO-10392%20-%20RI%20Beia%20Cata%2017%2003%202023%20final%20transmis.pdf" TargetMode="External"/><Relationship Id="rId73" Type="http://schemas.openxmlformats.org/officeDocument/2006/relationships/hyperlink" Target="https://www.era.europa.eu/system/files/2024-04/HU-10247%20-%202022-0682-5_zj_EN.docx" TargetMode="External"/><Relationship Id="rId78" Type="http://schemas.openxmlformats.org/officeDocument/2006/relationships/hyperlink" Target="https://www.era.europa.eu/system/files/2024-04/CZ-10200%20-%20Final_report_Skaly_CZ-10200.pdf" TargetMode="External"/><Relationship Id="rId81" Type="http://schemas.openxmlformats.org/officeDocument/2006/relationships/hyperlink" Target="https://www.era.europa.eu/system/files/2024-04/HU-10240%20-%202022-0002-5_zj_EN_EN_BT.docx" TargetMode="External"/><Relationship Id="rId86" Type="http://schemas.openxmlformats.org/officeDocument/2006/relationships/hyperlink" Target="https://www.era.europa.eu/system/files/2024-05/IT-10368%20-%20Relazione%20finale_Pozzano_26-01-2023_pubblica.pdf" TargetMode="External"/><Relationship Id="rId94" Type="http://schemas.openxmlformats.org/officeDocument/2006/relationships/hyperlink" Target="https://www.era.europa.eu/system/files/2024-05/HU-10296%20-%202022-0940-5_zj_EN.pdf" TargetMode="External"/><Relationship Id="rId99" Type="http://schemas.openxmlformats.org/officeDocument/2006/relationships/hyperlink" Target="https://www.era.europa.eu/system/files/2024-06/CZ-10511%20-%20Final_report_Rynoltice.pdf" TargetMode="External"/><Relationship Id="rId101" Type="http://schemas.openxmlformats.org/officeDocument/2006/relationships/hyperlink" Target="https://www.era.europa.eu/system/files/2024-06/HR-10428%20-%20KI%20incident%20izbjegnut%20sudar%20Su%C5%A1ak%20Pe%C4%87ine%20%20%20%2022.06.2023._.pdf" TargetMode="External"/><Relationship Id="rId4" Type="http://schemas.openxmlformats.org/officeDocument/2006/relationships/hyperlink" Target="http://erail.era.europa.eu/recommendations.aspx?sfn=CZ-6367&amp;sr=12&amp;public=1" TargetMode="External"/><Relationship Id="rId9" Type="http://schemas.openxmlformats.org/officeDocument/2006/relationships/hyperlink" Target="https://www.era.europa.eu/system/files/2023-10/BG-10433%20-%20Final%20report%2080132_NIB%20BG%20%202.pdf" TargetMode="External"/><Relationship Id="rId13" Type="http://schemas.openxmlformats.org/officeDocument/2006/relationships/hyperlink" Target="https://www.era.europa.eu/system/files/2023-10/IT-10276%20-%20Relazione%20Finale_Rastignano_19-03-2022.pdf" TargetMode="External"/><Relationship Id="rId18" Type="http://schemas.openxmlformats.org/officeDocument/2006/relationships/hyperlink" Target="https://www.era.europa.eu/system/files/2023-11/SE-10343%20-%20SHK2023_13-Slutrapport-V%C3%A4r%C3%B6.pdf" TargetMode="External"/><Relationship Id="rId39" Type="http://schemas.openxmlformats.org/officeDocument/2006/relationships/hyperlink" Target="https://www.era.europa.eu/system/files/2024-01/HR-10361%20-Kona%C4%8Dno%20nesre%C4%87a%20Pula%20nalet%20%2014.01.2023.%20objava_.pdf" TargetMode="External"/><Relationship Id="rId109" Type="http://schemas.openxmlformats.org/officeDocument/2006/relationships/vmlDrawing" Target="../drawings/vmlDrawing1.vml"/><Relationship Id="rId34" Type="http://schemas.openxmlformats.org/officeDocument/2006/relationships/hyperlink" Target="https://www.era.europa.eu/system/files/2023-12/NO-10423%20-%202023-05%20Alnabru.pdf" TargetMode="External"/><Relationship Id="rId50" Type="http://schemas.openxmlformats.org/officeDocument/2006/relationships/hyperlink" Target="https://www.era.europa.eu/system/files/2024-02/DE-5660%20investigation%20report%20Train%20collision%20M%C3%BCnchen-Riem.pdf" TargetMode="External"/><Relationship Id="rId55" Type="http://schemas.openxmlformats.org/officeDocument/2006/relationships/hyperlink" Target="https://www.era.europa.eu/system/files/2024-02/PT-239%20-%20Relat%C3%B3rio_Sumario_ferro_PT_239_RF202301.pdf" TargetMode="External"/><Relationship Id="rId76" Type="http://schemas.openxmlformats.org/officeDocument/2006/relationships/hyperlink" Target="https://www.era.europa.eu/system/files/2024-04/NO-10398%20-%202024-03%20Bybanen.pdf" TargetMode="External"/><Relationship Id="rId97" Type="http://schemas.openxmlformats.org/officeDocument/2006/relationships/hyperlink" Target="https://www.era.europa.eu/system/files/2024-06/DK-10507%20-%20Statement%20K%C3%B8benhavn%20H.%20-%20Hvidovre%20Fjern%20Personp%C3%A5k%C3%B8rsel%20%2825-11-2023%29.pdf" TargetMode="External"/><Relationship Id="rId104" Type="http://schemas.openxmlformats.org/officeDocument/2006/relationships/hyperlink" Target="https://www.era.europa.eu/system/files/2024-06/AT-6217%20-%20190701_Kollision_Bf_Floridsdorf_795399_EUB%20%288%29_0.pdf" TargetMode="External"/><Relationship Id="rId7" Type="http://schemas.openxmlformats.org/officeDocument/2006/relationships/hyperlink" Target="http://erail.era.europa.eu/recommendations.aspx?sfn=CZ-6369&amp;sr=12&amp;public=1" TargetMode="External"/><Relationship Id="rId71" Type="http://schemas.openxmlformats.org/officeDocument/2006/relationships/hyperlink" Target="https://www.era.europa.eu/system/files/2024-03/IE-10404%20-%20230222%20Broken%20Rail%20Emly.pdf" TargetMode="External"/><Relationship Id="rId92" Type="http://schemas.openxmlformats.org/officeDocument/2006/relationships/hyperlink" Target="https://www.era.europa.eu/system/files/2024-05/HU-10324%20-%202022-1184-5_zj_EN.pdf" TargetMode="External"/><Relationship Id="rId2" Type="http://schemas.openxmlformats.org/officeDocument/2006/relationships/hyperlink" Target="http://erail.era.europa.eu/recommendations.aspx?sfn=CZ-6364&amp;sr=12&amp;public=1" TargetMode="External"/><Relationship Id="rId29" Type="http://schemas.openxmlformats.org/officeDocument/2006/relationships/hyperlink" Target="https://www.era.europa.eu/system/files/2023-12/HU-10400%20-%202023-0366-5_zj_EN.pdf" TargetMode="External"/><Relationship Id="rId24" Type="http://schemas.openxmlformats.org/officeDocument/2006/relationships/hyperlink" Target="https://www.era.europa.eu/system/files/2023-12/RO-10344%20-%20RI%20Gugesti%2001%2012%202022%20final%20transmis.pdf" TargetMode="External"/><Relationship Id="rId40" Type="http://schemas.openxmlformats.org/officeDocument/2006/relationships/hyperlink" Target="https://www.era.europa.eu/system/files/2024-01/RO-10348%20-%20RI%20Timisoara%20Est%20%2029%2012%202022%20final%20transmis.pdf" TargetMode="External"/><Relationship Id="rId45" Type="http://schemas.openxmlformats.org/officeDocument/2006/relationships/hyperlink" Target="https://www.era.europa.eu/system/files/2024-02/CZ-10319%20-%20ZZ_Final_report_Poricany.pdf" TargetMode="External"/><Relationship Id="rId66" Type="http://schemas.openxmlformats.org/officeDocument/2006/relationships/hyperlink" Target="https://www.era.europa.eu/system/files/2024-03/NO-10393%20-%202024-02%20Narvik.pdf" TargetMode="External"/><Relationship Id="rId87" Type="http://schemas.openxmlformats.org/officeDocument/2006/relationships/hyperlink" Target="https://www.era.europa.eu/system/files/2024-05/RO-10402%20-%20RI%20Sannicolau%20%20Mare%20Cenad%2018%2004%202023%20final%20transmis.pdf" TargetMode="External"/><Relationship Id="rId110" Type="http://schemas.openxmlformats.org/officeDocument/2006/relationships/comments" Target="../comments1.xml"/><Relationship Id="rId61" Type="http://schemas.openxmlformats.org/officeDocument/2006/relationships/hyperlink" Target="https://www.era.europa.eu/system/files/2024-03/RO-10380%20-%20RI%20Zalau%20Nord%20Mirsid%2022%2002%202023%20final%20transmis.pdf" TargetMode="External"/><Relationship Id="rId82" Type="http://schemas.openxmlformats.org/officeDocument/2006/relationships/hyperlink" Target="https://www.era.europa.eu/system/files/2024-04/HU-10183%20-%202022-0107-5_zj_EN_EN_BT.docx" TargetMode="External"/><Relationship Id="rId19" Type="http://schemas.openxmlformats.org/officeDocument/2006/relationships/hyperlink" Target="https://www.era.europa.eu/system/files/2023-11/CZ-5978%20-%20Final_report_Hrivice_CZ-5978.pdf" TargetMode="External"/><Relationship Id="rId14" Type="http://schemas.openxmlformats.org/officeDocument/2006/relationships/hyperlink" Target="https://www.era.europa.eu/system/files/2023-11/CZ-10346%20-%20231107_final_report_Bzenec_privoz_Mor_Pisek.pdf" TargetMode="External"/><Relationship Id="rId30" Type="http://schemas.openxmlformats.org/officeDocument/2006/relationships/hyperlink" Target="https://www.era.europa.eu/system/files/2023-12/DE-4976%20-%20Final%20Report%20-%20Biesdorfer_Kreuz_Ost_-_Berlin_Kaulsdorf.pdf" TargetMode="External"/><Relationship Id="rId35" Type="http://schemas.openxmlformats.org/officeDocument/2006/relationships/hyperlink" Target="https://www.era.europa.eu/system/files/2023-12/IT-10253%20-%20Relazione%20finale_Barletta_04-01-2022_pubblica.pdf" TargetMode="External"/><Relationship Id="rId56" Type="http://schemas.openxmlformats.org/officeDocument/2006/relationships/hyperlink" Target="https://www.era.europa.eu/system/files/2024-02/PT-78%20-%20Relat%C3%B3rio_Sumario_ferro_PT_78_RF202302.pdf" TargetMode="External"/><Relationship Id="rId77" Type="http://schemas.openxmlformats.org/officeDocument/2006/relationships/hyperlink" Target="https://www.era.europa.eu/system/files/2024-04/DK-10283%20-%202022-34%20Report%20Ejby%20wheel%20failure_%20EN.pdf" TargetMode="External"/><Relationship Id="rId100" Type="http://schemas.openxmlformats.org/officeDocument/2006/relationships/hyperlink" Target="https://www.era.europa.eu/system/files/2024-06/CZ-10429%20-%20Final_report_Bozice_u_Znojma_P7118.pdf" TargetMode="External"/><Relationship Id="rId105" Type="http://schemas.openxmlformats.org/officeDocument/2006/relationships/hyperlink" Target="https://www.era.europa.eu/system/files/2024-06/BG-10472%20-%20Final%20report%20IP4IL_NIB%20BG.pdf" TargetMode="External"/><Relationship Id="rId8" Type="http://schemas.openxmlformats.org/officeDocument/2006/relationships/hyperlink" Target="http://erail.era.europa.eu/recommendations.aspx?sfn=PT-6375&amp;sr=61&amp;public=1" TargetMode="External"/><Relationship Id="rId51" Type="http://schemas.openxmlformats.org/officeDocument/2006/relationships/hyperlink" Target="https://www.era.europa.eu/system/files/2024-02/DE-6204%20investigation%20report%20trains%20collision%20near%20miss%20Griesen%20Obb.pdf" TargetMode="External"/><Relationship Id="rId72" Type="http://schemas.openxmlformats.org/officeDocument/2006/relationships/hyperlink" Target="https://www.era.europa.eu/system/files/2024-04/RO-10395%20-%20RI%20Berbesti%20Popesti%2028%2003%202023%20final%20transmis.pdf" TargetMode="External"/><Relationship Id="rId93" Type="http://schemas.openxmlformats.org/officeDocument/2006/relationships/hyperlink" Target="https://www.era.europa.eu/system/files/2024-05/HU-10289%20-%202022-0917-5_zj_EN.pdf" TargetMode="External"/><Relationship Id="rId98" Type="http://schemas.openxmlformats.org/officeDocument/2006/relationships/hyperlink" Target="https://www.era.europa.eu/system/files/2024-06/AT-10408%20-%20final%20%20795.406%20UB%201.0.pdf" TargetMode="External"/><Relationship Id="rId3" Type="http://schemas.openxmlformats.org/officeDocument/2006/relationships/hyperlink" Target="http://erail.era.europa.eu/recommendations.aspx?sfn=CZ-6366&amp;sr=12&amp;public=1" TargetMode="External"/><Relationship Id="rId25" Type="http://schemas.openxmlformats.org/officeDocument/2006/relationships/hyperlink" Target="https://www.era.europa.eu/system/files/2023-12/IT-10335%20-%20Relazione%20finale_Pompei_07-11-2022_pubblica.pdf" TargetMode="External"/><Relationship Id="rId46" Type="http://schemas.openxmlformats.org/officeDocument/2006/relationships/hyperlink" Target="https://www.era.europa.eu/system/files/2024-02/AT-5618%20-%20795.390_UB_1.0.pdf" TargetMode="External"/><Relationship Id="rId67" Type="http://schemas.openxmlformats.org/officeDocument/2006/relationships/hyperlink" Target="https://www.era.europa.eu/system/files/2024-03/RO-10390%20-%20RI%20Rosiori%20Nord%2013%2003%202023%20final%20transmis.pdf" TargetMode="External"/><Relationship Id="rId20" Type="http://schemas.openxmlformats.org/officeDocument/2006/relationships/hyperlink" Target="https://www.era.europa.eu/system/files/2023-11/SK-10476%20-%2034_Martin__Vr%C3%BAtky.pdf" TargetMode="External"/><Relationship Id="rId41" Type="http://schemas.openxmlformats.org/officeDocument/2006/relationships/hyperlink" Target="https://www.era.europa.eu/system/files/2024-01/RO-10350%20-%20RI%20Campia%20Turzii%2007%2001%202023%20final%20transmis.pdf" TargetMode="External"/><Relationship Id="rId62" Type="http://schemas.openxmlformats.org/officeDocument/2006/relationships/hyperlink" Target="https://www.era.europa.eu/system/files/2024-03/BG-10485%20-%20Final%20report%2044202_NIB%20BG%20ENG%201.pdf" TargetMode="External"/><Relationship Id="rId83" Type="http://schemas.openxmlformats.org/officeDocument/2006/relationships/hyperlink" Target="https://www.era.europa.eu/system/files/2024-04/HU-10310%20-%202022-0960-5_zj_EN_EN_BT.docx" TargetMode="External"/><Relationship Id="rId88" Type="http://schemas.openxmlformats.org/officeDocument/2006/relationships/hyperlink" Target="https://www.era.europa.eu/system/files/2024-05/ES-10383%20-%202023-11-0130-IF.pdf"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https://www.era.europa.eu/system/files/2024-02/PL-10366%20-%20Report%20PKBWK%201%202024_EN.docx.pdf" TargetMode="External"/><Relationship Id="rId21" Type="http://schemas.openxmlformats.org/officeDocument/2006/relationships/hyperlink" Target="https://www.era.europa.eu/system/files/2024-01/DE-10233_German%20investigation%20report%20trains%20collision%20Altheim%20%28Hess%29%20-%20Dieburg.pdf" TargetMode="External"/><Relationship Id="rId42" Type="http://schemas.openxmlformats.org/officeDocument/2006/relationships/hyperlink" Target="https://www.era.europa.eu/system/files/2024-03/IE-10404%20-%20230222%20Broken%20Rail%20Emly.pdf" TargetMode="External"/><Relationship Id="rId47" Type="http://schemas.openxmlformats.org/officeDocument/2006/relationships/hyperlink" Target="https://www.era.europa.eu/system/files/2024-04/HU-10247%20-%202022-0682-5_zj_EN.docx" TargetMode="External"/><Relationship Id="rId63" Type="http://schemas.openxmlformats.org/officeDocument/2006/relationships/hyperlink" Target="https://www.era.europa.eu/system/files/2024-05/NL-10405%20-%20Final%20report_0.pdf" TargetMode="External"/><Relationship Id="rId68" Type="http://schemas.openxmlformats.org/officeDocument/2006/relationships/hyperlink" Target="https://www.era.europa.eu/system/files/2024-05/RO-10420%20-%20RI%20Sighisoara%2008%2006%202023%20final%20transmis.pdf" TargetMode="External"/><Relationship Id="rId84" Type="http://schemas.openxmlformats.org/officeDocument/2006/relationships/hyperlink" Target="https://www.era.europa.eu/system/files/2024-07/CZ-10455%20-%20Final_report_Belcice_Blatna.pdf" TargetMode="External"/><Relationship Id="rId16" Type="http://schemas.openxmlformats.org/officeDocument/2006/relationships/hyperlink" Target="https://www.era.europa.eu/system/files/2024-01/HR-10342%20-%20Kona%C4%8Dno%20izvje%C5%A1%C4%87e%20%C5%A0krljevo14.11.2022%20z.pdf" TargetMode="External"/><Relationship Id="rId11" Type="http://schemas.openxmlformats.org/officeDocument/2006/relationships/hyperlink" Target="https://www.era.europa.eu/system/files/2023-12/PT-10369%20-%20RI2023_01.pdf" TargetMode="External"/><Relationship Id="rId32" Type="http://schemas.openxmlformats.org/officeDocument/2006/relationships/hyperlink" Target="https://www.era.europa.eu/system/files/2024-03/BG-10485%20-%20Final%20report%2044202_NIB%20BG%20ENG%201.pdf" TargetMode="External"/><Relationship Id="rId37" Type="http://schemas.openxmlformats.org/officeDocument/2006/relationships/hyperlink" Target="https://www.era.europa.eu/system/files/2024-03/RO-10390%20-%20RI%20Rosiori%20Nord%2013%2003%202023%20final%20transmis.pdf" TargetMode="External"/><Relationship Id="rId53" Type="http://schemas.openxmlformats.org/officeDocument/2006/relationships/hyperlink" Target="https://www.era.europa.eu/system/files/2024-04/HU-10310%20-%202022-0960-5_zj_EN_EN_BT.docx" TargetMode="External"/><Relationship Id="rId58" Type="http://schemas.openxmlformats.org/officeDocument/2006/relationships/hyperlink" Target="https://www.era.europa.eu/system/files/2024-05/RO-10411%20-%20RI%20Toporu%2017%2005%202023%20final%20transmis.pdf" TargetMode="External"/><Relationship Id="rId74" Type="http://schemas.openxmlformats.org/officeDocument/2006/relationships/hyperlink" Target="https://www.era.europa.eu/era-folder/fi-10451" TargetMode="External"/><Relationship Id="rId79" Type="http://schemas.openxmlformats.org/officeDocument/2006/relationships/hyperlink" Target="https://www.era.europa.eu/system/files/2024-06/BG-10472%20-%20Final%20report%20IP4IL_NIB%20BG.pdf" TargetMode="External"/><Relationship Id="rId5" Type="http://schemas.openxmlformats.org/officeDocument/2006/relationships/hyperlink" Target="https://www.era.europa.eu/system/files/2023-11/CZ-10332%20-%20Final_Report_M%C4%9Bln%C3%ADk_CZ-10332.pdf" TargetMode="External"/><Relationship Id="rId19" Type="http://schemas.openxmlformats.org/officeDocument/2006/relationships/hyperlink" Target="https://www.era.europa.eu/system/files/2024-01/RO-10350%20-%20RI%20Campia%20Turzii%2007%2001%202023%20final%20transmis.pdf" TargetMode="External"/><Relationship Id="rId14" Type="http://schemas.openxmlformats.org/officeDocument/2006/relationships/hyperlink" Target="https://www.era.europa.eu/system/files/2023-12/CZ-10417%20-%20231217_final_report_Bystrice_pod_Hostynem_Holesov.pdf" TargetMode="External"/><Relationship Id="rId22" Type="http://schemas.openxmlformats.org/officeDocument/2006/relationships/hyperlink" Target="https://www.era.europa.eu/system/files/2024-02/PL-10387%20-%20Raport%20nr%20PKBWK%205%202023_en.pdf" TargetMode="External"/><Relationship Id="rId27" Type="http://schemas.openxmlformats.org/officeDocument/2006/relationships/hyperlink" Target="https://www.era.europa.eu/system/files/2024-02/DE-6204%20investigation%20report%20trains%20collision%20near%20miss%20Griesen%20Obb.pdf" TargetMode="External"/><Relationship Id="rId30" Type="http://schemas.openxmlformats.org/officeDocument/2006/relationships/hyperlink" Target="https://www.era.europa.eu/system/files/2024-02/PL-10416%20-%20Report%203%202024_EN.pdf" TargetMode="External"/><Relationship Id="rId35" Type="http://schemas.openxmlformats.org/officeDocument/2006/relationships/hyperlink" Target="https://www.era.europa.eu/system/files/2024-03/RO-10392%20-%20RI%20Beia%20Cata%2017%2003%202023%20final%20transmis.pdf" TargetMode="External"/><Relationship Id="rId43" Type="http://schemas.openxmlformats.org/officeDocument/2006/relationships/hyperlink" Target="https://www.era.europa.eu/system/files/2024-03/IE-10404%20-%20230222%20Broken%20Rail%20Emly.pdf" TargetMode="External"/><Relationship Id="rId48" Type="http://schemas.openxmlformats.org/officeDocument/2006/relationships/hyperlink" Target="https://www.era.europa.eu/system/files/2024-04/NO-10398%20-%202024-03%20Bybanen.pdf" TargetMode="External"/><Relationship Id="rId56" Type="http://schemas.openxmlformats.org/officeDocument/2006/relationships/hyperlink" Target="https://www.era.europa.eu/system/files/2024-05/RO-10402%20-%20RI%20Sannicolau%20%20Mare%20Cenad%2018%2004%202023%20final%20transmis.pdf" TargetMode="External"/><Relationship Id="rId64" Type="http://schemas.openxmlformats.org/officeDocument/2006/relationships/hyperlink" Target="https://www.era.europa.eu/system/files/2024-05/NL-10405%20-%20Final%20report_0.pdf" TargetMode="External"/><Relationship Id="rId69" Type="http://schemas.openxmlformats.org/officeDocument/2006/relationships/hyperlink" Target="https://www.era.europa.eu/system/files/2024-05/RO-10420%20-%20RI%20Sighisoara%2008%2006%202023%20final%20transmis.pdf" TargetMode="External"/><Relationship Id="rId77" Type="http://schemas.openxmlformats.org/officeDocument/2006/relationships/hyperlink" Target="https://www.era.europa.eu/system/files/2024-06/AT-6217%20-%20190701_Kollision_Bf_Floridsdorf_795399_EUB%20%288%29_0.pdf" TargetMode="External"/><Relationship Id="rId8" Type="http://schemas.openxmlformats.org/officeDocument/2006/relationships/hyperlink" Target="https://www.era.europa.eu/system/files/2023-12/IT-10270%20-Relazione%20finale_Prenestina_03-06-2022_pubblica.pdf" TargetMode="External"/><Relationship Id="rId51" Type="http://schemas.openxmlformats.org/officeDocument/2006/relationships/hyperlink" Target="https://www.era.europa.eu/system/files/2024-04/CZ-10200%20-%20Final_report_Skaly_CZ-10200.pdf" TargetMode="External"/><Relationship Id="rId72" Type="http://schemas.openxmlformats.org/officeDocument/2006/relationships/hyperlink" Target="https://www.era.europa.eu/system/files/2024-06/HR-10428%20-%20KI%20incident%20izbjegnut%20sudar%20Su%C5%A1ak%20Pe%C4%87ine%20%20%20%2022.06.2023._.pdf" TargetMode="External"/><Relationship Id="rId80" Type="http://schemas.openxmlformats.org/officeDocument/2006/relationships/hyperlink" Target="https://www.era.europa.eu/system/files/2024-06/BG-10472%20-%20Final%20report%20IP4IL_NIB%20BG.pdf" TargetMode="External"/><Relationship Id="rId85" Type="http://schemas.openxmlformats.org/officeDocument/2006/relationships/hyperlink" Target="https://www.era.europa.eu/system/files/2024-07/ES-10479%20-%20Final%20Report%20-%202023-43-0518-IF.pdf" TargetMode="External"/><Relationship Id="rId3" Type="http://schemas.openxmlformats.org/officeDocument/2006/relationships/hyperlink" Target="https://www.era.europa.eu/system/files/2023-10/PL-10352%20-%20Report_EN_No_PKBWK_03_2023.pdf" TargetMode="External"/><Relationship Id="rId12" Type="http://schemas.openxmlformats.org/officeDocument/2006/relationships/hyperlink" Target="https://www.era.europa.eu/system/files/2023-12/CZ-10347%20-%20ZZ_Final_report_Brno-Malomerice.pdf" TargetMode="External"/><Relationship Id="rId17" Type="http://schemas.openxmlformats.org/officeDocument/2006/relationships/hyperlink" Target="https://www.era.europa.eu/system/files/2024-01/HR-10361%20-Kona%C4%8Dno%20nesre%C4%87a%20Pula%20nalet%20%2014.01.2023.%20objava_.pdf" TargetMode="External"/><Relationship Id="rId25" Type="http://schemas.openxmlformats.org/officeDocument/2006/relationships/hyperlink" Target="https://www.era.europa.eu/system/files/2024-02/AT-5618%20-%20795.390_UB_1.0.pdf" TargetMode="External"/><Relationship Id="rId33" Type="http://schemas.openxmlformats.org/officeDocument/2006/relationships/hyperlink" Target="https://www.era.europa.eu/system/files/2024-03/DK-10401%20-%202023-163%20EN%20Report%20Summary%20Conclusion%20and%20Recommendations.pdf" TargetMode="External"/><Relationship Id="rId38" Type="http://schemas.openxmlformats.org/officeDocument/2006/relationships/hyperlink" Target="https://www.era.europa.eu/system/files/2024-03/RO-10390%20-%20RI%20Rosiori%20Nord%2013%2003%202023%20final%20transmis.pdf" TargetMode="External"/><Relationship Id="rId46" Type="http://schemas.openxmlformats.org/officeDocument/2006/relationships/hyperlink" Target="https://www.era.europa.eu/system/files/2024-04/RO-10395%20-%20RI%20Berbesti%20Popesti%2028%2003%202023%20final%20transmis.pdf" TargetMode="External"/><Relationship Id="rId59" Type="http://schemas.openxmlformats.org/officeDocument/2006/relationships/hyperlink" Target="https://www.era.europa.eu/system/files/2024-05/RO-10411%20-%20RI%20Toporu%2017%2005%202023%20final%20transmis.pdf" TargetMode="External"/><Relationship Id="rId67" Type="http://schemas.openxmlformats.org/officeDocument/2006/relationships/hyperlink" Target="https://www.era.europa.eu/system/files/2024-05/RO-10420%20-%20RI%20Sighisoara%2008%2006%202023%20final%20transmis.pdf" TargetMode="External"/><Relationship Id="rId20" Type="http://schemas.openxmlformats.org/officeDocument/2006/relationships/hyperlink" Target="https://www.era.europa.eu/system/files/2024-01/NO-10331%20-%202024-01%20Heskestad.pdf" TargetMode="External"/><Relationship Id="rId41" Type="http://schemas.openxmlformats.org/officeDocument/2006/relationships/hyperlink" Target="https://www.era.europa.eu/system/files/2024-03/IE-10404%20-%20230222%20Broken%20Rail%20Emly.pdf" TargetMode="External"/><Relationship Id="rId54" Type="http://schemas.openxmlformats.org/officeDocument/2006/relationships/hyperlink" Target="https://www.era.europa.eu/system/files/2024-04/PL-10418%20-%20Report%20No%20PKBWK%2004%202024_EN.pdf" TargetMode="External"/><Relationship Id="rId62" Type="http://schemas.openxmlformats.org/officeDocument/2006/relationships/hyperlink" Target="https://www.era.europa.eu/system/files/2024-05/NL-10405%20-%20Final%20report_0.pdf" TargetMode="External"/><Relationship Id="rId70" Type="http://schemas.openxmlformats.org/officeDocument/2006/relationships/hyperlink" Target="https://www.era.europa.eu/system/files/2024-06/CZ-10511%20-%20Final_report_Rynoltice.pdf" TargetMode="External"/><Relationship Id="rId75" Type="http://schemas.openxmlformats.org/officeDocument/2006/relationships/hyperlink" Target="https://www.era.europa.eu/era-folder/fi-10451" TargetMode="External"/><Relationship Id="rId83" Type="http://schemas.openxmlformats.org/officeDocument/2006/relationships/hyperlink" Target="https://www.era.europa.eu/system/files/2024-06/BG-10472%20-%20Final%20report%20IP4IL_NIB%20BG.pdf" TargetMode="External"/><Relationship Id="rId1" Type="http://schemas.openxmlformats.org/officeDocument/2006/relationships/hyperlink" Target="https://www.era.europa.eu/system/files/2023-10/BG-10433%20-%20Final%20report%2080132_NIB%20BG%20%202.pdf" TargetMode="External"/><Relationship Id="rId6" Type="http://schemas.openxmlformats.org/officeDocument/2006/relationships/hyperlink" Target="https://www.era.europa.eu/system/files/2023-11/CZ-10414%20-%20231128_final_report_Krasna_Lipa_Rumburk.pdf" TargetMode="External"/><Relationship Id="rId15" Type="http://schemas.openxmlformats.org/officeDocument/2006/relationships/hyperlink" Target="https://www.era.europa.eu/system/files/2024-01/PL-10357%20-%20Report_PKBWK_4_2023_EN.pdf" TargetMode="External"/><Relationship Id="rId23" Type="http://schemas.openxmlformats.org/officeDocument/2006/relationships/hyperlink" Target="https://www.era.europa.eu/system/files/2024-02/PL-10387%20-%20Raport%20nr%20PKBWK%205%202023_en.pdf" TargetMode="External"/><Relationship Id="rId28" Type="http://schemas.openxmlformats.org/officeDocument/2006/relationships/hyperlink" Target="https://www.era.europa.eu/system/files/2024-02/RO-10384%20-%20RI%20Augustin%20Apata%2028%2002%202023%20final%20transmis.pdf" TargetMode="External"/><Relationship Id="rId36" Type="http://schemas.openxmlformats.org/officeDocument/2006/relationships/hyperlink" Target="https://www.era.europa.eu/system/files/2024-03/NO-10393%20-%202024-02%20Narvik.pdf" TargetMode="External"/><Relationship Id="rId49" Type="http://schemas.openxmlformats.org/officeDocument/2006/relationships/hyperlink" Target="https://www.era.europa.eu/system/files/2024-04/DK-10283%20-%202022-34%20Report%20Ejby%20wheel%20failure_%20EN.pdf" TargetMode="External"/><Relationship Id="rId57" Type="http://schemas.openxmlformats.org/officeDocument/2006/relationships/hyperlink" Target="https://www.era.europa.eu/system/files/2024-05/ES-10383%20-%202023-11-0130-IF.pdf" TargetMode="External"/><Relationship Id="rId10" Type="http://schemas.openxmlformats.org/officeDocument/2006/relationships/hyperlink" Target="https://www.era.europa.eu/system/files/2023-12/IT-10335%20-%20Relazione%20finale_Pompei_07-11-2022_pubblica.pdf" TargetMode="External"/><Relationship Id="rId31" Type="http://schemas.openxmlformats.org/officeDocument/2006/relationships/hyperlink" Target="https://www.era.europa.eu/system/files/2024-03/RO-10380%20-%20RI%20Zalau%20Nord%20Mirsid%2022%2002%202023%20final%20transmis.pdf" TargetMode="External"/><Relationship Id="rId44" Type="http://schemas.openxmlformats.org/officeDocument/2006/relationships/hyperlink" Target="https://www.era.europa.eu/system/files/2024-03/IE-10404%20-%20230222%20Broken%20Rail%20Emly.pdf" TargetMode="External"/><Relationship Id="rId52" Type="http://schemas.openxmlformats.org/officeDocument/2006/relationships/hyperlink" Target="https://www.era.europa.eu/system/files/2024-04/HU-10178%20-%202022-0048-5_zj_EN_EN_BT.docx" TargetMode="External"/><Relationship Id="rId60" Type="http://schemas.openxmlformats.org/officeDocument/2006/relationships/hyperlink" Target="https://www.era.europa.eu/system/files/2024-05/NL-10405%20-%20Final%20report_0.pdf" TargetMode="External"/><Relationship Id="rId65" Type="http://schemas.openxmlformats.org/officeDocument/2006/relationships/hyperlink" Target="https://www.era.europa.eu/system/files/2024-05/HU-10324%20-%202022-1184-5_zj_EN.pdf" TargetMode="External"/><Relationship Id="rId73" Type="http://schemas.openxmlformats.org/officeDocument/2006/relationships/hyperlink" Target="https://www.era.europa.eu/era-folder/fi-10451" TargetMode="External"/><Relationship Id="rId78" Type="http://schemas.openxmlformats.org/officeDocument/2006/relationships/hyperlink" Target="https://www.era.europa.eu/system/files/2024-06/BG-10472%20-%20Final%20report%20IP4IL_NIB%20BG.pdf" TargetMode="External"/><Relationship Id="rId81" Type="http://schemas.openxmlformats.org/officeDocument/2006/relationships/hyperlink" Target="https://www.era.europa.eu/system/files/2024-06/BG-10472%20-%20Final%20report%20IP4IL_NIB%20BG.pdf" TargetMode="External"/><Relationship Id="rId86" Type="http://schemas.openxmlformats.org/officeDocument/2006/relationships/printerSettings" Target="../printerSettings/printerSettings2.bin"/><Relationship Id="rId4" Type="http://schemas.openxmlformats.org/officeDocument/2006/relationships/hyperlink" Target="https://www.era.europa.eu/system/files/2023-10/IT-10276%20-%20Relazione%20Finale_Rastignano_19-03-2022.pdf" TargetMode="External"/><Relationship Id="rId9" Type="http://schemas.openxmlformats.org/officeDocument/2006/relationships/hyperlink" Target="https://www.era.europa.eu/system/files/2023-12/RO-10344%20-%20RI%20Gugesti%2001%2012%202022%20final%20transmis.pdf" TargetMode="External"/><Relationship Id="rId13" Type="http://schemas.openxmlformats.org/officeDocument/2006/relationships/hyperlink" Target="https://www.era.europa.eu/system/files/2023-12/IT-10253%20-%20Relazione%20finale_Barletta_04-01-2022_pubblica.pdf" TargetMode="External"/><Relationship Id="rId18" Type="http://schemas.openxmlformats.org/officeDocument/2006/relationships/hyperlink" Target="https://www.era.europa.eu/system/files/2024-01/RO-10348%20-%20RI%20Timisoara%20Est%20%2029%2012%202022%20final%20transmis.pdf" TargetMode="External"/><Relationship Id="rId39" Type="http://schemas.openxmlformats.org/officeDocument/2006/relationships/hyperlink" Target="https://www.era.europa.eu/system/files/2024-03/HU-10322%20-%202022-1166-5_zj_EN.pdf" TargetMode="External"/><Relationship Id="rId34" Type="http://schemas.openxmlformats.org/officeDocument/2006/relationships/hyperlink" Target="https://www.era.europa.eu/system/files/2024-03/CZ-10377%20-%20Final_report_Chlumcany_u_Dobran.pdf" TargetMode="External"/><Relationship Id="rId50" Type="http://schemas.openxmlformats.org/officeDocument/2006/relationships/hyperlink" Target="https://www.era.europa.eu/system/files/2024-04/DK-10283%20-%202022-34%20Report%20Ejby%20wheel%20failure_%20EN.pdf" TargetMode="External"/><Relationship Id="rId55" Type="http://schemas.openxmlformats.org/officeDocument/2006/relationships/hyperlink" Target="https://www.era.europa.eu/system/files/2024-05/IT-10368%20-%20Relazione%20finale_Pozzano_26-01-2023_pubblica.pdf" TargetMode="External"/><Relationship Id="rId76" Type="http://schemas.openxmlformats.org/officeDocument/2006/relationships/hyperlink" Target="https://www.era.europa.eu/era-folder/fi-10451" TargetMode="External"/><Relationship Id="rId7" Type="http://schemas.openxmlformats.org/officeDocument/2006/relationships/hyperlink" Target="https://www.era.europa.eu/system/files/2023-11/CZ-10414%20-%20231128_final_report_Krasna_Lipa_Rumburk.pdf" TargetMode="External"/><Relationship Id="rId71" Type="http://schemas.openxmlformats.org/officeDocument/2006/relationships/hyperlink" Target="https://www.era.europa.eu/system/files/2024-06/CZ-10429%20-%20Final_report_Bozice_u_Znojma_P7118.pdf" TargetMode="External"/><Relationship Id="rId2" Type="http://schemas.openxmlformats.org/officeDocument/2006/relationships/hyperlink" Target="https://www.era.europa.eu/system/files/2023-10/RO-10329%20-%20RI%20Racari%2001%2011%202022%20final%20trimis.pdf" TargetMode="External"/><Relationship Id="rId29" Type="http://schemas.openxmlformats.org/officeDocument/2006/relationships/hyperlink" Target="https://www.era.europa.eu/system/files/2024-02/PL-10379%20-%20Report%202%202024_EN.pdf" TargetMode="External"/><Relationship Id="rId24" Type="http://schemas.openxmlformats.org/officeDocument/2006/relationships/hyperlink" Target="https://www.era.europa.eu/system/files/2024-02/CZ-10319%20-%20ZZ_Final_report_Poricany.pdf" TargetMode="External"/><Relationship Id="rId40" Type="http://schemas.openxmlformats.org/officeDocument/2006/relationships/hyperlink" Target="https://www.era.europa.eu/system/files/2024-03/HU-10322%20-%202022-1166-5_zj_EN.pdf" TargetMode="External"/><Relationship Id="rId45" Type="http://schemas.openxmlformats.org/officeDocument/2006/relationships/hyperlink" Target="https://www.era.europa.eu/system/files/2024-03/IE-10404%20-%20230222%20Broken%20Rail%20Emly.pdf" TargetMode="External"/><Relationship Id="rId66" Type="http://schemas.openxmlformats.org/officeDocument/2006/relationships/hyperlink" Target="https://www.era.europa.eu/system/files/2024-05/AT-10226%20-%20795.404_UB_1.0_Optimized.pdf" TargetMode="External"/><Relationship Id="rId61" Type="http://schemas.openxmlformats.org/officeDocument/2006/relationships/hyperlink" Target="https://www.era.europa.eu/system/files/2024-05/NL-10405%20-%20Final%20report_0.pdf" TargetMode="External"/><Relationship Id="rId82" Type="http://schemas.openxmlformats.org/officeDocument/2006/relationships/hyperlink" Target="https://www.era.europa.eu/system/files/2024-06/BG-10472%20-%20Final%20report%20IP4IL_NIB%20BG.pdf"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92D050"/>
    <pageSetUpPr fitToPage="1"/>
  </sheetPr>
  <dimension ref="A1:BC3782"/>
  <sheetViews>
    <sheetView showGridLines="0" tabSelected="1" zoomScaleNormal="100" zoomScaleSheetLayoutView="100" workbookViewId="0">
      <pane ySplit="1" topLeftCell="A3781" activePane="bottomLeft" state="frozen"/>
      <selection pane="bottomLeft" activeCell="E4" sqref="E4"/>
    </sheetView>
  </sheetViews>
  <sheetFormatPr defaultColWidth="9.1796875" defaultRowHeight="36.75" customHeight="1" x14ac:dyDescent="0.35"/>
  <cols>
    <col min="1" max="1" width="31.81640625" style="1" customWidth="1"/>
    <col min="2" max="2" width="18.81640625" style="1" customWidth="1"/>
    <col min="3" max="3" width="13.54296875" style="17" customWidth="1"/>
    <col min="4" max="4" width="17.54296875" style="1" customWidth="1"/>
    <col min="5" max="5" width="36.54296875" style="1" customWidth="1"/>
    <col min="6" max="6" width="25.81640625" style="1" customWidth="1"/>
    <col min="7" max="7" width="12.81640625" style="17" customWidth="1"/>
    <col min="8" max="8" width="13.54296875" style="17" customWidth="1"/>
    <col min="9" max="9" width="19.26953125" style="1" customWidth="1"/>
    <col min="10" max="10" width="26.453125" style="17" customWidth="1"/>
    <col min="11" max="11" width="16" style="1" customWidth="1"/>
    <col min="12" max="12" width="36.54296875" style="1" customWidth="1"/>
    <col min="13" max="13" width="19.453125" style="1" customWidth="1"/>
    <col min="14" max="14" width="13.453125" style="1" customWidth="1"/>
    <col min="15" max="15" width="15.7265625" style="1" customWidth="1"/>
    <col min="16" max="18" width="13.54296875" style="17" customWidth="1"/>
    <col min="19" max="19" width="18.54296875" style="1" customWidth="1"/>
    <col min="20" max="20" width="13.54296875" style="17" customWidth="1"/>
    <col min="21" max="21" width="16" style="1" customWidth="1"/>
    <col min="22" max="22" width="15.1796875" style="17" customWidth="1"/>
    <col min="23" max="23" width="14.54296875" style="1" customWidth="1"/>
    <col min="24" max="24" width="13.81640625" style="1" customWidth="1"/>
    <col min="25" max="25" width="16.1796875" style="1" customWidth="1"/>
    <col min="26" max="26" width="13.54296875" style="17" customWidth="1"/>
    <col min="27" max="27" width="17.54296875" style="1" customWidth="1"/>
    <col min="28" max="28" width="20.81640625" style="1" customWidth="1"/>
    <col min="29" max="29" width="12.54296875" style="1" customWidth="1"/>
    <col min="30" max="30" width="19.7265625" style="1" customWidth="1"/>
    <col min="31" max="31" width="14.1796875" style="17" customWidth="1"/>
    <col min="32" max="33" width="13.54296875" style="17" customWidth="1"/>
    <col min="34" max="34" width="13.81640625" style="17" customWidth="1"/>
    <col min="35" max="35" width="13" style="1" customWidth="1"/>
    <col min="36" max="36" width="27" style="17" customWidth="1"/>
    <col min="37" max="37" width="20.81640625" style="17" customWidth="1"/>
    <col min="38" max="16384" width="9.1796875" style="1"/>
  </cols>
  <sheetData>
    <row r="1" spans="1:37" ht="63" customHeight="1" x14ac:dyDescent="0.35">
      <c r="A1" s="4" t="s">
        <v>0</v>
      </c>
      <c r="B1" s="3" t="s">
        <v>1</v>
      </c>
      <c r="C1" s="72" t="s">
        <v>2</v>
      </c>
      <c r="D1" s="86" t="s">
        <v>3</v>
      </c>
      <c r="E1" s="74" t="s">
        <v>4</v>
      </c>
      <c r="F1" s="3" t="s">
        <v>5</v>
      </c>
      <c r="G1" s="2" t="s">
        <v>6</v>
      </c>
      <c r="H1" s="2" t="s">
        <v>7</v>
      </c>
      <c r="I1" s="3" t="s">
        <v>8</v>
      </c>
      <c r="J1" s="2" t="s">
        <v>9</v>
      </c>
      <c r="K1" s="3" t="s">
        <v>10</v>
      </c>
      <c r="L1" s="3" t="s">
        <v>11</v>
      </c>
      <c r="M1" s="3" t="s">
        <v>12</v>
      </c>
      <c r="N1" s="3" t="s">
        <v>13</v>
      </c>
      <c r="O1" s="3" t="s">
        <v>14</v>
      </c>
      <c r="P1" s="2" t="s">
        <v>15</v>
      </c>
      <c r="Q1" s="2" t="s">
        <v>16</v>
      </c>
      <c r="R1" s="2" t="s">
        <v>17</v>
      </c>
      <c r="S1" s="3" t="s">
        <v>18</v>
      </c>
      <c r="T1" s="3" t="s">
        <v>19</v>
      </c>
      <c r="U1" s="3" t="s">
        <v>20</v>
      </c>
      <c r="V1" s="3" t="s">
        <v>21</v>
      </c>
      <c r="W1" s="3" t="s">
        <v>22</v>
      </c>
      <c r="X1" s="3" t="s">
        <v>23</v>
      </c>
      <c r="Y1" s="3" t="s">
        <v>24</v>
      </c>
      <c r="Z1" s="3" t="s">
        <v>25</v>
      </c>
      <c r="AA1" s="3" t="s">
        <v>26</v>
      </c>
      <c r="AB1" s="3" t="s">
        <v>27</v>
      </c>
      <c r="AC1" s="3" t="s">
        <v>28</v>
      </c>
      <c r="AD1" s="3" t="s">
        <v>29</v>
      </c>
      <c r="AE1" s="2" t="s">
        <v>30</v>
      </c>
      <c r="AF1" s="2" t="s">
        <v>31</v>
      </c>
      <c r="AG1" s="2" t="s">
        <v>32</v>
      </c>
      <c r="AH1" s="2" t="s">
        <v>33</v>
      </c>
      <c r="AI1" s="3" t="s">
        <v>34</v>
      </c>
      <c r="AJ1" s="2" t="s">
        <v>35</v>
      </c>
      <c r="AK1" s="2" t="s">
        <v>36</v>
      </c>
    </row>
    <row r="2" spans="1:37" ht="36.75" customHeight="1" x14ac:dyDescent="0.35">
      <c r="A2" s="5"/>
      <c r="B2" s="5" t="s">
        <v>37</v>
      </c>
      <c r="C2" s="73" t="str">
        <f t="shared" ref="C2:C65" si="0">IF(B2="Notification","Open",IF(B2="Interim Statement","In progress","Closed"))</f>
        <v>Closed</v>
      </c>
      <c r="D2" s="45" t="s">
        <v>38</v>
      </c>
      <c r="E2" s="54" t="s">
        <v>39</v>
      </c>
      <c r="F2" s="5" t="s">
        <v>40</v>
      </c>
      <c r="G2" s="6">
        <f>DATE(2002,6,29)</f>
        <v>37436</v>
      </c>
      <c r="H2" s="106">
        <v>1.35625</v>
      </c>
      <c r="I2" s="5" t="s">
        <v>41</v>
      </c>
      <c r="J2" s="6" t="s">
        <v>42</v>
      </c>
      <c r="K2" s="5" t="s">
        <v>43</v>
      </c>
      <c r="L2" s="5" t="s">
        <v>44</v>
      </c>
      <c r="M2" s="5" t="s">
        <v>45</v>
      </c>
      <c r="N2" s="5">
        <v>0</v>
      </c>
      <c r="O2" s="5" t="s">
        <v>46</v>
      </c>
      <c r="P2" s="6" t="s">
        <v>47</v>
      </c>
      <c r="Q2" s="6" t="s">
        <v>48</v>
      </c>
      <c r="R2" s="6" t="s">
        <v>49</v>
      </c>
      <c r="S2" s="5">
        <v>0</v>
      </c>
      <c r="T2" s="117" t="s">
        <v>50</v>
      </c>
      <c r="U2" s="5">
        <v>0</v>
      </c>
      <c r="V2" s="117" t="s">
        <v>50</v>
      </c>
      <c r="W2" s="5">
        <v>0</v>
      </c>
      <c r="X2" s="5">
        <v>0</v>
      </c>
      <c r="Y2" s="5">
        <v>0</v>
      </c>
      <c r="Z2" s="117" t="s">
        <v>50</v>
      </c>
      <c r="AA2" s="5">
        <v>0</v>
      </c>
      <c r="AB2" s="5">
        <v>0</v>
      </c>
      <c r="AC2" s="5">
        <v>0</v>
      </c>
      <c r="AD2" s="5">
        <v>0</v>
      </c>
      <c r="AE2" s="6" t="s">
        <v>50</v>
      </c>
      <c r="AF2" s="6" t="s">
        <v>50</v>
      </c>
      <c r="AG2" s="6" t="s">
        <v>51</v>
      </c>
      <c r="AH2" s="6" t="s">
        <v>50</v>
      </c>
      <c r="AI2" s="5">
        <v>0</v>
      </c>
      <c r="AJ2" s="6" t="s">
        <v>50</v>
      </c>
      <c r="AK2" s="6" t="s">
        <v>50</v>
      </c>
    </row>
    <row r="3" spans="1:37" ht="36.75" customHeight="1" x14ac:dyDescent="0.35">
      <c r="A3" s="5"/>
      <c r="B3" s="5" t="s">
        <v>37</v>
      </c>
      <c r="C3" s="73" t="str">
        <f t="shared" si="0"/>
        <v>Closed</v>
      </c>
      <c r="D3" s="45" t="s">
        <v>52</v>
      </c>
      <c r="E3" s="54" t="s">
        <v>53</v>
      </c>
      <c r="F3" s="5" t="s">
        <v>54</v>
      </c>
      <c r="G3" s="7">
        <f>DATE(2003,4,30)</f>
        <v>37741</v>
      </c>
      <c r="H3" s="34">
        <v>1.0291666666666666</v>
      </c>
      <c r="I3" s="5" t="s">
        <v>55</v>
      </c>
      <c r="J3" s="7" t="s">
        <v>56</v>
      </c>
      <c r="K3" s="5" t="s">
        <v>57</v>
      </c>
      <c r="L3" s="5" t="s">
        <v>58</v>
      </c>
      <c r="M3" s="5" t="s">
        <v>45</v>
      </c>
      <c r="N3" s="5">
        <v>0</v>
      </c>
      <c r="O3" s="5" t="s">
        <v>59</v>
      </c>
      <c r="P3" s="7" t="s">
        <v>60</v>
      </c>
      <c r="Q3" s="7" t="s">
        <v>61</v>
      </c>
      <c r="R3" s="7" t="s">
        <v>62</v>
      </c>
      <c r="S3" s="5">
        <v>0</v>
      </c>
      <c r="T3" s="36" t="s">
        <v>50</v>
      </c>
      <c r="U3" s="5">
        <v>0</v>
      </c>
      <c r="V3" s="36" t="s">
        <v>50</v>
      </c>
      <c r="W3" s="5">
        <v>0</v>
      </c>
      <c r="X3" s="5">
        <v>0</v>
      </c>
      <c r="Y3" s="5">
        <v>0</v>
      </c>
      <c r="Z3" s="36" t="s">
        <v>50</v>
      </c>
      <c r="AA3" s="5">
        <v>0</v>
      </c>
      <c r="AB3" s="5">
        <v>0</v>
      </c>
      <c r="AC3" s="5">
        <v>0</v>
      </c>
      <c r="AD3" s="5">
        <v>0</v>
      </c>
      <c r="AE3" s="7" t="s">
        <v>50</v>
      </c>
      <c r="AF3" s="7" t="s">
        <v>63</v>
      </c>
      <c r="AG3" s="7" t="s">
        <v>64</v>
      </c>
      <c r="AH3" s="7" t="s">
        <v>50</v>
      </c>
      <c r="AI3" s="5">
        <v>0</v>
      </c>
      <c r="AJ3" s="7" t="s">
        <v>50</v>
      </c>
      <c r="AK3" s="7" t="s">
        <v>50</v>
      </c>
    </row>
    <row r="4" spans="1:37" ht="36.75" customHeight="1" x14ac:dyDescent="0.35">
      <c r="A4" s="5"/>
      <c r="B4" s="5" t="s">
        <v>37</v>
      </c>
      <c r="C4" s="73" t="str">
        <f t="shared" si="0"/>
        <v>Closed</v>
      </c>
      <c r="D4" s="45" t="s">
        <v>65</v>
      </c>
      <c r="E4" s="54" t="s">
        <v>66</v>
      </c>
      <c r="F4" s="5" t="s">
        <v>40</v>
      </c>
      <c r="G4" s="7">
        <f>DATE(2004,4,15)</f>
        <v>38092</v>
      </c>
      <c r="H4" s="34">
        <v>1.7298611111111111</v>
      </c>
      <c r="I4" s="5" t="s">
        <v>67</v>
      </c>
      <c r="J4" s="7" t="s">
        <v>68</v>
      </c>
      <c r="K4" s="5" t="s">
        <v>43</v>
      </c>
      <c r="L4" s="5" t="s">
        <v>69</v>
      </c>
      <c r="M4" s="5" t="s">
        <v>45</v>
      </c>
      <c r="N4" s="5" t="s">
        <v>70</v>
      </c>
      <c r="O4" s="5" t="s">
        <v>71</v>
      </c>
      <c r="P4" s="7" t="s">
        <v>72</v>
      </c>
      <c r="Q4" s="7" t="s">
        <v>48</v>
      </c>
      <c r="R4" s="7" t="s">
        <v>49</v>
      </c>
      <c r="S4" s="5">
        <v>0</v>
      </c>
      <c r="T4" s="36">
        <v>0</v>
      </c>
      <c r="U4" s="5">
        <v>0</v>
      </c>
      <c r="V4" s="36">
        <v>0</v>
      </c>
      <c r="W4" s="5">
        <v>0</v>
      </c>
      <c r="X4" s="5">
        <v>0</v>
      </c>
      <c r="Y4" s="5">
        <v>0</v>
      </c>
      <c r="Z4" s="36">
        <v>0</v>
      </c>
      <c r="AA4" s="5">
        <v>0</v>
      </c>
      <c r="AB4" s="5">
        <v>0</v>
      </c>
      <c r="AC4" s="5">
        <v>0</v>
      </c>
      <c r="AD4" s="5">
        <v>0</v>
      </c>
      <c r="AE4" s="7" t="s">
        <v>73</v>
      </c>
      <c r="AF4" s="7" t="s">
        <v>74</v>
      </c>
      <c r="AG4" s="7" t="s">
        <v>51</v>
      </c>
      <c r="AH4" s="7">
        <v>38103</v>
      </c>
      <c r="AI4" s="5">
        <v>2</v>
      </c>
      <c r="AJ4" s="7" t="s">
        <v>75</v>
      </c>
      <c r="AK4" s="7" t="s">
        <v>50</v>
      </c>
    </row>
    <row r="5" spans="1:37" ht="36.75" customHeight="1" x14ac:dyDescent="0.35">
      <c r="A5" s="5"/>
      <c r="B5" s="5" t="s">
        <v>37</v>
      </c>
      <c r="C5" s="73" t="str">
        <f t="shared" si="0"/>
        <v>Closed</v>
      </c>
      <c r="D5" s="45" t="s">
        <v>76</v>
      </c>
      <c r="E5" s="54" t="s">
        <v>77</v>
      </c>
      <c r="F5" s="5" t="s">
        <v>40</v>
      </c>
      <c r="G5" s="10">
        <f>DATE(2004,5,11)</f>
        <v>38118</v>
      </c>
      <c r="H5" s="35">
        <v>1.5395833333333333</v>
      </c>
      <c r="I5" s="5" t="s">
        <v>55</v>
      </c>
      <c r="J5" s="10" t="s">
        <v>78</v>
      </c>
      <c r="K5" s="5" t="s">
        <v>43</v>
      </c>
      <c r="L5" s="5" t="s">
        <v>79</v>
      </c>
      <c r="M5" s="5" t="s">
        <v>45</v>
      </c>
      <c r="N5" s="5" t="s">
        <v>80</v>
      </c>
      <c r="O5" s="5" t="s">
        <v>59</v>
      </c>
      <c r="P5" s="10" t="s">
        <v>60</v>
      </c>
      <c r="Q5" s="10" t="s">
        <v>48</v>
      </c>
      <c r="R5" s="10" t="s">
        <v>49</v>
      </c>
      <c r="S5" s="5">
        <v>0</v>
      </c>
      <c r="T5" s="37">
        <v>0</v>
      </c>
      <c r="U5" s="5">
        <v>0</v>
      </c>
      <c r="V5" s="37">
        <v>0</v>
      </c>
      <c r="W5" s="5">
        <v>0</v>
      </c>
      <c r="X5" s="5">
        <v>0</v>
      </c>
      <c r="Y5" s="5">
        <v>0</v>
      </c>
      <c r="Z5" s="37">
        <v>0</v>
      </c>
      <c r="AA5" s="5">
        <v>0</v>
      </c>
      <c r="AB5" s="5">
        <v>0</v>
      </c>
      <c r="AC5" s="5">
        <v>0</v>
      </c>
      <c r="AD5" s="5">
        <v>0</v>
      </c>
      <c r="AE5" s="10" t="s">
        <v>73</v>
      </c>
      <c r="AF5" s="10" t="s">
        <v>81</v>
      </c>
      <c r="AG5" s="10" t="s">
        <v>51</v>
      </c>
      <c r="AH5" s="10" t="s">
        <v>50</v>
      </c>
      <c r="AI5" s="5">
        <v>0</v>
      </c>
      <c r="AJ5" s="10" t="s">
        <v>82</v>
      </c>
      <c r="AK5" s="10" t="s">
        <v>50</v>
      </c>
    </row>
    <row r="6" spans="1:37" ht="36.75" customHeight="1" x14ac:dyDescent="0.35">
      <c r="A6" s="5"/>
      <c r="B6" s="5" t="s">
        <v>37</v>
      </c>
      <c r="C6" s="73" t="str">
        <f t="shared" si="0"/>
        <v>Closed</v>
      </c>
      <c r="D6" s="45" t="s">
        <v>83</v>
      </c>
      <c r="E6" s="54" t="s">
        <v>84</v>
      </c>
      <c r="F6" s="5" t="s">
        <v>54</v>
      </c>
      <c r="G6" s="10">
        <f>DATE(2004,5,21)</f>
        <v>38128</v>
      </c>
      <c r="H6" s="35">
        <v>1.7743055555555554</v>
      </c>
      <c r="I6" s="5" t="s">
        <v>85</v>
      </c>
      <c r="J6" s="10" t="s">
        <v>86</v>
      </c>
      <c r="K6" s="5" t="s">
        <v>57</v>
      </c>
      <c r="L6" s="5" t="s">
        <v>87</v>
      </c>
      <c r="M6" s="5" t="s">
        <v>45</v>
      </c>
      <c r="N6" s="5">
        <v>0</v>
      </c>
      <c r="O6" s="5" t="s">
        <v>59</v>
      </c>
      <c r="P6" s="10" t="s">
        <v>47</v>
      </c>
      <c r="Q6" s="10" t="s">
        <v>88</v>
      </c>
      <c r="R6" s="10" t="s">
        <v>62</v>
      </c>
      <c r="S6" s="5">
        <v>0</v>
      </c>
      <c r="T6" s="37">
        <v>0</v>
      </c>
      <c r="U6" s="5">
        <v>0</v>
      </c>
      <c r="V6" s="37">
        <v>0</v>
      </c>
      <c r="W6" s="5">
        <v>0</v>
      </c>
      <c r="X6" s="5">
        <v>0</v>
      </c>
      <c r="Y6" s="5">
        <v>19</v>
      </c>
      <c r="Z6" s="37">
        <v>0</v>
      </c>
      <c r="AA6" s="5">
        <v>0</v>
      </c>
      <c r="AB6" s="5">
        <v>0</v>
      </c>
      <c r="AC6" s="5">
        <v>0</v>
      </c>
      <c r="AD6" s="5">
        <v>19</v>
      </c>
      <c r="AE6" s="10" t="s">
        <v>50</v>
      </c>
      <c r="AF6" s="10" t="s">
        <v>89</v>
      </c>
      <c r="AG6" s="10" t="s">
        <v>51</v>
      </c>
      <c r="AH6" s="10" t="s">
        <v>50</v>
      </c>
      <c r="AI6" s="5">
        <v>4</v>
      </c>
      <c r="AJ6" s="10" t="s">
        <v>50</v>
      </c>
      <c r="AK6" s="10" t="s">
        <v>50</v>
      </c>
    </row>
    <row r="7" spans="1:37" ht="36.75" customHeight="1" x14ac:dyDescent="0.35">
      <c r="A7" s="5"/>
      <c r="B7" s="5" t="s">
        <v>37</v>
      </c>
      <c r="C7" s="73" t="str">
        <f t="shared" si="0"/>
        <v>Closed</v>
      </c>
      <c r="D7" s="45" t="s">
        <v>90</v>
      </c>
      <c r="E7" s="54" t="s">
        <v>91</v>
      </c>
      <c r="F7" s="5" t="s">
        <v>40</v>
      </c>
      <c r="G7" s="10">
        <f>DATE(2004,7,30)</f>
        <v>38198</v>
      </c>
      <c r="H7" s="35">
        <v>1.6333333333333333</v>
      </c>
      <c r="I7" s="5" t="s">
        <v>55</v>
      </c>
      <c r="J7" s="10" t="s">
        <v>78</v>
      </c>
      <c r="K7" s="5" t="s">
        <v>43</v>
      </c>
      <c r="L7" s="5" t="s">
        <v>92</v>
      </c>
      <c r="M7" s="5" t="s">
        <v>45</v>
      </c>
      <c r="N7" s="5">
        <v>0</v>
      </c>
      <c r="O7" s="5" t="s">
        <v>59</v>
      </c>
      <c r="P7" s="10" t="s">
        <v>60</v>
      </c>
      <c r="Q7" s="10" t="s">
        <v>48</v>
      </c>
      <c r="R7" s="10" t="s">
        <v>49</v>
      </c>
      <c r="S7" s="5">
        <v>0</v>
      </c>
      <c r="T7" s="37" t="s">
        <v>50</v>
      </c>
      <c r="U7" s="5">
        <v>0</v>
      </c>
      <c r="V7" s="37" t="s">
        <v>50</v>
      </c>
      <c r="W7" s="5">
        <v>0</v>
      </c>
      <c r="X7" s="5">
        <v>0</v>
      </c>
      <c r="Y7" s="5">
        <v>0</v>
      </c>
      <c r="Z7" s="37" t="s">
        <v>50</v>
      </c>
      <c r="AA7" s="5">
        <v>0</v>
      </c>
      <c r="AB7" s="5">
        <v>0</v>
      </c>
      <c r="AC7" s="5">
        <v>0</v>
      </c>
      <c r="AD7" s="5">
        <v>0</v>
      </c>
      <c r="AE7" s="10" t="s">
        <v>50</v>
      </c>
      <c r="AF7" s="10" t="s">
        <v>93</v>
      </c>
      <c r="AG7" s="10" t="s">
        <v>51</v>
      </c>
      <c r="AH7" s="10" t="s">
        <v>50</v>
      </c>
      <c r="AI7" s="5">
        <v>1</v>
      </c>
      <c r="AJ7" s="10" t="s">
        <v>50</v>
      </c>
      <c r="AK7" s="10" t="s">
        <v>50</v>
      </c>
    </row>
    <row r="8" spans="1:37" ht="36.75" customHeight="1" x14ac:dyDescent="0.35">
      <c r="A8" s="5"/>
      <c r="B8" s="5" t="s">
        <v>37</v>
      </c>
      <c r="C8" s="73" t="str">
        <f t="shared" si="0"/>
        <v>Closed</v>
      </c>
      <c r="D8" s="45" t="s">
        <v>94</v>
      </c>
      <c r="E8" s="54" t="s">
        <v>95</v>
      </c>
      <c r="F8" s="5" t="s">
        <v>96</v>
      </c>
      <c r="G8" s="10">
        <f>DATE(2004,11,24)</f>
        <v>38315</v>
      </c>
      <c r="H8" s="35">
        <v>1.7131944444444445</v>
      </c>
      <c r="I8" s="5" t="s">
        <v>97</v>
      </c>
      <c r="J8" s="10" t="s">
        <v>98</v>
      </c>
      <c r="K8" s="5" t="s">
        <v>99</v>
      </c>
      <c r="L8" s="5" t="s">
        <v>100</v>
      </c>
      <c r="M8" s="5" t="s">
        <v>45</v>
      </c>
      <c r="N8" s="5">
        <v>0</v>
      </c>
      <c r="O8" s="5" t="s">
        <v>46</v>
      </c>
      <c r="P8" s="10" t="s">
        <v>47</v>
      </c>
      <c r="Q8" s="10" t="s">
        <v>101</v>
      </c>
      <c r="R8" s="10" t="s">
        <v>102</v>
      </c>
      <c r="S8" s="5">
        <v>0</v>
      </c>
      <c r="T8" s="37" t="s">
        <v>50</v>
      </c>
      <c r="U8" s="5">
        <v>0</v>
      </c>
      <c r="V8" s="37" t="s">
        <v>50</v>
      </c>
      <c r="W8" s="5">
        <v>0</v>
      </c>
      <c r="X8" s="5">
        <v>0</v>
      </c>
      <c r="Y8" s="5">
        <v>0</v>
      </c>
      <c r="Z8" s="37" t="s">
        <v>50</v>
      </c>
      <c r="AA8" s="5">
        <v>0</v>
      </c>
      <c r="AB8" s="5">
        <v>0</v>
      </c>
      <c r="AC8" s="5">
        <v>0</v>
      </c>
      <c r="AD8" s="5">
        <v>0</v>
      </c>
      <c r="AE8" s="10" t="s">
        <v>50</v>
      </c>
      <c r="AF8" s="10" t="s">
        <v>50</v>
      </c>
      <c r="AG8" s="10" t="s">
        <v>51</v>
      </c>
      <c r="AH8" s="10" t="s">
        <v>50</v>
      </c>
      <c r="AI8" s="5">
        <v>0</v>
      </c>
      <c r="AJ8" s="10" t="s">
        <v>50</v>
      </c>
      <c r="AK8" s="10" t="s">
        <v>50</v>
      </c>
    </row>
    <row r="9" spans="1:37" ht="36.75" customHeight="1" x14ac:dyDescent="0.35">
      <c r="A9" s="5"/>
      <c r="B9" s="5" t="s">
        <v>37</v>
      </c>
      <c r="C9" s="73" t="str">
        <f t="shared" si="0"/>
        <v>Closed</v>
      </c>
      <c r="D9" s="45" t="s">
        <v>103</v>
      </c>
      <c r="E9" s="54" t="s">
        <v>104</v>
      </c>
      <c r="F9" s="5" t="s">
        <v>105</v>
      </c>
      <c r="G9" s="10">
        <f>DATE(2005,1,1)</f>
        <v>38353</v>
      </c>
      <c r="H9" s="35">
        <v>1.4236111111111112</v>
      </c>
      <c r="I9" s="5" t="s">
        <v>106</v>
      </c>
      <c r="J9" s="10" t="s">
        <v>107</v>
      </c>
      <c r="K9" s="5" t="s">
        <v>108</v>
      </c>
      <c r="L9" s="5" t="s">
        <v>109</v>
      </c>
      <c r="M9" s="5" t="s">
        <v>110</v>
      </c>
      <c r="N9" s="5">
        <v>0</v>
      </c>
      <c r="O9" s="5" t="s">
        <v>67</v>
      </c>
      <c r="P9" s="10" t="s">
        <v>67</v>
      </c>
      <c r="Q9" s="10" t="s">
        <v>111</v>
      </c>
      <c r="R9" s="10" t="s">
        <v>112</v>
      </c>
      <c r="S9" s="5">
        <v>0</v>
      </c>
      <c r="T9" s="37" t="s">
        <v>50</v>
      </c>
      <c r="U9" s="5">
        <v>0</v>
      </c>
      <c r="V9" s="37" t="s">
        <v>50</v>
      </c>
      <c r="W9" s="5">
        <v>0</v>
      </c>
      <c r="X9" s="5">
        <v>0</v>
      </c>
      <c r="Y9" s="5">
        <v>0</v>
      </c>
      <c r="Z9" s="37" t="s">
        <v>50</v>
      </c>
      <c r="AA9" s="5">
        <v>0</v>
      </c>
      <c r="AB9" s="5">
        <v>0</v>
      </c>
      <c r="AC9" s="5">
        <v>0</v>
      </c>
      <c r="AD9" s="5">
        <v>0</v>
      </c>
      <c r="AE9" s="10" t="s">
        <v>50</v>
      </c>
      <c r="AF9" s="10" t="s">
        <v>113</v>
      </c>
      <c r="AG9" s="10" t="s">
        <v>114</v>
      </c>
      <c r="AH9" s="10" t="s">
        <v>50</v>
      </c>
      <c r="AI9" s="5">
        <v>9</v>
      </c>
      <c r="AJ9" s="10" t="s">
        <v>115</v>
      </c>
      <c r="AK9" s="10" t="s">
        <v>116</v>
      </c>
    </row>
    <row r="10" spans="1:37" ht="36.75" customHeight="1" x14ac:dyDescent="0.35">
      <c r="A10" s="5"/>
      <c r="B10" s="5" t="s">
        <v>37</v>
      </c>
      <c r="C10" s="73" t="str">
        <f t="shared" si="0"/>
        <v>Closed</v>
      </c>
      <c r="D10" s="45" t="s">
        <v>117</v>
      </c>
      <c r="E10" s="54" t="s">
        <v>118</v>
      </c>
      <c r="F10" s="5" t="s">
        <v>119</v>
      </c>
      <c r="G10" s="10">
        <f>DATE(2005,2,28)</f>
        <v>38411</v>
      </c>
      <c r="H10" s="35">
        <v>1.5319444444444446</v>
      </c>
      <c r="I10" s="5" t="s">
        <v>55</v>
      </c>
      <c r="J10" s="10" t="s">
        <v>120</v>
      </c>
      <c r="K10" s="5" t="s">
        <v>121</v>
      </c>
      <c r="L10" s="5" t="s">
        <v>122</v>
      </c>
      <c r="M10" s="5" t="s">
        <v>45</v>
      </c>
      <c r="N10" s="5" t="s">
        <v>123</v>
      </c>
      <c r="O10" s="5" t="s">
        <v>59</v>
      </c>
      <c r="P10" s="10" t="s">
        <v>60</v>
      </c>
      <c r="Q10" s="10" t="s">
        <v>124</v>
      </c>
      <c r="R10" s="10" t="s">
        <v>125</v>
      </c>
      <c r="S10" s="5">
        <v>0</v>
      </c>
      <c r="T10" s="37">
        <v>0</v>
      </c>
      <c r="U10" s="5">
        <v>0</v>
      </c>
      <c r="V10" s="37">
        <v>0</v>
      </c>
      <c r="W10" s="5">
        <v>0</v>
      </c>
      <c r="X10" s="5">
        <v>0</v>
      </c>
      <c r="Y10" s="5">
        <v>0</v>
      </c>
      <c r="Z10" s="37">
        <v>0</v>
      </c>
      <c r="AA10" s="5">
        <v>0</v>
      </c>
      <c r="AB10" s="5">
        <v>0</v>
      </c>
      <c r="AC10" s="5">
        <v>0</v>
      </c>
      <c r="AD10" s="5">
        <v>0</v>
      </c>
      <c r="AE10" s="10" t="s">
        <v>126</v>
      </c>
      <c r="AF10" s="10" t="s">
        <v>127</v>
      </c>
      <c r="AG10" s="10" t="s">
        <v>51</v>
      </c>
      <c r="AH10" s="10">
        <v>39266</v>
      </c>
      <c r="AI10" s="5">
        <v>7</v>
      </c>
      <c r="AJ10" s="10" t="s">
        <v>128</v>
      </c>
      <c r="AK10" s="10" t="s">
        <v>129</v>
      </c>
    </row>
    <row r="11" spans="1:37" ht="36.75" customHeight="1" x14ac:dyDescent="0.35">
      <c r="A11" s="5"/>
      <c r="B11" s="5" t="s">
        <v>37</v>
      </c>
      <c r="C11" s="73" t="str">
        <f t="shared" si="0"/>
        <v>Closed</v>
      </c>
      <c r="D11" s="45" t="s">
        <v>130</v>
      </c>
      <c r="E11" s="54" t="s">
        <v>131</v>
      </c>
      <c r="F11" s="5" t="s">
        <v>40</v>
      </c>
      <c r="G11" s="10">
        <f>DATE(2005,3,10)</f>
        <v>38421</v>
      </c>
      <c r="H11" s="35">
        <v>1.7756944444444445</v>
      </c>
      <c r="I11" s="5" t="s">
        <v>97</v>
      </c>
      <c r="J11" s="10" t="s">
        <v>132</v>
      </c>
      <c r="K11" s="5" t="s">
        <v>43</v>
      </c>
      <c r="L11" s="5" t="s">
        <v>133</v>
      </c>
      <c r="M11" s="5" t="s">
        <v>45</v>
      </c>
      <c r="N11" s="5">
        <v>0</v>
      </c>
      <c r="O11" s="5" t="s">
        <v>46</v>
      </c>
      <c r="P11" s="10" t="s">
        <v>72</v>
      </c>
      <c r="Q11" s="10" t="s">
        <v>48</v>
      </c>
      <c r="R11" s="10" t="s">
        <v>49</v>
      </c>
      <c r="S11" s="5">
        <v>0</v>
      </c>
      <c r="T11" s="37" t="s">
        <v>50</v>
      </c>
      <c r="U11" s="5">
        <v>0</v>
      </c>
      <c r="V11" s="37" t="s">
        <v>50</v>
      </c>
      <c r="W11" s="5">
        <v>0</v>
      </c>
      <c r="X11" s="5">
        <v>0</v>
      </c>
      <c r="Y11" s="5">
        <v>0</v>
      </c>
      <c r="Z11" s="37" t="s">
        <v>50</v>
      </c>
      <c r="AA11" s="5">
        <v>0</v>
      </c>
      <c r="AB11" s="5">
        <v>0</v>
      </c>
      <c r="AC11" s="5">
        <v>0</v>
      </c>
      <c r="AD11" s="5">
        <v>0</v>
      </c>
      <c r="AE11" s="10" t="s">
        <v>50</v>
      </c>
      <c r="AF11" s="10" t="s">
        <v>134</v>
      </c>
      <c r="AG11" s="10" t="s">
        <v>51</v>
      </c>
      <c r="AH11" s="10" t="s">
        <v>50</v>
      </c>
      <c r="AI11" s="5">
        <v>0</v>
      </c>
      <c r="AJ11" s="10" t="s">
        <v>50</v>
      </c>
      <c r="AK11" s="10" t="s">
        <v>50</v>
      </c>
    </row>
    <row r="12" spans="1:37" ht="36.75" customHeight="1" x14ac:dyDescent="0.35">
      <c r="A12" s="5"/>
      <c r="B12" s="5" t="s">
        <v>37</v>
      </c>
      <c r="C12" s="73" t="str">
        <f t="shared" si="0"/>
        <v>Closed</v>
      </c>
      <c r="D12" s="45" t="s">
        <v>135</v>
      </c>
      <c r="E12" s="54" t="s">
        <v>136</v>
      </c>
      <c r="F12" s="5" t="s">
        <v>40</v>
      </c>
      <c r="G12" s="10">
        <f>DATE(2005,4,20)</f>
        <v>38462</v>
      </c>
      <c r="H12" s="35">
        <v>1.6694444444444443</v>
      </c>
      <c r="I12" s="5" t="s">
        <v>137</v>
      </c>
      <c r="J12" s="10" t="s">
        <v>138</v>
      </c>
      <c r="K12" s="5" t="s">
        <v>43</v>
      </c>
      <c r="L12" s="5" t="s">
        <v>139</v>
      </c>
      <c r="M12" s="5" t="s">
        <v>45</v>
      </c>
      <c r="N12" s="5" t="s">
        <v>70</v>
      </c>
      <c r="O12" s="5" t="s">
        <v>59</v>
      </c>
      <c r="P12" s="10" t="s">
        <v>47</v>
      </c>
      <c r="Q12" s="10" t="s">
        <v>48</v>
      </c>
      <c r="R12" s="10" t="s">
        <v>49</v>
      </c>
      <c r="S12" s="5">
        <v>0</v>
      </c>
      <c r="T12" s="37">
        <v>0</v>
      </c>
      <c r="U12" s="5">
        <v>0</v>
      </c>
      <c r="V12" s="37">
        <v>0</v>
      </c>
      <c r="W12" s="5">
        <v>0</v>
      </c>
      <c r="X12" s="5">
        <v>0</v>
      </c>
      <c r="Y12" s="5">
        <v>0</v>
      </c>
      <c r="Z12" s="37">
        <v>0</v>
      </c>
      <c r="AA12" s="5">
        <v>0</v>
      </c>
      <c r="AB12" s="5">
        <v>0</v>
      </c>
      <c r="AC12" s="5">
        <v>0</v>
      </c>
      <c r="AD12" s="5">
        <v>0</v>
      </c>
      <c r="AE12" s="10" t="s">
        <v>73</v>
      </c>
      <c r="AF12" s="10" t="s">
        <v>140</v>
      </c>
      <c r="AG12" s="10" t="s">
        <v>51</v>
      </c>
      <c r="AH12" s="10">
        <v>38468</v>
      </c>
      <c r="AI12" s="5">
        <v>1</v>
      </c>
      <c r="AJ12" s="10" t="s">
        <v>141</v>
      </c>
      <c r="AK12" s="10" t="s">
        <v>50</v>
      </c>
    </row>
    <row r="13" spans="1:37" ht="36.75" customHeight="1" x14ac:dyDescent="0.35">
      <c r="A13" s="5"/>
      <c r="B13" s="5" t="s">
        <v>37</v>
      </c>
      <c r="C13" s="73" t="str">
        <f t="shared" si="0"/>
        <v>Closed</v>
      </c>
      <c r="D13" s="45" t="s">
        <v>142</v>
      </c>
      <c r="E13" s="54" t="s">
        <v>143</v>
      </c>
      <c r="F13" s="5" t="s">
        <v>105</v>
      </c>
      <c r="G13" s="10">
        <f>DATE(2005,4,20)</f>
        <v>38462</v>
      </c>
      <c r="H13" s="35">
        <v>1.1875</v>
      </c>
      <c r="I13" s="5" t="s">
        <v>41</v>
      </c>
      <c r="J13" s="10" t="s">
        <v>144</v>
      </c>
      <c r="K13" s="5" t="s">
        <v>108</v>
      </c>
      <c r="L13" s="5" t="s">
        <v>145</v>
      </c>
      <c r="M13" s="5" t="s">
        <v>45</v>
      </c>
      <c r="N13" s="5">
        <v>0</v>
      </c>
      <c r="O13" s="5" t="s">
        <v>59</v>
      </c>
      <c r="P13" s="10" t="s">
        <v>146</v>
      </c>
      <c r="Q13" s="10" t="s">
        <v>147</v>
      </c>
      <c r="R13" s="10" t="s">
        <v>148</v>
      </c>
      <c r="S13" s="5">
        <v>0</v>
      </c>
      <c r="T13" s="37" t="s">
        <v>50</v>
      </c>
      <c r="U13" s="5">
        <v>0</v>
      </c>
      <c r="V13" s="37" t="s">
        <v>50</v>
      </c>
      <c r="W13" s="5">
        <v>0</v>
      </c>
      <c r="X13" s="5">
        <v>0</v>
      </c>
      <c r="Y13" s="5">
        <v>0</v>
      </c>
      <c r="Z13" s="37" t="s">
        <v>50</v>
      </c>
      <c r="AA13" s="5">
        <v>0</v>
      </c>
      <c r="AB13" s="5">
        <v>0</v>
      </c>
      <c r="AC13" s="5">
        <v>0</v>
      </c>
      <c r="AD13" s="5">
        <v>0</v>
      </c>
      <c r="AE13" s="10" t="s">
        <v>50</v>
      </c>
      <c r="AF13" s="10" t="s">
        <v>50</v>
      </c>
      <c r="AG13" s="10" t="s">
        <v>114</v>
      </c>
      <c r="AH13" s="10" t="s">
        <v>50</v>
      </c>
      <c r="AI13" s="5">
        <v>5</v>
      </c>
      <c r="AJ13" s="10" t="s">
        <v>50</v>
      </c>
      <c r="AK13" s="10" t="s">
        <v>50</v>
      </c>
    </row>
    <row r="14" spans="1:37" ht="36.75" customHeight="1" x14ac:dyDescent="0.35">
      <c r="A14" s="5"/>
      <c r="B14" s="5" t="s">
        <v>37</v>
      </c>
      <c r="C14" s="73" t="str">
        <f t="shared" si="0"/>
        <v>Closed</v>
      </c>
      <c r="D14" s="45" t="s">
        <v>149</v>
      </c>
      <c r="E14" s="54" t="s">
        <v>150</v>
      </c>
      <c r="F14" s="5" t="s">
        <v>40</v>
      </c>
      <c r="G14" s="10">
        <f>DATE(2005,4,27)</f>
        <v>38469</v>
      </c>
      <c r="H14" s="35">
        <v>1.0743055555555556</v>
      </c>
      <c r="I14" s="5" t="s">
        <v>55</v>
      </c>
      <c r="J14" s="10" t="s">
        <v>151</v>
      </c>
      <c r="K14" s="5" t="s">
        <v>43</v>
      </c>
      <c r="L14" s="5" t="s">
        <v>152</v>
      </c>
      <c r="M14" s="5" t="s">
        <v>45</v>
      </c>
      <c r="N14" s="5" t="s">
        <v>80</v>
      </c>
      <c r="O14" s="5" t="s">
        <v>59</v>
      </c>
      <c r="P14" s="10" t="s">
        <v>60</v>
      </c>
      <c r="Q14" s="10" t="s">
        <v>48</v>
      </c>
      <c r="R14" s="10" t="s">
        <v>49</v>
      </c>
      <c r="S14" s="5">
        <v>0</v>
      </c>
      <c r="T14" s="37">
        <v>0</v>
      </c>
      <c r="U14" s="5">
        <v>0</v>
      </c>
      <c r="V14" s="37">
        <v>0</v>
      </c>
      <c r="W14" s="5">
        <v>0</v>
      </c>
      <c r="X14" s="5">
        <v>0</v>
      </c>
      <c r="Y14" s="5">
        <v>0</v>
      </c>
      <c r="Z14" s="37">
        <v>0</v>
      </c>
      <c r="AA14" s="5">
        <v>0</v>
      </c>
      <c r="AB14" s="5">
        <v>0</v>
      </c>
      <c r="AC14" s="5">
        <v>0</v>
      </c>
      <c r="AD14" s="5">
        <v>0</v>
      </c>
      <c r="AE14" s="10" t="s">
        <v>73</v>
      </c>
      <c r="AF14" s="10" t="s">
        <v>153</v>
      </c>
      <c r="AG14" s="10" t="s">
        <v>51</v>
      </c>
      <c r="AH14" s="10">
        <v>38471</v>
      </c>
      <c r="AI14" s="5">
        <v>1</v>
      </c>
      <c r="AJ14" s="10" t="s">
        <v>154</v>
      </c>
      <c r="AK14" s="10" t="s">
        <v>155</v>
      </c>
    </row>
    <row r="15" spans="1:37" ht="36.75" customHeight="1" x14ac:dyDescent="0.35">
      <c r="A15" s="5"/>
      <c r="B15" s="5" t="s">
        <v>37</v>
      </c>
      <c r="C15" s="73" t="str">
        <f t="shared" si="0"/>
        <v>Closed</v>
      </c>
      <c r="D15" s="45" t="s">
        <v>156</v>
      </c>
      <c r="E15" s="54" t="s">
        <v>157</v>
      </c>
      <c r="F15" s="5" t="s">
        <v>40</v>
      </c>
      <c r="G15" s="10">
        <f>DATE(2005,4,28)</f>
        <v>38470</v>
      </c>
      <c r="H15" s="35">
        <v>1.5784722222222221</v>
      </c>
      <c r="I15" s="5" t="s">
        <v>55</v>
      </c>
      <c r="J15" s="10" t="s">
        <v>158</v>
      </c>
      <c r="K15" s="5" t="s">
        <v>43</v>
      </c>
      <c r="L15" s="5" t="s">
        <v>159</v>
      </c>
      <c r="M15" s="5" t="s">
        <v>45</v>
      </c>
      <c r="N15" s="5">
        <v>0</v>
      </c>
      <c r="O15" s="5" t="s">
        <v>59</v>
      </c>
      <c r="P15" s="10" t="s">
        <v>60</v>
      </c>
      <c r="Q15" s="10" t="s">
        <v>48</v>
      </c>
      <c r="R15" s="10" t="s">
        <v>49</v>
      </c>
      <c r="S15" s="5">
        <v>0</v>
      </c>
      <c r="T15" s="37" t="s">
        <v>50</v>
      </c>
      <c r="U15" s="5">
        <v>0</v>
      </c>
      <c r="V15" s="37" t="s">
        <v>50</v>
      </c>
      <c r="W15" s="5">
        <v>0</v>
      </c>
      <c r="X15" s="5">
        <v>0</v>
      </c>
      <c r="Y15" s="5">
        <v>0</v>
      </c>
      <c r="Z15" s="37" t="s">
        <v>50</v>
      </c>
      <c r="AA15" s="5">
        <v>0</v>
      </c>
      <c r="AB15" s="5">
        <v>0</v>
      </c>
      <c r="AC15" s="5">
        <v>0</v>
      </c>
      <c r="AD15" s="5">
        <v>0</v>
      </c>
      <c r="AE15" s="10" t="s">
        <v>50</v>
      </c>
      <c r="AF15" s="10" t="s">
        <v>160</v>
      </c>
      <c r="AG15" s="10" t="s">
        <v>51</v>
      </c>
      <c r="AH15" s="10" t="s">
        <v>50</v>
      </c>
      <c r="AI15" s="5">
        <v>0</v>
      </c>
      <c r="AJ15" s="10" t="s">
        <v>50</v>
      </c>
      <c r="AK15" s="10" t="s">
        <v>50</v>
      </c>
    </row>
    <row r="16" spans="1:37" ht="36.75" customHeight="1" x14ac:dyDescent="0.35">
      <c r="A16" s="5"/>
      <c r="B16" s="5" t="s">
        <v>37</v>
      </c>
      <c r="C16" s="73" t="str">
        <f t="shared" si="0"/>
        <v>Closed</v>
      </c>
      <c r="D16" s="45" t="s">
        <v>161</v>
      </c>
      <c r="E16" s="54" t="s">
        <v>162</v>
      </c>
      <c r="F16" s="5" t="s">
        <v>119</v>
      </c>
      <c r="G16" s="10">
        <f>DATE(2005,5,16)</f>
        <v>38488</v>
      </c>
      <c r="H16" s="35">
        <v>1.3333333333333333</v>
      </c>
      <c r="I16" s="5" t="s">
        <v>106</v>
      </c>
      <c r="J16" s="10" t="s">
        <v>163</v>
      </c>
      <c r="K16" s="5" t="s">
        <v>121</v>
      </c>
      <c r="L16" s="5" t="s">
        <v>164</v>
      </c>
      <c r="M16" s="5" t="s">
        <v>110</v>
      </c>
      <c r="N16" s="5" t="s">
        <v>123</v>
      </c>
      <c r="O16" s="5" t="s">
        <v>59</v>
      </c>
      <c r="P16" s="10" t="s">
        <v>146</v>
      </c>
      <c r="Q16" s="10" t="s">
        <v>165</v>
      </c>
      <c r="R16" s="10" t="s">
        <v>166</v>
      </c>
      <c r="S16" s="5">
        <v>0</v>
      </c>
      <c r="T16" s="37">
        <v>0</v>
      </c>
      <c r="U16" s="5">
        <v>0</v>
      </c>
      <c r="V16" s="37">
        <v>0</v>
      </c>
      <c r="W16" s="5">
        <v>0</v>
      </c>
      <c r="X16" s="5">
        <v>0</v>
      </c>
      <c r="Y16" s="5">
        <v>0</v>
      </c>
      <c r="Z16" s="37">
        <v>0</v>
      </c>
      <c r="AA16" s="5">
        <v>0</v>
      </c>
      <c r="AB16" s="5">
        <v>0</v>
      </c>
      <c r="AC16" s="5">
        <v>0</v>
      </c>
      <c r="AD16" s="5">
        <v>0</v>
      </c>
      <c r="AE16" s="10" t="s">
        <v>126</v>
      </c>
      <c r="AF16" s="10" t="s">
        <v>167</v>
      </c>
      <c r="AG16" s="10" t="s">
        <v>51</v>
      </c>
      <c r="AH16" s="10">
        <v>38489</v>
      </c>
      <c r="AI16" s="5">
        <v>5</v>
      </c>
      <c r="AJ16" s="10" t="s">
        <v>168</v>
      </c>
      <c r="AK16" s="10" t="s">
        <v>169</v>
      </c>
    </row>
    <row r="17" spans="1:37" ht="36.75" customHeight="1" x14ac:dyDescent="0.35">
      <c r="A17" s="5"/>
      <c r="B17" s="5" t="s">
        <v>37</v>
      </c>
      <c r="C17" s="73" t="str">
        <f t="shared" si="0"/>
        <v>Closed</v>
      </c>
      <c r="D17" s="45" t="s">
        <v>170</v>
      </c>
      <c r="E17" s="54" t="s">
        <v>171</v>
      </c>
      <c r="F17" s="5" t="s">
        <v>54</v>
      </c>
      <c r="G17" s="10">
        <f>DATE(2005,6,6)</f>
        <v>38509</v>
      </c>
      <c r="H17" s="35">
        <v>1.7736111111111112</v>
      </c>
      <c r="I17" s="5" t="s">
        <v>55</v>
      </c>
      <c r="J17" s="10" t="s">
        <v>172</v>
      </c>
      <c r="K17" s="5" t="s">
        <v>57</v>
      </c>
      <c r="L17" s="5" t="s">
        <v>173</v>
      </c>
      <c r="M17" s="5" t="s">
        <v>45</v>
      </c>
      <c r="N17" s="5">
        <v>0</v>
      </c>
      <c r="O17" s="5" t="s">
        <v>59</v>
      </c>
      <c r="P17" s="10" t="s">
        <v>60</v>
      </c>
      <c r="Q17" s="10" t="s">
        <v>61</v>
      </c>
      <c r="R17" s="10" t="s">
        <v>62</v>
      </c>
      <c r="S17" s="5">
        <v>0</v>
      </c>
      <c r="T17" s="37" t="s">
        <v>50</v>
      </c>
      <c r="U17" s="5">
        <v>0</v>
      </c>
      <c r="V17" s="37" t="s">
        <v>50</v>
      </c>
      <c r="W17" s="5">
        <v>0</v>
      </c>
      <c r="X17" s="5">
        <v>0</v>
      </c>
      <c r="Y17" s="5">
        <v>0</v>
      </c>
      <c r="Z17" s="37" t="s">
        <v>50</v>
      </c>
      <c r="AA17" s="5">
        <v>0</v>
      </c>
      <c r="AB17" s="5">
        <v>0</v>
      </c>
      <c r="AC17" s="5">
        <v>0</v>
      </c>
      <c r="AD17" s="5">
        <v>0</v>
      </c>
      <c r="AE17" s="10" t="s">
        <v>50</v>
      </c>
      <c r="AF17" s="10" t="s">
        <v>174</v>
      </c>
      <c r="AG17" s="10" t="s">
        <v>51</v>
      </c>
      <c r="AH17" s="10" t="s">
        <v>50</v>
      </c>
      <c r="AI17" s="5">
        <v>7</v>
      </c>
      <c r="AJ17" s="10" t="s">
        <v>175</v>
      </c>
      <c r="AK17" s="10" t="s">
        <v>175</v>
      </c>
    </row>
    <row r="18" spans="1:37" ht="36.75" customHeight="1" x14ac:dyDescent="0.35">
      <c r="A18" s="5"/>
      <c r="B18" s="5" t="s">
        <v>37</v>
      </c>
      <c r="C18" s="73" t="str">
        <f t="shared" si="0"/>
        <v>Closed</v>
      </c>
      <c r="D18" s="45" t="s">
        <v>176</v>
      </c>
      <c r="E18" s="54" t="s">
        <v>177</v>
      </c>
      <c r="F18" s="5" t="s">
        <v>178</v>
      </c>
      <c r="G18" s="10">
        <f>DATE(2005,7,2)</f>
        <v>38535</v>
      </c>
      <c r="H18" s="35">
        <v>1.4979166666666666</v>
      </c>
      <c r="I18" s="5" t="s">
        <v>179</v>
      </c>
      <c r="J18" s="10" t="s">
        <v>180</v>
      </c>
      <c r="K18" s="5" t="s">
        <v>181</v>
      </c>
      <c r="L18" s="5" t="s">
        <v>182</v>
      </c>
      <c r="M18" s="5" t="s">
        <v>45</v>
      </c>
      <c r="N18" s="5">
        <v>0</v>
      </c>
      <c r="O18" s="5" t="s">
        <v>46</v>
      </c>
      <c r="P18" s="10" t="s">
        <v>146</v>
      </c>
      <c r="Q18" s="10" t="s">
        <v>183</v>
      </c>
      <c r="R18" s="10" t="s">
        <v>184</v>
      </c>
      <c r="S18" s="5">
        <v>1</v>
      </c>
      <c r="T18" s="37">
        <v>1</v>
      </c>
      <c r="U18" s="5">
        <v>0</v>
      </c>
      <c r="V18" s="37">
        <v>0</v>
      </c>
      <c r="W18" s="5">
        <v>0</v>
      </c>
      <c r="X18" s="5">
        <v>2</v>
      </c>
      <c r="Y18" s="5">
        <v>21</v>
      </c>
      <c r="Z18" s="37">
        <v>0</v>
      </c>
      <c r="AA18" s="5">
        <v>0</v>
      </c>
      <c r="AB18" s="5">
        <v>0</v>
      </c>
      <c r="AC18" s="5">
        <v>0</v>
      </c>
      <c r="AD18" s="5">
        <v>21</v>
      </c>
      <c r="AE18" s="10" t="s">
        <v>50</v>
      </c>
      <c r="AF18" s="10" t="s">
        <v>185</v>
      </c>
      <c r="AG18" s="10" t="s">
        <v>64</v>
      </c>
      <c r="AH18" s="10" t="s">
        <v>50</v>
      </c>
      <c r="AI18" s="5">
        <v>6</v>
      </c>
      <c r="AJ18" s="10" t="s">
        <v>186</v>
      </c>
      <c r="AK18" s="10" t="s">
        <v>187</v>
      </c>
    </row>
    <row r="19" spans="1:37" ht="36.75" customHeight="1" x14ac:dyDescent="0.35">
      <c r="A19" s="5"/>
      <c r="B19" s="5" t="s">
        <v>37</v>
      </c>
      <c r="C19" s="73" t="str">
        <f t="shared" si="0"/>
        <v>Closed</v>
      </c>
      <c r="D19" s="45" t="s">
        <v>188</v>
      </c>
      <c r="E19" s="54" t="s">
        <v>189</v>
      </c>
      <c r="F19" s="5" t="s">
        <v>40</v>
      </c>
      <c r="G19" s="10">
        <f>DATE(2005,7,15)</f>
        <v>38548</v>
      </c>
      <c r="H19" s="35">
        <v>1.03125</v>
      </c>
      <c r="I19" s="5" t="s">
        <v>55</v>
      </c>
      <c r="J19" s="10" t="s">
        <v>190</v>
      </c>
      <c r="K19" s="5" t="s">
        <v>43</v>
      </c>
      <c r="L19" s="5" t="s">
        <v>191</v>
      </c>
      <c r="M19" s="5" t="s">
        <v>45</v>
      </c>
      <c r="N19" s="5">
        <v>0</v>
      </c>
      <c r="O19" s="5" t="s">
        <v>71</v>
      </c>
      <c r="P19" s="10" t="s">
        <v>60</v>
      </c>
      <c r="Q19" s="10" t="s">
        <v>48</v>
      </c>
      <c r="R19" s="10" t="s">
        <v>49</v>
      </c>
      <c r="S19" s="5">
        <v>0</v>
      </c>
      <c r="T19" s="37" t="s">
        <v>50</v>
      </c>
      <c r="U19" s="5">
        <v>0</v>
      </c>
      <c r="V19" s="37" t="s">
        <v>50</v>
      </c>
      <c r="W19" s="5">
        <v>0</v>
      </c>
      <c r="X19" s="5">
        <v>0</v>
      </c>
      <c r="Y19" s="5">
        <v>0</v>
      </c>
      <c r="Z19" s="37" t="s">
        <v>50</v>
      </c>
      <c r="AA19" s="5">
        <v>0</v>
      </c>
      <c r="AB19" s="5">
        <v>0</v>
      </c>
      <c r="AC19" s="5">
        <v>0</v>
      </c>
      <c r="AD19" s="5">
        <v>0</v>
      </c>
      <c r="AE19" s="10" t="s">
        <v>50</v>
      </c>
      <c r="AF19" s="10" t="s">
        <v>192</v>
      </c>
      <c r="AG19" s="10" t="s">
        <v>51</v>
      </c>
      <c r="AH19" s="10" t="s">
        <v>50</v>
      </c>
      <c r="AI19" s="5">
        <v>0</v>
      </c>
      <c r="AJ19" s="10" t="s">
        <v>50</v>
      </c>
      <c r="AK19" s="10" t="s">
        <v>50</v>
      </c>
    </row>
    <row r="20" spans="1:37" ht="36.75" customHeight="1" x14ac:dyDescent="0.35">
      <c r="A20" s="5"/>
      <c r="B20" s="5" t="s">
        <v>37</v>
      </c>
      <c r="C20" s="73" t="str">
        <f t="shared" si="0"/>
        <v>Closed</v>
      </c>
      <c r="D20" s="45" t="s">
        <v>193</v>
      </c>
      <c r="E20" s="54" t="s">
        <v>194</v>
      </c>
      <c r="F20" s="5" t="s">
        <v>178</v>
      </c>
      <c r="G20" s="10">
        <f>DATE(2005,7,26)</f>
        <v>38559</v>
      </c>
      <c r="H20" s="35">
        <v>1.4777777777777779</v>
      </c>
      <c r="I20" s="5" t="s">
        <v>179</v>
      </c>
      <c r="J20" s="10" t="s">
        <v>195</v>
      </c>
      <c r="K20" s="5" t="s">
        <v>181</v>
      </c>
      <c r="L20" s="5" t="s">
        <v>196</v>
      </c>
      <c r="M20" s="5" t="s">
        <v>45</v>
      </c>
      <c r="N20" s="5">
        <v>0</v>
      </c>
      <c r="O20" s="5" t="s">
        <v>59</v>
      </c>
      <c r="P20" s="10" t="s">
        <v>197</v>
      </c>
      <c r="Q20" s="10" t="s">
        <v>198</v>
      </c>
      <c r="R20" s="10" t="s">
        <v>184</v>
      </c>
      <c r="S20" s="5">
        <v>0</v>
      </c>
      <c r="T20" s="37">
        <v>0</v>
      </c>
      <c r="U20" s="5">
        <v>0</v>
      </c>
      <c r="V20" s="37">
        <v>0</v>
      </c>
      <c r="W20" s="5">
        <v>0</v>
      </c>
      <c r="X20" s="5">
        <v>0</v>
      </c>
      <c r="Y20" s="5">
        <v>4</v>
      </c>
      <c r="Z20" s="37">
        <v>0</v>
      </c>
      <c r="AA20" s="5">
        <v>0</v>
      </c>
      <c r="AB20" s="5">
        <v>0</v>
      </c>
      <c r="AC20" s="5">
        <v>0</v>
      </c>
      <c r="AD20" s="5">
        <v>4</v>
      </c>
      <c r="AE20" s="10" t="s">
        <v>50</v>
      </c>
      <c r="AF20" s="10" t="s">
        <v>199</v>
      </c>
      <c r="AG20" s="10" t="s">
        <v>51</v>
      </c>
      <c r="AH20" s="10" t="s">
        <v>50</v>
      </c>
      <c r="AI20" s="5">
        <v>3</v>
      </c>
      <c r="AJ20" s="10" t="s">
        <v>50</v>
      </c>
      <c r="AK20" s="10" t="s">
        <v>50</v>
      </c>
    </row>
    <row r="21" spans="1:37" ht="36.75" customHeight="1" x14ac:dyDescent="0.35">
      <c r="A21" s="5"/>
      <c r="B21" s="5" t="s">
        <v>37</v>
      </c>
      <c r="C21" s="73" t="str">
        <f t="shared" si="0"/>
        <v>Closed</v>
      </c>
      <c r="D21" s="45" t="s">
        <v>200</v>
      </c>
      <c r="E21" s="54" t="s">
        <v>201</v>
      </c>
      <c r="F21" s="5" t="s">
        <v>40</v>
      </c>
      <c r="G21" s="10">
        <f>DATE(2005,8,30)</f>
        <v>38594</v>
      </c>
      <c r="H21" s="35">
        <v>1.3798611111111112</v>
      </c>
      <c r="I21" s="5" t="s">
        <v>55</v>
      </c>
      <c r="J21" s="10" t="s">
        <v>202</v>
      </c>
      <c r="K21" s="5" t="s">
        <v>43</v>
      </c>
      <c r="L21" s="5" t="s">
        <v>203</v>
      </c>
      <c r="M21" s="5" t="s">
        <v>45</v>
      </c>
      <c r="N21" s="5" t="s">
        <v>80</v>
      </c>
      <c r="O21" s="5" t="s">
        <v>71</v>
      </c>
      <c r="P21" s="10" t="s">
        <v>72</v>
      </c>
      <c r="Q21" s="10" t="s">
        <v>48</v>
      </c>
      <c r="R21" s="10" t="s">
        <v>49</v>
      </c>
      <c r="S21" s="5">
        <v>0</v>
      </c>
      <c r="T21" s="37">
        <v>0</v>
      </c>
      <c r="U21" s="5">
        <v>0</v>
      </c>
      <c r="V21" s="37">
        <v>0</v>
      </c>
      <c r="W21" s="5">
        <v>0</v>
      </c>
      <c r="X21" s="5">
        <v>0</v>
      </c>
      <c r="Y21" s="5">
        <v>0</v>
      </c>
      <c r="Z21" s="37">
        <v>0</v>
      </c>
      <c r="AA21" s="5">
        <v>0</v>
      </c>
      <c r="AB21" s="5">
        <v>0</v>
      </c>
      <c r="AC21" s="5">
        <v>0</v>
      </c>
      <c r="AD21" s="5">
        <v>0</v>
      </c>
      <c r="AE21" s="10" t="s">
        <v>73</v>
      </c>
      <c r="AF21" s="10" t="s">
        <v>204</v>
      </c>
      <c r="AG21" s="10" t="s">
        <v>51</v>
      </c>
      <c r="AH21" s="10">
        <v>38595</v>
      </c>
      <c r="AI21" s="5">
        <v>3</v>
      </c>
      <c r="AJ21" s="10" t="s">
        <v>205</v>
      </c>
      <c r="AK21" s="10" t="s">
        <v>50</v>
      </c>
    </row>
    <row r="22" spans="1:37" ht="36.75" customHeight="1" x14ac:dyDescent="0.35">
      <c r="A22" s="5"/>
      <c r="B22" s="5" t="s">
        <v>37</v>
      </c>
      <c r="C22" s="73" t="str">
        <f t="shared" si="0"/>
        <v>Closed</v>
      </c>
      <c r="D22" s="45" t="s">
        <v>206</v>
      </c>
      <c r="E22" s="54" t="s">
        <v>207</v>
      </c>
      <c r="F22" s="5" t="s">
        <v>105</v>
      </c>
      <c r="G22" s="10">
        <f>DATE(2005,8,31)</f>
        <v>38595</v>
      </c>
      <c r="H22" s="35">
        <v>1.7034722222222221</v>
      </c>
      <c r="I22" s="5" t="s">
        <v>137</v>
      </c>
      <c r="J22" s="10" t="s">
        <v>208</v>
      </c>
      <c r="K22" s="5" t="s">
        <v>108</v>
      </c>
      <c r="L22" s="5" t="s">
        <v>209</v>
      </c>
      <c r="M22" s="5" t="s">
        <v>45</v>
      </c>
      <c r="N22" s="5">
        <v>0</v>
      </c>
      <c r="O22" s="5" t="s">
        <v>46</v>
      </c>
      <c r="P22" s="10" t="s">
        <v>146</v>
      </c>
      <c r="Q22" s="10" t="s">
        <v>210</v>
      </c>
      <c r="R22" s="10" t="s">
        <v>148</v>
      </c>
      <c r="S22" s="5">
        <v>0</v>
      </c>
      <c r="T22" s="37" t="s">
        <v>50</v>
      </c>
      <c r="U22" s="5">
        <v>0</v>
      </c>
      <c r="V22" s="37" t="s">
        <v>50</v>
      </c>
      <c r="W22" s="5">
        <v>0</v>
      </c>
      <c r="X22" s="5">
        <v>0</v>
      </c>
      <c r="Y22" s="5">
        <v>0</v>
      </c>
      <c r="Z22" s="37" t="s">
        <v>50</v>
      </c>
      <c r="AA22" s="5">
        <v>0</v>
      </c>
      <c r="AB22" s="5">
        <v>0</v>
      </c>
      <c r="AC22" s="5">
        <v>0</v>
      </c>
      <c r="AD22" s="5">
        <v>0</v>
      </c>
      <c r="AE22" s="10" t="s">
        <v>50</v>
      </c>
      <c r="AF22" s="10" t="s">
        <v>211</v>
      </c>
      <c r="AG22" s="10" t="s">
        <v>114</v>
      </c>
      <c r="AH22" s="10" t="s">
        <v>50</v>
      </c>
      <c r="AI22" s="5">
        <v>5</v>
      </c>
      <c r="AJ22" s="10" t="s">
        <v>50</v>
      </c>
      <c r="AK22" s="10" t="s">
        <v>50</v>
      </c>
    </row>
    <row r="23" spans="1:37" ht="36.75" customHeight="1" x14ac:dyDescent="0.35">
      <c r="A23" s="5"/>
      <c r="B23" s="5" t="s">
        <v>37</v>
      </c>
      <c r="C23" s="73" t="str">
        <f t="shared" si="0"/>
        <v>Closed</v>
      </c>
      <c r="D23" s="45" t="s">
        <v>212</v>
      </c>
      <c r="E23" s="54" t="s">
        <v>213</v>
      </c>
      <c r="F23" s="5" t="s">
        <v>214</v>
      </c>
      <c r="G23" s="10">
        <f>DATE(2005,10,18)</f>
        <v>38643</v>
      </c>
      <c r="H23" s="35">
        <v>1.2159722222222222</v>
      </c>
      <c r="I23" s="5" t="s">
        <v>55</v>
      </c>
      <c r="J23" s="10" t="s">
        <v>215</v>
      </c>
      <c r="K23" s="5" t="s">
        <v>216</v>
      </c>
      <c r="L23" s="5" t="s">
        <v>217</v>
      </c>
      <c r="M23" s="5" t="s">
        <v>45</v>
      </c>
      <c r="N23" s="5">
        <v>0</v>
      </c>
      <c r="O23" s="5" t="s">
        <v>46</v>
      </c>
      <c r="P23" s="10" t="s">
        <v>60</v>
      </c>
      <c r="Q23" s="10" t="s">
        <v>218</v>
      </c>
      <c r="R23" s="10" t="s">
        <v>219</v>
      </c>
      <c r="S23" s="5">
        <v>0</v>
      </c>
      <c r="T23" s="37" t="s">
        <v>50</v>
      </c>
      <c r="U23" s="5">
        <v>0</v>
      </c>
      <c r="V23" s="37" t="s">
        <v>50</v>
      </c>
      <c r="W23" s="5">
        <v>0</v>
      </c>
      <c r="X23" s="5">
        <v>0</v>
      </c>
      <c r="Y23" s="5">
        <v>0</v>
      </c>
      <c r="Z23" s="37" t="s">
        <v>50</v>
      </c>
      <c r="AA23" s="5">
        <v>0</v>
      </c>
      <c r="AB23" s="5">
        <v>0</v>
      </c>
      <c r="AC23" s="5">
        <v>0</v>
      </c>
      <c r="AD23" s="5">
        <v>0</v>
      </c>
      <c r="AE23" s="10" t="s">
        <v>50</v>
      </c>
      <c r="AF23" s="10" t="s">
        <v>220</v>
      </c>
      <c r="AG23" s="10" t="s">
        <v>64</v>
      </c>
      <c r="AH23" s="10" t="s">
        <v>50</v>
      </c>
      <c r="AI23" s="5">
        <v>5</v>
      </c>
      <c r="AJ23" s="10" t="s">
        <v>221</v>
      </c>
      <c r="AK23" s="10" t="s">
        <v>222</v>
      </c>
    </row>
    <row r="24" spans="1:37" ht="36.75" customHeight="1" x14ac:dyDescent="0.35">
      <c r="A24" s="5"/>
      <c r="B24" s="5" t="s">
        <v>37</v>
      </c>
      <c r="C24" s="73" t="str">
        <f t="shared" si="0"/>
        <v>Closed</v>
      </c>
      <c r="D24" s="45" t="s">
        <v>223</v>
      </c>
      <c r="E24" s="54" t="s">
        <v>224</v>
      </c>
      <c r="F24" s="5" t="s">
        <v>214</v>
      </c>
      <c r="G24" s="10">
        <f>DATE(2005,10,19)</f>
        <v>38644</v>
      </c>
      <c r="H24" s="35">
        <v>1.5069444444444444</v>
      </c>
      <c r="I24" s="5" t="s">
        <v>97</v>
      </c>
      <c r="J24" s="10" t="s">
        <v>225</v>
      </c>
      <c r="K24" s="5" t="s">
        <v>216</v>
      </c>
      <c r="L24" s="5" t="s">
        <v>226</v>
      </c>
      <c r="M24" s="5" t="s">
        <v>45</v>
      </c>
      <c r="N24" s="5">
        <v>0</v>
      </c>
      <c r="O24" s="5" t="s">
        <v>46</v>
      </c>
      <c r="P24" s="10" t="s">
        <v>146</v>
      </c>
      <c r="Q24" s="10" t="s">
        <v>227</v>
      </c>
      <c r="R24" s="10" t="s">
        <v>219</v>
      </c>
      <c r="S24" s="5">
        <v>0</v>
      </c>
      <c r="T24" s="37">
        <v>0</v>
      </c>
      <c r="U24" s="5">
        <v>1</v>
      </c>
      <c r="V24" s="37">
        <v>0</v>
      </c>
      <c r="W24" s="5">
        <v>0</v>
      </c>
      <c r="X24" s="5">
        <v>1</v>
      </c>
      <c r="Y24" s="5">
        <v>0</v>
      </c>
      <c r="Z24" s="37">
        <v>0</v>
      </c>
      <c r="AA24" s="5">
        <v>0</v>
      </c>
      <c r="AB24" s="5">
        <v>0</v>
      </c>
      <c r="AC24" s="5">
        <v>0</v>
      </c>
      <c r="AD24" s="5">
        <v>0</v>
      </c>
      <c r="AE24" s="10" t="s">
        <v>50</v>
      </c>
      <c r="AF24" s="10" t="s">
        <v>228</v>
      </c>
      <c r="AG24" s="10" t="s">
        <v>229</v>
      </c>
      <c r="AH24" s="10" t="s">
        <v>50</v>
      </c>
      <c r="AI24" s="5">
        <v>4</v>
      </c>
      <c r="AJ24" s="10" t="s">
        <v>230</v>
      </c>
      <c r="AK24" s="10" t="s">
        <v>231</v>
      </c>
    </row>
    <row r="25" spans="1:37" ht="36.75" customHeight="1" x14ac:dyDescent="0.35">
      <c r="A25" s="5"/>
      <c r="B25" s="5" t="s">
        <v>37</v>
      </c>
      <c r="C25" s="73" t="str">
        <f t="shared" si="0"/>
        <v>Closed</v>
      </c>
      <c r="D25" s="45" t="s">
        <v>232</v>
      </c>
      <c r="E25" s="54" t="s">
        <v>233</v>
      </c>
      <c r="F25" s="5" t="s">
        <v>214</v>
      </c>
      <c r="G25" s="10">
        <f>DATE(2005,10,21)</f>
        <v>38646</v>
      </c>
      <c r="H25" s="35">
        <v>1.4430555555555555</v>
      </c>
      <c r="I25" s="5" t="s">
        <v>55</v>
      </c>
      <c r="J25" s="10" t="s">
        <v>234</v>
      </c>
      <c r="K25" s="5" t="s">
        <v>216</v>
      </c>
      <c r="L25" s="5" t="s">
        <v>235</v>
      </c>
      <c r="M25" s="5" t="s">
        <v>236</v>
      </c>
      <c r="N25" s="5">
        <v>0</v>
      </c>
      <c r="O25" s="5" t="s">
        <v>46</v>
      </c>
      <c r="P25" s="10" t="s">
        <v>67</v>
      </c>
      <c r="Q25" s="10" t="s">
        <v>237</v>
      </c>
      <c r="R25" s="10" t="s">
        <v>238</v>
      </c>
      <c r="S25" s="5">
        <v>0</v>
      </c>
      <c r="T25" s="37" t="s">
        <v>50</v>
      </c>
      <c r="U25" s="5">
        <v>0</v>
      </c>
      <c r="V25" s="37" t="s">
        <v>50</v>
      </c>
      <c r="W25" s="5">
        <v>0</v>
      </c>
      <c r="X25" s="5">
        <v>0</v>
      </c>
      <c r="Y25" s="5">
        <v>0</v>
      </c>
      <c r="Z25" s="37" t="s">
        <v>50</v>
      </c>
      <c r="AA25" s="5">
        <v>0</v>
      </c>
      <c r="AB25" s="5">
        <v>0</v>
      </c>
      <c r="AC25" s="5">
        <v>0</v>
      </c>
      <c r="AD25" s="5">
        <v>0</v>
      </c>
      <c r="AE25" s="10" t="s">
        <v>50</v>
      </c>
      <c r="AF25" s="10" t="s">
        <v>239</v>
      </c>
      <c r="AG25" s="10" t="s">
        <v>229</v>
      </c>
      <c r="AH25" s="10" t="s">
        <v>50</v>
      </c>
      <c r="AI25" s="5">
        <v>4</v>
      </c>
      <c r="AJ25" s="10" t="s">
        <v>240</v>
      </c>
      <c r="AK25" s="10" t="s">
        <v>241</v>
      </c>
    </row>
    <row r="26" spans="1:37" ht="36.75" customHeight="1" x14ac:dyDescent="0.35">
      <c r="A26" s="5"/>
      <c r="B26" s="5" t="s">
        <v>37</v>
      </c>
      <c r="C26" s="73" t="str">
        <f t="shared" si="0"/>
        <v>Closed</v>
      </c>
      <c r="D26" s="45" t="s">
        <v>242</v>
      </c>
      <c r="E26" s="54" t="s">
        <v>243</v>
      </c>
      <c r="F26" s="5" t="s">
        <v>214</v>
      </c>
      <c r="G26" s="10">
        <f>DATE(2005,10,26)</f>
        <v>38651</v>
      </c>
      <c r="H26" s="35">
        <v>1.7368055555555557</v>
      </c>
      <c r="I26" s="5" t="s">
        <v>55</v>
      </c>
      <c r="J26" s="10" t="s">
        <v>244</v>
      </c>
      <c r="K26" s="5" t="s">
        <v>216</v>
      </c>
      <c r="L26" s="5" t="s">
        <v>245</v>
      </c>
      <c r="M26" s="5" t="s">
        <v>45</v>
      </c>
      <c r="N26" s="5">
        <v>0</v>
      </c>
      <c r="O26" s="5" t="s">
        <v>46</v>
      </c>
      <c r="P26" s="10" t="s">
        <v>146</v>
      </c>
      <c r="Q26" s="10" t="s">
        <v>246</v>
      </c>
      <c r="R26" s="10" t="s">
        <v>219</v>
      </c>
      <c r="S26" s="5">
        <v>0</v>
      </c>
      <c r="T26" s="37" t="s">
        <v>50</v>
      </c>
      <c r="U26" s="5">
        <v>0</v>
      </c>
      <c r="V26" s="37" t="s">
        <v>50</v>
      </c>
      <c r="W26" s="5">
        <v>0</v>
      </c>
      <c r="X26" s="5">
        <v>0</v>
      </c>
      <c r="Y26" s="5">
        <v>0</v>
      </c>
      <c r="Z26" s="37" t="s">
        <v>50</v>
      </c>
      <c r="AA26" s="5">
        <v>0</v>
      </c>
      <c r="AB26" s="5">
        <v>0</v>
      </c>
      <c r="AC26" s="5">
        <v>0</v>
      </c>
      <c r="AD26" s="5">
        <v>0</v>
      </c>
      <c r="AE26" s="10" t="s">
        <v>50</v>
      </c>
      <c r="AF26" s="10" t="s">
        <v>247</v>
      </c>
      <c r="AG26" s="10" t="s">
        <v>114</v>
      </c>
      <c r="AH26" s="10" t="s">
        <v>50</v>
      </c>
      <c r="AI26" s="5">
        <v>8</v>
      </c>
      <c r="AJ26" s="10" t="s">
        <v>248</v>
      </c>
      <c r="AK26" s="10" t="s">
        <v>249</v>
      </c>
    </row>
    <row r="27" spans="1:37" ht="36.75" customHeight="1" x14ac:dyDescent="0.35">
      <c r="A27" s="5"/>
      <c r="B27" s="5" t="s">
        <v>37</v>
      </c>
      <c r="C27" s="73" t="str">
        <f t="shared" si="0"/>
        <v>Closed</v>
      </c>
      <c r="D27" s="45" t="s">
        <v>250</v>
      </c>
      <c r="E27" s="54" t="s">
        <v>251</v>
      </c>
      <c r="F27" s="5" t="s">
        <v>214</v>
      </c>
      <c r="G27" s="10">
        <f>DATE(2005,10,27)</f>
        <v>38652</v>
      </c>
      <c r="H27" s="35">
        <v>1.5902777777777777</v>
      </c>
      <c r="I27" s="5" t="s">
        <v>97</v>
      </c>
      <c r="J27" s="10" t="s">
        <v>252</v>
      </c>
      <c r="K27" s="5" t="s">
        <v>216</v>
      </c>
      <c r="L27" s="5" t="s">
        <v>253</v>
      </c>
      <c r="M27" s="5" t="s">
        <v>236</v>
      </c>
      <c r="N27" s="5">
        <v>0</v>
      </c>
      <c r="O27" s="5" t="s">
        <v>46</v>
      </c>
      <c r="P27" s="10" t="s">
        <v>67</v>
      </c>
      <c r="Q27" s="10" t="s">
        <v>254</v>
      </c>
      <c r="R27" s="10" t="s">
        <v>254</v>
      </c>
      <c r="S27" s="5">
        <v>0</v>
      </c>
      <c r="T27" s="37">
        <v>0</v>
      </c>
      <c r="U27" s="5">
        <v>0</v>
      </c>
      <c r="V27" s="37">
        <v>0</v>
      </c>
      <c r="W27" s="5">
        <v>0</v>
      </c>
      <c r="X27" s="5">
        <v>0</v>
      </c>
      <c r="Y27" s="5">
        <v>1</v>
      </c>
      <c r="Z27" s="37">
        <v>0</v>
      </c>
      <c r="AA27" s="5">
        <v>0</v>
      </c>
      <c r="AB27" s="5">
        <v>0</v>
      </c>
      <c r="AC27" s="5">
        <v>0</v>
      </c>
      <c r="AD27" s="5">
        <v>1</v>
      </c>
      <c r="AE27" s="10" t="s">
        <v>50</v>
      </c>
      <c r="AF27" s="10" t="s">
        <v>50</v>
      </c>
      <c r="AG27" s="10" t="s">
        <v>114</v>
      </c>
      <c r="AH27" s="10" t="s">
        <v>50</v>
      </c>
      <c r="AI27" s="5">
        <v>3</v>
      </c>
      <c r="AJ27" s="10" t="s">
        <v>255</v>
      </c>
      <c r="AK27" s="10" t="s">
        <v>256</v>
      </c>
    </row>
    <row r="28" spans="1:37" ht="36.75" customHeight="1" x14ac:dyDescent="0.35">
      <c r="A28" s="5"/>
      <c r="B28" s="5" t="s">
        <v>37</v>
      </c>
      <c r="C28" s="73" t="str">
        <f t="shared" si="0"/>
        <v>Closed</v>
      </c>
      <c r="D28" s="45" t="s">
        <v>257</v>
      </c>
      <c r="E28" s="54" t="s">
        <v>258</v>
      </c>
      <c r="F28" s="5" t="s">
        <v>214</v>
      </c>
      <c r="G28" s="10">
        <f>DATE(2005,10,27)</f>
        <v>38652</v>
      </c>
      <c r="H28" s="35">
        <v>1.3993055555555556</v>
      </c>
      <c r="I28" s="5" t="s">
        <v>259</v>
      </c>
      <c r="J28" s="10" t="s">
        <v>260</v>
      </c>
      <c r="K28" s="5" t="s">
        <v>216</v>
      </c>
      <c r="L28" s="5" t="s">
        <v>261</v>
      </c>
      <c r="M28" s="5" t="s">
        <v>45</v>
      </c>
      <c r="N28" s="5">
        <v>0</v>
      </c>
      <c r="O28" s="5" t="s">
        <v>46</v>
      </c>
      <c r="P28" s="10" t="s">
        <v>146</v>
      </c>
      <c r="Q28" s="10" t="s">
        <v>262</v>
      </c>
      <c r="R28" s="10" t="s">
        <v>219</v>
      </c>
      <c r="S28" s="5">
        <v>0</v>
      </c>
      <c r="T28" s="37">
        <v>1</v>
      </c>
      <c r="U28" s="5">
        <v>0</v>
      </c>
      <c r="V28" s="37">
        <v>0</v>
      </c>
      <c r="W28" s="5">
        <v>0</v>
      </c>
      <c r="X28" s="5">
        <v>1</v>
      </c>
      <c r="Y28" s="5">
        <v>0</v>
      </c>
      <c r="Z28" s="37">
        <v>0</v>
      </c>
      <c r="AA28" s="5">
        <v>0</v>
      </c>
      <c r="AB28" s="5">
        <v>0</v>
      </c>
      <c r="AC28" s="5">
        <v>0</v>
      </c>
      <c r="AD28" s="5">
        <v>0</v>
      </c>
      <c r="AE28" s="10" t="s">
        <v>50</v>
      </c>
      <c r="AF28" s="10" t="s">
        <v>50</v>
      </c>
      <c r="AG28" s="10" t="s">
        <v>64</v>
      </c>
      <c r="AH28" s="10" t="s">
        <v>50</v>
      </c>
      <c r="AI28" s="5">
        <v>9</v>
      </c>
      <c r="AJ28" s="10" t="s">
        <v>263</v>
      </c>
      <c r="AK28" s="10" t="s">
        <v>264</v>
      </c>
    </row>
    <row r="29" spans="1:37" ht="36.75" customHeight="1" x14ac:dyDescent="0.35">
      <c r="A29" s="5"/>
      <c r="B29" s="5" t="s">
        <v>37</v>
      </c>
      <c r="C29" s="73" t="str">
        <f t="shared" si="0"/>
        <v>Closed</v>
      </c>
      <c r="D29" s="45" t="s">
        <v>265</v>
      </c>
      <c r="E29" s="54" t="s">
        <v>266</v>
      </c>
      <c r="F29" s="5" t="s">
        <v>214</v>
      </c>
      <c r="G29" s="10">
        <f>DATE(2005,10,28)</f>
        <v>38653</v>
      </c>
      <c r="H29" s="35">
        <v>1.2291666666666667</v>
      </c>
      <c r="I29" s="5" t="s">
        <v>55</v>
      </c>
      <c r="J29" s="10" t="s">
        <v>267</v>
      </c>
      <c r="K29" s="5" t="s">
        <v>216</v>
      </c>
      <c r="L29" s="5" t="s">
        <v>268</v>
      </c>
      <c r="M29" s="5" t="s">
        <v>45</v>
      </c>
      <c r="N29" s="5">
        <v>0</v>
      </c>
      <c r="O29" s="5" t="s">
        <v>71</v>
      </c>
      <c r="P29" s="10" t="s">
        <v>146</v>
      </c>
      <c r="Q29" s="10" t="s">
        <v>269</v>
      </c>
      <c r="R29" s="10" t="s">
        <v>219</v>
      </c>
      <c r="S29" s="5">
        <v>0</v>
      </c>
      <c r="T29" s="37" t="s">
        <v>50</v>
      </c>
      <c r="U29" s="5">
        <v>0</v>
      </c>
      <c r="V29" s="37" t="s">
        <v>50</v>
      </c>
      <c r="W29" s="5">
        <v>0</v>
      </c>
      <c r="X29" s="5">
        <v>0</v>
      </c>
      <c r="Y29" s="5">
        <v>0</v>
      </c>
      <c r="Z29" s="37" t="s">
        <v>50</v>
      </c>
      <c r="AA29" s="5">
        <v>0</v>
      </c>
      <c r="AB29" s="5">
        <v>0</v>
      </c>
      <c r="AC29" s="5">
        <v>0</v>
      </c>
      <c r="AD29" s="5">
        <v>0</v>
      </c>
      <c r="AE29" s="10" t="s">
        <v>50</v>
      </c>
      <c r="AF29" s="10" t="s">
        <v>270</v>
      </c>
      <c r="AG29" s="10" t="s">
        <v>229</v>
      </c>
      <c r="AH29" s="10" t="s">
        <v>50</v>
      </c>
      <c r="AI29" s="5">
        <v>4</v>
      </c>
      <c r="AJ29" s="10" t="s">
        <v>271</v>
      </c>
      <c r="AK29" s="10" t="s">
        <v>272</v>
      </c>
    </row>
    <row r="30" spans="1:37" ht="36.75" customHeight="1" x14ac:dyDescent="0.35">
      <c r="A30" s="5"/>
      <c r="B30" s="5" t="s">
        <v>37</v>
      </c>
      <c r="C30" s="73" t="str">
        <f t="shared" si="0"/>
        <v>Closed</v>
      </c>
      <c r="D30" s="45" t="s">
        <v>273</v>
      </c>
      <c r="E30" s="54" t="s">
        <v>274</v>
      </c>
      <c r="F30" s="5" t="s">
        <v>40</v>
      </c>
      <c r="G30" s="10">
        <f>DATE(2005,10,31)</f>
        <v>38656</v>
      </c>
      <c r="H30" s="35">
        <v>1.6076388888888888</v>
      </c>
      <c r="I30" s="5" t="s">
        <v>55</v>
      </c>
      <c r="J30" s="10" t="s">
        <v>275</v>
      </c>
      <c r="K30" s="5" t="s">
        <v>43</v>
      </c>
      <c r="L30" s="5" t="s">
        <v>276</v>
      </c>
      <c r="M30" s="5" t="s">
        <v>45</v>
      </c>
      <c r="N30" s="5">
        <v>0</v>
      </c>
      <c r="O30" s="5" t="s">
        <v>71</v>
      </c>
      <c r="P30" s="10" t="s">
        <v>60</v>
      </c>
      <c r="Q30" s="10" t="s">
        <v>48</v>
      </c>
      <c r="R30" s="10" t="s">
        <v>49</v>
      </c>
      <c r="S30" s="5">
        <v>0</v>
      </c>
      <c r="T30" s="37" t="s">
        <v>50</v>
      </c>
      <c r="U30" s="5">
        <v>0</v>
      </c>
      <c r="V30" s="37" t="s">
        <v>50</v>
      </c>
      <c r="W30" s="5">
        <v>0</v>
      </c>
      <c r="X30" s="5">
        <v>0</v>
      </c>
      <c r="Y30" s="5">
        <v>0</v>
      </c>
      <c r="Z30" s="37" t="s">
        <v>50</v>
      </c>
      <c r="AA30" s="5">
        <v>0</v>
      </c>
      <c r="AB30" s="5">
        <v>0</v>
      </c>
      <c r="AC30" s="5">
        <v>0</v>
      </c>
      <c r="AD30" s="5">
        <v>0</v>
      </c>
      <c r="AE30" s="10" t="s">
        <v>50</v>
      </c>
      <c r="AF30" s="10" t="s">
        <v>277</v>
      </c>
      <c r="AG30" s="10" t="s">
        <v>114</v>
      </c>
      <c r="AH30" s="10" t="s">
        <v>50</v>
      </c>
      <c r="AI30" s="5">
        <v>0</v>
      </c>
      <c r="AJ30" s="10" t="s">
        <v>50</v>
      </c>
      <c r="AK30" s="10" t="s">
        <v>50</v>
      </c>
    </row>
    <row r="31" spans="1:37" ht="36.75" customHeight="1" x14ac:dyDescent="0.35">
      <c r="A31" s="5"/>
      <c r="B31" s="5" t="s">
        <v>37</v>
      </c>
      <c r="C31" s="73" t="str">
        <f t="shared" si="0"/>
        <v>Closed</v>
      </c>
      <c r="D31" s="45" t="s">
        <v>278</v>
      </c>
      <c r="E31" s="54" t="s">
        <v>279</v>
      </c>
      <c r="F31" s="5" t="s">
        <v>214</v>
      </c>
      <c r="G31" s="10">
        <f>DATE(2005,11,2)</f>
        <v>38658</v>
      </c>
      <c r="H31" s="35">
        <v>1</v>
      </c>
      <c r="I31" s="5" t="s">
        <v>67</v>
      </c>
      <c r="J31" s="10" t="s">
        <v>280</v>
      </c>
      <c r="K31" s="5" t="s">
        <v>216</v>
      </c>
      <c r="L31" s="5" t="s">
        <v>281</v>
      </c>
      <c r="M31" s="5" t="s">
        <v>45</v>
      </c>
      <c r="N31" s="5">
        <v>0</v>
      </c>
      <c r="O31" s="5" t="s">
        <v>67</v>
      </c>
      <c r="P31" s="10" t="s">
        <v>282</v>
      </c>
      <c r="Q31" s="10" t="s">
        <v>262</v>
      </c>
      <c r="R31" s="10" t="s">
        <v>219</v>
      </c>
      <c r="S31" s="5">
        <v>0</v>
      </c>
      <c r="T31" s="37" t="s">
        <v>50</v>
      </c>
      <c r="U31" s="5">
        <v>0</v>
      </c>
      <c r="V31" s="37" t="s">
        <v>50</v>
      </c>
      <c r="W31" s="5">
        <v>0</v>
      </c>
      <c r="X31" s="5">
        <v>0</v>
      </c>
      <c r="Y31" s="5">
        <v>0</v>
      </c>
      <c r="Z31" s="37" t="s">
        <v>50</v>
      </c>
      <c r="AA31" s="5">
        <v>0</v>
      </c>
      <c r="AB31" s="5">
        <v>0</v>
      </c>
      <c r="AC31" s="5">
        <v>0</v>
      </c>
      <c r="AD31" s="5">
        <v>0</v>
      </c>
      <c r="AE31" s="10" t="s">
        <v>50</v>
      </c>
      <c r="AF31" s="10" t="s">
        <v>50</v>
      </c>
      <c r="AG31" s="10" t="s">
        <v>114</v>
      </c>
      <c r="AH31" s="10" t="s">
        <v>50</v>
      </c>
      <c r="AI31" s="5">
        <v>10</v>
      </c>
      <c r="AJ31" s="10" t="s">
        <v>283</v>
      </c>
      <c r="AK31" s="10" t="s">
        <v>284</v>
      </c>
    </row>
    <row r="32" spans="1:37" ht="36.75" customHeight="1" x14ac:dyDescent="0.35">
      <c r="A32" s="5"/>
      <c r="B32" s="5" t="s">
        <v>37</v>
      </c>
      <c r="C32" s="73" t="str">
        <f t="shared" si="0"/>
        <v>Closed</v>
      </c>
      <c r="D32" s="45" t="s">
        <v>285</v>
      </c>
      <c r="E32" s="54" t="s">
        <v>286</v>
      </c>
      <c r="F32" s="5" t="s">
        <v>214</v>
      </c>
      <c r="G32" s="10">
        <f>DATE(2005,11,4)</f>
        <v>38660</v>
      </c>
      <c r="H32" s="35">
        <v>1.5812499999999998</v>
      </c>
      <c r="I32" s="5" t="s">
        <v>137</v>
      </c>
      <c r="J32" s="10" t="s">
        <v>287</v>
      </c>
      <c r="K32" s="5" t="s">
        <v>216</v>
      </c>
      <c r="L32" s="5" t="s">
        <v>288</v>
      </c>
      <c r="M32" s="5" t="s">
        <v>45</v>
      </c>
      <c r="N32" s="5">
        <v>0</v>
      </c>
      <c r="O32" s="5" t="s">
        <v>46</v>
      </c>
      <c r="P32" s="10" t="s">
        <v>146</v>
      </c>
      <c r="Q32" s="10" t="s">
        <v>289</v>
      </c>
      <c r="R32" s="10" t="s">
        <v>219</v>
      </c>
      <c r="S32" s="5">
        <v>0</v>
      </c>
      <c r="T32" s="37" t="s">
        <v>50</v>
      </c>
      <c r="U32" s="5">
        <v>0</v>
      </c>
      <c r="V32" s="37" t="s">
        <v>50</v>
      </c>
      <c r="W32" s="5">
        <v>0</v>
      </c>
      <c r="X32" s="5">
        <v>0</v>
      </c>
      <c r="Y32" s="5">
        <v>0</v>
      </c>
      <c r="Z32" s="37" t="s">
        <v>50</v>
      </c>
      <c r="AA32" s="5">
        <v>0</v>
      </c>
      <c r="AB32" s="5">
        <v>0</v>
      </c>
      <c r="AC32" s="5">
        <v>0</v>
      </c>
      <c r="AD32" s="5">
        <v>0</v>
      </c>
      <c r="AE32" s="10" t="s">
        <v>50</v>
      </c>
      <c r="AF32" s="10" t="s">
        <v>290</v>
      </c>
      <c r="AG32" s="10" t="s">
        <v>114</v>
      </c>
      <c r="AH32" s="10" t="s">
        <v>50</v>
      </c>
      <c r="AI32" s="5">
        <v>6</v>
      </c>
      <c r="AJ32" s="10" t="s">
        <v>291</v>
      </c>
      <c r="AK32" s="10" t="s">
        <v>292</v>
      </c>
    </row>
    <row r="33" spans="1:37" ht="36.75" customHeight="1" x14ac:dyDescent="0.35">
      <c r="A33" s="5"/>
      <c r="B33" s="5" t="s">
        <v>37</v>
      </c>
      <c r="C33" s="73" t="str">
        <f t="shared" si="0"/>
        <v>Closed</v>
      </c>
      <c r="D33" s="45" t="s">
        <v>293</v>
      </c>
      <c r="E33" s="54" t="s">
        <v>294</v>
      </c>
      <c r="F33" s="5" t="s">
        <v>214</v>
      </c>
      <c r="G33" s="10">
        <f>DATE(2005,11,8)</f>
        <v>38664</v>
      </c>
      <c r="H33" s="35">
        <v>1.3819444444444444</v>
      </c>
      <c r="I33" s="5" t="s">
        <v>67</v>
      </c>
      <c r="J33" s="10" t="s">
        <v>295</v>
      </c>
      <c r="K33" s="5" t="s">
        <v>216</v>
      </c>
      <c r="L33" s="5" t="s">
        <v>296</v>
      </c>
      <c r="M33" s="5" t="s">
        <v>236</v>
      </c>
      <c r="N33" s="5">
        <v>0</v>
      </c>
      <c r="O33" s="5" t="s">
        <v>46</v>
      </c>
      <c r="P33" s="10" t="s">
        <v>67</v>
      </c>
      <c r="Q33" s="10" t="s">
        <v>297</v>
      </c>
      <c r="R33" s="10" t="s">
        <v>297</v>
      </c>
      <c r="S33" s="5">
        <v>0</v>
      </c>
      <c r="T33" s="37" t="s">
        <v>50</v>
      </c>
      <c r="U33" s="5">
        <v>0</v>
      </c>
      <c r="V33" s="37" t="s">
        <v>50</v>
      </c>
      <c r="W33" s="5">
        <v>0</v>
      </c>
      <c r="X33" s="5">
        <v>0</v>
      </c>
      <c r="Y33" s="5">
        <v>0</v>
      </c>
      <c r="Z33" s="37" t="s">
        <v>50</v>
      </c>
      <c r="AA33" s="5">
        <v>0</v>
      </c>
      <c r="AB33" s="5">
        <v>0</v>
      </c>
      <c r="AC33" s="5">
        <v>0</v>
      </c>
      <c r="AD33" s="5">
        <v>0</v>
      </c>
      <c r="AE33" s="10" t="s">
        <v>50</v>
      </c>
      <c r="AF33" s="10" t="s">
        <v>298</v>
      </c>
      <c r="AG33" s="10" t="s">
        <v>114</v>
      </c>
      <c r="AH33" s="10" t="s">
        <v>50</v>
      </c>
      <c r="AI33" s="5">
        <v>9</v>
      </c>
      <c r="AJ33" s="10" t="s">
        <v>299</v>
      </c>
      <c r="AK33" s="10" t="s">
        <v>300</v>
      </c>
    </row>
    <row r="34" spans="1:37" ht="36.75" customHeight="1" x14ac:dyDescent="0.35">
      <c r="A34" s="5"/>
      <c r="B34" s="5" t="s">
        <v>37</v>
      </c>
      <c r="C34" s="73" t="str">
        <f t="shared" si="0"/>
        <v>Closed</v>
      </c>
      <c r="D34" s="45" t="s">
        <v>301</v>
      </c>
      <c r="E34" s="54" t="s">
        <v>302</v>
      </c>
      <c r="F34" s="5" t="s">
        <v>214</v>
      </c>
      <c r="G34" s="10">
        <f>DATE(2005,11,13)</f>
        <v>38669</v>
      </c>
      <c r="H34" s="35">
        <v>1.5486111111111112</v>
      </c>
      <c r="I34" s="5" t="s">
        <v>97</v>
      </c>
      <c r="J34" s="10" t="s">
        <v>303</v>
      </c>
      <c r="K34" s="5" t="s">
        <v>216</v>
      </c>
      <c r="L34" s="5" t="s">
        <v>304</v>
      </c>
      <c r="M34" s="5" t="s">
        <v>45</v>
      </c>
      <c r="N34" s="5">
        <v>0</v>
      </c>
      <c r="O34" s="5" t="s">
        <v>46</v>
      </c>
      <c r="P34" s="10" t="s">
        <v>146</v>
      </c>
      <c r="Q34" s="10" t="s">
        <v>227</v>
      </c>
      <c r="R34" s="10" t="s">
        <v>219</v>
      </c>
      <c r="S34" s="5">
        <v>0</v>
      </c>
      <c r="T34" s="37">
        <v>0</v>
      </c>
      <c r="U34" s="5">
        <v>1</v>
      </c>
      <c r="V34" s="37">
        <v>0</v>
      </c>
      <c r="W34" s="5">
        <v>0</v>
      </c>
      <c r="X34" s="5">
        <v>1</v>
      </c>
      <c r="Y34" s="5">
        <v>0</v>
      </c>
      <c r="Z34" s="37">
        <v>0</v>
      </c>
      <c r="AA34" s="5">
        <v>0</v>
      </c>
      <c r="AB34" s="5">
        <v>0</v>
      </c>
      <c r="AC34" s="5">
        <v>0</v>
      </c>
      <c r="AD34" s="5">
        <v>0</v>
      </c>
      <c r="AE34" s="10" t="s">
        <v>50</v>
      </c>
      <c r="AF34" s="10" t="s">
        <v>305</v>
      </c>
      <c r="AG34" s="10" t="s">
        <v>229</v>
      </c>
      <c r="AH34" s="10" t="s">
        <v>50</v>
      </c>
      <c r="AI34" s="5">
        <v>1</v>
      </c>
      <c r="AJ34" s="10" t="s">
        <v>306</v>
      </c>
      <c r="AK34" s="10" t="s">
        <v>50</v>
      </c>
    </row>
    <row r="35" spans="1:37" ht="36.75" customHeight="1" x14ac:dyDescent="0.35">
      <c r="A35" s="5"/>
      <c r="B35" s="5" t="s">
        <v>37</v>
      </c>
      <c r="C35" s="73" t="str">
        <f t="shared" si="0"/>
        <v>Closed</v>
      </c>
      <c r="D35" s="45" t="s">
        <v>307</v>
      </c>
      <c r="E35" s="54" t="s">
        <v>308</v>
      </c>
      <c r="F35" s="5" t="s">
        <v>214</v>
      </c>
      <c r="G35" s="10">
        <f>DATE(2005,11,21)</f>
        <v>38677</v>
      </c>
      <c r="H35" s="35">
        <v>1.4409722222222223</v>
      </c>
      <c r="I35" s="5" t="s">
        <v>97</v>
      </c>
      <c r="J35" s="10" t="s">
        <v>309</v>
      </c>
      <c r="K35" s="5" t="s">
        <v>216</v>
      </c>
      <c r="L35" s="5" t="s">
        <v>310</v>
      </c>
      <c r="M35" s="5" t="s">
        <v>45</v>
      </c>
      <c r="N35" s="5">
        <v>0</v>
      </c>
      <c r="O35" s="5" t="s">
        <v>46</v>
      </c>
      <c r="P35" s="10" t="s">
        <v>146</v>
      </c>
      <c r="Q35" s="10" t="s">
        <v>311</v>
      </c>
      <c r="R35" s="10" t="s">
        <v>219</v>
      </c>
      <c r="S35" s="5">
        <v>0</v>
      </c>
      <c r="T35" s="37">
        <v>0</v>
      </c>
      <c r="U35" s="5">
        <v>1</v>
      </c>
      <c r="V35" s="37">
        <v>0</v>
      </c>
      <c r="W35" s="5">
        <v>0</v>
      </c>
      <c r="X35" s="5">
        <v>1</v>
      </c>
      <c r="Y35" s="5">
        <v>0</v>
      </c>
      <c r="Z35" s="37">
        <v>0</v>
      </c>
      <c r="AA35" s="5">
        <v>0</v>
      </c>
      <c r="AB35" s="5">
        <v>0</v>
      </c>
      <c r="AC35" s="5">
        <v>0</v>
      </c>
      <c r="AD35" s="5">
        <v>0</v>
      </c>
      <c r="AE35" s="10" t="s">
        <v>50</v>
      </c>
      <c r="AF35" s="10" t="s">
        <v>50</v>
      </c>
      <c r="AG35" s="10" t="s">
        <v>229</v>
      </c>
      <c r="AH35" s="10" t="s">
        <v>50</v>
      </c>
      <c r="AI35" s="5">
        <v>0</v>
      </c>
      <c r="AJ35" s="10" t="s">
        <v>312</v>
      </c>
      <c r="AK35" s="10" t="s">
        <v>313</v>
      </c>
    </row>
    <row r="36" spans="1:37" ht="36.75" customHeight="1" x14ac:dyDescent="0.35">
      <c r="A36" s="5"/>
      <c r="B36" s="5" t="s">
        <v>37</v>
      </c>
      <c r="C36" s="73" t="str">
        <f t="shared" si="0"/>
        <v>Closed</v>
      </c>
      <c r="D36" s="45" t="s">
        <v>314</v>
      </c>
      <c r="E36" s="54" t="s">
        <v>315</v>
      </c>
      <c r="F36" s="5" t="s">
        <v>214</v>
      </c>
      <c r="G36" s="10">
        <f>DATE(2005,11,21)</f>
        <v>38677</v>
      </c>
      <c r="H36" s="35">
        <v>1</v>
      </c>
      <c r="I36" s="5" t="s">
        <v>67</v>
      </c>
      <c r="J36" s="10" t="s">
        <v>316</v>
      </c>
      <c r="K36" s="5" t="s">
        <v>216</v>
      </c>
      <c r="L36" s="5" t="s">
        <v>317</v>
      </c>
      <c r="M36" s="5" t="s">
        <v>236</v>
      </c>
      <c r="N36" s="5">
        <v>0</v>
      </c>
      <c r="O36" s="5" t="s">
        <v>46</v>
      </c>
      <c r="P36" s="10" t="s">
        <v>67</v>
      </c>
      <c r="Q36" s="10" t="s">
        <v>318</v>
      </c>
      <c r="R36" s="10" t="s">
        <v>318</v>
      </c>
      <c r="S36" s="5">
        <v>0</v>
      </c>
      <c r="T36" s="37" t="s">
        <v>50</v>
      </c>
      <c r="U36" s="5">
        <v>0</v>
      </c>
      <c r="V36" s="37" t="s">
        <v>50</v>
      </c>
      <c r="W36" s="5">
        <v>0</v>
      </c>
      <c r="X36" s="5">
        <v>0</v>
      </c>
      <c r="Y36" s="5">
        <v>0</v>
      </c>
      <c r="Z36" s="37" t="s">
        <v>50</v>
      </c>
      <c r="AA36" s="5">
        <v>0</v>
      </c>
      <c r="AB36" s="5">
        <v>0</v>
      </c>
      <c r="AC36" s="5">
        <v>0</v>
      </c>
      <c r="AD36" s="5">
        <v>0</v>
      </c>
      <c r="AE36" s="10" t="s">
        <v>50</v>
      </c>
      <c r="AF36" s="10" t="s">
        <v>50</v>
      </c>
      <c r="AG36" s="10" t="s">
        <v>229</v>
      </c>
      <c r="AH36" s="10" t="s">
        <v>50</v>
      </c>
      <c r="AI36" s="5">
        <v>4</v>
      </c>
      <c r="AJ36" s="10" t="s">
        <v>319</v>
      </c>
      <c r="AK36" s="10" t="s">
        <v>320</v>
      </c>
    </row>
    <row r="37" spans="1:37" ht="36.75" customHeight="1" x14ac:dyDescent="0.35">
      <c r="A37" s="5"/>
      <c r="B37" s="5" t="s">
        <v>37</v>
      </c>
      <c r="C37" s="73" t="str">
        <f t="shared" si="0"/>
        <v>Closed</v>
      </c>
      <c r="D37" s="45" t="s">
        <v>321</v>
      </c>
      <c r="E37" s="54" t="s">
        <v>322</v>
      </c>
      <c r="F37" s="5" t="s">
        <v>214</v>
      </c>
      <c r="G37" s="10">
        <f>DATE(2005,11,23)</f>
        <v>38679</v>
      </c>
      <c r="H37" s="35">
        <v>1.3451388888888889</v>
      </c>
      <c r="I37" s="5" t="s">
        <v>179</v>
      </c>
      <c r="J37" s="10" t="s">
        <v>323</v>
      </c>
      <c r="K37" s="5" t="s">
        <v>216</v>
      </c>
      <c r="L37" s="5" t="s">
        <v>324</v>
      </c>
      <c r="M37" s="5" t="s">
        <v>236</v>
      </c>
      <c r="N37" s="5">
        <v>0</v>
      </c>
      <c r="O37" s="5" t="s">
        <v>46</v>
      </c>
      <c r="P37" s="10" t="s">
        <v>67</v>
      </c>
      <c r="Q37" s="10" t="s">
        <v>237</v>
      </c>
      <c r="R37" s="10" t="s">
        <v>238</v>
      </c>
      <c r="S37" s="5">
        <v>0</v>
      </c>
      <c r="T37" s="37" t="s">
        <v>50</v>
      </c>
      <c r="U37" s="5">
        <v>0</v>
      </c>
      <c r="V37" s="37" t="s">
        <v>50</v>
      </c>
      <c r="W37" s="5">
        <v>0</v>
      </c>
      <c r="X37" s="5">
        <v>0</v>
      </c>
      <c r="Y37" s="5">
        <v>0</v>
      </c>
      <c r="Z37" s="37" t="s">
        <v>50</v>
      </c>
      <c r="AA37" s="5">
        <v>0</v>
      </c>
      <c r="AB37" s="5">
        <v>0</v>
      </c>
      <c r="AC37" s="5">
        <v>0</v>
      </c>
      <c r="AD37" s="5">
        <v>0</v>
      </c>
      <c r="AE37" s="10" t="s">
        <v>50</v>
      </c>
      <c r="AF37" s="10" t="s">
        <v>325</v>
      </c>
      <c r="AG37" s="10" t="s">
        <v>229</v>
      </c>
      <c r="AH37" s="10" t="s">
        <v>50</v>
      </c>
      <c r="AI37" s="5">
        <v>5</v>
      </c>
      <c r="AJ37" s="10" t="s">
        <v>326</v>
      </c>
      <c r="AK37" s="10" t="s">
        <v>327</v>
      </c>
    </row>
    <row r="38" spans="1:37" ht="36.75" customHeight="1" x14ac:dyDescent="0.35">
      <c r="A38" s="5"/>
      <c r="B38" s="5" t="s">
        <v>37</v>
      </c>
      <c r="C38" s="73" t="str">
        <f t="shared" si="0"/>
        <v>Closed</v>
      </c>
      <c r="D38" s="45" t="s">
        <v>328</v>
      </c>
      <c r="E38" s="54" t="s">
        <v>329</v>
      </c>
      <c r="F38" s="5" t="s">
        <v>214</v>
      </c>
      <c r="G38" s="10">
        <f>DATE(2005,11,25)</f>
        <v>38681</v>
      </c>
      <c r="H38" s="35">
        <v>1.2729166666666667</v>
      </c>
      <c r="I38" s="5" t="s">
        <v>85</v>
      </c>
      <c r="J38" s="10" t="s">
        <v>330</v>
      </c>
      <c r="K38" s="5" t="s">
        <v>216</v>
      </c>
      <c r="L38" s="5" t="s">
        <v>331</v>
      </c>
      <c r="M38" s="5" t="s">
        <v>45</v>
      </c>
      <c r="N38" s="5">
        <v>0</v>
      </c>
      <c r="O38" s="5" t="s">
        <v>46</v>
      </c>
      <c r="P38" s="10" t="s">
        <v>146</v>
      </c>
      <c r="Q38" s="10" t="s">
        <v>332</v>
      </c>
      <c r="R38" s="10" t="s">
        <v>219</v>
      </c>
      <c r="S38" s="5">
        <v>0</v>
      </c>
      <c r="T38" s="37" t="s">
        <v>50</v>
      </c>
      <c r="U38" s="5">
        <v>0</v>
      </c>
      <c r="V38" s="37" t="s">
        <v>50</v>
      </c>
      <c r="W38" s="5">
        <v>0</v>
      </c>
      <c r="X38" s="5">
        <v>0</v>
      </c>
      <c r="Y38" s="5">
        <v>0</v>
      </c>
      <c r="Z38" s="37" t="s">
        <v>50</v>
      </c>
      <c r="AA38" s="5">
        <v>0</v>
      </c>
      <c r="AB38" s="5">
        <v>0</v>
      </c>
      <c r="AC38" s="5">
        <v>0</v>
      </c>
      <c r="AD38" s="5">
        <v>0</v>
      </c>
      <c r="AE38" s="10" t="s">
        <v>50</v>
      </c>
      <c r="AF38" s="10" t="s">
        <v>50</v>
      </c>
      <c r="AG38" s="10" t="s">
        <v>333</v>
      </c>
      <c r="AH38" s="10" t="s">
        <v>50</v>
      </c>
      <c r="AI38" s="5">
        <v>3</v>
      </c>
      <c r="AJ38" s="10" t="s">
        <v>334</v>
      </c>
      <c r="AK38" s="10" t="s">
        <v>335</v>
      </c>
    </row>
    <row r="39" spans="1:37" ht="36.75" customHeight="1" x14ac:dyDescent="0.35">
      <c r="A39" s="5"/>
      <c r="B39" s="5" t="s">
        <v>37</v>
      </c>
      <c r="C39" s="73" t="str">
        <f t="shared" si="0"/>
        <v>Closed</v>
      </c>
      <c r="D39" s="45" t="s">
        <v>336</v>
      </c>
      <c r="E39" s="54" t="s">
        <v>337</v>
      </c>
      <c r="F39" s="5" t="s">
        <v>214</v>
      </c>
      <c r="G39" s="10">
        <f>DATE(2005,11,26)</f>
        <v>38682</v>
      </c>
      <c r="H39" s="35">
        <v>1.2958333333333334</v>
      </c>
      <c r="I39" s="5" t="s">
        <v>137</v>
      </c>
      <c r="J39" s="10" t="s">
        <v>338</v>
      </c>
      <c r="K39" s="5" t="s">
        <v>216</v>
      </c>
      <c r="L39" s="5" t="s">
        <v>339</v>
      </c>
      <c r="M39" s="5" t="s">
        <v>45</v>
      </c>
      <c r="N39" s="5">
        <v>0</v>
      </c>
      <c r="O39" s="5" t="s">
        <v>46</v>
      </c>
      <c r="P39" s="10" t="s">
        <v>146</v>
      </c>
      <c r="Q39" s="10" t="s">
        <v>340</v>
      </c>
      <c r="R39" s="10" t="s">
        <v>219</v>
      </c>
      <c r="S39" s="5">
        <v>0</v>
      </c>
      <c r="T39" s="37">
        <v>0</v>
      </c>
      <c r="U39" s="5">
        <v>0</v>
      </c>
      <c r="V39" s="37">
        <v>0</v>
      </c>
      <c r="W39" s="5">
        <v>0</v>
      </c>
      <c r="X39" s="5">
        <v>0</v>
      </c>
      <c r="Y39" s="5">
        <v>6</v>
      </c>
      <c r="Z39" s="37">
        <v>2</v>
      </c>
      <c r="AA39" s="5">
        <v>0</v>
      </c>
      <c r="AB39" s="5">
        <v>0</v>
      </c>
      <c r="AC39" s="5">
        <v>0</v>
      </c>
      <c r="AD39" s="5">
        <v>8</v>
      </c>
      <c r="AE39" s="10" t="s">
        <v>50</v>
      </c>
      <c r="AF39" s="10" t="s">
        <v>341</v>
      </c>
      <c r="AG39" s="10" t="s">
        <v>333</v>
      </c>
      <c r="AH39" s="10" t="s">
        <v>50</v>
      </c>
      <c r="AI39" s="5">
        <v>10</v>
      </c>
      <c r="AJ39" s="10" t="s">
        <v>291</v>
      </c>
      <c r="AK39" s="10" t="s">
        <v>342</v>
      </c>
    </row>
    <row r="40" spans="1:37" ht="36.75" customHeight="1" x14ac:dyDescent="0.35">
      <c r="A40" s="5"/>
      <c r="B40" s="5" t="s">
        <v>37</v>
      </c>
      <c r="C40" s="73" t="str">
        <f t="shared" si="0"/>
        <v>Closed</v>
      </c>
      <c r="D40" s="45" t="s">
        <v>343</v>
      </c>
      <c r="E40" s="54" t="s">
        <v>344</v>
      </c>
      <c r="F40" s="5" t="s">
        <v>105</v>
      </c>
      <c r="G40" s="10">
        <f>DATE(2005,11,29)</f>
        <v>38685</v>
      </c>
      <c r="H40" s="35">
        <v>1.3944444444444444</v>
      </c>
      <c r="I40" s="5" t="s">
        <v>106</v>
      </c>
      <c r="J40" s="10" t="s">
        <v>345</v>
      </c>
      <c r="K40" s="5" t="s">
        <v>108</v>
      </c>
      <c r="L40" s="5" t="s">
        <v>346</v>
      </c>
      <c r="M40" s="5" t="s">
        <v>110</v>
      </c>
      <c r="N40" s="5">
        <v>0</v>
      </c>
      <c r="O40" s="5" t="s">
        <v>46</v>
      </c>
      <c r="P40" s="10" t="s">
        <v>67</v>
      </c>
      <c r="Q40" s="10" t="s">
        <v>111</v>
      </c>
      <c r="R40" s="10" t="s">
        <v>112</v>
      </c>
      <c r="S40" s="5">
        <v>0</v>
      </c>
      <c r="T40" s="37" t="s">
        <v>50</v>
      </c>
      <c r="U40" s="5">
        <v>0</v>
      </c>
      <c r="V40" s="37" t="s">
        <v>50</v>
      </c>
      <c r="W40" s="5">
        <v>0</v>
      </c>
      <c r="X40" s="5">
        <v>0</v>
      </c>
      <c r="Y40" s="5">
        <v>0</v>
      </c>
      <c r="Z40" s="37" t="s">
        <v>50</v>
      </c>
      <c r="AA40" s="5">
        <v>0</v>
      </c>
      <c r="AB40" s="5">
        <v>0</v>
      </c>
      <c r="AC40" s="5">
        <v>0</v>
      </c>
      <c r="AD40" s="5">
        <v>0</v>
      </c>
      <c r="AE40" s="10" t="s">
        <v>50</v>
      </c>
      <c r="AF40" s="10" t="s">
        <v>347</v>
      </c>
      <c r="AG40" s="10" t="s">
        <v>348</v>
      </c>
      <c r="AH40" s="10" t="s">
        <v>50</v>
      </c>
      <c r="AI40" s="5">
        <v>2</v>
      </c>
      <c r="AJ40" s="10" t="s">
        <v>50</v>
      </c>
      <c r="AK40" s="10" t="s">
        <v>50</v>
      </c>
    </row>
    <row r="41" spans="1:37" ht="36.75" customHeight="1" x14ac:dyDescent="0.35">
      <c r="A41" s="5"/>
      <c r="B41" s="5" t="s">
        <v>37</v>
      </c>
      <c r="C41" s="73" t="str">
        <f t="shared" si="0"/>
        <v>Closed</v>
      </c>
      <c r="D41" s="45" t="s">
        <v>349</v>
      </c>
      <c r="E41" s="54" t="s">
        <v>350</v>
      </c>
      <c r="F41" s="5" t="s">
        <v>214</v>
      </c>
      <c r="G41" s="10">
        <f>DATE(2005,11,30)</f>
        <v>38686</v>
      </c>
      <c r="H41" s="35">
        <v>1.7972222222222221</v>
      </c>
      <c r="I41" s="5" t="s">
        <v>85</v>
      </c>
      <c r="J41" s="10" t="s">
        <v>351</v>
      </c>
      <c r="K41" s="5" t="s">
        <v>216</v>
      </c>
      <c r="L41" s="5" t="s">
        <v>352</v>
      </c>
      <c r="M41" s="5" t="s">
        <v>45</v>
      </c>
      <c r="N41" s="5">
        <v>0</v>
      </c>
      <c r="O41" s="5" t="s">
        <v>46</v>
      </c>
      <c r="P41" s="10" t="s">
        <v>146</v>
      </c>
      <c r="Q41" s="10" t="s">
        <v>353</v>
      </c>
      <c r="R41" s="10" t="s">
        <v>219</v>
      </c>
      <c r="S41" s="5">
        <v>0</v>
      </c>
      <c r="T41" s="37" t="s">
        <v>50</v>
      </c>
      <c r="U41" s="5">
        <v>0</v>
      </c>
      <c r="V41" s="37" t="s">
        <v>50</v>
      </c>
      <c r="W41" s="5">
        <v>0</v>
      </c>
      <c r="X41" s="5">
        <v>0</v>
      </c>
      <c r="Y41" s="5">
        <v>0</v>
      </c>
      <c r="Z41" s="37" t="s">
        <v>50</v>
      </c>
      <c r="AA41" s="5">
        <v>0</v>
      </c>
      <c r="AB41" s="5">
        <v>0</v>
      </c>
      <c r="AC41" s="5">
        <v>0</v>
      </c>
      <c r="AD41" s="5">
        <v>0</v>
      </c>
      <c r="AE41" s="10" t="s">
        <v>50</v>
      </c>
      <c r="AF41" s="10" t="s">
        <v>50</v>
      </c>
      <c r="AG41" s="10" t="s">
        <v>333</v>
      </c>
      <c r="AH41" s="10" t="s">
        <v>50</v>
      </c>
      <c r="AI41" s="5">
        <v>10</v>
      </c>
      <c r="AJ41" s="10" t="s">
        <v>354</v>
      </c>
      <c r="AK41" s="10" t="s">
        <v>355</v>
      </c>
    </row>
    <row r="42" spans="1:37" ht="36.75" customHeight="1" x14ac:dyDescent="0.35">
      <c r="A42" s="5"/>
      <c r="B42" s="5" t="s">
        <v>37</v>
      </c>
      <c r="C42" s="73" t="str">
        <f t="shared" si="0"/>
        <v>Closed</v>
      </c>
      <c r="D42" s="45" t="s">
        <v>356</v>
      </c>
      <c r="E42" s="54" t="s">
        <v>357</v>
      </c>
      <c r="F42" s="5" t="s">
        <v>358</v>
      </c>
      <c r="G42" s="10">
        <f>DATE(2005,12,3)</f>
        <v>38689</v>
      </c>
      <c r="H42" s="35">
        <v>1.3229166666666667</v>
      </c>
      <c r="I42" s="5" t="s">
        <v>259</v>
      </c>
      <c r="J42" s="10" t="s">
        <v>359</v>
      </c>
      <c r="K42" s="5" t="s">
        <v>360</v>
      </c>
      <c r="L42" s="5" t="s">
        <v>361</v>
      </c>
      <c r="M42" s="5" t="s">
        <v>45</v>
      </c>
      <c r="N42" s="5">
        <v>0</v>
      </c>
      <c r="O42" s="5" t="s">
        <v>71</v>
      </c>
      <c r="P42" s="10" t="s">
        <v>362</v>
      </c>
      <c r="Q42" s="10" t="s">
        <v>363</v>
      </c>
      <c r="R42" s="10" t="s">
        <v>363</v>
      </c>
      <c r="S42" s="5">
        <v>0</v>
      </c>
      <c r="T42" s="37">
        <v>0</v>
      </c>
      <c r="U42" s="5">
        <v>0</v>
      </c>
      <c r="V42" s="37">
        <v>0</v>
      </c>
      <c r="W42" s="5">
        <v>1</v>
      </c>
      <c r="X42" s="5">
        <v>1</v>
      </c>
      <c r="Y42" s="5">
        <v>0</v>
      </c>
      <c r="Z42" s="37">
        <v>0</v>
      </c>
      <c r="AA42" s="5">
        <v>0</v>
      </c>
      <c r="AB42" s="5">
        <v>0</v>
      </c>
      <c r="AC42" s="5">
        <v>3</v>
      </c>
      <c r="AD42" s="5">
        <v>3</v>
      </c>
      <c r="AE42" s="10" t="s">
        <v>50</v>
      </c>
      <c r="AF42" s="10" t="s">
        <v>50</v>
      </c>
      <c r="AG42" s="10" t="s">
        <v>364</v>
      </c>
      <c r="AH42" s="10" t="s">
        <v>50</v>
      </c>
      <c r="AI42" s="5">
        <v>0</v>
      </c>
      <c r="AJ42" s="10" t="s">
        <v>50</v>
      </c>
      <c r="AK42" s="10" t="s">
        <v>50</v>
      </c>
    </row>
    <row r="43" spans="1:37" ht="36.75" customHeight="1" x14ac:dyDescent="0.35">
      <c r="A43" s="5"/>
      <c r="B43" s="5" t="s">
        <v>37</v>
      </c>
      <c r="C43" s="73" t="str">
        <f t="shared" si="0"/>
        <v>Closed</v>
      </c>
      <c r="D43" s="45" t="s">
        <v>365</v>
      </c>
      <c r="E43" s="54" t="s">
        <v>366</v>
      </c>
      <c r="F43" s="5" t="s">
        <v>214</v>
      </c>
      <c r="G43" s="10">
        <f>DATE(2005,12,3)</f>
        <v>38689</v>
      </c>
      <c r="H43" s="35">
        <v>1.4458333333333333</v>
      </c>
      <c r="I43" s="5" t="s">
        <v>97</v>
      </c>
      <c r="J43" s="10" t="s">
        <v>367</v>
      </c>
      <c r="K43" s="5" t="s">
        <v>216</v>
      </c>
      <c r="L43" s="5" t="s">
        <v>368</v>
      </c>
      <c r="M43" s="5" t="s">
        <v>45</v>
      </c>
      <c r="N43" s="5">
        <v>0</v>
      </c>
      <c r="O43" s="5" t="s">
        <v>59</v>
      </c>
      <c r="P43" s="10" t="s">
        <v>47</v>
      </c>
      <c r="Q43" s="10" t="s">
        <v>311</v>
      </c>
      <c r="R43" s="10" t="s">
        <v>219</v>
      </c>
      <c r="S43" s="5">
        <v>0</v>
      </c>
      <c r="T43" s="37">
        <v>0</v>
      </c>
      <c r="U43" s="5">
        <v>2</v>
      </c>
      <c r="V43" s="37">
        <v>0</v>
      </c>
      <c r="W43" s="5">
        <v>0</v>
      </c>
      <c r="X43" s="5">
        <v>2</v>
      </c>
      <c r="Y43" s="5">
        <v>0</v>
      </c>
      <c r="Z43" s="37">
        <v>0</v>
      </c>
      <c r="AA43" s="5">
        <v>0</v>
      </c>
      <c r="AB43" s="5">
        <v>0</v>
      </c>
      <c r="AC43" s="5">
        <v>0</v>
      </c>
      <c r="AD43" s="5">
        <v>0</v>
      </c>
      <c r="AE43" s="10" t="s">
        <v>50</v>
      </c>
      <c r="AF43" s="10" t="s">
        <v>50</v>
      </c>
      <c r="AG43" s="10" t="s">
        <v>64</v>
      </c>
      <c r="AH43" s="10" t="s">
        <v>50</v>
      </c>
      <c r="AI43" s="5">
        <v>10</v>
      </c>
      <c r="AJ43" s="10" t="s">
        <v>369</v>
      </c>
      <c r="AK43" s="10" t="s">
        <v>370</v>
      </c>
    </row>
    <row r="44" spans="1:37" ht="36.75" customHeight="1" x14ac:dyDescent="0.35">
      <c r="A44" s="5"/>
      <c r="B44" s="5" t="s">
        <v>37</v>
      </c>
      <c r="C44" s="73" t="str">
        <f t="shared" si="0"/>
        <v>Closed</v>
      </c>
      <c r="D44" s="45" t="s">
        <v>371</v>
      </c>
      <c r="E44" s="54" t="s">
        <v>372</v>
      </c>
      <c r="F44" s="5" t="s">
        <v>40</v>
      </c>
      <c r="G44" s="10">
        <f>DATE(2005,12,9)</f>
        <v>38695</v>
      </c>
      <c r="H44" s="35">
        <v>1</v>
      </c>
      <c r="I44" s="5" t="s">
        <v>97</v>
      </c>
      <c r="J44" s="10" t="s">
        <v>373</v>
      </c>
      <c r="K44" s="5" t="s">
        <v>43</v>
      </c>
      <c r="L44" s="5" t="s">
        <v>374</v>
      </c>
      <c r="M44" s="5" t="s">
        <v>45</v>
      </c>
      <c r="N44" s="5" t="s">
        <v>80</v>
      </c>
      <c r="O44" s="5" t="s">
        <v>46</v>
      </c>
      <c r="P44" s="10" t="s">
        <v>67</v>
      </c>
      <c r="Q44" s="10" t="s">
        <v>48</v>
      </c>
      <c r="R44" s="10" t="s">
        <v>49</v>
      </c>
      <c r="S44" s="5">
        <v>0</v>
      </c>
      <c r="T44" s="37">
        <v>0</v>
      </c>
      <c r="U44" s="5">
        <v>3</v>
      </c>
      <c r="V44" s="37">
        <v>0</v>
      </c>
      <c r="W44" s="5">
        <v>0</v>
      </c>
      <c r="X44" s="5">
        <v>3</v>
      </c>
      <c r="Y44" s="5">
        <v>0</v>
      </c>
      <c r="Z44" s="37">
        <v>0</v>
      </c>
      <c r="AA44" s="5">
        <v>0</v>
      </c>
      <c r="AB44" s="5">
        <v>0</v>
      </c>
      <c r="AC44" s="5">
        <v>0</v>
      </c>
      <c r="AD44" s="5">
        <v>0</v>
      </c>
      <c r="AE44" s="10" t="s">
        <v>375</v>
      </c>
      <c r="AF44" s="10" t="s">
        <v>50</v>
      </c>
      <c r="AG44" s="10" t="s">
        <v>376</v>
      </c>
      <c r="AH44" s="10">
        <v>38695</v>
      </c>
      <c r="AI44" s="5">
        <v>10</v>
      </c>
      <c r="AJ44" s="10" t="s">
        <v>377</v>
      </c>
      <c r="AK44" s="10" t="s">
        <v>50</v>
      </c>
    </row>
    <row r="45" spans="1:37" ht="36.75" customHeight="1" x14ac:dyDescent="0.35">
      <c r="A45" s="5"/>
      <c r="B45" s="5" t="s">
        <v>37</v>
      </c>
      <c r="C45" s="73" t="str">
        <f t="shared" si="0"/>
        <v>Closed</v>
      </c>
      <c r="D45" s="45" t="s">
        <v>378</v>
      </c>
      <c r="E45" s="54" t="s">
        <v>379</v>
      </c>
      <c r="F45" s="5" t="s">
        <v>105</v>
      </c>
      <c r="G45" s="10">
        <f>DATE(2005,12,23)</f>
        <v>38709</v>
      </c>
      <c r="H45" s="35">
        <v>1.1347222222222222</v>
      </c>
      <c r="I45" s="5" t="s">
        <v>137</v>
      </c>
      <c r="J45" s="10" t="s">
        <v>380</v>
      </c>
      <c r="K45" s="5" t="s">
        <v>108</v>
      </c>
      <c r="L45" s="5" t="s">
        <v>381</v>
      </c>
      <c r="M45" s="5" t="s">
        <v>45</v>
      </c>
      <c r="N45" s="5">
        <v>0</v>
      </c>
      <c r="O45" s="5" t="s">
        <v>46</v>
      </c>
      <c r="P45" s="10" t="s">
        <v>60</v>
      </c>
      <c r="Q45" s="10" t="s">
        <v>382</v>
      </c>
      <c r="R45" s="10" t="s">
        <v>148</v>
      </c>
      <c r="S45" s="5">
        <v>0</v>
      </c>
      <c r="T45" s="37" t="s">
        <v>50</v>
      </c>
      <c r="U45" s="5">
        <v>0</v>
      </c>
      <c r="V45" s="37" t="s">
        <v>50</v>
      </c>
      <c r="W45" s="5">
        <v>0</v>
      </c>
      <c r="X45" s="5">
        <v>0</v>
      </c>
      <c r="Y45" s="5">
        <v>0</v>
      </c>
      <c r="Z45" s="37" t="s">
        <v>50</v>
      </c>
      <c r="AA45" s="5">
        <v>0</v>
      </c>
      <c r="AB45" s="5">
        <v>0</v>
      </c>
      <c r="AC45" s="5">
        <v>0</v>
      </c>
      <c r="AD45" s="5">
        <v>0</v>
      </c>
      <c r="AE45" s="10" t="s">
        <v>50</v>
      </c>
      <c r="AF45" s="10" t="s">
        <v>383</v>
      </c>
      <c r="AG45" s="10" t="s">
        <v>64</v>
      </c>
      <c r="AH45" s="10" t="s">
        <v>50</v>
      </c>
      <c r="AI45" s="5">
        <v>1</v>
      </c>
      <c r="AJ45" s="10" t="s">
        <v>50</v>
      </c>
      <c r="AK45" s="10" t="s">
        <v>50</v>
      </c>
    </row>
    <row r="46" spans="1:37" ht="36.75" customHeight="1" x14ac:dyDescent="0.35">
      <c r="A46" s="5"/>
      <c r="B46" s="5" t="s">
        <v>37</v>
      </c>
      <c r="C46" s="73" t="str">
        <f t="shared" si="0"/>
        <v>Closed</v>
      </c>
      <c r="D46" s="45" t="s">
        <v>384</v>
      </c>
      <c r="E46" s="54" t="s">
        <v>385</v>
      </c>
      <c r="F46" s="5" t="s">
        <v>40</v>
      </c>
      <c r="G46" s="10">
        <f>DATE(2005,12,28)</f>
        <v>38714</v>
      </c>
      <c r="H46" s="35">
        <v>1.375</v>
      </c>
      <c r="I46" s="5" t="s">
        <v>55</v>
      </c>
      <c r="J46" s="10" t="s">
        <v>386</v>
      </c>
      <c r="K46" s="5" t="s">
        <v>43</v>
      </c>
      <c r="L46" s="5" t="s">
        <v>387</v>
      </c>
      <c r="M46" s="5" t="s">
        <v>45</v>
      </c>
      <c r="N46" s="5" t="s">
        <v>80</v>
      </c>
      <c r="O46" s="5" t="s">
        <v>46</v>
      </c>
      <c r="P46" s="10" t="s">
        <v>60</v>
      </c>
      <c r="Q46" s="10" t="s">
        <v>48</v>
      </c>
      <c r="R46" s="10" t="s">
        <v>49</v>
      </c>
      <c r="S46" s="5">
        <v>0</v>
      </c>
      <c r="T46" s="37">
        <v>0</v>
      </c>
      <c r="U46" s="5">
        <v>0</v>
      </c>
      <c r="V46" s="37">
        <v>0</v>
      </c>
      <c r="W46" s="5">
        <v>0</v>
      </c>
      <c r="X46" s="5">
        <v>0</v>
      </c>
      <c r="Y46" s="5">
        <v>0</v>
      </c>
      <c r="Z46" s="37">
        <v>0</v>
      </c>
      <c r="AA46" s="5">
        <v>0</v>
      </c>
      <c r="AB46" s="5">
        <v>0</v>
      </c>
      <c r="AC46" s="5">
        <v>0</v>
      </c>
      <c r="AD46" s="5">
        <v>0</v>
      </c>
      <c r="AE46" s="10" t="s">
        <v>73</v>
      </c>
      <c r="AF46" s="10" t="s">
        <v>388</v>
      </c>
      <c r="AG46" s="10" t="s">
        <v>51</v>
      </c>
      <c r="AH46" s="10">
        <v>38730</v>
      </c>
      <c r="AI46" s="5">
        <v>1</v>
      </c>
      <c r="AJ46" s="10" t="s">
        <v>389</v>
      </c>
      <c r="AK46" s="10" t="s">
        <v>50</v>
      </c>
    </row>
    <row r="47" spans="1:37" ht="36.75" customHeight="1" x14ac:dyDescent="0.35">
      <c r="A47" s="5"/>
      <c r="B47" s="5" t="s">
        <v>37</v>
      </c>
      <c r="C47" s="73" t="str">
        <f t="shared" si="0"/>
        <v>Closed</v>
      </c>
      <c r="D47" s="45" t="s">
        <v>390</v>
      </c>
      <c r="E47" s="54" t="s">
        <v>391</v>
      </c>
      <c r="F47" s="5" t="s">
        <v>40</v>
      </c>
      <c r="G47" s="10">
        <f>DATE(2005,12,31)</f>
        <v>38717</v>
      </c>
      <c r="H47" s="35">
        <v>1.3847222222222222</v>
      </c>
      <c r="I47" s="5" t="s">
        <v>55</v>
      </c>
      <c r="J47" s="10" t="s">
        <v>392</v>
      </c>
      <c r="K47" s="5" t="s">
        <v>43</v>
      </c>
      <c r="L47" s="5" t="s">
        <v>393</v>
      </c>
      <c r="M47" s="5" t="s">
        <v>45</v>
      </c>
      <c r="N47" s="5" t="s">
        <v>80</v>
      </c>
      <c r="O47" s="5" t="s">
        <v>71</v>
      </c>
      <c r="P47" s="10" t="s">
        <v>72</v>
      </c>
      <c r="Q47" s="10" t="s">
        <v>48</v>
      </c>
      <c r="R47" s="10" t="s">
        <v>49</v>
      </c>
      <c r="S47" s="5">
        <v>0</v>
      </c>
      <c r="T47" s="37">
        <v>0</v>
      </c>
      <c r="U47" s="5">
        <v>0</v>
      </c>
      <c r="V47" s="37">
        <v>0</v>
      </c>
      <c r="W47" s="5">
        <v>0</v>
      </c>
      <c r="X47" s="5">
        <v>0</v>
      </c>
      <c r="Y47" s="5">
        <v>0</v>
      </c>
      <c r="Z47" s="37">
        <v>1</v>
      </c>
      <c r="AA47" s="5">
        <v>0</v>
      </c>
      <c r="AB47" s="5">
        <v>0</v>
      </c>
      <c r="AC47" s="5">
        <v>0</v>
      </c>
      <c r="AD47" s="5">
        <v>1</v>
      </c>
      <c r="AE47" s="10" t="s">
        <v>73</v>
      </c>
      <c r="AF47" s="10" t="s">
        <v>394</v>
      </c>
      <c r="AG47" s="10" t="s">
        <v>114</v>
      </c>
      <c r="AH47" s="10">
        <v>38730</v>
      </c>
      <c r="AI47" s="5">
        <v>2</v>
      </c>
      <c r="AJ47" s="10" t="s">
        <v>395</v>
      </c>
      <c r="AK47" s="10" t="s">
        <v>396</v>
      </c>
    </row>
    <row r="48" spans="1:37" ht="36.75" customHeight="1" x14ac:dyDescent="0.35">
      <c r="A48" s="5"/>
      <c r="B48" s="5" t="s">
        <v>37</v>
      </c>
      <c r="C48" s="73" t="str">
        <f t="shared" si="0"/>
        <v>Closed</v>
      </c>
      <c r="D48" s="45" t="s">
        <v>397</v>
      </c>
      <c r="E48" s="54" t="s">
        <v>398</v>
      </c>
      <c r="F48" s="5" t="s">
        <v>178</v>
      </c>
      <c r="G48" s="10">
        <f>DATE(2006,1,3)</f>
        <v>38720</v>
      </c>
      <c r="H48" s="35">
        <v>1.3819444444444444</v>
      </c>
      <c r="I48" s="5" t="s">
        <v>55</v>
      </c>
      <c r="J48" s="10" t="s">
        <v>399</v>
      </c>
      <c r="K48" s="5" t="s">
        <v>181</v>
      </c>
      <c r="L48" s="5" t="s">
        <v>400</v>
      </c>
      <c r="M48" s="5" t="s">
        <v>45</v>
      </c>
      <c r="N48" s="5">
        <v>0</v>
      </c>
      <c r="O48" s="5" t="s">
        <v>59</v>
      </c>
      <c r="P48" s="10" t="s">
        <v>146</v>
      </c>
      <c r="Q48" s="10" t="s">
        <v>183</v>
      </c>
      <c r="R48" s="10" t="s">
        <v>184</v>
      </c>
      <c r="S48" s="5">
        <v>0</v>
      </c>
      <c r="T48" s="37" t="s">
        <v>50</v>
      </c>
      <c r="U48" s="5">
        <v>0</v>
      </c>
      <c r="V48" s="37" t="s">
        <v>50</v>
      </c>
      <c r="W48" s="5">
        <v>0</v>
      </c>
      <c r="X48" s="5">
        <v>0</v>
      </c>
      <c r="Y48" s="5">
        <v>0</v>
      </c>
      <c r="Z48" s="37" t="s">
        <v>50</v>
      </c>
      <c r="AA48" s="5">
        <v>0</v>
      </c>
      <c r="AB48" s="5">
        <v>0</v>
      </c>
      <c r="AC48" s="5">
        <v>0</v>
      </c>
      <c r="AD48" s="5">
        <v>0</v>
      </c>
      <c r="AE48" s="10" t="s">
        <v>50</v>
      </c>
      <c r="AF48" s="10" t="s">
        <v>401</v>
      </c>
      <c r="AG48" s="10" t="s">
        <v>114</v>
      </c>
      <c r="AH48" s="10" t="s">
        <v>50</v>
      </c>
      <c r="AI48" s="5">
        <v>2</v>
      </c>
      <c r="AJ48" s="10" t="s">
        <v>50</v>
      </c>
      <c r="AK48" s="10" t="s">
        <v>50</v>
      </c>
    </row>
    <row r="49" spans="1:37" ht="36.75" customHeight="1" x14ac:dyDescent="0.35">
      <c r="A49" s="5"/>
      <c r="B49" s="5" t="s">
        <v>37</v>
      </c>
      <c r="C49" s="73" t="str">
        <f t="shared" si="0"/>
        <v>Closed</v>
      </c>
      <c r="D49" s="45" t="s">
        <v>402</v>
      </c>
      <c r="E49" s="54" t="s">
        <v>403</v>
      </c>
      <c r="F49" s="5" t="s">
        <v>404</v>
      </c>
      <c r="G49" s="10">
        <f>DATE(2006,1,3)</f>
        <v>38720</v>
      </c>
      <c r="H49" s="35">
        <v>1.3159722222222223</v>
      </c>
      <c r="I49" s="5" t="s">
        <v>55</v>
      </c>
      <c r="J49" s="10" t="s">
        <v>405</v>
      </c>
      <c r="K49" s="5" t="s">
        <v>406</v>
      </c>
      <c r="L49" s="5" t="s">
        <v>407</v>
      </c>
      <c r="M49" s="5" t="s">
        <v>45</v>
      </c>
      <c r="N49" s="5">
        <v>0</v>
      </c>
      <c r="O49" s="5" t="s">
        <v>59</v>
      </c>
      <c r="P49" s="10" t="s">
        <v>60</v>
      </c>
      <c r="Q49" s="10" t="s">
        <v>408</v>
      </c>
      <c r="R49" s="10" t="s">
        <v>408</v>
      </c>
      <c r="S49" s="5">
        <v>0</v>
      </c>
      <c r="T49" s="37" t="s">
        <v>50</v>
      </c>
      <c r="U49" s="5">
        <v>0</v>
      </c>
      <c r="V49" s="37" t="s">
        <v>50</v>
      </c>
      <c r="W49" s="5">
        <v>0</v>
      </c>
      <c r="X49" s="5">
        <v>0</v>
      </c>
      <c r="Y49" s="5">
        <v>0</v>
      </c>
      <c r="Z49" s="37" t="s">
        <v>50</v>
      </c>
      <c r="AA49" s="5">
        <v>0</v>
      </c>
      <c r="AB49" s="5">
        <v>0</v>
      </c>
      <c r="AC49" s="5">
        <v>0</v>
      </c>
      <c r="AD49" s="5">
        <v>0</v>
      </c>
      <c r="AE49" s="10" t="s">
        <v>50</v>
      </c>
      <c r="AF49" s="10" t="s">
        <v>409</v>
      </c>
      <c r="AG49" s="10" t="s">
        <v>64</v>
      </c>
      <c r="AH49" s="10" t="s">
        <v>50</v>
      </c>
      <c r="AI49" s="5">
        <v>0</v>
      </c>
      <c r="AJ49" s="10" t="s">
        <v>50</v>
      </c>
      <c r="AK49" s="10" t="s">
        <v>50</v>
      </c>
    </row>
    <row r="50" spans="1:37" ht="36.75" customHeight="1" x14ac:dyDescent="0.35">
      <c r="A50" s="5"/>
      <c r="B50" s="5" t="s">
        <v>37</v>
      </c>
      <c r="C50" s="73" t="str">
        <f t="shared" si="0"/>
        <v>Closed</v>
      </c>
      <c r="D50" s="45" t="s">
        <v>410</v>
      </c>
      <c r="E50" s="54" t="s">
        <v>411</v>
      </c>
      <c r="F50" s="5" t="s">
        <v>214</v>
      </c>
      <c r="G50" s="10">
        <f>DATE(2006,1,5)</f>
        <v>38722</v>
      </c>
      <c r="H50" s="35">
        <v>1.6666666666666665</v>
      </c>
      <c r="I50" s="5" t="s">
        <v>412</v>
      </c>
      <c r="J50" s="10" t="s">
        <v>413</v>
      </c>
      <c r="K50" s="5" t="s">
        <v>216</v>
      </c>
      <c r="L50" s="5" t="s">
        <v>414</v>
      </c>
      <c r="M50" s="5" t="s">
        <v>45</v>
      </c>
      <c r="N50" s="5">
        <v>0</v>
      </c>
      <c r="O50" s="5" t="s">
        <v>46</v>
      </c>
      <c r="P50" s="10" t="s">
        <v>60</v>
      </c>
      <c r="Q50" s="10" t="s">
        <v>415</v>
      </c>
      <c r="R50" s="10" t="s">
        <v>219</v>
      </c>
      <c r="S50" s="5">
        <v>0</v>
      </c>
      <c r="T50" s="37" t="s">
        <v>50</v>
      </c>
      <c r="U50" s="5">
        <v>0</v>
      </c>
      <c r="V50" s="37" t="s">
        <v>50</v>
      </c>
      <c r="W50" s="5">
        <v>0</v>
      </c>
      <c r="X50" s="5">
        <v>0</v>
      </c>
      <c r="Y50" s="5">
        <v>0</v>
      </c>
      <c r="Z50" s="37" t="s">
        <v>50</v>
      </c>
      <c r="AA50" s="5">
        <v>0</v>
      </c>
      <c r="AB50" s="5">
        <v>0</v>
      </c>
      <c r="AC50" s="5">
        <v>0</v>
      </c>
      <c r="AD50" s="5">
        <v>0</v>
      </c>
      <c r="AE50" s="10" t="s">
        <v>50</v>
      </c>
      <c r="AF50" s="10" t="s">
        <v>412</v>
      </c>
      <c r="AG50" s="10" t="s">
        <v>114</v>
      </c>
      <c r="AH50" s="10" t="s">
        <v>50</v>
      </c>
      <c r="AI50" s="5">
        <v>6</v>
      </c>
      <c r="AJ50" s="10" t="s">
        <v>416</v>
      </c>
      <c r="AK50" s="10" t="s">
        <v>417</v>
      </c>
    </row>
    <row r="51" spans="1:37" ht="36.75" customHeight="1" x14ac:dyDescent="0.35">
      <c r="A51" s="5"/>
      <c r="B51" s="5" t="s">
        <v>37</v>
      </c>
      <c r="C51" s="73" t="str">
        <f t="shared" si="0"/>
        <v>Closed</v>
      </c>
      <c r="D51" s="45" t="s">
        <v>418</v>
      </c>
      <c r="E51" s="54" t="s">
        <v>419</v>
      </c>
      <c r="F51" s="5" t="s">
        <v>178</v>
      </c>
      <c r="G51" s="10">
        <f>DATE(2006,1,8)</f>
        <v>38725</v>
      </c>
      <c r="H51" s="35">
        <v>1.8180555555555555</v>
      </c>
      <c r="I51" s="5" t="s">
        <v>55</v>
      </c>
      <c r="J51" s="10" t="s">
        <v>420</v>
      </c>
      <c r="K51" s="5" t="s">
        <v>181</v>
      </c>
      <c r="L51" s="5" t="s">
        <v>421</v>
      </c>
      <c r="M51" s="5" t="s">
        <v>45</v>
      </c>
      <c r="N51" s="5">
        <v>0</v>
      </c>
      <c r="O51" s="5" t="s">
        <v>59</v>
      </c>
      <c r="P51" s="10" t="s">
        <v>146</v>
      </c>
      <c r="Q51" s="10" t="s">
        <v>183</v>
      </c>
      <c r="R51" s="10" t="s">
        <v>184</v>
      </c>
      <c r="S51" s="5">
        <v>0</v>
      </c>
      <c r="T51" s="37" t="s">
        <v>50</v>
      </c>
      <c r="U51" s="5">
        <v>0</v>
      </c>
      <c r="V51" s="37" t="s">
        <v>50</v>
      </c>
      <c r="W51" s="5">
        <v>0</v>
      </c>
      <c r="X51" s="5">
        <v>0</v>
      </c>
      <c r="Y51" s="5">
        <v>0</v>
      </c>
      <c r="Z51" s="37" t="s">
        <v>50</v>
      </c>
      <c r="AA51" s="5">
        <v>0</v>
      </c>
      <c r="AB51" s="5">
        <v>0</v>
      </c>
      <c r="AC51" s="5">
        <v>0</v>
      </c>
      <c r="AD51" s="5">
        <v>0</v>
      </c>
      <c r="AE51" s="10" t="s">
        <v>50</v>
      </c>
      <c r="AF51" s="10" t="s">
        <v>422</v>
      </c>
      <c r="AG51" s="10" t="s">
        <v>114</v>
      </c>
      <c r="AH51" s="10" t="s">
        <v>50</v>
      </c>
      <c r="AI51" s="5">
        <v>2</v>
      </c>
      <c r="AJ51" s="10" t="s">
        <v>50</v>
      </c>
      <c r="AK51" s="10" t="s">
        <v>50</v>
      </c>
    </row>
    <row r="52" spans="1:37" ht="36.75" customHeight="1" x14ac:dyDescent="0.35">
      <c r="A52" s="5"/>
      <c r="B52" s="5" t="s">
        <v>37</v>
      </c>
      <c r="C52" s="73" t="str">
        <f t="shared" si="0"/>
        <v>Closed</v>
      </c>
      <c r="D52" s="45" t="s">
        <v>423</v>
      </c>
      <c r="E52" s="54" t="s">
        <v>424</v>
      </c>
      <c r="F52" s="5" t="s">
        <v>214</v>
      </c>
      <c r="G52" s="10">
        <f>DATE(2006,1,8)</f>
        <v>38725</v>
      </c>
      <c r="H52" s="35">
        <v>1.7638888888888888</v>
      </c>
      <c r="I52" s="5" t="s">
        <v>97</v>
      </c>
      <c r="J52" s="10" t="s">
        <v>425</v>
      </c>
      <c r="K52" s="5" t="s">
        <v>216</v>
      </c>
      <c r="L52" s="5" t="s">
        <v>426</v>
      </c>
      <c r="M52" s="5" t="s">
        <v>45</v>
      </c>
      <c r="N52" s="5">
        <v>0</v>
      </c>
      <c r="O52" s="5" t="s">
        <v>46</v>
      </c>
      <c r="P52" s="10" t="s">
        <v>146</v>
      </c>
      <c r="Q52" s="10" t="s">
        <v>427</v>
      </c>
      <c r="R52" s="10" t="s">
        <v>219</v>
      </c>
      <c r="S52" s="5">
        <v>0</v>
      </c>
      <c r="T52" s="37">
        <v>0</v>
      </c>
      <c r="U52" s="5">
        <v>0</v>
      </c>
      <c r="V52" s="37">
        <v>0</v>
      </c>
      <c r="W52" s="5">
        <v>0</v>
      </c>
      <c r="X52" s="5">
        <v>0</v>
      </c>
      <c r="Y52" s="5">
        <v>0</v>
      </c>
      <c r="Z52" s="37">
        <v>0</v>
      </c>
      <c r="AA52" s="5">
        <v>1</v>
      </c>
      <c r="AB52" s="5">
        <v>0</v>
      </c>
      <c r="AC52" s="5">
        <v>0</v>
      </c>
      <c r="AD52" s="5">
        <v>1</v>
      </c>
      <c r="AE52" s="10" t="s">
        <v>50</v>
      </c>
      <c r="AF52" s="10" t="s">
        <v>50</v>
      </c>
      <c r="AG52" s="10" t="s">
        <v>114</v>
      </c>
      <c r="AH52" s="10" t="s">
        <v>50</v>
      </c>
      <c r="AI52" s="5">
        <v>0</v>
      </c>
      <c r="AJ52" s="10" t="s">
        <v>428</v>
      </c>
      <c r="AK52" s="10" t="s">
        <v>429</v>
      </c>
    </row>
    <row r="53" spans="1:37" ht="36.75" customHeight="1" x14ac:dyDescent="0.35">
      <c r="A53" s="5"/>
      <c r="B53" s="5" t="s">
        <v>37</v>
      </c>
      <c r="C53" s="73" t="str">
        <f t="shared" si="0"/>
        <v>Closed</v>
      </c>
      <c r="D53" s="45" t="s">
        <v>430</v>
      </c>
      <c r="E53" s="54" t="s">
        <v>431</v>
      </c>
      <c r="F53" s="5" t="s">
        <v>432</v>
      </c>
      <c r="G53" s="10">
        <f>DATE(2006,1,11)</f>
        <v>38728</v>
      </c>
      <c r="H53" s="35">
        <v>1.1902777777777778</v>
      </c>
      <c r="I53" s="5" t="s">
        <v>55</v>
      </c>
      <c r="J53" s="10" t="s">
        <v>433</v>
      </c>
      <c r="K53" s="5" t="s">
        <v>434</v>
      </c>
      <c r="L53" s="5" t="s">
        <v>435</v>
      </c>
      <c r="M53" s="5" t="s">
        <v>45</v>
      </c>
      <c r="N53" s="5">
        <v>0</v>
      </c>
      <c r="O53" s="5" t="s">
        <v>59</v>
      </c>
      <c r="P53" s="10" t="s">
        <v>146</v>
      </c>
      <c r="Q53" s="10" t="s">
        <v>436</v>
      </c>
      <c r="R53" s="10" t="s">
        <v>437</v>
      </c>
      <c r="S53" s="5">
        <v>0</v>
      </c>
      <c r="T53" s="37" t="s">
        <v>50</v>
      </c>
      <c r="U53" s="5">
        <v>0</v>
      </c>
      <c r="V53" s="37" t="s">
        <v>50</v>
      </c>
      <c r="W53" s="5">
        <v>0</v>
      </c>
      <c r="X53" s="5">
        <v>0</v>
      </c>
      <c r="Y53" s="5">
        <v>0</v>
      </c>
      <c r="Z53" s="37" t="s">
        <v>50</v>
      </c>
      <c r="AA53" s="5">
        <v>0</v>
      </c>
      <c r="AB53" s="5">
        <v>0</v>
      </c>
      <c r="AC53" s="5">
        <v>0</v>
      </c>
      <c r="AD53" s="5">
        <v>0</v>
      </c>
      <c r="AE53" s="10" t="s">
        <v>50</v>
      </c>
      <c r="AF53" s="10" t="s">
        <v>438</v>
      </c>
      <c r="AG53" s="10" t="s">
        <v>114</v>
      </c>
      <c r="AH53" s="10" t="s">
        <v>50</v>
      </c>
      <c r="AI53" s="5">
        <v>1</v>
      </c>
      <c r="AJ53" s="10" t="s">
        <v>50</v>
      </c>
      <c r="AK53" s="10" t="s">
        <v>50</v>
      </c>
    </row>
    <row r="54" spans="1:37" ht="36.75" customHeight="1" x14ac:dyDescent="0.35">
      <c r="A54" s="5"/>
      <c r="B54" s="5" t="s">
        <v>37</v>
      </c>
      <c r="C54" s="73" t="str">
        <f t="shared" si="0"/>
        <v>Closed</v>
      </c>
      <c r="D54" s="45" t="s">
        <v>439</v>
      </c>
      <c r="E54" s="54" t="s">
        <v>440</v>
      </c>
      <c r="F54" s="5" t="s">
        <v>214</v>
      </c>
      <c r="G54" s="10">
        <f>DATE(2006,1,11)</f>
        <v>38728</v>
      </c>
      <c r="H54" s="35">
        <v>1.9826388888888888</v>
      </c>
      <c r="I54" s="5" t="s">
        <v>67</v>
      </c>
      <c r="J54" s="10" t="s">
        <v>441</v>
      </c>
      <c r="K54" s="5" t="s">
        <v>216</v>
      </c>
      <c r="L54" s="5" t="s">
        <v>442</v>
      </c>
      <c r="M54" s="5" t="s">
        <v>45</v>
      </c>
      <c r="N54" s="5">
        <v>0</v>
      </c>
      <c r="O54" s="5" t="s">
        <v>46</v>
      </c>
      <c r="P54" s="10" t="s">
        <v>443</v>
      </c>
      <c r="Q54" s="10" t="s">
        <v>289</v>
      </c>
      <c r="R54" s="10" t="s">
        <v>219</v>
      </c>
      <c r="S54" s="5">
        <v>0</v>
      </c>
      <c r="T54" s="37" t="s">
        <v>50</v>
      </c>
      <c r="U54" s="5">
        <v>0</v>
      </c>
      <c r="V54" s="37" t="s">
        <v>50</v>
      </c>
      <c r="W54" s="5">
        <v>0</v>
      </c>
      <c r="X54" s="5">
        <v>0</v>
      </c>
      <c r="Y54" s="5">
        <v>0</v>
      </c>
      <c r="Z54" s="37" t="s">
        <v>50</v>
      </c>
      <c r="AA54" s="5">
        <v>0</v>
      </c>
      <c r="AB54" s="5">
        <v>0</v>
      </c>
      <c r="AC54" s="5">
        <v>0</v>
      </c>
      <c r="AD54" s="5">
        <v>0</v>
      </c>
      <c r="AE54" s="10" t="s">
        <v>50</v>
      </c>
      <c r="AF54" s="10" t="s">
        <v>50</v>
      </c>
      <c r="AG54" s="10" t="s">
        <v>114</v>
      </c>
      <c r="AH54" s="10" t="s">
        <v>50</v>
      </c>
      <c r="AI54" s="5">
        <v>8</v>
      </c>
      <c r="AJ54" s="10" t="s">
        <v>444</v>
      </c>
      <c r="AK54" s="10" t="s">
        <v>445</v>
      </c>
    </row>
    <row r="55" spans="1:37" ht="36.75" customHeight="1" x14ac:dyDescent="0.35">
      <c r="A55" s="5"/>
      <c r="B55" s="5" t="s">
        <v>37</v>
      </c>
      <c r="C55" s="73" t="str">
        <f t="shared" si="0"/>
        <v>Closed</v>
      </c>
      <c r="D55" s="45" t="s">
        <v>446</v>
      </c>
      <c r="E55" s="54" t="s">
        <v>447</v>
      </c>
      <c r="F55" s="5" t="s">
        <v>214</v>
      </c>
      <c r="G55" s="10">
        <f>DATE(2006,1,12)</f>
        <v>38729</v>
      </c>
      <c r="H55" s="35">
        <v>1.2298611111111111</v>
      </c>
      <c r="I55" s="5" t="s">
        <v>67</v>
      </c>
      <c r="J55" s="10" t="s">
        <v>448</v>
      </c>
      <c r="K55" s="5" t="s">
        <v>216</v>
      </c>
      <c r="L55" s="5" t="s">
        <v>449</v>
      </c>
      <c r="M55" s="5" t="s">
        <v>45</v>
      </c>
      <c r="N55" s="5">
        <v>0</v>
      </c>
      <c r="O55" s="5" t="s">
        <v>46</v>
      </c>
      <c r="P55" s="10" t="s">
        <v>146</v>
      </c>
      <c r="Q55" s="10" t="s">
        <v>450</v>
      </c>
      <c r="R55" s="10" t="s">
        <v>219</v>
      </c>
      <c r="S55" s="5">
        <v>0</v>
      </c>
      <c r="T55" s="37" t="s">
        <v>50</v>
      </c>
      <c r="U55" s="5">
        <v>0</v>
      </c>
      <c r="V55" s="37" t="s">
        <v>50</v>
      </c>
      <c r="W55" s="5">
        <v>0</v>
      </c>
      <c r="X55" s="5">
        <v>0</v>
      </c>
      <c r="Y55" s="5">
        <v>0</v>
      </c>
      <c r="Z55" s="37" t="s">
        <v>50</v>
      </c>
      <c r="AA55" s="5">
        <v>0</v>
      </c>
      <c r="AB55" s="5">
        <v>0</v>
      </c>
      <c r="AC55" s="5">
        <v>0</v>
      </c>
      <c r="AD55" s="5">
        <v>0</v>
      </c>
      <c r="AE55" s="10" t="s">
        <v>50</v>
      </c>
      <c r="AF55" s="10" t="s">
        <v>50</v>
      </c>
      <c r="AG55" s="10" t="s">
        <v>114</v>
      </c>
      <c r="AH55" s="10" t="s">
        <v>50</v>
      </c>
      <c r="AI55" s="5">
        <v>2</v>
      </c>
      <c r="AJ55" s="10" t="s">
        <v>451</v>
      </c>
      <c r="AK55" s="10" t="s">
        <v>452</v>
      </c>
    </row>
    <row r="56" spans="1:37" ht="36.75" customHeight="1" x14ac:dyDescent="0.35">
      <c r="A56" s="5"/>
      <c r="B56" s="5" t="s">
        <v>37</v>
      </c>
      <c r="C56" s="73" t="str">
        <f t="shared" si="0"/>
        <v>Closed</v>
      </c>
      <c r="D56" s="45" t="s">
        <v>453</v>
      </c>
      <c r="E56" s="54" t="s">
        <v>454</v>
      </c>
      <c r="F56" s="5" t="s">
        <v>214</v>
      </c>
      <c r="G56" s="10">
        <f>DATE(2006,1,14)</f>
        <v>38731</v>
      </c>
      <c r="H56" s="35">
        <v>1.6270833333333332</v>
      </c>
      <c r="I56" s="5" t="s">
        <v>55</v>
      </c>
      <c r="J56" s="10" t="s">
        <v>455</v>
      </c>
      <c r="K56" s="5" t="s">
        <v>216</v>
      </c>
      <c r="L56" s="5" t="s">
        <v>456</v>
      </c>
      <c r="M56" s="5" t="s">
        <v>45</v>
      </c>
      <c r="N56" s="5">
        <v>0</v>
      </c>
      <c r="O56" s="5" t="s">
        <v>46</v>
      </c>
      <c r="P56" s="10" t="s">
        <v>60</v>
      </c>
      <c r="Q56" s="10" t="s">
        <v>218</v>
      </c>
      <c r="R56" s="10" t="s">
        <v>219</v>
      </c>
      <c r="S56" s="5">
        <v>0</v>
      </c>
      <c r="T56" s="37" t="s">
        <v>50</v>
      </c>
      <c r="U56" s="5">
        <v>0</v>
      </c>
      <c r="V56" s="37" t="s">
        <v>50</v>
      </c>
      <c r="W56" s="5">
        <v>0</v>
      </c>
      <c r="X56" s="5">
        <v>0</v>
      </c>
      <c r="Y56" s="5">
        <v>0</v>
      </c>
      <c r="Z56" s="37" t="s">
        <v>50</v>
      </c>
      <c r="AA56" s="5">
        <v>0</v>
      </c>
      <c r="AB56" s="5">
        <v>0</v>
      </c>
      <c r="AC56" s="5">
        <v>0</v>
      </c>
      <c r="AD56" s="5">
        <v>0</v>
      </c>
      <c r="AE56" s="10" t="s">
        <v>50</v>
      </c>
      <c r="AF56" s="10" t="s">
        <v>50</v>
      </c>
      <c r="AG56" s="10" t="s">
        <v>114</v>
      </c>
      <c r="AH56" s="10" t="s">
        <v>50</v>
      </c>
      <c r="AI56" s="5">
        <v>3</v>
      </c>
      <c r="AJ56" s="10" t="s">
        <v>457</v>
      </c>
      <c r="AK56" s="10" t="s">
        <v>458</v>
      </c>
    </row>
    <row r="57" spans="1:37" ht="36.75" customHeight="1" x14ac:dyDescent="0.35">
      <c r="A57" s="5"/>
      <c r="B57" s="5" t="s">
        <v>37</v>
      </c>
      <c r="C57" s="73" t="str">
        <f t="shared" si="0"/>
        <v>Closed</v>
      </c>
      <c r="D57" s="45" t="s">
        <v>459</v>
      </c>
      <c r="E57" s="54" t="s">
        <v>460</v>
      </c>
      <c r="F57" s="5" t="s">
        <v>214</v>
      </c>
      <c r="G57" s="10">
        <f>DATE(2006,1,18)</f>
        <v>38735</v>
      </c>
      <c r="H57" s="35">
        <v>1.9722222222222223</v>
      </c>
      <c r="I57" s="5" t="s">
        <v>55</v>
      </c>
      <c r="J57" s="10" t="s">
        <v>461</v>
      </c>
      <c r="K57" s="5" t="s">
        <v>216</v>
      </c>
      <c r="L57" s="5" t="s">
        <v>462</v>
      </c>
      <c r="M57" s="5" t="s">
        <v>45</v>
      </c>
      <c r="N57" s="5">
        <v>0</v>
      </c>
      <c r="O57" s="5" t="s">
        <v>59</v>
      </c>
      <c r="P57" s="10" t="s">
        <v>60</v>
      </c>
      <c r="Q57" s="10" t="s">
        <v>218</v>
      </c>
      <c r="R57" s="10" t="s">
        <v>219</v>
      </c>
      <c r="S57" s="5">
        <v>0</v>
      </c>
      <c r="T57" s="37" t="s">
        <v>50</v>
      </c>
      <c r="U57" s="5">
        <v>0</v>
      </c>
      <c r="V57" s="37" t="s">
        <v>50</v>
      </c>
      <c r="W57" s="5">
        <v>0</v>
      </c>
      <c r="X57" s="5">
        <v>0</v>
      </c>
      <c r="Y57" s="5">
        <v>0</v>
      </c>
      <c r="Z57" s="37" t="s">
        <v>50</v>
      </c>
      <c r="AA57" s="5">
        <v>0</v>
      </c>
      <c r="AB57" s="5">
        <v>0</v>
      </c>
      <c r="AC57" s="5">
        <v>0</v>
      </c>
      <c r="AD57" s="5">
        <v>0</v>
      </c>
      <c r="AE57" s="10" t="s">
        <v>50</v>
      </c>
      <c r="AF57" s="10" t="s">
        <v>463</v>
      </c>
      <c r="AG57" s="10" t="s">
        <v>114</v>
      </c>
      <c r="AH57" s="10" t="s">
        <v>50</v>
      </c>
      <c r="AI57" s="5">
        <v>4</v>
      </c>
      <c r="AJ57" s="10" t="s">
        <v>464</v>
      </c>
      <c r="AK57" s="10" t="s">
        <v>465</v>
      </c>
    </row>
    <row r="58" spans="1:37" ht="36.75" customHeight="1" x14ac:dyDescent="0.35">
      <c r="A58" s="5"/>
      <c r="B58" s="5" t="s">
        <v>37</v>
      </c>
      <c r="C58" s="73" t="str">
        <f t="shared" si="0"/>
        <v>Closed</v>
      </c>
      <c r="D58" s="45" t="s">
        <v>466</v>
      </c>
      <c r="E58" s="54" t="s">
        <v>467</v>
      </c>
      <c r="F58" s="5" t="s">
        <v>119</v>
      </c>
      <c r="G58" s="10">
        <f>DATE(2006,1,19)</f>
        <v>38736</v>
      </c>
      <c r="H58" s="35">
        <v>1.3833333333333333</v>
      </c>
      <c r="I58" s="5" t="s">
        <v>468</v>
      </c>
      <c r="J58" s="10" t="s">
        <v>469</v>
      </c>
      <c r="K58" s="5" t="s">
        <v>121</v>
      </c>
      <c r="L58" s="5" t="s">
        <v>470</v>
      </c>
      <c r="M58" s="5" t="s">
        <v>45</v>
      </c>
      <c r="N58" s="5" t="s">
        <v>70</v>
      </c>
      <c r="O58" s="5" t="s">
        <v>59</v>
      </c>
      <c r="P58" s="10" t="s">
        <v>146</v>
      </c>
      <c r="Q58" s="10" t="s">
        <v>471</v>
      </c>
      <c r="R58" s="10" t="s">
        <v>125</v>
      </c>
      <c r="S58" s="5">
        <v>0</v>
      </c>
      <c r="T58" s="37">
        <v>0</v>
      </c>
      <c r="U58" s="5">
        <v>0</v>
      </c>
      <c r="V58" s="37">
        <v>0</v>
      </c>
      <c r="W58" s="5">
        <v>0</v>
      </c>
      <c r="X58" s="5">
        <v>0</v>
      </c>
      <c r="Y58" s="5">
        <v>0</v>
      </c>
      <c r="Z58" s="37">
        <v>0</v>
      </c>
      <c r="AA58" s="5">
        <v>0</v>
      </c>
      <c r="AB58" s="5">
        <v>0</v>
      </c>
      <c r="AC58" s="5">
        <v>0</v>
      </c>
      <c r="AD58" s="5">
        <v>0</v>
      </c>
      <c r="AE58" s="10" t="s">
        <v>73</v>
      </c>
      <c r="AF58" s="10" t="s">
        <v>50</v>
      </c>
      <c r="AG58" s="10" t="s">
        <v>114</v>
      </c>
      <c r="AH58" s="10">
        <v>38961</v>
      </c>
      <c r="AI58" s="5">
        <v>2</v>
      </c>
      <c r="AJ58" s="10" t="s">
        <v>472</v>
      </c>
      <c r="AK58" s="10" t="s">
        <v>473</v>
      </c>
    </row>
    <row r="59" spans="1:37" ht="36.75" customHeight="1" x14ac:dyDescent="0.35">
      <c r="A59" s="5"/>
      <c r="B59" s="5" t="s">
        <v>37</v>
      </c>
      <c r="C59" s="73" t="str">
        <f t="shared" si="0"/>
        <v>Closed</v>
      </c>
      <c r="D59" s="45" t="s">
        <v>474</v>
      </c>
      <c r="E59" s="54" t="s">
        <v>475</v>
      </c>
      <c r="F59" s="5" t="s">
        <v>432</v>
      </c>
      <c r="G59" s="10">
        <f>DATE(2006,1,21)</f>
        <v>38738</v>
      </c>
      <c r="H59" s="35">
        <v>1.5069444444444444</v>
      </c>
      <c r="I59" s="5" t="s">
        <v>97</v>
      </c>
      <c r="J59" s="10" t="s">
        <v>476</v>
      </c>
      <c r="K59" s="5" t="s">
        <v>434</v>
      </c>
      <c r="L59" s="5" t="s">
        <v>477</v>
      </c>
      <c r="M59" s="5" t="s">
        <v>45</v>
      </c>
      <c r="N59" s="5" t="s">
        <v>80</v>
      </c>
      <c r="O59" s="5" t="s">
        <v>46</v>
      </c>
      <c r="P59" s="10" t="s">
        <v>146</v>
      </c>
      <c r="Q59" s="10" t="s">
        <v>478</v>
      </c>
      <c r="R59" s="10" t="s">
        <v>479</v>
      </c>
      <c r="S59" s="5">
        <v>0</v>
      </c>
      <c r="T59" s="37">
        <v>0</v>
      </c>
      <c r="U59" s="5">
        <v>1</v>
      </c>
      <c r="V59" s="37">
        <v>0</v>
      </c>
      <c r="W59" s="5">
        <v>0</v>
      </c>
      <c r="X59" s="5">
        <v>1</v>
      </c>
      <c r="Y59" s="5">
        <v>0</v>
      </c>
      <c r="Z59" s="37">
        <v>0</v>
      </c>
      <c r="AA59" s="5">
        <v>0</v>
      </c>
      <c r="AB59" s="5">
        <v>0</v>
      </c>
      <c r="AC59" s="5">
        <v>0</v>
      </c>
      <c r="AD59" s="5">
        <v>0</v>
      </c>
      <c r="AE59" s="10" t="s">
        <v>73</v>
      </c>
      <c r="AF59" s="10" t="s">
        <v>480</v>
      </c>
      <c r="AG59" s="10" t="s">
        <v>64</v>
      </c>
      <c r="AH59" s="10">
        <v>38738</v>
      </c>
      <c r="AI59" s="5">
        <v>1</v>
      </c>
      <c r="AJ59" s="10" t="s">
        <v>481</v>
      </c>
      <c r="AK59" s="10" t="s">
        <v>50</v>
      </c>
    </row>
    <row r="60" spans="1:37" ht="36.75" customHeight="1" x14ac:dyDescent="0.35">
      <c r="A60" s="5"/>
      <c r="B60" s="5" t="s">
        <v>37</v>
      </c>
      <c r="C60" s="73" t="str">
        <f t="shared" si="0"/>
        <v>Closed</v>
      </c>
      <c r="D60" s="45" t="s">
        <v>482</v>
      </c>
      <c r="E60" s="54" t="s">
        <v>483</v>
      </c>
      <c r="F60" s="5" t="s">
        <v>214</v>
      </c>
      <c r="G60" s="10">
        <f>DATE(2006,1,21)</f>
        <v>38738</v>
      </c>
      <c r="H60" s="35">
        <v>1.15625</v>
      </c>
      <c r="I60" s="5" t="s">
        <v>55</v>
      </c>
      <c r="J60" s="10" t="s">
        <v>484</v>
      </c>
      <c r="K60" s="5" t="s">
        <v>216</v>
      </c>
      <c r="L60" s="5" t="s">
        <v>485</v>
      </c>
      <c r="M60" s="5" t="s">
        <v>45</v>
      </c>
      <c r="N60" s="5">
        <v>0</v>
      </c>
      <c r="O60" s="5" t="s">
        <v>71</v>
      </c>
      <c r="P60" s="10" t="s">
        <v>60</v>
      </c>
      <c r="Q60" s="10" t="s">
        <v>218</v>
      </c>
      <c r="R60" s="10" t="s">
        <v>486</v>
      </c>
      <c r="S60" s="5">
        <v>0</v>
      </c>
      <c r="T60" s="37" t="s">
        <v>50</v>
      </c>
      <c r="U60" s="5">
        <v>0</v>
      </c>
      <c r="V60" s="37" t="s">
        <v>50</v>
      </c>
      <c r="W60" s="5">
        <v>0</v>
      </c>
      <c r="X60" s="5">
        <v>0</v>
      </c>
      <c r="Y60" s="5">
        <v>0</v>
      </c>
      <c r="Z60" s="37" t="s">
        <v>50</v>
      </c>
      <c r="AA60" s="5">
        <v>0</v>
      </c>
      <c r="AB60" s="5">
        <v>0</v>
      </c>
      <c r="AC60" s="5">
        <v>0</v>
      </c>
      <c r="AD60" s="5">
        <v>0</v>
      </c>
      <c r="AE60" s="10" t="s">
        <v>50</v>
      </c>
      <c r="AF60" s="10" t="s">
        <v>487</v>
      </c>
      <c r="AG60" s="10" t="s">
        <v>229</v>
      </c>
      <c r="AH60" s="10" t="s">
        <v>50</v>
      </c>
      <c r="AI60" s="5">
        <v>7</v>
      </c>
      <c r="AJ60" s="10" t="s">
        <v>488</v>
      </c>
      <c r="AK60" s="10" t="s">
        <v>489</v>
      </c>
    </row>
    <row r="61" spans="1:37" ht="36.75" customHeight="1" x14ac:dyDescent="0.35">
      <c r="A61" s="5"/>
      <c r="B61" s="5" t="s">
        <v>37</v>
      </c>
      <c r="C61" s="73" t="str">
        <f t="shared" si="0"/>
        <v>Closed</v>
      </c>
      <c r="D61" s="45" t="s">
        <v>490</v>
      </c>
      <c r="E61" s="54" t="s">
        <v>491</v>
      </c>
      <c r="F61" s="5" t="s">
        <v>214</v>
      </c>
      <c r="G61" s="10">
        <f>DATE(2006,1,27)</f>
        <v>38744</v>
      </c>
      <c r="H61" s="35">
        <v>1.7694444444444444</v>
      </c>
      <c r="I61" s="5" t="s">
        <v>137</v>
      </c>
      <c r="J61" s="10" t="s">
        <v>492</v>
      </c>
      <c r="K61" s="5" t="s">
        <v>216</v>
      </c>
      <c r="L61" s="5" t="s">
        <v>493</v>
      </c>
      <c r="M61" s="5" t="s">
        <v>45</v>
      </c>
      <c r="N61" s="5">
        <v>0</v>
      </c>
      <c r="O61" s="5" t="s">
        <v>59</v>
      </c>
      <c r="P61" s="10" t="s">
        <v>146</v>
      </c>
      <c r="Q61" s="10" t="s">
        <v>227</v>
      </c>
      <c r="R61" s="10" t="s">
        <v>219</v>
      </c>
      <c r="S61" s="5">
        <v>0</v>
      </c>
      <c r="T61" s="37" t="s">
        <v>50</v>
      </c>
      <c r="U61" s="5">
        <v>0</v>
      </c>
      <c r="V61" s="37" t="s">
        <v>50</v>
      </c>
      <c r="W61" s="5">
        <v>0</v>
      </c>
      <c r="X61" s="5">
        <v>0</v>
      </c>
      <c r="Y61" s="5">
        <v>0</v>
      </c>
      <c r="Z61" s="37" t="s">
        <v>50</v>
      </c>
      <c r="AA61" s="5">
        <v>0</v>
      </c>
      <c r="AB61" s="5">
        <v>0</v>
      </c>
      <c r="AC61" s="5">
        <v>0</v>
      </c>
      <c r="AD61" s="5">
        <v>0</v>
      </c>
      <c r="AE61" s="10" t="s">
        <v>50</v>
      </c>
      <c r="AF61" s="10" t="s">
        <v>50</v>
      </c>
      <c r="AG61" s="10" t="s">
        <v>114</v>
      </c>
      <c r="AH61" s="10" t="s">
        <v>50</v>
      </c>
      <c r="AI61" s="5">
        <v>2</v>
      </c>
      <c r="AJ61" s="10" t="s">
        <v>494</v>
      </c>
      <c r="AK61" s="10" t="s">
        <v>495</v>
      </c>
    </row>
    <row r="62" spans="1:37" ht="36.75" customHeight="1" x14ac:dyDescent="0.35">
      <c r="A62" s="5"/>
      <c r="B62" s="5" t="s">
        <v>37</v>
      </c>
      <c r="C62" s="73" t="str">
        <f t="shared" si="0"/>
        <v>Closed</v>
      </c>
      <c r="D62" s="45" t="s">
        <v>496</v>
      </c>
      <c r="E62" s="54" t="s">
        <v>497</v>
      </c>
      <c r="F62" s="5" t="s">
        <v>214</v>
      </c>
      <c r="G62" s="10">
        <f>DATE(2006,1,31)</f>
        <v>38748</v>
      </c>
      <c r="H62" s="35">
        <v>1.1006944444444444</v>
      </c>
      <c r="I62" s="5" t="s">
        <v>55</v>
      </c>
      <c r="J62" s="10" t="s">
        <v>498</v>
      </c>
      <c r="K62" s="5" t="s">
        <v>216</v>
      </c>
      <c r="L62" s="5" t="s">
        <v>499</v>
      </c>
      <c r="M62" s="5" t="s">
        <v>45</v>
      </c>
      <c r="N62" s="5">
        <v>0</v>
      </c>
      <c r="O62" s="5" t="s">
        <v>46</v>
      </c>
      <c r="P62" s="10" t="s">
        <v>60</v>
      </c>
      <c r="Q62" s="10" t="s">
        <v>218</v>
      </c>
      <c r="R62" s="10" t="s">
        <v>219</v>
      </c>
      <c r="S62" s="5">
        <v>0</v>
      </c>
      <c r="T62" s="37" t="s">
        <v>50</v>
      </c>
      <c r="U62" s="5">
        <v>0</v>
      </c>
      <c r="V62" s="37" t="s">
        <v>50</v>
      </c>
      <c r="W62" s="5">
        <v>0</v>
      </c>
      <c r="X62" s="5">
        <v>0</v>
      </c>
      <c r="Y62" s="5">
        <v>0</v>
      </c>
      <c r="Z62" s="37" t="s">
        <v>50</v>
      </c>
      <c r="AA62" s="5">
        <v>0</v>
      </c>
      <c r="AB62" s="5">
        <v>0</v>
      </c>
      <c r="AC62" s="5">
        <v>0</v>
      </c>
      <c r="AD62" s="5">
        <v>0</v>
      </c>
      <c r="AE62" s="10" t="s">
        <v>50</v>
      </c>
      <c r="AF62" s="10" t="s">
        <v>50</v>
      </c>
      <c r="AG62" s="10" t="s">
        <v>114</v>
      </c>
      <c r="AH62" s="10" t="s">
        <v>50</v>
      </c>
      <c r="AI62" s="5">
        <v>6</v>
      </c>
      <c r="AJ62" s="10" t="s">
        <v>500</v>
      </c>
      <c r="AK62" s="10" t="s">
        <v>501</v>
      </c>
    </row>
    <row r="63" spans="1:37" ht="36.75" customHeight="1" x14ac:dyDescent="0.35">
      <c r="A63" s="5"/>
      <c r="B63" s="5" t="s">
        <v>37</v>
      </c>
      <c r="C63" s="73" t="str">
        <f t="shared" si="0"/>
        <v>Closed</v>
      </c>
      <c r="D63" s="45" t="s">
        <v>502</v>
      </c>
      <c r="E63" s="54" t="s">
        <v>503</v>
      </c>
      <c r="F63" s="5" t="s">
        <v>214</v>
      </c>
      <c r="G63" s="10">
        <f>DATE(2006,2,4)</f>
        <v>38752</v>
      </c>
      <c r="H63" s="35">
        <v>1.4097222222222223</v>
      </c>
      <c r="I63" s="5" t="s">
        <v>179</v>
      </c>
      <c r="J63" s="10" t="s">
        <v>504</v>
      </c>
      <c r="K63" s="5" t="s">
        <v>216</v>
      </c>
      <c r="L63" s="5" t="s">
        <v>505</v>
      </c>
      <c r="M63" s="5" t="s">
        <v>45</v>
      </c>
      <c r="N63" s="5">
        <v>0</v>
      </c>
      <c r="O63" s="5" t="s">
        <v>59</v>
      </c>
      <c r="P63" s="10" t="s">
        <v>362</v>
      </c>
      <c r="Q63" s="10" t="s">
        <v>506</v>
      </c>
      <c r="R63" s="10" t="s">
        <v>507</v>
      </c>
      <c r="S63" s="5">
        <v>0</v>
      </c>
      <c r="T63" s="37" t="s">
        <v>50</v>
      </c>
      <c r="U63" s="5">
        <v>0</v>
      </c>
      <c r="V63" s="37" t="s">
        <v>50</v>
      </c>
      <c r="W63" s="5">
        <v>0</v>
      </c>
      <c r="X63" s="5">
        <v>0</v>
      </c>
      <c r="Y63" s="5">
        <v>0</v>
      </c>
      <c r="Z63" s="37" t="s">
        <v>50</v>
      </c>
      <c r="AA63" s="5">
        <v>0</v>
      </c>
      <c r="AB63" s="5">
        <v>0</v>
      </c>
      <c r="AC63" s="5">
        <v>0</v>
      </c>
      <c r="AD63" s="5">
        <v>0</v>
      </c>
      <c r="AE63" s="10" t="s">
        <v>50</v>
      </c>
      <c r="AF63" s="10" t="s">
        <v>50</v>
      </c>
      <c r="AG63" s="10" t="s">
        <v>229</v>
      </c>
      <c r="AH63" s="10" t="s">
        <v>50</v>
      </c>
      <c r="AI63" s="5">
        <v>4</v>
      </c>
      <c r="AJ63" s="10" t="s">
        <v>508</v>
      </c>
      <c r="AK63" s="10" t="s">
        <v>509</v>
      </c>
    </row>
    <row r="64" spans="1:37" ht="36.75" customHeight="1" x14ac:dyDescent="0.35">
      <c r="A64" s="5"/>
      <c r="B64" s="5" t="s">
        <v>37</v>
      </c>
      <c r="C64" s="73" t="str">
        <f t="shared" si="0"/>
        <v>Closed</v>
      </c>
      <c r="D64" s="45" t="s">
        <v>510</v>
      </c>
      <c r="E64" s="54" t="s">
        <v>511</v>
      </c>
      <c r="F64" s="5" t="s">
        <v>214</v>
      </c>
      <c r="G64" s="10">
        <f>DATE(2006,2,6)</f>
        <v>38754</v>
      </c>
      <c r="H64" s="35">
        <v>1.5555555555555556</v>
      </c>
      <c r="I64" s="5" t="s">
        <v>55</v>
      </c>
      <c r="J64" s="10" t="s">
        <v>512</v>
      </c>
      <c r="K64" s="5" t="s">
        <v>216</v>
      </c>
      <c r="L64" s="5" t="s">
        <v>513</v>
      </c>
      <c r="M64" s="5" t="s">
        <v>45</v>
      </c>
      <c r="N64" s="5">
        <v>0</v>
      </c>
      <c r="O64" s="5" t="s">
        <v>46</v>
      </c>
      <c r="P64" s="10" t="s">
        <v>60</v>
      </c>
      <c r="Q64" s="10" t="s">
        <v>218</v>
      </c>
      <c r="R64" s="10" t="s">
        <v>219</v>
      </c>
      <c r="S64" s="5">
        <v>0</v>
      </c>
      <c r="T64" s="37" t="s">
        <v>50</v>
      </c>
      <c r="U64" s="5">
        <v>0</v>
      </c>
      <c r="V64" s="37" t="s">
        <v>50</v>
      </c>
      <c r="W64" s="5">
        <v>0</v>
      </c>
      <c r="X64" s="5">
        <v>0</v>
      </c>
      <c r="Y64" s="5">
        <v>0</v>
      </c>
      <c r="Z64" s="37" t="s">
        <v>50</v>
      </c>
      <c r="AA64" s="5">
        <v>0</v>
      </c>
      <c r="AB64" s="5">
        <v>0</v>
      </c>
      <c r="AC64" s="5">
        <v>0</v>
      </c>
      <c r="AD64" s="5">
        <v>0</v>
      </c>
      <c r="AE64" s="10" t="s">
        <v>50</v>
      </c>
      <c r="AF64" s="10" t="s">
        <v>514</v>
      </c>
      <c r="AG64" s="10" t="s">
        <v>114</v>
      </c>
      <c r="AH64" s="10" t="s">
        <v>50</v>
      </c>
      <c r="AI64" s="5">
        <v>6</v>
      </c>
      <c r="AJ64" s="10" t="s">
        <v>515</v>
      </c>
      <c r="AK64" s="10" t="s">
        <v>516</v>
      </c>
    </row>
    <row r="65" spans="1:37" ht="36.75" customHeight="1" x14ac:dyDescent="0.35">
      <c r="A65" s="5"/>
      <c r="B65" s="5" t="s">
        <v>37</v>
      </c>
      <c r="C65" s="73" t="str">
        <f t="shared" si="0"/>
        <v>Closed</v>
      </c>
      <c r="D65" s="45" t="s">
        <v>517</v>
      </c>
      <c r="E65" s="54" t="s">
        <v>518</v>
      </c>
      <c r="F65" s="5" t="s">
        <v>214</v>
      </c>
      <c r="G65" s="10">
        <f>DATE(2006,2,9)</f>
        <v>38757</v>
      </c>
      <c r="H65" s="35">
        <v>1.2305555555555556</v>
      </c>
      <c r="I65" s="5" t="s">
        <v>55</v>
      </c>
      <c r="J65" s="10" t="s">
        <v>519</v>
      </c>
      <c r="K65" s="5" t="s">
        <v>216</v>
      </c>
      <c r="L65" s="5" t="s">
        <v>520</v>
      </c>
      <c r="M65" s="5" t="s">
        <v>45</v>
      </c>
      <c r="N65" s="5">
        <v>0</v>
      </c>
      <c r="O65" s="5" t="s">
        <v>46</v>
      </c>
      <c r="P65" s="10" t="s">
        <v>60</v>
      </c>
      <c r="Q65" s="10" t="s">
        <v>218</v>
      </c>
      <c r="R65" s="10" t="s">
        <v>219</v>
      </c>
      <c r="S65" s="5">
        <v>0</v>
      </c>
      <c r="T65" s="37" t="s">
        <v>50</v>
      </c>
      <c r="U65" s="5">
        <v>0</v>
      </c>
      <c r="V65" s="37" t="s">
        <v>50</v>
      </c>
      <c r="W65" s="5">
        <v>0</v>
      </c>
      <c r="X65" s="5">
        <v>0</v>
      </c>
      <c r="Y65" s="5">
        <v>0</v>
      </c>
      <c r="Z65" s="37" t="s">
        <v>50</v>
      </c>
      <c r="AA65" s="5">
        <v>0</v>
      </c>
      <c r="AB65" s="5">
        <v>0</v>
      </c>
      <c r="AC65" s="5">
        <v>0</v>
      </c>
      <c r="AD65" s="5">
        <v>0</v>
      </c>
      <c r="AE65" s="10" t="s">
        <v>50</v>
      </c>
      <c r="AF65" s="10" t="s">
        <v>50</v>
      </c>
      <c r="AG65" s="10" t="s">
        <v>114</v>
      </c>
      <c r="AH65" s="10" t="s">
        <v>50</v>
      </c>
      <c r="AI65" s="5">
        <v>10</v>
      </c>
      <c r="AJ65" s="10" t="s">
        <v>521</v>
      </c>
      <c r="AK65" s="10" t="s">
        <v>522</v>
      </c>
    </row>
    <row r="66" spans="1:37" ht="36.75" customHeight="1" x14ac:dyDescent="0.35">
      <c r="A66" s="5"/>
      <c r="B66" s="5" t="s">
        <v>37</v>
      </c>
      <c r="C66" s="73" t="str">
        <f t="shared" ref="C66:C129" si="1">IF(B66="Notification","Open",IF(B66="Interim Statement","In progress","Closed"))</f>
        <v>Closed</v>
      </c>
      <c r="D66" s="45" t="s">
        <v>523</v>
      </c>
      <c r="E66" s="54" t="s">
        <v>524</v>
      </c>
      <c r="F66" s="5" t="s">
        <v>214</v>
      </c>
      <c r="G66" s="10">
        <f>DATE(2006,2,15)</f>
        <v>38763</v>
      </c>
      <c r="H66" s="35">
        <v>1.6666666666666665</v>
      </c>
      <c r="I66" s="5" t="s">
        <v>259</v>
      </c>
      <c r="J66" s="10" t="s">
        <v>525</v>
      </c>
      <c r="K66" s="5" t="s">
        <v>216</v>
      </c>
      <c r="L66" s="5" t="s">
        <v>526</v>
      </c>
      <c r="M66" s="5" t="s">
        <v>45</v>
      </c>
      <c r="N66" s="5">
        <v>0</v>
      </c>
      <c r="O66" s="5" t="s">
        <v>59</v>
      </c>
      <c r="P66" s="10" t="s">
        <v>146</v>
      </c>
      <c r="Q66" s="10" t="s">
        <v>527</v>
      </c>
      <c r="R66" s="10" t="s">
        <v>219</v>
      </c>
      <c r="S66" s="5">
        <v>0</v>
      </c>
      <c r="T66" s="37">
        <v>0</v>
      </c>
      <c r="U66" s="5">
        <v>0</v>
      </c>
      <c r="V66" s="37">
        <v>0</v>
      </c>
      <c r="W66" s="5">
        <v>0</v>
      </c>
      <c r="X66" s="5">
        <v>0</v>
      </c>
      <c r="Y66" s="5">
        <v>0</v>
      </c>
      <c r="Z66" s="37">
        <v>0</v>
      </c>
      <c r="AA66" s="5">
        <v>0</v>
      </c>
      <c r="AB66" s="5">
        <v>0</v>
      </c>
      <c r="AC66" s="5">
        <v>1</v>
      </c>
      <c r="AD66" s="5">
        <v>1</v>
      </c>
      <c r="AE66" s="10" t="s">
        <v>50</v>
      </c>
      <c r="AF66" s="10" t="s">
        <v>50</v>
      </c>
      <c r="AG66" s="10" t="s">
        <v>114</v>
      </c>
      <c r="AH66" s="10" t="s">
        <v>50</v>
      </c>
      <c r="AI66" s="5">
        <v>6</v>
      </c>
      <c r="AJ66" s="10" t="s">
        <v>528</v>
      </c>
      <c r="AK66" s="10" t="s">
        <v>529</v>
      </c>
    </row>
    <row r="67" spans="1:37" ht="36.75" customHeight="1" x14ac:dyDescent="0.35">
      <c r="A67" s="5"/>
      <c r="B67" s="5" t="s">
        <v>37</v>
      </c>
      <c r="C67" s="73" t="str">
        <f t="shared" si="1"/>
        <v>Closed</v>
      </c>
      <c r="D67" s="45" t="s">
        <v>530</v>
      </c>
      <c r="E67" s="54" t="s">
        <v>531</v>
      </c>
      <c r="F67" s="5" t="s">
        <v>404</v>
      </c>
      <c r="G67" s="10">
        <f>DATE(2006,2,20)</f>
        <v>38768</v>
      </c>
      <c r="H67" s="35">
        <v>1.3416666666666666</v>
      </c>
      <c r="I67" s="5" t="s">
        <v>179</v>
      </c>
      <c r="J67" s="10" t="s">
        <v>532</v>
      </c>
      <c r="K67" s="5" t="s">
        <v>406</v>
      </c>
      <c r="L67" s="5" t="s">
        <v>533</v>
      </c>
      <c r="M67" s="5" t="s">
        <v>45</v>
      </c>
      <c r="N67" s="5">
        <v>0</v>
      </c>
      <c r="O67" s="5" t="s">
        <v>59</v>
      </c>
      <c r="P67" s="10" t="s">
        <v>534</v>
      </c>
      <c r="Q67" s="10" t="s">
        <v>535</v>
      </c>
      <c r="R67" s="10" t="s">
        <v>408</v>
      </c>
      <c r="S67" s="5">
        <v>0</v>
      </c>
      <c r="T67" s="37" t="s">
        <v>50</v>
      </c>
      <c r="U67" s="5">
        <v>0</v>
      </c>
      <c r="V67" s="37" t="s">
        <v>50</v>
      </c>
      <c r="W67" s="5">
        <v>0</v>
      </c>
      <c r="X67" s="5">
        <v>0</v>
      </c>
      <c r="Y67" s="5">
        <v>0</v>
      </c>
      <c r="Z67" s="37" t="s">
        <v>50</v>
      </c>
      <c r="AA67" s="5">
        <v>0</v>
      </c>
      <c r="AB67" s="5">
        <v>0</v>
      </c>
      <c r="AC67" s="5">
        <v>0</v>
      </c>
      <c r="AD67" s="5">
        <v>0</v>
      </c>
      <c r="AE67" s="10" t="s">
        <v>50</v>
      </c>
      <c r="AF67" s="10" t="s">
        <v>536</v>
      </c>
      <c r="AG67" s="10" t="s">
        <v>114</v>
      </c>
      <c r="AH67" s="10" t="s">
        <v>50</v>
      </c>
      <c r="AI67" s="5">
        <v>0</v>
      </c>
      <c r="AJ67" s="10" t="s">
        <v>50</v>
      </c>
      <c r="AK67" s="10" t="s">
        <v>50</v>
      </c>
    </row>
    <row r="68" spans="1:37" ht="36.75" customHeight="1" x14ac:dyDescent="0.35">
      <c r="A68" s="5"/>
      <c r="B68" s="5" t="s">
        <v>37</v>
      </c>
      <c r="C68" s="73" t="str">
        <f t="shared" si="1"/>
        <v>Closed</v>
      </c>
      <c r="D68" s="45" t="s">
        <v>537</v>
      </c>
      <c r="E68" s="54" t="s">
        <v>538</v>
      </c>
      <c r="F68" s="5" t="s">
        <v>214</v>
      </c>
      <c r="G68" s="10">
        <f>DATE(2006,2,21)</f>
        <v>38769</v>
      </c>
      <c r="H68" s="35">
        <v>1.8291666666666666</v>
      </c>
      <c r="I68" s="5" t="s">
        <v>67</v>
      </c>
      <c r="J68" s="10" t="s">
        <v>539</v>
      </c>
      <c r="K68" s="5" t="s">
        <v>216</v>
      </c>
      <c r="L68" s="5" t="s">
        <v>540</v>
      </c>
      <c r="M68" s="5" t="s">
        <v>45</v>
      </c>
      <c r="N68" s="5">
        <v>0</v>
      </c>
      <c r="O68" s="5" t="s">
        <v>71</v>
      </c>
      <c r="P68" s="10" t="s">
        <v>60</v>
      </c>
      <c r="Q68" s="10" t="s">
        <v>218</v>
      </c>
      <c r="R68" s="10" t="s">
        <v>219</v>
      </c>
      <c r="S68" s="5">
        <v>0</v>
      </c>
      <c r="T68" s="37" t="s">
        <v>50</v>
      </c>
      <c r="U68" s="5">
        <v>0</v>
      </c>
      <c r="V68" s="37" t="s">
        <v>50</v>
      </c>
      <c r="W68" s="5">
        <v>0</v>
      </c>
      <c r="X68" s="5">
        <v>0</v>
      </c>
      <c r="Y68" s="5">
        <v>0</v>
      </c>
      <c r="Z68" s="37" t="s">
        <v>50</v>
      </c>
      <c r="AA68" s="5">
        <v>0</v>
      </c>
      <c r="AB68" s="5">
        <v>0</v>
      </c>
      <c r="AC68" s="5">
        <v>0</v>
      </c>
      <c r="AD68" s="5">
        <v>0</v>
      </c>
      <c r="AE68" s="10" t="s">
        <v>50</v>
      </c>
      <c r="AF68" s="10" t="s">
        <v>50</v>
      </c>
      <c r="AG68" s="10" t="s">
        <v>114</v>
      </c>
      <c r="AH68" s="10" t="s">
        <v>50</v>
      </c>
      <c r="AI68" s="5">
        <v>5</v>
      </c>
      <c r="AJ68" s="10" t="s">
        <v>541</v>
      </c>
      <c r="AK68" s="10" t="s">
        <v>542</v>
      </c>
    </row>
    <row r="69" spans="1:37" ht="36.75" customHeight="1" x14ac:dyDescent="0.35">
      <c r="A69" s="5"/>
      <c r="B69" s="5" t="s">
        <v>37</v>
      </c>
      <c r="C69" s="73" t="str">
        <f t="shared" si="1"/>
        <v>Closed</v>
      </c>
      <c r="D69" s="45" t="s">
        <v>543</v>
      </c>
      <c r="E69" s="54" t="s">
        <v>544</v>
      </c>
      <c r="F69" s="5" t="s">
        <v>96</v>
      </c>
      <c r="G69" s="10">
        <f>DATE(2006,2,25)</f>
        <v>38773</v>
      </c>
      <c r="H69" s="35">
        <v>1.6145833333333335</v>
      </c>
      <c r="I69" s="5" t="s">
        <v>55</v>
      </c>
      <c r="J69" s="10" t="s">
        <v>545</v>
      </c>
      <c r="K69" s="5" t="s">
        <v>99</v>
      </c>
      <c r="L69" s="5" t="s">
        <v>546</v>
      </c>
      <c r="M69" s="5" t="s">
        <v>45</v>
      </c>
      <c r="N69" s="5">
        <v>0</v>
      </c>
      <c r="O69" s="5" t="s">
        <v>46</v>
      </c>
      <c r="P69" s="10" t="s">
        <v>47</v>
      </c>
      <c r="Q69" s="10" t="s">
        <v>101</v>
      </c>
      <c r="R69" s="10" t="s">
        <v>102</v>
      </c>
      <c r="S69" s="5">
        <v>0</v>
      </c>
      <c r="T69" s="37" t="s">
        <v>50</v>
      </c>
      <c r="U69" s="5">
        <v>0</v>
      </c>
      <c r="V69" s="37" t="s">
        <v>50</v>
      </c>
      <c r="W69" s="5">
        <v>0</v>
      </c>
      <c r="X69" s="5">
        <v>0</v>
      </c>
      <c r="Y69" s="5">
        <v>0</v>
      </c>
      <c r="Z69" s="37" t="s">
        <v>50</v>
      </c>
      <c r="AA69" s="5">
        <v>0</v>
      </c>
      <c r="AB69" s="5">
        <v>0</v>
      </c>
      <c r="AC69" s="5">
        <v>0</v>
      </c>
      <c r="AD69" s="5">
        <v>0</v>
      </c>
      <c r="AE69" s="10" t="s">
        <v>50</v>
      </c>
      <c r="AF69" s="10" t="s">
        <v>547</v>
      </c>
      <c r="AG69" s="10" t="s">
        <v>64</v>
      </c>
      <c r="AH69" s="10" t="s">
        <v>50</v>
      </c>
      <c r="AI69" s="5">
        <v>0</v>
      </c>
      <c r="AJ69" s="10" t="s">
        <v>50</v>
      </c>
      <c r="AK69" s="10" t="s">
        <v>50</v>
      </c>
    </row>
    <row r="70" spans="1:37" ht="36.75" customHeight="1" x14ac:dyDescent="0.35">
      <c r="A70" s="5"/>
      <c r="B70" s="5" t="s">
        <v>37</v>
      </c>
      <c r="C70" s="73" t="str">
        <f t="shared" si="1"/>
        <v>Closed</v>
      </c>
      <c r="D70" s="45" t="s">
        <v>548</v>
      </c>
      <c r="E70" s="54" t="s">
        <v>549</v>
      </c>
      <c r="F70" s="5" t="s">
        <v>432</v>
      </c>
      <c r="G70" s="10">
        <f>DATE(2006,2,27)</f>
        <v>38775</v>
      </c>
      <c r="H70" s="35">
        <v>1.5604166666666668</v>
      </c>
      <c r="I70" s="5" t="s">
        <v>97</v>
      </c>
      <c r="J70" s="10" t="s">
        <v>550</v>
      </c>
      <c r="K70" s="5" t="s">
        <v>434</v>
      </c>
      <c r="L70" s="5" t="s">
        <v>551</v>
      </c>
      <c r="M70" s="5" t="s">
        <v>45</v>
      </c>
      <c r="N70" s="5" t="s">
        <v>80</v>
      </c>
      <c r="O70" s="5" t="s">
        <v>67</v>
      </c>
      <c r="P70" s="10" t="s">
        <v>146</v>
      </c>
      <c r="Q70" s="10" t="s">
        <v>552</v>
      </c>
      <c r="R70" s="10" t="s">
        <v>553</v>
      </c>
      <c r="S70" s="5">
        <v>0</v>
      </c>
      <c r="T70" s="37">
        <v>0</v>
      </c>
      <c r="U70" s="5">
        <v>0</v>
      </c>
      <c r="V70" s="37">
        <v>0</v>
      </c>
      <c r="W70" s="5">
        <v>0</v>
      </c>
      <c r="X70" s="5">
        <v>0</v>
      </c>
      <c r="Y70" s="5">
        <v>0</v>
      </c>
      <c r="Z70" s="37">
        <v>0</v>
      </c>
      <c r="AA70" s="5">
        <v>0</v>
      </c>
      <c r="AB70" s="5">
        <v>0</v>
      </c>
      <c r="AC70" s="5">
        <v>0</v>
      </c>
      <c r="AD70" s="5">
        <v>0</v>
      </c>
      <c r="AE70" s="10" t="s">
        <v>375</v>
      </c>
      <c r="AF70" s="10" t="s">
        <v>550</v>
      </c>
      <c r="AG70" s="10" t="s">
        <v>64</v>
      </c>
      <c r="AH70" s="10">
        <v>38775</v>
      </c>
      <c r="AI70" s="5">
        <v>2</v>
      </c>
      <c r="AJ70" s="10" t="s">
        <v>554</v>
      </c>
      <c r="AK70" s="10" t="s">
        <v>50</v>
      </c>
    </row>
    <row r="71" spans="1:37" ht="36.75" customHeight="1" x14ac:dyDescent="0.35">
      <c r="A71" s="5"/>
      <c r="B71" s="5" t="s">
        <v>37</v>
      </c>
      <c r="C71" s="73" t="str">
        <f t="shared" si="1"/>
        <v>Closed</v>
      </c>
      <c r="D71" s="45" t="s">
        <v>555</v>
      </c>
      <c r="E71" s="54" t="s">
        <v>556</v>
      </c>
      <c r="F71" s="5" t="s">
        <v>40</v>
      </c>
      <c r="G71" s="10">
        <f>DATE(2006,3,10)</f>
        <v>38786</v>
      </c>
      <c r="H71" s="35">
        <v>1.9034722222222222</v>
      </c>
      <c r="I71" s="5" t="s">
        <v>55</v>
      </c>
      <c r="J71" s="10" t="s">
        <v>557</v>
      </c>
      <c r="K71" s="5" t="s">
        <v>43</v>
      </c>
      <c r="L71" s="5" t="s">
        <v>558</v>
      </c>
      <c r="M71" s="5" t="s">
        <v>45</v>
      </c>
      <c r="N71" s="5" t="s">
        <v>123</v>
      </c>
      <c r="O71" s="5" t="s">
        <v>59</v>
      </c>
      <c r="P71" s="10" t="s">
        <v>60</v>
      </c>
      <c r="Q71" s="10" t="s">
        <v>48</v>
      </c>
      <c r="R71" s="10" t="s">
        <v>49</v>
      </c>
      <c r="S71" s="5">
        <v>0</v>
      </c>
      <c r="T71" s="37">
        <v>0</v>
      </c>
      <c r="U71" s="5">
        <v>0</v>
      </c>
      <c r="V71" s="37">
        <v>0</v>
      </c>
      <c r="W71" s="5">
        <v>0</v>
      </c>
      <c r="X71" s="5">
        <v>0</v>
      </c>
      <c r="Y71" s="5">
        <v>0</v>
      </c>
      <c r="Z71" s="37">
        <v>0</v>
      </c>
      <c r="AA71" s="5">
        <v>0</v>
      </c>
      <c r="AB71" s="5">
        <v>0</v>
      </c>
      <c r="AC71" s="5">
        <v>0</v>
      </c>
      <c r="AD71" s="5">
        <v>0</v>
      </c>
      <c r="AE71" s="10" t="s">
        <v>73</v>
      </c>
      <c r="AF71" s="10" t="s">
        <v>559</v>
      </c>
      <c r="AG71" s="10" t="s">
        <v>51</v>
      </c>
      <c r="AH71" s="10">
        <v>38813</v>
      </c>
      <c r="AI71" s="5">
        <v>1</v>
      </c>
      <c r="AJ71" s="10" t="s">
        <v>560</v>
      </c>
      <c r="AK71" s="10" t="s">
        <v>50</v>
      </c>
    </row>
    <row r="72" spans="1:37" ht="36.75" customHeight="1" x14ac:dyDescent="0.35">
      <c r="A72" s="5"/>
      <c r="B72" s="5" t="s">
        <v>37</v>
      </c>
      <c r="C72" s="73" t="str">
        <f t="shared" si="1"/>
        <v>Closed</v>
      </c>
      <c r="D72" s="45" t="s">
        <v>561</v>
      </c>
      <c r="E72" s="54" t="s">
        <v>562</v>
      </c>
      <c r="F72" s="5" t="s">
        <v>563</v>
      </c>
      <c r="G72" s="10">
        <f>DATE(2006,3,15)</f>
        <v>38791</v>
      </c>
      <c r="H72" s="35">
        <v>1.2673611111111112</v>
      </c>
      <c r="I72" s="5" t="s">
        <v>179</v>
      </c>
      <c r="J72" s="10" t="s">
        <v>564</v>
      </c>
      <c r="K72" s="5" t="s">
        <v>565</v>
      </c>
      <c r="L72" s="5" t="s">
        <v>566</v>
      </c>
      <c r="M72" s="5" t="s">
        <v>45</v>
      </c>
      <c r="N72" s="5" t="s">
        <v>70</v>
      </c>
      <c r="O72" s="5" t="s">
        <v>46</v>
      </c>
      <c r="P72" s="10" t="s">
        <v>60</v>
      </c>
      <c r="Q72" s="10" t="s">
        <v>567</v>
      </c>
      <c r="R72" s="10" t="s">
        <v>568</v>
      </c>
      <c r="S72" s="5">
        <v>0</v>
      </c>
      <c r="T72" s="37">
        <v>0</v>
      </c>
      <c r="U72" s="5">
        <v>0</v>
      </c>
      <c r="V72" s="37">
        <v>0</v>
      </c>
      <c r="W72" s="5">
        <v>0</v>
      </c>
      <c r="X72" s="5">
        <v>0</v>
      </c>
      <c r="Y72" s="5">
        <v>0</v>
      </c>
      <c r="Z72" s="37">
        <v>0</v>
      </c>
      <c r="AA72" s="5">
        <v>0</v>
      </c>
      <c r="AB72" s="5">
        <v>0</v>
      </c>
      <c r="AC72" s="5">
        <v>0</v>
      </c>
      <c r="AD72" s="5">
        <v>0</v>
      </c>
      <c r="AE72" s="10" t="s">
        <v>375</v>
      </c>
      <c r="AF72" s="10" t="s">
        <v>569</v>
      </c>
      <c r="AG72" s="10" t="s">
        <v>570</v>
      </c>
      <c r="AH72" s="10">
        <v>38797</v>
      </c>
      <c r="AI72" s="5">
        <v>3</v>
      </c>
      <c r="AJ72" s="10" t="s">
        <v>571</v>
      </c>
      <c r="AK72" s="10" t="s">
        <v>572</v>
      </c>
    </row>
    <row r="73" spans="1:37" ht="36.75" customHeight="1" x14ac:dyDescent="0.35">
      <c r="A73" s="5"/>
      <c r="B73" s="5" t="s">
        <v>37</v>
      </c>
      <c r="C73" s="73" t="str">
        <f t="shared" si="1"/>
        <v>Closed</v>
      </c>
      <c r="D73" s="45" t="s">
        <v>573</v>
      </c>
      <c r="E73" s="54" t="s">
        <v>574</v>
      </c>
      <c r="F73" s="5" t="s">
        <v>575</v>
      </c>
      <c r="G73" s="10">
        <f>DATE(2006,3,18)</f>
        <v>38794</v>
      </c>
      <c r="H73" s="35">
        <v>1.7222222222222223</v>
      </c>
      <c r="I73" s="5" t="s">
        <v>97</v>
      </c>
      <c r="J73" s="10" t="s">
        <v>576</v>
      </c>
      <c r="K73" s="5" t="s">
        <v>577</v>
      </c>
      <c r="L73" s="5" t="s">
        <v>578</v>
      </c>
      <c r="M73" s="5" t="s">
        <v>45</v>
      </c>
      <c r="N73" s="5">
        <v>0</v>
      </c>
      <c r="O73" s="5" t="s">
        <v>46</v>
      </c>
      <c r="P73" s="10" t="s">
        <v>146</v>
      </c>
      <c r="Q73" s="10" t="s">
        <v>579</v>
      </c>
      <c r="R73" s="10" t="s">
        <v>580</v>
      </c>
      <c r="S73" s="5">
        <v>0</v>
      </c>
      <c r="T73" s="37" t="s">
        <v>50</v>
      </c>
      <c r="U73" s="5">
        <v>1</v>
      </c>
      <c r="V73" s="37" t="s">
        <v>50</v>
      </c>
      <c r="W73" s="5">
        <v>0</v>
      </c>
      <c r="X73" s="5">
        <v>1</v>
      </c>
      <c r="Y73" s="5">
        <v>0</v>
      </c>
      <c r="Z73" s="37" t="s">
        <v>50</v>
      </c>
      <c r="AA73" s="5">
        <v>0</v>
      </c>
      <c r="AB73" s="5">
        <v>0</v>
      </c>
      <c r="AC73" s="5">
        <v>0</v>
      </c>
      <c r="AD73" s="5">
        <v>0</v>
      </c>
      <c r="AE73" s="10" t="s">
        <v>50</v>
      </c>
      <c r="AF73" s="10" t="s">
        <v>581</v>
      </c>
      <c r="AG73" s="10" t="s">
        <v>51</v>
      </c>
      <c r="AH73" s="10" t="s">
        <v>50</v>
      </c>
      <c r="AI73" s="5">
        <v>0</v>
      </c>
      <c r="AJ73" s="10" t="s">
        <v>50</v>
      </c>
      <c r="AK73" s="10" t="s">
        <v>50</v>
      </c>
    </row>
    <row r="74" spans="1:37" ht="36.75" customHeight="1" x14ac:dyDescent="0.35">
      <c r="A74" s="5"/>
      <c r="B74" s="5" t="s">
        <v>37</v>
      </c>
      <c r="C74" s="73" t="str">
        <f t="shared" si="1"/>
        <v>Closed</v>
      </c>
      <c r="D74" s="45" t="s">
        <v>582</v>
      </c>
      <c r="E74" s="54" t="s">
        <v>583</v>
      </c>
      <c r="F74" s="5" t="s">
        <v>214</v>
      </c>
      <c r="G74" s="10">
        <f>DATE(2006,3,19)</f>
        <v>38795</v>
      </c>
      <c r="H74" s="35">
        <v>1.3909722222222223</v>
      </c>
      <c r="I74" s="5" t="s">
        <v>259</v>
      </c>
      <c r="J74" s="10" t="s">
        <v>584</v>
      </c>
      <c r="K74" s="5" t="s">
        <v>216</v>
      </c>
      <c r="L74" s="5" t="s">
        <v>585</v>
      </c>
      <c r="M74" s="5" t="s">
        <v>45</v>
      </c>
      <c r="N74" s="5">
        <v>0</v>
      </c>
      <c r="O74" s="5" t="s">
        <v>46</v>
      </c>
      <c r="P74" s="10" t="s">
        <v>146</v>
      </c>
      <c r="Q74" s="10" t="s">
        <v>227</v>
      </c>
      <c r="R74" s="10" t="s">
        <v>219</v>
      </c>
      <c r="S74" s="5">
        <v>0</v>
      </c>
      <c r="T74" s="37" t="s">
        <v>50</v>
      </c>
      <c r="U74" s="5">
        <v>0</v>
      </c>
      <c r="V74" s="37" t="s">
        <v>50</v>
      </c>
      <c r="W74" s="5">
        <v>0</v>
      </c>
      <c r="X74" s="5">
        <v>0</v>
      </c>
      <c r="Y74" s="5">
        <v>0</v>
      </c>
      <c r="Z74" s="37" t="s">
        <v>50</v>
      </c>
      <c r="AA74" s="5">
        <v>0</v>
      </c>
      <c r="AB74" s="5">
        <v>0</v>
      </c>
      <c r="AC74" s="5">
        <v>0</v>
      </c>
      <c r="AD74" s="5">
        <v>0</v>
      </c>
      <c r="AE74" s="10" t="s">
        <v>50</v>
      </c>
      <c r="AF74" s="10" t="s">
        <v>50</v>
      </c>
      <c r="AG74" s="10" t="s">
        <v>114</v>
      </c>
      <c r="AH74" s="10" t="s">
        <v>50</v>
      </c>
      <c r="AI74" s="5">
        <v>3</v>
      </c>
      <c r="AJ74" s="10" t="s">
        <v>586</v>
      </c>
      <c r="AK74" s="10" t="s">
        <v>587</v>
      </c>
    </row>
    <row r="75" spans="1:37" ht="36.75" customHeight="1" x14ac:dyDescent="0.35">
      <c r="A75" s="5"/>
      <c r="B75" s="5" t="s">
        <v>37</v>
      </c>
      <c r="C75" s="73" t="str">
        <f t="shared" si="1"/>
        <v>Closed</v>
      </c>
      <c r="D75" s="45" t="s">
        <v>588</v>
      </c>
      <c r="E75" s="54" t="s">
        <v>589</v>
      </c>
      <c r="F75" s="5" t="s">
        <v>214</v>
      </c>
      <c r="G75" s="10">
        <f>DATE(2006,3,22)</f>
        <v>38798</v>
      </c>
      <c r="H75" s="35">
        <v>1.3388888888888888</v>
      </c>
      <c r="I75" s="5" t="s">
        <v>55</v>
      </c>
      <c r="J75" s="10" t="s">
        <v>590</v>
      </c>
      <c r="K75" s="5" t="s">
        <v>216</v>
      </c>
      <c r="L75" s="5" t="s">
        <v>591</v>
      </c>
      <c r="M75" s="5" t="s">
        <v>236</v>
      </c>
      <c r="N75" s="5">
        <v>0</v>
      </c>
      <c r="O75" s="5" t="s">
        <v>46</v>
      </c>
      <c r="P75" s="10" t="s">
        <v>67</v>
      </c>
      <c r="Q75" s="10" t="s">
        <v>297</v>
      </c>
      <c r="R75" s="10" t="s">
        <v>297</v>
      </c>
      <c r="S75" s="5">
        <v>0</v>
      </c>
      <c r="T75" s="37" t="s">
        <v>50</v>
      </c>
      <c r="U75" s="5">
        <v>0</v>
      </c>
      <c r="V75" s="37" t="s">
        <v>50</v>
      </c>
      <c r="W75" s="5">
        <v>0</v>
      </c>
      <c r="X75" s="5">
        <v>0</v>
      </c>
      <c r="Y75" s="5">
        <v>0</v>
      </c>
      <c r="Z75" s="37" t="s">
        <v>50</v>
      </c>
      <c r="AA75" s="5">
        <v>0</v>
      </c>
      <c r="AB75" s="5">
        <v>0</v>
      </c>
      <c r="AC75" s="5">
        <v>0</v>
      </c>
      <c r="AD75" s="5">
        <v>0</v>
      </c>
      <c r="AE75" s="10" t="s">
        <v>50</v>
      </c>
      <c r="AF75" s="10" t="s">
        <v>592</v>
      </c>
      <c r="AG75" s="10" t="s">
        <v>229</v>
      </c>
      <c r="AH75" s="10" t="s">
        <v>50</v>
      </c>
      <c r="AI75" s="5">
        <v>4</v>
      </c>
      <c r="AJ75" s="10" t="s">
        <v>593</v>
      </c>
      <c r="AK75" s="10" t="s">
        <v>594</v>
      </c>
    </row>
    <row r="76" spans="1:37" ht="36.75" customHeight="1" x14ac:dyDescent="0.35">
      <c r="A76" s="5"/>
      <c r="B76" s="5" t="s">
        <v>37</v>
      </c>
      <c r="C76" s="73" t="str">
        <f t="shared" si="1"/>
        <v>Closed</v>
      </c>
      <c r="D76" s="45" t="s">
        <v>595</v>
      </c>
      <c r="E76" s="54" t="s">
        <v>596</v>
      </c>
      <c r="F76" s="5" t="s">
        <v>119</v>
      </c>
      <c r="G76" s="10">
        <f>DATE(2006,3,29)</f>
        <v>38805</v>
      </c>
      <c r="H76" s="35">
        <v>1.8993055555555554</v>
      </c>
      <c r="I76" s="5" t="s">
        <v>55</v>
      </c>
      <c r="J76" s="10" t="s">
        <v>597</v>
      </c>
      <c r="K76" s="5" t="s">
        <v>121</v>
      </c>
      <c r="L76" s="5" t="s">
        <v>598</v>
      </c>
      <c r="M76" s="5" t="s">
        <v>45</v>
      </c>
      <c r="N76" s="5" t="s">
        <v>123</v>
      </c>
      <c r="O76" s="5" t="s">
        <v>46</v>
      </c>
      <c r="P76" s="10" t="s">
        <v>197</v>
      </c>
      <c r="Q76" s="10" t="s">
        <v>599</v>
      </c>
      <c r="R76" s="10" t="s">
        <v>125</v>
      </c>
      <c r="S76" s="5">
        <v>0</v>
      </c>
      <c r="T76" s="37">
        <v>0</v>
      </c>
      <c r="U76" s="5">
        <v>0</v>
      </c>
      <c r="V76" s="37">
        <v>0</v>
      </c>
      <c r="W76" s="5">
        <v>0</v>
      </c>
      <c r="X76" s="5">
        <v>0</v>
      </c>
      <c r="Y76" s="5">
        <v>0</v>
      </c>
      <c r="Z76" s="37">
        <v>0</v>
      </c>
      <c r="AA76" s="5">
        <v>0</v>
      </c>
      <c r="AB76" s="5">
        <v>0</v>
      </c>
      <c r="AC76" s="5">
        <v>0</v>
      </c>
      <c r="AD76" s="5">
        <v>0</v>
      </c>
      <c r="AE76" s="10" t="s">
        <v>375</v>
      </c>
      <c r="AF76" s="10" t="s">
        <v>600</v>
      </c>
      <c r="AG76" s="10" t="s">
        <v>114</v>
      </c>
      <c r="AH76" s="10">
        <v>38806</v>
      </c>
      <c r="AI76" s="5">
        <v>1</v>
      </c>
      <c r="AJ76" s="10" t="s">
        <v>601</v>
      </c>
      <c r="AK76" s="10" t="s">
        <v>602</v>
      </c>
    </row>
    <row r="77" spans="1:37" ht="36.75" customHeight="1" x14ac:dyDescent="0.35">
      <c r="A77" s="5"/>
      <c r="B77" s="5" t="s">
        <v>37</v>
      </c>
      <c r="C77" s="73" t="str">
        <f t="shared" si="1"/>
        <v>Closed</v>
      </c>
      <c r="D77" s="45" t="s">
        <v>603</v>
      </c>
      <c r="E77" s="54" t="s">
        <v>604</v>
      </c>
      <c r="F77" s="5" t="s">
        <v>605</v>
      </c>
      <c r="G77" s="10">
        <f>DATE(2006,3,30)</f>
        <v>38806</v>
      </c>
      <c r="H77" s="35">
        <v>1.1381944444444445</v>
      </c>
      <c r="I77" s="5" t="s">
        <v>55</v>
      </c>
      <c r="J77" s="10" t="s">
        <v>606</v>
      </c>
      <c r="K77" s="5" t="s">
        <v>607</v>
      </c>
      <c r="L77" s="5" t="s">
        <v>608</v>
      </c>
      <c r="M77" s="5" t="s">
        <v>45</v>
      </c>
      <c r="N77" s="5">
        <v>0</v>
      </c>
      <c r="O77" s="5" t="s">
        <v>46</v>
      </c>
      <c r="P77" s="10" t="s">
        <v>67</v>
      </c>
      <c r="Q77" s="10" t="s">
        <v>609</v>
      </c>
      <c r="R77" s="10" t="s">
        <v>610</v>
      </c>
      <c r="S77" s="5">
        <v>0</v>
      </c>
      <c r="T77" s="37" t="s">
        <v>50</v>
      </c>
      <c r="U77" s="5">
        <v>0</v>
      </c>
      <c r="V77" s="37" t="s">
        <v>50</v>
      </c>
      <c r="W77" s="5">
        <v>0</v>
      </c>
      <c r="X77" s="5">
        <v>0</v>
      </c>
      <c r="Y77" s="5">
        <v>0</v>
      </c>
      <c r="Z77" s="37" t="s">
        <v>50</v>
      </c>
      <c r="AA77" s="5">
        <v>0</v>
      </c>
      <c r="AB77" s="5">
        <v>0</v>
      </c>
      <c r="AC77" s="5">
        <v>0</v>
      </c>
      <c r="AD77" s="5">
        <v>0</v>
      </c>
      <c r="AE77" s="10" t="s">
        <v>50</v>
      </c>
      <c r="AF77" s="10" t="s">
        <v>611</v>
      </c>
      <c r="AG77" s="10" t="s">
        <v>114</v>
      </c>
      <c r="AH77" s="10" t="s">
        <v>50</v>
      </c>
      <c r="AI77" s="5">
        <v>0</v>
      </c>
      <c r="AJ77" s="10" t="s">
        <v>50</v>
      </c>
      <c r="AK77" s="10" t="s">
        <v>50</v>
      </c>
    </row>
    <row r="78" spans="1:37" ht="36.75" customHeight="1" x14ac:dyDescent="0.35">
      <c r="A78" s="5"/>
      <c r="B78" s="5" t="s">
        <v>37</v>
      </c>
      <c r="C78" s="73" t="str">
        <f t="shared" si="1"/>
        <v>Closed</v>
      </c>
      <c r="D78" s="45" t="s">
        <v>612</v>
      </c>
      <c r="E78" s="54" t="s">
        <v>613</v>
      </c>
      <c r="F78" s="5" t="s">
        <v>605</v>
      </c>
      <c r="G78" s="10">
        <f>DATE(2006,3,31)</f>
        <v>38807</v>
      </c>
      <c r="H78" s="35">
        <v>1.7826388888888891</v>
      </c>
      <c r="I78" s="5" t="s">
        <v>137</v>
      </c>
      <c r="J78" s="10" t="s">
        <v>614</v>
      </c>
      <c r="K78" s="5" t="s">
        <v>607</v>
      </c>
      <c r="L78" s="5" t="s">
        <v>615</v>
      </c>
      <c r="M78" s="5" t="s">
        <v>45</v>
      </c>
      <c r="N78" s="5">
        <v>0</v>
      </c>
      <c r="O78" s="5" t="s">
        <v>46</v>
      </c>
      <c r="P78" s="10" t="s">
        <v>146</v>
      </c>
      <c r="Q78" s="10" t="s">
        <v>609</v>
      </c>
      <c r="R78" s="10" t="s">
        <v>610</v>
      </c>
      <c r="S78" s="5">
        <v>0</v>
      </c>
      <c r="T78" s="37" t="s">
        <v>50</v>
      </c>
      <c r="U78" s="5">
        <v>0</v>
      </c>
      <c r="V78" s="37" t="s">
        <v>50</v>
      </c>
      <c r="W78" s="5">
        <v>0</v>
      </c>
      <c r="X78" s="5">
        <v>0</v>
      </c>
      <c r="Y78" s="5">
        <v>0</v>
      </c>
      <c r="Z78" s="37" t="s">
        <v>50</v>
      </c>
      <c r="AA78" s="5">
        <v>0</v>
      </c>
      <c r="AB78" s="5">
        <v>0</v>
      </c>
      <c r="AC78" s="5">
        <v>0</v>
      </c>
      <c r="AD78" s="5">
        <v>0</v>
      </c>
      <c r="AE78" s="10" t="s">
        <v>50</v>
      </c>
      <c r="AF78" s="10" t="s">
        <v>616</v>
      </c>
      <c r="AG78" s="10" t="s">
        <v>64</v>
      </c>
      <c r="AH78" s="10" t="s">
        <v>50</v>
      </c>
      <c r="AI78" s="5">
        <v>0</v>
      </c>
      <c r="AJ78" s="10" t="s">
        <v>50</v>
      </c>
      <c r="AK78" s="10" t="s">
        <v>50</v>
      </c>
    </row>
    <row r="79" spans="1:37" ht="36.75" customHeight="1" x14ac:dyDescent="0.35">
      <c r="A79" s="5"/>
      <c r="B79" s="5" t="s">
        <v>37</v>
      </c>
      <c r="C79" s="73" t="str">
        <f t="shared" si="1"/>
        <v>Closed</v>
      </c>
      <c r="D79" s="45" t="s">
        <v>617</v>
      </c>
      <c r="E79" s="54" t="s">
        <v>618</v>
      </c>
      <c r="F79" s="5" t="s">
        <v>619</v>
      </c>
      <c r="G79" s="10">
        <f>DATE(2006,4,7)</f>
        <v>38814</v>
      </c>
      <c r="H79" s="35">
        <v>1.9548611111111112</v>
      </c>
      <c r="I79" s="5" t="s">
        <v>259</v>
      </c>
      <c r="J79" s="10" t="s">
        <v>620</v>
      </c>
      <c r="K79" s="5" t="s">
        <v>621</v>
      </c>
      <c r="L79" s="5" t="s">
        <v>622</v>
      </c>
      <c r="M79" s="5" t="s">
        <v>45</v>
      </c>
      <c r="N79" s="5">
        <v>0</v>
      </c>
      <c r="O79" s="5" t="s">
        <v>46</v>
      </c>
      <c r="P79" s="10" t="s">
        <v>47</v>
      </c>
      <c r="Q79" s="10" t="s">
        <v>623</v>
      </c>
      <c r="R79" s="10" t="s">
        <v>624</v>
      </c>
      <c r="S79" s="5">
        <v>0</v>
      </c>
      <c r="T79" s="37">
        <v>0</v>
      </c>
      <c r="U79" s="5">
        <v>0</v>
      </c>
      <c r="V79" s="37">
        <v>1</v>
      </c>
      <c r="W79" s="5">
        <v>0</v>
      </c>
      <c r="X79" s="5">
        <v>1</v>
      </c>
      <c r="Y79" s="5">
        <v>0</v>
      </c>
      <c r="Z79" s="37">
        <v>0</v>
      </c>
      <c r="AA79" s="5">
        <v>0</v>
      </c>
      <c r="AB79" s="5">
        <v>0</v>
      </c>
      <c r="AC79" s="5">
        <v>0</v>
      </c>
      <c r="AD79" s="5">
        <v>0</v>
      </c>
      <c r="AE79" s="10" t="s">
        <v>50</v>
      </c>
      <c r="AF79" s="10" t="s">
        <v>50</v>
      </c>
      <c r="AG79" s="10" t="s">
        <v>229</v>
      </c>
      <c r="AH79" s="10" t="s">
        <v>50</v>
      </c>
      <c r="AI79" s="5">
        <v>2</v>
      </c>
      <c r="AJ79" s="10" t="s">
        <v>50</v>
      </c>
      <c r="AK79" s="10" t="s">
        <v>625</v>
      </c>
    </row>
    <row r="80" spans="1:37" ht="36.75" customHeight="1" x14ac:dyDescent="0.35">
      <c r="A80" s="5"/>
      <c r="B80" s="5" t="s">
        <v>37</v>
      </c>
      <c r="C80" s="73" t="str">
        <f t="shared" si="1"/>
        <v>Closed</v>
      </c>
      <c r="D80" s="45" t="s">
        <v>626</v>
      </c>
      <c r="E80" s="54" t="s">
        <v>627</v>
      </c>
      <c r="F80" s="5" t="s">
        <v>214</v>
      </c>
      <c r="G80" s="10">
        <f>DATE(2006,4,7)</f>
        <v>38814</v>
      </c>
      <c r="H80" s="35">
        <v>1.6944444444444446</v>
      </c>
      <c r="I80" s="5" t="s">
        <v>85</v>
      </c>
      <c r="J80" s="10" t="s">
        <v>628</v>
      </c>
      <c r="K80" s="5" t="s">
        <v>216</v>
      </c>
      <c r="L80" s="5" t="s">
        <v>629</v>
      </c>
      <c r="M80" s="5" t="s">
        <v>45</v>
      </c>
      <c r="N80" s="5">
        <v>0</v>
      </c>
      <c r="O80" s="5" t="s">
        <v>46</v>
      </c>
      <c r="P80" s="10" t="s">
        <v>146</v>
      </c>
      <c r="Q80" s="10" t="s">
        <v>269</v>
      </c>
      <c r="R80" s="10" t="s">
        <v>219</v>
      </c>
      <c r="S80" s="5">
        <v>0</v>
      </c>
      <c r="T80" s="37" t="s">
        <v>50</v>
      </c>
      <c r="U80" s="5">
        <v>0</v>
      </c>
      <c r="V80" s="37" t="s">
        <v>50</v>
      </c>
      <c r="W80" s="5">
        <v>0</v>
      </c>
      <c r="X80" s="5">
        <v>0</v>
      </c>
      <c r="Y80" s="5">
        <v>0</v>
      </c>
      <c r="Z80" s="37" t="s">
        <v>50</v>
      </c>
      <c r="AA80" s="5">
        <v>0</v>
      </c>
      <c r="AB80" s="5">
        <v>0</v>
      </c>
      <c r="AC80" s="5">
        <v>0</v>
      </c>
      <c r="AD80" s="5">
        <v>0</v>
      </c>
      <c r="AE80" s="10" t="s">
        <v>50</v>
      </c>
      <c r="AF80" s="10" t="s">
        <v>50</v>
      </c>
      <c r="AG80" s="10" t="s">
        <v>114</v>
      </c>
      <c r="AH80" s="10" t="s">
        <v>50</v>
      </c>
      <c r="AI80" s="5">
        <v>9</v>
      </c>
      <c r="AJ80" s="10" t="s">
        <v>630</v>
      </c>
      <c r="AK80" s="10" t="s">
        <v>631</v>
      </c>
    </row>
    <row r="81" spans="1:37" ht="36.75" customHeight="1" x14ac:dyDescent="0.35">
      <c r="A81" s="5"/>
      <c r="B81" s="5" t="s">
        <v>37</v>
      </c>
      <c r="C81" s="73" t="str">
        <f t="shared" si="1"/>
        <v>Closed</v>
      </c>
      <c r="D81" s="45" t="s">
        <v>632</v>
      </c>
      <c r="E81" s="54" t="s">
        <v>633</v>
      </c>
      <c r="F81" s="5" t="s">
        <v>214</v>
      </c>
      <c r="G81" s="10">
        <f>DATE(2006,4,16)</f>
        <v>38823</v>
      </c>
      <c r="H81" s="35">
        <v>1.4166666666666667</v>
      </c>
      <c r="I81" s="5" t="s">
        <v>106</v>
      </c>
      <c r="J81" s="10" t="s">
        <v>634</v>
      </c>
      <c r="K81" s="5" t="s">
        <v>216</v>
      </c>
      <c r="L81" s="5" t="s">
        <v>635</v>
      </c>
      <c r="M81" s="5" t="s">
        <v>45</v>
      </c>
      <c r="N81" s="5">
        <v>0</v>
      </c>
      <c r="O81" s="5" t="s">
        <v>46</v>
      </c>
      <c r="P81" s="10" t="s">
        <v>67</v>
      </c>
      <c r="Q81" s="10" t="s">
        <v>635</v>
      </c>
      <c r="R81" s="10" t="s">
        <v>635</v>
      </c>
      <c r="S81" s="5">
        <v>0</v>
      </c>
      <c r="T81" s="37" t="s">
        <v>50</v>
      </c>
      <c r="U81" s="5">
        <v>0</v>
      </c>
      <c r="V81" s="37" t="s">
        <v>50</v>
      </c>
      <c r="W81" s="5">
        <v>0</v>
      </c>
      <c r="X81" s="5">
        <v>0</v>
      </c>
      <c r="Y81" s="5">
        <v>0</v>
      </c>
      <c r="Z81" s="37" t="s">
        <v>50</v>
      </c>
      <c r="AA81" s="5">
        <v>0</v>
      </c>
      <c r="AB81" s="5">
        <v>0</v>
      </c>
      <c r="AC81" s="5">
        <v>0</v>
      </c>
      <c r="AD81" s="5">
        <v>0</v>
      </c>
      <c r="AE81" s="10" t="s">
        <v>50</v>
      </c>
      <c r="AF81" s="10" t="s">
        <v>50</v>
      </c>
      <c r="AG81" s="10" t="s">
        <v>114</v>
      </c>
      <c r="AH81" s="10" t="s">
        <v>50</v>
      </c>
      <c r="AI81" s="5">
        <v>9</v>
      </c>
      <c r="AJ81" s="10" t="s">
        <v>636</v>
      </c>
      <c r="AK81" s="10" t="s">
        <v>637</v>
      </c>
    </row>
    <row r="82" spans="1:37" ht="36.75" customHeight="1" x14ac:dyDescent="0.35">
      <c r="A82" s="5"/>
      <c r="B82" s="5" t="s">
        <v>37</v>
      </c>
      <c r="C82" s="73" t="str">
        <f t="shared" si="1"/>
        <v>Closed</v>
      </c>
      <c r="D82" s="45" t="s">
        <v>638</v>
      </c>
      <c r="E82" s="54" t="s">
        <v>639</v>
      </c>
      <c r="F82" s="5" t="s">
        <v>619</v>
      </c>
      <c r="G82" s="10">
        <f>DATE(2006,4,18)</f>
        <v>38825</v>
      </c>
      <c r="H82" s="35">
        <v>1.7194444444444446</v>
      </c>
      <c r="I82" s="5" t="s">
        <v>259</v>
      </c>
      <c r="J82" s="10" t="s">
        <v>640</v>
      </c>
      <c r="K82" s="5" t="s">
        <v>621</v>
      </c>
      <c r="L82" s="5" t="s">
        <v>641</v>
      </c>
      <c r="M82" s="5" t="s">
        <v>45</v>
      </c>
      <c r="N82" s="5">
        <v>0</v>
      </c>
      <c r="O82" s="5" t="s">
        <v>46</v>
      </c>
      <c r="P82" s="10" t="s">
        <v>47</v>
      </c>
      <c r="Q82" s="10" t="s">
        <v>623</v>
      </c>
      <c r="R82" s="10" t="s">
        <v>624</v>
      </c>
      <c r="S82" s="5">
        <v>0</v>
      </c>
      <c r="T82" s="37">
        <v>0</v>
      </c>
      <c r="U82" s="5">
        <v>0</v>
      </c>
      <c r="V82" s="37">
        <v>1</v>
      </c>
      <c r="W82" s="5">
        <v>0</v>
      </c>
      <c r="X82" s="5">
        <v>1</v>
      </c>
      <c r="Y82" s="5">
        <v>0</v>
      </c>
      <c r="Z82" s="37">
        <v>0</v>
      </c>
      <c r="AA82" s="5">
        <v>0</v>
      </c>
      <c r="AB82" s="5">
        <v>0</v>
      </c>
      <c r="AC82" s="5">
        <v>0</v>
      </c>
      <c r="AD82" s="5">
        <v>0</v>
      </c>
      <c r="AE82" s="10" t="s">
        <v>50</v>
      </c>
      <c r="AF82" s="10" t="s">
        <v>50</v>
      </c>
      <c r="AG82" s="10" t="s">
        <v>229</v>
      </c>
      <c r="AH82" s="10" t="s">
        <v>50</v>
      </c>
      <c r="AI82" s="5">
        <v>1</v>
      </c>
      <c r="AJ82" s="10" t="s">
        <v>50</v>
      </c>
      <c r="AK82" s="10" t="s">
        <v>50</v>
      </c>
    </row>
    <row r="83" spans="1:37" ht="36.75" customHeight="1" x14ac:dyDescent="0.35">
      <c r="A83" s="5"/>
      <c r="B83" s="5" t="s">
        <v>37</v>
      </c>
      <c r="C83" s="73" t="str">
        <f t="shared" si="1"/>
        <v>Closed</v>
      </c>
      <c r="D83" s="45" t="s">
        <v>642</v>
      </c>
      <c r="E83" s="54" t="s">
        <v>643</v>
      </c>
      <c r="F83" s="5" t="s">
        <v>432</v>
      </c>
      <c r="G83" s="10">
        <f>DATE(2006,4,20)</f>
        <v>38827</v>
      </c>
      <c r="H83" s="35">
        <v>1.2986111111111112</v>
      </c>
      <c r="I83" s="5" t="s">
        <v>97</v>
      </c>
      <c r="J83" s="10" t="s">
        <v>644</v>
      </c>
      <c r="K83" s="5" t="s">
        <v>434</v>
      </c>
      <c r="L83" s="5" t="s">
        <v>645</v>
      </c>
      <c r="M83" s="5" t="s">
        <v>45</v>
      </c>
      <c r="N83" s="5">
        <v>0</v>
      </c>
      <c r="O83" s="5" t="s">
        <v>59</v>
      </c>
      <c r="P83" s="10" t="s">
        <v>146</v>
      </c>
      <c r="Q83" s="10" t="s">
        <v>646</v>
      </c>
      <c r="R83" s="10" t="s">
        <v>553</v>
      </c>
      <c r="S83" s="5">
        <v>0</v>
      </c>
      <c r="T83" s="37">
        <v>0</v>
      </c>
      <c r="U83" s="5">
        <v>1</v>
      </c>
      <c r="V83" s="37">
        <v>0</v>
      </c>
      <c r="W83" s="5">
        <v>0</v>
      </c>
      <c r="X83" s="5">
        <v>1</v>
      </c>
      <c r="Y83" s="5">
        <v>0</v>
      </c>
      <c r="Z83" s="37">
        <v>0</v>
      </c>
      <c r="AA83" s="5">
        <v>0</v>
      </c>
      <c r="AB83" s="5">
        <v>0</v>
      </c>
      <c r="AC83" s="5">
        <v>0</v>
      </c>
      <c r="AD83" s="5">
        <v>0</v>
      </c>
      <c r="AE83" s="10" t="s">
        <v>50</v>
      </c>
      <c r="AF83" s="10" t="s">
        <v>647</v>
      </c>
      <c r="AG83" s="10" t="s">
        <v>64</v>
      </c>
      <c r="AH83" s="10" t="s">
        <v>50</v>
      </c>
      <c r="AI83" s="5">
        <v>3</v>
      </c>
      <c r="AJ83" s="10" t="s">
        <v>50</v>
      </c>
      <c r="AK83" s="10" t="s">
        <v>50</v>
      </c>
    </row>
    <row r="84" spans="1:37" ht="36.75" customHeight="1" x14ac:dyDescent="0.35">
      <c r="A84" s="5"/>
      <c r="B84" s="5" t="s">
        <v>37</v>
      </c>
      <c r="C84" s="73" t="str">
        <f t="shared" si="1"/>
        <v>Closed</v>
      </c>
      <c r="D84" s="45" t="s">
        <v>648</v>
      </c>
      <c r="E84" s="54" t="s">
        <v>649</v>
      </c>
      <c r="F84" s="5" t="s">
        <v>619</v>
      </c>
      <c r="G84" s="10">
        <f>DATE(2006,4,21)</f>
        <v>38828</v>
      </c>
      <c r="H84" s="35">
        <v>1.5305555555555554</v>
      </c>
      <c r="I84" s="5" t="s">
        <v>259</v>
      </c>
      <c r="J84" s="10" t="s">
        <v>650</v>
      </c>
      <c r="K84" s="5" t="s">
        <v>621</v>
      </c>
      <c r="L84" s="5" t="s">
        <v>651</v>
      </c>
      <c r="M84" s="5" t="s">
        <v>45</v>
      </c>
      <c r="N84" s="5">
        <v>0</v>
      </c>
      <c r="O84" s="5" t="s">
        <v>67</v>
      </c>
      <c r="P84" s="10" t="s">
        <v>47</v>
      </c>
      <c r="Q84" s="10" t="s">
        <v>623</v>
      </c>
      <c r="R84" s="10" t="s">
        <v>624</v>
      </c>
      <c r="S84" s="5">
        <v>0</v>
      </c>
      <c r="T84" s="37">
        <v>0</v>
      </c>
      <c r="U84" s="5">
        <v>0</v>
      </c>
      <c r="V84" s="37">
        <v>1</v>
      </c>
      <c r="W84" s="5">
        <v>0</v>
      </c>
      <c r="X84" s="5">
        <v>1</v>
      </c>
      <c r="Y84" s="5">
        <v>0</v>
      </c>
      <c r="Z84" s="37">
        <v>0</v>
      </c>
      <c r="AA84" s="5">
        <v>0</v>
      </c>
      <c r="AB84" s="5">
        <v>0</v>
      </c>
      <c r="AC84" s="5">
        <v>0</v>
      </c>
      <c r="AD84" s="5">
        <v>0</v>
      </c>
      <c r="AE84" s="10" t="s">
        <v>50</v>
      </c>
      <c r="AF84" s="10" t="s">
        <v>50</v>
      </c>
      <c r="AG84" s="10" t="s">
        <v>229</v>
      </c>
      <c r="AH84" s="10" t="s">
        <v>50</v>
      </c>
      <c r="AI84" s="5">
        <v>0</v>
      </c>
      <c r="AJ84" s="10" t="s">
        <v>50</v>
      </c>
      <c r="AK84" s="10" t="s">
        <v>50</v>
      </c>
    </row>
    <row r="85" spans="1:37" ht="36.75" customHeight="1" x14ac:dyDescent="0.35">
      <c r="A85" s="5"/>
      <c r="B85" s="5" t="s">
        <v>37</v>
      </c>
      <c r="C85" s="73" t="str">
        <f t="shared" si="1"/>
        <v>Closed</v>
      </c>
      <c r="D85" s="45" t="s">
        <v>652</v>
      </c>
      <c r="E85" s="54" t="s">
        <v>653</v>
      </c>
      <c r="F85" s="5" t="s">
        <v>214</v>
      </c>
      <c r="G85" s="10">
        <f>DATE(2006,4,23)</f>
        <v>38830</v>
      </c>
      <c r="H85" s="35">
        <v>1.3888888888888888</v>
      </c>
      <c r="I85" s="5" t="s">
        <v>55</v>
      </c>
      <c r="J85" s="10" t="s">
        <v>654</v>
      </c>
      <c r="K85" s="5" t="s">
        <v>216</v>
      </c>
      <c r="L85" s="5" t="s">
        <v>655</v>
      </c>
      <c r="M85" s="5" t="s">
        <v>45</v>
      </c>
      <c r="N85" s="5">
        <v>0</v>
      </c>
      <c r="O85" s="5" t="s">
        <v>46</v>
      </c>
      <c r="P85" s="10" t="s">
        <v>282</v>
      </c>
      <c r="Q85" s="10" t="s">
        <v>656</v>
      </c>
      <c r="R85" s="10" t="s">
        <v>656</v>
      </c>
      <c r="S85" s="5">
        <v>0</v>
      </c>
      <c r="T85" s="37" t="s">
        <v>50</v>
      </c>
      <c r="U85" s="5">
        <v>0</v>
      </c>
      <c r="V85" s="37" t="s">
        <v>50</v>
      </c>
      <c r="W85" s="5">
        <v>0</v>
      </c>
      <c r="X85" s="5">
        <v>0</v>
      </c>
      <c r="Y85" s="5">
        <v>0</v>
      </c>
      <c r="Z85" s="37" t="s">
        <v>50</v>
      </c>
      <c r="AA85" s="5">
        <v>0</v>
      </c>
      <c r="AB85" s="5">
        <v>0</v>
      </c>
      <c r="AC85" s="5">
        <v>0</v>
      </c>
      <c r="AD85" s="5">
        <v>0</v>
      </c>
      <c r="AE85" s="10" t="s">
        <v>50</v>
      </c>
      <c r="AF85" s="10" t="s">
        <v>657</v>
      </c>
      <c r="AG85" s="10" t="s">
        <v>114</v>
      </c>
      <c r="AH85" s="10" t="s">
        <v>50</v>
      </c>
      <c r="AI85" s="5">
        <v>8</v>
      </c>
      <c r="AJ85" s="10" t="s">
        <v>658</v>
      </c>
      <c r="AK85" s="10" t="s">
        <v>659</v>
      </c>
    </row>
    <row r="86" spans="1:37" ht="36.75" customHeight="1" x14ac:dyDescent="0.35">
      <c r="A86" s="5"/>
      <c r="B86" s="5" t="s">
        <v>37</v>
      </c>
      <c r="C86" s="73" t="str">
        <f t="shared" si="1"/>
        <v>Closed</v>
      </c>
      <c r="D86" s="45" t="s">
        <v>660</v>
      </c>
      <c r="E86" s="54" t="s">
        <v>661</v>
      </c>
      <c r="F86" s="5" t="s">
        <v>214</v>
      </c>
      <c r="G86" s="10">
        <f>DATE(2006,4,29)</f>
        <v>38836</v>
      </c>
      <c r="H86" s="35">
        <v>1.9659722222222222</v>
      </c>
      <c r="I86" s="5" t="s">
        <v>67</v>
      </c>
      <c r="J86" s="10" t="s">
        <v>662</v>
      </c>
      <c r="K86" s="5" t="s">
        <v>216</v>
      </c>
      <c r="L86" s="5" t="s">
        <v>663</v>
      </c>
      <c r="M86" s="5" t="s">
        <v>110</v>
      </c>
      <c r="N86" s="5">
        <v>0</v>
      </c>
      <c r="O86" s="5" t="s">
        <v>46</v>
      </c>
      <c r="P86" s="10" t="s">
        <v>67</v>
      </c>
      <c r="Q86" s="10" t="s">
        <v>664</v>
      </c>
      <c r="R86" s="10" t="s">
        <v>664</v>
      </c>
      <c r="S86" s="5">
        <v>0</v>
      </c>
      <c r="T86" s="37" t="s">
        <v>50</v>
      </c>
      <c r="U86" s="5">
        <v>0</v>
      </c>
      <c r="V86" s="37" t="s">
        <v>50</v>
      </c>
      <c r="W86" s="5">
        <v>0</v>
      </c>
      <c r="X86" s="5">
        <v>0</v>
      </c>
      <c r="Y86" s="5">
        <v>0</v>
      </c>
      <c r="Z86" s="37" t="s">
        <v>50</v>
      </c>
      <c r="AA86" s="5">
        <v>0</v>
      </c>
      <c r="AB86" s="5">
        <v>0</v>
      </c>
      <c r="AC86" s="5">
        <v>0</v>
      </c>
      <c r="AD86" s="5">
        <v>0</v>
      </c>
      <c r="AE86" s="10" t="s">
        <v>50</v>
      </c>
      <c r="AF86" s="10" t="s">
        <v>50</v>
      </c>
      <c r="AG86" s="10" t="s">
        <v>229</v>
      </c>
      <c r="AH86" s="10" t="s">
        <v>50</v>
      </c>
      <c r="AI86" s="5">
        <v>10</v>
      </c>
      <c r="AJ86" s="10" t="s">
        <v>665</v>
      </c>
      <c r="AK86" s="10" t="s">
        <v>666</v>
      </c>
    </row>
    <row r="87" spans="1:37" ht="36.75" customHeight="1" x14ac:dyDescent="0.35">
      <c r="A87" s="5"/>
      <c r="B87" s="5" t="s">
        <v>37</v>
      </c>
      <c r="C87" s="73" t="str">
        <f t="shared" si="1"/>
        <v>Closed</v>
      </c>
      <c r="D87" s="45" t="s">
        <v>667</v>
      </c>
      <c r="E87" s="54" t="s">
        <v>668</v>
      </c>
      <c r="F87" s="5" t="s">
        <v>105</v>
      </c>
      <c r="G87" s="10">
        <f>DATE(2006,5,8)</f>
        <v>38845</v>
      </c>
      <c r="H87" s="35">
        <v>1.4513888888888888</v>
      </c>
      <c r="I87" s="5" t="s">
        <v>106</v>
      </c>
      <c r="J87" s="10" t="s">
        <v>669</v>
      </c>
      <c r="K87" s="5" t="s">
        <v>108</v>
      </c>
      <c r="L87" s="5" t="s">
        <v>670</v>
      </c>
      <c r="M87" s="5" t="s">
        <v>45</v>
      </c>
      <c r="N87" s="5">
        <v>0</v>
      </c>
      <c r="O87" s="5" t="s">
        <v>46</v>
      </c>
      <c r="P87" s="10" t="s">
        <v>60</v>
      </c>
      <c r="Q87" s="10" t="s">
        <v>382</v>
      </c>
      <c r="R87" s="10" t="s">
        <v>148</v>
      </c>
      <c r="S87" s="5">
        <v>0</v>
      </c>
      <c r="T87" s="37" t="s">
        <v>50</v>
      </c>
      <c r="U87" s="5">
        <v>0</v>
      </c>
      <c r="V87" s="37" t="s">
        <v>50</v>
      </c>
      <c r="W87" s="5">
        <v>0</v>
      </c>
      <c r="X87" s="5">
        <v>0</v>
      </c>
      <c r="Y87" s="5">
        <v>0</v>
      </c>
      <c r="Z87" s="37" t="s">
        <v>50</v>
      </c>
      <c r="AA87" s="5">
        <v>0</v>
      </c>
      <c r="AB87" s="5">
        <v>0</v>
      </c>
      <c r="AC87" s="5">
        <v>0</v>
      </c>
      <c r="AD87" s="5">
        <v>0</v>
      </c>
      <c r="AE87" s="10" t="s">
        <v>50</v>
      </c>
      <c r="AF87" s="10" t="s">
        <v>671</v>
      </c>
      <c r="AG87" s="10" t="s">
        <v>114</v>
      </c>
      <c r="AH87" s="10" t="s">
        <v>50</v>
      </c>
      <c r="AI87" s="5">
        <v>1</v>
      </c>
      <c r="AJ87" s="10" t="s">
        <v>50</v>
      </c>
      <c r="AK87" s="10" t="s">
        <v>50</v>
      </c>
    </row>
    <row r="88" spans="1:37" ht="36.75" customHeight="1" x14ac:dyDescent="0.35">
      <c r="A88" s="5"/>
      <c r="B88" s="5" t="s">
        <v>37</v>
      </c>
      <c r="C88" s="73" t="str">
        <f t="shared" si="1"/>
        <v>Closed</v>
      </c>
      <c r="D88" s="45" t="s">
        <v>672</v>
      </c>
      <c r="E88" s="54" t="s">
        <v>673</v>
      </c>
      <c r="F88" s="5" t="s">
        <v>619</v>
      </c>
      <c r="G88" s="10">
        <f>DATE(2006,5,12)</f>
        <v>38849</v>
      </c>
      <c r="H88" s="35">
        <v>1.5930555555555554</v>
      </c>
      <c r="I88" s="5" t="s">
        <v>97</v>
      </c>
      <c r="J88" s="10" t="s">
        <v>674</v>
      </c>
      <c r="K88" s="5" t="s">
        <v>621</v>
      </c>
      <c r="L88" s="5" t="s">
        <v>675</v>
      </c>
      <c r="M88" s="5" t="s">
        <v>45</v>
      </c>
      <c r="N88" s="5">
        <v>0</v>
      </c>
      <c r="O88" s="5" t="s">
        <v>59</v>
      </c>
      <c r="P88" s="10" t="s">
        <v>47</v>
      </c>
      <c r="Q88" s="10" t="s">
        <v>623</v>
      </c>
      <c r="R88" s="10" t="s">
        <v>624</v>
      </c>
      <c r="S88" s="5">
        <v>0</v>
      </c>
      <c r="T88" s="37">
        <v>0</v>
      </c>
      <c r="U88" s="5">
        <v>1</v>
      </c>
      <c r="V88" s="37">
        <v>0</v>
      </c>
      <c r="W88" s="5">
        <v>0</v>
      </c>
      <c r="X88" s="5">
        <v>1</v>
      </c>
      <c r="Y88" s="5">
        <v>0</v>
      </c>
      <c r="Z88" s="37">
        <v>0</v>
      </c>
      <c r="AA88" s="5">
        <v>0</v>
      </c>
      <c r="AB88" s="5">
        <v>0</v>
      </c>
      <c r="AC88" s="5">
        <v>0</v>
      </c>
      <c r="AD88" s="5">
        <v>0</v>
      </c>
      <c r="AE88" s="10" t="s">
        <v>50</v>
      </c>
      <c r="AF88" s="10" t="s">
        <v>50</v>
      </c>
      <c r="AG88" s="10" t="s">
        <v>229</v>
      </c>
      <c r="AH88" s="10" t="s">
        <v>50</v>
      </c>
      <c r="AI88" s="5">
        <v>1</v>
      </c>
      <c r="AJ88" s="10" t="s">
        <v>50</v>
      </c>
      <c r="AK88" s="10" t="s">
        <v>50</v>
      </c>
    </row>
    <row r="89" spans="1:37" ht="36.75" customHeight="1" x14ac:dyDescent="0.35">
      <c r="A89" s="5"/>
      <c r="B89" s="5" t="s">
        <v>37</v>
      </c>
      <c r="C89" s="73" t="str">
        <f t="shared" si="1"/>
        <v>Closed</v>
      </c>
      <c r="D89" s="45" t="s">
        <v>676</v>
      </c>
      <c r="E89" s="54" t="s">
        <v>677</v>
      </c>
      <c r="F89" s="5" t="s">
        <v>619</v>
      </c>
      <c r="G89" s="10">
        <f>DATE(2006,5,16)</f>
        <v>38853</v>
      </c>
      <c r="H89" s="35">
        <v>1.9743055555555555</v>
      </c>
      <c r="I89" s="5" t="s">
        <v>97</v>
      </c>
      <c r="J89" s="10" t="s">
        <v>678</v>
      </c>
      <c r="K89" s="5" t="s">
        <v>621</v>
      </c>
      <c r="L89" s="5" t="s">
        <v>679</v>
      </c>
      <c r="M89" s="5" t="s">
        <v>45</v>
      </c>
      <c r="N89" s="5">
        <v>0</v>
      </c>
      <c r="O89" s="5" t="s">
        <v>59</v>
      </c>
      <c r="P89" s="10" t="s">
        <v>47</v>
      </c>
      <c r="Q89" s="10" t="s">
        <v>623</v>
      </c>
      <c r="R89" s="10" t="s">
        <v>624</v>
      </c>
      <c r="S89" s="5">
        <v>0</v>
      </c>
      <c r="T89" s="37">
        <v>0</v>
      </c>
      <c r="U89" s="5">
        <v>1</v>
      </c>
      <c r="V89" s="37">
        <v>0</v>
      </c>
      <c r="W89" s="5">
        <v>0</v>
      </c>
      <c r="X89" s="5">
        <v>1</v>
      </c>
      <c r="Y89" s="5">
        <v>0</v>
      </c>
      <c r="Z89" s="37">
        <v>0</v>
      </c>
      <c r="AA89" s="5">
        <v>0</v>
      </c>
      <c r="AB89" s="5">
        <v>0</v>
      </c>
      <c r="AC89" s="5">
        <v>0</v>
      </c>
      <c r="AD89" s="5">
        <v>0</v>
      </c>
      <c r="AE89" s="10" t="s">
        <v>50</v>
      </c>
      <c r="AF89" s="10" t="s">
        <v>50</v>
      </c>
      <c r="AG89" s="10" t="s">
        <v>229</v>
      </c>
      <c r="AH89" s="10" t="s">
        <v>50</v>
      </c>
      <c r="AI89" s="5">
        <v>0</v>
      </c>
      <c r="AJ89" s="10" t="s">
        <v>50</v>
      </c>
      <c r="AK89" s="10" t="s">
        <v>50</v>
      </c>
    </row>
    <row r="90" spans="1:37" ht="36.75" customHeight="1" x14ac:dyDescent="0.35">
      <c r="A90" s="5"/>
      <c r="B90" s="5" t="s">
        <v>37</v>
      </c>
      <c r="C90" s="73" t="str">
        <f t="shared" si="1"/>
        <v>Closed</v>
      </c>
      <c r="D90" s="45" t="s">
        <v>680</v>
      </c>
      <c r="E90" s="54" t="s">
        <v>681</v>
      </c>
      <c r="F90" s="5" t="s">
        <v>105</v>
      </c>
      <c r="G90" s="10">
        <f>DATE(2006,5,16)</f>
        <v>38853</v>
      </c>
      <c r="H90" s="35">
        <v>1.1979166666666667</v>
      </c>
      <c r="I90" s="5" t="s">
        <v>106</v>
      </c>
      <c r="J90" s="10" t="s">
        <v>682</v>
      </c>
      <c r="K90" s="5" t="s">
        <v>108</v>
      </c>
      <c r="L90" s="5" t="s">
        <v>683</v>
      </c>
      <c r="M90" s="5" t="s">
        <v>45</v>
      </c>
      <c r="N90" s="5">
        <v>0</v>
      </c>
      <c r="O90" s="5" t="s">
        <v>59</v>
      </c>
      <c r="P90" s="10" t="s">
        <v>60</v>
      </c>
      <c r="Q90" s="10" t="s">
        <v>382</v>
      </c>
      <c r="R90" s="10" t="s">
        <v>148</v>
      </c>
      <c r="S90" s="5">
        <v>0</v>
      </c>
      <c r="T90" s="37" t="s">
        <v>50</v>
      </c>
      <c r="U90" s="5">
        <v>0</v>
      </c>
      <c r="V90" s="37" t="s">
        <v>50</v>
      </c>
      <c r="W90" s="5">
        <v>0</v>
      </c>
      <c r="X90" s="5">
        <v>0</v>
      </c>
      <c r="Y90" s="5">
        <v>0</v>
      </c>
      <c r="Z90" s="37" t="s">
        <v>50</v>
      </c>
      <c r="AA90" s="5">
        <v>0</v>
      </c>
      <c r="AB90" s="5">
        <v>0</v>
      </c>
      <c r="AC90" s="5">
        <v>0</v>
      </c>
      <c r="AD90" s="5">
        <v>0</v>
      </c>
      <c r="AE90" s="10" t="s">
        <v>50</v>
      </c>
      <c r="AF90" s="10" t="s">
        <v>684</v>
      </c>
      <c r="AG90" s="10" t="s">
        <v>64</v>
      </c>
      <c r="AH90" s="10" t="s">
        <v>50</v>
      </c>
      <c r="AI90" s="5">
        <v>2</v>
      </c>
      <c r="AJ90" s="10" t="s">
        <v>50</v>
      </c>
      <c r="AK90" s="10" t="s">
        <v>50</v>
      </c>
    </row>
    <row r="91" spans="1:37" ht="36.75" customHeight="1" x14ac:dyDescent="0.35">
      <c r="A91" s="5"/>
      <c r="B91" s="5" t="s">
        <v>37</v>
      </c>
      <c r="C91" s="73" t="str">
        <f t="shared" si="1"/>
        <v>Closed</v>
      </c>
      <c r="D91" s="45" t="s">
        <v>685</v>
      </c>
      <c r="E91" s="54" t="s">
        <v>686</v>
      </c>
      <c r="F91" s="5" t="s">
        <v>619</v>
      </c>
      <c r="G91" s="10">
        <f>DATE(2006,5,17)</f>
        <v>38854</v>
      </c>
      <c r="H91" s="35">
        <v>1.8194444444444446</v>
      </c>
      <c r="I91" s="5" t="s">
        <v>259</v>
      </c>
      <c r="J91" s="10" t="s">
        <v>687</v>
      </c>
      <c r="K91" s="5" t="s">
        <v>621</v>
      </c>
      <c r="L91" s="5" t="s">
        <v>688</v>
      </c>
      <c r="M91" s="5" t="s">
        <v>45</v>
      </c>
      <c r="N91" s="5">
        <v>0</v>
      </c>
      <c r="O91" s="5" t="s">
        <v>46</v>
      </c>
      <c r="P91" s="10" t="s">
        <v>146</v>
      </c>
      <c r="Q91" s="10" t="s">
        <v>623</v>
      </c>
      <c r="R91" s="10" t="s">
        <v>624</v>
      </c>
      <c r="S91" s="5">
        <v>0</v>
      </c>
      <c r="T91" s="37">
        <v>0</v>
      </c>
      <c r="U91" s="5">
        <v>0</v>
      </c>
      <c r="V91" s="37">
        <v>1</v>
      </c>
      <c r="W91" s="5">
        <v>0</v>
      </c>
      <c r="X91" s="5">
        <v>1</v>
      </c>
      <c r="Y91" s="5">
        <v>0</v>
      </c>
      <c r="Z91" s="37">
        <v>0</v>
      </c>
      <c r="AA91" s="5">
        <v>0</v>
      </c>
      <c r="AB91" s="5">
        <v>0</v>
      </c>
      <c r="AC91" s="5">
        <v>0</v>
      </c>
      <c r="AD91" s="5">
        <v>0</v>
      </c>
      <c r="AE91" s="10" t="s">
        <v>50</v>
      </c>
      <c r="AF91" s="10" t="s">
        <v>50</v>
      </c>
      <c r="AG91" s="10" t="s">
        <v>229</v>
      </c>
      <c r="AH91" s="10" t="s">
        <v>50</v>
      </c>
      <c r="AI91" s="5">
        <v>1</v>
      </c>
      <c r="AJ91" s="10" t="s">
        <v>50</v>
      </c>
      <c r="AK91" s="10" t="s">
        <v>50</v>
      </c>
    </row>
    <row r="92" spans="1:37" ht="36.75" customHeight="1" x14ac:dyDescent="0.35">
      <c r="A92" s="5"/>
      <c r="B92" s="5" t="s">
        <v>37</v>
      </c>
      <c r="C92" s="73" t="str">
        <f t="shared" si="1"/>
        <v>Closed</v>
      </c>
      <c r="D92" s="45" t="s">
        <v>689</v>
      </c>
      <c r="E92" s="54" t="s">
        <v>690</v>
      </c>
      <c r="F92" s="5" t="s">
        <v>575</v>
      </c>
      <c r="G92" s="10">
        <f>DATE(2006,5,18)</f>
        <v>38855</v>
      </c>
      <c r="H92" s="35">
        <v>1.6749999999999998</v>
      </c>
      <c r="I92" s="5" t="s">
        <v>67</v>
      </c>
      <c r="J92" s="10" t="s">
        <v>691</v>
      </c>
      <c r="K92" s="5" t="s">
        <v>577</v>
      </c>
      <c r="L92" s="5" t="s">
        <v>692</v>
      </c>
      <c r="M92" s="5" t="s">
        <v>45</v>
      </c>
      <c r="N92" s="5">
        <v>0</v>
      </c>
      <c r="O92" s="5" t="s">
        <v>46</v>
      </c>
      <c r="P92" s="10" t="s">
        <v>146</v>
      </c>
      <c r="Q92" s="10" t="s">
        <v>579</v>
      </c>
      <c r="R92" s="10" t="s">
        <v>580</v>
      </c>
      <c r="S92" s="5">
        <v>0</v>
      </c>
      <c r="T92" s="37" t="s">
        <v>50</v>
      </c>
      <c r="U92" s="5">
        <v>0</v>
      </c>
      <c r="V92" s="37" t="s">
        <v>50</v>
      </c>
      <c r="W92" s="5">
        <v>0</v>
      </c>
      <c r="X92" s="5">
        <v>0</v>
      </c>
      <c r="Y92" s="5">
        <v>0</v>
      </c>
      <c r="Z92" s="37" t="s">
        <v>50</v>
      </c>
      <c r="AA92" s="5">
        <v>0</v>
      </c>
      <c r="AB92" s="5">
        <v>0</v>
      </c>
      <c r="AC92" s="5">
        <v>0</v>
      </c>
      <c r="AD92" s="5">
        <v>0</v>
      </c>
      <c r="AE92" s="10" t="s">
        <v>50</v>
      </c>
      <c r="AF92" s="10" t="s">
        <v>693</v>
      </c>
      <c r="AG92" s="10" t="s">
        <v>694</v>
      </c>
      <c r="AH92" s="10" t="s">
        <v>50</v>
      </c>
      <c r="AI92" s="5">
        <v>0</v>
      </c>
      <c r="AJ92" s="10" t="s">
        <v>50</v>
      </c>
      <c r="AK92" s="10" t="s">
        <v>50</v>
      </c>
    </row>
    <row r="93" spans="1:37" ht="36.75" customHeight="1" x14ac:dyDescent="0.35">
      <c r="A93" s="5"/>
      <c r="B93" s="5" t="s">
        <v>37</v>
      </c>
      <c r="C93" s="73" t="str">
        <f t="shared" si="1"/>
        <v>Closed</v>
      </c>
      <c r="D93" s="45" t="s">
        <v>695</v>
      </c>
      <c r="E93" s="54" t="s">
        <v>696</v>
      </c>
      <c r="F93" s="5" t="s">
        <v>214</v>
      </c>
      <c r="G93" s="10">
        <f>DATE(2006,5,18)</f>
        <v>38855</v>
      </c>
      <c r="H93" s="35">
        <v>1.4284722222222221</v>
      </c>
      <c r="I93" s="5" t="s">
        <v>67</v>
      </c>
      <c r="J93" s="10" t="s">
        <v>697</v>
      </c>
      <c r="K93" s="5" t="s">
        <v>216</v>
      </c>
      <c r="L93" s="5" t="s">
        <v>698</v>
      </c>
      <c r="M93" s="5" t="s">
        <v>45</v>
      </c>
      <c r="N93" s="5">
        <v>0</v>
      </c>
      <c r="O93" s="5" t="s">
        <v>46</v>
      </c>
      <c r="P93" s="10" t="s">
        <v>146</v>
      </c>
      <c r="Q93" s="10" t="s">
        <v>699</v>
      </c>
      <c r="R93" s="10" t="s">
        <v>219</v>
      </c>
      <c r="S93" s="5">
        <v>0</v>
      </c>
      <c r="T93" s="37" t="s">
        <v>50</v>
      </c>
      <c r="U93" s="5">
        <v>0</v>
      </c>
      <c r="V93" s="37" t="s">
        <v>50</v>
      </c>
      <c r="W93" s="5">
        <v>0</v>
      </c>
      <c r="X93" s="5">
        <v>0</v>
      </c>
      <c r="Y93" s="5">
        <v>0</v>
      </c>
      <c r="Z93" s="37" t="s">
        <v>50</v>
      </c>
      <c r="AA93" s="5">
        <v>0</v>
      </c>
      <c r="AB93" s="5">
        <v>0</v>
      </c>
      <c r="AC93" s="5">
        <v>0</v>
      </c>
      <c r="AD93" s="5">
        <v>0</v>
      </c>
      <c r="AE93" s="10" t="s">
        <v>50</v>
      </c>
      <c r="AF93" s="10" t="s">
        <v>50</v>
      </c>
      <c r="AG93" s="10" t="s">
        <v>114</v>
      </c>
      <c r="AH93" s="10" t="s">
        <v>50</v>
      </c>
      <c r="AI93" s="5">
        <v>6</v>
      </c>
      <c r="AJ93" s="10" t="s">
        <v>700</v>
      </c>
      <c r="AK93" s="10" t="s">
        <v>701</v>
      </c>
    </row>
    <row r="94" spans="1:37" ht="36.75" customHeight="1" x14ac:dyDescent="0.35">
      <c r="A94" s="5"/>
      <c r="B94" s="5" t="s">
        <v>37</v>
      </c>
      <c r="C94" s="73" t="str">
        <f t="shared" si="1"/>
        <v>Closed</v>
      </c>
      <c r="D94" s="45" t="s">
        <v>702</v>
      </c>
      <c r="E94" s="54" t="s">
        <v>703</v>
      </c>
      <c r="F94" s="5" t="s">
        <v>214</v>
      </c>
      <c r="G94" s="10">
        <f>DATE(2006,5,22)</f>
        <v>38859</v>
      </c>
      <c r="H94" s="35">
        <v>1.3909722222222223</v>
      </c>
      <c r="I94" s="5" t="s">
        <v>97</v>
      </c>
      <c r="J94" s="10" t="s">
        <v>704</v>
      </c>
      <c r="K94" s="5" t="s">
        <v>216</v>
      </c>
      <c r="L94" s="5" t="s">
        <v>705</v>
      </c>
      <c r="M94" s="5" t="s">
        <v>45</v>
      </c>
      <c r="N94" s="5">
        <v>0</v>
      </c>
      <c r="O94" s="5" t="s">
        <v>46</v>
      </c>
      <c r="P94" s="10" t="s">
        <v>60</v>
      </c>
      <c r="Q94" s="10" t="s">
        <v>706</v>
      </c>
      <c r="R94" s="10" t="s">
        <v>219</v>
      </c>
      <c r="S94" s="5">
        <v>0</v>
      </c>
      <c r="T94" s="37" t="s">
        <v>50</v>
      </c>
      <c r="U94" s="5">
        <v>0</v>
      </c>
      <c r="V94" s="37" t="s">
        <v>50</v>
      </c>
      <c r="W94" s="5">
        <v>0</v>
      </c>
      <c r="X94" s="5">
        <v>0</v>
      </c>
      <c r="Y94" s="5">
        <v>0</v>
      </c>
      <c r="Z94" s="37" t="s">
        <v>50</v>
      </c>
      <c r="AA94" s="5">
        <v>0</v>
      </c>
      <c r="AB94" s="5">
        <v>0</v>
      </c>
      <c r="AC94" s="5">
        <v>0</v>
      </c>
      <c r="AD94" s="5">
        <v>0</v>
      </c>
      <c r="AE94" s="10" t="s">
        <v>50</v>
      </c>
      <c r="AF94" s="10" t="s">
        <v>707</v>
      </c>
      <c r="AG94" s="10" t="s">
        <v>114</v>
      </c>
      <c r="AH94" s="10" t="s">
        <v>50</v>
      </c>
      <c r="AI94" s="5">
        <v>8</v>
      </c>
      <c r="AJ94" s="10" t="s">
        <v>708</v>
      </c>
      <c r="AK94" s="10" t="s">
        <v>709</v>
      </c>
    </row>
    <row r="95" spans="1:37" ht="36.75" customHeight="1" x14ac:dyDescent="0.35">
      <c r="A95" s="5"/>
      <c r="B95" s="5" t="s">
        <v>37</v>
      </c>
      <c r="C95" s="73" t="str">
        <f t="shared" si="1"/>
        <v>Closed</v>
      </c>
      <c r="D95" s="45" t="s">
        <v>710</v>
      </c>
      <c r="E95" s="54" t="s">
        <v>711</v>
      </c>
      <c r="F95" s="5" t="s">
        <v>214</v>
      </c>
      <c r="G95" s="10">
        <f>DATE(2006,5,24)</f>
        <v>38861</v>
      </c>
      <c r="H95" s="35">
        <v>1.0694444444444444</v>
      </c>
      <c r="I95" s="5" t="s">
        <v>67</v>
      </c>
      <c r="J95" s="10" t="s">
        <v>712</v>
      </c>
      <c r="K95" s="5" t="s">
        <v>216</v>
      </c>
      <c r="L95" s="5" t="s">
        <v>713</v>
      </c>
      <c r="M95" s="5" t="s">
        <v>236</v>
      </c>
      <c r="N95" s="5">
        <v>0</v>
      </c>
      <c r="O95" s="5" t="s">
        <v>46</v>
      </c>
      <c r="P95" s="10" t="s">
        <v>67</v>
      </c>
      <c r="Q95" s="10" t="s">
        <v>664</v>
      </c>
      <c r="R95" s="10" t="s">
        <v>664</v>
      </c>
      <c r="S95" s="5">
        <v>0</v>
      </c>
      <c r="T95" s="37" t="s">
        <v>50</v>
      </c>
      <c r="U95" s="5">
        <v>0</v>
      </c>
      <c r="V95" s="37" t="s">
        <v>50</v>
      </c>
      <c r="W95" s="5">
        <v>0</v>
      </c>
      <c r="X95" s="5">
        <v>0</v>
      </c>
      <c r="Y95" s="5">
        <v>0</v>
      </c>
      <c r="Z95" s="37" t="s">
        <v>50</v>
      </c>
      <c r="AA95" s="5">
        <v>0</v>
      </c>
      <c r="AB95" s="5">
        <v>0</v>
      </c>
      <c r="AC95" s="5">
        <v>0</v>
      </c>
      <c r="AD95" s="5">
        <v>0</v>
      </c>
      <c r="AE95" s="10" t="s">
        <v>50</v>
      </c>
      <c r="AF95" s="10" t="s">
        <v>50</v>
      </c>
      <c r="AG95" s="10" t="s">
        <v>114</v>
      </c>
      <c r="AH95" s="10" t="s">
        <v>50</v>
      </c>
      <c r="AI95" s="5">
        <v>9</v>
      </c>
      <c r="AJ95" s="10" t="s">
        <v>714</v>
      </c>
      <c r="AK95" s="10" t="s">
        <v>715</v>
      </c>
    </row>
    <row r="96" spans="1:37" ht="36.75" customHeight="1" x14ac:dyDescent="0.35">
      <c r="A96" s="5"/>
      <c r="B96" s="5" t="s">
        <v>37</v>
      </c>
      <c r="C96" s="73" t="str">
        <f t="shared" si="1"/>
        <v>Closed</v>
      </c>
      <c r="D96" s="45" t="s">
        <v>716</v>
      </c>
      <c r="E96" s="54" t="s">
        <v>717</v>
      </c>
      <c r="F96" s="5" t="s">
        <v>214</v>
      </c>
      <c r="G96" s="10">
        <f>DATE(2006,5,25)</f>
        <v>38862</v>
      </c>
      <c r="H96" s="35">
        <v>1.6645833333333333</v>
      </c>
      <c r="I96" s="5" t="s">
        <v>55</v>
      </c>
      <c r="J96" s="10" t="s">
        <v>718</v>
      </c>
      <c r="K96" s="5" t="s">
        <v>216</v>
      </c>
      <c r="L96" s="5" t="s">
        <v>719</v>
      </c>
      <c r="M96" s="5" t="s">
        <v>236</v>
      </c>
      <c r="N96" s="5">
        <v>0</v>
      </c>
      <c r="O96" s="5" t="s">
        <v>46</v>
      </c>
      <c r="P96" s="10" t="s">
        <v>67</v>
      </c>
      <c r="Q96" s="10" t="s">
        <v>237</v>
      </c>
      <c r="R96" s="10" t="s">
        <v>238</v>
      </c>
      <c r="S96" s="5">
        <v>0</v>
      </c>
      <c r="T96" s="37" t="s">
        <v>50</v>
      </c>
      <c r="U96" s="5">
        <v>0</v>
      </c>
      <c r="V96" s="37" t="s">
        <v>50</v>
      </c>
      <c r="W96" s="5">
        <v>0</v>
      </c>
      <c r="X96" s="5">
        <v>0</v>
      </c>
      <c r="Y96" s="5">
        <v>0</v>
      </c>
      <c r="Z96" s="37" t="s">
        <v>50</v>
      </c>
      <c r="AA96" s="5">
        <v>0</v>
      </c>
      <c r="AB96" s="5">
        <v>0</v>
      </c>
      <c r="AC96" s="5">
        <v>0</v>
      </c>
      <c r="AD96" s="5">
        <v>0</v>
      </c>
      <c r="AE96" s="10" t="s">
        <v>50</v>
      </c>
      <c r="AF96" s="10" t="s">
        <v>50</v>
      </c>
      <c r="AG96" s="10" t="s">
        <v>229</v>
      </c>
      <c r="AH96" s="10" t="s">
        <v>50</v>
      </c>
      <c r="AI96" s="5">
        <v>2</v>
      </c>
      <c r="AJ96" s="10" t="s">
        <v>720</v>
      </c>
      <c r="AK96" s="10" t="s">
        <v>721</v>
      </c>
    </row>
    <row r="97" spans="1:37" ht="36.75" customHeight="1" x14ac:dyDescent="0.35">
      <c r="A97" s="5"/>
      <c r="B97" s="5" t="s">
        <v>37</v>
      </c>
      <c r="C97" s="73" t="str">
        <f t="shared" si="1"/>
        <v>Closed</v>
      </c>
      <c r="D97" s="45" t="s">
        <v>722</v>
      </c>
      <c r="E97" s="54" t="s">
        <v>723</v>
      </c>
      <c r="F97" s="5" t="s">
        <v>619</v>
      </c>
      <c r="G97" s="10">
        <f>DATE(2006,5,26)</f>
        <v>38863</v>
      </c>
      <c r="H97" s="35">
        <v>1.4881944444444444</v>
      </c>
      <c r="I97" s="5" t="s">
        <v>97</v>
      </c>
      <c r="J97" s="10" t="s">
        <v>724</v>
      </c>
      <c r="K97" s="5" t="s">
        <v>621</v>
      </c>
      <c r="L97" s="5" t="s">
        <v>725</v>
      </c>
      <c r="M97" s="5" t="s">
        <v>45</v>
      </c>
      <c r="N97" s="5">
        <v>0</v>
      </c>
      <c r="O97" s="5" t="s">
        <v>59</v>
      </c>
      <c r="P97" s="10" t="s">
        <v>146</v>
      </c>
      <c r="Q97" s="10" t="s">
        <v>623</v>
      </c>
      <c r="R97" s="10" t="s">
        <v>624</v>
      </c>
      <c r="S97" s="5">
        <v>0</v>
      </c>
      <c r="T97" s="37">
        <v>0</v>
      </c>
      <c r="U97" s="5">
        <v>1</v>
      </c>
      <c r="V97" s="37">
        <v>0</v>
      </c>
      <c r="W97" s="5">
        <v>0</v>
      </c>
      <c r="X97" s="5">
        <v>1</v>
      </c>
      <c r="Y97" s="5">
        <v>0</v>
      </c>
      <c r="Z97" s="37">
        <v>0</v>
      </c>
      <c r="AA97" s="5">
        <v>0</v>
      </c>
      <c r="AB97" s="5">
        <v>0</v>
      </c>
      <c r="AC97" s="5">
        <v>0</v>
      </c>
      <c r="AD97" s="5">
        <v>0</v>
      </c>
      <c r="AE97" s="10" t="s">
        <v>50</v>
      </c>
      <c r="AF97" s="10" t="s">
        <v>50</v>
      </c>
      <c r="AG97" s="10" t="s">
        <v>229</v>
      </c>
      <c r="AH97" s="10" t="s">
        <v>50</v>
      </c>
      <c r="AI97" s="5">
        <v>1</v>
      </c>
      <c r="AJ97" s="10" t="s">
        <v>50</v>
      </c>
      <c r="AK97" s="10" t="s">
        <v>50</v>
      </c>
    </row>
    <row r="98" spans="1:37" ht="36.75" customHeight="1" x14ac:dyDescent="0.35">
      <c r="A98" s="5"/>
      <c r="B98" s="5" t="s">
        <v>37</v>
      </c>
      <c r="C98" s="73" t="str">
        <f t="shared" si="1"/>
        <v>Closed</v>
      </c>
      <c r="D98" s="45" t="s">
        <v>726</v>
      </c>
      <c r="E98" s="54" t="s">
        <v>727</v>
      </c>
      <c r="F98" s="5" t="s">
        <v>605</v>
      </c>
      <c r="G98" s="10">
        <f>DATE(2006,5,26)</f>
        <v>38863</v>
      </c>
      <c r="H98" s="35">
        <v>1.0972222222222223</v>
      </c>
      <c r="I98" s="5" t="s">
        <v>97</v>
      </c>
      <c r="J98" s="10" t="s">
        <v>728</v>
      </c>
      <c r="K98" s="5" t="s">
        <v>607</v>
      </c>
      <c r="L98" s="5" t="s">
        <v>729</v>
      </c>
      <c r="M98" s="5" t="s">
        <v>45</v>
      </c>
      <c r="N98" s="5">
        <v>0</v>
      </c>
      <c r="O98" s="5" t="s">
        <v>46</v>
      </c>
      <c r="P98" s="10" t="s">
        <v>60</v>
      </c>
      <c r="Q98" s="10" t="s">
        <v>730</v>
      </c>
      <c r="R98" s="10" t="s">
        <v>610</v>
      </c>
      <c r="S98" s="5">
        <v>0</v>
      </c>
      <c r="T98" s="37">
        <v>0</v>
      </c>
      <c r="U98" s="5">
        <v>5</v>
      </c>
      <c r="V98" s="37">
        <v>0</v>
      </c>
      <c r="W98" s="5">
        <v>0</v>
      </c>
      <c r="X98" s="5">
        <v>5</v>
      </c>
      <c r="Y98" s="5">
        <v>0</v>
      </c>
      <c r="Z98" s="37">
        <v>0</v>
      </c>
      <c r="AA98" s="5">
        <v>0</v>
      </c>
      <c r="AB98" s="5">
        <v>0</v>
      </c>
      <c r="AC98" s="5">
        <v>0</v>
      </c>
      <c r="AD98" s="5">
        <v>0</v>
      </c>
      <c r="AE98" s="10" t="s">
        <v>50</v>
      </c>
      <c r="AF98" s="10" t="s">
        <v>731</v>
      </c>
      <c r="AG98" s="10" t="s">
        <v>64</v>
      </c>
      <c r="AH98" s="10" t="s">
        <v>50</v>
      </c>
      <c r="AI98" s="5">
        <v>0</v>
      </c>
      <c r="AJ98" s="10" t="s">
        <v>50</v>
      </c>
      <c r="AK98" s="10" t="s">
        <v>50</v>
      </c>
    </row>
    <row r="99" spans="1:37" ht="36.75" customHeight="1" x14ac:dyDescent="0.35">
      <c r="A99" s="5"/>
      <c r="B99" s="5" t="s">
        <v>37</v>
      </c>
      <c r="C99" s="73" t="str">
        <f t="shared" si="1"/>
        <v>Closed</v>
      </c>
      <c r="D99" s="45" t="s">
        <v>732</v>
      </c>
      <c r="E99" s="54" t="s">
        <v>733</v>
      </c>
      <c r="F99" s="5" t="s">
        <v>214</v>
      </c>
      <c r="G99" s="10">
        <f>DATE(2006,5,29)</f>
        <v>38866</v>
      </c>
      <c r="H99" s="35">
        <v>1.5694444444444444</v>
      </c>
      <c r="I99" s="5" t="s">
        <v>55</v>
      </c>
      <c r="J99" s="10" t="s">
        <v>734</v>
      </c>
      <c r="K99" s="5" t="s">
        <v>216</v>
      </c>
      <c r="L99" s="5" t="s">
        <v>735</v>
      </c>
      <c r="M99" s="5" t="s">
        <v>45</v>
      </c>
      <c r="N99" s="5">
        <v>0</v>
      </c>
      <c r="O99" s="5" t="s">
        <v>46</v>
      </c>
      <c r="P99" s="10" t="s">
        <v>67</v>
      </c>
      <c r="Q99" s="10" t="s">
        <v>736</v>
      </c>
      <c r="R99" s="10" t="s">
        <v>737</v>
      </c>
      <c r="S99" s="5">
        <v>0</v>
      </c>
      <c r="T99" s="37" t="s">
        <v>50</v>
      </c>
      <c r="U99" s="5">
        <v>0</v>
      </c>
      <c r="V99" s="37" t="s">
        <v>50</v>
      </c>
      <c r="W99" s="5">
        <v>0</v>
      </c>
      <c r="X99" s="5">
        <v>0</v>
      </c>
      <c r="Y99" s="5">
        <v>0</v>
      </c>
      <c r="Z99" s="37" t="s">
        <v>50</v>
      </c>
      <c r="AA99" s="5">
        <v>0</v>
      </c>
      <c r="AB99" s="5">
        <v>0</v>
      </c>
      <c r="AC99" s="5">
        <v>0</v>
      </c>
      <c r="AD99" s="5">
        <v>0</v>
      </c>
      <c r="AE99" s="10" t="s">
        <v>50</v>
      </c>
      <c r="AF99" s="10" t="s">
        <v>50</v>
      </c>
      <c r="AG99" s="10" t="s">
        <v>229</v>
      </c>
      <c r="AH99" s="10" t="s">
        <v>50</v>
      </c>
      <c r="AI99" s="5">
        <v>8</v>
      </c>
      <c r="AJ99" s="10" t="s">
        <v>738</v>
      </c>
      <c r="AK99" s="10" t="s">
        <v>739</v>
      </c>
    </row>
    <row r="100" spans="1:37" ht="36.75" customHeight="1" x14ac:dyDescent="0.35">
      <c r="A100" s="5"/>
      <c r="B100" s="5" t="s">
        <v>37</v>
      </c>
      <c r="C100" s="73" t="str">
        <f t="shared" si="1"/>
        <v>Closed</v>
      </c>
      <c r="D100" s="45" t="s">
        <v>740</v>
      </c>
      <c r="E100" s="54" t="s">
        <v>741</v>
      </c>
      <c r="F100" s="5" t="s">
        <v>214</v>
      </c>
      <c r="G100" s="10">
        <f>DATE(2006,5,30)</f>
        <v>38867</v>
      </c>
      <c r="H100" s="35">
        <v>1.5034722222222223</v>
      </c>
      <c r="I100" s="5" t="s">
        <v>55</v>
      </c>
      <c r="J100" s="10" t="s">
        <v>742</v>
      </c>
      <c r="K100" s="5" t="s">
        <v>216</v>
      </c>
      <c r="L100" s="5" t="s">
        <v>743</v>
      </c>
      <c r="M100" s="5" t="s">
        <v>236</v>
      </c>
      <c r="N100" s="5">
        <v>0</v>
      </c>
      <c r="O100" s="5" t="s">
        <v>46</v>
      </c>
      <c r="P100" s="10" t="s">
        <v>67</v>
      </c>
      <c r="Q100" s="10" t="s">
        <v>318</v>
      </c>
      <c r="R100" s="10" t="s">
        <v>318</v>
      </c>
      <c r="S100" s="5">
        <v>0</v>
      </c>
      <c r="T100" s="37" t="s">
        <v>50</v>
      </c>
      <c r="U100" s="5">
        <v>0</v>
      </c>
      <c r="V100" s="37" t="s">
        <v>50</v>
      </c>
      <c r="W100" s="5">
        <v>0</v>
      </c>
      <c r="X100" s="5">
        <v>0</v>
      </c>
      <c r="Y100" s="5">
        <v>0</v>
      </c>
      <c r="Z100" s="37" t="s">
        <v>50</v>
      </c>
      <c r="AA100" s="5">
        <v>0</v>
      </c>
      <c r="AB100" s="5">
        <v>0</v>
      </c>
      <c r="AC100" s="5">
        <v>0</v>
      </c>
      <c r="AD100" s="5">
        <v>0</v>
      </c>
      <c r="AE100" s="10" t="s">
        <v>50</v>
      </c>
      <c r="AF100" s="10" t="s">
        <v>50</v>
      </c>
      <c r="AG100" s="10" t="s">
        <v>229</v>
      </c>
      <c r="AH100" s="10" t="s">
        <v>50</v>
      </c>
      <c r="AI100" s="5">
        <v>2</v>
      </c>
      <c r="AJ100" s="10" t="s">
        <v>744</v>
      </c>
      <c r="AK100" s="10" t="s">
        <v>745</v>
      </c>
    </row>
    <row r="101" spans="1:37" ht="36.75" customHeight="1" x14ac:dyDescent="0.35">
      <c r="A101" s="5"/>
      <c r="B101" s="5" t="s">
        <v>37</v>
      </c>
      <c r="C101" s="73" t="str">
        <f t="shared" si="1"/>
        <v>Closed</v>
      </c>
      <c r="D101" s="45" t="s">
        <v>746</v>
      </c>
      <c r="E101" s="54" t="s">
        <v>747</v>
      </c>
      <c r="F101" s="5" t="s">
        <v>40</v>
      </c>
      <c r="G101" s="10">
        <f>DATE(2006,6,1)</f>
        <v>38869</v>
      </c>
      <c r="H101" s="35">
        <v>1.4486111111111111</v>
      </c>
      <c r="I101" s="5" t="s">
        <v>137</v>
      </c>
      <c r="J101" s="10" t="s">
        <v>748</v>
      </c>
      <c r="K101" s="5" t="s">
        <v>43</v>
      </c>
      <c r="L101" s="5" t="s">
        <v>749</v>
      </c>
      <c r="M101" s="5" t="s">
        <v>45</v>
      </c>
      <c r="N101" s="5">
        <v>0</v>
      </c>
      <c r="O101" s="5" t="s">
        <v>71</v>
      </c>
      <c r="P101" s="10" t="s">
        <v>60</v>
      </c>
      <c r="Q101" s="10" t="s">
        <v>48</v>
      </c>
      <c r="R101" s="10" t="s">
        <v>49</v>
      </c>
      <c r="S101" s="5">
        <v>0</v>
      </c>
      <c r="T101" s="37" t="s">
        <v>50</v>
      </c>
      <c r="U101" s="5">
        <v>0</v>
      </c>
      <c r="V101" s="37" t="s">
        <v>50</v>
      </c>
      <c r="W101" s="5">
        <v>0</v>
      </c>
      <c r="X101" s="5">
        <v>0</v>
      </c>
      <c r="Y101" s="5">
        <v>0</v>
      </c>
      <c r="Z101" s="37" t="s">
        <v>50</v>
      </c>
      <c r="AA101" s="5">
        <v>0</v>
      </c>
      <c r="AB101" s="5">
        <v>0</v>
      </c>
      <c r="AC101" s="5">
        <v>0</v>
      </c>
      <c r="AD101" s="5">
        <v>0</v>
      </c>
      <c r="AE101" s="10" t="s">
        <v>50</v>
      </c>
      <c r="AF101" s="10" t="s">
        <v>750</v>
      </c>
      <c r="AG101" s="10" t="s">
        <v>51</v>
      </c>
      <c r="AH101" s="10" t="s">
        <v>50</v>
      </c>
      <c r="AI101" s="5">
        <v>0</v>
      </c>
      <c r="AJ101" s="10" t="s">
        <v>50</v>
      </c>
      <c r="AK101" s="10" t="s">
        <v>50</v>
      </c>
    </row>
    <row r="102" spans="1:37" ht="36.75" customHeight="1" x14ac:dyDescent="0.35">
      <c r="A102" s="5"/>
      <c r="B102" s="5" t="s">
        <v>37</v>
      </c>
      <c r="C102" s="73" t="str">
        <f t="shared" si="1"/>
        <v>Closed</v>
      </c>
      <c r="D102" s="45" t="s">
        <v>751</v>
      </c>
      <c r="E102" s="54" t="s">
        <v>752</v>
      </c>
      <c r="F102" s="5" t="s">
        <v>214</v>
      </c>
      <c r="G102" s="10">
        <f>DATE(2006,6,2)</f>
        <v>38870</v>
      </c>
      <c r="H102" s="35">
        <v>1.4576388888888889</v>
      </c>
      <c r="I102" s="5" t="s">
        <v>55</v>
      </c>
      <c r="J102" s="10" t="s">
        <v>753</v>
      </c>
      <c r="K102" s="5" t="s">
        <v>216</v>
      </c>
      <c r="L102" s="5" t="s">
        <v>754</v>
      </c>
      <c r="M102" s="5" t="s">
        <v>110</v>
      </c>
      <c r="N102" s="5">
        <v>0</v>
      </c>
      <c r="O102" s="5" t="s">
        <v>46</v>
      </c>
      <c r="P102" s="10" t="s">
        <v>67</v>
      </c>
      <c r="Q102" s="10" t="s">
        <v>664</v>
      </c>
      <c r="R102" s="10" t="s">
        <v>664</v>
      </c>
      <c r="S102" s="5">
        <v>0</v>
      </c>
      <c r="T102" s="37" t="s">
        <v>50</v>
      </c>
      <c r="U102" s="5">
        <v>0</v>
      </c>
      <c r="V102" s="37" t="s">
        <v>50</v>
      </c>
      <c r="W102" s="5">
        <v>0</v>
      </c>
      <c r="X102" s="5">
        <v>0</v>
      </c>
      <c r="Y102" s="5">
        <v>0</v>
      </c>
      <c r="Z102" s="37" t="s">
        <v>50</v>
      </c>
      <c r="AA102" s="5">
        <v>0</v>
      </c>
      <c r="AB102" s="5">
        <v>0</v>
      </c>
      <c r="AC102" s="5">
        <v>0</v>
      </c>
      <c r="AD102" s="5">
        <v>0</v>
      </c>
      <c r="AE102" s="10" t="s">
        <v>50</v>
      </c>
      <c r="AF102" s="10" t="s">
        <v>755</v>
      </c>
      <c r="AG102" s="10" t="s">
        <v>229</v>
      </c>
      <c r="AH102" s="10" t="s">
        <v>50</v>
      </c>
      <c r="AI102" s="5">
        <v>3</v>
      </c>
      <c r="AJ102" s="10" t="s">
        <v>756</v>
      </c>
      <c r="AK102" s="10" t="s">
        <v>757</v>
      </c>
    </row>
    <row r="103" spans="1:37" ht="36.75" customHeight="1" x14ac:dyDescent="0.35">
      <c r="A103" s="5"/>
      <c r="B103" s="5" t="s">
        <v>37</v>
      </c>
      <c r="C103" s="73" t="str">
        <f t="shared" si="1"/>
        <v>Closed</v>
      </c>
      <c r="D103" s="45" t="s">
        <v>758</v>
      </c>
      <c r="E103" s="54" t="s">
        <v>759</v>
      </c>
      <c r="F103" s="5" t="s">
        <v>432</v>
      </c>
      <c r="G103" s="10">
        <f>DATE(2006,6,5)</f>
        <v>38873</v>
      </c>
      <c r="H103" s="35">
        <v>1.8993055555555554</v>
      </c>
      <c r="I103" s="5" t="s">
        <v>106</v>
      </c>
      <c r="J103" s="10" t="s">
        <v>760</v>
      </c>
      <c r="K103" s="5" t="s">
        <v>434</v>
      </c>
      <c r="L103" s="5" t="s">
        <v>761</v>
      </c>
      <c r="M103" s="5" t="s">
        <v>45</v>
      </c>
      <c r="N103" s="5">
        <v>0</v>
      </c>
      <c r="O103" s="5" t="s">
        <v>46</v>
      </c>
      <c r="P103" s="10" t="s">
        <v>282</v>
      </c>
      <c r="Q103" s="10" t="s">
        <v>762</v>
      </c>
      <c r="R103" s="10" t="s">
        <v>553</v>
      </c>
      <c r="S103" s="5">
        <v>0</v>
      </c>
      <c r="T103" s="37" t="s">
        <v>50</v>
      </c>
      <c r="U103" s="5">
        <v>0</v>
      </c>
      <c r="V103" s="37" t="s">
        <v>50</v>
      </c>
      <c r="W103" s="5">
        <v>0</v>
      </c>
      <c r="X103" s="5">
        <v>0</v>
      </c>
      <c r="Y103" s="5">
        <v>0</v>
      </c>
      <c r="Z103" s="37" t="s">
        <v>50</v>
      </c>
      <c r="AA103" s="5">
        <v>0</v>
      </c>
      <c r="AB103" s="5">
        <v>0</v>
      </c>
      <c r="AC103" s="5">
        <v>0</v>
      </c>
      <c r="AD103" s="5">
        <v>0</v>
      </c>
      <c r="AE103" s="10" t="s">
        <v>50</v>
      </c>
      <c r="AF103" s="10" t="s">
        <v>763</v>
      </c>
      <c r="AG103" s="10" t="s">
        <v>64</v>
      </c>
      <c r="AH103" s="10" t="s">
        <v>50</v>
      </c>
      <c r="AI103" s="5">
        <v>9</v>
      </c>
      <c r="AJ103" s="10" t="s">
        <v>764</v>
      </c>
      <c r="AK103" s="10" t="s">
        <v>50</v>
      </c>
    </row>
    <row r="104" spans="1:37" ht="36.75" customHeight="1" x14ac:dyDescent="0.35">
      <c r="A104" s="5"/>
      <c r="B104" s="5" t="s">
        <v>37</v>
      </c>
      <c r="C104" s="73" t="str">
        <f t="shared" si="1"/>
        <v>Closed</v>
      </c>
      <c r="D104" s="45" t="s">
        <v>765</v>
      </c>
      <c r="E104" s="54" t="s">
        <v>766</v>
      </c>
      <c r="F104" s="5" t="s">
        <v>214</v>
      </c>
      <c r="G104" s="10">
        <f>DATE(2006,6,8)</f>
        <v>38876</v>
      </c>
      <c r="H104" s="35">
        <v>1.4055555555555554</v>
      </c>
      <c r="I104" s="5" t="s">
        <v>97</v>
      </c>
      <c r="J104" s="10" t="s">
        <v>767</v>
      </c>
      <c r="K104" s="5" t="s">
        <v>216</v>
      </c>
      <c r="L104" s="5" t="s">
        <v>768</v>
      </c>
      <c r="M104" s="5" t="s">
        <v>236</v>
      </c>
      <c r="N104" s="5">
        <v>0</v>
      </c>
      <c r="O104" s="5" t="s">
        <v>46</v>
      </c>
      <c r="P104" s="10" t="s">
        <v>67</v>
      </c>
      <c r="Q104" s="10" t="s">
        <v>769</v>
      </c>
      <c r="R104" s="10" t="s">
        <v>769</v>
      </c>
      <c r="S104" s="5">
        <v>0</v>
      </c>
      <c r="T104" s="37" t="s">
        <v>50</v>
      </c>
      <c r="U104" s="5">
        <v>0</v>
      </c>
      <c r="V104" s="37" t="s">
        <v>50</v>
      </c>
      <c r="W104" s="5">
        <v>0</v>
      </c>
      <c r="X104" s="5">
        <v>0</v>
      </c>
      <c r="Y104" s="5">
        <v>0</v>
      </c>
      <c r="Z104" s="37" t="s">
        <v>50</v>
      </c>
      <c r="AA104" s="5">
        <v>0</v>
      </c>
      <c r="AB104" s="5">
        <v>0</v>
      </c>
      <c r="AC104" s="5">
        <v>0</v>
      </c>
      <c r="AD104" s="5">
        <v>0</v>
      </c>
      <c r="AE104" s="10" t="s">
        <v>50</v>
      </c>
      <c r="AF104" s="10" t="s">
        <v>770</v>
      </c>
      <c r="AG104" s="10" t="s">
        <v>229</v>
      </c>
      <c r="AH104" s="10" t="s">
        <v>50</v>
      </c>
      <c r="AI104" s="5">
        <v>2</v>
      </c>
      <c r="AJ104" s="10" t="s">
        <v>771</v>
      </c>
      <c r="AK104" s="10" t="s">
        <v>772</v>
      </c>
    </row>
    <row r="105" spans="1:37" ht="36.75" customHeight="1" x14ac:dyDescent="0.35">
      <c r="A105" s="5"/>
      <c r="B105" s="5" t="s">
        <v>37</v>
      </c>
      <c r="C105" s="73" t="str">
        <f t="shared" si="1"/>
        <v>Closed</v>
      </c>
      <c r="D105" s="45" t="s">
        <v>773</v>
      </c>
      <c r="E105" s="54" t="s">
        <v>774</v>
      </c>
      <c r="F105" s="5" t="s">
        <v>619</v>
      </c>
      <c r="G105" s="10">
        <f>DATE(2006,6,9)</f>
        <v>38877</v>
      </c>
      <c r="H105" s="35">
        <v>1.7555555555555555</v>
      </c>
      <c r="I105" s="5" t="s">
        <v>259</v>
      </c>
      <c r="J105" s="10" t="s">
        <v>775</v>
      </c>
      <c r="K105" s="5" t="s">
        <v>621</v>
      </c>
      <c r="L105" s="5" t="s">
        <v>776</v>
      </c>
      <c r="M105" s="5" t="s">
        <v>45</v>
      </c>
      <c r="N105" s="5">
        <v>0</v>
      </c>
      <c r="O105" s="5" t="s">
        <v>46</v>
      </c>
      <c r="P105" s="10" t="s">
        <v>47</v>
      </c>
      <c r="Q105" s="10" t="s">
        <v>623</v>
      </c>
      <c r="R105" s="10" t="s">
        <v>624</v>
      </c>
      <c r="S105" s="5">
        <v>0</v>
      </c>
      <c r="T105" s="37">
        <v>0</v>
      </c>
      <c r="U105" s="5">
        <v>0</v>
      </c>
      <c r="V105" s="37">
        <v>1</v>
      </c>
      <c r="W105" s="5">
        <v>0</v>
      </c>
      <c r="X105" s="5">
        <v>1</v>
      </c>
      <c r="Y105" s="5">
        <v>0</v>
      </c>
      <c r="Z105" s="37">
        <v>0</v>
      </c>
      <c r="AA105" s="5">
        <v>0</v>
      </c>
      <c r="AB105" s="5">
        <v>1</v>
      </c>
      <c r="AC105" s="5">
        <v>0</v>
      </c>
      <c r="AD105" s="5">
        <v>1</v>
      </c>
      <c r="AE105" s="10" t="s">
        <v>50</v>
      </c>
      <c r="AF105" s="10" t="s">
        <v>50</v>
      </c>
      <c r="AG105" s="10" t="s">
        <v>229</v>
      </c>
      <c r="AH105" s="10" t="s">
        <v>50</v>
      </c>
      <c r="AI105" s="5">
        <v>1</v>
      </c>
      <c r="AJ105" s="10" t="s">
        <v>50</v>
      </c>
      <c r="AK105" s="10" t="s">
        <v>50</v>
      </c>
    </row>
    <row r="106" spans="1:37" ht="36.75" customHeight="1" x14ac:dyDescent="0.35">
      <c r="A106" s="5"/>
      <c r="B106" s="5" t="s">
        <v>37</v>
      </c>
      <c r="C106" s="73" t="str">
        <f t="shared" si="1"/>
        <v>Closed</v>
      </c>
      <c r="D106" s="45" t="s">
        <v>777</v>
      </c>
      <c r="E106" s="54" t="s">
        <v>778</v>
      </c>
      <c r="F106" s="5" t="s">
        <v>214</v>
      </c>
      <c r="G106" s="10">
        <f>DATE(2006,6,10)</f>
        <v>38878</v>
      </c>
      <c r="H106" s="35">
        <v>1.4861111111111112</v>
      </c>
      <c r="I106" s="5" t="s">
        <v>67</v>
      </c>
      <c r="J106" s="10" t="s">
        <v>779</v>
      </c>
      <c r="K106" s="5" t="s">
        <v>216</v>
      </c>
      <c r="L106" s="5" t="s">
        <v>780</v>
      </c>
      <c r="M106" s="5" t="s">
        <v>45</v>
      </c>
      <c r="N106" s="5">
        <v>0</v>
      </c>
      <c r="O106" s="5" t="s">
        <v>46</v>
      </c>
      <c r="P106" s="10" t="s">
        <v>443</v>
      </c>
      <c r="Q106" s="10" t="s">
        <v>781</v>
      </c>
      <c r="R106" s="10" t="s">
        <v>219</v>
      </c>
      <c r="S106" s="5">
        <v>0</v>
      </c>
      <c r="T106" s="37" t="s">
        <v>50</v>
      </c>
      <c r="U106" s="5">
        <v>0</v>
      </c>
      <c r="V106" s="37" t="s">
        <v>50</v>
      </c>
      <c r="W106" s="5">
        <v>0</v>
      </c>
      <c r="X106" s="5">
        <v>0</v>
      </c>
      <c r="Y106" s="5">
        <v>0</v>
      </c>
      <c r="Z106" s="37" t="s">
        <v>50</v>
      </c>
      <c r="AA106" s="5">
        <v>0</v>
      </c>
      <c r="AB106" s="5">
        <v>0</v>
      </c>
      <c r="AC106" s="5">
        <v>0</v>
      </c>
      <c r="AD106" s="5">
        <v>0</v>
      </c>
      <c r="AE106" s="10" t="s">
        <v>50</v>
      </c>
      <c r="AF106" s="10" t="s">
        <v>50</v>
      </c>
      <c r="AG106" s="10" t="s">
        <v>114</v>
      </c>
      <c r="AH106" s="10" t="s">
        <v>50</v>
      </c>
      <c r="AI106" s="5">
        <v>9</v>
      </c>
      <c r="AJ106" s="10" t="s">
        <v>782</v>
      </c>
      <c r="AK106" s="10" t="s">
        <v>783</v>
      </c>
    </row>
    <row r="107" spans="1:37" ht="36.75" customHeight="1" x14ac:dyDescent="0.35">
      <c r="A107" s="5"/>
      <c r="B107" s="5" t="s">
        <v>37</v>
      </c>
      <c r="C107" s="73" t="str">
        <f t="shared" si="1"/>
        <v>Closed</v>
      </c>
      <c r="D107" s="45" t="s">
        <v>784</v>
      </c>
      <c r="E107" s="54" t="s">
        <v>785</v>
      </c>
      <c r="F107" s="5" t="s">
        <v>96</v>
      </c>
      <c r="G107" s="10">
        <f>DATE(2006,6,13)</f>
        <v>38881</v>
      </c>
      <c r="H107" s="35">
        <v>1.4166666666666667</v>
      </c>
      <c r="I107" s="5" t="s">
        <v>55</v>
      </c>
      <c r="J107" s="10" t="s">
        <v>786</v>
      </c>
      <c r="K107" s="5" t="s">
        <v>99</v>
      </c>
      <c r="L107" s="5" t="s">
        <v>787</v>
      </c>
      <c r="M107" s="5" t="s">
        <v>45</v>
      </c>
      <c r="N107" s="5">
        <v>0</v>
      </c>
      <c r="O107" s="5" t="s">
        <v>46</v>
      </c>
      <c r="P107" s="10" t="s">
        <v>60</v>
      </c>
      <c r="Q107" s="10" t="s">
        <v>101</v>
      </c>
      <c r="R107" s="10" t="s">
        <v>102</v>
      </c>
      <c r="S107" s="5">
        <v>0</v>
      </c>
      <c r="T107" s="37" t="s">
        <v>50</v>
      </c>
      <c r="U107" s="5">
        <v>0</v>
      </c>
      <c r="V107" s="37" t="s">
        <v>50</v>
      </c>
      <c r="W107" s="5">
        <v>0</v>
      </c>
      <c r="X107" s="5">
        <v>0</v>
      </c>
      <c r="Y107" s="5">
        <v>0</v>
      </c>
      <c r="Z107" s="37" t="s">
        <v>50</v>
      </c>
      <c r="AA107" s="5">
        <v>0</v>
      </c>
      <c r="AB107" s="5">
        <v>0</v>
      </c>
      <c r="AC107" s="5">
        <v>0</v>
      </c>
      <c r="AD107" s="5">
        <v>0</v>
      </c>
      <c r="AE107" s="10" t="s">
        <v>50</v>
      </c>
      <c r="AF107" s="10" t="s">
        <v>788</v>
      </c>
      <c r="AG107" s="10" t="s">
        <v>64</v>
      </c>
      <c r="AH107" s="10" t="s">
        <v>50</v>
      </c>
      <c r="AI107" s="5">
        <v>0</v>
      </c>
      <c r="AJ107" s="10" t="s">
        <v>50</v>
      </c>
      <c r="AK107" s="10" t="s">
        <v>50</v>
      </c>
    </row>
    <row r="108" spans="1:37" ht="36.75" customHeight="1" x14ac:dyDescent="0.35">
      <c r="A108" s="5"/>
      <c r="B108" s="5" t="s">
        <v>37</v>
      </c>
      <c r="C108" s="73" t="str">
        <f t="shared" si="1"/>
        <v>Closed</v>
      </c>
      <c r="D108" s="45" t="s">
        <v>789</v>
      </c>
      <c r="E108" s="54" t="s">
        <v>790</v>
      </c>
      <c r="F108" s="5" t="s">
        <v>404</v>
      </c>
      <c r="G108" s="10">
        <f>DATE(2006,6,18)</f>
        <v>38886</v>
      </c>
      <c r="H108" s="35">
        <v>1.0923611111111111</v>
      </c>
      <c r="I108" s="5" t="s">
        <v>179</v>
      </c>
      <c r="J108" s="10" t="s">
        <v>791</v>
      </c>
      <c r="K108" s="5" t="s">
        <v>406</v>
      </c>
      <c r="L108" s="5" t="s">
        <v>792</v>
      </c>
      <c r="M108" s="5" t="s">
        <v>45</v>
      </c>
      <c r="N108" s="5">
        <v>0</v>
      </c>
      <c r="O108" s="5" t="s">
        <v>59</v>
      </c>
      <c r="P108" s="10" t="s">
        <v>793</v>
      </c>
      <c r="Q108" s="10" t="s">
        <v>535</v>
      </c>
      <c r="R108" s="10" t="s">
        <v>408</v>
      </c>
      <c r="S108" s="5">
        <v>0</v>
      </c>
      <c r="T108" s="37" t="s">
        <v>50</v>
      </c>
      <c r="U108" s="5">
        <v>0</v>
      </c>
      <c r="V108" s="37" t="s">
        <v>50</v>
      </c>
      <c r="W108" s="5">
        <v>0</v>
      </c>
      <c r="X108" s="5">
        <v>0</v>
      </c>
      <c r="Y108" s="5">
        <v>0</v>
      </c>
      <c r="Z108" s="37" t="s">
        <v>50</v>
      </c>
      <c r="AA108" s="5">
        <v>0</v>
      </c>
      <c r="AB108" s="5">
        <v>0</v>
      </c>
      <c r="AC108" s="5">
        <v>0</v>
      </c>
      <c r="AD108" s="5">
        <v>0</v>
      </c>
      <c r="AE108" s="10" t="s">
        <v>50</v>
      </c>
      <c r="AF108" s="10" t="s">
        <v>794</v>
      </c>
      <c r="AG108" s="10" t="s">
        <v>114</v>
      </c>
      <c r="AH108" s="10" t="s">
        <v>50</v>
      </c>
      <c r="AI108" s="5">
        <v>0</v>
      </c>
      <c r="AJ108" s="10" t="s">
        <v>50</v>
      </c>
      <c r="AK108" s="10" t="s">
        <v>50</v>
      </c>
    </row>
    <row r="109" spans="1:37" ht="36.75" customHeight="1" x14ac:dyDescent="0.35">
      <c r="A109" s="5"/>
      <c r="B109" s="5" t="s">
        <v>37</v>
      </c>
      <c r="C109" s="73" t="str">
        <f t="shared" si="1"/>
        <v>Closed</v>
      </c>
      <c r="D109" s="45" t="s">
        <v>795</v>
      </c>
      <c r="E109" s="54" t="s">
        <v>796</v>
      </c>
      <c r="F109" s="5" t="s">
        <v>105</v>
      </c>
      <c r="G109" s="10">
        <f>DATE(2006,6,21)</f>
        <v>38889</v>
      </c>
      <c r="H109" s="35">
        <v>1.1388888888888888</v>
      </c>
      <c r="I109" s="5" t="s">
        <v>137</v>
      </c>
      <c r="J109" s="10" t="s">
        <v>797</v>
      </c>
      <c r="K109" s="5" t="s">
        <v>108</v>
      </c>
      <c r="L109" s="5" t="s">
        <v>798</v>
      </c>
      <c r="M109" s="5" t="s">
        <v>45</v>
      </c>
      <c r="N109" s="5">
        <v>0</v>
      </c>
      <c r="O109" s="5" t="s">
        <v>46</v>
      </c>
      <c r="P109" s="10" t="s">
        <v>60</v>
      </c>
      <c r="Q109" s="10" t="s">
        <v>382</v>
      </c>
      <c r="R109" s="10" t="s">
        <v>148</v>
      </c>
      <c r="S109" s="5">
        <v>0</v>
      </c>
      <c r="T109" s="37" t="s">
        <v>50</v>
      </c>
      <c r="U109" s="5">
        <v>0</v>
      </c>
      <c r="V109" s="37" t="s">
        <v>50</v>
      </c>
      <c r="W109" s="5">
        <v>0</v>
      </c>
      <c r="X109" s="5">
        <v>0</v>
      </c>
      <c r="Y109" s="5">
        <v>0</v>
      </c>
      <c r="Z109" s="37" t="s">
        <v>50</v>
      </c>
      <c r="AA109" s="5">
        <v>0</v>
      </c>
      <c r="AB109" s="5">
        <v>0</v>
      </c>
      <c r="AC109" s="5">
        <v>0</v>
      </c>
      <c r="AD109" s="5">
        <v>0</v>
      </c>
      <c r="AE109" s="10" t="s">
        <v>50</v>
      </c>
      <c r="AF109" s="10" t="s">
        <v>799</v>
      </c>
      <c r="AG109" s="10" t="s">
        <v>114</v>
      </c>
      <c r="AH109" s="10" t="s">
        <v>50</v>
      </c>
      <c r="AI109" s="5">
        <v>2</v>
      </c>
      <c r="AJ109" s="10" t="s">
        <v>50</v>
      </c>
      <c r="AK109" s="10" t="s">
        <v>50</v>
      </c>
    </row>
    <row r="110" spans="1:37" ht="36.75" customHeight="1" x14ac:dyDescent="0.35">
      <c r="A110" s="5"/>
      <c r="B110" s="5" t="s">
        <v>37</v>
      </c>
      <c r="C110" s="73" t="str">
        <f t="shared" si="1"/>
        <v>Closed</v>
      </c>
      <c r="D110" s="45" t="s">
        <v>800</v>
      </c>
      <c r="E110" s="54" t="s">
        <v>801</v>
      </c>
      <c r="F110" s="5" t="s">
        <v>105</v>
      </c>
      <c r="G110" s="10">
        <f>DATE(2006,6,22)</f>
        <v>38890</v>
      </c>
      <c r="H110" s="35">
        <v>1.7534722222222223</v>
      </c>
      <c r="I110" s="5" t="s">
        <v>106</v>
      </c>
      <c r="J110" s="10" t="s">
        <v>802</v>
      </c>
      <c r="K110" s="5" t="s">
        <v>108</v>
      </c>
      <c r="L110" s="5" t="s">
        <v>803</v>
      </c>
      <c r="M110" s="5" t="s">
        <v>45</v>
      </c>
      <c r="N110" s="5">
        <v>0</v>
      </c>
      <c r="O110" s="5" t="s">
        <v>46</v>
      </c>
      <c r="P110" s="10" t="s">
        <v>60</v>
      </c>
      <c r="Q110" s="10" t="s">
        <v>382</v>
      </c>
      <c r="R110" s="10" t="s">
        <v>148</v>
      </c>
      <c r="S110" s="5">
        <v>0</v>
      </c>
      <c r="T110" s="37" t="s">
        <v>50</v>
      </c>
      <c r="U110" s="5">
        <v>0</v>
      </c>
      <c r="V110" s="37" t="s">
        <v>50</v>
      </c>
      <c r="W110" s="5">
        <v>0</v>
      </c>
      <c r="X110" s="5">
        <v>0</v>
      </c>
      <c r="Y110" s="5">
        <v>0</v>
      </c>
      <c r="Z110" s="37" t="s">
        <v>50</v>
      </c>
      <c r="AA110" s="5">
        <v>0</v>
      </c>
      <c r="AB110" s="5">
        <v>0</v>
      </c>
      <c r="AC110" s="5">
        <v>0</v>
      </c>
      <c r="AD110" s="5">
        <v>0</v>
      </c>
      <c r="AE110" s="10" t="s">
        <v>50</v>
      </c>
      <c r="AF110" s="10" t="s">
        <v>804</v>
      </c>
      <c r="AG110" s="10" t="s">
        <v>64</v>
      </c>
      <c r="AH110" s="10" t="s">
        <v>50</v>
      </c>
      <c r="AI110" s="5">
        <v>2</v>
      </c>
      <c r="AJ110" s="10" t="s">
        <v>50</v>
      </c>
      <c r="AK110" s="10" t="s">
        <v>50</v>
      </c>
    </row>
    <row r="111" spans="1:37" ht="36.75" customHeight="1" x14ac:dyDescent="0.35">
      <c r="A111" s="5"/>
      <c r="B111" s="5" t="s">
        <v>37</v>
      </c>
      <c r="C111" s="73" t="str">
        <f t="shared" si="1"/>
        <v>Closed</v>
      </c>
      <c r="D111" s="45" t="s">
        <v>805</v>
      </c>
      <c r="E111" s="54" t="s">
        <v>806</v>
      </c>
      <c r="F111" s="5" t="s">
        <v>619</v>
      </c>
      <c r="G111" s="10">
        <f>DATE(2006,6,23)</f>
        <v>38891</v>
      </c>
      <c r="H111" s="35">
        <v>1.9750000000000001</v>
      </c>
      <c r="I111" s="5" t="s">
        <v>259</v>
      </c>
      <c r="J111" s="10" t="s">
        <v>807</v>
      </c>
      <c r="K111" s="5" t="s">
        <v>621</v>
      </c>
      <c r="L111" s="5" t="s">
        <v>808</v>
      </c>
      <c r="M111" s="5" t="s">
        <v>45</v>
      </c>
      <c r="N111" s="5">
        <v>0</v>
      </c>
      <c r="O111" s="5" t="s">
        <v>46</v>
      </c>
      <c r="P111" s="10" t="s">
        <v>146</v>
      </c>
      <c r="Q111" s="10" t="s">
        <v>623</v>
      </c>
      <c r="R111" s="10" t="s">
        <v>624</v>
      </c>
      <c r="S111" s="5">
        <v>0</v>
      </c>
      <c r="T111" s="37">
        <v>0</v>
      </c>
      <c r="U111" s="5">
        <v>0</v>
      </c>
      <c r="V111" s="37">
        <v>1</v>
      </c>
      <c r="W111" s="5">
        <v>0</v>
      </c>
      <c r="X111" s="5">
        <v>1</v>
      </c>
      <c r="Y111" s="5">
        <v>0</v>
      </c>
      <c r="Z111" s="37">
        <v>0</v>
      </c>
      <c r="AA111" s="5">
        <v>0</v>
      </c>
      <c r="AB111" s="5">
        <v>0</v>
      </c>
      <c r="AC111" s="5">
        <v>0</v>
      </c>
      <c r="AD111" s="5">
        <v>0</v>
      </c>
      <c r="AE111" s="10" t="s">
        <v>50</v>
      </c>
      <c r="AF111" s="10" t="s">
        <v>50</v>
      </c>
      <c r="AG111" s="10" t="s">
        <v>229</v>
      </c>
      <c r="AH111" s="10" t="s">
        <v>50</v>
      </c>
      <c r="AI111" s="5">
        <v>1</v>
      </c>
      <c r="AJ111" s="10" t="s">
        <v>50</v>
      </c>
      <c r="AK111" s="10" t="s">
        <v>50</v>
      </c>
    </row>
    <row r="112" spans="1:37" ht="36.75" customHeight="1" x14ac:dyDescent="0.35">
      <c r="A112" s="5"/>
      <c r="B112" s="5" t="s">
        <v>37</v>
      </c>
      <c r="C112" s="73" t="str">
        <f t="shared" si="1"/>
        <v>Closed</v>
      </c>
      <c r="D112" s="45" t="s">
        <v>809</v>
      </c>
      <c r="E112" s="54" t="s">
        <v>810</v>
      </c>
      <c r="F112" s="5" t="s">
        <v>105</v>
      </c>
      <c r="G112" s="10">
        <f>DATE(2006,6,26)</f>
        <v>38894</v>
      </c>
      <c r="H112" s="35">
        <v>1.7534722222222223</v>
      </c>
      <c r="I112" s="5" t="s">
        <v>106</v>
      </c>
      <c r="J112" s="10" t="s">
        <v>811</v>
      </c>
      <c r="K112" s="5" t="s">
        <v>108</v>
      </c>
      <c r="L112" s="5" t="s">
        <v>812</v>
      </c>
      <c r="M112" s="5" t="s">
        <v>45</v>
      </c>
      <c r="N112" s="5">
        <v>0</v>
      </c>
      <c r="O112" s="5" t="s">
        <v>46</v>
      </c>
      <c r="P112" s="10" t="s">
        <v>60</v>
      </c>
      <c r="Q112" s="10" t="s">
        <v>382</v>
      </c>
      <c r="R112" s="10" t="s">
        <v>148</v>
      </c>
      <c r="S112" s="5">
        <v>0</v>
      </c>
      <c r="T112" s="37" t="s">
        <v>50</v>
      </c>
      <c r="U112" s="5">
        <v>0</v>
      </c>
      <c r="V112" s="37" t="s">
        <v>50</v>
      </c>
      <c r="W112" s="5">
        <v>0</v>
      </c>
      <c r="X112" s="5">
        <v>0</v>
      </c>
      <c r="Y112" s="5">
        <v>0</v>
      </c>
      <c r="Z112" s="37" t="s">
        <v>50</v>
      </c>
      <c r="AA112" s="5">
        <v>0</v>
      </c>
      <c r="AB112" s="5">
        <v>0</v>
      </c>
      <c r="AC112" s="5">
        <v>0</v>
      </c>
      <c r="AD112" s="5">
        <v>0</v>
      </c>
      <c r="AE112" s="10" t="s">
        <v>50</v>
      </c>
      <c r="AF112" s="10" t="s">
        <v>813</v>
      </c>
      <c r="AG112" s="10" t="s">
        <v>114</v>
      </c>
      <c r="AH112" s="10" t="s">
        <v>50</v>
      </c>
      <c r="AI112" s="5">
        <v>3</v>
      </c>
      <c r="AJ112" s="10" t="s">
        <v>50</v>
      </c>
      <c r="AK112" s="10" t="s">
        <v>50</v>
      </c>
    </row>
    <row r="113" spans="1:37" ht="36.75" customHeight="1" x14ac:dyDescent="0.35">
      <c r="A113" s="5"/>
      <c r="B113" s="5" t="s">
        <v>37</v>
      </c>
      <c r="C113" s="73" t="str">
        <f t="shared" si="1"/>
        <v>Closed</v>
      </c>
      <c r="D113" s="45" t="s">
        <v>814</v>
      </c>
      <c r="E113" s="54" t="s">
        <v>815</v>
      </c>
      <c r="F113" s="5" t="s">
        <v>816</v>
      </c>
      <c r="G113" s="10">
        <f>DATE(2006,6,28)</f>
        <v>38896</v>
      </c>
      <c r="H113" s="35">
        <v>1.5125000000000002</v>
      </c>
      <c r="I113" s="5" t="s">
        <v>97</v>
      </c>
      <c r="J113" s="10" t="s">
        <v>817</v>
      </c>
      <c r="K113" s="5" t="s">
        <v>818</v>
      </c>
      <c r="L113" s="5" t="s">
        <v>819</v>
      </c>
      <c r="M113" s="5" t="s">
        <v>45</v>
      </c>
      <c r="N113" s="5">
        <v>0</v>
      </c>
      <c r="O113" s="5" t="s">
        <v>59</v>
      </c>
      <c r="P113" s="10" t="s">
        <v>146</v>
      </c>
      <c r="Q113" s="10" t="s">
        <v>820</v>
      </c>
      <c r="R113" s="10" t="s">
        <v>821</v>
      </c>
      <c r="S113" s="5">
        <v>0</v>
      </c>
      <c r="T113" s="37" t="s">
        <v>50</v>
      </c>
      <c r="U113" s="5">
        <v>0</v>
      </c>
      <c r="V113" s="37" t="s">
        <v>50</v>
      </c>
      <c r="W113" s="5">
        <v>0</v>
      </c>
      <c r="X113" s="5">
        <v>0</v>
      </c>
      <c r="Y113" s="5">
        <v>0</v>
      </c>
      <c r="Z113" s="37" t="s">
        <v>50</v>
      </c>
      <c r="AA113" s="5">
        <v>0</v>
      </c>
      <c r="AB113" s="5">
        <v>0</v>
      </c>
      <c r="AC113" s="5">
        <v>0</v>
      </c>
      <c r="AD113" s="5">
        <v>0</v>
      </c>
      <c r="AE113" s="10" t="s">
        <v>50</v>
      </c>
      <c r="AF113" s="10" t="s">
        <v>822</v>
      </c>
      <c r="AG113" s="10" t="s">
        <v>114</v>
      </c>
      <c r="AH113" s="10" t="s">
        <v>50</v>
      </c>
      <c r="AI113" s="5">
        <v>0</v>
      </c>
      <c r="AJ113" s="10" t="s">
        <v>50</v>
      </c>
      <c r="AK113" s="10" t="s">
        <v>50</v>
      </c>
    </row>
    <row r="114" spans="1:37" ht="36.75" customHeight="1" x14ac:dyDescent="0.35">
      <c r="A114" s="5"/>
      <c r="B114" s="5" t="s">
        <v>37</v>
      </c>
      <c r="C114" s="73" t="str">
        <f t="shared" si="1"/>
        <v>Closed</v>
      </c>
      <c r="D114" s="45" t="s">
        <v>823</v>
      </c>
      <c r="E114" s="54" t="s">
        <v>824</v>
      </c>
      <c r="F114" s="5" t="s">
        <v>214</v>
      </c>
      <c r="G114" s="10">
        <f>DATE(2006,6,28)</f>
        <v>38896</v>
      </c>
      <c r="H114" s="35">
        <v>1.125</v>
      </c>
      <c r="I114" s="5" t="s">
        <v>55</v>
      </c>
      <c r="J114" s="10" t="s">
        <v>825</v>
      </c>
      <c r="K114" s="5" t="s">
        <v>216</v>
      </c>
      <c r="L114" s="5" t="s">
        <v>826</v>
      </c>
      <c r="M114" s="5" t="s">
        <v>45</v>
      </c>
      <c r="N114" s="5">
        <v>0</v>
      </c>
      <c r="O114" s="5" t="s">
        <v>46</v>
      </c>
      <c r="P114" s="10" t="s">
        <v>60</v>
      </c>
      <c r="Q114" s="10" t="s">
        <v>415</v>
      </c>
      <c r="R114" s="10" t="s">
        <v>219</v>
      </c>
      <c r="S114" s="5">
        <v>0</v>
      </c>
      <c r="T114" s="37" t="s">
        <v>50</v>
      </c>
      <c r="U114" s="5">
        <v>0</v>
      </c>
      <c r="V114" s="37" t="s">
        <v>50</v>
      </c>
      <c r="W114" s="5">
        <v>0</v>
      </c>
      <c r="X114" s="5">
        <v>0</v>
      </c>
      <c r="Y114" s="5">
        <v>0</v>
      </c>
      <c r="Z114" s="37" t="s">
        <v>50</v>
      </c>
      <c r="AA114" s="5">
        <v>0</v>
      </c>
      <c r="AB114" s="5">
        <v>0</v>
      </c>
      <c r="AC114" s="5">
        <v>0</v>
      </c>
      <c r="AD114" s="5">
        <v>0</v>
      </c>
      <c r="AE114" s="10" t="s">
        <v>50</v>
      </c>
      <c r="AF114" s="10" t="s">
        <v>50</v>
      </c>
      <c r="AG114" s="10" t="s">
        <v>114</v>
      </c>
      <c r="AH114" s="10" t="s">
        <v>50</v>
      </c>
      <c r="AI114" s="5">
        <v>4</v>
      </c>
      <c r="AJ114" s="10" t="s">
        <v>827</v>
      </c>
      <c r="AK114" s="10" t="s">
        <v>828</v>
      </c>
    </row>
    <row r="115" spans="1:37" ht="36.75" customHeight="1" x14ac:dyDescent="0.35">
      <c r="A115" s="5"/>
      <c r="B115" s="5" t="s">
        <v>37</v>
      </c>
      <c r="C115" s="73" t="str">
        <f t="shared" si="1"/>
        <v>Closed</v>
      </c>
      <c r="D115" s="45" t="s">
        <v>829</v>
      </c>
      <c r="E115" s="54" t="s">
        <v>830</v>
      </c>
      <c r="F115" s="5" t="s">
        <v>619</v>
      </c>
      <c r="G115" s="10">
        <f>DATE(2006,6,30)</f>
        <v>38898</v>
      </c>
      <c r="H115" s="35">
        <v>1.1131944444444444</v>
      </c>
      <c r="I115" s="5" t="s">
        <v>259</v>
      </c>
      <c r="J115" s="10" t="s">
        <v>831</v>
      </c>
      <c r="K115" s="5" t="s">
        <v>621</v>
      </c>
      <c r="L115" s="5" t="s">
        <v>832</v>
      </c>
      <c r="M115" s="5" t="s">
        <v>45</v>
      </c>
      <c r="N115" s="5">
        <v>0</v>
      </c>
      <c r="O115" s="5" t="s">
        <v>59</v>
      </c>
      <c r="P115" s="10" t="s">
        <v>47</v>
      </c>
      <c r="Q115" s="10" t="s">
        <v>623</v>
      </c>
      <c r="R115" s="10" t="s">
        <v>624</v>
      </c>
      <c r="S115" s="5">
        <v>0</v>
      </c>
      <c r="T115" s="37">
        <v>0</v>
      </c>
      <c r="U115" s="5">
        <v>0</v>
      </c>
      <c r="V115" s="37">
        <v>2</v>
      </c>
      <c r="W115" s="5">
        <v>0</v>
      </c>
      <c r="X115" s="5">
        <v>2</v>
      </c>
      <c r="Y115" s="5">
        <v>0</v>
      </c>
      <c r="Z115" s="37">
        <v>0</v>
      </c>
      <c r="AA115" s="5">
        <v>0</v>
      </c>
      <c r="AB115" s="5">
        <v>0</v>
      </c>
      <c r="AC115" s="5">
        <v>0</v>
      </c>
      <c r="AD115" s="5">
        <v>0</v>
      </c>
      <c r="AE115" s="10" t="s">
        <v>50</v>
      </c>
      <c r="AF115" s="10" t="s">
        <v>50</v>
      </c>
      <c r="AG115" s="10" t="s">
        <v>229</v>
      </c>
      <c r="AH115" s="10" t="s">
        <v>50</v>
      </c>
      <c r="AI115" s="5">
        <v>3</v>
      </c>
      <c r="AJ115" s="10" t="s">
        <v>50</v>
      </c>
      <c r="AK115" s="10" t="s">
        <v>50</v>
      </c>
    </row>
    <row r="116" spans="1:37" ht="36.75" customHeight="1" x14ac:dyDescent="0.35">
      <c r="A116" s="5"/>
      <c r="B116" s="5" t="s">
        <v>37</v>
      </c>
      <c r="C116" s="73" t="str">
        <f t="shared" si="1"/>
        <v>Closed</v>
      </c>
      <c r="D116" s="45" t="s">
        <v>833</v>
      </c>
      <c r="E116" s="54" t="s">
        <v>834</v>
      </c>
      <c r="F116" s="5" t="s">
        <v>816</v>
      </c>
      <c r="G116" s="10">
        <f>DATE(2006,7,3)</f>
        <v>38901</v>
      </c>
      <c r="H116" s="35">
        <v>1.4847222222222223</v>
      </c>
      <c r="I116" s="5" t="s">
        <v>97</v>
      </c>
      <c r="J116" s="10" t="s">
        <v>835</v>
      </c>
      <c r="K116" s="5" t="s">
        <v>818</v>
      </c>
      <c r="L116" s="5" t="s">
        <v>836</v>
      </c>
      <c r="M116" s="5" t="s">
        <v>45</v>
      </c>
      <c r="N116" s="5">
        <v>0</v>
      </c>
      <c r="O116" s="5" t="s">
        <v>46</v>
      </c>
      <c r="P116" s="10" t="s">
        <v>47</v>
      </c>
      <c r="Q116" s="10" t="s">
        <v>820</v>
      </c>
      <c r="R116" s="10" t="s">
        <v>821</v>
      </c>
      <c r="S116" s="5">
        <v>0</v>
      </c>
      <c r="T116" s="37">
        <v>0</v>
      </c>
      <c r="U116" s="5">
        <v>0</v>
      </c>
      <c r="V116" s="37">
        <v>0</v>
      </c>
      <c r="W116" s="5">
        <v>0</v>
      </c>
      <c r="X116" s="5">
        <v>0</v>
      </c>
      <c r="Y116" s="5">
        <v>0</v>
      </c>
      <c r="Z116" s="37">
        <v>0</v>
      </c>
      <c r="AA116" s="5">
        <v>1</v>
      </c>
      <c r="AB116" s="5">
        <v>0</v>
      </c>
      <c r="AC116" s="5">
        <v>0</v>
      </c>
      <c r="AD116" s="5">
        <v>1</v>
      </c>
      <c r="AE116" s="10" t="s">
        <v>50</v>
      </c>
      <c r="AF116" s="10" t="s">
        <v>837</v>
      </c>
      <c r="AG116" s="10" t="s">
        <v>114</v>
      </c>
      <c r="AH116" s="10" t="s">
        <v>50</v>
      </c>
      <c r="AI116" s="5">
        <v>6</v>
      </c>
      <c r="AJ116" s="10" t="s">
        <v>50</v>
      </c>
      <c r="AK116" s="10" t="s">
        <v>50</v>
      </c>
    </row>
    <row r="117" spans="1:37" ht="36.75" customHeight="1" x14ac:dyDescent="0.35">
      <c r="A117" s="5"/>
      <c r="B117" s="5" t="s">
        <v>37</v>
      </c>
      <c r="C117" s="73" t="str">
        <f t="shared" si="1"/>
        <v>Closed</v>
      </c>
      <c r="D117" s="91" t="s">
        <v>838</v>
      </c>
      <c r="E117" s="54" t="s">
        <v>839</v>
      </c>
      <c r="F117" s="5" t="s">
        <v>575</v>
      </c>
      <c r="G117" s="10">
        <f>DATE(2006,7,4)</f>
        <v>38902</v>
      </c>
      <c r="H117" s="35">
        <v>1.9097222222222223</v>
      </c>
      <c r="I117" s="5" t="s">
        <v>55</v>
      </c>
      <c r="J117" s="10" t="s">
        <v>840</v>
      </c>
      <c r="K117" s="5" t="s">
        <v>577</v>
      </c>
      <c r="L117" s="5" t="s">
        <v>841</v>
      </c>
      <c r="M117" s="5" t="s">
        <v>45</v>
      </c>
      <c r="N117" s="5" t="s">
        <v>123</v>
      </c>
      <c r="O117" s="5" t="s">
        <v>59</v>
      </c>
      <c r="P117" s="10" t="s">
        <v>60</v>
      </c>
      <c r="Q117" s="10" t="s">
        <v>842</v>
      </c>
      <c r="R117" s="10" t="s">
        <v>580</v>
      </c>
      <c r="S117" s="5">
        <v>0</v>
      </c>
      <c r="T117" s="5">
        <v>0</v>
      </c>
      <c r="U117" s="5">
        <v>0</v>
      </c>
      <c r="V117" s="5">
        <v>0</v>
      </c>
      <c r="W117" s="5">
        <v>0</v>
      </c>
      <c r="X117" s="5">
        <v>0</v>
      </c>
      <c r="Y117" s="5">
        <v>0</v>
      </c>
      <c r="Z117" s="5">
        <v>0</v>
      </c>
      <c r="AA117" s="5">
        <v>0</v>
      </c>
      <c r="AB117" s="5">
        <v>0</v>
      </c>
      <c r="AC117" s="5">
        <v>0</v>
      </c>
      <c r="AD117" s="5">
        <v>0</v>
      </c>
      <c r="AE117" s="10" t="s">
        <v>843</v>
      </c>
      <c r="AF117" s="10" t="s">
        <v>844</v>
      </c>
      <c r="AG117" s="10" t="s">
        <v>51</v>
      </c>
      <c r="AH117" s="10" t="s">
        <v>50</v>
      </c>
      <c r="AI117" s="5"/>
      <c r="AJ117" s="10"/>
      <c r="AK117" s="10" t="s">
        <v>50</v>
      </c>
    </row>
    <row r="118" spans="1:37" ht="36.75" customHeight="1" x14ac:dyDescent="0.35">
      <c r="A118" s="5"/>
      <c r="B118" s="5" t="s">
        <v>37</v>
      </c>
      <c r="C118" s="73" t="str">
        <f t="shared" si="1"/>
        <v>Closed</v>
      </c>
      <c r="D118" s="45" t="s">
        <v>845</v>
      </c>
      <c r="E118" s="54" t="s">
        <v>846</v>
      </c>
      <c r="F118" s="5" t="s">
        <v>816</v>
      </c>
      <c r="G118" s="10">
        <f>DATE(2006,7,5)</f>
        <v>38903</v>
      </c>
      <c r="H118" s="35">
        <v>1.567361111111111</v>
      </c>
      <c r="I118" s="5" t="s">
        <v>55</v>
      </c>
      <c r="J118" s="10" t="s">
        <v>847</v>
      </c>
      <c r="K118" s="5" t="s">
        <v>818</v>
      </c>
      <c r="L118" s="5" t="s">
        <v>848</v>
      </c>
      <c r="M118" s="5" t="s">
        <v>45</v>
      </c>
      <c r="N118" s="5">
        <v>0</v>
      </c>
      <c r="O118" s="5" t="s">
        <v>46</v>
      </c>
      <c r="P118" s="10" t="s">
        <v>146</v>
      </c>
      <c r="Q118" s="10" t="s">
        <v>820</v>
      </c>
      <c r="R118" s="10" t="s">
        <v>821</v>
      </c>
      <c r="S118" s="5">
        <v>0</v>
      </c>
      <c r="T118" s="37" t="s">
        <v>50</v>
      </c>
      <c r="U118" s="5">
        <v>0</v>
      </c>
      <c r="V118" s="37" t="s">
        <v>50</v>
      </c>
      <c r="W118" s="5">
        <v>0</v>
      </c>
      <c r="X118" s="5">
        <v>0</v>
      </c>
      <c r="Y118" s="5">
        <v>0</v>
      </c>
      <c r="Z118" s="37" t="s">
        <v>50</v>
      </c>
      <c r="AA118" s="5">
        <v>0</v>
      </c>
      <c r="AB118" s="5">
        <v>0</v>
      </c>
      <c r="AC118" s="5">
        <v>0</v>
      </c>
      <c r="AD118" s="5">
        <v>0</v>
      </c>
      <c r="AE118" s="10" t="s">
        <v>50</v>
      </c>
      <c r="AF118" s="10" t="s">
        <v>849</v>
      </c>
      <c r="AG118" s="10" t="s">
        <v>114</v>
      </c>
      <c r="AH118" s="10" t="s">
        <v>50</v>
      </c>
      <c r="AI118" s="5">
        <v>1</v>
      </c>
      <c r="AJ118" s="10" t="s">
        <v>50</v>
      </c>
      <c r="AK118" s="10" t="s">
        <v>50</v>
      </c>
    </row>
    <row r="119" spans="1:37" ht="36.75" customHeight="1" x14ac:dyDescent="0.35">
      <c r="A119" s="5"/>
      <c r="B119" s="5" t="s">
        <v>37</v>
      </c>
      <c r="C119" s="73" t="str">
        <f t="shared" si="1"/>
        <v>Closed</v>
      </c>
      <c r="D119" s="45" t="s">
        <v>850</v>
      </c>
      <c r="E119" s="54" t="s">
        <v>851</v>
      </c>
      <c r="F119" s="5" t="s">
        <v>105</v>
      </c>
      <c r="G119" s="10">
        <f>DATE(2006,7,6)</f>
        <v>38904</v>
      </c>
      <c r="H119" s="35">
        <v>1.6284722222222223</v>
      </c>
      <c r="I119" s="5" t="s">
        <v>55</v>
      </c>
      <c r="J119" s="10" t="s">
        <v>852</v>
      </c>
      <c r="K119" s="5" t="s">
        <v>108</v>
      </c>
      <c r="L119" s="5" t="s">
        <v>853</v>
      </c>
      <c r="M119" s="5" t="s">
        <v>45</v>
      </c>
      <c r="N119" s="5">
        <v>0</v>
      </c>
      <c r="O119" s="5" t="s">
        <v>46</v>
      </c>
      <c r="P119" s="10" t="s">
        <v>60</v>
      </c>
      <c r="Q119" s="10" t="s">
        <v>124</v>
      </c>
      <c r="R119" s="10" t="s">
        <v>148</v>
      </c>
      <c r="S119" s="5">
        <v>0</v>
      </c>
      <c r="T119" s="37" t="s">
        <v>50</v>
      </c>
      <c r="U119" s="5">
        <v>0</v>
      </c>
      <c r="V119" s="37" t="s">
        <v>50</v>
      </c>
      <c r="W119" s="5">
        <v>0</v>
      </c>
      <c r="X119" s="5">
        <v>0</v>
      </c>
      <c r="Y119" s="5">
        <v>0</v>
      </c>
      <c r="Z119" s="37" t="s">
        <v>50</v>
      </c>
      <c r="AA119" s="5">
        <v>0</v>
      </c>
      <c r="AB119" s="5">
        <v>0</v>
      </c>
      <c r="AC119" s="5">
        <v>0</v>
      </c>
      <c r="AD119" s="5">
        <v>0</v>
      </c>
      <c r="AE119" s="10" t="s">
        <v>50</v>
      </c>
      <c r="AF119" s="10" t="s">
        <v>854</v>
      </c>
      <c r="AG119" s="10" t="s">
        <v>855</v>
      </c>
      <c r="AH119" s="10" t="s">
        <v>50</v>
      </c>
      <c r="AI119" s="5">
        <v>0</v>
      </c>
      <c r="AJ119" s="10" t="s">
        <v>50</v>
      </c>
      <c r="AK119" s="10" t="s">
        <v>50</v>
      </c>
    </row>
    <row r="120" spans="1:37" ht="36.75" customHeight="1" x14ac:dyDescent="0.35">
      <c r="A120" s="5"/>
      <c r="B120" s="5" t="s">
        <v>37</v>
      </c>
      <c r="C120" s="73" t="str">
        <f t="shared" si="1"/>
        <v>Closed</v>
      </c>
      <c r="D120" s="45" t="s">
        <v>856</v>
      </c>
      <c r="E120" s="54" t="s">
        <v>857</v>
      </c>
      <c r="F120" s="5" t="s">
        <v>575</v>
      </c>
      <c r="G120" s="10">
        <f>DATE(2006,7,6)</f>
        <v>38904</v>
      </c>
      <c r="H120" s="35">
        <v>1.4756944444444444</v>
      </c>
      <c r="I120" s="5" t="s">
        <v>259</v>
      </c>
      <c r="J120" s="10" t="s">
        <v>858</v>
      </c>
      <c r="K120" s="5" t="s">
        <v>577</v>
      </c>
      <c r="L120" s="5" t="s">
        <v>859</v>
      </c>
      <c r="M120" s="5" t="s">
        <v>45</v>
      </c>
      <c r="N120" s="5">
        <v>0</v>
      </c>
      <c r="O120" s="5" t="s">
        <v>59</v>
      </c>
      <c r="P120" s="10" t="s">
        <v>146</v>
      </c>
      <c r="Q120" s="10" t="s">
        <v>579</v>
      </c>
      <c r="R120" s="10" t="s">
        <v>580</v>
      </c>
      <c r="S120" s="5">
        <v>0</v>
      </c>
      <c r="T120" s="37">
        <v>0</v>
      </c>
      <c r="U120" s="5">
        <v>1</v>
      </c>
      <c r="V120" s="37">
        <v>0</v>
      </c>
      <c r="W120" s="5">
        <v>0</v>
      </c>
      <c r="X120" s="5">
        <v>1</v>
      </c>
      <c r="Y120" s="5">
        <v>0</v>
      </c>
      <c r="Z120" s="37">
        <v>0</v>
      </c>
      <c r="AA120" s="5">
        <v>0</v>
      </c>
      <c r="AB120" s="5">
        <v>0</v>
      </c>
      <c r="AC120" s="5">
        <v>0</v>
      </c>
      <c r="AD120" s="5">
        <v>0</v>
      </c>
      <c r="AE120" s="10" t="s">
        <v>50</v>
      </c>
      <c r="AF120" s="10" t="s">
        <v>860</v>
      </c>
      <c r="AG120" s="10" t="s">
        <v>229</v>
      </c>
      <c r="AH120" s="10" t="s">
        <v>50</v>
      </c>
      <c r="AI120" s="5">
        <v>0</v>
      </c>
      <c r="AJ120" s="10" t="s">
        <v>50</v>
      </c>
      <c r="AK120" s="10" t="s">
        <v>50</v>
      </c>
    </row>
    <row r="121" spans="1:37" ht="36.75" customHeight="1" x14ac:dyDescent="0.35">
      <c r="A121" s="5"/>
      <c r="B121" s="5" t="s">
        <v>37</v>
      </c>
      <c r="C121" s="73" t="str">
        <f t="shared" si="1"/>
        <v>Closed</v>
      </c>
      <c r="D121" s="45" t="s">
        <v>861</v>
      </c>
      <c r="E121" s="54" t="s">
        <v>862</v>
      </c>
      <c r="F121" s="5" t="s">
        <v>214</v>
      </c>
      <c r="G121" s="10">
        <f>DATE(2006,7,6)</f>
        <v>38904</v>
      </c>
      <c r="H121" s="35">
        <v>1.6152777777777778</v>
      </c>
      <c r="I121" s="5" t="s">
        <v>55</v>
      </c>
      <c r="J121" s="10" t="s">
        <v>863</v>
      </c>
      <c r="K121" s="5" t="s">
        <v>216</v>
      </c>
      <c r="L121" s="5" t="s">
        <v>864</v>
      </c>
      <c r="M121" s="5" t="s">
        <v>236</v>
      </c>
      <c r="N121" s="5">
        <v>0</v>
      </c>
      <c r="O121" s="5" t="s">
        <v>46</v>
      </c>
      <c r="P121" s="10" t="s">
        <v>67</v>
      </c>
      <c r="Q121" s="10" t="s">
        <v>318</v>
      </c>
      <c r="R121" s="10" t="s">
        <v>318</v>
      </c>
      <c r="S121" s="5">
        <v>0</v>
      </c>
      <c r="T121" s="37" t="s">
        <v>50</v>
      </c>
      <c r="U121" s="5">
        <v>0</v>
      </c>
      <c r="V121" s="37" t="s">
        <v>50</v>
      </c>
      <c r="W121" s="5">
        <v>0</v>
      </c>
      <c r="X121" s="5">
        <v>0</v>
      </c>
      <c r="Y121" s="5">
        <v>0</v>
      </c>
      <c r="Z121" s="37" t="s">
        <v>50</v>
      </c>
      <c r="AA121" s="5">
        <v>0</v>
      </c>
      <c r="AB121" s="5">
        <v>0</v>
      </c>
      <c r="AC121" s="5">
        <v>0</v>
      </c>
      <c r="AD121" s="5">
        <v>0</v>
      </c>
      <c r="AE121" s="10" t="s">
        <v>50</v>
      </c>
      <c r="AF121" s="10" t="s">
        <v>50</v>
      </c>
      <c r="AG121" s="10" t="s">
        <v>229</v>
      </c>
      <c r="AH121" s="10" t="s">
        <v>50</v>
      </c>
      <c r="AI121" s="5">
        <v>2</v>
      </c>
      <c r="AJ121" s="10" t="s">
        <v>865</v>
      </c>
      <c r="AK121" s="10" t="s">
        <v>866</v>
      </c>
    </row>
    <row r="122" spans="1:37" ht="36.75" customHeight="1" x14ac:dyDescent="0.35">
      <c r="A122" s="5"/>
      <c r="B122" s="5" t="s">
        <v>37</v>
      </c>
      <c r="C122" s="73" t="str">
        <f t="shared" si="1"/>
        <v>Closed</v>
      </c>
      <c r="D122" s="45" t="s">
        <v>867</v>
      </c>
      <c r="E122" s="54" t="s">
        <v>868</v>
      </c>
      <c r="F122" s="5" t="s">
        <v>575</v>
      </c>
      <c r="G122" s="10">
        <f>DATE(2006,7,11)</f>
        <v>38909</v>
      </c>
      <c r="H122" s="35">
        <v>1.4284722222222221</v>
      </c>
      <c r="I122" s="5" t="s">
        <v>259</v>
      </c>
      <c r="J122" s="10" t="s">
        <v>869</v>
      </c>
      <c r="K122" s="5" t="s">
        <v>577</v>
      </c>
      <c r="L122" s="5" t="s">
        <v>870</v>
      </c>
      <c r="M122" s="5" t="s">
        <v>45</v>
      </c>
      <c r="N122" s="5" t="s">
        <v>80</v>
      </c>
      <c r="O122" s="5" t="s">
        <v>46</v>
      </c>
      <c r="P122" s="10" t="s">
        <v>146</v>
      </c>
      <c r="Q122" s="10" t="s">
        <v>579</v>
      </c>
      <c r="R122" s="10" t="s">
        <v>580</v>
      </c>
      <c r="S122" s="5">
        <v>0</v>
      </c>
      <c r="T122" s="37">
        <v>1</v>
      </c>
      <c r="U122" s="5">
        <v>0</v>
      </c>
      <c r="V122" s="37">
        <v>0</v>
      </c>
      <c r="W122" s="5">
        <v>0</v>
      </c>
      <c r="X122" s="5">
        <v>1</v>
      </c>
      <c r="Y122" s="5">
        <v>0</v>
      </c>
      <c r="Z122" s="37" t="s">
        <v>50</v>
      </c>
      <c r="AA122" s="5">
        <v>0</v>
      </c>
      <c r="AB122" s="5">
        <v>0</v>
      </c>
      <c r="AC122" s="5">
        <v>0</v>
      </c>
      <c r="AD122" s="5">
        <v>0</v>
      </c>
      <c r="AE122" s="10" t="s">
        <v>50</v>
      </c>
      <c r="AF122" s="10" t="s">
        <v>50</v>
      </c>
      <c r="AG122" s="10" t="s">
        <v>871</v>
      </c>
      <c r="AH122" s="10" t="s">
        <v>50</v>
      </c>
      <c r="AI122" s="5">
        <v>0</v>
      </c>
      <c r="AJ122" s="10" t="s">
        <v>50</v>
      </c>
      <c r="AK122" s="10" t="s">
        <v>50</v>
      </c>
    </row>
    <row r="123" spans="1:37" ht="36.75" customHeight="1" x14ac:dyDescent="0.35">
      <c r="A123" s="5"/>
      <c r="B123" s="5" t="s">
        <v>37</v>
      </c>
      <c r="C123" s="73" t="str">
        <f t="shared" si="1"/>
        <v>Closed</v>
      </c>
      <c r="D123" s="45" t="s">
        <v>872</v>
      </c>
      <c r="E123" s="54" t="s">
        <v>873</v>
      </c>
      <c r="F123" s="5" t="s">
        <v>40</v>
      </c>
      <c r="G123" s="10">
        <f>DATE(2006,7,13)</f>
        <v>38911</v>
      </c>
      <c r="H123" s="35">
        <v>1.6951388888888888</v>
      </c>
      <c r="I123" s="5" t="s">
        <v>55</v>
      </c>
      <c r="J123" s="10" t="s">
        <v>874</v>
      </c>
      <c r="K123" s="5" t="s">
        <v>43</v>
      </c>
      <c r="L123" s="5" t="s">
        <v>875</v>
      </c>
      <c r="M123" s="5" t="s">
        <v>45</v>
      </c>
      <c r="N123" s="5">
        <v>0</v>
      </c>
      <c r="O123" s="5" t="s">
        <v>46</v>
      </c>
      <c r="P123" s="10" t="s">
        <v>60</v>
      </c>
      <c r="Q123" s="10" t="s">
        <v>48</v>
      </c>
      <c r="R123" s="10" t="s">
        <v>49</v>
      </c>
      <c r="S123" s="5">
        <v>0</v>
      </c>
      <c r="T123" s="37" t="s">
        <v>50</v>
      </c>
      <c r="U123" s="5">
        <v>0</v>
      </c>
      <c r="V123" s="37" t="s">
        <v>50</v>
      </c>
      <c r="W123" s="5">
        <v>0</v>
      </c>
      <c r="X123" s="5">
        <v>0</v>
      </c>
      <c r="Y123" s="5">
        <v>0</v>
      </c>
      <c r="Z123" s="37" t="s">
        <v>50</v>
      </c>
      <c r="AA123" s="5">
        <v>0</v>
      </c>
      <c r="AB123" s="5">
        <v>0</v>
      </c>
      <c r="AC123" s="5">
        <v>0</v>
      </c>
      <c r="AD123" s="5">
        <v>0</v>
      </c>
      <c r="AE123" s="10" t="s">
        <v>50</v>
      </c>
      <c r="AF123" s="10" t="s">
        <v>876</v>
      </c>
      <c r="AG123" s="10" t="s">
        <v>51</v>
      </c>
      <c r="AH123" s="10" t="s">
        <v>50</v>
      </c>
      <c r="AI123" s="5">
        <v>0</v>
      </c>
      <c r="AJ123" s="10" t="s">
        <v>50</v>
      </c>
      <c r="AK123" s="10" t="s">
        <v>50</v>
      </c>
    </row>
    <row r="124" spans="1:37" ht="36.75" customHeight="1" x14ac:dyDescent="0.35">
      <c r="A124" s="5"/>
      <c r="B124" s="5" t="s">
        <v>37</v>
      </c>
      <c r="C124" s="73" t="str">
        <f t="shared" si="1"/>
        <v>Closed</v>
      </c>
      <c r="D124" s="45" t="s">
        <v>877</v>
      </c>
      <c r="E124" s="54" t="s">
        <v>878</v>
      </c>
      <c r="F124" s="5" t="s">
        <v>605</v>
      </c>
      <c r="G124" s="10">
        <f>DATE(2006,7,14)</f>
        <v>38912</v>
      </c>
      <c r="H124" s="35">
        <v>1.28125</v>
      </c>
      <c r="I124" s="5" t="s">
        <v>97</v>
      </c>
      <c r="J124" s="10" t="s">
        <v>879</v>
      </c>
      <c r="K124" s="5" t="s">
        <v>607</v>
      </c>
      <c r="L124" s="5" t="s">
        <v>880</v>
      </c>
      <c r="M124" s="5" t="s">
        <v>45</v>
      </c>
      <c r="N124" s="5">
        <v>0</v>
      </c>
      <c r="O124" s="5" t="s">
        <v>46</v>
      </c>
      <c r="P124" s="10" t="s">
        <v>146</v>
      </c>
      <c r="Q124" s="10" t="s">
        <v>609</v>
      </c>
      <c r="R124" s="10" t="s">
        <v>610</v>
      </c>
      <c r="S124" s="5">
        <v>1</v>
      </c>
      <c r="T124" s="37">
        <v>0</v>
      </c>
      <c r="U124" s="5">
        <v>0</v>
      </c>
      <c r="V124" s="37">
        <v>0</v>
      </c>
      <c r="W124" s="5">
        <v>0</v>
      </c>
      <c r="X124" s="5">
        <v>1</v>
      </c>
      <c r="Y124" s="5">
        <v>13</v>
      </c>
      <c r="Z124" s="37">
        <v>2</v>
      </c>
      <c r="AA124" s="5">
        <v>0</v>
      </c>
      <c r="AB124" s="5">
        <v>0</v>
      </c>
      <c r="AC124" s="5">
        <v>0</v>
      </c>
      <c r="AD124" s="5">
        <v>15</v>
      </c>
      <c r="AE124" s="10" t="s">
        <v>50</v>
      </c>
      <c r="AF124" s="10" t="s">
        <v>881</v>
      </c>
      <c r="AG124" s="10" t="s">
        <v>64</v>
      </c>
      <c r="AH124" s="10" t="s">
        <v>50</v>
      </c>
      <c r="AI124" s="5">
        <v>0</v>
      </c>
      <c r="AJ124" s="10" t="s">
        <v>50</v>
      </c>
      <c r="AK124" s="10" t="s">
        <v>50</v>
      </c>
    </row>
    <row r="125" spans="1:37" ht="36.75" customHeight="1" x14ac:dyDescent="0.35">
      <c r="A125" s="5"/>
      <c r="B125" s="5" t="s">
        <v>37</v>
      </c>
      <c r="C125" s="73" t="str">
        <f t="shared" si="1"/>
        <v>Closed</v>
      </c>
      <c r="D125" s="45" t="s">
        <v>882</v>
      </c>
      <c r="E125" s="54" t="s">
        <v>883</v>
      </c>
      <c r="F125" s="5" t="s">
        <v>816</v>
      </c>
      <c r="G125" s="10">
        <f>DATE(2006,7,15)</f>
        <v>38913</v>
      </c>
      <c r="H125" s="35">
        <v>1.4229166666666666</v>
      </c>
      <c r="I125" s="5" t="s">
        <v>97</v>
      </c>
      <c r="J125" s="10" t="s">
        <v>884</v>
      </c>
      <c r="K125" s="5" t="s">
        <v>818</v>
      </c>
      <c r="L125" s="5" t="s">
        <v>885</v>
      </c>
      <c r="M125" s="5" t="s">
        <v>45</v>
      </c>
      <c r="N125" s="5">
        <v>0</v>
      </c>
      <c r="O125" s="5" t="s">
        <v>46</v>
      </c>
      <c r="P125" s="10" t="s">
        <v>47</v>
      </c>
      <c r="Q125" s="10" t="s">
        <v>820</v>
      </c>
      <c r="R125" s="10" t="s">
        <v>821</v>
      </c>
      <c r="S125" s="5">
        <v>0</v>
      </c>
      <c r="T125" s="37">
        <v>0</v>
      </c>
      <c r="U125" s="5">
        <v>1</v>
      </c>
      <c r="V125" s="37">
        <v>0</v>
      </c>
      <c r="W125" s="5">
        <v>0</v>
      </c>
      <c r="X125" s="5">
        <v>1</v>
      </c>
      <c r="Y125" s="5">
        <v>0</v>
      </c>
      <c r="Z125" s="37">
        <v>0</v>
      </c>
      <c r="AA125" s="5">
        <v>1</v>
      </c>
      <c r="AB125" s="5">
        <v>0</v>
      </c>
      <c r="AC125" s="5">
        <v>0</v>
      </c>
      <c r="AD125" s="5">
        <v>1</v>
      </c>
      <c r="AE125" s="10" t="s">
        <v>50</v>
      </c>
      <c r="AF125" s="10" t="s">
        <v>886</v>
      </c>
      <c r="AG125" s="10" t="s">
        <v>333</v>
      </c>
      <c r="AH125" s="10" t="s">
        <v>50</v>
      </c>
      <c r="AI125" s="5">
        <v>1</v>
      </c>
      <c r="AJ125" s="10" t="s">
        <v>50</v>
      </c>
      <c r="AK125" s="10" t="s">
        <v>50</v>
      </c>
    </row>
    <row r="126" spans="1:37" ht="36.75" customHeight="1" x14ac:dyDescent="0.35">
      <c r="A126" s="5"/>
      <c r="B126" s="5" t="s">
        <v>887</v>
      </c>
      <c r="C126" s="73" t="str">
        <f t="shared" si="1"/>
        <v>Open</v>
      </c>
      <c r="D126" s="45" t="s">
        <v>888</v>
      </c>
      <c r="E126" s="54" t="s">
        <v>889</v>
      </c>
      <c r="F126" s="5" t="s">
        <v>575</v>
      </c>
      <c r="G126" s="10">
        <f>DATE(2006,7,15)</f>
        <v>38913</v>
      </c>
      <c r="H126" s="35">
        <v>1.7687499999999998</v>
      </c>
      <c r="I126" s="5" t="s">
        <v>55</v>
      </c>
      <c r="J126" s="10" t="s">
        <v>890</v>
      </c>
      <c r="K126" s="5" t="s">
        <v>577</v>
      </c>
      <c r="L126" s="5" t="s">
        <v>891</v>
      </c>
      <c r="M126" s="5" t="s">
        <v>45</v>
      </c>
      <c r="N126" s="5">
        <v>0</v>
      </c>
      <c r="O126" s="5" t="s">
        <v>59</v>
      </c>
      <c r="P126" s="10" t="s">
        <v>60</v>
      </c>
      <c r="Q126" s="10" t="s">
        <v>579</v>
      </c>
      <c r="R126" s="10" t="s">
        <v>580</v>
      </c>
      <c r="S126" s="5">
        <v>0</v>
      </c>
      <c r="T126" s="37" t="s">
        <v>50</v>
      </c>
      <c r="U126" s="5">
        <v>0</v>
      </c>
      <c r="V126" s="37" t="s">
        <v>50</v>
      </c>
      <c r="W126" s="5">
        <v>0</v>
      </c>
      <c r="X126" s="5">
        <v>0</v>
      </c>
      <c r="Y126" s="5">
        <v>0</v>
      </c>
      <c r="Z126" s="37" t="s">
        <v>50</v>
      </c>
      <c r="AA126" s="5">
        <v>0</v>
      </c>
      <c r="AB126" s="5">
        <v>0</v>
      </c>
      <c r="AC126" s="5">
        <v>0</v>
      </c>
      <c r="AD126" s="5">
        <v>0</v>
      </c>
      <c r="AE126" s="10" t="s">
        <v>50</v>
      </c>
      <c r="AF126" s="10" t="s">
        <v>892</v>
      </c>
      <c r="AG126" s="10" t="s">
        <v>64</v>
      </c>
      <c r="AH126" s="10" t="s">
        <v>50</v>
      </c>
      <c r="AI126" s="5">
        <v>0</v>
      </c>
      <c r="AJ126" s="10" t="s">
        <v>50</v>
      </c>
      <c r="AK126" s="10" t="s">
        <v>50</v>
      </c>
    </row>
    <row r="127" spans="1:37" ht="36.75" customHeight="1" x14ac:dyDescent="0.35">
      <c r="A127" s="5"/>
      <c r="B127" s="5" t="s">
        <v>37</v>
      </c>
      <c r="C127" s="73" t="str">
        <f t="shared" si="1"/>
        <v>Closed</v>
      </c>
      <c r="D127" s="45" t="s">
        <v>893</v>
      </c>
      <c r="E127" s="54" t="s">
        <v>894</v>
      </c>
      <c r="F127" s="5" t="s">
        <v>214</v>
      </c>
      <c r="G127" s="10">
        <f>DATE(2006,7,17)</f>
        <v>38915</v>
      </c>
      <c r="H127" s="35">
        <v>1.5138888888888888</v>
      </c>
      <c r="I127" s="5" t="s">
        <v>259</v>
      </c>
      <c r="J127" s="10" t="s">
        <v>895</v>
      </c>
      <c r="K127" s="5" t="s">
        <v>216</v>
      </c>
      <c r="L127" s="5" t="s">
        <v>896</v>
      </c>
      <c r="M127" s="5" t="s">
        <v>45</v>
      </c>
      <c r="N127" s="5">
        <v>0</v>
      </c>
      <c r="O127" s="5" t="s">
        <v>71</v>
      </c>
      <c r="P127" s="10" t="s">
        <v>72</v>
      </c>
      <c r="Q127" s="10" t="s">
        <v>415</v>
      </c>
      <c r="R127" s="10" t="s">
        <v>415</v>
      </c>
      <c r="S127" s="5">
        <v>0</v>
      </c>
      <c r="T127" s="37">
        <v>1</v>
      </c>
      <c r="U127" s="5">
        <v>0</v>
      </c>
      <c r="V127" s="37">
        <v>0</v>
      </c>
      <c r="W127" s="5">
        <v>0</v>
      </c>
      <c r="X127" s="5">
        <v>1</v>
      </c>
      <c r="Y127" s="5">
        <v>0</v>
      </c>
      <c r="Z127" s="37">
        <v>0</v>
      </c>
      <c r="AA127" s="5">
        <v>0</v>
      </c>
      <c r="AB127" s="5">
        <v>0</v>
      </c>
      <c r="AC127" s="5">
        <v>0</v>
      </c>
      <c r="AD127" s="5">
        <v>0</v>
      </c>
      <c r="AE127" s="10" t="s">
        <v>50</v>
      </c>
      <c r="AF127" s="10" t="s">
        <v>50</v>
      </c>
      <c r="AG127" s="10" t="s">
        <v>64</v>
      </c>
      <c r="AH127" s="10" t="s">
        <v>50</v>
      </c>
      <c r="AI127" s="5">
        <v>7</v>
      </c>
      <c r="AJ127" s="10" t="s">
        <v>897</v>
      </c>
      <c r="AK127" s="10" t="s">
        <v>898</v>
      </c>
    </row>
    <row r="128" spans="1:37" ht="36.75" customHeight="1" x14ac:dyDescent="0.35">
      <c r="A128" s="5"/>
      <c r="B128" s="5" t="s">
        <v>37</v>
      </c>
      <c r="C128" s="73" t="str">
        <f t="shared" si="1"/>
        <v>Closed</v>
      </c>
      <c r="D128" s="45" t="s">
        <v>899</v>
      </c>
      <c r="E128" s="54" t="s">
        <v>900</v>
      </c>
      <c r="F128" s="5" t="s">
        <v>214</v>
      </c>
      <c r="G128" s="10">
        <f>DATE(2006,7,19)</f>
        <v>38917</v>
      </c>
      <c r="H128" s="35">
        <v>1.4375</v>
      </c>
      <c r="I128" s="5" t="s">
        <v>259</v>
      </c>
      <c r="J128" s="10" t="s">
        <v>901</v>
      </c>
      <c r="K128" s="5" t="s">
        <v>216</v>
      </c>
      <c r="L128" s="5" t="s">
        <v>902</v>
      </c>
      <c r="M128" s="5" t="s">
        <v>45</v>
      </c>
      <c r="N128" s="5">
        <v>0</v>
      </c>
      <c r="O128" s="5" t="s">
        <v>59</v>
      </c>
      <c r="P128" s="10" t="s">
        <v>72</v>
      </c>
      <c r="Q128" s="10" t="s">
        <v>903</v>
      </c>
      <c r="R128" s="10" t="s">
        <v>903</v>
      </c>
      <c r="S128" s="5">
        <v>0</v>
      </c>
      <c r="T128" s="37">
        <v>1</v>
      </c>
      <c r="U128" s="5">
        <v>0</v>
      </c>
      <c r="V128" s="37">
        <v>0</v>
      </c>
      <c r="W128" s="5">
        <v>0</v>
      </c>
      <c r="X128" s="5">
        <v>1</v>
      </c>
      <c r="Y128" s="5">
        <v>0</v>
      </c>
      <c r="Z128" s="37">
        <v>0</v>
      </c>
      <c r="AA128" s="5">
        <v>0</v>
      </c>
      <c r="AB128" s="5">
        <v>0</v>
      </c>
      <c r="AC128" s="5">
        <v>0</v>
      </c>
      <c r="AD128" s="5">
        <v>0</v>
      </c>
      <c r="AE128" s="10" t="s">
        <v>50</v>
      </c>
      <c r="AF128" s="10" t="s">
        <v>50</v>
      </c>
      <c r="AG128" s="10" t="s">
        <v>64</v>
      </c>
      <c r="AH128" s="10" t="s">
        <v>50</v>
      </c>
      <c r="AI128" s="5">
        <v>9</v>
      </c>
      <c r="AJ128" s="10" t="s">
        <v>904</v>
      </c>
      <c r="AK128" s="10" t="s">
        <v>905</v>
      </c>
    </row>
    <row r="129" spans="1:37" ht="36.75" customHeight="1" x14ac:dyDescent="0.35">
      <c r="A129" s="5"/>
      <c r="B129" s="5" t="s">
        <v>37</v>
      </c>
      <c r="C129" s="73" t="str">
        <f t="shared" si="1"/>
        <v>Closed</v>
      </c>
      <c r="D129" s="45" t="s">
        <v>906</v>
      </c>
      <c r="E129" s="54" t="s">
        <v>907</v>
      </c>
      <c r="F129" s="5" t="s">
        <v>816</v>
      </c>
      <c r="G129" s="10">
        <f>DATE(2006,7,23)</f>
        <v>38921</v>
      </c>
      <c r="H129" s="35">
        <v>1.5798611111111112</v>
      </c>
      <c r="I129" s="5" t="s">
        <v>85</v>
      </c>
      <c r="J129" s="10" t="s">
        <v>908</v>
      </c>
      <c r="K129" s="5" t="s">
        <v>818</v>
      </c>
      <c r="L129" s="5" t="s">
        <v>909</v>
      </c>
      <c r="M129" s="5" t="s">
        <v>45</v>
      </c>
      <c r="N129" s="5">
        <v>0</v>
      </c>
      <c r="O129" s="5" t="s">
        <v>59</v>
      </c>
      <c r="P129" s="10" t="s">
        <v>47</v>
      </c>
      <c r="Q129" s="10" t="s">
        <v>820</v>
      </c>
      <c r="R129" s="10" t="s">
        <v>821</v>
      </c>
      <c r="S129" s="5">
        <v>0</v>
      </c>
      <c r="T129" s="37" t="s">
        <v>50</v>
      </c>
      <c r="U129" s="5">
        <v>0</v>
      </c>
      <c r="V129" s="37" t="s">
        <v>50</v>
      </c>
      <c r="W129" s="5">
        <v>0</v>
      </c>
      <c r="X129" s="5">
        <v>0</v>
      </c>
      <c r="Y129" s="5">
        <v>0</v>
      </c>
      <c r="Z129" s="37" t="s">
        <v>50</v>
      </c>
      <c r="AA129" s="5">
        <v>0</v>
      </c>
      <c r="AB129" s="5">
        <v>0</v>
      </c>
      <c r="AC129" s="5">
        <v>0</v>
      </c>
      <c r="AD129" s="5">
        <v>0</v>
      </c>
      <c r="AE129" s="10" t="s">
        <v>50</v>
      </c>
      <c r="AF129" s="10" t="s">
        <v>910</v>
      </c>
      <c r="AG129" s="10" t="s">
        <v>114</v>
      </c>
      <c r="AH129" s="10" t="s">
        <v>50</v>
      </c>
      <c r="AI129" s="5">
        <v>4</v>
      </c>
      <c r="AJ129" s="10" t="s">
        <v>50</v>
      </c>
      <c r="AK129" s="10" t="s">
        <v>50</v>
      </c>
    </row>
    <row r="130" spans="1:37" ht="36.75" customHeight="1" x14ac:dyDescent="0.35">
      <c r="A130" s="5"/>
      <c r="B130" s="5" t="s">
        <v>37</v>
      </c>
      <c r="C130" s="73" t="str">
        <f t="shared" ref="C130:C193" si="2">IF(B130="Notification","Open",IF(B130="Interim Statement","In progress","Closed"))</f>
        <v>Closed</v>
      </c>
      <c r="D130" s="45" t="s">
        <v>911</v>
      </c>
      <c r="E130" s="54" t="s">
        <v>912</v>
      </c>
      <c r="F130" s="5" t="s">
        <v>96</v>
      </c>
      <c r="G130" s="10">
        <f>DATE(2006,7,24)</f>
        <v>38922</v>
      </c>
      <c r="H130" s="35">
        <v>1.7638888888888888</v>
      </c>
      <c r="I130" s="5" t="s">
        <v>55</v>
      </c>
      <c r="J130" s="10" t="s">
        <v>913</v>
      </c>
      <c r="K130" s="5" t="s">
        <v>99</v>
      </c>
      <c r="L130" s="5" t="s">
        <v>914</v>
      </c>
      <c r="M130" s="5" t="s">
        <v>45</v>
      </c>
      <c r="N130" s="5">
        <v>0</v>
      </c>
      <c r="O130" s="5" t="s">
        <v>46</v>
      </c>
      <c r="P130" s="10" t="s">
        <v>60</v>
      </c>
      <c r="Q130" s="10" t="s">
        <v>101</v>
      </c>
      <c r="R130" s="10" t="s">
        <v>102</v>
      </c>
      <c r="S130" s="5">
        <v>0</v>
      </c>
      <c r="T130" s="37" t="s">
        <v>50</v>
      </c>
      <c r="U130" s="5">
        <v>0</v>
      </c>
      <c r="V130" s="37" t="s">
        <v>50</v>
      </c>
      <c r="W130" s="5">
        <v>0</v>
      </c>
      <c r="X130" s="5">
        <v>0</v>
      </c>
      <c r="Y130" s="5">
        <v>0</v>
      </c>
      <c r="Z130" s="37" t="s">
        <v>50</v>
      </c>
      <c r="AA130" s="5">
        <v>0</v>
      </c>
      <c r="AB130" s="5">
        <v>0</v>
      </c>
      <c r="AC130" s="5">
        <v>0</v>
      </c>
      <c r="AD130" s="5">
        <v>0</v>
      </c>
      <c r="AE130" s="10" t="s">
        <v>50</v>
      </c>
      <c r="AF130" s="10" t="s">
        <v>915</v>
      </c>
      <c r="AG130" s="10" t="s">
        <v>64</v>
      </c>
      <c r="AH130" s="10" t="s">
        <v>50</v>
      </c>
      <c r="AI130" s="5">
        <v>0</v>
      </c>
      <c r="AJ130" s="10" t="s">
        <v>50</v>
      </c>
      <c r="AK130" s="10" t="s">
        <v>50</v>
      </c>
    </row>
    <row r="131" spans="1:37" ht="36.75" customHeight="1" x14ac:dyDescent="0.35">
      <c r="A131" s="5"/>
      <c r="B131" s="5" t="s">
        <v>37</v>
      </c>
      <c r="C131" s="73" t="str">
        <f t="shared" si="2"/>
        <v>Closed</v>
      </c>
      <c r="D131" s="45" t="s">
        <v>916</v>
      </c>
      <c r="E131" s="54" t="s">
        <v>917</v>
      </c>
      <c r="F131" s="5" t="s">
        <v>214</v>
      </c>
      <c r="G131" s="10">
        <f>DATE(2006,7,25)</f>
        <v>38923</v>
      </c>
      <c r="H131" s="35">
        <v>1.4930555555555556</v>
      </c>
      <c r="I131" s="5" t="s">
        <v>55</v>
      </c>
      <c r="J131" s="10" t="s">
        <v>918</v>
      </c>
      <c r="K131" s="5" t="s">
        <v>216</v>
      </c>
      <c r="L131" s="5" t="s">
        <v>919</v>
      </c>
      <c r="M131" s="5" t="s">
        <v>45</v>
      </c>
      <c r="N131" s="5">
        <v>0</v>
      </c>
      <c r="O131" s="5" t="s">
        <v>46</v>
      </c>
      <c r="P131" s="10" t="s">
        <v>67</v>
      </c>
      <c r="Q131" s="10" t="s">
        <v>920</v>
      </c>
      <c r="R131" s="10" t="s">
        <v>920</v>
      </c>
      <c r="S131" s="5">
        <v>0</v>
      </c>
      <c r="T131" s="37" t="s">
        <v>50</v>
      </c>
      <c r="U131" s="5">
        <v>0</v>
      </c>
      <c r="V131" s="37" t="s">
        <v>50</v>
      </c>
      <c r="W131" s="5">
        <v>0</v>
      </c>
      <c r="X131" s="5">
        <v>0</v>
      </c>
      <c r="Y131" s="5">
        <v>0</v>
      </c>
      <c r="Z131" s="37" t="s">
        <v>50</v>
      </c>
      <c r="AA131" s="5">
        <v>0</v>
      </c>
      <c r="AB131" s="5">
        <v>0</v>
      </c>
      <c r="AC131" s="5">
        <v>0</v>
      </c>
      <c r="AD131" s="5">
        <v>0</v>
      </c>
      <c r="AE131" s="10" t="s">
        <v>50</v>
      </c>
      <c r="AF131" s="10" t="s">
        <v>50</v>
      </c>
      <c r="AG131" s="10" t="s">
        <v>229</v>
      </c>
      <c r="AH131" s="10" t="s">
        <v>50</v>
      </c>
      <c r="AI131" s="5">
        <v>6</v>
      </c>
      <c r="AJ131" s="10" t="s">
        <v>921</v>
      </c>
      <c r="AK131" s="10" t="s">
        <v>922</v>
      </c>
    </row>
    <row r="132" spans="1:37" ht="36.75" customHeight="1" x14ac:dyDescent="0.35">
      <c r="A132" s="5"/>
      <c r="B132" s="5" t="s">
        <v>37</v>
      </c>
      <c r="C132" s="73" t="str">
        <f t="shared" si="2"/>
        <v>Closed</v>
      </c>
      <c r="D132" s="45" t="s">
        <v>923</v>
      </c>
      <c r="E132" s="54" t="s">
        <v>924</v>
      </c>
      <c r="F132" s="5" t="s">
        <v>105</v>
      </c>
      <c r="G132" s="10">
        <f>DATE(2006,7,26)</f>
        <v>38924</v>
      </c>
      <c r="H132" s="35">
        <v>1.6944444444444446</v>
      </c>
      <c r="I132" s="5" t="s">
        <v>55</v>
      </c>
      <c r="J132" s="10" t="s">
        <v>925</v>
      </c>
      <c r="K132" s="5" t="s">
        <v>108</v>
      </c>
      <c r="L132" s="5" t="s">
        <v>926</v>
      </c>
      <c r="M132" s="5" t="s">
        <v>45</v>
      </c>
      <c r="N132" s="5">
        <v>0</v>
      </c>
      <c r="O132" s="5" t="s">
        <v>46</v>
      </c>
      <c r="P132" s="10" t="s">
        <v>60</v>
      </c>
      <c r="Q132" s="10" t="s">
        <v>382</v>
      </c>
      <c r="R132" s="10" t="s">
        <v>148</v>
      </c>
      <c r="S132" s="5">
        <v>0</v>
      </c>
      <c r="T132" s="37" t="s">
        <v>50</v>
      </c>
      <c r="U132" s="5">
        <v>0</v>
      </c>
      <c r="V132" s="37" t="s">
        <v>50</v>
      </c>
      <c r="W132" s="5">
        <v>0</v>
      </c>
      <c r="X132" s="5">
        <v>0</v>
      </c>
      <c r="Y132" s="5">
        <v>0</v>
      </c>
      <c r="Z132" s="37" t="s">
        <v>50</v>
      </c>
      <c r="AA132" s="5">
        <v>0</v>
      </c>
      <c r="AB132" s="5">
        <v>0</v>
      </c>
      <c r="AC132" s="5">
        <v>0</v>
      </c>
      <c r="AD132" s="5">
        <v>0</v>
      </c>
      <c r="AE132" s="10" t="s">
        <v>50</v>
      </c>
      <c r="AF132" s="10" t="s">
        <v>927</v>
      </c>
      <c r="AG132" s="10" t="s">
        <v>855</v>
      </c>
      <c r="AH132" s="10" t="s">
        <v>50</v>
      </c>
      <c r="AI132" s="5">
        <v>2</v>
      </c>
      <c r="AJ132" s="10" t="s">
        <v>50</v>
      </c>
      <c r="AK132" s="10" t="s">
        <v>50</v>
      </c>
    </row>
    <row r="133" spans="1:37" ht="36.75" customHeight="1" x14ac:dyDescent="0.35">
      <c r="A133" s="5"/>
      <c r="B133" s="5" t="s">
        <v>37</v>
      </c>
      <c r="C133" s="73" t="str">
        <f t="shared" si="2"/>
        <v>Closed</v>
      </c>
      <c r="D133" s="45" t="s">
        <v>928</v>
      </c>
      <c r="E133" s="54" t="s">
        <v>929</v>
      </c>
      <c r="F133" s="5" t="s">
        <v>404</v>
      </c>
      <c r="G133" s="10">
        <f>DATE(2006,7,28)</f>
        <v>38926</v>
      </c>
      <c r="H133" s="35">
        <v>1.5541666666666667</v>
      </c>
      <c r="I133" s="5" t="s">
        <v>55</v>
      </c>
      <c r="J133" s="10" t="s">
        <v>930</v>
      </c>
      <c r="K133" s="5" t="s">
        <v>406</v>
      </c>
      <c r="L133" s="5" t="s">
        <v>931</v>
      </c>
      <c r="M133" s="5" t="s">
        <v>45</v>
      </c>
      <c r="N133" s="5">
        <v>0</v>
      </c>
      <c r="O133" s="5" t="s">
        <v>46</v>
      </c>
      <c r="P133" s="10" t="s">
        <v>146</v>
      </c>
      <c r="Q133" s="10" t="s">
        <v>408</v>
      </c>
      <c r="R133" s="10" t="s">
        <v>408</v>
      </c>
      <c r="S133" s="5">
        <v>0</v>
      </c>
      <c r="T133" s="37" t="s">
        <v>50</v>
      </c>
      <c r="U133" s="5">
        <v>0</v>
      </c>
      <c r="V133" s="37" t="s">
        <v>50</v>
      </c>
      <c r="W133" s="5">
        <v>0</v>
      </c>
      <c r="X133" s="5">
        <v>0</v>
      </c>
      <c r="Y133" s="5">
        <v>0</v>
      </c>
      <c r="Z133" s="37" t="s">
        <v>50</v>
      </c>
      <c r="AA133" s="5">
        <v>0</v>
      </c>
      <c r="AB133" s="5">
        <v>0</v>
      </c>
      <c r="AC133" s="5">
        <v>0</v>
      </c>
      <c r="AD133" s="5">
        <v>0</v>
      </c>
      <c r="AE133" s="10" t="s">
        <v>50</v>
      </c>
      <c r="AF133" s="10" t="s">
        <v>932</v>
      </c>
      <c r="AG133" s="10" t="s">
        <v>114</v>
      </c>
      <c r="AH133" s="10" t="s">
        <v>50</v>
      </c>
      <c r="AI133" s="5">
        <v>0</v>
      </c>
      <c r="AJ133" s="10" t="s">
        <v>50</v>
      </c>
      <c r="AK133" s="10" t="s">
        <v>50</v>
      </c>
    </row>
    <row r="134" spans="1:37" ht="36.75" customHeight="1" x14ac:dyDescent="0.35">
      <c r="A134" s="5"/>
      <c r="B134" s="5" t="s">
        <v>37</v>
      </c>
      <c r="C134" s="73" t="str">
        <f t="shared" si="2"/>
        <v>Closed</v>
      </c>
      <c r="D134" s="45" t="s">
        <v>933</v>
      </c>
      <c r="E134" s="54" t="s">
        <v>934</v>
      </c>
      <c r="F134" s="5" t="s">
        <v>432</v>
      </c>
      <c r="G134" s="10">
        <f>DATE(2006,7,28)</f>
        <v>38926</v>
      </c>
      <c r="H134" s="35">
        <v>1.6993055555555556</v>
      </c>
      <c r="I134" s="5" t="s">
        <v>67</v>
      </c>
      <c r="J134" s="10" t="s">
        <v>935</v>
      </c>
      <c r="K134" s="5" t="s">
        <v>434</v>
      </c>
      <c r="L134" s="5" t="s">
        <v>936</v>
      </c>
      <c r="M134" s="5" t="s">
        <v>45</v>
      </c>
      <c r="N134" s="5">
        <v>0</v>
      </c>
      <c r="O134" s="5" t="s">
        <v>59</v>
      </c>
      <c r="P134" s="10" t="s">
        <v>47</v>
      </c>
      <c r="Q134" s="10" t="s">
        <v>552</v>
      </c>
      <c r="R134" s="10" t="s">
        <v>553</v>
      </c>
      <c r="S134" s="5">
        <v>0</v>
      </c>
      <c r="T134" s="37" t="s">
        <v>50</v>
      </c>
      <c r="U134" s="5">
        <v>0</v>
      </c>
      <c r="V134" s="37" t="s">
        <v>50</v>
      </c>
      <c r="W134" s="5">
        <v>0</v>
      </c>
      <c r="X134" s="5">
        <v>0</v>
      </c>
      <c r="Y134" s="5">
        <v>0</v>
      </c>
      <c r="Z134" s="37" t="s">
        <v>50</v>
      </c>
      <c r="AA134" s="5">
        <v>0</v>
      </c>
      <c r="AB134" s="5">
        <v>0</v>
      </c>
      <c r="AC134" s="5">
        <v>0</v>
      </c>
      <c r="AD134" s="5">
        <v>0</v>
      </c>
      <c r="AE134" s="10" t="s">
        <v>50</v>
      </c>
      <c r="AF134" s="10" t="s">
        <v>50</v>
      </c>
      <c r="AG134" s="10" t="s">
        <v>855</v>
      </c>
      <c r="AH134" s="10" t="s">
        <v>50</v>
      </c>
      <c r="AI134" s="5">
        <v>4</v>
      </c>
      <c r="AJ134" s="10" t="s">
        <v>937</v>
      </c>
      <c r="AK134" s="10" t="s">
        <v>938</v>
      </c>
    </row>
    <row r="135" spans="1:37" ht="36.75" customHeight="1" x14ac:dyDescent="0.35">
      <c r="A135" s="5"/>
      <c r="B135" s="5" t="s">
        <v>37</v>
      </c>
      <c r="C135" s="73" t="str">
        <f t="shared" si="2"/>
        <v>Closed</v>
      </c>
      <c r="D135" s="45" t="s">
        <v>939</v>
      </c>
      <c r="E135" s="54" t="s">
        <v>940</v>
      </c>
      <c r="F135" s="5" t="s">
        <v>214</v>
      </c>
      <c r="G135" s="10">
        <f>DATE(2006,7,29)</f>
        <v>38927</v>
      </c>
      <c r="H135" s="35">
        <v>1.6354166666666665</v>
      </c>
      <c r="I135" s="5" t="s">
        <v>67</v>
      </c>
      <c r="J135" s="10" t="s">
        <v>941</v>
      </c>
      <c r="K135" s="5" t="s">
        <v>216</v>
      </c>
      <c r="L135" s="5" t="s">
        <v>942</v>
      </c>
      <c r="M135" s="5" t="s">
        <v>45</v>
      </c>
      <c r="N135" s="5">
        <v>0</v>
      </c>
      <c r="O135" s="5" t="s">
        <v>46</v>
      </c>
      <c r="P135" s="10" t="s">
        <v>282</v>
      </c>
      <c r="Q135" s="10" t="s">
        <v>218</v>
      </c>
      <c r="R135" s="10" t="s">
        <v>219</v>
      </c>
      <c r="S135" s="5">
        <v>0</v>
      </c>
      <c r="T135" s="37">
        <v>1</v>
      </c>
      <c r="U135" s="5">
        <v>0</v>
      </c>
      <c r="V135" s="37">
        <v>0</v>
      </c>
      <c r="W135" s="5">
        <v>0</v>
      </c>
      <c r="X135" s="5">
        <v>1</v>
      </c>
      <c r="Y135" s="5">
        <v>0</v>
      </c>
      <c r="Z135" s="37">
        <v>0</v>
      </c>
      <c r="AA135" s="5">
        <v>0</v>
      </c>
      <c r="AB135" s="5">
        <v>0</v>
      </c>
      <c r="AC135" s="5">
        <v>0</v>
      </c>
      <c r="AD135" s="5">
        <v>0</v>
      </c>
      <c r="AE135" s="10" t="s">
        <v>50</v>
      </c>
      <c r="AF135" s="10" t="s">
        <v>50</v>
      </c>
      <c r="AG135" s="10" t="s">
        <v>64</v>
      </c>
      <c r="AH135" s="10" t="s">
        <v>50</v>
      </c>
      <c r="AI135" s="5">
        <v>9</v>
      </c>
      <c r="AJ135" s="10" t="s">
        <v>943</v>
      </c>
      <c r="AK135" s="10" t="s">
        <v>944</v>
      </c>
    </row>
    <row r="136" spans="1:37" ht="36.75" customHeight="1" x14ac:dyDescent="0.35">
      <c r="A136" s="5"/>
      <c r="B136" s="5" t="s">
        <v>37</v>
      </c>
      <c r="C136" s="73" t="str">
        <f t="shared" si="2"/>
        <v>Closed</v>
      </c>
      <c r="D136" s="45" t="s">
        <v>945</v>
      </c>
      <c r="E136" s="54" t="s">
        <v>946</v>
      </c>
      <c r="F136" s="5" t="s">
        <v>105</v>
      </c>
      <c r="G136" s="10">
        <f>DATE(2006,8,5)</f>
        <v>38934</v>
      </c>
      <c r="H136" s="35">
        <v>1.4166666666666667</v>
      </c>
      <c r="I136" s="5" t="s">
        <v>137</v>
      </c>
      <c r="J136" s="10" t="s">
        <v>947</v>
      </c>
      <c r="K136" s="5" t="s">
        <v>108</v>
      </c>
      <c r="L136" s="5" t="s">
        <v>948</v>
      </c>
      <c r="M136" s="5" t="s">
        <v>45</v>
      </c>
      <c r="N136" s="5">
        <v>0</v>
      </c>
      <c r="O136" s="5" t="s">
        <v>59</v>
      </c>
      <c r="P136" s="10" t="s">
        <v>47</v>
      </c>
      <c r="Q136" s="10" t="s">
        <v>210</v>
      </c>
      <c r="R136" s="10" t="s">
        <v>148</v>
      </c>
      <c r="S136" s="5">
        <v>0</v>
      </c>
      <c r="T136" s="37" t="s">
        <v>50</v>
      </c>
      <c r="U136" s="5">
        <v>0</v>
      </c>
      <c r="V136" s="37" t="s">
        <v>50</v>
      </c>
      <c r="W136" s="5">
        <v>0</v>
      </c>
      <c r="X136" s="5">
        <v>0</v>
      </c>
      <c r="Y136" s="5">
        <v>0</v>
      </c>
      <c r="Z136" s="37" t="s">
        <v>50</v>
      </c>
      <c r="AA136" s="5">
        <v>0</v>
      </c>
      <c r="AB136" s="5">
        <v>0</v>
      </c>
      <c r="AC136" s="5">
        <v>0</v>
      </c>
      <c r="AD136" s="5">
        <v>0</v>
      </c>
      <c r="AE136" s="10" t="s">
        <v>50</v>
      </c>
      <c r="AF136" s="10" t="s">
        <v>949</v>
      </c>
      <c r="AG136" s="10" t="s">
        <v>114</v>
      </c>
      <c r="AH136" s="10" t="s">
        <v>50</v>
      </c>
      <c r="AI136" s="5">
        <v>2</v>
      </c>
      <c r="AJ136" s="10" t="s">
        <v>50</v>
      </c>
      <c r="AK136" s="10" t="s">
        <v>50</v>
      </c>
    </row>
    <row r="137" spans="1:37" ht="36.75" customHeight="1" x14ac:dyDescent="0.35">
      <c r="A137" s="5"/>
      <c r="B137" s="5" t="s">
        <v>37</v>
      </c>
      <c r="C137" s="73" t="str">
        <f t="shared" si="2"/>
        <v>Closed</v>
      </c>
      <c r="D137" s="45" t="s">
        <v>950</v>
      </c>
      <c r="E137" s="54" t="s">
        <v>951</v>
      </c>
      <c r="F137" s="5" t="s">
        <v>816</v>
      </c>
      <c r="G137" s="10">
        <f>DATE(2006,8,6)</f>
        <v>38935</v>
      </c>
      <c r="H137" s="35">
        <v>1.2486111111111111</v>
      </c>
      <c r="I137" s="5" t="s">
        <v>55</v>
      </c>
      <c r="J137" s="10" t="s">
        <v>952</v>
      </c>
      <c r="K137" s="5" t="s">
        <v>818</v>
      </c>
      <c r="L137" s="5" t="s">
        <v>953</v>
      </c>
      <c r="M137" s="5" t="s">
        <v>45</v>
      </c>
      <c r="N137" s="5">
        <v>0</v>
      </c>
      <c r="O137" s="5" t="s">
        <v>59</v>
      </c>
      <c r="P137" s="10" t="s">
        <v>60</v>
      </c>
      <c r="Q137" s="10" t="s">
        <v>954</v>
      </c>
      <c r="R137" s="10" t="s">
        <v>821</v>
      </c>
      <c r="S137" s="5">
        <v>0</v>
      </c>
      <c r="T137" s="37" t="s">
        <v>50</v>
      </c>
      <c r="U137" s="5">
        <v>0</v>
      </c>
      <c r="V137" s="37" t="s">
        <v>50</v>
      </c>
      <c r="W137" s="5">
        <v>0</v>
      </c>
      <c r="X137" s="5">
        <v>0</v>
      </c>
      <c r="Y137" s="5">
        <v>0</v>
      </c>
      <c r="Z137" s="37" t="s">
        <v>50</v>
      </c>
      <c r="AA137" s="5">
        <v>0</v>
      </c>
      <c r="AB137" s="5">
        <v>0</v>
      </c>
      <c r="AC137" s="5">
        <v>0</v>
      </c>
      <c r="AD137" s="5">
        <v>0</v>
      </c>
      <c r="AE137" s="10" t="s">
        <v>50</v>
      </c>
      <c r="AF137" s="10" t="s">
        <v>955</v>
      </c>
      <c r="AG137" s="10" t="s">
        <v>114</v>
      </c>
      <c r="AH137" s="10" t="s">
        <v>50</v>
      </c>
      <c r="AI137" s="5">
        <v>1</v>
      </c>
      <c r="AJ137" s="10" t="s">
        <v>50</v>
      </c>
      <c r="AK137" s="10" t="s">
        <v>50</v>
      </c>
    </row>
    <row r="138" spans="1:37" ht="36.75" customHeight="1" x14ac:dyDescent="0.35">
      <c r="A138" s="5"/>
      <c r="B138" s="5" t="s">
        <v>37</v>
      </c>
      <c r="C138" s="73" t="str">
        <f t="shared" si="2"/>
        <v>Closed</v>
      </c>
      <c r="D138" s="45" t="s">
        <v>956</v>
      </c>
      <c r="E138" s="54" t="s">
        <v>957</v>
      </c>
      <c r="F138" s="5" t="s">
        <v>105</v>
      </c>
      <c r="G138" s="10">
        <f>DATE(2006,8,6)</f>
        <v>38935</v>
      </c>
      <c r="H138" s="35">
        <v>1.8909722222222221</v>
      </c>
      <c r="I138" s="5" t="s">
        <v>55</v>
      </c>
      <c r="J138" s="10" t="s">
        <v>958</v>
      </c>
      <c r="K138" s="5" t="s">
        <v>108</v>
      </c>
      <c r="L138" s="5" t="s">
        <v>959</v>
      </c>
      <c r="M138" s="5" t="s">
        <v>236</v>
      </c>
      <c r="N138" s="5">
        <v>0</v>
      </c>
      <c r="O138" s="5" t="s">
        <v>59</v>
      </c>
      <c r="P138" s="10" t="s">
        <v>67</v>
      </c>
      <c r="Q138" s="10" t="s">
        <v>960</v>
      </c>
      <c r="R138" s="10" t="s">
        <v>112</v>
      </c>
      <c r="S138" s="5">
        <v>0</v>
      </c>
      <c r="T138" s="37" t="s">
        <v>50</v>
      </c>
      <c r="U138" s="5">
        <v>0</v>
      </c>
      <c r="V138" s="37" t="s">
        <v>50</v>
      </c>
      <c r="W138" s="5">
        <v>0</v>
      </c>
      <c r="X138" s="5">
        <v>0</v>
      </c>
      <c r="Y138" s="5">
        <v>0</v>
      </c>
      <c r="Z138" s="37" t="s">
        <v>50</v>
      </c>
      <c r="AA138" s="5">
        <v>0</v>
      </c>
      <c r="AB138" s="5">
        <v>0</v>
      </c>
      <c r="AC138" s="5">
        <v>0</v>
      </c>
      <c r="AD138" s="5">
        <v>0</v>
      </c>
      <c r="AE138" s="10" t="s">
        <v>50</v>
      </c>
      <c r="AF138" s="10" t="s">
        <v>961</v>
      </c>
      <c r="AG138" s="10" t="s">
        <v>348</v>
      </c>
      <c r="AH138" s="10" t="s">
        <v>50</v>
      </c>
      <c r="AI138" s="5">
        <v>2</v>
      </c>
      <c r="AJ138" s="10" t="s">
        <v>50</v>
      </c>
      <c r="AK138" s="10" t="s">
        <v>50</v>
      </c>
    </row>
    <row r="139" spans="1:37" ht="36.75" customHeight="1" x14ac:dyDescent="0.35">
      <c r="A139" s="5"/>
      <c r="B139" s="5" t="s">
        <v>37</v>
      </c>
      <c r="C139" s="73" t="str">
        <f t="shared" si="2"/>
        <v>Closed</v>
      </c>
      <c r="D139" s="45" t="s">
        <v>962</v>
      </c>
      <c r="E139" s="54" t="s">
        <v>963</v>
      </c>
      <c r="F139" s="5" t="s">
        <v>575</v>
      </c>
      <c r="G139" s="10">
        <f>DATE(2006,8,10)</f>
        <v>38939</v>
      </c>
      <c r="H139" s="35">
        <v>1.8576388888888888</v>
      </c>
      <c r="I139" s="5" t="s">
        <v>97</v>
      </c>
      <c r="J139" s="10" t="s">
        <v>964</v>
      </c>
      <c r="K139" s="5" t="s">
        <v>577</v>
      </c>
      <c r="L139" s="5" t="s">
        <v>965</v>
      </c>
      <c r="M139" s="5" t="s">
        <v>45</v>
      </c>
      <c r="N139" s="5">
        <v>0</v>
      </c>
      <c r="O139" s="5" t="s">
        <v>59</v>
      </c>
      <c r="P139" s="10" t="s">
        <v>47</v>
      </c>
      <c r="Q139" s="10" t="s">
        <v>579</v>
      </c>
      <c r="R139" s="10" t="s">
        <v>580</v>
      </c>
      <c r="S139" s="5">
        <v>0</v>
      </c>
      <c r="T139" s="37" t="s">
        <v>50</v>
      </c>
      <c r="U139" s="5">
        <v>1</v>
      </c>
      <c r="V139" s="37" t="s">
        <v>50</v>
      </c>
      <c r="W139" s="5">
        <v>0</v>
      </c>
      <c r="X139" s="5">
        <v>1</v>
      </c>
      <c r="Y139" s="5">
        <v>0</v>
      </c>
      <c r="Z139" s="37" t="s">
        <v>50</v>
      </c>
      <c r="AA139" s="5">
        <v>0</v>
      </c>
      <c r="AB139" s="5">
        <v>0</v>
      </c>
      <c r="AC139" s="5">
        <v>0</v>
      </c>
      <c r="AD139" s="5">
        <v>0</v>
      </c>
      <c r="AE139" s="10" t="s">
        <v>50</v>
      </c>
      <c r="AF139" s="10" t="s">
        <v>966</v>
      </c>
      <c r="AG139" s="10" t="s">
        <v>64</v>
      </c>
      <c r="AH139" s="10" t="s">
        <v>50</v>
      </c>
      <c r="AI139" s="5">
        <v>0</v>
      </c>
      <c r="AJ139" s="10" t="s">
        <v>50</v>
      </c>
      <c r="AK139" s="10" t="s">
        <v>50</v>
      </c>
    </row>
    <row r="140" spans="1:37" ht="36.75" customHeight="1" x14ac:dyDescent="0.35">
      <c r="A140" s="5"/>
      <c r="B140" s="5" t="s">
        <v>37</v>
      </c>
      <c r="C140" s="73" t="str">
        <f t="shared" si="2"/>
        <v>Closed</v>
      </c>
      <c r="D140" s="45" t="s">
        <v>967</v>
      </c>
      <c r="E140" s="54" t="s">
        <v>968</v>
      </c>
      <c r="F140" s="5" t="s">
        <v>404</v>
      </c>
      <c r="G140" s="10">
        <f>DATE(2006,8,11)</f>
        <v>38940</v>
      </c>
      <c r="H140" s="35">
        <v>1.5847222222222221</v>
      </c>
      <c r="I140" s="5" t="s">
        <v>97</v>
      </c>
      <c r="J140" s="10" t="s">
        <v>969</v>
      </c>
      <c r="K140" s="5" t="s">
        <v>406</v>
      </c>
      <c r="L140" s="5" t="s">
        <v>970</v>
      </c>
      <c r="M140" s="5" t="s">
        <v>45</v>
      </c>
      <c r="N140" s="5">
        <v>0</v>
      </c>
      <c r="O140" s="5" t="s">
        <v>46</v>
      </c>
      <c r="P140" s="10" t="s">
        <v>47</v>
      </c>
      <c r="Q140" s="10" t="s">
        <v>971</v>
      </c>
      <c r="R140" s="10" t="s">
        <v>971</v>
      </c>
      <c r="S140" s="5">
        <v>0</v>
      </c>
      <c r="T140" s="37">
        <v>0</v>
      </c>
      <c r="U140" s="5">
        <v>1</v>
      </c>
      <c r="V140" s="37">
        <v>0</v>
      </c>
      <c r="W140" s="5">
        <v>0</v>
      </c>
      <c r="X140" s="5">
        <v>1</v>
      </c>
      <c r="Y140" s="5">
        <v>0</v>
      </c>
      <c r="Z140" s="37">
        <v>0</v>
      </c>
      <c r="AA140" s="5">
        <v>8</v>
      </c>
      <c r="AB140" s="5">
        <v>0</v>
      </c>
      <c r="AC140" s="5">
        <v>0</v>
      </c>
      <c r="AD140" s="5">
        <v>8</v>
      </c>
      <c r="AE140" s="10" t="s">
        <v>50</v>
      </c>
      <c r="AF140" s="10" t="s">
        <v>972</v>
      </c>
      <c r="AG140" s="10" t="s">
        <v>114</v>
      </c>
      <c r="AH140" s="10" t="s">
        <v>50</v>
      </c>
      <c r="AI140" s="5">
        <v>0</v>
      </c>
      <c r="AJ140" s="10" t="s">
        <v>973</v>
      </c>
      <c r="AK140" s="10" t="s">
        <v>50</v>
      </c>
    </row>
    <row r="141" spans="1:37" ht="36.75" customHeight="1" x14ac:dyDescent="0.35">
      <c r="A141" s="5"/>
      <c r="B141" s="5" t="s">
        <v>37</v>
      </c>
      <c r="C141" s="73" t="str">
        <f t="shared" si="2"/>
        <v>Closed</v>
      </c>
      <c r="D141" s="45" t="s">
        <v>974</v>
      </c>
      <c r="E141" s="54" t="s">
        <v>975</v>
      </c>
      <c r="F141" s="5" t="s">
        <v>105</v>
      </c>
      <c r="G141" s="10">
        <f>DATE(2006,8,15)</f>
        <v>38944</v>
      </c>
      <c r="H141" s="35">
        <v>1.7604166666666665</v>
      </c>
      <c r="I141" s="5" t="s">
        <v>41</v>
      </c>
      <c r="J141" s="10" t="s">
        <v>976</v>
      </c>
      <c r="K141" s="5" t="s">
        <v>108</v>
      </c>
      <c r="L141" s="5" t="s">
        <v>977</v>
      </c>
      <c r="M141" s="5" t="s">
        <v>45</v>
      </c>
      <c r="N141" s="5">
        <v>0</v>
      </c>
      <c r="O141" s="5" t="s">
        <v>59</v>
      </c>
      <c r="P141" s="10" t="s">
        <v>146</v>
      </c>
      <c r="Q141" s="10" t="s">
        <v>210</v>
      </c>
      <c r="R141" s="10" t="s">
        <v>148</v>
      </c>
      <c r="S141" s="5">
        <v>0</v>
      </c>
      <c r="T141" s="37" t="s">
        <v>50</v>
      </c>
      <c r="U141" s="5">
        <v>0</v>
      </c>
      <c r="V141" s="37" t="s">
        <v>50</v>
      </c>
      <c r="W141" s="5">
        <v>0</v>
      </c>
      <c r="X141" s="5">
        <v>0</v>
      </c>
      <c r="Y141" s="5">
        <v>0</v>
      </c>
      <c r="Z141" s="37" t="s">
        <v>50</v>
      </c>
      <c r="AA141" s="5">
        <v>0</v>
      </c>
      <c r="AB141" s="5">
        <v>0</v>
      </c>
      <c r="AC141" s="5">
        <v>0</v>
      </c>
      <c r="AD141" s="5">
        <v>0</v>
      </c>
      <c r="AE141" s="10" t="s">
        <v>50</v>
      </c>
      <c r="AF141" s="10" t="s">
        <v>978</v>
      </c>
      <c r="AG141" s="10" t="s">
        <v>114</v>
      </c>
      <c r="AH141" s="10" t="s">
        <v>50</v>
      </c>
      <c r="AI141" s="5">
        <v>0</v>
      </c>
      <c r="AJ141" s="10" t="s">
        <v>50</v>
      </c>
      <c r="AK141" s="10" t="s">
        <v>50</v>
      </c>
    </row>
    <row r="142" spans="1:37" ht="36.75" customHeight="1" x14ac:dyDescent="0.35">
      <c r="A142" s="5"/>
      <c r="B142" s="5" t="s">
        <v>37</v>
      </c>
      <c r="C142" s="73" t="str">
        <f t="shared" si="2"/>
        <v>Closed</v>
      </c>
      <c r="D142" s="45" t="s">
        <v>979</v>
      </c>
      <c r="E142" s="54" t="s">
        <v>980</v>
      </c>
      <c r="F142" s="5" t="s">
        <v>214</v>
      </c>
      <c r="G142" s="10">
        <f>DATE(2006,8,18)</f>
        <v>38947</v>
      </c>
      <c r="H142" s="35">
        <v>1.4583333333333333</v>
      </c>
      <c r="I142" s="5" t="s">
        <v>85</v>
      </c>
      <c r="J142" s="10" t="s">
        <v>981</v>
      </c>
      <c r="K142" s="5" t="s">
        <v>216</v>
      </c>
      <c r="L142" s="5" t="s">
        <v>982</v>
      </c>
      <c r="M142" s="5" t="s">
        <v>45</v>
      </c>
      <c r="N142" s="5">
        <v>0</v>
      </c>
      <c r="O142" s="5" t="s">
        <v>59</v>
      </c>
      <c r="P142" s="10" t="s">
        <v>146</v>
      </c>
      <c r="Q142" s="10" t="s">
        <v>699</v>
      </c>
      <c r="R142" s="10" t="s">
        <v>219</v>
      </c>
      <c r="S142" s="5">
        <v>0</v>
      </c>
      <c r="T142" s="37" t="s">
        <v>50</v>
      </c>
      <c r="U142" s="5">
        <v>0</v>
      </c>
      <c r="V142" s="37" t="s">
        <v>50</v>
      </c>
      <c r="W142" s="5">
        <v>0</v>
      </c>
      <c r="X142" s="5">
        <v>0</v>
      </c>
      <c r="Y142" s="5">
        <v>0</v>
      </c>
      <c r="Z142" s="37" t="s">
        <v>50</v>
      </c>
      <c r="AA142" s="5">
        <v>0</v>
      </c>
      <c r="AB142" s="5">
        <v>0</v>
      </c>
      <c r="AC142" s="5">
        <v>0</v>
      </c>
      <c r="AD142" s="5">
        <v>0</v>
      </c>
      <c r="AE142" s="10" t="s">
        <v>50</v>
      </c>
      <c r="AF142" s="10" t="s">
        <v>983</v>
      </c>
      <c r="AG142" s="10" t="s">
        <v>114</v>
      </c>
      <c r="AH142" s="10" t="s">
        <v>50</v>
      </c>
      <c r="AI142" s="5">
        <v>5</v>
      </c>
      <c r="AJ142" s="10" t="s">
        <v>984</v>
      </c>
      <c r="AK142" s="10" t="s">
        <v>985</v>
      </c>
    </row>
    <row r="143" spans="1:37" ht="36.75" customHeight="1" x14ac:dyDescent="0.35">
      <c r="A143" s="5"/>
      <c r="B143" s="5" t="s">
        <v>37</v>
      </c>
      <c r="C143" s="73" t="str">
        <f t="shared" si="2"/>
        <v>Closed</v>
      </c>
      <c r="D143" s="45" t="s">
        <v>986</v>
      </c>
      <c r="E143" s="54" t="s">
        <v>987</v>
      </c>
      <c r="F143" s="5" t="s">
        <v>619</v>
      </c>
      <c r="G143" s="10">
        <f>DATE(2006,8,21)</f>
        <v>38950</v>
      </c>
      <c r="H143" s="35">
        <v>1.6631944444444444</v>
      </c>
      <c r="I143" s="5" t="s">
        <v>55</v>
      </c>
      <c r="J143" s="10" t="s">
        <v>988</v>
      </c>
      <c r="K143" s="5" t="s">
        <v>621</v>
      </c>
      <c r="L143" s="5" t="s">
        <v>989</v>
      </c>
      <c r="M143" s="5" t="s">
        <v>45</v>
      </c>
      <c r="N143" s="5">
        <v>0</v>
      </c>
      <c r="O143" s="5" t="s">
        <v>59</v>
      </c>
      <c r="P143" s="10" t="s">
        <v>47</v>
      </c>
      <c r="Q143" s="10" t="s">
        <v>623</v>
      </c>
      <c r="R143" s="10" t="s">
        <v>624</v>
      </c>
      <c r="S143" s="5">
        <v>7</v>
      </c>
      <c r="T143" s="37">
        <v>0</v>
      </c>
      <c r="U143" s="5">
        <v>0</v>
      </c>
      <c r="V143" s="37">
        <v>0</v>
      </c>
      <c r="W143" s="5">
        <v>0</v>
      </c>
      <c r="X143" s="5">
        <v>7</v>
      </c>
      <c r="Y143" s="5">
        <v>6</v>
      </c>
      <c r="Z143" s="37">
        <v>0</v>
      </c>
      <c r="AA143" s="5">
        <v>0</v>
      </c>
      <c r="AB143" s="5">
        <v>0</v>
      </c>
      <c r="AC143" s="5">
        <v>0</v>
      </c>
      <c r="AD143" s="5">
        <v>6</v>
      </c>
      <c r="AE143" s="10" t="s">
        <v>375</v>
      </c>
      <c r="AF143" s="10" t="s">
        <v>990</v>
      </c>
      <c r="AG143" s="10" t="s">
        <v>64</v>
      </c>
      <c r="AH143" s="10" t="s">
        <v>50</v>
      </c>
      <c r="AI143" s="5">
        <v>0</v>
      </c>
      <c r="AJ143" s="10" t="s">
        <v>991</v>
      </c>
      <c r="AK143" s="10" t="s">
        <v>50</v>
      </c>
    </row>
    <row r="144" spans="1:37" ht="36.75" customHeight="1" x14ac:dyDescent="0.35">
      <c r="A144" s="5"/>
      <c r="B144" s="5" t="s">
        <v>37</v>
      </c>
      <c r="C144" s="73" t="str">
        <f t="shared" si="2"/>
        <v>Closed</v>
      </c>
      <c r="D144" s="45" t="s">
        <v>992</v>
      </c>
      <c r="E144" s="54" t="s">
        <v>993</v>
      </c>
      <c r="F144" s="5" t="s">
        <v>214</v>
      </c>
      <c r="G144" s="10">
        <f>DATE(2006,8,21)</f>
        <v>38950</v>
      </c>
      <c r="H144" s="35">
        <v>1.5208333333333335</v>
      </c>
      <c r="I144" s="5" t="s">
        <v>106</v>
      </c>
      <c r="J144" s="10" t="s">
        <v>994</v>
      </c>
      <c r="K144" s="5" t="s">
        <v>216</v>
      </c>
      <c r="L144" s="5" t="s">
        <v>995</v>
      </c>
      <c r="M144" s="5" t="s">
        <v>45</v>
      </c>
      <c r="N144" s="5">
        <v>0</v>
      </c>
      <c r="O144" s="5" t="s">
        <v>46</v>
      </c>
      <c r="P144" s="10" t="s">
        <v>60</v>
      </c>
      <c r="Q144" s="10" t="s">
        <v>996</v>
      </c>
      <c r="R144" s="10" t="s">
        <v>996</v>
      </c>
      <c r="S144" s="5">
        <v>0</v>
      </c>
      <c r="T144" s="37">
        <v>0</v>
      </c>
      <c r="U144" s="5">
        <v>0</v>
      </c>
      <c r="V144" s="37">
        <v>0</v>
      </c>
      <c r="W144" s="5">
        <v>0</v>
      </c>
      <c r="X144" s="5">
        <v>0</v>
      </c>
      <c r="Y144" s="5">
        <v>0</v>
      </c>
      <c r="Z144" s="37">
        <v>0</v>
      </c>
      <c r="AA144" s="5">
        <v>0</v>
      </c>
      <c r="AB144" s="5">
        <v>0</v>
      </c>
      <c r="AC144" s="5">
        <v>0</v>
      </c>
      <c r="AD144" s="5">
        <v>0</v>
      </c>
      <c r="AE144" s="10" t="s">
        <v>73</v>
      </c>
      <c r="AF144" s="10" t="s">
        <v>997</v>
      </c>
      <c r="AG144" s="10" t="s">
        <v>114</v>
      </c>
      <c r="AH144" s="10" t="s">
        <v>50</v>
      </c>
      <c r="AI144" s="5">
        <v>16</v>
      </c>
      <c r="AJ144" s="10" t="s">
        <v>998</v>
      </c>
      <c r="AK144" s="10" t="s">
        <v>999</v>
      </c>
    </row>
    <row r="145" spans="1:37" ht="36.75" customHeight="1" x14ac:dyDescent="0.35">
      <c r="A145" s="5"/>
      <c r="B145" s="5" t="s">
        <v>37</v>
      </c>
      <c r="C145" s="73" t="str">
        <f t="shared" si="2"/>
        <v>Closed</v>
      </c>
      <c r="D145" s="45" t="s">
        <v>1000</v>
      </c>
      <c r="E145" s="54" t="s">
        <v>1001</v>
      </c>
      <c r="F145" s="5" t="s">
        <v>214</v>
      </c>
      <c r="G145" s="10">
        <f>DATE(2006,8,27)</f>
        <v>38956</v>
      </c>
      <c r="H145" s="35">
        <v>1.1041666666666667</v>
      </c>
      <c r="I145" s="5" t="s">
        <v>67</v>
      </c>
      <c r="J145" s="10" t="s">
        <v>1002</v>
      </c>
      <c r="K145" s="5" t="s">
        <v>216</v>
      </c>
      <c r="L145" s="5" t="s">
        <v>1003</v>
      </c>
      <c r="M145" s="5" t="s">
        <v>45</v>
      </c>
      <c r="N145" s="5">
        <v>0</v>
      </c>
      <c r="O145" s="5" t="s">
        <v>46</v>
      </c>
      <c r="P145" s="10" t="s">
        <v>362</v>
      </c>
      <c r="Q145" s="10" t="s">
        <v>218</v>
      </c>
      <c r="R145" s="10" t="s">
        <v>219</v>
      </c>
      <c r="S145" s="5">
        <v>0</v>
      </c>
      <c r="T145" s="37" t="s">
        <v>50</v>
      </c>
      <c r="U145" s="5">
        <v>0</v>
      </c>
      <c r="V145" s="37" t="s">
        <v>50</v>
      </c>
      <c r="W145" s="5">
        <v>0</v>
      </c>
      <c r="X145" s="5">
        <v>0</v>
      </c>
      <c r="Y145" s="5">
        <v>0</v>
      </c>
      <c r="Z145" s="37" t="s">
        <v>50</v>
      </c>
      <c r="AA145" s="5">
        <v>0</v>
      </c>
      <c r="AB145" s="5">
        <v>0</v>
      </c>
      <c r="AC145" s="5">
        <v>0</v>
      </c>
      <c r="AD145" s="5">
        <v>0</v>
      </c>
      <c r="AE145" s="10" t="s">
        <v>50</v>
      </c>
      <c r="AF145" s="10" t="s">
        <v>50</v>
      </c>
      <c r="AG145" s="10" t="s">
        <v>114</v>
      </c>
      <c r="AH145" s="10" t="s">
        <v>50</v>
      </c>
      <c r="AI145" s="5">
        <v>8</v>
      </c>
      <c r="AJ145" s="10" t="s">
        <v>1004</v>
      </c>
      <c r="AK145" s="10" t="s">
        <v>1005</v>
      </c>
    </row>
    <row r="146" spans="1:37" ht="36.75" customHeight="1" x14ac:dyDescent="0.35">
      <c r="A146" s="5"/>
      <c r="B146" s="5" t="s">
        <v>37</v>
      </c>
      <c r="C146" s="73" t="str">
        <f t="shared" si="2"/>
        <v>Closed</v>
      </c>
      <c r="D146" s="45" t="s">
        <v>1006</v>
      </c>
      <c r="E146" s="54" t="s">
        <v>1007</v>
      </c>
      <c r="F146" s="5" t="s">
        <v>816</v>
      </c>
      <c r="G146" s="10">
        <f>DATE(2006,8,30)</f>
        <v>38959</v>
      </c>
      <c r="H146" s="35">
        <v>1.4152777777777779</v>
      </c>
      <c r="I146" s="5" t="s">
        <v>137</v>
      </c>
      <c r="J146" s="10" t="s">
        <v>1008</v>
      </c>
      <c r="K146" s="5" t="s">
        <v>818</v>
      </c>
      <c r="L146" s="5" t="s">
        <v>1009</v>
      </c>
      <c r="M146" s="5" t="s">
        <v>45</v>
      </c>
      <c r="N146" s="5">
        <v>0</v>
      </c>
      <c r="O146" s="5" t="s">
        <v>46</v>
      </c>
      <c r="P146" s="10" t="s">
        <v>146</v>
      </c>
      <c r="Q146" s="10" t="s">
        <v>820</v>
      </c>
      <c r="R146" s="10" t="s">
        <v>821</v>
      </c>
      <c r="S146" s="5">
        <v>0</v>
      </c>
      <c r="T146" s="37">
        <v>0</v>
      </c>
      <c r="U146" s="5">
        <v>0</v>
      </c>
      <c r="V146" s="37">
        <v>0</v>
      </c>
      <c r="W146" s="5">
        <v>0</v>
      </c>
      <c r="X146" s="5">
        <v>0</v>
      </c>
      <c r="Y146" s="5">
        <v>1</v>
      </c>
      <c r="Z146" s="37">
        <v>1</v>
      </c>
      <c r="AA146" s="5">
        <v>0</v>
      </c>
      <c r="AB146" s="5">
        <v>0</v>
      </c>
      <c r="AC146" s="5">
        <v>1</v>
      </c>
      <c r="AD146" s="5">
        <v>3</v>
      </c>
      <c r="AE146" s="10" t="s">
        <v>50</v>
      </c>
      <c r="AF146" s="10" t="s">
        <v>1010</v>
      </c>
      <c r="AG146" s="10" t="s">
        <v>114</v>
      </c>
      <c r="AH146" s="10" t="s">
        <v>50</v>
      </c>
      <c r="AI146" s="5">
        <v>0</v>
      </c>
      <c r="AJ146" s="10" t="s">
        <v>50</v>
      </c>
      <c r="AK146" s="10" t="s">
        <v>50</v>
      </c>
    </row>
    <row r="147" spans="1:37" ht="36.75" customHeight="1" x14ac:dyDescent="0.35">
      <c r="A147" s="5"/>
      <c r="B147" s="5" t="s">
        <v>37</v>
      </c>
      <c r="C147" s="73" t="str">
        <f t="shared" si="2"/>
        <v>Closed</v>
      </c>
      <c r="D147" s="45" t="s">
        <v>1011</v>
      </c>
      <c r="E147" s="54" t="s">
        <v>1012</v>
      </c>
      <c r="F147" s="5" t="s">
        <v>178</v>
      </c>
      <c r="G147" s="10">
        <f>DATE(2006,8,31)</f>
        <v>38960</v>
      </c>
      <c r="H147" s="35">
        <v>1.6388888888888888</v>
      </c>
      <c r="I147" s="5" t="s">
        <v>55</v>
      </c>
      <c r="J147" s="10" t="s">
        <v>1013</v>
      </c>
      <c r="K147" s="5" t="s">
        <v>181</v>
      </c>
      <c r="L147" s="5" t="s">
        <v>1014</v>
      </c>
      <c r="M147" s="5" t="s">
        <v>45</v>
      </c>
      <c r="N147" s="5">
        <v>0</v>
      </c>
      <c r="O147" s="5" t="s">
        <v>46</v>
      </c>
      <c r="P147" s="10" t="s">
        <v>60</v>
      </c>
      <c r="Q147" s="10" t="s">
        <v>183</v>
      </c>
      <c r="R147" s="10" t="s">
        <v>184</v>
      </c>
      <c r="S147" s="5">
        <v>0</v>
      </c>
      <c r="T147" s="37" t="s">
        <v>50</v>
      </c>
      <c r="U147" s="5">
        <v>0</v>
      </c>
      <c r="V147" s="37" t="s">
        <v>50</v>
      </c>
      <c r="W147" s="5">
        <v>0</v>
      </c>
      <c r="X147" s="5">
        <v>0</v>
      </c>
      <c r="Y147" s="5">
        <v>0</v>
      </c>
      <c r="Z147" s="37" t="s">
        <v>50</v>
      </c>
      <c r="AA147" s="5">
        <v>0</v>
      </c>
      <c r="AB147" s="5">
        <v>0</v>
      </c>
      <c r="AC147" s="5">
        <v>0</v>
      </c>
      <c r="AD147" s="5">
        <v>0</v>
      </c>
      <c r="AE147" s="10" t="s">
        <v>50</v>
      </c>
      <c r="AF147" s="10" t="s">
        <v>1015</v>
      </c>
      <c r="AG147" s="10" t="s">
        <v>64</v>
      </c>
      <c r="AH147" s="10" t="s">
        <v>50</v>
      </c>
      <c r="AI147" s="5">
        <v>0</v>
      </c>
      <c r="AJ147" s="10" t="s">
        <v>50</v>
      </c>
      <c r="AK147" s="10" t="s">
        <v>50</v>
      </c>
    </row>
    <row r="148" spans="1:37" ht="36.75" customHeight="1" x14ac:dyDescent="0.35">
      <c r="A148" s="5"/>
      <c r="B148" s="5" t="s">
        <v>37</v>
      </c>
      <c r="C148" s="73" t="str">
        <f t="shared" si="2"/>
        <v>Closed</v>
      </c>
      <c r="D148" s="45" t="s">
        <v>1016</v>
      </c>
      <c r="E148" s="54" t="s">
        <v>1017</v>
      </c>
      <c r="F148" s="5" t="s">
        <v>619</v>
      </c>
      <c r="G148" s="10">
        <f>DATE(2006,9,5)</f>
        <v>38965</v>
      </c>
      <c r="H148" s="35">
        <v>1.6756944444444444</v>
      </c>
      <c r="I148" s="5" t="s">
        <v>259</v>
      </c>
      <c r="J148" s="10" t="s">
        <v>1018</v>
      </c>
      <c r="K148" s="5" t="s">
        <v>621</v>
      </c>
      <c r="L148" s="5" t="s">
        <v>1019</v>
      </c>
      <c r="M148" s="5" t="s">
        <v>45</v>
      </c>
      <c r="N148" s="5">
        <v>0</v>
      </c>
      <c r="O148" s="5" t="s">
        <v>46</v>
      </c>
      <c r="P148" s="10" t="s">
        <v>146</v>
      </c>
      <c r="Q148" s="10" t="s">
        <v>623</v>
      </c>
      <c r="R148" s="10" t="s">
        <v>624</v>
      </c>
      <c r="S148" s="5">
        <v>0</v>
      </c>
      <c r="T148" s="37">
        <v>0</v>
      </c>
      <c r="U148" s="5">
        <v>0</v>
      </c>
      <c r="V148" s="37">
        <v>1</v>
      </c>
      <c r="W148" s="5">
        <v>0</v>
      </c>
      <c r="X148" s="5">
        <v>1</v>
      </c>
      <c r="Y148" s="5">
        <v>0</v>
      </c>
      <c r="Z148" s="37">
        <v>0</v>
      </c>
      <c r="AA148" s="5">
        <v>0</v>
      </c>
      <c r="AB148" s="5">
        <v>0</v>
      </c>
      <c r="AC148" s="5">
        <v>0</v>
      </c>
      <c r="AD148" s="5">
        <v>0</v>
      </c>
      <c r="AE148" s="10" t="s">
        <v>50</v>
      </c>
      <c r="AF148" s="10" t="s">
        <v>50</v>
      </c>
      <c r="AG148" s="10" t="s">
        <v>229</v>
      </c>
      <c r="AH148" s="10" t="s">
        <v>50</v>
      </c>
      <c r="AI148" s="5">
        <v>1</v>
      </c>
      <c r="AJ148" s="10" t="s">
        <v>50</v>
      </c>
      <c r="AK148" s="10" t="s">
        <v>50</v>
      </c>
    </row>
    <row r="149" spans="1:37" ht="36.75" customHeight="1" x14ac:dyDescent="0.35">
      <c r="A149" s="5"/>
      <c r="B149" s="5" t="s">
        <v>37</v>
      </c>
      <c r="C149" s="73" t="str">
        <f t="shared" si="2"/>
        <v>Closed</v>
      </c>
      <c r="D149" s="91" t="s">
        <v>1020</v>
      </c>
      <c r="E149" s="54" t="s">
        <v>1021</v>
      </c>
      <c r="F149" s="5" t="s">
        <v>575</v>
      </c>
      <c r="G149" s="10">
        <f>DATE(2006,9,6)</f>
        <v>38966</v>
      </c>
      <c r="H149" s="35">
        <v>1.1909722222222223</v>
      </c>
      <c r="I149" s="5" t="s">
        <v>1022</v>
      </c>
      <c r="J149" s="10" t="s">
        <v>1023</v>
      </c>
      <c r="K149" s="5" t="s">
        <v>577</v>
      </c>
      <c r="L149" s="5" t="s">
        <v>1024</v>
      </c>
      <c r="M149" s="5" t="s">
        <v>45</v>
      </c>
      <c r="N149" s="5" t="s">
        <v>1025</v>
      </c>
      <c r="O149" s="5" t="s">
        <v>46</v>
      </c>
      <c r="P149" s="10" t="s">
        <v>60</v>
      </c>
      <c r="Q149" s="10" t="s">
        <v>1026</v>
      </c>
      <c r="R149" s="10" t="s">
        <v>580</v>
      </c>
      <c r="S149" s="5">
        <v>0</v>
      </c>
      <c r="T149" s="5">
        <v>0</v>
      </c>
      <c r="U149" s="5">
        <v>0</v>
      </c>
      <c r="V149" s="5">
        <v>0</v>
      </c>
      <c r="W149" s="5">
        <v>0</v>
      </c>
      <c r="X149" s="5">
        <v>0</v>
      </c>
      <c r="Y149" s="5">
        <v>0</v>
      </c>
      <c r="Z149" s="5">
        <v>0</v>
      </c>
      <c r="AA149" s="5">
        <v>0</v>
      </c>
      <c r="AB149" s="5">
        <v>0</v>
      </c>
      <c r="AC149" s="5">
        <v>0</v>
      </c>
      <c r="AD149" s="5">
        <v>0</v>
      </c>
      <c r="AE149" s="10" t="s">
        <v>1027</v>
      </c>
      <c r="AF149" s="10" t="s">
        <v>1028</v>
      </c>
      <c r="AG149" s="10" t="s">
        <v>114</v>
      </c>
      <c r="AH149" s="10" t="s">
        <v>50</v>
      </c>
      <c r="AI149" s="5"/>
      <c r="AJ149" s="10" t="s">
        <v>50</v>
      </c>
      <c r="AK149" s="10" t="s">
        <v>50</v>
      </c>
    </row>
    <row r="150" spans="1:37" ht="36.75" customHeight="1" x14ac:dyDescent="0.35">
      <c r="A150" s="5"/>
      <c r="B150" s="5" t="s">
        <v>37</v>
      </c>
      <c r="C150" s="73" t="str">
        <f t="shared" si="2"/>
        <v>Closed</v>
      </c>
      <c r="D150" s="45" t="s">
        <v>1029</v>
      </c>
      <c r="E150" s="54" t="s">
        <v>1030</v>
      </c>
      <c r="F150" s="5" t="s">
        <v>432</v>
      </c>
      <c r="G150" s="10">
        <f>DATE(2006,9,8)</f>
        <v>38968</v>
      </c>
      <c r="H150" s="35">
        <v>1.7611111111111111</v>
      </c>
      <c r="I150" s="5" t="s">
        <v>97</v>
      </c>
      <c r="J150" s="10" t="s">
        <v>1031</v>
      </c>
      <c r="K150" s="5" t="s">
        <v>434</v>
      </c>
      <c r="L150" s="5" t="s">
        <v>1032</v>
      </c>
      <c r="M150" s="5" t="s">
        <v>45</v>
      </c>
      <c r="N150" s="5">
        <v>0</v>
      </c>
      <c r="O150" s="5" t="s">
        <v>59</v>
      </c>
      <c r="P150" s="10" t="s">
        <v>47</v>
      </c>
      <c r="Q150" s="10" t="s">
        <v>552</v>
      </c>
      <c r="R150" s="10" t="s">
        <v>553</v>
      </c>
      <c r="S150" s="5">
        <v>0</v>
      </c>
      <c r="T150" s="37" t="s">
        <v>50</v>
      </c>
      <c r="U150" s="5">
        <v>0</v>
      </c>
      <c r="V150" s="37" t="s">
        <v>50</v>
      </c>
      <c r="W150" s="5">
        <v>0</v>
      </c>
      <c r="X150" s="5">
        <v>0</v>
      </c>
      <c r="Y150" s="5">
        <v>0</v>
      </c>
      <c r="Z150" s="37" t="s">
        <v>50</v>
      </c>
      <c r="AA150" s="5">
        <v>0</v>
      </c>
      <c r="AB150" s="5">
        <v>0</v>
      </c>
      <c r="AC150" s="5">
        <v>0</v>
      </c>
      <c r="AD150" s="5">
        <v>0</v>
      </c>
      <c r="AE150" s="10" t="s">
        <v>50</v>
      </c>
      <c r="AF150" s="10" t="s">
        <v>1033</v>
      </c>
      <c r="AG150" s="10" t="s">
        <v>114</v>
      </c>
      <c r="AH150" s="10" t="s">
        <v>50</v>
      </c>
      <c r="AI150" s="5">
        <v>0</v>
      </c>
      <c r="AJ150" s="10" t="s">
        <v>50</v>
      </c>
      <c r="AK150" s="10" t="s">
        <v>50</v>
      </c>
    </row>
    <row r="151" spans="1:37" ht="36.75" customHeight="1" x14ac:dyDescent="0.35">
      <c r="A151" s="5"/>
      <c r="B151" s="5" t="s">
        <v>37</v>
      </c>
      <c r="C151" s="73" t="str">
        <f t="shared" si="2"/>
        <v>Closed</v>
      </c>
      <c r="D151" s="45" t="s">
        <v>1034</v>
      </c>
      <c r="E151" s="54" t="s">
        <v>1035</v>
      </c>
      <c r="F151" s="5" t="s">
        <v>214</v>
      </c>
      <c r="G151" s="10">
        <f>DATE(2006,9,8)</f>
        <v>38968</v>
      </c>
      <c r="H151" s="35">
        <v>1.6666666666666665</v>
      </c>
      <c r="I151" s="5" t="s">
        <v>55</v>
      </c>
      <c r="J151" s="10" t="s">
        <v>1036</v>
      </c>
      <c r="K151" s="5" t="s">
        <v>216</v>
      </c>
      <c r="L151" s="5" t="s">
        <v>1037</v>
      </c>
      <c r="M151" s="5" t="s">
        <v>45</v>
      </c>
      <c r="N151" s="5">
        <v>0</v>
      </c>
      <c r="O151" s="5" t="s">
        <v>46</v>
      </c>
      <c r="P151" s="10" t="s">
        <v>60</v>
      </c>
      <c r="Q151" s="10" t="s">
        <v>218</v>
      </c>
      <c r="R151" s="10" t="s">
        <v>219</v>
      </c>
      <c r="S151" s="5">
        <v>0</v>
      </c>
      <c r="T151" s="37" t="s">
        <v>50</v>
      </c>
      <c r="U151" s="5">
        <v>0</v>
      </c>
      <c r="V151" s="37" t="s">
        <v>50</v>
      </c>
      <c r="W151" s="5">
        <v>0</v>
      </c>
      <c r="X151" s="5">
        <v>0</v>
      </c>
      <c r="Y151" s="5">
        <v>0</v>
      </c>
      <c r="Z151" s="37" t="s">
        <v>50</v>
      </c>
      <c r="AA151" s="5">
        <v>0</v>
      </c>
      <c r="AB151" s="5">
        <v>0</v>
      </c>
      <c r="AC151" s="5">
        <v>0</v>
      </c>
      <c r="AD151" s="5">
        <v>0</v>
      </c>
      <c r="AE151" s="10" t="s">
        <v>50</v>
      </c>
      <c r="AF151" s="10" t="s">
        <v>1038</v>
      </c>
      <c r="AG151" s="10" t="s">
        <v>114</v>
      </c>
      <c r="AH151" s="10" t="s">
        <v>50</v>
      </c>
      <c r="AI151" s="5">
        <v>4</v>
      </c>
      <c r="AJ151" s="10" t="s">
        <v>1039</v>
      </c>
      <c r="AK151" s="10" t="s">
        <v>1040</v>
      </c>
    </row>
    <row r="152" spans="1:37" ht="36.75" customHeight="1" x14ac:dyDescent="0.35">
      <c r="A152" s="5"/>
      <c r="B152" s="5" t="s">
        <v>37</v>
      </c>
      <c r="C152" s="73" t="str">
        <f t="shared" si="2"/>
        <v>Closed</v>
      </c>
      <c r="D152" s="45" t="s">
        <v>1041</v>
      </c>
      <c r="E152" s="54" t="s">
        <v>1042</v>
      </c>
      <c r="F152" s="5" t="s">
        <v>816</v>
      </c>
      <c r="G152" s="10">
        <f>DATE(2006,9,9)</f>
        <v>38969</v>
      </c>
      <c r="H152" s="35">
        <v>1.4708333333333334</v>
      </c>
      <c r="I152" s="5" t="s">
        <v>97</v>
      </c>
      <c r="J152" s="10" t="s">
        <v>1043</v>
      </c>
      <c r="K152" s="5" t="s">
        <v>818</v>
      </c>
      <c r="L152" s="5" t="s">
        <v>1044</v>
      </c>
      <c r="M152" s="5" t="s">
        <v>45</v>
      </c>
      <c r="N152" s="5">
        <v>0</v>
      </c>
      <c r="O152" s="5" t="s">
        <v>46</v>
      </c>
      <c r="P152" s="10" t="s">
        <v>67</v>
      </c>
      <c r="Q152" s="10" t="s">
        <v>820</v>
      </c>
      <c r="R152" s="10" t="s">
        <v>821</v>
      </c>
      <c r="S152" s="5">
        <v>0</v>
      </c>
      <c r="T152" s="37">
        <v>0</v>
      </c>
      <c r="U152" s="5">
        <v>0</v>
      </c>
      <c r="V152" s="37">
        <v>0</v>
      </c>
      <c r="W152" s="5">
        <v>0</v>
      </c>
      <c r="X152" s="5">
        <v>0</v>
      </c>
      <c r="Y152" s="5">
        <v>0</v>
      </c>
      <c r="Z152" s="37">
        <v>0</v>
      </c>
      <c r="AA152" s="5">
        <v>1</v>
      </c>
      <c r="AB152" s="5">
        <v>0</v>
      </c>
      <c r="AC152" s="5">
        <v>0</v>
      </c>
      <c r="AD152" s="5">
        <v>1</v>
      </c>
      <c r="AE152" s="10" t="s">
        <v>50</v>
      </c>
      <c r="AF152" s="10" t="s">
        <v>1045</v>
      </c>
      <c r="AG152" s="10" t="s">
        <v>333</v>
      </c>
      <c r="AH152" s="10" t="s">
        <v>50</v>
      </c>
      <c r="AI152" s="5">
        <v>1</v>
      </c>
      <c r="AJ152" s="10" t="s">
        <v>50</v>
      </c>
      <c r="AK152" s="10" t="s">
        <v>50</v>
      </c>
    </row>
    <row r="153" spans="1:37" ht="36.75" customHeight="1" x14ac:dyDescent="0.35">
      <c r="A153" s="5"/>
      <c r="B153" s="5" t="s">
        <v>37</v>
      </c>
      <c r="C153" s="73" t="str">
        <f t="shared" si="2"/>
        <v>Closed</v>
      </c>
      <c r="D153" s="45" t="s">
        <v>1046</v>
      </c>
      <c r="E153" s="54" t="s">
        <v>1047</v>
      </c>
      <c r="F153" s="5" t="s">
        <v>214</v>
      </c>
      <c r="G153" s="10">
        <f>DATE(2006,9,11)</f>
        <v>38971</v>
      </c>
      <c r="H153" s="35">
        <v>1.9652777777777777</v>
      </c>
      <c r="I153" s="5" t="s">
        <v>55</v>
      </c>
      <c r="J153" s="10" t="s">
        <v>1048</v>
      </c>
      <c r="K153" s="5" t="s">
        <v>216</v>
      </c>
      <c r="L153" s="5" t="s">
        <v>1049</v>
      </c>
      <c r="M153" s="5" t="s">
        <v>45</v>
      </c>
      <c r="N153" s="5">
        <v>0</v>
      </c>
      <c r="O153" s="5" t="s">
        <v>46</v>
      </c>
      <c r="P153" s="10" t="s">
        <v>146</v>
      </c>
      <c r="Q153" s="10" t="s">
        <v>332</v>
      </c>
      <c r="R153" s="10" t="s">
        <v>219</v>
      </c>
      <c r="S153" s="5">
        <v>0</v>
      </c>
      <c r="T153" s="37" t="s">
        <v>50</v>
      </c>
      <c r="U153" s="5">
        <v>0</v>
      </c>
      <c r="V153" s="37" t="s">
        <v>50</v>
      </c>
      <c r="W153" s="5">
        <v>0</v>
      </c>
      <c r="X153" s="5">
        <v>0</v>
      </c>
      <c r="Y153" s="5">
        <v>0</v>
      </c>
      <c r="Z153" s="37" t="s">
        <v>50</v>
      </c>
      <c r="AA153" s="5">
        <v>0</v>
      </c>
      <c r="AB153" s="5">
        <v>0</v>
      </c>
      <c r="AC153" s="5">
        <v>0</v>
      </c>
      <c r="AD153" s="5">
        <v>0</v>
      </c>
      <c r="AE153" s="10" t="s">
        <v>50</v>
      </c>
      <c r="AF153" s="10" t="s">
        <v>1050</v>
      </c>
      <c r="AG153" s="10" t="s">
        <v>114</v>
      </c>
      <c r="AH153" s="10" t="s">
        <v>50</v>
      </c>
      <c r="AI153" s="5">
        <v>0</v>
      </c>
      <c r="AJ153" s="10" t="s">
        <v>50</v>
      </c>
      <c r="AK153" s="10" t="s">
        <v>50</v>
      </c>
    </row>
    <row r="154" spans="1:37" ht="36.75" customHeight="1" x14ac:dyDescent="0.35">
      <c r="A154" s="5"/>
      <c r="B154" s="5" t="s">
        <v>37</v>
      </c>
      <c r="C154" s="73" t="str">
        <f t="shared" si="2"/>
        <v>Closed</v>
      </c>
      <c r="D154" s="45" t="s">
        <v>1051</v>
      </c>
      <c r="E154" s="54" t="s">
        <v>1052</v>
      </c>
      <c r="F154" s="5" t="s">
        <v>214</v>
      </c>
      <c r="G154" s="10">
        <f>DATE(2006,9,12)</f>
        <v>38972</v>
      </c>
      <c r="H154" s="35">
        <v>1.25</v>
      </c>
      <c r="I154" s="5" t="s">
        <v>137</v>
      </c>
      <c r="J154" s="10" t="s">
        <v>1053</v>
      </c>
      <c r="K154" s="5" t="s">
        <v>216</v>
      </c>
      <c r="L154" s="5" t="s">
        <v>1054</v>
      </c>
      <c r="M154" s="5" t="s">
        <v>45</v>
      </c>
      <c r="N154" s="5">
        <v>0</v>
      </c>
      <c r="O154" s="5" t="s">
        <v>46</v>
      </c>
      <c r="P154" s="10" t="s">
        <v>146</v>
      </c>
      <c r="Q154" s="10" t="s">
        <v>1055</v>
      </c>
      <c r="R154" s="10" t="s">
        <v>219</v>
      </c>
      <c r="S154" s="5">
        <v>0</v>
      </c>
      <c r="T154" s="37" t="s">
        <v>50</v>
      </c>
      <c r="U154" s="5">
        <v>0</v>
      </c>
      <c r="V154" s="37" t="s">
        <v>50</v>
      </c>
      <c r="W154" s="5">
        <v>0</v>
      </c>
      <c r="X154" s="5">
        <v>0</v>
      </c>
      <c r="Y154" s="5">
        <v>0</v>
      </c>
      <c r="Z154" s="37" t="s">
        <v>50</v>
      </c>
      <c r="AA154" s="5">
        <v>0</v>
      </c>
      <c r="AB154" s="5">
        <v>0</v>
      </c>
      <c r="AC154" s="5">
        <v>0</v>
      </c>
      <c r="AD154" s="5">
        <v>0</v>
      </c>
      <c r="AE154" s="10" t="s">
        <v>50</v>
      </c>
      <c r="AF154" s="10" t="s">
        <v>1056</v>
      </c>
      <c r="AG154" s="10" t="s">
        <v>114</v>
      </c>
      <c r="AH154" s="10" t="s">
        <v>50</v>
      </c>
      <c r="AI154" s="5">
        <v>10</v>
      </c>
      <c r="AJ154" s="10" t="s">
        <v>1057</v>
      </c>
      <c r="AK154" s="10" t="s">
        <v>1058</v>
      </c>
    </row>
    <row r="155" spans="1:37" ht="36.75" customHeight="1" x14ac:dyDescent="0.35">
      <c r="A155" s="5"/>
      <c r="B155" s="5" t="s">
        <v>37</v>
      </c>
      <c r="C155" s="73" t="str">
        <f t="shared" si="2"/>
        <v>Closed</v>
      </c>
      <c r="D155" s="45" t="s">
        <v>1059</v>
      </c>
      <c r="E155" s="54" t="s">
        <v>1060</v>
      </c>
      <c r="F155" s="5" t="s">
        <v>214</v>
      </c>
      <c r="G155" s="10">
        <f>DATE(2006,9,12)</f>
        <v>38972</v>
      </c>
      <c r="H155" s="35">
        <v>1.8208333333333333</v>
      </c>
      <c r="I155" s="5" t="s">
        <v>55</v>
      </c>
      <c r="J155" s="10" t="s">
        <v>1061</v>
      </c>
      <c r="K155" s="5" t="s">
        <v>216</v>
      </c>
      <c r="L155" s="5" t="s">
        <v>1062</v>
      </c>
      <c r="M155" s="5" t="s">
        <v>45</v>
      </c>
      <c r="N155" s="5">
        <v>0</v>
      </c>
      <c r="O155" s="5" t="s">
        <v>46</v>
      </c>
      <c r="P155" s="10" t="s">
        <v>146</v>
      </c>
      <c r="Q155" s="10" t="s">
        <v>1063</v>
      </c>
      <c r="R155" s="10" t="s">
        <v>219</v>
      </c>
      <c r="S155" s="5">
        <v>0</v>
      </c>
      <c r="T155" s="37" t="s">
        <v>50</v>
      </c>
      <c r="U155" s="5">
        <v>0</v>
      </c>
      <c r="V155" s="37" t="s">
        <v>50</v>
      </c>
      <c r="W155" s="5">
        <v>0</v>
      </c>
      <c r="X155" s="5">
        <v>0</v>
      </c>
      <c r="Y155" s="5">
        <v>0</v>
      </c>
      <c r="Z155" s="37" t="s">
        <v>50</v>
      </c>
      <c r="AA155" s="5">
        <v>0</v>
      </c>
      <c r="AB155" s="5">
        <v>0</v>
      </c>
      <c r="AC155" s="5">
        <v>0</v>
      </c>
      <c r="AD155" s="5">
        <v>0</v>
      </c>
      <c r="AE155" s="10" t="s">
        <v>50</v>
      </c>
      <c r="AF155" s="10" t="s">
        <v>50</v>
      </c>
      <c r="AG155" s="10" t="s">
        <v>114</v>
      </c>
      <c r="AH155" s="10" t="s">
        <v>50</v>
      </c>
      <c r="AI155" s="5">
        <v>3</v>
      </c>
      <c r="AJ155" s="10" t="s">
        <v>1064</v>
      </c>
      <c r="AK155" s="10" t="s">
        <v>1065</v>
      </c>
    </row>
    <row r="156" spans="1:37" ht="36.75" customHeight="1" x14ac:dyDescent="0.35">
      <c r="A156" s="5"/>
      <c r="B156" s="5" t="s">
        <v>37</v>
      </c>
      <c r="C156" s="73" t="str">
        <f t="shared" si="2"/>
        <v>Closed</v>
      </c>
      <c r="D156" s="45" t="s">
        <v>1066</v>
      </c>
      <c r="E156" s="54" t="s">
        <v>1067</v>
      </c>
      <c r="F156" s="5" t="s">
        <v>432</v>
      </c>
      <c r="G156" s="10">
        <f>DATE(2006,9,14)</f>
        <v>38974</v>
      </c>
      <c r="H156" s="35">
        <v>1.8125</v>
      </c>
      <c r="I156" s="5" t="s">
        <v>67</v>
      </c>
      <c r="J156" s="10" t="s">
        <v>1068</v>
      </c>
      <c r="K156" s="5" t="s">
        <v>434</v>
      </c>
      <c r="L156" s="5" t="s">
        <v>1069</v>
      </c>
      <c r="M156" s="5" t="s">
        <v>45</v>
      </c>
      <c r="N156" s="5" t="s">
        <v>123</v>
      </c>
      <c r="O156" s="5" t="s">
        <v>46</v>
      </c>
      <c r="P156" s="10" t="s">
        <v>443</v>
      </c>
      <c r="Q156" s="10" t="s">
        <v>552</v>
      </c>
      <c r="R156" s="10" t="s">
        <v>553</v>
      </c>
      <c r="S156" s="5">
        <v>0</v>
      </c>
      <c r="T156" s="37">
        <v>0</v>
      </c>
      <c r="U156" s="5">
        <v>0</v>
      </c>
      <c r="V156" s="37">
        <v>0</v>
      </c>
      <c r="W156" s="5">
        <v>0</v>
      </c>
      <c r="X156" s="5">
        <v>0</v>
      </c>
      <c r="Y156" s="5">
        <v>0</v>
      </c>
      <c r="Z156" s="37">
        <v>0</v>
      </c>
      <c r="AA156" s="5">
        <v>0</v>
      </c>
      <c r="AB156" s="5">
        <v>0</v>
      </c>
      <c r="AC156" s="5">
        <v>0</v>
      </c>
      <c r="AD156" s="5">
        <v>0</v>
      </c>
      <c r="AE156" s="10" t="s">
        <v>73</v>
      </c>
      <c r="AF156" s="10" t="s">
        <v>50</v>
      </c>
      <c r="AG156" s="10" t="s">
        <v>51</v>
      </c>
      <c r="AH156" s="10" t="s">
        <v>50</v>
      </c>
      <c r="AI156" s="5">
        <v>2</v>
      </c>
      <c r="AJ156" s="10" t="s">
        <v>1070</v>
      </c>
      <c r="AK156" s="10" t="s">
        <v>50</v>
      </c>
    </row>
    <row r="157" spans="1:37" ht="36.75" customHeight="1" x14ac:dyDescent="0.35">
      <c r="A157" s="5"/>
      <c r="B157" s="5" t="s">
        <v>37</v>
      </c>
      <c r="C157" s="73" t="str">
        <f t="shared" si="2"/>
        <v>Closed</v>
      </c>
      <c r="D157" s="45" t="s">
        <v>1071</v>
      </c>
      <c r="E157" s="54" t="s">
        <v>1072</v>
      </c>
      <c r="F157" s="5" t="s">
        <v>619</v>
      </c>
      <c r="G157" s="10">
        <f>DATE(2006,9,16)</f>
        <v>38976</v>
      </c>
      <c r="H157" s="35">
        <v>1.0305555555555554</v>
      </c>
      <c r="I157" s="5" t="s">
        <v>259</v>
      </c>
      <c r="J157" s="10" t="s">
        <v>1073</v>
      </c>
      <c r="K157" s="5" t="s">
        <v>621</v>
      </c>
      <c r="L157" s="5" t="s">
        <v>1074</v>
      </c>
      <c r="M157" s="5" t="s">
        <v>45</v>
      </c>
      <c r="N157" s="5">
        <v>0</v>
      </c>
      <c r="O157" s="5" t="s">
        <v>46</v>
      </c>
      <c r="P157" s="10" t="s">
        <v>60</v>
      </c>
      <c r="Q157" s="10" t="s">
        <v>623</v>
      </c>
      <c r="R157" s="10" t="s">
        <v>624</v>
      </c>
      <c r="S157" s="5">
        <v>0</v>
      </c>
      <c r="T157" s="37">
        <v>1</v>
      </c>
      <c r="U157" s="5">
        <v>0</v>
      </c>
      <c r="V157" s="37">
        <v>0</v>
      </c>
      <c r="W157" s="5">
        <v>0</v>
      </c>
      <c r="X157" s="5">
        <v>1</v>
      </c>
      <c r="Y157" s="5">
        <v>0</v>
      </c>
      <c r="Z157" s="37">
        <v>1</v>
      </c>
      <c r="AA157" s="5">
        <v>0</v>
      </c>
      <c r="AB157" s="5">
        <v>0</v>
      </c>
      <c r="AC157" s="5">
        <v>0</v>
      </c>
      <c r="AD157" s="5">
        <v>1</v>
      </c>
      <c r="AE157" s="10" t="s">
        <v>50</v>
      </c>
      <c r="AF157" s="10" t="s">
        <v>1075</v>
      </c>
      <c r="AG157" s="10" t="s">
        <v>229</v>
      </c>
      <c r="AH157" s="10" t="s">
        <v>50</v>
      </c>
      <c r="AI157" s="5">
        <v>1</v>
      </c>
      <c r="AJ157" s="10" t="s">
        <v>50</v>
      </c>
      <c r="AK157" s="10" t="s">
        <v>50</v>
      </c>
    </row>
    <row r="158" spans="1:37" ht="36.75" customHeight="1" x14ac:dyDescent="0.35">
      <c r="A158" s="5"/>
      <c r="B158" s="5" t="s">
        <v>37</v>
      </c>
      <c r="C158" s="73" t="str">
        <f t="shared" si="2"/>
        <v>Closed</v>
      </c>
      <c r="D158" s="45" t="s">
        <v>1076</v>
      </c>
      <c r="E158" s="54" t="s">
        <v>1077</v>
      </c>
      <c r="F158" s="5" t="s">
        <v>816</v>
      </c>
      <c r="G158" s="10">
        <f>DATE(2006,9,16)</f>
        <v>38976</v>
      </c>
      <c r="H158" s="35">
        <v>1.3319444444444444</v>
      </c>
      <c r="I158" s="5" t="s">
        <v>85</v>
      </c>
      <c r="J158" s="10" t="s">
        <v>1078</v>
      </c>
      <c r="K158" s="5" t="s">
        <v>818</v>
      </c>
      <c r="L158" s="5" t="s">
        <v>1079</v>
      </c>
      <c r="M158" s="5" t="s">
        <v>45</v>
      </c>
      <c r="N158" s="5">
        <v>0</v>
      </c>
      <c r="O158" s="5" t="s">
        <v>59</v>
      </c>
      <c r="P158" s="10" t="s">
        <v>793</v>
      </c>
      <c r="Q158" s="10" t="s">
        <v>1080</v>
      </c>
      <c r="R158" s="10" t="s">
        <v>821</v>
      </c>
      <c r="S158" s="5">
        <v>0</v>
      </c>
      <c r="T158" s="37" t="s">
        <v>50</v>
      </c>
      <c r="U158" s="5">
        <v>0</v>
      </c>
      <c r="V158" s="37" t="s">
        <v>50</v>
      </c>
      <c r="W158" s="5">
        <v>0</v>
      </c>
      <c r="X158" s="5">
        <v>0</v>
      </c>
      <c r="Y158" s="5">
        <v>0</v>
      </c>
      <c r="Z158" s="37" t="s">
        <v>50</v>
      </c>
      <c r="AA158" s="5">
        <v>0</v>
      </c>
      <c r="AB158" s="5">
        <v>0</v>
      </c>
      <c r="AC158" s="5">
        <v>0</v>
      </c>
      <c r="AD158" s="5">
        <v>0</v>
      </c>
      <c r="AE158" s="10" t="s">
        <v>50</v>
      </c>
      <c r="AF158" s="10" t="s">
        <v>50</v>
      </c>
      <c r="AG158" s="10" t="s">
        <v>114</v>
      </c>
      <c r="AH158" s="10" t="s">
        <v>50</v>
      </c>
      <c r="AI158" s="5">
        <v>0</v>
      </c>
      <c r="AJ158" s="10" t="s">
        <v>50</v>
      </c>
      <c r="AK158" s="10" t="s">
        <v>50</v>
      </c>
    </row>
    <row r="159" spans="1:37" ht="36.75" customHeight="1" x14ac:dyDescent="0.35">
      <c r="A159" s="5"/>
      <c r="B159" s="5" t="s">
        <v>37</v>
      </c>
      <c r="C159" s="73" t="str">
        <f t="shared" si="2"/>
        <v>Closed</v>
      </c>
      <c r="D159" s="45" t="s">
        <v>1081</v>
      </c>
      <c r="E159" s="54" t="s">
        <v>1082</v>
      </c>
      <c r="F159" s="5" t="s">
        <v>619</v>
      </c>
      <c r="G159" s="10">
        <f>DATE(2006,9,22)</f>
        <v>38982</v>
      </c>
      <c r="H159" s="35">
        <v>1.8298611111111112</v>
      </c>
      <c r="I159" s="5" t="s">
        <v>259</v>
      </c>
      <c r="J159" s="10" t="s">
        <v>1083</v>
      </c>
      <c r="K159" s="5" t="s">
        <v>621</v>
      </c>
      <c r="L159" s="5" t="s">
        <v>1084</v>
      </c>
      <c r="M159" s="5" t="s">
        <v>45</v>
      </c>
      <c r="N159" s="5">
        <v>0</v>
      </c>
      <c r="O159" s="5" t="s">
        <v>59</v>
      </c>
      <c r="P159" s="10" t="s">
        <v>47</v>
      </c>
      <c r="Q159" s="10" t="s">
        <v>623</v>
      </c>
      <c r="R159" s="10" t="s">
        <v>624</v>
      </c>
      <c r="S159" s="5">
        <v>0</v>
      </c>
      <c r="T159" s="37">
        <v>0</v>
      </c>
      <c r="U159" s="5">
        <v>0</v>
      </c>
      <c r="V159" s="37">
        <v>1</v>
      </c>
      <c r="W159" s="5">
        <v>0</v>
      </c>
      <c r="X159" s="5">
        <v>1</v>
      </c>
      <c r="Y159" s="5">
        <v>0</v>
      </c>
      <c r="Z159" s="37">
        <v>0</v>
      </c>
      <c r="AA159" s="5">
        <v>0</v>
      </c>
      <c r="AB159" s="5">
        <v>0</v>
      </c>
      <c r="AC159" s="5">
        <v>0</v>
      </c>
      <c r="AD159" s="5">
        <v>0</v>
      </c>
      <c r="AE159" s="10" t="s">
        <v>50</v>
      </c>
      <c r="AF159" s="10" t="s">
        <v>50</v>
      </c>
      <c r="AG159" s="10" t="s">
        <v>229</v>
      </c>
      <c r="AH159" s="10" t="s">
        <v>50</v>
      </c>
      <c r="AI159" s="5">
        <v>1</v>
      </c>
      <c r="AJ159" s="10" t="s">
        <v>50</v>
      </c>
      <c r="AK159" s="10" t="s">
        <v>50</v>
      </c>
    </row>
    <row r="160" spans="1:37" ht="36.75" customHeight="1" x14ac:dyDescent="0.35">
      <c r="A160" s="5"/>
      <c r="B160" s="5" t="s">
        <v>37</v>
      </c>
      <c r="C160" s="73" t="str">
        <f t="shared" si="2"/>
        <v>Closed</v>
      </c>
      <c r="D160" s="45" t="s">
        <v>1085</v>
      </c>
      <c r="E160" s="54" t="s">
        <v>1086</v>
      </c>
      <c r="F160" s="5" t="s">
        <v>214</v>
      </c>
      <c r="G160" s="10">
        <f>DATE(2006,9,25)</f>
        <v>38985</v>
      </c>
      <c r="H160" s="35">
        <v>1.8715277777777777</v>
      </c>
      <c r="I160" s="5" t="s">
        <v>137</v>
      </c>
      <c r="J160" s="10" t="s">
        <v>1087</v>
      </c>
      <c r="K160" s="5" t="s">
        <v>216</v>
      </c>
      <c r="L160" s="5" t="s">
        <v>1088</v>
      </c>
      <c r="M160" s="5" t="s">
        <v>45</v>
      </c>
      <c r="N160" s="5">
        <v>0</v>
      </c>
      <c r="O160" s="5" t="s">
        <v>46</v>
      </c>
      <c r="P160" s="10" t="s">
        <v>146</v>
      </c>
      <c r="Q160" s="10" t="s">
        <v>1089</v>
      </c>
      <c r="R160" s="10" t="s">
        <v>219</v>
      </c>
      <c r="S160" s="5">
        <v>0</v>
      </c>
      <c r="T160" s="37">
        <v>0</v>
      </c>
      <c r="U160" s="5">
        <v>1</v>
      </c>
      <c r="V160" s="37">
        <v>0</v>
      </c>
      <c r="W160" s="5">
        <v>0</v>
      </c>
      <c r="X160" s="5">
        <v>1</v>
      </c>
      <c r="Y160" s="5">
        <v>0</v>
      </c>
      <c r="Z160" s="37">
        <v>0</v>
      </c>
      <c r="AA160" s="5">
        <v>0</v>
      </c>
      <c r="AB160" s="5">
        <v>0</v>
      </c>
      <c r="AC160" s="5">
        <v>0</v>
      </c>
      <c r="AD160" s="5">
        <v>0</v>
      </c>
      <c r="AE160" s="10" t="s">
        <v>50</v>
      </c>
      <c r="AF160" s="10" t="s">
        <v>1090</v>
      </c>
      <c r="AG160" s="10" t="s">
        <v>64</v>
      </c>
      <c r="AH160" s="10" t="s">
        <v>50</v>
      </c>
      <c r="AI160" s="5">
        <v>2</v>
      </c>
      <c r="AJ160" s="10" t="s">
        <v>1091</v>
      </c>
      <c r="AK160" s="10" t="s">
        <v>1092</v>
      </c>
    </row>
    <row r="161" spans="1:37" ht="36.75" customHeight="1" x14ac:dyDescent="0.35">
      <c r="A161" s="5"/>
      <c r="B161" s="5" t="s">
        <v>37</v>
      </c>
      <c r="C161" s="73" t="str">
        <f t="shared" si="2"/>
        <v>Closed</v>
      </c>
      <c r="D161" s="45" t="s">
        <v>1093</v>
      </c>
      <c r="E161" s="54" t="s">
        <v>1094</v>
      </c>
      <c r="F161" s="5" t="s">
        <v>575</v>
      </c>
      <c r="G161" s="10">
        <f>DATE(2006,9,26)</f>
        <v>38986</v>
      </c>
      <c r="H161" s="35">
        <v>1.8006944444444444</v>
      </c>
      <c r="I161" s="5" t="s">
        <v>259</v>
      </c>
      <c r="J161" s="10" t="s">
        <v>1095</v>
      </c>
      <c r="K161" s="5" t="s">
        <v>577</v>
      </c>
      <c r="L161" s="5" t="s">
        <v>1096</v>
      </c>
      <c r="M161" s="5" t="s">
        <v>45</v>
      </c>
      <c r="N161" s="5">
        <v>0</v>
      </c>
      <c r="O161" s="5" t="s">
        <v>46</v>
      </c>
      <c r="P161" s="10" t="s">
        <v>146</v>
      </c>
      <c r="Q161" s="10" t="s">
        <v>579</v>
      </c>
      <c r="R161" s="10" t="s">
        <v>580</v>
      </c>
      <c r="S161" s="5">
        <v>0</v>
      </c>
      <c r="T161" s="37" t="s">
        <v>50</v>
      </c>
      <c r="U161" s="5">
        <v>0</v>
      </c>
      <c r="V161" s="37">
        <v>1</v>
      </c>
      <c r="W161" s="5">
        <v>0</v>
      </c>
      <c r="X161" s="5">
        <v>1</v>
      </c>
      <c r="Y161" s="5">
        <v>0</v>
      </c>
      <c r="Z161" s="37" t="s">
        <v>50</v>
      </c>
      <c r="AA161" s="5">
        <v>0</v>
      </c>
      <c r="AB161" s="5">
        <v>1</v>
      </c>
      <c r="AC161" s="5">
        <v>0</v>
      </c>
      <c r="AD161" s="5">
        <v>1</v>
      </c>
      <c r="AE161" s="10" t="s">
        <v>50</v>
      </c>
      <c r="AF161" s="10" t="s">
        <v>50</v>
      </c>
      <c r="AG161" s="10" t="s">
        <v>64</v>
      </c>
      <c r="AH161" s="10" t="s">
        <v>50</v>
      </c>
      <c r="AI161" s="5">
        <v>0</v>
      </c>
      <c r="AJ161" s="10" t="s">
        <v>50</v>
      </c>
      <c r="AK161" s="10" t="s">
        <v>50</v>
      </c>
    </row>
    <row r="162" spans="1:37" ht="36.75" customHeight="1" x14ac:dyDescent="0.35">
      <c r="A162" s="5"/>
      <c r="B162" s="5" t="s">
        <v>37</v>
      </c>
      <c r="C162" s="73" t="str">
        <f t="shared" si="2"/>
        <v>Closed</v>
      </c>
      <c r="D162" s="45" t="s">
        <v>1097</v>
      </c>
      <c r="E162" s="54" t="s">
        <v>1098</v>
      </c>
      <c r="F162" s="5" t="s">
        <v>105</v>
      </c>
      <c r="G162" s="10">
        <f>DATE(2006,10,2)</f>
        <v>38992</v>
      </c>
      <c r="H162" s="35">
        <v>1.2930555555555556</v>
      </c>
      <c r="I162" s="5" t="s">
        <v>55</v>
      </c>
      <c r="J162" s="10" t="s">
        <v>1099</v>
      </c>
      <c r="K162" s="5" t="s">
        <v>108</v>
      </c>
      <c r="L162" s="5" t="s">
        <v>1100</v>
      </c>
      <c r="M162" s="5" t="s">
        <v>45</v>
      </c>
      <c r="N162" s="5">
        <v>0</v>
      </c>
      <c r="O162" s="5" t="s">
        <v>59</v>
      </c>
      <c r="P162" s="10" t="s">
        <v>146</v>
      </c>
      <c r="Q162" s="10" t="s">
        <v>210</v>
      </c>
      <c r="R162" s="10" t="s">
        <v>148</v>
      </c>
      <c r="S162" s="5">
        <v>0</v>
      </c>
      <c r="T162" s="37" t="s">
        <v>50</v>
      </c>
      <c r="U162" s="5">
        <v>0</v>
      </c>
      <c r="V162" s="37" t="s">
        <v>50</v>
      </c>
      <c r="W162" s="5">
        <v>0</v>
      </c>
      <c r="X162" s="5">
        <v>0</v>
      </c>
      <c r="Y162" s="5">
        <v>0</v>
      </c>
      <c r="Z162" s="37" t="s">
        <v>50</v>
      </c>
      <c r="AA162" s="5">
        <v>0</v>
      </c>
      <c r="AB162" s="5">
        <v>0</v>
      </c>
      <c r="AC162" s="5">
        <v>0</v>
      </c>
      <c r="AD162" s="5">
        <v>0</v>
      </c>
      <c r="AE162" s="10" t="s">
        <v>50</v>
      </c>
      <c r="AF162" s="10" t="s">
        <v>1101</v>
      </c>
      <c r="AG162" s="10" t="s">
        <v>114</v>
      </c>
      <c r="AH162" s="10" t="s">
        <v>50</v>
      </c>
      <c r="AI162" s="5">
        <v>2</v>
      </c>
      <c r="AJ162" s="10" t="s">
        <v>1102</v>
      </c>
      <c r="AK162" s="10" t="s">
        <v>1103</v>
      </c>
    </row>
    <row r="163" spans="1:37" ht="36.75" customHeight="1" x14ac:dyDescent="0.35">
      <c r="A163" s="5"/>
      <c r="B163" s="5" t="s">
        <v>37</v>
      </c>
      <c r="C163" s="73" t="str">
        <f t="shared" si="2"/>
        <v>Closed</v>
      </c>
      <c r="D163" s="45" t="s">
        <v>1104</v>
      </c>
      <c r="E163" s="54" t="s">
        <v>1105</v>
      </c>
      <c r="F163" s="5" t="s">
        <v>404</v>
      </c>
      <c r="G163" s="10">
        <f>DATE(2006,10,3)</f>
        <v>38993</v>
      </c>
      <c r="H163" s="35">
        <v>1.7395833333333335</v>
      </c>
      <c r="I163" s="5" t="s">
        <v>97</v>
      </c>
      <c r="J163" s="10" t="s">
        <v>1106</v>
      </c>
      <c r="K163" s="5" t="s">
        <v>406</v>
      </c>
      <c r="L163" s="5" t="s">
        <v>1107</v>
      </c>
      <c r="M163" s="5" t="s">
        <v>45</v>
      </c>
      <c r="N163" s="5">
        <v>0</v>
      </c>
      <c r="O163" s="5" t="s">
        <v>46</v>
      </c>
      <c r="P163" s="10" t="s">
        <v>47</v>
      </c>
      <c r="Q163" s="10" t="s">
        <v>408</v>
      </c>
      <c r="R163" s="10" t="s">
        <v>408</v>
      </c>
      <c r="S163" s="5">
        <v>0</v>
      </c>
      <c r="T163" s="37">
        <v>0</v>
      </c>
      <c r="U163" s="5">
        <v>2</v>
      </c>
      <c r="V163" s="37">
        <v>0</v>
      </c>
      <c r="W163" s="5">
        <v>0</v>
      </c>
      <c r="X163" s="5">
        <v>2</v>
      </c>
      <c r="Y163" s="5">
        <v>0</v>
      </c>
      <c r="Z163" s="37">
        <v>0</v>
      </c>
      <c r="AA163" s="5">
        <v>0</v>
      </c>
      <c r="AB163" s="5">
        <v>0</v>
      </c>
      <c r="AC163" s="5">
        <v>0</v>
      </c>
      <c r="AD163" s="5">
        <v>0</v>
      </c>
      <c r="AE163" s="10" t="s">
        <v>50</v>
      </c>
      <c r="AF163" s="10" t="s">
        <v>1108</v>
      </c>
      <c r="AG163" s="10" t="s">
        <v>114</v>
      </c>
      <c r="AH163" s="10" t="s">
        <v>50</v>
      </c>
      <c r="AI163" s="5">
        <v>0</v>
      </c>
      <c r="AJ163" s="10" t="s">
        <v>50</v>
      </c>
      <c r="AK163" s="10" t="s">
        <v>50</v>
      </c>
    </row>
    <row r="164" spans="1:37" ht="36.75" customHeight="1" x14ac:dyDescent="0.35">
      <c r="A164" s="5"/>
      <c r="B164" s="5" t="s">
        <v>37</v>
      </c>
      <c r="C164" s="73" t="str">
        <f t="shared" si="2"/>
        <v>Closed</v>
      </c>
      <c r="D164" s="45" t="s">
        <v>1109</v>
      </c>
      <c r="E164" s="54" t="s">
        <v>1110</v>
      </c>
      <c r="F164" s="5" t="s">
        <v>619</v>
      </c>
      <c r="G164" s="10">
        <f>DATE(2006,10,5)</f>
        <v>38995</v>
      </c>
      <c r="H164" s="35">
        <v>1.4826388888888888</v>
      </c>
      <c r="I164" s="5" t="s">
        <v>259</v>
      </c>
      <c r="J164" s="10" t="s">
        <v>1111</v>
      </c>
      <c r="K164" s="5" t="s">
        <v>621</v>
      </c>
      <c r="L164" s="5" t="s">
        <v>1112</v>
      </c>
      <c r="M164" s="5" t="s">
        <v>45</v>
      </c>
      <c r="N164" s="5">
        <v>0</v>
      </c>
      <c r="O164" s="5" t="s">
        <v>59</v>
      </c>
      <c r="P164" s="10" t="s">
        <v>60</v>
      </c>
      <c r="Q164" s="10" t="s">
        <v>623</v>
      </c>
      <c r="R164" s="10" t="s">
        <v>624</v>
      </c>
      <c r="S164" s="5">
        <v>0</v>
      </c>
      <c r="T164" s="37">
        <v>0</v>
      </c>
      <c r="U164" s="5">
        <v>0</v>
      </c>
      <c r="V164" s="37">
        <v>1</v>
      </c>
      <c r="W164" s="5">
        <v>0</v>
      </c>
      <c r="X164" s="5">
        <v>1</v>
      </c>
      <c r="Y164" s="5">
        <v>0</v>
      </c>
      <c r="Z164" s="37">
        <v>0</v>
      </c>
      <c r="AA164" s="5">
        <v>0</v>
      </c>
      <c r="AB164" s="5">
        <v>0</v>
      </c>
      <c r="AC164" s="5">
        <v>0</v>
      </c>
      <c r="AD164" s="5">
        <v>0</v>
      </c>
      <c r="AE164" s="10" t="s">
        <v>50</v>
      </c>
      <c r="AF164" s="10" t="s">
        <v>50</v>
      </c>
      <c r="AG164" s="10" t="s">
        <v>229</v>
      </c>
      <c r="AH164" s="10" t="s">
        <v>50</v>
      </c>
      <c r="AI164" s="5">
        <v>2</v>
      </c>
      <c r="AJ164" s="10" t="s">
        <v>50</v>
      </c>
      <c r="AK164" s="10" t="s">
        <v>50</v>
      </c>
    </row>
    <row r="165" spans="1:37" ht="36.75" customHeight="1" x14ac:dyDescent="0.35">
      <c r="A165" s="5"/>
      <c r="B165" s="5" t="s">
        <v>37</v>
      </c>
      <c r="C165" s="73" t="str">
        <f t="shared" si="2"/>
        <v>Closed</v>
      </c>
      <c r="D165" s="45" t="s">
        <v>1113</v>
      </c>
      <c r="E165" s="54" t="s">
        <v>1114</v>
      </c>
      <c r="F165" s="5" t="s">
        <v>619</v>
      </c>
      <c r="G165" s="10">
        <f>DATE(2006,10,7)</f>
        <v>38997</v>
      </c>
      <c r="H165" s="35">
        <v>1.2729166666666667</v>
      </c>
      <c r="I165" s="5" t="s">
        <v>259</v>
      </c>
      <c r="J165" s="10" t="s">
        <v>1115</v>
      </c>
      <c r="K165" s="5" t="s">
        <v>621</v>
      </c>
      <c r="L165" s="5" t="s">
        <v>1116</v>
      </c>
      <c r="M165" s="5" t="s">
        <v>45</v>
      </c>
      <c r="N165" s="5">
        <v>0</v>
      </c>
      <c r="O165" s="5" t="s">
        <v>46</v>
      </c>
      <c r="P165" s="10" t="s">
        <v>146</v>
      </c>
      <c r="Q165" s="10" t="s">
        <v>623</v>
      </c>
      <c r="R165" s="10" t="s">
        <v>624</v>
      </c>
      <c r="S165" s="5">
        <v>0</v>
      </c>
      <c r="T165" s="37">
        <v>0</v>
      </c>
      <c r="U165" s="5">
        <v>0</v>
      </c>
      <c r="V165" s="37">
        <v>1</v>
      </c>
      <c r="W165" s="5">
        <v>0</v>
      </c>
      <c r="X165" s="5">
        <v>1</v>
      </c>
      <c r="Y165" s="5">
        <v>0</v>
      </c>
      <c r="Z165" s="37">
        <v>0</v>
      </c>
      <c r="AA165" s="5">
        <v>0</v>
      </c>
      <c r="AB165" s="5">
        <v>0</v>
      </c>
      <c r="AC165" s="5">
        <v>0</v>
      </c>
      <c r="AD165" s="5">
        <v>0</v>
      </c>
      <c r="AE165" s="10" t="s">
        <v>50</v>
      </c>
      <c r="AF165" s="10" t="s">
        <v>50</v>
      </c>
      <c r="AG165" s="10" t="s">
        <v>229</v>
      </c>
      <c r="AH165" s="10" t="s">
        <v>50</v>
      </c>
      <c r="AI165" s="5">
        <v>1</v>
      </c>
      <c r="AJ165" s="10" t="s">
        <v>50</v>
      </c>
      <c r="AK165" s="10" t="s">
        <v>50</v>
      </c>
    </row>
    <row r="166" spans="1:37" ht="36.75" customHeight="1" x14ac:dyDescent="0.35">
      <c r="A166" s="5"/>
      <c r="B166" s="5" t="s">
        <v>37</v>
      </c>
      <c r="C166" s="73" t="str">
        <f t="shared" si="2"/>
        <v>Closed</v>
      </c>
      <c r="D166" s="45" t="s">
        <v>1117</v>
      </c>
      <c r="E166" s="54" t="s">
        <v>1118</v>
      </c>
      <c r="F166" s="5" t="s">
        <v>619</v>
      </c>
      <c r="G166" s="10">
        <f>DATE(2006,10,8)</f>
        <v>38998</v>
      </c>
      <c r="H166" s="35">
        <v>1.4861111111111112</v>
      </c>
      <c r="I166" s="5" t="s">
        <v>259</v>
      </c>
      <c r="J166" s="10" t="s">
        <v>1119</v>
      </c>
      <c r="K166" s="5" t="s">
        <v>621</v>
      </c>
      <c r="L166" s="5" t="s">
        <v>1120</v>
      </c>
      <c r="M166" s="5" t="s">
        <v>45</v>
      </c>
      <c r="N166" s="5">
        <v>0</v>
      </c>
      <c r="O166" s="5" t="s">
        <v>46</v>
      </c>
      <c r="P166" s="10" t="s">
        <v>47</v>
      </c>
      <c r="Q166" s="10" t="s">
        <v>623</v>
      </c>
      <c r="R166" s="10" t="s">
        <v>624</v>
      </c>
      <c r="S166" s="5">
        <v>0</v>
      </c>
      <c r="T166" s="37">
        <v>0</v>
      </c>
      <c r="U166" s="5">
        <v>0</v>
      </c>
      <c r="V166" s="37">
        <v>1</v>
      </c>
      <c r="W166" s="5">
        <v>0</v>
      </c>
      <c r="X166" s="5">
        <v>1</v>
      </c>
      <c r="Y166" s="5">
        <v>0</v>
      </c>
      <c r="Z166" s="37">
        <v>0</v>
      </c>
      <c r="AA166" s="5">
        <v>0</v>
      </c>
      <c r="AB166" s="5">
        <v>0</v>
      </c>
      <c r="AC166" s="5">
        <v>0</v>
      </c>
      <c r="AD166" s="5">
        <v>0</v>
      </c>
      <c r="AE166" s="10" t="s">
        <v>50</v>
      </c>
      <c r="AF166" s="10" t="s">
        <v>50</v>
      </c>
      <c r="AG166" s="10" t="s">
        <v>229</v>
      </c>
      <c r="AH166" s="10" t="s">
        <v>50</v>
      </c>
      <c r="AI166" s="5">
        <v>2</v>
      </c>
      <c r="AJ166" s="10" t="s">
        <v>50</v>
      </c>
      <c r="AK166" s="10" t="s">
        <v>50</v>
      </c>
    </row>
    <row r="167" spans="1:37" ht="36.75" customHeight="1" x14ac:dyDescent="0.35">
      <c r="A167" s="5"/>
      <c r="B167" s="5" t="s">
        <v>37</v>
      </c>
      <c r="C167" s="73" t="str">
        <f t="shared" si="2"/>
        <v>Closed</v>
      </c>
      <c r="D167" s="45" t="s">
        <v>1121</v>
      </c>
      <c r="E167" s="54" t="s">
        <v>1122</v>
      </c>
      <c r="F167" s="5" t="s">
        <v>404</v>
      </c>
      <c r="G167" s="10">
        <f>DATE(2006,10,9)</f>
        <v>38999</v>
      </c>
      <c r="H167" s="35">
        <v>1.6625000000000001</v>
      </c>
      <c r="I167" s="5" t="s">
        <v>97</v>
      </c>
      <c r="J167" s="10" t="s">
        <v>1123</v>
      </c>
      <c r="K167" s="5" t="s">
        <v>406</v>
      </c>
      <c r="L167" s="5" t="s">
        <v>1124</v>
      </c>
      <c r="M167" s="5" t="s">
        <v>45</v>
      </c>
      <c r="N167" s="5">
        <v>0</v>
      </c>
      <c r="O167" s="5" t="s">
        <v>46</v>
      </c>
      <c r="P167" s="10" t="s">
        <v>146</v>
      </c>
      <c r="Q167" s="10" t="s">
        <v>1125</v>
      </c>
      <c r="R167" s="10" t="s">
        <v>1126</v>
      </c>
      <c r="S167" s="5">
        <v>0</v>
      </c>
      <c r="T167" s="37" t="s">
        <v>50</v>
      </c>
      <c r="U167" s="5">
        <v>0</v>
      </c>
      <c r="V167" s="37" t="s">
        <v>50</v>
      </c>
      <c r="W167" s="5">
        <v>0</v>
      </c>
      <c r="X167" s="5">
        <v>0</v>
      </c>
      <c r="Y167" s="5">
        <v>0</v>
      </c>
      <c r="Z167" s="37" t="s">
        <v>50</v>
      </c>
      <c r="AA167" s="5">
        <v>0</v>
      </c>
      <c r="AB167" s="5">
        <v>0</v>
      </c>
      <c r="AC167" s="5">
        <v>0</v>
      </c>
      <c r="AD167" s="5">
        <v>0</v>
      </c>
      <c r="AE167" s="10" t="s">
        <v>50</v>
      </c>
      <c r="AF167" s="10" t="s">
        <v>1127</v>
      </c>
      <c r="AG167" s="10" t="s">
        <v>376</v>
      </c>
      <c r="AH167" s="10" t="s">
        <v>50</v>
      </c>
      <c r="AI167" s="5">
        <v>0</v>
      </c>
      <c r="AJ167" s="10" t="s">
        <v>50</v>
      </c>
      <c r="AK167" s="10" t="s">
        <v>50</v>
      </c>
    </row>
    <row r="168" spans="1:37" ht="36.75" customHeight="1" x14ac:dyDescent="0.35">
      <c r="A168" s="5"/>
      <c r="B168" s="5" t="s">
        <v>37</v>
      </c>
      <c r="C168" s="73" t="str">
        <f t="shared" si="2"/>
        <v>Closed</v>
      </c>
      <c r="D168" s="45" t="s">
        <v>1128</v>
      </c>
      <c r="E168" s="54" t="s">
        <v>1129</v>
      </c>
      <c r="F168" s="5" t="s">
        <v>96</v>
      </c>
      <c r="G168" s="10">
        <f>DATE(2006,10,11)</f>
        <v>39001</v>
      </c>
      <c r="H168" s="35">
        <v>1.4861111111111112</v>
      </c>
      <c r="I168" s="5" t="s">
        <v>179</v>
      </c>
      <c r="J168" s="10" t="s">
        <v>1130</v>
      </c>
      <c r="K168" s="5" t="s">
        <v>99</v>
      </c>
      <c r="L168" s="5" t="s">
        <v>1131</v>
      </c>
      <c r="M168" s="5" t="s">
        <v>45</v>
      </c>
      <c r="N168" s="5">
        <v>0</v>
      </c>
      <c r="O168" s="5" t="s">
        <v>46</v>
      </c>
      <c r="P168" s="10" t="s">
        <v>197</v>
      </c>
      <c r="Q168" s="10" t="s">
        <v>1132</v>
      </c>
      <c r="R168" s="10" t="s">
        <v>102</v>
      </c>
      <c r="S168" s="5">
        <v>3</v>
      </c>
      <c r="T168" s="37">
        <v>2</v>
      </c>
      <c r="U168" s="5">
        <v>0</v>
      </c>
      <c r="V168" s="37">
        <v>0</v>
      </c>
      <c r="W168" s="5">
        <v>1</v>
      </c>
      <c r="X168" s="5">
        <v>6</v>
      </c>
      <c r="Y168" s="5">
        <v>2</v>
      </c>
      <c r="Z168" s="37">
        <v>0</v>
      </c>
      <c r="AA168" s="5">
        <v>0</v>
      </c>
      <c r="AB168" s="5">
        <v>0</v>
      </c>
      <c r="AC168" s="5">
        <v>0</v>
      </c>
      <c r="AD168" s="5">
        <v>2</v>
      </c>
      <c r="AE168" s="10" t="s">
        <v>50</v>
      </c>
      <c r="AF168" s="10" t="s">
        <v>1133</v>
      </c>
      <c r="AG168" s="10" t="s">
        <v>64</v>
      </c>
      <c r="AH168" s="10" t="s">
        <v>50</v>
      </c>
      <c r="AI168" s="5">
        <v>0</v>
      </c>
      <c r="AJ168" s="10" t="s">
        <v>50</v>
      </c>
      <c r="AK168" s="10" t="s">
        <v>50</v>
      </c>
    </row>
    <row r="169" spans="1:37" ht="36.75" customHeight="1" x14ac:dyDescent="0.35">
      <c r="A169" s="5"/>
      <c r="B169" s="5" t="s">
        <v>37</v>
      </c>
      <c r="C169" s="73" t="str">
        <f t="shared" si="2"/>
        <v>Closed</v>
      </c>
      <c r="D169" s="45" t="s">
        <v>1134</v>
      </c>
      <c r="E169" s="54" t="s">
        <v>1135</v>
      </c>
      <c r="F169" s="5" t="s">
        <v>619</v>
      </c>
      <c r="G169" s="10">
        <f>DATE(2006,10,15)</f>
        <v>39005</v>
      </c>
      <c r="H169" s="35">
        <v>1.461111111111111</v>
      </c>
      <c r="I169" s="5" t="s">
        <v>97</v>
      </c>
      <c r="J169" s="10" t="s">
        <v>1136</v>
      </c>
      <c r="K169" s="5" t="s">
        <v>621</v>
      </c>
      <c r="L169" s="5" t="s">
        <v>1137</v>
      </c>
      <c r="M169" s="5" t="s">
        <v>45</v>
      </c>
      <c r="N169" s="5">
        <v>0</v>
      </c>
      <c r="O169" s="5" t="s">
        <v>59</v>
      </c>
      <c r="P169" s="10" t="s">
        <v>146</v>
      </c>
      <c r="Q169" s="10" t="s">
        <v>623</v>
      </c>
      <c r="R169" s="10" t="s">
        <v>624</v>
      </c>
      <c r="S169" s="5">
        <v>0</v>
      </c>
      <c r="T169" s="37">
        <v>0</v>
      </c>
      <c r="U169" s="5">
        <v>1</v>
      </c>
      <c r="V169" s="37">
        <v>0</v>
      </c>
      <c r="W169" s="5">
        <v>0</v>
      </c>
      <c r="X169" s="5">
        <v>1</v>
      </c>
      <c r="Y169" s="5">
        <v>0</v>
      </c>
      <c r="Z169" s="37">
        <v>0</v>
      </c>
      <c r="AA169" s="5">
        <v>0</v>
      </c>
      <c r="AB169" s="5">
        <v>0</v>
      </c>
      <c r="AC169" s="5">
        <v>0</v>
      </c>
      <c r="AD169" s="5">
        <v>0</v>
      </c>
      <c r="AE169" s="10" t="s">
        <v>50</v>
      </c>
      <c r="AF169" s="10" t="s">
        <v>50</v>
      </c>
      <c r="AG169" s="10" t="s">
        <v>229</v>
      </c>
      <c r="AH169" s="10" t="s">
        <v>50</v>
      </c>
      <c r="AI169" s="5">
        <v>1</v>
      </c>
      <c r="AJ169" s="10" t="s">
        <v>50</v>
      </c>
      <c r="AK169" s="10" t="s">
        <v>50</v>
      </c>
    </row>
    <row r="170" spans="1:37" ht="36.75" customHeight="1" x14ac:dyDescent="0.35">
      <c r="A170" s="5"/>
      <c r="B170" s="5" t="s">
        <v>37</v>
      </c>
      <c r="C170" s="73" t="str">
        <f t="shared" si="2"/>
        <v>Closed</v>
      </c>
      <c r="D170" s="45" t="s">
        <v>1138</v>
      </c>
      <c r="E170" s="54" t="s">
        <v>1139</v>
      </c>
      <c r="F170" s="5" t="s">
        <v>619</v>
      </c>
      <c r="G170" s="10">
        <f>DATE(2006,10,15)</f>
        <v>39005</v>
      </c>
      <c r="H170" s="35">
        <v>1.5416666666666665</v>
      </c>
      <c r="I170" s="5" t="s">
        <v>259</v>
      </c>
      <c r="J170" s="10" t="s">
        <v>1140</v>
      </c>
      <c r="K170" s="5" t="s">
        <v>621</v>
      </c>
      <c r="L170" s="5" t="s">
        <v>1141</v>
      </c>
      <c r="M170" s="5" t="s">
        <v>45</v>
      </c>
      <c r="N170" s="5">
        <v>0</v>
      </c>
      <c r="O170" s="5" t="s">
        <v>59</v>
      </c>
      <c r="P170" s="10" t="s">
        <v>47</v>
      </c>
      <c r="Q170" s="10" t="s">
        <v>623</v>
      </c>
      <c r="R170" s="10" t="s">
        <v>624</v>
      </c>
      <c r="S170" s="5">
        <v>0</v>
      </c>
      <c r="T170" s="37">
        <v>0</v>
      </c>
      <c r="U170" s="5">
        <v>0</v>
      </c>
      <c r="V170" s="37">
        <v>1</v>
      </c>
      <c r="W170" s="5">
        <v>0</v>
      </c>
      <c r="X170" s="5">
        <v>1</v>
      </c>
      <c r="Y170" s="5">
        <v>0</v>
      </c>
      <c r="Z170" s="37">
        <v>0</v>
      </c>
      <c r="AA170" s="5">
        <v>0</v>
      </c>
      <c r="AB170" s="5">
        <v>0</v>
      </c>
      <c r="AC170" s="5">
        <v>0</v>
      </c>
      <c r="AD170" s="5">
        <v>0</v>
      </c>
      <c r="AE170" s="10" t="s">
        <v>50</v>
      </c>
      <c r="AF170" s="10" t="s">
        <v>50</v>
      </c>
      <c r="AG170" s="10" t="s">
        <v>229</v>
      </c>
      <c r="AH170" s="10" t="s">
        <v>50</v>
      </c>
      <c r="AI170" s="5">
        <v>1</v>
      </c>
      <c r="AJ170" s="10" t="s">
        <v>50</v>
      </c>
      <c r="AK170" s="10" t="s">
        <v>50</v>
      </c>
    </row>
    <row r="171" spans="1:37" ht="36.75" customHeight="1" x14ac:dyDescent="0.35">
      <c r="A171" s="5"/>
      <c r="B171" s="5" t="s">
        <v>37</v>
      </c>
      <c r="C171" s="73" t="str">
        <f t="shared" si="2"/>
        <v>Closed</v>
      </c>
      <c r="D171" s="45" t="s">
        <v>1142</v>
      </c>
      <c r="E171" s="54" t="s">
        <v>1143</v>
      </c>
      <c r="F171" s="5" t="s">
        <v>619</v>
      </c>
      <c r="G171" s="10">
        <f>DATE(2006,10,15)</f>
        <v>39005</v>
      </c>
      <c r="H171" s="35">
        <v>1.8611111111111112</v>
      </c>
      <c r="I171" s="5" t="s">
        <v>97</v>
      </c>
      <c r="J171" s="10" t="s">
        <v>1144</v>
      </c>
      <c r="K171" s="5" t="s">
        <v>621</v>
      </c>
      <c r="L171" s="5" t="s">
        <v>1145</v>
      </c>
      <c r="M171" s="5" t="s">
        <v>45</v>
      </c>
      <c r="N171" s="5">
        <v>0</v>
      </c>
      <c r="O171" s="5" t="s">
        <v>46</v>
      </c>
      <c r="P171" s="10" t="s">
        <v>47</v>
      </c>
      <c r="Q171" s="10" t="s">
        <v>623</v>
      </c>
      <c r="R171" s="10" t="s">
        <v>624</v>
      </c>
      <c r="S171" s="5">
        <v>0</v>
      </c>
      <c r="T171" s="37">
        <v>0</v>
      </c>
      <c r="U171" s="5">
        <v>1</v>
      </c>
      <c r="V171" s="37">
        <v>0</v>
      </c>
      <c r="W171" s="5">
        <v>0</v>
      </c>
      <c r="X171" s="5">
        <v>1</v>
      </c>
      <c r="Y171" s="5">
        <v>0</v>
      </c>
      <c r="Z171" s="37">
        <v>0</v>
      </c>
      <c r="AA171" s="5">
        <v>1</v>
      </c>
      <c r="AB171" s="5">
        <v>0</v>
      </c>
      <c r="AC171" s="5">
        <v>0</v>
      </c>
      <c r="AD171" s="5">
        <v>1</v>
      </c>
      <c r="AE171" s="10" t="s">
        <v>50</v>
      </c>
      <c r="AF171" s="10" t="s">
        <v>50</v>
      </c>
      <c r="AG171" s="10" t="s">
        <v>229</v>
      </c>
      <c r="AH171" s="10" t="s">
        <v>50</v>
      </c>
      <c r="AI171" s="5">
        <v>1</v>
      </c>
      <c r="AJ171" s="10" t="s">
        <v>50</v>
      </c>
      <c r="AK171" s="10" t="s">
        <v>50</v>
      </c>
    </row>
    <row r="172" spans="1:37" ht="36.75" customHeight="1" x14ac:dyDescent="0.35">
      <c r="A172" s="5"/>
      <c r="B172" s="5" t="s">
        <v>37</v>
      </c>
      <c r="C172" s="73" t="str">
        <f t="shared" si="2"/>
        <v>Closed</v>
      </c>
      <c r="D172" s="45" t="s">
        <v>1146</v>
      </c>
      <c r="E172" s="54" t="s">
        <v>1147</v>
      </c>
      <c r="F172" s="5" t="s">
        <v>404</v>
      </c>
      <c r="G172" s="10">
        <f>DATE(2006,10,17)</f>
        <v>39007</v>
      </c>
      <c r="H172" s="35">
        <v>1.0715277777777779</v>
      </c>
      <c r="I172" s="5" t="s">
        <v>55</v>
      </c>
      <c r="J172" s="10" t="s">
        <v>1148</v>
      </c>
      <c r="K172" s="5" t="s">
        <v>406</v>
      </c>
      <c r="L172" s="5" t="s">
        <v>1149</v>
      </c>
      <c r="M172" s="5" t="s">
        <v>45</v>
      </c>
      <c r="N172" s="5">
        <v>0</v>
      </c>
      <c r="O172" s="5" t="s">
        <v>59</v>
      </c>
      <c r="P172" s="10" t="s">
        <v>60</v>
      </c>
      <c r="Q172" s="10" t="s">
        <v>408</v>
      </c>
      <c r="R172" s="10" t="s">
        <v>408</v>
      </c>
      <c r="S172" s="5">
        <v>0</v>
      </c>
      <c r="T172" s="37" t="s">
        <v>50</v>
      </c>
      <c r="U172" s="5">
        <v>0</v>
      </c>
      <c r="V172" s="37" t="s">
        <v>50</v>
      </c>
      <c r="W172" s="5">
        <v>0</v>
      </c>
      <c r="X172" s="5">
        <v>0</v>
      </c>
      <c r="Y172" s="5">
        <v>0</v>
      </c>
      <c r="Z172" s="37" t="s">
        <v>50</v>
      </c>
      <c r="AA172" s="5">
        <v>0</v>
      </c>
      <c r="AB172" s="5">
        <v>0</v>
      </c>
      <c r="AC172" s="5">
        <v>0</v>
      </c>
      <c r="AD172" s="5">
        <v>0</v>
      </c>
      <c r="AE172" s="10" t="s">
        <v>50</v>
      </c>
      <c r="AF172" s="10" t="s">
        <v>1150</v>
      </c>
      <c r="AG172" s="10" t="s">
        <v>64</v>
      </c>
      <c r="AH172" s="10" t="s">
        <v>50</v>
      </c>
      <c r="AI172" s="5">
        <v>0</v>
      </c>
      <c r="AJ172" s="10" t="s">
        <v>50</v>
      </c>
      <c r="AK172" s="10" t="s">
        <v>50</v>
      </c>
    </row>
    <row r="173" spans="1:37" ht="36.75" customHeight="1" x14ac:dyDescent="0.35">
      <c r="A173" s="5"/>
      <c r="B173" s="5" t="s">
        <v>37</v>
      </c>
      <c r="C173" s="73" t="str">
        <f t="shared" si="2"/>
        <v>Closed</v>
      </c>
      <c r="D173" s="45" t="s">
        <v>1151</v>
      </c>
      <c r="E173" s="54" t="s">
        <v>1152</v>
      </c>
      <c r="F173" s="5" t="s">
        <v>178</v>
      </c>
      <c r="G173" s="10">
        <f>DATE(2006,10,18)</f>
        <v>39008</v>
      </c>
      <c r="H173" s="35">
        <v>1.7569444444444446</v>
      </c>
      <c r="I173" s="5" t="s">
        <v>137</v>
      </c>
      <c r="J173" s="10" t="s">
        <v>1153</v>
      </c>
      <c r="K173" s="5" t="s">
        <v>181</v>
      </c>
      <c r="L173" s="5" t="s">
        <v>1154</v>
      </c>
      <c r="M173" s="5" t="s">
        <v>45</v>
      </c>
      <c r="N173" s="5">
        <v>0</v>
      </c>
      <c r="O173" s="5" t="s">
        <v>46</v>
      </c>
      <c r="P173" s="10" t="s">
        <v>67</v>
      </c>
      <c r="Q173" s="10" t="s">
        <v>183</v>
      </c>
      <c r="R173" s="10" t="s">
        <v>184</v>
      </c>
      <c r="S173" s="5">
        <v>0</v>
      </c>
      <c r="T173" s="37" t="s">
        <v>50</v>
      </c>
      <c r="U173" s="5">
        <v>0</v>
      </c>
      <c r="V173" s="37" t="s">
        <v>50</v>
      </c>
      <c r="W173" s="5">
        <v>0</v>
      </c>
      <c r="X173" s="5">
        <v>0</v>
      </c>
      <c r="Y173" s="5">
        <v>0</v>
      </c>
      <c r="Z173" s="37" t="s">
        <v>50</v>
      </c>
      <c r="AA173" s="5">
        <v>0</v>
      </c>
      <c r="AB173" s="5">
        <v>0</v>
      </c>
      <c r="AC173" s="5">
        <v>0</v>
      </c>
      <c r="AD173" s="5">
        <v>0</v>
      </c>
      <c r="AE173" s="10" t="s">
        <v>50</v>
      </c>
      <c r="AF173" s="10" t="s">
        <v>1155</v>
      </c>
      <c r="AG173" s="10" t="s">
        <v>64</v>
      </c>
      <c r="AH173" s="10" t="s">
        <v>50</v>
      </c>
      <c r="AI173" s="5">
        <v>2</v>
      </c>
      <c r="AJ173" s="10" t="s">
        <v>1156</v>
      </c>
      <c r="AK173" s="10" t="s">
        <v>1157</v>
      </c>
    </row>
    <row r="174" spans="1:37" ht="36.75" customHeight="1" x14ac:dyDescent="0.35">
      <c r="A174" s="5"/>
      <c r="B174" s="5" t="s">
        <v>37</v>
      </c>
      <c r="C174" s="73" t="str">
        <f t="shared" si="2"/>
        <v>Closed</v>
      </c>
      <c r="D174" s="45" t="s">
        <v>1158</v>
      </c>
      <c r="E174" s="54" t="s">
        <v>1159</v>
      </c>
      <c r="F174" s="5" t="s">
        <v>96</v>
      </c>
      <c r="G174" s="10">
        <f>DATE(2006,10,18)</f>
        <v>39008</v>
      </c>
      <c r="H174" s="35">
        <v>1.5486111111111112</v>
      </c>
      <c r="I174" s="5" t="s">
        <v>97</v>
      </c>
      <c r="J174" s="10" t="s">
        <v>1160</v>
      </c>
      <c r="K174" s="5" t="s">
        <v>99</v>
      </c>
      <c r="L174" s="5" t="s">
        <v>1161</v>
      </c>
      <c r="M174" s="5" t="s">
        <v>45</v>
      </c>
      <c r="N174" s="5">
        <v>0</v>
      </c>
      <c r="O174" s="5" t="s">
        <v>46</v>
      </c>
      <c r="P174" s="10" t="s">
        <v>146</v>
      </c>
      <c r="Q174" s="10" t="s">
        <v>101</v>
      </c>
      <c r="R174" s="10" t="s">
        <v>102</v>
      </c>
      <c r="S174" s="5">
        <v>0</v>
      </c>
      <c r="T174" s="37" t="s">
        <v>50</v>
      </c>
      <c r="U174" s="5">
        <v>0</v>
      </c>
      <c r="V174" s="37" t="s">
        <v>50</v>
      </c>
      <c r="W174" s="5">
        <v>0</v>
      </c>
      <c r="X174" s="5">
        <v>0</v>
      </c>
      <c r="Y174" s="5">
        <v>0</v>
      </c>
      <c r="Z174" s="37" t="s">
        <v>50</v>
      </c>
      <c r="AA174" s="5">
        <v>0</v>
      </c>
      <c r="AB174" s="5">
        <v>0</v>
      </c>
      <c r="AC174" s="5">
        <v>0</v>
      </c>
      <c r="AD174" s="5">
        <v>0</v>
      </c>
      <c r="AE174" s="10" t="s">
        <v>50</v>
      </c>
      <c r="AF174" s="10" t="s">
        <v>1162</v>
      </c>
      <c r="AG174" s="10" t="s">
        <v>64</v>
      </c>
      <c r="AH174" s="10" t="s">
        <v>50</v>
      </c>
      <c r="AI174" s="5">
        <v>0</v>
      </c>
      <c r="AJ174" s="10" t="s">
        <v>50</v>
      </c>
      <c r="AK174" s="10" t="s">
        <v>50</v>
      </c>
    </row>
    <row r="175" spans="1:37" ht="36.75" customHeight="1" x14ac:dyDescent="0.35">
      <c r="A175" s="5"/>
      <c r="B175" s="5" t="s">
        <v>37</v>
      </c>
      <c r="C175" s="73" t="str">
        <f t="shared" si="2"/>
        <v>Closed</v>
      </c>
      <c r="D175" s="45" t="s">
        <v>1163</v>
      </c>
      <c r="E175" s="54" t="s">
        <v>1164</v>
      </c>
      <c r="F175" s="5" t="s">
        <v>619</v>
      </c>
      <c r="G175" s="10">
        <f>DATE(2006,10,19)</f>
        <v>39009</v>
      </c>
      <c r="H175" s="35">
        <v>1.6118055555555557</v>
      </c>
      <c r="I175" s="5" t="s">
        <v>97</v>
      </c>
      <c r="J175" s="10" t="s">
        <v>1165</v>
      </c>
      <c r="K175" s="5" t="s">
        <v>621</v>
      </c>
      <c r="L175" s="5" t="s">
        <v>1166</v>
      </c>
      <c r="M175" s="5" t="s">
        <v>45</v>
      </c>
      <c r="N175" s="5">
        <v>0</v>
      </c>
      <c r="O175" s="5" t="s">
        <v>46</v>
      </c>
      <c r="P175" s="10" t="s">
        <v>47</v>
      </c>
      <c r="Q175" s="10" t="s">
        <v>1167</v>
      </c>
      <c r="R175" s="10" t="s">
        <v>624</v>
      </c>
      <c r="S175" s="5">
        <v>0</v>
      </c>
      <c r="T175" s="37">
        <v>0</v>
      </c>
      <c r="U175" s="5">
        <v>2</v>
      </c>
      <c r="V175" s="37">
        <v>0</v>
      </c>
      <c r="W175" s="5">
        <v>0</v>
      </c>
      <c r="X175" s="5">
        <v>2</v>
      </c>
      <c r="Y175" s="5">
        <v>0</v>
      </c>
      <c r="Z175" s="37">
        <v>0</v>
      </c>
      <c r="AA175" s="5">
        <v>0</v>
      </c>
      <c r="AB175" s="5">
        <v>0</v>
      </c>
      <c r="AC175" s="5">
        <v>0</v>
      </c>
      <c r="AD175" s="5">
        <v>0</v>
      </c>
      <c r="AE175" s="10" t="s">
        <v>50</v>
      </c>
      <c r="AF175" s="10" t="s">
        <v>1168</v>
      </c>
      <c r="AG175" s="10" t="s">
        <v>229</v>
      </c>
      <c r="AH175" s="10" t="s">
        <v>50</v>
      </c>
      <c r="AI175" s="5">
        <v>2</v>
      </c>
      <c r="AJ175" s="10" t="s">
        <v>50</v>
      </c>
      <c r="AK175" s="10" t="s">
        <v>50</v>
      </c>
    </row>
    <row r="176" spans="1:37" ht="36.75" customHeight="1" x14ac:dyDescent="0.35">
      <c r="A176" s="5"/>
      <c r="B176" s="5" t="s">
        <v>37</v>
      </c>
      <c r="C176" s="73" t="str">
        <f t="shared" si="2"/>
        <v>Closed</v>
      </c>
      <c r="D176" s="45" t="s">
        <v>1169</v>
      </c>
      <c r="E176" s="54" t="s">
        <v>1170</v>
      </c>
      <c r="F176" s="5" t="s">
        <v>214</v>
      </c>
      <c r="G176" s="10">
        <f>DATE(2006,10,24)</f>
        <v>39014</v>
      </c>
      <c r="H176" s="35">
        <v>1.7708333333333335</v>
      </c>
      <c r="I176" s="5" t="s">
        <v>55</v>
      </c>
      <c r="J176" s="10" t="s">
        <v>1171</v>
      </c>
      <c r="K176" s="5" t="s">
        <v>216</v>
      </c>
      <c r="L176" s="5" t="s">
        <v>1172</v>
      </c>
      <c r="M176" s="5" t="s">
        <v>45</v>
      </c>
      <c r="N176" s="5">
        <v>0</v>
      </c>
      <c r="O176" s="5" t="s">
        <v>46</v>
      </c>
      <c r="P176" s="10" t="s">
        <v>146</v>
      </c>
      <c r="Q176" s="10" t="s">
        <v>332</v>
      </c>
      <c r="R176" s="10" t="s">
        <v>219</v>
      </c>
      <c r="S176" s="5">
        <v>0</v>
      </c>
      <c r="T176" s="37" t="s">
        <v>50</v>
      </c>
      <c r="U176" s="5">
        <v>0</v>
      </c>
      <c r="V176" s="37" t="s">
        <v>50</v>
      </c>
      <c r="W176" s="5">
        <v>0</v>
      </c>
      <c r="X176" s="5">
        <v>0</v>
      </c>
      <c r="Y176" s="5">
        <v>0</v>
      </c>
      <c r="Z176" s="37" t="s">
        <v>50</v>
      </c>
      <c r="AA176" s="5">
        <v>0</v>
      </c>
      <c r="AB176" s="5">
        <v>0</v>
      </c>
      <c r="AC176" s="5">
        <v>0</v>
      </c>
      <c r="AD176" s="5">
        <v>0</v>
      </c>
      <c r="AE176" s="10" t="s">
        <v>50</v>
      </c>
      <c r="AF176" s="10" t="s">
        <v>50</v>
      </c>
      <c r="AG176" s="10" t="s">
        <v>114</v>
      </c>
      <c r="AH176" s="10" t="s">
        <v>50</v>
      </c>
      <c r="AI176" s="5">
        <v>10</v>
      </c>
      <c r="AJ176" s="10" t="s">
        <v>1173</v>
      </c>
      <c r="AK176" s="10" t="s">
        <v>1174</v>
      </c>
    </row>
    <row r="177" spans="1:37" ht="36.75" customHeight="1" x14ac:dyDescent="0.35">
      <c r="A177" s="5"/>
      <c r="B177" s="5" t="s">
        <v>37</v>
      </c>
      <c r="C177" s="73" t="str">
        <f t="shared" si="2"/>
        <v>Closed</v>
      </c>
      <c r="D177" s="45" t="s">
        <v>1175</v>
      </c>
      <c r="E177" s="54" t="s">
        <v>1176</v>
      </c>
      <c r="F177" s="5" t="s">
        <v>575</v>
      </c>
      <c r="G177" s="10">
        <f>DATE(2006,10,25)</f>
        <v>39015</v>
      </c>
      <c r="H177" s="35">
        <v>1.2326388888888888</v>
      </c>
      <c r="I177" s="5" t="s">
        <v>67</v>
      </c>
      <c r="J177" s="10" t="s">
        <v>1177</v>
      </c>
      <c r="K177" s="5" t="s">
        <v>577</v>
      </c>
      <c r="L177" s="5" t="s">
        <v>1178</v>
      </c>
      <c r="M177" s="5" t="s">
        <v>45</v>
      </c>
      <c r="N177" s="5">
        <v>0</v>
      </c>
      <c r="O177" s="5" t="s">
        <v>59</v>
      </c>
      <c r="P177" s="10" t="s">
        <v>60</v>
      </c>
      <c r="Q177" s="10" t="s">
        <v>579</v>
      </c>
      <c r="R177" s="10" t="s">
        <v>580</v>
      </c>
      <c r="S177" s="5">
        <v>0</v>
      </c>
      <c r="T177" s="37">
        <v>0</v>
      </c>
      <c r="U177" s="5">
        <v>0</v>
      </c>
      <c r="V177" s="37">
        <v>0</v>
      </c>
      <c r="W177" s="5">
        <v>0</v>
      </c>
      <c r="X177" s="5">
        <v>0</v>
      </c>
      <c r="Y177" s="5">
        <v>0</v>
      </c>
      <c r="Z177" s="37">
        <v>0</v>
      </c>
      <c r="AA177" s="5">
        <v>0</v>
      </c>
      <c r="AB177" s="5">
        <v>0</v>
      </c>
      <c r="AC177" s="5">
        <v>0</v>
      </c>
      <c r="AD177" s="5">
        <v>0</v>
      </c>
      <c r="AE177" s="10" t="s">
        <v>50</v>
      </c>
      <c r="AF177" s="10" t="s">
        <v>50</v>
      </c>
      <c r="AG177" s="10" t="s">
        <v>114</v>
      </c>
      <c r="AH177" s="10" t="s">
        <v>50</v>
      </c>
      <c r="AI177" s="5">
        <v>1</v>
      </c>
      <c r="AJ177" s="10" t="s">
        <v>50</v>
      </c>
      <c r="AK177" s="10" t="s">
        <v>50</v>
      </c>
    </row>
    <row r="178" spans="1:37" ht="36.75" customHeight="1" x14ac:dyDescent="0.35">
      <c r="A178" s="5"/>
      <c r="B178" s="5" t="s">
        <v>37</v>
      </c>
      <c r="C178" s="73" t="str">
        <f t="shared" si="2"/>
        <v>Closed</v>
      </c>
      <c r="D178" s="45" t="s">
        <v>1179</v>
      </c>
      <c r="E178" s="54" t="s">
        <v>1180</v>
      </c>
      <c r="F178" s="5" t="s">
        <v>816</v>
      </c>
      <c r="G178" s="10">
        <f>DATE(2006,10,28)</f>
        <v>39018</v>
      </c>
      <c r="H178" s="35">
        <v>1.7222222222222223</v>
      </c>
      <c r="I178" s="5" t="s">
        <v>55</v>
      </c>
      <c r="J178" s="10" t="s">
        <v>1181</v>
      </c>
      <c r="K178" s="5" t="s">
        <v>818</v>
      </c>
      <c r="L178" s="5" t="s">
        <v>1182</v>
      </c>
      <c r="M178" s="5" t="s">
        <v>45</v>
      </c>
      <c r="N178" s="5">
        <v>0</v>
      </c>
      <c r="O178" s="5" t="s">
        <v>46</v>
      </c>
      <c r="P178" s="10" t="s">
        <v>60</v>
      </c>
      <c r="Q178" s="10" t="s">
        <v>1183</v>
      </c>
      <c r="R178" s="10" t="s">
        <v>821</v>
      </c>
      <c r="S178" s="5">
        <v>0</v>
      </c>
      <c r="T178" s="37" t="s">
        <v>50</v>
      </c>
      <c r="U178" s="5">
        <v>0</v>
      </c>
      <c r="V178" s="37" t="s">
        <v>50</v>
      </c>
      <c r="W178" s="5">
        <v>0</v>
      </c>
      <c r="X178" s="5">
        <v>0</v>
      </c>
      <c r="Y178" s="5">
        <v>0</v>
      </c>
      <c r="Z178" s="37" t="s">
        <v>50</v>
      </c>
      <c r="AA178" s="5">
        <v>0</v>
      </c>
      <c r="AB178" s="5">
        <v>0</v>
      </c>
      <c r="AC178" s="5">
        <v>0</v>
      </c>
      <c r="AD178" s="5">
        <v>0</v>
      </c>
      <c r="AE178" s="10" t="s">
        <v>50</v>
      </c>
      <c r="AF178" s="10" t="s">
        <v>1184</v>
      </c>
      <c r="AG178" s="10" t="s">
        <v>114</v>
      </c>
      <c r="AH178" s="10" t="s">
        <v>50</v>
      </c>
      <c r="AI178" s="5">
        <v>0</v>
      </c>
      <c r="AJ178" s="10" t="s">
        <v>50</v>
      </c>
      <c r="AK178" s="10" t="s">
        <v>50</v>
      </c>
    </row>
    <row r="179" spans="1:37" ht="36.75" customHeight="1" x14ac:dyDescent="0.35">
      <c r="A179" s="5"/>
      <c r="B179" s="5" t="s">
        <v>37</v>
      </c>
      <c r="C179" s="73" t="str">
        <f t="shared" si="2"/>
        <v>Closed</v>
      </c>
      <c r="D179" s="45" t="s">
        <v>1185</v>
      </c>
      <c r="E179" s="54" t="s">
        <v>1186</v>
      </c>
      <c r="F179" s="5" t="s">
        <v>575</v>
      </c>
      <c r="G179" s="10">
        <f>DATE(2006,10,28)</f>
        <v>39018</v>
      </c>
      <c r="H179" s="35">
        <v>1.6041666666666665</v>
      </c>
      <c r="I179" s="5" t="s">
        <v>97</v>
      </c>
      <c r="J179" s="10" t="s">
        <v>1187</v>
      </c>
      <c r="K179" s="5" t="s">
        <v>577</v>
      </c>
      <c r="L179" s="5" t="s">
        <v>1188</v>
      </c>
      <c r="M179" s="5" t="s">
        <v>45</v>
      </c>
      <c r="N179" s="5">
        <v>0</v>
      </c>
      <c r="O179" s="5" t="s">
        <v>46</v>
      </c>
      <c r="P179" s="10" t="s">
        <v>146</v>
      </c>
      <c r="Q179" s="10" t="s">
        <v>579</v>
      </c>
      <c r="R179" s="10" t="s">
        <v>580</v>
      </c>
      <c r="S179" s="5">
        <v>0</v>
      </c>
      <c r="T179" s="37" t="s">
        <v>50</v>
      </c>
      <c r="U179" s="5">
        <v>3</v>
      </c>
      <c r="V179" s="37" t="s">
        <v>50</v>
      </c>
      <c r="W179" s="5">
        <v>0</v>
      </c>
      <c r="X179" s="5">
        <v>3</v>
      </c>
      <c r="Y179" s="5">
        <v>0</v>
      </c>
      <c r="Z179" s="37" t="s">
        <v>50</v>
      </c>
      <c r="AA179" s="5">
        <v>1</v>
      </c>
      <c r="AB179" s="5">
        <v>0</v>
      </c>
      <c r="AC179" s="5">
        <v>0</v>
      </c>
      <c r="AD179" s="5">
        <v>1</v>
      </c>
      <c r="AE179" s="10" t="s">
        <v>50</v>
      </c>
      <c r="AF179" s="10" t="s">
        <v>1189</v>
      </c>
      <c r="AG179" s="10" t="s">
        <v>64</v>
      </c>
      <c r="AH179" s="10" t="s">
        <v>50</v>
      </c>
      <c r="AI179" s="5">
        <v>0</v>
      </c>
      <c r="AJ179" s="10" t="s">
        <v>50</v>
      </c>
      <c r="AK179" s="10" t="s">
        <v>50</v>
      </c>
    </row>
    <row r="180" spans="1:37" ht="36.75" customHeight="1" x14ac:dyDescent="0.35">
      <c r="A180" s="5"/>
      <c r="B180" s="5" t="s">
        <v>37</v>
      </c>
      <c r="C180" s="73" t="str">
        <f t="shared" si="2"/>
        <v>Closed</v>
      </c>
      <c r="D180" s="45" t="s">
        <v>1190</v>
      </c>
      <c r="E180" s="54" t="s">
        <v>1191</v>
      </c>
      <c r="F180" s="5" t="s">
        <v>619</v>
      </c>
      <c r="G180" s="10">
        <f>DATE(2006,10,29)</f>
        <v>39019</v>
      </c>
      <c r="H180" s="35">
        <v>1.7638888888888888</v>
      </c>
      <c r="I180" s="5" t="s">
        <v>259</v>
      </c>
      <c r="J180" s="10" t="s">
        <v>1192</v>
      </c>
      <c r="K180" s="5" t="s">
        <v>621</v>
      </c>
      <c r="L180" s="5" t="s">
        <v>1193</v>
      </c>
      <c r="M180" s="5" t="s">
        <v>45</v>
      </c>
      <c r="N180" s="5">
        <v>0</v>
      </c>
      <c r="O180" s="5" t="s">
        <v>46</v>
      </c>
      <c r="P180" s="10" t="s">
        <v>47</v>
      </c>
      <c r="Q180" s="10" t="s">
        <v>623</v>
      </c>
      <c r="R180" s="10" t="s">
        <v>624</v>
      </c>
      <c r="S180" s="5">
        <v>0</v>
      </c>
      <c r="T180" s="37">
        <v>0</v>
      </c>
      <c r="U180" s="5">
        <v>0</v>
      </c>
      <c r="V180" s="37">
        <v>1</v>
      </c>
      <c r="W180" s="5">
        <v>0</v>
      </c>
      <c r="X180" s="5">
        <v>1</v>
      </c>
      <c r="Y180" s="5">
        <v>0</v>
      </c>
      <c r="Z180" s="37">
        <v>0</v>
      </c>
      <c r="AA180" s="5">
        <v>0</v>
      </c>
      <c r="AB180" s="5">
        <v>0</v>
      </c>
      <c r="AC180" s="5">
        <v>0</v>
      </c>
      <c r="AD180" s="5">
        <v>0</v>
      </c>
      <c r="AE180" s="10" t="s">
        <v>50</v>
      </c>
      <c r="AF180" s="10" t="s">
        <v>50</v>
      </c>
      <c r="AG180" s="10" t="s">
        <v>229</v>
      </c>
      <c r="AH180" s="10" t="s">
        <v>50</v>
      </c>
      <c r="AI180" s="5">
        <v>1</v>
      </c>
      <c r="AJ180" s="10" t="s">
        <v>50</v>
      </c>
      <c r="AK180" s="10" t="s">
        <v>50</v>
      </c>
    </row>
    <row r="181" spans="1:37" ht="36.75" customHeight="1" x14ac:dyDescent="0.35">
      <c r="A181" s="5"/>
      <c r="B181" s="5" t="s">
        <v>37</v>
      </c>
      <c r="C181" s="73" t="str">
        <f t="shared" si="2"/>
        <v>Closed</v>
      </c>
      <c r="D181" s="45" t="s">
        <v>1194</v>
      </c>
      <c r="E181" s="54" t="s">
        <v>1195</v>
      </c>
      <c r="F181" s="5" t="s">
        <v>105</v>
      </c>
      <c r="G181" s="10">
        <f>DATE(2006,10,31)</f>
        <v>39021</v>
      </c>
      <c r="H181" s="35">
        <v>1.6701388888888888</v>
      </c>
      <c r="I181" s="5" t="s">
        <v>67</v>
      </c>
      <c r="J181" s="10" t="s">
        <v>1196</v>
      </c>
      <c r="K181" s="5" t="s">
        <v>108</v>
      </c>
      <c r="L181" s="5" t="s">
        <v>1197</v>
      </c>
      <c r="M181" s="5" t="s">
        <v>45</v>
      </c>
      <c r="N181" s="5">
        <v>0</v>
      </c>
      <c r="O181" s="5" t="s">
        <v>59</v>
      </c>
      <c r="P181" s="10" t="s">
        <v>1198</v>
      </c>
      <c r="Q181" s="10" t="s">
        <v>1199</v>
      </c>
      <c r="R181" s="10" t="s">
        <v>148</v>
      </c>
      <c r="S181" s="5">
        <v>0</v>
      </c>
      <c r="T181" s="37" t="s">
        <v>50</v>
      </c>
      <c r="U181" s="5">
        <v>0</v>
      </c>
      <c r="V181" s="37" t="s">
        <v>50</v>
      </c>
      <c r="W181" s="5">
        <v>0</v>
      </c>
      <c r="X181" s="5">
        <v>0</v>
      </c>
      <c r="Y181" s="5">
        <v>0</v>
      </c>
      <c r="Z181" s="37" t="s">
        <v>50</v>
      </c>
      <c r="AA181" s="5">
        <v>0</v>
      </c>
      <c r="AB181" s="5">
        <v>0</v>
      </c>
      <c r="AC181" s="5">
        <v>0</v>
      </c>
      <c r="AD181" s="5">
        <v>0</v>
      </c>
      <c r="AE181" s="10" t="s">
        <v>50</v>
      </c>
      <c r="AF181" s="10" t="s">
        <v>50</v>
      </c>
      <c r="AG181" s="10" t="s">
        <v>114</v>
      </c>
      <c r="AH181" s="10" t="s">
        <v>50</v>
      </c>
      <c r="AI181" s="5">
        <v>5</v>
      </c>
      <c r="AJ181" s="10" t="s">
        <v>50</v>
      </c>
      <c r="AK181" s="10" t="s">
        <v>50</v>
      </c>
    </row>
    <row r="182" spans="1:37" ht="36.75" customHeight="1" x14ac:dyDescent="0.35">
      <c r="A182" s="5"/>
      <c r="B182" s="5" t="s">
        <v>37</v>
      </c>
      <c r="C182" s="73" t="str">
        <f t="shared" si="2"/>
        <v>Closed</v>
      </c>
      <c r="D182" s="45" t="s">
        <v>1200</v>
      </c>
      <c r="E182" s="54" t="s">
        <v>1201</v>
      </c>
      <c r="F182" s="5" t="s">
        <v>214</v>
      </c>
      <c r="G182" s="10">
        <f>DATE(2006,10,31)</f>
        <v>39021</v>
      </c>
      <c r="H182" s="35">
        <v>1.9618055555555554</v>
      </c>
      <c r="I182" s="5" t="s">
        <v>179</v>
      </c>
      <c r="J182" s="10" t="s">
        <v>1202</v>
      </c>
      <c r="K182" s="5" t="s">
        <v>216</v>
      </c>
      <c r="L182" s="5" t="s">
        <v>1203</v>
      </c>
      <c r="M182" s="5" t="s">
        <v>45</v>
      </c>
      <c r="N182" s="5">
        <v>0</v>
      </c>
      <c r="O182" s="5" t="s">
        <v>59</v>
      </c>
      <c r="P182" s="10" t="s">
        <v>282</v>
      </c>
      <c r="Q182" s="10" t="s">
        <v>218</v>
      </c>
      <c r="R182" s="10" t="s">
        <v>219</v>
      </c>
      <c r="S182" s="5">
        <v>0</v>
      </c>
      <c r="T182" s="37">
        <v>0</v>
      </c>
      <c r="U182" s="5">
        <v>0</v>
      </c>
      <c r="V182" s="37">
        <v>0</v>
      </c>
      <c r="W182" s="5">
        <v>0</v>
      </c>
      <c r="X182" s="5">
        <v>0</v>
      </c>
      <c r="Y182" s="5">
        <v>0</v>
      </c>
      <c r="Z182" s="37">
        <v>2</v>
      </c>
      <c r="AA182" s="5">
        <v>0</v>
      </c>
      <c r="AB182" s="5">
        <v>0</v>
      </c>
      <c r="AC182" s="5">
        <v>0</v>
      </c>
      <c r="AD182" s="5">
        <v>2</v>
      </c>
      <c r="AE182" s="10" t="s">
        <v>50</v>
      </c>
      <c r="AF182" s="10" t="s">
        <v>1204</v>
      </c>
      <c r="AG182" s="10" t="s">
        <v>114</v>
      </c>
      <c r="AH182" s="10" t="s">
        <v>50</v>
      </c>
      <c r="AI182" s="5">
        <v>4</v>
      </c>
      <c r="AJ182" s="10" t="s">
        <v>1205</v>
      </c>
      <c r="AK182" s="10" t="s">
        <v>1206</v>
      </c>
    </row>
    <row r="183" spans="1:37" ht="36.75" customHeight="1" x14ac:dyDescent="0.35">
      <c r="A183" s="5"/>
      <c r="B183" s="5" t="s">
        <v>37</v>
      </c>
      <c r="C183" s="73" t="str">
        <f t="shared" si="2"/>
        <v>Closed</v>
      </c>
      <c r="D183" s="45" t="s">
        <v>1207</v>
      </c>
      <c r="E183" s="54" t="s">
        <v>1208</v>
      </c>
      <c r="F183" s="5" t="s">
        <v>563</v>
      </c>
      <c r="G183" s="10">
        <f>DATE(2006,11,1)</f>
        <v>39022</v>
      </c>
      <c r="H183" s="35">
        <v>1.1118055555555555</v>
      </c>
      <c r="I183" s="5" t="s">
        <v>179</v>
      </c>
      <c r="J183" s="10" t="s">
        <v>1209</v>
      </c>
      <c r="K183" s="5" t="s">
        <v>565</v>
      </c>
      <c r="L183" s="5" t="s">
        <v>1210</v>
      </c>
      <c r="M183" s="5" t="s">
        <v>45</v>
      </c>
      <c r="N183" s="5" t="s">
        <v>70</v>
      </c>
      <c r="O183" s="5" t="s">
        <v>59</v>
      </c>
      <c r="P183" s="10" t="s">
        <v>1211</v>
      </c>
      <c r="Q183" s="10" t="s">
        <v>1212</v>
      </c>
      <c r="R183" s="10" t="s">
        <v>568</v>
      </c>
      <c r="S183" s="5">
        <v>0</v>
      </c>
      <c r="T183" s="37">
        <v>0</v>
      </c>
      <c r="U183" s="5">
        <v>0</v>
      </c>
      <c r="V183" s="37">
        <v>0</v>
      </c>
      <c r="W183" s="5">
        <v>0</v>
      </c>
      <c r="X183" s="5">
        <v>0</v>
      </c>
      <c r="Y183" s="5">
        <v>0</v>
      </c>
      <c r="Z183" s="37">
        <v>2</v>
      </c>
      <c r="AA183" s="5">
        <v>0</v>
      </c>
      <c r="AB183" s="5">
        <v>0</v>
      </c>
      <c r="AC183" s="5">
        <v>0</v>
      </c>
      <c r="AD183" s="5">
        <v>2</v>
      </c>
      <c r="AE183" s="10" t="s">
        <v>126</v>
      </c>
      <c r="AF183" s="10" t="s">
        <v>1213</v>
      </c>
      <c r="AG183" s="10" t="s">
        <v>64</v>
      </c>
      <c r="AH183" s="10">
        <v>39023</v>
      </c>
      <c r="AI183" s="5">
        <v>0</v>
      </c>
      <c r="AJ183" s="10" t="s">
        <v>1214</v>
      </c>
      <c r="AK183" s="10" t="s">
        <v>1215</v>
      </c>
    </row>
    <row r="184" spans="1:37" ht="36.75" customHeight="1" x14ac:dyDescent="0.35">
      <c r="A184" s="5"/>
      <c r="B184" s="5" t="s">
        <v>37</v>
      </c>
      <c r="C184" s="73" t="str">
        <f t="shared" si="2"/>
        <v>Closed</v>
      </c>
      <c r="D184" s="45" t="s">
        <v>1216</v>
      </c>
      <c r="E184" s="54" t="s">
        <v>1217</v>
      </c>
      <c r="F184" s="5" t="s">
        <v>404</v>
      </c>
      <c r="G184" s="10">
        <f>DATE(2006,11,6)</f>
        <v>39027</v>
      </c>
      <c r="H184" s="35">
        <v>1.7194444444444446</v>
      </c>
      <c r="I184" s="5" t="s">
        <v>97</v>
      </c>
      <c r="J184" s="10" t="s">
        <v>1218</v>
      </c>
      <c r="K184" s="5" t="s">
        <v>406</v>
      </c>
      <c r="L184" s="5" t="s">
        <v>1219</v>
      </c>
      <c r="M184" s="5" t="s">
        <v>45</v>
      </c>
      <c r="N184" s="5">
        <v>0</v>
      </c>
      <c r="O184" s="5" t="s">
        <v>46</v>
      </c>
      <c r="P184" s="10" t="s">
        <v>146</v>
      </c>
      <c r="Q184" s="10" t="s">
        <v>408</v>
      </c>
      <c r="R184" s="10" t="s">
        <v>408</v>
      </c>
      <c r="S184" s="5">
        <v>0</v>
      </c>
      <c r="T184" s="37">
        <v>0</v>
      </c>
      <c r="U184" s="5">
        <v>1</v>
      </c>
      <c r="V184" s="37">
        <v>0</v>
      </c>
      <c r="W184" s="5">
        <v>0</v>
      </c>
      <c r="X184" s="5">
        <v>1</v>
      </c>
      <c r="Y184" s="5">
        <v>0</v>
      </c>
      <c r="Z184" s="37">
        <v>0</v>
      </c>
      <c r="AA184" s="5">
        <v>0</v>
      </c>
      <c r="AB184" s="5">
        <v>0</v>
      </c>
      <c r="AC184" s="5">
        <v>0</v>
      </c>
      <c r="AD184" s="5">
        <v>0</v>
      </c>
      <c r="AE184" s="10" t="s">
        <v>50</v>
      </c>
      <c r="AF184" s="10" t="s">
        <v>1220</v>
      </c>
      <c r="AG184" s="10" t="s">
        <v>114</v>
      </c>
      <c r="AH184" s="10" t="s">
        <v>50</v>
      </c>
      <c r="AI184" s="5">
        <v>0</v>
      </c>
      <c r="AJ184" s="10" t="s">
        <v>50</v>
      </c>
      <c r="AK184" s="10" t="s">
        <v>50</v>
      </c>
    </row>
    <row r="185" spans="1:37" ht="36.75" customHeight="1" x14ac:dyDescent="0.35">
      <c r="A185" s="5"/>
      <c r="B185" s="5" t="s">
        <v>37</v>
      </c>
      <c r="C185" s="73" t="str">
        <f t="shared" si="2"/>
        <v>Closed</v>
      </c>
      <c r="D185" s="45" t="s">
        <v>1221</v>
      </c>
      <c r="E185" s="54" t="s">
        <v>1222</v>
      </c>
      <c r="F185" s="5" t="s">
        <v>105</v>
      </c>
      <c r="G185" s="10">
        <f>DATE(2006,11,6)</f>
        <v>39027</v>
      </c>
      <c r="H185" s="35">
        <v>1.1041666666666667</v>
      </c>
      <c r="I185" s="5" t="s">
        <v>137</v>
      </c>
      <c r="J185" s="10" t="s">
        <v>1223</v>
      </c>
      <c r="K185" s="5" t="s">
        <v>108</v>
      </c>
      <c r="L185" s="5" t="s">
        <v>1224</v>
      </c>
      <c r="M185" s="5" t="s">
        <v>45</v>
      </c>
      <c r="N185" s="5">
        <v>0</v>
      </c>
      <c r="O185" s="5" t="s">
        <v>46</v>
      </c>
      <c r="P185" s="10" t="s">
        <v>47</v>
      </c>
      <c r="Q185" s="10" t="s">
        <v>210</v>
      </c>
      <c r="R185" s="10" t="s">
        <v>148</v>
      </c>
      <c r="S185" s="5">
        <v>0</v>
      </c>
      <c r="T185" s="37" t="s">
        <v>50</v>
      </c>
      <c r="U185" s="5">
        <v>0</v>
      </c>
      <c r="V185" s="37" t="s">
        <v>50</v>
      </c>
      <c r="W185" s="5">
        <v>0</v>
      </c>
      <c r="X185" s="5">
        <v>0</v>
      </c>
      <c r="Y185" s="5">
        <v>0</v>
      </c>
      <c r="Z185" s="37" t="s">
        <v>50</v>
      </c>
      <c r="AA185" s="5">
        <v>0</v>
      </c>
      <c r="AB185" s="5">
        <v>0</v>
      </c>
      <c r="AC185" s="5">
        <v>0</v>
      </c>
      <c r="AD185" s="5">
        <v>0</v>
      </c>
      <c r="AE185" s="10" t="s">
        <v>50</v>
      </c>
      <c r="AF185" s="10" t="s">
        <v>1225</v>
      </c>
      <c r="AG185" s="10" t="s">
        <v>114</v>
      </c>
      <c r="AH185" s="10" t="s">
        <v>50</v>
      </c>
      <c r="AI185" s="5">
        <v>2</v>
      </c>
      <c r="AJ185" s="10" t="s">
        <v>1226</v>
      </c>
      <c r="AK185" s="10" t="s">
        <v>50</v>
      </c>
    </row>
    <row r="186" spans="1:37" ht="36.75" customHeight="1" x14ac:dyDescent="0.35">
      <c r="A186" s="5"/>
      <c r="B186" s="5" t="s">
        <v>37</v>
      </c>
      <c r="C186" s="73" t="str">
        <f t="shared" si="2"/>
        <v>Closed</v>
      </c>
      <c r="D186" s="45" t="s">
        <v>1227</v>
      </c>
      <c r="E186" s="54" t="s">
        <v>1228</v>
      </c>
      <c r="F186" s="5" t="s">
        <v>619</v>
      </c>
      <c r="G186" s="10">
        <f>DATE(2006,11,7)</f>
        <v>39028</v>
      </c>
      <c r="H186" s="35">
        <v>1.7604166666666665</v>
      </c>
      <c r="I186" s="5" t="s">
        <v>259</v>
      </c>
      <c r="J186" s="10" t="s">
        <v>1229</v>
      </c>
      <c r="K186" s="5" t="s">
        <v>621</v>
      </c>
      <c r="L186" s="5" t="s">
        <v>1230</v>
      </c>
      <c r="M186" s="5" t="s">
        <v>45</v>
      </c>
      <c r="N186" s="5">
        <v>0</v>
      </c>
      <c r="O186" s="5" t="s">
        <v>59</v>
      </c>
      <c r="P186" s="10" t="s">
        <v>146</v>
      </c>
      <c r="Q186" s="10" t="s">
        <v>623</v>
      </c>
      <c r="R186" s="10" t="s">
        <v>624</v>
      </c>
      <c r="S186" s="5">
        <v>0</v>
      </c>
      <c r="T186" s="37">
        <v>0</v>
      </c>
      <c r="U186" s="5">
        <v>0</v>
      </c>
      <c r="V186" s="37">
        <v>1</v>
      </c>
      <c r="W186" s="5">
        <v>0</v>
      </c>
      <c r="X186" s="5">
        <v>1</v>
      </c>
      <c r="Y186" s="5">
        <v>0</v>
      </c>
      <c r="Z186" s="37">
        <v>0</v>
      </c>
      <c r="AA186" s="5">
        <v>0</v>
      </c>
      <c r="AB186" s="5">
        <v>0</v>
      </c>
      <c r="AC186" s="5">
        <v>0</v>
      </c>
      <c r="AD186" s="5">
        <v>0</v>
      </c>
      <c r="AE186" s="10" t="s">
        <v>50</v>
      </c>
      <c r="AF186" s="10" t="s">
        <v>50</v>
      </c>
      <c r="AG186" s="10" t="s">
        <v>229</v>
      </c>
      <c r="AH186" s="10" t="s">
        <v>50</v>
      </c>
      <c r="AI186" s="5">
        <v>1</v>
      </c>
      <c r="AJ186" s="10" t="s">
        <v>50</v>
      </c>
      <c r="AK186" s="10" t="s">
        <v>50</v>
      </c>
    </row>
    <row r="187" spans="1:37" ht="36.75" customHeight="1" x14ac:dyDescent="0.35">
      <c r="A187" s="5"/>
      <c r="B187" s="5" t="s">
        <v>37</v>
      </c>
      <c r="C187" s="73" t="str">
        <f t="shared" si="2"/>
        <v>Closed</v>
      </c>
      <c r="D187" s="45" t="s">
        <v>1231</v>
      </c>
      <c r="E187" s="54" t="s">
        <v>1232</v>
      </c>
      <c r="F187" s="5" t="s">
        <v>575</v>
      </c>
      <c r="G187" s="10">
        <f>DATE(2006,11,7)</f>
        <v>39028</v>
      </c>
      <c r="H187" s="35">
        <v>1.226388888888889</v>
      </c>
      <c r="I187" s="5" t="s">
        <v>97</v>
      </c>
      <c r="J187" s="10" t="s">
        <v>1233</v>
      </c>
      <c r="K187" s="5" t="s">
        <v>577</v>
      </c>
      <c r="L187" s="5" t="s">
        <v>1234</v>
      </c>
      <c r="M187" s="5" t="s">
        <v>45</v>
      </c>
      <c r="N187" s="5">
        <v>0</v>
      </c>
      <c r="O187" s="5" t="s">
        <v>46</v>
      </c>
      <c r="P187" s="10" t="s">
        <v>146</v>
      </c>
      <c r="Q187" s="10" t="s">
        <v>579</v>
      </c>
      <c r="R187" s="10" t="s">
        <v>580</v>
      </c>
      <c r="S187" s="5">
        <v>0</v>
      </c>
      <c r="T187" s="37" t="s">
        <v>50</v>
      </c>
      <c r="U187" s="5">
        <v>1</v>
      </c>
      <c r="V187" s="37" t="s">
        <v>50</v>
      </c>
      <c r="W187" s="5">
        <v>0</v>
      </c>
      <c r="X187" s="5">
        <v>1</v>
      </c>
      <c r="Y187" s="5">
        <v>0</v>
      </c>
      <c r="Z187" s="37" t="s">
        <v>50</v>
      </c>
      <c r="AA187" s="5">
        <v>0</v>
      </c>
      <c r="AB187" s="5">
        <v>0</v>
      </c>
      <c r="AC187" s="5">
        <v>0</v>
      </c>
      <c r="AD187" s="5">
        <v>0</v>
      </c>
      <c r="AE187" s="10" t="s">
        <v>50</v>
      </c>
      <c r="AF187" s="10" t="s">
        <v>1235</v>
      </c>
      <c r="AG187" s="10" t="s">
        <v>64</v>
      </c>
      <c r="AH187" s="10" t="s">
        <v>50</v>
      </c>
      <c r="AI187" s="5">
        <v>0</v>
      </c>
      <c r="AJ187" s="10" t="s">
        <v>50</v>
      </c>
      <c r="AK187" s="10" t="s">
        <v>50</v>
      </c>
    </row>
    <row r="188" spans="1:37" ht="36.75" customHeight="1" x14ac:dyDescent="0.35">
      <c r="A188" s="5"/>
      <c r="B188" s="5" t="s">
        <v>37</v>
      </c>
      <c r="C188" s="73" t="str">
        <f t="shared" si="2"/>
        <v>Closed</v>
      </c>
      <c r="D188" s="45" t="s">
        <v>1236</v>
      </c>
      <c r="E188" s="54" t="s">
        <v>1237</v>
      </c>
      <c r="F188" s="5" t="s">
        <v>105</v>
      </c>
      <c r="G188" s="10">
        <f>DATE(2006,11,9)</f>
        <v>39030</v>
      </c>
      <c r="H188" s="35">
        <v>1.4618055555555556</v>
      </c>
      <c r="I188" s="5" t="s">
        <v>67</v>
      </c>
      <c r="J188" s="10" t="s">
        <v>1238</v>
      </c>
      <c r="K188" s="5" t="s">
        <v>108</v>
      </c>
      <c r="L188" s="5" t="s">
        <v>1239</v>
      </c>
      <c r="M188" s="5" t="s">
        <v>45</v>
      </c>
      <c r="N188" s="5">
        <v>0</v>
      </c>
      <c r="O188" s="5" t="s">
        <v>46</v>
      </c>
      <c r="P188" s="10" t="s">
        <v>146</v>
      </c>
      <c r="Q188" s="10" t="s">
        <v>210</v>
      </c>
      <c r="R188" s="10" t="s">
        <v>148</v>
      </c>
      <c r="S188" s="5">
        <v>0</v>
      </c>
      <c r="T188" s="37" t="s">
        <v>50</v>
      </c>
      <c r="U188" s="5">
        <v>0</v>
      </c>
      <c r="V188" s="37" t="s">
        <v>50</v>
      </c>
      <c r="W188" s="5">
        <v>0</v>
      </c>
      <c r="X188" s="5">
        <v>0</v>
      </c>
      <c r="Y188" s="5">
        <v>0</v>
      </c>
      <c r="Z188" s="37" t="s">
        <v>50</v>
      </c>
      <c r="AA188" s="5">
        <v>0</v>
      </c>
      <c r="AB188" s="5">
        <v>0</v>
      </c>
      <c r="AC188" s="5">
        <v>0</v>
      </c>
      <c r="AD188" s="5">
        <v>0</v>
      </c>
      <c r="AE188" s="10" t="s">
        <v>50</v>
      </c>
      <c r="AF188" s="10" t="s">
        <v>50</v>
      </c>
      <c r="AG188" s="10" t="s">
        <v>64</v>
      </c>
      <c r="AH188" s="10" t="s">
        <v>50</v>
      </c>
      <c r="AI188" s="5">
        <v>3</v>
      </c>
      <c r="AJ188" s="10" t="s">
        <v>50</v>
      </c>
      <c r="AK188" s="10" t="s">
        <v>50</v>
      </c>
    </row>
    <row r="189" spans="1:37" ht="36.75" customHeight="1" x14ac:dyDescent="0.35">
      <c r="A189" s="5"/>
      <c r="B189" s="5" t="s">
        <v>37</v>
      </c>
      <c r="C189" s="73" t="str">
        <f t="shared" si="2"/>
        <v>Closed</v>
      </c>
      <c r="D189" s="45" t="s">
        <v>1240</v>
      </c>
      <c r="E189" s="54" t="s">
        <v>1241</v>
      </c>
      <c r="F189" s="5" t="s">
        <v>619</v>
      </c>
      <c r="G189" s="10">
        <f>DATE(2006,11,10)</f>
        <v>39031</v>
      </c>
      <c r="H189" s="35">
        <v>1.0888888888888888</v>
      </c>
      <c r="I189" s="5" t="s">
        <v>259</v>
      </c>
      <c r="J189" s="10" t="s">
        <v>1242</v>
      </c>
      <c r="K189" s="5" t="s">
        <v>621</v>
      </c>
      <c r="L189" s="5" t="s">
        <v>1243</v>
      </c>
      <c r="M189" s="5" t="s">
        <v>45</v>
      </c>
      <c r="N189" s="5">
        <v>0</v>
      </c>
      <c r="O189" s="5" t="s">
        <v>46</v>
      </c>
      <c r="P189" s="10" t="s">
        <v>60</v>
      </c>
      <c r="Q189" s="10" t="s">
        <v>623</v>
      </c>
      <c r="R189" s="10" t="s">
        <v>624</v>
      </c>
      <c r="S189" s="5">
        <v>0</v>
      </c>
      <c r="T189" s="37">
        <v>1</v>
      </c>
      <c r="U189" s="5">
        <v>0</v>
      </c>
      <c r="V189" s="37">
        <v>0</v>
      </c>
      <c r="W189" s="5">
        <v>0</v>
      </c>
      <c r="X189" s="5">
        <v>1</v>
      </c>
      <c r="Y189" s="5">
        <v>0</v>
      </c>
      <c r="Z189" s="37">
        <v>0</v>
      </c>
      <c r="AA189" s="5">
        <v>0</v>
      </c>
      <c r="AB189" s="5">
        <v>0</v>
      </c>
      <c r="AC189" s="5">
        <v>0</v>
      </c>
      <c r="AD189" s="5">
        <v>0</v>
      </c>
      <c r="AE189" s="10" t="s">
        <v>50</v>
      </c>
      <c r="AF189" s="10" t="s">
        <v>1244</v>
      </c>
      <c r="AG189" s="10" t="s">
        <v>229</v>
      </c>
      <c r="AH189" s="10" t="s">
        <v>50</v>
      </c>
      <c r="AI189" s="5">
        <v>1</v>
      </c>
      <c r="AJ189" s="10" t="s">
        <v>50</v>
      </c>
      <c r="AK189" s="10" t="s">
        <v>50</v>
      </c>
    </row>
    <row r="190" spans="1:37" ht="36.75" customHeight="1" x14ac:dyDescent="0.35">
      <c r="A190" s="5"/>
      <c r="B190" s="5" t="s">
        <v>37</v>
      </c>
      <c r="C190" s="73" t="str">
        <f t="shared" si="2"/>
        <v>Closed</v>
      </c>
      <c r="D190" s="45" t="s">
        <v>1245</v>
      </c>
      <c r="E190" s="54" t="s">
        <v>1246</v>
      </c>
      <c r="F190" s="5" t="s">
        <v>96</v>
      </c>
      <c r="G190" s="10">
        <f>DATE(2006,11,10)</f>
        <v>39031</v>
      </c>
      <c r="H190" s="35">
        <v>1.4312499999999999</v>
      </c>
      <c r="I190" s="5" t="s">
        <v>259</v>
      </c>
      <c r="J190" s="10" t="s">
        <v>1247</v>
      </c>
      <c r="K190" s="5" t="s">
        <v>99</v>
      </c>
      <c r="L190" s="5" t="s">
        <v>1248</v>
      </c>
      <c r="M190" s="5" t="s">
        <v>45</v>
      </c>
      <c r="N190" s="5">
        <v>0</v>
      </c>
      <c r="O190" s="5" t="s">
        <v>59</v>
      </c>
      <c r="P190" s="10" t="s">
        <v>146</v>
      </c>
      <c r="Q190" s="10" t="s">
        <v>101</v>
      </c>
      <c r="R190" s="10" t="s">
        <v>102</v>
      </c>
      <c r="S190" s="5">
        <v>1</v>
      </c>
      <c r="T190" s="37">
        <v>0</v>
      </c>
      <c r="U190" s="5">
        <v>0</v>
      </c>
      <c r="V190" s="37">
        <v>0</v>
      </c>
      <c r="W190" s="5">
        <v>0</v>
      </c>
      <c r="X190" s="5">
        <v>1</v>
      </c>
      <c r="Y190" s="5">
        <v>0</v>
      </c>
      <c r="Z190" s="37">
        <v>0</v>
      </c>
      <c r="AA190" s="5">
        <v>0</v>
      </c>
      <c r="AB190" s="5">
        <v>0</v>
      </c>
      <c r="AC190" s="5">
        <v>0</v>
      </c>
      <c r="AD190" s="5">
        <v>0</v>
      </c>
      <c r="AE190" s="10" t="s">
        <v>50</v>
      </c>
      <c r="AF190" s="10" t="s">
        <v>50</v>
      </c>
      <c r="AG190" s="10" t="s">
        <v>64</v>
      </c>
      <c r="AH190" s="10" t="s">
        <v>50</v>
      </c>
      <c r="AI190" s="5">
        <v>0</v>
      </c>
      <c r="AJ190" s="10" t="s">
        <v>50</v>
      </c>
      <c r="AK190" s="10" t="s">
        <v>50</v>
      </c>
    </row>
    <row r="191" spans="1:37" ht="36.75" customHeight="1" x14ac:dyDescent="0.35">
      <c r="A191" s="5"/>
      <c r="B191" s="5" t="s">
        <v>37</v>
      </c>
      <c r="C191" s="73" t="str">
        <f t="shared" si="2"/>
        <v>Closed</v>
      </c>
      <c r="D191" s="45" t="s">
        <v>1249</v>
      </c>
      <c r="E191" s="54" t="s">
        <v>1250</v>
      </c>
      <c r="F191" s="5" t="s">
        <v>178</v>
      </c>
      <c r="G191" s="10">
        <f>DATE(2006,11,11)</f>
        <v>39032</v>
      </c>
      <c r="H191" s="35">
        <v>1.5625</v>
      </c>
      <c r="I191" s="5" t="s">
        <v>55</v>
      </c>
      <c r="J191" s="10" t="s">
        <v>1251</v>
      </c>
      <c r="K191" s="5" t="s">
        <v>181</v>
      </c>
      <c r="L191" s="5" t="s">
        <v>1252</v>
      </c>
      <c r="M191" s="5" t="s">
        <v>45</v>
      </c>
      <c r="N191" s="5">
        <v>0</v>
      </c>
      <c r="O191" s="5" t="s">
        <v>59</v>
      </c>
      <c r="P191" s="10" t="s">
        <v>60</v>
      </c>
      <c r="Q191" s="10" t="s">
        <v>1253</v>
      </c>
      <c r="R191" s="10" t="s">
        <v>184</v>
      </c>
      <c r="S191" s="5">
        <v>0</v>
      </c>
      <c r="T191" s="37" t="s">
        <v>50</v>
      </c>
      <c r="U191" s="5">
        <v>0</v>
      </c>
      <c r="V191" s="37" t="s">
        <v>50</v>
      </c>
      <c r="W191" s="5">
        <v>0</v>
      </c>
      <c r="X191" s="5">
        <v>0</v>
      </c>
      <c r="Y191" s="5">
        <v>0</v>
      </c>
      <c r="Z191" s="37" t="s">
        <v>50</v>
      </c>
      <c r="AA191" s="5">
        <v>0</v>
      </c>
      <c r="AB191" s="5">
        <v>0</v>
      </c>
      <c r="AC191" s="5">
        <v>0</v>
      </c>
      <c r="AD191" s="5">
        <v>0</v>
      </c>
      <c r="AE191" s="10" t="s">
        <v>50</v>
      </c>
      <c r="AF191" s="10" t="s">
        <v>1254</v>
      </c>
      <c r="AG191" s="10" t="s">
        <v>64</v>
      </c>
      <c r="AH191" s="10" t="s">
        <v>50</v>
      </c>
      <c r="AI191" s="5">
        <v>2</v>
      </c>
      <c r="AJ191" s="10" t="s">
        <v>50</v>
      </c>
      <c r="AK191" s="10" t="s">
        <v>50</v>
      </c>
    </row>
    <row r="192" spans="1:37" ht="36.75" customHeight="1" x14ac:dyDescent="0.35">
      <c r="A192" s="5"/>
      <c r="B192" s="5" t="s">
        <v>37</v>
      </c>
      <c r="C192" s="73" t="str">
        <f t="shared" si="2"/>
        <v>Closed</v>
      </c>
      <c r="D192" s="45" t="s">
        <v>1255</v>
      </c>
      <c r="E192" s="54" t="s">
        <v>1256</v>
      </c>
      <c r="F192" s="5" t="s">
        <v>619</v>
      </c>
      <c r="G192" s="10">
        <f>DATE(2006,11,11)</f>
        <v>39032</v>
      </c>
      <c r="H192" s="35">
        <v>1.7243055555555555</v>
      </c>
      <c r="I192" s="5" t="s">
        <v>259</v>
      </c>
      <c r="J192" s="10" t="s">
        <v>1257</v>
      </c>
      <c r="K192" s="5" t="s">
        <v>621</v>
      </c>
      <c r="L192" s="5" t="s">
        <v>1258</v>
      </c>
      <c r="M192" s="5" t="s">
        <v>45</v>
      </c>
      <c r="N192" s="5">
        <v>0</v>
      </c>
      <c r="O192" s="5" t="s">
        <v>46</v>
      </c>
      <c r="P192" s="10" t="s">
        <v>60</v>
      </c>
      <c r="Q192" s="10" t="s">
        <v>623</v>
      </c>
      <c r="R192" s="10" t="s">
        <v>624</v>
      </c>
      <c r="S192" s="5">
        <v>0</v>
      </c>
      <c r="T192" s="37">
        <v>0</v>
      </c>
      <c r="U192" s="5">
        <v>0</v>
      </c>
      <c r="V192" s="37">
        <v>1</v>
      </c>
      <c r="W192" s="5">
        <v>0</v>
      </c>
      <c r="X192" s="5">
        <v>1</v>
      </c>
      <c r="Y192" s="5">
        <v>0</v>
      </c>
      <c r="Z192" s="37">
        <v>0</v>
      </c>
      <c r="AA192" s="5">
        <v>0</v>
      </c>
      <c r="AB192" s="5">
        <v>0</v>
      </c>
      <c r="AC192" s="5">
        <v>0</v>
      </c>
      <c r="AD192" s="5">
        <v>0</v>
      </c>
      <c r="AE192" s="10" t="s">
        <v>50</v>
      </c>
      <c r="AF192" s="10" t="s">
        <v>50</v>
      </c>
      <c r="AG192" s="10" t="s">
        <v>229</v>
      </c>
      <c r="AH192" s="10" t="s">
        <v>50</v>
      </c>
      <c r="AI192" s="5">
        <v>1</v>
      </c>
      <c r="AJ192" s="10" t="s">
        <v>50</v>
      </c>
      <c r="AK192" s="10" t="s">
        <v>50</v>
      </c>
    </row>
    <row r="193" spans="1:37" ht="36.75" customHeight="1" x14ac:dyDescent="0.35">
      <c r="A193" s="5"/>
      <c r="B193" s="5" t="s">
        <v>37</v>
      </c>
      <c r="C193" s="73" t="str">
        <f t="shared" si="2"/>
        <v>Closed</v>
      </c>
      <c r="D193" s="91" t="s">
        <v>1259</v>
      </c>
      <c r="E193" s="54" t="s">
        <v>1260</v>
      </c>
      <c r="F193" s="5" t="s">
        <v>575</v>
      </c>
      <c r="G193" s="10">
        <f>DATE(2006,11,13)</f>
        <v>39034</v>
      </c>
      <c r="H193" s="35">
        <v>1.9131944444444446</v>
      </c>
      <c r="I193" s="5" t="s">
        <v>55</v>
      </c>
      <c r="J193" s="10" t="s">
        <v>1261</v>
      </c>
      <c r="K193" s="5" t="s">
        <v>577</v>
      </c>
      <c r="L193" s="5" t="s">
        <v>1262</v>
      </c>
      <c r="M193" s="5" t="s">
        <v>45</v>
      </c>
      <c r="N193" s="5" t="s">
        <v>1025</v>
      </c>
      <c r="O193" s="5" t="s">
        <v>46</v>
      </c>
      <c r="P193" s="10" t="s">
        <v>60</v>
      </c>
      <c r="Q193" s="10" t="s">
        <v>1263</v>
      </c>
      <c r="R193" s="10" t="s">
        <v>580</v>
      </c>
      <c r="S193" s="5">
        <v>0</v>
      </c>
      <c r="T193" s="5">
        <v>0</v>
      </c>
      <c r="U193" s="5">
        <v>0</v>
      </c>
      <c r="V193" s="5">
        <v>0</v>
      </c>
      <c r="W193" s="5">
        <v>0</v>
      </c>
      <c r="X193" s="5">
        <v>0</v>
      </c>
      <c r="Y193" s="5">
        <v>0</v>
      </c>
      <c r="Z193" s="5">
        <v>0</v>
      </c>
      <c r="AA193" s="5">
        <v>0</v>
      </c>
      <c r="AB193" s="5">
        <v>0</v>
      </c>
      <c r="AC193" s="5">
        <v>0</v>
      </c>
      <c r="AD193" s="5">
        <v>0</v>
      </c>
      <c r="AE193" s="10" t="s">
        <v>1264</v>
      </c>
      <c r="AF193" s="10" t="s">
        <v>1265</v>
      </c>
      <c r="AG193" s="10" t="s">
        <v>64</v>
      </c>
      <c r="AH193" s="10" t="s">
        <v>50</v>
      </c>
      <c r="AI193" s="5">
        <v>0</v>
      </c>
      <c r="AJ193" s="10" t="s">
        <v>50</v>
      </c>
      <c r="AK193" s="10" t="s">
        <v>50</v>
      </c>
    </row>
    <row r="194" spans="1:37" ht="36.75" customHeight="1" x14ac:dyDescent="0.35">
      <c r="A194" s="5"/>
      <c r="B194" s="5" t="s">
        <v>37</v>
      </c>
      <c r="C194" s="73" t="str">
        <f t="shared" ref="C194:C257" si="3">IF(B194="Notification","Open",IF(B194="Interim Statement","In progress","Closed"))</f>
        <v>Closed</v>
      </c>
      <c r="D194" s="45" t="s">
        <v>1266</v>
      </c>
      <c r="E194" s="54" t="s">
        <v>1267</v>
      </c>
      <c r="F194" s="5" t="s">
        <v>619</v>
      </c>
      <c r="G194" s="10">
        <f>DATE(2006,11,15)</f>
        <v>39036</v>
      </c>
      <c r="H194" s="35">
        <v>1.3680555555555556</v>
      </c>
      <c r="I194" s="5" t="s">
        <v>97</v>
      </c>
      <c r="J194" s="10" t="s">
        <v>1268</v>
      </c>
      <c r="K194" s="5" t="s">
        <v>621</v>
      </c>
      <c r="L194" s="5" t="s">
        <v>1269</v>
      </c>
      <c r="M194" s="5" t="s">
        <v>45</v>
      </c>
      <c r="N194" s="5">
        <v>0</v>
      </c>
      <c r="O194" s="5" t="s">
        <v>46</v>
      </c>
      <c r="P194" s="10" t="s">
        <v>146</v>
      </c>
      <c r="Q194" s="10" t="s">
        <v>623</v>
      </c>
      <c r="R194" s="10" t="s">
        <v>624</v>
      </c>
      <c r="S194" s="5">
        <v>0</v>
      </c>
      <c r="T194" s="37">
        <v>0</v>
      </c>
      <c r="U194" s="5">
        <v>1</v>
      </c>
      <c r="V194" s="37">
        <v>0</v>
      </c>
      <c r="W194" s="5">
        <v>0</v>
      </c>
      <c r="X194" s="5">
        <v>1</v>
      </c>
      <c r="Y194" s="5">
        <v>0</v>
      </c>
      <c r="Z194" s="37">
        <v>0</v>
      </c>
      <c r="AA194" s="5">
        <v>0</v>
      </c>
      <c r="AB194" s="5">
        <v>0</v>
      </c>
      <c r="AC194" s="5">
        <v>0</v>
      </c>
      <c r="AD194" s="5">
        <v>0</v>
      </c>
      <c r="AE194" s="10" t="s">
        <v>50</v>
      </c>
      <c r="AF194" s="10" t="s">
        <v>1270</v>
      </c>
      <c r="AG194" s="10" t="s">
        <v>229</v>
      </c>
      <c r="AH194" s="10" t="s">
        <v>50</v>
      </c>
      <c r="AI194" s="5">
        <v>1</v>
      </c>
      <c r="AJ194" s="10" t="s">
        <v>50</v>
      </c>
      <c r="AK194" s="10" t="s">
        <v>50</v>
      </c>
    </row>
    <row r="195" spans="1:37" ht="36.75" customHeight="1" x14ac:dyDescent="0.35">
      <c r="A195" s="5"/>
      <c r="B195" s="5" t="s">
        <v>37</v>
      </c>
      <c r="C195" s="73" t="str">
        <f t="shared" si="3"/>
        <v>Closed</v>
      </c>
      <c r="D195" s="45" t="s">
        <v>1271</v>
      </c>
      <c r="E195" s="54" t="s">
        <v>1272</v>
      </c>
      <c r="F195" s="5" t="s">
        <v>214</v>
      </c>
      <c r="G195" s="10">
        <f>DATE(2006,11,16)</f>
        <v>39037</v>
      </c>
      <c r="H195" s="35">
        <v>1.5208333333333335</v>
      </c>
      <c r="I195" s="5" t="s">
        <v>179</v>
      </c>
      <c r="J195" s="10" t="s">
        <v>1273</v>
      </c>
      <c r="K195" s="5" t="s">
        <v>216</v>
      </c>
      <c r="L195" s="5" t="s">
        <v>1274</v>
      </c>
      <c r="M195" s="5" t="s">
        <v>45</v>
      </c>
      <c r="N195" s="5">
        <v>0</v>
      </c>
      <c r="O195" s="5" t="s">
        <v>59</v>
      </c>
      <c r="P195" s="10" t="s">
        <v>67</v>
      </c>
      <c r="Q195" s="10" t="s">
        <v>1275</v>
      </c>
      <c r="R195" s="10" t="s">
        <v>1275</v>
      </c>
      <c r="S195" s="5">
        <v>0</v>
      </c>
      <c r="T195" s="37" t="s">
        <v>50</v>
      </c>
      <c r="U195" s="5">
        <v>0</v>
      </c>
      <c r="V195" s="37" t="s">
        <v>50</v>
      </c>
      <c r="W195" s="5">
        <v>0</v>
      </c>
      <c r="X195" s="5">
        <v>0</v>
      </c>
      <c r="Y195" s="5">
        <v>0</v>
      </c>
      <c r="Z195" s="37" t="s">
        <v>50</v>
      </c>
      <c r="AA195" s="5">
        <v>0</v>
      </c>
      <c r="AB195" s="5">
        <v>0</v>
      </c>
      <c r="AC195" s="5">
        <v>0</v>
      </c>
      <c r="AD195" s="5">
        <v>0</v>
      </c>
      <c r="AE195" s="10" t="s">
        <v>50</v>
      </c>
      <c r="AF195" s="10" t="s">
        <v>1276</v>
      </c>
      <c r="AG195" s="10" t="s">
        <v>229</v>
      </c>
      <c r="AH195" s="10" t="s">
        <v>50</v>
      </c>
      <c r="AI195" s="5">
        <v>5</v>
      </c>
      <c r="AJ195" s="10" t="s">
        <v>1277</v>
      </c>
      <c r="AK195" s="10" t="s">
        <v>1278</v>
      </c>
    </row>
    <row r="196" spans="1:37" ht="36.75" customHeight="1" x14ac:dyDescent="0.35">
      <c r="A196" s="5"/>
      <c r="B196" s="5" t="s">
        <v>37</v>
      </c>
      <c r="C196" s="73" t="str">
        <f t="shared" si="3"/>
        <v>Closed</v>
      </c>
      <c r="D196" s="45" t="s">
        <v>1279</v>
      </c>
      <c r="E196" s="54" t="s">
        <v>1280</v>
      </c>
      <c r="F196" s="5" t="s">
        <v>563</v>
      </c>
      <c r="G196" s="10">
        <f>DATE(2006,11,20)</f>
        <v>39041</v>
      </c>
      <c r="H196" s="35">
        <v>1.4326388888888888</v>
      </c>
      <c r="I196" s="5" t="s">
        <v>179</v>
      </c>
      <c r="J196" s="10" t="s">
        <v>1281</v>
      </c>
      <c r="K196" s="5" t="s">
        <v>565</v>
      </c>
      <c r="L196" s="5" t="s">
        <v>1282</v>
      </c>
      <c r="M196" s="5" t="s">
        <v>45</v>
      </c>
      <c r="N196" s="5">
        <v>0</v>
      </c>
      <c r="O196" s="5" t="s">
        <v>59</v>
      </c>
      <c r="P196" s="10" t="s">
        <v>146</v>
      </c>
      <c r="Q196" s="10" t="s">
        <v>1283</v>
      </c>
      <c r="R196" s="10" t="s">
        <v>1283</v>
      </c>
      <c r="S196" s="5">
        <v>0</v>
      </c>
      <c r="T196" s="37">
        <v>0</v>
      </c>
      <c r="U196" s="5">
        <v>0</v>
      </c>
      <c r="V196" s="37">
        <v>0</v>
      </c>
      <c r="W196" s="5">
        <v>0</v>
      </c>
      <c r="X196" s="5">
        <v>0</v>
      </c>
      <c r="Y196" s="5">
        <v>2</v>
      </c>
      <c r="Z196" s="37">
        <v>1</v>
      </c>
      <c r="AA196" s="5">
        <v>0</v>
      </c>
      <c r="AB196" s="5">
        <v>0</v>
      </c>
      <c r="AC196" s="5">
        <v>0</v>
      </c>
      <c r="AD196" s="5">
        <v>3</v>
      </c>
      <c r="AE196" s="10" t="s">
        <v>50</v>
      </c>
      <c r="AF196" s="10" t="s">
        <v>50</v>
      </c>
      <c r="AG196" s="10" t="s">
        <v>114</v>
      </c>
      <c r="AH196" s="10" t="s">
        <v>50</v>
      </c>
      <c r="AI196" s="5">
        <v>0</v>
      </c>
      <c r="AJ196" s="10" t="s">
        <v>50</v>
      </c>
      <c r="AK196" s="10" t="s">
        <v>50</v>
      </c>
    </row>
    <row r="197" spans="1:37" ht="36.75" customHeight="1" x14ac:dyDescent="0.35">
      <c r="A197" s="5"/>
      <c r="B197" s="5" t="s">
        <v>37</v>
      </c>
      <c r="C197" s="73" t="str">
        <f t="shared" si="3"/>
        <v>Closed</v>
      </c>
      <c r="D197" s="45" t="s">
        <v>1284</v>
      </c>
      <c r="E197" s="54" t="s">
        <v>1285</v>
      </c>
      <c r="F197" s="5" t="s">
        <v>214</v>
      </c>
      <c r="G197" s="10">
        <f>DATE(2006,11,20)</f>
        <v>39041</v>
      </c>
      <c r="H197" s="35">
        <v>1.6527777777777777</v>
      </c>
      <c r="I197" s="5" t="s">
        <v>55</v>
      </c>
      <c r="J197" s="10" t="s">
        <v>1286</v>
      </c>
      <c r="K197" s="5" t="s">
        <v>216</v>
      </c>
      <c r="L197" s="5" t="s">
        <v>1287</v>
      </c>
      <c r="M197" s="5" t="s">
        <v>45</v>
      </c>
      <c r="N197" s="5">
        <v>0</v>
      </c>
      <c r="O197" s="5" t="s">
        <v>46</v>
      </c>
      <c r="P197" s="10" t="s">
        <v>67</v>
      </c>
      <c r="Q197" s="10" t="s">
        <v>699</v>
      </c>
      <c r="R197" s="10" t="s">
        <v>219</v>
      </c>
      <c r="S197" s="5">
        <v>0</v>
      </c>
      <c r="T197" s="37" t="s">
        <v>50</v>
      </c>
      <c r="U197" s="5">
        <v>0</v>
      </c>
      <c r="V197" s="37" t="s">
        <v>50</v>
      </c>
      <c r="W197" s="5">
        <v>0</v>
      </c>
      <c r="X197" s="5">
        <v>0</v>
      </c>
      <c r="Y197" s="5">
        <v>0</v>
      </c>
      <c r="Z197" s="37" t="s">
        <v>50</v>
      </c>
      <c r="AA197" s="5">
        <v>0</v>
      </c>
      <c r="AB197" s="5">
        <v>0</v>
      </c>
      <c r="AC197" s="5">
        <v>0</v>
      </c>
      <c r="AD197" s="5">
        <v>0</v>
      </c>
      <c r="AE197" s="10" t="s">
        <v>50</v>
      </c>
      <c r="AF197" s="10" t="s">
        <v>1288</v>
      </c>
      <c r="AG197" s="10" t="s">
        <v>51</v>
      </c>
      <c r="AH197" s="10" t="s">
        <v>50</v>
      </c>
      <c r="AI197" s="5">
        <v>0</v>
      </c>
      <c r="AJ197" s="10" t="s">
        <v>50</v>
      </c>
      <c r="AK197" s="10" t="s">
        <v>50</v>
      </c>
    </row>
    <row r="198" spans="1:37" ht="36.75" customHeight="1" x14ac:dyDescent="0.35">
      <c r="A198" s="5"/>
      <c r="B198" s="5" t="s">
        <v>37</v>
      </c>
      <c r="C198" s="73" t="str">
        <f t="shared" si="3"/>
        <v>Closed</v>
      </c>
      <c r="D198" s="45" t="s">
        <v>1289</v>
      </c>
      <c r="E198" s="54" t="s">
        <v>1290</v>
      </c>
      <c r="F198" s="5" t="s">
        <v>619</v>
      </c>
      <c r="G198" s="10">
        <f>DATE(2006,11,21)</f>
        <v>39042</v>
      </c>
      <c r="H198" s="35">
        <v>1.6833333333333331</v>
      </c>
      <c r="I198" s="5" t="s">
        <v>97</v>
      </c>
      <c r="J198" s="10" t="s">
        <v>1291</v>
      </c>
      <c r="K198" s="5" t="s">
        <v>621</v>
      </c>
      <c r="L198" s="5" t="s">
        <v>1292</v>
      </c>
      <c r="M198" s="5" t="s">
        <v>45</v>
      </c>
      <c r="N198" s="5">
        <v>0</v>
      </c>
      <c r="O198" s="5" t="s">
        <v>46</v>
      </c>
      <c r="P198" s="10" t="s">
        <v>60</v>
      </c>
      <c r="Q198" s="10" t="s">
        <v>623</v>
      </c>
      <c r="R198" s="10" t="s">
        <v>624</v>
      </c>
      <c r="S198" s="5">
        <v>0</v>
      </c>
      <c r="T198" s="37">
        <v>0</v>
      </c>
      <c r="U198" s="5">
        <v>2</v>
      </c>
      <c r="V198" s="37">
        <v>0</v>
      </c>
      <c r="W198" s="5">
        <v>0</v>
      </c>
      <c r="X198" s="5">
        <v>2</v>
      </c>
      <c r="Y198" s="5">
        <v>0</v>
      </c>
      <c r="Z198" s="37">
        <v>0</v>
      </c>
      <c r="AA198" s="5">
        <v>0</v>
      </c>
      <c r="AB198" s="5">
        <v>0</v>
      </c>
      <c r="AC198" s="5">
        <v>0</v>
      </c>
      <c r="AD198" s="5">
        <v>0</v>
      </c>
      <c r="AE198" s="10" t="s">
        <v>50</v>
      </c>
      <c r="AF198" s="10" t="s">
        <v>50</v>
      </c>
      <c r="AG198" s="10" t="s">
        <v>229</v>
      </c>
      <c r="AH198" s="10" t="s">
        <v>50</v>
      </c>
      <c r="AI198" s="5">
        <v>1</v>
      </c>
      <c r="AJ198" s="10" t="s">
        <v>50</v>
      </c>
      <c r="AK198" s="10" t="s">
        <v>50</v>
      </c>
    </row>
    <row r="199" spans="1:37" ht="36.75" customHeight="1" x14ac:dyDescent="0.35">
      <c r="A199" s="5"/>
      <c r="B199" s="5" t="s">
        <v>37</v>
      </c>
      <c r="C199" s="73" t="str">
        <f t="shared" si="3"/>
        <v>Closed</v>
      </c>
      <c r="D199" s="45" t="s">
        <v>1293</v>
      </c>
      <c r="E199" s="54" t="s">
        <v>1294</v>
      </c>
      <c r="F199" s="5" t="s">
        <v>54</v>
      </c>
      <c r="G199" s="10">
        <f>DATE(2006,11,26)</f>
        <v>39047</v>
      </c>
      <c r="H199" s="35">
        <v>1.7708333333333335</v>
      </c>
      <c r="I199" s="5" t="s">
        <v>55</v>
      </c>
      <c r="J199" s="10" t="s">
        <v>1295</v>
      </c>
      <c r="K199" s="5" t="s">
        <v>57</v>
      </c>
      <c r="L199" s="5" t="s">
        <v>1296</v>
      </c>
      <c r="M199" s="5" t="s">
        <v>236</v>
      </c>
      <c r="N199" s="5">
        <v>0</v>
      </c>
      <c r="O199" s="5" t="s">
        <v>59</v>
      </c>
      <c r="P199" s="10" t="s">
        <v>67</v>
      </c>
      <c r="Q199" s="10" t="s">
        <v>1297</v>
      </c>
      <c r="R199" s="10" t="s">
        <v>1298</v>
      </c>
      <c r="S199" s="5">
        <v>0</v>
      </c>
      <c r="T199" s="37">
        <v>0</v>
      </c>
      <c r="U199" s="5">
        <v>0</v>
      </c>
      <c r="V199" s="37">
        <v>0</v>
      </c>
      <c r="W199" s="5">
        <v>0</v>
      </c>
      <c r="X199" s="5">
        <v>0</v>
      </c>
      <c r="Y199" s="5">
        <v>17</v>
      </c>
      <c r="Z199" s="37">
        <v>0</v>
      </c>
      <c r="AA199" s="5">
        <v>0</v>
      </c>
      <c r="AB199" s="5">
        <v>0</v>
      </c>
      <c r="AC199" s="5">
        <v>0</v>
      </c>
      <c r="AD199" s="5">
        <v>17</v>
      </c>
      <c r="AE199" s="10" t="s">
        <v>50</v>
      </c>
      <c r="AF199" s="10" t="s">
        <v>50</v>
      </c>
      <c r="AG199" s="10" t="s">
        <v>1299</v>
      </c>
      <c r="AH199" s="10" t="s">
        <v>50</v>
      </c>
      <c r="AI199" s="5">
        <v>2</v>
      </c>
      <c r="AJ199" s="10" t="s">
        <v>50</v>
      </c>
      <c r="AK199" s="10" t="s">
        <v>50</v>
      </c>
    </row>
    <row r="200" spans="1:37" ht="36.75" customHeight="1" x14ac:dyDescent="0.35">
      <c r="A200" s="5"/>
      <c r="B200" s="5" t="s">
        <v>37</v>
      </c>
      <c r="C200" s="73" t="str">
        <f t="shared" si="3"/>
        <v>Closed</v>
      </c>
      <c r="D200" s="45" t="s">
        <v>1300</v>
      </c>
      <c r="E200" s="54" t="s">
        <v>1301</v>
      </c>
      <c r="F200" s="5" t="s">
        <v>619</v>
      </c>
      <c r="G200" s="10">
        <f>DATE(2006,11,27)</f>
        <v>39048</v>
      </c>
      <c r="H200" s="35">
        <v>1.7999999999999998</v>
      </c>
      <c r="I200" s="5" t="s">
        <v>259</v>
      </c>
      <c r="J200" s="10" t="s">
        <v>1302</v>
      </c>
      <c r="K200" s="5" t="s">
        <v>621</v>
      </c>
      <c r="L200" s="5" t="s">
        <v>1303</v>
      </c>
      <c r="M200" s="5" t="s">
        <v>45</v>
      </c>
      <c r="N200" s="5">
        <v>0</v>
      </c>
      <c r="O200" s="5" t="s">
        <v>46</v>
      </c>
      <c r="P200" s="10" t="s">
        <v>47</v>
      </c>
      <c r="Q200" s="10" t="s">
        <v>623</v>
      </c>
      <c r="R200" s="10" t="s">
        <v>624</v>
      </c>
      <c r="S200" s="5">
        <v>0</v>
      </c>
      <c r="T200" s="37">
        <v>0</v>
      </c>
      <c r="U200" s="5">
        <v>0</v>
      </c>
      <c r="V200" s="37">
        <v>1</v>
      </c>
      <c r="W200" s="5">
        <v>0</v>
      </c>
      <c r="X200" s="5">
        <v>1</v>
      </c>
      <c r="Y200" s="5">
        <v>0</v>
      </c>
      <c r="Z200" s="37">
        <v>0</v>
      </c>
      <c r="AA200" s="5">
        <v>0</v>
      </c>
      <c r="AB200" s="5">
        <v>0</v>
      </c>
      <c r="AC200" s="5">
        <v>0</v>
      </c>
      <c r="AD200" s="5">
        <v>0</v>
      </c>
      <c r="AE200" s="10" t="s">
        <v>50</v>
      </c>
      <c r="AF200" s="10" t="s">
        <v>50</v>
      </c>
      <c r="AG200" s="10" t="s">
        <v>229</v>
      </c>
      <c r="AH200" s="10" t="s">
        <v>50</v>
      </c>
      <c r="AI200" s="5">
        <v>1</v>
      </c>
      <c r="AJ200" s="10" t="s">
        <v>50</v>
      </c>
      <c r="AK200" s="10" t="s">
        <v>50</v>
      </c>
    </row>
    <row r="201" spans="1:37" ht="36.75" customHeight="1" x14ac:dyDescent="0.35">
      <c r="A201" s="5"/>
      <c r="B201" s="5" t="s">
        <v>37</v>
      </c>
      <c r="C201" s="73" t="str">
        <f t="shared" si="3"/>
        <v>Closed</v>
      </c>
      <c r="D201" s="45" t="s">
        <v>1304</v>
      </c>
      <c r="E201" s="54" t="s">
        <v>1305</v>
      </c>
      <c r="F201" s="5" t="s">
        <v>575</v>
      </c>
      <c r="G201" s="10">
        <f>DATE(2006,11,27)</f>
        <v>39048</v>
      </c>
      <c r="H201" s="35">
        <v>1.7951388888888888</v>
      </c>
      <c r="I201" s="5" t="s">
        <v>97</v>
      </c>
      <c r="J201" s="10" t="s">
        <v>1306</v>
      </c>
      <c r="K201" s="5" t="s">
        <v>577</v>
      </c>
      <c r="L201" s="5" t="s">
        <v>1307</v>
      </c>
      <c r="M201" s="5" t="s">
        <v>45</v>
      </c>
      <c r="N201" s="5">
        <v>0</v>
      </c>
      <c r="O201" s="5" t="s">
        <v>46</v>
      </c>
      <c r="P201" s="10" t="s">
        <v>60</v>
      </c>
      <c r="Q201" s="10" t="s">
        <v>579</v>
      </c>
      <c r="R201" s="10" t="s">
        <v>580</v>
      </c>
      <c r="S201" s="5">
        <v>0</v>
      </c>
      <c r="T201" s="37">
        <v>0</v>
      </c>
      <c r="U201" s="5">
        <v>1</v>
      </c>
      <c r="V201" s="37">
        <v>0</v>
      </c>
      <c r="W201" s="5">
        <v>0</v>
      </c>
      <c r="X201" s="5">
        <v>1</v>
      </c>
      <c r="Y201" s="5">
        <v>0</v>
      </c>
      <c r="Z201" s="37">
        <v>0</v>
      </c>
      <c r="AA201" s="5">
        <v>0</v>
      </c>
      <c r="AB201" s="5">
        <v>0</v>
      </c>
      <c r="AC201" s="5">
        <v>0</v>
      </c>
      <c r="AD201" s="5">
        <v>0</v>
      </c>
      <c r="AE201" s="10" t="s">
        <v>50</v>
      </c>
      <c r="AF201" s="10" t="s">
        <v>1308</v>
      </c>
      <c r="AG201" s="10" t="s">
        <v>229</v>
      </c>
      <c r="AH201" s="10" t="s">
        <v>50</v>
      </c>
      <c r="AI201" s="5">
        <v>0</v>
      </c>
      <c r="AJ201" s="10" t="s">
        <v>50</v>
      </c>
      <c r="AK201" s="10" t="s">
        <v>50</v>
      </c>
    </row>
    <row r="202" spans="1:37" ht="36.75" customHeight="1" x14ac:dyDescent="0.35">
      <c r="A202" s="5"/>
      <c r="B202" s="5" t="s">
        <v>37</v>
      </c>
      <c r="C202" s="73" t="str">
        <f t="shared" si="3"/>
        <v>Closed</v>
      </c>
      <c r="D202" s="45" t="s">
        <v>1309</v>
      </c>
      <c r="E202" s="54" t="s">
        <v>1310</v>
      </c>
      <c r="F202" s="5" t="s">
        <v>619</v>
      </c>
      <c r="G202" s="10">
        <f>DATE(2006,11,28)</f>
        <v>39049</v>
      </c>
      <c r="H202" s="35">
        <v>1.3333333333333333</v>
      </c>
      <c r="I202" s="5" t="s">
        <v>259</v>
      </c>
      <c r="J202" s="10" t="s">
        <v>1311</v>
      </c>
      <c r="K202" s="5" t="s">
        <v>621</v>
      </c>
      <c r="L202" s="5" t="s">
        <v>1312</v>
      </c>
      <c r="M202" s="5" t="s">
        <v>45</v>
      </c>
      <c r="N202" s="5">
        <v>0</v>
      </c>
      <c r="O202" s="5" t="s">
        <v>46</v>
      </c>
      <c r="P202" s="10" t="s">
        <v>146</v>
      </c>
      <c r="Q202" s="10" t="s">
        <v>623</v>
      </c>
      <c r="R202" s="10" t="s">
        <v>624</v>
      </c>
      <c r="S202" s="5">
        <v>0</v>
      </c>
      <c r="T202" s="37">
        <v>0</v>
      </c>
      <c r="U202" s="5">
        <v>0</v>
      </c>
      <c r="V202" s="37">
        <v>1</v>
      </c>
      <c r="W202" s="5">
        <v>0</v>
      </c>
      <c r="X202" s="5">
        <v>1</v>
      </c>
      <c r="Y202" s="5">
        <v>0</v>
      </c>
      <c r="Z202" s="37">
        <v>0</v>
      </c>
      <c r="AA202" s="5">
        <v>0</v>
      </c>
      <c r="AB202" s="5">
        <v>0</v>
      </c>
      <c r="AC202" s="5">
        <v>0</v>
      </c>
      <c r="AD202" s="5">
        <v>0</v>
      </c>
      <c r="AE202" s="10" t="s">
        <v>50</v>
      </c>
      <c r="AF202" s="10" t="s">
        <v>50</v>
      </c>
      <c r="AG202" s="10" t="s">
        <v>229</v>
      </c>
      <c r="AH202" s="10" t="s">
        <v>50</v>
      </c>
      <c r="AI202" s="5">
        <v>1</v>
      </c>
      <c r="AJ202" s="10" t="s">
        <v>50</v>
      </c>
      <c r="AK202" s="10" t="s">
        <v>50</v>
      </c>
    </row>
    <row r="203" spans="1:37" ht="36.75" customHeight="1" x14ac:dyDescent="0.35">
      <c r="A203" s="5"/>
      <c r="B203" s="5" t="s">
        <v>37</v>
      </c>
      <c r="C203" s="73" t="str">
        <f t="shared" si="3"/>
        <v>Closed</v>
      </c>
      <c r="D203" s="45" t="s">
        <v>1313</v>
      </c>
      <c r="E203" s="54" t="s">
        <v>1314</v>
      </c>
      <c r="F203" s="5" t="s">
        <v>619</v>
      </c>
      <c r="G203" s="10">
        <f>DATE(2006,11,30)</f>
        <v>39051</v>
      </c>
      <c r="H203" s="35">
        <v>1.46875</v>
      </c>
      <c r="I203" s="5" t="s">
        <v>259</v>
      </c>
      <c r="J203" s="10" t="s">
        <v>1315</v>
      </c>
      <c r="K203" s="5" t="s">
        <v>621</v>
      </c>
      <c r="L203" s="5" t="s">
        <v>1316</v>
      </c>
      <c r="M203" s="5" t="s">
        <v>45</v>
      </c>
      <c r="N203" s="5">
        <v>0</v>
      </c>
      <c r="O203" s="5" t="s">
        <v>46</v>
      </c>
      <c r="P203" s="10" t="s">
        <v>47</v>
      </c>
      <c r="Q203" s="10" t="s">
        <v>623</v>
      </c>
      <c r="R203" s="10" t="s">
        <v>624</v>
      </c>
      <c r="S203" s="5">
        <v>0</v>
      </c>
      <c r="T203" s="37">
        <v>0</v>
      </c>
      <c r="U203" s="5">
        <v>0</v>
      </c>
      <c r="V203" s="37">
        <v>1</v>
      </c>
      <c r="W203" s="5">
        <v>0</v>
      </c>
      <c r="X203" s="5">
        <v>1</v>
      </c>
      <c r="Y203" s="5">
        <v>0</v>
      </c>
      <c r="Z203" s="37">
        <v>0</v>
      </c>
      <c r="AA203" s="5">
        <v>0</v>
      </c>
      <c r="AB203" s="5">
        <v>0</v>
      </c>
      <c r="AC203" s="5">
        <v>0</v>
      </c>
      <c r="AD203" s="5">
        <v>0</v>
      </c>
      <c r="AE203" s="10" t="s">
        <v>50</v>
      </c>
      <c r="AF203" s="10" t="s">
        <v>50</v>
      </c>
      <c r="AG203" s="10" t="s">
        <v>229</v>
      </c>
      <c r="AH203" s="10" t="s">
        <v>50</v>
      </c>
      <c r="AI203" s="5">
        <v>2</v>
      </c>
      <c r="AJ203" s="10" t="s">
        <v>50</v>
      </c>
      <c r="AK203" s="10" t="s">
        <v>50</v>
      </c>
    </row>
    <row r="204" spans="1:37" ht="36.75" customHeight="1" x14ac:dyDescent="0.35">
      <c r="A204" s="5"/>
      <c r="B204" s="5" t="s">
        <v>37</v>
      </c>
      <c r="C204" s="73" t="str">
        <f t="shared" si="3"/>
        <v>Closed</v>
      </c>
      <c r="D204" s="45" t="s">
        <v>1317</v>
      </c>
      <c r="E204" s="54" t="s">
        <v>1318</v>
      </c>
      <c r="F204" s="5" t="s">
        <v>619</v>
      </c>
      <c r="G204" s="10">
        <f>DATE(2006,12,1)</f>
        <v>39052</v>
      </c>
      <c r="H204" s="35">
        <v>1.7291666666666665</v>
      </c>
      <c r="I204" s="5" t="s">
        <v>259</v>
      </c>
      <c r="J204" s="10" t="s">
        <v>1319</v>
      </c>
      <c r="K204" s="5" t="s">
        <v>621</v>
      </c>
      <c r="L204" s="5" t="s">
        <v>1320</v>
      </c>
      <c r="M204" s="5" t="s">
        <v>45</v>
      </c>
      <c r="N204" s="5">
        <v>0</v>
      </c>
      <c r="O204" s="5" t="s">
        <v>46</v>
      </c>
      <c r="P204" s="10" t="s">
        <v>60</v>
      </c>
      <c r="Q204" s="10" t="s">
        <v>623</v>
      </c>
      <c r="R204" s="10" t="s">
        <v>624</v>
      </c>
      <c r="S204" s="5">
        <v>0</v>
      </c>
      <c r="T204" s="37">
        <v>0</v>
      </c>
      <c r="U204" s="5">
        <v>0</v>
      </c>
      <c r="V204" s="37">
        <v>1</v>
      </c>
      <c r="W204" s="5">
        <v>0</v>
      </c>
      <c r="X204" s="5">
        <v>1</v>
      </c>
      <c r="Y204" s="5">
        <v>0</v>
      </c>
      <c r="Z204" s="37">
        <v>0</v>
      </c>
      <c r="AA204" s="5">
        <v>0</v>
      </c>
      <c r="AB204" s="5">
        <v>1</v>
      </c>
      <c r="AC204" s="5">
        <v>0</v>
      </c>
      <c r="AD204" s="5">
        <v>1</v>
      </c>
      <c r="AE204" s="10" t="s">
        <v>50</v>
      </c>
      <c r="AF204" s="10" t="s">
        <v>50</v>
      </c>
      <c r="AG204" s="10" t="s">
        <v>229</v>
      </c>
      <c r="AH204" s="10" t="s">
        <v>50</v>
      </c>
      <c r="AI204" s="5">
        <v>0</v>
      </c>
      <c r="AJ204" s="10" t="s">
        <v>50</v>
      </c>
      <c r="AK204" s="10" t="s">
        <v>50</v>
      </c>
    </row>
    <row r="205" spans="1:37" ht="36.75" customHeight="1" x14ac:dyDescent="0.35">
      <c r="A205" s="5"/>
      <c r="B205" s="5" t="s">
        <v>37</v>
      </c>
      <c r="C205" s="73" t="str">
        <f t="shared" si="3"/>
        <v>Closed</v>
      </c>
      <c r="D205" s="45" t="s">
        <v>1321</v>
      </c>
      <c r="E205" s="54" t="s">
        <v>1322</v>
      </c>
      <c r="F205" s="5" t="s">
        <v>404</v>
      </c>
      <c r="G205" s="10">
        <f>DATE(2006,12,2)</f>
        <v>39053</v>
      </c>
      <c r="H205" s="35">
        <v>1.7826388888888891</v>
      </c>
      <c r="I205" s="5" t="s">
        <v>55</v>
      </c>
      <c r="J205" s="10" t="s">
        <v>1323</v>
      </c>
      <c r="K205" s="5" t="s">
        <v>406</v>
      </c>
      <c r="L205" s="5" t="s">
        <v>1324</v>
      </c>
      <c r="M205" s="5" t="s">
        <v>236</v>
      </c>
      <c r="N205" s="5">
        <v>0</v>
      </c>
      <c r="O205" s="5" t="s">
        <v>46</v>
      </c>
      <c r="P205" s="10" t="s">
        <v>67</v>
      </c>
      <c r="Q205" s="10" t="s">
        <v>1325</v>
      </c>
      <c r="R205" s="10" t="s">
        <v>1325</v>
      </c>
      <c r="S205" s="5">
        <v>0</v>
      </c>
      <c r="T205" s="37" t="s">
        <v>50</v>
      </c>
      <c r="U205" s="5">
        <v>0</v>
      </c>
      <c r="V205" s="37" t="s">
        <v>50</v>
      </c>
      <c r="W205" s="5">
        <v>0</v>
      </c>
      <c r="X205" s="5">
        <v>0</v>
      </c>
      <c r="Y205" s="5">
        <v>0</v>
      </c>
      <c r="Z205" s="37" t="s">
        <v>50</v>
      </c>
      <c r="AA205" s="5">
        <v>0</v>
      </c>
      <c r="AB205" s="5">
        <v>0</v>
      </c>
      <c r="AC205" s="5">
        <v>0</v>
      </c>
      <c r="AD205" s="5">
        <v>0</v>
      </c>
      <c r="AE205" s="10" t="s">
        <v>50</v>
      </c>
      <c r="AF205" s="10" t="s">
        <v>1326</v>
      </c>
      <c r="AG205" s="10" t="s">
        <v>348</v>
      </c>
      <c r="AH205" s="10" t="s">
        <v>50</v>
      </c>
      <c r="AI205" s="5">
        <v>0</v>
      </c>
      <c r="AJ205" s="10" t="s">
        <v>50</v>
      </c>
      <c r="AK205" s="10" t="s">
        <v>50</v>
      </c>
    </row>
    <row r="206" spans="1:37" ht="36.75" customHeight="1" x14ac:dyDescent="0.35">
      <c r="A206" s="5"/>
      <c r="B206" s="5" t="s">
        <v>37</v>
      </c>
      <c r="C206" s="73" t="str">
        <f t="shared" si="3"/>
        <v>Closed</v>
      </c>
      <c r="D206" s="45" t="s">
        <v>1327</v>
      </c>
      <c r="E206" s="54" t="s">
        <v>1328</v>
      </c>
      <c r="F206" s="5" t="s">
        <v>816</v>
      </c>
      <c r="G206" s="10">
        <f>DATE(2006,12,7)</f>
        <v>39058</v>
      </c>
      <c r="H206" s="35">
        <v>1.0986111111111112</v>
      </c>
      <c r="I206" s="5" t="s">
        <v>55</v>
      </c>
      <c r="J206" s="10" t="s">
        <v>1329</v>
      </c>
      <c r="K206" s="5" t="s">
        <v>818</v>
      </c>
      <c r="L206" s="5" t="s">
        <v>1330</v>
      </c>
      <c r="M206" s="5" t="s">
        <v>45</v>
      </c>
      <c r="N206" s="5">
        <v>0</v>
      </c>
      <c r="O206" s="5" t="s">
        <v>46</v>
      </c>
      <c r="P206" s="10" t="s">
        <v>60</v>
      </c>
      <c r="Q206" s="10" t="s">
        <v>1331</v>
      </c>
      <c r="R206" s="10" t="s">
        <v>821</v>
      </c>
      <c r="S206" s="5">
        <v>0</v>
      </c>
      <c r="T206" s="37" t="s">
        <v>50</v>
      </c>
      <c r="U206" s="5">
        <v>0</v>
      </c>
      <c r="V206" s="37" t="s">
        <v>50</v>
      </c>
      <c r="W206" s="5">
        <v>0</v>
      </c>
      <c r="X206" s="5">
        <v>0</v>
      </c>
      <c r="Y206" s="5">
        <v>0</v>
      </c>
      <c r="Z206" s="37" t="s">
        <v>50</v>
      </c>
      <c r="AA206" s="5">
        <v>0</v>
      </c>
      <c r="AB206" s="5">
        <v>0</v>
      </c>
      <c r="AC206" s="5">
        <v>0</v>
      </c>
      <c r="AD206" s="5">
        <v>0</v>
      </c>
      <c r="AE206" s="10" t="s">
        <v>50</v>
      </c>
      <c r="AF206" s="10" t="s">
        <v>1332</v>
      </c>
      <c r="AG206" s="10" t="s">
        <v>114</v>
      </c>
      <c r="AH206" s="10" t="s">
        <v>50</v>
      </c>
      <c r="AI206" s="5">
        <v>3</v>
      </c>
      <c r="AJ206" s="10" t="s">
        <v>50</v>
      </c>
      <c r="AK206" s="10" t="s">
        <v>50</v>
      </c>
    </row>
    <row r="207" spans="1:37" ht="36.75" customHeight="1" x14ac:dyDescent="0.35">
      <c r="A207" s="5"/>
      <c r="B207" s="5" t="s">
        <v>37</v>
      </c>
      <c r="C207" s="73" t="str">
        <f t="shared" si="3"/>
        <v>Closed</v>
      </c>
      <c r="D207" s="45" t="s">
        <v>1333</v>
      </c>
      <c r="E207" s="54" t="s">
        <v>1334</v>
      </c>
      <c r="F207" s="5" t="s">
        <v>619</v>
      </c>
      <c r="G207" s="10">
        <f>DATE(2006,12,11)</f>
        <v>39062</v>
      </c>
      <c r="H207" s="35">
        <v>1.9208333333333334</v>
      </c>
      <c r="I207" s="5" t="s">
        <v>259</v>
      </c>
      <c r="J207" s="10" t="s">
        <v>1335</v>
      </c>
      <c r="K207" s="5" t="s">
        <v>621</v>
      </c>
      <c r="L207" s="5" t="s">
        <v>1336</v>
      </c>
      <c r="M207" s="5" t="s">
        <v>45</v>
      </c>
      <c r="N207" s="5">
        <v>0</v>
      </c>
      <c r="O207" s="5" t="s">
        <v>59</v>
      </c>
      <c r="P207" s="10" t="s">
        <v>67</v>
      </c>
      <c r="Q207" s="10" t="s">
        <v>623</v>
      </c>
      <c r="R207" s="10" t="s">
        <v>624</v>
      </c>
      <c r="S207" s="5">
        <v>0</v>
      </c>
      <c r="T207" s="37">
        <v>0</v>
      </c>
      <c r="U207" s="5">
        <v>0</v>
      </c>
      <c r="V207" s="37">
        <v>1</v>
      </c>
      <c r="W207" s="5">
        <v>0</v>
      </c>
      <c r="X207" s="5">
        <v>1</v>
      </c>
      <c r="Y207" s="5">
        <v>0</v>
      </c>
      <c r="Z207" s="37">
        <v>0</v>
      </c>
      <c r="AA207" s="5">
        <v>0</v>
      </c>
      <c r="AB207" s="5">
        <v>0</v>
      </c>
      <c r="AC207" s="5">
        <v>0</v>
      </c>
      <c r="AD207" s="5">
        <v>0</v>
      </c>
      <c r="AE207" s="10" t="s">
        <v>50</v>
      </c>
      <c r="AF207" s="10" t="s">
        <v>50</v>
      </c>
      <c r="AG207" s="10" t="s">
        <v>229</v>
      </c>
      <c r="AH207" s="10" t="s">
        <v>50</v>
      </c>
      <c r="AI207" s="5">
        <v>2</v>
      </c>
      <c r="AJ207" s="10" t="s">
        <v>50</v>
      </c>
      <c r="AK207" s="10" t="s">
        <v>50</v>
      </c>
    </row>
    <row r="208" spans="1:37" ht="36.75" customHeight="1" x14ac:dyDescent="0.35">
      <c r="A208" s="5"/>
      <c r="B208" s="5" t="s">
        <v>37</v>
      </c>
      <c r="C208" s="73" t="str">
        <f t="shared" si="3"/>
        <v>Closed</v>
      </c>
      <c r="D208" s="45" t="s">
        <v>1337</v>
      </c>
      <c r="E208" s="54" t="s">
        <v>1338</v>
      </c>
      <c r="F208" s="5" t="s">
        <v>816</v>
      </c>
      <c r="G208" s="10">
        <f>DATE(2006,12,12)</f>
        <v>39063</v>
      </c>
      <c r="H208" s="35">
        <v>1.9333333333333331</v>
      </c>
      <c r="I208" s="5" t="s">
        <v>179</v>
      </c>
      <c r="J208" s="10" t="s">
        <v>1339</v>
      </c>
      <c r="K208" s="5" t="s">
        <v>818</v>
      </c>
      <c r="L208" s="5" t="s">
        <v>1340</v>
      </c>
      <c r="M208" s="5" t="s">
        <v>45</v>
      </c>
      <c r="N208" s="5">
        <v>0</v>
      </c>
      <c r="O208" s="5" t="s">
        <v>46</v>
      </c>
      <c r="P208" s="10" t="s">
        <v>1341</v>
      </c>
      <c r="Q208" s="10" t="s">
        <v>1342</v>
      </c>
      <c r="R208" s="10" t="s">
        <v>821</v>
      </c>
      <c r="S208" s="5">
        <v>0</v>
      </c>
      <c r="T208" s="37" t="s">
        <v>50</v>
      </c>
      <c r="U208" s="5">
        <v>0</v>
      </c>
      <c r="V208" s="37" t="s">
        <v>50</v>
      </c>
      <c r="W208" s="5">
        <v>0</v>
      </c>
      <c r="X208" s="5">
        <v>0</v>
      </c>
      <c r="Y208" s="5">
        <v>0</v>
      </c>
      <c r="Z208" s="37" t="s">
        <v>50</v>
      </c>
      <c r="AA208" s="5">
        <v>0</v>
      </c>
      <c r="AB208" s="5">
        <v>0</v>
      </c>
      <c r="AC208" s="5">
        <v>0</v>
      </c>
      <c r="AD208" s="5">
        <v>0</v>
      </c>
      <c r="AE208" s="10" t="s">
        <v>50</v>
      </c>
      <c r="AF208" s="10" t="s">
        <v>1343</v>
      </c>
      <c r="AG208" s="10" t="s">
        <v>114</v>
      </c>
      <c r="AH208" s="10" t="s">
        <v>50</v>
      </c>
      <c r="AI208" s="5">
        <v>0</v>
      </c>
      <c r="AJ208" s="10" t="s">
        <v>50</v>
      </c>
      <c r="AK208" s="10" t="s">
        <v>50</v>
      </c>
    </row>
    <row r="209" spans="1:37" ht="36.75" customHeight="1" x14ac:dyDescent="0.35">
      <c r="A209" s="5"/>
      <c r="B209" s="5" t="s">
        <v>37</v>
      </c>
      <c r="C209" s="73" t="str">
        <f t="shared" si="3"/>
        <v>Closed</v>
      </c>
      <c r="D209" s="45" t="s">
        <v>1344</v>
      </c>
      <c r="E209" s="54" t="s">
        <v>1345</v>
      </c>
      <c r="F209" s="5" t="s">
        <v>40</v>
      </c>
      <c r="G209" s="10">
        <f>DATE(2006,12,15)</f>
        <v>39066</v>
      </c>
      <c r="H209" s="35">
        <v>1.3631944444444444</v>
      </c>
      <c r="I209" s="5" t="s">
        <v>97</v>
      </c>
      <c r="J209" s="10" t="s">
        <v>1346</v>
      </c>
      <c r="K209" s="5" t="s">
        <v>43</v>
      </c>
      <c r="L209" s="5" t="s">
        <v>1347</v>
      </c>
      <c r="M209" s="5" t="s">
        <v>45</v>
      </c>
      <c r="N209" s="5">
        <v>0</v>
      </c>
      <c r="O209" s="5" t="s">
        <v>71</v>
      </c>
      <c r="P209" s="10" t="s">
        <v>72</v>
      </c>
      <c r="Q209" s="10" t="s">
        <v>48</v>
      </c>
      <c r="R209" s="10" t="s">
        <v>49</v>
      </c>
      <c r="S209" s="5">
        <v>0</v>
      </c>
      <c r="T209" s="37">
        <v>0</v>
      </c>
      <c r="U209" s="5">
        <v>0</v>
      </c>
      <c r="V209" s="37">
        <v>0</v>
      </c>
      <c r="W209" s="5">
        <v>0</v>
      </c>
      <c r="X209" s="5">
        <v>0</v>
      </c>
      <c r="Y209" s="5">
        <v>0</v>
      </c>
      <c r="Z209" s="37">
        <v>1</v>
      </c>
      <c r="AA209" s="5">
        <v>0</v>
      </c>
      <c r="AB209" s="5">
        <v>0</v>
      </c>
      <c r="AC209" s="5">
        <v>0</v>
      </c>
      <c r="AD209" s="5">
        <v>1</v>
      </c>
      <c r="AE209" s="10" t="s">
        <v>50</v>
      </c>
      <c r="AF209" s="10" t="s">
        <v>1348</v>
      </c>
      <c r="AG209" s="10" t="s">
        <v>51</v>
      </c>
      <c r="AH209" s="10" t="s">
        <v>50</v>
      </c>
      <c r="AI209" s="5">
        <v>0</v>
      </c>
      <c r="AJ209" s="10" t="s">
        <v>50</v>
      </c>
      <c r="AK209" s="10" t="s">
        <v>50</v>
      </c>
    </row>
    <row r="210" spans="1:37" ht="36.75" customHeight="1" x14ac:dyDescent="0.35">
      <c r="A210" s="5"/>
      <c r="B210" s="5" t="s">
        <v>37</v>
      </c>
      <c r="C210" s="73" t="str">
        <f t="shared" si="3"/>
        <v>Closed</v>
      </c>
      <c r="D210" s="45" t="s">
        <v>1349</v>
      </c>
      <c r="E210" s="54" t="s">
        <v>1350</v>
      </c>
      <c r="F210" s="5" t="s">
        <v>575</v>
      </c>
      <c r="G210" s="10">
        <f>DATE(2006,12,15)</f>
        <v>39066</v>
      </c>
      <c r="H210" s="35">
        <v>1.5013888888888889</v>
      </c>
      <c r="I210" s="5" t="s">
        <v>97</v>
      </c>
      <c r="J210" s="10" t="s">
        <v>1351</v>
      </c>
      <c r="K210" s="5" t="s">
        <v>577</v>
      </c>
      <c r="L210" s="5" t="s">
        <v>1352</v>
      </c>
      <c r="M210" s="5" t="s">
        <v>45</v>
      </c>
      <c r="N210" s="5">
        <v>0</v>
      </c>
      <c r="O210" s="5" t="s">
        <v>46</v>
      </c>
      <c r="P210" s="10" t="s">
        <v>146</v>
      </c>
      <c r="Q210" s="10" t="s">
        <v>579</v>
      </c>
      <c r="R210" s="10" t="s">
        <v>580</v>
      </c>
      <c r="S210" s="5">
        <v>0</v>
      </c>
      <c r="T210" s="37" t="s">
        <v>50</v>
      </c>
      <c r="U210" s="5">
        <v>1</v>
      </c>
      <c r="V210" s="37" t="s">
        <v>50</v>
      </c>
      <c r="W210" s="5">
        <v>0</v>
      </c>
      <c r="X210" s="5">
        <v>1</v>
      </c>
      <c r="Y210" s="5">
        <v>0</v>
      </c>
      <c r="Z210" s="37" t="s">
        <v>50</v>
      </c>
      <c r="AA210" s="5">
        <v>0</v>
      </c>
      <c r="AB210" s="5">
        <v>0</v>
      </c>
      <c r="AC210" s="5">
        <v>0</v>
      </c>
      <c r="AD210" s="5">
        <v>0</v>
      </c>
      <c r="AE210" s="10" t="s">
        <v>50</v>
      </c>
      <c r="AF210" s="10" t="s">
        <v>1353</v>
      </c>
      <c r="AG210" s="10" t="s">
        <v>64</v>
      </c>
      <c r="AH210" s="10" t="s">
        <v>50</v>
      </c>
      <c r="AI210" s="5">
        <v>0</v>
      </c>
      <c r="AJ210" s="10" t="s">
        <v>50</v>
      </c>
      <c r="AK210" s="10" t="s">
        <v>50</v>
      </c>
    </row>
    <row r="211" spans="1:37" ht="36.75" customHeight="1" x14ac:dyDescent="0.35">
      <c r="A211" s="5"/>
      <c r="B211" s="5" t="s">
        <v>37</v>
      </c>
      <c r="C211" s="73" t="str">
        <f t="shared" si="3"/>
        <v>Closed</v>
      </c>
      <c r="D211" s="45" t="s">
        <v>1354</v>
      </c>
      <c r="E211" s="54" t="s">
        <v>1355</v>
      </c>
      <c r="F211" s="5" t="s">
        <v>214</v>
      </c>
      <c r="G211" s="10">
        <f>DATE(2006,12,19)</f>
        <v>39070</v>
      </c>
      <c r="H211" s="35">
        <v>1.4861111111111112</v>
      </c>
      <c r="I211" s="5" t="s">
        <v>179</v>
      </c>
      <c r="J211" s="10" t="s">
        <v>1356</v>
      </c>
      <c r="K211" s="5" t="s">
        <v>216</v>
      </c>
      <c r="L211" s="5" t="s">
        <v>1357</v>
      </c>
      <c r="M211" s="5" t="s">
        <v>236</v>
      </c>
      <c r="N211" s="5">
        <v>0</v>
      </c>
      <c r="O211" s="5" t="s">
        <v>46</v>
      </c>
      <c r="P211" s="10" t="s">
        <v>67</v>
      </c>
      <c r="Q211" s="10" t="s">
        <v>781</v>
      </c>
      <c r="R211" s="10" t="s">
        <v>769</v>
      </c>
      <c r="S211" s="5">
        <v>0</v>
      </c>
      <c r="T211" s="37" t="s">
        <v>50</v>
      </c>
      <c r="U211" s="5">
        <v>0</v>
      </c>
      <c r="V211" s="37" t="s">
        <v>50</v>
      </c>
      <c r="W211" s="5">
        <v>0</v>
      </c>
      <c r="X211" s="5">
        <v>0</v>
      </c>
      <c r="Y211" s="5">
        <v>0</v>
      </c>
      <c r="Z211" s="37" t="s">
        <v>50</v>
      </c>
      <c r="AA211" s="5">
        <v>0</v>
      </c>
      <c r="AB211" s="5">
        <v>0</v>
      </c>
      <c r="AC211" s="5">
        <v>0</v>
      </c>
      <c r="AD211" s="5">
        <v>0</v>
      </c>
      <c r="AE211" s="10" t="s">
        <v>50</v>
      </c>
      <c r="AF211" s="10" t="s">
        <v>1358</v>
      </c>
      <c r="AG211" s="10" t="s">
        <v>114</v>
      </c>
      <c r="AH211" s="10" t="s">
        <v>50</v>
      </c>
      <c r="AI211" s="5">
        <v>3</v>
      </c>
      <c r="AJ211" s="10" t="s">
        <v>1359</v>
      </c>
      <c r="AK211" s="10" t="s">
        <v>1360</v>
      </c>
    </row>
    <row r="212" spans="1:37" ht="36.75" customHeight="1" x14ac:dyDescent="0.35">
      <c r="A212" s="5"/>
      <c r="B212" s="5" t="s">
        <v>37</v>
      </c>
      <c r="C212" s="73" t="str">
        <f t="shared" si="3"/>
        <v>Closed</v>
      </c>
      <c r="D212" s="45" t="s">
        <v>1361</v>
      </c>
      <c r="E212" s="54" t="s">
        <v>1362</v>
      </c>
      <c r="F212" s="5" t="s">
        <v>575</v>
      </c>
      <c r="G212" s="10">
        <f>DATE(2006,12,20)</f>
        <v>39071</v>
      </c>
      <c r="H212" s="35">
        <v>1.1909722222222223</v>
      </c>
      <c r="I212" s="5" t="s">
        <v>55</v>
      </c>
      <c r="J212" s="10" t="s">
        <v>1363</v>
      </c>
      <c r="K212" s="5" t="s">
        <v>577</v>
      </c>
      <c r="L212" s="5" t="s">
        <v>1364</v>
      </c>
      <c r="M212" s="5" t="s">
        <v>45</v>
      </c>
      <c r="N212" s="5">
        <v>0</v>
      </c>
      <c r="O212" s="5" t="s">
        <v>46</v>
      </c>
      <c r="P212" s="10" t="s">
        <v>60</v>
      </c>
      <c r="Q212" s="10" t="s">
        <v>579</v>
      </c>
      <c r="R212" s="10" t="s">
        <v>580</v>
      </c>
      <c r="S212" s="5">
        <v>0</v>
      </c>
      <c r="T212" s="37" t="s">
        <v>50</v>
      </c>
      <c r="U212" s="5">
        <v>0</v>
      </c>
      <c r="V212" s="37" t="s">
        <v>50</v>
      </c>
      <c r="W212" s="5">
        <v>0</v>
      </c>
      <c r="X212" s="5">
        <v>0</v>
      </c>
      <c r="Y212" s="5">
        <v>0</v>
      </c>
      <c r="Z212" s="37" t="s">
        <v>50</v>
      </c>
      <c r="AA212" s="5">
        <v>0</v>
      </c>
      <c r="AB212" s="5">
        <v>0</v>
      </c>
      <c r="AC212" s="5">
        <v>0</v>
      </c>
      <c r="AD212" s="5">
        <v>0</v>
      </c>
      <c r="AE212" s="10" t="s">
        <v>50</v>
      </c>
      <c r="AF212" s="10" t="s">
        <v>1365</v>
      </c>
      <c r="AG212" s="10" t="s">
        <v>114</v>
      </c>
      <c r="AH212" s="10" t="s">
        <v>50</v>
      </c>
      <c r="AI212" s="5">
        <v>0</v>
      </c>
      <c r="AJ212" s="10" t="s">
        <v>50</v>
      </c>
      <c r="AK212" s="10" t="s">
        <v>50</v>
      </c>
    </row>
    <row r="213" spans="1:37" ht="36.75" customHeight="1" x14ac:dyDescent="0.35">
      <c r="A213" s="5"/>
      <c r="B213" s="5" t="s">
        <v>37</v>
      </c>
      <c r="C213" s="73" t="str">
        <f t="shared" si="3"/>
        <v>Closed</v>
      </c>
      <c r="D213" s="45" t="s">
        <v>1366</v>
      </c>
      <c r="E213" s="54" t="s">
        <v>1367</v>
      </c>
      <c r="F213" s="5" t="s">
        <v>404</v>
      </c>
      <c r="G213" s="10">
        <f>DATE(2006,12,26)</f>
        <v>39077</v>
      </c>
      <c r="H213" s="35">
        <v>1.8027777777777776</v>
      </c>
      <c r="I213" s="5" t="s">
        <v>259</v>
      </c>
      <c r="J213" s="10" t="s">
        <v>1368</v>
      </c>
      <c r="K213" s="5" t="s">
        <v>406</v>
      </c>
      <c r="L213" s="5" t="s">
        <v>1369</v>
      </c>
      <c r="M213" s="5" t="s">
        <v>45</v>
      </c>
      <c r="N213" s="5">
        <v>0</v>
      </c>
      <c r="O213" s="5" t="s">
        <v>59</v>
      </c>
      <c r="P213" s="10" t="s">
        <v>47</v>
      </c>
      <c r="Q213" s="10" t="s">
        <v>971</v>
      </c>
      <c r="R213" s="10" t="s">
        <v>971</v>
      </c>
      <c r="S213" s="5">
        <v>1</v>
      </c>
      <c r="T213" s="37">
        <v>0</v>
      </c>
      <c r="U213" s="5">
        <v>0</v>
      </c>
      <c r="V213" s="37">
        <v>0</v>
      </c>
      <c r="W213" s="5">
        <v>0</v>
      </c>
      <c r="X213" s="5">
        <v>1</v>
      </c>
      <c r="Y213" s="5">
        <v>0</v>
      </c>
      <c r="Z213" s="37">
        <v>0</v>
      </c>
      <c r="AA213" s="5">
        <v>0</v>
      </c>
      <c r="AB213" s="5">
        <v>0</v>
      </c>
      <c r="AC213" s="5">
        <v>0</v>
      </c>
      <c r="AD213" s="5">
        <v>0</v>
      </c>
      <c r="AE213" s="10" t="s">
        <v>50</v>
      </c>
      <c r="AF213" s="10" t="s">
        <v>50</v>
      </c>
      <c r="AG213" s="10" t="s">
        <v>114</v>
      </c>
      <c r="AH213" s="10" t="s">
        <v>50</v>
      </c>
      <c r="AI213" s="5">
        <v>0</v>
      </c>
      <c r="AJ213" s="10" t="s">
        <v>1370</v>
      </c>
      <c r="AK213" s="10" t="s">
        <v>50</v>
      </c>
    </row>
    <row r="214" spans="1:37" ht="36.75" customHeight="1" x14ac:dyDescent="0.35">
      <c r="A214" s="5"/>
      <c r="B214" s="5" t="s">
        <v>37</v>
      </c>
      <c r="C214" s="73" t="str">
        <f t="shared" si="3"/>
        <v>Closed</v>
      </c>
      <c r="D214" s="45" t="s">
        <v>1371</v>
      </c>
      <c r="E214" s="54" t="s">
        <v>1372</v>
      </c>
      <c r="F214" s="5" t="s">
        <v>619</v>
      </c>
      <c r="G214" s="10">
        <f>DATE(2006,12,27)</f>
        <v>39078</v>
      </c>
      <c r="H214" s="35">
        <v>1.8548611111111111</v>
      </c>
      <c r="I214" s="5" t="s">
        <v>97</v>
      </c>
      <c r="J214" s="10" t="s">
        <v>1373</v>
      </c>
      <c r="K214" s="5" t="s">
        <v>621</v>
      </c>
      <c r="L214" s="5" t="s">
        <v>1374</v>
      </c>
      <c r="M214" s="5" t="s">
        <v>45</v>
      </c>
      <c r="N214" s="5">
        <v>0</v>
      </c>
      <c r="O214" s="5" t="s">
        <v>46</v>
      </c>
      <c r="P214" s="10" t="s">
        <v>47</v>
      </c>
      <c r="Q214" s="10" t="s">
        <v>623</v>
      </c>
      <c r="R214" s="10" t="s">
        <v>624</v>
      </c>
      <c r="S214" s="5">
        <v>0</v>
      </c>
      <c r="T214" s="37">
        <v>0</v>
      </c>
      <c r="U214" s="5">
        <v>1</v>
      </c>
      <c r="V214" s="37">
        <v>0</v>
      </c>
      <c r="W214" s="5">
        <v>0</v>
      </c>
      <c r="X214" s="5">
        <v>1</v>
      </c>
      <c r="Y214" s="5">
        <v>0</v>
      </c>
      <c r="Z214" s="37">
        <v>0</v>
      </c>
      <c r="AA214" s="5">
        <v>0</v>
      </c>
      <c r="AB214" s="5">
        <v>0</v>
      </c>
      <c r="AC214" s="5">
        <v>0</v>
      </c>
      <c r="AD214" s="5">
        <v>0</v>
      </c>
      <c r="AE214" s="10" t="s">
        <v>50</v>
      </c>
      <c r="AF214" s="10" t="s">
        <v>50</v>
      </c>
      <c r="AG214" s="10" t="s">
        <v>229</v>
      </c>
      <c r="AH214" s="10" t="s">
        <v>50</v>
      </c>
      <c r="AI214" s="5">
        <v>1</v>
      </c>
      <c r="AJ214" s="10" t="s">
        <v>50</v>
      </c>
      <c r="AK214" s="10" t="s">
        <v>50</v>
      </c>
    </row>
    <row r="215" spans="1:37" ht="36.75" customHeight="1" x14ac:dyDescent="0.35">
      <c r="A215" s="5"/>
      <c r="B215" s="5" t="s">
        <v>37</v>
      </c>
      <c r="C215" s="73" t="str">
        <f t="shared" si="3"/>
        <v>Closed</v>
      </c>
      <c r="D215" s="45" t="s">
        <v>1375</v>
      </c>
      <c r="E215" s="54" t="s">
        <v>1376</v>
      </c>
      <c r="F215" s="5" t="s">
        <v>816</v>
      </c>
      <c r="G215" s="10">
        <f>DATE(2006,12,27)</f>
        <v>39078</v>
      </c>
      <c r="H215" s="35">
        <v>1.7937500000000002</v>
      </c>
      <c r="I215" s="5" t="s">
        <v>55</v>
      </c>
      <c r="J215" s="10" t="s">
        <v>1377</v>
      </c>
      <c r="K215" s="5" t="s">
        <v>818</v>
      </c>
      <c r="L215" s="5" t="s">
        <v>1378</v>
      </c>
      <c r="M215" s="5" t="s">
        <v>45</v>
      </c>
      <c r="N215" s="5">
        <v>0</v>
      </c>
      <c r="O215" s="5" t="s">
        <v>46</v>
      </c>
      <c r="P215" s="10" t="s">
        <v>60</v>
      </c>
      <c r="Q215" s="10" t="s">
        <v>1379</v>
      </c>
      <c r="R215" s="10" t="s">
        <v>821</v>
      </c>
      <c r="S215" s="5">
        <v>0</v>
      </c>
      <c r="T215" s="37" t="s">
        <v>50</v>
      </c>
      <c r="U215" s="5">
        <v>0</v>
      </c>
      <c r="V215" s="37" t="s">
        <v>50</v>
      </c>
      <c r="W215" s="5">
        <v>0</v>
      </c>
      <c r="X215" s="5">
        <v>0</v>
      </c>
      <c r="Y215" s="5">
        <v>0</v>
      </c>
      <c r="Z215" s="37" t="s">
        <v>50</v>
      </c>
      <c r="AA215" s="5">
        <v>0</v>
      </c>
      <c r="AB215" s="5">
        <v>0</v>
      </c>
      <c r="AC215" s="5">
        <v>0</v>
      </c>
      <c r="AD215" s="5">
        <v>0</v>
      </c>
      <c r="AE215" s="10" t="s">
        <v>50</v>
      </c>
      <c r="AF215" s="10" t="s">
        <v>1380</v>
      </c>
      <c r="AG215" s="10" t="s">
        <v>114</v>
      </c>
      <c r="AH215" s="10" t="s">
        <v>50</v>
      </c>
      <c r="AI215" s="5">
        <v>1</v>
      </c>
      <c r="AJ215" s="10" t="s">
        <v>50</v>
      </c>
      <c r="AK215" s="10" t="s">
        <v>50</v>
      </c>
    </row>
    <row r="216" spans="1:37" ht="36.75" customHeight="1" x14ac:dyDescent="0.35">
      <c r="A216" s="5"/>
      <c r="B216" s="5" t="s">
        <v>37</v>
      </c>
      <c r="C216" s="73" t="str">
        <f t="shared" si="3"/>
        <v>Closed</v>
      </c>
      <c r="D216" s="45" t="s">
        <v>1381</v>
      </c>
      <c r="E216" s="54" t="s">
        <v>1382</v>
      </c>
      <c r="F216" s="5" t="s">
        <v>178</v>
      </c>
      <c r="G216" s="10">
        <f>DATE(2006,12,29)</f>
        <v>39080</v>
      </c>
      <c r="H216" s="35">
        <v>1.4222222222222223</v>
      </c>
      <c r="I216" s="5" t="s">
        <v>259</v>
      </c>
      <c r="J216" s="10" t="s">
        <v>1383</v>
      </c>
      <c r="K216" s="5" t="s">
        <v>181</v>
      </c>
      <c r="L216" s="5" t="s">
        <v>1384</v>
      </c>
      <c r="M216" s="5" t="s">
        <v>45</v>
      </c>
      <c r="N216" s="5">
        <v>0</v>
      </c>
      <c r="O216" s="5" t="s">
        <v>46</v>
      </c>
      <c r="P216" s="10" t="s">
        <v>47</v>
      </c>
      <c r="Q216" s="10" t="s">
        <v>183</v>
      </c>
      <c r="R216" s="10" t="s">
        <v>184</v>
      </c>
      <c r="S216" s="5">
        <v>0</v>
      </c>
      <c r="T216" s="37">
        <v>0</v>
      </c>
      <c r="U216" s="5">
        <v>0</v>
      </c>
      <c r="V216" s="37">
        <v>0</v>
      </c>
      <c r="W216" s="5">
        <v>3</v>
      </c>
      <c r="X216" s="5">
        <v>3</v>
      </c>
      <c r="Y216" s="5">
        <v>0</v>
      </c>
      <c r="Z216" s="37">
        <v>0</v>
      </c>
      <c r="AA216" s="5">
        <v>0</v>
      </c>
      <c r="AB216" s="5">
        <v>0</v>
      </c>
      <c r="AC216" s="5">
        <v>0</v>
      </c>
      <c r="AD216" s="5">
        <v>0</v>
      </c>
      <c r="AE216" s="10" t="s">
        <v>50</v>
      </c>
      <c r="AF216" s="10" t="s">
        <v>50</v>
      </c>
      <c r="AG216" s="10" t="s">
        <v>64</v>
      </c>
      <c r="AH216" s="10" t="s">
        <v>50</v>
      </c>
      <c r="AI216" s="5">
        <v>6</v>
      </c>
      <c r="AJ216" s="10" t="s">
        <v>50</v>
      </c>
      <c r="AK216" s="10" t="s">
        <v>50</v>
      </c>
    </row>
    <row r="217" spans="1:37" ht="36.75" customHeight="1" x14ac:dyDescent="0.35">
      <c r="A217" s="5"/>
      <c r="B217" s="5" t="s">
        <v>37</v>
      </c>
      <c r="C217" s="73" t="str">
        <f t="shared" si="3"/>
        <v>Closed</v>
      </c>
      <c r="D217" s="45" t="s">
        <v>1385</v>
      </c>
      <c r="E217" s="54" t="s">
        <v>1386</v>
      </c>
      <c r="F217" s="5" t="s">
        <v>619</v>
      </c>
      <c r="G217" s="10">
        <f>DATE(2006,12,31)</f>
        <v>39082</v>
      </c>
      <c r="H217" s="35">
        <v>1.8055555555555554</v>
      </c>
      <c r="I217" s="5" t="s">
        <v>259</v>
      </c>
      <c r="J217" s="10" t="s">
        <v>1387</v>
      </c>
      <c r="K217" s="5" t="s">
        <v>621</v>
      </c>
      <c r="L217" s="5" t="s">
        <v>1388</v>
      </c>
      <c r="M217" s="5" t="s">
        <v>45</v>
      </c>
      <c r="N217" s="5">
        <v>0</v>
      </c>
      <c r="O217" s="5" t="s">
        <v>67</v>
      </c>
      <c r="P217" s="10" t="s">
        <v>67</v>
      </c>
      <c r="Q217" s="10" t="s">
        <v>623</v>
      </c>
      <c r="R217" s="10" t="s">
        <v>624</v>
      </c>
      <c r="S217" s="5">
        <v>0</v>
      </c>
      <c r="T217" s="37">
        <v>0</v>
      </c>
      <c r="U217" s="5">
        <v>0</v>
      </c>
      <c r="V217" s="37">
        <v>1</v>
      </c>
      <c r="W217" s="5">
        <v>0</v>
      </c>
      <c r="X217" s="5">
        <v>1</v>
      </c>
      <c r="Y217" s="5">
        <v>0</v>
      </c>
      <c r="Z217" s="37">
        <v>0</v>
      </c>
      <c r="AA217" s="5">
        <v>0</v>
      </c>
      <c r="AB217" s="5">
        <v>0</v>
      </c>
      <c r="AC217" s="5">
        <v>0</v>
      </c>
      <c r="AD217" s="5">
        <v>0</v>
      </c>
      <c r="AE217" s="10" t="s">
        <v>50</v>
      </c>
      <c r="AF217" s="10" t="s">
        <v>50</v>
      </c>
      <c r="AG217" s="10" t="s">
        <v>229</v>
      </c>
      <c r="AH217" s="10" t="s">
        <v>50</v>
      </c>
      <c r="AI217" s="5">
        <v>2</v>
      </c>
      <c r="AJ217" s="10" t="s">
        <v>50</v>
      </c>
      <c r="AK217" s="10" t="s">
        <v>50</v>
      </c>
    </row>
    <row r="218" spans="1:37" ht="36.75" customHeight="1" x14ac:dyDescent="0.35">
      <c r="A218" s="5"/>
      <c r="B218" s="5" t="s">
        <v>37</v>
      </c>
      <c r="C218" s="73" t="str">
        <f t="shared" si="3"/>
        <v>Closed</v>
      </c>
      <c r="D218" s="45" t="s">
        <v>1389</v>
      </c>
      <c r="E218" s="54" t="s">
        <v>1390</v>
      </c>
      <c r="F218" s="5" t="s">
        <v>619</v>
      </c>
      <c r="G218" s="10">
        <f>DATE(2007,1,11)</f>
        <v>39093</v>
      </c>
      <c r="H218" s="35">
        <v>1.7715277777777776</v>
      </c>
      <c r="I218" s="5" t="s">
        <v>259</v>
      </c>
      <c r="J218" s="10" t="s">
        <v>1391</v>
      </c>
      <c r="K218" s="5" t="s">
        <v>621</v>
      </c>
      <c r="L218" s="5" t="s">
        <v>1392</v>
      </c>
      <c r="M218" s="5" t="s">
        <v>45</v>
      </c>
      <c r="N218" s="5">
        <v>0</v>
      </c>
      <c r="O218" s="5" t="s">
        <v>67</v>
      </c>
      <c r="P218" s="10" t="s">
        <v>47</v>
      </c>
      <c r="Q218" s="10" t="s">
        <v>623</v>
      </c>
      <c r="R218" s="10" t="s">
        <v>624</v>
      </c>
      <c r="S218" s="5">
        <v>0</v>
      </c>
      <c r="T218" s="37">
        <v>0</v>
      </c>
      <c r="U218" s="5">
        <v>0</v>
      </c>
      <c r="V218" s="37">
        <v>1</v>
      </c>
      <c r="W218" s="5">
        <v>0</v>
      </c>
      <c r="X218" s="5">
        <v>1</v>
      </c>
      <c r="Y218" s="5">
        <v>0</v>
      </c>
      <c r="Z218" s="37">
        <v>0</v>
      </c>
      <c r="AA218" s="5">
        <v>0</v>
      </c>
      <c r="AB218" s="5">
        <v>0</v>
      </c>
      <c r="AC218" s="5">
        <v>0</v>
      </c>
      <c r="AD218" s="5">
        <v>0</v>
      </c>
      <c r="AE218" s="10" t="s">
        <v>50</v>
      </c>
      <c r="AF218" s="10" t="s">
        <v>50</v>
      </c>
      <c r="AG218" s="10" t="s">
        <v>229</v>
      </c>
      <c r="AH218" s="10" t="s">
        <v>50</v>
      </c>
      <c r="AI218" s="5">
        <v>3</v>
      </c>
      <c r="AJ218" s="10" t="s">
        <v>50</v>
      </c>
      <c r="AK218" s="10" t="s">
        <v>50</v>
      </c>
    </row>
    <row r="219" spans="1:37" ht="36.75" customHeight="1" x14ac:dyDescent="0.35">
      <c r="A219" s="5"/>
      <c r="B219" s="5" t="s">
        <v>37</v>
      </c>
      <c r="C219" s="73" t="str">
        <f t="shared" si="3"/>
        <v>Closed</v>
      </c>
      <c r="D219" s="45" t="s">
        <v>1393</v>
      </c>
      <c r="E219" s="54" t="s">
        <v>1394</v>
      </c>
      <c r="F219" s="5" t="s">
        <v>404</v>
      </c>
      <c r="G219" s="10">
        <f>DATE(2007,1,12)</f>
        <v>39094</v>
      </c>
      <c r="H219" s="35">
        <v>1.7430555555555554</v>
      </c>
      <c r="I219" s="5" t="s">
        <v>97</v>
      </c>
      <c r="J219" s="10" t="s">
        <v>1395</v>
      </c>
      <c r="K219" s="5" t="s">
        <v>406</v>
      </c>
      <c r="L219" s="5" t="s">
        <v>1396</v>
      </c>
      <c r="M219" s="5" t="s">
        <v>45</v>
      </c>
      <c r="N219" s="5">
        <v>0</v>
      </c>
      <c r="O219" s="5" t="s">
        <v>67</v>
      </c>
      <c r="P219" s="10" t="s">
        <v>72</v>
      </c>
      <c r="Q219" s="10" t="s">
        <v>1397</v>
      </c>
      <c r="R219" s="10" t="s">
        <v>1397</v>
      </c>
      <c r="S219" s="5">
        <v>0</v>
      </c>
      <c r="T219" s="37">
        <v>0</v>
      </c>
      <c r="U219" s="5">
        <v>0</v>
      </c>
      <c r="V219" s="37">
        <v>0</v>
      </c>
      <c r="W219" s="5">
        <v>0</v>
      </c>
      <c r="X219" s="5">
        <v>0</v>
      </c>
      <c r="Y219" s="5">
        <v>0</v>
      </c>
      <c r="Z219" s="37">
        <v>0</v>
      </c>
      <c r="AA219" s="5">
        <v>1</v>
      </c>
      <c r="AB219" s="5">
        <v>0</v>
      </c>
      <c r="AC219" s="5">
        <v>0</v>
      </c>
      <c r="AD219" s="5">
        <v>1</v>
      </c>
      <c r="AE219" s="10" t="s">
        <v>50</v>
      </c>
      <c r="AF219" s="10" t="s">
        <v>1398</v>
      </c>
      <c r="AG219" s="10" t="s">
        <v>1399</v>
      </c>
      <c r="AH219" s="10" t="s">
        <v>50</v>
      </c>
      <c r="AI219" s="5">
        <v>0</v>
      </c>
      <c r="AJ219" s="10" t="s">
        <v>50</v>
      </c>
      <c r="AK219" s="10" t="s">
        <v>50</v>
      </c>
    </row>
    <row r="220" spans="1:37" ht="36.75" customHeight="1" x14ac:dyDescent="0.35">
      <c r="A220" s="5"/>
      <c r="B220" s="5" t="s">
        <v>37</v>
      </c>
      <c r="C220" s="73" t="str">
        <f t="shared" si="3"/>
        <v>Closed</v>
      </c>
      <c r="D220" s="45" t="s">
        <v>1400</v>
      </c>
      <c r="E220" s="54" t="s">
        <v>1401</v>
      </c>
      <c r="F220" s="5" t="s">
        <v>214</v>
      </c>
      <c r="G220" s="10">
        <f>DATE(2007,1,13)</f>
        <v>39095</v>
      </c>
      <c r="H220" s="35">
        <v>1.5208333333333335</v>
      </c>
      <c r="I220" s="5" t="s">
        <v>137</v>
      </c>
      <c r="J220" s="10" t="s">
        <v>1402</v>
      </c>
      <c r="K220" s="5" t="s">
        <v>216</v>
      </c>
      <c r="L220" s="5" t="s">
        <v>1403</v>
      </c>
      <c r="M220" s="5" t="s">
        <v>45</v>
      </c>
      <c r="N220" s="5">
        <v>0</v>
      </c>
      <c r="O220" s="5" t="s">
        <v>46</v>
      </c>
      <c r="P220" s="10" t="s">
        <v>146</v>
      </c>
      <c r="Q220" s="10" t="s">
        <v>353</v>
      </c>
      <c r="R220" s="10" t="s">
        <v>219</v>
      </c>
      <c r="S220" s="5">
        <v>0</v>
      </c>
      <c r="T220" s="37" t="s">
        <v>50</v>
      </c>
      <c r="U220" s="5">
        <v>0</v>
      </c>
      <c r="V220" s="37" t="s">
        <v>50</v>
      </c>
      <c r="W220" s="5">
        <v>0</v>
      </c>
      <c r="X220" s="5">
        <v>0</v>
      </c>
      <c r="Y220" s="5">
        <v>0</v>
      </c>
      <c r="Z220" s="37" t="s">
        <v>50</v>
      </c>
      <c r="AA220" s="5">
        <v>0</v>
      </c>
      <c r="AB220" s="5">
        <v>0</v>
      </c>
      <c r="AC220" s="5">
        <v>0</v>
      </c>
      <c r="AD220" s="5">
        <v>0</v>
      </c>
      <c r="AE220" s="10" t="s">
        <v>50</v>
      </c>
      <c r="AF220" s="10" t="s">
        <v>50</v>
      </c>
      <c r="AG220" s="10" t="s">
        <v>114</v>
      </c>
      <c r="AH220" s="10" t="s">
        <v>50</v>
      </c>
      <c r="AI220" s="5">
        <v>9</v>
      </c>
      <c r="AJ220" s="10" t="s">
        <v>1404</v>
      </c>
      <c r="AK220" s="10" t="s">
        <v>1405</v>
      </c>
    </row>
    <row r="221" spans="1:37" ht="36.75" customHeight="1" x14ac:dyDescent="0.35">
      <c r="A221" s="5"/>
      <c r="B221" s="5" t="s">
        <v>37</v>
      </c>
      <c r="C221" s="73" t="str">
        <f t="shared" si="3"/>
        <v>Closed</v>
      </c>
      <c r="D221" s="45" t="s">
        <v>1406</v>
      </c>
      <c r="E221" s="54" t="s">
        <v>1407</v>
      </c>
      <c r="F221" s="5" t="s">
        <v>214</v>
      </c>
      <c r="G221" s="10">
        <f>DATE(2007,1,15)</f>
        <v>39097</v>
      </c>
      <c r="H221" s="35">
        <v>1.9263888888888889</v>
      </c>
      <c r="I221" s="5" t="s">
        <v>137</v>
      </c>
      <c r="J221" s="10" t="s">
        <v>1408</v>
      </c>
      <c r="K221" s="5" t="s">
        <v>216</v>
      </c>
      <c r="L221" s="5" t="s">
        <v>1409</v>
      </c>
      <c r="M221" s="5" t="s">
        <v>45</v>
      </c>
      <c r="N221" s="5">
        <v>0</v>
      </c>
      <c r="O221" s="5" t="s">
        <v>46</v>
      </c>
      <c r="P221" s="10" t="s">
        <v>146</v>
      </c>
      <c r="Q221" s="10" t="s">
        <v>1410</v>
      </c>
      <c r="R221" s="10" t="s">
        <v>219</v>
      </c>
      <c r="S221" s="5">
        <v>0</v>
      </c>
      <c r="T221" s="37" t="s">
        <v>50</v>
      </c>
      <c r="U221" s="5">
        <v>0</v>
      </c>
      <c r="V221" s="37" t="s">
        <v>50</v>
      </c>
      <c r="W221" s="5">
        <v>0</v>
      </c>
      <c r="X221" s="5">
        <v>0</v>
      </c>
      <c r="Y221" s="5">
        <v>0</v>
      </c>
      <c r="Z221" s="37" t="s">
        <v>50</v>
      </c>
      <c r="AA221" s="5">
        <v>0</v>
      </c>
      <c r="AB221" s="5">
        <v>0</v>
      </c>
      <c r="AC221" s="5">
        <v>0</v>
      </c>
      <c r="AD221" s="5">
        <v>0</v>
      </c>
      <c r="AE221" s="10" t="s">
        <v>50</v>
      </c>
      <c r="AF221" s="10" t="s">
        <v>50</v>
      </c>
      <c r="AG221" s="10" t="s">
        <v>114</v>
      </c>
      <c r="AH221" s="10" t="s">
        <v>50</v>
      </c>
      <c r="AI221" s="5">
        <v>2</v>
      </c>
      <c r="AJ221" s="10" t="s">
        <v>1411</v>
      </c>
      <c r="AK221" s="10" t="s">
        <v>1412</v>
      </c>
    </row>
    <row r="222" spans="1:37" ht="36.75" customHeight="1" x14ac:dyDescent="0.35">
      <c r="A222" s="5"/>
      <c r="B222" s="5" t="s">
        <v>37</v>
      </c>
      <c r="C222" s="73" t="str">
        <f t="shared" si="3"/>
        <v>Closed</v>
      </c>
      <c r="D222" s="45" t="s">
        <v>1413</v>
      </c>
      <c r="E222" s="54" t="s">
        <v>1414</v>
      </c>
      <c r="F222" s="5" t="s">
        <v>619</v>
      </c>
      <c r="G222" s="10">
        <f>DATE(2007,1,17)</f>
        <v>39099</v>
      </c>
      <c r="H222" s="35">
        <v>1.4583333333333333</v>
      </c>
      <c r="I222" s="5" t="s">
        <v>259</v>
      </c>
      <c r="J222" s="10" t="s">
        <v>1415</v>
      </c>
      <c r="K222" s="5" t="s">
        <v>621</v>
      </c>
      <c r="L222" s="5" t="s">
        <v>1416</v>
      </c>
      <c r="M222" s="5" t="s">
        <v>45</v>
      </c>
      <c r="N222" s="5">
        <v>0</v>
      </c>
      <c r="O222" s="5" t="s">
        <v>59</v>
      </c>
      <c r="P222" s="10" t="s">
        <v>60</v>
      </c>
      <c r="Q222" s="10" t="s">
        <v>623</v>
      </c>
      <c r="R222" s="10" t="s">
        <v>624</v>
      </c>
      <c r="S222" s="5">
        <v>0</v>
      </c>
      <c r="T222" s="37">
        <v>0</v>
      </c>
      <c r="U222" s="5">
        <v>0</v>
      </c>
      <c r="V222" s="37">
        <v>1</v>
      </c>
      <c r="W222" s="5">
        <v>0</v>
      </c>
      <c r="X222" s="5">
        <v>1</v>
      </c>
      <c r="Y222" s="5">
        <v>0</v>
      </c>
      <c r="Z222" s="37">
        <v>0</v>
      </c>
      <c r="AA222" s="5">
        <v>0</v>
      </c>
      <c r="AB222" s="5">
        <v>0</v>
      </c>
      <c r="AC222" s="5">
        <v>0</v>
      </c>
      <c r="AD222" s="5">
        <v>0</v>
      </c>
      <c r="AE222" s="10" t="s">
        <v>50</v>
      </c>
      <c r="AF222" s="10" t="s">
        <v>50</v>
      </c>
      <c r="AG222" s="10" t="s">
        <v>229</v>
      </c>
      <c r="AH222" s="10" t="s">
        <v>50</v>
      </c>
      <c r="AI222" s="5">
        <v>3</v>
      </c>
      <c r="AJ222" s="10" t="s">
        <v>50</v>
      </c>
      <c r="AK222" s="10" t="s">
        <v>50</v>
      </c>
    </row>
    <row r="223" spans="1:37" ht="36.75" customHeight="1" x14ac:dyDescent="0.35">
      <c r="A223" s="5"/>
      <c r="B223" s="5" t="s">
        <v>37</v>
      </c>
      <c r="C223" s="73" t="str">
        <f t="shared" si="3"/>
        <v>Closed</v>
      </c>
      <c r="D223" s="45" t="s">
        <v>1417</v>
      </c>
      <c r="E223" s="54" t="s">
        <v>1418</v>
      </c>
      <c r="F223" s="5" t="s">
        <v>40</v>
      </c>
      <c r="G223" s="10">
        <f>DATE(2007,1,17)</f>
        <v>39099</v>
      </c>
      <c r="H223" s="35">
        <v>1.4527777777777777</v>
      </c>
      <c r="I223" s="5" t="s">
        <v>97</v>
      </c>
      <c r="J223" s="10" t="s">
        <v>1419</v>
      </c>
      <c r="K223" s="5" t="s">
        <v>43</v>
      </c>
      <c r="L223" s="5" t="s">
        <v>1420</v>
      </c>
      <c r="M223" s="5" t="s">
        <v>45</v>
      </c>
      <c r="N223" s="5" t="s">
        <v>80</v>
      </c>
      <c r="O223" s="5" t="s">
        <v>46</v>
      </c>
      <c r="P223" s="10" t="s">
        <v>60</v>
      </c>
      <c r="Q223" s="10" t="s">
        <v>48</v>
      </c>
      <c r="R223" s="10" t="s">
        <v>49</v>
      </c>
      <c r="S223" s="5">
        <v>0</v>
      </c>
      <c r="T223" s="37">
        <v>0</v>
      </c>
      <c r="U223" s="5">
        <v>1</v>
      </c>
      <c r="V223" s="37">
        <v>0</v>
      </c>
      <c r="W223" s="5">
        <v>0</v>
      </c>
      <c r="X223" s="5">
        <v>1</v>
      </c>
      <c r="Y223" s="5">
        <v>0</v>
      </c>
      <c r="Z223" s="37">
        <v>0</v>
      </c>
      <c r="AA223" s="5">
        <v>0</v>
      </c>
      <c r="AB223" s="5">
        <v>0</v>
      </c>
      <c r="AC223" s="5">
        <v>0</v>
      </c>
      <c r="AD223" s="5">
        <v>0</v>
      </c>
      <c r="AE223" s="10" t="s">
        <v>73</v>
      </c>
      <c r="AF223" s="10" t="s">
        <v>1421</v>
      </c>
      <c r="AG223" s="10" t="s">
        <v>64</v>
      </c>
      <c r="AH223" s="10">
        <v>39100</v>
      </c>
      <c r="AI223" s="5">
        <v>4</v>
      </c>
      <c r="AJ223" s="10" t="s">
        <v>1422</v>
      </c>
      <c r="AK223" s="10" t="s">
        <v>50</v>
      </c>
    </row>
    <row r="224" spans="1:37" ht="36.75" customHeight="1" x14ac:dyDescent="0.35">
      <c r="A224" s="5"/>
      <c r="B224" s="5" t="s">
        <v>37</v>
      </c>
      <c r="C224" s="73" t="str">
        <f t="shared" si="3"/>
        <v>Closed</v>
      </c>
      <c r="D224" s="45" t="s">
        <v>1423</v>
      </c>
      <c r="E224" s="54" t="s">
        <v>1424</v>
      </c>
      <c r="F224" s="5" t="s">
        <v>816</v>
      </c>
      <c r="G224" s="10">
        <f>DATE(2007,1,17)</f>
        <v>39099</v>
      </c>
      <c r="H224" s="35">
        <v>1.7513888888888891</v>
      </c>
      <c r="I224" s="5" t="s">
        <v>85</v>
      </c>
      <c r="J224" s="10" t="s">
        <v>1425</v>
      </c>
      <c r="K224" s="5" t="s">
        <v>818</v>
      </c>
      <c r="L224" s="5" t="s">
        <v>1426</v>
      </c>
      <c r="M224" s="5" t="s">
        <v>45</v>
      </c>
      <c r="N224" s="5">
        <v>0</v>
      </c>
      <c r="O224" s="5" t="s">
        <v>59</v>
      </c>
      <c r="P224" s="10" t="s">
        <v>146</v>
      </c>
      <c r="Q224" s="10" t="s">
        <v>820</v>
      </c>
      <c r="R224" s="10" t="s">
        <v>821</v>
      </c>
      <c r="S224" s="5">
        <v>0</v>
      </c>
      <c r="T224" s="37" t="s">
        <v>50</v>
      </c>
      <c r="U224" s="5">
        <v>0</v>
      </c>
      <c r="V224" s="37" t="s">
        <v>50</v>
      </c>
      <c r="W224" s="5">
        <v>0</v>
      </c>
      <c r="X224" s="5">
        <v>0</v>
      </c>
      <c r="Y224" s="5">
        <v>0</v>
      </c>
      <c r="Z224" s="37" t="s">
        <v>50</v>
      </c>
      <c r="AA224" s="5">
        <v>0</v>
      </c>
      <c r="AB224" s="5">
        <v>0</v>
      </c>
      <c r="AC224" s="5">
        <v>0</v>
      </c>
      <c r="AD224" s="5">
        <v>0</v>
      </c>
      <c r="AE224" s="10" t="s">
        <v>50</v>
      </c>
      <c r="AF224" s="10" t="s">
        <v>50</v>
      </c>
      <c r="AG224" s="10" t="s">
        <v>114</v>
      </c>
      <c r="AH224" s="10" t="s">
        <v>50</v>
      </c>
      <c r="AI224" s="5">
        <v>1</v>
      </c>
      <c r="AJ224" s="10" t="s">
        <v>50</v>
      </c>
      <c r="AK224" s="10" t="s">
        <v>50</v>
      </c>
    </row>
    <row r="225" spans="1:37" ht="36.75" customHeight="1" x14ac:dyDescent="0.35">
      <c r="A225" s="5"/>
      <c r="B225" s="5" t="s">
        <v>37</v>
      </c>
      <c r="C225" s="73" t="str">
        <f t="shared" si="3"/>
        <v>Closed</v>
      </c>
      <c r="D225" s="45" t="s">
        <v>1427</v>
      </c>
      <c r="E225" s="54" t="s">
        <v>1428</v>
      </c>
      <c r="F225" s="5" t="s">
        <v>214</v>
      </c>
      <c r="G225" s="10">
        <f>DATE(2007,1,17)</f>
        <v>39099</v>
      </c>
      <c r="H225" s="35">
        <v>1.71875</v>
      </c>
      <c r="I225" s="5" t="s">
        <v>55</v>
      </c>
      <c r="J225" s="10" t="s">
        <v>1429</v>
      </c>
      <c r="K225" s="5" t="s">
        <v>216</v>
      </c>
      <c r="L225" s="5" t="s">
        <v>1430</v>
      </c>
      <c r="M225" s="5" t="s">
        <v>236</v>
      </c>
      <c r="N225" s="5">
        <v>0</v>
      </c>
      <c r="O225" s="5" t="s">
        <v>46</v>
      </c>
      <c r="P225" s="10" t="s">
        <v>67</v>
      </c>
      <c r="Q225" s="10" t="s">
        <v>1431</v>
      </c>
      <c r="R225" s="10" t="s">
        <v>1431</v>
      </c>
      <c r="S225" s="5">
        <v>0</v>
      </c>
      <c r="T225" s="37" t="s">
        <v>50</v>
      </c>
      <c r="U225" s="5">
        <v>0</v>
      </c>
      <c r="V225" s="37" t="s">
        <v>50</v>
      </c>
      <c r="W225" s="5">
        <v>0</v>
      </c>
      <c r="X225" s="5">
        <v>0</v>
      </c>
      <c r="Y225" s="5">
        <v>0</v>
      </c>
      <c r="Z225" s="37" t="s">
        <v>50</v>
      </c>
      <c r="AA225" s="5">
        <v>0</v>
      </c>
      <c r="AB225" s="5">
        <v>0</v>
      </c>
      <c r="AC225" s="5">
        <v>0</v>
      </c>
      <c r="AD225" s="5">
        <v>0</v>
      </c>
      <c r="AE225" s="10" t="s">
        <v>50</v>
      </c>
      <c r="AF225" s="10" t="s">
        <v>50</v>
      </c>
      <c r="AG225" s="10" t="s">
        <v>229</v>
      </c>
      <c r="AH225" s="10" t="s">
        <v>50</v>
      </c>
      <c r="AI225" s="5">
        <v>5</v>
      </c>
      <c r="AJ225" s="10" t="s">
        <v>1432</v>
      </c>
      <c r="AK225" s="10" t="s">
        <v>1433</v>
      </c>
    </row>
    <row r="226" spans="1:37" ht="36.75" customHeight="1" x14ac:dyDescent="0.35">
      <c r="A226" s="5"/>
      <c r="B226" s="5" t="s">
        <v>37</v>
      </c>
      <c r="C226" s="73" t="str">
        <f t="shared" si="3"/>
        <v>Closed</v>
      </c>
      <c r="D226" s="45" t="s">
        <v>1434</v>
      </c>
      <c r="E226" s="54" t="s">
        <v>1435</v>
      </c>
      <c r="F226" s="5" t="s">
        <v>404</v>
      </c>
      <c r="G226" s="10">
        <f>DATE(2007,1,18)</f>
        <v>39100</v>
      </c>
      <c r="H226" s="35">
        <v>1.9458333333333333</v>
      </c>
      <c r="I226" s="5" t="s">
        <v>137</v>
      </c>
      <c r="J226" s="10" t="s">
        <v>1436</v>
      </c>
      <c r="K226" s="5" t="s">
        <v>406</v>
      </c>
      <c r="L226" s="5" t="s">
        <v>1437</v>
      </c>
      <c r="M226" s="5" t="s">
        <v>45</v>
      </c>
      <c r="N226" s="5">
        <v>0</v>
      </c>
      <c r="O226" s="5" t="s">
        <v>46</v>
      </c>
      <c r="P226" s="10" t="s">
        <v>47</v>
      </c>
      <c r="Q226" s="10" t="s">
        <v>408</v>
      </c>
      <c r="R226" s="10" t="s">
        <v>408</v>
      </c>
      <c r="S226" s="5">
        <v>0</v>
      </c>
      <c r="T226" s="37" t="s">
        <v>50</v>
      </c>
      <c r="U226" s="5">
        <v>0</v>
      </c>
      <c r="V226" s="37" t="s">
        <v>50</v>
      </c>
      <c r="W226" s="5">
        <v>0</v>
      </c>
      <c r="X226" s="5">
        <v>0</v>
      </c>
      <c r="Y226" s="5">
        <v>0</v>
      </c>
      <c r="Z226" s="37" t="s">
        <v>50</v>
      </c>
      <c r="AA226" s="5">
        <v>0</v>
      </c>
      <c r="AB226" s="5">
        <v>0</v>
      </c>
      <c r="AC226" s="5">
        <v>0</v>
      </c>
      <c r="AD226" s="5">
        <v>0</v>
      </c>
      <c r="AE226" s="10" t="s">
        <v>50</v>
      </c>
      <c r="AF226" s="10" t="s">
        <v>1438</v>
      </c>
      <c r="AG226" s="10" t="s">
        <v>1439</v>
      </c>
      <c r="AH226" s="10" t="s">
        <v>50</v>
      </c>
      <c r="AI226" s="5">
        <v>6</v>
      </c>
      <c r="AJ226" s="10" t="s">
        <v>50</v>
      </c>
      <c r="AK226" s="10" t="s">
        <v>50</v>
      </c>
    </row>
    <row r="227" spans="1:37" ht="36.75" customHeight="1" x14ac:dyDescent="0.35">
      <c r="A227" s="5"/>
      <c r="B227" s="5" t="s">
        <v>37</v>
      </c>
      <c r="C227" s="73" t="str">
        <f t="shared" si="3"/>
        <v>Closed</v>
      </c>
      <c r="D227" s="45" t="s">
        <v>1440</v>
      </c>
      <c r="E227" s="54" t="s">
        <v>1441</v>
      </c>
      <c r="F227" s="5" t="s">
        <v>619</v>
      </c>
      <c r="G227" s="10">
        <f>DATE(2007,1,18)</f>
        <v>39100</v>
      </c>
      <c r="H227" s="35">
        <v>1.0347222222222223</v>
      </c>
      <c r="I227" s="5" t="s">
        <v>97</v>
      </c>
      <c r="J227" s="10" t="s">
        <v>1442</v>
      </c>
      <c r="K227" s="5" t="s">
        <v>621</v>
      </c>
      <c r="L227" s="5" t="s">
        <v>1443</v>
      </c>
      <c r="M227" s="5" t="s">
        <v>45</v>
      </c>
      <c r="N227" s="5">
        <v>0</v>
      </c>
      <c r="O227" s="5" t="s">
        <v>59</v>
      </c>
      <c r="P227" s="10" t="s">
        <v>146</v>
      </c>
      <c r="Q227" s="10" t="s">
        <v>623</v>
      </c>
      <c r="R227" s="10" t="s">
        <v>624</v>
      </c>
      <c r="S227" s="5">
        <v>0</v>
      </c>
      <c r="T227" s="37">
        <v>0</v>
      </c>
      <c r="U227" s="5">
        <v>1</v>
      </c>
      <c r="V227" s="37">
        <v>0</v>
      </c>
      <c r="W227" s="5">
        <v>0</v>
      </c>
      <c r="X227" s="5">
        <v>1</v>
      </c>
      <c r="Y227" s="5">
        <v>0</v>
      </c>
      <c r="Z227" s="37">
        <v>0</v>
      </c>
      <c r="AA227" s="5">
        <v>0</v>
      </c>
      <c r="AB227" s="5">
        <v>0</v>
      </c>
      <c r="AC227" s="5">
        <v>0</v>
      </c>
      <c r="AD227" s="5">
        <v>0</v>
      </c>
      <c r="AE227" s="10" t="s">
        <v>50</v>
      </c>
      <c r="AF227" s="10" t="s">
        <v>50</v>
      </c>
      <c r="AG227" s="10" t="s">
        <v>229</v>
      </c>
      <c r="AH227" s="10" t="s">
        <v>50</v>
      </c>
      <c r="AI227" s="5">
        <v>1</v>
      </c>
      <c r="AJ227" s="10" t="s">
        <v>50</v>
      </c>
      <c r="AK227" s="10" t="s">
        <v>50</v>
      </c>
    </row>
    <row r="228" spans="1:37" ht="36.75" customHeight="1" x14ac:dyDescent="0.35">
      <c r="A228" s="5"/>
      <c r="B228" s="5" t="s">
        <v>37</v>
      </c>
      <c r="C228" s="73" t="str">
        <f t="shared" si="3"/>
        <v>Closed</v>
      </c>
      <c r="D228" s="45" t="s">
        <v>1444</v>
      </c>
      <c r="E228" s="54" t="s">
        <v>1445</v>
      </c>
      <c r="F228" s="5" t="s">
        <v>563</v>
      </c>
      <c r="G228" s="10">
        <f>DATE(2007,1,23)</f>
        <v>39105</v>
      </c>
      <c r="H228" s="35">
        <v>1.1381944444444445</v>
      </c>
      <c r="I228" s="5" t="s">
        <v>55</v>
      </c>
      <c r="J228" s="10" t="s">
        <v>1446</v>
      </c>
      <c r="K228" s="5" t="s">
        <v>565</v>
      </c>
      <c r="L228" s="5" t="s">
        <v>1447</v>
      </c>
      <c r="M228" s="5" t="s">
        <v>45</v>
      </c>
      <c r="N228" s="5">
        <v>0</v>
      </c>
      <c r="O228" s="5" t="s">
        <v>46</v>
      </c>
      <c r="P228" s="10" t="s">
        <v>60</v>
      </c>
      <c r="Q228" s="10" t="s">
        <v>567</v>
      </c>
      <c r="R228" s="10" t="s">
        <v>568</v>
      </c>
      <c r="S228" s="5">
        <v>0</v>
      </c>
      <c r="T228" s="37" t="s">
        <v>50</v>
      </c>
      <c r="U228" s="5">
        <v>0</v>
      </c>
      <c r="V228" s="37" t="s">
        <v>50</v>
      </c>
      <c r="W228" s="5">
        <v>0</v>
      </c>
      <c r="X228" s="5">
        <v>0</v>
      </c>
      <c r="Y228" s="5">
        <v>0</v>
      </c>
      <c r="Z228" s="37" t="s">
        <v>50</v>
      </c>
      <c r="AA228" s="5">
        <v>0</v>
      </c>
      <c r="AB228" s="5">
        <v>0</v>
      </c>
      <c r="AC228" s="5">
        <v>0</v>
      </c>
      <c r="AD228" s="5">
        <v>0</v>
      </c>
      <c r="AE228" s="10" t="s">
        <v>50</v>
      </c>
      <c r="AF228" s="10" t="s">
        <v>1448</v>
      </c>
      <c r="AG228" s="10" t="s">
        <v>64</v>
      </c>
      <c r="AH228" s="10" t="s">
        <v>50</v>
      </c>
      <c r="AI228" s="5">
        <v>0</v>
      </c>
      <c r="AJ228" s="10" t="s">
        <v>1449</v>
      </c>
      <c r="AK228" s="10" t="s">
        <v>50</v>
      </c>
    </row>
    <row r="229" spans="1:37" ht="36.75" customHeight="1" x14ac:dyDescent="0.35">
      <c r="A229" s="5"/>
      <c r="B229" s="5" t="s">
        <v>37</v>
      </c>
      <c r="C229" s="73" t="str">
        <f t="shared" si="3"/>
        <v>Closed</v>
      </c>
      <c r="D229" s="45" t="s">
        <v>1450</v>
      </c>
      <c r="E229" s="54" t="s">
        <v>1451</v>
      </c>
      <c r="F229" s="5" t="s">
        <v>214</v>
      </c>
      <c r="G229" s="10">
        <f>DATE(2007,1,24)</f>
        <v>39106</v>
      </c>
      <c r="H229" s="35">
        <v>1.6736111111111112</v>
      </c>
      <c r="I229" s="5" t="s">
        <v>106</v>
      </c>
      <c r="J229" s="10" t="s">
        <v>1452</v>
      </c>
      <c r="K229" s="5" t="s">
        <v>216</v>
      </c>
      <c r="L229" s="5" t="s">
        <v>1453</v>
      </c>
      <c r="M229" s="5" t="s">
        <v>236</v>
      </c>
      <c r="N229" s="5">
        <v>0</v>
      </c>
      <c r="O229" s="5" t="s">
        <v>67</v>
      </c>
      <c r="P229" s="10" t="s">
        <v>67</v>
      </c>
      <c r="Q229" s="10" t="s">
        <v>318</v>
      </c>
      <c r="R229" s="10" t="s">
        <v>318</v>
      </c>
      <c r="S229" s="5">
        <v>0</v>
      </c>
      <c r="T229" s="37" t="s">
        <v>50</v>
      </c>
      <c r="U229" s="5">
        <v>0</v>
      </c>
      <c r="V229" s="37" t="s">
        <v>50</v>
      </c>
      <c r="W229" s="5">
        <v>0</v>
      </c>
      <c r="X229" s="5">
        <v>0</v>
      </c>
      <c r="Y229" s="5">
        <v>0</v>
      </c>
      <c r="Z229" s="37" t="s">
        <v>50</v>
      </c>
      <c r="AA229" s="5">
        <v>0</v>
      </c>
      <c r="AB229" s="5">
        <v>0</v>
      </c>
      <c r="AC229" s="5">
        <v>0</v>
      </c>
      <c r="AD229" s="5">
        <v>0</v>
      </c>
      <c r="AE229" s="10" t="s">
        <v>50</v>
      </c>
      <c r="AF229" s="10" t="s">
        <v>1454</v>
      </c>
      <c r="AG229" s="10" t="s">
        <v>229</v>
      </c>
      <c r="AH229" s="10" t="s">
        <v>50</v>
      </c>
      <c r="AI229" s="5">
        <v>2</v>
      </c>
      <c r="AJ229" s="10" t="s">
        <v>1455</v>
      </c>
      <c r="AK229" s="10" t="s">
        <v>1456</v>
      </c>
    </row>
    <row r="230" spans="1:37" ht="36.75" customHeight="1" x14ac:dyDescent="0.35">
      <c r="A230" s="5"/>
      <c r="B230" s="5" t="s">
        <v>37</v>
      </c>
      <c r="C230" s="73" t="str">
        <f t="shared" si="3"/>
        <v>Closed</v>
      </c>
      <c r="D230" s="45" t="s">
        <v>1457</v>
      </c>
      <c r="E230" s="54" t="s">
        <v>1458</v>
      </c>
      <c r="F230" s="5" t="s">
        <v>404</v>
      </c>
      <c r="G230" s="10">
        <f>DATE(2007,1,25)</f>
        <v>39107</v>
      </c>
      <c r="H230" s="35">
        <v>1.4756944444444444</v>
      </c>
      <c r="I230" s="5" t="s">
        <v>97</v>
      </c>
      <c r="J230" s="10" t="s">
        <v>1459</v>
      </c>
      <c r="K230" s="5" t="s">
        <v>406</v>
      </c>
      <c r="L230" s="5" t="s">
        <v>1460</v>
      </c>
      <c r="M230" s="5" t="s">
        <v>45</v>
      </c>
      <c r="N230" s="5">
        <v>0</v>
      </c>
      <c r="O230" s="5" t="s">
        <v>67</v>
      </c>
      <c r="P230" s="10" t="s">
        <v>72</v>
      </c>
      <c r="Q230" s="10" t="s">
        <v>408</v>
      </c>
      <c r="R230" s="10" t="s">
        <v>1461</v>
      </c>
      <c r="S230" s="5">
        <v>0</v>
      </c>
      <c r="T230" s="37" t="s">
        <v>50</v>
      </c>
      <c r="U230" s="5">
        <v>0</v>
      </c>
      <c r="V230" s="37" t="s">
        <v>50</v>
      </c>
      <c r="W230" s="5">
        <v>0</v>
      </c>
      <c r="X230" s="5">
        <v>0</v>
      </c>
      <c r="Y230" s="5">
        <v>0</v>
      </c>
      <c r="Z230" s="37" t="s">
        <v>50</v>
      </c>
      <c r="AA230" s="5">
        <v>0</v>
      </c>
      <c r="AB230" s="5">
        <v>0</v>
      </c>
      <c r="AC230" s="5">
        <v>0</v>
      </c>
      <c r="AD230" s="5">
        <v>0</v>
      </c>
      <c r="AE230" s="10" t="s">
        <v>50</v>
      </c>
      <c r="AF230" s="10" t="s">
        <v>1462</v>
      </c>
      <c r="AG230" s="10" t="s">
        <v>1399</v>
      </c>
      <c r="AH230" s="10" t="s">
        <v>50</v>
      </c>
      <c r="AI230" s="5">
        <v>0</v>
      </c>
      <c r="AJ230" s="10" t="s">
        <v>50</v>
      </c>
      <c r="AK230" s="10" t="s">
        <v>50</v>
      </c>
    </row>
    <row r="231" spans="1:37" ht="36.75" customHeight="1" x14ac:dyDescent="0.35">
      <c r="A231" s="5"/>
      <c r="B231" s="5" t="s">
        <v>37</v>
      </c>
      <c r="C231" s="73" t="str">
        <f t="shared" si="3"/>
        <v>Closed</v>
      </c>
      <c r="D231" s="45" t="s">
        <v>1463</v>
      </c>
      <c r="E231" s="54" t="s">
        <v>1464</v>
      </c>
      <c r="F231" s="5" t="s">
        <v>816</v>
      </c>
      <c r="G231" s="10">
        <f>DATE(2007,1,25)</f>
        <v>39107</v>
      </c>
      <c r="H231" s="35">
        <v>1.4840277777777777</v>
      </c>
      <c r="I231" s="5" t="s">
        <v>55</v>
      </c>
      <c r="J231" s="10" t="s">
        <v>1465</v>
      </c>
      <c r="K231" s="5" t="s">
        <v>818</v>
      </c>
      <c r="L231" s="5" t="s">
        <v>1466</v>
      </c>
      <c r="M231" s="5" t="s">
        <v>45</v>
      </c>
      <c r="N231" s="5">
        <v>0</v>
      </c>
      <c r="O231" s="5" t="s">
        <v>59</v>
      </c>
      <c r="P231" s="10" t="s">
        <v>60</v>
      </c>
      <c r="Q231" s="10" t="s">
        <v>1331</v>
      </c>
      <c r="R231" s="10" t="s">
        <v>821</v>
      </c>
      <c r="S231" s="5">
        <v>0</v>
      </c>
      <c r="T231" s="37" t="s">
        <v>50</v>
      </c>
      <c r="U231" s="5">
        <v>0</v>
      </c>
      <c r="V231" s="37" t="s">
        <v>50</v>
      </c>
      <c r="W231" s="5">
        <v>0</v>
      </c>
      <c r="X231" s="5">
        <v>0</v>
      </c>
      <c r="Y231" s="5">
        <v>0</v>
      </c>
      <c r="Z231" s="37" t="s">
        <v>50</v>
      </c>
      <c r="AA231" s="5">
        <v>0</v>
      </c>
      <c r="AB231" s="5">
        <v>0</v>
      </c>
      <c r="AC231" s="5">
        <v>0</v>
      </c>
      <c r="AD231" s="5">
        <v>0</v>
      </c>
      <c r="AE231" s="10" t="s">
        <v>50</v>
      </c>
      <c r="AF231" s="10" t="s">
        <v>1467</v>
      </c>
      <c r="AG231" s="10" t="s">
        <v>333</v>
      </c>
      <c r="AH231" s="10" t="s">
        <v>50</v>
      </c>
      <c r="AI231" s="5">
        <v>3</v>
      </c>
      <c r="AJ231" s="10" t="s">
        <v>50</v>
      </c>
      <c r="AK231" s="10" t="s">
        <v>50</v>
      </c>
    </row>
    <row r="232" spans="1:37" ht="36.75" customHeight="1" x14ac:dyDescent="0.35">
      <c r="A232" s="5"/>
      <c r="B232" s="5" t="s">
        <v>37</v>
      </c>
      <c r="C232" s="73" t="str">
        <f t="shared" si="3"/>
        <v>Closed</v>
      </c>
      <c r="D232" s="45" t="s">
        <v>1468</v>
      </c>
      <c r="E232" s="54" t="s">
        <v>1469</v>
      </c>
      <c r="F232" s="5" t="s">
        <v>214</v>
      </c>
      <c r="G232" s="10">
        <f>DATE(2007,1,28)</f>
        <v>39110</v>
      </c>
      <c r="H232" s="35">
        <v>1.6041666666666665</v>
      </c>
      <c r="I232" s="5" t="s">
        <v>179</v>
      </c>
      <c r="J232" s="10" t="s">
        <v>1470</v>
      </c>
      <c r="K232" s="5" t="s">
        <v>216</v>
      </c>
      <c r="L232" s="5" t="s">
        <v>1471</v>
      </c>
      <c r="M232" s="5" t="s">
        <v>45</v>
      </c>
      <c r="N232" s="5">
        <v>0</v>
      </c>
      <c r="O232" s="5" t="s">
        <v>46</v>
      </c>
      <c r="P232" s="10" t="s">
        <v>60</v>
      </c>
      <c r="Q232" s="10" t="s">
        <v>218</v>
      </c>
      <c r="R232" s="10" t="s">
        <v>219</v>
      </c>
      <c r="S232" s="5">
        <v>0</v>
      </c>
      <c r="T232" s="37" t="s">
        <v>50</v>
      </c>
      <c r="U232" s="5">
        <v>0</v>
      </c>
      <c r="V232" s="37" t="s">
        <v>50</v>
      </c>
      <c r="W232" s="5">
        <v>0</v>
      </c>
      <c r="X232" s="5">
        <v>0</v>
      </c>
      <c r="Y232" s="5">
        <v>0</v>
      </c>
      <c r="Z232" s="37" t="s">
        <v>50</v>
      </c>
      <c r="AA232" s="5">
        <v>0</v>
      </c>
      <c r="AB232" s="5">
        <v>0</v>
      </c>
      <c r="AC232" s="5">
        <v>0</v>
      </c>
      <c r="AD232" s="5">
        <v>0</v>
      </c>
      <c r="AE232" s="10" t="s">
        <v>50</v>
      </c>
      <c r="AF232" s="10" t="s">
        <v>50</v>
      </c>
      <c r="AG232" s="10" t="s">
        <v>114</v>
      </c>
      <c r="AH232" s="10" t="s">
        <v>50</v>
      </c>
      <c r="AI232" s="5">
        <v>3</v>
      </c>
      <c r="AJ232" s="10" t="s">
        <v>1472</v>
      </c>
      <c r="AK232" s="10" t="s">
        <v>1473</v>
      </c>
    </row>
    <row r="233" spans="1:37" ht="36.75" customHeight="1" x14ac:dyDescent="0.35">
      <c r="A233" s="5"/>
      <c r="B233" s="5" t="s">
        <v>37</v>
      </c>
      <c r="C233" s="73" t="str">
        <f t="shared" si="3"/>
        <v>Closed</v>
      </c>
      <c r="D233" s="45" t="s">
        <v>1474</v>
      </c>
      <c r="E233" s="54" t="s">
        <v>1475</v>
      </c>
      <c r="F233" s="5" t="s">
        <v>214</v>
      </c>
      <c r="G233" s="10">
        <f>DATE(2007,1,29)</f>
        <v>39111</v>
      </c>
      <c r="H233" s="35">
        <v>1.6006944444444444</v>
      </c>
      <c r="I233" s="5" t="s">
        <v>55</v>
      </c>
      <c r="J233" s="10" t="s">
        <v>1476</v>
      </c>
      <c r="K233" s="5" t="s">
        <v>216</v>
      </c>
      <c r="L233" s="5" t="s">
        <v>1477</v>
      </c>
      <c r="M233" s="5" t="s">
        <v>236</v>
      </c>
      <c r="N233" s="5">
        <v>0</v>
      </c>
      <c r="O233" s="5" t="s">
        <v>59</v>
      </c>
      <c r="P233" s="10" t="s">
        <v>67</v>
      </c>
      <c r="Q233" s="10" t="s">
        <v>781</v>
      </c>
      <c r="R233" s="10" t="s">
        <v>769</v>
      </c>
      <c r="S233" s="5">
        <v>0</v>
      </c>
      <c r="T233" s="37" t="s">
        <v>50</v>
      </c>
      <c r="U233" s="5">
        <v>0</v>
      </c>
      <c r="V233" s="37" t="s">
        <v>50</v>
      </c>
      <c r="W233" s="5">
        <v>0</v>
      </c>
      <c r="X233" s="5">
        <v>0</v>
      </c>
      <c r="Y233" s="5">
        <v>0</v>
      </c>
      <c r="Z233" s="37" t="s">
        <v>50</v>
      </c>
      <c r="AA233" s="5">
        <v>0</v>
      </c>
      <c r="AB233" s="5">
        <v>0</v>
      </c>
      <c r="AC233" s="5">
        <v>0</v>
      </c>
      <c r="AD233" s="5">
        <v>0</v>
      </c>
      <c r="AE233" s="10" t="s">
        <v>50</v>
      </c>
      <c r="AF233" s="10" t="s">
        <v>50</v>
      </c>
      <c r="AG233" s="10" t="s">
        <v>229</v>
      </c>
      <c r="AH233" s="10" t="s">
        <v>50</v>
      </c>
      <c r="AI233" s="5">
        <v>4</v>
      </c>
      <c r="AJ233" s="10" t="s">
        <v>1478</v>
      </c>
      <c r="AK233" s="10" t="s">
        <v>1479</v>
      </c>
    </row>
    <row r="234" spans="1:37" ht="36.75" customHeight="1" x14ac:dyDescent="0.35">
      <c r="A234" s="5"/>
      <c r="B234" s="5" t="s">
        <v>37</v>
      </c>
      <c r="C234" s="73" t="str">
        <f t="shared" si="3"/>
        <v>Closed</v>
      </c>
      <c r="D234" s="45" t="s">
        <v>1480</v>
      </c>
      <c r="E234" s="54" t="s">
        <v>1481</v>
      </c>
      <c r="F234" s="5" t="s">
        <v>619</v>
      </c>
      <c r="G234" s="10">
        <f>DATE(2007,2,1)</f>
        <v>39114</v>
      </c>
      <c r="H234" s="35">
        <v>1.7868055555555555</v>
      </c>
      <c r="I234" s="5" t="s">
        <v>259</v>
      </c>
      <c r="J234" s="10" t="s">
        <v>1482</v>
      </c>
      <c r="K234" s="5" t="s">
        <v>621</v>
      </c>
      <c r="L234" s="5" t="s">
        <v>1483</v>
      </c>
      <c r="M234" s="5" t="s">
        <v>45</v>
      </c>
      <c r="N234" s="5">
        <v>0</v>
      </c>
      <c r="O234" s="5" t="s">
        <v>59</v>
      </c>
      <c r="P234" s="10" t="s">
        <v>47</v>
      </c>
      <c r="Q234" s="10" t="s">
        <v>623</v>
      </c>
      <c r="R234" s="10" t="s">
        <v>624</v>
      </c>
      <c r="S234" s="5">
        <v>0</v>
      </c>
      <c r="T234" s="37">
        <v>0</v>
      </c>
      <c r="U234" s="5">
        <v>0</v>
      </c>
      <c r="V234" s="37">
        <v>1</v>
      </c>
      <c r="W234" s="5">
        <v>0</v>
      </c>
      <c r="X234" s="5">
        <v>1</v>
      </c>
      <c r="Y234" s="5">
        <v>0</v>
      </c>
      <c r="Z234" s="37">
        <v>0</v>
      </c>
      <c r="AA234" s="5">
        <v>0</v>
      </c>
      <c r="AB234" s="5">
        <v>0</v>
      </c>
      <c r="AC234" s="5">
        <v>0</v>
      </c>
      <c r="AD234" s="5">
        <v>0</v>
      </c>
      <c r="AE234" s="10" t="s">
        <v>50</v>
      </c>
      <c r="AF234" s="10" t="s">
        <v>50</v>
      </c>
      <c r="AG234" s="10" t="s">
        <v>229</v>
      </c>
      <c r="AH234" s="10" t="s">
        <v>50</v>
      </c>
      <c r="AI234" s="5">
        <v>1</v>
      </c>
      <c r="AJ234" s="10" t="s">
        <v>50</v>
      </c>
      <c r="AK234" s="10" t="s">
        <v>50</v>
      </c>
    </row>
    <row r="235" spans="1:37" s="12" customFormat="1" ht="36.75" customHeight="1" x14ac:dyDescent="0.35">
      <c r="A235" s="5"/>
      <c r="B235" s="5" t="s">
        <v>37</v>
      </c>
      <c r="C235" s="73" t="str">
        <f t="shared" si="3"/>
        <v>Closed</v>
      </c>
      <c r="D235" s="45" t="s">
        <v>1484</v>
      </c>
      <c r="E235" s="54" t="s">
        <v>1485</v>
      </c>
      <c r="F235" s="5" t="s">
        <v>575</v>
      </c>
      <c r="G235" s="11">
        <f>DATE(2007,2,1)</f>
        <v>39114</v>
      </c>
      <c r="H235" s="35">
        <v>1.588888888888889</v>
      </c>
      <c r="I235" s="5" t="s">
        <v>97</v>
      </c>
      <c r="J235" s="10" t="s">
        <v>1486</v>
      </c>
      <c r="K235" s="5" t="s">
        <v>577</v>
      </c>
      <c r="L235" s="5" t="s">
        <v>1487</v>
      </c>
      <c r="M235" s="5" t="s">
        <v>45</v>
      </c>
      <c r="N235" s="5">
        <v>0</v>
      </c>
      <c r="O235" s="5" t="s">
        <v>46</v>
      </c>
      <c r="P235" s="10" t="s">
        <v>146</v>
      </c>
      <c r="Q235" s="10" t="s">
        <v>579</v>
      </c>
      <c r="R235" s="10" t="s">
        <v>580</v>
      </c>
      <c r="S235" s="5">
        <v>0</v>
      </c>
      <c r="T235" s="37">
        <v>0</v>
      </c>
      <c r="U235" s="5">
        <v>1</v>
      </c>
      <c r="V235" s="37">
        <v>0</v>
      </c>
      <c r="W235" s="5">
        <v>0</v>
      </c>
      <c r="X235" s="5">
        <v>1</v>
      </c>
      <c r="Y235" s="5">
        <v>0</v>
      </c>
      <c r="Z235" s="37">
        <v>0</v>
      </c>
      <c r="AA235" s="5">
        <v>0</v>
      </c>
      <c r="AB235" s="5">
        <v>0</v>
      </c>
      <c r="AC235" s="5">
        <v>0</v>
      </c>
      <c r="AD235" s="5">
        <v>0</v>
      </c>
      <c r="AE235" s="10" t="s">
        <v>50</v>
      </c>
      <c r="AF235" s="10" t="s">
        <v>1488</v>
      </c>
      <c r="AG235" s="10" t="s">
        <v>1489</v>
      </c>
      <c r="AH235" s="10" t="s">
        <v>50</v>
      </c>
      <c r="AI235" s="5">
        <v>5</v>
      </c>
      <c r="AJ235" s="10" t="s">
        <v>50</v>
      </c>
      <c r="AK235" s="10" t="s">
        <v>50</v>
      </c>
    </row>
    <row r="236" spans="1:37" ht="36.75" customHeight="1" x14ac:dyDescent="0.35">
      <c r="A236" s="5"/>
      <c r="B236" s="5" t="s">
        <v>37</v>
      </c>
      <c r="C236" s="73" t="str">
        <f t="shared" si="3"/>
        <v>Closed</v>
      </c>
      <c r="D236" s="45" t="s">
        <v>1490</v>
      </c>
      <c r="E236" s="54" t="s">
        <v>1491</v>
      </c>
      <c r="F236" s="5" t="s">
        <v>40</v>
      </c>
      <c r="G236" s="10">
        <f>DATE(2007,2,2)</f>
        <v>39115</v>
      </c>
      <c r="H236" s="35">
        <v>1.3847222222222222</v>
      </c>
      <c r="I236" s="5" t="s">
        <v>259</v>
      </c>
      <c r="J236" s="10" t="s">
        <v>1492</v>
      </c>
      <c r="K236" s="5" t="s">
        <v>43</v>
      </c>
      <c r="L236" s="5" t="s">
        <v>1493</v>
      </c>
      <c r="M236" s="5" t="s">
        <v>45</v>
      </c>
      <c r="N236" s="5" t="s">
        <v>80</v>
      </c>
      <c r="O236" s="5" t="s">
        <v>71</v>
      </c>
      <c r="P236" s="10" t="s">
        <v>72</v>
      </c>
      <c r="Q236" s="10" t="s">
        <v>48</v>
      </c>
      <c r="R236" s="10" t="s">
        <v>49</v>
      </c>
      <c r="S236" s="5">
        <v>0</v>
      </c>
      <c r="T236" s="37">
        <v>1</v>
      </c>
      <c r="U236" s="5">
        <v>0</v>
      </c>
      <c r="V236" s="37">
        <v>0</v>
      </c>
      <c r="W236" s="5">
        <v>0</v>
      </c>
      <c r="X236" s="5">
        <v>1</v>
      </c>
      <c r="Y236" s="5">
        <v>0</v>
      </c>
      <c r="Z236" s="37">
        <v>0</v>
      </c>
      <c r="AA236" s="5">
        <v>0</v>
      </c>
      <c r="AB236" s="5">
        <v>0</v>
      </c>
      <c r="AC236" s="5">
        <v>0</v>
      </c>
      <c r="AD236" s="5">
        <v>0</v>
      </c>
      <c r="AE236" s="10" t="s">
        <v>73</v>
      </c>
      <c r="AF236" s="10" t="s">
        <v>50</v>
      </c>
      <c r="AG236" s="10" t="s">
        <v>64</v>
      </c>
      <c r="AH236" s="10">
        <v>39139</v>
      </c>
      <c r="AI236" s="5">
        <v>3</v>
      </c>
      <c r="AJ236" s="10" t="s">
        <v>1494</v>
      </c>
      <c r="AK236" s="10" t="s">
        <v>50</v>
      </c>
    </row>
    <row r="237" spans="1:37" ht="36.75" customHeight="1" x14ac:dyDescent="0.35">
      <c r="A237" s="5"/>
      <c r="B237" s="5" t="s">
        <v>37</v>
      </c>
      <c r="C237" s="73" t="str">
        <f t="shared" si="3"/>
        <v>Closed</v>
      </c>
      <c r="D237" s="45" t="s">
        <v>1495</v>
      </c>
      <c r="E237" s="54" t="s">
        <v>1496</v>
      </c>
      <c r="F237" s="5" t="s">
        <v>619</v>
      </c>
      <c r="G237" s="10">
        <f>DATE(2007,2,5)</f>
        <v>39118</v>
      </c>
      <c r="H237" s="35">
        <v>1.6090277777777779</v>
      </c>
      <c r="I237" s="5" t="s">
        <v>97</v>
      </c>
      <c r="J237" s="10" t="s">
        <v>1497</v>
      </c>
      <c r="K237" s="5" t="s">
        <v>621</v>
      </c>
      <c r="L237" s="5" t="s">
        <v>1498</v>
      </c>
      <c r="M237" s="5" t="s">
        <v>45</v>
      </c>
      <c r="N237" s="5">
        <v>0</v>
      </c>
      <c r="O237" s="5" t="s">
        <v>59</v>
      </c>
      <c r="P237" s="10" t="s">
        <v>47</v>
      </c>
      <c r="Q237" s="10" t="s">
        <v>623</v>
      </c>
      <c r="R237" s="10" t="s">
        <v>624</v>
      </c>
      <c r="S237" s="5">
        <v>0</v>
      </c>
      <c r="T237" s="37">
        <v>0</v>
      </c>
      <c r="U237" s="5">
        <v>1</v>
      </c>
      <c r="V237" s="37">
        <v>0</v>
      </c>
      <c r="W237" s="5">
        <v>0</v>
      </c>
      <c r="X237" s="5">
        <v>1</v>
      </c>
      <c r="Y237" s="5">
        <v>0</v>
      </c>
      <c r="Z237" s="37">
        <v>0</v>
      </c>
      <c r="AA237" s="5">
        <v>0</v>
      </c>
      <c r="AB237" s="5">
        <v>0</v>
      </c>
      <c r="AC237" s="5">
        <v>0</v>
      </c>
      <c r="AD237" s="5">
        <v>0</v>
      </c>
      <c r="AE237" s="10" t="s">
        <v>50</v>
      </c>
      <c r="AF237" s="10" t="s">
        <v>50</v>
      </c>
      <c r="AG237" s="10" t="s">
        <v>229</v>
      </c>
      <c r="AH237" s="10" t="s">
        <v>50</v>
      </c>
      <c r="AI237" s="5">
        <v>2</v>
      </c>
      <c r="AJ237" s="10" t="s">
        <v>50</v>
      </c>
      <c r="AK237" s="10" t="s">
        <v>50</v>
      </c>
    </row>
    <row r="238" spans="1:37" ht="36.75" customHeight="1" x14ac:dyDescent="0.35">
      <c r="A238" s="5"/>
      <c r="B238" s="5" t="s">
        <v>37</v>
      </c>
      <c r="C238" s="73" t="str">
        <f t="shared" si="3"/>
        <v>Closed</v>
      </c>
      <c r="D238" s="45" t="s">
        <v>1499</v>
      </c>
      <c r="E238" s="54" t="s">
        <v>1500</v>
      </c>
      <c r="F238" s="5" t="s">
        <v>214</v>
      </c>
      <c r="G238" s="10">
        <f>DATE(2007,2,5)</f>
        <v>39118</v>
      </c>
      <c r="H238" s="35">
        <v>1.9375</v>
      </c>
      <c r="I238" s="5" t="s">
        <v>137</v>
      </c>
      <c r="J238" s="10" t="s">
        <v>1501</v>
      </c>
      <c r="K238" s="5" t="s">
        <v>216</v>
      </c>
      <c r="L238" s="5" t="s">
        <v>1502</v>
      </c>
      <c r="M238" s="5" t="s">
        <v>45</v>
      </c>
      <c r="N238" s="5">
        <v>0</v>
      </c>
      <c r="O238" s="5" t="s">
        <v>46</v>
      </c>
      <c r="P238" s="10" t="s">
        <v>146</v>
      </c>
      <c r="Q238" s="10" t="s">
        <v>1503</v>
      </c>
      <c r="R238" s="10" t="s">
        <v>219</v>
      </c>
      <c r="S238" s="5">
        <v>0</v>
      </c>
      <c r="T238" s="37" t="s">
        <v>50</v>
      </c>
      <c r="U238" s="5">
        <v>0</v>
      </c>
      <c r="V238" s="37" t="s">
        <v>50</v>
      </c>
      <c r="W238" s="5">
        <v>0</v>
      </c>
      <c r="X238" s="5">
        <v>0</v>
      </c>
      <c r="Y238" s="5">
        <v>0</v>
      </c>
      <c r="Z238" s="37" t="s">
        <v>50</v>
      </c>
      <c r="AA238" s="5">
        <v>0</v>
      </c>
      <c r="AB238" s="5">
        <v>0</v>
      </c>
      <c r="AC238" s="5">
        <v>0</v>
      </c>
      <c r="AD238" s="5">
        <v>0</v>
      </c>
      <c r="AE238" s="10" t="s">
        <v>50</v>
      </c>
      <c r="AF238" s="10" t="s">
        <v>1504</v>
      </c>
      <c r="AG238" s="10" t="s">
        <v>114</v>
      </c>
      <c r="AH238" s="10" t="s">
        <v>50</v>
      </c>
      <c r="AI238" s="5">
        <v>6</v>
      </c>
      <c r="AJ238" s="10" t="s">
        <v>1505</v>
      </c>
      <c r="AK238" s="10" t="s">
        <v>1506</v>
      </c>
    </row>
    <row r="239" spans="1:37" ht="36.75" customHeight="1" x14ac:dyDescent="0.35">
      <c r="A239" s="5"/>
      <c r="B239" s="5" t="s">
        <v>37</v>
      </c>
      <c r="C239" s="73" t="str">
        <f t="shared" si="3"/>
        <v>Closed</v>
      </c>
      <c r="D239" s="45" t="s">
        <v>1507</v>
      </c>
      <c r="E239" s="54" t="s">
        <v>1508</v>
      </c>
      <c r="F239" s="5" t="s">
        <v>619</v>
      </c>
      <c r="G239" s="10">
        <f>DATE(2007,2,6)</f>
        <v>39119</v>
      </c>
      <c r="H239" s="35">
        <v>1.5083333333333333</v>
      </c>
      <c r="I239" s="5" t="s">
        <v>259</v>
      </c>
      <c r="J239" s="10" t="s">
        <v>1509</v>
      </c>
      <c r="K239" s="5" t="s">
        <v>621</v>
      </c>
      <c r="L239" s="5" t="s">
        <v>1510</v>
      </c>
      <c r="M239" s="5" t="s">
        <v>45</v>
      </c>
      <c r="N239" s="5">
        <v>0</v>
      </c>
      <c r="O239" s="5" t="s">
        <v>46</v>
      </c>
      <c r="P239" s="10" t="s">
        <v>47</v>
      </c>
      <c r="Q239" s="10" t="s">
        <v>623</v>
      </c>
      <c r="R239" s="10" t="s">
        <v>624</v>
      </c>
      <c r="S239" s="5">
        <v>0</v>
      </c>
      <c r="T239" s="37">
        <v>0</v>
      </c>
      <c r="U239" s="5">
        <v>0</v>
      </c>
      <c r="V239" s="37">
        <v>1</v>
      </c>
      <c r="W239" s="5">
        <v>0</v>
      </c>
      <c r="X239" s="5">
        <v>1</v>
      </c>
      <c r="Y239" s="5">
        <v>0</v>
      </c>
      <c r="Z239" s="37">
        <v>0</v>
      </c>
      <c r="AA239" s="5">
        <v>0</v>
      </c>
      <c r="AB239" s="5">
        <v>0</v>
      </c>
      <c r="AC239" s="5">
        <v>0</v>
      </c>
      <c r="AD239" s="5">
        <v>0</v>
      </c>
      <c r="AE239" s="10" t="s">
        <v>50</v>
      </c>
      <c r="AF239" s="10" t="s">
        <v>50</v>
      </c>
      <c r="AG239" s="10" t="s">
        <v>229</v>
      </c>
      <c r="AH239" s="10" t="s">
        <v>50</v>
      </c>
      <c r="AI239" s="5">
        <v>2</v>
      </c>
      <c r="AJ239" s="10" t="s">
        <v>50</v>
      </c>
      <c r="AK239" s="10" t="s">
        <v>50</v>
      </c>
    </row>
    <row r="240" spans="1:37" ht="36.75" customHeight="1" x14ac:dyDescent="0.35">
      <c r="A240" s="5"/>
      <c r="B240" s="5" t="s">
        <v>37</v>
      </c>
      <c r="C240" s="73" t="str">
        <f t="shared" si="3"/>
        <v>Closed</v>
      </c>
      <c r="D240" s="45" t="s">
        <v>1511</v>
      </c>
      <c r="E240" s="54" t="s">
        <v>1512</v>
      </c>
      <c r="F240" s="5" t="s">
        <v>816</v>
      </c>
      <c r="G240" s="10">
        <f>DATE(2007,2,6)</f>
        <v>39119</v>
      </c>
      <c r="H240" s="35">
        <v>1.7798611111111109</v>
      </c>
      <c r="I240" s="5" t="s">
        <v>179</v>
      </c>
      <c r="J240" s="10" t="s">
        <v>1513</v>
      </c>
      <c r="K240" s="5" t="s">
        <v>818</v>
      </c>
      <c r="L240" s="5" t="s">
        <v>1514</v>
      </c>
      <c r="M240" s="5" t="s">
        <v>45</v>
      </c>
      <c r="N240" s="5">
        <v>0</v>
      </c>
      <c r="O240" s="5" t="s">
        <v>46</v>
      </c>
      <c r="P240" s="10" t="s">
        <v>197</v>
      </c>
      <c r="Q240" s="10" t="s">
        <v>1342</v>
      </c>
      <c r="R240" s="10" t="s">
        <v>821</v>
      </c>
      <c r="S240" s="5">
        <v>0</v>
      </c>
      <c r="T240" s="37">
        <v>1</v>
      </c>
      <c r="U240" s="5">
        <v>0</v>
      </c>
      <c r="V240" s="37">
        <v>0</v>
      </c>
      <c r="W240" s="5">
        <v>0</v>
      </c>
      <c r="X240" s="5">
        <v>1</v>
      </c>
      <c r="Y240" s="5">
        <v>2</v>
      </c>
      <c r="Z240" s="37">
        <v>0</v>
      </c>
      <c r="AA240" s="5">
        <v>0</v>
      </c>
      <c r="AB240" s="5">
        <v>0</v>
      </c>
      <c r="AC240" s="5">
        <v>0</v>
      </c>
      <c r="AD240" s="5">
        <v>2</v>
      </c>
      <c r="AE240" s="10" t="s">
        <v>50</v>
      </c>
      <c r="AF240" s="10" t="s">
        <v>1515</v>
      </c>
      <c r="AG240" s="10" t="s">
        <v>64</v>
      </c>
      <c r="AH240" s="10" t="s">
        <v>50</v>
      </c>
      <c r="AI240" s="5">
        <v>4</v>
      </c>
      <c r="AJ240" s="10" t="s">
        <v>50</v>
      </c>
      <c r="AK240" s="10" t="s">
        <v>50</v>
      </c>
    </row>
    <row r="241" spans="1:37" ht="36.75" customHeight="1" x14ac:dyDescent="0.35">
      <c r="A241" s="5"/>
      <c r="B241" s="5" t="s">
        <v>37</v>
      </c>
      <c r="C241" s="73" t="str">
        <f t="shared" si="3"/>
        <v>Closed</v>
      </c>
      <c r="D241" s="45" t="s">
        <v>1516</v>
      </c>
      <c r="E241" s="54" t="s">
        <v>1517</v>
      </c>
      <c r="F241" s="5" t="s">
        <v>619</v>
      </c>
      <c r="G241" s="10">
        <f>DATE(2007,2,7)</f>
        <v>39120</v>
      </c>
      <c r="H241" s="35">
        <v>1.6458333333333335</v>
      </c>
      <c r="I241" s="5" t="s">
        <v>259</v>
      </c>
      <c r="J241" s="10" t="s">
        <v>1518</v>
      </c>
      <c r="K241" s="5" t="s">
        <v>621</v>
      </c>
      <c r="L241" s="5" t="s">
        <v>1519</v>
      </c>
      <c r="M241" s="5" t="s">
        <v>45</v>
      </c>
      <c r="N241" s="5">
        <v>0</v>
      </c>
      <c r="O241" s="5" t="s">
        <v>46</v>
      </c>
      <c r="P241" s="10" t="s">
        <v>47</v>
      </c>
      <c r="Q241" s="10" t="s">
        <v>623</v>
      </c>
      <c r="R241" s="10" t="s">
        <v>624</v>
      </c>
      <c r="S241" s="5">
        <v>0</v>
      </c>
      <c r="T241" s="37">
        <v>0</v>
      </c>
      <c r="U241" s="5">
        <v>0</v>
      </c>
      <c r="V241" s="37">
        <v>1</v>
      </c>
      <c r="W241" s="5">
        <v>0</v>
      </c>
      <c r="X241" s="5">
        <v>1</v>
      </c>
      <c r="Y241" s="5">
        <v>0</v>
      </c>
      <c r="Z241" s="37">
        <v>0</v>
      </c>
      <c r="AA241" s="5">
        <v>0</v>
      </c>
      <c r="AB241" s="5">
        <v>0</v>
      </c>
      <c r="AC241" s="5">
        <v>0</v>
      </c>
      <c r="AD241" s="5">
        <v>0</v>
      </c>
      <c r="AE241" s="10" t="s">
        <v>50</v>
      </c>
      <c r="AF241" s="10" t="s">
        <v>50</v>
      </c>
      <c r="AG241" s="10" t="s">
        <v>229</v>
      </c>
      <c r="AH241" s="10" t="s">
        <v>50</v>
      </c>
      <c r="AI241" s="5">
        <v>0</v>
      </c>
      <c r="AJ241" s="10" t="s">
        <v>50</v>
      </c>
      <c r="AK241" s="10" t="s">
        <v>50</v>
      </c>
    </row>
    <row r="242" spans="1:37" ht="36.75" customHeight="1" x14ac:dyDescent="0.35">
      <c r="A242" s="5"/>
      <c r="B242" s="5" t="s">
        <v>37</v>
      </c>
      <c r="C242" s="73" t="str">
        <f t="shared" si="3"/>
        <v>Closed</v>
      </c>
      <c r="D242" s="45" t="s">
        <v>1520</v>
      </c>
      <c r="E242" s="54" t="s">
        <v>1521</v>
      </c>
      <c r="F242" s="5" t="s">
        <v>404</v>
      </c>
      <c r="G242" s="10">
        <f>DATE(2007,2,9)</f>
        <v>39122</v>
      </c>
      <c r="H242" s="35">
        <v>1.5249999999999999</v>
      </c>
      <c r="I242" s="5" t="s">
        <v>179</v>
      </c>
      <c r="J242" s="10" t="s">
        <v>1522</v>
      </c>
      <c r="K242" s="5" t="s">
        <v>406</v>
      </c>
      <c r="L242" s="5" t="s">
        <v>1523</v>
      </c>
      <c r="M242" s="5" t="s">
        <v>45</v>
      </c>
      <c r="N242" s="5">
        <v>0</v>
      </c>
      <c r="O242" s="5" t="s">
        <v>59</v>
      </c>
      <c r="P242" s="10" t="s">
        <v>534</v>
      </c>
      <c r="Q242" s="10" t="s">
        <v>535</v>
      </c>
      <c r="R242" s="10" t="s">
        <v>408</v>
      </c>
      <c r="S242" s="5">
        <v>0</v>
      </c>
      <c r="T242" s="37">
        <v>0</v>
      </c>
      <c r="U242" s="5">
        <v>0</v>
      </c>
      <c r="V242" s="37">
        <v>0</v>
      </c>
      <c r="W242" s="5">
        <v>0</v>
      </c>
      <c r="X242" s="5">
        <v>0</v>
      </c>
      <c r="Y242" s="5">
        <v>0</v>
      </c>
      <c r="Z242" s="37">
        <v>1</v>
      </c>
      <c r="AA242" s="5">
        <v>0</v>
      </c>
      <c r="AB242" s="5">
        <v>0</v>
      </c>
      <c r="AC242" s="5">
        <v>0</v>
      </c>
      <c r="AD242" s="5">
        <v>1</v>
      </c>
      <c r="AE242" s="10" t="s">
        <v>50</v>
      </c>
      <c r="AF242" s="10" t="s">
        <v>1524</v>
      </c>
      <c r="AG242" s="10" t="s">
        <v>64</v>
      </c>
      <c r="AH242" s="10" t="s">
        <v>50</v>
      </c>
      <c r="AI242" s="5">
        <v>0</v>
      </c>
      <c r="AJ242" s="10" t="s">
        <v>50</v>
      </c>
      <c r="AK242" s="10" t="s">
        <v>50</v>
      </c>
    </row>
    <row r="243" spans="1:37" ht="36.75" customHeight="1" x14ac:dyDescent="0.35">
      <c r="A243" s="5"/>
      <c r="B243" s="5" t="s">
        <v>37</v>
      </c>
      <c r="C243" s="73" t="str">
        <f t="shared" si="3"/>
        <v>Closed</v>
      </c>
      <c r="D243" s="45" t="s">
        <v>1525</v>
      </c>
      <c r="E243" s="54" t="s">
        <v>1526</v>
      </c>
      <c r="F243" s="5" t="s">
        <v>575</v>
      </c>
      <c r="G243" s="10">
        <f>DATE(2007,2,12)</f>
        <v>39125</v>
      </c>
      <c r="H243" s="35">
        <v>1.7673611111111112</v>
      </c>
      <c r="I243" s="5" t="s">
        <v>55</v>
      </c>
      <c r="J243" s="10" t="s">
        <v>1527</v>
      </c>
      <c r="K243" s="5" t="s">
        <v>577</v>
      </c>
      <c r="L243" s="5" t="s">
        <v>1528</v>
      </c>
      <c r="M243" s="5" t="s">
        <v>45</v>
      </c>
      <c r="N243" s="5">
        <v>0</v>
      </c>
      <c r="O243" s="5" t="s">
        <v>46</v>
      </c>
      <c r="P243" s="10" t="s">
        <v>146</v>
      </c>
      <c r="Q243" s="10" t="s">
        <v>579</v>
      </c>
      <c r="R243" s="10" t="s">
        <v>580</v>
      </c>
      <c r="S243" s="5">
        <v>1</v>
      </c>
      <c r="T243" s="37">
        <v>2</v>
      </c>
      <c r="U243" s="5">
        <v>0</v>
      </c>
      <c r="V243" s="37">
        <v>0</v>
      </c>
      <c r="W243" s="5">
        <v>0</v>
      </c>
      <c r="X243" s="5">
        <v>3</v>
      </c>
      <c r="Y243" s="5">
        <v>2</v>
      </c>
      <c r="Z243" s="37">
        <v>0</v>
      </c>
      <c r="AA243" s="5">
        <v>0</v>
      </c>
      <c r="AB243" s="5">
        <v>0</v>
      </c>
      <c r="AC243" s="5">
        <v>0</v>
      </c>
      <c r="AD243" s="5">
        <v>2</v>
      </c>
      <c r="AE243" s="10" t="s">
        <v>50</v>
      </c>
      <c r="AF243" s="10" t="s">
        <v>1529</v>
      </c>
      <c r="AG243" s="10" t="s">
        <v>64</v>
      </c>
      <c r="AH243" s="10" t="s">
        <v>50</v>
      </c>
      <c r="AI243" s="5">
        <v>3</v>
      </c>
      <c r="AJ243" s="10" t="s">
        <v>1527</v>
      </c>
      <c r="AK243" s="10" t="s">
        <v>50</v>
      </c>
    </row>
    <row r="244" spans="1:37" ht="36.75" customHeight="1" x14ac:dyDescent="0.35">
      <c r="A244" s="5"/>
      <c r="B244" s="5" t="s">
        <v>37</v>
      </c>
      <c r="C244" s="73" t="str">
        <f t="shared" si="3"/>
        <v>Closed</v>
      </c>
      <c r="D244" s="45" t="s">
        <v>1530</v>
      </c>
      <c r="E244" s="54" t="s">
        <v>1531</v>
      </c>
      <c r="F244" s="5" t="s">
        <v>619</v>
      </c>
      <c r="G244" s="10">
        <f>DATE(2007,2,13)</f>
        <v>39126</v>
      </c>
      <c r="H244" s="35">
        <v>1.7777777777777777</v>
      </c>
      <c r="I244" s="5" t="s">
        <v>259</v>
      </c>
      <c r="J244" s="10" t="s">
        <v>1532</v>
      </c>
      <c r="K244" s="5" t="s">
        <v>621</v>
      </c>
      <c r="L244" s="5" t="s">
        <v>1533</v>
      </c>
      <c r="M244" s="5" t="s">
        <v>45</v>
      </c>
      <c r="N244" s="5">
        <v>0</v>
      </c>
      <c r="O244" s="5" t="s">
        <v>46</v>
      </c>
      <c r="P244" s="10" t="s">
        <v>47</v>
      </c>
      <c r="Q244" s="10" t="s">
        <v>623</v>
      </c>
      <c r="R244" s="10" t="s">
        <v>624</v>
      </c>
      <c r="S244" s="5">
        <v>0</v>
      </c>
      <c r="T244" s="37">
        <v>0</v>
      </c>
      <c r="U244" s="5">
        <v>0</v>
      </c>
      <c r="V244" s="37">
        <v>1</v>
      </c>
      <c r="W244" s="5">
        <v>0</v>
      </c>
      <c r="X244" s="5">
        <v>1</v>
      </c>
      <c r="Y244" s="5">
        <v>0</v>
      </c>
      <c r="Z244" s="37">
        <v>0</v>
      </c>
      <c r="AA244" s="5">
        <v>0</v>
      </c>
      <c r="AB244" s="5">
        <v>0</v>
      </c>
      <c r="AC244" s="5">
        <v>0</v>
      </c>
      <c r="AD244" s="5">
        <v>0</v>
      </c>
      <c r="AE244" s="10" t="s">
        <v>50</v>
      </c>
      <c r="AF244" s="10" t="s">
        <v>50</v>
      </c>
      <c r="AG244" s="10" t="s">
        <v>229</v>
      </c>
      <c r="AH244" s="10" t="s">
        <v>50</v>
      </c>
      <c r="AI244" s="5">
        <v>2</v>
      </c>
      <c r="AJ244" s="10" t="s">
        <v>50</v>
      </c>
      <c r="AK244" s="10" t="s">
        <v>50</v>
      </c>
    </row>
    <row r="245" spans="1:37" ht="36.75" customHeight="1" x14ac:dyDescent="0.35">
      <c r="A245" s="5"/>
      <c r="B245" s="5" t="s">
        <v>37</v>
      </c>
      <c r="C245" s="73" t="str">
        <f t="shared" si="3"/>
        <v>Closed</v>
      </c>
      <c r="D245" s="45" t="s">
        <v>1534</v>
      </c>
      <c r="E245" s="54" t="s">
        <v>1535</v>
      </c>
      <c r="F245" s="5" t="s">
        <v>404</v>
      </c>
      <c r="G245" s="10">
        <f>DATE(2007,2,17)</f>
        <v>39130</v>
      </c>
      <c r="H245" s="35">
        <v>1.4361111111111111</v>
      </c>
      <c r="I245" s="5" t="s">
        <v>55</v>
      </c>
      <c r="J245" s="10" t="s">
        <v>1536</v>
      </c>
      <c r="K245" s="5" t="s">
        <v>406</v>
      </c>
      <c r="L245" s="5" t="s">
        <v>1537</v>
      </c>
      <c r="M245" s="5" t="s">
        <v>45</v>
      </c>
      <c r="N245" s="5">
        <v>0</v>
      </c>
      <c r="O245" s="5" t="s">
        <v>59</v>
      </c>
      <c r="P245" s="10" t="s">
        <v>47</v>
      </c>
      <c r="Q245" s="10" t="s">
        <v>408</v>
      </c>
      <c r="R245" s="10" t="s">
        <v>408</v>
      </c>
      <c r="S245" s="5">
        <v>0</v>
      </c>
      <c r="T245" s="37" t="s">
        <v>50</v>
      </c>
      <c r="U245" s="5">
        <v>0</v>
      </c>
      <c r="V245" s="37" t="s">
        <v>50</v>
      </c>
      <c r="W245" s="5">
        <v>0</v>
      </c>
      <c r="X245" s="5">
        <v>0</v>
      </c>
      <c r="Y245" s="5">
        <v>0</v>
      </c>
      <c r="Z245" s="37" t="s">
        <v>50</v>
      </c>
      <c r="AA245" s="5">
        <v>0</v>
      </c>
      <c r="AB245" s="5">
        <v>0</v>
      </c>
      <c r="AC245" s="5">
        <v>0</v>
      </c>
      <c r="AD245" s="5">
        <v>0</v>
      </c>
      <c r="AE245" s="10" t="s">
        <v>50</v>
      </c>
      <c r="AF245" s="10" t="s">
        <v>1538</v>
      </c>
      <c r="AG245" s="10" t="s">
        <v>855</v>
      </c>
      <c r="AH245" s="10" t="s">
        <v>50</v>
      </c>
      <c r="AI245" s="5">
        <v>0</v>
      </c>
      <c r="AJ245" s="10" t="s">
        <v>50</v>
      </c>
      <c r="AK245" s="10" t="s">
        <v>50</v>
      </c>
    </row>
    <row r="246" spans="1:37" ht="36.75" customHeight="1" x14ac:dyDescent="0.35">
      <c r="A246" s="5"/>
      <c r="B246" s="5" t="s">
        <v>37</v>
      </c>
      <c r="C246" s="73" t="str">
        <f t="shared" si="3"/>
        <v>Closed</v>
      </c>
      <c r="D246" s="45" t="s">
        <v>1539</v>
      </c>
      <c r="E246" s="54" t="s">
        <v>1540</v>
      </c>
      <c r="F246" s="5" t="s">
        <v>404</v>
      </c>
      <c r="G246" s="10">
        <f>DATE(2007,2,20)</f>
        <v>39133</v>
      </c>
      <c r="H246" s="35">
        <v>1.4916666666666667</v>
      </c>
      <c r="I246" s="5" t="s">
        <v>55</v>
      </c>
      <c r="J246" s="10" t="s">
        <v>1541</v>
      </c>
      <c r="K246" s="5" t="s">
        <v>406</v>
      </c>
      <c r="L246" s="5" t="s">
        <v>1542</v>
      </c>
      <c r="M246" s="5" t="s">
        <v>45</v>
      </c>
      <c r="N246" s="5">
        <v>0</v>
      </c>
      <c r="O246" s="5" t="s">
        <v>46</v>
      </c>
      <c r="P246" s="10" t="s">
        <v>60</v>
      </c>
      <c r="Q246" s="10" t="s">
        <v>971</v>
      </c>
      <c r="R246" s="10" t="s">
        <v>971</v>
      </c>
      <c r="S246" s="5">
        <v>0</v>
      </c>
      <c r="T246" s="37" t="s">
        <v>50</v>
      </c>
      <c r="U246" s="5">
        <v>0</v>
      </c>
      <c r="V246" s="37" t="s">
        <v>50</v>
      </c>
      <c r="W246" s="5">
        <v>0</v>
      </c>
      <c r="X246" s="5">
        <v>0</v>
      </c>
      <c r="Y246" s="5">
        <v>0</v>
      </c>
      <c r="Z246" s="37" t="s">
        <v>50</v>
      </c>
      <c r="AA246" s="5">
        <v>0</v>
      </c>
      <c r="AB246" s="5">
        <v>0</v>
      </c>
      <c r="AC246" s="5">
        <v>0</v>
      </c>
      <c r="AD246" s="5">
        <v>0</v>
      </c>
      <c r="AE246" s="10" t="s">
        <v>50</v>
      </c>
      <c r="AF246" s="10" t="s">
        <v>1543</v>
      </c>
      <c r="AG246" s="10" t="s">
        <v>114</v>
      </c>
      <c r="AH246" s="10" t="s">
        <v>50</v>
      </c>
      <c r="AI246" s="5">
        <v>2</v>
      </c>
      <c r="AJ246" s="10" t="s">
        <v>1544</v>
      </c>
      <c r="AK246" s="10" t="s">
        <v>50</v>
      </c>
    </row>
    <row r="247" spans="1:37" ht="36.75" customHeight="1" x14ac:dyDescent="0.35">
      <c r="A247" s="5"/>
      <c r="B247" s="5" t="s">
        <v>37</v>
      </c>
      <c r="C247" s="73" t="str">
        <f t="shared" si="3"/>
        <v>Closed</v>
      </c>
      <c r="D247" s="45" t="s">
        <v>1545</v>
      </c>
      <c r="E247" s="54" t="s">
        <v>1546</v>
      </c>
      <c r="F247" s="5" t="s">
        <v>105</v>
      </c>
      <c r="G247" s="10">
        <f>DATE(2007,2,21)</f>
        <v>39134</v>
      </c>
      <c r="H247" s="35">
        <v>1.3680555555555556</v>
      </c>
      <c r="I247" s="5" t="s">
        <v>137</v>
      </c>
      <c r="J247" s="10" t="s">
        <v>1547</v>
      </c>
      <c r="K247" s="5" t="s">
        <v>108</v>
      </c>
      <c r="L247" s="5" t="s">
        <v>1548</v>
      </c>
      <c r="M247" s="5" t="s">
        <v>45</v>
      </c>
      <c r="N247" s="5">
        <v>0</v>
      </c>
      <c r="O247" s="5" t="s">
        <v>46</v>
      </c>
      <c r="P247" s="10" t="s">
        <v>47</v>
      </c>
      <c r="Q247" s="10" t="s">
        <v>210</v>
      </c>
      <c r="R247" s="10" t="s">
        <v>148</v>
      </c>
      <c r="S247" s="5">
        <v>0</v>
      </c>
      <c r="T247" s="37" t="s">
        <v>50</v>
      </c>
      <c r="U247" s="5">
        <v>0</v>
      </c>
      <c r="V247" s="37" t="s">
        <v>50</v>
      </c>
      <c r="W247" s="5">
        <v>0</v>
      </c>
      <c r="X247" s="5">
        <v>0</v>
      </c>
      <c r="Y247" s="5">
        <v>0</v>
      </c>
      <c r="Z247" s="37" t="s">
        <v>50</v>
      </c>
      <c r="AA247" s="5">
        <v>0</v>
      </c>
      <c r="AB247" s="5">
        <v>0</v>
      </c>
      <c r="AC247" s="5">
        <v>0</v>
      </c>
      <c r="AD247" s="5">
        <v>0</v>
      </c>
      <c r="AE247" s="10" t="s">
        <v>50</v>
      </c>
      <c r="AF247" s="10" t="s">
        <v>1549</v>
      </c>
      <c r="AG247" s="10" t="s">
        <v>64</v>
      </c>
      <c r="AH247" s="10" t="s">
        <v>50</v>
      </c>
      <c r="AI247" s="5">
        <v>3</v>
      </c>
      <c r="AJ247" s="10" t="s">
        <v>1550</v>
      </c>
      <c r="AK247" s="10" t="s">
        <v>50</v>
      </c>
    </row>
    <row r="248" spans="1:37" ht="36.75" customHeight="1" x14ac:dyDescent="0.35">
      <c r="A248" s="5"/>
      <c r="B248" s="5" t="s">
        <v>37</v>
      </c>
      <c r="C248" s="73" t="str">
        <f t="shared" si="3"/>
        <v>Closed</v>
      </c>
      <c r="D248" s="45" t="s">
        <v>1551</v>
      </c>
      <c r="E248" s="54" t="s">
        <v>1552</v>
      </c>
      <c r="F248" s="5" t="s">
        <v>1553</v>
      </c>
      <c r="G248" s="10">
        <f>DATE(2007,2,22)</f>
        <v>39135</v>
      </c>
      <c r="H248" s="35">
        <v>1.7708333333333335</v>
      </c>
      <c r="I248" s="5" t="s">
        <v>55</v>
      </c>
      <c r="J248" s="10" t="s">
        <v>1554</v>
      </c>
      <c r="K248" s="5" t="s">
        <v>1555</v>
      </c>
      <c r="L248" s="5" t="s">
        <v>1556</v>
      </c>
      <c r="M248" s="5" t="s">
        <v>45</v>
      </c>
      <c r="N248" s="5">
        <v>0</v>
      </c>
      <c r="O248" s="5" t="s">
        <v>59</v>
      </c>
      <c r="P248" s="10" t="s">
        <v>60</v>
      </c>
      <c r="Q248" s="10" t="s">
        <v>1557</v>
      </c>
      <c r="R248" s="10">
        <v>0</v>
      </c>
      <c r="S248" s="5">
        <v>0</v>
      </c>
      <c r="T248" s="37" t="s">
        <v>50</v>
      </c>
      <c r="U248" s="5">
        <v>0</v>
      </c>
      <c r="V248" s="37" t="s">
        <v>50</v>
      </c>
      <c r="W248" s="5">
        <v>0</v>
      </c>
      <c r="X248" s="5">
        <v>0</v>
      </c>
      <c r="Y248" s="5">
        <v>0</v>
      </c>
      <c r="Z248" s="37" t="s">
        <v>50</v>
      </c>
      <c r="AA248" s="5">
        <v>0</v>
      </c>
      <c r="AB248" s="5">
        <v>0</v>
      </c>
      <c r="AC248" s="5">
        <v>0</v>
      </c>
      <c r="AD248" s="5">
        <v>0</v>
      </c>
      <c r="AE248" s="10" t="s">
        <v>50</v>
      </c>
      <c r="AF248" s="10" t="s">
        <v>1558</v>
      </c>
      <c r="AG248" s="10" t="s">
        <v>64</v>
      </c>
      <c r="AH248" s="10" t="s">
        <v>50</v>
      </c>
      <c r="AI248" s="5">
        <v>4</v>
      </c>
      <c r="AJ248" s="10" t="s">
        <v>1559</v>
      </c>
      <c r="AK248" s="10" t="s">
        <v>1560</v>
      </c>
    </row>
    <row r="249" spans="1:37" ht="36.75" customHeight="1" x14ac:dyDescent="0.35">
      <c r="A249" s="5"/>
      <c r="B249" s="5" t="s">
        <v>37</v>
      </c>
      <c r="C249" s="73" t="str">
        <f t="shared" si="3"/>
        <v>Closed</v>
      </c>
      <c r="D249" s="45" t="s">
        <v>1561</v>
      </c>
      <c r="E249" s="54" t="s">
        <v>1562</v>
      </c>
      <c r="F249" s="5" t="s">
        <v>1553</v>
      </c>
      <c r="G249" s="10">
        <f>DATE(2007,2,22)</f>
        <v>39135</v>
      </c>
      <c r="H249" s="35">
        <v>1.1736111111111112</v>
      </c>
      <c r="I249" s="5" t="s">
        <v>55</v>
      </c>
      <c r="J249" s="10" t="s">
        <v>1563</v>
      </c>
      <c r="K249" s="5" t="s">
        <v>1555</v>
      </c>
      <c r="L249" s="5" t="s">
        <v>1564</v>
      </c>
      <c r="M249" s="5" t="s">
        <v>45</v>
      </c>
      <c r="N249" s="5">
        <v>0</v>
      </c>
      <c r="O249" s="5" t="s">
        <v>59</v>
      </c>
      <c r="P249" s="10" t="s">
        <v>60</v>
      </c>
      <c r="Q249" s="10" t="s">
        <v>1565</v>
      </c>
      <c r="R249" s="10">
        <v>0</v>
      </c>
      <c r="S249" s="5">
        <v>0</v>
      </c>
      <c r="T249" s="37" t="s">
        <v>50</v>
      </c>
      <c r="U249" s="5">
        <v>0</v>
      </c>
      <c r="V249" s="37" t="s">
        <v>50</v>
      </c>
      <c r="W249" s="5">
        <v>0</v>
      </c>
      <c r="X249" s="5">
        <v>0</v>
      </c>
      <c r="Y249" s="5">
        <v>0</v>
      </c>
      <c r="Z249" s="37" t="s">
        <v>50</v>
      </c>
      <c r="AA249" s="5">
        <v>0</v>
      </c>
      <c r="AB249" s="5">
        <v>0</v>
      </c>
      <c r="AC249" s="5">
        <v>0</v>
      </c>
      <c r="AD249" s="5">
        <v>0</v>
      </c>
      <c r="AE249" s="10" t="s">
        <v>50</v>
      </c>
      <c r="AF249" s="10" t="s">
        <v>1566</v>
      </c>
      <c r="AG249" s="10" t="s">
        <v>64</v>
      </c>
      <c r="AH249" s="10" t="s">
        <v>50</v>
      </c>
      <c r="AI249" s="5">
        <v>7</v>
      </c>
      <c r="AJ249" s="10" t="s">
        <v>1567</v>
      </c>
      <c r="AK249" s="10" t="s">
        <v>1568</v>
      </c>
    </row>
    <row r="250" spans="1:37" ht="36.75" customHeight="1" x14ac:dyDescent="0.35">
      <c r="A250" s="5"/>
      <c r="B250" s="5" t="s">
        <v>37</v>
      </c>
      <c r="C250" s="73" t="str">
        <f t="shared" si="3"/>
        <v>Closed</v>
      </c>
      <c r="D250" s="45" t="s">
        <v>1569</v>
      </c>
      <c r="E250" s="54" t="s">
        <v>1570</v>
      </c>
      <c r="F250" s="5" t="s">
        <v>619</v>
      </c>
      <c r="G250" s="10">
        <f>DATE(2007,2,23)</f>
        <v>39136</v>
      </c>
      <c r="H250" s="35">
        <v>1.9944444444444445</v>
      </c>
      <c r="I250" s="5" t="s">
        <v>259</v>
      </c>
      <c r="J250" s="10" t="s">
        <v>1571</v>
      </c>
      <c r="K250" s="5" t="s">
        <v>621</v>
      </c>
      <c r="L250" s="5" t="s">
        <v>1572</v>
      </c>
      <c r="M250" s="5" t="s">
        <v>45</v>
      </c>
      <c r="N250" s="5">
        <v>0</v>
      </c>
      <c r="O250" s="5" t="s">
        <v>59</v>
      </c>
      <c r="P250" s="10" t="s">
        <v>146</v>
      </c>
      <c r="Q250" s="10" t="s">
        <v>623</v>
      </c>
      <c r="R250" s="10" t="s">
        <v>624</v>
      </c>
      <c r="S250" s="5">
        <v>0</v>
      </c>
      <c r="T250" s="37">
        <v>0</v>
      </c>
      <c r="U250" s="5">
        <v>0</v>
      </c>
      <c r="V250" s="37">
        <v>1</v>
      </c>
      <c r="W250" s="5">
        <v>0</v>
      </c>
      <c r="X250" s="5">
        <v>1</v>
      </c>
      <c r="Y250" s="5">
        <v>0</v>
      </c>
      <c r="Z250" s="37">
        <v>0</v>
      </c>
      <c r="AA250" s="5">
        <v>0</v>
      </c>
      <c r="AB250" s="5">
        <v>0</v>
      </c>
      <c r="AC250" s="5">
        <v>0</v>
      </c>
      <c r="AD250" s="5">
        <v>0</v>
      </c>
      <c r="AE250" s="10" t="s">
        <v>50</v>
      </c>
      <c r="AF250" s="10" t="s">
        <v>50</v>
      </c>
      <c r="AG250" s="10" t="s">
        <v>229</v>
      </c>
      <c r="AH250" s="10" t="s">
        <v>50</v>
      </c>
      <c r="AI250" s="5">
        <v>1</v>
      </c>
      <c r="AJ250" s="10" t="s">
        <v>50</v>
      </c>
      <c r="AK250" s="10" t="s">
        <v>50</v>
      </c>
    </row>
    <row r="251" spans="1:37" ht="36.75" customHeight="1" x14ac:dyDescent="0.35">
      <c r="A251" s="5"/>
      <c r="B251" s="5" t="s">
        <v>37</v>
      </c>
      <c r="C251" s="73" t="str">
        <f t="shared" si="3"/>
        <v>Closed</v>
      </c>
      <c r="D251" s="45" t="s">
        <v>1573</v>
      </c>
      <c r="E251" s="54" t="s">
        <v>1574</v>
      </c>
      <c r="F251" s="5" t="s">
        <v>214</v>
      </c>
      <c r="G251" s="10">
        <f>DATE(2007,2,23)</f>
        <v>39136</v>
      </c>
      <c r="H251" s="35">
        <v>1.84375</v>
      </c>
      <c r="I251" s="5" t="s">
        <v>55</v>
      </c>
      <c r="J251" s="10" t="s">
        <v>1575</v>
      </c>
      <c r="K251" s="5" t="s">
        <v>216</v>
      </c>
      <c r="L251" s="5" t="s">
        <v>1576</v>
      </c>
      <c r="M251" s="5" t="s">
        <v>45</v>
      </c>
      <c r="N251" s="5">
        <v>0</v>
      </c>
      <c r="O251" s="5" t="s">
        <v>46</v>
      </c>
      <c r="P251" s="10" t="s">
        <v>443</v>
      </c>
      <c r="Q251" s="10" t="s">
        <v>1577</v>
      </c>
      <c r="R251" s="10" t="s">
        <v>219</v>
      </c>
      <c r="S251" s="5">
        <v>1</v>
      </c>
      <c r="T251" s="37">
        <v>0</v>
      </c>
      <c r="U251" s="5">
        <v>0</v>
      </c>
      <c r="V251" s="37">
        <v>0</v>
      </c>
      <c r="W251" s="5">
        <v>0</v>
      </c>
      <c r="X251" s="5">
        <v>1</v>
      </c>
      <c r="Y251" s="5">
        <v>5</v>
      </c>
      <c r="Z251" s="37">
        <v>0</v>
      </c>
      <c r="AA251" s="5">
        <v>0</v>
      </c>
      <c r="AB251" s="5">
        <v>0</v>
      </c>
      <c r="AC251" s="5">
        <v>0</v>
      </c>
      <c r="AD251" s="5">
        <v>5</v>
      </c>
      <c r="AE251" s="10" t="s">
        <v>50</v>
      </c>
      <c r="AF251" s="10" t="s">
        <v>1578</v>
      </c>
      <c r="AG251" s="10" t="s">
        <v>64</v>
      </c>
      <c r="AH251" s="10" t="s">
        <v>50</v>
      </c>
      <c r="AI251" s="5">
        <v>10</v>
      </c>
      <c r="AJ251" s="10" t="s">
        <v>1579</v>
      </c>
      <c r="AK251" s="10" t="s">
        <v>1580</v>
      </c>
    </row>
    <row r="252" spans="1:37" ht="36.75" customHeight="1" x14ac:dyDescent="0.35">
      <c r="A252" s="5"/>
      <c r="B252" s="5" t="s">
        <v>37</v>
      </c>
      <c r="C252" s="73" t="str">
        <f t="shared" si="3"/>
        <v>Closed</v>
      </c>
      <c r="D252" s="45" t="s">
        <v>1581</v>
      </c>
      <c r="E252" s="54" t="s">
        <v>1582</v>
      </c>
      <c r="F252" s="5" t="s">
        <v>178</v>
      </c>
      <c r="G252" s="10">
        <f>DATE(2007,2,27)</f>
        <v>39140</v>
      </c>
      <c r="H252" s="35">
        <v>1.6548611111111111</v>
      </c>
      <c r="I252" s="5" t="s">
        <v>67</v>
      </c>
      <c r="J252" s="10" t="s">
        <v>1583</v>
      </c>
      <c r="K252" s="5" t="s">
        <v>181</v>
      </c>
      <c r="L252" s="5" t="s">
        <v>1584</v>
      </c>
      <c r="M252" s="5" t="s">
        <v>45</v>
      </c>
      <c r="N252" s="5">
        <v>0</v>
      </c>
      <c r="O252" s="5" t="s">
        <v>59</v>
      </c>
      <c r="P252" s="10" t="s">
        <v>197</v>
      </c>
      <c r="Q252" s="10" t="s">
        <v>198</v>
      </c>
      <c r="R252" s="10" t="s">
        <v>184</v>
      </c>
      <c r="S252" s="5">
        <v>0</v>
      </c>
      <c r="T252" s="37">
        <v>0</v>
      </c>
      <c r="U252" s="5">
        <v>0</v>
      </c>
      <c r="V252" s="37">
        <v>0</v>
      </c>
      <c r="W252" s="5">
        <v>0</v>
      </c>
      <c r="X252" s="5">
        <v>0</v>
      </c>
      <c r="Y252" s="5">
        <v>0</v>
      </c>
      <c r="Z252" s="37">
        <v>0</v>
      </c>
      <c r="AA252" s="5">
        <v>0</v>
      </c>
      <c r="AB252" s="5">
        <v>0</v>
      </c>
      <c r="AC252" s="5">
        <v>0</v>
      </c>
      <c r="AD252" s="5">
        <v>0</v>
      </c>
      <c r="AE252" s="10" t="s">
        <v>50</v>
      </c>
      <c r="AF252" s="10" t="s">
        <v>50</v>
      </c>
      <c r="AG252" s="10" t="s">
        <v>114</v>
      </c>
      <c r="AH252" s="10" t="s">
        <v>50</v>
      </c>
      <c r="AI252" s="5">
        <v>1</v>
      </c>
      <c r="AJ252" s="10" t="s">
        <v>50</v>
      </c>
      <c r="AK252" s="10" t="s">
        <v>50</v>
      </c>
    </row>
    <row r="253" spans="1:37" ht="36.75" customHeight="1" x14ac:dyDescent="0.35">
      <c r="A253" s="5"/>
      <c r="B253" s="5" t="s">
        <v>37</v>
      </c>
      <c r="C253" s="73" t="str">
        <f t="shared" si="3"/>
        <v>Closed</v>
      </c>
      <c r="D253" s="45" t="s">
        <v>1585</v>
      </c>
      <c r="E253" s="54" t="s">
        <v>1586</v>
      </c>
      <c r="F253" s="5" t="s">
        <v>619</v>
      </c>
      <c r="G253" s="10">
        <f>DATE(2007,2,27)</f>
        <v>39140</v>
      </c>
      <c r="H253" s="35">
        <v>1.5069444444444444</v>
      </c>
      <c r="I253" s="5" t="s">
        <v>259</v>
      </c>
      <c r="J253" s="10" t="s">
        <v>1587</v>
      </c>
      <c r="K253" s="5" t="s">
        <v>621</v>
      </c>
      <c r="L253" s="5" t="s">
        <v>1588</v>
      </c>
      <c r="M253" s="5" t="s">
        <v>45</v>
      </c>
      <c r="N253" s="5">
        <v>0</v>
      </c>
      <c r="O253" s="5" t="s">
        <v>67</v>
      </c>
      <c r="P253" s="10" t="s">
        <v>47</v>
      </c>
      <c r="Q253" s="10" t="s">
        <v>623</v>
      </c>
      <c r="R253" s="10" t="s">
        <v>624</v>
      </c>
      <c r="S253" s="5">
        <v>0</v>
      </c>
      <c r="T253" s="37">
        <v>0</v>
      </c>
      <c r="U253" s="5">
        <v>0</v>
      </c>
      <c r="V253" s="37">
        <v>2</v>
      </c>
      <c r="W253" s="5">
        <v>0</v>
      </c>
      <c r="X253" s="5">
        <v>2</v>
      </c>
      <c r="Y253" s="5">
        <v>0</v>
      </c>
      <c r="Z253" s="37">
        <v>0</v>
      </c>
      <c r="AA253" s="5">
        <v>0</v>
      </c>
      <c r="AB253" s="5">
        <v>0</v>
      </c>
      <c r="AC253" s="5">
        <v>0</v>
      </c>
      <c r="AD253" s="5">
        <v>0</v>
      </c>
      <c r="AE253" s="10" t="s">
        <v>50</v>
      </c>
      <c r="AF253" s="10" t="s">
        <v>50</v>
      </c>
      <c r="AG253" s="10" t="s">
        <v>229</v>
      </c>
      <c r="AH253" s="10" t="s">
        <v>50</v>
      </c>
      <c r="AI253" s="5">
        <v>2</v>
      </c>
      <c r="AJ253" s="10" t="s">
        <v>50</v>
      </c>
      <c r="AK253" s="10" t="s">
        <v>50</v>
      </c>
    </row>
    <row r="254" spans="1:37" ht="36.75" customHeight="1" x14ac:dyDescent="0.35">
      <c r="A254" s="5"/>
      <c r="B254" s="5" t="s">
        <v>37</v>
      </c>
      <c r="C254" s="73" t="str">
        <f t="shared" si="3"/>
        <v>Closed</v>
      </c>
      <c r="D254" s="45" t="s">
        <v>1589</v>
      </c>
      <c r="E254" s="54" t="s">
        <v>1590</v>
      </c>
      <c r="F254" s="5" t="s">
        <v>619</v>
      </c>
      <c r="G254" s="10">
        <f>DATE(2007,2,27)</f>
        <v>39140</v>
      </c>
      <c r="H254" s="35">
        <v>1.9229166666666666</v>
      </c>
      <c r="I254" s="5" t="s">
        <v>259</v>
      </c>
      <c r="J254" s="10" t="s">
        <v>1591</v>
      </c>
      <c r="K254" s="5" t="s">
        <v>621</v>
      </c>
      <c r="L254" s="5" t="s">
        <v>1592</v>
      </c>
      <c r="M254" s="5" t="s">
        <v>45</v>
      </c>
      <c r="N254" s="5">
        <v>0</v>
      </c>
      <c r="O254" s="5" t="s">
        <v>59</v>
      </c>
      <c r="P254" s="10" t="s">
        <v>47</v>
      </c>
      <c r="Q254" s="10" t="s">
        <v>623</v>
      </c>
      <c r="R254" s="10" t="s">
        <v>624</v>
      </c>
      <c r="S254" s="5">
        <v>0</v>
      </c>
      <c r="T254" s="37">
        <v>0</v>
      </c>
      <c r="U254" s="5">
        <v>0</v>
      </c>
      <c r="V254" s="37">
        <v>1</v>
      </c>
      <c r="W254" s="5">
        <v>0</v>
      </c>
      <c r="X254" s="5">
        <v>1</v>
      </c>
      <c r="Y254" s="5">
        <v>0</v>
      </c>
      <c r="Z254" s="37">
        <v>0</v>
      </c>
      <c r="AA254" s="5">
        <v>0</v>
      </c>
      <c r="AB254" s="5">
        <v>0</v>
      </c>
      <c r="AC254" s="5">
        <v>0</v>
      </c>
      <c r="AD254" s="5">
        <v>0</v>
      </c>
      <c r="AE254" s="10" t="s">
        <v>50</v>
      </c>
      <c r="AF254" s="10" t="s">
        <v>50</v>
      </c>
      <c r="AG254" s="10" t="s">
        <v>229</v>
      </c>
      <c r="AH254" s="10" t="s">
        <v>50</v>
      </c>
      <c r="AI254" s="5">
        <v>2</v>
      </c>
      <c r="AJ254" s="10" t="s">
        <v>50</v>
      </c>
      <c r="AK254" s="10" t="s">
        <v>50</v>
      </c>
    </row>
    <row r="255" spans="1:37" ht="36.75" customHeight="1" x14ac:dyDescent="0.35">
      <c r="A255" s="5"/>
      <c r="B255" s="5" t="s">
        <v>37</v>
      </c>
      <c r="C255" s="73" t="str">
        <f t="shared" si="3"/>
        <v>Closed</v>
      </c>
      <c r="D255" s="45" t="s">
        <v>1593</v>
      </c>
      <c r="E255" s="54" t="s">
        <v>1594</v>
      </c>
      <c r="F255" s="5" t="s">
        <v>96</v>
      </c>
      <c r="G255" s="10">
        <f>DATE(2007,2,27)</f>
        <v>39140</v>
      </c>
      <c r="H255" s="35">
        <v>1.53125</v>
      </c>
      <c r="I255" s="5" t="s">
        <v>55</v>
      </c>
      <c r="J255" s="10" t="s">
        <v>1595</v>
      </c>
      <c r="K255" s="5" t="s">
        <v>99</v>
      </c>
      <c r="L255" s="5" t="s">
        <v>1596</v>
      </c>
      <c r="M255" s="5" t="s">
        <v>45</v>
      </c>
      <c r="N255" s="5">
        <v>0</v>
      </c>
      <c r="O255" s="5" t="s">
        <v>59</v>
      </c>
      <c r="P255" s="10" t="s">
        <v>282</v>
      </c>
      <c r="Q255" s="10" t="s">
        <v>101</v>
      </c>
      <c r="R255" s="10" t="s">
        <v>102</v>
      </c>
      <c r="S255" s="5">
        <v>0</v>
      </c>
      <c r="T255" s="37" t="s">
        <v>50</v>
      </c>
      <c r="U255" s="5">
        <v>0</v>
      </c>
      <c r="V255" s="37" t="s">
        <v>50</v>
      </c>
      <c r="W255" s="5">
        <v>0</v>
      </c>
      <c r="X255" s="5">
        <v>0</v>
      </c>
      <c r="Y255" s="5">
        <v>0</v>
      </c>
      <c r="Z255" s="37" t="s">
        <v>50</v>
      </c>
      <c r="AA255" s="5">
        <v>0</v>
      </c>
      <c r="AB255" s="5">
        <v>0</v>
      </c>
      <c r="AC255" s="5">
        <v>0</v>
      </c>
      <c r="AD255" s="5">
        <v>0</v>
      </c>
      <c r="AE255" s="10" t="s">
        <v>50</v>
      </c>
      <c r="AF255" s="10" t="s">
        <v>1597</v>
      </c>
      <c r="AG255" s="10" t="s">
        <v>333</v>
      </c>
      <c r="AH255" s="10" t="s">
        <v>50</v>
      </c>
      <c r="AI255" s="5">
        <v>0</v>
      </c>
      <c r="AJ255" s="10" t="s">
        <v>50</v>
      </c>
      <c r="AK255" s="10" t="s">
        <v>50</v>
      </c>
    </row>
    <row r="256" spans="1:37" ht="36.75" customHeight="1" x14ac:dyDescent="0.35">
      <c r="A256" s="5"/>
      <c r="B256" s="5" t="s">
        <v>37</v>
      </c>
      <c r="C256" s="73" t="str">
        <f t="shared" si="3"/>
        <v>Closed</v>
      </c>
      <c r="D256" s="45" t="s">
        <v>1598</v>
      </c>
      <c r="E256" s="54" t="s">
        <v>1599</v>
      </c>
      <c r="F256" s="5" t="s">
        <v>563</v>
      </c>
      <c r="G256" s="10">
        <f>DATE(2007,2,28)</f>
        <v>39141</v>
      </c>
      <c r="H256" s="35">
        <v>1.5111111111111111</v>
      </c>
      <c r="I256" s="5" t="s">
        <v>55</v>
      </c>
      <c r="J256" s="10" t="s">
        <v>1600</v>
      </c>
      <c r="K256" s="5" t="s">
        <v>565</v>
      </c>
      <c r="L256" s="5" t="s">
        <v>1601</v>
      </c>
      <c r="M256" s="5" t="s">
        <v>45</v>
      </c>
      <c r="N256" s="5" t="s">
        <v>123</v>
      </c>
      <c r="O256" s="5" t="s">
        <v>59</v>
      </c>
      <c r="P256" s="10" t="s">
        <v>60</v>
      </c>
      <c r="Q256" s="10" t="s">
        <v>567</v>
      </c>
      <c r="R256" s="10" t="s">
        <v>568</v>
      </c>
      <c r="S256" s="5">
        <v>0</v>
      </c>
      <c r="T256" s="37">
        <v>0</v>
      </c>
      <c r="U256" s="5">
        <v>0</v>
      </c>
      <c r="V256" s="37">
        <v>0</v>
      </c>
      <c r="W256" s="5">
        <v>0</v>
      </c>
      <c r="X256" s="5">
        <v>0</v>
      </c>
      <c r="Y256" s="5">
        <v>0</v>
      </c>
      <c r="Z256" s="37">
        <v>0</v>
      </c>
      <c r="AA256" s="5">
        <v>0</v>
      </c>
      <c r="AB256" s="5">
        <v>0</v>
      </c>
      <c r="AC256" s="5">
        <v>0</v>
      </c>
      <c r="AD256" s="5">
        <v>0</v>
      </c>
      <c r="AE256" s="10" t="s">
        <v>126</v>
      </c>
      <c r="AF256" s="10" t="s">
        <v>1602</v>
      </c>
      <c r="AG256" s="10" t="s">
        <v>64</v>
      </c>
      <c r="AH256" s="10">
        <v>39163</v>
      </c>
      <c r="AI256" s="5">
        <v>1</v>
      </c>
      <c r="AJ256" s="10" t="s">
        <v>1603</v>
      </c>
      <c r="AK256" s="10" t="s">
        <v>1215</v>
      </c>
    </row>
    <row r="257" spans="1:37" ht="36.75" customHeight="1" x14ac:dyDescent="0.35">
      <c r="A257" s="5"/>
      <c r="B257" s="5" t="s">
        <v>37</v>
      </c>
      <c r="C257" s="73" t="str">
        <f t="shared" si="3"/>
        <v>Closed</v>
      </c>
      <c r="D257" s="45" t="s">
        <v>1604</v>
      </c>
      <c r="E257" s="54" t="s">
        <v>1605</v>
      </c>
      <c r="F257" s="5" t="s">
        <v>619</v>
      </c>
      <c r="G257" s="10">
        <f>DATE(2007,2,28)</f>
        <v>39141</v>
      </c>
      <c r="H257" s="35">
        <v>1.2166666666666668</v>
      </c>
      <c r="I257" s="5" t="s">
        <v>259</v>
      </c>
      <c r="J257" s="10" t="s">
        <v>1606</v>
      </c>
      <c r="K257" s="5" t="s">
        <v>621</v>
      </c>
      <c r="L257" s="5" t="s">
        <v>1607</v>
      </c>
      <c r="M257" s="5" t="s">
        <v>45</v>
      </c>
      <c r="N257" s="5">
        <v>0</v>
      </c>
      <c r="O257" s="5" t="s">
        <v>59</v>
      </c>
      <c r="P257" s="10" t="s">
        <v>60</v>
      </c>
      <c r="Q257" s="10" t="s">
        <v>623</v>
      </c>
      <c r="R257" s="10" t="s">
        <v>624</v>
      </c>
      <c r="S257" s="5">
        <v>0</v>
      </c>
      <c r="T257" s="37">
        <v>0</v>
      </c>
      <c r="U257" s="5">
        <v>0</v>
      </c>
      <c r="V257" s="37">
        <v>1</v>
      </c>
      <c r="W257" s="5">
        <v>0</v>
      </c>
      <c r="X257" s="5">
        <v>1</v>
      </c>
      <c r="Y257" s="5">
        <v>0</v>
      </c>
      <c r="Z257" s="37">
        <v>0</v>
      </c>
      <c r="AA257" s="5">
        <v>0</v>
      </c>
      <c r="AB257" s="5">
        <v>0</v>
      </c>
      <c r="AC257" s="5">
        <v>0</v>
      </c>
      <c r="AD257" s="5">
        <v>0</v>
      </c>
      <c r="AE257" s="10" t="s">
        <v>50</v>
      </c>
      <c r="AF257" s="10" t="s">
        <v>50</v>
      </c>
      <c r="AG257" s="10" t="s">
        <v>229</v>
      </c>
      <c r="AH257" s="10" t="s">
        <v>50</v>
      </c>
      <c r="AI257" s="5">
        <v>2</v>
      </c>
      <c r="AJ257" s="10" t="s">
        <v>50</v>
      </c>
      <c r="AK257" s="10" t="s">
        <v>50</v>
      </c>
    </row>
    <row r="258" spans="1:37" ht="36.75" customHeight="1" x14ac:dyDescent="0.35">
      <c r="A258" s="5"/>
      <c r="B258" s="5" t="s">
        <v>37</v>
      </c>
      <c r="C258" s="73" t="str">
        <f t="shared" ref="C258:C321" si="4">IF(B258="Notification","Open",IF(B258="Interim Statement","In progress","Closed"))</f>
        <v>Closed</v>
      </c>
      <c r="D258" s="45" t="s">
        <v>1608</v>
      </c>
      <c r="E258" s="54" t="s">
        <v>1609</v>
      </c>
      <c r="F258" s="5" t="s">
        <v>619</v>
      </c>
      <c r="G258" s="10">
        <f>DATE(2007,3,1)</f>
        <v>39142</v>
      </c>
      <c r="H258" s="35">
        <v>1.723611111111111</v>
      </c>
      <c r="I258" s="5" t="s">
        <v>259</v>
      </c>
      <c r="J258" s="10" t="s">
        <v>1610</v>
      </c>
      <c r="K258" s="5" t="s">
        <v>621</v>
      </c>
      <c r="L258" s="5" t="s">
        <v>1611</v>
      </c>
      <c r="M258" s="5" t="s">
        <v>45</v>
      </c>
      <c r="N258" s="5">
        <v>0</v>
      </c>
      <c r="O258" s="5" t="s">
        <v>46</v>
      </c>
      <c r="P258" s="10" t="s">
        <v>67</v>
      </c>
      <c r="Q258" s="10" t="s">
        <v>623</v>
      </c>
      <c r="R258" s="10" t="s">
        <v>624</v>
      </c>
      <c r="S258" s="5">
        <v>0</v>
      </c>
      <c r="T258" s="37">
        <v>0</v>
      </c>
      <c r="U258" s="5">
        <v>0</v>
      </c>
      <c r="V258" s="37">
        <v>1</v>
      </c>
      <c r="W258" s="5">
        <v>0</v>
      </c>
      <c r="X258" s="5">
        <v>1</v>
      </c>
      <c r="Y258" s="5">
        <v>0</v>
      </c>
      <c r="Z258" s="37">
        <v>0</v>
      </c>
      <c r="AA258" s="5">
        <v>0</v>
      </c>
      <c r="AB258" s="5">
        <v>0</v>
      </c>
      <c r="AC258" s="5">
        <v>0</v>
      </c>
      <c r="AD258" s="5">
        <v>0</v>
      </c>
      <c r="AE258" s="10" t="s">
        <v>50</v>
      </c>
      <c r="AF258" s="10" t="s">
        <v>50</v>
      </c>
      <c r="AG258" s="10" t="s">
        <v>229</v>
      </c>
      <c r="AH258" s="10" t="s">
        <v>50</v>
      </c>
      <c r="AI258" s="5">
        <v>1</v>
      </c>
      <c r="AJ258" s="10" t="s">
        <v>50</v>
      </c>
      <c r="AK258" s="10" t="s">
        <v>50</v>
      </c>
    </row>
    <row r="259" spans="1:37" ht="36.75" customHeight="1" x14ac:dyDescent="0.35">
      <c r="A259" s="5"/>
      <c r="B259" s="5" t="s">
        <v>37</v>
      </c>
      <c r="C259" s="73" t="str">
        <f t="shared" si="4"/>
        <v>Closed</v>
      </c>
      <c r="D259" s="45" t="s">
        <v>1612</v>
      </c>
      <c r="E259" s="54" t="s">
        <v>1613</v>
      </c>
      <c r="F259" s="5" t="s">
        <v>96</v>
      </c>
      <c r="G259" s="10">
        <f>DATE(2007,3,1)</f>
        <v>39142</v>
      </c>
      <c r="H259" s="35">
        <v>1.28125</v>
      </c>
      <c r="I259" s="5" t="s">
        <v>259</v>
      </c>
      <c r="J259" s="10" t="s">
        <v>1614</v>
      </c>
      <c r="K259" s="5" t="s">
        <v>99</v>
      </c>
      <c r="L259" s="5" t="s">
        <v>1615</v>
      </c>
      <c r="M259" s="5" t="s">
        <v>45</v>
      </c>
      <c r="N259" s="5">
        <v>0</v>
      </c>
      <c r="O259" s="5" t="s">
        <v>71</v>
      </c>
      <c r="P259" s="10" t="s">
        <v>146</v>
      </c>
      <c r="Q259" s="10" t="s">
        <v>101</v>
      </c>
      <c r="R259" s="10" t="s">
        <v>102</v>
      </c>
      <c r="S259" s="5">
        <v>1</v>
      </c>
      <c r="T259" s="37">
        <v>0</v>
      </c>
      <c r="U259" s="5">
        <v>0</v>
      </c>
      <c r="V259" s="37">
        <v>0</v>
      </c>
      <c r="W259" s="5">
        <v>0</v>
      </c>
      <c r="X259" s="5">
        <v>1</v>
      </c>
      <c r="Y259" s="5">
        <v>0</v>
      </c>
      <c r="Z259" s="37">
        <v>0</v>
      </c>
      <c r="AA259" s="5">
        <v>0</v>
      </c>
      <c r="AB259" s="5">
        <v>0</v>
      </c>
      <c r="AC259" s="5">
        <v>0</v>
      </c>
      <c r="AD259" s="5">
        <v>0</v>
      </c>
      <c r="AE259" s="10" t="s">
        <v>50</v>
      </c>
      <c r="AF259" s="10" t="s">
        <v>50</v>
      </c>
      <c r="AG259" s="10" t="s">
        <v>64</v>
      </c>
      <c r="AH259" s="10" t="s">
        <v>50</v>
      </c>
      <c r="AI259" s="5">
        <v>0</v>
      </c>
      <c r="AJ259" s="10" t="s">
        <v>50</v>
      </c>
      <c r="AK259" s="10" t="s">
        <v>50</v>
      </c>
    </row>
    <row r="260" spans="1:37" ht="36.75" customHeight="1" x14ac:dyDescent="0.35">
      <c r="A260" s="5"/>
      <c r="B260" s="5" t="s">
        <v>37</v>
      </c>
      <c r="C260" s="73" t="str">
        <f t="shared" si="4"/>
        <v>Closed</v>
      </c>
      <c r="D260" s="45" t="s">
        <v>1616</v>
      </c>
      <c r="E260" s="54" t="s">
        <v>1617</v>
      </c>
      <c r="F260" s="5" t="s">
        <v>619</v>
      </c>
      <c r="G260" s="10">
        <f>DATE(2007,3,3)</f>
        <v>39144</v>
      </c>
      <c r="H260" s="35">
        <v>1.5965277777777778</v>
      </c>
      <c r="I260" s="5" t="s">
        <v>259</v>
      </c>
      <c r="J260" s="10" t="s">
        <v>1618</v>
      </c>
      <c r="K260" s="5" t="s">
        <v>621</v>
      </c>
      <c r="L260" s="5" t="s">
        <v>1619</v>
      </c>
      <c r="M260" s="5" t="s">
        <v>45</v>
      </c>
      <c r="N260" s="5">
        <v>0</v>
      </c>
      <c r="O260" s="5" t="s">
        <v>46</v>
      </c>
      <c r="P260" s="10" t="s">
        <v>60</v>
      </c>
      <c r="Q260" s="10" t="s">
        <v>623</v>
      </c>
      <c r="R260" s="10" t="s">
        <v>624</v>
      </c>
      <c r="S260" s="5">
        <v>0</v>
      </c>
      <c r="T260" s="37">
        <v>0</v>
      </c>
      <c r="U260" s="5">
        <v>0</v>
      </c>
      <c r="V260" s="37">
        <v>1</v>
      </c>
      <c r="W260" s="5">
        <v>0</v>
      </c>
      <c r="X260" s="5">
        <v>1</v>
      </c>
      <c r="Y260" s="5">
        <v>0</v>
      </c>
      <c r="Z260" s="37">
        <v>0</v>
      </c>
      <c r="AA260" s="5">
        <v>0</v>
      </c>
      <c r="AB260" s="5">
        <v>0</v>
      </c>
      <c r="AC260" s="5">
        <v>0</v>
      </c>
      <c r="AD260" s="5">
        <v>0</v>
      </c>
      <c r="AE260" s="10" t="s">
        <v>50</v>
      </c>
      <c r="AF260" s="10" t="s">
        <v>50</v>
      </c>
      <c r="AG260" s="10" t="s">
        <v>229</v>
      </c>
      <c r="AH260" s="10" t="s">
        <v>50</v>
      </c>
      <c r="AI260" s="5">
        <v>2</v>
      </c>
      <c r="AJ260" s="10" t="s">
        <v>50</v>
      </c>
      <c r="AK260" s="10" t="s">
        <v>50</v>
      </c>
    </row>
    <row r="261" spans="1:37" ht="36.75" customHeight="1" x14ac:dyDescent="0.35">
      <c r="A261" s="5"/>
      <c r="B261" s="5" t="s">
        <v>37</v>
      </c>
      <c r="C261" s="73" t="str">
        <f t="shared" si="4"/>
        <v>Closed</v>
      </c>
      <c r="D261" s="45" t="s">
        <v>1620</v>
      </c>
      <c r="E261" s="54" t="s">
        <v>1621</v>
      </c>
      <c r="F261" s="5" t="s">
        <v>40</v>
      </c>
      <c r="G261" s="10">
        <f>DATE(2007,3,5)</f>
        <v>39146</v>
      </c>
      <c r="H261" s="35">
        <v>1.6104166666666666</v>
      </c>
      <c r="I261" s="5" t="s">
        <v>97</v>
      </c>
      <c r="J261" s="10" t="s">
        <v>1622</v>
      </c>
      <c r="K261" s="5" t="s">
        <v>43</v>
      </c>
      <c r="L261" s="5" t="s">
        <v>1623</v>
      </c>
      <c r="M261" s="5" t="s">
        <v>45</v>
      </c>
      <c r="N261" s="5" t="s">
        <v>80</v>
      </c>
      <c r="O261" s="5" t="s">
        <v>46</v>
      </c>
      <c r="P261" s="10" t="s">
        <v>146</v>
      </c>
      <c r="Q261" s="10" t="s">
        <v>48</v>
      </c>
      <c r="R261" s="10" t="s">
        <v>49</v>
      </c>
      <c r="S261" s="5">
        <v>0</v>
      </c>
      <c r="T261" s="37">
        <v>0</v>
      </c>
      <c r="U261" s="5">
        <v>2</v>
      </c>
      <c r="V261" s="37">
        <v>0</v>
      </c>
      <c r="W261" s="5">
        <v>0</v>
      </c>
      <c r="X261" s="5">
        <v>2</v>
      </c>
      <c r="Y261" s="5">
        <v>0</v>
      </c>
      <c r="Z261" s="37">
        <v>0</v>
      </c>
      <c r="AA261" s="5">
        <v>0</v>
      </c>
      <c r="AB261" s="5">
        <v>0</v>
      </c>
      <c r="AC261" s="5">
        <v>0</v>
      </c>
      <c r="AD261" s="5">
        <v>0</v>
      </c>
      <c r="AE261" s="10" t="s">
        <v>73</v>
      </c>
      <c r="AF261" s="10" t="s">
        <v>1624</v>
      </c>
      <c r="AG261" s="10" t="s">
        <v>64</v>
      </c>
      <c r="AH261" s="10">
        <v>39148</v>
      </c>
      <c r="AI261" s="5">
        <v>3</v>
      </c>
      <c r="AJ261" s="10" t="s">
        <v>1625</v>
      </c>
      <c r="AK261" s="10" t="s">
        <v>1626</v>
      </c>
    </row>
    <row r="262" spans="1:37" ht="36.75" customHeight="1" x14ac:dyDescent="0.35">
      <c r="A262" s="5"/>
      <c r="B262" s="5" t="s">
        <v>37</v>
      </c>
      <c r="C262" s="73" t="str">
        <f t="shared" si="4"/>
        <v>Closed</v>
      </c>
      <c r="D262" s="45" t="s">
        <v>1627</v>
      </c>
      <c r="E262" s="54" t="s">
        <v>1628</v>
      </c>
      <c r="F262" s="5" t="s">
        <v>404</v>
      </c>
      <c r="G262" s="10">
        <f>DATE(2007,3,6)</f>
        <v>39147</v>
      </c>
      <c r="H262" s="35">
        <v>1.6354166666666665</v>
      </c>
      <c r="I262" s="5" t="s">
        <v>55</v>
      </c>
      <c r="J262" s="10" t="s">
        <v>1629</v>
      </c>
      <c r="K262" s="5" t="s">
        <v>406</v>
      </c>
      <c r="L262" s="5" t="s">
        <v>1630</v>
      </c>
      <c r="M262" s="5" t="s">
        <v>45</v>
      </c>
      <c r="N262" s="5">
        <v>0</v>
      </c>
      <c r="O262" s="5" t="s">
        <v>46</v>
      </c>
      <c r="P262" s="10" t="s">
        <v>60</v>
      </c>
      <c r="Q262" s="10" t="s">
        <v>971</v>
      </c>
      <c r="R262" s="10" t="s">
        <v>971</v>
      </c>
      <c r="S262" s="5">
        <v>0</v>
      </c>
      <c r="T262" s="37" t="s">
        <v>50</v>
      </c>
      <c r="U262" s="5">
        <v>0</v>
      </c>
      <c r="V262" s="37" t="s">
        <v>50</v>
      </c>
      <c r="W262" s="5">
        <v>0</v>
      </c>
      <c r="X262" s="5">
        <v>0</v>
      </c>
      <c r="Y262" s="5">
        <v>0</v>
      </c>
      <c r="Z262" s="37" t="s">
        <v>50</v>
      </c>
      <c r="AA262" s="5">
        <v>0</v>
      </c>
      <c r="AB262" s="5">
        <v>0</v>
      </c>
      <c r="AC262" s="5">
        <v>0</v>
      </c>
      <c r="AD262" s="5">
        <v>0</v>
      </c>
      <c r="AE262" s="10" t="s">
        <v>50</v>
      </c>
      <c r="AF262" s="10" t="s">
        <v>1631</v>
      </c>
      <c r="AG262" s="10" t="s">
        <v>114</v>
      </c>
      <c r="AH262" s="10" t="s">
        <v>50</v>
      </c>
      <c r="AI262" s="5">
        <v>0</v>
      </c>
      <c r="AJ262" s="10" t="s">
        <v>1632</v>
      </c>
      <c r="AK262" s="10" t="s">
        <v>1633</v>
      </c>
    </row>
    <row r="263" spans="1:37" ht="36.75" customHeight="1" x14ac:dyDescent="0.35">
      <c r="A263" s="5"/>
      <c r="B263" s="5" t="s">
        <v>37</v>
      </c>
      <c r="C263" s="73" t="str">
        <f t="shared" si="4"/>
        <v>Closed</v>
      </c>
      <c r="D263" s="45" t="s">
        <v>1634</v>
      </c>
      <c r="E263" s="54" t="s">
        <v>1635</v>
      </c>
      <c r="F263" s="5" t="s">
        <v>40</v>
      </c>
      <c r="G263" s="10">
        <f>DATE(2007,3,9)</f>
        <v>39150</v>
      </c>
      <c r="H263" s="35">
        <v>1.6756944444444444</v>
      </c>
      <c r="I263" s="5" t="s">
        <v>97</v>
      </c>
      <c r="J263" s="10" t="s">
        <v>1636</v>
      </c>
      <c r="K263" s="5" t="s">
        <v>43</v>
      </c>
      <c r="L263" s="5" t="s">
        <v>1637</v>
      </c>
      <c r="M263" s="5" t="s">
        <v>45</v>
      </c>
      <c r="N263" s="5" t="s">
        <v>80</v>
      </c>
      <c r="O263" s="5" t="s">
        <v>46</v>
      </c>
      <c r="P263" s="10" t="s">
        <v>146</v>
      </c>
      <c r="Q263" s="10" t="s">
        <v>48</v>
      </c>
      <c r="R263" s="10" t="s">
        <v>49</v>
      </c>
      <c r="S263" s="5">
        <v>0</v>
      </c>
      <c r="T263" s="37">
        <v>0</v>
      </c>
      <c r="U263" s="5">
        <v>2</v>
      </c>
      <c r="V263" s="37">
        <v>0</v>
      </c>
      <c r="W263" s="5">
        <v>0</v>
      </c>
      <c r="X263" s="5">
        <v>2</v>
      </c>
      <c r="Y263" s="5">
        <v>0</v>
      </c>
      <c r="Z263" s="37">
        <v>0</v>
      </c>
      <c r="AA263" s="5">
        <v>0</v>
      </c>
      <c r="AB263" s="5">
        <v>0</v>
      </c>
      <c r="AC263" s="5">
        <v>0</v>
      </c>
      <c r="AD263" s="5">
        <v>0</v>
      </c>
      <c r="AE263" s="10" t="s">
        <v>73</v>
      </c>
      <c r="AF263" s="10" t="s">
        <v>1638</v>
      </c>
      <c r="AG263" s="10" t="s">
        <v>364</v>
      </c>
      <c r="AH263" s="10">
        <v>39153</v>
      </c>
      <c r="AI263" s="5">
        <v>1</v>
      </c>
      <c r="AJ263" s="10" t="s">
        <v>1639</v>
      </c>
      <c r="AK263" s="10" t="s">
        <v>1640</v>
      </c>
    </row>
    <row r="264" spans="1:37" ht="36.75" customHeight="1" x14ac:dyDescent="0.35">
      <c r="A264" s="5"/>
      <c r="B264" s="5" t="s">
        <v>37</v>
      </c>
      <c r="C264" s="73" t="str">
        <f t="shared" si="4"/>
        <v>Closed</v>
      </c>
      <c r="D264" s="45" t="s">
        <v>1641</v>
      </c>
      <c r="E264" s="54" t="s">
        <v>1642</v>
      </c>
      <c r="F264" s="5" t="s">
        <v>214</v>
      </c>
      <c r="G264" s="10">
        <f>DATE(2007,3,17)</f>
        <v>39158</v>
      </c>
      <c r="H264" s="35">
        <v>1.3979166666666667</v>
      </c>
      <c r="I264" s="5" t="s">
        <v>67</v>
      </c>
      <c r="J264" s="10" t="s">
        <v>1643</v>
      </c>
      <c r="K264" s="5" t="s">
        <v>216</v>
      </c>
      <c r="L264" s="5" t="s">
        <v>1644</v>
      </c>
      <c r="M264" s="5" t="s">
        <v>45</v>
      </c>
      <c r="N264" s="5">
        <v>0</v>
      </c>
      <c r="O264" s="5" t="s">
        <v>46</v>
      </c>
      <c r="P264" s="10" t="s">
        <v>146</v>
      </c>
      <c r="Q264" s="10" t="s">
        <v>1645</v>
      </c>
      <c r="R264" s="10" t="s">
        <v>219</v>
      </c>
      <c r="S264" s="5">
        <v>0</v>
      </c>
      <c r="T264" s="37" t="s">
        <v>50</v>
      </c>
      <c r="U264" s="5">
        <v>0</v>
      </c>
      <c r="V264" s="37" t="s">
        <v>50</v>
      </c>
      <c r="W264" s="5">
        <v>0</v>
      </c>
      <c r="X264" s="5">
        <v>0</v>
      </c>
      <c r="Y264" s="5">
        <v>0</v>
      </c>
      <c r="Z264" s="37" t="s">
        <v>50</v>
      </c>
      <c r="AA264" s="5">
        <v>0</v>
      </c>
      <c r="AB264" s="5">
        <v>0</v>
      </c>
      <c r="AC264" s="5">
        <v>0</v>
      </c>
      <c r="AD264" s="5">
        <v>0</v>
      </c>
      <c r="AE264" s="10" t="s">
        <v>50</v>
      </c>
      <c r="AF264" s="10" t="s">
        <v>50</v>
      </c>
      <c r="AG264" s="10" t="s">
        <v>114</v>
      </c>
      <c r="AH264" s="10" t="s">
        <v>50</v>
      </c>
      <c r="AI264" s="5">
        <v>8</v>
      </c>
      <c r="AJ264" s="10" t="s">
        <v>1646</v>
      </c>
      <c r="AK264" s="10" t="s">
        <v>1647</v>
      </c>
    </row>
    <row r="265" spans="1:37" ht="36.75" customHeight="1" x14ac:dyDescent="0.35">
      <c r="A265" s="5"/>
      <c r="B265" s="5" t="s">
        <v>37</v>
      </c>
      <c r="C265" s="73" t="str">
        <f t="shared" si="4"/>
        <v>Closed</v>
      </c>
      <c r="D265" s="45" t="s">
        <v>1648</v>
      </c>
      <c r="E265" s="54" t="s">
        <v>1649</v>
      </c>
      <c r="F265" s="5" t="s">
        <v>619</v>
      </c>
      <c r="G265" s="10">
        <f>DATE(2007,3,18)</f>
        <v>39159</v>
      </c>
      <c r="H265" s="35">
        <v>1.2520833333333332</v>
      </c>
      <c r="I265" s="5" t="s">
        <v>259</v>
      </c>
      <c r="J265" s="10" t="s">
        <v>1650</v>
      </c>
      <c r="K265" s="5" t="s">
        <v>621</v>
      </c>
      <c r="L265" s="5" t="s">
        <v>1651</v>
      </c>
      <c r="M265" s="5" t="s">
        <v>45</v>
      </c>
      <c r="N265" s="5">
        <v>0</v>
      </c>
      <c r="O265" s="5" t="s">
        <v>46</v>
      </c>
      <c r="P265" s="10" t="s">
        <v>47</v>
      </c>
      <c r="Q265" s="10" t="s">
        <v>623</v>
      </c>
      <c r="R265" s="10" t="s">
        <v>624</v>
      </c>
      <c r="S265" s="5">
        <v>0</v>
      </c>
      <c r="T265" s="37">
        <v>0</v>
      </c>
      <c r="U265" s="5">
        <v>0</v>
      </c>
      <c r="V265" s="37">
        <v>1</v>
      </c>
      <c r="W265" s="5">
        <v>0</v>
      </c>
      <c r="X265" s="5">
        <v>1</v>
      </c>
      <c r="Y265" s="5">
        <v>0</v>
      </c>
      <c r="Z265" s="37">
        <v>0</v>
      </c>
      <c r="AA265" s="5">
        <v>0</v>
      </c>
      <c r="AB265" s="5">
        <v>0</v>
      </c>
      <c r="AC265" s="5">
        <v>0</v>
      </c>
      <c r="AD265" s="5">
        <v>0</v>
      </c>
      <c r="AE265" s="10" t="s">
        <v>50</v>
      </c>
      <c r="AF265" s="10" t="s">
        <v>50</v>
      </c>
      <c r="AG265" s="10" t="s">
        <v>229</v>
      </c>
      <c r="AH265" s="10" t="s">
        <v>50</v>
      </c>
      <c r="AI265" s="5">
        <v>1</v>
      </c>
      <c r="AJ265" s="10" t="s">
        <v>50</v>
      </c>
      <c r="AK265" s="10" t="s">
        <v>50</v>
      </c>
    </row>
    <row r="266" spans="1:37" ht="36.75" customHeight="1" x14ac:dyDescent="0.35">
      <c r="A266" s="5"/>
      <c r="B266" s="5" t="s">
        <v>37</v>
      </c>
      <c r="C266" s="73" t="str">
        <f t="shared" si="4"/>
        <v>Closed</v>
      </c>
      <c r="D266" s="45" t="s">
        <v>1652</v>
      </c>
      <c r="E266" s="54" t="s">
        <v>1653</v>
      </c>
      <c r="F266" s="5" t="s">
        <v>214</v>
      </c>
      <c r="G266" s="10">
        <f>DATE(2007,3,18)</f>
        <v>39159</v>
      </c>
      <c r="H266" s="35">
        <v>1.5381944444444444</v>
      </c>
      <c r="I266" s="5" t="s">
        <v>67</v>
      </c>
      <c r="J266" s="10" t="s">
        <v>1654</v>
      </c>
      <c r="K266" s="5" t="s">
        <v>216</v>
      </c>
      <c r="L266" s="5" t="s">
        <v>1655</v>
      </c>
      <c r="M266" s="5" t="s">
        <v>236</v>
      </c>
      <c r="N266" s="5">
        <v>0</v>
      </c>
      <c r="O266" s="5" t="s">
        <v>46</v>
      </c>
      <c r="P266" s="10" t="s">
        <v>67</v>
      </c>
      <c r="Q266" s="10" t="s">
        <v>1656</v>
      </c>
      <c r="R266" s="10" t="s">
        <v>1656</v>
      </c>
      <c r="S266" s="5">
        <v>0</v>
      </c>
      <c r="T266" s="37" t="s">
        <v>50</v>
      </c>
      <c r="U266" s="5">
        <v>0</v>
      </c>
      <c r="V266" s="37" t="s">
        <v>50</v>
      </c>
      <c r="W266" s="5">
        <v>0</v>
      </c>
      <c r="X266" s="5">
        <v>0</v>
      </c>
      <c r="Y266" s="5">
        <v>0</v>
      </c>
      <c r="Z266" s="37" t="s">
        <v>50</v>
      </c>
      <c r="AA266" s="5">
        <v>0</v>
      </c>
      <c r="AB266" s="5">
        <v>0</v>
      </c>
      <c r="AC266" s="5">
        <v>0</v>
      </c>
      <c r="AD266" s="5">
        <v>0</v>
      </c>
      <c r="AE266" s="10" t="s">
        <v>50</v>
      </c>
      <c r="AF266" s="10" t="s">
        <v>50</v>
      </c>
      <c r="AG266" s="10" t="s">
        <v>229</v>
      </c>
      <c r="AH266" s="10" t="s">
        <v>50</v>
      </c>
      <c r="AI266" s="5">
        <v>2</v>
      </c>
      <c r="AJ266" s="10" t="s">
        <v>1657</v>
      </c>
      <c r="AK266" s="10" t="s">
        <v>1658</v>
      </c>
    </row>
    <row r="267" spans="1:37" ht="36.75" customHeight="1" x14ac:dyDescent="0.35">
      <c r="A267" s="5"/>
      <c r="B267" s="5" t="s">
        <v>37</v>
      </c>
      <c r="C267" s="73" t="str">
        <f t="shared" si="4"/>
        <v>Closed</v>
      </c>
      <c r="D267" s="45" t="s">
        <v>1659</v>
      </c>
      <c r="E267" s="54" t="s">
        <v>1660</v>
      </c>
      <c r="F267" s="5" t="s">
        <v>404</v>
      </c>
      <c r="G267" s="10">
        <f>DATE(2007,3,19)</f>
        <v>39160</v>
      </c>
      <c r="H267" s="35">
        <v>1.8951388888888889</v>
      </c>
      <c r="I267" s="5" t="s">
        <v>97</v>
      </c>
      <c r="J267" s="10" t="s">
        <v>1661</v>
      </c>
      <c r="K267" s="5" t="s">
        <v>406</v>
      </c>
      <c r="L267" s="5" t="s">
        <v>1662</v>
      </c>
      <c r="M267" s="5" t="s">
        <v>45</v>
      </c>
      <c r="N267" s="5">
        <v>0</v>
      </c>
      <c r="O267" s="5" t="s">
        <v>46</v>
      </c>
      <c r="P267" s="10" t="s">
        <v>47</v>
      </c>
      <c r="Q267" s="10" t="s">
        <v>408</v>
      </c>
      <c r="R267" s="10" t="s">
        <v>408</v>
      </c>
      <c r="S267" s="5">
        <v>0</v>
      </c>
      <c r="T267" s="37" t="s">
        <v>50</v>
      </c>
      <c r="U267" s="5">
        <v>0</v>
      </c>
      <c r="V267" s="37" t="s">
        <v>50</v>
      </c>
      <c r="W267" s="5">
        <v>0</v>
      </c>
      <c r="X267" s="5">
        <v>0</v>
      </c>
      <c r="Y267" s="5">
        <v>0</v>
      </c>
      <c r="Z267" s="37" t="s">
        <v>50</v>
      </c>
      <c r="AA267" s="5">
        <v>0</v>
      </c>
      <c r="AB267" s="5">
        <v>0</v>
      </c>
      <c r="AC267" s="5">
        <v>0</v>
      </c>
      <c r="AD267" s="5">
        <v>0</v>
      </c>
      <c r="AE267" s="10" t="s">
        <v>50</v>
      </c>
      <c r="AF267" s="10" t="s">
        <v>1663</v>
      </c>
      <c r="AG267" s="10" t="s">
        <v>1664</v>
      </c>
      <c r="AH267" s="10" t="s">
        <v>50</v>
      </c>
      <c r="AI267" s="5">
        <v>5</v>
      </c>
      <c r="AJ267" s="10" t="s">
        <v>1665</v>
      </c>
      <c r="AK267" s="10" t="s">
        <v>50</v>
      </c>
    </row>
    <row r="268" spans="1:37" ht="36.75" customHeight="1" x14ac:dyDescent="0.35">
      <c r="A268" s="5"/>
      <c r="B268" s="5" t="s">
        <v>37</v>
      </c>
      <c r="C268" s="73" t="str">
        <f t="shared" si="4"/>
        <v>Closed</v>
      </c>
      <c r="D268" s="45" t="s">
        <v>1666</v>
      </c>
      <c r="E268" s="54" t="s">
        <v>1667</v>
      </c>
      <c r="F268" s="5" t="s">
        <v>40</v>
      </c>
      <c r="G268" s="10">
        <f>DATE(2007,3,21)</f>
        <v>39162</v>
      </c>
      <c r="H268" s="35">
        <v>1.4409722222222223</v>
      </c>
      <c r="I268" s="5" t="s">
        <v>55</v>
      </c>
      <c r="J268" s="10" t="s">
        <v>1668</v>
      </c>
      <c r="K268" s="5" t="s">
        <v>43</v>
      </c>
      <c r="L268" s="5" t="s">
        <v>1669</v>
      </c>
      <c r="M268" s="5" t="s">
        <v>45</v>
      </c>
      <c r="N268" s="5" t="s">
        <v>80</v>
      </c>
      <c r="O268" s="5" t="s">
        <v>59</v>
      </c>
      <c r="P268" s="10" t="s">
        <v>60</v>
      </c>
      <c r="Q268" s="10" t="s">
        <v>48</v>
      </c>
      <c r="R268" s="10" t="s">
        <v>49</v>
      </c>
      <c r="S268" s="5">
        <v>0</v>
      </c>
      <c r="T268" s="37">
        <v>0</v>
      </c>
      <c r="U268" s="5">
        <v>0</v>
      </c>
      <c r="V268" s="37">
        <v>0</v>
      </c>
      <c r="W268" s="5">
        <v>0</v>
      </c>
      <c r="X268" s="5">
        <v>0</v>
      </c>
      <c r="Y268" s="5">
        <v>0</v>
      </c>
      <c r="Z268" s="37">
        <v>0</v>
      </c>
      <c r="AA268" s="5">
        <v>0</v>
      </c>
      <c r="AB268" s="5">
        <v>0</v>
      </c>
      <c r="AC268" s="5">
        <v>0</v>
      </c>
      <c r="AD268" s="5">
        <v>0</v>
      </c>
      <c r="AE268" s="10" t="s">
        <v>73</v>
      </c>
      <c r="AF268" s="10" t="s">
        <v>1670</v>
      </c>
      <c r="AG268" s="10" t="s">
        <v>51</v>
      </c>
      <c r="AH268" s="10">
        <v>39190</v>
      </c>
      <c r="AI268" s="5">
        <v>1</v>
      </c>
      <c r="AJ268" s="10" t="s">
        <v>1671</v>
      </c>
      <c r="AK268" s="10" t="s">
        <v>1672</v>
      </c>
    </row>
    <row r="269" spans="1:37" ht="36.75" customHeight="1" x14ac:dyDescent="0.35">
      <c r="A269" s="5"/>
      <c r="B269" s="5" t="s">
        <v>37</v>
      </c>
      <c r="C269" s="73" t="str">
        <f t="shared" si="4"/>
        <v>Closed</v>
      </c>
      <c r="D269" s="45" t="s">
        <v>1673</v>
      </c>
      <c r="E269" s="54" t="s">
        <v>1674</v>
      </c>
      <c r="F269" s="5" t="s">
        <v>575</v>
      </c>
      <c r="G269" s="10">
        <f>DATE(2007,3,21)</f>
        <v>39162</v>
      </c>
      <c r="H269" s="35">
        <v>1.7784722222222222</v>
      </c>
      <c r="I269" s="5" t="s">
        <v>97</v>
      </c>
      <c r="J269" s="10" t="s">
        <v>1675</v>
      </c>
      <c r="K269" s="5" t="s">
        <v>577</v>
      </c>
      <c r="L269" s="5" t="s">
        <v>1676</v>
      </c>
      <c r="M269" s="5" t="s">
        <v>45</v>
      </c>
      <c r="N269" s="5">
        <v>0</v>
      </c>
      <c r="O269" s="5" t="s">
        <v>59</v>
      </c>
      <c r="P269" s="10" t="s">
        <v>47</v>
      </c>
      <c r="Q269" s="10" t="s">
        <v>579</v>
      </c>
      <c r="R269" s="10" t="s">
        <v>580</v>
      </c>
      <c r="S269" s="5">
        <v>0</v>
      </c>
      <c r="T269" s="37">
        <v>0</v>
      </c>
      <c r="U269" s="5">
        <v>0</v>
      </c>
      <c r="V269" s="37" t="s">
        <v>50</v>
      </c>
      <c r="W269" s="5">
        <v>0</v>
      </c>
      <c r="X269" s="5">
        <v>0</v>
      </c>
      <c r="Y269" s="5">
        <v>0</v>
      </c>
      <c r="Z269" s="37">
        <v>1</v>
      </c>
      <c r="AA269" s="5">
        <v>0</v>
      </c>
      <c r="AB269" s="5">
        <v>0</v>
      </c>
      <c r="AC269" s="5">
        <v>0</v>
      </c>
      <c r="AD269" s="5">
        <v>1</v>
      </c>
      <c r="AE269" s="10" t="s">
        <v>50</v>
      </c>
      <c r="AF269" s="10" t="s">
        <v>1189</v>
      </c>
      <c r="AG269" s="10" t="s">
        <v>114</v>
      </c>
      <c r="AH269" s="10" t="s">
        <v>50</v>
      </c>
      <c r="AI269" s="5">
        <v>0</v>
      </c>
      <c r="AJ269" s="10" t="s">
        <v>50</v>
      </c>
      <c r="AK269" s="10" t="s">
        <v>50</v>
      </c>
    </row>
    <row r="270" spans="1:37" ht="36.75" customHeight="1" x14ac:dyDescent="0.35">
      <c r="A270" s="5"/>
      <c r="B270" s="5" t="s">
        <v>37</v>
      </c>
      <c r="C270" s="73" t="str">
        <f t="shared" si="4"/>
        <v>Closed</v>
      </c>
      <c r="D270" s="45" t="s">
        <v>1677</v>
      </c>
      <c r="E270" s="54" t="s">
        <v>1678</v>
      </c>
      <c r="F270" s="5" t="s">
        <v>214</v>
      </c>
      <c r="G270" s="10">
        <f>DATE(2007,3,25)</f>
        <v>39166</v>
      </c>
      <c r="H270" s="35">
        <v>1.5472222222222221</v>
      </c>
      <c r="I270" s="5" t="s">
        <v>97</v>
      </c>
      <c r="J270" s="10" t="s">
        <v>1679</v>
      </c>
      <c r="K270" s="5" t="s">
        <v>216</v>
      </c>
      <c r="L270" s="5" t="s">
        <v>1680</v>
      </c>
      <c r="M270" s="5" t="s">
        <v>45</v>
      </c>
      <c r="N270" s="5">
        <v>0</v>
      </c>
      <c r="O270" s="5" t="s">
        <v>46</v>
      </c>
      <c r="P270" s="10" t="s">
        <v>67</v>
      </c>
      <c r="Q270" s="10" t="s">
        <v>1681</v>
      </c>
      <c r="R270" s="10" t="s">
        <v>1681</v>
      </c>
      <c r="S270" s="5">
        <v>0</v>
      </c>
      <c r="T270" s="37" t="s">
        <v>50</v>
      </c>
      <c r="U270" s="5">
        <v>0</v>
      </c>
      <c r="V270" s="37" t="s">
        <v>50</v>
      </c>
      <c r="W270" s="5">
        <v>0</v>
      </c>
      <c r="X270" s="5">
        <v>0</v>
      </c>
      <c r="Y270" s="5">
        <v>0</v>
      </c>
      <c r="Z270" s="37" t="s">
        <v>50</v>
      </c>
      <c r="AA270" s="5">
        <v>0</v>
      </c>
      <c r="AB270" s="5">
        <v>0</v>
      </c>
      <c r="AC270" s="5">
        <v>0</v>
      </c>
      <c r="AD270" s="5">
        <v>0</v>
      </c>
      <c r="AE270" s="10" t="s">
        <v>50</v>
      </c>
      <c r="AF270" s="10" t="s">
        <v>50</v>
      </c>
      <c r="AG270" s="10" t="s">
        <v>114</v>
      </c>
      <c r="AH270" s="10" t="s">
        <v>50</v>
      </c>
      <c r="AI270" s="5">
        <v>3</v>
      </c>
      <c r="AJ270" s="10" t="s">
        <v>1682</v>
      </c>
      <c r="AK270" s="10" t="s">
        <v>1683</v>
      </c>
    </row>
    <row r="271" spans="1:37" ht="36.75" customHeight="1" x14ac:dyDescent="0.35">
      <c r="A271" s="5"/>
      <c r="B271" s="5" t="s">
        <v>37</v>
      </c>
      <c r="C271" s="73" t="str">
        <f t="shared" si="4"/>
        <v>Closed</v>
      </c>
      <c r="D271" s="45" t="s">
        <v>1684</v>
      </c>
      <c r="E271" s="54" t="s">
        <v>1685</v>
      </c>
      <c r="F271" s="5" t="s">
        <v>575</v>
      </c>
      <c r="G271" s="10">
        <f>DATE(2007,3,28)</f>
        <v>39169</v>
      </c>
      <c r="H271" s="35">
        <v>1.7013888888888888</v>
      </c>
      <c r="I271" s="5" t="s">
        <v>97</v>
      </c>
      <c r="J271" s="10" t="s">
        <v>1686</v>
      </c>
      <c r="K271" s="5" t="s">
        <v>577</v>
      </c>
      <c r="L271" s="5" t="s">
        <v>1687</v>
      </c>
      <c r="M271" s="5" t="s">
        <v>45</v>
      </c>
      <c r="N271" s="5">
        <v>0</v>
      </c>
      <c r="O271" s="5" t="s">
        <v>46</v>
      </c>
      <c r="P271" s="10" t="s">
        <v>146</v>
      </c>
      <c r="Q271" s="10" t="s">
        <v>579</v>
      </c>
      <c r="R271" s="10" t="s">
        <v>580</v>
      </c>
      <c r="S271" s="5">
        <v>0</v>
      </c>
      <c r="T271" s="37" t="s">
        <v>50</v>
      </c>
      <c r="U271" s="5">
        <v>1</v>
      </c>
      <c r="V271" s="37" t="s">
        <v>50</v>
      </c>
      <c r="W271" s="5">
        <v>0</v>
      </c>
      <c r="X271" s="5">
        <v>1</v>
      </c>
      <c r="Y271" s="5">
        <v>0</v>
      </c>
      <c r="Z271" s="37" t="s">
        <v>50</v>
      </c>
      <c r="AA271" s="5">
        <v>0</v>
      </c>
      <c r="AB271" s="5">
        <v>0</v>
      </c>
      <c r="AC271" s="5">
        <v>0</v>
      </c>
      <c r="AD271" s="5">
        <v>0</v>
      </c>
      <c r="AE271" s="10" t="s">
        <v>50</v>
      </c>
      <c r="AF271" s="10" t="s">
        <v>1688</v>
      </c>
      <c r="AG271" s="10" t="s">
        <v>64</v>
      </c>
      <c r="AH271" s="10" t="s">
        <v>50</v>
      </c>
      <c r="AI271" s="5">
        <v>0</v>
      </c>
      <c r="AJ271" s="10" t="s">
        <v>50</v>
      </c>
      <c r="AK271" s="10" t="s">
        <v>50</v>
      </c>
    </row>
    <row r="272" spans="1:37" ht="36.75" customHeight="1" x14ac:dyDescent="0.35">
      <c r="A272" s="5"/>
      <c r="B272" s="5" t="s">
        <v>37</v>
      </c>
      <c r="C272" s="73" t="str">
        <f t="shared" si="4"/>
        <v>Closed</v>
      </c>
      <c r="D272" s="45" t="s">
        <v>1689</v>
      </c>
      <c r="E272" s="54" t="s">
        <v>1690</v>
      </c>
      <c r="F272" s="5" t="s">
        <v>619</v>
      </c>
      <c r="G272" s="10">
        <f>DATE(2007,3,30)</f>
        <v>39171</v>
      </c>
      <c r="H272" s="35">
        <v>1.7256944444444446</v>
      </c>
      <c r="I272" s="5" t="s">
        <v>97</v>
      </c>
      <c r="J272" s="10" t="s">
        <v>1691</v>
      </c>
      <c r="K272" s="5" t="s">
        <v>621</v>
      </c>
      <c r="L272" s="5" t="s">
        <v>1692</v>
      </c>
      <c r="M272" s="5" t="s">
        <v>45</v>
      </c>
      <c r="N272" s="5">
        <v>0</v>
      </c>
      <c r="O272" s="5" t="s">
        <v>46</v>
      </c>
      <c r="P272" s="10" t="s">
        <v>47</v>
      </c>
      <c r="Q272" s="10" t="s">
        <v>623</v>
      </c>
      <c r="R272" s="10" t="s">
        <v>624</v>
      </c>
      <c r="S272" s="5">
        <v>0</v>
      </c>
      <c r="T272" s="37">
        <v>0</v>
      </c>
      <c r="U272" s="5">
        <v>1</v>
      </c>
      <c r="V272" s="37">
        <v>0</v>
      </c>
      <c r="W272" s="5">
        <v>0</v>
      </c>
      <c r="X272" s="5">
        <v>1</v>
      </c>
      <c r="Y272" s="5">
        <v>0</v>
      </c>
      <c r="Z272" s="37">
        <v>0</v>
      </c>
      <c r="AA272" s="5">
        <v>2</v>
      </c>
      <c r="AB272" s="5">
        <v>0</v>
      </c>
      <c r="AC272" s="5">
        <v>0</v>
      </c>
      <c r="AD272" s="5">
        <v>2</v>
      </c>
      <c r="AE272" s="10" t="s">
        <v>50</v>
      </c>
      <c r="AF272" s="10" t="s">
        <v>50</v>
      </c>
      <c r="AG272" s="10" t="s">
        <v>229</v>
      </c>
      <c r="AH272" s="10" t="s">
        <v>50</v>
      </c>
      <c r="AI272" s="5">
        <v>2</v>
      </c>
      <c r="AJ272" s="10" t="s">
        <v>50</v>
      </c>
      <c r="AK272" s="10" t="s">
        <v>50</v>
      </c>
    </row>
    <row r="273" spans="1:37" ht="36.75" customHeight="1" x14ac:dyDescent="0.35">
      <c r="A273" s="5"/>
      <c r="B273" s="5" t="s">
        <v>37</v>
      </c>
      <c r="C273" s="73" t="str">
        <f t="shared" si="4"/>
        <v>Closed</v>
      </c>
      <c r="D273" s="45" t="s">
        <v>1693</v>
      </c>
      <c r="E273" s="54" t="s">
        <v>1694</v>
      </c>
      <c r="F273" s="5" t="s">
        <v>178</v>
      </c>
      <c r="G273" s="10">
        <f>DATE(2007,4,4)</f>
        <v>39176</v>
      </c>
      <c r="H273" s="35">
        <v>1.2222222222222223</v>
      </c>
      <c r="I273" s="5" t="s">
        <v>55</v>
      </c>
      <c r="J273" s="10" t="s">
        <v>1695</v>
      </c>
      <c r="K273" s="5" t="s">
        <v>181</v>
      </c>
      <c r="L273" s="5" t="s">
        <v>1696</v>
      </c>
      <c r="M273" s="5" t="s">
        <v>45</v>
      </c>
      <c r="N273" s="5">
        <v>0</v>
      </c>
      <c r="O273" s="5" t="s">
        <v>46</v>
      </c>
      <c r="P273" s="10" t="s">
        <v>60</v>
      </c>
      <c r="Q273" s="10" t="s">
        <v>1697</v>
      </c>
      <c r="R273" s="10" t="s">
        <v>184</v>
      </c>
      <c r="S273" s="5">
        <v>0</v>
      </c>
      <c r="T273" s="37" t="s">
        <v>50</v>
      </c>
      <c r="U273" s="5">
        <v>0</v>
      </c>
      <c r="V273" s="37" t="s">
        <v>50</v>
      </c>
      <c r="W273" s="5">
        <v>0</v>
      </c>
      <c r="X273" s="5">
        <v>0</v>
      </c>
      <c r="Y273" s="5">
        <v>0</v>
      </c>
      <c r="Z273" s="37" t="s">
        <v>50</v>
      </c>
      <c r="AA273" s="5">
        <v>0</v>
      </c>
      <c r="AB273" s="5">
        <v>0</v>
      </c>
      <c r="AC273" s="5">
        <v>0</v>
      </c>
      <c r="AD273" s="5">
        <v>0</v>
      </c>
      <c r="AE273" s="10" t="s">
        <v>50</v>
      </c>
      <c r="AF273" s="10" t="s">
        <v>1698</v>
      </c>
      <c r="AG273" s="10" t="s">
        <v>855</v>
      </c>
      <c r="AH273" s="10" t="s">
        <v>50</v>
      </c>
      <c r="AI273" s="5">
        <v>5</v>
      </c>
      <c r="AJ273" s="10" t="s">
        <v>1699</v>
      </c>
      <c r="AK273" s="10" t="s">
        <v>50</v>
      </c>
    </row>
    <row r="274" spans="1:37" ht="36.75" customHeight="1" x14ac:dyDescent="0.35">
      <c r="A274" s="5"/>
      <c r="B274" s="5" t="s">
        <v>37</v>
      </c>
      <c r="C274" s="73" t="str">
        <f t="shared" si="4"/>
        <v>Closed</v>
      </c>
      <c r="D274" s="45" t="s">
        <v>1700</v>
      </c>
      <c r="E274" s="54" t="s">
        <v>1701</v>
      </c>
      <c r="F274" s="5" t="s">
        <v>619</v>
      </c>
      <c r="G274" s="10">
        <f>DATE(2007,4,4)</f>
        <v>39176</v>
      </c>
      <c r="H274" s="35">
        <v>1.4631944444444445</v>
      </c>
      <c r="I274" s="5" t="s">
        <v>259</v>
      </c>
      <c r="J274" s="10" t="s">
        <v>1702</v>
      </c>
      <c r="K274" s="5" t="s">
        <v>621</v>
      </c>
      <c r="L274" s="5" t="s">
        <v>1703</v>
      </c>
      <c r="M274" s="5" t="s">
        <v>45</v>
      </c>
      <c r="N274" s="5" t="s">
        <v>80</v>
      </c>
      <c r="O274" s="5" t="s">
        <v>59</v>
      </c>
      <c r="P274" s="10" t="s">
        <v>47</v>
      </c>
      <c r="Q274" s="10" t="s">
        <v>623</v>
      </c>
      <c r="R274" s="10" t="s">
        <v>624</v>
      </c>
      <c r="S274" s="5">
        <v>0</v>
      </c>
      <c r="T274" s="37">
        <v>0</v>
      </c>
      <c r="U274" s="5">
        <v>0</v>
      </c>
      <c r="V274" s="37">
        <v>1</v>
      </c>
      <c r="W274" s="5">
        <v>0</v>
      </c>
      <c r="X274" s="5">
        <v>1</v>
      </c>
      <c r="Y274" s="5">
        <v>0</v>
      </c>
      <c r="Z274" s="37">
        <v>0</v>
      </c>
      <c r="AA274" s="5">
        <v>0</v>
      </c>
      <c r="AB274" s="5">
        <v>0</v>
      </c>
      <c r="AC274" s="5">
        <v>0</v>
      </c>
      <c r="AD274" s="5">
        <v>0</v>
      </c>
      <c r="AE274" s="10" t="s">
        <v>73</v>
      </c>
      <c r="AF274" s="10" t="s">
        <v>50</v>
      </c>
      <c r="AG274" s="10" t="s">
        <v>229</v>
      </c>
      <c r="AH274" s="10">
        <v>39176</v>
      </c>
      <c r="AI274" s="5">
        <v>1</v>
      </c>
      <c r="AJ274" s="10" t="s">
        <v>1704</v>
      </c>
      <c r="AK274" s="10" t="s">
        <v>50</v>
      </c>
    </row>
    <row r="275" spans="1:37" ht="36.75" customHeight="1" x14ac:dyDescent="0.35">
      <c r="A275" s="5"/>
      <c r="B275" s="5" t="s">
        <v>37</v>
      </c>
      <c r="C275" s="73" t="str">
        <f t="shared" si="4"/>
        <v>Closed</v>
      </c>
      <c r="D275" s="45" t="s">
        <v>1705</v>
      </c>
      <c r="E275" s="54" t="s">
        <v>1706</v>
      </c>
      <c r="F275" s="5" t="s">
        <v>575</v>
      </c>
      <c r="G275" s="10">
        <f>DATE(2007,4,4)</f>
        <v>39176</v>
      </c>
      <c r="H275" s="35">
        <v>1.7381944444444444</v>
      </c>
      <c r="I275" s="5" t="s">
        <v>97</v>
      </c>
      <c r="J275" s="10" t="s">
        <v>1707</v>
      </c>
      <c r="K275" s="5" t="s">
        <v>577</v>
      </c>
      <c r="L275" s="5" t="s">
        <v>1708</v>
      </c>
      <c r="M275" s="5" t="s">
        <v>45</v>
      </c>
      <c r="N275" s="5">
        <v>0</v>
      </c>
      <c r="O275" s="5" t="s">
        <v>46</v>
      </c>
      <c r="P275" s="10" t="s">
        <v>362</v>
      </c>
      <c r="Q275" s="10" t="s">
        <v>579</v>
      </c>
      <c r="R275" s="10" t="s">
        <v>580</v>
      </c>
      <c r="S275" s="5">
        <v>0</v>
      </c>
      <c r="T275" s="37" t="s">
        <v>50</v>
      </c>
      <c r="U275" s="5">
        <v>1</v>
      </c>
      <c r="V275" s="37" t="s">
        <v>50</v>
      </c>
      <c r="W275" s="5">
        <v>0</v>
      </c>
      <c r="X275" s="5">
        <v>1</v>
      </c>
      <c r="Y275" s="5">
        <v>0</v>
      </c>
      <c r="Z275" s="37" t="s">
        <v>50</v>
      </c>
      <c r="AA275" s="5">
        <v>1</v>
      </c>
      <c r="AB275" s="5">
        <v>0</v>
      </c>
      <c r="AC275" s="5">
        <v>0</v>
      </c>
      <c r="AD275" s="5">
        <v>1</v>
      </c>
      <c r="AE275" s="10" t="s">
        <v>50</v>
      </c>
      <c r="AF275" s="10" t="s">
        <v>50</v>
      </c>
      <c r="AG275" s="10" t="s">
        <v>64</v>
      </c>
      <c r="AH275" s="10" t="s">
        <v>50</v>
      </c>
      <c r="AI275" s="5">
        <v>0</v>
      </c>
      <c r="AJ275" s="10" t="s">
        <v>50</v>
      </c>
      <c r="AK275" s="10" t="s">
        <v>50</v>
      </c>
    </row>
    <row r="276" spans="1:37" ht="36.75" customHeight="1" x14ac:dyDescent="0.35">
      <c r="A276" s="5"/>
      <c r="B276" s="5" t="s">
        <v>37</v>
      </c>
      <c r="C276" s="73" t="str">
        <f t="shared" si="4"/>
        <v>Closed</v>
      </c>
      <c r="D276" s="45" t="s">
        <v>1709</v>
      </c>
      <c r="E276" s="54" t="s">
        <v>1710</v>
      </c>
      <c r="F276" s="5" t="s">
        <v>619</v>
      </c>
      <c r="G276" s="10">
        <f>DATE(2007,4,5)</f>
        <v>39177</v>
      </c>
      <c r="H276" s="35">
        <v>1.3708333333333333</v>
      </c>
      <c r="I276" s="5" t="s">
        <v>97</v>
      </c>
      <c r="J276" s="10" t="s">
        <v>1711</v>
      </c>
      <c r="K276" s="5" t="s">
        <v>621</v>
      </c>
      <c r="L276" s="5" t="s">
        <v>1712</v>
      </c>
      <c r="M276" s="5" t="s">
        <v>45</v>
      </c>
      <c r="N276" s="5">
        <v>0</v>
      </c>
      <c r="O276" s="5" t="s">
        <v>59</v>
      </c>
      <c r="P276" s="10" t="s">
        <v>67</v>
      </c>
      <c r="Q276" s="10" t="s">
        <v>623</v>
      </c>
      <c r="R276" s="10" t="s">
        <v>624</v>
      </c>
      <c r="S276" s="5">
        <v>0</v>
      </c>
      <c r="T276" s="37">
        <v>0</v>
      </c>
      <c r="U276" s="5">
        <v>1</v>
      </c>
      <c r="V276" s="37">
        <v>0</v>
      </c>
      <c r="W276" s="5">
        <v>0</v>
      </c>
      <c r="X276" s="5">
        <v>1</v>
      </c>
      <c r="Y276" s="5">
        <v>0</v>
      </c>
      <c r="Z276" s="37">
        <v>0</v>
      </c>
      <c r="AA276" s="5">
        <v>0</v>
      </c>
      <c r="AB276" s="5">
        <v>0</v>
      </c>
      <c r="AC276" s="5">
        <v>0</v>
      </c>
      <c r="AD276" s="5">
        <v>0</v>
      </c>
      <c r="AE276" s="10" t="s">
        <v>73</v>
      </c>
      <c r="AF276" s="10" t="s">
        <v>50</v>
      </c>
      <c r="AG276" s="10" t="s">
        <v>229</v>
      </c>
      <c r="AH276" s="10" t="s">
        <v>50</v>
      </c>
      <c r="AI276" s="5">
        <v>1</v>
      </c>
      <c r="AJ276" s="10" t="s">
        <v>1713</v>
      </c>
      <c r="AK276" s="10" t="s">
        <v>50</v>
      </c>
    </row>
    <row r="277" spans="1:37" ht="36.75" customHeight="1" x14ac:dyDescent="0.35">
      <c r="A277" s="5"/>
      <c r="B277" s="5" t="s">
        <v>37</v>
      </c>
      <c r="C277" s="73" t="str">
        <f t="shared" si="4"/>
        <v>Closed</v>
      </c>
      <c r="D277" s="45" t="s">
        <v>1714</v>
      </c>
      <c r="E277" s="54" t="s">
        <v>1715</v>
      </c>
      <c r="F277" s="5" t="s">
        <v>96</v>
      </c>
      <c r="G277" s="10">
        <f>DATE(2007,4,5)</f>
        <v>39177</v>
      </c>
      <c r="H277" s="35">
        <v>1.3527777777777779</v>
      </c>
      <c r="I277" s="5" t="s">
        <v>137</v>
      </c>
      <c r="J277" s="10" t="s">
        <v>1716</v>
      </c>
      <c r="K277" s="5" t="s">
        <v>99</v>
      </c>
      <c r="L277" s="5" t="s">
        <v>1717</v>
      </c>
      <c r="M277" s="5" t="s">
        <v>45</v>
      </c>
      <c r="N277" s="5">
        <v>0</v>
      </c>
      <c r="O277" s="5" t="s">
        <v>59</v>
      </c>
      <c r="P277" s="10" t="s">
        <v>146</v>
      </c>
      <c r="Q277" s="10" t="s">
        <v>101</v>
      </c>
      <c r="R277" s="10" t="s">
        <v>102</v>
      </c>
      <c r="S277" s="5">
        <v>0</v>
      </c>
      <c r="T277" s="37" t="s">
        <v>50</v>
      </c>
      <c r="U277" s="5">
        <v>0</v>
      </c>
      <c r="V277" s="37" t="s">
        <v>50</v>
      </c>
      <c r="W277" s="5">
        <v>0</v>
      </c>
      <c r="X277" s="5">
        <v>0</v>
      </c>
      <c r="Y277" s="5">
        <v>0</v>
      </c>
      <c r="Z277" s="37" t="s">
        <v>50</v>
      </c>
      <c r="AA277" s="5">
        <v>0</v>
      </c>
      <c r="AB277" s="5">
        <v>0</v>
      </c>
      <c r="AC277" s="5">
        <v>0</v>
      </c>
      <c r="AD277" s="5">
        <v>0</v>
      </c>
      <c r="AE277" s="10" t="s">
        <v>50</v>
      </c>
      <c r="AF277" s="10" t="s">
        <v>1718</v>
      </c>
      <c r="AG277" s="10" t="s">
        <v>114</v>
      </c>
      <c r="AH277" s="10" t="s">
        <v>50</v>
      </c>
      <c r="AI277" s="5">
        <v>0</v>
      </c>
      <c r="AJ277" s="10" t="s">
        <v>50</v>
      </c>
      <c r="AK277" s="10" t="s">
        <v>50</v>
      </c>
    </row>
    <row r="278" spans="1:37" ht="36.75" customHeight="1" x14ac:dyDescent="0.35">
      <c r="A278" s="5"/>
      <c r="B278" s="5" t="s">
        <v>37</v>
      </c>
      <c r="C278" s="73" t="str">
        <f t="shared" si="4"/>
        <v>Closed</v>
      </c>
      <c r="D278" s="45" t="s">
        <v>1719</v>
      </c>
      <c r="E278" s="54" t="s">
        <v>1720</v>
      </c>
      <c r="F278" s="5" t="s">
        <v>619</v>
      </c>
      <c r="G278" s="10">
        <f>DATE(2007,4,6)</f>
        <v>39178</v>
      </c>
      <c r="H278" s="35">
        <v>1.870138888888889</v>
      </c>
      <c r="I278" s="5" t="s">
        <v>259</v>
      </c>
      <c r="J278" s="10" t="s">
        <v>1721</v>
      </c>
      <c r="K278" s="5" t="s">
        <v>621</v>
      </c>
      <c r="L278" s="5" t="s">
        <v>1722</v>
      </c>
      <c r="M278" s="5" t="s">
        <v>45</v>
      </c>
      <c r="N278" s="5">
        <v>0</v>
      </c>
      <c r="O278" s="5" t="s">
        <v>59</v>
      </c>
      <c r="P278" s="10" t="s">
        <v>146</v>
      </c>
      <c r="Q278" s="10" t="s">
        <v>623</v>
      </c>
      <c r="R278" s="10" t="s">
        <v>624</v>
      </c>
      <c r="S278" s="5">
        <v>1</v>
      </c>
      <c r="T278" s="37">
        <v>0</v>
      </c>
      <c r="U278" s="5">
        <v>0</v>
      </c>
      <c r="V278" s="37">
        <v>0</v>
      </c>
      <c r="W278" s="5">
        <v>0</v>
      </c>
      <c r="X278" s="5">
        <v>1</v>
      </c>
      <c r="Y278" s="5">
        <v>0</v>
      </c>
      <c r="Z278" s="37">
        <v>0</v>
      </c>
      <c r="AA278" s="5">
        <v>0</v>
      </c>
      <c r="AB278" s="5">
        <v>0</v>
      </c>
      <c r="AC278" s="5">
        <v>0</v>
      </c>
      <c r="AD278" s="5">
        <v>0</v>
      </c>
      <c r="AE278" s="10" t="s">
        <v>50</v>
      </c>
      <c r="AF278" s="10" t="s">
        <v>50</v>
      </c>
      <c r="AG278" s="10" t="s">
        <v>229</v>
      </c>
      <c r="AH278" s="10" t="s">
        <v>50</v>
      </c>
      <c r="AI278" s="5">
        <v>1</v>
      </c>
      <c r="AJ278" s="10" t="s">
        <v>50</v>
      </c>
      <c r="AK278" s="10" t="s">
        <v>50</v>
      </c>
    </row>
    <row r="279" spans="1:37" ht="36.75" customHeight="1" x14ac:dyDescent="0.35">
      <c r="A279" s="5"/>
      <c r="B279" s="5" t="s">
        <v>37</v>
      </c>
      <c r="C279" s="73" t="str">
        <f t="shared" si="4"/>
        <v>Closed</v>
      </c>
      <c r="D279" s="45" t="s">
        <v>1723</v>
      </c>
      <c r="E279" s="54" t="s">
        <v>1724</v>
      </c>
      <c r="F279" s="5" t="s">
        <v>619</v>
      </c>
      <c r="G279" s="10">
        <f>DATE(2007,4,13)</f>
        <v>39185</v>
      </c>
      <c r="H279" s="35">
        <v>1.3145833333333332</v>
      </c>
      <c r="I279" s="5" t="s">
        <v>259</v>
      </c>
      <c r="J279" s="10" t="s">
        <v>1725</v>
      </c>
      <c r="K279" s="5" t="s">
        <v>621</v>
      </c>
      <c r="L279" s="5" t="s">
        <v>1726</v>
      </c>
      <c r="M279" s="5" t="s">
        <v>45</v>
      </c>
      <c r="N279" s="5">
        <v>0</v>
      </c>
      <c r="O279" s="5" t="s">
        <v>67</v>
      </c>
      <c r="P279" s="10" t="s">
        <v>67</v>
      </c>
      <c r="Q279" s="10" t="s">
        <v>623</v>
      </c>
      <c r="R279" s="10" t="s">
        <v>624</v>
      </c>
      <c r="S279" s="5">
        <v>0</v>
      </c>
      <c r="T279" s="37">
        <v>0</v>
      </c>
      <c r="U279" s="5">
        <v>0</v>
      </c>
      <c r="V279" s="37">
        <v>1</v>
      </c>
      <c r="W279" s="5">
        <v>0</v>
      </c>
      <c r="X279" s="5">
        <v>1</v>
      </c>
      <c r="Y279" s="5">
        <v>0</v>
      </c>
      <c r="Z279" s="37">
        <v>0</v>
      </c>
      <c r="AA279" s="5">
        <v>0</v>
      </c>
      <c r="AB279" s="5">
        <v>0</v>
      </c>
      <c r="AC279" s="5">
        <v>0</v>
      </c>
      <c r="AD279" s="5">
        <v>0</v>
      </c>
      <c r="AE279" s="10" t="s">
        <v>50</v>
      </c>
      <c r="AF279" s="10" t="s">
        <v>50</v>
      </c>
      <c r="AG279" s="10" t="s">
        <v>229</v>
      </c>
      <c r="AH279" s="10" t="s">
        <v>50</v>
      </c>
      <c r="AI279" s="5">
        <v>0</v>
      </c>
      <c r="AJ279" s="10" t="s">
        <v>1727</v>
      </c>
      <c r="AK279" s="10" t="s">
        <v>50</v>
      </c>
    </row>
    <row r="280" spans="1:37" ht="36.75" customHeight="1" x14ac:dyDescent="0.35">
      <c r="A280" s="5"/>
      <c r="B280" s="5" t="s">
        <v>37</v>
      </c>
      <c r="C280" s="73" t="str">
        <f t="shared" si="4"/>
        <v>Closed</v>
      </c>
      <c r="D280" s="45" t="s">
        <v>1728</v>
      </c>
      <c r="E280" s="54" t="s">
        <v>1729</v>
      </c>
      <c r="F280" s="5" t="s">
        <v>1730</v>
      </c>
      <c r="G280" s="10">
        <f>DATE(2007,4,14)</f>
        <v>39186</v>
      </c>
      <c r="H280" s="35">
        <v>1.7555555555555555</v>
      </c>
      <c r="I280" s="5" t="s">
        <v>97</v>
      </c>
      <c r="J280" s="10" t="s">
        <v>1731</v>
      </c>
      <c r="K280" s="5" t="s">
        <v>1732</v>
      </c>
      <c r="L280" s="5" t="s">
        <v>1733</v>
      </c>
      <c r="M280" s="5" t="s">
        <v>45</v>
      </c>
      <c r="N280" s="5">
        <v>0</v>
      </c>
      <c r="O280" s="5" t="s">
        <v>46</v>
      </c>
      <c r="P280" s="10" t="s">
        <v>67</v>
      </c>
      <c r="Q280" s="10" t="s">
        <v>1734</v>
      </c>
      <c r="R280" s="10" t="s">
        <v>1735</v>
      </c>
      <c r="S280" s="5">
        <v>0</v>
      </c>
      <c r="T280" s="37">
        <v>0</v>
      </c>
      <c r="U280" s="5">
        <v>1</v>
      </c>
      <c r="V280" s="37">
        <v>0</v>
      </c>
      <c r="W280" s="5">
        <v>0</v>
      </c>
      <c r="X280" s="5">
        <v>1</v>
      </c>
      <c r="Y280" s="5">
        <v>0</v>
      </c>
      <c r="Z280" s="37">
        <v>0</v>
      </c>
      <c r="AA280" s="5">
        <v>0</v>
      </c>
      <c r="AB280" s="5">
        <v>0</v>
      </c>
      <c r="AC280" s="5">
        <v>0</v>
      </c>
      <c r="AD280" s="5">
        <v>0</v>
      </c>
      <c r="AE280" s="10" t="s">
        <v>50</v>
      </c>
      <c r="AF280" s="10" t="s">
        <v>1736</v>
      </c>
      <c r="AG280" s="10" t="s">
        <v>229</v>
      </c>
      <c r="AH280" s="10" t="s">
        <v>50</v>
      </c>
      <c r="AI280" s="5">
        <v>1</v>
      </c>
      <c r="AJ280" s="10" t="s">
        <v>50</v>
      </c>
      <c r="AK280" s="10" t="s">
        <v>50</v>
      </c>
    </row>
    <row r="281" spans="1:37" ht="36.75" customHeight="1" x14ac:dyDescent="0.35">
      <c r="A281" s="5"/>
      <c r="B281" s="5" t="s">
        <v>37</v>
      </c>
      <c r="C281" s="73" t="str">
        <f t="shared" si="4"/>
        <v>Closed</v>
      </c>
      <c r="D281" s="45" t="s">
        <v>1737</v>
      </c>
      <c r="E281" s="54" t="s">
        <v>1738</v>
      </c>
      <c r="F281" s="5" t="s">
        <v>214</v>
      </c>
      <c r="G281" s="10">
        <f>DATE(2007,4,14)</f>
        <v>39186</v>
      </c>
      <c r="H281" s="35">
        <v>1.0416666666666667</v>
      </c>
      <c r="I281" s="5" t="s">
        <v>55</v>
      </c>
      <c r="J281" s="10" t="s">
        <v>1739</v>
      </c>
      <c r="K281" s="5" t="s">
        <v>216</v>
      </c>
      <c r="L281" s="5" t="s">
        <v>1740</v>
      </c>
      <c r="M281" s="5" t="s">
        <v>45</v>
      </c>
      <c r="N281" s="5">
        <v>0</v>
      </c>
      <c r="O281" s="5" t="s">
        <v>46</v>
      </c>
      <c r="P281" s="10" t="s">
        <v>282</v>
      </c>
      <c r="Q281" s="10" t="s">
        <v>656</v>
      </c>
      <c r="R281" s="10" t="s">
        <v>656</v>
      </c>
      <c r="S281" s="5">
        <v>0</v>
      </c>
      <c r="T281" s="37" t="s">
        <v>50</v>
      </c>
      <c r="U281" s="5">
        <v>0</v>
      </c>
      <c r="V281" s="37" t="s">
        <v>50</v>
      </c>
      <c r="W281" s="5">
        <v>0</v>
      </c>
      <c r="X281" s="5">
        <v>0</v>
      </c>
      <c r="Y281" s="5">
        <v>0</v>
      </c>
      <c r="Z281" s="37" t="s">
        <v>50</v>
      </c>
      <c r="AA281" s="5">
        <v>0</v>
      </c>
      <c r="AB281" s="5">
        <v>0</v>
      </c>
      <c r="AC281" s="5">
        <v>0</v>
      </c>
      <c r="AD281" s="5">
        <v>0</v>
      </c>
      <c r="AE281" s="10" t="s">
        <v>50</v>
      </c>
      <c r="AF281" s="10" t="s">
        <v>1741</v>
      </c>
      <c r="AG281" s="10" t="s">
        <v>114</v>
      </c>
      <c r="AH281" s="10" t="s">
        <v>50</v>
      </c>
      <c r="AI281" s="5">
        <v>7</v>
      </c>
      <c r="AJ281" s="10" t="s">
        <v>1742</v>
      </c>
      <c r="AK281" s="10" t="s">
        <v>1743</v>
      </c>
    </row>
    <row r="282" spans="1:37" ht="36.75" customHeight="1" x14ac:dyDescent="0.35">
      <c r="A282" s="5"/>
      <c r="B282" s="5" t="s">
        <v>37</v>
      </c>
      <c r="C282" s="73" t="str">
        <f t="shared" si="4"/>
        <v>Closed</v>
      </c>
      <c r="D282" s="45" t="s">
        <v>1744</v>
      </c>
      <c r="E282" s="54" t="s">
        <v>1745</v>
      </c>
      <c r="F282" s="5" t="s">
        <v>619</v>
      </c>
      <c r="G282" s="10">
        <f>DATE(2007,4,25)</f>
        <v>39197</v>
      </c>
      <c r="H282" s="35">
        <v>1.5520833333333335</v>
      </c>
      <c r="I282" s="5" t="s">
        <v>97</v>
      </c>
      <c r="J282" s="10" t="s">
        <v>1746</v>
      </c>
      <c r="K282" s="5" t="s">
        <v>621</v>
      </c>
      <c r="L282" s="5" t="s">
        <v>1747</v>
      </c>
      <c r="M282" s="5" t="s">
        <v>45</v>
      </c>
      <c r="N282" s="5">
        <v>0</v>
      </c>
      <c r="O282" s="5" t="s">
        <v>46</v>
      </c>
      <c r="P282" s="10" t="s">
        <v>146</v>
      </c>
      <c r="Q282" s="10" t="s">
        <v>623</v>
      </c>
      <c r="R282" s="10" t="s">
        <v>624</v>
      </c>
      <c r="S282" s="5">
        <v>0</v>
      </c>
      <c r="T282" s="37">
        <v>0</v>
      </c>
      <c r="U282" s="5">
        <v>3</v>
      </c>
      <c r="V282" s="37">
        <v>0</v>
      </c>
      <c r="W282" s="5">
        <v>0</v>
      </c>
      <c r="X282" s="5">
        <v>3</v>
      </c>
      <c r="Y282" s="5">
        <v>0</v>
      </c>
      <c r="Z282" s="37">
        <v>0</v>
      </c>
      <c r="AA282" s="5">
        <v>0</v>
      </c>
      <c r="AB282" s="5">
        <v>0</v>
      </c>
      <c r="AC282" s="5">
        <v>0</v>
      </c>
      <c r="AD282" s="5">
        <v>0</v>
      </c>
      <c r="AE282" s="10" t="s">
        <v>50</v>
      </c>
      <c r="AF282" s="10" t="s">
        <v>1748</v>
      </c>
      <c r="AG282" s="10" t="s">
        <v>229</v>
      </c>
      <c r="AH282" s="10" t="s">
        <v>50</v>
      </c>
      <c r="AI282" s="5">
        <v>5</v>
      </c>
      <c r="AJ282" s="10" t="s">
        <v>50</v>
      </c>
      <c r="AK282" s="10" t="s">
        <v>50</v>
      </c>
    </row>
    <row r="283" spans="1:37" ht="36.75" customHeight="1" x14ac:dyDescent="0.35">
      <c r="A283" s="5"/>
      <c r="B283" s="5" t="s">
        <v>37</v>
      </c>
      <c r="C283" s="73" t="str">
        <f t="shared" si="4"/>
        <v>Closed</v>
      </c>
      <c r="D283" s="45" t="s">
        <v>1749</v>
      </c>
      <c r="E283" s="54" t="s">
        <v>1750</v>
      </c>
      <c r="F283" s="5" t="s">
        <v>1751</v>
      </c>
      <c r="G283" s="10">
        <f>DATE(2007,4,26)</f>
        <v>39198</v>
      </c>
      <c r="H283" s="35">
        <v>1.7986111111111112</v>
      </c>
      <c r="I283" s="5" t="s">
        <v>179</v>
      </c>
      <c r="J283" s="10" t="s">
        <v>1752</v>
      </c>
      <c r="K283" s="5" t="s">
        <v>1753</v>
      </c>
      <c r="L283" s="5" t="s">
        <v>1754</v>
      </c>
      <c r="M283" s="5" t="s">
        <v>45</v>
      </c>
      <c r="N283" s="5" t="s">
        <v>123</v>
      </c>
      <c r="O283" s="5" t="s">
        <v>59</v>
      </c>
      <c r="P283" s="10" t="s">
        <v>1341</v>
      </c>
      <c r="Q283" s="10" t="s">
        <v>1755</v>
      </c>
      <c r="R283" s="10" t="s">
        <v>1756</v>
      </c>
      <c r="S283" s="5">
        <v>0</v>
      </c>
      <c r="T283" s="37">
        <v>0</v>
      </c>
      <c r="U283" s="5">
        <v>0</v>
      </c>
      <c r="V283" s="37">
        <v>0</v>
      </c>
      <c r="W283" s="5">
        <v>0</v>
      </c>
      <c r="X283" s="5">
        <v>0</v>
      </c>
      <c r="Y283" s="5">
        <v>1</v>
      </c>
      <c r="Z283" s="37">
        <v>2</v>
      </c>
      <c r="AA283" s="5">
        <v>0</v>
      </c>
      <c r="AB283" s="5">
        <v>0</v>
      </c>
      <c r="AC283" s="5">
        <v>0</v>
      </c>
      <c r="AD283" s="5">
        <v>3</v>
      </c>
      <c r="AE283" s="10" t="s">
        <v>126</v>
      </c>
      <c r="AF283" s="10" t="s">
        <v>1757</v>
      </c>
      <c r="AG283" s="10" t="s">
        <v>64</v>
      </c>
      <c r="AH283" s="10">
        <v>39199</v>
      </c>
      <c r="AI283" s="5">
        <v>0</v>
      </c>
      <c r="AJ283" s="10" t="s">
        <v>1758</v>
      </c>
      <c r="AK283" s="10" t="s">
        <v>1215</v>
      </c>
    </row>
    <row r="284" spans="1:37" ht="36.75" customHeight="1" x14ac:dyDescent="0.35">
      <c r="A284" s="5"/>
      <c r="B284" s="5" t="s">
        <v>37</v>
      </c>
      <c r="C284" s="73" t="str">
        <f t="shared" si="4"/>
        <v>Closed</v>
      </c>
      <c r="D284" s="45" t="s">
        <v>1759</v>
      </c>
      <c r="E284" s="54" t="s">
        <v>1760</v>
      </c>
      <c r="F284" s="5" t="s">
        <v>214</v>
      </c>
      <c r="G284" s="10">
        <f>DATE(2007,4,29)</f>
        <v>39201</v>
      </c>
      <c r="H284" s="35">
        <v>1.476388888888889</v>
      </c>
      <c r="I284" s="5" t="s">
        <v>259</v>
      </c>
      <c r="J284" s="10" t="s">
        <v>1761</v>
      </c>
      <c r="K284" s="5" t="s">
        <v>216</v>
      </c>
      <c r="L284" s="5" t="s">
        <v>1762</v>
      </c>
      <c r="M284" s="5" t="s">
        <v>45</v>
      </c>
      <c r="N284" s="5">
        <v>0</v>
      </c>
      <c r="O284" s="5" t="s">
        <v>46</v>
      </c>
      <c r="P284" s="10" t="s">
        <v>146</v>
      </c>
      <c r="Q284" s="10" t="s">
        <v>1410</v>
      </c>
      <c r="R284" s="10" t="s">
        <v>219</v>
      </c>
      <c r="S284" s="5">
        <v>0</v>
      </c>
      <c r="T284" s="37">
        <v>1</v>
      </c>
      <c r="U284" s="5">
        <v>0</v>
      </c>
      <c r="V284" s="37">
        <v>0</v>
      </c>
      <c r="W284" s="5">
        <v>0</v>
      </c>
      <c r="X284" s="5">
        <v>1</v>
      </c>
      <c r="Y284" s="5">
        <v>0</v>
      </c>
      <c r="Z284" s="37">
        <v>0</v>
      </c>
      <c r="AA284" s="5">
        <v>0</v>
      </c>
      <c r="AB284" s="5">
        <v>0</v>
      </c>
      <c r="AC284" s="5">
        <v>0</v>
      </c>
      <c r="AD284" s="5">
        <v>0</v>
      </c>
      <c r="AE284" s="10" t="s">
        <v>50</v>
      </c>
      <c r="AF284" s="10" t="s">
        <v>50</v>
      </c>
      <c r="AG284" s="10" t="s">
        <v>64</v>
      </c>
      <c r="AH284" s="10" t="s">
        <v>50</v>
      </c>
      <c r="AI284" s="5">
        <v>7</v>
      </c>
      <c r="AJ284" s="10" t="s">
        <v>1763</v>
      </c>
      <c r="AK284" s="10" t="s">
        <v>1764</v>
      </c>
    </row>
    <row r="285" spans="1:37" ht="36.75" customHeight="1" x14ac:dyDescent="0.35">
      <c r="A285" s="5"/>
      <c r="B285" s="5" t="s">
        <v>37</v>
      </c>
      <c r="C285" s="73" t="str">
        <f t="shared" si="4"/>
        <v>Closed</v>
      </c>
      <c r="D285" s="45" t="s">
        <v>1765</v>
      </c>
      <c r="E285" s="54" t="s">
        <v>1766</v>
      </c>
      <c r="F285" s="5" t="s">
        <v>619</v>
      </c>
      <c r="G285" s="10">
        <f>DATE(2007,4,30)</f>
        <v>39202</v>
      </c>
      <c r="H285" s="35">
        <v>1.6090277777777779</v>
      </c>
      <c r="I285" s="5" t="s">
        <v>259</v>
      </c>
      <c r="J285" s="10" t="s">
        <v>1767</v>
      </c>
      <c r="K285" s="5" t="s">
        <v>621</v>
      </c>
      <c r="L285" s="5" t="s">
        <v>1768</v>
      </c>
      <c r="M285" s="5" t="s">
        <v>45</v>
      </c>
      <c r="N285" s="5">
        <v>0</v>
      </c>
      <c r="O285" s="5" t="s">
        <v>59</v>
      </c>
      <c r="P285" s="10" t="s">
        <v>146</v>
      </c>
      <c r="Q285" s="10" t="s">
        <v>623</v>
      </c>
      <c r="R285" s="10" t="s">
        <v>624</v>
      </c>
      <c r="S285" s="5">
        <v>0</v>
      </c>
      <c r="T285" s="37">
        <v>0</v>
      </c>
      <c r="U285" s="5">
        <v>0</v>
      </c>
      <c r="V285" s="37">
        <v>1</v>
      </c>
      <c r="W285" s="5">
        <v>0</v>
      </c>
      <c r="X285" s="5">
        <v>1</v>
      </c>
      <c r="Y285" s="5">
        <v>0</v>
      </c>
      <c r="Z285" s="37">
        <v>0</v>
      </c>
      <c r="AA285" s="5">
        <v>0</v>
      </c>
      <c r="AB285" s="5">
        <v>0</v>
      </c>
      <c r="AC285" s="5">
        <v>0</v>
      </c>
      <c r="AD285" s="5">
        <v>0</v>
      </c>
      <c r="AE285" s="10" t="s">
        <v>50</v>
      </c>
      <c r="AF285" s="10" t="s">
        <v>50</v>
      </c>
      <c r="AG285" s="10" t="s">
        <v>229</v>
      </c>
      <c r="AH285" s="10" t="s">
        <v>50</v>
      </c>
      <c r="AI285" s="5">
        <v>3</v>
      </c>
      <c r="AJ285" s="10" t="s">
        <v>1769</v>
      </c>
      <c r="AK285" s="10" t="s">
        <v>50</v>
      </c>
    </row>
    <row r="286" spans="1:37" ht="36.75" customHeight="1" x14ac:dyDescent="0.35">
      <c r="A286" s="5"/>
      <c r="B286" s="5" t="s">
        <v>37</v>
      </c>
      <c r="C286" s="73" t="str">
        <f t="shared" si="4"/>
        <v>Closed</v>
      </c>
      <c r="D286" s="45" t="s">
        <v>1770</v>
      </c>
      <c r="E286" s="54" t="s">
        <v>1771</v>
      </c>
      <c r="F286" s="5" t="s">
        <v>619</v>
      </c>
      <c r="G286" s="10">
        <f>DATE(2007,4,30)</f>
        <v>39202</v>
      </c>
      <c r="H286" s="35">
        <v>1.9215277777777779</v>
      </c>
      <c r="I286" s="5" t="s">
        <v>259</v>
      </c>
      <c r="J286" s="10" t="s">
        <v>1772</v>
      </c>
      <c r="K286" s="5" t="s">
        <v>621</v>
      </c>
      <c r="L286" s="5" t="s">
        <v>1773</v>
      </c>
      <c r="M286" s="5" t="s">
        <v>45</v>
      </c>
      <c r="N286" s="5">
        <v>0</v>
      </c>
      <c r="O286" s="5" t="s">
        <v>59</v>
      </c>
      <c r="P286" s="10" t="s">
        <v>146</v>
      </c>
      <c r="Q286" s="10" t="s">
        <v>623</v>
      </c>
      <c r="R286" s="10" t="s">
        <v>624</v>
      </c>
      <c r="S286" s="5">
        <v>0</v>
      </c>
      <c r="T286" s="37">
        <v>0</v>
      </c>
      <c r="U286" s="5">
        <v>0</v>
      </c>
      <c r="V286" s="37">
        <v>1</v>
      </c>
      <c r="W286" s="5">
        <v>0</v>
      </c>
      <c r="X286" s="5">
        <v>1</v>
      </c>
      <c r="Y286" s="5">
        <v>0</v>
      </c>
      <c r="Z286" s="37">
        <v>0</v>
      </c>
      <c r="AA286" s="5">
        <v>0</v>
      </c>
      <c r="AB286" s="5">
        <v>0</v>
      </c>
      <c r="AC286" s="5">
        <v>0</v>
      </c>
      <c r="AD286" s="5">
        <v>0</v>
      </c>
      <c r="AE286" s="10" t="s">
        <v>50</v>
      </c>
      <c r="AF286" s="10" t="s">
        <v>50</v>
      </c>
      <c r="AG286" s="10" t="s">
        <v>229</v>
      </c>
      <c r="AH286" s="10" t="s">
        <v>50</v>
      </c>
      <c r="AI286" s="5">
        <v>2</v>
      </c>
      <c r="AJ286" s="10" t="s">
        <v>50</v>
      </c>
      <c r="AK286" s="10" t="s">
        <v>50</v>
      </c>
    </row>
    <row r="287" spans="1:37" ht="36.75" customHeight="1" x14ac:dyDescent="0.35">
      <c r="A287" s="5"/>
      <c r="B287" s="5" t="s">
        <v>37</v>
      </c>
      <c r="C287" s="73" t="str">
        <f t="shared" si="4"/>
        <v>Closed</v>
      </c>
      <c r="D287" s="45" t="s">
        <v>1774</v>
      </c>
      <c r="E287" s="54" t="s">
        <v>1775</v>
      </c>
      <c r="F287" s="5" t="s">
        <v>214</v>
      </c>
      <c r="G287" s="10">
        <f>DATE(2007,5,5)</f>
        <v>39207</v>
      </c>
      <c r="H287" s="35">
        <v>1.6416666666666666</v>
      </c>
      <c r="I287" s="5" t="s">
        <v>179</v>
      </c>
      <c r="J287" s="10" t="s">
        <v>1776</v>
      </c>
      <c r="K287" s="5" t="s">
        <v>216</v>
      </c>
      <c r="L287" s="5" t="s">
        <v>1777</v>
      </c>
      <c r="M287" s="5" t="s">
        <v>45</v>
      </c>
      <c r="N287" s="5">
        <v>0</v>
      </c>
      <c r="O287" s="5" t="s">
        <v>59</v>
      </c>
      <c r="P287" s="10" t="s">
        <v>67</v>
      </c>
      <c r="Q287" s="10" t="s">
        <v>635</v>
      </c>
      <c r="R287" s="10" t="s">
        <v>635</v>
      </c>
      <c r="S287" s="5">
        <v>0</v>
      </c>
      <c r="T287" s="37" t="s">
        <v>50</v>
      </c>
      <c r="U287" s="5">
        <v>0</v>
      </c>
      <c r="V287" s="37" t="s">
        <v>50</v>
      </c>
      <c r="W287" s="5">
        <v>0</v>
      </c>
      <c r="X287" s="5">
        <v>0</v>
      </c>
      <c r="Y287" s="5">
        <v>0</v>
      </c>
      <c r="Z287" s="37" t="s">
        <v>50</v>
      </c>
      <c r="AA287" s="5">
        <v>0</v>
      </c>
      <c r="AB287" s="5">
        <v>0</v>
      </c>
      <c r="AC287" s="5">
        <v>0</v>
      </c>
      <c r="AD287" s="5">
        <v>0</v>
      </c>
      <c r="AE287" s="10" t="s">
        <v>50</v>
      </c>
      <c r="AF287" s="10" t="s">
        <v>50</v>
      </c>
      <c r="AG287" s="10" t="s">
        <v>229</v>
      </c>
      <c r="AH287" s="10" t="s">
        <v>50</v>
      </c>
      <c r="AI287" s="5">
        <v>2</v>
      </c>
      <c r="AJ287" s="10" t="s">
        <v>1778</v>
      </c>
      <c r="AK287" s="10" t="s">
        <v>1779</v>
      </c>
    </row>
    <row r="288" spans="1:37" ht="36.75" customHeight="1" x14ac:dyDescent="0.35">
      <c r="A288" s="5"/>
      <c r="B288" s="5" t="s">
        <v>37</v>
      </c>
      <c r="C288" s="73" t="str">
        <f t="shared" si="4"/>
        <v>Closed</v>
      </c>
      <c r="D288" s="45" t="s">
        <v>1780</v>
      </c>
      <c r="E288" s="54" t="s">
        <v>1781</v>
      </c>
      <c r="F288" s="5" t="s">
        <v>619</v>
      </c>
      <c r="G288" s="10">
        <f>DATE(2007,5,6)</f>
        <v>39208</v>
      </c>
      <c r="H288" s="35">
        <v>1.6534722222222222</v>
      </c>
      <c r="I288" s="5" t="s">
        <v>259</v>
      </c>
      <c r="J288" s="10" t="s">
        <v>1782</v>
      </c>
      <c r="K288" s="5" t="s">
        <v>621</v>
      </c>
      <c r="L288" s="5" t="s">
        <v>1783</v>
      </c>
      <c r="M288" s="5" t="s">
        <v>45</v>
      </c>
      <c r="N288" s="5">
        <v>0</v>
      </c>
      <c r="O288" s="5" t="s">
        <v>46</v>
      </c>
      <c r="P288" s="10" t="s">
        <v>47</v>
      </c>
      <c r="Q288" s="10" t="s">
        <v>623</v>
      </c>
      <c r="R288" s="10" t="s">
        <v>624</v>
      </c>
      <c r="S288" s="5">
        <v>0</v>
      </c>
      <c r="T288" s="37">
        <v>0</v>
      </c>
      <c r="U288" s="5">
        <v>0</v>
      </c>
      <c r="V288" s="37">
        <v>1</v>
      </c>
      <c r="W288" s="5">
        <v>0</v>
      </c>
      <c r="X288" s="5">
        <v>1</v>
      </c>
      <c r="Y288" s="5">
        <v>0</v>
      </c>
      <c r="Z288" s="37">
        <v>0</v>
      </c>
      <c r="AA288" s="5">
        <v>0</v>
      </c>
      <c r="AB288" s="5">
        <v>0</v>
      </c>
      <c r="AC288" s="5">
        <v>0</v>
      </c>
      <c r="AD288" s="5">
        <v>0</v>
      </c>
      <c r="AE288" s="10" t="s">
        <v>50</v>
      </c>
      <c r="AF288" s="10" t="s">
        <v>50</v>
      </c>
      <c r="AG288" s="10" t="s">
        <v>229</v>
      </c>
      <c r="AH288" s="10" t="s">
        <v>50</v>
      </c>
      <c r="AI288" s="5">
        <v>2</v>
      </c>
      <c r="AJ288" s="10" t="s">
        <v>50</v>
      </c>
      <c r="AK288" s="10" t="s">
        <v>50</v>
      </c>
    </row>
    <row r="289" spans="1:37" ht="36.75" customHeight="1" x14ac:dyDescent="0.35">
      <c r="A289" s="5"/>
      <c r="B289" s="5" t="s">
        <v>37</v>
      </c>
      <c r="C289" s="73" t="str">
        <f t="shared" si="4"/>
        <v>Closed</v>
      </c>
      <c r="D289" s="45" t="s">
        <v>1784</v>
      </c>
      <c r="E289" s="54" t="s">
        <v>1785</v>
      </c>
      <c r="F289" s="5" t="s">
        <v>40</v>
      </c>
      <c r="G289" s="10">
        <f>DATE(2007,5,6)</f>
        <v>39208</v>
      </c>
      <c r="H289" s="35">
        <v>1.6479166666666667</v>
      </c>
      <c r="I289" s="5" t="s">
        <v>97</v>
      </c>
      <c r="J289" s="10" t="s">
        <v>1786</v>
      </c>
      <c r="K289" s="5" t="s">
        <v>43</v>
      </c>
      <c r="L289" s="5" t="s">
        <v>1787</v>
      </c>
      <c r="M289" s="5" t="s">
        <v>45</v>
      </c>
      <c r="N289" s="5" t="s">
        <v>80</v>
      </c>
      <c r="O289" s="5" t="s">
        <v>46</v>
      </c>
      <c r="P289" s="10" t="s">
        <v>146</v>
      </c>
      <c r="Q289" s="10" t="s">
        <v>48</v>
      </c>
      <c r="R289" s="10" t="s">
        <v>49</v>
      </c>
      <c r="S289" s="5">
        <v>0</v>
      </c>
      <c r="T289" s="37">
        <v>0</v>
      </c>
      <c r="U289" s="5">
        <v>1</v>
      </c>
      <c r="V289" s="37">
        <v>0</v>
      </c>
      <c r="W289" s="5">
        <v>0</v>
      </c>
      <c r="X289" s="5">
        <v>1</v>
      </c>
      <c r="Y289" s="5">
        <v>0</v>
      </c>
      <c r="Z289" s="37">
        <v>0</v>
      </c>
      <c r="AA289" s="5">
        <v>1</v>
      </c>
      <c r="AB289" s="5">
        <v>0</v>
      </c>
      <c r="AC289" s="5">
        <v>0</v>
      </c>
      <c r="AD289" s="5">
        <v>1</v>
      </c>
      <c r="AE289" s="10" t="s">
        <v>73</v>
      </c>
      <c r="AF289" s="10" t="s">
        <v>1788</v>
      </c>
      <c r="AG289" s="10" t="s">
        <v>64</v>
      </c>
      <c r="AH289" s="10">
        <v>39218</v>
      </c>
      <c r="AI289" s="5">
        <v>3</v>
      </c>
      <c r="AJ289" s="10" t="s">
        <v>1789</v>
      </c>
      <c r="AK289" s="10" t="s">
        <v>1790</v>
      </c>
    </row>
    <row r="290" spans="1:37" ht="36.75" customHeight="1" x14ac:dyDescent="0.35">
      <c r="A290" s="5"/>
      <c r="B290" s="5" t="s">
        <v>37</v>
      </c>
      <c r="C290" s="73" t="str">
        <f t="shared" si="4"/>
        <v>Closed</v>
      </c>
      <c r="D290" s="45" t="s">
        <v>1791</v>
      </c>
      <c r="E290" s="54" t="s">
        <v>1792</v>
      </c>
      <c r="F290" s="5" t="s">
        <v>404</v>
      </c>
      <c r="G290" s="10">
        <f>DATE(2007,5,7)</f>
        <v>39209</v>
      </c>
      <c r="H290" s="35">
        <v>1.007638888888889</v>
      </c>
      <c r="I290" s="5" t="s">
        <v>97</v>
      </c>
      <c r="J290" s="10" t="s">
        <v>1793</v>
      </c>
      <c r="K290" s="5" t="s">
        <v>406</v>
      </c>
      <c r="L290" s="5" t="s">
        <v>1794</v>
      </c>
      <c r="M290" s="5" t="s">
        <v>45</v>
      </c>
      <c r="N290" s="5">
        <v>0</v>
      </c>
      <c r="O290" s="5" t="s">
        <v>46</v>
      </c>
      <c r="P290" s="10" t="s">
        <v>362</v>
      </c>
      <c r="Q290" s="10" t="s">
        <v>408</v>
      </c>
      <c r="R290" s="10" t="s">
        <v>408</v>
      </c>
      <c r="S290" s="5">
        <v>0</v>
      </c>
      <c r="T290" s="37" t="s">
        <v>50</v>
      </c>
      <c r="U290" s="5">
        <v>0</v>
      </c>
      <c r="V290" s="37" t="s">
        <v>50</v>
      </c>
      <c r="W290" s="5">
        <v>0</v>
      </c>
      <c r="X290" s="5">
        <v>0</v>
      </c>
      <c r="Y290" s="5">
        <v>0</v>
      </c>
      <c r="Z290" s="37" t="s">
        <v>50</v>
      </c>
      <c r="AA290" s="5">
        <v>0</v>
      </c>
      <c r="AB290" s="5">
        <v>0</v>
      </c>
      <c r="AC290" s="5">
        <v>0</v>
      </c>
      <c r="AD290" s="5">
        <v>0</v>
      </c>
      <c r="AE290" s="10" t="s">
        <v>50</v>
      </c>
      <c r="AF290" s="10" t="s">
        <v>1795</v>
      </c>
      <c r="AG290" s="10" t="s">
        <v>229</v>
      </c>
      <c r="AH290" s="10" t="s">
        <v>50</v>
      </c>
      <c r="AI290" s="5">
        <v>2</v>
      </c>
      <c r="AJ290" s="10" t="s">
        <v>50</v>
      </c>
      <c r="AK290" s="10" t="s">
        <v>50</v>
      </c>
    </row>
    <row r="291" spans="1:37" ht="36.75" customHeight="1" x14ac:dyDescent="0.35">
      <c r="A291" s="5"/>
      <c r="B291" s="5" t="s">
        <v>37</v>
      </c>
      <c r="C291" s="73" t="str">
        <f t="shared" si="4"/>
        <v>Closed</v>
      </c>
      <c r="D291" s="45" t="s">
        <v>1796</v>
      </c>
      <c r="E291" s="54" t="s">
        <v>1797</v>
      </c>
      <c r="F291" s="5" t="s">
        <v>619</v>
      </c>
      <c r="G291" s="10">
        <f>DATE(2007,5,7)</f>
        <v>39209</v>
      </c>
      <c r="H291" s="35">
        <v>1.8055555555555554</v>
      </c>
      <c r="I291" s="5" t="s">
        <v>97</v>
      </c>
      <c r="J291" s="10" t="s">
        <v>1798</v>
      </c>
      <c r="K291" s="5" t="s">
        <v>621</v>
      </c>
      <c r="L291" s="5" t="s">
        <v>1799</v>
      </c>
      <c r="M291" s="5" t="s">
        <v>45</v>
      </c>
      <c r="N291" s="5">
        <v>0</v>
      </c>
      <c r="O291" s="5" t="s">
        <v>59</v>
      </c>
      <c r="P291" s="10" t="s">
        <v>47</v>
      </c>
      <c r="Q291" s="10" t="s">
        <v>623</v>
      </c>
      <c r="R291" s="10" t="s">
        <v>624</v>
      </c>
      <c r="S291" s="5">
        <v>0</v>
      </c>
      <c r="T291" s="37">
        <v>0</v>
      </c>
      <c r="U291" s="5">
        <v>1</v>
      </c>
      <c r="V291" s="37">
        <v>0</v>
      </c>
      <c r="W291" s="5">
        <v>0</v>
      </c>
      <c r="X291" s="5">
        <v>1</v>
      </c>
      <c r="Y291" s="5">
        <v>0</v>
      </c>
      <c r="Z291" s="37">
        <v>0</v>
      </c>
      <c r="AA291" s="5">
        <v>0</v>
      </c>
      <c r="AB291" s="5">
        <v>0</v>
      </c>
      <c r="AC291" s="5">
        <v>0</v>
      </c>
      <c r="AD291" s="5">
        <v>0</v>
      </c>
      <c r="AE291" s="10" t="s">
        <v>50</v>
      </c>
      <c r="AF291" s="10" t="s">
        <v>50</v>
      </c>
      <c r="AG291" s="10" t="s">
        <v>229</v>
      </c>
      <c r="AH291" s="10" t="s">
        <v>50</v>
      </c>
      <c r="AI291" s="5">
        <v>2</v>
      </c>
      <c r="AJ291" s="10" t="s">
        <v>1713</v>
      </c>
      <c r="AK291" s="10" t="s">
        <v>50</v>
      </c>
    </row>
    <row r="292" spans="1:37" ht="36.75" customHeight="1" x14ac:dyDescent="0.35">
      <c r="A292" s="5"/>
      <c r="B292" s="5" t="s">
        <v>37</v>
      </c>
      <c r="C292" s="73" t="str">
        <f t="shared" si="4"/>
        <v>Closed</v>
      </c>
      <c r="D292" s="45" t="s">
        <v>1800</v>
      </c>
      <c r="E292" s="54" t="s">
        <v>1801</v>
      </c>
      <c r="F292" s="5" t="s">
        <v>214</v>
      </c>
      <c r="G292" s="10">
        <f>DATE(2007,5,10)</f>
        <v>39212</v>
      </c>
      <c r="H292" s="35">
        <v>1.2763888888888888</v>
      </c>
      <c r="I292" s="5" t="s">
        <v>55</v>
      </c>
      <c r="J292" s="10" t="s">
        <v>1802</v>
      </c>
      <c r="K292" s="5" t="s">
        <v>216</v>
      </c>
      <c r="L292" s="5" t="s">
        <v>1803</v>
      </c>
      <c r="M292" s="5" t="s">
        <v>45</v>
      </c>
      <c r="N292" s="5">
        <v>0</v>
      </c>
      <c r="O292" s="5" t="s">
        <v>46</v>
      </c>
      <c r="P292" s="10" t="s">
        <v>60</v>
      </c>
      <c r="Q292" s="10" t="s">
        <v>218</v>
      </c>
      <c r="R292" s="10" t="s">
        <v>219</v>
      </c>
      <c r="S292" s="5">
        <v>0</v>
      </c>
      <c r="T292" s="37" t="s">
        <v>50</v>
      </c>
      <c r="U292" s="5">
        <v>0</v>
      </c>
      <c r="V292" s="37" t="s">
        <v>50</v>
      </c>
      <c r="W292" s="5">
        <v>0</v>
      </c>
      <c r="X292" s="5">
        <v>0</v>
      </c>
      <c r="Y292" s="5">
        <v>0</v>
      </c>
      <c r="Z292" s="37" t="s">
        <v>50</v>
      </c>
      <c r="AA292" s="5">
        <v>0</v>
      </c>
      <c r="AB292" s="5">
        <v>0</v>
      </c>
      <c r="AC292" s="5">
        <v>0</v>
      </c>
      <c r="AD292" s="5">
        <v>0</v>
      </c>
      <c r="AE292" s="10" t="s">
        <v>50</v>
      </c>
      <c r="AF292" s="10" t="s">
        <v>1804</v>
      </c>
      <c r="AG292" s="10" t="s">
        <v>114</v>
      </c>
      <c r="AH292" s="10" t="s">
        <v>50</v>
      </c>
      <c r="AI292" s="5">
        <v>4</v>
      </c>
      <c r="AJ292" s="10" t="s">
        <v>1805</v>
      </c>
      <c r="AK292" s="10" t="s">
        <v>1806</v>
      </c>
    </row>
    <row r="293" spans="1:37" ht="36.75" customHeight="1" x14ac:dyDescent="0.35">
      <c r="A293" s="5"/>
      <c r="B293" s="5" t="s">
        <v>37</v>
      </c>
      <c r="C293" s="73" t="str">
        <f t="shared" si="4"/>
        <v>Closed</v>
      </c>
      <c r="D293" s="45" t="s">
        <v>1807</v>
      </c>
      <c r="E293" s="54" t="s">
        <v>1808</v>
      </c>
      <c r="F293" s="5" t="s">
        <v>619</v>
      </c>
      <c r="G293" s="10">
        <f>DATE(2007,5,12)</f>
        <v>39214</v>
      </c>
      <c r="H293" s="35">
        <v>1.9131944444444446</v>
      </c>
      <c r="I293" s="5" t="s">
        <v>259</v>
      </c>
      <c r="J293" s="10" t="s">
        <v>1809</v>
      </c>
      <c r="K293" s="5" t="s">
        <v>621</v>
      </c>
      <c r="L293" s="5" t="s">
        <v>1810</v>
      </c>
      <c r="M293" s="5" t="s">
        <v>45</v>
      </c>
      <c r="N293" s="5">
        <v>0</v>
      </c>
      <c r="O293" s="5" t="s">
        <v>46</v>
      </c>
      <c r="P293" s="10" t="s">
        <v>47</v>
      </c>
      <c r="Q293" s="10" t="s">
        <v>623</v>
      </c>
      <c r="R293" s="10" t="s">
        <v>624</v>
      </c>
      <c r="S293" s="5">
        <v>0</v>
      </c>
      <c r="T293" s="37">
        <v>0</v>
      </c>
      <c r="U293" s="5">
        <v>0</v>
      </c>
      <c r="V293" s="37">
        <v>1</v>
      </c>
      <c r="W293" s="5">
        <v>0</v>
      </c>
      <c r="X293" s="5">
        <v>1</v>
      </c>
      <c r="Y293" s="5">
        <v>0</v>
      </c>
      <c r="Z293" s="37">
        <v>0</v>
      </c>
      <c r="AA293" s="5">
        <v>0</v>
      </c>
      <c r="AB293" s="5">
        <v>0</v>
      </c>
      <c r="AC293" s="5">
        <v>0</v>
      </c>
      <c r="AD293" s="5">
        <v>0</v>
      </c>
      <c r="AE293" s="10" t="s">
        <v>50</v>
      </c>
      <c r="AF293" s="10" t="s">
        <v>50</v>
      </c>
      <c r="AG293" s="10" t="s">
        <v>229</v>
      </c>
      <c r="AH293" s="10" t="s">
        <v>50</v>
      </c>
      <c r="AI293" s="5">
        <v>2</v>
      </c>
      <c r="AJ293" s="10" t="s">
        <v>1811</v>
      </c>
      <c r="AK293" s="10" t="s">
        <v>50</v>
      </c>
    </row>
    <row r="294" spans="1:37" ht="36.75" customHeight="1" x14ac:dyDescent="0.35">
      <c r="A294" s="5"/>
      <c r="B294" s="5" t="s">
        <v>37</v>
      </c>
      <c r="C294" s="73" t="str">
        <f t="shared" si="4"/>
        <v>Closed</v>
      </c>
      <c r="D294" s="45" t="s">
        <v>1812</v>
      </c>
      <c r="E294" s="54" t="s">
        <v>1813</v>
      </c>
      <c r="F294" s="5" t="s">
        <v>575</v>
      </c>
      <c r="G294" s="10">
        <f>DATE(2007,5,12)</f>
        <v>39214</v>
      </c>
      <c r="H294" s="35">
        <v>1.7291666666666665</v>
      </c>
      <c r="I294" s="5" t="s">
        <v>97</v>
      </c>
      <c r="J294" s="10" t="s">
        <v>1814</v>
      </c>
      <c r="K294" s="5" t="s">
        <v>577</v>
      </c>
      <c r="L294" s="5" t="s">
        <v>1815</v>
      </c>
      <c r="M294" s="5" t="s">
        <v>45</v>
      </c>
      <c r="N294" s="5">
        <v>0</v>
      </c>
      <c r="O294" s="5" t="s">
        <v>46</v>
      </c>
      <c r="P294" s="10" t="s">
        <v>146</v>
      </c>
      <c r="Q294" s="10" t="s">
        <v>579</v>
      </c>
      <c r="R294" s="10" t="s">
        <v>580</v>
      </c>
      <c r="S294" s="5">
        <v>0</v>
      </c>
      <c r="T294" s="37" t="s">
        <v>50</v>
      </c>
      <c r="U294" s="5">
        <v>1</v>
      </c>
      <c r="V294" s="37" t="s">
        <v>50</v>
      </c>
      <c r="W294" s="5">
        <v>0</v>
      </c>
      <c r="X294" s="5">
        <v>1</v>
      </c>
      <c r="Y294" s="5">
        <v>0</v>
      </c>
      <c r="Z294" s="37" t="s">
        <v>50</v>
      </c>
      <c r="AA294" s="5">
        <v>0</v>
      </c>
      <c r="AB294" s="5">
        <v>0</v>
      </c>
      <c r="AC294" s="5">
        <v>0</v>
      </c>
      <c r="AD294" s="5">
        <v>0</v>
      </c>
      <c r="AE294" s="10" t="s">
        <v>50</v>
      </c>
      <c r="AF294" s="10" t="s">
        <v>1816</v>
      </c>
      <c r="AG294" s="10" t="s">
        <v>64</v>
      </c>
      <c r="AH294" s="10" t="s">
        <v>50</v>
      </c>
      <c r="AI294" s="5">
        <v>0</v>
      </c>
      <c r="AJ294" s="10" t="s">
        <v>50</v>
      </c>
      <c r="AK294" s="10" t="s">
        <v>50</v>
      </c>
    </row>
    <row r="295" spans="1:37" ht="36.75" customHeight="1" x14ac:dyDescent="0.35">
      <c r="A295" s="5"/>
      <c r="B295" s="5" t="s">
        <v>37</v>
      </c>
      <c r="C295" s="73" t="str">
        <f t="shared" si="4"/>
        <v>Closed</v>
      </c>
      <c r="D295" s="45" t="s">
        <v>1817</v>
      </c>
      <c r="E295" s="54" t="s">
        <v>1818</v>
      </c>
      <c r="F295" s="5" t="s">
        <v>214</v>
      </c>
      <c r="G295" s="10">
        <f>DATE(2007,5,12)</f>
        <v>39214</v>
      </c>
      <c r="H295" s="35">
        <v>1.6527777777777777</v>
      </c>
      <c r="I295" s="5" t="s">
        <v>55</v>
      </c>
      <c r="J295" s="10" t="s">
        <v>1819</v>
      </c>
      <c r="K295" s="5" t="s">
        <v>216</v>
      </c>
      <c r="L295" s="5" t="s">
        <v>1820</v>
      </c>
      <c r="M295" s="5" t="s">
        <v>45</v>
      </c>
      <c r="N295" s="5">
        <v>0</v>
      </c>
      <c r="O295" s="5" t="s">
        <v>46</v>
      </c>
      <c r="P295" s="10" t="s">
        <v>67</v>
      </c>
      <c r="Q295" s="10" t="s">
        <v>736</v>
      </c>
      <c r="R295" s="10" t="s">
        <v>737</v>
      </c>
      <c r="S295" s="5">
        <v>0</v>
      </c>
      <c r="T295" s="37" t="s">
        <v>50</v>
      </c>
      <c r="U295" s="5">
        <v>0</v>
      </c>
      <c r="V295" s="37" t="s">
        <v>50</v>
      </c>
      <c r="W295" s="5">
        <v>0</v>
      </c>
      <c r="X295" s="5">
        <v>0</v>
      </c>
      <c r="Y295" s="5">
        <v>0</v>
      </c>
      <c r="Z295" s="37" t="s">
        <v>50</v>
      </c>
      <c r="AA295" s="5">
        <v>0</v>
      </c>
      <c r="AB295" s="5">
        <v>0</v>
      </c>
      <c r="AC295" s="5">
        <v>0</v>
      </c>
      <c r="AD295" s="5">
        <v>0</v>
      </c>
      <c r="AE295" s="10" t="s">
        <v>50</v>
      </c>
      <c r="AF295" s="10" t="s">
        <v>50</v>
      </c>
      <c r="AG295" s="10" t="s">
        <v>229</v>
      </c>
      <c r="AH295" s="10" t="s">
        <v>50</v>
      </c>
      <c r="AI295" s="5">
        <v>2</v>
      </c>
      <c r="AJ295" s="10" t="s">
        <v>1821</v>
      </c>
      <c r="AK295" s="10" t="s">
        <v>1822</v>
      </c>
    </row>
    <row r="296" spans="1:37" ht="36.75" customHeight="1" x14ac:dyDescent="0.35">
      <c r="A296" s="5"/>
      <c r="B296" s="5" t="s">
        <v>37</v>
      </c>
      <c r="C296" s="73" t="str">
        <f t="shared" si="4"/>
        <v>Closed</v>
      </c>
      <c r="D296" s="45" t="s">
        <v>1823</v>
      </c>
      <c r="E296" s="54" t="s">
        <v>1824</v>
      </c>
      <c r="F296" s="5" t="s">
        <v>619</v>
      </c>
      <c r="G296" s="10">
        <f>DATE(2007,5,16)</f>
        <v>39218</v>
      </c>
      <c r="H296" s="35">
        <v>1.3812500000000001</v>
      </c>
      <c r="I296" s="5" t="s">
        <v>259</v>
      </c>
      <c r="J296" s="10" t="s">
        <v>1825</v>
      </c>
      <c r="K296" s="5" t="s">
        <v>621</v>
      </c>
      <c r="L296" s="5" t="s">
        <v>1826</v>
      </c>
      <c r="M296" s="5" t="s">
        <v>45</v>
      </c>
      <c r="N296" s="5">
        <v>0</v>
      </c>
      <c r="O296" s="5" t="s">
        <v>46</v>
      </c>
      <c r="P296" s="10" t="s">
        <v>67</v>
      </c>
      <c r="Q296" s="10" t="s">
        <v>623</v>
      </c>
      <c r="R296" s="10" t="s">
        <v>624</v>
      </c>
      <c r="S296" s="5">
        <v>0</v>
      </c>
      <c r="T296" s="37">
        <v>0</v>
      </c>
      <c r="U296" s="5">
        <v>0</v>
      </c>
      <c r="V296" s="37">
        <v>1</v>
      </c>
      <c r="W296" s="5">
        <v>0</v>
      </c>
      <c r="X296" s="5">
        <v>1</v>
      </c>
      <c r="Y296" s="5">
        <v>0</v>
      </c>
      <c r="Z296" s="37">
        <v>0</v>
      </c>
      <c r="AA296" s="5">
        <v>0</v>
      </c>
      <c r="AB296" s="5">
        <v>0</v>
      </c>
      <c r="AC296" s="5">
        <v>0</v>
      </c>
      <c r="AD296" s="5">
        <v>0</v>
      </c>
      <c r="AE296" s="10" t="s">
        <v>50</v>
      </c>
      <c r="AF296" s="10" t="s">
        <v>50</v>
      </c>
      <c r="AG296" s="10" t="s">
        <v>229</v>
      </c>
      <c r="AH296" s="10" t="s">
        <v>50</v>
      </c>
      <c r="AI296" s="5">
        <v>2</v>
      </c>
      <c r="AJ296" s="10" t="s">
        <v>1827</v>
      </c>
      <c r="AK296" s="10" t="s">
        <v>50</v>
      </c>
    </row>
    <row r="297" spans="1:37" ht="36.75" customHeight="1" x14ac:dyDescent="0.35">
      <c r="A297" s="5"/>
      <c r="B297" s="5" t="s">
        <v>37</v>
      </c>
      <c r="C297" s="73" t="str">
        <f t="shared" si="4"/>
        <v>Closed</v>
      </c>
      <c r="D297" s="45" t="s">
        <v>1828</v>
      </c>
      <c r="E297" s="54" t="s">
        <v>1829</v>
      </c>
      <c r="F297" s="5" t="s">
        <v>619</v>
      </c>
      <c r="G297" s="10">
        <f>DATE(2007,5,23)</f>
        <v>39225</v>
      </c>
      <c r="H297" s="35">
        <v>1.9944444444444445</v>
      </c>
      <c r="I297" s="5" t="s">
        <v>259</v>
      </c>
      <c r="J297" s="10" t="s">
        <v>1830</v>
      </c>
      <c r="K297" s="5" t="s">
        <v>621</v>
      </c>
      <c r="L297" s="5" t="s">
        <v>1831</v>
      </c>
      <c r="M297" s="5" t="s">
        <v>45</v>
      </c>
      <c r="N297" s="5">
        <v>0</v>
      </c>
      <c r="O297" s="5" t="s">
        <v>46</v>
      </c>
      <c r="P297" s="10" t="s">
        <v>362</v>
      </c>
      <c r="Q297" s="10" t="s">
        <v>623</v>
      </c>
      <c r="R297" s="10" t="s">
        <v>624</v>
      </c>
      <c r="S297" s="5">
        <v>0</v>
      </c>
      <c r="T297" s="37">
        <v>0</v>
      </c>
      <c r="U297" s="5">
        <v>0</v>
      </c>
      <c r="V297" s="37">
        <v>1</v>
      </c>
      <c r="W297" s="5">
        <v>0</v>
      </c>
      <c r="X297" s="5">
        <v>1</v>
      </c>
      <c r="Y297" s="5">
        <v>0</v>
      </c>
      <c r="Z297" s="37">
        <v>0</v>
      </c>
      <c r="AA297" s="5">
        <v>0</v>
      </c>
      <c r="AB297" s="5">
        <v>0</v>
      </c>
      <c r="AC297" s="5">
        <v>0</v>
      </c>
      <c r="AD297" s="5">
        <v>0</v>
      </c>
      <c r="AE297" s="10" t="s">
        <v>50</v>
      </c>
      <c r="AF297" s="10" t="s">
        <v>50</v>
      </c>
      <c r="AG297" s="10" t="s">
        <v>229</v>
      </c>
      <c r="AH297" s="10" t="s">
        <v>50</v>
      </c>
      <c r="AI297" s="5">
        <v>2</v>
      </c>
      <c r="AJ297" s="10" t="s">
        <v>1827</v>
      </c>
      <c r="AK297" s="10" t="s">
        <v>50</v>
      </c>
    </row>
    <row r="298" spans="1:37" ht="36.75" customHeight="1" x14ac:dyDescent="0.35">
      <c r="A298" s="5"/>
      <c r="B298" s="5" t="s">
        <v>37</v>
      </c>
      <c r="C298" s="73" t="str">
        <f t="shared" si="4"/>
        <v>Closed</v>
      </c>
      <c r="D298" s="45" t="s">
        <v>1832</v>
      </c>
      <c r="E298" s="54" t="s">
        <v>1833</v>
      </c>
      <c r="F298" s="5" t="s">
        <v>619</v>
      </c>
      <c r="G298" s="10">
        <f>DATE(2007,5,25)</f>
        <v>39227</v>
      </c>
      <c r="H298" s="35">
        <v>1.8034722222222221</v>
      </c>
      <c r="I298" s="5" t="s">
        <v>259</v>
      </c>
      <c r="J298" s="10" t="s">
        <v>1834</v>
      </c>
      <c r="K298" s="5" t="s">
        <v>621</v>
      </c>
      <c r="L298" s="5" t="s">
        <v>1835</v>
      </c>
      <c r="M298" s="5" t="s">
        <v>45</v>
      </c>
      <c r="N298" s="5">
        <v>0</v>
      </c>
      <c r="O298" s="5" t="s">
        <v>46</v>
      </c>
      <c r="P298" s="10" t="s">
        <v>47</v>
      </c>
      <c r="Q298" s="10" t="s">
        <v>623</v>
      </c>
      <c r="R298" s="10" t="s">
        <v>624</v>
      </c>
      <c r="S298" s="5">
        <v>0</v>
      </c>
      <c r="T298" s="37">
        <v>0</v>
      </c>
      <c r="U298" s="5">
        <v>0</v>
      </c>
      <c r="V298" s="37">
        <v>1</v>
      </c>
      <c r="W298" s="5">
        <v>0</v>
      </c>
      <c r="X298" s="5">
        <v>1</v>
      </c>
      <c r="Y298" s="5">
        <v>0</v>
      </c>
      <c r="Z298" s="37">
        <v>0</v>
      </c>
      <c r="AA298" s="5">
        <v>0</v>
      </c>
      <c r="AB298" s="5">
        <v>0</v>
      </c>
      <c r="AC298" s="5">
        <v>0</v>
      </c>
      <c r="AD298" s="5">
        <v>0</v>
      </c>
      <c r="AE298" s="10" t="s">
        <v>50</v>
      </c>
      <c r="AF298" s="10" t="s">
        <v>50</v>
      </c>
      <c r="AG298" s="10" t="s">
        <v>229</v>
      </c>
      <c r="AH298" s="10" t="s">
        <v>50</v>
      </c>
      <c r="AI298" s="5">
        <v>1</v>
      </c>
      <c r="AJ298" s="10" t="s">
        <v>1836</v>
      </c>
      <c r="AK298" s="10" t="s">
        <v>50</v>
      </c>
    </row>
    <row r="299" spans="1:37" ht="36.75" customHeight="1" x14ac:dyDescent="0.35">
      <c r="A299" s="5"/>
      <c r="B299" s="5" t="s">
        <v>37</v>
      </c>
      <c r="C299" s="73" t="str">
        <f t="shared" si="4"/>
        <v>Closed</v>
      </c>
      <c r="D299" s="45" t="s">
        <v>1837</v>
      </c>
      <c r="E299" s="54" t="s">
        <v>1838</v>
      </c>
      <c r="F299" s="5" t="s">
        <v>40</v>
      </c>
      <c r="G299" s="10">
        <f>DATE(2007,5,27)</f>
        <v>39229</v>
      </c>
      <c r="H299" s="35">
        <v>1.75</v>
      </c>
      <c r="I299" s="5" t="s">
        <v>67</v>
      </c>
      <c r="J299" s="10" t="s">
        <v>1839</v>
      </c>
      <c r="K299" s="5" t="s">
        <v>43</v>
      </c>
      <c r="L299" s="5" t="s">
        <v>1840</v>
      </c>
      <c r="M299" s="5" t="s">
        <v>45</v>
      </c>
      <c r="N299" s="5">
        <v>0</v>
      </c>
      <c r="O299" s="5" t="s">
        <v>59</v>
      </c>
      <c r="P299" s="10" t="s">
        <v>72</v>
      </c>
      <c r="Q299" s="10" t="s">
        <v>48</v>
      </c>
      <c r="R299" s="10" t="s">
        <v>49</v>
      </c>
      <c r="S299" s="5">
        <v>0</v>
      </c>
      <c r="T299" s="37" t="s">
        <v>50</v>
      </c>
      <c r="U299" s="5">
        <v>0</v>
      </c>
      <c r="V299" s="37" t="s">
        <v>50</v>
      </c>
      <c r="W299" s="5">
        <v>0</v>
      </c>
      <c r="X299" s="5">
        <v>0</v>
      </c>
      <c r="Y299" s="5">
        <v>0</v>
      </c>
      <c r="Z299" s="37" t="s">
        <v>50</v>
      </c>
      <c r="AA299" s="5">
        <v>0</v>
      </c>
      <c r="AB299" s="5">
        <v>0</v>
      </c>
      <c r="AC299" s="5">
        <v>0</v>
      </c>
      <c r="AD299" s="5">
        <v>0</v>
      </c>
      <c r="AE299" s="10" t="s">
        <v>50</v>
      </c>
      <c r="AF299" s="10" t="s">
        <v>50</v>
      </c>
      <c r="AG299" s="10" t="s">
        <v>51</v>
      </c>
      <c r="AH299" s="10" t="s">
        <v>50</v>
      </c>
      <c r="AI299" s="5">
        <v>0</v>
      </c>
      <c r="AJ299" s="10" t="s">
        <v>50</v>
      </c>
      <c r="AK299" s="10" t="s">
        <v>50</v>
      </c>
    </row>
    <row r="300" spans="1:37" ht="36.75" customHeight="1" x14ac:dyDescent="0.35">
      <c r="A300" s="5"/>
      <c r="B300" s="5" t="s">
        <v>37</v>
      </c>
      <c r="C300" s="73" t="str">
        <f t="shared" si="4"/>
        <v>Closed</v>
      </c>
      <c r="D300" s="45" t="s">
        <v>1841</v>
      </c>
      <c r="E300" s="54" t="s">
        <v>1842</v>
      </c>
      <c r="F300" s="5" t="s">
        <v>575</v>
      </c>
      <c r="G300" s="10">
        <f>DATE(2007,6,2)</f>
        <v>39235</v>
      </c>
      <c r="H300" s="35">
        <v>1.6465277777777778</v>
      </c>
      <c r="I300" s="5" t="s">
        <v>97</v>
      </c>
      <c r="J300" s="10" t="s">
        <v>1843</v>
      </c>
      <c r="K300" s="5" t="s">
        <v>577</v>
      </c>
      <c r="L300" s="5" t="s">
        <v>1844</v>
      </c>
      <c r="M300" s="5" t="s">
        <v>45</v>
      </c>
      <c r="N300" s="5">
        <v>0</v>
      </c>
      <c r="O300" s="5" t="s">
        <v>46</v>
      </c>
      <c r="P300" s="10" t="s">
        <v>146</v>
      </c>
      <c r="Q300" s="10" t="s">
        <v>579</v>
      </c>
      <c r="R300" s="10" t="s">
        <v>580</v>
      </c>
      <c r="S300" s="5">
        <v>0</v>
      </c>
      <c r="T300" s="37" t="s">
        <v>50</v>
      </c>
      <c r="U300" s="5">
        <v>1</v>
      </c>
      <c r="V300" s="37" t="s">
        <v>50</v>
      </c>
      <c r="W300" s="5">
        <v>0</v>
      </c>
      <c r="X300" s="5">
        <v>1</v>
      </c>
      <c r="Y300" s="5">
        <v>0</v>
      </c>
      <c r="Z300" s="37" t="s">
        <v>50</v>
      </c>
      <c r="AA300" s="5">
        <v>0</v>
      </c>
      <c r="AB300" s="5">
        <v>0</v>
      </c>
      <c r="AC300" s="5">
        <v>0</v>
      </c>
      <c r="AD300" s="5">
        <v>0</v>
      </c>
      <c r="AE300" s="10" t="s">
        <v>50</v>
      </c>
      <c r="AF300" s="10" t="s">
        <v>1845</v>
      </c>
      <c r="AG300" s="10" t="s">
        <v>64</v>
      </c>
      <c r="AH300" s="10" t="s">
        <v>50</v>
      </c>
      <c r="AI300" s="5">
        <v>0</v>
      </c>
      <c r="AJ300" s="10" t="s">
        <v>50</v>
      </c>
      <c r="AK300" s="10" t="s">
        <v>50</v>
      </c>
    </row>
    <row r="301" spans="1:37" ht="36.75" customHeight="1" x14ac:dyDescent="0.35">
      <c r="A301" s="5"/>
      <c r="B301" s="5" t="s">
        <v>37</v>
      </c>
      <c r="C301" s="73" t="str">
        <f t="shared" si="4"/>
        <v>Closed</v>
      </c>
      <c r="D301" s="45" t="s">
        <v>1846</v>
      </c>
      <c r="E301" s="54" t="s">
        <v>1847</v>
      </c>
      <c r="F301" s="5" t="s">
        <v>96</v>
      </c>
      <c r="G301" s="10">
        <f>DATE(2007,6,4)</f>
        <v>39237</v>
      </c>
      <c r="H301" s="35">
        <v>1.5138888888888888</v>
      </c>
      <c r="I301" s="5" t="s">
        <v>137</v>
      </c>
      <c r="J301" s="10" t="s">
        <v>1848</v>
      </c>
      <c r="K301" s="5" t="s">
        <v>99</v>
      </c>
      <c r="L301" s="5" t="s">
        <v>1849</v>
      </c>
      <c r="M301" s="5" t="s">
        <v>236</v>
      </c>
      <c r="N301" s="5">
        <v>0</v>
      </c>
      <c r="O301" s="5" t="s">
        <v>67</v>
      </c>
      <c r="P301" s="10" t="s">
        <v>67</v>
      </c>
      <c r="Q301" s="10" t="s">
        <v>1850</v>
      </c>
      <c r="R301" s="10" t="s">
        <v>1850</v>
      </c>
      <c r="S301" s="5">
        <v>0</v>
      </c>
      <c r="T301" s="37">
        <v>0</v>
      </c>
      <c r="U301" s="5">
        <v>0</v>
      </c>
      <c r="V301" s="37">
        <v>0</v>
      </c>
      <c r="W301" s="5">
        <v>1</v>
      </c>
      <c r="X301" s="5">
        <v>1</v>
      </c>
      <c r="Y301" s="5">
        <v>0</v>
      </c>
      <c r="Z301" s="37">
        <v>0</v>
      </c>
      <c r="AA301" s="5">
        <v>0</v>
      </c>
      <c r="AB301" s="5">
        <v>0</v>
      </c>
      <c r="AC301" s="5">
        <v>0</v>
      </c>
      <c r="AD301" s="5">
        <v>0</v>
      </c>
      <c r="AE301" s="10" t="s">
        <v>50</v>
      </c>
      <c r="AF301" s="10" t="s">
        <v>1851</v>
      </c>
      <c r="AG301" s="10" t="s">
        <v>348</v>
      </c>
      <c r="AH301" s="10" t="s">
        <v>50</v>
      </c>
      <c r="AI301" s="5">
        <v>5</v>
      </c>
      <c r="AJ301" s="10" t="s">
        <v>50</v>
      </c>
      <c r="AK301" s="10" t="s">
        <v>50</v>
      </c>
    </row>
    <row r="302" spans="1:37" ht="36.75" customHeight="1" x14ac:dyDescent="0.35">
      <c r="A302" s="5"/>
      <c r="B302" s="5" t="s">
        <v>37</v>
      </c>
      <c r="C302" s="73" t="str">
        <f t="shared" si="4"/>
        <v>Closed</v>
      </c>
      <c r="D302" s="45" t="s">
        <v>1852</v>
      </c>
      <c r="E302" s="54" t="s">
        <v>1853</v>
      </c>
      <c r="F302" s="5" t="s">
        <v>619</v>
      </c>
      <c r="G302" s="10">
        <f>DATE(2007,6,7)</f>
        <v>39240</v>
      </c>
      <c r="H302" s="35">
        <v>1.4548611111111112</v>
      </c>
      <c r="I302" s="5" t="s">
        <v>259</v>
      </c>
      <c r="J302" s="10" t="s">
        <v>1854</v>
      </c>
      <c r="K302" s="5" t="s">
        <v>621</v>
      </c>
      <c r="L302" s="5" t="s">
        <v>1855</v>
      </c>
      <c r="M302" s="5" t="s">
        <v>45</v>
      </c>
      <c r="N302" s="5">
        <v>0</v>
      </c>
      <c r="O302" s="5" t="s">
        <v>46</v>
      </c>
      <c r="P302" s="10" t="s">
        <v>47</v>
      </c>
      <c r="Q302" s="10" t="s">
        <v>623</v>
      </c>
      <c r="R302" s="10" t="s">
        <v>624</v>
      </c>
      <c r="S302" s="5">
        <v>0</v>
      </c>
      <c r="T302" s="37">
        <v>0</v>
      </c>
      <c r="U302" s="5">
        <v>0</v>
      </c>
      <c r="V302" s="37">
        <v>1</v>
      </c>
      <c r="W302" s="5">
        <v>0</v>
      </c>
      <c r="X302" s="5">
        <v>1</v>
      </c>
      <c r="Y302" s="5">
        <v>0</v>
      </c>
      <c r="Z302" s="37">
        <v>0</v>
      </c>
      <c r="AA302" s="5">
        <v>0</v>
      </c>
      <c r="AB302" s="5">
        <v>0</v>
      </c>
      <c r="AC302" s="5">
        <v>0</v>
      </c>
      <c r="AD302" s="5">
        <v>0</v>
      </c>
      <c r="AE302" s="10" t="s">
        <v>50</v>
      </c>
      <c r="AF302" s="10" t="s">
        <v>50</v>
      </c>
      <c r="AG302" s="10" t="s">
        <v>229</v>
      </c>
      <c r="AH302" s="10" t="s">
        <v>50</v>
      </c>
      <c r="AI302" s="5">
        <v>3</v>
      </c>
      <c r="AJ302" s="10" t="s">
        <v>1827</v>
      </c>
      <c r="AK302" s="10" t="s">
        <v>50</v>
      </c>
    </row>
    <row r="303" spans="1:37" ht="36.75" customHeight="1" x14ac:dyDescent="0.35">
      <c r="A303" s="5"/>
      <c r="B303" s="5" t="s">
        <v>37</v>
      </c>
      <c r="C303" s="73" t="str">
        <f t="shared" si="4"/>
        <v>Closed</v>
      </c>
      <c r="D303" s="45" t="s">
        <v>1856</v>
      </c>
      <c r="E303" s="54" t="s">
        <v>1857</v>
      </c>
      <c r="F303" s="5" t="s">
        <v>214</v>
      </c>
      <c r="G303" s="10">
        <f>DATE(2007,6,10)</f>
        <v>39243</v>
      </c>
      <c r="H303" s="35">
        <v>1.7326388888888888</v>
      </c>
      <c r="I303" s="5" t="s">
        <v>67</v>
      </c>
      <c r="J303" s="10" t="s">
        <v>1858</v>
      </c>
      <c r="K303" s="5" t="s">
        <v>216</v>
      </c>
      <c r="L303" s="5" t="s">
        <v>1859</v>
      </c>
      <c r="M303" s="5" t="s">
        <v>110</v>
      </c>
      <c r="N303" s="5">
        <v>0</v>
      </c>
      <c r="O303" s="5" t="s">
        <v>46</v>
      </c>
      <c r="P303" s="10" t="s">
        <v>67</v>
      </c>
      <c r="Q303" s="10" t="s">
        <v>664</v>
      </c>
      <c r="R303" s="10" t="s">
        <v>664</v>
      </c>
      <c r="S303" s="5">
        <v>0</v>
      </c>
      <c r="T303" s="37" t="s">
        <v>50</v>
      </c>
      <c r="U303" s="5">
        <v>0</v>
      </c>
      <c r="V303" s="37" t="s">
        <v>50</v>
      </c>
      <c r="W303" s="5">
        <v>0</v>
      </c>
      <c r="X303" s="5">
        <v>0</v>
      </c>
      <c r="Y303" s="5">
        <v>0</v>
      </c>
      <c r="Z303" s="37" t="s">
        <v>50</v>
      </c>
      <c r="AA303" s="5">
        <v>0</v>
      </c>
      <c r="AB303" s="5">
        <v>0</v>
      </c>
      <c r="AC303" s="5">
        <v>0</v>
      </c>
      <c r="AD303" s="5">
        <v>0</v>
      </c>
      <c r="AE303" s="10" t="s">
        <v>50</v>
      </c>
      <c r="AF303" s="10" t="s">
        <v>50</v>
      </c>
      <c r="AG303" s="10" t="s">
        <v>114</v>
      </c>
      <c r="AH303" s="10" t="s">
        <v>50</v>
      </c>
      <c r="AI303" s="5">
        <v>4</v>
      </c>
      <c r="AJ303" s="10" t="s">
        <v>1860</v>
      </c>
      <c r="AK303" s="10" t="s">
        <v>1861</v>
      </c>
    </row>
    <row r="304" spans="1:37" ht="36.75" customHeight="1" x14ac:dyDescent="0.35">
      <c r="A304" s="5"/>
      <c r="B304" s="5" t="s">
        <v>37</v>
      </c>
      <c r="C304" s="73" t="str">
        <f t="shared" si="4"/>
        <v>Closed</v>
      </c>
      <c r="D304" s="45" t="s">
        <v>1862</v>
      </c>
      <c r="E304" s="54" t="s">
        <v>1863</v>
      </c>
      <c r="F304" s="5" t="s">
        <v>619</v>
      </c>
      <c r="G304" s="10">
        <f>DATE(2007,6,13)</f>
        <v>39246</v>
      </c>
      <c r="H304" s="35">
        <v>1.1493055555555556</v>
      </c>
      <c r="I304" s="5" t="s">
        <v>259</v>
      </c>
      <c r="J304" s="10" t="s">
        <v>1864</v>
      </c>
      <c r="K304" s="5" t="s">
        <v>621</v>
      </c>
      <c r="L304" s="5" t="s">
        <v>1865</v>
      </c>
      <c r="M304" s="5" t="s">
        <v>45</v>
      </c>
      <c r="N304" s="5">
        <v>0</v>
      </c>
      <c r="O304" s="5" t="s">
        <v>46</v>
      </c>
      <c r="P304" s="10" t="s">
        <v>60</v>
      </c>
      <c r="Q304" s="10" t="s">
        <v>623</v>
      </c>
      <c r="R304" s="10" t="s">
        <v>624</v>
      </c>
      <c r="S304" s="5">
        <v>0</v>
      </c>
      <c r="T304" s="37">
        <v>0</v>
      </c>
      <c r="U304" s="5">
        <v>0</v>
      </c>
      <c r="V304" s="37">
        <v>1</v>
      </c>
      <c r="W304" s="5">
        <v>0</v>
      </c>
      <c r="X304" s="5">
        <v>1</v>
      </c>
      <c r="Y304" s="5">
        <v>0</v>
      </c>
      <c r="Z304" s="37">
        <v>0</v>
      </c>
      <c r="AA304" s="5">
        <v>0</v>
      </c>
      <c r="AB304" s="5">
        <v>0</v>
      </c>
      <c r="AC304" s="5">
        <v>0</v>
      </c>
      <c r="AD304" s="5">
        <v>0</v>
      </c>
      <c r="AE304" s="10" t="s">
        <v>50</v>
      </c>
      <c r="AF304" s="10" t="s">
        <v>50</v>
      </c>
      <c r="AG304" s="10" t="s">
        <v>229</v>
      </c>
      <c r="AH304" s="10" t="s">
        <v>50</v>
      </c>
      <c r="AI304" s="5">
        <v>2</v>
      </c>
      <c r="AJ304" s="10" t="s">
        <v>1827</v>
      </c>
      <c r="AK304" s="10" t="s">
        <v>50</v>
      </c>
    </row>
    <row r="305" spans="1:37" ht="36.75" customHeight="1" x14ac:dyDescent="0.35">
      <c r="A305" s="5"/>
      <c r="B305" s="5" t="s">
        <v>37</v>
      </c>
      <c r="C305" s="73" t="str">
        <f t="shared" si="4"/>
        <v>Closed</v>
      </c>
      <c r="D305" s="45" t="s">
        <v>1866</v>
      </c>
      <c r="E305" s="54" t="s">
        <v>1867</v>
      </c>
      <c r="F305" s="5" t="s">
        <v>575</v>
      </c>
      <c r="G305" s="10">
        <f>DATE(2007,6,13)</f>
        <v>39246</v>
      </c>
      <c r="H305" s="35">
        <v>1.0687500000000001</v>
      </c>
      <c r="I305" s="5" t="s">
        <v>259</v>
      </c>
      <c r="J305" s="10" t="s">
        <v>1868</v>
      </c>
      <c r="K305" s="5" t="s">
        <v>577</v>
      </c>
      <c r="L305" s="5" t="s">
        <v>1869</v>
      </c>
      <c r="M305" s="5" t="s">
        <v>45</v>
      </c>
      <c r="N305" s="5">
        <v>0</v>
      </c>
      <c r="O305" s="5" t="s">
        <v>46</v>
      </c>
      <c r="P305" s="10" t="s">
        <v>60</v>
      </c>
      <c r="Q305" s="10" t="s">
        <v>579</v>
      </c>
      <c r="R305" s="10" t="s">
        <v>580</v>
      </c>
      <c r="S305" s="5">
        <v>0</v>
      </c>
      <c r="T305" s="37">
        <v>1</v>
      </c>
      <c r="U305" s="5">
        <v>0</v>
      </c>
      <c r="V305" s="37" t="s">
        <v>50</v>
      </c>
      <c r="W305" s="5">
        <v>0</v>
      </c>
      <c r="X305" s="5">
        <v>1</v>
      </c>
      <c r="Y305" s="5">
        <v>0</v>
      </c>
      <c r="Z305" s="37">
        <v>0</v>
      </c>
      <c r="AA305" s="5">
        <v>0</v>
      </c>
      <c r="AB305" s="5">
        <v>0</v>
      </c>
      <c r="AC305" s="5">
        <v>0</v>
      </c>
      <c r="AD305" s="5">
        <v>0</v>
      </c>
      <c r="AE305" s="10" t="s">
        <v>50</v>
      </c>
      <c r="AF305" s="10" t="s">
        <v>50</v>
      </c>
      <c r="AG305" s="10" t="s">
        <v>64</v>
      </c>
      <c r="AH305" s="10" t="s">
        <v>50</v>
      </c>
      <c r="AI305" s="5">
        <v>0</v>
      </c>
      <c r="AJ305" s="10" t="s">
        <v>50</v>
      </c>
      <c r="AK305" s="10" t="s">
        <v>50</v>
      </c>
    </row>
    <row r="306" spans="1:37" ht="36.75" customHeight="1" x14ac:dyDescent="0.35">
      <c r="A306" s="5"/>
      <c r="B306" s="5" t="s">
        <v>37</v>
      </c>
      <c r="C306" s="73" t="str">
        <f t="shared" si="4"/>
        <v>Closed</v>
      </c>
      <c r="D306" s="45" t="s">
        <v>1870</v>
      </c>
      <c r="E306" s="54" t="s">
        <v>1871</v>
      </c>
      <c r="F306" s="5" t="s">
        <v>214</v>
      </c>
      <c r="G306" s="10">
        <f>DATE(2007,6,15)</f>
        <v>39248</v>
      </c>
      <c r="H306" s="35">
        <v>1.6597222222222223</v>
      </c>
      <c r="I306" s="5" t="s">
        <v>67</v>
      </c>
      <c r="J306" s="10" t="s">
        <v>1872</v>
      </c>
      <c r="K306" s="5" t="s">
        <v>216</v>
      </c>
      <c r="L306" s="5" t="s">
        <v>1873</v>
      </c>
      <c r="M306" s="5" t="s">
        <v>236</v>
      </c>
      <c r="N306" s="5">
        <v>0</v>
      </c>
      <c r="O306" s="5" t="s">
        <v>46</v>
      </c>
      <c r="P306" s="10" t="s">
        <v>67</v>
      </c>
      <c r="Q306" s="10" t="s">
        <v>1874</v>
      </c>
      <c r="R306" s="10" t="s">
        <v>1875</v>
      </c>
      <c r="S306" s="5">
        <v>0</v>
      </c>
      <c r="T306" s="37" t="s">
        <v>50</v>
      </c>
      <c r="U306" s="5">
        <v>0</v>
      </c>
      <c r="V306" s="37" t="s">
        <v>50</v>
      </c>
      <c r="W306" s="5">
        <v>0</v>
      </c>
      <c r="X306" s="5">
        <v>0</v>
      </c>
      <c r="Y306" s="5">
        <v>0</v>
      </c>
      <c r="Z306" s="37" t="s">
        <v>50</v>
      </c>
      <c r="AA306" s="5">
        <v>0</v>
      </c>
      <c r="AB306" s="5">
        <v>0</v>
      </c>
      <c r="AC306" s="5">
        <v>0</v>
      </c>
      <c r="AD306" s="5">
        <v>0</v>
      </c>
      <c r="AE306" s="10" t="s">
        <v>50</v>
      </c>
      <c r="AF306" s="10" t="s">
        <v>50</v>
      </c>
      <c r="AG306" s="10" t="s">
        <v>114</v>
      </c>
      <c r="AH306" s="10" t="s">
        <v>50</v>
      </c>
      <c r="AI306" s="5">
        <v>0</v>
      </c>
      <c r="AJ306" s="10" t="s">
        <v>1876</v>
      </c>
      <c r="AK306" s="10" t="s">
        <v>1877</v>
      </c>
    </row>
    <row r="307" spans="1:37" ht="36.75" customHeight="1" x14ac:dyDescent="0.35">
      <c r="A307" s="5"/>
      <c r="B307" s="5" t="s">
        <v>37</v>
      </c>
      <c r="C307" s="73" t="str">
        <f t="shared" si="4"/>
        <v>Closed</v>
      </c>
      <c r="D307" s="45" t="s">
        <v>1878</v>
      </c>
      <c r="E307" s="54" t="s">
        <v>1879</v>
      </c>
      <c r="F307" s="5" t="s">
        <v>816</v>
      </c>
      <c r="G307" s="10">
        <f>DATE(2007,6,18)</f>
        <v>39251</v>
      </c>
      <c r="H307" s="35">
        <v>1.3541666666666667</v>
      </c>
      <c r="I307" s="5" t="s">
        <v>97</v>
      </c>
      <c r="J307" s="10" t="s">
        <v>1880</v>
      </c>
      <c r="K307" s="5" t="s">
        <v>818</v>
      </c>
      <c r="L307" s="5" t="s">
        <v>1881</v>
      </c>
      <c r="M307" s="5" t="s">
        <v>45</v>
      </c>
      <c r="N307" s="5">
        <v>0</v>
      </c>
      <c r="O307" s="5" t="s">
        <v>46</v>
      </c>
      <c r="P307" s="10" t="s">
        <v>146</v>
      </c>
      <c r="Q307" s="10" t="s">
        <v>820</v>
      </c>
      <c r="R307" s="10" t="s">
        <v>821</v>
      </c>
      <c r="S307" s="5">
        <v>0</v>
      </c>
      <c r="T307" s="37">
        <v>0</v>
      </c>
      <c r="U307" s="5">
        <v>1</v>
      </c>
      <c r="V307" s="37">
        <v>0</v>
      </c>
      <c r="W307" s="5">
        <v>0</v>
      </c>
      <c r="X307" s="5">
        <v>1</v>
      </c>
      <c r="Y307" s="5">
        <v>0</v>
      </c>
      <c r="Z307" s="37">
        <v>0</v>
      </c>
      <c r="AA307" s="5">
        <v>0</v>
      </c>
      <c r="AB307" s="5">
        <v>0</v>
      </c>
      <c r="AC307" s="5">
        <v>0</v>
      </c>
      <c r="AD307" s="5">
        <v>0</v>
      </c>
      <c r="AE307" s="10" t="s">
        <v>50</v>
      </c>
      <c r="AF307" s="10" t="s">
        <v>1882</v>
      </c>
      <c r="AG307" s="10" t="s">
        <v>114</v>
      </c>
      <c r="AH307" s="10" t="s">
        <v>50</v>
      </c>
      <c r="AI307" s="5">
        <v>2</v>
      </c>
      <c r="AJ307" s="10" t="s">
        <v>50</v>
      </c>
      <c r="AK307" s="10" t="s">
        <v>50</v>
      </c>
    </row>
    <row r="308" spans="1:37" ht="36.75" customHeight="1" x14ac:dyDescent="0.35">
      <c r="A308" s="5"/>
      <c r="B308" s="5" t="s">
        <v>37</v>
      </c>
      <c r="C308" s="73" t="str">
        <f t="shared" si="4"/>
        <v>Closed</v>
      </c>
      <c r="D308" s="45" t="s">
        <v>1883</v>
      </c>
      <c r="E308" s="54" t="s">
        <v>1884</v>
      </c>
      <c r="F308" s="5" t="s">
        <v>1751</v>
      </c>
      <c r="G308" s="10">
        <f>DATE(2007,6,19)</f>
        <v>39252</v>
      </c>
      <c r="H308" s="35">
        <v>1.6527777777777777</v>
      </c>
      <c r="I308" s="5" t="s">
        <v>179</v>
      </c>
      <c r="J308" s="10" t="s">
        <v>1885</v>
      </c>
      <c r="K308" s="5" t="s">
        <v>1753</v>
      </c>
      <c r="L308" s="5" t="s">
        <v>1886</v>
      </c>
      <c r="M308" s="5" t="s">
        <v>45</v>
      </c>
      <c r="N308" s="5">
        <v>0</v>
      </c>
      <c r="O308" s="5" t="s">
        <v>71</v>
      </c>
      <c r="P308" s="10" t="s">
        <v>72</v>
      </c>
      <c r="Q308" s="10" t="s">
        <v>1755</v>
      </c>
      <c r="R308" s="10" t="s">
        <v>1756</v>
      </c>
      <c r="S308" s="5">
        <v>0</v>
      </c>
      <c r="T308" s="37">
        <v>1</v>
      </c>
      <c r="U308" s="5">
        <v>0</v>
      </c>
      <c r="V308" s="37">
        <v>0</v>
      </c>
      <c r="W308" s="5">
        <v>0</v>
      </c>
      <c r="X308" s="5">
        <v>1</v>
      </c>
      <c r="Y308" s="5">
        <v>0</v>
      </c>
      <c r="Z308" s="37">
        <v>0</v>
      </c>
      <c r="AA308" s="5">
        <v>0</v>
      </c>
      <c r="AB308" s="5">
        <v>0</v>
      </c>
      <c r="AC308" s="5">
        <v>0</v>
      </c>
      <c r="AD308" s="5">
        <v>0</v>
      </c>
      <c r="AE308" s="10" t="s">
        <v>50</v>
      </c>
      <c r="AF308" s="10" t="s">
        <v>1887</v>
      </c>
      <c r="AG308" s="10" t="s">
        <v>64</v>
      </c>
      <c r="AH308" s="10" t="s">
        <v>50</v>
      </c>
      <c r="AI308" s="5">
        <v>4</v>
      </c>
      <c r="AJ308" s="10" t="s">
        <v>1888</v>
      </c>
      <c r="AK308" s="10" t="s">
        <v>50</v>
      </c>
    </row>
    <row r="309" spans="1:37" ht="36.75" customHeight="1" x14ac:dyDescent="0.35">
      <c r="A309" s="5"/>
      <c r="B309" s="5" t="s">
        <v>37</v>
      </c>
      <c r="C309" s="73" t="str">
        <f t="shared" si="4"/>
        <v>Closed</v>
      </c>
      <c r="D309" s="45" t="s">
        <v>1889</v>
      </c>
      <c r="E309" s="54" t="s">
        <v>1890</v>
      </c>
      <c r="F309" s="5" t="s">
        <v>404</v>
      </c>
      <c r="G309" s="10">
        <f>DATE(2007,6,20)</f>
        <v>39253</v>
      </c>
      <c r="H309" s="35">
        <v>1.3611111111111112</v>
      </c>
      <c r="I309" s="5" t="s">
        <v>179</v>
      </c>
      <c r="J309" s="10" t="s">
        <v>1891</v>
      </c>
      <c r="K309" s="5" t="s">
        <v>406</v>
      </c>
      <c r="L309" s="5" t="s">
        <v>1892</v>
      </c>
      <c r="M309" s="5" t="s">
        <v>45</v>
      </c>
      <c r="N309" s="5">
        <v>0</v>
      </c>
      <c r="O309" s="5" t="s">
        <v>59</v>
      </c>
      <c r="P309" s="10" t="s">
        <v>1893</v>
      </c>
      <c r="Q309" s="10" t="s">
        <v>535</v>
      </c>
      <c r="R309" s="10" t="s">
        <v>408</v>
      </c>
      <c r="S309" s="5">
        <v>0</v>
      </c>
      <c r="T309" s="37">
        <v>0</v>
      </c>
      <c r="U309" s="5">
        <v>0</v>
      </c>
      <c r="V309" s="37">
        <v>0</v>
      </c>
      <c r="W309" s="5">
        <v>0</v>
      </c>
      <c r="X309" s="5">
        <v>0</v>
      </c>
      <c r="Y309" s="5">
        <v>3</v>
      </c>
      <c r="Z309" s="37">
        <v>1</v>
      </c>
      <c r="AA309" s="5">
        <v>0</v>
      </c>
      <c r="AB309" s="5">
        <v>0</v>
      </c>
      <c r="AC309" s="5">
        <v>0</v>
      </c>
      <c r="AD309" s="5">
        <v>4</v>
      </c>
      <c r="AE309" s="10" t="s">
        <v>50</v>
      </c>
      <c r="AF309" s="10" t="s">
        <v>1894</v>
      </c>
      <c r="AG309" s="10" t="s">
        <v>64</v>
      </c>
      <c r="AH309" s="10" t="s">
        <v>50</v>
      </c>
      <c r="AI309" s="5">
        <v>0</v>
      </c>
      <c r="AJ309" s="10" t="s">
        <v>50</v>
      </c>
      <c r="AK309" s="10" t="s">
        <v>50</v>
      </c>
    </row>
    <row r="310" spans="1:37" ht="36.75" customHeight="1" x14ac:dyDescent="0.35">
      <c r="A310" s="5"/>
      <c r="B310" s="5" t="s">
        <v>37</v>
      </c>
      <c r="C310" s="73" t="str">
        <f t="shared" si="4"/>
        <v>Closed</v>
      </c>
      <c r="D310" s="45" t="s">
        <v>1895</v>
      </c>
      <c r="E310" s="54" t="s">
        <v>1896</v>
      </c>
      <c r="F310" s="5" t="s">
        <v>404</v>
      </c>
      <c r="G310" s="10">
        <f>DATE(2007,6,21)</f>
        <v>39254</v>
      </c>
      <c r="H310" s="35">
        <v>1.7208333333333332</v>
      </c>
      <c r="I310" s="5" t="s">
        <v>67</v>
      </c>
      <c r="J310" s="10" t="s">
        <v>1897</v>
      </c>
      <c r="K310" s="5" t="s">
        <v>406</v>
      </c>
      <c r="L310" s="5" t="s">
        <v>1898</v>
      </c>
      <c r="M310" s="5" t="s">
        <v>45</v>
      </c>
      <c r="N310" s="5">
        <v>0</v>
      </c>
      <c r="O310" s="5" t="s">
        <v>59</v>
      </c>
      <c r="P310" s="10" t="s">
        <v>47</v>
      </c>
      <c r="Q310" s="10" t="s">
        <v>971</v>
      </c>
      <c r="R310" s="10" t="s">
        <v>971</v>
      </c>
      <c r="S310" s="5">
        <v>0</v>
      </c>
      <c r="T310" s="37" t="s">
        <v>50</v>
      </c>
      <c r="U310" s="5">
        <v>0</v>
      </c>
      <c r="V310" s="37" t="s">
        <v>50</v>
      </c>
      <c r="W310" s="5">
        <v>0</v>
      </c>
      <c r="X310" s="5">
        <v>0</v>
      </c>
      <c r="Y310" s="5">
        <v>0</v>
      </c>
      <c r="Z310" s="37" t="s">
        <v>50</v>
      </c>
      <c r="AA310" s="5">
        <v>0</v>
      </c>
      <c r="AB310" s="5">
        <v>0</v>
      </c>
      <c r="AC310" s="5">
        <v>0</v>
      </c>
      <c r="AD310" s="5">
        <v>0</v>
      </c>
      <c r="AE310" s="10" t="s">
        <v>50</v>
      </c>
      <c r="AF310" s="10" t="s">
        <v>50</v>
      </c>
      <c r="AG310" s="10" t="s">
        <v>855</v>
      </c>
      <c r="AH310" s="10" t="s">
        <v>50</v>
      </c>
      <c r="AI310" s="5">
        <v>0</v>
      </c>
      <c r="AJ310" s="10" t="s">
        <v>50</v>
      </c>
      <c r="AK310" s="10" t="s">
        <v>50</v>
      </c>
    </row>
    <row r="311" spans="1:37" ht="36.75" customHeight="1" x14ac:dyDescent="0.35">
      <c r="A311" s="5"/>
      <c r="B311" s="5" t="s">
        <v>37</v>
      </c>
      <c r="C311" s="73" t="str">
        <f t="shared" si="4"/>
        <v>Closed</v>
      </c>
      <c r="D311" s="45" t="s">
        <v>1899</v>
      </c>
      <c r="E311" s="54" t="s">
        <v>1900</v>
      </c>
      <c r="F311" s="5" t="s">
        <v>214</v>
      </c>
      <c r="G311" s="10">
        <f>DATE(2007,6,22)</f>
        <v>39255</v>
      </c>
      <c r="H311" s="35">
        <v>1.0868055555555556</v>
      </c>
      <c r="I311" s="5" t="s">
        <v>55</v>
      </c>
      <c r="J311" s="10" t="s">
        <v>1901</v>
      </c>
      <c r="K311" s="5" t="s">
        <v>216</v>
      </c>
      <c r="L311" s="5" t="s">
        <v>1902</v>
      </c>
      <c r="M311" s="5" t="s">
        <v>45</v>
      </c>
      <c r="N311" s="5">
        <v>0</v>
      </c>
      <c r="O311" s="5" t="s">
        <v>46</v>
      </c>
      <c r="P311" s="10" t="s">
        <v>60</v>
      </c>
      <c r="Q311" s="10" t="s">
        <v>218</v>
      </c>
      <c r="R311" s="10" t="s">
        <v>219</v>
      </c>
      <c r="S311" s="5">
        <v>0</v>
      </c>
      <c r="T311" s="37" t="s">
        <v>50</v>
      </c>
      <c r="U311" s="5">
        <v>0</v>
      </c>
      <c r="V311" s="37" t="s">
        <v>50</v>
      </c>
      <c r="W311" s="5">
        <v>0</v>
      </c>
      <c r="X311" s="5">
        <v>0</v>
      </c>
      <c r="Y311" s="5">
        <v>0</v>
      </c>
      <c r="Z311" s="37" t="s">
        <v>50</v>
      </c>
      <c r="AA311" s="5">
        <v>0</v>
      </c>
      <c r="AB311" s="5">
        <v>0</v>
      </c>
      <c r="AC311" s="5">
        <v>0</v>
      </c>
      <c r="AD311" s="5">
        <v>0</v>
      </c>
      <c r="AE311" s="10" t="s">
        <v>50</v>
      </c>
      <c r="AF311" s="10" t="s">
        <v>1903</v>
      </c>
      <c r="AG311" s="10" t="s">
        <v>64</v>
      </c>
      <c r="AH311" s="10" t="s">
        <v>50</v>
      </c>
      <c r="AI311" s="5">
        <v>10</v>
      </c>
      <c r="AJ311" s="10" t="s">
        <v>1904</v>
      </c>
      <c r="AK311" s="10" t="s">
        <v>1905</v>
      </c>
    </row>
    <row r="312" spans="1:37" ht="36.75" customHeight="1" x14ac:dyDescent="0.35">
      <c r="A312" s="5"/>
      <c r="B312" s="5" t="s">
        <v>37</v>
      </c>
      <c r="C312" s="73" t="str">
        <f t="shared" si="4"/>
        <v>Closed</v>
      </c>
      <c r="D312" s="45" t="s">
        <v>1906</v>
      </c>
      <c r="E312" s="54" t="s">
        <v>1907</v>
      </c>
      <c r="F312" s="5" t="s">
        <v>1730</v>
      </c>
      <c r="G312" s="10">
        <f>DATE(2007,6,24)</f>
        <v>39257</v>
      </c>
      <c r="H312" s="35">
        <v>1.8541666666666665</v>
      </c>
      <c r="I312" s="5" t="s">
        <v>97</v>
      </c>
      <c r="J312" s="10" t="s">
        <v>1908</v>
      </c>
      <c r="K312" s="5" t="s">
        <v>1732</v>
      </c>
      <c r="L312" s="5" t="s">
        <v>1909</v>
      </c>
      <c r="M312" s="5" t="s">
        <v>45</v>
      </c>
      <c r="N312" s="5">
        <v>0</v>
      </c>
      <c r="O312" s="5" t="s">
        <v>46</v>
      </c>
      <c r="P312" s="10" t="s">
        <v>67</v>
      </c>
      <c r="Q312" s="10" t="s">
        <v>1734</v>
      </c>
      <c r="R312" s="10" t="s">
        <v>1735</v>
      </c>
      <c r="S312" s="5">
        <v>0</v>
      </c>
      <c r="T312" s="37">
        <v>0</v>
      </c>
      <c r="U312" s="5">
        <v>2</v>
      </c>
      <c r="V312" s="37">
        <v>0</v>
      </c>
      <c r="W312" s="5">
        <v>0</v>
      </c>
      <c r="X312" s="5">
        <v>2</v>
      </c>
      <c r="Y312" s="5">
        <v>0</v>
      </c>
      <c r="Z312" s="37">
        <v>0</v>
      </c>
      <c r="AA312" s="5">
        <v>0</v>
      </c>
      <c r="AB312" s="5">
        <v>0</v>
      </c>
      <c r="AC312" s="5">
        <v>0</v>
      </c>
      <c r="AD312" s="5">
        <v>0</v>
      </c>
      <c r="AE312" s="10" t="s">
        <v>50</v>
      </c>
      <c r="AF312" s="10" t="s">
        <v>1910</v>
      </c>
      <c r="AG312" s="10" t="s">
        <v>229</v>
      </c>
      <c r="AH312" s="10" t="s">
        <v>50</v>
      </c>
      <c r="AI312" s="5">
        <v>4</v>
      </c>
      <c r="AJ312" s="10" t="s">
        <v>1911</v>
      </c>
      <c r="AK312" s="10" t="s">
        <v>50</v>
      </c>
    </row>
    <row r="313" spans="1:37" ht="36.75" customHeight="1" x14ac:dyDescent="0.35">
      <c r="A313" s="5"/>
      <c r="B313" s="5" t="s">
        <v>37</v>
      </c>
      <c r="C313" s="73" t="str">
        <f t="shared" si="4"/>
        <v>Closed</v>
      </c>
      <c r="D313" s="45" t="s">
        <v>1912</v>
      </c>
      <c r="E313" s="54" t="s">
        <v>1913</v>
      </c>
      <c r="F313" s="5" t="s">
        <v>619</v>
      </c>
      <c r="G313" s="10">
        <f>DATE(2007,6,24)</f>
        <v>39257</v>
      </c>
      <c r="H313" s="35">
        <v>1.9611111111111112</v>
      </c>
      <c r="I313" s="5" t="s">
        <v>259</v>
      </c>
      <c r="J313" s="10" t="s">
        <v>1914</v>
      </c>
      <c r="K313" s="5" t="s">
        <v>621</v>
      </c>
      <c r="L313" s="5" t="s">
        <v>1915</v>
      </c>
      <c r="M313" s="5" t="s">
        <v>45</v>
      </c>
      <c r="N313" s="5">
        <v>0</v>
      </c>
      <c r="O313" s="5" t="s">
        <v>59</v>
      </c>
      <c r="P313" s="10" t="s">
        <v>47</v>
      </c>
      <c r="Q313" s="10" t="s">
        <v>623</v>
      </c>
      <c r="R313" s="10" t="s">
        <v>624</v>
      </c>
      <c r="S313" s="5">
        <v>0</v>
      </c>
      <c r="T313" s="37">
        <v>0</v>
      </c>
      <c r="U313" s="5">
        <v>0</v>
      </c>
      <c r="V313" s="37">
        <v>1</v>
      </c>
      <c r="W313" s="5">
        <v>0</v>
      </c>
      <c r="X313" s="5">
        <v>1</v>
      </c>
      <c r="Y313" s="5">
        <v>0</v>
      </c>
      <c r="Z313" s="37">
        <v>0</v>
      </c>
      <c r="AA313" s="5">
        <v>0</v>
      </c>
      <c r="AB313" s="5">
        <v>0</v>
      </c>
      <c r="AC313" s="5">
        <v>0</v>
      </c>
      <c r="AD313" s="5">
        <v>0</v>
      </c>
      <c r="AE313" s="10" t="s">
        <v>50</v>
      </c>
      <c r="AF313" s="10" t="s">
        <v>50</v>
      </c>
      <c r="AG313" s="10" t="s">
        <v>229</v>
      </c>
      <c r="AH313" s="10" t="s">
        <v>50</v>
      </c>
      <c r="AI313" s="5">
        <v>3</v>
      </c>
      <c r="AJ313" s="10" t="s">
        <v>1916</v>
      </c>
      <c r="AK313" s="10" t="s">
        <v>50</v>
      </c>
    </row>
    <row r="314" spans="1:37" ht="36.75" customHeight="1" x14ac:dyDescent="0.35">
      <c r="A314" s="5"/>
      <c r="B314" s="5" t="s">
        <v>37</v>
      </c>
      <c r="C314" s="73" t="str">
        <f t="shared" si="4"/>
        <v>Closed</v>
      </c>
      <c r="D314" s="45" t="s">
        <v>1917</v>
      </c>
      <c r="E314" s="54" t="s">
        <v>1918</v>
      </c>
      <c r="F314" s="5" t="s">
        <v>1919</v>
      </c>
      <c r="G314" s="10">
        <f>DATE(2007,6,28)</f>
        <v>39261</v>
      </c>
      <c r="H314" s="35">
        <v>1.8333333333333335</v>
      </c>
      <c r="I314" s="5" t="s">
        <v>137</v>
      </c>
      <c r="J314" s="10" t="s">
        <v>1920</v>
      </c>
      <c r="K314" s="5" t="s">
        <v>1921</v>
      </c>
      <c r="L314" s="5" t="s">
        <v>1922</v>
      </c>
      <c r="M314" s="5" t="s">
        <v>45</v>
      </c>
      <c r="N314" s="5">
        <v>0</v>
      </c>
      <c r="O314" s="5" t="s">
        <v>46</v>
      </c>
      <c r="P314" s="10" t="s">
        <v>146</v>
      </c>
      <c r="Q314" s="10" t="s">
        <v>1923</v>
      </c>
      <c r="R314" s="10" t="s">
        <v>1923</v>
      </c>
      <c r="S314" s="5">
        <v>0</v>
      </c>
      <c r="T314" s="37" t="s">
        <v>50</v>
      </c>
      <c r="U314" s="5">
        <v>0</v>
      </c>
      <c r="V314" s="37" t="s">
        <v>50</v>
      </c>
      <c r="W314" s="5">
        <v>0</v>
      </c>
      <c r="X314" s="5">
        <v>0</v>
      </c>
      <c r="Y314" s="5">
        <v>0</v>
      </c>
      <c r="Z314" s="37" t="s">
        <v>50</v>
      </c>
      <c r="AA314" s="5">
        <v>0</v>
      </c>
      <c r="AB314" s="5">
        <v>0</v>
      </c>
      <c r="AC314" s="5">
        <v>0</v>
      </c>
      <c r="AD314" s="5">
        <v>0</v>
      </c>
      <c r="AE314" s="10" t="s">
        <v>50</v>
      </c>
      <c r="AF314" s="10" t="s">
        <v>1924</v>
      </c>
      <c r="AG314" s="10" t="s">
        <v>114</v>
      </c>
      <c r="AH314" s="10" t="s">
        <v>50</v>
      </c>
      <c r="AI314" s="5">
        <v>0</v>
      </c>
      <c r="AJ314" s="10" t="s">
        <v>50</v>
      </c>
      <c r="AK314" s="10" t="s">
        <v>50</v>
      </c>
    </row>
    <row r="315" spans="1:37" ht="36.75" customHeight="1" x14ac:dyDescent="0.35">
      <c r="A315" s="5"/>
      <c r="B315" s="5" t="s">
        <v>37</v>
      </c>
      <c r="C315" s="73" t="str">
        <f t="shared" si="4"/>
        <v>Closed</v>
      </c>
      <c r="D315" s="45" t="s">
        <v>1925</v>
      </c>
      <c r="E315" s="54" t="s">
        <v>1926</v>
      </c>
      <c r="F315" s="5" t="s">
        <v>40</v>
      </c>
      <c r="G315" s="10">
        <f>DATE(2007,7,3)</f>
        <v>39266</v>
      </c>
      <c r="H315" s="35">
        <v>1.6666666666666665</v>
      </c>
      <c r="I315" s="5" t="s">
        <v>55</v>
      </c>
      <c r="J315" s="10" t="s">
        <v>1927</v>
      </c>
      <c r="K315" s="5" t="s">
        <v>43</v>
      </c>
      <c r="L315" s="5" t="s">
        <v>1928</v>
      </c>
      <c r="M315" s="5" t="s">
        <v>45</v>
      </c>
      <c r="N315" s="5" t="s">
        <v>80</v>
      </c>
      <c r="O315" s="5" t="s">
        <v>46</v>
      </c>
      <c r="P315" s="10" t="s">
        <v>60</v>
      </c>
      <c r="Q315" s="10" t="s">
        <v>48</v>
      </c>
      <c r="R315" s="10" t="s">
        <v>49</v>
      </c>
      <c r="S315" s="5">
        <v>0</v>
      </c>
      <c r="T315" s="37">
        <v>0</v>
      </c>
      <c r="U315" s="5">
        <v>0</v>
      </c>
      <c r="V315" s="37">
        <v>0</v>
      </c>
      <c r="W315" s="5">
        <v>0</v>
      </c>
      <c r="X315" s="5">
        <v>0</v>
      </c>
      <c r="Y315" s="5">
        <v>0</v>
      </c>
      <c r="Z315" s="37">
        <v>0</v>
      </c>
      <c r="AA315" s="5">
        <v>0</v>
      </c>
      <c r="AB315" s="5">
        <v>0</v>
      </c>
      <c r="AC315" s="5">
        <v>0</v>
      </c>
      <c r="AD315" s="5">
        <v>0</v>
      </c>
      <c r="AE315" s="10" t="s">
        <v>73</v>
      </c>
      <c r="AF315" s="10" t="s">
        <v>1929</v>
      </c>
      <c r="AG315" s="10" t="s">
        <v>51</v>
      </c>
      <c r="AH315" s="10">
        <v>39634</v>
      </c>
      <c r="AI315" s="5">
        <v>1</v>
      </c>
      <c r="AJ315" s="10" t="s">
        <v>1930</v>
      </c>
      <c r="AK315" s="10" t="s">
        <v>1931</v>
      </c>
    </row>
    <row r="316" spans="1:37" ht="36.75" customHeight="1" x14ac:dyDescent="0.35">
      <c r="A316" s="5"/>
      <c r="B316" s="5" t="s">
        <v>37</v>
      </c>
      <c r="C316" s="73" t="str">
        <f t="shared" si="4"/>
        <v>Closed</v>
      </c>
      <c r="D316" s="45" t="s">
        <v>1932</v>
      </c>
      <c r="E316" s="54" t="s">
        <v>1933</v>
      </c>
      <c r="F316" s="5" t="s">
        <v>404</v>
      </c>
      <c r="G316" s="10">
        <f>DATE(2007,7,4)</f>
        <v>39267</v>
      </c>
      <c r="H316" s="35">
        <v>1.7805555555555554</v>
      </c>
      <c r="I316" s="5" t="s">
        <v>97</v>
      </c>
      <c r="J316" s="10" t="s">
        <v>1934</v>
      </c>
      <c r="K316" s="5" t="s">
        <v>406</v>
      </c>
      <c r="L316" s="5" t="s">
        <v>1935</v>
      </c>
      <c r="M316" s="5" t="s">
        <v>45</v>
      </c>
      <c r="N316" s="5">
        <v>0</v>
      </c>
      <c r="O316" s="5" t="s">
        <v>46</v>
      </c>
      <c r="P316" s="10" t="s">
        <v>47</v>
      </c>
      <c r="Q316" s="10" t="s">
        <v>408</v>
      </c>
      <c r="R316" s="10" t="s">
        <v>408</v>
      </c>
      <c r="S316" s="5">
        <v>0</v>
      </c>
      <c r="T316" s="37">
        <v>0</v>
      </c>
      <c r="U316" s="5">
        <v>0</v>
      </c>
      <c r="V316" s="37">
        <v>0</v>
      </c>
      <c r="W316" s="5">
        <v>0</v>
      </c>
      <c r="X316" s="5">
        <v>0</v>
      </c>
      <c r="Y316" s="5">
        <v>0</v>
      </c>
      <c r="Z316" s="37">
        <v>0</v>
      </c>
      <c r="AA316" s="5">
        <v>1</v>
      </c>
      <c r="AB316" s="5">
        <v>0</v>
      </c>
      <c r="AC316" s="5">
        <v>0</v>
      </c>
      <c r="AD316" s="5">
        <v>1</v>
      </c>
      <c r="AE316" s="10" t="s">
        <v>50</v>
      </c>
      <c r="AF316" s="10" t="s">
        <v>1936</v>
      </c>
      <c r="AG316" s="10" t="s">
        <v>229</v>
      </c>
      <c r="AH316" s="10" t="s">
        <v>50</v>
      </c>
      <c r="AI316" s="5">
        <v>1</v>
      </c>
      <c r="AJ316" s="10" t="s">
        <v>50</v>
      </c>
      <c r="AK316" s="10" t="s">
        <v>50</v>
      </c>
    </row>
    <row r="317" spans="1:37" ht="36.75" customHeight="1" x14ac:dyDescent="0.35">
      <c r="A317" s="5"/>
      <c r="B317" s="5" t="s">
        <v>37</v>
      </c>
      <c r="C317" s="73" t="str">
        <f t="shared" si="4"/>
        <v>Closed</v>
      </c>
      <c r="D317" s="45" t="s">
        <v>1937</v>
      </c>
      <c r="E317" s="54" t="s">
        <v>1938</v>
      </c>
      <c r="F317" s="5" t="s">
        <v>214</v>
      </c>
      <c r="G317" s="10">
        <f>DATE(2007,7,5)</f>
        <v>39268</v>
      </c>
      <c r="H317" s="35">
        <v>1.375</v>
      </c>
      <c r="I317" s="5" t="s">
        <v>137</v>
      </c>
      <c r="J317" s="10" t="s">
        <v>1939</v>
      </c>
      <c r="K317" s="5" t="s">
        <v>216</v>
      </c>
      <c r="L317" s="5" t="s">
        <v>1940</v>
      </c>
      <c r="M317" s="5" t="s">
        <v>110</v>
      </c>
      <c r="N317" s="5">
        <v>0</v>
      </c>
      <c r="O317" s="5" t="s">
        <v>46</v>
      </c>
      <c r="P317" s="10" t="s">
        <v>67</v>
      </c>
      <c r="Q317" s="10" t="s">
        <v>1941</v>
      </c>
      <c r="R317" s="10" t="s">
        <v>664</v>
      </c>
      <c r="S317" s="5">
        <v>0</v>
      </c>
      <c r="T317" s="37" t="s">
        <v>50</v>
      </c>
      <c r="U317" s="5">
        <v>0</v>
      </c>
      <c r="V317" s="37" t="s">
        <v>50</v>
      </c>
      <c r="W317" s="5">
        <v>0</v>
      </c>
      <c r="X317" s="5">
        <v>0</v>
      </c>
      <c r="Y317" s="5">
        <v>0</v>
      </c>
      <c r="Z317" s="37" t="s">
        <v>50</v>
      </c>
      <c r="AA317" s="5">
        <v>0</v>
      </c>
      <c r="AB317" s="5">
        <v>0</v>
      </c>
      <c r="AC317" s="5">
        <v>0</v>
      </c>
      <c r="AD317" s="5">
        <v>0</v>
      </c>
      <c r="AE317" s="10" t="s">
        <v>50</v>
      </c>
      <c r="AF317" s="10" t="s">
        <v>1942</v>
      </c>
      <c r="AG317" s="10" t="s">
        <v>114</v>
      </c>
      <c r="AH317" s="10" t="s">
        <v>50</v>
      </c>
      <c r="AI317" s="5">
        <v>5</v>
      </c>
      <c r="AJ317" s="10" t="s">
        <v>1943</v>
      </c>
      <c r="AK317" s="10" t="s">
        <v>1944</v>
      </c>
    </row>
    <row r="318" spans="1:37" ht="36.75" customHeight="1" x14ac:dyDescent="0.35">
      <c r="A318" s="5"/>
      <c r="B318" s="5" t="s">
        <v>37</v>
      </c>
      <c r="C318" s="73" t="str">
        <f t="shared" si="4"/>
        <v>Closed</v>
      </c>
      <c r="D318" s="45" t="s">
        <v>1945</v>
      </c>
      <c r="E318" s="54" t="s">
        <v>1946</v>
      </c>
      <c r="F318" s="5" t="s">
        <v>432</v>
      </c>
      <c r="G318" s="10">
        <f>DATE(2007,7,8)</f>
        <v>39271</v>
      </c>
      <c r="H318" s="35">
        <v>1.4666666666666666</v>
      </c>
      <c r="I318" s="5" t="s">
        <v>85</v>
      </c>
      <c r="J318" s="10" t="s">
        <v>1947</v>
      </c>
      <c r="K318" s="5" t="s">
        <v>434</v>
      </c>
      <c r="L318" s="5" t="s">
        <v>1948</v>
      </c>
      <c r="M318" s="5" t="s">
        <v>45</v>
      </c>
      <c r="N318" s="5">
        <v>0</v>
      </c>
      <c r="O318" s="5" t="s">
        <v>59</v>
      </c>
      <c r="P318" s="10" t="s">
        <v>67</v>
      </c>
      <c r="Q318" s="10" t="s">
        <v>552</v>
      </c>
      <c r="R318" s="10" t="s">
        <v>553</v>
      </c>
      <c r="S318" s="5">
        <v>0</v>
      </c>
      <c r="T318" s="37" t="s">
        <v>50</v>
      </c>
      <c r="U318" s="5">
        <v>0</v>
      </c>
      <c r="V318" s="37" t="s">
        <v>50</v>
      </c>
      <c r="W318" s="5">
        <v>0</v>
      </c>
      <c r="X318" s="5">
        <v>0</v>
      </c>
      <c r="Y318" s="5">
        <v>0</v>
      </c>
      <c r="Z318" s="37" t="s">
        <v>50</v>
      </c>
      <c r="AA318" s="5">
        <v>0</v>
      </c>
      <c r="AB318" s="5">
        <v>0</v>
      </c>
      <c r="AC318" s="5">
        <v>0</v>
      </c>
      <c r="AD318" s="5">
        <v>0</v>
      </c>
      <c r="AE318" s="10" t="s">
        <v>50</v>
      </c>
      <c r="AF318" s="10" t="s">
        <v>50</v>
      </c>
      <c r="AG318" s="10" t="s">
        <v>333</v>
      </c>
      <c r="AH318" s="10" t="s">
        <v>50</v>
      </c>
      <c r="AI318" s="5">
        <v>1</v>
      </c>
      <c r="AJ318" s="10" t="s">
        <v>50</v>
      </c>
      <c r="AK318" s="10" t="s">
        <v>50</v>
      </c>
    </row>
    <row r="319" spans="1:37" ht="36.75" customHeight="1" x14ac:dyDescent="0.35">
      <c r="A319" s="5"/>
      <c r="B319" s="5" t="s">
        <v>37</v>
      </c>
      <c r="C319" s="73" t="str">
        <f t="shared" si="4"/>
        <v>Closed</v>
      </c>
      <c r="D319" s="45" t="s">
        <v>1949</v>
      </c>
      <c r="E319" s="54" t="s">
        <v>1950</v>
      </c>
      <c r="F319" s="5" t="s">
        <v>619</v>
      </c>
      <c r="G319" s="10">
        <f>DATE(2007,7,8)</f>
        <v>39271</v>
      </c>
      <c r="H319" s="35">
        <v>1.6618055555555555</v>
      </c>
      <c r="I319" s="5" t="s">
        <v>259</v>
      </c>
      <c r="J319" s="10" t="s">
        <v>1951</v>
      </c>
      <c r="K319" s="5" t="s">
        <v>621</v>
      </c>
      <c r="L319" s="5" t="s">
        <v>1952</v>
      </c>
      <c r="M319" s="5" t="s">
        <v>45</v>
      </c>
      <c r="N319" s="5">
        <v>0</v>
      </c>
      <c r="O319" s="5" t="s">
        <v>46</v>
      </c>
      <c r="P319" s="10" t="s">
        <v>146</v>
      </c>
      <c r="Q319" s="10" t="s">
        <v>623</v>
      </c>
      <c r="R319" s="10" t="s">
        <v>624</v>
      </c>
      <c r="S319" s="5">
        <v>0</v>
      </c>
      <c r="T319" s="37">
        <v>0</v>
      </c>
      <c r="U319" s="5">
        <v>0</v>
      </c>
      <c r="V319" s="37">
        <v>1</v>
      </c>
      <c r="W319" s="5">
        <v>0</v>
      </c>
      <c r="X319" s="5">
        <v>1</v>
      </c>
      <c r="Y319" s="5">
        <v>0</v>
      </c>
      <c r="Z319" s="37">
        <v>0</v>
      </c>
      <c r="AA319" s="5">
        <v>0</v>
      </c>
      <c r="AB319" s="5">
        <v>0</v>
      </c>
      <c r="AC319" s="5">
        <v>0</v>
      </c>
      <c r="AD319" s="5">
        <v>0</v>
      </c>
      <c r="AE319" s="10" t="s">
        <v>50</v>
      </c>
      <c r="AF319" s="10" t="s">
        <v>50</v>
      </c>
      <c r="AG319" s="10" t="s">
        <v>229</v>
      </c>
      <c r="AH319" s="10" t="s">
        <v>50</v>
      </c>
      <c r="AI319" s="5">
        <v>3</v>
      </c>
      <c r="AJ319" s="10" t="s">
        <v>1836</v>
      </c>
      <c r="AK319" s="10" t="s">
        <v>50</v>
      </c>
    </row>
    <row r="320" spans="1:37" ht="36.75" customHeight="1" x14ac:dyDescent="0.35">
      <c r="A320" s="5"/>
      <c r="B320" s="5" t="s">
        <v>37</v>
      </c>
      <c r="C320" s="73" t="str">
        <f t="shared" si="4"/>
        <v>Closed</v>
      </c>
      <c r="D320" s="45" t="s">
        <v>1953</v>
      </c>
      <c r="E320" s="54" t="s">
        <v>1954</v>
      </c>
      <c r="F320" s="5" t="s">
        <v>619</v>
      </c>
      <c r="G320" s="10">
        <f>DATE(2007,7,8)</f>
        <v>39271</v>
      </c>
      <c r="H320" s="35">
        <v>1.3618055555555555</v>
      </c>
      <c r="I320" s="5" t="s">
        <v>259</v>
      </c>
      <c r="J320" s="10" t="s">
        <v>1955</v>
      </c>
      <c r="K320" s="5" t="s">
        <v>621</v>
      </c>
      <c r="L320" s="5" t="s">
        <v>1956</v>
      </c>
      <c r="M320" s="5" t="s">
        <v>45</v>
      </c>
      <c r="N320" s="5">
        <v>0</v>
      </c>
      <c r="O320" s="5" t="s">
        <v>59</v>
      </c>
      <c r="P320" s="10" t="s">
        <v>67</v>
      </c>
      <c r="Q320" s="10" t="s">
        <v>623</v>
      </c>
      <c r="R320" s="10" t="s">
        <v>624</v>
      </c>
      <c r="S320" s="5">
        <v>0</v>
      </c>
      <c r="T320" s="37">
        <v>0</v>
      </c>
      <c r="U320" s="5">
        <v>0</v>
      </c>
      <c r="V320" s="37">
        <v>1</v>
      </c>
      <c r="W320" s="5">
        <v>0</v>
      </c>
      <c r="X320" s="5">
        <v>1</v>
      </c>
      <c r="Y320" s="5">
        <v>0</v>
      </c>
      <c r="Z320" s="37">
        <v>0</v>
      </c>
      <c r="AA320" s="5">
        <v>0</v>
      </c>
      <c r="AB320" s="5">
        <v>0</v>
      </c>
      <c r="AC320" s="5">
        <v>0</v>
      </c>
      <c r="AD320" s="5">
        <v>0</v>
      </c>
      <c r="AE320" s="10" t="s">
        <v>50</v>
      </c>
      <c r="AF320" s="10" t="s">
        <v>50</v>
      </c>
      <c r="AG320" s="10" t="s">
        <v>229</v>
      </c>
      <c r="AH320" s="10" t="s">
        <v>50</v>
      </c>
      <c r="AI320" s="5">
        <v>3</v>
      </c>
      <c r="AJ320" s="10" t="s">
        <v>1957</v>
      </c>
      <c r="AK320" s="10" t="s">
        <v>50</v>
      </c>
    </row>
    <row r="321" spans="1:37" ht="36.75" customHeight="1" x14ac:dyDescent="0.35">
      <c r="A321" s="5"/>
      <c r="B321" s="5" t="s">
        <v>37</v>
      </c>
      <c r="C321" s="73" t="str">
        <f t="shared" si="4"/>
        <v>Closed</v>
      </c>
      <c r="D321" s="45" t="s">
        <v>1958</v>
      </c>
      <c r="E321" s="54" t="s">
        <v>1959</v>
      </c>
      <c r="F321" s="5" t="s">
        <v>1730</v>
      </c>
      <c r="G321" s="10">
        <f>DATE(2007,7,10)</f>
        <v>39273</v>
      </c>
      <c r="H321" s="35">
        <v>1.3555555555555556</v>
      </c>
      <c r="I321" s="5" t="s">
        <v>97</v>
      </c>
      <c r="J321" s="10" t="s">
        <v>1960</v>
      </c>
      <c r="K321" s="5" t="s">
        <v>1732</v>
      </c>
      <c r="L321" s="5" t="s">
        <v>1961</v>
      </c>
      <c r="M321" s="5" t="s">
        <v>45</v>
      </c>
      <c r="N321" s="5">
        <v>0</v>
      </c>
      <c r="O321" s="5" t="s">
        <v>46</v>
      </c>
      <c r="P321" s="10" t="s">
        <v>60</v>
      </c>
      <c r="Q321" s="10" t="s">
        <v>1962</v>
      </c>
      <c r="R321" s="10" t="s">
        <v>1963</v>
      </c>
      <c r="S321" s="5">
        <v>0</v>
      </c>
      <c r="T321" s="37">
        <v>0</v>
      </c>
      <c r="U321" s="5">
        <v>0</v>
      </c>
      <c r="V321" s="37">
        <v>0</v>
      </c>
      <c r="W321" s="5">
        <v>0</v>
      </c>
      <c r="X321" s="5">
        <v>0</v>
      </c>
      <c r="Y321" s="5">
        <v>0</v>
      </c>
      <c r="Z321" s="37">
        <v>0</v>
      </c>
      <c r="AA321" s="5">
        <v>1</v>
      </c>
      <c r="AB321" s="5">
        <v>0</v>
      </c>
      <c r="AC321" s="5">
        <v>0</v>
      </c>
      <c r="AD321" s="5">
        <v>1</v>
      </c>
      <c r="AE321" s="10" t="s">
        <v>50</v>
      </c>
      <c r="AF321" s="10" t="s">
        <v>1964</v>
      </c>
      <c r="AG321" s="10" t="s">
        <v>229</v>
      </c>
      <c r="AH321" s="10" t="s">
        <v>50</v>
      </c>
      <c r="AI321" s="5">
        <v>5</v>
      </c>
      <c r="AJ321" s="10" t="s">
        <v>1965</v>
      </c>
      <c r="AK321" s="10" t="s">
        <v>50</v>
      </c>
    </row>
    <row r="322" spans="1:37" ht="36.75" customHeight="1" x14ac:dyDescent="0.35">
      <c r="A322" s="5"/>
      <c r="B322" s="5" t="s">
        <v>37</v>
      </c>
      <c r="C322" s="73" t="str">
        <f t="shared" ref="C322:C385" si="5">IF(B322="Notification","Open",IF(B322="Interim Statement","In progress","Closed"))</f>
        <v>Closed</v>
      </c>
      <c r="D322" s="45" t="s">
        <v>1966</v>
      </c>
      <c r="E322" s="54" t="s">
        <v>1967</v>
      </c>
      <c r="F322" s="5" t="s">
        <v>404</v>
      </c>
      <c r="G322" s="10">
        <f>DATE(2007,7,14)</f>
        <v>39277</v>
      </c>
      <c r="H322" s="35">
        <v>1.4208333333333334</v>
      </c>
      <c r="I322" s="5" t="s">
        <v>179</v>
      </c>
      <c r="J322" s="10" t="s">
        <v>1968</v>
      </c>
      <c r="K322" s="5" t="s">
        <v>406</v>
      </c>
      <c r="L322" s="5" t="s">
        <v>1969</v>
      </c>
      <c r="M322" s="5" t="s">
        <v>45</v>
      </c>
      <c r="N322" s="5">
        <v>0</v>
      </c>
      <c r="O322" s="5" t="s">
        <v>59</v>
      </c>
      <c r="P322" s="10" t="s">
        <v>1198</v>
      </c>
      <c r="Q322" s="10" t="s">
        <v>535</v>
      </c>
      <c r="R322" s="10" t="s">
        <v>408</v>
      </c>
      <c r="S322" s="5">
        <v>0</v>
      </c>
      <c r="T322" s="37">
        <v>1</v>
      </c>
      <c r="U322" s="5">
        <v>0</v>
      </c>
      <c r="V322" s="37">
        <v>0</v>
      </c>
      <c r="W322" s="5">
        <v>0</v>
      </c>
      <c r="X322" s="5">
        <v>1</v>
      </c>
      <c r="Y322" s="5">
        <v>0</v>
      </c>
      <c r="Z322" s="37">
        <v>0</v>
      </c>
      <c r="AA322" s="5">
        <v>0</v>
      </c>
      <c r="AB322" s="5">
        <v>0</v>
      </c>
      <c r="AC322" s="5">
        <v>0</v>
      </c>
      <c r="AD322" s="5">
        <v>0</v>
      </c>
      <c r="AE322" s="10" t="s">
        <v>50</v>
      </c>
      <c r="AF322" s="10" t="s">
        <v>1970</v>
      </c>
      <c r="AG322" s="10" t="s">
        <v>64</v>
      </c>
      <c r="AH322" s="10" t="s">
        <v>50</v>
      </c>
      <c r="AI322" s="5">
        <v>3</v>
      </c>
      <c r="AJ322" s="10" t="s">
        <v>50</v>
      </c>
      <c r="AK322" s="10" t="s">
        <v>50</v>
      </c>
    </row>
    <row r="323" spans="1:37" ht="36.75" customHeight="1" x14ac:dyDescent="0.35">
      <c r="A323" s="5"/>
      <c r="B323" s="5" t="s">
        <v>37</v>
      </c>
      <c r="C323" s="73" t="str">
        <f t="shared" si="5"/>
        <v>Closed</v>
      </c>
      <c r="D323" s="45" t="s">
        <v>1971</v>
      </c>
      <c r="E323" s="54" t="s">
        <v>1972</v>
      </c>
      <c r="F323" s="5" t="s">
        <v>40</v>
      </c>
      <c r="G323" s="10">
        <f>DATE(2007,7,15)</f>
        <v>39278</v>
      </c>
      <c r="H323" s="35">
        <v>1.7576388888888888</v>
      </c>
      <c r="I323" s="5" t="s">
        <v>55</v>
      </c>
      <c r="J323" s="10" t="s">
        <v>1973</v>
      </c>
      <c r="K323" s="5" t="s">
        <v>43</v>
      </c>
      <c r="L323" s="5" t="s">
        <v>1974</v>
      </c>
      <c r="M323" s="5" t="s">
        <v>45</v>
      </c>
      <c r="N323" s="5" t="s">
        <v>80</v>
      </c>
      <c r="O323" s="5" t="s">
        <v>59</v>
      </c>
      <c r="P323" s="10" t="s">
        <v>60</v>
      </c>
      <c r="Q323" s="10" t="s">
        <v>48</v>
      </c>
      <c r="R323" s="10" t="s">
        <v>49</v>
      </c>
      <c r="S323" s="5">
        <v>0</v>
      </c>
      <c r="T323" s="37">
        <v>0</v>
      </c>
      <c r="U323" s="5">
        <v>0</v>
      </c>
      <c r="V323" s="37">
        <v>0</v>
      </c>
      <c r="W323" s="5">
        <v>0</v>
      </c>
      <c r="X323" s="5">
        <v>0</v>
      </c>
      <c r="Y323" s="5">
        <v>0</v>
      </c>
      <c r="Z323" s="37">
        <v>0</v>
      </c>
      <c r="AA323" s="5">
        <v>0</v>
      </c>
      <c r="AB323" s="5">
        <v>0</v>
      </c>
      <c r="AC323" s="5">
        <v>0</v>
      </c>
      <c r="AD323" s="5">
        <v>0</v>
      </c>
      <c r="AE323" s="10" t="s">
        <v>73</v>
      </c>
      <c r="AF323" s="10" t="s">
        <v>1975</v>
      </c>
      <c r="AG323" s="10" t="s">
        <v>51</v>
      </c>
      <c r="AH323" s="10">
        <v>39344</v>
      </c>
      <c r="AI323" s="5">
        <v>2</v>
      </c>
      <c r="AJ323" s="10" t="s">
        <v>1976</v>
      </c>
      <c r="AK323" s="10" t="s">
        <v>1977</v>
      </c>
    </row>
    <row r="324" spans="1:37" ht="36.75" customHeight="1" x14ac:dyDescent="0.35">
      <c r="A324" s="5"/>
      <c r="B324" s="5" t="s">
        <v>37</v>
      </c>
      <c r="C324" s="73" t="str">
        <f t="shared" si="5"/>
        <v>Closed</v>
      </c>
      <c r="D324" s="45" t="s">
        <v>1978</v>
      </c>
      <c r="E324" s="54" t="s">
        <v>1979</v>
      </c>
      <c r="F324" s="5" t="s">
        <v>214</v>
      </c>
      <c r="G324" s="10">
        <f>DATE(2007,7,19)</f>
        <v>39282</v>
      </c>
      <c r="H324" s="35">
        <v>1.9444444444444446</v>
      </c>
      <c r="I324" s="5" t="s">
        <v>67</v>
      </c>
      <c r="J324" s="10" t="s">
        <v>1980</v>
      </c>
      <c r="K324" s="5" t="s">
        <v>216</v>
      </c>
      <c r="L324" s="5" t="s">
        <v>1981</v>
      </c>
      <c r="M324" s="5" t="s">
        <v>45</v>
      </c>
      <c r="N324" s="5">
        <v>0</v>
      </c>
      <c r="O324" s="5" t="s">
        <v>46</v>
      </c>
      <c r="P324" s="10" t="s">
        <v>60</v>
      </c>
      <c r="Q324" s="10" t="s">
        <v>218</v>
      </c>
      <c r="R324" s="10" t="s">
        <v>219</v>
      </c>
      <c r="S324" s="5">
        <v>0</v>
      </c>
      <c r="T324" s="37" t="s">
        <v>50</v>
      </c>
      <c r="U324" s="5">
        <v>0</v>
      </c>
      <c r="V324" s="37" t="s">
        <v>50</v>
      </c>
      <c r="W324" s="5">
        <v>0</v>
      </c>
      <c r="X324" s="5">
        <v>0</v>
      </c>
      <c r="Y324" s="5">
        <v>0</v>
      </c>
      <c r="Z324" s="37" t="s">
        <v>50</v>
      </c>
      <c r="AA324" s="5">
        <v>0</v>
      </c>
      <c r="AB324" s="5">
        <v>0</v>
      </c>
      <c r="AC324" s="5">
        <v>0</v>
      </c>
      <c r="AD324" s="5">
        <v>0</v>
      </c>
      <c r="AE324" s="10" t="s">
        <v>50</v>
      </c>
      <c r="AF324" s="10" t="s">
        <v>50</v>
      </c>
      <c r="AG324" s="10" t="s">
        <v>114</v>
      </c>
      <c r="AH324" s="10" t="s">
        <v>50</v>
      </c>
      <c r="AI324" s="5">
        <v>8</v>
      </c>
      <c r="AJ324" s="10" t="s">
        <v>1982</v>
      </c>
      <c r="AK324" s="10" t="s">
        <v>1983</v>
      </c>
    </row>
    <row r="325" spans="1:37" ht="36.75" customHeight="1" x14ac:dyDescent="0.35">
      <c r="A325" s="5"/>
      <c r="B325" s="5" t="s">
        <v>37</v>
      </c>
      <c r="C325" s="73" t="str">
        <f t="shared" si="5"/>
        <v>Closed</v>
      </c>
      <c r="D325" s="45" t="s">
        <v>1984</v>
      </c>
      <c r="E325" s="54" t="s">
        <v>1985</v>
      </c>
      <c r="F325" s="5" t="s">
        <v>119</v>
      </c>
      <c r="G325" s="10">
        <f>DATE(2007,7,20)</f>
        <v>39283</v>
      </c>
      <c r="H325" s="35">
        <v>1.4652777777777777</v>
      </c>
      <c r="I325" s="5" t="s">
        <v>106</v>
      </c>
      <c r="J325" s="10" t="s">
        <v>1986</v>
      </c>
      <c r="K325" s="5" t="s">
        <v>121</v>
      </c>
      <c r="L325" s="5" t="s">
        <v>1987</v>
      </c>
      <c r="M325" s="5" t="s">
        <v>45</v>
      </c>
      <c r="N325" s="5" t="s">
        <v>80</v>
      </c>
      <c r="O325" s="5" t="s">
        <v>46</v>
      </c>
      <c r="P325" s="10" t="s">
        <v>282</v>
      </c>
      <c r="Q325" s="10" t="s">
        <v>1988</v>
      </c>
      <c r="R325" s="10" t="s">
        <v>125</v>
      </c>
      <c r="S325" s="5">
        <v>0</v>
      </c>
      <c r="T325" s="37">
        <v>0</v>
      </c>
      <c r="U325" s="5">
        <v>0</v>
      </c>
      <c r="V325" s="37">
        <v>0</v>
      </c>
      <c r="W325" s="5">
        <v>0</v>
      </c>
      <c r="X325" s="5">
        <v>0</v>
      </c>
      <c r="Y325" s="5">
        <v>0</v>
      </c>
      <c r="Z325" s="37">
        <v>0</v>
      </c>
      <c r="AA325" s="5">
        <v>0</v>
      </c>
      <c r="AB325" s="5">
        <v>0</v>
      </c>
      <c r="AC325" s="5">
        <v>0</v>
      </c>
      <c r="AD325" s="5">
        <v>0</v>
      </c>
      <c r="AE325" s="10" t="s">
        <v>126</v>
      </c>
      <c r="AF325" s="10" t="s">
        <v>1989</v>
      </c>
      <c r="AG325" s="10" t="s">
        <v>1990</v>
      </c>
      <c r="AH325" s="10">
        <v>39286</v>
      </c>
      <c r="AI325" s="5">
        <v>5</v>
      </c>
      <c r="AJ325" s="10" t="s">
        <v>1991</v>
      </c>
      <c r="AK325" s="10" t="s">
        <v>1992</v>
      </c>
    </row>
    <row r="326" spans="1:37" ht="36.75" customHeight="1" x14ac:dyDescent="0.35">
      <c r="A326" s="5"/>
      <c r="B326" s="5" t="s">
        <v>37</v>
      </c>
      <c r="C326" s="73" t="str">
        <f t="shared" si="5"/>
        <v>Closed</v>
      </c>
      <c r="D326" s="45" t="s">
        <v>1993</v>
      </c>
      <c r="E326" s="54" t="s">
        <v>1994</v>
      </c>
      <c r="F326" s="5" t="s">
        <v>619</v>
      </c>
      <c r="G326" s="10">
        <f>DATE(2007,7,23)</f>
        <v>39286</v>
      </c>
      <c r="H326" s="35">
        <v>1.4020833333333333</v>
      </c>
      <c r="I326" s="5" t="s">
        <v>259</v>
      </c>
      <c r="J326" s="10" t="s">
        <v>1995</v>
      </c>
      <c r="K326" s="5" t="s">
        <v>621</v>
      </c>
      <c r="L326" s="5" t="s">
        <v>1996</v>
      </c>
      <c r="M326" s="5" t="s">
        <v>45</v>
      </c>
      <c r="N326" s="5">
        <v>0</v>
      </c>
      <c r="O326" s="5" t="s">
        <v>59</v>
      </c>
      <c r="P326" s="10" t="s">
        <v>282</v>
      </c>
      <c r="Q326" s="10" t="s">
        <v>1997</v>
      </c>
      <c r="R326" s="10" t="s">
        <v>624</v>
      </c>
      <c r="S326" s="5">
        <v>0</v>
      </c>
      <c r="T326" s="37">
        <v>0</v>
      </c>
      <c r="U326" s="5">
        <v>0</v>
      </c>
      <c r="V326" s="37">
        <v>1</v>
      </c>
      <c r="W326" s="5">
        <v>0</v>
      </c>
      <c r="X326" s="5">
        <v>1</v>
      </c>
      <c r="Y326" s="5">
        <v>0</v>
      </c>
      <c r="Z326" s="37">
        <v>0</v>
      </c>
      <c r="AA326" s="5">
        <v>0</v>
      </c>
      <c r="AB326" s="5">
        <v>0</v>
      </c>
      <c r="AC326" s="5">
        <v>0</v>
      </c>
      <c r="AD326" s="5">
        <v>0</v>
      </c>
      <c r="AE326" s="10" t="s">
        <v>50</v>
      </c>
      <c r="AF326" s="10" t="s">
        <v>50</v>
      </c>
      <c r="AG326" s="10" t="s">
        <v>229</v>
      </c>
      <c r="AH326" s="10" t="s">
        <v>50</v>
      </c>
      <c r="AI326" s="5">
        <v>1</v>
      </c>
      <c r="AJ326" s="10" t="s">
        <v>1957</v>
      </c>
      <c r="AK326" s="10" t="s">
        <v>50</v>
      </c>
    </row>
    <row r="327" spans="1:37" ht="36.75" customHeight="1" x14ac:dyDescent="0.35">
      <c r="A327" s="5"/>
      <c r="B327" s="5" t="s">
        <v>37</v>
      </c>
      <c r="C327" s="73" t="str">
        <f t="shared" si="5"/>
        <v>Closed</v>
      </c>
      <c r="D327" s="45" t="s">
        <v>1998</v>
      </c>
      <c r="E327" s="54" t="s">
        <v>1999</v>
      </c>
      <c r="F327" s="5" t="s">
        <v>563</v>
      </c>
      <c r="G327" s="10">
        <f>DATE(2007,7,24)</f>
        <v>39287</v>
      </c>
      <c r="H327" s="35">
        <v>1.5069444444444444</v>
      </c>
      <c r="I327" s="5" t="s">
        <v>137</v>
      </c>
      <c r="J327" s="10" t="s">
        <v>2000</v>
      </c>
      <c r="K327" s="5" t="s">
        <v>565</v>
      </c>
      <c r="L327" s="5" t="s">
        <v>2001</v>
      </c>
      <c r="M327" s="5" t="s">
        <v>45</v>
      </c>
      <c r="N327" s="5">
        <v>0</v>
      </c>
      <c r="O327" s="5" t="s">
        <v>46</v>
      </c>
      <c r="P327" s="10" t="s">
        <v>443</v>
      </c>
      <c r="Q327" s="10" t="s">
        <v>2002</v>
      </c>
      <c r="R327" s="10" t="s">
        <v>568</v>
      </c>
      <c r="S327" s="5">
        <v>0</v>
      </c>
      <c r="T327" s="37">
        <v>0</v>
      </c>
      <c r="U327" s="5">
        <v>0</v>
      </c>
      <c r="V327" s="37">
        <v>0</v>
      </c>
      <c r="W327" s="5">
        <v>0</v>
      </c>
      <c r="X327" s="5">
        <v>0</v>
      </c>
      <c r="Y327" s="5">
        <v>9</v>
      </c>
      <c r="Z327" s="37">
        <v>0</v>
      </c>
      <c r="AA327" s="5">
        <v>0</v>
      </c>
      <c r="AB327" s="5">
        <v>0</v>
      </c>
      <c r="AC327" s="5">
        <v>0</v>
      </c>
      <c r="AD327" s="5">
        <v>9</v>
      </c>
      <c r="AE327" s="10" t="s">
        <v>50</v>
      </c>
      <c r="AF327" s="10" t="s">
        <v>2003</v>
      </c>
      <c r="AG327" s="10" t="s">
        <v>114</v>
      </c>
      <c r="AH327" s="10" t="s">
        <v>50</v>
      </c>
      <c r="AI327" s="5">
        <v>0</v>
      </c>
      <c r="AJ327" s="10" t="s">
        <v>50</v>
      </c>
      <c r="AK327" s="10" t="s">
        <v>2004</v>
      </c>
    </row>
    <row r="328" spans="1:37" ht="36.75" customHeight="1" x14ac:dyDescent="0.35">
      <c r="A328" s="5"/>
      <c r="B328" s="5" t="s">
        <v>37</v>
      </c>
      <c r="C328" s="73" t="str">
        <f t="shared" si="5"/>
        <v>Closed</v>
      </c>
      <c r="D328" s="45" t="s">
        <v>2005</v>
      </c>
      <c r="E328" s="54" t="s">
        <v>2006</v>
      </c>
      <c r="F328" s="5" t="s">
        <v>563</v>
      </c>
      <c r="G328" s="10">
        <f>DATE(2007,7,26)</f>
        <v>39289</v>
      </c>
      <c r="H328" s="35">
        <v>1.1076388888888888</v>
      </c>
      <c r="I328" s="5" t="s">
        <v>137</v>
      </c>
      <c r="J328" s="10" t="s">
        <v>2007</v>
      </c>
      <c r="K328" s="5" t="s">
        <v>565</v>
      </c>
      <c r="L328" s="5" t="s">
        <v>2008</v>
      </c>
      <c r="M328" s="5" t="s">
        <v>45</v>
      </c>
      <c r="N328" s="5">
        <v>0</v>
      </c>
      <c r="O328" s="5" t="s">
        <v>46</v>
      </c>
      <c r="P328" s="10" t="s">
        <v>60</v>
      </c>
      <c r="Q328" s="10" t="s">
        <v>567</v>
      </c>
      <c r="R328" s="10" t="s">
        <v>568</v>
      </c>
      <c r="S328" s="5">
        <v>0</v>
      </c>
      <c r="T328" s="37">
        <v>0</v>
      </c>
      <c r="U328" s="5">
        <v>0</v>
      </c>
      <c r="V328" s="37">
        <v>0</v>
      </c>
      <c r="W328" s="5">
        <v>0</v>
      </c>
      <c r="X328" s="5">
        <v>0</v>
      </c>
      <c r="Y328" s="5">
        <v>0</v>
      </c>
      <c r="Z328" s="37">
        <v>1</v>
      </c>
      <c r="AA328" s="5">
        <v>0</v>
      </c>
      <c r="AB328" s="5">
        <v>0</v>
      </c>
      <c r="AC328" s="5">
        <v>0</v>
      </c>
      <c r="AD328" s="5">
        <v>1</v>
      </c>
      <c r="AE328" s="10" t="s">
        <v>50</v>
      </c>
      <c r="AF328" s="10" t="s">
        <v>2009</v>
      </c>
      <c r="AG328" s="10" t="s">
        <v>114</v>
      </c>
      <c r="AH328" s="10" t="s">
        <v>50</v>
      </c>
      <c r="AI328" s="5">
        <v>0</v>
      </c>
      <c r="AJ328" s="10" t="s">
        <v>2010</v>
      </c>
      <c r="AK328" s="10" t="s">
        <v>1215</v>
      </c>
    </row>
    <row r="329" spans="1:37" ht="36.75" customHeight="1" x14ac:dyDescent="0.35">
      <c r="A329" s="5"/>
      <c r="B329" s="5" t="s">
        <v>37</v>
      </c>
      <c r="C329" s="73" t="str">
        <f t="shared" si="5"/>
        <v>Closed</v>
      </c>
      <c r="D329" s="45" t="s">
        <v>2011</v>
      </c>
      <c r="E329" s="54" t="s">
        <v>2012</v>
      </c>
      <c r="F329" s="5" t="s">
        <v>119</v>
      </c>
      <c r="G329" s="10">
        <f>DATE(2007,7,26)</f>
        <v>39289</v>
      </c>
      <c r="H329" s="35">
        <v>1.40625</v>
      </c>
      <c r="I329" s="5" t="s">
        <v>55</v>
      </c>
      <c r="J329" s="10" t="s">
        <v>2013</v>
      </c>
      <c r="K329" s="5" t="s">
        <v>121</v>
      </c>
      <c r="L329" s="5" t="s">
        <v>2014</v>
      </c>
      <c r="M329" s="5" t="s">
        <v>45</v>
      </c>
      <c r="N329" s="5" t="s">
        <v>123</v>
      </c>
      <c r="O329" s="5" t="s">
        <v>59</v>
      </c>
      <c r="P329" s="10" t="s">
        <v>443</v>
      </c>
      <c r="Q329" s="10" t="s">
        <v>2015</v>
      </c>
      <c r="R329" s="10" t="s">
        <v>125</v>
      </c>
      <c r="S329" s="5">
        <v>0</v>
      </c>
      <c r="T329" s="37">
        <v>0</v>
      </c>
      <c r="U329" s="5">
        <v>0</v>
      </c>
      <c r="V329" s="37">
        <v>0</v>
      </c>
      <c r="W329" s="5">
        <v>0</v>
      </c>
      <c r="X329" s="5">
        <v>0</v>
      </c>
      <c r="Y329" s="5">
        <v>0</v>
      </c>
      <c r="Z329" s="37">
        <v>0</v>
      </c>
      <c r="AA329" s="5">
        <v>0</v>
      </c>
      <c r="AB329" s="5">
        <v>0</v>
      </c>
      <c r="AC329" s="5">
        <v>0</v>
      </c>
      <c r="AD329" s="5">
        <v>0</v>
      </c>
      <c r="AE329" s="10" t="s">
        <v>375</v>
      </c>
      <c r="AF329" s="10" t="s">
        <v>2016</v>
      </c>
      <c r="AG329" s="10" t="s">
        <v>114</v>
      </c>
      <c r="AH329" s="10">
        <v>40022</v>
      </c>
      <c r="AI329" s="5">
        <v>2</v>
      </c>
      <c r="AJ329" s="10" t="s">
        <v>2017</v>
      </c>
      <c r="AK329" s="10" t="s">
        <v>2018</v>
      </c>
    </row>
    <row r="330" spans="1:37" ht="36.75" customHeight="1" x14ac:dyDescent="0.35">
      <c r="A330" s="5"/>
      <c r="B330" s="5" t="s">
        <v>37</v>
      </c>
      <c r="C330" s="73" t="str">
        <f t="shared" si="5"/>
        <v>Closed</v>
      </c>
      <c r="D330" s="45" t="s">
        <v>2019</v>
      </c>
      <c r="E330" s="54" t="s">
        <v>2020</v>
      </c>
      <c r="F330" s="5" t="s">
        <v>575</v>
      </c>
      <c r="G330" s="10">
        <f>DATE(2007,8,1)</f>
        <v>39295</v>
      </c>
      <c r="H330" s="35">
        <v>1.6534722222222222</v>
      </c>
      <c r="I330" s="5" t="s">
        <v>259</v>
      </c>
      <c r="J330" s="10" t="s">
        <v>2021</v>
      </c>
      <c r="K330" s="5" t="s">
        <v>577</v>
      </c>
      <c r="L330" s="5" t="s">
        <v>2022</v>
      </c>
      <c r="M330" s="5" t="s">
        <v>45</v>
      </c>
      <c r="N330" s="5" t="s">
        <v>80</v>
      </c>
      <c r="O330" s="5" t="s">
        <v>46</v>
      </c>
      <c r="P330" s="10" t="s">
        <v>146</v>
      </c>
      <c r="Q330" s="10" t="s">
        <v>2023</v>
      </c>
      <c r="R330" s="10" t="s">
        <v>580</v>
      </c>
      <c r="S330" s="5">
        <v>0</v>
      </c>
      <c r="T330" s="37">
        <v>1</v>
      </c>
      <c r="U330" s="5">
        <v>0</v>
      </c>
      <c r="V330" s="37" t="s">
        <v>50</v>
      </c>
      <c r="W330" s="5">
        <v>0</v>
      </c>
      <c r="X330" s="5">
        <v>1</v>
      </c>
      <c r="Y330" s="5">
        <v>0</v>
      </c>
      <c r="Z330" s="37">
        <v>0</v>
      </c>
      <c r="AA330" s="5">
        <v>0</v>
      </c>
      <c r="AB330" s="5">
        <v>0</v>
      </c>
      <c r="AC330" s="5">
        <v>0</v>
      </c>
      <c r="AD330" s="5">
        <v>0</v>
      </c>
      <c r="AE330" s="10" t="s">
        <v>50</v>
      </c>
      <c r="AF330" s="10" t="s">
        <v>50</v>
      </c>
      <c r="AG330" s="10" t="s">
        <v>64</v>
      </c>
      <c r="AH330" s="10" t="s">
        <v>50</v>
      </c>
      <c r="AI330" s="5">
        <v>0</v>
      </c>
      <c r="AJ330" s="10" t="s">
        <v>50</v>
      </c>
      <c r="AK330" s="10" t="s">
        <v>50</v>
      </c>
    </row>
    <row r="331" spans="1:37" ht="36.75" customHeight="1" x14ac:dyDescent="0.35">
      <c r="A331" s="5"/>
      <c r="B331" s="5" t="s">
        <v>37</v>
      </c>
      <c r="C331" s="73" t="str">
        <f t="shared" si="5"/>
        <v>Closed</v>
      </c>
      <c r="D331" s="45" t="s">
        <v>2024</v>
      </c>
      <c r="E331" s="54" t="s">
        <v>2025</v>
      </c>
      <c r="F331" s="5" t="s">
        <v>214</v>
      </c>
      <c r="G331" s="10">
        <f>DATE(2007,8,1)</f>
        <v>39295</v>
      </c>
      <c r="H331" s="35">
        <v>1.6777777777777776</v>
      </c>
      <c r="I331" s="5" t="s">
        <v>179</v>
      </c>
      <c r="J331" s="10" t="s">
        <v>2026</v>
      </c>
      <c r="K331" s="5" t="s">
        <v>216</v>
      </c>
      <c r="L331" s="5" t="s">
        <v>2027</v>
      </c>
      <c r="M331" s="5" t="s">
        <v>45</v>
      </c>
      <c r="N331" s="5">
        <v>0</v>
      </c>
      <c r="O331" s="5" t="s">
        <v>46</v>
      </c>
      <c r="P331" s="10" t="s">
        <v>67</v>
      </c>
      <c r="Q331" s="10" t="s">
        <v>218</v>
      </c>
      <c r="R331" s="10" t="s">
        <v>219</v>
      </c>
      <c r="S331" s="5">
        <v>0</v>
      </c>
      <c r="T331" s="37" t="s">
        <v>50</v>
      </c>
      <c r="U331" s="5">
        <v>0</v>
      </c>
      <c r="V331" s="37" t="s">
        <v>50</v>
      </c>
      <c r="W331" s="5">
        <v>0</v>
      </c>
      <c r="X331" s="5">
        <v>0</v>
      </c>
      <c r="Y331" s="5">
        <v>0</v>
      </c>
      <c r="Z331" s="37" t="s">
        <v>50</v>
      </c>
      <c r="AA331" s="5">
        <v>0</v>
      </c>
      <c r="AB331" s="5">
        <v>0</v>
      </c>
      <c r="AC331" s="5">
        <v>0</v>
      </c>
      <c r="AD331" s="5">
        <v>0</v>
      </c>
      <c r="AE331" s="10" t="s">
        <v>50</v>
      </c>
      <c r="AF331" s="10" t="s">
        <v>2028</v>
      </c>
      <c r="AG331" s="10" t="s">
        <v>114</v>
      </c>
      <c r="AH331" s="10" t="s">
        <v>50</v>
      </c>
      <c r="AI331" s="5">
        <v>4</v>
      </c>
      <c r="AJ331" s="10" t="s">
        <v>2029</v>
      </c>
      <c r="AK331" s="10" t="s">
        <v>2030</v>
      </c>
    </row>
    <row r="332" spans="1:37" ht="36.75" customHeight="1" x14ac:dyDescent="0.35">
      <c r="A332" s="5"/>
      <c r="B332" s="5" t="s">
        <v>37</v>
      </c>
      <c r="C332" s="73" t="str">
        <f t="shared" si="5"/>
        <v>Closed</v>
      </c>
      <c r="D332" s="45" t="s">
        <v>2031</v>
      </c>
      <c r="E332" s="54" t="s">
        <v>2032</v>
      </c>
      <c r="F332" s="5" t="s">
        <v>178</v>
      </c>
      <c r="G332" s="10">
        <f>DATE(2007,8,2)</f>
        <v>39296</v>
      </c>
      <c r="H332" s="35">
        <v>1.4638888888888888</v>
      </c>
      <c r="I332" s="5" t="s">
        <v>55</v>
      </c>
      <c r="J332" s="10" t="s">
        <v>2033</v>
      </c>
      <c r="K332" s="5" t="s">
        <v>181</v>
      </c>
      <c r="L332" s="5" t="s">
        <v>2034</v>
      </c>
      <c r="M332" s="5" t="s">
        <v>45</v>
      </c>
      <c r="N332" s="5">
        <v>0</v>
      </c>
      <c r="O332" s="5" t="s">
        <v>59</v>
      </c>
      <c r="P332" s="10" t="s">
        <v>60</v>
      </c>
      <c r="Q332" s="10" t="s">
        <v>1697</v>
      </c>
      <c r="R332" s="10" t="s">
        <v>184</v>
      </c>
      <c r="S332" s="5">
        <v>0</v>
      </c>
      <c r="T332" s="37" t="s">
        <v>50</v>
      </c>
      <c r="U332" s="5">
        <v>0</v>
      </c>
      <c r="V332" s="37" t="s">
        <v>50</v>
      </c>
      <c r="W332" s="5">
        <v>0</v>
      </c>
      <c r="X332" s="5">
        <v>0</v>
      </c>
      <c r="Y332" s="5">
        <v>0</v>
      </c>
      <c r="Z332" s="37" t="s">
        <v>50</v>
      </c>
      <c r="AA332" s="5">
        <v>0</v>
      </c>
      <c r="AB332" s="5">
        <v>0</v>
      </c>
      <c r="AC332" s="5">
        <v>0</v>
      </c>
      <c r="AD332" s="5">
        <v>0</v>
      </c>
      <c r="AE332" s="10" t="s">
        <v>50</v>
      </c>
      <c r="AF332" s="10" t="s">
        <v>2035</v>
      </c>
      <c r="AG332" s="10" t="s">
        <v>114</v>
      </c>
      <c r="AH332" s="10" t="s">
        <v>50</v>
      </c>
      <c r="AI332" s="5">
        <v>4</v>
      </c>
      <c r="AJ332" s="10" t="s">
        <v>50</v>
      </c>
      <c r="AK332" s="10" t="s">
        <v>2036</v>
      </c>
    </row>
    <row r="333" spans="1:37" ht="36.75" customHeight="1" x14ac:dyDescent="0.35">
      <c r="A333" s="5"/>
      <c r="B333" s="5" t="s">
        <v>37</v>
      </c>
      <c r="C333" s="73" t="str">
        <f t="shared" si="5"/>
        <v>Closed</v>
      </c>
      <c r="D333" s="45" t="s">
        <v>2037</v>
      </c>
      <c r="E333" s="54" t="s">
        <v>2038</v>
      </c>
      <c r="F333" s="5" t="s">
        <v>214</v>
      </c>
      <c r="G333" s="10">
        <f>DATE(2007,8,2)</f>
        <v>39296</v>
      </c>
      <c r="H333" s="35">
        <v>1.6444444444444444</v>
      </c>
      <c r="I333" s="5" t="s">
        <v>97</v>
      </c>
      <c r="J333" s="10" t="s">
        <v>2039</v>
      </c>
      <c r="K333" s="5" t="s">
        <v>216</v>
      </c>
      <c r="L333" s="5" t="s">
        <v>2040</v>
      </c>
      <c r="M333" s="5" t="s">
        <v>45</v>
      </c>
      <c r="N333" s="5">
        <v>0</v>
      </c>
      <c r="O333" s="5" t="s">
        <v>46</v>
      </c>
      <c r="P333" s="10" t="s">
        <v>146</v>
      </c>
      <c r="Q333" s="10" t="s">
        <v>656</v>
      </c>
      <c r="R333" s="10" t="s">
        <v>656</v>
      </c>
      <c r="S333" s="5">
        <v>0</v>
      </c>
      <c r="T333" s="37">
        <v>0</v>
      </c>
      <c r="U333" s="5">
        <v>1</v>
      </c>
      <c r="V333" s="37">
        <v>0</v>
      </c>
      <c r="W333" s="5">
        <v>0</v>
      </c>
      <c r="X333" s="5">
        <v>1</v>
      </c>
      <c r="Y333" s="5">
        <v>0</v>
      </c>
      <c r="Z333" s="37">
        <v>0</v>
      </c>
      <c r="AA333" s="5">
        <v>0</v>
      </c>
      <c r="AB333" s="5">
        <v>0</v>
      </c>
      <c r="AC333" s="5">
        <v>0</v>
      </c>
      <c r="AD333" s="5">
        <v>0</v>
      </c>
      <c r="AE333" s="10" t="s">
        <v>50</v>
      </c>
      <c r="AF333" s="10" t="s">
        <v>2041</v>
      </c>
      <c r="AG333" s="10" t="s">
        <v>114</v>
      </c>
      <c r="AH333" s="10" t="s">
        <v>50</v>
      </c>
      <c r="AI333" s="5">
        <v>6</v>
      </c>
      <c r="AJ333" s="10" t="s">
        <v>2042</v>
      </c>
      <c r="AK333" s="10" t="s">
        <v>2043</v>
      </c>
    </row>
    <row r="334" spans="1:37" ht="36.75" customHeight="1" x14ac:dyDescent="0.35">
      <c r="A334" s="5"/>
      <c r="B334" s="5" t="s">
        <v>37</v>
      </c>
      <c r="C334" s="73" t="str">
        <f t="shared" si="5"/>
        <v>Closed</v>
      </c>
      <c r="D334" s="45" t="s">
        <v>2044</v>
      </c>
      <c r="E334" s="54" t="s">
        <v>2045</v>
      </c>
      <c r="F334" s="5" t="s">
        <v>40</v>
      </c>
      <c r="G334" s="10">
        <f>DATE(2007,8,4)</f>
        <v>39298</v>
      </c>
      <c r="H334" s="35">
        <v>1.2666666666666666</v>
      </c>
      <c r="I334" s="5" t="s">
        <v>55</v>
      </c>
      <c r="J334" s="10" t="s">
        <v>2046</v>
      </c>
      <c r="K334" s="5" t="s">
        <v>43</v>
      </c>
      <c r="L334" s="5" t="s">
        <v>2047</v>
      </c>
      <c r="M334" s="5" t="s">
        <v>45</v>
      </c>
      <c r="N334" s="5" t="s">
        <v>80</v>
      </c>
      <c r="O334" s="5" t="s">
        <v>71</v>
      </c>
      <c r="P334" s="10" t="s">
        <v>72</v>
      </c>
      <c r="Q334" s="10" t="s">
        <v>48</v>
      </c>
      <c r="R334" s="10" t="s">
        <v>2048</v>
      </c>
      <c r="S334" s="5">
        <v>0</v>
      </c>
      <c r="T334" s="37">
        <v>0</v>
      </c>
      <c r="U334" s="5">
        <v>0</v>
      </c>
      <c r="V334" s="37">
        <v>0</v>
      </c>
      <c r="W334" s="5">
        <v>0</v>
      </c>
      <c r="X334" s="5">
        <v>0</v>
      </c>
      <c r="Y334" s="5">
        <v>0</v>
      </c>
      <c r="Z334" s="37">
        <v>0</v>
      </c>
      <c r="AA334" s="5">
        <v>0</v>
      </c>
      <c r="AB334" s="5">
        <v>0</v>
      </c>
      <c r="AC334" s="5">
        <v>0</v>
      </c>
      <c r="AD334" s="5">
        <v>0</v>
      </c>
      <c r="AE334" s="10" t="s">
        <v>73</v>
      </c>
      <c r="AF334" s="10" t="s">
        <v>2049</v>
      </c>
      <c r="AG334" s="10" t="s">
        <v>51</v>
      </c>
      <c r="AH334" s="10">
        <v>39300</v>
      </c>
      <c r="AI334" s="5">
        <v>1</v>
      </c>
      <c r="AJ334" s="10" t="s">
        <v>2050</v>
      </c>
      <c r="AK334" s="10" t="s">
        <v>2051</v>
      </c>
    </row>
    <row r="335" spans="1:37" ht="36.75" customHeight="1" x14ac:dyDescent="0.35">
      <c r="A335" s="5"/>
      <c r="B335" s="5" t="s">
        <v>37</v>
      </c>
      <c r="C335" s="73" t="str">
        <f t="shared" si="5"/>
        <v>Closed</v>
      </c>
      <c r="D335" s="45" t="s">
        <v>2052</v>
      </c>
      <c r="E335" s="54" t="s">
        <v>2053</v>
      </c>
      <c r="F335" s="5" t="s">
        <v>575</v>
      </c>
      <c r="G335" s="10">
        <f>DATE(2007,8,5)</f>
        <v>39299</v>
      </c>
      <c r="H335" s="35">
        <v>1.5111111111111111</v>
      </c>
      <c r="I335" s="5" t="s">
        <v>97</v>
      </c>
      <c r="J335" s="10" t="s">
        <v>2054</v>
      </c>
      <c r="K335" s="5" t="s">
        <v>577</v>
      </c>
      <c r="L335" s="5" t="s">
        <v>2055</v>
      </c>
      <c r="M335" s="5" t="s">
        <v>45</v>
      </c>
      <c r="N335" s="5">
        <v>0</v>
      </c>
      <c r="O335" s="5" t="s">
        <v>46</v>
      </c>
      <c r="P335" s="10" t="s">
        <v>146</v>
      </c>
      <c r="Q335" s="10" t="s">
        <v>579</v>
      </c>
      <c r="R335" s="10" t="s">
        <v>580</v>
      </c>
      <c r="S335" s="5">
        <v>0</v>
      </c>
      <c r="T335" s="37" t="s">
        <v>50</v>
      </c>
      <c r="U335" s="5">
        <v>1</v>
      </c>
      <c r="V335" s="37" t="s">
        <v>50</v>
      </c>
      <c r="W335" s="5">
        <v>0</v>
      </c>
      <c r="X335" s="5">
        <v>1</v>
      </c>
      <c r="Y335" s="5">
        <v>0</v>
      </c>
      <c r="Z335" s="37" t="s">
        <v>50</v>
      </c>
      <c r="AA335" s="5">
        <v>0</v>
      </c>
      <c r="AB335" s="5">
        <v>0</v>
      </c>
      <c r="AC335" s="5">
        <v>0</v>
      </c>
      <c r="AD335" s="5">
        <v>0</v>
      </c>
      <c r="AE335" s="10" t="s">
        <v>50</v>
      </c>
      <c r="AF335" s="10" t="s">
        <v>2056</v>
      </c>
      <c r="AG335" s="10" t="s">
        <v>64</v>
      </c>
      <c r="AH335" s="10" t="s">
        <v>50</v>
      </c>
      <c r="AI335" s="5">
        <v>0</v>
      </c>
      <c r="AJ335" s="10" t="s">
        <v>50</v>
      </c>
      <c r="AK335" s="10" t="s">
        <v>50</v>
      </c>
    </row>
    <row r="336" spans="1:37" ht="36.75" customHeight="1" x14ac:dyDescent="0.35">
      <c r="A336" s="5"/>
      <c r="B336" s="5" t="s">
        <v>37</v>
      </c>
      <c r="C336" s="73" t="str">
        <f t="shared" si="5"/>
        <v>Closed</v>
      </c>
      <c r="D336" s="45" t="s">
        <v>2057</v>
      </c>
      <c r="E336" s="54" t="s">
        <v>2058</v>
      </c>
      <c r="F336" s="5" t="s">
        <v>119</v>
      </c>
      <c r="G336" s="10">
        <f>DATE(2007,8,5)</f>
        <v>39299</v>
      </c>
      <c r="H336" s="35">
        <v>1.4048611111111111</v>
      </c>
      <c r="I336" s="5" t="s">
        <v>2059</v>
      </c>
      <c r="J336" s="10" t="s">
        <v>2060</v>
      </c>
      <c r="K336" s="5" t="s">
        <v>121</v>
      </c>
      <c r="L336" s="5" t="s">
        <v>2061</v>
      </c>
      <c r="M336" s="5" t="s">
        <v>45</v>
      </c>
      <c r="N336" s="5" t="s">
        <v>70</v>
      </c>
      <c r="O336" s="5" t="s">
        <v>59</v>
      </c>
      <c r="P336" s="10" t="s">
        <v>1893</v>
      </c>
      <c r="Q336" s="10" t="s">
        <v>2062</v>
      </c>
      <c r="R336" s="10" t="s">
        <v>166</v>
      </c>
      <c r="S336" s="5">
        <v>0</v>
      </c>
      <c r="T336" s="37">
        <v>0</v>
      </c>
      <c r="U336" s="5">
        <v>0</v>
      </c>
      <c r="V336" s="37">
        <v>0</v>
      </c>
      <c r="W336" s="5">
        <v>0</v>
      </c>
      <c r="X336" s="5">
        <v>0</v>
      </c>
      <c r="Y336" s="5">
        <v>0</v>
      </c>
      <c r="Z336" s="37">
        <v>0</v>
      </c>
      <c r="AA336" s="5">
        <v>0</v>
      </c>
      <c r="AB336" s="5">
        <v>0</v>
      </c>
      <c r="AC336" s="5">
        <v>0</v>
      </c>
      <c r="AD336" s="5">
        <v>0</v>
      </c>
      <c r="AE336" s="10" t="s">
        <v>73</v>
      </c>
      <c r="AF336" s="10" t="s">
        <v>2063</v>
      </c>
      <c r="AG336" s="10" t="s">
        <v>2064</v>
      </c>
      <c r="AH336" s="10">
        <v>39300</v>
      </c>
      <c r="AI336" s="5">
        <v>4</v>
      </c>
      <c r="AJ336" s="10" t="s">
        <v>2065</v>
      </c>
      <c r="AK336" s="10" t="s">
        <v>2066</v>
      </c>
    </row>
    <row r="337" spans="1:37" ht="36.75" customHeight="1" x14ac:dyDescent="0.35">
      <c r="A337" s="5"/>
      <c r="B337" s="5" t="s">
        <v>37</v>
      </c>
      <c r="C337" s="73" t="str">
        <f t="shared" si="5"/>
        <v>Closed</v>
      </c>
      <c r="D337" s="45" t="s">
        <v>2067</v>
      </c>
      <c r="E337" s="54" t="s">
        <v>2068</v>
      </c>
      <c r="F337" s="5" t="s">
        <v>119</v>
      </c>
      <c r="G337" s="10">
        <f>DATE(2007,8,7)</f>
        <v>39301</v>
      </c>
      <c r="H337" s="35">
        <v>1.3833333333333333</v>
      </c>
      <c r="I337" s="5" t="s">
        <v>85</v>
      </c>
      <c r="J337" s="10" t="s">
        <v>2069</v>
      </c>
      <c r="K337" s="5" t="s">
        <v>121</v>
      </c>
      <c r="L337" s="5" t="s">
        <v>2070</v>
      </c>
      <c r="M337" s="5" t="s">
        <v>45</v>
      </c>
      <c r="N337" s="5" t="s">
        <v>70</v>
      </c>
      <c r="O337" s="5" t="s">
        <v>59</v>
      </c>
      <c r="P337" s="10" t="s">
        <v>2071</v>
      </c>
      <c r="Q337" s="10" t="s">
        <v>2072</v>
      </c>
      <c r="R337" s="10" t="s">
        <v>125</v>
      </c>
      <c r="S337" s="5">
        <v>0</v>
      </c>
      <c r="T337" s="37">
        <v>0</v>
      </c>
      <c r="U337" s="5">
        <v>0</v>
      </c>
      <c r="V337" s="37">
        <v>0</v>
      </c>
      <c r="W337" s="5">
        <v>0</v>
      </c>
      <c r="X337" s="5">
        <v>0</v>
      </c>
      <c r="Y337" s="5">
        <v>0</v>
      </c>
      <c r="Z337" s="37">
        <v>0</v>
      </c>
      <c r="AA337" s="5">
        <v>0</v>
      </c>
      <c r="AB337" s="5">
        <v>0</v>
      </c>
      <c r="AC337" s="5">
        <v>0</v>
      </c>
      <c r="AD337" s="5">
        <v>0</v>
      </c>
      <c r="AE337" s="10" t="s">
        <v>73</v>
      </c>
      <c r="AF337" s="10" t="s">
        <v>910</v>
      </c>
      <c r="AG337" s="10" t="s">
        <v>114</v>
      </c>
      <c r="AH337" s="10">
        <v>39335</v>
      </c>
      <c r="AI337" s="5">
        <v>5</v>
      </c>
      <c r="AJ337" s="10" t="s">
        <v>2073</v>
      </c>
      <c r="AK337" s="10" t="s">
        <v>2074</v>
      </c>
    </row>
    <row r="338" spans="1:37" ht="36.75" customHeight="1" x14ac:dyDescent="0.35">
      <c r="A338" s="5"/>
      <c r="B338" s="5" t="s">
        <v>37</v>
      </c>
      <c r="C338" s="73" t="str">
        <f t="shared" si="5"/>
        <v>Closed</v>
      </c>
      <c r="D338" s="45" t="s">
        <v>2075</v>
      </c>
      <c r="E338" s="54" t="s">
        <v>2076</v>
      </c>
      <c r="F338" s="5" t="s">
        <v>619</v>
      </c>
      <c r="G338" s="10">
        <f>DATE(2007,8,9)</f>
        <v>39303</v>
      </c>
      <c r="H338" s="35">
        <v>1.8527777777777779</v>
      </c>
      <c r="I338" s="5" t="s">
        <v>97</v>
      </c>
      <c r="J338" s="10" t="s">
        <v>2077</v>
      </c>
      <c r="K338" s="5" t="s">
        <v>621</v>
      </c>
      <c r="L338" s="5" t="s">
        <v>2078</v>
      </c>
      <c r="M338" s="5" t="s">
        <v>45</v>
      </c>
      <c r="N338" s="5">
        <v>0</v>
      </c>
      <c r="O338" s="5" t="s">
        <v>67</v>
      </c>
      <c r="P338" s="10" t="s">
        <v>67</v>
      </c>
      <c r="Q338" s="10" t="s">
        <v>623</v>
      </c>
      <c r="R338" s="10" t="s">
        <v>624</v>
      </c>
      <c r="S338" s="5">
        <v>0</v>
      </c>
      <c r="T338" s="37">
        <v>0</v>
      </c>
      <c r="U338" s="5">
        <v>1</v>
      </c>
      <c r="V338" s="37">
        <v>0</v>
      </c>
      <c r="W338" s="5">
        <v>0</v>
      </c>
      <c r="X338" s="5">
        <v>1</v>
      </c>
      <c r="Y338" s="5">
        <v>0</v>
      </c>
      <c r="Z338" s="37">
        <v>0</v>
      </c>
      <c r="AA338" s="5">
        <v>0</v>
      </c>
      <c r="AB338" s="5">
        <v>0</v>
      </c>
      <c r="AC338" s="5">
        <v>0</v>
      </c>
      <c r="AD338" s="5">
        <v>0</v>
      </c>
      <c r="AE338" s="10" t="s">
        <v>50</v>
      </c>
      <c r="AF338" s="10" t="s">
        <v>50</v>
      </c>
      <c r="AG338" s="10" t="s">
        <v>229</v>
      </c>
      <c r="AH338" s="10" t="s">
        <v>50</v>
      </c>
      <c r="AI338" s="5">
        <v>3</v>
      </c>
      <c r="AJ338" s="10" t="s">
        <v>1713</v>
      </c>
      <c r="AK338" s="10" t="s">
        <v>50</v>
      </c>
    </row>
    <row r="339" spans="1:37" ht="36.75" customHeight="1" x14ac:dyDescent="0.35">
      <c r="A339" s="5"/>
      <c r="B339" s="5" t="s">
        <v>37</v>
      </c>
      <c r="C339" s="73" t="str">
        <f t="shared" si="5"/>
        <v>Closed</v>
      </c>
      <c r="D339" s="45" t="s">
        <v>2079</v>
      </c>
      <c r="E339" s="54" t="s">
        <v>2080</v>
      </c>
      <c r="F339" s="5" t="s">
        <v>214</v>
      </c>
      <c r="G339" s="10">
        <f>DATE(2007,8,10)</f>
        <v>39304</v>
      </c>
      <c r="H339" s="35">
        <v>1.0972222222222223</v>
      </c>
      <c r="I339" s="5" t="s">
        <v>55</v>
      </c>
      <c r="J339" s="10" t="s">
        <v>2081</v>
      </c>
      <c r="K339" s="5" t="s">
        <v>216</v>
      </c>
      <c r="L339" s="5" t="s">
        <v>2082</v>
      </c>
      <c r="M339" s="5" t="s">
        <v>45</v>
      </c>
      <c r="N339" s="5">
        <v>0</v>
      </c>
      <c r="O339" s="5" t="s">
        <v>46</v>
      </c>
      <c r="P339" s="10" t="s">
        <v>60</v>
      </c>
      <c r="Q339" s="10" t="s">
        <v>415</v>
      </c>
      <c r="R339" s="10" t="s">
        <v>219</v>
      </c>
      <c r="S339" s="5">
        <v>0</v>
      </c>
      <c r="T339" s="37" t="s">
        <v>50</v>
      </c>
      <c r="U339" s="5">
        <v>0</v>
      </c>
      <c r="V339" s="37" t="s">
        <v>50</v>
      </c>
      <c r="W339" s="5">
        <v>0</v>
      </c>
      <c r="X339" s="5">
        <v>0</v>
      </c>
      <c r="Y339" s="5">
        <v>0</v>
      </c>
      <c r="Z339" s="37" t="s">
        <v>50</v>
      </c>
      <c r="AA339" s="5">
        <v>0</v>
      </c>
      <c r="AB339" s="5">
        <v>0</v>
      </c>
      <c r="AC339" s="5">
        <v>0</v>
      </c>
      <c r="AD339" s="5">
        <v>0</v>
      </c>
      <c r="AE339" s="10" t="s">
        <v>50</v>
      </c>
      <c r="AF339" s="10" t="s">
        <v>2083</v>
      </c>
      <c r="AG339" s="10" t="s">
        <v>114</v>
      </c>
      <c r="AH339" s="10" t="s">
        <v>50</v>
      </c>
      <c r="AI339" s="5">
        <v>8</v>
      </c>
      <c r="AJ339" s="10" t="s">
        <v>2084</v>
      </c>
      <c r="AK339" s="10" t="s">
        <v>2085</v>
      </c>
    </row>
    <row r="340" spans="1:37" ht="36.75" customHeight="1" x14ac:dyDescent="0.35">
      <c r="A340" s="5"/>
      <c r="B340" s="5" t="s">
        <v>37</v>
      </c>
      <c r="C340" s="73" t="str">
        <f t="shared" si="5"/>
        <v>Closed</v>
      </c>
      <c r="D340" s="45" t="s">
        <v>2086</v>
      </c>
      <c r="E340" s="54" t="s">
        <v>2087</v>
      </c>
      <c r="F340" s="5" t="s">
        <v>40</v>
      </c>
      <c r="G340" s="10">
        <f>DATE(2007,8,13)</f>
        <v>39307</v>
      </c>
      <c r="H340" s="35">
        <v>1.6354166666666665</v>
      </c>
      <c r="I340" s="5" t="s">
        <v>97</v>
      </c>
      <c r="J340" s="10" t="s">
        <v>2088</v>
      </c>
      <c r="K340" s="5" t="s">
        <v>43</v>
      </c>
      <c r="L340" s="5" t="s">
        <v>2089</v>
      </c>
      <c r="M340" s="5" t="s">
        <v>45</v>
      </c>
      <c r="N340" s="5" t="s">
        <v>80</v>
      </c>
      <c r="O340" s="5" t="s">
        <v>46</v>
      </c>
      <c r="P340" s="10" t="s">
        <v>60</v>
      </c>
      <c r="Q340" s="10" t="s">
        <v>48</v>
      </c>
      <c r="R340" s="10" t="s">
        <v>49</v>
      </c>
      <c r="S340" s="5">
        <v>0</v>
      </c>
      <c r="T340" s="37">
        <v>0</v>
      </c>
      <c r="U340" s="5">
        <v>1</v>
      </c>
      <c r="V340" s="37">
        <v>0</v>
      </c>
      <c r="W340" s="5">
        <v>0</v>
      </c>
      <c r="X340" s="5">
        <v>1</v>
      </c>
      <c r="Y340" s="5">
        <v>0</v>
      </c>
      <c r="Z340" s="37">
        <v>0</v>
      </c>
      <c r="AA340" s="5">
        <v>1</v>
      </c>
      <c r="AB340" s="5">
        <v>0</v>
      </c>
      <c r="AC340" s="5">
        <v>0</v>
      </c>
      <c r="AD340" s="5">
        <v>1</v>
      </c>
      <c r="AE340" s="10" t="s">
        <v>73</v>
      </c>
      <c r="AF340" s="10" t="s">
        <v>2090</v>
      </c>
      <c r="AG340" s="10" t="s">
        <v>64</v>
      </c>
      <c r="AH340" s="10">
        <v>39307</v>
      </c>
      <c r="AI340" s="5">
        <v>4</v>
      </c>
      <c r="AJ340" s="10" t="s">
        <v>2091</v>
      </c>
      <c r="AK340" s="10" t="s">
        <v>50</v>
      </c>
    </row>
    <row r="341" spans="1:37" ht="36.75" customHeight="1" x14ac:dyDescent="0.35">
      <c r="A341" s="5"/>
      <c r="B341" s="5" t="s">
        <v>37</v>
      </c>
      <c r="C341" s="73" t="str">
        <f t="shared" si="5"/>
        <v>Closed</v>
      </c>
      <c r="D341" s="45" t="s">
        <v>2092</v>
      </c>
      <c r="E341" s="54" t="s">
        <v>2093</v>
      </c>
      <c r="F341" s="5" t="s">
        <v>96</v>
      </c>
      <c r="G341" s="10">
        <f>DATE(2007,8,13)</f>
        <v>39307</v>
      </c>
      <c r="H341" s="35">
        <v>1.4347222222222222</v>
      </c>
      <c r="I341" s="5" t="s">
        <v>55</v>
      </c>
      <c r="J341" s="10" t="s">
        <v>2094</v>
      </c>
      <c r="K341" s="5" t="s">
        <v>99</v>
      </c>
      <c r="L341" s="5" t="s">
        <v>2095</v>
      </c>
      <c r="M341" s="5" t="s">
        <v>45</v>
      </c>
      <c r="N341" s="5">
        <v>0</v>
      </c>
      <c r="O341" s="5" t="s">
        <v>59</v>
      </c>
      <c r="P341" s="10" t="s">
        <v>146</v>
      </c>
      <c r="Q341" s="10" t="s">
        <v>101</v>
      </c>
      <c r="R341" s="10" t="s">
        <v>102</v>
      </c>
      <c r="S341" s="5">
        <v>0</v>
      </c>
      <c r="T341" s="37" t="s">
        <v>50</v>
      </c>
      <c r="U341" s="5">
        <v>0</v>
      </c>
      <c r="V341" s="37" t="s">
        <v>50</v>
      </c>
      <c r="W341" s="5">
        <v>0</v>
      </c>
      <c r="X341" s="5">
        <v>0</v>
      </c>
      <c r="Y341" s="5">
        <v>0</v>
      </c>
      <c r="Z341" s="37" t="s">
        <v>50</v>
      </c>
      <c r="AA341" s="5">
        <v>0</v>
      </c>
      <c r="AB341" s="5">
        <v>0</v>
      </c>
      <c r="AC341" s="5">
        <v>0</v>
      </c>
      <c r="AD341" s="5">
        <v>0</v>
      </c>
      <c r="AE341" s="10" t="s">
        <v>50</v>
      </c>
      <c r="AF341" s="10" t="s">
        <v>2096</v>
      </c>
      <c r="AG341" s="10" t="s">
        <v>333</v>
      </c>
      <c r="AH341" s="10" t="s">
        <v>50</v>
      </c>
      <c r="AI341" s="5">
        <v>0</v>
      </c>
      <c r="AJ341" s="10" t="s">
        <v>50</v>
      </c>
      <c r="AK341" s="10" t="s">
        <v>50</v>
      </c>
    </row>
    <row r="342" spans="1:37" ht="36.75" customHeight="1" x14ac:dyDescent="0.35">
      <c r="A342" s="5"/>
      <c r="B342" s="5" t="s">
        <v>37</v>
      </c>
      <c r="C342" s="73" t="str">
        <f t="shared" si="5"/>
        <v>Closed</v>
      </c>
      <c r="D342" s="45" t="s">
        <v>2097</v>
      </c>
      <c r="E342" s="54" t="s">
        <v>2098</v>
      </c>
      <c r="F342" s="5" t="s">
        <v>214</v>
      </c>
      <c r="G342" s="10">
        <f>DATE(2007,8,15)</f>
        <v>39309</v>
      </c>
      <c r="H342" s="35">
        <v>1.6166666666666667</v>
      </c>
      <c r="I342" s="5" t="s">
        <v>97</v>
      </c>
      <c r="J342" s="10" t="s">
        <v>2099</v>
      </c>
      <c r="K342" s="5" t="s">
        <v>216</v>
      </c>
      <c r="L342" s="5" t="s">
        <v>2100</v>
      </c>
      <c r="M342" s="5" t="s">
        <v>45</v>
      </c>
      <c r="N342" s="5">
        <v>0</v>
      </c>
      <c r="O342" s="5" t="s">
        <v>46</v>
      </c>
      <c r="P342" s="10" t="s">
        <v>67</v>
      </c>
      <c r="Q342" s="10" t="s">
        <v>2101</v>
      </c>
      <c r="R342" s="10" t="s">
        <v>2101</v>
      </c>
      <c r="S342" s="5">
        <v>0</v>
      </c>
      <c r="T342" s="37">
        <v>0</v>
      </c>
      <c r="U342" s="5">
        <v>0</v>
      </c>
      <c r="V342" s="37">
        <v>0</v>
      </c>
      <c r="W342" s="5">
        <v>0</v>
      </c>
      <c r="X342" s="5">
        <v>0</v>
      </c>
      <c r="Y342" s="5">
        <v>0</v>
      </c>
      <c r="Z342" s="37">
        <v>1</v>
      </c>
      <c r="AA342" s="5">
        <v>0</v>
      </c>
      <c r="AB342" s="5">
        <v>0</v>
      </c>
      <c r="AC342" s="5">
        <v>0</v>
      </c>
      <c r="AD342" s="5">
        <v>1</v>
      </c>
      <c r="AE342" s="10" t="s">
        <v>50</v>
      </c>
      <c r="AF342" s="10" t="s">
        <v>2102</v>
      </c>
      <c r="AG342" s="10" t="s">
        <v>114</v>
      </c>
      <c r="AH342" s="10" t="s">
        <v>50</v>
      </c>
      <c r="AI342" s="5">
        <v>10</v>
      </c>
      <c r="AJ342" s="10" t="s">
        <v>2103</v>
      </c>
      <c r="AK342" s="10" t="s">
        <v>2104</v>
      </c>
    </row>
    <row r="343" spans="1:37" ht="36.75" customHeight="1" x14ac:dyDescent="0.35">
      <c r="A343" s="5"/>
      <c r="B343" s="5" t="s">
        <v>887</v>
      </c>
      <c r="C343" s="73" t="str">
        <f t="shared" si="5"/>
        <v>Open</v>
      </c>
      <c r="D343" s="45" t="s">
        <v>2105</v>
      </c>
      <c r="E343" s="54" t="s">
        <v>2106</v>
      </c>
      <c r="F343" s="5" t="s">
        <v>575</v>
      </c>
      <c r="G343" s="10">
        <f>DATE(2007,8,17)</f>
        <v>39311</v>
      </c>
      <c r="H343" s="35">
        <v>1.1229166666666668</v>
      </c>
      <c r="I343" s="5" t="s">
        <v>55</v>
      </c>
      <c r="J343" s="10" t="s">
        <v>2107</v>
      </c>
      <c r="K343" s="5" t="s">
        <v>577</v>
      </c>
      <c r="L343" s="5" t="s">
        <v>2108</v>
      </c>
      <c r="M343" s="5" t="s">
        <v>45</v>
      </c>
      <c r="N343" s="5">
        <v>0</v>
      </c>
      <c r="O343" s="5" t="s">
        <v>59</v>
      </c>
      <c r="P343" s="10" t="s">
        <v>60</v>
      </c>
      <c r="Q343" s="10" t="s">
        <v>579</v>
      </c>
      <c r="R343" s="10" t="s">
        <v>580</v>
      </c>
      <c r="S343" s="5">
        <v>0</v>
      </c>
      <c r="T343" s="37" t="s">
        <v>50</v>
      </c>
      <c r="U343" s="5">
        <v>0</v>
      </c>
      <c r="V343" s="37" t="s">
        <v>50</v>
      </c>
      <c r="W343" s="5">
        <v>0</v>
      </c>
      <c r="X343" s="5">
        <v>0</v>
      </c>
      <c r="Y343" s="5">
        <v>0</v>
      </c>
      <c r="Z343" s="37" t="s">
        <v>50</v>
      </c>
      <c r="AA343" s="5">
        <v>0</v>
      </c>
      <c r="AB343" s="5">
        <v>0</v>
      </c>
      <c r="AC343" s="5">
        <v>0</v>
      </c>
      <c r="AD343" s="5">
        <v>0</v>
      </c>
      <c r="AE343" s="10" t="s">
        <v>50</v>
      </c>
      <c r="AF343" s="10" t="s">
        <v>2109</v>
      </c>
      <c r="AG343" s="10" t="s">
        <v>64</v>
      </c>
      <c r="AH343" s="10" t="s">
        <v>50</v>
      </c>
      <c r="AI343" s="5">
        <v>0</v>
      </c>
      <c r="AJ343" s="10" t="s">
        <v>50</v>
      </c>
      <c r="AK343" s="10" t="s">
        <v>50</v>
      </c>
    </row>
    <row r="344" spans="1:37" ht="36.75" customHeight="1" x14ac:dyDescent="0.35">
      <c r="A344" s="5"/>
      <c r="B344" s="5" t="s">
        <v>37</v>
      </c>
      <c r="C344" s="73" t="str">
        <f t="shared" si="5"/>
        <v>Closed</v>
      </c>
      <c r="D344" s="45" t="s">
        <v>2110</v>
      </c>
      <c r="E344" s="54" t="s">
        <v>2111</v>
      </c>
      <c r="F344" s="5" t="s">
        <v>575</v>
      </c>
      <c r="G344" s="10">
        <f>DATE(2007,8,18)</f>
        <v>39312</v>
      </c>
      <c r="H344" s="35">
        <v>1.5923611111111111</v>
      </c>
      <c r="I344" s="5" t="s">
        <v>97</v>
      </c>
      <c r="J344" s="10" t="s">
        <v>2112</v>
      </c>
      <c r="K344" s="5" t="s">
        <v>577</v>
      </c>
      <c r="L344" s="5" t="s">
        <v>2113</v>
      </c>
      <c r="M344" s="5" t="s">
        <v>45</v>
      </c>
      <c r="N344" s="5">
        <v>0</v>
      </c>
      <c r="O344" s="5" t="s">
        <v>46</v>
      </c>
      <c r="P344" s="10" t="s">
        <v>146</v>
      </c>
      <c r="Q344" s="10" t="s">
        <v>579</v>
      </c>
      <c r="R344" s="10" t="s">
        <v>580</v>
      </c>
      <c r="S344" s="5">
        <v>0</v>
      </c>
      <c r="T344" s="37" t="s">
        <v>50</v>
      </c>
      <c r="U344" s="5">
        <v>1</v>
      </c>
      <c r="V344" s="37" t="s">
        <v>50</v>
      </c>
      <c r="W344" s="5">
        <v>0</v>
      </c>
      <c r="X344" s="5">
        <v>1</v>
      </c>
      <c r="Y344" s="5">
        <v>0</v>
      </c>
      <c r="Z344" s="37" t="s">
        <v>50</v>
      </c>
      <c r="AA344" s="5">
        <v>0</v>
      </c>
      <c r="AB344" s="5">
        <v>0</v>
      </c>
      <c r="AC344" s="5">
        <v>0</v>
      </c>
      <c r="AD344" s="5">
        <v>0</v>
      </c>
      <c r="AE344" s="10" t="s">
        <v>50</v>
      </c>
      <c r="AF344" s="10" t="s">
        <v>1845</v>
      </c>
      <c r="AG344" s="10" t="s">
        <v>64</v>
      </c>
      <c r="AH344" s="10" t="s">
        <v>50</v>
      </c>
      <c r="AI344" s="5">
        <v>0</v>
      </c>
      <c r="AJ344" s="10" t="s">
        <v>50</v>
      </c>
      <c r="AK344" s="10" t="s">
        <v>50</v>
      </c>
    </row>
    <row r="345" spans="1:37" ht="36.75" customHeight="1" x14ac:dyDescent="0.35">
      <c r="A345" s="5"/>
      <c r="B345" s="5" t="s">
        <v>37</v>
      </c>
      <c r="C345" s="73" t="str">
        <f t="shared" si="5"/>
        <v>Closed</v>
      </c>
      <c r="D345" s="45" t="s">
        <v>2114</v>
      </c>
      <c r="E345" s="54" t="s">
        <v>2115</v>
      </c>
      <c r="F345" s="5" t="s">
        <v>214</v>
      </c>
      <c r="G345" s="10">
        <f>DATE(2007,8,22)</f>
        <v>39316</v>
      </c>
      <c r="H345" s="35">
        <v>1.6930555555555555</v>
      </c>
      <c r="I345" s="5" t="s">
        <v>67</v>
      </c>
      <c r="J345" s="10" t="s">
        <v>2116</v>
      </c>
      <c r="K345" s="5" t="s">
        <v>216</v>
      </c>
      <c r="L345" s="5" t="s">
        <v>2117</v>
      </c>
      <c r="M345" s="5" t="s">
        <v>45</v>
      </c>
      <c r="N345" s="5">
        <v>0</v>
      </c>
      <c r="O345" s="5" t="s">
        <v>46</v>
      </c>
      <c r="P345" s="10" t="s">
        <v>47</v>
      </c>
      <c r="Q345" s="10" t="s">
        <v>1410</v>
      </c>
      <c r="R345" s="10" t="s">
        <v>219</v>
      </c>
      <c r="S345" s="5">
        <v>0</v>
      </c>
      <c r="T345" s="37" t="s">
        <v>50</v>
      </c>
      <c r="U345" s="5">
        <v>0</v>
      </c>
      <c r="V345" s="37" t="s">
        <v>50</v>
      </c>
      <c r="W345" s="5">
        <v>0</v>
      </c>
      <c r="X345" s="5">
        <v>0</v>
      </c>
      <c r="Y345" s="5">
        <v>0</v>
      </c>
      <c r="Z345" s="37" t="s">
        <v>50</v>
      </c>
      <c r="AA345" s="5">
        <v>0</v>
      </c>
      <c r="AB345" s="5">
        <v>0</v>
      </c>
      <c r="AC345" s="5">
        <v>0</v>
      </c>
      <c r="AD345" s="5">
        <v>0</v>
      </c>
      <c r="AE345" s="10" t="s">
        <v>50</v>
      </c>
      <c r="AF345" s="10" t="s">
        <v>50</v>
      </c>
      <c r="AG345" s="10" t="s">
        <v>114</v>
      </c>
      <c r="AH345" s="10" t="s">
        <v>50</v>
      </c>
      <c r="AI345" s="5">
        <v>9</v>
      </c>
      <c r="AJ345" s="10" t="s">
        <v>2118</v>
      </c>
      <c r="AK345" s="10" t="s">
        <v>2119</v>
      </c>
    </row>
    <row r="346" spans="1:37" ht="36.75" customHeight="1" x14ac:dyDescent="0.35">
      <c r="A346" s="5"/>
      <c r="B346" s="5" t="s">
        <v>37</v>
      </c>
      <c r="C346" s="73" t="str">
        <f t="shared" si="5"/>
        <v>Closed</v>
      </c>
      <c r="D346" s="45" t="s">
        <v>2120</v>
      </c>
      <c r="E346" s="54" t="s">
        <v>2121</v>
      </c>
      <c r="F346" s="5" t="s">
        <v>214</v>
      </c>
      <c r="G346" s="10">
        <f>DATE(2007,8,25)</f>
        <v>39319</v>
      </c>
      <c r="H346" s="35">
        <v>1.5277777777777777</v>
      </c>
      <c r="I346" s="5" t="s">
        <v>97</v>
      </c>
      <c r="J346" s="10" t="s">
        <v>2122</v>
      </c>
      <c r="K346" s="5" t="s">
        <v>216</v>
      </c>
      <c r="L346" s="5" t="s">
        <v>2123</v>
      </c>
      <c r="M346" s="5" t="s">
        <v>45</v>
      </c>
      <c r="N346" s="5">
        <v>0</v>
      </c>
      <c r="O346" s="5" t="s">
        <v>46</v>
      </c>
      <c r="P346" s="10" t="s">
        <v>67</v>
      </c>
      <c r="Q346" s="10" t="s">
        <v>2124</v>
      </c>
      <c r="R346" s="10" t="s">
        <v>2124</v>
      </c>
      <c r="S346" s="5">
        <v>0</v>
      </c>
      <c r="T346" s="37" t="s">
        <v>50</v>
      </c>
      <c r="U346" s="5">
        <v>0</v>
      </c>
      <c r="V346" s="37" t="s">
        <v>50</v>
      </c>
      <c r="W346" s="5">
        <v>0</v>
      </c>
      <c r="X346" s="5">
        <v>0</v>
      </c>
      <c r="Y346" s="5">
        <v>0</v>
      </c>
      <c r="Z346" s="37" t="s">
        <v>50</v>
      </c>
      <c r="AA346" s="5">
        <v>0</v>
      </c>
      <c r="AB346" s="5">
        <v>0</v>
      </c>
      <c r="AC346" s="5">
        <v>0</v>
      </c>
      <c r="AD346" s="5">
        <v>0</v>
      </c>
      <c r="AE346" s="10" t="s">
        <v>50</v>
      </c>
      <c r="AF346" s="10" t="s">
        <v>2125</v>
      </c>
      <c r="AG346" s="10" t="s">
        <v>114</v>
      </c>
      <c r="AH346" s="10" t="s">
        <v>50</v>
      </c>
      <c r="AI346" s="5">
        <v>2</v>
      </c>
      <c r="AJ346" s="10" t="s">
        <v>2126</v>
      </c>
      <c r="AK346" s="10" t="s">
        <v>2127</v>
      </c>
    </row>
    <row r="347" spans="1:37" ht="36.75" customHeight="1" x14ac:dyDescent="0.35">
      <c r="A347" s="5"/>
      <c r="B347" s="5" t="s">
        <v>37</v>
      </c>
      <c r="C347" s="73" t="str">
        <f t="shared" si="5"/>
        <v>Closed</v>
      </c>
      <c r="D347" s="45" t="s">
        <v>2128</v>
      </c>
      <c r="E347" s="54" t="s">
        <v>2129</v>
      </c>
      <c r="F347" s="5" t="s">
        <v>619</v>
      </c>
      <c r="G347" s="10">
        <f>DATE(2007,8,27)</f>
        <v>39321</v>
      </c>
      <c r="H347" s="35">
        <v>1.4076388888888889</v>
      </c>
      <c r="I347" s="5" t="s">
        <v>97</v>
      </c>
      <c r="J347" s="10" t="s">
        <v>2130</v>
      </c>
      <c r="K347" s="5" t="s">
        <v>621</v>
      </c>
      <c r="L347" s="5" t="s">
        <v>2131</v>
      </c>
      <c r="M347" s="5" t="s">
        <v>45</v>
      </c>
      <c r="N347" s="5">
        <v>0</v>
      </c>
      <c r="O347" s="5" t="s">
        <v>67</v>
      </c>
      <c r="P347" s="10" t="s">
        <v>146</v>
      </c>
      <c r="Q347" s="10" t="s">
        <v>623</v>
      </c>
      <c r="R347" s="10" t="s">
        <v>624</v>
      </c>
      <c r="S347" s="5">
        <v>0</v>
      </c>
      <c r="T347" s="37">
        <v>0</v>
      </c>
      <c r="U347" s="5">
        <v>1</v>
      </c>
      <c r="V347" s="37">
        <v>0</v>
      </c>
      <c r="W347" s="5">
        <v>0</v>
      </c>
      <c r="X347" s="5">
        <v>1</v>
      </c>
      <c r="Y347" s="5">
        <v>0</v>
      </c>
      <c r="Z347" s="37">
        <v>0</v>
      </c>
      <c r="AA347" s="5">
        <v>0</v>
      </c>
      <c r="AB347" s="5">
        <v>0</v>
      </c>
      <c r="AC347" s="5">
        <v>0</v>
      </c>
      <c r="AD347" s="5">
        <v>0</v>
      </c>
      <c r="AE347" s="10" t="s">
        <v>50</v>
      </c>
      <c r="AF347" s="10" t="s">
        <v>50</v>
      </c>
      <c r="AG347" s="10" t="s">
        <v>229</v>
      </c>
      <c r="AH347" s="10" t="s">
        <v>50</v>
      </c>
      <c r="AI347" s="5">
        <v>1</v>
      </c>
      <c r="AJ347" s="10" t="s">
        <v>1713</v>
      </c>
      <c r="AK347" s="10" t="s">
        <v>50</v>
      </c>
    </row>
    <row r="348" spans="1:37" ht="36.75" customHeight="1" x14ac:dyDescent="0.35">
      <c r="A348" s="5"/>
      <c r="B348" s="5" t="s">
        <v>37</v>
      </c>
      <c r="C348" s="73" t="str">
        <f t="shared" si="5"/>
        <v>Closed</v>
      </c>
      <c r="D348" s="45" t="s">
        <v>2132</v>
      </c>
      <c r="E348" s="54" t="s">
        <v>2133</v>
      </c>
      <c r="F348" s="5" t="s">
        <v>214</v>
      </c>
      <c r="G348" s="10">
        <f>DATE(2007,8,27)</f>
        <v>39321</v>
      </c>
      <c r="H348" s="35">
        <v>1.4458333333333333</v>
      </c>
      <c r="I348" s="5" t="s">
        <v>67</v>
      </c>
      <c r="J348" s="10" t="s">
        <v>2134</v>
      </c>
      <c r="K348" s="5" t="s">
        <v>216</v>
      </c>
      <c r="L348" s="5" t="s">
        <v>2135</v>
      </c>
      <c r="M348" s="5" t="s">
        <v>45</v>
      </c>
      <c r="N348" s="5">
        <v>0</v>
      </c>
      <c r="O348" s="5" t="s">
        <v>46</v>
      </c>
      <c r="P348" s="10" t="s">
        <v>60</v>
      </c>
      <c r="Q348" s="10" t="s">
        <v>218</v>
      </c>
      <c r="R348" s="10" t="s">
        <v>219</v>
      </c>
      <c r="S348" s="5">
        <v>0</v>
      </c>
      <c r="T348" s="37" t="s">
        <v>50</v>
      </c>
      <c r="U348" s="5">
        <v>0</v>
      </c>
      <c r="V348" s="37" t="s">
        <v>50</v>
      </c>
      <c r="W348" s="5">
        <v>0</v>
      </c>
      <c r="X348" s="5">
        <v>0</v>
      </c>
      <c r="Y348" s="5">
        <v>0</v>
      </c>
      <c r="Z348" s="37" t="s">
        <v>50</v>
      </c>
      <c r="AA348" s="5">
        <v>0</v>
      </c>
      <c r="AB348" s="5">
        <v>0</v>
      </c>
      <c r="AC348" s="5">
        <v>0</v>
      </c>
      <c r="AD348" s="5">
        <v>0</v>
      </c>
      <c r="AE348" s="10" t="s">
        <v>50</v>
      </c>
      <c r="AF348" s="10" t="s">
        <v>50</v>
      </c>
      <c r="AG348" s="10" t="s">
        <v>114</v>
      </c>
      <c r="AH348" s="10" t="s">
        <v>50</v>
      </c>
      <c r="AI348" s="5">
        <v>3</v>
      </c>
      <c r="AJ348" s="10" t="s">
        <v>2136</v>
      </c>
      <c r="AK348" s="10" t="s">
        <v>2137</v>
      </c>
    </row>
    <row r="349" spans="1:37" ht="36.75" customHeight="1" x14ac:dyDescent="0.35">
      <c r="A349" s="5"/>
      <c r="B349" s="5" t="s">
        <v>37</v>
      </c>
      <c r="C349" s="73" t="str">
        <f t="shared" si="5"/>
        <v>Closed</v>
      </c>
      <c r="D349" s="45" t="s">
        <v>2138</v>
      </c>
      <c r="E349" s="54" t="s">
        <v>2139</v>
      </c>
      <c r="F349" s="5" t="s">
        <v>816</v>
      </c>
      <c r="G349" s="10">
        <f>DATE(2007,8,29)</f>
        <v>39323</v>
      </c>
      <c r="H349" s="35">
        <v>1.6062500000000002</v>
      </c>
      <c r="I349" s="5" t="s">
        <v>97</v>
      </c>
      <c r="J349" s="10" t="s">
        <v>2140</v>
      </c>
      <c r="K349" s="5" t="s">
        <v>818</v>
      </c>
      <c r="L349" s="5" t="s">
        <v>2141</v>
      </c>
      <c r="M349" s="5" t="s">
        <v>45</v>
      </c>
      <c r="N349" s="5">
        <v>0</v>
      </c>
      <c r="O349" s="5" t="s">
        <v>46</v>
      </c>
      <c r="P349" s="10" t="s">
        <v>146</v>
      </c>
      <c r="Q349" s="10" t="s">
        <v>2142</v>
      </c>
      <c r="R349" s="10" t="s">
        <v>821</v>
      </c>
      <c r="S349" s="5">
        <v>0</v>
      </c>
      <c r="T349" s="37" t="s">
        <v>50</v>
      </c>
      <c r="U349" s="5">
        <v>0</v>
      </c>
      <c r="V349" s="37" t="s">
        <v>50</v>
      </c>
      <c r="W349" s="5">
        <v>0</v>
      </c>
      <c r="X349" s="5">
        <v>0</v>
      </c>
      <c r="Y349" s="5">
        <v>0</v>
      </c>
      <c r="Z349" s="37" t="s">
        <v>50</v>
      </c>
      <c r="AA349" s="5">
        <v>0</v>
      </c>
      <c r="AB349" s="5">
        <v>0</v>
      </c>
      <c r="AC349" s="5">
        <v>0</v>
      </c>
      <c r="AD349" s="5">
        <v>0</v>
      </c>
      <c r="AE349" s="10" t="s">
        <v>50</v>
      </c>
      <c r="AF349" s="10" t="s">
        <v>2143</v>
      </c>
      <c r="AG349" s="10" t="s">
        <v>114</v>
      </c>
      <c r="AH349" s="10" t="s">
        <v>50</v>
      </c>
      <c r="AI349" s="5">
        <v>1</v>
      </c>
      <c r="AJ349" s="10" t="s">
        <v>50</v>
      </c>
      <c r="AK349" s="10" t="s">
        <v>50</v>
      </c>
    </row>
    <row r="350" spans="1:37" ht="36.75" customHeight="1" x14ac:dyDescent="0.35">
      <c r="A350" s="5"/>
      <c r="B350" s="5" t="s">
        <v>37</v>
      </c>
      <c r="C350" s="73" t="str">
        <f t="shared" si="5"/>
        <v>Closed</v>
      </c>
      <c r="D350" s="45" t="s">
        <v>2144</v>
      </c>
      <c r="E350" s="54" t="s">
        <v>2145</v>
      </c>
      <c r="F350" s="5" t="s">
        <v>214</v>
      </c>
      <c r="G350" s="10">
        <f>DATE(2007,8,29)</f>
        <v>39323</v>
      </c>
      <c r="H350" s="35">
        <v>1.4145833333333333</v>
      </c>
      <c r="I350" s="5" t="s">
        <v>259</v>
      </c>
      <c r="J350" s="10" t="s">
        <v>2146</v>
      </c>
      <c r="K350" s="5" t="s">
        <v>216</v>
      </c>
      <c r="L350" s="5" t="s">
        <v>2147</v>
      </c>
      <c r="M350" s="5" t="s">
        <v>45</v>
      </c>
      <c r="N350" s="5">
        <v>0</v>
      </c>
      <c r="O350" s="5" t="s">
        <v>46</v>
      </c>
      <c r="P350" s="10" t="s">
        <v>146</v>
      </c>
      <c r="Q350" s="10" t="s">
        <v>332</v>
      </c>
      <c r="R350" s="10" t="s">
        <v>219</v>
      </c>
      <c r="S350" s="5">
        <v>0</v>
      </c>
      <c r="T350" s="37">
        <v>0</v>
      </c>
      <c r="U350" s="5">
        <v>0</v>
      </c>
      <c r="V350" s="37">
        <v>0</v>
      </c>
      <c r="W350" s="5">
        <v>0</v>
      </c>
      <c r="X350" s="5">
        <v>0</v>
      </c>
      <c r="Y350" s="5">
        <v>0</v>
      </c>
      <c r="Z350" s="37">
        <v>1</v>
      </c>
      <c r="AA350" s="5">
        <v>0</v>
      </c>
      <c r="AB350" s="5">
        <v>0</v>
      </c>
      <c r="AC350" s="5">
        <v>0</v>
      </c>
      <c r="AD350" s="5">
        <v>1</v>
      </c>
      <c r="AE350" s="10" t="s">
        <v>50</v>
      </c>
      <c r="AF350" s="10" t="s">
        <v>50</v>
      </c>
      <c r="AG350" s="10" t="s">
        <v>114</v>
      </c>
      <c r="AH350" s="10" t="s">
        <v>50</v>
      </c>
      <c r="AI350" s="5">
        <v>6</v>
      </c>
      <c r="AJ350" s="10" t="s">
        <v>2148</v>
      </c>
      <c r="AK350" s="10" t="s">
        <v>2149</v>
      </c>
    </row>
    <row r="351" spans="1:37" ht="36.75" customHeight="1" x14ac:dyDescent="0.35">
      <c r="A351" s="5"/>
      <c r="B351" s="5" t="s">
        <v>37</v>
      </c>
      <c r="C351" s="73" t="str">
        <f t="shared" si="5"/>
        <v>Closed</v>
      </c>
      <c r="D351" s="45" t="s">
        <v>2150</v>
      </c>
      <c r="E351" s="54" t="s">
        <v>2151</v>
      </c>
      <c r="F351" s="5" t="s">
        <v>214</v>
      </c>
      <c r="G351" s="10">
        <f>DATE(2007,8,29)</f>
        <v>39323</v>
      </c>
      <c r="H351" s="35">
        <v>1.5395833333333333</v>
      </c>
      <c r="I351" s="5" t="s">
        <v>67</v>
      </c>
      <c r="J351" s="10" t="s">
        <v>2152</v>
      </c>
      <c r="K351" s="5" t="s">
        <v>216</v>
      </c>
      <c r="L351" s="5" t="s">
        <v>2153</v>
      </c>
      <c r="M351" s="5" t="s">
        <v>45</v>
      </c>
      <c r="N351" s="5">
        <v>0</v>
      </c>
      <c r="O351" s="5" t="s">
        <v>46</v>
      </c>
      <c r="P351" s="10" t="s">
        <v>146</v>
      </c>
      <c r="Q351" s="10" t="s">
        <v>2154</v>
      </c>
      <c r="R351" s="10" t="s">
        <v>219</v>
      </c>
      <c r="S351" s="5">
        <v>0</v>
      </c>
      <c r="T351" s="37" t="s">
        <v>50</v>
      </c>
      <c r="U351" s="5">
        <v>0</v>
      </c>
      <c r="V351" s="37" t="s">
        <v>50</v>
      </c>
      <c r="W351" s="5">
        <v>0</v>
      </c>
      <c r="X351" s="5">
        <v>0</v>
      </c>
      <c r="Y351" s="5">
        <v>0</v>
      </c>
      <c r="Z351" s="37" t="s">
        <v>50</v>
      </c>
      <c r="AA351" s="5">
        <v>0</v>
      </c>
      <c r="AB351" s="5">
        <v>0</v>
      </c>
      <c r="AC351" s="5">
        <v>0</v>
      </c>
      <c r="AD351" s="5">
        <v>0</v>
      </c>
      <c r="AE351" s="10" t="s">
        <v>50</v>
      </c>
      <c r="AF351" s="10" t="s">
        <v>50</v>
      </c>
      <c r="AG351" s="10" t="s">
        <v>114</v>
      </c>
      <c r="AH351" s="10" t="s">
        <v>50</v>
      </c>
      <c r="AI351" s="5">
        <v>7</v>
      </c>
      <c r="AJ351" s="10" t="s">
        <v>2155</v>
      </c>
      <c r="AK351" s="10" t="s">
        <v>2156</v>
      </c>
    </row>
    <row r="352" spans="1:37" ht="36.75" customHeight="1" x14ac:dyDescent="0.35">
      <c r="A352" s="5"/>
      <c r="B352" s="5" t="s">
        <v>37</v>
      </c>
      <c r="C352" s="73" t="str">
        <f t="shared" si="5"/>
        <v>Closed</v>
      </c>
      <c r="D352" s="45" t="s">
        <v>2157</v>
      </c>
      <c r="E352" s="54" t="s">
        <v>2158</v>
      </c>
      <c r="F352" s="5" t="s">
        <v>178</v>
      </c>
      <c r="G352" s="10">
        <f>DATE(2007,8,30)</f>
        <v>39324</v>
      </c>
      <c r="H352" s="35">
        <v>1.7368055555555557</v>
      </c>
      <c r="I352" s="5" t="s">
        <v>55</v>
      </c>
      <c r="J352" s="10" t="s">
        <v>2159</v>
      </c>
      <c r="K352" s="5" t="s">
        <v>181</v>
      </c>
      <c r="L352" s="5" t="s">
        <v>2160</v>
      </c>
      <c r="M352" s="5" t="s">
        <v>45</v>
      </c>
      <c r="N352" s="5">
        <v>0</v>
      </c>
      <c r="O352" s="5" t="s">
        <v>46</v>
      </c>
      <c r="P352" s="10" t="s">
        <v>146</v>
      </c>
      <c r="Q352" s="10" t="s">
        <v>183</v>
      </c>
      <c r="R352" s="10" t="s">
        <v>184</v>
      </c>
      <c r="S352" s="5">
        <v>0</v>
      </c>
      <c r="T352" s="37" t="s">
        <v>50</v>
      </c>
      <c r="U352" s="5">
        <v>0</v>
      </c>
      <c r="V352" s="37" t="s">
        <v>50</v>
      </c>
      <c r="W352" s="5">
        <v>0</v>
      </c>
      <c r="X352" s="5">
        <v>0</v>
      </c>
      <c r="Y352" s="5">
        <v>0</v>
      </c>
      <c r="Z352" s="37" t="s">
        <v>50</v>
      </c>
      <c r="AA352" s="5">
        <v>0</v>
      </c>
      <c r="AB352" s="5">
        <v>0</v>
      </c>
      <c r="AC352" s="5">
        <v>0</v>
      </c>
      <c r="AD352" s="5">
        <v>0</v>
      </c>
      <c r="AE352" s="10" t="s">
        <v>50</v>
      </c>
      <c r="AF352" s="10" t="s">
        <v>2161</v>
      </c>
      <c r="AG352" s="10" t="s">
        <v>114</v>
      </c>
      <c r="AH352" s="10" t="s">
        <v>50</v>
      </c>
      <c r="AI352" s="5">
        <v>5</v>
      </c>
      <c r="AJ352" s="10" t="s">
        <v>2162</v>
      </c>
      <c r="AK352" s="10" t="s">
        <v>2163</v>
      </c>
    </row>
    <row r="353" spans="1:37" ht="36.75" customHeight="1" x14ac:dyDescent="0.35">
      <c r="A353" s="5"/>
      <c r="B353" s="5" t="s">
        <v>37</v>
      </c>
      <c r="C353" s="73" t="str">
        <f t="shared" si="5"/>
        <v>Closed</v>
      </c>
      <c r="D353" s="45" t="s">
        <v>2164</v>
      </c>
      <c r="E353" s="54" t="s">
        <v>2165</v>
      </c>
      <c r="F353" s="5" t="s">
        <v>404</v>
      </c>
      <c r="G353" s="10">
        <f>DATE(2007,9,1)</f>
        <v>39326</v>
      </c>
      <c r="H353" s="35">
        <v>1.3402777777777777</v>
      </c>
      <c r="I353" s="5" t="s">
        <v>179</v>
      </c>
      <c r="J353" s="10" t="s">
        <v>2166</v>
      </c>
      <c r="K353" s="5" t="s">
        <v>406</v>
      </c>
      <c r="L353" s="5" t="s">
        <v>2167</v>
      </c>
      <c r="M353" s="5" t="s">
        <v>45</v>
      </c>
      <c r="N353" s="5">
        <v>0</v>
      </c>
      <c r="O353" s="5" t="s">
        <v>46</v>
      </c>
      <c r="P353" s="10" t="s">
        <v>146</v>
      </c>
      <c r="Q353" s="10" t="s">
        <v>408</v>
      </c>
      <c r="R353" s="10" t="s">
        <v>408</v>
      </c>
      <c r="S353" s="5">
        <v>0</v>
      </c>
      <c r="T353" s="37">
        <v>0</v>
      </c>
      <c r="U353" s="5">
        <v>0</v>
      </c>
      <c r="V353" s="37">
        <v>0</v>
      </c>
      <c r="W353" s="5">
        <v>0</v>
      </c>
      <c r="X353" s="5">
        <v>0</v>
      </c>
      <c r="Y353" s="5">
        <v>7</v>
      </c>
      <c r="Z353" s="37">
        <v>0</v>
      </c>
      <c r="AA353" s="5">
        <v>0</v>
      </c>
      <c r="AB353" s="5">
        <v>0</v>
      </c>
      <c r="AC353" s="5">
        <v>0</v>
      </c>
      <c r="AD353" s="5">
        <v>7</v>
      </c>
      <c r="AE353" s="10" t="s">
        <v>50</v>
      </c>
      <c r="AF353" s="10" t="s">
        <v>2168</v>
      </c>
      <c r="AG353" s="10" t="s">
        <v>64</v>
      </c>
      <c r="AH353" s="10" t="s">
        <v>50</v>
      </c>
      <c r="AI353" s="5">
        <v>1</v>
      </c>
      <c r="AJ353" s="10" t="s">
        <v>50</v>
      </c>
      <c r="AK353" s="10" t="s">
        <v>50</v>
      </c>
    </row>
    <row r="354" spans="1:37" ht="36.75" customHeight="1" x14ac:dyDescent="0.35">
      <c r="A354" s="5"/>
      <c r="B354" s="5" t="s">
        <v>37</v>
      </c>
      <c r="C354" s="73" t="str">
        <f t="shared" si="5"/>
        <v>Closed</v>
      </c>
      <c r="D354" s="45" t="s">
        <v>2169</v>
      </c>
      <c r="E354" s="54" t="s">
        <v>2170</v>
      </c>
      <c r="F354" s="5" t="s">
        <v>404</v>
      </c>
      <c r="G354" s="10">
        <f>DATE(2007,9,1)</f>
        <v>39326</v>
      </c>
      <c r="H354" s="35">
        <v>1.3416666666666666</v>
      </c>
      <c r="I354" s="5" t="s">
        <v>67</v>
      </c>
      <c r="J354" s="10" t="s">
        <v>2171</v>
      </c>
      <c r="K354" s="5" t="s">
        <v>406</v>
      </c>
      <c r="L354" s="5" t="s">
        <v>2172</v>
      </c>
      <c r="M354" s="5" t="s">
        <v>45</v>
      </c>
      <c r="N354" s="5">
        <v>0</v>
      </c>
      <c r="O354" s="5" t="s">
        <v>46</v>
      </c>
      <c r="P354" s="10" t="s">
        <v>146</v>
      </c>
      <c r="Q354" s="10" t="s">
        <v>408</v>
      </c>
      <c r="R354" s="10" t="s">
        <v>408</v>
      </c>
      <c r="S354" s="5">
        <v>0</v>
      </c>
      <c r="T354" s="37" t="s">
        <v>50</v>
      </c>
      <c r="U354" s="5">
        <v>0</v>
      </c>
      <c r="V354" s="37" t="s">
        <v>50</v>
      </c>
      <c r="W354" s="5">
        <v>0</v>
      </c>
      <c r="X354" s="5">
        <v>0</v>
      </c>
      <c r="Y354" s="5">
        <v>0</v>
      </c>
      <c r="Z354" s="37" t="s">
        <v>50</v>
      </c>
      <c r="AA354" s="5">
        <v>0</v>
      </c>
      <c r="AB354" s="5">
        <v>0</v>
      </c>
      <c r="AC354" s="5">
        <v>0</v>
      </c>
      <c r="AD354" s="5">
        <v>0</v>
      </c>
      <c r="AE354" s="10" t="s">
        <v>50</v>
      </c>
      <c r="AF354" s="10" t="s">
        <v>2173</v>
      </c>
      <c r="AG354" s="10" t="s">
        <v>114</v>
      </c>
      <c r="AH354" s="10" t="s">
        <v>50</v>
      </c>
      <c r="AI354" s="5">
        <v>0</v>
      </c>
      <c r="AJ354" s="10" t="s">
        <v>50</v>
      </c>
      <c r="AK354" s="10" t="s">
        <v>50</v>
      </c>
    </row>
    <row r="355" spans="1:37" ht="36.75" customHeight="1" x14ac:dyDescent="0.35">
      <c r="A355" s="5"/>
      <c r="B355" s="5" t="s">
        <v>37</v>
      </c>
      <c r="C355" s="73" t="str">
        <f t="shared" si="5"/>
        <v>Closed</v>
      </c>
      <c r="D355" s="45" t="s">
        <v>2174</v>
      </c>
      <c r="E355" s="54" t="s">
        <v>2175</v>
      </c>
      <c r="F355" s="5" t="s">
        <v>1751</v>
      </c>
      <c r="G355" s="10">
        <f>DATE(2007,9,2)</f>
        <v>39327</v>
      </c>
      <c r="H355" s="35">
        <v>1.0118055555555556</v>
      </c>
      <c r="I355" s="5" t="s">
        <v>55</v>
      </c>
      <c r="J355" s="10" t="s">
        <v>2176</v>
      </c>
      <c r="K355" s="5" t="s">
        <v>1753</v>
      </c>
      <c r="L355" s="5" t="s">
        <v>2177</v>
      </c>
      <c r="M355" s="5" t="s">
        <v>45</v>
      </c>
      <c r="N355" s="5" t="s">
        <v>70</v>
      </c>
      <c r="O355" s="5" t="s">
        <v>59</v>
      </c>
      <c r="P355" s="10" t="s">
        <v>60</v>
      </c>
      <c r="Q355" s="10" t="s">
        <v>1755</v>
      </c>
      <c r="R355" s="10" t="s">
        <v>1756</v>
      </c>
      <c r="S355" s="5">
        <v>0</v>
      </c>
      <c r="T355" s="37">
        <v>0</v>
      </c>
      <c r="U355" s="5">
        <v>0</v>
      </c>
      <c r="V355" s="37">
        <v>0</v>
      </c>
      <c r="W355" s="5">
        <v>0</v>
      </c>
      <c r="X355" s="5">
        <v>0</v>
      </c>
      <c r="Y355" s="5">
        <v>0</v>
      </c>
      <c r="Z355" s="37">
        <v>0</v>
      </c>
      <c r="AA355" s="5">
        <v>0</v>
      </c>
      <c r="AB355" s="5">
        <v>0</v>
      </c>
      <c r="AC355" s="5">
        <v>0</v>
      </c>
      <c r="AD355" s="5">
        <v>0</v>
      </c>
      <c r="AE355" s="10" t="s">
        <v>375</v>
      </c>
      <c r="AF355" s="10" t="s">
        <v>2178</v>
      </c>
      <c r="AG355" s="10" t="s">
        <v>114</v>
      </c>
      <c r="AH355" s="10">
        <v>39331</v>
      </c>
      <c r="AI355" s="5">
        <v>4</v>
      </c>
      <c r="AJ355" s="10" t="s">
        <v>2179</v>
      </c>
      <c r="AK355" s="10" t="s">
        <v>2180</v>
      </c>
    </row>
    <row r="356" spans="1:37" ht="36.75" customHeight="1" x14ac:dyDescent="0.35">
      <c r="A356" s="5"/>
      <c r="B356" s="5" t="s">
        <v>37</v>
      </c>
      <c r="C356" s="73" t="str">
        <f t="shared" si="5"/>
        <v>Closed</v>
      </c>
      <c r="D356" s="45" t="s">
        <v>2181</v>
      </c>
      <c r="E356" s="54" t="s">
        <v>2182</v>
      </c>
      <c r="F356" s="5" t="s">
        <v>214</v>
      </c>
      <c r="G356" s="10">
        <f>DATE(2007,9,3)</f>
        <v>39328</v>
      </c>
      <c r="H356" s="35">
        <v>1.3583333333333334</v>
      </c>
      <c r="I356" s="5" t="s">
        <v>55</v>
      </c>
      <c r="J356" s="10" t="s">
        <v>2183</v>
      </c>
      <c r="K356" s="5" t="s">
        <v>216</v>
      </c>
      <c r="L356" s="5" t="s">
        <v>2184</v>
      </c>
      <c r="M356" s="5" t="s">
        <v>45</v>
      </c>
      <c r="N356" s="5">
        <v>0</v>
      </c>
      <c r="O356" s="5" t="s">
        <v>46</v>
      </c>
      <c r="P356" s="10" t="s">
        <v>146</v>
      </c>
      <c r="Q356" s="10" t="s">
        <v>340</v>
      </c>
      <c r="R356" s="10" t="s">
        <v>219</v>
      </c>
      <c r="S356" s="5">
        <v>0</v>
      </c>
      <c r="T356" s="37" t="s">
        <v>50</v>
      </c>
      <c r="U356" s="5">
        <v>0</v>
      </c>
      <c r="V356" s="37" t="s">
        <v>50</v>
      </c>
      <c r="W356" s="5">
        <v>0</v>
      </c>
      <c r="X356" s="5">
        <v>0</v>
      </c>
      <c r="Y356" s="5">
        <v>0</v>
      </c>
      <c r="Z356" s="37" t="s">
        <v>50</v>
      </c>
      <c r="AA356" s="5">
        <v>0</v>
      </c>
      <c r="AB356" s="5">
        <v>0</v>
      </c>
      <c r="AC356" s="5">
        <v>0</v>
      </c>
      <c r="AD356" s="5">
        <v>0</v>
      </c>
      <c r="AE356" s="10" t="s">
        <v>50</v>
      </c>
      <c r="AF356" s="10" t="s">
        <v>2185</v>
      </c>
      <c r="AG356" s="10" t="s">
        <v>114</v>
      </c>
      <c r="AH356" s="10" t="s">
        <v>50</v>
      </c>
      <c r="AI356" s="5">
        <v>4</v>
      </c>
      <c r="AJ356" s="10" t="s">
        <v>2186</v>
      </c>
      <c r="AK356" s="10" t="s">
        <v>2187</v>
      </c>
    </row>
    <row r="357" spans="1:37" ht="36.75" customHeight="1" x14ac:dyDescent="0.35">
      <c r="A357" s="5"/>
      <c r="B357" s="5" t="s">
        <v>37</v>
      </c>
      <c r="C357" s="73" t="str">
        <f t="shared" si="5"/>
        <v>Closed</v>
      </c>
      <c r="D357" s="45" t="s">
        <v>2188</v>
      </c>
      <c r="E357" s="54" t="s">
        <v>2189</v>
      </c>
      <c r="F357" s="5" t="s">
        <v>105</v>
      </c>
      <c r="G357" s="10">
        <f>DATE(2007,9,5)</f>
        <v>39330</v>
      </c>
      <c r="H357" s="35">
        <v>1.2437499999999999</v>
      </c>
      <c r="I357" s="5" t="s">
        <v>137</v>
      </c>
      <c r="J357" s="10" t="s">
        <v>2190</v>
      </c>
      <c r="K357" s="5" t="s">
        <v>108</v>
      </c>
      <c r="L357" s="5" t="s">
        <v>2191</v>
      </c>
      <c r="M357" s="5" t="s">
        <v>45</v>
      </c>
      <c r="N357" s="5">
        <v>0</v>
      </c>
      <c r="O357" s="5" t="s">
        <v>46</v>
      </c>
      <c r="P357" s="10" t="s">
        <v>1211</v>
      </c>
      <c r="Q357" s="10" t="s">
        <v>2192</v>
      </c>
      <c r="R357" s="10" t="s">
        <v>148</v>
      </c>
      <c r="S357" s="5">
        <v>0</v>
      </c>
      <c r="T357" s="37" t="s">
        <v>50</v>
      </c>
      <c r="U357" s="5">
        <v>0</v>
      </c>
      <c r="V357" s="37" t="s">
        <v>50</v>
      </c>
      <c r="W357" s="5">
        <v>0</v>
      </c>
      <c r="X357" s="5">
        <v>0</v>
      </c>
      <c r="Y357" s="5">
        <v>0</v>
      </c>
      <c r="Z357" s="37" t="s">
        <v>50</v>
      </c>
      <c r="AA357" s="5">
        <v>0</v>
      </c>
      <c r="AB357" s="5">
        <v>0</v>
      </c>
      <c r="AC357" s="5">
        <v>0</v>
      </c>
      <c r="AD357" s="5">
        <v>0</v>
      </c>
      <c r="AE357" s="10" t="s">
        <v>50</v>
      </c>
      <c r="AF357" s="10" t="s">
        <v>2193</v>
      </c>
      <c r="AG357" s="10" t="s">
        <v>114</v>
      </c>
      <c r="AH357" s="10" t="s">
        <v>50</v>
      </c>
      <c r="AI357" s="5">
        <v>1</v>
      </c>
      <c r="AJ357" s="10" t="s">
        <v>2194</v>
      </c>
      <c r="AK357" s="10" t="s">
        <v>2195</v>
      </c>
    </row>
    <row r="358" spans="1:37" ht="36.75" customHeight="1" x14ac:dyDescent="0.35">
      <c r="A358" s="5"/>
      <c r="B358" s="5" t="s">
        <v>37</v>
      </c>
      <c r="C358" s="73" t="str">
        <f t="shared" si="5"/>
        <v>Closed</v>
      </c>
      <c r="D358" s="45" t="s">
        <v>2196</v>
      </c>
      <c r="E358" s="54" t="s">
        <v>2197</v>
      </c>
      <c r="F358" s="5" t="s">
        <v>816</v>
      </c>
      <c r="G358" s="10">
        <f>DATE(2007,9,7)</f>
        <v>39332</v>
      </c>
      <c r="H358" s="35">
        <v>1.5437500000000002</v>
      </c>
      <c r="I358" s="5" t="s">
        <v>55</v>
      </c>
      <c r="J358" s="10" t="s">
        <v>2198</v>
      </c>
      <c r="K358" s="5" t="s">
        <v>818</v>
      </c>
      <c r="L358" s="5" t="s">
        <v>2199</v>
      </c>
      <c r="M358" s="5" t="s">
        <v>45</v>
      </c>
      <c r="N358" s="5">
        <v>0</v>
      </c>
      <c r="O358" s="5" t="s">
        <v>59</v>
      </c>
      <c r="P358" s="10" t="s">
        <v>146</v>
      </c>
      <c r="Q358" s="10" t="s">
        <v>2142</v>
      </c>
      <c r="R358" s="10" t="s">
        <v>821</v>
      </c>
      <c r="S358" s="5">
        <v>0</v>
      </c>
      <c r="T358" s="37" t="s">
        <v>50</v>
      </c>
      <c r="U358" s="5">
        <v>0</v>
      </c>
      <c r="V358" s="37" t="s">
        <v>50</v>
      </c>
      <c r="W358" s="5">
        <v>0</v>
      </c>
      <c r="X358" s="5">
        <v>0</v>
      </c>
      <c r="Y358" s="5">
        <v>0</v>
      </c>
      <c r="Z358" s="37" t="s">
        <v>50</v>
      </c>
      <c r="AA358" s="5">
        <v>0</v>
      </c>
      <c r="AB358" s="5">
        <v>0</v>
      </c>
      <c r="AC358" s="5">
        <v>0</v>
      </c>
      <c r="AD358" s="5">
        <v>0</v>
      </c>
      <c r="AE358" s="10" t="s">
        <v>50</v>
      </c>
      <c r="AF358" s="10" t="s">
        <v>2200</v>
      </c>
      <c r="AG358" s="10" t="s">
        <v>333</v>
      </c>
      <c r="AH358" s="10" t="s">
        <v>50</v>
      </c>
      <c r="AI358" s="5">
        <v>1</v>
      </c>
      <c r="AJ358" s="10" t="s">
        <v>50</v>
      </c>
      <c r="AK358" s="10" t="s">
        <v>50</v>
      </c>
    </row>
    <row r="359" spans="1:37" ht="36.75" customHeight="1" x14ac:dyDescent="0.35">
      <c r="A359" s="5"/>
      <c r="B359" s="5" t="s">
        <v>37</v>
      </c>
      <c r="C359" s="73" t="str">
        <f t="shared" si="5"/>
        <v>Closed</v>
      </c>
      <c r="D359" s="45" t="s">
        <v>2201</v>
      </c>
      <c r="E359" s="54" t="s">
        <v>2202</v>
      </c>
      <c r="F359" s="5" t="s">
        <v>1730</v>
      </c>
      <c r="G359" s="10">
        <f>DATE(2007,9,8)</f>
        <v>39333</v>
      </c>
      <c r="H359" s="35">
        <v>1.3694444444444445</v>
      </c>
      <c r="I359" s="5" t="s">
        <v>97</v>
      </c>
      <c r="J359" s="10" t="s">
        <v>2203</v>
      </c>
      <c r="K359" s="5" t="s">
        <v>1732</v>
      </c>
      <c r="L359" s="5" t="s">
        <v>2204</v>
      </c>
      <c r="M359" s="5" t="s">
        <v>45</v>
      </c>
      <c r="N359" s="5">
        <v>0</v>
      </c>
      <c r="O359" s="5" t="s">
        <v>46</v>
      </c>
      <c r="P359" s="10" t="s">
        <v>67</v>
      </c>
      <c r="Q359" s="10" t="s">
        <v>2205</v>
      </c>
      <c r="R359" s="10" t="s">
        <v>1963</v>
      </c>
      <c r="S359" s="5">
        <v>0</v>
      </c>
      <c r="T359" s="37">
        <v>0</v>
      </c>
      <c r="U359" s="5">
        <v>0</v>
      </c>
      <c r="V359" s="37">
        <v>0</v>
      </c>
      <c r="W359" s="5">
        <v>0</v>
      </c>
      <c r="X359" s="5">
        <v>0</v>
      </c>
      <c r="Y359" s="5">
        <v>0</v>
      </c>
      <c r="Z359" s="37">
        <v>1</v>
      </c>
      <c r="AA359" s="5">
        <v>1</v>
      </c>
      <c r="AB359" s="5">
        <v>0</v>
      </c>
      <c r="AC359" s="5">
        <v>0</v>
      </c>
      <c r="AD359" s="5">
        <v>2</v>
      </c>
      <c r="AE359" s="10" t="s">
        <v>50</v>
      </c>
      <c r="AF359" s="10"/>
      <c r="AG359" s="10" t="s">
        <v>229</v>
      </c>
      <c r="AH359" s="10" t="s">
        <v>50</v>
      </c>
      <c r="AI359" s="5">
        <v>3</v>
      </c>
      <c r="AJ359" s="10" t="s">
        <v>2206</v>
      </c>
      <c r="AK359" s="10" t="s">
        <v>50</v>
      </c>
    </row>
    <row r="360" spans="1:37" ht="36.75" customHeight="1" x14ac:dyDescent="0.35">
      <c r="A360" s="5"/>
      <c r="B360" s="5" t="s">
        <v>37</v>
      </c>
      <c r="C360" s="73" t="str">
        <f t="shared" si="5"/>
        <v>Closed</v>
      </c>
      <c r="D360" s="45" t="s">
        <v>2207</v>
      </c>
      <c r="E360" s="54" t="s">
        <v>2208</v>
      </c>
      <c r="F360" s="5" t="s">
        <v>178</v>
      </c>
      <c r="G360" s="10">
        <f>DATE(2007,9,9)</f>
        <v>39334</v>
      </c>
      <c r="H360" s="35">
        <v>1.1513888888888888</v>
      </c>
      <c r="I360" s="5" t="s">
        <v>55</v>
      </c>
      <c r="J360" s="10" t="s">
        <v>2209</v>
      </c>
      <c r="K360" s="5" t="s">
        <v>181</v>
      </c>
      <c r="L360" s="5" t="s">
        <v>2210</v>
      </c>
      <c r="M360" s="5" t="s">
        <v>45</v>
      </c>
      <c r="N360" s="5">
        <v>0</v>
      </c>
      <c r="O360" s="5" t="s">
        <v>59</v>
      </c>
      <c r="P360" s="10" t="s">
        <v>60</v>
      </c>
      <c r="Q360" s="10" t="s">
        <v>1697</v>
      </c>
      <c r="R360" s="10" t="s">
        <v>184</v>
      </c>
      <c r="S360" s="5">
        <v>0</v>
      </c>
      <c r="T360" s="37" t="s">
        <v>50</v>
      </c>
      <c r="U360" s="5">
        <v>0</v>
      </c>
      <c r="V360" s="37" t="s">
        <v>50</v>
      </c>
      <c r="W360" s="5">
        <v>0</v>
      </c>
      <c r="X360" s="5">
        <v>0</v>
      </c>
      <c r="Y360" s="5">
        <v>0</v>
      </c>
      <c r="Z360" s="37" t="s">
        <v>50</v>
      </c>
      <c r="AA360" s="5">
        <v>0</v>
      </c>
      <c r="AB360" s="5">
        <v>0</v>
      </c>
      <c r="AC360" s="5">
        <v>0</v>
      </c>
      <c r="AD360" s="5">
        <v>0</v>
      </c>
      <c r="AE360" s="10" t="s">
        <v>50</v>
      </c>
      <c r="AF360" s="10"/>
      <c r="AG360" s="10" t="s">
        <v>333</v>
      </c>
      <c r="AH360" s="10" t="s">
        <v>50</v>
      </c>
      <c r="AI360" s="5">
        <v>6</v>
      </c>
      <c r="AJ360" s="10" t="s">
        <v>2211</v>
      </c>
      <c r="AK360" s="10" t="s">
        <v>2212</v>
      </c>
    </row>
    <row r="361" spans="1:37" ht="36.75" customHeight="1" x14ac:dyDescent="0.35">
      <c r="A361" s="5"/>
      <c r="B361" s="5" t="s">
        <v>37</v>
      </c>
      <c r="C361" s="73" t="str">
        <f t="shared" si="5"/>
        <v>Closed</v>
      </c>
      <c r="D361" s="45" t="s">
        <v>2213</v>
      </c>
      <c r="E361" s="54" t="s">
        <v>2214</v>
      </c>
      <c r="F361" s="5" t="s">
        <v>404</v>
      </c>
      <c r="G361" s="10">
        <f>DATE(2007,9,10)</f>
        <v>39335</v>
      </c>
      <c r="H361" s="35">
        <v>1.6083333333333334</v>
      </c>
      <c r="I361" s="5" t="s">
        <v>67</v>
      </c>
      <c r="J361" s="10" t="s">
        <v>2215</v>
      </c>
      <c r="K361" s="5" t="s">
        <v>406</v>
      </c>
      <c r="L361" s="5" t="s">
        <v>2216</v>
      </c>
      <c r="M361" s="5" t="s">
        <v>45</v>
      </c>
      <c r="N361" s="5">
        <v>0</v>
      </c>
      <c r="O361" s="5" t="s">
        <v>59</v>
      </c>
      <c r="P361" s="10" t="s">
        <v>146</v>
      </c>
      <c r="Q361" s="10" t="s">
        <v>971</v>
      </c>
      <c r="R361" s="10" t="s">
        <v>971</v>
      </c>
      <c r="S361" s="5">
        <v>0</v>
      </c>
      <c r="T361" s="37" t="s">
        <v>50</v>
      </c>
      <c r="U361" s="5">
        <v>0</v>
      </c>
      <c r="V361" s="37" t="s">
        <v>50</v>
      </c>
      <c r="W361" s="5">
        <v>0</v>
      </c>
      <c r="X361" s="5">
        <v>0</v>
      </c>
      <c r="Y361" s="5">
        <v>0</v>
      </c>
      <c r="Z361" s="37" t="s">
        <v>50</v>
      </c>
      <c r="AA361" s="5">
        <v>0</v>
      </c>
      <c r="AB361" s="5">
        <v>0</v>
      </c>
      <c r="AC361" s="5">
        <v>0</v>
      </c>
      <c r="AD361" s="5">
        <v>0</v>
      </c>
      <c r="AE361" s="10" t="s">
        <v>50</v>
      </c>
      <c r="AF361" s="10"/>
      <c r="AG361" s="10" t="s">
        <v>855</v>
      </c>
      <c r="AH361" s="10" t="s">
        <v>50</v>
      </c>
      <c r="AI361" s="5">
        <v>0</v>
      </c>
      <c r="AJ361" s="10" t="s">
        <v>50</v>
      </c>
      <c r="AK361" s="10" t="s">
        <v>2217</v>
      </c>
    </row>
    <row r="362" spans="1:37" ht="36.75" customHeight="1" x14ac:dyDescent="0.35">
      <c r="A362" s="5"/>
      <c r="B362" s="5" t="s">
        <v>37</v>
      </c>
      <c r="C362" s="73" t="str">
        <f t="shared" si="5"/>
        <v>Closed</v>
      </c>
      <c r="D362" s="45" t="s">
        <v>2218</v>
      </c>
      <c r="E362" s="54" t="s">
        <v>2219</v>
      </c>
      <c r="F362" s="5" t="s">
        <v>404</v>
      </c>
      <c r="G362" s="10">
        <f>DATE(2007,9,20)</f>
        <v>39345</v>
      </c>
      <c r="H362" s="35">
        <v>1.1965277777777779</v>
      </c>
      <c r="I362" s="5" t="s">
        <v>137</v>
      </c>
      <c r="J362" s="10" t="s">
        <v>2220</v>
      </c>
      <c r="K362" s="5" t="s">
        <v>406</v>
      </c>
      <c r="L362" s="5" t="s">
        <v>2221</v>
      </c>
      <c r="M362" s="5" t="s">
        <v>45</v>
      </c>
      <c r="N362" s="5">
        <v>0</v>
      </c>
      <c r="O362" s="5" t="s">
        <v>46</v>
      </c>
      <c r="P362" s="10" t="s">
        <v>60</v>
      </c>
      <c r="Q362" s="10" t="s">
        <v>971</v>
      </c>
      <c r="R362" s="10" t="s">
        <v>971</v>
      </c>
      <c r="S362" s="5">
        <v>0</v>
      </c>
      <c r="T362" s="37" t="s">
        <v>50</v>
      </c>
      <c r="U362" s="5">
        <v>0</v>
      </c>
      <c r="V362" s="37" t="s">
        <v>50</v>
      </c>
      <c r="W362" s="5">
        <v>0</v>
      </c>
      <c r="X362" s="5">
        <v>0</v>
      </c>
      <c r="Y362" s="5">
        <v>0</v>
      </c>
      <c r="Z362" s="37" t="s">
        <v>50</v>
      </c>
      <c r="AA362" s="5">
        <v>0</v>
      </c>
      <c r="AB362" s="5">
        <v>0</v>
      </c>
      <c r="AC362" s="5">
        <v>0</v>
      </c>
      <c r="AD362" s="5">
        <v>0</v>
      </c>
      <c r="AE362" s="10" t="s">
        <v>50</v>
      </c>
      <c r="AF362" s="10"/>
      <c r="AG362" s="10" t="s">
        <v>114</v>
      </c>
      <c r="AH362" s="10" t="s">
        <v>50</v>
      </c>
      <c r="AI362" s="5">
        <v>2</v>
      </c>
      <c r="AJ362" s="10" t="s">
        <v>50</v>
      </c>
      <c r="AK362" s="10" t="s">
        <v>693</v>
      </c>
    </row>
    <row r="363" spans="1:37" ht="36.75" customHeight="1" x14ac:dyDescent="0.35">
      <c r="A363" s="5"/>
      <c r="B363" s="5" t="s">
        <v>37</v>
      </c>
      <c r="C363" s="73" t="str">
        <f t="shared" si="5"/>
        <v>Closed</v>
      </c>
      <c r="D363" s="45" t="s">
        <v>2222</v>
      </c>
      <c r="E363" s="54" t="s">
        <v>2223</v>
      </c>
      <c r="F363" s="5" t="s">
        <v>404</v>
      </c>
      <c r="G363" s="10">
        <f>DATE(2007,9,21)</f>
        <v>39346</v>
      </c>
      <c r="H363" s="35">
        <v>1.4652777777777777</v>
      </c>
      <c r="I363" s="5" t="s">
        <v>97</v>
      </c>
      <c r="J363" s="10" t="s">
        <v>2224</v>
      </c>
      <c r="K363" s="5" t="s">
        <v>406</v>
      </c>
      <c r="L363" s="5" t="s">
        <v>2225</v>
      </c>
      <c r="M363" s="5" t="s">
        <v>45</v>
      </c>
      <c r="N363" s="5">
        <v>0</v>
      </c>
      <c r="O363" s="5" t="s">
        <v>46</v>
      </c>
      <c r="P363" s="10" t="s">
        <v>60</v>
      </c>
      <c r="Q363" s="10" t="s">
        <v>971</v>
      </c>
      <c r="R363" s="10" t="s">
        <v>971</v>
      </c>
      <c r="S363" s="5">
        <v>0</v>
      </c>
      <c r="T363" s="37">
        <v>0</v>
      </c>
      <c r="U363" s="5">
        <v>2</v>
      </c>
      <c r="V363" s="37">
        <v>0</v>
      </c>
      <c r="W363" s="5">
        <v>0</v>
      </c>
      <c r="X363" s="5">
        <v>2</v>
      </c>
      <c r="Y363" s="5">
        <v>0</v>
      </c>
      <c r="Z363" s="37">
        <v>0</v>
      </c>
      <c r="AA363" s="5">
        <v>0</v>
      </c>
      <c r="AB363" s="5">
        <v>0</v>
      </c>
      <c r="AC363" s="5">
        <v>0</v>
      </c>
      <c r="AD363" s="5">
        <v>0</v>
      </c>
      <c r="AE363" s="10" t="s">
        <v>50</v>
      </c>
      <c r="AF363" s="10"/>
      <c r="AG363" s="10" t="s">
        <v>114</v>
      </c>
      <c r="AH363" s="10" t="s">
        <v>50</v>
      </c>
      <c r="AI363" s="5">
        <v>2</v>
      </c>
      <c r="AJ363" s="10" t="s">
        <v>2226</v>
      </c>
      <c r="AK363" s="10" t="s">
        <v>50</v>
      </c>
    </row>
    <row r="364" spans="1:37" ht="36.75" customHeight="1" x14ac:dyDescent="0.35">
      <c r="A364" s="5"/>
      <c r="B364" s="5" t="s">
        <v>37</v>
      </c>
      <c r="C364" s="73" t="str">
        <f t="shared" si="5"/>
        <v>Closed</v>
      </c>
      <c r="D364" s="45" t="s">
        <v>2227</v>
      </c>
      <c r="E364" s="54" t="s">
        <v>2228</v>
      </c>
      <c r="F364" s="5" t="s">
        <v>404</v>
      </c>
      <c r="G364" s="10">
        <f>DATE(2007,10,2)</f>
        <v>39357</v>
      </c>
      <c r="H364" s="35">
        <v>1.4076388888888889</v>
      </c>
      <c r="I364" s="5" t="s">
        <v>97</v>
      </c>
      <c r="J364" s="10" t="s">
        <v>2229</v>
      </c>
      <c r="K364" s="5" t="s">
        <v>406</v>
      </c>
      <c r="L364" s="5" t="s">
        <v>2230</v>
      </c>
      <c r="M364" s="5" t="s">
        <v>45</v>
      </c>
      <c r="N364" s="5">
        <v>0</v>
      </c>
      <c r="O364" s="5" t="s">
        <v>46</v>
      </c>
      <c r="P364" s="10" t="s">
        <v>146</v>
      </c>
      <c r="Q364" s="10" t="s">
        <v>2231</v>
      </c>
      <c r="R364" s="10" t="s">
        <v>408</v>
      </c>
      <c r="S364" s="5">
        <v>0</v>
      </c>
      <c r="T364" s="37" t="s">
        <v>50</v>
      </c>
      <c r="U364" s="5">
        <v>0</v>
      </c>
      <c r="V364" s="37" t="s">
        <v>50</v>
      </c>
      <c r="W364" s="5">
        <v>0</v>
      </c>
      <c r="X364" s="5">
        <v>0</v>
      </c>
      <c r="Y364" s="5">
        <v>0</v>
      </c>
      <c r="Z364" s="37" t="s">
        <v>50</v>
      </c>
      <c r="AA364" s="5">
        <v>0</v>
      </c>
      <c r="AB364" s="5">
        <v>0</v>
      </c>
      <c r="AC364" s="5">
        <v>0</v>
      </c>
      <c r="AD364" s="5">
        <v>0</v>
      </c>
      <c r="AE364" s="10" t="s">
        <v>50</v>
      </c>
      <c r="AF364" s="10"/>
      <c r="AG364" s="10" t="s">
        <v>333</v>
      </c>
      <c r="AH364" s="10" t="s">
        <v>50</v>
      </c>
      <c r="AI364" s="5">
        <v>0</v>
      </c>
      <c r="AJ364" s="10" t="s">
        <v>50</v>
      </c>
      <c r="AK364" s="10" t="s">
        <v>50</v>
      </c>
    </row>
    <row r="365" spans="1:37" ht="36.75" customHeight="1" x14ac:dyDescent="0.35">
      <c r="A365" s="5"/>
      <c r="B365" s="5" t="s">
        <v>37</v>
      </c>
      <c r="C365" s="73" t="str">
        <f t="shared" si="5"/>
        <v>Closed</v>
      </c>
      <c r="D365" s="45" t="s">
        <v>2232</v>
      </c>
      <c r="E365" s="54" t="s">
        <v>2233</v>
      </c>
      <c r="F365" s="5" t="s">
        <v>40</v>
      </c>
      <c r="G365" s="10">
        <f>DATE(2007,10,6)</f>
        <v>39361</v>
      </c>
      <c r="H365" s="35">
        <v>1.4833333333333334</v>
      </c>
      <c r="I365" s="5" t="s">
        <v>97</v>
      </c>
      <c r="J365" s="10" t="s">
        <v>2234</v>
      </c>
      <c r="K365" s="5" t="s">
        <v>43</v>
      </c>
      <c r="L365" s="5" t="s">
        <v>2235</v>
      </c>
      <c r="M365" s="5" t="s">
        <v>45</v>
      </c>
      <c r="N365" s="5" t="s">
        <v>80</v>
      </c>
      <c r="O365" s="5" t="s">
        <v>46</v>
      </c>
      <c r="P365" s="10" t="s">
        <v>443</v>
      </c>
      <c r="Q365" s="10" t="s">
        <v>48</v>
      </c>
      <c r="R365" s="10" t="s">
        <v>49</v>
      </c>
      <c r="S365" s="5">
        <v>0</v>
      </c>
      <c r="T365" s="37">
        <v>0</v>
      </c>
      <c r="U365" s="5">
        <v>1</v>
      </c>
      <c r="V365" s="37">
        <v>0</v>
      </c>
      <c r="W365" s="5">
        <v>0</v>
      </c>
      <c r="X365" s="5">
        <v>1</v>
      </c>
      <c r="Y365" s="5">
        <v>0</v>
      </c>
      <c r="Z365" s="37">
        <v>0</v>
      </c>
      <c r="AA365" s="5">
        <v>0</v>
      </c>
      <c r="AB365" s="5">
        <v>0</v>
      </c>
      <c r="AC365" s="5">
        <v>0</v>
      </c>
      <c r="AD365" s="5">
        <v>0</v>
      </c>
      <c r="AE365" s="10" t="s">
        <v>73</v>
      </c>
      <c r="AF365" s="10"/>
      <c r="AG365" s="10" t="s">
        <v>64</v>
      </c>
      <c r="AH365" s="10">
        <v>39363</v>
      </c>
      <c r="AI365" s="5">
        <v>2</v>
      </c>
      <c r="AJ365" s="10" t="s">
        <v>2236</v>
      </c>
      <c r="AK365" s="10" t="s">
        <v>2237</v>
      </c>
    </row>
    <row r="366" spans="1:37" ht="36.75" customHeight="1" x14ac:dyDescent="0.35">
      <c r="A366" s="5"/>
      <c r="B366" s="5" t="s">
        <v>37</v>
      </c>
      <c r="C366" s="73" t="str">
        <f t="shared" si="5"/>
        <v>Closed</v>
      </c>
      <c r="D366" s="45" t="s">
        <v>2238</v>
      </c>
      <c r="E366" s="54" t="s">
        <v>2239</v>
      </c>
      <c r="F366" s="5" t="s">
        <v>178</v>
      </c>
      <c r="G366" s="10">
        <f>DATE(2007,10,12)</f>
        <v>39367</v>
      </c>
      <c r="H366" s="35">
        <v>1.3895833333333334</v>
      </c>
      <c r="I366" s="5" t="s">
        <v>259</v>
      </c>
      <c r="J366" s="10" t="s">
        <v>2240</v>
      </c>
      <c r="K366" s="5" t="s">
        <v>181</v>
      </c>
      <c r="L366" s="5" t="s">
        <v>2241</v>
      </c>
      <c r="M366" s="5" t="s">
        <v>45</v>
      </c>
      <c r="N366" s="5">
        <v>0</v>
      </c>
      <c r="O366" s="5" t="s">
        <v>59</v>
      </c>
      <c r="P366" s="10" t="s">
        <v>146</v>
      </c>
      <c r="Q366" s="10" t="s">
        <v>183</v>
      </c>
      <c r="R366" s="10" t="s">
        <v>184</v>
      </c>
      <c r="S366" s="5">
        <v>0</v>
      </c>
      <c r="T366" s="37">
        <v>3</v>
      </c>
      <c r="U366" s="5">
        <v>0</v>
      </c>
      <c r="V366" s="37">
        <v>0</v>
      </c>
      <c r="W366" s="5">
        <v>0</v>
      </c>
      <c r="X366" s="5">
        <v>3</v>
      </c>
      <c r="Y366" s="5">
        <v>0</v>
      </c>
      <c r="Z366" s="37">
        <v>0</v>
      </c>
      <c r="AA366" s="5">
        <v>0</v>
      </c>
      <c r="AB366" s="5">
        <v>0</v>
      </c>
      <c r="AC366" s="5">
        <v>0</v>
      </c>
      <c r="AD366" s="5">
        <v>0</v>
      </c>
      <c r="AE366" s="10" t="s">
        <v>50</v>
      </c>
      <c r="AF366" s="10"/>
      <c r="AG366" s="10" t="s">
        <v>64</v>
      </c>
      <c r="AH366" s="10" t="s">
        <v>50</v>
      </c>
      <c r="AI366" s="5">
        <v>2</v>
      </c>
      <c r="AJ366" s="10" t="s">
        <v>50</v>
      </c>
      <c r="AK366" s="10" t="s">
        <v>50</v>
      </c>
    </row>
    <row r="367" spans="1:37" ht="36.75" customHeight="1" x14ac:dyDescent="0.35">
      <c r="A367" s="5"/>
      <c r="B367" s="5" t="s">
        <v>37</v>
      </c>
      <c r="C367" s="73" t="str">
        <f t="shared" si="5"/>
        <v>Closed</v>
      </c>
      <c r="D367" s="45" t="s">
        <v>2242</v>
      </c>
      <c r="E367" s="54" t="s">
        <v>2243</v>
      </c>
      <c r="F367" s="5" t="s">
        <v>119</v>
      </c>
      <c r="G367" s="10">
        <f>DATE(2007,10,19)</f>
        <v>39374</v>
      </c>
      <c r="H367" s="35">
        <v>1.625</v>
      </c>
      <c r="I367" s="5" t="s">
        <v>2244</v>
      </c>
      <c r="J367" s="10" t="s">
        <v>2245</v>
      </c>
      <c r="K367" s="5" t="s">
        <v>121</v>
      </c>
      <c r="L367" s="5" t="s">
        <v>2246</v>
      </c>
      <c r="M367" s="5" t="s">
        <v>45</v>
      </c>
      <c r="N367" s="5" t="s">
        <v>80</v>
      </c>
      <c r="O367" s="5" t="s">
        <v>46</v>
      </c>
      <c r="P367" s="10" t="s">
        <v>197</v>
      </c>
      <c r="Q367" s="10" t="s">
        <v>2247</v>
      </c>
      <c r="R367" s="10" t="s">
        <v>125</v>
      </c>
      <c r="S367" s="5">
        <v>0</v>
      </c>
      <c r="T367" s="37">
        <v>0</v>
      </c>
      <c r="U367" s="5">
        <v>0</v>
      </c>
      <c r="V367" s="37">
        <v>0</v>
      </c>
      <c r="W367" s="5">
        <v>0</v>
      </c>
      <c r="X367" s="5">
        <v>0</v>
      </c>
      <c r="Y367" s="5">
        <v>0</v>
      </c>
      <c r="Z367" s="37">
        <v>0</v>
      </c>
      <c r="AA367" s="5">
        <v>0</v>
      </c>
      <c r="AB367" s="5">
        <v>0</v>
      </c>
      <c r="AC367" s="5">
        <v>0</v>
      </c>
      <c r="AD367" s="5">
        <v>0</v>
      </c>
      <c r="AE367" s="10" t="s">
        <v>73</v>
      </c>
      <c r="AF367" s="10"/>
      <c r="AG367" s="10" t="s">
        <v>114</v>
      </c>
      <c r="AH367" s="10">
        <v>39349</v>
      </c>
      <c r="AI367" s="5">
        <v>5</v>
      </c>
      <c r="AJ367" s="10" t="s">
        <v>2248</v>
      </c>
      <c r="AK367" s="10" t="s">
        <v>2249</v>
      </c>
    </row>
    <row r="368" spans="1:37" ht="36.75" customHeight="1" x14ac:dyDescent="0.35">
      <c r="A368" s="5"/>
      <c r="B368" s="5" t="s">
        <v>37</v>
      </c>
      <c r="C368" s="73" t="str">
        <f t="shared" si="5"/>
        <v>Closed</v>
      </c>
      <c r="D368" s="45" t="s">
        <v>2250</v>
      </c>
      <c r="E368" s="54" t="s">
        <v>2251</v>
      </c>
      <c r="F368" s="5" t="s">
        <v>214</v>
      </c>
      <c r="G368" s="10">
        <f>DATE(2007,10,25)</f>
        <v>39380</v>
      </c>
      <c r="H368" s="35">
        <v>1.1111111111111112</v>
      </c>
      <c r="I368" s="5" t="s">
        <v>67</v>
      </c>
      <c r="J368" s="10" t="s">
        <v>2252</v>
      </c>
      <c r="K368" s="5" t="s">
        <v>216</v>
      </c>
      <c r="L368" s="5" t="s">
        <v>2253</v>
      </c>
      <c r="M368" s="5" t="s">
        <v>110</v>
      </c>
      <c r="N368" s="5">
        <v>0</v>
      </c>
      <c r="O368" s="5" t="s">
        <v>67</v>
      </c>
      <c r="P368" s="10" t="s">
        <v>282</v>
      </c>
      <c r="Q368" s="10" t="s">
        <v>664</v>
      </c>
      <c r="R368" s="10" t="s">
        <v>664</v>
      </c>
      <c r="S368" s="5">
        <v>0</v>
      </c>
      <c r="T368" s="37" t="s">
        <v>50</v>
      </c>
      <c r="U368" s="5">
        <v>0</v>
      </c>
      <c r="V368" s="37" t="s">
        <v>50</v>
      </c>
      <c r="W368" s="5">
        <v>0</v>
      </c>
      <c r="X368" s="5">
        <v>0</v>
      </c>
      <c r="Y368" s="5">
        <v>0</v>
      </c>
      <c r="Z368" s="37" t="s">
        <v>50</v>
      </c>
      <c r="AA368" s="5">
        <v>0</v>
      </c>
      <c r="AB368" s="5">
        <v>0</v>
      </c>
      <c r="AC368" s="5">
        <v>0</v>
      </c>
      <c r="AD368" s="5">
        <v>0</v>
      </c>
      <c r="AE368" s="10" t="s">
        <v>50</v>
      </c>
      <c r="AF368" s="10"/>
      <c r="AG368" s="10" t="s">
        <v>114</v>
      </c>
      <c r="AH368" s="10" t="s">
        <v>50</v>
      </c>
      <c r="AI368" s="5">
        <v>10</v>
      </c>
      <c r="AJ368" s="10" t="s">
        <v>2254</v>
      </c>
      <c r="AK368" s="10" t="s">
        <v>2255</v>
      </c>
    </row>
    <row r="369" spans="1:37" ht="36.75" customHeight="1" x14ac:dyDescent="0.35">
      <c r="A369" s="5"/>
      <c r="B369" s="5" t="s">
        <v>37</v>
      </c>
      <c r="C369" s="73" t="str">
        <f t="shared" si="5"/>
        <v>Closed</v>
      </c>
      <c r="D369" s="45" t="s">
        <v>2256</v>
      </c>
      <c r="E369" s="54" t="s">
        <v>2257</v>
      </c>
      <c r="F369" s="5" t="s">
        <v>178</v>
      </c>
      <c r="G369" s="10">
        <f>DATE(2007,10,29)</f>
        <v>39384</v>
      </c>
      <c r="H369" s="35">
        <v>1.7694444444444444</v>
      </c>
      <c r="I369" s="5" t="s">
        <v>97</v>
      </c>
      <c r="J369" s="10" t="s">
        <v>2258</v>
      </c>
      <c r="K369" s="5" t="s">
        <v>181</v>
      </c>
      <c r="L369" s="5" t="s">
        <v>2259</v>
      </c>
      <c r="M369" s="5" t="s">
        <v>45</v>
      </c>
      <c r="N369" s="5">
        <v>0</v>
      </c>
      <c r="O369" s="5" t="s">
        <v>46</v>
      </c>
      <c r="P369" s="10" t="s">
        <v>146</v>
      </c>
      <c r="Q369" s="10" t="s">
        <v>183</v>
      </c>
      <c r="R369" s="10" t="s">
        <v>184</v>
      </c>
      <c r="S369" s="5">
        <v>0</v>
      </c>
      <c r="T369" s="37">
        <v>0</v>
      </c>
      <c r="U369" s="5">
        <v>2</v>
      </c>
      <c r="V369" s="37">
        <v>0</v>
      </c>
      <c r="W369" s="5">
        <v>0</v>
      </c>
      <c r="X369" s="5">
        <v>2</v>
      </c>
      <c r="Y369" s="5">
        <v>0</v>
      </c>
      <c r="Z369" s="37">
        <v>0</v>
      </c>
      <c r="AA369" s="5">
        <v>0</v>
      </c>
      <c r="AB369" s="5">
        <v>0</v>
      </c>
      <c r="AC369" s="5">
        <v>0</v>
      </c>
      <c r="AD369" s="5">
        <v>0</v>
      </c>
      <c r="AE369" s="10" t="s">
        <v>50</v>
      </c>
      <c r="AF369" s="10"/>
      <c r="AG369" s="10" t="s">
        <v>114</v>
      </c>
      <c r="AH369" s="10" t="s">
        <v>50</v>
      </c>
      <c r="AI369" s="5">
        <v>3</v>
      </c>
      <c r="AJ369" s="10" t="s">
        <v>2260</v>
      </c>
      <c r="AK369" s="10" t="s">
        <v>50</v>
      </c>
    </row>
    <row r="370" spans="1:37" ht="36.75" customHeight="1" x14ac:dyDescent="0.35">
      <c r="A370" s="5"/>
      <c r="B370" s="5" t="s">
        <v>37</v>
      </c>
      <c r="C370" s="73" t="str">
        <f t="shared" si="5"/>
        <v>Closed</v>
      </c>
      <c r="D370" s="45" t="s">
        <v>2261</v>
      </c>
      <c r="E370" s="54" t="s">
        <v>2262</v>
      </c>
      <c r="F370" s="5" t="s">
        <v>404</v>
      </c>
      <c r="G370" s="10">
        <f>DATE(2007,10,30)</f>
        <v>39385</v>
      </c>
      <c r="H370" s="35">
        <v>1.7541666666666669</v>
      </c>
      <c r="I370" s="5" t="s">
        <v>97</v>
      </c>
      <c r="J370" s="10" t="s">
        <v>2263</v>
      </c>
      <c r="K370" s="5" t="s">
        <v>406</v>
      </c>
      <c r="L370" s="5" t="s">
        <v>2264</v>
      </c>
      <c r="M370" s="5" t="s">
        <v>45</v>
      </c>
      <c r="N370" s="5">
        <v>0</v>
      </c>
      <c r="O370" s="5" t="s">
        <v>46</v>
      </c>
      <c r="P370" s="10" t="s">
        <v>47</v>
      </c>
      <c r="Q370" s="10" t="s">
        <v>408</v>
      </c>
      <c r="R370" s="10" t="s">
        <v>408</v>
      </c>
      <c r="S370" s="5">
        <v>0</v>
      </c>
      <c r="T370" s="37" t="s">
        <v>50</v>
      </c>
      <c r="U370" s="5">
        <v>0</v>
      </c>
      <c r="V370" s="37" t="s">
        <v>50</v>
      </c>
      <c r="W370" s="5">
        <v>0</v>
      </c>
      <c r="X370" s="5">
        <v>0</v>
      </c>
      <c r="Y370" s="5">
        <v>0</v>
      </c>
      <c r="Z370" s="37" t="s">
        <v>50</v>
      </c>
      <c r="AA370" s="5">
        <v>0</v>
      </c>
      <c r="AB370" s="5">
        <v>0</v>
      </c>
      <c r="AC370" s="5">
        <v>0</v>
      </c>
      <c r="AD370" s="5">
        <v>0</v>
      </c>
      <c r="AE370" s="10" t="s">
        <v>50</v>
      </c>
      <c r="AF370" s="10"/>
      <c r="AG370" s="10" t="s">
        <v>333</v>
      </c>
      <c r="AH370" s="10" t="s">
        <v>50</v>
      </c>
      <c r="AI370" s="5">
        <v>1</v>
      </c>
      <c r="AJ370" s="10" t="s">
        <v>50</v>
      </c>
      <c r="AK370" s="10" t="s">
        <v>50</v>
      </c>
    </row>
    <row r="371" spans="1:37" ht="36.75" customHeight="1" x14ac:dyDescent="0.35">
      <c r="A371" s="5"/>
      <c r="B371" s="5" t="s">
        <v>37</v>
      </c>
      <c r="C371" s="73" t="str">
        <f t="shared" si="5"/>
        <v>Closed</v>
      </c>
      <c r="D371" s="45" t="s">
        <v>2265</v>
      </c>
      <c r="E371" s="54" t="s">
        <v>2266</v>
      </c>
      <c r="F371" s="5" t="s">
        <v>178</v>
      </c>
      <c r="G371" s="10">
        <f>DATE(2007,10,31)</f>
        <v>39386</v>
      </c>
      <c r="H371" s="35">
        <v>1.1215277777777777</v>
      </c>
      <c r="I371" s="5" t="s">
        <v>55</v>
      </c>
      <c r="J371" s="10" t="s">
        <v>2267</v>
      </c>
      <c r="K371" s="5" t="s">
        <v>181</v>
      </c>
      <c r="L371" s="5" t="s">
        <v>2268</v>
      </c>
      <c r="M371" s="5" t="s">
        <v>45</v>
      </c>
      <c r="N371" s="5">
        <v>0</v>
      </c>
      <c r="O371" s="5" t="s">
        <v>46</v>
      </c>
      <c r="P371" s="10" t="s">
        <v>60</v>
      </c>
      <c r="Q371" s="10" t="s">
        <v>1697</v>
      </c>
      <c r="R371" s="10" t="s">
        <v>184</v>
      </c>
      <c r="S371" s="5">
        <v>0</v>
      </c>
      <c r="T371" s="37" t="s">
        <v>50</v>
      </c>
      <c r="U371" s="5">
        <v>0</v>
      </c>
      <c r="V371" s="37" t="s">
        <v>50</v>
      </c>
      <c r="W371" s="5">
        <v>0</v>
      </c>
      <c r="X371" s="5">
        <v>0</v>
      </c>
      <c r="Y371" s="5">
        <v>0</v>
      </c>
      <c r="Z371" s="37" t="s">
        <v>50</v>
      </c>
      <c r="AA371" s="5">
        <v>0</v>
      </c>
      <c r="AB371" s="5">
        <v>0</v>
      </c>
      <c r="AC371" s="5">
        <v>0</v>
      </c>
      <c r="AD371" s="5">
        <v>0</v>
      </c>
      <c r="AE371" s="10" t="s">
        <v>50</v>
      </c>
      <c r="AF371" s="10"/>
      <c r="AG371" s="10" t="s">
        <v>64</v>
      </c>
      <c r="AH371" s="10" t="s">
        <v>50</v>
      </c>
      <c r="AI371" s="5">
        <v>1</v>
      </c>
      <c r="AJ371" s="10" t="s">
        <v>2269</v>
      </c>
      <c r="AK371" s="10" t="s">
        <v>2270</v>
      </c>
    </row>
    <row r="372" spans="1:37" ht="36.75" customHeight="1" x14ac:dyDescent="0.35">
      <c r="A372" s="5"/>
      <c r="B372" s="5" t="s">
        <v>37</v>
      </c>
      <c r="C372" s="73" t="str">
        <f t="shared" si="5"/>
        <v>Closed</v>
      </c>
      <c r="D372" s="45" t="s">
        <v>2271</v>
      </c>
      <c r="E372" s="54" t="s">
        <v>2272</v>
      </c>
      <c r="F372" s="5" t="s">
        <v>214</v>
      </c>
      <c r="G372" s="10">
        <f>DATE(2007,11,1)</f>
        <v>39387</v>
      </c>
      <c r="H372" s="35">
        <v>1.6076388888888888</v>
      </c>
      <c r="I372" s="5" t="s">
        <v>67</v>
      </c>
      <c r="J372" s="10" t="s">
        <v>2273</v>
      </c>
      <c r="K372" s="5" t="s">
        <v>216</v>
      </c>
      <c r="L372" s="5" t="s">
        <v>2274</v>
      </c>
      <c r="M372" s="5" t="s">
        <v>110</v>
      </c>
      <c r="N372" s="5">
        <v>0</v>
      </c>
      <c r="O372" s="5" t="s">
        <v>59</v>
      </c>
      <c r="P372" s="10" t="s">
        <v>67</v>
      </c>
      <c r="Q372" s="10" t="s">
        <v>664</v>
      </c>
      <c r="R372" s="10" t="s">
        <v>664</v>
      </c>
      <c r="S372" s="5">
        <v>0</v>
      </c>
      <c r="T372" s="37" t="s">
        <v>50</v>
      </c>
      <c r="U372" s="5">
        <v>0</v>
      </c>
      <c r="V372" s="37" t="s">
        <v>50</v>
      </c>
      <c r="W372" s="5">
        <v>0</v>
      </c>
      <c r="X372" s="5">
        <v>0</v>
      </c>
      <c r="Y372" s="5">
        <v>0</v>
      </c>
      <c r="Z372" s="37" t="s">
        <v>50</v>
      </c>
      <c r="AA372" s="5">
        <v>0</v>
      </c>
      <c r="AB372" s="5">
        <v>0</v>
      </c>
      <c r="AC372" s="5">
        <v>0</v>
      </c>
      <c r="AD372" s="5">
        <v>0</v>
      </c>
      <c r="AE372" s="10" t="s">
        <v>50</v>
      </c>
      <c r="AF372" s="10"/>
      <c r="AG372" s="10" t="s">
        <v>114</v>
      </c>
      <c r="AH372" s="10" t="s">
        <v>50</v>
      </c>
      <c r="AI372" s="5">
        <v>1</v>
      </c>
      <c r="AJ372" s="10" t="s">
        <v>2275</v>
      </c>
      <c r="AK372" s="10" t="s">
        <v>2276</v>
      </c>
    </row>
    <row r="373" spans="1:37" ht="36.75" customHeight="1" x14ac:dyDescent="0.35">
      <c r="A373" s="5"/>
      <c r="B373" s="5" t="s">
        <v>37</v>
      </c>
      <c r="C373" s="73" t="str">
        <f t="shared" si="5"/>
        <v>Closed</v>
      </c>
      <c r="D373" s="45" t="s">
        <v>2277</v>
      </c>
      <c r="E373" s="54" t="s">
        <v>2278</v>
      </c>
      <c r="F373" s="5" t="s">
        <v>816</v>
      </c>
      <c r="G373" s="10">
        <f>DATE(2007,11,2)</f>
        <v>39388</v>
      </c>
      <c r="H373" s="35">
        <v>1.3916666666666666</v>
      </c>
      <c r="I373" s="5" t="s">
        <v>137</v>
      </c>
      <c r="J373" s="10" t="s">
        <v>2279</v>
      </c>
      <c r="K373" s="5" t="s">
        <v>818</v>
      </c>
      <c r="L373" s="5" t="s">
        <v>2280</v>
      </c>
      <c r="M373" s="5" t="s">
        <v>45</v>
      </c>
      <c r="N373" s="5">
        <v>0</v>
      </c>
      <c r="O373" s="5" t="s">
        <v>59</v>
      </c>
      <c r="P373" s="10" t="s">
        <v>60</v>
      </c>
      <c r="Q373" s="10" t="s">
        <v>1331</v>
      </c>
      <c r="R373" s="10" t="s">
        <v>821</v>
      </c>
      <c r="S373" s="5">
        <v>0</v>
      </c>
      <c r="T373" s="37" t="s">
        <v>50</v>
      </c>
      <c r="U373" s="5">
        <v>0</v>
      </c>
      <c r="V373" s="37" t="s">
        <v>50</v>
      </c>
      <c r="W373" s="5">
        <v>0</v>
      </c>
      <c r="X373" s="5">
        <v>0</v>
      </c>
      <c r="Y373" s="5">
        <v>0</v>
      </c>
      <c r="Z373" s="37" t="s">
        <v>50</v>
      </c>
      <c r="AA373" s="5">
        <v>0</v>
      </c>
      <c r="AB373" s="5">
        <v>0</v>
      </c>
      <c r="AC373" s="5">
        <v>0</v>
      </c>
      <c r="AD373" s="5">
        <v>0</v>
      </c>
      <c r="AE373" s="10" t="s">
        <v>50</v>
      </c>
      <c r="AF373" s="10"/>
      <c r="AG373" s="10" t="s">
        <v>333</v>
      </c>
      <c r="AH373" s="10" t="s">
        <v>50</v>
      </c>
      <c r="AI373" s="5">
        <v>1</v>
      </c>
      <c r="AJ373" s="10" t="s">
        <v>50</v>
      </c>
      <c r="AK373" s="10" t="s">
        <v>50</v>
      </c>
    </row>
    <row r="374" spans="1:37" ht="36.75" customHeight="1" x14ac:dyDescent="0.35">
      <c r="A374" s="5"/>
      <c r="B374" s="5" t="s">
        <v>37</v>
      </c>
      <c r="C374" s="73" t="str">
        <f t="shared" si="5"/>
        <v>Closed</v>
      </c>
      <c r="D374" s="45" t="s">
        <v>2281</v>
      </c>
      <c r="E374" s="54" t="s">
        <v>2278</v>
      </c>
      <c r="F374" s="5" t="s">
        <v>816</v>
      </c>
      <c r="G374" s="10">
        <f>DATE(2007,11,2)</f>
        <v>39388</v>
      </c>
      <c r="H374" s="35">
        <v>1.5736111111111111</v>
      </c>
      <c r="I374" s="5" t="s">
        <v>137</v>
      </c>
      <c r="J374" s="10" t="s">
        <v>2282</v>
      </c>
      <c r="K374" s="5" t="s">
        <v>818</v>
      </c>
      <c r="L374" s="5" t="s">
        <v>2280</v>
      </c>
      <c r="M374" s="5" t="s">
        <v>45</v>
      </c>
      <c r="N374" s="5">
        <v>0</v>
      </c>
      <c r="O374" s="5" t="s">
        <v>59</v>
      </c>
      <c r="P374" s="10" t="s">
        <v>146</v>
      </c>
      <c r="Q374" s="10" t="s">
        <v>2142</v>
      </c>
      <c r="R374" s="10" t="s">
        <v>821</v>
      </c>
      <c r="S374" s="5">
        <v>0</v>
      </c>
      <c r="T374" s="37" t="s">
        <v>50</v>
      </c>
      <c r="U374" s="5">
        <v>0</v>
      </c>
      <c r="V374" s="37" t="s">
        <v>50</v>
      </c>
      <c r="W374" s="5">
        <v>0</v>
      </c>
      <c r="X374" s="5">
        <v>0</v>
      </c>
      <c r="Y374" s="5">
        <v>0</v>
      </c>
      <c r="Z374" s="37" t="s">
        <v>50</v>
      </c>
      <c r="AA374" s="5">
        <v>0</v>
      </c>
      <c r="AB374" s="5">
        <v>0</v>
      </c>
      <c r="AC374" s="5">
        <v>0</v>
      </c>
      <c r="AD374" s="5">
        <v>0</v>
      </c>
      <c r="AE374" s="10" t="s">
        <v>50</v>
      </c>
      <c r="AF374" s="10"/>
      <c r="AG374" s="10" t="s">
        <v>333</v>
      </c>
      <c r="AH374" s="10" t="s">
        <v>50</v>
      </c>
      <c r="AI374" s="5">
        <v>1</v>
      </c>
      <c r="AJ374" s="10" t="s">
        <v>50</v>
      </c>
      <c r="AK374" s="10" t="s">
        <v>50</v>
      </c>
    </row>
    <row r="375" spans="1:37" ht="36.75" customHeight="1" x14ac:dyDescent="0.35">
      <c r="A375" s="5"/>
      <c r="B375" s="5" t="s">
        <v>37</v>
      </c>
      <c r="C375" s="73" t="str">
        <f t="shared" si="5"/>
        <v>Closed</v>
      </c>
      <c r="D375" s="45" t="s">
        <v>2283</v>
      </c>
      <c r="E375" s="54" t="s">
        <v>2284</v>
      </c>
      <c r="F375" s="5" t="s">
        <v>40</v>
      </c>
      <c r="G375" s="10">
        <f>DATE(2007,11,3)</f>
        <v>39389</v>
      </c>
      <c r="H375" s="35">
        <v>1.5409722222222222</v>
      </c>
      <c r="I375" s="5" t="s">
        <v>55</v>
      </c>
      <c r="J375" s="10" t="s">
        <v>2285</v>
      </c>
      <c r="K375" s="5" t="s">
        <v>43</v>
      </c>
      <c r="L375" s="5" t="s">
        <v>2286</v>
      </c>
      <c r="M375" s="5" t="s">
        <v>45</v>
      </c>
      <c r="N375" s="5" t="s">
        <v>70</v>
      </c>
      <c r="O375" s="5" t="s">
        <v>71</v>
      </c>
      <c r="P375" s="10" t="s">
        <v>72</v>
      </c>
      <c r="Q375" s="10" t="s">
        <v>48</v>
      </c>
      <c r="R375" s="10" t="s">
        <v>49</v>
      </c>
      <c r="S375" s="5">
        <v>0</v>
      </c>
      <c r="T375" s="37">
        <v>0</v>
      </c>
      <c r="U375" s="5">
        <v>0</v>
      </c>
      <c r="V375" s="37">
        <v>0</v>
      </c>
      <c r="W375" s="5">
        <v>0</v>
      </c>
      <c r="X375" s="5">
        <v>0</v>
      </c>
      <c r="Y375" s="5">
        <v>0</v>
      </c>
      <c r="Z375" s="37">
        <v>0</v>
      </c>
      <c r="AA375" s="5">
        <v>0</v>
      </c>
      <c r="AB375" s="5">
        <v>0</v>
      </c>
      <c r="AC375" s="5">
        <v>0</v>
      </c>
      <c r="AD375" s="5">
        <v>0</v>
      </c>
      <c r="AE375" s="10" t="s">
        <v>73</v>
      </c>
      <c r="AF375" s="10"/>
      <c r="AG375" s="10" t="s">
        <v>51</v>
      </c>
      <c r="AH375" s="10">
        <v>39391</v>
      </c>
      <c r="AI375" s="5">
        <v>1</v>
      </c>
      <c r="AJ375" s="10" t="s">
        <v>2287</v>
      </c>
      <c r="AK375" s="10" t="s">
        <v>50</v>
      </c>
    </row>
    <row r="376" spans="1:37" ht="36.75" customHeight="1" x14ac:dyDescent="0.35">
      <c r="A376" s="5"/>
      <c r="B376" s="5" t="s">
        <v>37</v>
      </c>
      <c r="C376" s="73" t="str">
        <f t="shared" si="5"/>
        <v>Closed</v>
      </c>
      <c r="D376" s="45" t="s">
        <v>2288</v>
      </c>
      <c r="E376" s="54" t="s">
        <v>2289</v>
      </c>
      <c r="F376" s="5" t="s">
        <v>432</v>
      </c>
      <c r="G376" s="10">
        <f>DATE(2007,11,4)</f>
        <v>39390</v>
      </c>
      <c r="H376" s="35">
        <v>1.9437500000000001</v>
      </c>
      <c r="I376" s="5" t="s">
        <v>55</v>
      </c>
      <c r="J376" s="10" t="s">
        <v>2290</v>
      </c>
      <c r="K376" s="5" t="s">
        <v>434</v>
      </c>
      <c r="L376" s="5" t="s">
        <v>2291</v>
      </c>
      <c r="M376" s="5" t="s">
        <v>45</v>
      </c>
      <c r="N376" s="5" t="s">
        <v>123</v>
      </c>
      <c r="O376" s="5" t="s">
        <v>59</v>
      </c>
      <c r="P376" s="10" t="s">
        <v>146</v>
      </c>
      <c r="Q376" s="10" t="s">
        <v>552</v>
      </c>
      <c r="R376" s="10" t="s">
        <v>553</v>
      </c>
      <c r="S376" s="5">
        <v>0</v>
      </c>
      <c r="T376" s="37">
        <v>0</v>
      </c>
      <c r="U376" s="5">
        <v>0</v>
      </c>
      <c r="V376" s="37">
        <v>0</v>
      </c>
      <c r="W376" s="5">
        <v>0</v>
      </c>
      <c r="X376" s="5">
        <v>0</v>
      </c>
      <c r="Y376" s="5">
        <v>0</v>
      </c>
      <c r="Z376" s="37">
        <v>0</v>
      </c>
      <c r="AA376" s="5">
        <v>0</v>
      </c>
      <c r="AB376" s="5">
        <v>0</v>
      </c>
      <c r="AC376" s="5">
        <v>0</v>
      </c>
      <c r="AD376" s="5">
        <v>0</v>
      </c>
      <c r="AE376" s="10" t="s">
        <v>375</v>
      </c>
      <c r="AF376" s="10"/>
      <c r="AG376" s="10" t="s">
        <v>114</v>
      </c>
      <c r="AH376" s="10" t="s">
        <v>50</v>
      </c>
      <c r="AI376" s="5">
        <v>2</v>
      </c>
      <c r="AJ376" s="10" t="s">
        <v>2292</v>
      </c>
      <c r="AK376" s="10" t="s">
        <v>50</v>
      </c>
    </row>
    <row r="377" spans="1:37" ht="36.75" customHeight="1" x14ac:dyDescent="0.35">
      <c r="A377" s="5"/>
      <c r="B377" s="5" t="s">
        <v>37</v>
      </c>
      <c r="C377" s="73" t="str">
        <f t="shared" si="5"/>
        <v>Closed</v>
      </c>
      <c r="D377" s="45" t="s">
        <v>2293</v>
      </c>
      <c r="E377" s="54" t="s">
        <v>2294</v>
      </c>
      <c r="F377" s="5" t="s">
        <v>214</v>
      </c>
      <c r="G377" s="10">
        <f>DATE(2007,11,4)</f>
        <v>39390</v>
      </c>
      <c r="H377" s="35">
        <v>1.3958333333333333</v>
      </c>
      <c r="I377" s="5" t="s">
        <v>67</v>
      </c>
      <c r="J377" s="10" t="s">
        <v>2295</v>
      </c>
      <c r="K377" s="5" t="s">
        <v>216</v>
      </c>
      <c r="L377" s="5" t="s">
        <v>2296</v>
      </c>
      <c r="M377" s="5" t="s">
        <v>45</v>
      </c>
      <c r="N377" s="5">
        <v>0</v>
      </c>
      <c r="O377" s="5" t="s">
        <v>67</v>
      </c>
      <c r="P377" s="10" t="s">
        <v>282</v>
      </c>
      <c r="Q377" s="10" t="s">
        <v>699</v>
      </c>
      <c r="R377" s="10" t="s">
        <v>219</v>
      </c>
      <c r="S377" s="5">
        <v>0</v>
      </c>
      <c r="T377" s="37" t="s">
        <v>50</v>
      </c>
      <c r="U377" s="5">
        <v>0</v>
      </c>
      <c r="V377" s="37" t="s">
        <v>50</v>
      </c>
      <c r="W377" s="5">
        <v>0</v>
      </c>
      <c r="X377" s="5">
        <v>0</v>
      </c>
      <c r="Y377" s="5">
        <v>0</v>
      </c>
      <c r="Z377" s="37" t="s">
        <v>50</v>
      </c>
      <c r="AA377" s="5">
        <v>0</v>
      </c>
      <c r="AB377" s="5">
        <v>0</v>
      </c>
      <c r="AC377" s="5">
        <v>0</v>
      </c>
      <c r="AD377" s="5">
        <v>0</v>
      </c>
      <c r="AE377" s="10" t="s">
        <v>50</v>
      </c>
      <c r="AF377" s="10"/>
      <c r="AG377" s="10" t="s">
        <v>114</v>
      </c>
      <c r="AH377" s="10" t="s">
        <v>50</v>
      </c>
      <c r="AI377" s="5">
        <v>6</v>
      </c>
      <c r="AJ377" s="10" t="s">
        <v>2297</v>
      </c>
      <c r="AK377" s="10" t="s">
        <v>2298</v>
      </c>
    </row>
    <row r="378" spans="1:37" ht="36.75" customHeight="1" x14ac:dyDescent="0.35">
      <c r="A378" s="5"/>
      <c r="B378" s="5" t="s">
        <v>37</v>
      </c>
      <c r="C378" s="73" t="str">
        <f t="shared" si="5"/>
        <v>Closed</v>
      </c>
      <c r="D378" s="45" t="s">
        <v>2299</v>
      </c>
      <c r="E378" s="54" t="s">
        <v>2300</v>
      </c>
      <c r="F378" s="5" t="s">
        <v>96</v>
      </c>
      <c r="G378" s="10">
        <f>DATE(2007,11,9)</f>
        <v>39395</v>
      </c>
      <c r="H378" s="35">
        <v>1.8402777777777777</v>
      </c>
      <c r="I378" s="5" t="s">
        <v>55</v>
      </c>
      <c r="J378" s="10" t="s">
        <v>2301</v>
      </c>
      <c r="K378" s="5" t="s">
        <v>99</v>
      </c>
      <c r="L378" s="5" t="s">
        <v>2302</v>
      </c>
      <c r="M378" s="5" t="s">
        <v>45</v>
      </c>
      <c r="N378" s="5">
        <v>0</v>
      </c>
      <c r="O378" s="5" t="s">
        <v>46</v>
      </c>
      <c r="P378" s="10" t="s">
        <v>47</v>
      </c>
      <c r="Q378" s="10" t="s">
        <v>101</v>
      </c>
      <c r="R378" s="10" t="s">
        <v>102</v>
      </c>
      <c r="S378" s="5">
        <v>0</v>
      </c>
      <c r="T378" s="37" t="s">
        <v>50</v>
      </c>
      <c r="U378" s="5">
        <v>0</v>
      </c>
      <c r="V378" s="37" t="s">
        <v>50</v>
      </c>
      <c r="W378" s="5">
        <v>0</v>
      </c>
      <c r="X378" s="5">
        <v>0</v>
      </c>
      <c r="Y378" s="5">
        <v>0</v>
      </c>
      <c r="Z378" s="37" t="s">
        <v>50</v>
      </c>
      <c r="AA378" s="5">
        <v>0</v>
      </c>
      <c r="AB378" s="5">
        <v>0</v>
      </c>
      <c r="AC378" s="5">
        <v>0</v>
      </c>
      <c r="AD378" s="5">
        <v>0</v>
      </c>
      <c r="AE378" s="10" t="s">
        <v>50</v>
      </c>
      <c r="AF378" s="10"/>
      <c r="AG378" s="10" t="s">
        <v>114</v>
      </c>
      <c r="AH378" s="10" t="s">
        <v>50</v>
      </c>
      <c r="AI378" s="5">
        <v>0</v>
      </c>
      <c r="AJ378" s="10" t="s">
        <v>50</v>
      </c>
      <c r="AK378" s="10" t="s">
        <v>50</v>
      </c>
    </row>
    <row r="379" spans="1:37" ht="36.75" customHeight="1" x14ac:dyDescent="0.35">
      <c r="A379" s="5"/>
      <c r="B379" s="5" t="s">
        <v>37</v>
      </c>
      <c r="C379" s="73" t="str">
        <f t="shared" si="5"/>
        <v>Closed</v>
      </c>
      <c r="D379" s="45" t="s">
        <v>2303</v>
      </c>
      <c r="E379" s="54" t="s">
        <v>2304</v>
      </c>
      <c r="F379" s="5" t="s">
        <v>563</v>
      </c>
      <c r="G379" s="10">
        <f>DATE(2007,11,12)</f>
        <v>39398</v>
      </c>
      <c r="H379" s="35">
        <v>1.557638888888889</v>
      </c>
      <c r="I379" s="5" t="s">
        <v>259</v>
      </c>
      <c r="J379" s="10" t="s">
        <v>2305</v>
      </c>
      <c r="K379" s="5" t="s">
        <v>565</v>
      </c>
      <c r="L379" s="5" t="s">
        <v>2306</v>
      </c>
      <c r="M379" s="5" t="s">
        <v>45</v>
      </c>
      <c r="N379" s="5" t="s">
        <v>123</v>
      </c>
      <c r="O379" s="5" t="s">
        <v>59</v>
      </c>
      <c r="P379" s="10" t="s">
        <v>47</v>
      </c>
      <c r="Q379" s="10" t="s">
        <v>2002</v>
      </c>
      <c r="R379" s="10" t="s">
        <v>568</v>
      </c>
      <c r="S379" s="5">
        <v>0</v>
      </c>
      <c r="T379" s="37">
        <v>1</v>
      </c>
      <c r="U379" s="5">
        <v>0</v>
      </c>
      <c r="V379" s="37">
        <v>0</v>
      </c>
      <c r="W379" s="5">
        <v>0</v>
      </c>
      <c r="X379" s="5">
        <v>1</v>
      </c>
      <c r="Y379" s="5">
        <v>0</v>
      </c>
      <c r="Z379" s="37">
        <v>2</v>
      </c>
      <c r="AA379" s="5">
        <v>0</v>
      </c>
      <c r="AB379" s="5">
        <v>0</v>
      </c>
      <c r="AC379" s="5">
        <v>0</v>
      </c>
      <c r="AD379" s="5">
        <v>2</v>
      </c>
      <c r="AE379" s="10" t="s">
        <v>50</v>
      </c>
      <c r="AF379" s="10"/>
      <c r="AG379" s="10" t="s">
        <v>64</v>
      </c>
      <c r="AH379" s="10">
        <v>39399</v>
      </c>
      <c r="AI379" s="5">
        <v>0</v>
      </c>
      <c r="AJ379" s="10" t="s">
        <v>2307</v>
      </c>
      <c r="AK379" s="10" t="s">
        <v>1215</v>
      </c>
    </row>
    <row r="380" spans="1:37" ht="36.75" customHeight="1" x14ac:dyDescent="0.35">
      <c r="A380" s="5"/>
      <c r="B380" s="5" t="s">
        <v>37</v>
      </c>
      <c r="C380" s="73" t="str">
        <f t="shared" si="5"/>
        <v>Closed</v>
      </c>
      <c r="D380" s="45" t="s">
        <v>2308</v>
      </c>
      <c r="E380" s="54" t="s">
        <v>2309</v>
      </c>
      <c r="F380" s="5" t="s">
        <v>214</v>
      </c>
      <c r="G380" s="10">
        <f>DATE(2007,11,13)</f>
        <v>39399</v>
      </c>
      <c r="H380" s="35">
        <v>1.5833333333333335</v>
      </c>
      <c r="I380" s="5" t="s">
        <v>259</v>
      </c>
      <c r="J380" s="10" t="s">
        <v>2310</v>
      </c>
      <c r="K380" s="5" t="s">
        <v>216</v>
      </c>
      <c r="L380" s="5" t="s">
        <v>2311</v>
      </c>
      <c r="M380" s="5" t="s">
        <v>45</v>
      </c>
      <c r="N380" s="5">
        <v>0</v>
      </c>
      <c r="O380" s="5" t="s">
        <v>46</v>
      </c>
      <c r="P380" s="10" t="s">
        <v>146</v>
      </c>
      <c r="Q380" s="10" t="s">
        <v>1503</v>
      </c>
      <c r="R380" s="10" t="s">
        <v>219</v>
      </c>
      <c r="S380" s="5">
        <v>0</v>
      </c>
      <c r="T380" s="37">
        <v>0</v>
      </c>
      <c r="U380" s="5">
        <v>0</v>
      </c>
      <c r="V380" s="37">
        <v>0</v>
      </c>
      <c r="W380" s="5">
        <v>0</v>
      </c>
      <c r="X380" s="5">
        <v>0</v>
      </c>
      <c r="Y380" s="5">
        <v>0</v>
      </c>
      <c r="Z380" s="37">
        <v>1</v>
      </c>
      <c r="AA380" s="5">
        <v>0</v>
      </c>
      <c r="AB380" s="5">
        <v>0</v>
      </c>
      <c r="AC380" s="5">
        <v>0</v>
      </c>
      <c r="AD380" s="5">
        <v>1</v>
      </c>
      <c r="AE380" s="10" t="s">
        <v>50</v>
      </c>
      <c r="AF380" s="10"/>
      <c r="AG380" s="10" t="s">
        <v>333</v>
      </c>
      <c r="AH380" s="10" t="s">
        <v>50</v>
      </c>
      <c r="AI380" s="5">
        <v>9</v>
      </c>
      <c r="AJ380" s="10" t="s">
        <v>2312</v>
      </c>
      <c r="AK380" s="10" t="s">
        <v>2313</v>
      </c>
    </row>
    <row r="381" spans="1:37" ht="36.75" customHeight="1" x14ac:dyDescent="0.35">
      <c r="A381" s="5"/>
      <c r="B381" s="5" t="s">
        <v>37</v>
      </c>
      <c r="C381" s="73" t="str">
        <f t="shared" si="5"/>
        <v>Closed</v>
      </c>
      <c r="D381" s="45" t="s">
        <v>2314</v>
      </c>
      <c r="E381" s="54" t="s">
        <v>2315</v>
      </c>
      <c r="F381" s="5" t="s">
        <v>2316</v>
      </c>
      <c r="G381" s="10">
        <f>DATE(2007,11,15)</f>
        <v>39401</v>
      </c>
      <c r="H381" s="35">
        <v>1.5402777777777779</v>
      </c>
      <c r="I381" s="5" t="s">
        <v>97</v>
      </c>
      <c r="J381" s="10" t="s">
        <v>2317</v>
      </c>
      <c r="K381" s="5" t="s">
        <v>2318</v>
      </c>
      <c r="L381" s="5" t="s">
        <v>2319</v>
      </c>
      <c r="M381" s="5" t="s">
        <v>45</v>
      </c>
      <c r="N381" s="5">
        <v>0</v>
      </c>
      <c r="O381" s="5" t="s">
        <v>46</v>
      </c>
      <c r="P381" s="10" t="s">
        <v>47</v>
      </c>
      <c r="Q381" s="10" t="s">
        <v>2320</v>
      </c>
      <c r="R381" s="10" t="s">
        <v>2321</v>
      </c>
      <c r="S381" s="5">
        <v>0</v>
      </c>
      <c r="T381" s="37">
        <v>2</v>
      </c>
      <c r="U381" s="5">
        <v>0</v>
      </c>
      <c r="V381" s="37">
        <v>0</v>
      </c>
      <c r="W381" s="5">
        <v>0</v>
      </c>
      <c r="X381" s="5">
        <v>2</v>
      </c>
      <c r="Y381" s="5">
        <v>12</v>
      </c>
      <c r="Z381" s="37">
        <v>3</v>
      </c>
      <c r="AA381" s="5">
        <v>0</v>
      </c>
      <c r="AB381" s="5">
        <v>0</v>
      </c>
      <c r="AC381" s="5">
        <v>0</v>
      </c>
      <c r="AD381" s="5">
        <v>15</v>
      </c>
      <c r="AE381" s="10" t="s">
        <v>50</v>
      </c>
      <c r="AF381" s="10"/>
      <c r="AG381" s="10" t="s">
        <v>64</v>
      </c>
      <c r="AH381" s="10" t="s">
        <v>50</v>
      </c>
      <c r="AI381" s="5">
        <v>3</v>
      </c>
      <c r="AJ381" s="10" t="s">
        <v>2322</v>
      </c>
      <c r="AK381" s="10" t="s">
        <v>50</v>
      </c>
    </row>
    <row r="382" spans="1:37" ht="36.75" customHeight="1" x14ac:dyDescent="0.35">
      <c r="A382" s="5"/>
      <c r="B382" s="5" t="s">
        <v>37</v>
      </c>
      <c r="C382" s="73" t="str">
        <f t="shared" si="5"/>
        <v>Closed</v>
      </c>
      <c r="D382" s="45" t="s">
        <v>2323</v>
      </c>
      <c r="E382" s="54" t="s">
        <v>2324</v>
      </c>
      <c r="F382" s="5" t="s">
        <v>404</v>
      </c>
      <c r="G382" s="10">
        <f>DATE(2007,11,19)</f>
        <v>39405</v>
      </c>
      <c r="H382" s="35">
        <v>1.6465277777777778</v>
      </c>
      <c r="I382" s="5" t="s">
        <v>55</v>
      </c>
      <c r="J382" s="10" t="s">
        <v>2325</v>
      </c>
      <c r="K382" s="5" t="s">
        <v>406</v>
      </c>
      <c r="L382" s="5" t="s">
        <v>2326</v>
      </c>
      <c r="M382" s="5" t="s">
        <v>45</v>
      </c>
      <c r="N382" s="5">
        <v>0</v>
      </c>
      <c r="O382" s="5" t="s">
        <v>59</v>
      </c>
      <c r="P382" s="10" t="s">
        <v>60</v>
      </c>
      <c r="Q382" s="10" t="s">
        <v>971</v>
      </c>
      <c r="R382" s="10" t="s">
        <v>971</v>
      </c>
      <c r="S382" s="5">
        <v>0</v>
      </c>
      <c r="T382" s="37" t="s">
        <v>50</v>
      </c>
      <c r="U382" s="5">
        <v>0</v>
      </c>
      <c r="V382" s="37" t="s">
        <v>50</v>
      </c>
      <c r="W382" s="5">
        <v>0</v>
      </c>
      <c r="X382" s="5">
        <v>0</v>
      </c>
      <c r="Y382" s="5">
        <v>0</v>
      </c>
      <c r="Z382" s="37" t="s">
        <v>50</v>
      </c>
      <c r="AA382" s="5">
        <v>0</v>
      </c>
      <c r="AB382" s="5">
        <v>0</v>
      </c>
      <c r="AC382" s="5">
        <v>0</v>
      </c>
      <c r="AD382" s="5">
        <v>0</v>
      </c>
      <c r="AE382" s="10" t="s">
        <v>50</v>
      </c>
      <c r="AF382" s="10"/>
      <c r="AG382" s="10" t="s">
        <v>114</v>
      </c>
      <c r="AH382" s="10" t="s">
        <v>50</v>
      </c>
      <c r="AI382" s="5">
        <v>0</v>
      </c>
      <c r="AJ382" s="10" t="s">
        <v>2327</v>
      </c>
      <c r="AK382" s="10" t="s">
        <v>2328</v>
      </c>
    </row>
    <row r="383" spans="1:37" ht="36.75" customHeight="1" x14ac:dyDescent="0.35">
      <c r="A383" s="5"/>
      <c r="B383" s="5" t="s">
        <v>37</v>
      </c>
      <c r="C383" s="73" t="str">
        <f t="shared" si="5"/>
        <v>Closed</v>
      </c>
      <c r="D383" s="45" t="s">
        <v>2329</v>
      </c>
      <c r="E383" s="54" t="s">
        <v>2330</v>
      </c>
      <c r="F383" s="5" t="s">
        <v>40</v>
      </c>
      <c r="G383" s="10">
        <f>DATE(2007,11,21)</f>
        <v>39407</v>
      </c>
      <c r="H383" s="35">
        <v>1.5381944444444444</v>
      </c>
      <c r="I383" s="5" t="s">
        <v>97</v>
      </c>
      <c r="J383" s="10" t="s">
        <v>2331</v>
      </c>
      <c r="K383" s="5" t="s">
        <v>43</v>
      </c>
      <c r="L383" s="5" t="s">
        <v>2332</v>
      </c>
      <c r="M383" s="5" t="s">
        <v>45</v>
      </c>
      <c r="N383" s="5" t="s">
        <v>80</v>
      </c>
      <c r="O383" s="5" t="s">
        <v>46</v>
      </c>
      <c r="P383" s="10" t="s">
        <v>60</v>
      </c>
      <c r="Q383" s="10" t="s">
        <v>48</v>
      </c>
      <c r="R383" s="10" t="s">
        <v>49</v>
      </c>
      <c r="S383" s="5">
        <v>0</v>
      </c>
      <c r="T383" s="37">
        <v>0</v>
      </c>
      <c r="U383" s="5">
        <v>1</v>
      </c>
      <c r="V383" s="37">
        <v>0</v>
      </c>
      <c r="W383" s="5">
        <v>0</v>
      </c>
      <c r="X383" s="5">
        <v>1</v>
      </c>
      <c r="Y383" s="5">
        <v>0</v>
      </c>
      <c r="Z383" s="37">
        <v>0</v>
      </c>
      <c r="AA383" s="5">
        <v>0</v>
      </c>
      <c r="AB383" s="5">
        <v>0</v>
      </c>
      <c r="AC383" s="5">
        <v>0</v>
      </c>
      <c r="AD383" s="5">
        <v>0</v>
      </c>
      <c r="AE383" s="10" t="s">
        <v>73</v>
      </c>
      <c r="AF383" s="10"/>
      <c r="AG383" s="10" t="s">
        <v>64</v>
      </c>
      <c r="AH383" s="10">
        <v>39408</v>
      </c>
      <c r="AI383" s="5">
        <v>2</v>
      </c>
      <c r="AJ383" s="10" t="s">
        <v>2333</v>
      </c>
      <c r="AK383" s="10" t="s">
        <v>2334</v>
      </c>
    </row>
    <row r="384" spans="1:37" ht="36.75" customHeight="1" x14ac:dyDescent="0.35">
      <c r="A384" s="5"/>
      <c r="B384" s="5" t="s">
        <v>37</v>
      </c>
      <c r="C384" s="73" t="str">
        <f t="shared" si="5"/>
        <v>Closed</v>
      </c>
      <c r="D384" s="45" t="s">
        <v>2335</v>
      </c>
      <c r="E384" s="54" t="s">
        <v>2336</v>
      </c>
      <c r="F384" s="5" t="s">
        <v>96</v>
      </c>
      <c r="G384" s="10">
        <f>DATE(2007,11,21)</f>
        <v>39407</v>
      </c>
      <c r="H384" s="35">
        <v>1.4097222222222223</v>
      </c>
      <c r="I384" s="5" t="s">
        <v>179</v>
      </c>
      <c r="J384" s="10" t="s">
        <v>2337</v>
      </c>
      <c r="K384" s="5" t="s">
        <v>99</v>
      </c>
      <c r="L384" s="5" t="s">
        <v>2338</v>
      </c>
      <c r="M384" s="5" t="s">
        <v>45</v>
      </c>
      <c r="N384" s="5">
        <v>0</v>
      </c>
      <c r="O384" s="5" t="s">
        <v>46</v>
      </c>
      <c r="P384" s="10" t="s">
        <v>47</v>
      </c>
      <c r="Q384" s="10" t="s">
        <v>2339</v>
      </c>
      <c r="R384" s="10" t="s">
        <v>2339</v>
      </c>
      <c r="S384" s="5">
        <v>0</v>
      </c>
      <c r="T384" s="37">
        <v>0</v>
      </c>
      <c r="U384" s="5">
        <v>0</v>
      </c>
      <c r="V384" s="37">
        <v>0</v>
      </c>
      <c r="W384" s="5">
        <v>0</v>
      </c>
      <c r="X384" s="5">
        <v>0</v>
      </c>
      <c r="Y384" s="5">
        <v>1</v>
      </c>
      <c r="Z384" s="37">
        <v>4</v>
      </c>
      <c r="AA384" s="5">
        <v>0</v>
      </c>
      <c r="AB384" s="5">
        <v>0</v>
      </c>
      <c r="AC384" s="5">
        <v>0</v>
      </c>
      <c r="AD384" s="5">
        <v>5</v>
      </c>
      <c r="AE384" s="10" t="s">
        <v>50</v>
      </c>
      <c r="AF384" s="10"/>
      <c r="AG384" s="10" t="s">
        <v>2064</v>
      </c>
      <c r="AH384" s="10" t="s">
        <v>50</v>
      </c>
      <c r="AI384" s="5">
        <v>0</v>
      </c>
      <c r="AJ384" s="10" t="s">
        <v>50</v>
      </c>
      <c r="AK384" s="10" t="s">
        <v>50</v>
      </c>
    </row>
    <row r="385" spans="1:37" ht="36.75" customHeight="1" x14ac:dyDescent="0.35">
      <c r="A385" s="5"/>
      <c r="B385" s="5" t="s">
        <v>37</v>
      </c>
      <c r="C385" s="73" t="str">
        <f t="shared" si="5"/>
        <v>Closed</v>
      </c>
      <c r="D385" s="45" t="s">
        <v>2340</v>
      </c>
      <c r="E385" s="54" t="s">
        <v>2341</v>
      </c>
      <c r="F385" s="5" t="s">
        <v>105</v>
      </c>
      <c r="G385" s="10">
        <f>DATE(2007,11,21)</f>
        <v>39407</v>
      </c>
      <c r="H385" s="35">
        <v>1.4361111111111111</v>
      </c>
      <c r="I385" s="5" t="s">
        <v>179</v>
      </c>
      <c r="J385" s="10" t="s">
        <v>2342</v>
      </c>
      <c r="K385" s="5" t="s">
        <v>108</v>
      </c>
      <c r="L385" s="5" t="s">
        <v>2343</v>
      </c>
      <c r="M385" s="5" t="s">
        <v>236</v>
      </c>
      <c r="N385" s="5">
        <v>0</v>
      </c>
      <c r="O385" s="5" t="s">
        <v>46</v>
      </c>
      <c r="P385" s="10" t="s">
        <v>67</v>
      </c>
      <c r="Q385" s="10" t="s">
        <v>960</v>
      </c>
      <c r="R385" s="10" t="s">
        <v>112</v>
      </c>
      <c r="S385" s="5">
        <v>0</v>
      </c>
      <c r="T385" s="37" t="s">
        <v>50</v>
      </c>
      <c r="U385" s="5">
        <v>0</v>
      </c>
      <c r="V385" s="37" t="s">
        <v>50</v>
      </c>
      <c r="W385" s="5">
        <v>0</v>
      </c>
      <c r="X385" s="5">
        <v>0</v>
      </c>
      <c r="Y385" s="5">
        <v>0</v>
      </c>
      <c r="Z385" s="37" t="s">
        <v>50</v>
      </c>
      <c r="AA385" s="5">
        <v>0</v>
      </c>
      <c r="AB385" s="5">
        <v>0</v>
      </c>
      <c r="AC385" s="5">
        <v>0</v>
      </c>
      <c r="AD385" s="5">
        <v>0</v>
      </c>
      <c r="AE385" s="10" t="s">
        <v>50</v>
      </c>
      <c r="AF385" s="10"/>
      <c r="AG385" s="10" t="s">
        <v>348</v>
      </c>
      <c r="AH385" s="10" t="s">
        <v>50</v>
      </c>
      <c r="AI385" s="5">
        <v>3</v>
      </c>
      <c r="AJ385" s="10" t="s">
        <v>50</v>
      </c>
      <c r="AK385" s="10" t="s">
        <v>2344</v>
      </c>
    </row>
    <row r="386" spans="1:37" ht="36.75" customHeight="1" x14ac:dyDescent="0.35">
      <c r="A386" s="5"/>
      <c r="B386" s="5" t="s">
        <v>37</v>
      </c>
      <c r="C386" s="73" t="str">
        <f t="shared" ref="C386:C449" si="6">IF(B386="Notification","Open",IF(B386="Interim Statement","In progress","Closed"))</f>
        <v>Closed</v>
      </c>
      <c r="D386" s="45" t="s">
        <v>2345</v>
      </c>
      <c r="E386" s="54" t="s">
        <v>2346</v>
      </c>
      <c r="F386" s="5" t="s">
        <v>119</v>
      </c>
      <c r="G386" s="10">
        <f>DATE(2007,11,24)</f>
        <v>39410</v>
      </c>
      <c r="H386" s="35">
        <v>1.6076388888888888</v>
      </c>
      <c r="I386" s="5" t="s">
        <v>106</v>
      </c>
      <c r="J386" s="10" t="s">
        <v>2347</v>
      </c>
      <c r="K386" s="5" t="s">
        <v>121</v>
      </c>
      <c r="L386" s="5" t="s">
        <v>2348</v>
      </c>
      <c r="M386" s="5" t="s">
        <v>45</v>
      </c>
      <c r="N386" s="5" t="s">
        <v>123</v>
      </c>
      <c r="O386" s="5" t="s">
        <v>59</v>
      </c>
      <c r="P386" s="10" t="s">
        <v>282</v>
      </c>
      <c r="Q386" s="10" t="s">
        <v>1988</v>
      </c>
      <c r="R386" s="10" t="s">
        <v>125</v>
      </c>
      <c r="S386" s="5">
        <v>0</v>
      </c>
      <c r="T386" s="37">
        <v>0</v>
      </c>
      <c r="U386" s="5">
        <v>0</v>
      </c>
      <c r="V386" s="37">
        <v>0</v>
      </c>
      <c r="W386" s="5">
        <v>0</v>
      </c>
      <c r="X386" s="5">
        <v>0</v>
      </c>
      <c r="Y386" s="5">
        <v>0</v>
      </c>
      <c r="Z386" s="37">
        <v>0</v>
      </c>
      <c r="AA386" s="5">
        <v>0</v>
      </c>
      <c r="AB386" s="5">
        <v>0</v>
      </c>
      <c r="AC386" s="5">
        <v>0</v>
      </c>
      <c r="AD386" s="5">
        <v>0</v>
      </c>
      <c r="AE386" s="10" t="s">
        <v>126</v>
      </c>
      <c r="AF386" s="10"/>
      <c r="AG386" s="10" t="s">
        <v>855</v>
      </c>
      <c r="AH386" s="10">
        <v>39421</v>
      </c>
      <c r="AI386" s="5">
        <v>5</v>
      </c>
      <c r="AJ386" s="10" t="s">
        <v>2349</v>
      </c>
      <c r="AK386" s="10" t="s">
        <v>2350</v>
      </c>
    </row>
    <row r="387" spans="1:37" ht="36.75" customHeight="1" x14ac:dyDescent="0.35">
      <c r="A387" s="5"/>
      <c r="B387" s="5" t="s">
        <v>37</v>
      </c>
      <c r="C387" s="73" t="str">
        <f t="shared" si="6"/>
        <v>Closed</v>
      </c>
      <c r="D387" s="45" t="s">
        <v>2351</v>
      </c>
      <c r="E387" s="54" t="s">
        <v>2352</v>
      </c>
      <c r="F387" s="5" t="s">
        <v>96</v>
      </c>
      <c r="G387" s="10">
        <f>DATE(2007,11,26)</f>
        <v>39412</v>
      </c>
      <c r="H387" s="35">
        <v>1.7097222222222221</v>
      </c>
      <c r="I387" s="5" t="s">
        <v>97</v>
      </c>
      <c r="J387" s="10" t="s">
        <v>2353</v>
      </c>
      <c r="K387" s="5" t="s">
        <v>99</v>
      </c>
      <c r="L387" s="5" t="s">
        <v>2354</v>
      </c>
      <c r="M387" s="5" t="s">
        <v>45</v>
      </c>
      <c r="N387" s="5">
        <v>0</v>
      </c>
      <c r="O387" s="5" t="s">
        <v>46</v>
      </c>
      <c r="P387" s="10" t="s">
        <v>146</v>
      </c>
      <c r="Q387" s="10" t="s">
        <v>101</v>
      </c>
      <c r="R387" s="10" t="s">
        <v>102</v>
      </c>
      <c r="S387" s="5">
        <v>0</v>
      </c>
      <c r="T387" s="37" t="s">
        <v>50</v>
      </c>
      <c r="U387" s="5">
        <v>0</v>
      </c>
      <c r="V387" s="37" t="s">
        <v>50</v>
      </c>
      <c r="W387" s="5">
        <v>0</v>
      </c>
      <c r="X387" s="5">
        <v>0</v>
      </c>
      <c r="Y387" s="5">
        <v>0</v>
      </c>
      <c r="Z387" s="37" t="s">
        <v>50</v>
      </c>
      <c r="AA387" s="5">
        <v>0</v>
      </c>
      <c r="AB387" s="5">
        <v>0</v>
      </c>
      <c r="AC387" s="5">
        <v>0</v>
      </c>
      <c r="AD387" s="5">
        <v>0</v>
      </c>
      <c r="AE387" s="10" t="s">
        <v>50</v>
      </c>
      <c r="AF387" s="10"/>
      <c r="AG387" s="10" t="s">
        <v>114</v>
      </c>
      <c r="AH387" s="10" t="s">
        <v>50</v>
      </c>
      <c r="AI387" s="5">
        <v>3</v>
      </c>
      <c r="AJ387" s="10" t="s">
        <v>2355</v>
      </c>
      <c r="AK387" s="10" t="s">
        <v>50</v>
      </c>
    </row>
    <row r="388" spans="1:37" ht="36.75" customHeight="1" x14ac:dyDescent="0.35">
      <c r="A388" s="5"/>
      <c r="B388" s="5" t="s">
        <v>37</v>
      </c>
      <c r="C388" s="73" t="str">
        <f t="shared" si="6"/>
        <v>Closed</v>
      </c>
      <c r="D388" s="45" t="s">
        <v>2356</v>
      </c>
      <c r="E388" s="54" t="s">
        <v>2357</v>
      </c>
      <c r="F388" s="5" t="s">
        <v>404</v>
      </c>
      <c r="G388" s="10">
        <f>DATE(2007,11,27)</f>
        <v>39413</v>
      </c>
      <c r="H388" s="35">
        <v>1.7923611111111111</v>
      </c>
      <c r="I388" s="5" t="s">
        <v>55</v>
      </c>
      <c r="J388" s="10" t="s">
        <v>2358</v>
      </c>
      <c r="K388" s="5" t="s">
        <v>406</v>
      </c>
      <c r="L388" s="5" t="s">
        <v>2359</v>
      </c>
      <c r="M388" s="5" t="s">
        <v>45</v>
      </c>
      <c r="N388" s="5">
        <v>0</v>
      </c>
      <c r="O388" s="5" t="s">
        <v>59</v>
      </c>
      <c r="P388" s="10" t="s">
        <v>60</v>
      </c>
      <c r="Q388" s="10" t="s">
        <v>971</v>
      </c>
      <c r="R388" s="10" t="s">
        <v>971</v>
      </c>
      <c r="S388" s="5">
        <v>0</v>
      </c>
      <c r="T388" s="37" t="s">
        <v>50</v>
      </c>
      <c r="U388" s="5">
        <v>0</v>
      </c>
      <c r="V388" s="37" t="s">
        <v>50</v>
      </c>
      <c r="W388" s="5">
        <v>0</v>
      </c>
      <c r="X388" s="5">
        <v>0</v>
      </c>
      <c r="Y388" s="5">
        <v>0</v>
      </c>
      <c r="Z388" s="37" t="s">
        <v>50</v>
      </c>
      <c r="AA388" s="5">
        <v>0</v>
      </c>
      <c r="AB388" s="5">
        <v>0</v>
      </c>
      <c r="AC388" s="5">
        <v>0</v>
      </c>
      <c r="AD388" s="5">
        <v>0</v>
      </c>
      <c r="AE388" s="10" t="s">
        <v>50</v>
      </c>
      <c r="AF388" s="10"/>
      <c r="AG388" s="10" t="s">
        <v>333</v>
      </c>
      <c r="AH388" s="10" t="s">
        <v>50</v>
      </c>
      <c r="AI388" s="5">
        <v>2</v>
      </c>
      <c r="AJ388" s="10" t="s">
        <v>50</v>
      </c>
      <c r="AK388" s="10" t="s">
        <v>50</v>
      </c>
    </row>
    <row r="389" spans="1:37" ht="36.75" customHeight="1" x14ac:dyDescent="0.35">
      <c r="A389" s="5"/>
      <c r="B389" s="5" t="s">
        <v>37</v>
      </c>
      <c r="C389" s="73" t="str">
        <f t="shared" si="6"/>
        <v>Closed</v>
      </c>
      <c r="D389" s="45" t="s">
        <v>2360</v>
      </c>
      <c r="E389" s="54" t="s">
        <v>2361</v>
      </c>
      <c r="F389" s="5" t="s">
        <v>1751</v>
      </c>
      <c r="G389" s="10">
        <f>DATE(2007,11,29)</f>
        <v>39415</v>
      </c>
      <c r="H389" s="35">
        <v>1.3888888888888888</v>
      </c>
      <c r="I389" s="5" t="s">
        <v>259</v>
      </c>
      <c r="J389" s="10" t="s">
        <v>2362</v>
      </c>
      <c r="K389" s="5" t="s">
        <v>1753</v>
      </c>
      <c r="L389" s="5" t="s">
        <v>2363</v>
      </c>
      <c r="M389" s="5" t="s">
        <v>45</v>
      </c>
      <c r="N389" s="5" t="s">
        <v>123</v>
      </c>
      <c r="O389" s="5" t="s">
        <v>46</v>
      </c>
      <c r="P389" s="10" t="s">
        <v>47</v>
      </c>
      <c r="Q389" s="10" t="s">
        <v>1755</v>
      </c>
      <c r="R389" s="10" t="s">
        <v>1756</v>
      </c>
      <c r="S389" s="5">
        <v>0</v>
      </c>
      <c r="T389" s="37">
        <v>2</v>
      </c>
      <c r="U389" s="5">
        <v>0</v>
      </c>
      <c r="V389" s="37">
        <v>0</v>
      </c>
      <c r="W389" s="5">
        <v>0</v>
      </c>
      <c r="X389" s="5">
        <v>2</v>
      </c>
      <c r="Y389" s="5">
        <v>0</v>
      </c>
      <c r="Z389" s="37">
        <v>0</v>
      </c>
      <c r="AA389" s="5">
        <v>0</v>
      </c>
      <c r="AB389" s="5">
        <v>0</v>
      </c>
      <c r="AC389" s="5">
        <v>0</v>
      </c>
      <c r="AD389" s="5">
        <v>0</v>
      </c>
      <c r="AE389" s="10" t="s">
        <v>73</v>
      </c>
      <c r="AF389" s="10"/>
      <c r="AG389" s="10" t="s">
        <v>64</v>
      </c>
      <c r="AH389" s="10">
        <v>39419</v>
      </c>
      <c r="AI389" s="5">
        <v>4</v>
      </c>
      <c r="AJ389" s="10" t="s">
        <v>2364</v>
      </c>
      <c r="AK389" s="10" t="s">
        <v>1215</v>
      </c>
    </row>
    <row r="390" spans="1:37" ht="36.75" customHeight="1" x14ac:dyDescent="0.35">
      <c r="A390" s="5"/>
      <c r="B390" s="5" t="s">
        <v>37</v>
      </c>
      <c r="C390" s="73" t="str">
        <f t="shared" si="6"/>
        <v>Closed</v>
      </c>
      <c r="D390" s="45" t="s">
        <v>2365</v>
      </c>
      <c r="E390" s="54" t="s">
        <v>2366</v>
      </c>
      <c r="F390" s="5" t="s">
        <v>214</v>
      </c>
      <c r="G390" s="10">
        <f>DATE(2007,11,29)</f>
        <v>39415</v>
      </c>
      <c r="H390" s="35">
        <v>1.2048611111111112</v>
      </c>
      <c r="I390" s="5" t="s">
        <v>259</v>
      </c>
      <c r="J390" s="10" t="s">
        <v>2367</v>
      </c>
      <c r="K390" s="5" t="s">
        <v>216</v>
      </c>
      <c r="L390" s="5" t="s">
        <v>2368</v>
      </c>
      <c r="M390" s="5" t="s">
        <v>45</v>
      </c>
      <c r="N390" s="5">
        <v>0</v>
      </c>
      <c r="O390" s="5" t="s">
        <v>46</v>
      </c>
      <c r="P390" s="10" t="s">
        <v>146</v>
      </c>
      <c r="Q390" s="10" t="s">
        <v>1410</v>
      </c>
      <c r="R390" s="10" t="s">
        <v>219</v>
      </c>
      <c r="S390" s="5">
        <v>0</v>
      </c>
      <c r="T390" s="37">
        <v>1</v>
      </c>
      <c r="U390" s="5">
        <v>0</v>
      </c>
      <c r="V390" s="37">
        <v>0</v>
      </c>
      <c r="W390" s="5">
        <v>0</v>
      </c>
      <c r="X390" s="5">
        <v>1</v>
      </c>
      <c r="Y390" s="5">
        <v>0</v>
      </c>
      <c r="Z390" s="37">
        <v>0</v>
      </c>
      <c r="AA390" s="5">
        <v>0</v>
      </c>
      <c r="AB390" s="5">
        <v>0</v>
      </c>
      <c r="AC390" s="5">
        <v>0</v>
      </c>
      <c r="AD390" s="5">
        <v>0</v>
      </c>
      <c r="AE390" s="10" t="s">
        <v>50</v>
      </c>
      <c r="AF390" s="10"/>
      <c r="AG390" s="10" t="s">
        <v>64</v>
      </c>
      <c r="AH390" s="10" t="s">
        <v>50</v>
      </c>
      <c r="AI390" s="5">
        <v>5</v>
      </c>
      <c r="AJ390" s="10" t="s">
        <v>2369</v>
      </c>
      <c r="AK390" s="10" t="s">
        <v>2370</v>
      </c>
    </row>
    <row r="391" spans="1:37" ht="36.75" customHeight="1" x14ac:dyDescent="0.35">
      <c r="A391" s="5"/>
      <c r="B391" s="5" t="s">
        <v>37</v>
      </c>
      <c r="C391" s="73" t="str">
        <f t="shared" si="6"/>
        <v>Closed</v>
      </c>
      <c r="D391" s="45" t="s">
        <v>2371</v>
      </c>
      <c r="E391" s="54" t="s">
        <v>2372</v>
      </c>
      <c r="F391" s="5" t="s">
        <v>404</v>
      </c>
      <c r="G391" s="10">
        <f>DATE(2007,12,1)</f>
        <v>39417</v>
      </c>
      <c r="H391" s="35">
        <v>1.4930555555555556</v>
      </c>
      <c r="I391" s="5" t="s">
        <v>55</v>
      </c>
      <c r="J391" s="10" t="s">
        <v>2373</v>
      </c>
      <c r="K391" s="5" t="s">
        <v>406</v>
      </c>
      <c r="L391" s="5" t="s">
        <v>2374</v>
      </c>
      <c r="M391" s="5" t="s">
        <v>45</v>
      </c>
      <c r="N391" s="5">
        <v>0</v>
      </c>
      <c r="O391" s="5" t="s">
        <v>46</v>
      </c>
      <c r="P391" s="10" t="s">
        <v>47</v>
      </c>
      <c r="Q391" s="10" t="s">
        <v>971</v>
      </c>
      <c r="R391" s="10" t="s">
        <v>971</v>
      </c>
      <c r="S391" s="5">
        <v>0</v>
      </c>
      <c r="T391" s="37" t="s">
        <v>50</v>
      </c>
      <c r="U391" s="5">
        <v>0</v>
      </c>
      <c r="V391" s="37" t="s">
        <v>50</v>
      </c>
      <c r="W391" s="5">
        <v>0</v>
      </c>
      <c r="X391" s="5">
        <v>0</v>
      </c>
      <c r="Y391" s="5">
        <v>0</v>
      </c>
      <c r="Z391" s="37" t="s">
        <v>50</v>
      </c>
      <c r="AA391" s="5">
        <v>0</v>
      </c>
      <c r="AB391" s="5">
        <v>0</v>
      </c>
      <c r="AC391" s="5">
        <v>0</v>
      </c>
      <c r="AD391" s="5">
        <v>0</v>
      </c>
      <c r="AE391" s="10" t="s">
        <v>50</v>
      </c>
      <c r="AF391" s="10"/>
      <c r="AG391" s="10" t="s">
        <v>114</v>
      </c>
      <c r="AH391" s="10" t="s">
        <v>50</v>
      </c>
      <c r="AI391" s="5">
        <v>4</v>
      </c>
      <c r="AJ391" s="10" t="s">
        <v>50</v>
      </c>
      <c r="AK391" s="10" t="s">
        <v>50</v>
      </c>
    </row>
    <row r="392" spans="1:37" ht="36.75" customHeight="1" x14ac:dyDescent="0.35">
      <c r="A392" s="5"/>
      <c r="B392" s="5" t="s">
        <v>37</v>
      </c>
      <c r="C392" s="73" t="str">
        <f t="shared" si="6"/>
        <v>Closed</v>
      </c>
      <c r="D392" s="45" t="s">
        <v>2375</v>
      </c>
      <c r="E392" s="54" t="s">
        <v>2376</v>
      </c>
      <c r="F392" s="5" t="s">
        <v>96</v>
      </c>
      <c r="G392" s="10">
        <f>DATE(2007,12,3)</f>
        <v>39419</v>
      </c>
      <c r="H392" s="35">
        <v>1.3847222222222222</v>
      </c>
      <c r="I392" s="5" t="s">
        <v>97</v>
      </c>
      <c r="J392" s="10" t="s">
        <v>2377</v>
      </c>
      <c r="K392" s="5" t="s">
        <v>99</v>
      </c>
      <c r="L392" s="5" t="s">
        <v>2378</v>
      </c>
      <c r="M392" s="5" t="s">
        <v>45</v>
      </c>
      <c r="N392" s="5">
        <v>0</v>
      </c>
      <c r="O392" s="5" t="s">
        <v>46</v>
      </c>
      <c r="P392" s="10" t="s">
        <v>146</v>
      </c>
      <c r="Q392" s="10" t="s">
        <v>101</v>
      </c>
      <c r="R392" s="10" t="s">
        <v>102</v>
      </c>
      <c r="S392" s="5">
        <v>0</v>
      </c>
      <c r="T392" s="37">
        <v>0</v>
      </c>
      <c r="U392" s="5">
        <v>3</v>
      </c>
      <c r="V392" s="37">
        <v>0</v>
      </c>
      <c r="W392" s="5">
        <v>0</v>
      </c>
      <c r="X392" s="5">
        <v>3</v>
      </c>
      <c r="Y392" s="5">
        <v>0</v>
      </c>
      <c r="Z392" s="37">
        <v>0</v>
      </c>
      <c r="AA392" s="5">
        <v>0</v>
      </c>
      <c r="AB392" s="5">
        <v>0</v>
      </c>
      <c r="AC392" s="5">
        <v>0</v>
      </c>
      <c r="AD392" s="5">
        <v>0</v>
      </c>
      <c r="AE392" s="10" t="s">
        <v>50</v>
      </c>
      <c r="AF392" s="10"/>
      <c r="AG392" s="10" t="s">
        <v>333</v>
      </c>
      <c r="AH392" s="10" t="s">
        <v>50</v>
      </c>
      <c r="AI392" s="5">
        <v>0</v>
      </c>
      <c r="AJ392" s="10" t="s">
        <v>50</v>
      </c>
      <c r="AK392" s="10" t="s">
        <v>50</v>
      </c>
    </row>
    <row r="393" spans="1:37" ht="36.75" customHeight="1" x14ac:dyDescent="0.35">
      <c r="A393" s="5"/>
      <c r="B393" s="5" t="s">
        <v>37</v>
      </c>
      <c r="C393" s="73" t="str">
        <f t="shared" si="6"/>
        <v>Closed</v>
      </c>
      <c r="D393" s="45" t="s">
        <v>2379</v>
      </c>
      <c r="E393" s="54" t="s">
        <v>2380</v>
      </c>
      <c r="F393" s="5" t="s">
        <v>214</v>
      </c>
      <c r="G393" s="10">
        <f>DATE(2007,12,5)</f>
        <v>39421</v>
      </c>
      <c r="H393" s="35">
        <v>1.0777777777777777</v>
      </c>
      <c r="I393" s="5" t="s">
        <v>179</v>
      </c>
      <c r="J393" s="10" t="s">
        <v>2381</v>
      </c>
      <c r="K393" s="5" t="s">
        <v>216</v>
      </c>
      <c r="L393" s="5" t="s">
        <v>2382</v>
      </c>
      <c r="M393" s="5" t="s">
        <v>45</v>
      </c>
      <c r="N393" s="5">
        <v>0</v>
      </c>
      <c r="O393" s="5" t="s">
        <v>67</v>
      </c>
      <c r="P393" s="10" t="s">
        <v>282</v>
      </c>
      <c r="Q393" s="10" t="s">
        <v>699</v>
      </c>
      <c r="R393" s="10" t="s">
        <v>219</v>
      </c>
      <c r="S393" s="5">
        <v>0</v>
      </c>
      <c r="T393" s="37" t="s">
        <v>50</v>
      </c>
      <c r="U393" s="5">
        <v>0</v>
      </c>
      <c r="V393" s="37" t="s">
        <v>50</v>
      </c>
      <c r="W393" s="5">
        <v>0</v>
      </c>
      <c r="X393" s="5">
        <v>0</v>
      </c>
      <c r="Y393" s="5">
        <v>0</v>
      </c>
      <c r="Z393" s="37" t="s">
        <v>50</v>
      </c>
      <c r="AA393" s="5">
        <v>0</v>
      </c>
      <c r="AB393" s="5">
        <v>0</v>
      </c>
      <c r="AC393" s="5">
        <v>0</v>
      </c>
      <c r="AD393" s="5">
        <v>0</v>
      </c>
      <c r="AE393" s="10" t="s">
        <v>50</v>
      </c>
      <c r="AF393" s="10"/>
      <c r="AG393" s="10" t="s">
        <v>333</v>
      </c>
      <c r="AH393" s="10" t="s">
        <v>50</v>
      </c>
      <c r="AI393" s="5">
        <v>7</v>
      </c>
      <c r="AJ393" s="10" t="s">
        <v>2383</v>
      </c>
      <c r="AK393" s="10" t="s">
        <v>2384</v>
      </c>
    </row>
    <row r="394" spans="1:37" ht="36.75" customHeight="1" x14ac:dyDescent="0.35">
      <c r="A394" s="5"/>
      <c r="B394" s="5" t="s">
        <v>37</v>
      </c>
      <c r="C394" s="73" t="str">
        <f t="shared" si="6"/>
        <v>Closed</v>
      </c>
      <c r="D394" s="45" t="s">
        <v>2385</v>
      </c>
      <c r="E394" s="54" t="s">
        <v>2386</v>
      </c>
      <c r="F394" s="5" t="s">
        <v>404</v>
      </c>
      <c r="G394" s="10">
        <f>DATE(2007,12,6)</f>
        <v>39422</v>
      </c>
      <c r="H394" s="35">
        <v>1.7715277777777776</v>
      </c>
      <c r="I394" s="5" t="s">
        <v>55</v>
      </c>
      <c r="J394" s="10" t="s">
        <v>2387</v>
      </c>
      <c r="K394" s="5" t="s">
        <v>406</v>
      </c>
      <c r="L394" s="5" t="s">
        <v>2388</v>
      </c>
      <c r="M394" s="5" t="s">
        <v>45</v>
      </c>
      <c r="N394" s="5">
        <v>0</v>
      </c>
      <c r="O394" s="5" t="s">
        <v>59</v>
      </c>
      <c r="P394" s="10" t="s">
        <v>146</v>
      </c>
      <c r="Q394" s="10" t="s">
        <v>971</v>
      </c>
      <c r="R394" s="10" t="s">
        <v>971</v>
      </c>
      <c r="S394" s="5">
        <v>0</v>
      </c>
      <c r="T394" s="37" t="s">
        <v>50</v>
      </c>
      <c r="U394" s="5">
        <v>0</v>
      </c>
      <c r="V394" s="37" t="s">
        <v>50</v>
      </c>
      <c r="W394" s="5">
        <v>0</v>
      </c>
      <c r="X394" s="5">
        <v>0</v>
      </c>
      <c r="Y394" s="5">
        <v>0</v>
      </c>
      <c r="Z394" s="37" t="s">
        <v>50</v>
      </c>
      <c r="AA394" s="5">
        <v>0</v>
      </c>
      <c r="AB394" s="5">
        <v>0</v>
      </c>
      <c r="AC394" s="5">
        <v>0</v>
      </c>
      <c r="AD394" s="5">
        <v>0</v>
      </c>
      <c r="AE394" s="10" t="s">
        <v>50</v>
      </c>
      <c r="AF394" s="10"/>
      <c r="AG394" s="10" t="s">
        <v>114</v>
      </c>
      <c r="AH394" s="10" t="s">
        <v>50</v>
      </c>
      <c r="AI394" s="5">
        <v>1</v>
      </c>
      <c r="AJ394" s="10" t="s">
        <v>50</v>
      </c>
      <c r="AK394" s="10" t="s">
        <v>50</v>
      </c>
    </row>
    <row r="395" spans="1:37" ht="36.75" customHeight="1" x14ac:dyDescent="0.35">
      <c r="A395" s="5"/>
      <c r="B395" s="5" t="s">
        <v>37</v>
      </c>
      <c r="C395" s="73" t="str">
        <f t="shared" si="6"/>
        <v>Closed</v>
      </c>
      <c r="D395" s="45" t="s">
        <v>2389</v>
      </c>
      <c r="E395" s="54" t="s">
        <v>2390</v>
      </c>
      <c r="F395" s="5" t="s">
        <v>1553</v>
      </c>
      <c r="G395" s="10">
        <f>DATE(2007,12,13)</f>
        <v>39429</v>
      </c>
      <c r="H395" s="35">
        <v>1.9673611111111109</v>
      </c>
      <c r="I395" s="5" t="s">
        <v>55</v>
      </c>
      <c r="J395" s="10" t="s">
        <v>2391</v>
      </c>
      <c r="K395" s="5" t="s">
        <v>1555</v>
      </c>
      <c r="L395" s="5" t="s">
        <v>2392</v>
      </c>
      <c r="M395" s="5" t="s">
        <v>45</v>
      </c>
      <c r="N395" s="5">
        <v>0</v>
      </c>
      <c r="O395" s="5" t="s">
        <v>59</v>
      </c>
      <c r="P395" s="10" t="s">
        <v>47</v>
      </c>
      <c r="Q395" s="10" t="s">
        <v>2393</v>
      </c>
      <c r="R395" s="10">
        <v>0</v>
      </c>
      <c r="S395" s="5">
        <v>0</v>
      </c>
      <c r="T395" s="37" t="s">
        <v>50</v>
      </c>
      <c r="U395" s="5">
        <v>0</v>
      </c>
      <c r="V395" s="37" t="s">
        <v>50</v>
      </c>
      <c r="W395" s="5">
        <v>0</v>
      </c>
      <c r="X395" s="5">
        <v>0</v>
      </c>
      <c r="Y395" s="5">
        <v>0</v>
      </c>
      <c r="Z395" s="37" t="s">
        <v>50</v>
      </c>
      <c r="AA395" s="5">
        <v>0</v>
      </c>
      <c r="AB395" s="5">
        <v>0</v>
      </c>
      <c r="AC395" s="5">
        <v>0</v>
      </c>
      <c r="AD395" s="5">
        <v>0</v>
      </c>
      <c r="AE395" s="10" t="s">
        <v>50</v>
      </c>
      <c r="AF395" s="10"/>
      <c r="AG395" s="10" t="s">
        <v>1489</v>
      </c>
      <c r="AH395" s="10" t="s">
        <v>50</v>
      </c>
      <c r="AI395" s="5">
        <v>3</v>
      </c>
      <c r="AJ395" s="10" t="s">
        <v>2394</v>
      </c>
      <c r="AK395" s="10" t="s">
        <v>2395</v>
      </c>
    </row>
    <row r="396" spans="1:37" ht="36.75" customHeight="1" x14ac:dyDescent="0.35">
      <c r="A396" s="5"/>
      <c r="B396" s="5" t="s">
        <v>37</v>
      </c>
      <c r="C396" s="73" t="str">
        <f t="shared" si="6"/>
        <v>Closed</v>
      </c>
      <c r="D396" s="45" t="s">
        <v>2396</v>
      </c>
      <c r="E396" s="54" t="s">
        <v>2397</v>
      </c>
      <c r="F396" s="5" t="s">
        <v>119</v>
      </c>
      <c r="G396" s="10">
        <f>DATE(2007,12,13)</f>
        <v>39429</v>
      </c>
      <c r="H396" s="35">
        <v>1.3298611111111112</v>
      </c>
      <c r="I396" s="5" t="s">
        <v>2398</v>
      </c>
      <c r="J396" s="10" t="s">
        <v>2399</v>
      </c>
      <c r="K396" s="5" t="s">
        <v>121</v>
      </c>
      <c r="L396" s="5" t="s">
        <v>2400</v>
      </c>
      <c r="M396" s="5" t="s">
        <v>45</v>
      </c>
      <c r="N396" s="5" t="s">
        <v>123</v>
      </c>
      <c r="O396" s="5" t="s">
        <v>59</v>
      </c>
      <c r="P396" s="10" t="s">
        <v>146</v>
      </c>
      <c r="Q396" s="10" t="s">
        <v>2401</v>
      </c>
      <c r="R396" s="10" t="s">
        <v>125</v>
      </c>
      <c r="S396" s="5">
        <v>0</v>
      </c>
      <c r="T396" s="37">
        <v>0</v>
      </c>
      <c r="U396" s="5">
        <v>0</v>
      </c>
      <c r="V396" s="37">
        <v>0</v>
      </c>
      <c r="W396" s="5">
        <v>0</v>
      </c>
      <c r="X396" s="5">
        <v>0</v>
      </c>
      <c r="Y396" s="5">
        <v>0</v>
      </c>
      <c r="Z396" s="37">
        <v>0</v>
      </c>
      <c r="AA396" s="5">
        <v>0</v>
      </c>
      <c r="AB396" s="5">
        <v>0</v>
      </c>
      <c r="AC396" s="5">
        <v>0</v>
      </c>
      <c r="AD396" s="5">
        <v>0</v>
      </c>
      <c r="AE396" s="10" t="s">
        <v>73</v>
      </c>
      <c r="AF396" s="10"/>
      <c r="AG396" s="10" t="s">
        <v>114</v>
      </c>
      <c r="AH396" s="10">
        <v>39436</v>
      </c>
      <c r="AI396" s="5">
        <v>3</v>
      </c>
      <c r="AJ396" s="10" t="s">
        <v>2402</v>
      </c>
      <c r="AK396" s="10" t="s">
        <v>2403</v>
      </c>
    </row>
    <row r="397" spans="1:37" ht="36.75" customHeight="1" x14ac:dyDescent="0.35">
      <c r="A397" s="5"/>
      <c r="B397" s="5" t="s">
        <v>37</v>
      </c>
      <c r="C397" s="73" t="str">
        <f t="shared" si="6"/>
        <v>Closed</v>
      </c>
      <c r="D397" s="45" t="s">
        <v>2404</v>
      </c>
      <c r="E397" s="54" t="s">
        <v>2405</v>
      </c>
      <c r="F397" s="5" t="s">
        <v>1751</v>
      </c>
      <c r="G397" s="10">
        <f>DATE(2007,12,14)</f>
        <v>39430</v>
      </c>
      <c r="H397" s="35">
        <v>1.8423611111111109</v>
      </c>
      <c r="I397" s="5" t="s">
        <v>259</v>
      </c>
      <c r="J397" s="10" t="s">
        <v>2406</v>
      </c>
      <c r="K397" s="5" t="s">
        <v>1753</v>
      </c>
      <c r="L397" s="5" t="s">
        <v>2407</v>
      </c>
      <c r="M397" s="5" t="s">
        <v>45</v>
      </c>
      <c r="N397" s="5" t="s">
        <v>123</v>
      </c>
      <c r="O397" s="5" t="s">
        <v>46</v>
      </c>
      <c r="P397" s="10" t="s">
        <v>146</v>
      </c>
      <c r="Q397" s="10" t="s">
        <v>1755</v>
      </c>
      <c r="R397" s="10" t="s">
        <v>1756</v>
      </c>
      <c r="S397" s="5">
        <v>1</v>
      </c>
      <c r="T397" s="37">
        <v>0</v>
      </c>
      <c r="U397" s="5">
        <v>0</v>
      </c>
      <c r="V397" s="37">
        <v>0</v>
      </c>
      <c r="W397" s="5">
        <v>0</v>
      </c>
      <c r="X397" s="5">
        <v>1</v>
      </c>
      <c r="Y397" s="5">
        <v>0</v>
      </c>
      <c r="Z397" s="37">
        <v>0</v>
      </c>
      <c r="AA397" s="5">
        <v>0</v>
      </c>
      <c r="AB397" s="5">
        <v>0</v>
      </c>
      <c r="AC397" s="5">
        <v>0</v>
      </c>
      <c r="AD397" s="5">
        <v>0</v>
      </c>
      <c r="AE397" s="10" t="s">
        <v>73</v>
      </c>
      <c r="AF397" s="10"/>
      <c r="AG397" s="10" t="s">
        <v>114</v>
      </c>
      <c r="AH397" s="10">
        <v>39435</v>
      </c>
      <c r="AI397" s="5">
        <v>4</v>
      </c>
      <c r="AJ397" s="10" t="s">
        <v>2408</v>
      </c>
      <c r="AK397" s="10" t="s">
        <v>50</v>
      </c>
    </row>
    <row r="398" spans="1:37" ht="36.75" customHeight="1" x14ac:dyDescent="0.35">
      <c r="A398" s="5"/>
      <c r="B398" s="5" t="s">
        <v>37</v>
      </c>
      <c r="C398" s="73" t="str">
        <f t="shared" si="6"/>
        <v>Closed</v>
      </c>
      <c r="D398" s="45" t="s">
        <v>2409</v>
      </c>
      <c r="E398" s="54" t="s">
        <v>2410</v>
      </c>
      <c r="F398" s="5" t="s">
        <v>816</v>
      </c>
      <c r="G398" s="10">
        <f>DATE(2007,12,15)</f>
        <v>39431</v>
      </c>
      <c r="H398" s="35">
        <v>1.6041666666666665</v>
      </c>
      <c r="I398" s="5" t="s">
        <v>67</v>
      </c>
      <c r="J398" s="10" t="s">
        <v>2411</v>
      </c>
      <c r="K398" s="5" t="s">
        <v>818</v>
      </c>
      <c r="L398" s="5" t="s">
        <v>2412</v>
      </c>
      <c r="M398" s="5" t="s">
        <v>45</v>
      </c>
      <c r="N398" s="5">
        <v>0</v>
      </c>
      <c r="O398" s="5" t="s">
        <v>59</v>
      </c>
      <c r="P398" s="10" t="s">
        <v>67</v>
      </c>
      <c r="Q398" s="10" t="s">
        <v>820</v>
      </c>
      <c r="R398" s="10" t="s">
        <v>821</v>
      </c>
      <c r="S398" s="5">
        <v>0</v>
      </c>
      <c r="T398" s="37">
        <v>0</v>
      </c>
      <c r="U398" s="5">
        <v>0</v>
      </c>
      <c r="V398" s="37">
        <v>0</v>
      </c>
      <c r="W398" s="5">
        <v>0</v>
      </c>
      <c r="X398" s="5">
        <v>0</v>
      </c>
      <c r="Y398" s="5">
        <v>0</v>
      </c>
      <c r="Z398" s="37">
        <v>0</v>
      </c>
      <c r="AA398" s="5">
        <v>0</v>
      </c>
      <c r="AB398" s="5">
        <v>1</v>
      </c>
      <c r="AC398" s="5">
        <v>0</v>
      </c>
      <c r="AD398" s="5">
        <v>1</v>
      </c>
      <c r="AE398" s="10" t="s">
        <v>50</v>
      </c>
      <c r="AF398" s="10"/>
      <c r="AG398" s="10" t="s">
        <v>333</v>
      </c>
      <c r="AH398" s="10" t="s">
        <v>50</v>
      </c>
      <c r="AI398" s="5">
        <v>2</v>
      </c>
      <c r="AJ398" s="10" t="s">
        <v>50</v>
      </c>
      <c r="AK398" s="10" t="s">
        <v>50</v>
      </c>
    </row>
    <row r="399" spans="1:37" ht="36.75" customHeight="1" x14ac:dyDescent="0.35">
      <c r="A399" s="5"/>
      <c r="B399" s="5" t="s">
        <v>37</v>
      </c>
      <c r="C399" s="73" t="str">
        <f t="shared" si="6"/>
        <v>Closed</v>
      </c>
      <c r="D399" s="45" t="s">
        <v>2413</v>
      </c>
      <c r="E399" s="54" t="s">
        <v>2414</v>
      </c>
      <c r="F399" s="5" t="s">
        <v>1553</v>
      </c>
      <c r="G399" s="10">
        <f>DATE(2007,12,15)</f>
        <v>39431</v>
      </c>
      <c r="H399" s="35">
        <v>1.8958333333333335</v>
      </c>
      <c r="I399" s="5" t="s">
        <v>55</v>
      </c>
      <c r="J399" s="10" t="s">
        <v>2415</v>
      </c>
      <c r="K399" s="5" t="s">
        <v>1555</v>
      </c>
      <c r="L399" s="5" t="s">
        <v>2416</v>
      </c>
      <c r="M399" s="5" t="s">
        <v>45</v>
      </c>
      <c r="N399" s="5">
        <v>0</v>
      </c>
      <c r="O399" s="5" t="s">
        <v>46</v>
      </c>
      <c r="P399" s="10" t="s">
        <v>60</v>
      </c>
      <c r="Q399" s="10" t="s">
        <v>2417</v>
      </c>
      <c r="R399" s="10">
        <v>0</v>
      </c>
      <c r="S399" s="5">
        <v>0</v>
      </c>
      <c r="T399" s="37" t="s">
        <v>50</v>
      </c>
      <c r="U399" s="5">
        <v>0</v>
      </c>
      <c r="V399" s="37" t="s">
        <v>50</v>
      </c>
      <c r="W399" s="5">
        <v>0</v>
      </c>
      <c r="X399" s="5">
        <v>0</v>
      </c>
      <c r="Y399" s="5">
        <v>0</v>
      </c>
      <c r="Z399" s="37" t="s">
        <v>50</v>
      </c>
      <c r="AA399" s="5">
        <v>0</v>
      </c>
      <c r="AB399" s="5">
        <v>0</v>
      </c>
      <c r="AC399" s="5">
        <v>0</v>
      </c>
      <c r="AD399" s="5">
        <v>0</v>
      </c>
      <c r="AE399" s="10" t="s">
        <v>50</v>
      </c>
      <c r="AF399" s="10"/>
      <c r="AG399" s="10" t="s">
        <v>333</v>
      </c>
      <c r="AH399" s="10" t="s">
        <v>50</v>
      </c>
      <c r="AI399" s="5">
        <v>3</v>
      </c>
      <c r="AJ399" s="10" t="s">
        <v>2418</v>
      </c>
      <c r="AK399" s="10" t="s">
        <v>2419</v>
      </c>
    </row>
    <row r="400" spans="1:37" ht="36.75" customHeight="1" x14ac:dyDescent="0.35">
      <c r="A400" s="5"/>
      <c r="B400" s="5" t="s">
        <v>37</v>
      </c>
      <c r="C400" s="73" t="str">
        <f t="shared" si="6"/>
        <v>Closed</v>
      </c>
      <c r="D400" s="45" t="s">
        <v>2420</v>
      </c>
      <c r="E400" s="54" t="s">
        <v>2421</v>
      </c>
      <c r="F400" s="5" t="s">
        <v>1751</v>
      </c>
      <c r="G400" s="10">
        <f>DATE(2007,12,17)</f>
        <v>39433</v>
      </c>
      <c r="H400" s="35">
        <v>1.33125</v>
      </c>
      <c r="I400" s="5" t="s">
        <v>259</v>
      </c>
      <c r="J400" s="10" t="s">
        <v>2422</v>
      </c>
      <c r="K400" s="5" t="s">
        <v>1753</v>
      </c>
      <c r="L400" s="5" t="s">
        <v>2423</v>
      </c>
      <c r="M400" s="5" t="s">
        <v>45</v>
      </c>
      <c r="N400" s="5" t="s">
        <v>123</v>
      </c>
      <c r="O400" s="5" t="s">
        <v>46</v>
      </c>
      <c r="P400" s="10" t="s">
        <v>146</v>
      </c>
      <c r="Q400" s="10" t="s">
        <v>1755</v>
      </c>
      <c r="R400" s="10" t="s">
        <v>1756</v>
      </c>
      <c r="S400" s="5">
        <v>1</v>
      </c>
      <c r="T400" s="37">
        <v>0</v>
      </c>
      <c r="U400" s="5">
        <v>0</v>
      </c>
      <c r="V400" s="37">
        <v>0</v>
      </c>
      <c r="W400" s="5">
        <v>0</v>
      </c>
      <c r="X400" s="5">
        <v>1</v>
      </c>
      <c r="Y400" s="5">
        <v>0</v>
      </c>
      <c r="Z400" s="37">
        <v>0</v>
      </c>
      <c r="AA400" s="5">
        <v>0</v>
      </c>
      <c r="AB400" s="5">
        <v>0</v>
      </c>
      <c r="AC400" s="5">
        <v>0</v>
      </c>
      <c r="AD400" s="5">
        <v>0</v>
      </c>
      <c r="AE400" s="10" t="s">
        <v>73</v>
      </c>
      <c r="AF400" s="10"/>
      <c r="AG400" s="10" t="s">
        <v>114</v>
      </c>
      <c r="AH400" s="10">
        <v>39435</v>
      </c>
      <c r="AI400" s="5">
        <v>2</v>
      </c>
      <c r="AJ400" s="10" t="s">
        <v>2424</v>
      </c>
      <c r="AK400" s="10" t="s">
        <v>50</v>
      </c>
    </row>
    <row r="401" spans="1:37" ht="36.75" customHeight="1" x14ac:dyDescent="0.35">
      <c r="A401" s="5"/>
      <c r="B401" s="5" t="s">
        <v>37</v>
      </c>
      <c r="C401" s="73" t="str">
        <f t="shared" si="6"/>
        <v>Closed</v>
      </c>
      <c r="D401" s="45" t="s">
        <v>2425</v>
      </c>
      <c r="E401" s="54" t="s">
        <v>2426</v>
      </c>
      <c r="F401" s="5" t="s">
        <v>619</v>
      </c>
      <c r="G401" s="10">
        <f>DATE(2007,12,18)</f>
        <v>39434</v>
      </c>
      <c r="H401" s="35">
        <v>1.5902777777777777</v>
      </c>
      <c r="I401" s="5" t="s">
        <v>259</v>
      </c>
      <c r="J401" s="10" t="s">
        <v>2427</v>
      </c>
      <c r="K401" s="5" t="s">
        <v>621</v>
      </c>
      <c r="L401" s="5" t="s">
        <v>2428</v>
      </c>
      <c r="M401" s="5" t="s">
        <v>45</v>
      </c>
      <c r="N401" s="5">
        <v>0</v>
      </c>
      <c r="O401" s="5" t="s">
        <v>46</v>
      </c>
      <c r="P401" s="10" t="s">
        <v>282</v>
      </c>
      <c r="Q401" s="10" t="s">
        <v>1997</v>
      </c>
      <c r="R401" s="10" t="s">
        <v>624</v>
      </c>
      <c r="S401" s="5">
        <v>0</v>
      </c>
      <c r="T401" s="37">
        <v>0</v>
      </c>
      <c r="U401" s="5">
        <v>0</v>
      </c>
      <c r="V401" s="37">
        <v>1</v>
      </c>
      <c r="W401" s="5">
        <v>0</v>
      </c>
      <c r="X401" s="5">
        <v>1</v>
      </c>
      <c r="Y401" s="5">
        <v>0</v>
      </c>
      <c r="Z401" s="37">
        <v>0</v>
      </c>
      <c r="AA401" s="5">
        <v>0</v>
      </c>
      <c r="AB401" s="5">
        <v>0</v>
      </c>
      <c r="AC401" s="5">
        <v>0</v>
      </c>
      <c r="AD401" s="5">
        <v>0</v>
      </c>
      <c r="AE401" s="10" t="s">
        <v>50</v>
      </c>
      <c r="AF401" s="10"/>
      <c r="AG401" s="10" t="s">
        <v>229</v>
      </c>
      <c r="AH401" s="10" t="s">
        <v>50</v>
      </c>
      <c r="AI401" s="5">
        <v>1</v>
      </c>
      <c r="AJ401" s="10" t="s">
        <v>50</v>
      </c>
      <c r="AK401" s="10" t="s">
        <v>50</v>
      </c>
    </row>
    <row r="402" spans="1:37" ht="36.75" customHeight="1" x14ac:dyDescent="0.35">
      <c r="A402" s="5"/>
      <c r="B402" s="5" t="s">
        <v>37</v>
      </c>
      <c r="C402" s="73" t="str">
        <f t="shared" si="6"/>
        <v>Closed</v>
      </c>
      <c r="D402" s="45" t="s">
        <v>2429</v>
      </c>
      <c r="E402" s="54" t="s">
        <v>2430</v>
      </c>
      <c r="F402" s="5" t="s">
        <v>563</v>
      </c>
      <c r="G402" s="10">
        <f>DATE(2007,12,19)</f>
        <v>39435</v>
      </c>
      <c r="H402" s="35">
        <v>1.9708333333333332</v>
      </c>
      <c r="I402" s="5" t="s">
        <v>55</v>
      </c>
      <c r="J402" s="10" t="s">
        <v>2431</v>
      </c>
      <c r="K402" s="5" t="s">
        <v>565</v>
      </c>
      <c r="L402" s="5" t="s">
        <v>2432</v>
      </c>
      <c r="M402" s="5" t="s">
        <v>45</v>
      </c>
      <c r="N402" s="5">
        <v>0</v>
      </c>
      <c r="O402" s="5" t="s">
        <v>46</v>
      </c>
      <c r="P402" s="10" t="s">
        <v>60</v>
      </c>
      <c r="Q402" s="10" t="s">
        <v>2433</v>
      </c>
      <c r="R402" s="10" t="s">
        <v>568</v>
      </c>
      <c r="S402" s="5">
        <v>0</v>
      </c>
      <c r="T402" s="37" t="s">
        <v>50</v>
      </c>
      <c r="U402" s="5">
        <v>0</v>
      </c>
      <c r="V402" s="37" t="s">
        <v>50</v>
      </c>
      <c r="W402" s="5">
        <v>0</v>
      </c>
      <c r="X402" s="5">
        <v>0</v>
      </c>
      <c r="Y402" s="5">
        <v>0</v>
      </c>
      <c r="Z402" s="37" t="s">
        <v>50</v>
      </c>
      <c r="AA402" s="5">
        <v>0</v>
      </c>
      <c r="AB402" s="5">
        <v>0</v>
      </c>
      <c r="AC402" s="5">
        <v>0</v>
      </c>
      <c r="AD402" s="5">
        <v>0</v>
      </c>
      <c r="AE402" s="10" t="s">
        <v>50</v>
      </c>
      <c r="AF402" s="10"/>
      <c r="AG402" s="10" t="s">
        <v>64</v>
      </c>
      <c r="AH402" s="10" t="s">
        <v>50</v>
      </c>
      <c r="AI402" s="5">
        <v>0</v>
      </c>
      <c r="AJ402" s="10" t="s">
        <v>2434</v>
      </c>
      <c r="AK402" s="10" t="s">
        <v>50</v>
      </c>
    </row>
    <row r="403" spans="1:37" ht="36.75" customHeight="1" x14ac:dyDescent="0.35">
      <c r="A403" s="5"/>
      <c r="B403" s="5" t="s">
        <v>37</v>
      </c>
      <c r="C403" s="73" t="str">
        <f t="shared" si="6"/>
        <v>Closed</v>
      </c>
      <c r="D403" s="45" t="s">
        <v>2435</v>
      </c>
      <c r="E403" s="54" t="s">
        <v>2436</v>
      </c>
      <c r="F403" s="5" t="s">
        <v>96</v>
      </c>
      <c r="G403" s="10">
        <f>DATE(2007,12,19)</f>
        <v>39435</v>
      </c>
      <c r="H403" s="35">
        <v>1.3854166666666667</v>
      </c>
      <c r="I403" s="5" t="s">
        <v>97</v>
      </c>
      <c r="J403" s="10" t="s">
        <v>2437</v>
      </c>
      <c r="K403" s="5" t="s">
        <v>99</v>
      </c>
      <c r="L403" s="5" t="s">
        <v>2438</v>
      </c>
      <c r="M403" s="5" t="s">
        <v>45</v>
      </c>
      <c r="N403" s="5">
        <v>0</v>
      </c>
      <c r="O403" s="5" t="s">
        <v>46</v>
      </c>
      <c r="P403" s="10" t="s">
        <v>443</v>
      </c>
      <c r="Q403" s="10" t="s">
        <v>101</v>
      </c>
      <c r="R403" s="10" t="s">
        <v>102</v>
      </c>
      <c r="S403" s="5">
        <v>0</v>
      </c>
      <c r="T403" s="37">
        <v>0</v>
      </c>
      <c r="U403" s="5">
        <v>1</v>
      </c>
      <c r="V403" s="37">
        <v>0</v>
      </c>
      <c r="W403" s="5">
        <v>0</v>
      </c>
      <c r="X403" s="5">
        <v>1</v>
      </c>
      <c r="Y403" s="5">
        <v>0</v>
      </c>
      <c r="Z403" s="37">
        <v>0</v>
      </c>
      <c r="AA403" s="5">
        <v>0</v>
      </c>
      <c r="AB403" s="5">
        <v>0</v>
      </c>
      <c r="AC403" s="5">
        <v>0</v>
      </c>
      <c r="AD403" s="5">
        <v>0</v>
      </c>
      <c r="AE403" s="10" t="s">
        <v>50</v>
      </c>
      <c r="AF403" s="10"/>
      <c r="AG403" s="10" t="s">
        <v>64</v>
      </c>
      <c r="AH403" s="10" t="s">
        <v>50</v>
      </c>
      <c r="AI403" s="5">
        <v>3</v>
      </c>
      <c r="AJ403" s="10" t="s">
        <v>50</v>
      </c>
      <c r="AK403" s="10" t="s">
        <v>50</v>
      </c>
    </row>
    <row r="404" spans="1:37" ht="36.75" customHeight="1" x14ac:dyDescent="0.35">
      <c r="A404" s="5"/>
      <c r="B404" s="5" t="s">
        <v>37</v>
      </c>
      <c r="C404" s="73" t="str">
        <f t="shared" si="6"/>
        <v>Closed</v>
      </c>
      <c r="D404" s="45" t="s">
        <v>2439</v>
      </c>
      <c r="E404" s="54" t="s">
        <v>2440</v>
      </c>
      <c r="F404" s="5" t="s">
        <v>619</v>
      </c>
      <c r="G404" s="10">
        <f>DATE(2007,12,21)</f>
        <v>39437</v>
      </c>
      <c r="H404" s="35">
        <v>1.3138888888888889</v>
      </c>
      <c r="I404" s="5" t="s">
        <v>259</v>
      </c>
      <c r="J404" s="10" t="s">
        <v>2441</v>
      </c>
      <c r="K404" s="5" t="s">
        <v>621</v>
      </c>
      <c r="L404" s="5" t="s">
        <v>2442</v>
      </c>
      <c r="M404" s="5" t="s">
        <v>45</v>
      </c>
      <c r="N404" s="5">
        <v>0</v>
      </c>
      <c r="O404" s="5" t="s">
        <v>59</v>
      </c>
      <c r="P404" s="10" t="s">
        <v>146</v>
      </c>
      <c r="Q404" s="10" t="s">
        <v>623</v>
      </c>
      <c r="R404" s="10" t="s">
        <v>624</v>
      </c>
      <c r="S404" s="5">
        <v>0</v>
      </c>
      <c r="T404" s="37">
        <v>0</v>
      </c>
      <c r="U404" s="5">
        <v>0</v>
      </c>
      <c r="V404" s="37">
        <v>1</v>
      </c>
      <c r="W404" s="5">
        <v>0</v>
      </c>
      <c r="X404" s="5">
        <v>1</v>
      </c>
      <c r="Y404" s="5">
        <v>0</v>
      </c>
      <c r="Z404" s="37">
        <v>0</v>
      </c>
      <c r="AA404" s="5">
        <v>0</v>
      </c>
      <c r="AB404" s="5">
        <v>0</v>
      </c>
      <c r="AC404" s="5">
        <v>0</v>
      </c>
      <c r="AD404" s="5">
        <v>0</v>
      </c>
      <c r="AE404" s="10" t="s">
        <v>50</v>
      </c>
      <c r="AF404" s="10"/>
      <c r="AG404" s="10" t="s">
        <v>229</v>
      </c>
      <c r="AH404" s="10" t="s">
        <v>50</v>
      </c>
      <c r="AI404" s="5">
        <v>1</v>
      </c>
      <c r="AJ404" s="10" t="s">
        <v>50</v>
      </c>
      <c r="AK404" s="10" t="s">
        <v>50</v>
      </c>
    </row>
    <row r="405" spans="1:37" ht="36.75" customHeight="1" x14ac:dyDescent="0.35">
      <c r="A405" s="5"/>
      <c r="B405" s="5" t="s">
        <v>37</v>
      </c>
      <c r="C405" s="73" t="str">
        <f t="shared" si="6"/>
        <v>Closed</v>
      </c>
      <c r="D405" s="45" t="s">
        <v>2443</v>
      </c>
      <c r="E405" s="54" t="s">
        <v>2444</v>
      </c>
      <c r="F405" s="5" t="s">
        <v>619</v>
      </c>
      <c r="G405" s="10">
        <f>DATE(2007,12,24)</f>
        <v>39440</v>
      </c>
      <c r="H405" s="35">
        <v>1.8458333333333332</v>
      </c>
      <c r="I405" s="5" t="s">
        <v>259</v>
      </c>
      <c r="J405" s="10" t="s">
        <v>2445</v>
      </c>
      <c r="K405" s="5" t="s">
        <v>621</v>
      </c>
      <c r="L405" s="5" t="s">
        <v>2446</v>
      </c>
      <c r="M405" s="5" t="s">
        <v>45</v>
      </c>
      <c r="N405" s="5">
        <v>0</v>
      </c>
      <c r="O405" s="5" t="s">
        <v>46</v>
      </c>
      <c r="P405" s="10" t="s">
        <v>146</v>
      </c>
      <c r="Q405" s="10" t="s">
        <v>623</v>
      </c>
      <c r="R405" s="10" t="s">
        <v>624</v>
      </c>
      <c r="S405" s="5">
        <v>0</v>
      </c>
      <c r="T405" s="37">
        <v>0</v>
      </c>
      <c r="U405" s="5">
        <v>0</v>
      </c>
      <c r="V405" s="37">
        <v>1</v>
      </c>
      <c r="W405" s="5">
        <v>0</v>
      </c>
      <c r="X405" s="5">
        <v>1</v>
      </c>
      <c r="Y405" s="5">
        <v>0</v>
      </c>
      <c r="Z405" s="37">
        <v>0</v>
      </c>
      <c r="AA405" s="5">
        <v>0</v>
      </c>
      <c r="AB405" s="5">
        <v>0</v>
      </c>
      <c r="AC405" s="5">
        <v>0</v>
      </c>
      <c r="AD405" s="5">
        <v>0</v>
      </c>
      <c r="AE405" s="10" t="s">
        <v>50</v>
      </c>
      <c r="AF405" s="10"/>
      <c r="AG405" s="10" t="s">
        <v>229</v>
      </c>
      <c r="AH405" s="10" t="s">
        <v>50</v>
      </c>
      <c r="AI405" s="5">
        <v>0</v>
      </c>
      <c r="AJ405" s="10" t="s">
        <v>50</v>
      </c>
      <c r="AK405" s="10" t="s">
        <v>50</v>
      </c>
    </row>
    <row r="406" spans="1:37" ht="36.75" customHeight="1" x14ac:dyDescent="0.35">
      <c r="A406" s="5"/>
      <c r="B406" s="5" t="s">
        <v>37</v>
      </c>
      <c r="C406" s="73" t="str">
        <f t="shared" si="6"/>
        <v>Closed</v>
      </c>
      <c r="D406" s="45" t="s">
        <v>2447</v>
      </c>
      <c r="E406" s="54" t="s">
        <v>2448</v>
      </c>
      <c r="F406" s="5" t="s">
        <v>619</v>
      </c>
      <c r="G406" s="10">
        <f>DATE(2007,12,29)</f>
        <v>39445</v>
      </c>
      <c r="H406" s="35">
        <v>1.9458333333333333</v>
      </c>
      <c r="I406" s="5" t="s">
        <v>259</v>
      </c>
      <c r="J406" s="10" t="s">
        <v>2449</v>
      </c>
      <c r="K406" s="5" t="s">
        <v>621</v>
      </c>
      <c r="L406" s="5" t="s">
        <v>2450</v>
      </c>
      <c r="M406" s="5" t="s">
        <v>45</v>
      </c>
      <c r="N406" s="5">
        <v>0</v>
      </c>
      <c r="O406" s="5" t="s">
        <v>59</v>
      </c>
      <c r="P406" s="10" t="s">
        <v>60</v>
      </c>
      <c r="Q406" s="10" t="s">
        <v>623</v>
      </c>
      <c r="R406" s="10" t="s">
        <v>624</v>
      </c>
      <c r="S406" s="5">
        <v>0</v>
      </c>
      <c r="T406" s="37">
        <v>0</v>
      </c>
      <c r="U406" s="5">
        <v>0</v>
      </c>
      <c r="V406" s="37">
        <v>0</v>
      </c>
      <c r="W406" s="5">
        <v>1</v>
      </c>
      <c r="X406" s="5">
        <v>1</v>
      </c>
      <c r="Y406" s="5">
        <v>0</v>
      </c>
      <c r="Z406" s="37">
        <v>0</v>
      </c>
      <c r="AA406" s="5">
        <v>0</v>
      </c>
      <c r="AB406" s="5">
        <v>0</v>
      </c>
      <c r="AC406" s="5">
        <v>0</v>
      </c>
      <c r="AD406" s="5">
        <v>0</v>
      </c>
      <c r="AE406" s="10" t="s">
        <v>50</v>
      </c>
      <c r="AF406" s="10"/>
      <c r="AG406" s="10" t="s">
        <v>229</v>
      </c>
      <c r="AH406" s="10" t="s">
        <v>50</v>
      </c>
      <c r="AI406" s="5">
        <v>1</v>
      </c>
      <c r="AJ406" s="10" t="s">
        <v>50</v>
      </c>
      <c r="AK406" s="10" t="s">
        <v>50</v>
      </c>
    </row>
    <row r="407" spans="1:37" ht="36.75" customHeight="1" x14ac:dyDescent="0.35">
      <c r="A407" s="5"/>
      <c r="B407" s="5" t="s">
        <v>37</v>
      </c>
      <c r="C407" s="73" t="str">
        <f t="shared" si="6"/>
        <v>Closed</v>
      </c>
      <c r="D407" s="45" t="s">
        <v>2451</v>
      </c>
      <c r="E407" s="54" t="s">
        <v>2452</v>
      </c>
      <c r="F407" s="5" t="s">
        <v>619</v>
      </c>
      <c r="G407" s="10">
        <f>DATE(2008,1,6)</f>
        <v>39453</v>
      </c>
      <c r="H407" s="35">
        <v>1.6840277777777777</v>
      </c>
      <c r="I407" s="5" t="s">
        <v>259</v>
      </c>
      <c r="J407" s="10" t="s">
        <v>2453</v>
      </c>
      <c r="K407" s="5" t="s">
        <v>621</v>
      </c>
      <c r="L407" s="5" t="s">
        <v>2454</v>
      </c>
      <c r="M407" s="5" t="s">
        <v>45</v>
      </c>
      <c r="N407" s="5">
        <v>0</v>
      </c>
      <c r="O407" s="5" t="s">
        <v>46</v>
      </c>
      <c r="P407" s="10" t="s">
        <v>146</v>
      </c>
      <c r="Q407" s="10" t="s">
        <v>623</v>
      </c>
      <c r="R407" s="10" t="s">
        <v>624</v>
      </c>
      <c r="S407" s="5">
        <v>0</v>
      </c>
      <c r="T407" s="37">
        <v>0</v>
      </c>
      <c r="U407" s="5">
        <v>0</v>
      </c>
      <c r="V407" s="37">
        <v>1</v>
      </c>
      <c r="W407" s="5">
        <v>0</v>
      </c>
      <c r="X407" s="5">
        <v>1</v>
      </c>
      <c r="Y407" s="5">
        <v>0</v>
      </c>
      <c r="Z407" s="37">
        <v>0</v>
      </c>
      <c r="AA407" s="5">
        <v>0</v>
      </c>
      <c r="AB407" s="5">
        <v>0</v>
      </c>
      <c r="AC407" s="5">
        <v>0</v>
      </c>
      <c r="AD407" s="5">
        <v>0</v>
      </c>
      <c r="AE407" s="10" t="s">
        <v>50</v>
      </c>
      <c r="AF407" s="10"/>
      <c r="AG407" s="10" t="s">
        <v>229</v>
      </c>
      <c r="AH407" s="10" t="s">
        <v>50</v>
      </c>
      <c r="AI407" s="5">
        <v>1</v>
      </c>
      <c r="AJ407" s="10" t="s">
        <v>50</v>
      </c>
      <c r="AK407" s="10" t="s">
        <v>50</v>
      </c>
    </row>
    <row r="408" spans="1:37" ht="36.75" customHeight="1" x14ac:dyDescent="0.35">
      <c r="A408" s="5"/>
      <c r="B408" s="5" t="s">
        <v>37</v>
      </c>
      <c r="C408" s="73" t="str">
        <f t="shared" si="6"/>
        <v>Closed</v>
      </c>
      <c r="D408" s="45" t="s">
        <v>2455</v>
      </c>
      <c r="E408" s="54" t="s">
        <v>2456</v>
      </c>
      <c r="F408" s="5" t="s">
        <v>816</v>
      </c>
      <c r="G408" s="10">
        <f>DATE(2008,1,7)</f>
        <v>39454</v>
      </c>
      <c r="H408" s="35">
        <v>1.5215277777777778</v>
      </c>
      <c r="I408" s="5" t="s">
        <v>55</v>
      </c>
      <c r="J408" s="10" t="s">
        <v>2457</v>
      </c>
      <c r="K408" s="5" t="s">
        <v>818</v>
      </c>
      <c r="L408" s="5" t="s">
        <v>2458</v>
      </c>
      <c r="M408" s="5" t="s">
        <v>45</v>
      </c>
      <c r="N408" s="5">
        <v>0</v>
      </c>
      <c r="O408" s="5" t="s">
        <v>59</v>
      </c>
      <c r="P408" s="10" t="s">
        <v>146</v>
      </c>
      <c r="Q408" s="10" t="s">
        <v>2142</v>
      </c>
      <c r="R408" s="10" t="s">
        <v>821</v>
      </c>
      <c r="S408" s="5">
        <v>0</v>
      </c>
      <c r="T408" s="37" t="s">
        <v>50</v>
      </c>
      <c r="U408" s="5">
        <v>0</v>
      </c>
      <c r="V408" s="37" t="s">
        <v>50</v>
      </c>
      <c r="W408" s="5">
        <v>0</v>
      </c>
      <c r="X408" s="5">
        <v>0</v>
      </c>
      <c r="Y408" s="5">
        <v>0</v>
      </c>
      <c r="Z408" s="37" t="s">
        <v>50</v>
      </c>
      <c r="AA408" s="5">
        <v>0</v>
      </c>
      <c r="AB408" s="5">
        <v>0</v>
      </c>
      <c r="AC408" s="5">
        <v>0</v>
      </c>
      <c r="AD408" s="5">
        <v>0</v>
      </c>
      <c r="AE408" s="10" t="s">
        <v>50</v>
      </c>
      <c r="AF408" s="10"/>
      <c r="AG408" s="10" t="s">
        <v>333</v>
      </c>
      <c r="AH408" s="10" t="s">
        <v>50</v>
      </c>
      <c r="AI408" s="5">
        <v>0</v>
      </c>
      <c r="AJ408" s="10" t="s">
        <v>50</v>
      </c>
      <c r="AK408" s="10" t="s">
        <v>50</v>
      </c>
    </row>
    <row r="409" spans="1:37" ht="36.75" customHeight="1" x14ac:dyDescent="0.35">
      <c r="A409" s="5"/>
      <c r="B409" s="5" t="s">
        <v>37</v>
      </c>
      <c r="C409" s="73" t="str">
        <f t="shared" si="6"/>
        <v>Closed</v>
      </c>
      <c r="D409" s="45" t="s">
        <v>2459</v>
      </c>
      <c r="E409" s="54" t="s">
        <v>2460</v>
      </c>
      <c r="F409" s="5" t="s">
        <v>404</v>
      </c>
      <c r="G409" s="10">
        <f>DATE(2008,1,9)</f>
        <v>39456</v>
      </c>
      <c r="H409" s="35">
        <v>1.6187499999999999</v>
      </c>
      <c r="I409" s="5" t="s">
        <v>179</v>
      </c>
      <c r="J409" s="10" t="s">
        <v>2461</v>
      </c>
      <c r="K409" s="5" t="s">
        <v>406</v>
      </c>
      <c r="L409" s="5" t="s">
        <v>2462</v>
      </c>
      <c r="M409" s="5" t="s">
        <v>45</v>
      </c>
      <c r="N409" s="5">
        <v>0</v>
      </c>
      <c r="O409" s="5" t="s">
        <v>59</v>
      </c>
      <c r="P409" s="10" t="s">
        <v>72</v>
      </c>
      <c r="Q409" s="10" t="s">
        <v>2463</v>
      </c>
      <c r="R409" s="10" t="s">
        <v>408</v>
      </c>
      <c r="S409" s="5">
        <v>0</v>
      </c>
      <c r="T409" s="37" t="s">
        <v>50</v>
      </c>
      <c r="U409" s="5">
        <v>0</v>
      </c>
      <c r="V409" s="37" t="s">
        <v>50</v>
      </c>
      <c r="W409" s="5">
        <v>0</v>
      </c>
      <c r="X409" s="5">
        <v>0</v>
      </c>
      <c r="Y409" s="5">
        <v>0</v>
      </c>
      <c r="Z409" s="37" t="s">
        <v>50</v>
      </c>
      <c r="AA409" s="5">
        <v>0</v>
      </c>
      <c r="AB409" s="5">
        <v>0</v>
      </c>
      <c r="AC409" s="5">
        <v>0</v>
      </c>
      <c r="AD409" s="5">
        <v>0</v>
      </c>
      <c r="AE409" s="10" t="s">
        <v>50</v>
      </c>
      <c r="AF409" s="10"/>
      <c r="AG409" s="10" t="s">
        <v>114</v>
      </c>
      <c r="AH409" s="10" t="s">
        <v>50</v>
      </c>
      <c r="AI409" s="5">
        <v>0</v>
      </c>
      <c r="AJ409" s="10" t="s">
        <v>50</v>
      </c>
      <c r="AK409" s="10" t="s">
        <v>50</v>
      </c>
    </row>
    <row r="410" spans="1:37" ht="36.75" customHeight="1" x14ac:dyDescent="0.35">
      <c r="A410" s="5"/>
      <c r="B410" s="5" t="s">
        <v>37</v>
      </c>
      <c r="C410" s="73" t="str">
        <f t="shared" si="6"/>
        <v>Closed</v>
      </c>
      <c r="D410" s="45" t="s">
        <v>2464</v>
      </c>
      <c r="E410" s="54" t="s">
        <v>2465</v>
      </c>
      <c r="F410" s="5" t="s">
        <v>619</v>
      </c>
      <c r="G410" s="10">
        <f>DATE(2008,1,10)</f>
        <v>39457</v>
      </c>
      <c r="H410" s="35">
        <v>1.6430555555555557</v>
      </c>
      <c r="I410" s="5" t="s">
        <v>97</v>
      </c>
      <c r="J410" s="10" t="s">
        <v>2466</v>
      </c>
      <c r="K410" s="5" t="s">
        <v>621</v>
      </c>
      <c r="L410" s="5" t="s">
        <v>2467</v>
      </c>
      <c r="M410" s="5" t="s">
        <v>45</v>
      </c>
      <c r="N410" s="5">
        <v>0</v>
      </c>
      <c r="O410" s="5" t="s">
        <v>59</v>
      </c>
      <c r="P410" s="10" t="s">
        <v>60</v>
      </c>
      <c r="Q410" s="10" t="s">
        <v>623</v>
      </c>
      <c r="R410" s="10" t="s">
        <v>624</v>
      </c>
      <c r="S410" s="5">
        <v>0</v>
      </c>
      <c r="T410" s="37">
        <v>0</v>
      </c>
      <c r="U410" s="5">
        <v>1</v>
      </c>
      <c r="V410" s="37">
        <v>0</v>
      </c>
      <c r="W410" s="5">
        <v>0</v>
      </c>
      <c r="X410" s="5">
        <v>1</v>
      </c>
      <c r="Y410" s="5">
        <v>0</v>
      </c>
      <c r="Z410" s="37">
        <v>0</v>
      </c>
      <c r="AA410" s="5">
        <v>0</v>
      </c>
      <c r="AB410" s="5">
        <v>0</v>
      </c>
      <c r="AC410" s="5">
        <v>0</v>
      </c>
      <c r="AD410" s="5">
        <v>0</v>
      </c>
      <c r="AE410" s="10" t="s">
        <v>50</v>
      </c>
      <c r="AF410" s="10"/>
      <c r="AG410" s="10" t="s">
        <v>229</v>
      </c>
      <c r="AH410" s="10" t="s">
        <v>50</v>
      </c>
      <c r="AI410" s="5">
        <v>1</v>
      </c>
      <c r="AJ410" s="10" t="s">
        <v>1713</v>
      </c>
      <c r="AK410" s="10" t="s">
        <v>50</v>
      </c>
    </row>
    <row r="411" spans="1:37" ht="36.75" customHeight="1" x14ac:dyDescent="0.35">
      <c r="A411" s="5"/>
      <c r="B411" s="5" t="s">
        <v>37</v>
      </c>
      <c r="C411" s="73" t="str">
        <f t="shared" si="6"/>
        <v>Closed</v>
      </c>
      <c r="D411" s="45" t="s">
        <v>2468</v>
      </c>
      <c r="E411" s="54" t="s">
        <v>2469</v>
      </c>
      <c r="F411" s="5" t="s">
        <v>816</v>
      </c>
      <c r="G411" s="10">
        <f>DATE(2008,1,10)</f>
        <v>39457</v>
      </c>
      <c r="H411" s="35">
        <v>1.4013888888888888</v>
      </c>
      <c r="I411" s="5" t="s">
        <v>259</v>
      </c>
      <c r="J411" s="10" t="s">
        <v>2470</v>
      </c>
      <c r="K411" s="5" t="s">
        <v>818</v>
      </c>
      <c r="L411" s="5" t="s">
        <v>2471</v>
      </c>
      <c r="M411" s="5" t="s">
        <v>45</v>
      </c>
      <c r="N411" s="5">
        <v>0</v>
      </c>
      <c r="O411" s="5" t="s">
        <v>46</v>
      </c>
      <c r="P411" s="10" t="s">
        <v>146</v>
      </c>
      <c r="Q411" s="10" t="s">
        <v>2142</v>
      </c>
      <c r="R411" s="10" t="s">
        <v>821</v>
      </c>
      <c r="S411" s="5">
        <v>0</v>
      </c>
      <c r="T411" s="37">
        <v>2</v>
      </c>
      <c r="U411" s="5">
        <v>0</v>
      </c>
      <c r="V411" s="37">
        <v>0</v>
      </c>
      <c r="W411" s="5">
        <v>0</v>
      </c>
      <c r="X411" s="5">
        <v>2</v>
      </c>
      <c r="Y411" s="5">
        <v>0</v>
      </c>
      <c r="Z411" s="37">
        <v>0</v>
      </c>
      <c r="AA411" s="5">
        <v>0</v>
      </c>
      <c r="AB411" s="5">
        <v>0</v>
      </c>
      <c r="AC411" s="5">
        <v>0</v>
      </c>
      <c r="AD411" s="5">
        <v>0</v>
      </c>
      <c r="AE411" s="10" t="s">
        <v>50</v>
      </c>
      <c r="AF411" s="10"/>
      <c r="AG411" s="10" t="s">
        <v>333</v>
      </c>
      <c r="AH411" s="10" t="s">
        <v>50</v>
      </c>
      <c r="AI411" s="5">
        <v>1</v>
      </c>
      <c r="AJ411" s="10" t="s">
        <v>50</v>
      </c>
      <c r="AK411" s="10" t="s">
        <v>50</v>
      </c>
    </row>
    <row r="412" spans="1:37" ht="36.75" customHeight="1" x14ac:dyDescent="0.35">
      <c r="A412" s="5"/>
      <c r="B412" s="5" t="s">
        <v>37</v>
      </c>
      <c r="C412" s="73" t="str">
        <f t="shared" si="6"/>
        <v>Closed</v>
      </c>
      <c r="D412" s="45" t="s">
        <v>2472</v>
      </c>
      <c r="E412" s="54" t="s">
        <v>2473</v>
      </c>
      <c r="F412" s="5" t="s">
        <v>1919</v>
      </c>
      <c r="G412" s="10">
        <f>DATE(2008,1,10)</f>
        <v>39457</v>
      </c>
      <c r="H412" s="35">
        <v>1.9513888888888888</v>
      </c>
      <c r="I412" s="5" t="s">
        <v>55</v>
      </c>
      <c r="J412" s="10" t="s">
        <v>2474</v>
      </c>
      <c r="K412" s="5" t="s">
        <v>1921</v>
      </c>
      <c r="L412" s="5" t="s">
        <v>2475</v>
      </c>
      <c r="M412" s="5" t="s">
        <v>45</v>
      </c>
      <c r="N412" s="5">
        <v>0</v>
      </c>
      <c r="O412" s="5" t="s">
        <v>46</v>
      </c>
      <c r="P412" s="10" t="s">
        <v>60</v>
      </c>
      <c r="Q412" s="10" t="s">
        <v>1923</v>
      </c>
      <c r="R412" s="10" t="s">
        <v>1923</v>
      </c>
      <c r="S412" s="5">
        <v>0</v>
      </c>
      <c r="T412" s="37" t="s">
        <v>50</v>
      </c>
      <c r="U412" s="5">
        <v>0</v>
      </c>
      <c r="V412" s="37" t="s">
        <v>50</v>
      </c>
      <c r="W412" s="5">
        <v>0</v>
      </c>
      <c r="X412" s="5">
        <v>0</v>
      </c>
      <c r="Y412" s="5">
        <v>0</v>
      </c>
      <c r="Z412" s="37" t="s">
        <v>50</v>
      </c>
      <c r="AA412" s="5">
        <v>0</v>
      </c>
      <c r="AB412" s="5">
        <v>0</v>
      </c>
      <c r="AC412" s="5">
        <v>0</v>
      </c>
      <c r="AD412" s="5">
        <v>0</v>
      </c>
      <c r="AE412" s="10" t="s">
        <v>50</v>
      </c>
      <c r="AF412" s="10"/>
      <c r="AG412" s="10" t="s">
        <v>64</v>
      </c>
      <c r="AH412" s="10" t="s">
        <v>50</v>
      </c>
      <c r="AI412" s="5">
        <v>2</v>
      </c>
      <c r="AJ412" s="10" t="s">
        <v>2476</v>
      </c>
      <c r="AK412" s="10" t="s">
        <v>2477</v>
      </c>
    </row>
    <row r="413" spans="1:37" ht="36.75" customHeight="1" x14ac:dyDescent="0.35">
      <c r="A413" s="5"/>
      <c r="B413" s="5" t="s">
        <v>37</v>
      </c>
      <c r="C413" s="73" t="str">
        <f t="shared" si="6"/>
        <v>Closed</v>
      </c>
      <c r="D413" s="45" t="s">
        <v>2478</v>
      </c>
      <c r="E413" s="54" t="s">
        <v>2479</v>
      </c>
      <c r="F413" s="5" t="s">
        <v>119</v>
      </c>
      <c r="G413" s="10">
        <f>DATE(2008,1,16)</f>
        <v>39463</v>
      </c>
      <c r="H413" s="35">
        <v>1.3631944444444444</v>
      </c>
      <c r="I413" s="5" t="s">
        <v>468</v>
      </c>
      <c r="J413" s="10" t="s">
        <v>2480</v>
      </c>
      <c r="K413" s="5" t="s">
        <v>121</v>
      </c>
      <c r="L413" s="5" t="s">
        <v>2481</v>
      </c>
      <c r="M413" s="5" t="s">
        <v>45</v>
      </c>
      <c r="N413" s="5" t="s">
        <v>123</v>
      </c>
      <c r="O413" s="5" t="s">
        <v>59</v>
      </c>
      <c r="P413" s="10" t="s">
        <v>72</v>
      </c>
      <c r="Q413" s="10" t="s">
        <v>124</v>
      </c>
      <c r="R413" s="10" t="s">
        <v>125</v>
      </c>
      <c r="S413" s="5">
        <v>0</v>
      </c>
      <c r="T413" s="37">
        <v>0</v>
      </c>
      <c r="U413" s="5">
        <v>0</v>
      </c>
      <c r="V413" s="37">
        <v>0</v>
      </c>
      <c r="W413" s="5">
        <v>0</v>
      </c>
      <c r="X413" s="5">
        <v>0</v>
      </c>
      <c r="Y413" s="5">
        <v>0</v>
      </c>
      <c r="Z413" s="37">
        <v>0</v>
      </c>
      <c r="AA413" s="5">
        <v>0</v>
      </c>
      <c r="AB413" s="5">
        <v>0</v>
      </c>
      <c r="AC413" s="5">
        <v>0</v>
      </c>
      <c r="AD413" s="5">
        <v>0</v>
      </c>
      <c r="AE413" s="10" t="s">
        <v>73</v>
      </c>
      <c r="AF413" s="10"/>
      <c r="AG413" s="10" t="s">
        <v>114</v>
      </c>
      <c r="AH413" s="10">
        <v>39471</v>
      </c>
      <c r="AI413" s="5">
        <v>3</v>
      </c>
      <c r="AJ413" s="10" t="s">
        <v>2482</v>
      </c>
      <c r="AK413" s="10" t="s">
        <v>2483</v>
      </c>
    </row>
    <row r="414" spans="1:37" ht="36.75" customHeight="1" x14ac:dyDescent="0.35">
      <c r="A414" s="5"/>
      <c r="B414" s="5" t="s">
        <v>37</v>
      </c>
      <c r="C414" s="73" t="str">
        <f t="shared" si="6"/>
        <v>Closed</v>
      </c>
      <c r="D414" s="45" t="s">
        <v>2484</v>
      </c>
      <c r="E414" s="54" t="s">
        <v>2485</v>
      </c>
      <c r="F414" s="5" t="s">
        <v>214</v>
      </c>
      <c r="G414" s="10">
        <f>DATE(2008,1,20)</f>
        <v>39467</v>
      </c>
      <c r="H414" s="35">
        <v>1.6833333333333331</v>
      </c>
      <c r="I414" s="5" t="s">
        <v>259</v>
      </c>
      <c r="J414" s="10" t="s">
        <v>2486</v>
      </c>
      <c r="K414" s="5" t="s">
        <v>216</v>
      </c>
      <c r="L414" s="5" t="s">
        <v>2487</v>
      </c>
      <c r="M414" s="5" t="s">
        <v>45</v>
      </c>
      <c r="N414" s="5">
        <v>0</v>
      </c>
      <c r="O414" s="5" t="s">
        <v>46</v>
      </c>
      <c r="P414" s="10" t="s">
        <v>146</v>
      </c>
      <c r="Q414" s="10" t="s">
        <v>227</v>
      </c>
      <c r="R414" s="10" t="s">
        <v>219</v>
      </c>
      <c r="S414" s="5">
        <v>0</v>
      </c>
      <c r="T414" s="37" t="s">
        <v>50</v>
      </c>
      <c r="U414" s="5">
        <v>0</v>
      </c>
      <c r="V414" s="37" t="s">
        <v>50</v>
      </c>
      <c r="W414" s="5">
        <v>0</v>
      </c>
      <c r="X414" s="5">
        <v>0</v>
      </c>
      <c r="Y414" s="5">
        <v>0</v>
      </c>
      <c r="Z414" s="37" t="s">
        <v>50</v>
      </c>
      <c r="AA414" s="5">
        <v>0</v>
      </c>
      <c r="AB414" s="5">
        <v>0</v>
      </c>
      <c r="AC414" s="5">
        <v>0</v>
      </c>
      <c r="AD414" s="5">
        <v>0</v>
      </c>
      <c r="AE414" s="10" t="s">
        <v>50</v>
      </c>
      <c r="AF414" s="10"/>
      <c r="AG414" s="10" t="s">
        <v>333</v>
      </c>
      <c r="AH414" s="10" t="s">
        <v>50</v>
      </c>
      <c r="AI414" s="5">
        <v>5</v>
      </c>
      <c r="AJ414" s="10" t="s">
        <v>2488</v>
      </c>
      <c r="AK414" s="10" t="s">
        <v>2489</v>
      </c>
    </row>
    <row r="415" spans="1:37" ht="36.75" customHeight="1" x14ac:dyDescent="0.35">
      <c r="A415" s="5"/>
      <c r="B415" s="5" t="s">
        <v>37</v>
      </c>
      <c r="C415" s="73" t="str">
        <f t="shared" si="6"/>
        <v>Closed</v>
      </c>
      <c r="D415" s="45" t="s">
        <v>2490</v>
      </c>
      <c r="E415" s="54" t="s">
        <v>2491</v>
      </c>
      <c r="F415" s="5" t="s">
        <v>214</v>
      </c>
      <c r="G415" s="10">
        <f>DATE(2008,1,22)</f>
        <v>39469</v>
      </c>
      <c r="H415" s="35">
        <v>1.7173611111111109</v>
      </c>
      <c r="I415" s="5" t="s">
        <v>97</v>
      </c>
      <c r="J415" s="10" t="s">
        <v>2492</v>
      </c>
      <c r="K415" s="5" t="s">
        <v>216</v>
      </c>
      <c r="L415" s="5" t="s">
        <v>2493</v>
      </c>
      <c r="M415" s="5" t="s">
        <v>45</v>
      </c>
      <c r="N415" s="5">
        <v>0</v>
      </c>
      <c r="O415" s="5" t="s">
        <v>46</v>
      </c>
      <c r="P415" s="10" t="s">
        <v>60</v>
      </c>
      <c r="Q415" s="10" t="s">
        <v>218</v>
      </c>
      <c r="R415" s="10" t="s">
        <v>219</v>
      </c>
      <c r="S415" s="5">
        <v>0</v>
      </c>
      <c r="T415" s="37">
        <v>0</v>
      </c>
      <c r="U415" s="5">
        <v>1</v>
      </c>
      <c r="V415" s="37">
        <v>0</v>
      </c>
      <c r="W415" s="5">
        <v>0</v>
      </c>
      <c r="X415" s="5">
        <v>1</v>
      </c>
      <c r="Y415" s="5">
        <v>0</v>
      </c>
      <c r="Z415" s="37">
        <v>0</v>
      </c>
      <c r="AA415" s="5">
        <v>0</v>
      </c>
      <c r="AB415" s="5">
        <v>0</v>
      </c>
      <c r="AC415" s="5">
        <v>0</v>
      </c>
      <c r="AD415" s="5">
        <v>0</v>
      </c>
      <c r="AE415" s="10" t="s">
        <v>50</v>
      </c>
      <c r="AF415" s="10"/>
      <c r="AG415" s="10" t="s">
        <v>64</v>
      </c>
      <c r="AH415" s="10" t="s">
        <v>50</v>
      </c>
      <c r="AI415" s="5">
        <v>4</v>
      </c>
      <c r="AJ415" s="10" t="s">
        <v>2494</v>
      </c>
      <c r="AK415" s="10" t="s">
        <v>2495</v>
      </c>
    </row>
    <row r="416" spans="1:37" ht="36.75" customHeight="1" x14ac:dyDescent="0.35">
      <c r="A416" s="5"/>
      <c r="B416" s="5" t="s">
        <v>37</v>
      </c>
      <c r="C416" s="73" t="str">
        <f t="shared" si="6"/>
        <v>Closed</v>
      </c>
      <c r="D416" s="45" t="s">
        <v>2496</v>
      </c>
      <c r="E416" s="54" t="s">
        <v>2497</v>
      </c>
      <c r="F416" s="5" t="s">
        <v>404</v>
      </c>
      <c r="G416" s="10">
        <f>DATE(2008,1,23)</f>
        <v>39470</v>
      </c>
      <c r="H416" s="35">
        <v>1.4145833333333333</v>
      </c>
      <c r="I416" s="5" t="s">
        <v>137</v>
      </c>
      <c r="J416" s="10" t="s">
        <v>2498</v>
      </c>
      <c r="K416" s="5" t="s">
        <v>406</v>
      </c>
      <c r="L416" s="5" t="s">
        <v>2499</v>
      </c>
      <c r="M416" s="5" t="s">
        <v>45</v>
      </c>
      <c r="N416" s="5">
        <v>0</v>
      </c>
      <c r="O416" s="5" t="s">
        <v>59</v>
      </c>
      <c r="P416" s="10" t="s">
        <v>47</v>
      </c>
      <c r="Q416" s="10" t="s">
        <v>408</v>
      </c>
      <c r="R416" s="10" t="s">
        <v>408</v>
      </c>
      <c r="S416" s="5">
        <v>0</v>
      </c>
      <c r="T416" s="37" t="s">
        <v>50</v>
      </c>
      <c r="U416" s="5">
        <v>0</v>
      </c>
      <c r="V416" s="37" t="s">
        <v>50</v>
      </c>
      <c r="W416" s="5">
        <v>0</v>
      </c>
      <c r="X416" s="5">
        <v>0</v>
      </c>
      <c r="Y416" s="5">
        <v>0</v>
      </c>
      <c r="Z416" s="37" t="s">
        <v>50</v>
      </c>
      <c r="AA416" s="5">
        <v>0</v>
      </c>
      <c r="AB416" s="5">
        <v>0</v>
      </c>
      <c r="AC416" s="5">
        <v>0</v>
      </c>
      <c r="AD416" s="5">
        <v>0</v>
      </c>
      <c r="AE416" s="10" t="s">
        <v>50</v>
      </c>
      <c r="AF416" s="10"/>
      <c r="AG416" s="10" t="s">
        <v>855</v>
      </c>
      <c r="AH416" s="10" t="s">
        <v>50</v>
      </c>
      <c r="AI416" s="5">
        <v>2</v>
      </c>
      <c r="AJ416" s="10" t="s">
        <v>50</v>
      </c>
      <c r="AK416" s="10" t="s">
        <v>50</v>
      </c>
    </row>
    <row r="417" spans="1:37" ht="36.75" customHeight="1" x14ac:dyDescent="0.35">
      <c r="A417" s="5"/>
      <c r="B417" s="5" t="s">
        <v>37</v>
      </c>
      <c r="C417" s="73" t="str">
        <f t="shared" si="6"/>
        <v>Closed</v>
      </c>
      <c r="D417" s="45" t="s">
        <v>2500</v>
      </c>
      <c r="E417" s="54" t="s">
        <v>2501</v>
      </c>
      <c r="F417" s="5" t="s">
        <v>96</v>
      </c>
      <c r="G417" s="10">
        <f>DATE(2008,1,25)</f>
        <v>39472</v>
      </c>
      <c r="H417" s="35">
        <v>1.0590277777777777</v>
      </c>
      <c r="I417" s="5" t="s">
        <v>97</v>
      </c>
      <c r="J417" s="10" t="s">
        <v>2502</v>
      </c>
      <c r="K417" s="5" t="s">
        <v>99</v>
      </c>
      <c r="L417" s="5" t="s">
        <v>2503</v>
      </c>
      <c r="M417" s="5" t="s">
        <v>45</v>
      </c>
      <c r="N417" s="5">
        <v>0</v>
      </c>
      <c r="O417" s="5" t="s">
        <v>46</v>
      </c>
      <c r="P417" s="10" t="s">
        <v>60</v>
      </c>
      <c r="Q417" s="10" t="s">
        <v>101</v>
      </c>
      <c r="R417" s="10" t="s">
        <v>102</v>
      </c>
      <c r="S417" s="5">
        <v>0</v>
      </c>
      <c r="T417" s="37">
        <v>0</v>
      </c>
      <c r="U417" s="5">
        <v>1</v>
      </c>
      <c r="V417" s="37">
        <v>0</v>
      </c>
      <c r="W417" s="5">
        <v>3</v>
      </c>
      <c r="X417" s="5">
        <v>4</v>
      </c>
      <c r="Y417" s="5">
        <v>0</v>
      </c>
      <c r="Z417" s="37">
        <v>0</v>
      </c>
      <c r="AA417" s="5">
        <v>0</v>
      </c>
      <c r="AB417" s="5">
        <v>0</v>
      </c>
      <c r="AC417" s="5">
        <v>0</v>
      </c>
      <c r="AD417" s="5">
        <v>0</v>
      </c>
      <c r="AE417" s="10" t="s">
        <v>50</v>
      </c>
      <c r="AF417" s="10"/>
      <c r="AG417" s="10" t="s">
        <v>64</v>
      </c>
      <c r="AH417" s="10" t="s">
        <v>50</v>
      </c>
      <c r="AI417" s="5">
        <v>0</v>
      </c>
      <c r="AJ417" s="10" t="s">
        <v>50</v>
      </c>
      <c r="AK417" s="10" t="s">
        <v>50</v>
      </c>
    </row>
    <row r="418" spans="1:37" ht="36.75" customHeight="1" x14ac:dyDescent="0.35">
      <c r="A418" s="5"/>
      <c r="B418" s="5" t="s">
        <v>37</v>
      </c>
      <c r="C418" s="73" t="str">
        <f t="shared" si="6"/>
        <v>Closed</v>
      </c>
      <c r="D418" s="45" t="s">
        <v>2504</v>
      </c>
      <c r="E418" s="54" t="s">
        <v>2505</v>
      </c>
      <c r="F418" s="5" t="s">
        <v>214</v>
      </c>
      <c r="G418" s="10">
        <f>DATE(2008,1,25)</f>
        <v>39472</v>
      </c>
      <c r="H418" s="35">
        <v>1.4534722222222223</v>
      </c>
      <c r="I418" s="5" t="s">
        <v>55</v>
      </c>
      <c r="J418" s="10" t="s">
        <v>2506</v>
      </c>
      <c r="K418" s="5" t="s">
        <v>216</v>
      </c>
      <c r="L418" s="5" t="s">
        <v>2507</v>
      </c>
      <c r="M418" s="5" t="s">
        <v>45</v>
      </c>
      <c r="N418" s="5">
        <v>0</v>
      </c>
      <c r="O418" s="5" t="s">
        <v>46</v>
      </c>
      <c r="P418" s="10" t="s">
        <v>60</v>
      </c>
      <c r="Q418" s="10" t="s">
        <v>415</v>
      </c>
      <c r="R418" s="10" t="s">
        <v>219</v>
      </c>
      <c r="S418" s="5">
        <v>0</v>
      </c>
      <c r="T418" s="37" t="s">
        <v>50</v>
      </c>
      <c r="U418" s="5">
        <v>0</v>
      </c>
      <c r="V418" s="37" t="s">
        <v>50</v>
      </c>
      <c r="W418" s="5">
        <v>0</v>
      </c>
      <c r="X418" s="5">
        <v>0</v>
      </c>
      <c r="Y418" s="5">
        <v>0</v>
      </c>
      <c r="Z418" s="37" t="s">
        <v>50</v>
      </c>
      <c r="AA418" s="5">
        <v>0</v>
      </c>
      <c r="AB418" s="5">
        <v>0</v>
      </c>
      <c r="AC418" s="5">
        <v>0</v>
      </c>
      <c r="AD418" s="5">
        <v>0</v>
      </c>
      <c r="AE418" s="10" t="s">
        <v>50</v>
      </c>
      <c r="AF418" s="10"/>
      <c r="AG418" s="10" t="s">
        <v>333</v>
      </c>
      <c r="AH418" s="10" t="s">
        <v>50</v>
      </c>
      <c r="AI418" s="5">
        <v>9</v>
      </c>
      <c r="AJ418" s="10" t="s">
        <v>2508</v>
      </c>
      <c r="AK418" s="10" t="s">
        <v>2509</v>
      </c>
    </row>
    <row r="419" spans="1:37" ht="36.75" customHeight="1" x14ac:dyDescent="0.35">
      <c r="A419" s="5"/>
      <c r="B419" s="5" t="s">
        <v>37</v>
      </c>
      <c r="C419" s="73" t="str">
        <f t="shared" si="6"/>
        <v>Closed</v>
      </c>
      <c r="D419" s="45" t="s">
        <v>2510</v>
      </c>
      <c r="E419" s="54" t="s">
        <v>2511</v>
      </c>
      <c r="F419" s="5" t="s">
        <v>619</v>
      </c>
      <c r="G419" s="10">
        <f>DATE(2008,1,26)</f>
        <v>39473</v>
      </c>
      <c r="H419" s="35">
        <v>1.7687499999999998</v>
      </c>
      <c r="I419" s="5" t="s">
        <v>259</v>
      </c>
      <c r="J419" s="10" t="s">
        <v>2512</v>
      </c>
      <c r="K419" s="5" t="s">
        <v>621</v>
      </c>
      <c r="L419" s="5" t="s">
        <v>2513</v>
      </c>
      <c r="M419" s="5" t="s">
        <v>45</v>
      </c>
      <c r="N419" s="5">
        <v>0</v>
      </c>
      <c r="O419" s="5" t="s">
        <v>46</v>
      </c>
      <c r="P419" s="10" t="s">
        <v>146</v>
      </c>
      <c r="Q419" s="10" t="s">
        <v>623</v>
      </c>
      <c r="R419" s="10" t="s">
        <v>624</v>
      </c>
      <c r="S419" s="5">
        <v>0</v>
      </c>
      <c r="T419" s="37">
        <v>0</v>
      </c>
      <c r="U419" s="5">
        <v>0</v>
      </c>
      <c r="V419" s="37">
        <v>1</v>
      </c>
      <c r="W419" s="5">
        <v>0</v>
      </c>
      <c r="X419" s="5">
        <v>1</v>
      </c>
      <c r="Y419" s="5">
        <v>0</v>
      </c>
      <c r="Z419" s="37">
        <v>0</v>
      </c>
      <c r="AA419" s="5">
        <v>0</v>
      </c>
      <c r="AB419" s="5">
        <v>0</v>
      </c>
      <c r="AC419" s="5">
        <v>0</v>
      </c>
      <c r="AD419" s="5">
        <v>0</v>
      </c>
      <c r="AE419" s="10" t="s">
        <v>50</v>
      </c>
      <c r="AF419" s="10"/>
      <c r="AG419" s="10" t="s">
        <v>229</v>
      </c>
      <c r="AH419" s="10" t="s">
        <v>50</v>
      </c>
      <c r="AI419" s="5">
        <v>1</v>
      </c>
      <c r="AJ419" s="10" t="s">
        <v>50</v>
      </c>
      <c r="AK419" s="10" t="s">
        <v>50</v>
      </c>
    </row>
    <row r="420" spans="1:37" ht="36.75" customHeight="1" x14ac:dyDescent="0.35">
      <c r="A420" s="5"/>
      <c r="B420" s="5" t="s">
        <v>37</v>
      </c>
      <c r="C420" s="73" t="str">
        <f t="shared" si="6"/>
        <v>Closed</v>
      </c>
      <c r="D420" s="45" t="s">
        <v>2514</v>
      </c>
      <c r="E420" s="54" t="s">
        <v>2515</v>
      </c>
      <c r="F420" s="5" t="s">
        <v>214</v>
      </c>
      <c r="G420" s="10">
        <f>DATE(2008,2,1)</f>
        <v>39479</v>
      </c>
      <c r="H420" s="35">
        <v>1.2722222222222221</v>
      </c>
      <c r="I420" s="5" t="s">
        <v>55</v>
      </c>
      <c r="J420" s="10" t="s">
        <v>2516</v>
      </c>
      <c r="K420" s="5" t="s">
        <v>216</v>
      </c>
      <c r="L420" s="5" t="s">
        <v>2517</v>
      </c>
      <c r="M420" s="5" t="s">
        <v>45</v>
      </c>
      <c r="N420" s="5">
        <v>0</v>
      </c>
      <c r="O420" s="5" t="s">
        <v>46</v>
      </c>
      <c r="P420" s="10" t="s">
        <v>146</v>
      </c>
      <c r="Q420" s="10" t="s">
        <v>2518</v>
      </c>
      <c r="R420" s="10" t="s">
        <v>219</v>
      </c>
      <c r="S420" s="5">
        <v>0</v>
      </c>
      <c r="T420" s="37">
        <v>0</v>
      </c>
      <c r="U420" s="5">
        <v>0</v>
      </c>
      <c r="V420" s="37">
        <v>0</v>
      </c>
      <c r="W420" s="5">
        <v>0</v>
      </c>
      <c r="X420" s="5">
        <v>0</v>
      </c>
      <c r="Y420" s="5">
        <v>0</v>
      </c>
      <c r="Z420" s="37">
        <v>1</v>
      </c>
      <c r="AA420" s="5">
        <v>0</v>
      </c>
      <c r="AB420" s="5">
        <v>0</v>
      </c>
      <c r="AC420" s="5">
        <v>0</v>
      </c>
      <c r="AD420" s="5">
        <v>1</v>
      </c>
      <c r="AE420" s="10" t="s">
        <v>50</v>
      </c>
      <c r="AF420" s="10"/>
      <c r="AG420" s="10" t="s">
        <v>114</v>
      </c>
      <c r="AH420" s="10" t="s">
        <v>50</v>
      </c>
      <c r="AI420" s="5">
        <v>4</v>
      </c>
      <c r="AJ420" s="10" t="s">
        <v>2519</v>
      </c>
      <c r="AK420" s="10" t="s">
        <v>2520</v>
      </c>
    </row>
    <row r="421" spans="1:37" ht="36.75" customHeight="1" x14ac:dyDescent="0.35">
      <c r="A421" s="5"/>
      <c r="B421" s="5" t="s">
        <v>37</v>
      </c>
      <c r="C421" s="73" t="str">
        <f t="shared" si="6"/>
        <v>Closed</v>
      </c>
      <c r="D421" s="45" t="s">
        <v>2521</v>
      </c>
      <c r="E421" s="54" t="s">
        <v>2522</v>
      </c>
      <c r="F421" s="5" t="s">
        <v>619</v>
      </c>
      <c r="G421" s="10">
        <f>DATE(2008,2,5)</f>
        <v>39483</v>
      </c>
      <c r="H421" s="35">
        <v>1.7083333333333335</v>
      </c>
      <c r="I421" s="5" t="s">
        <v>259</v>
      </c>
      <c r="J421" s="10" t="s">
        <v>2523</v>
      </c>
      <c r="K421" s="5" t="s">
        <v>621</v>
      </c>
      <c r="L421" s="5" t="s">
        <v>2524</v>
      </c>
      <c r="M421" s="5" t="s">
        <v>45</v>
      </c>
      <c r="N421" s="5">
        <v>0</v>
      </c>
      <c r="O421" s="5" t="s">
        <v>46</v>
      </c>
      <c r="P421" s="10" t="s">
        <v>47</v>
      </c>
      <c r="Q421" s="10" t="s">
        <v>623</v>
      </c>
      <c r="R421" s="10" t="s">
        <v>624</v>
      </c>
      <c r="S421" s="5">
        <v>0</v>
      </c>
      <c r="T421" s="37">
        <v>0</v>
      </c>
      <c r="U421" s="5">
        <v>0</v>
      </c>
      <c r="V421" s="37">
        <v>1</v>
      </c>
      <c r="W421" s="5">
        <v>0</v>
      </c>
      <c r="X421" s="5">
        <v>1</v>
      </c>
      <c r="Y421" s="5">
        <v>0</v>
      </c>
      <c r="Z421" s="37">
        <v>0</v>
      </c>
      <c r="AA421" s="5">
        <v>0</v>
      </c>
      <c r="AB421" s="5">
        <v>0</v>
      </c>
      <c r="AC421" s="5">
        <v>0</v>
      </c>
      <c r="AD421" s="5">
        <v>0</v>
      </c>
      <c r="AE421" s="10" t="s">
        <v>50</v>
      </c>
      <c r="AF421" s="10"/>
      <c r="AG421" s="10" t="s">
        <v>333</v>
      </c>
      <c r="AH421" s="10" t="s">
        <v>50</v>
      </c>
      <c r="AI421" s="5">
        <v>1</v>
      </c>
      <c r="AJ421" s="10" t="s">
        <v>50</v>
      </c>
      <c r="AK421" s="10" t="s">
        <v>50</v>
      </c>
    </row>
    <row r="422" spans="1:37" ht="36.75" customHeight="1" x14ac:dyDescent="0.35">
      <c r="A422" s="5"/>
      <c r="B422" s="5" t="s">
        <v>37</v>
      </c>
      <c r="C422" s="73" t="str">
        <f t="shared" si="6"/>
        <v>Closed</v>
      </c>
      <c r="D422" s="45" t="s">
        <v>2525</v>
      </c>
      <c r="E422" s="54" t="s">
        <v>2526</v>
      </c>
      <c r="F422" s="5" t="s">
        <v>2527</v>
      </c>
      <c r="G422" s="10">
        <f>DATE(2008,2,5)</f>
        <v>39483</v>
      </c>
      <c r="H422" s="35">
        <v>1.1368055555555556</v>
      </c>
      <c r="I422" s="5" t="s">
        <v>179</v>
      </c>
      <c r="J422" s="10" t="s">
        <v>2528</v>
      </c>
      <c r="K422" s="5" t="s">
        <v>2529</v>
      </c>
      <c r="L422" s="5" t="s">
        <v>2530</v>
      </c>
      <c r="M422" s="5" t="s">
        <v>45</v>
      </c>
      <c r="N422" s="5">
        <v>0</v>
      </c>
      <c r="O422" s="5" t="s">
        <v>67</v>
      </c>
      <c r="P422" s="10" t="s">
        <v>2531</v>
      </c>
      <c r="Q422" s="10" t="s">
        <v>2532</v>
      </c>
      <c r="R422" s="10" t="s">
        <v>2533</v>
      </c>
      <c r="S422" s="5">
        <v>0</v>
      </c>
      <c r="T422" s="37" t="s">
        <v>50</v>
      </c>
      <c r="U422" s="5">
        <v>0</v>
      </c>
      <c r="V422" s="37" t="s">
        <v>50</v>
      </c>
      <c r="W422" s="5">
        <v>0</v>
      </c>
      <c r="X422" s="5">
        <v>0</v>
      </c>
      <c r="Y422" s="5">
        <v>0</v>
      </c>
      <c r="Z422" s="37" t="s">
        <v>50</v>
      </c>
      <c r="AA422" s="5">
        <v>0</v>
      </c>
      <c r="AB422" s="5">
        <v>0</v>
      </c>
      <c r="AC422" s="5">
        <v>0</v>
      </c>
      <c r="AD422" s="5">
        <v>0</v>
      </c>
      <c r="AE422" s="10" t="s">
        <v>50</v>
      </c>
      <c r="AF422" s="10"/>
      <c r="AG422" s="10" t="s">
        <v>2534</v>
      </c>
      <c r="AH422" s="10" t="s">
        <v>50</v>
      </c>
      <c r="AI422" s="5">
        <v>4</v>
      </c>
      <c r="AJ422" s="10" t="s">
        <v>2535</v>
      </c>
      <c r="AK422" s="10" t="s">
        <v>2536</v>
      </c>
    </row>
    <row r="423" spans="1:37" ht="36.75" customHeight="1" x14ac:dyDescent="0.35">
      <c r="A423" s="5"/>
      <c r="B423" s="5" t="s">
        <v>37</v>
      </c>
      <c r="C423" s="73" t="str">
        <f t="shared" si="6"/>
        <v>Closed</v>
      </c>
      <c r="D423" s="45" t="s">
        <v>2537</v>
      </c>
      <c r="E423" s="54" t="s">
        <v>2538</v>
      </c>
      <c r="F423" s="5" t="s">
        <v>1553</v>
      </c>
      <c r="G423" s="10">
        <f>DATE(2008,2,5)</f>
        <v>39483</v>
      </c>
      <c r="H423" s="35">
        <v>1.46875</v>
      </c>
      <c r="I423" s="5" t="s">
        <v>259</v>
      </c>
      <c r="J423" s="10" t="s">
        <v>2539</v>
      </c>
      <c r="K423" s="5" t="s">
        <v>1555</v>
      </c>
      <c r="L423" s="5" t="s">
        <v>2540</v>
      </c>
      <c r="M423" s="5" t="s">
        <v>45</v>
      </c>
      <c r="N423" s="5">
        <v>0</v>
      </c>
      <c r="O423" s="5" t="s">
        <v>59</v>
      </c>
      <c r="P423" s="10" t="s">
        <v>72</v>
      </c>
      <c r="Q423" s="10" t="s">
        <v>2541</v>
      </c>
      <c r="R423" s="10" t="s">
        <v>2541</v>
      </c>
      <c r="S423" s="5">
        <v>0</v>
      </c>
      <c r="T423" s="37">
        <v>1</v>
      </c>
      <c r="U423" s="5">
        <v>0</v>
      </c>
      <c r="V423" s="37">
        <v>0</v>
      </c>
      <c r="W423" s="5">
        <v>0</v>
      </c>
      <c r="X423" s="5">
        <v>1</v>
      </c>
      <c r="Y423" s="5">
        <v>0</v>
      </c>
      <c r="Z423" s="37">
        <v>0</v>
      </c>
      <c r="AA423" s="5">
        <v>0</v>
      </c>
      <c r="AB423" s="5">
        <v>0</v>
      </c>
      <c r="AC423" s="5">
        <v>0</v>
      </c>
      <c r="AD423" s="5">
        <v>0</v>
      </c>
      <c r="AE423" s="10" t="s">
        <v>50</v>
      </c>
      <c r="AF423" s="10"/>
      <c r="AG423" s="10" t="s">
        <v>64</v>
      </c>
      <c r="AH423" s="10" t="s">
        <v>50</v>
      </c>
      <c r="AI423" s="5">
        <v>7</v>
      </c>
      <c r="AJ423" s="10" t="s">
        <v>2542</v>
      </c>
      <c r="AK423" s="10" t="s">
        <v>2543</v>
      </c>
    </row>
    <row r="424" spans="1:37" ht="36.75" customHeight="1" x14ac:dyDescent="0.35">
      <c r="A424" s="5"/>
      <c r="B424" s="5" t="s">
        <v>37</v>
      </c>
      <c r="C424" s="73" t="str">
        <f t="shared" si="6"/>
        <v>Closed</v>
      </c>
      <c r="D424" s="45" t="s">
        <v>2544</v>
      </c>
      <c r="E424" s="54" t="s">
        <v>2545</v>
      </c>
      <c r="F424" s="5" t="s">
        <v>816</v>
      </c>
      <c r="G424" s="10">
        <f>DATE(2008,2,7)</f>
        <v>39485</v>
      </c>
      <c r="H424" s="35">
        <v>1.3680555555555556</v>
      </c>
      <c r="I424" s="5" t="s">
        <v>55</v>
      </c>
      <c r="J424" s="10" t="s">
        <v>2546</v>
      </c>
      <c r="K424" s="5" t="s">
        <v>818</v>
      </c>
      <c r="L424" s="5" t="s">
        <v>2547</v>
      </c>
      <c r="M424" s="5" t="s">
        <v>45</v>
      </c>
      <c r="N424" s="5">
        <v>0</v>
      </c>
      <c r="O424" s="5" t="s">
        <v>59</v>
      </c>
      <c r="P424" s="10" t="s">
        <v>60</v>
      </c>
      <c r="Q424" s="10" t="s">
        <v>1331</v>
      </c>
      <c r="R424" s="10" t="s">
        <v>821</v>
      </c>
      <c r="S424" s="5">
        <v>0</v>
      </c>
      <c r="T424" s="37" t="s">
        <v>50</v>
      </c>
      <c r="U424" s="5">
        <v>0</v>
      </c>
      <c r="V424" s="37" t="s">
        <v>50</v>
      </c>
      <c r="W424" s="5">
        <v>0</v>
      </c>
      <c r="X424" s="5">
        <v>0</v>
      </c>
      <c r="Y424" s="5">
        <v>0</v>
      </c>
      <c r="Z424" s="37" t="s">
        <v>50</v>
      </c>
      <c r="AA424" s="5">
        <v>0</v>
      </c>
      <c r="AB424" s="5">
        <v>0</v>
      </c>
      <c r="AC424" s="5">
        <v>0</v>
      </c>
      <c r="AD424" s="5">
        <v>0</v>
      </c>
      <c r="AE424" s="10" t="s">
        <v>50</v>
      </c>
      <c r="AF424" s="10"/>
      <c r="AG424" s="10" t="s">
        <v>333</v>
      </c>
      <c r="AH424" s="10" t="s">
        <v>50</v>
      </c>
      <c r="AI424" s="5">
        <v>0</v>
      </c>
      <c r="AJ424" s="10" t="s">
        <v>50</v>
      </c>
      <c r="AK424" s="10" t="s">
        <v>50</v>
      </c>
    </row>
    <row r="425" spans="1:37" ht="36.75" customHeight="1" x14ac:dyDescent="0.35">
      <c r="A425" s="5"/>
      <c r="B425" s="5" t="s">
        <v>37</v>
      </c>
      <c r="C425" s="73" t="str">
        <f t="shared" si="6"/>
        <v>Closed</v>
      </c>
      <c r="D425" s="45" t="s">
        <v>2548</v>
      </c>
      <c r="E425" s="54" t="s">
        <v>2549</v>
      </c>
      <c r="F425" s="5" t="s">
        <v>40</v>
      </c>
      <c r="G425" s="10">
        <f>DATE(2008,2,8)</f>
        <v>39486</v>
      </c>
      <c r="H425" s="35">
        <v>1.4118055555555555</v>
      </c>
      <c r="I425" s="5" t="s">
        <v>55</v>
      </c>
      <c r="J425" s="10" t="s">
        <v>2550</v>
      </c>
      <c r="K425" s="5" t="s">
        <v>43</v>
      </c>
      <c r="L425" s="5" t="s">
        <v>2551</v>
      </c>
      <c r="M425" s="5" t="s">
        <v>45</v>
      </c>
      <c r="N425" s="5" t="s">
        <v>80</v>
      </c>
      <c r="O425" s="5" t="s">
        <v>71</v>
      </c>
      <c r="P425" s="10" t="s">
        <v>72</v>
      </c>
      <c r="Q425" s="10" t="s">
        <v>48</v>
      </c>
      <c r="R425" s="10" t="s">
        <v>49</v>
      </c>
      <c r="S425" s="5">
        <v>0</v>
      </c>
      <c r="T425" s="37">
        <v>0</v>
      </c>
      <c r="U425" s="5">
        <v>0</v>
      </c>
      <c r="V425" s="37">
        <v>0</v>
      </c>
      <c r="W425" s="5">
        <v>0</v>
      </c>
      <c r="X425" s="5">
        <v>0</v>
      </c>
      <c r="Y425" s="5">
        <v>0</v>
      </c>
      <c r="Z425" s="37">
        <v>0</v>
      </c>
      <c r="AA425" s="5">
        <v>0</v>
      </c>
      <c r="AB425" s="5">
        <v>0</v>
      </c>
      <c r="AC425" s="5">
        <v>0</v>
      </c>
      <c r="AD425" s="5">
        <v>0</v>
      </c>
      <c r="AE425" s="10" t="s">
        <v>73</v>
      </c>
      <c r="AF425" s="10"/>
      <c r="AG425" s="10" t="s">
        <v>51</v>
      </c>
      <c r="AH425" s="10">
        <v>39490</v>
      </c>
      <c r="AI425" s="5">
        <v>2</v>
      </c>
      <c r="AJ425" s="10" t="s">
        <v>2552</v>
      </c>
      <c r="AK425" s="10" t="s">
        <v>50</v>
      </c>
    </row>
    <row r="426" spans="1:37" ht="36.75" customHeight="1" x14ac:dyDescent="0.35">
      <c r="A426" s="5"/>
      <c r="B426" s="5" t="s">
        <v>37</v>
      </c>
      <c r="C426" s="73" t="str">
        <f t="shared" si="6"/>
        <v>Closed</v>
      </c>
      <c r="D426" s="45" t="s">
        <v>2553</v>
      </c>
      <c r="E426" s="54" t="s">
        <v>2554</v>
      </c>
      <c r="F426" s="5" t="s">
        <v>214</v>
      </c>
      <c r="G426" s="10">
        <f>DATE(2008,2,16)</f>
        <v>39494</v>
      </c>
      <c r="H426" s="35">
        <v>1.5</v>
      </c>
      <c r="I426" s="5" t="s">
        <v>259</v>
      </c>
      <c r="J426" s="10" t="s">
        <v>2555</v>
      </c>
      <c r="K426" s="5" t="s">
        <v>216</v>
      </c>
      <c r="L426" s="5" t="s">
        <v>2556</v>
      </c>
      <c r="M426" s="5" t="s">
        <v>45</v>
      </c>
      <c r="N426" s="5">
        <v>0</v>
      </c>
      <c r="O426" s="5" t="s">
        <v>46</v>
      </c>
      <c r="P426" s="10" t="s">
        <v>67</v>
      </c>
      <c r="Q426" s="10" t="s">
        <v>2557</v>
      </c>
      <c r="R426" s="10" t="s">
        <v>2557</v>
      </c>
      <c r="S426" s="5">
        <v>0</v>
      </c>
      <c r="T426" s="37" t="s">
        <v>50</v>
      </c>
      <c r="U426" s="5">
        <v>0</v>
      </c>
      <c r="V426" s="37" t="s">
        <v>50</v>
      </c>
      <c r="W426" s="5">
        <v>0</v>
      </c>
      <c r="X426" s="5">
        <v>0</v>
      </c>
      <c r="Y426" s="5">
        <v>0</v>
      </c>
      <c r="Z426" s="37" t="s">
        <v>50</v>
      </c>
      <c r="AA426" s="5">
        <v>0</v>
      </c>
      <c r="AB426" s="5">
        <v>0</v>
      </c>
      <c r="AC426" s="5">
        <v>0</v>
      </c>
      <c r="AD426" s="5">
        <v>0</v>
      </c>
      <c r="AE426" s="10" t="s">
        <v>50</v>
      </c>
      <c r="AF426" s="10"/>
      <c r="AG426" s="10" t="s">
        <v>114</v>
      </c>
      <c r="AH426" s="10" t="s">
        <v>50</v>
      </c>
      <c r="AI426" s="5">
        <v>1</v>
      </c>
      <c r="AJ426" s="10" t="s">
        <v>50</v>
      </c>
      <c r="AK426" s="10" t="s">
        <v>50</v>
      </c>
    </row>
    <row r="427" spans="1:37" ht="36.75" customHeight="1" x14ac:dyDescent="0.35">
      <c r="A427" s="5"/>
      <c r="B427" s="5" t="s">
        <v>37</v>
      </c>
      <c r="C427" s="73" t="str">
        <f t="shared" si="6"/>
        <v>Closed</v>
      </c>
      <c r="D427" s="45" t="s">
        <v>2558</v>
      </c>
      <c r="E427" s="54" t="s">
        <v>2559</v>
      </c>
      <c r="F427" s="5" t="s">
        <v>404</v>
      </c>
      <c r="G427" s="10">
        <f>DATE(2008,2,22)</f>
        <v>39500</v>
      </c>
      <c r="H427" s="35">
        <v>1.4861111111111112</v>
      </c>
      <c r="I427" s="5" t="s">
        <v>55</v>
      </c>
      <c r="J427" s="10" t="s">
        <v>2560</v>
      </c>
      <c r="K427" s="5" t="s">
        <v>406</v>
      </c>
      <c r="L427" s="5" t="s">
        <v>2561</v>
      </c>
      <c r="M427" s="5" t="s">
        <v>45</v>
      </c>
      <c r="N427" s="5">
        <v>0</v>
      </c>
      <c r="O427" s="5" t="s">
        <v>46</v>
      </c>
      <c r="P427" s="10" t="s">
        <v>60</v>
      </c>
      <c r="Q427" s="10" t="s">
        <v>2562</v>
      </c>
      <c r="R427" s="10" t="s">
        <v>971</v>
      </c>
      <c r="S427" s="5">
        <v>0</v>
      </c>
      <c r="T427" s="37" t="s">
        <v>50</v>
      </c>
      <c r="U427" s="5">
        <v>0</v>
      </c>
      <c r="V427" s="37" t="s">
        <v>50</v>
      </c>
      <c r="W427" s="5">
        <v>0</v>
      </c>
      <c r="X427" s="5">
        <v>0</v>
      </c>
      <c r="Y427" s="5">
        <v>0</v>
      </c>
      <c r="Z427" s="37" t="s">
        <v>50</v>
      </c>
      <c r="AA427" s="5">
        <v>0</v>
      </c>
      <c r="AB427" s="5">
        <v>0</v>
      </c>
      <c r="AC427" s="5">
        <v>0</v>
      </c>
      <c r="AD427" s="5">
        <v>0</v>
      </c>
      <c r="AE427" s="10" t="s">
        <v>50</v>
      </c>
      <c r="AF427" s="10"/>
      <c r="AG427" s="10" t="s">
        <v>114</v>
      </c>
      <c r="AH427" s="10" t="s">
        <v>50</v>
      </c>
      <c r="AI427" s="5">
        <v>0</v>
      </c>
      <c r="AJ427" s="10" t="s">
        <v>2563</v>
      </c>
      <c r="AK427" s="10" t="s">
        <v>2564</v>
      </c>
    </row>
    <row r="428" spans="1:37" ht="36.75" customHeight="1" x14ac:dyDescent="0.35">
      <c r="A428" s="5"/>
      <c r="B428" s="5" t="s">
        <v>37</v>
      </c>
      <c r="C428" s="73" t="str">
        <f t="shared" si="6"/>
        <v>Closed</v>
      </c>
      <c r="D428" s="45" t="s">
        <v>2565</v>
      </c>
      <c r="E428" s="54" t="s">
        <v>2566</v>
      </c>
      <c r="F428" s="5" t="s">
        <v>619</v>
      </c>
      <c r="G428" s="10">
        <f>DATE(2008,2,22)</f>
        <v>39500</v>
      </c>
      <c r="H428" s="35">
        <v>1.8333333333333335</v>
      </c>
      <c r="I428" s="5" t="s">
        <v>137</v>
      </c>
      <c r="J428" s="10" t="s">
        <v>2567</v>
      </c>
      <c r="K428" s="5" t="s">
        <v>621</v>
      </c>
      <c r="L428" s="5" t="s">
        <v>2568</v>
      </c>
      <c r="M428" s="5" t="s">
        <v>45</v>
      </c>
      <c r="N428" s="5">
        <v>0</v>
      </c>
      <c r="O428" s="5" t="s">
        <v>67</v>
      </c>
      <c r="P428" s="10" t="s">
        <v>362</v>
      </c>
      <c r="Q428" s="10" t="s">
        <v>623</v>
      </c>
      <c r="R428" s="10" t="s">
        <v>624</v>
      </c>
      <c r="S428" s="5">
        <v>0</v>
      </c>
      <c r="T428" s="37">
        <v>0</v>
      </c>
      <c r="U428" s="5">
        <v>0</v>
      </c>
      <c r="V428" s="37">
        <v>0</v>
      </c>
      <c r="W428" s="5">
        <v>1</v>
      </c>
      <c r="X428" s="5">
        <v>1</v>
      </c>
      <c r="Y428" s="5">
        <v>0</v>
      </c>
      <c r="Z428" s="37">
        <v>0</v>
      </c>
      <c r="AA428" s="5">
        <v>0</v>
      </c>
      <c r="AB428" s="5">
        <v>0</v>
      </c>
      <c r="AC428" s="5">
        <v>0</v>
      </c>
      <c r="AD428" s="5">
        <v>0</v>
      </c>
      <c r="AE428" s="10" t="s">
        <v>50</v>
      </c>
      <c r="AF428" s="10"/>
      <c r="AG428" s="10" t="s">
        <v>229</v>
      </c>
      <c r="AH428" s="10" t="s">
        <v>50</v>
      </c>
      <c r="AI428" s="5">
        <v>1</v>
      </c>
      <c r="AJ428" s="10" t="s">
        <v>2569</v>
      </c>
      <c r="AK428" s="10" t="s">
        <v>50</v>
      </c>
    </row>
    <row r="429" spans="1:37" ht="36.75" customHeight="1" x14ac:dyDescent="0.35">
      <c r="A429" s="5"/>
      <c r="B429" s="5" t="s">
        <v>37</v>
      </c>
      <c r="C429" s="73" t="str">
        <f t="shared" si="6"/>
        <v>Closed</v>
      </c>
      <c r="D429" s="45" t="s">
        <v>2570</v>
      </c>
      <c r="E429" s="54" t="s">
        <v>2571</v>
      </c>
      <c r="F429" s="5" t="s">
        <v>40</v>
      </c>
      <c r="G429" s="10">
        <f>DATE(2008,2,25)</f>
        <v>39503</v>
      </c>
      <c r="H429" s="35">
        <v>1.4118055555555555</v>
      </c>
      <c r="I429" s="5" t="s">
        <v>97</v>
      </c>
      <c r="J429" s="10" t="s">
        <v>2572</v>
      </c>
      <c r="K429" s="5" t="s">
        <v>43</v>
      </c>
      <c r="L429" s="5" t="s">
        <v>2573</v>
      </c>
      <c r="M429" s="5" t="s">
        <v>45</v>
      </c>
      <c r="N429" s="5" t="s">
        <v>80</v>
      </c>
      <c r="O429" s="5" t="s">
        <v>46</v>
      </c>
      <c r="P429" s="10" t="s">
        <v>60</v>
      </c>
      <c r="Q429" s="10" t="s">
        <v>48</v>
      </c>
      <c r="R429" s="10" t="s">
        <v>49</v>
      </c>
      <c r="S429" s="5">
        <v>0</v>
      </c>
      <c r="T429" s="37">
        <v>0</v>
      </c>
      <c r="U429" s="5">
        <v>1</v>
      </c>
      <c r="V429" s="37">
        <v>0</v>
      </c>
      <c r="W429" s="5">
        <v>0</v>
      </c>
      <c r="X429" s="5">
        <v>1</v>
      </c>
      <c r="Y429" s="5">
        <v>0</v>
      </c>
      <c r="Z429" s="37">
        <v>0</v>
      </c>
      <c r="AA429" s="5">
        <v>0</v>
      </c>
      <c r="AB429" s="5">
        <v>0</v>
      </c>
      <c r="AC429" s="5">
        <v>0</v>
      </c>
      <c r="AD429" s="5">
        <v>0</v>
      </c>
      <c r="AE429" s="10" t="s">
        <v>73</v>
      </c>
      <c r="AF429" s="10"/>
      <c r="AG429" s="10" t="s">
        <v>64</v>
      </c>
      <c r="AH429" s="10">
        <v>39504</v>
      </c>
      <c r="AI429" s="5">
        <v>1</v>
      </c>
      <c r="AJ429" s="10" t="s">
        <v>2574</v>
      </c>
      <c r="AK429" s="10" t="s">
        <v>50</v>
      </c>
    </row>
    <row r="430" spans="1:37" ht="36.75" customHeight="1" x14ac:dyDescent="0.35">
      <c r="A430" s="5"/>
      <c r="B430" s="5" t="s">
        <v>37</v>
      </c>
      <c r="C430" s="73" t="str">
        <f t="shared" si="6"/>
        <v>Closed</v>
      </c>
      <c r="D430" s="45" t="s">
        <v>2575</v>
      </c>
      <c r="E430" s="54" t="s">
        <v>2576</v>
      </c>
      <c r="F430" s="5" t="s">
        <v>96</v>
      </c>
      <c r="G430" s="10">
        <f>DATE(2008,2,26)</f>
        <v>39504</v>
      </c>
      <c r="H430" s="35">
        <v>1.4305555555555556</v>
      </c>
      <c r="I430" s="5" t="s">
        <v>259</v>
      </c>
      <c r="J430" s="10" t="s">
        <v>2577</v>
      </c>
      <c r="K430" s="5" t="s">
        <v>99</v>
      </c>
      <c r="L430" s="5" t="s">
        <v>2578</v>
      </c>
      <c r="M430" s="5" t="s">
        <v>45</v>
      </c>
      <c r="N430" s="5">
        <v>0</v>
      </c>
      <c r="O430" s="5" t="s">
        <v>59</v>
      </c>
      <c r="P430" s="10" t="s">
        <v>47</v>
      </c>
      <c r="Q430" s="10" t="s">
        <v>101</v>
      </c>
      <c r="R430" s="10" t="s">
        <v>102</v>
      </c>
      <c r="S430" s="5">
        <v>0</v>
      </c>
      <c r="T430" s="37">
        <v>1</v>
      </c>
      <c r="U430" s="5">
        <v>0</v>
      </c>
      <c r="V430" s="37">
        <v>0</v>
      </c>
      <c r="W430" s="5">
        <v>0</v>
      </c>
      <c r="X430" s="5">
        <v>1</v>
      </c>
      <c r="Y430" s="5">
        <v>0</v>
      </c>
      <c r="Z430" s="37">
        <v>0</v>
      </c>
      <c r="AA430" s="5">
        <v>0</v>
      </c>
      <c r="AB430" s="5">
        <v>0</v>
      </c>
      <c r="AC430" s="5">
        <v>0</v>
      </c>
      <c r="AD430" s="5">
        <v>0</v>
      </c>
      <c r="AE430" s="10" t="s">
        <v>50</v>
      </c>
      <c r="AF430" s="10"/>
      <c r="AG430" s="10" t="s">
        <v>114</v>
      </c>
      <c r="AH430" s="10" t="s">
        <v>50</v>
      </c>
      <c r="AI430" s="5">
        <v>0</v>
      </c>
      <c r="AJ430" s="10" t="s">
        <v>50</v>
      </c>
      <c r="AK430" s="10" t="s">
        <v>50</v>
      </c>
    </row>
    <row r="431" spans="1:37" ht="36.75" customHeight="1" x14ac:dyDescent="0.35">
      <c r="A431" s="5"/>
      <c r="B431" s="5" t="s">
        <v>37</v>
      </c>
      <c r="C431" s="73" t="str">
        <f t="shared" si="6"/>
        <v>Closed</v>
      </c>
      <c r="D431" s="45" t="s">
        <v>2579</v>
      </c>
      <c r="E431" s="54" t="s">
        <v>2580</v>
      </c>
      <c r="F431" s="5" t="s">
        <v>2581</v>
      </c>
      <c r="G431" s="10">
        <f>DATE(2008,2,28)</f>
        <v>39506</v>
      </c>
      <c r="H431" s="35">
        <v>1.9861111111111112</v>
      </c>
      <c r="I431" s="5" t="s">
        <v>106</v>
      </c>
      <c r="J431" s="10" t="s">
        <v>2582</v>
      </c>
      <c r="K431" s="5" t="s">
        <v>2583</v>
      </c>
      <c r="L431" s="5" t="s">
        <v>2584</v>
      </c>
      <c r="M431" s="5" t="s">
        <v>45</v>
      </c>
      <c r="N431" s="5">
        <v>0</v>
      </c>
      <c r="O431" s="5" t="s">
        <v>46</v>
      </c>
      <c r="P431" s="10" t="s">
        <v>47</v>
      </c>
      <c r="Q431" s="10" t="s">
        <v>2585</v>
      </c>
      <c r="R431" s="10" t="s">
        <v>2586</v>
      </c>
      <c r="S431" s="5">
        <v>9</v>
      </c>
      <c r="T431" s="37">
        <v>0</v>
      </c>
      <c r="U431" s="5">
        <v>0</v>
      </c>
      <c r="V431" s="37">
        <v>0</v>
      </c>
      <c r="W431" s="5">
        <v>0</v>
      </c>
      <c r="X431" s="5">
        <v>9</v>
      </c>
      <c r="Y431" s="5">
        <v>10</v>
      </c>
      <c r="Z431" s="37">
        <v>0</v>
      </c>
      <c r="AA431" s="5">
        <v>0</v>
      </c>
      <c r="AB431" s="5">
        <v>0</v>
      </c>
      <c r="AC431" s="5">
        <v>0</v>
      </c>
      <c r="AD431" s="5">
        <v>10</v>
      </c>
      <c r="AE431" s="10" t="s">
        <v>50</v>
      </c>
      <c r="AF431" s="10"/>
      <c r="AG431" s="10" t="s">
        <v>64</v>
      </c>
      <c r="AH431" s="10" t="s">
        <v>50</v>
      </c>
      <c r="AI431" s="5">
        <v>4</v>
      </c>
      <c r="AJ431" s="10" t="s">
        <v>50</v>
      </c>
      <c r="AK431" s="10" t="s">
        <v>50</v>
      </c>
    </row>
    <row r="432" spans="1:37" ht="36.75" customHeight="1" x14ac:dyDescent="0.35">
      <c r="A432" s="5"/>
      <c r="B432" s="5" t="s">
        <v>37</v>
      </c>
      <c r="C432" s="73" t="str">
        <f t="shared" si="6"/>
        <v>Closed</v>
      </c>
      <c r="D432" s="45" t="s">
        <v>2587</v>
      </c>
      <c r="E432" s="54" t="s">
        <v>2588</v>
      </c>
      <c r="F432" s="5" t="s">
        <v>1919</v>
      </c>
      <c r="G432" s="10">
        <f>DATE(2008,2,28)</f>
        <v>39506</v>
      </c>
      <c r="H432" s="35">
        <v>1.4569444444444444</v>
      </c>
      <c r="I432" s="5" t="s">
        <v>97</v>
      </c>
      <c r="J432" s="10" t="s">
        <v>2589</v>
      </c>
      <c r="K432" s="5" t="s">
        <v>1921</v>
      </c>
      <c r="L432" s="5" t="s">
        <v>2590</v>
      </c>
      <c r="M432" s="5" t="s">
        <v>45</v>
      </c>
      <c r="N432" s="5">
        <v>0</v>
      </c>
      <c r="O432" s="5" t="s">
        <v>46</v>
      </c>
      <c r="P432" s="10" t="s">
        <v>146</v>
      </c>
      <c r="Q432" s="10" t="s">
        <v>1923</v>
      </c>
      <c r="R432" s="10" t="s">
        <v>1923</v>
      </c>
      <c r="S432" s="5">
        <v>0</v>
      </c>
      <c r="T432" s="37">
        <v>0</v>
      </c>
      <c r="U432" s="5">
        <v>1</v>
      </c>
      <c r="V432" s="37">
        <v>0</v>
      </c>
      <c r="W432" s="5">
        <v>0</v>
      </c>
      <c r="X432" s="5">
        <v>1</v>
      </c>
      <c r="Y432" s="5">
        <v>0</v>
      </c>
      <c r="Z432" s="37">
        <v>0</v>
      </c>
      <c r="AA432" s="5">
        <v>0</v>
      </c>
      <c r="AB432" s="5">
        <v>0</v>
      </c>
      <c r="AC432" s="5">
        <v>0</v>
      </c>
      <c r="AD432" s="5">
        <v>0</v>
      </c>
      <c r="AE432" s="10" t="s">
        <v>50</v>
      </c>
      <c r="AF432" s="10"/>
      <c r="AG432" s="10" t="s">
        <v>64</v>
      </c>
      <c r="AH432" s="10" t="s">
        <v>50</v>
      </c>
      <c r="AI432" s="5">
        <v>0</v>
      </c>
      <c r="AJ432" s="10" t="s">
        <v>50</v>
      </c>
      <c r="AK432" s="10" t="s">
        <v>2591</v>
      </c>
    </row>
    <row r="433" spans="1:37" ht="36.75" customHeight="1" x14ac:dyDescent="0.35">
      <c r="A433" s="5"/>
      <c r="B433" s="5" t="s">
        <v>37</v>
      </c>
      <c r="C433" s="73" t="str">
        <f t="shared" si="6"/>
        <v>Closed</v>
      </c>
      <c r="D433" s="45" t="s">
        <v>2592</v>
      </c>
      <c r="E433" s="54" t="s">
        <v>2593</v>
      </c>
      <c r="F433" s="5" t="s">
        <v>40</v>
      </c>
      <c r="G433" s="10">
        <f>DATE(2008,3,1)</f>
        <v>39508</v>
      </c>
      <c r="H433" s="35">
        <v>1.2583333333333333</v>
      </c>
      <c r="I433" s="5" t="s">
        <v>55</v>
      </c>
      <c r="J433" s="10" t="s">
        <v>2594</v>
      </c>
      <c r="K433" s="5" t="s">
        <v>43</v>
      </c>
      <c r="L433" s="5" t="s">
        <v>2595</v>
      </c>
      <c r="M433" s="5" t="s">
        <v>45</v>
      </c>
      <c r="N433" s="5" t="s">
        <v>80</v>
      </c>
      <c r="O433" s="5" t="s">
        <v>71</v>
      </c>
      <c r="P433" s="10" t="s">
        <v>72</v>
      </c>
      <c r="Q433" s="10" t="s">
        <v>48</v>
      </c>
      <c r="R433" s="10" t="s">
        <v>2596</v>
      </c>
      <c r="S433" s="5">
        <v>0</v>
      </c>
      <c r="T433" s="37">
        <v>0</v>
      </c>
      <c r="U433" s="5">
        <v>0</v>
      </c>
      <c r="V433" s="37">
        <v>0</v>
      </c>
      <c r="W433" s="5">
        <v>0</v>
      </c>
      <c r="X433" s="5">
        <v>0</v>
      </c>
      <c r="Y433" s="5">
        <v>0</v>
      </c>
      <c r="Z433" s="37">
        <v>0</v>
      </c>
      <c r="AA433" s="5">
        <v>0</v>
      </c>
      <c r="AB433" s="5">
        <v>0</v>
      </c>
      <c r="AC433" s="5">
        <v>0</v>
      </c>
      <c r="AD433" s="5">
        <v>0</v>
      </c>
      <c r="AE433" s="10" t="s">
        <v>73</v>
      </c>
      <c r="AF433" s="10"/>
      <c r="AG433" s="10" t="s">
        <v>1399</v>
      </c>
      <c r="AH433" s="10">
        <v>39512</v>
      </c>
      <c r="AI433" s="5">
        <v>1</v>
      </c>
      <c r="AJ433" s="10" t="s">
        <v>2597</v>
      </c>
      <c r="AK433" s="10" t="s">
        <v>2598</v>
      </c>
    </row>
    <row r="434" spans="1:37" ht="36.75" customHeight="1" x14ac:dyDescent="0.35">
      <c r="A434" s="5"/>
      <c r="B434" s="5" t="s">
        <v>37</v>
      </c>
      <c r="C434" s="73" t="str">
        <f t="shared" si="6"/>
        <v>Closed</v>
      </c>
      <c r="D434" s="45" t="s">
        <v>2599</v>
      </c>
      <c r="E434" s="54" t="s">
        <v>2600</v>
      </c>
      <c r="F434" s="5" t="s">
        <v>214</v>
      </c>
      <c r="G434" s="10">
        <f>DATE(2008,3,1)</f>
        <v>39508</v>
      </c>
      <c r="H434" s="35">
        <v>1.1041666666666667</v>
      </c>
      <c r="I434" s="5" t="s">
        <v>67</v>
      </c>
      <c r="J434" s="10" t="s">
        <v>2601</v>
      </c>
      <c r="K434" s="5" t="s">
        <v>216</v>
      </c>
      <c r="L434" s="5" t="s">
        <v>2602</v>
      </c>
      <c r="M434" s="5" t="s">
        <v>45</v>
      </c>
      <c r="N434" s="5">
        <v>0</v>
      </c>
      <c r="O434" s="5" t="s">
        <v>46</v>
      </c>
      <c r="P434" s="10" t="s">
        <v>60</v>
      </c>
      <c r="Q434" s="10" t="s">
        <v>2603</v>
      </c>
      <c r="R434" s="10" t="s">
        <v>219</v>
      </c>
      <c r="S434" s="5">
        <v>0</v>
      </c>
      <c r="T434" s="37" t="s">
        <v>50</v>
      </c>
      <c r="U434" s="5">
        <v>0</v>
      </c>
      <c r="V434" s="37" t="s">
        <v>50</v>
      </c>
      <c r="W434" s="5">
        <v>0</v>
      </c>
      <c r="X434" s="5">
        <v>0</v>
      </c>
      <c r="Y434" s="5">
        <v>0</v>
      </c>
      <c r="Z434" s="37" t="s">
        <v>50</v>
      </c>
      <c r="AA434" s="5">
        <v>0</v>
      </c>
      <c r="AB434" s="5">
        <v>0</v>
      </c>
      <c r="AC434" s="5">
        <v>0</v>
      </c>
      <c r="AD434" s="5">
        <v>0</v>
      </c>
      <c r="AE434" s="10" t="s">
        <v>50</v>
      </c>
      <c r="AF434" s="10"/>
      <c r="AG434" s="10" t="s">
        <v>114</v>
      </c>
      <c r="AH434" s="10" t="s">
        <v>50</v>
      </c>
      <c r="AI434" s="5">
        <v>10</v>
      </c>
      <c r="AJ434" s="10" t="s">
        <v>2604</v>
      </c>
      <c r="AK434" s="10" t="s">
        <v>2605</v>
      </c>
    </row>
    <row r="435" spans="1:37" ht="36.75" customHeight="1" x14ac:dyDescent="0.35">
      <c r="A435" s="5"/>
      <c r="B435" s="5" t="s">
        <v>37</v>
      </c>
      <c r="C435" s="73" t="str">
        <f t="shared" si="6"/>
        <v>Closed</v>
      </c>
      <c r="D435" s="45" t="s">
        <v>2606</v>
      </c>
      <c r="E435" s="54" t="s">
        <v>2607</v>
      </c>
      <c r="F435" s="5" t="s">
        <v>1751</v>
      </c>
      <c r="G435" s="10">
        <f>DATE(2008,3,3)</f>
        <v>39510</v>
      </c>
      <c r="H435" s="35">
        <v>1.7104166666666667</v>
      </c>
      <c r="I435" s="5" t="s">
        <v>97</v>
      </c>
      <c r="J435" s="10" t="s">
        <v>2608</v>
      </c>
      <c r="K435" s="5" t="s">
        <v>1753</v>
      </c>
      <c r="L435" s="5" t="s">
        <v>2609</v>
      </c>
      <c r="M435" s="5" t="s">
        <v>45</v>
      </c>
      <c r="N435" s="5" t="s">
        <v>123</v>
      </c>
      <c r="O435" s="5" t="s">
        <v>46</v>
      </c>
      <c r="P435" s="10" t="s">
        <v>146</v>
      </c>
      <c r="Q435" s="10" t="s">
        <v>1755</v>
      </c>
      <c r="R435" s="10" t="s">
        <v>1756</v>
      </c>
      <c r="S435" s="5">
        <v>0</v>
      </c>
      <c r="T435" s="37">
        <v>0</v>
      </c>
      <c r="U435" s="5">
        <v>0</v>
      </c>
      <c r="V435" s="37">
        <v>0</v>
      </c>
      <c r="W435" s="5">
        <v>0</v>
      </c>
      <c r="X435" s="5">
        <v>0</v>
      </c>
      <c r="Y435" s="5">
        <v>0</v>
      </c>
      <c r="Z435" s="37">
        <v>0</v>
      </c>
      <c r="AA435" s="5">
        <v>1</v>
      </c>
      <c r="AB435" s="5">
        <v>0</v>
      </c>
      <c r="AC435" s="5">
        <v>0</v>
      </c>
      <c r="AD435" s="5">
        <v>1</v>
      </c>
      <c r="AE435" s="10" t="s">
        <v>73</v>
      </c>
      <c r="AF435" s="10"/>
      <c r="AG435" s="10" t="s">
        <v>114</v>
      </c>
      <c r="AH435" s="10">
        <v>39511</v>
      </c>
      <c r="AI435" s="5">
        <v>3</v>
      </c>
      <c r="AJ435" s="10" t="s">
        <v>2610</v>
      </c>
      <c r="AK435" s="10" t="s">
        <v>2611</v>
      </c>
    </row>
    <row r="436" spans="1:37" ht="36.75" customHeight="1" x14ac:dyDescent="0.35">
      <c r="A436" s="5"/>
      <c r="B436" s="5" t="s">
        <v>37</v>
      </c>
      <c r="C436" s="73" t="str">
        <f t="shared" si="6"/>
        <v>Closed</v>
      </c>
      <c r="D436" s="45" t="s">
        <v>2612</v>
      </c>
      <c r="E436" s="54" t="s">
        <v>2613</v>
      </c>
      <c r="F436" s="5" t="s">
        <v>816</v>
      </c>
      <c r="G436" s="10">
        <f>DATE(2008,3,7)</f>
        <v>39514</v>
      </c>
      <c r="H436" s="35">
        <v>1.4895833333333333</v>
      </c>
      <c r="I436" s="5" t="s">
        <v>97</v>
      </c>
      <c r="J436" s="10" t="s">
        <v>2614</v>
      </c>
      <c r="K436" s="5" t="s">
        <v>818</v>
      </c>
      <c r="L436" s="5" t="s">
        <v>2615</v>
      </c>
      <c r="M436" s="5" t="s">
        <v>45</v>
      </c>
      <c r="N436" s="5">
        <v>0</v>
      </c>
      <c r="O436" s="5" t="s">
        <v>46</v>
      </c>
      <c r="P436" s="10" t="s">
        <v>146</v>
      </c>
      <c r="Q436" s="10" t="s">
        <v>2142</v>
      </c>
      <c r="R436" s="10" t="s">
        <v>821</v>
      </c>
      <c r="S436" s="5">
        <v>0</v>
      </c>
      <c r="T436" s="37" t="s">
        <v>50</v>
      </c>
      <c r="U436" s="5">
        <v>0</v>
      </c>
      <c r="V436" s="37" t="s">
        <v>50</v>
      </c>
      <c r="W436" s="5">
        <v>0</v>
      </c>
      <c r="X436" s="5">
        <v>0</v>
      </c>
      <c r="Y436" s="5">
        <v>0</v>
      </c>
      <c r="Z436" s="37" t="s">
        <v>50</v>
      </c>
      <c r="AA436" s="5">
        <v>0</v>
      </c>
      <c r="AB436" s="5">
        <v>0</v>
      </c>
      <c r="AC436" s="5">
        <v>0</v>
      </c>
      <c r="AD436" s="5">
        <v>0</v>
      </c>
      <c r="AE436" s="10" t="s">
        <v>50</v>
      </c>
      <c r="AF436" s="10"/>
      <c r="AG436" s="10" t="s">
        <v>333</v>
      </c>
      <c r="AH436" s="10" t="s">
        <v>50</v>
      </c>
      <c r="AI436" s="5">
        <v>1</v>
      </c>
      <c r="AJ436" s="10" t="s">
        <v>50</v>
      </c>
      <c r="AK436" s="10" t="s">
        <v>50</v>
      </c>
    </row>
    <row r="437" spans="1:37" ht="36.75" customHeight="1" x14ac:dyDescent="0.35">
      <c r="A437" s="5"/>
      <c r="B437" s="5" t="s">
        <v>37</v>
      </c>
      <c r="C437" s="73" t="str">
        <f t="shared" si="6"/>
        <v>Closed</v>
      </c>
      <c r="D437" s="45" t="s">
        <v>2616</v>
      </c>
      <c r="E437" s="54" t="s">
        <v>2617</v>
      </c>
      <c r="F437" s="5" t="s">
        <v>105</v>
      </c>
      <c r="G437" s="10">
        <f>DATE(2008,3,8)</f>
        <v>39515</v>
      </c>
      <c r="H437" s="35">
        <v>1.0347222222222223</v>
      </c>
      <c r="I437" s="5" t="s">
        <v>67</v>
      </c>
      <c r="J437" s="10" t="s">
        <v>2618</v>
      </c>
      <c r="K437" s="5" t="s">
        <v>108</v>
      </c>
      <c r="L437" s="5" t="s">
        <v>2619</v>
      </c>
      <c r="M437" s="5" t="s">
        <v>45</v>
      </c>
      <c r="N437" s="5">
        <v>0</v>
      </c>
      <c r="O437" s="5" t="s">
        <v>46</v>
      </c>
      <c r="P437" s="10" t="s">
        <v>60</v>
      </c>
      <c r="Q437" s="10" t="s">
        <v>382</v>
      </c>
      <c r="R437" s="10" t="s">
        <v>148</v>
      </c>
      <c r="S437" s="5">
        <v>0</v>
      </c>
      <c r="T437" s="37" t="s">
        <v>50</v>
      </c>
      <c r="U437" s="5">
        <v>0</v>
      </c>
      <c r="V437" s="37" t="s">
        <v>50</v>
      </c>
      <c r="W437" s="5">
        <v>0</v>
      </c>
      <c r="X437" s="5">
        <v>0</v>
      </c>
      <c r="Y437" s="5">
        <v>0</v>
      </c>
      <c r="Z437" s="37" t="s">
        <v>50</v>
      </c>
      <c r="AA437" s="5">
        <v>0</v>
      </c>
      <c r="AB437" s="5">
        <v>0</v>
      </c>
      <c r="AC437" s="5">
        <v>0</v>
      </c>
      <c r="AD437" s="5">
        <v>0</v>
      </c>
      <c r="AE437" s="10" t="s">
        <v>50</v>
      </c>
      <c r="AF437" s="10"/>
      <c r="AG437" s="10" t="s">
        <v>114</v>
      </c>
      <c r="AH437" s="10" t="s">
        <v>50</v>
      </c>
      <c r="AI437" s="5">
        <v>2</v>
      </c>
      <c r="AJ437" s="10" t="s">
        <v>50</v>
      </c>
      <c r="AK437" s="10" t="s">
        <v>2620</v>
      </c>
    </row>
    <row r="438" spans="1:37" ht="36.75" customHeight="1" x14ac:dyDescent="0.35">
      <c r="A438" s="5"/>
      <c r="B438" s="5" t="s">
        <v>37</v>
      </c>
      <c r="C438" s="73" t="str">
        <f t="shared" si="6"/>
        <v>Closed</v>
      </c>
      <c r="D438" s="45" t="s">
        <v>2621</v>
      </c>
      <c r="E438" s="54" t="s">
        <v>2622</v>
      </c>
      <c r="F438" s="5" t="s">
        <v>214</v>
      </c>
      <c r="G438" s="10">
        <f>DATE(2008,3,9)</f>
        <v>39516</v>
      </c>
      <c r="H438" s="35">
        <v>1.9722222222222223</v>
      </c>
      <c r="I438" s="5" t="s">
        <v>55</v>
      </c>
      <c r="J438" s="10" t="s">
        <v>2623</v>
      </c>
      <c r="K438" s="5" t="s">
        <v>216</v>
      </c>
      <c r="L438" s="5" t="s">
        <v>2624</v>
      </c>
      <c r="M438" s="5" t="s">
        <v>45</v>
      </c>
      <c r="N438" s="5">
        <v>0</v>
      </c>
      <c r="O438" s="5" t="s">
        <v>67</v>
      </c>
      <c r="P438" s="10" t="s">
        <v>282</v>
      </c>
      <c r="Q438" s="10" t="s">
        <v>656</v>
      </c>
      <c r="R438" s="10" t="s">
        <v>656</v>
      </c>
      <c r="S438" s="5">
        <v>0</v>
      </c>
      <c r="T438" s="37" t="s">
        <v>50</v>
      </c>
      <c r="U438" s="5">
        <v>0</v>
      </c>
      <c r="V438" s="37" t="s">
        <v>50</v>
      </c>
      <c r="W438" s="5">
        <v>0</v>
      </c>
      <c r="X438" s="5">
        <v>0</v>
      </c>
      <c r="Y438" s="5">
        <v>0</v>
      </c>
      <c r="Z438" s="37" t="s">
        <v>50</v>
      </c>
      <c r="AA438" s="5">
        <v>0</v>
      </c>
      <c r="AB438" s="5">
        <v>0</v>
      </c>
      <c r="AC438" s="5">
        <v>0</v>
      </c>
      <c r="AD438" s="5">
        <v>0</v>
      </c>
      <c r="AE438" s="10" t="s">
        <v>50</v>
      </c>
      <c r="AF438" s="10"/>
      <c r="AG438" s="10" t="s">
        <v>333</v>
      </c>
      <c r="AH438" s="10" t="s">
        <v>50</v>
      </c>
      <c r="AI438" s="5">
        <v>4</v>
      </c>
      <c r="AJ438" s="10" t="s">
        <v>2625</v>
      </c>
      <c r="AK438" s="10" t="s">
        <v>2626</v>
      </c>
    </row>
    <row r="439" spans="1:37" ht="36.75" customHeight="1" x14ac:dyDescent="0.35">
      <c r="A439" s="5"/>
      <c r="B439" s="5" t="s">
        <v>37</v>
      </c>
      <c r="C439" s="73" t="str">
        <f t="shared" si="6"/>
        <v>Closed</v>
      </c>
      <c r="D439" s="45" t="s">
        <v>2627</v>
      </c>
      <c r="E439" s="54" t="s">
        <v>2628</v>
      </c>
      <c r="F439" s="5" t="s">
        <v>575</v>
      </c>
      <c r="G439" s="10">
        <f>DATE(2008,3,11)</f>
        <v>39518</v>
      </c>
      <c r="H439" s="35">
        <v>1.4166666666666667</v>
      </c>
      <c r="I439" s="5" t="s">
        <v>97</v>
      </c>
      <c r="J439" s="10" t="s">
        <v>2629</v>
      </c>
      <c r="K439" s="5" t="s">
        <v>577</v>
      </c>
      <c r="L439" s="5" t="s">
        <v>2630</v>
      </c>
      <c r="M439" s="5" t="s">
        <v>45</v>
      </c>
      <c r="N439" s="5">
        <v>0</v>
      </c>
      <c r="O439" s="5" t="s">
        <v>46</v>
      </c>
      <c r="P439" s="10" t="s">
        <v>146</v>
      </c>
      <c r="Q439" s="10" t="s">
        <v>579</v>
      </c>
      <c r="R439" s="10" t="s">
        <v>580</v>
      </c>
      <c r="S439" s="5">
        <v>0</v>
      </c>
      <c r="T439" s="37">
        <v>0</v>
      </c>
      <c r="U439" s="5">
        <v>4</v>
      </c>
      <c r="V439" s="37">
        <v>0</v>
      </c>
      <c r="W439" s="5">
        <v>0</v>
      </c>
      <c r="X439" s="5">
        <v>4</v>
      </c>
      <c r="Y439" s="5">
        <v>0</v>
      </c>
      <c r="Z439" s="37">
        <v>0</v>
      </c>
      <c r="AA439" s="5">
        <v>0</v>
      </c>
      <c r="AB439" s="5">
        <v>0</v>
      </c>
      <c r="AC439" s="5">
        <v>0</v>
      </c>
      <c r="AD439" s="5">
        <v>0</v>
      </c>
      <c r="AE439" s="10" t="s">
        <v>50</v>
      </c>
      <c r="AF439" s="10"/>
      <c r="AG439" s="10" t="s">
        <v>114</v>
      </c>
      <c r="AH439" s="10" t="s">
        <v>50</v>
      </c>
      <c r="AI439" s="5">
        <v>0</v>
      </c>
      <c r="AJ439" s="10" t="s">
        <v>50</v>
      </c>
      <c r="AK439" s="10" t="s">
        <v>50</v>
      </c>
    </row>
    <row r="440" spans="1:37" ht="36.75" customHeight="1" x14ac:dyDescent="0.35">
      <c r="A440" s="5"/>
      <c r="B440" s="5" t="s">
        <v>37</v>
      </c>
      <c r="C440" s="73" t="str">
        <f t="shared" si="6"/>
        <v>Closed</v>
      </c>
      <c r="D440" s="45" t="s">
        <v>2631</v>
      </c>
      <c r="E440" s="54" t="s">
        <v>2632</v>
      </c>
      <c r="F440" s="5" t="s">
        <v>1553</v>
      </c>
      <c r="G440" s="10">
        <f>DATE(2008,3,13)</f>
        <v>39520</v>
      </c>
      <c r="H440" s="35">
        <v>1.125</v>
      </c>
      <c r="I440" s="5" t="s">
        <v>1022</v>
      </c>
      <c r="J440" s="10" t="s">
        <v>2633</v>
      </c>
      <c r="K440" s="5" t="s">
        <v>1555</v>
      </c>
      <c r="L440" s="5" t="s">
        <v>2634</v>
      </c>
      <c r="M440" s="5" t="s">
        <v>45</v>
      </c>
      <c r="N440" s="5">
        <v>0</v>
      </c>
      <c r="O440" s="5" t="s">
        <v>59</v>
      </c>
      <c r="P440" s="10" t="s">
        <v>60</v>
      </c>
      <c r="Q440" s="10" t="s">
        <v>2635</v>
      </c>
      <c r="R440" s="10">
        <v>0</v>
      </c>
      <c r="S440" s="5">
        <v>0</v>
      </c>
      <c r="T440" s="37" t="s">
        <v>50</v>
      </c>
      <c r="U440" s="5">
        <v>0</v>
      </c>
      <c r="V440" s="37" t="s">
        <v>50</v>
      </c>
      <c r="W440" s="5">
        <v>0</v>
      </c>
      <c r="X440" s="5">
        <v>0</v>
      </c>
      <c r="Y440" s="5">
        <v>0</v>
      </c>
      <c r="Z440" s="37" t="s">
        <v>50</v>
      </c>
      <c r="AA440" s="5">
        <v>0</v>
      </c>
      <c r="AB440" s="5">
        <v>0</v>
      </c>
      <c r="AC440" s="5">
        <v>0</v>
      </c>
      <c r="AD440" s="5">
        <v>0</v>
      </c>
      <c r="AE440" s="10" t="s">
        <v>50</v>
      </c>
      <c r="AF440" s="10"/>
      <c r="AG440" s="10" t="s">
        <v>333</v>
      </c>
      <c r="AH440" s="10" t="s">
        <v>50</v>
      </c>
      <c r="AI440" s="5">
        <v>4</v>
      </c>
      <c r="AJ440" s="10" t="s">
        <v>2636</v>
      </c>
      <c r="AK440" s="10" t="s">
        <v>2637</v>
      </c>
    </row>
    <row r="441" spans="1:37" ht="36.75" customHeight="1" x14ac:dyDescent="0.35">
      <c r="A441" s="5"/>
      <c r="B441" s="5" t="s">
        <v>37</v>
      </c>
      <c r="C441" s="73" t="str">
        <f t="shared" si="6"/>
        <v>Closed</v>
      </c>
      <c r="D441" s="45" t="s">
        <v>2638</v>
      </c>
      <c r="E441" s="54" t="s">
        <v>2639</v>
      </c>
      <c r="F441" s="5" t="s">
        <v>619</v>
      </c>
      <c r="G441" s="10">
        <f>DATE(2008,3,14)</f>
        <v>39521</v>
      </c>
      <c r="H441" s="35">
        <v>1.8291666666666666</v>
      </c>
      <c r="I441" s="5" t="s">
        <v>97</v>
      </c>
      <c r="J441" s="10" t="s">
        <v>2640</v>
      </c>
      <c r="K441" s="5" t="s">
        <v>621</v>
      </c>
      <c r="L441" s="5" t="s">
        <v>2641</v>
      </c>
      <c r="M441" s="5" t="s">
        <v>45</v>
      </c>
      <c r="N441" s="5">
        <v>0</v>
      </c>
      <c r="O441" s="5" t="s">
        <v>59</v>
      </c>
      <c r="P441" s="10" t="s">
        <v>146</v>
      </c>
      <c r="Q441" s="10" t="s">
        <v>623</v>
      </c>
      <c r="R441" s="10" t="s">
        <v>624</v>
      </c>
      <c r="S441" s="5">
        <v>0</v>
      </c>
      <c r="T441" s="37">
        <v>0</v>
      </c>
      <c r="U441" s="5">
        <v>1</v>
      </c>
      <c r="V441" s="37">
        <v>0</v>
      </c>
      <c r="W441" s="5">
        <v>0</v>
      </c>
      <c r="X441" s="5">
        <v>1</v>
      </c>
      <c r="Y441" s="5">
        <v>0</v>
      </c>
      <c r="Z441" s="37">
        <v>0</v>
      </c>
      <c r="AA441" s="5">
        <v>0</v>
      </c>
      <c r="AB441" s="5">
        <v>0</v>
      </c>
      <c r="AC441" s="5">
        <v>0</v>
      </c>
      <c r="AD441" s="5">
        <v>0</v>
      </c>
      <c r="AE441" s="10" t="s">
        <v>50</v>
      </c>
      <c r="AF441" s="10"/>
      <c r="AG441" s="10" t="s">
        <v>229</v>
      </c>
      <c r="AH441" s="10" t="s">
        <v>50</v>
      </c>
      <c r="AI441" s="5">
        <v>0</v>
      </c>
      <c r="AJ441" s="10" t="s">
        <v>2642</v>
      </c>
      <c r="AK441" s="10" t="s">
        <v>50</v>
      </c>
    </row>
    <row r="442" spans="1:37" ht="36.75" customHeight="1" x14ac:dyDescent="0.35">
      <c r="A442" s="5"/>
      <c r="B442" s="5" t="s">
        <v>37</v>
      </c>
      <c r="C442" s="73" t="str">
        <f t="shared" si="6"/>
        <v>Closed</v>
      </c>
      <c r="D442" s="45" t="s">
        <v>2643</v>
      </c>
      <c r="E442" s="54" t="s">
        <v>2644</v>
      </c>
      <c r="F442" s="5" t="s">
        <v>619</v>
      </c>
      <c r="G442" s="10">
        <f>DATE(2008,3,21)</f>
        <v>39528</v>
      </c>
      <c r="H442" s="35">
        <v>1.620138888888889</v>
      </c>
      <c r="I442" s="5" t="s">
        <v>259</v>
      </c>
      <c r="J442" s="10" t="s">
        <v>2645</v>
      </c>
      <c r="K442" s="5" t="s">
        <v>621</v>
      </c>
      <c r="L442" s="5" t="s">
        <v>2646</v>
      </c>
      <c r="M442" s="5" t="s">
        <v>45</v>
      </c>
      <c r="N442" s="5">
        <v>0</v>
      </c>
      <c r="O442" s="5" t="s">
        <v>46</v>
      </c>
      <c r="P442" s="10" t="s">
        <v>146</v>
      </c>
      <c r="Q442" s="10" t="s">
        <v>623</v>
      </c>
      <c r="R442" s="10" t="s">
        <v>624</v>
      </c>
      <c r="S442" s="5">
        <v>0</v>
      </c>
      <c r="T442" s="37">
        <v>0</v>
      </c>
      <c r="U442" s="5">
        <v>0</v>
      </c>
      <c r="V442" s="37">
        <v>1</v>
      </c>
      <c r="W442" s="5">
        <v>0</v>
      </c>
      <c r="X442" s="5">
        <v>1</v>
      </c>
      <c r="Y442" s="5">
        <v>0</v>
      </c>
      <c r="Z442" s="37">
        <v>0</v>
      </c>
      <c r="AA442" s="5">
        <v>0</v>
      </c>
      <c r="AB442" s="5">
        <v>0</v>
      </c>
      <c r="AC442" s="5">
        <v>0</v>
      </c>
      <c r="AD442" s="5">
        <v>0</v>
      </c>
      <c r="AE442" s="10" t="s">
        <v>50</v>
      </c>
      <c r="AF442" s="10"/>
      <c r="AG442" s="10" t="s">
        <v>229</v>
      </c>
      <c r="AH442" s="10" t="s">
        <v>50</v>
      </c>
      <c r="AI442" s="5">
        <v>1</v>
      </c>
      <c r="AJ442" s="10" t="s">
        <v>2647</v>
      </c>
      <c r="AK442" s="10" t="s">
        <v>50</v>
      </c>
    </row>
    <row r="443" spans="1:37" ht="36.75" customHeight="1" x14ac:dyDescent="0.35">
      <c r="A443" s="5"/>
      <c r="B443" s="5" t="s">
        <v>37</v>
      </c>
      <c r="C443" s="73" t="str">
        <f t="shared" si="6"/>
        <v>Closed</v>
      </c>
      <c r="D443" s="45" t="s">
        <v>2648</v>
      </c>
      <c r="E443" s="54" t="s">
        <v>2649</v>
      </c>
      <c r="F443" s="5" t="s">
        <v>816</v>
      </c>
      <c r="G443" s="10">
        <f>DATE(2008,3,21)</f>
        <v>39528</v>
      </c>
      <c r="H443" s="35">
        <v>1.3895833333333334</v>
      </c>
      <c r="I443" s="5" t="s">
        <v>179</v>
      </c>
      <c r="J443" s="10" t="s">
        <v>2650</v>
      </c>
      <c r="K443" s="5" t="s">
        <v>818</v>
      </c>
      <c r="L443" s="5" t="s">
        <v>2651</v>
      </c>
      <c r="M443" s="5" t="s">
        <v>45</v>
      </c>
      <c r="N443" s="5">
        <v>0</v>
      </c>
      <c r="O443" s="5" t="s">
        <v>59</v>
      </c>
      <c r="P443" s="10" t="s">
        <v>60</v>
      </c>
      <c r="Q443" s="10" t="s">
        <v>1331</v>
      </c>
      <c r="R443" s="10" t="s">
        <v>821</v>
      </c>
      <c r="S443" s="5">
        <v>0</v>
      </c>
      <c r="T443" s="37" t="s">
        <v>50</v>
      </c>
      <c r="U443" s="5">
        <v>0</v>
      </c>
      <c r="V443" s="37" t="s">
        <v>50</v>
      </c>
      <c r="W443" s="5">
        <v>0</v>
      </c>
      <c r="X443" s="5">
        <v>0</v>
      </c>
      <c r="Y443" s="5">
        <v>0</v>
      </c>
      <c r="Z443" s="37" t="s">
        <v>50</v>
      </c>
      <c r="AA443" s="5">
        <v>0</v>
      </c>
      <c r="AB443" s="5">
        <v>0</v>
      </c>
      <c r="AC443" s="5">
        <v>0</v>
      </c>
      <c r="AD443" s="5">
        <v>0</v>
      </c>
      <c r="AE443" s="10" t="s">
        <v>50</v>
      </c>
      <c r="AF443" s="10"/>
      <c r="AG443" s="10" t="s">
        <v>333</v>
      </c>
      <c r="AH443" s="10" t="s">
        <v>50</v>
      </c>
      <c r="AI443" s="5">
        <v>0</v>
      </c>
      <c r="AJ443" s="10" t="s">
        <v>50</v>
      </c>
      <c r="AK443" s="10" t="s">
        <v>50</v>
      </c>
    </row>
    <row r="444" spans="1:37" ht="36.75" customHeight="1" x14ac:dyDescent="0.35">
      <c r="A444" s="5"/>
      <c r="B444" s="5" t="s">
        <v>37</v>
      </c>
      <c r="C444" s="73" t="str">
        <f t="shared" si="6"/>
        <v>Closed</v>
      </c>
      <c r="D444" s="45" t="s">
        <v>2652</v>
      </c>
      <c r="E444" s="54" t="s">
        <v>2653</v>
      </c>
      <c r="F444" s="5" t="s">
        <v>178</v>
      </c>
      <c r="G444" s="10">
        <f>DATE(2008,3,24)</f>
        <v>39531</v>
      </c>
      <c r="H444" s="35">
        <v>1.6006944444444444</v>
      </c>
      <c r="I444" s="5" t="s">
        <v>55</v>
      </c>
      <c r="J444" s="10" t="s">
        <v>2654</v>
      </c>
      <c r="K444" s="5" t="s">
        <v>181</v>
      </c>
      <c r="L444" s="5" t="s">
        <v>2655</v>
      </c>
      <c r="M444" s="5" t="s">
        <v>45</v>
      </c>
      <c r="N444" s="5">
        <v>0</v>
      </c>
      <c r="O444" s="5" t="s">
        <v>59</v>
      </c>
      <c r="P444" s="10" t="s">
        <v>60</v>
      </c>
      <c r="Q444" s="10" t="s">
        <v>1697</v>
      </c>
      <c r="R444" s="10" t="s">
        <v>184</v>
      </c>
      <c r="S444" s="5">
        <v>0</v>
      </c>
      <c r="T444" s="37" t="s">
        <v>50</v>
      </c>
      <c r="U444" s="5">
        <v>0</v>
      </c>
      <c r="V444" s="37" t="s">
        <v>50</v>
      </c>
      <c r="W444" s="5">
        <v>0</v>
      </c>
      <c r="X444" s="5">
        <v>0</v>
      </c>
      <c r="Y444" s="5">
        <v>0</v>
      </c>
      <c r="Z444" s="37" t="s">
        <v>50</v>
      </c>
      <c r="AA444" s="5">
        <v>0</v>
      </c>
      <c r="AB444" s="5">
        <v>0</v>
      </c>
      <c r="AC444" s="5">
        <v>0</v>
      </c>
      <c r="AD444" s="5">
        <v>0</v>
      </c>
      <c r="AE444" s="10" t="s">
        <v>50</v>
      </c>
      <c r="AF444" s="10"/>
      <c r="AG444" s="10" t="s">
        <v>333</v>
      </c>
      <c r="AH444" s="10" t="s">
        <v>50</v>
      </c>
      <c r="AI444" s="5">
        <v>0</v>
      </c>
      <c r="AJ444" s="10" t="s">
        <v>50</v>
      </c>
      <c r="AK444" s="10" t="s">
        <v>50</v>
      </c>
    </row>
    <row r="445" spans="1:37" ht="36.75" customHeight="1" x14ac:dyDescent="0.35">
      <c r="A445" s="5"/>
      <c r="B445" s="5" t="s">
        <v>37</v>
      </c>
      <c r="C445" s="73" t="str">
        <f t="shared" si="6"/>
        <v>Closed</v>
      </c>
      <c r="D445" s="45" t="s">
        <v>2656</v>
      </c>
      <c r="E445" s="54" t="s">
        <v>2657</v>
      </c>
      <c r="F445" s="5" t="s">
        <v>214</v>
      </c>
      <c r="G445" s="10">
        <f>DATE(2008,3,25)</f>
        <v>39532</v>
      </c>
      <c r="H445" s="35">
        <v>1.2763888888888888</v>
      </c>
      <c r="I445" s="5" t="s">
        <v>55</v>
      </c>
      <c r="J445" s="10" t="s">
        <v>2658</v>
      </c>
      <c r="K445" s="5" t="s">
        <v>216</v>
      </c>
      <c r="L445" s="5" t="s">
        <v>2659</v>
      </c>
      <c r="M445" s="5" t="s">
        <v>45</v>
      </c>
      <c r="N445" s="5">
        <v>0</v>
      </c>
      <c r="O445" s="5" t="s">
        <v>46</v>
      </c>
      <c r="P445" s="10" t="s">
        <v>60</v>
      </c>
      <c r="Q445" s="10" t="s">
        <v>218</v>
      </c>
      <c r="R445" s="10" t="s">
        <v>219</v>
      </c>
      <c r="S445" s="5">
        <v>0</v>
      </c>
      <c r="T445" s="37" t="s">
        <v>50</v>
      </c>
      <c r="U445" s="5">
        <v>0</v>
      </c>
      <c r="V445" s="37" t="s">
        <v>50</v>
      </c>
      <c r="W445" s="5">
        <v>0</v>
      </c>
      <c r="X445" s="5">
        <v>0</v>
      </c>
      <c r="Y445" s="5">
        <v>0</v>
      </c>
      <c r="Z445" s="37" t="s">
        <v>50</v>
      </c>
      <c r="AA445" s="5">
        <v>0</v>
      </c>
      <c r="AB445" s="5">
        <v>0</v>
      </c>
      <c r="AC445" s="5">
        <v>0</v>
      </c>
      <c r="AD445" s="5">
        <v>0</v>
      </c>
      <c r="AE445" s="10" t="s">
        <v>50</v>
      </c>
      <c r="AF445" s="10"/>
      <c r="AG445" s="10" t="s">
        <v>114</v>
      </c>
      <c r="AH445" s="10" t="s">
        <v>50</v>
      </c>
      <c r="AI445" s="5">
        <v>3</v>
      </c>
      <c r="AJ445" s="10" t="s">
        <v>2660</v>
      </c>
      <c r="AK445" s="10" t="s">
        <v>2661</v>
      </c>
    </row>
    <row r="446" spans="1:37" ht="36.75" customHeight="1" x14ac:dyDescent="0.35">
      <c r="A446" s="5"/>
      <c r="B446" s="5" t="s">
        <v>37</v>
      </c>
      <c r="C446" s="73" t="str">
        <f t="shared" si="6"/>
        <v>Closed</v>
      </c>
      <c r="D446" s="45" t="s">
        <v>2662</v>
      </c>
      <c r="E446" s="54" t="s">
        <v>2663</v>
      </c>
      <c r="F446" s="5" t="s">
        <v>816</v>
      </c>
      <c r="G446" s="10">
        <f>DATE(2008,3,26)</f>
        <v>39533</v>
      </c>
      <c r="H446" s="35">
        <v>1.0541666666666667</v>
      </c>
      <c r="I446" s="5" t="s">
        <v>55</v>
      </c>
      <c r="J446" s="10" t="s">
        <v>2664</v>
      </c>
      <c r="K446" s="5" t="s">
        <v>818</v>
      </c>
      <c r="L446" s="5" t="s">
        <v>2665</v>
      </c>
      <c r="M446" s="5" t="s">
        <v>45</v>
      </c>
      <c r="N446" s="5">
        <v>0</v>
      </c>
      <c r="O446" s="5" t="s">
        <v>59</v>
      </c>
      <c r="P446" s="10" t="s">
        <v>60</v>
      </c>
      <c r="Q446" s="10" t="s">
        <v>1331</v>
      </c>
      <c r="R446" s="10" t="s">
        <v>821</v>
      </c>
      <c r="S446" s="5">
        <v>0</v>
      </c>
      <c r="T446" s="37" t="s">
        <v>50</v>
      </c>
      <c r="U446" s="5">
        <v>0</v>
      </c>
      <c r="V446" s="37" t="s">
        <v>50</v>
      </c>
      <c r="W446" s="5">
        <v>0</v>
      </c>
      <c r="X446" s="5">
        <v>0</v>
      </c>
      <c r="Y446" s="5">
        <v>0</v>
      </c>
      <c r="Z446" s="37" t="s">
        <v>50</v>
      </c>
      <c r="AA446" s="5">
        <v>0</v>
      </c>
      <c r="AB446" s="5">
        <v>0</v>
      </c>
      <c r="AC446" s="5">
        <v>0</v>
      </c>
      <c r="AD446" s="5">
        <v>0</v>
      </c>
      <c r="AE446" s="10" t="s">
        <v>50</v>
      </c>
      <c r="AF446" s="10"/>
      <c r="AG446" s="10" t="s">
        <v>333</v>
      </c>
      <c r="AH446" s="10" t="s">
        <v>50</v>
      </c>
      <c r="AI446" s="5">
        <v>0</v>
      </c>
      <c r="AJ446" s="10" t="s">
        <v>50</v>
      </c>
      <c r="AK446" s="10" t="s">
        <v>50</v>
      </c>
    </row>
    <row r="447" spans="1:37" ht="36.75" customHeight="1" x14ac:dyDescent="0.35">
      <c r="A447" s="5"/>
      <c r="B447" s="5" t="s">
        <v>37</v>
      </c>
      <c r="C447" s="73" t="str">
        <f t="shared" si="6"/>
        <v>Closed</v>
      </c>
      <c r="D447" s="45" t="s">
        <v>2666</v>
      </c>
      <c r="E447" s="54" t="s">
        <v>2667</v>
      </c>
      <c r="F447" s="5" t="s">
        <v>214</v>
      </c>
      <c r="G447" s="10">
        <f>DATE(2008,3,31)</f>
        <v>39538</v>
      </c>
      <c r="H447" s="35">
        <v>1.6361111111111111</v>
      </c>
      <c r="I447" s="5" t="s">
        <v>97</v>
      </c>
      <c r="J447" s="10" t="s">
        <v>2668</v>
      </c>
      <c r="K447" s="5" t="s">
        <v>216</v>
      </c>
      <c r="L447" s="5" t="s">
        <v>2669</v>
      </c>
      <c r="M447" s="5" t="s">
        <v>45</v>
      </c>
      <c r="N447" s="5">
        <v>0</v>
      </c>
      <c r="O447" s="5" t="s">
        <v>59</v>
      </c>
      <c r="P447" s="10" t="s">
        <v>47</v>
      </c>
      <c r="Q447" s="10" t="s">
        <v>2670</v>
      </c>
      <c r="R447" s="10" t="s">
        <v>219</v>
      </c>
      <c r="S447" s="5">
        <v>0</v>
      </c>
      <c r="T447" s="37">
        <v>0</v>
      </c>
      <c r="U447" s="5">
        <v>1</v>
      </c>
      <c r="V447" s="37">
        <v>0</v>
      </c>
      <c r="W447" s="5">
        <v>0</v>
      </c>
      <c r="X447" s="5">
        <v>1</v>
      </c>
      <c r="Y447" s="5">
        <v>0</v>
      </c>
      <c r="Z447" s="37">
        <v>0</v>
      </c>
      <c r="AA447" s="5">
        <v>0</v>
      </c>
      <c r="AB447" s="5">
        <v>0</v>
      </c>
      <c r="AC447" s="5">
        <v>0</v>
      </c>
      <c r="AD447" s="5">
        <v>0</v>
      </c>
      <c r="AE447" s="10" t="s">
        <v>50</v>
      </c>
      <c r="AF447" s="10"/>
      <c r="AG447" s="10" t="s">
        <v>64</v>
      </c>
      <c r="AH447" s="10" t="s">
        <v>50</v>
      </c>
      <c r="AI447" s="5">
        <v>6</v>
      </c>
      <c r="AJ447" s="10" t="s">
        <v>2671</v>
      </c>
      <c r="AK447" s="10" t="s">
        <v>2672</v>
      </c>
    </row>
    <row r="448" spans="1:37" ht="36.75" customHeight="1" x14ac:dyDescent="0.35">
      <c r="A448" s="5"/>
      <c r="B448" s="5" t="s">
        <v>37</v>
      </c>
      <c r="C448" s="73" t="str">
        <f t="shared" si="6"/>
        <v>Closed</v>
      </c>
      <c r="D448" s="45" t="s">
        <v>2673</v>
      </c>
      <c r="E448" s="54" t="s">
        <v>2674</v>
      </c>
      <c r="F448" s="5" t="s">
        <v>214</v>
      </c>
      <c r="G448" s="10">
        <f>DATE(2008,4,4)</f>
        <v>39542</v>
      </c>
      <c r="H448" s="35">
        <v>1.2270833333333333</v>
      </c>
      <c r="I448" s="5" t="s">
        <v>55</v>
      </c>
      <c r="J448" s="10" t="s">
        <v>2675</v>
      </c>
      <c r="K448" s="5" t="s">
        <v>216</v>
      </c>
      <c r="L448" s="5" t="s">
        <v>2676</v>
      </c>
      <c r="M448" s="5" t="s">
        <v>110</v>
      </c>
      <c r="N448" s="5">
        <v>0</v>
      </c>
      <c r="O448" s="5" t="s">
        <v>46</v>
      </c>
      <c r="P448" s="10" t="s">
        <v>67</v>
      </c>
      <c r="Q448" s="10" t="s">
        <v>2677</v>
      </c>
      <c r="R448" s="10" t="s">
        <v>2677</v>
      </c>
      <c r="S448" s="5">
        <v>0</v>
      </c>
      <c r="T448" s="37" t="s">
        <v>50</v>
      </c>
      <c r="U448" s="5">
        <v>0</v>
      </c>
      <c r="V448" s="37" t="s">
        <v>50</v>
      </c>
      <c r="W448" s="5">
        <v>0</v>
      </c>
      <c r="X448" s="5">
        <v>0</v>
      </c>
      <c r="Y448" s="5">
        <v>0</v>
      </c>
      <c r="Z448" s="37" t="s">
        <v>50</v>
      </c>
      <c r="AA448" s="5">
        <v>0</v>
      </c>
      <c r="AB448" s="5">
        <v>0</v>
      </c>
      <c r="AC448" s="5">
        <v>0</v>
      </c>
      <c r="AD448" s="5">
        <v>0</v>
      </c>
      <c r="AE448" s="10" t="s">
        <v>50</v>
      </c>
      <c r="AF448" s="10"/>
      <c r="AG448" s="10" t="s">
        <v>114</v>
      </c>
      <c r="AH448" s="10" t="s">
        <v>50</v>
      </c>
      <c r="AI448" s="5">
        <v>10</v>
      </c>
      <c r="AJ448" s="10" t="s">
        <v>2678</v>
      </c>
      <c r="AK448" s="10" t="s">
        <v>2679</v>
      </c>
    </row>
    <row r="449" spans="1:37" ht="36.75" customHeight="1" x14ac:dyDescent="0.35">
      <c r="A449" s="5"/>
      <c r="B449" s="5" t="s">
        <v>37</v>
      </c>
      <c r="C449" s="73" t="str">
        <f t="shared" si="6"/>
        <v>Closed</v>
      </c>
      <c r="D449" s="45" t="s">
        <v>2680</v>
      </c>
      <c r="E449" s="54" t="s">
        <v>2681</v>
      </c>
      <c r="F449" s="5" t="s">
        <v>214</v>
      </c>
      <c r="G449" s="10">
        <f>DATE(2008,4,4)</f>
        <v>39542</v>
      </c>
      <c r="H449" s="35">
        <v>1.713888888888889</v>
      </c>
      <c r="I449" s="5" t="s">
        <v>67</v>
      </c>
      <c r="J449" s="10" t="s">
        <v>2682</v>
      </c>
      <c r="K449" s="5" t="s">
        <v>216</v>
      </c>
      <c r="L449" s="5" t="s">
        <v>2683</v>
      </c>
      <c r="M449" s="5" t="s">
        <v>45</v>
      </c>
      <c r="N449" s="5">
        <v>0</v>
      </c>
      <c r="O449" s="5" t="s">
        <v>46</v>
      </c>
      <c r="P449" s="10" t="s">
        <v>60</v>
      </c>
      <c r="Q449" s="10" t="s">
        <v>996</v>
      </c>
      <c r="R449" s="10" t="s">
        <v>996</v>
      </c>
      <c r="S449" s="5">
        <v>0</v>
      </c>
      <c r="T449" s="37">
        <v>0</v>
      </c>
      <c r="U449" s="5">
        <v>0</v>
      </c>
      <c r="V449" s="37">
        <v>0</v>
      </c>
      <c r="W449" s="5">
        <v>0</v>
      </c>
      <c r="X449" s="5">
        <v>0</v>
      </c>
      <c r="Y449" s="5">
        <v>0</v>
      </c>
      <c r="Z449" s="37">
        <v>0</v>
      </c>
      <c r="AA449" s="5">
        <v>0</v>
      </c>
      <c r="AB449" s="5">
        <v>0</v>
      </c>
      <c r="AC449" s="5">
        <v>1</v>
      </c>
      <c r="AD449" s="5">
        <v>1</v>
      </c>
      <c r="AE449" s="10" t="s">
        <v>50</v>
      </c>
      <c r="AF449" s="10"/>
      <c r="AG449" s="10" t="s">
        <v>114</v>
      </c>
      <c r="AH449" s="10" t="s">
        <v>50</v>
      </c>
      <c r="AI449" s="5">
        <v>3</v>
      </c>
      <c r="AJ449" s="10" t="s">
        <v>2684</v>
      </c>
      <c r="AK449" s="10" t="s">
        <v>2685</v>
      </c>
    </row>
    <row r="450" spans="1:37" ht="36.75" customHeight="1" x14ac:dyDescent="0.35">
      <c r="A450" s="5"/>
      <c r="B450" s="5" t="s">
        <v>37</v>
      </c>
      <c r="C450" s="73" t="str">
        <f t="shared" ref="C450:C513" si="7">IF(B450="Notification","Open",IF(B450="Interim Statement","In progress","Closed"))</f>
        <v>Closed</v>
      </c>
      <c r="D450" s="45" t="s">
        <v>2686</v>
      </c>
      <c r="E450" s="54" t="s">
        <v>2687</v>
      </c>
      <c r="F450" s="5" t="s">
        <v>563</v>
      </c>
      <c r="G450" s="10">
        <f>DATE(2008,4,7)</f>
        <v>39545</v>
      </c>
      <c r="H450" s="35">
        <v>1.1729166666666666</v>
      </c>
      <c r="I450" s="5" t="s">
        <v>137</v>
      </c>
      <c r="J450" s="10" t="s">
        <v>2688</v>
      </c>
      <c r="K450" s="5" t="s">
        <v>565</v>
      </c>
      <c r="L450" s="5" t="s">
        <v>2689</v>
      </c>
      <c r="M450" s="5" t="s">
        <v>45</v>
      </c>
      <c r="N450" s="5" t="s">
        <v>123</v>
      </c>
      <c r="O450" s="5" t="s">
        <v>46</v>
      </c>
      <c r="P450" s="10" t="s">
        <v>282</v>
      </c>
      <c r="Q450" s="10" t="s">
        <v>568</v>
      </c>
      <c r="R450" s="10" t="s">
        <v>568</v>
      </c>
      <c r="S450" s="5">
        <v>0</v>
      </c>
      <c r="T450" s="37">
        <v>1</v>
      </c>
      <c r="U450" s="5">
        <v>0</v>
      </c>
      <c r="V450" s="37">
        <v>0</v>
      </c>
      <c r="W450" s="5">
        <v>0</v>
      </c>
      <c r="X450" s="5">
        <v>1</v>
      </c>
      <c r="Y450" s="5">
        <v>0</v>
      </c>
      <c r="Z450" s="37">
        <v>1</v>
      </c>
      <c r="AA450" s="5">
        <v>0</v>
      </c>
      <c r="AB450" s="5">
        <v>0</v>
      </c>
      <c r="AC450" s="5">
        <v>0</v>
      </c>
      <c r="AD450" s="5">
        <v>1</v>
      </c>
      <c r="AE450" s="10" t="s">
        <v>73</v>
      </c>
      <c r="AF450" s="10"/>
      <c r="AG450" s="10" t="s">
        <v>64</v>
      </c>
      <c r="AH450" s="10">
        <v>39547</v>
      </c>
      <c r="AI450" s="5">
        <v>0</v>
      </c>
      <c r="AJ450" s="10" t="s">
        <v>2690</v>
      </c>
      <c r="AK450" s="10" t="s">
        <v>1215</v>
      </c>
    </row>
    <row r="451" spans="1:37" ht="36.75" customHeight="1" x14ac:dyDescent="0.35">
      <c r="A451" s="5"/>
      <c r="B451" s="5" t="s">
        <v>37</v>
      </c>
      <c r="C451" s="73" t="str">
        <f t="shared" si="7"/>
        <v>Closed</v>
      </c>
      <c r="D451" s="45" t="s">
        <v>2691</v>
      </c>
      <c r="E451" s="54" t="s">
        <v>2692</v>
      </c>
      <c r="F451" s="5" t="s">
        <v>404</v>
      </c>
      <c r="G451" s="10">
        <f>DATE(2008,4,10)</f>
        <v>39548</v>
      </c>
      <c r="H451" s="35">
        <v>1.2729166666666667</v>
      </c>
      <c r="I451" s="5" t="s">
        <v>179</v>
      </c>
      <c r="J451" s="10" t="s">
        <v>2693</v>
      </c>
      <c r="K451" s="5" t="s">
        <v>406</v>
      </c>
      <c r="L451" s="5" t="s">
        <v>2694</v>
      </c>
      <c r="M451" s="5" t="s">
        <v>236</v>
      </c>
      <c r="N451" s="5">
        <v>0</v>
      </c>
      <c r="O451" s="5" t="s">
        <v>67</v>
      </c>
      <c r="P451" s="10" t="s">
        <v>67</v>
      </c>
      <c r="Q451" s="10" t="s">
        <v>2695</v>
      </c>
      <c r="R451" s="10" t="s">
        <v>2695</v>
      </c>
      <c r="S451" s="5">
        <v>0</v>
      </c>
      <c r="T451" s="37" t="s">
        <v>50</v>
      </c>
      <c r="U451" s="5">
        <v>0</v>
      </c>
      <c r="V451" s="37" t="s">
        <v>50</v>
      </c>
      <c r="W451" s="5">
        <v>0</v>
      </c>
      <c r="X451" s="5">
        <v>0</v>
      </c>
      <c r="Y451" s="5">
        <v>0</v>
      </c>
      <c r="Z451" s="37" t="s">
        <v>50</v>
      </c>
      <c r="AA451" s="5">
        <v>0</v>
      </c>
      <c r="AB451" s="5">
        <v>0</v>
      </c>
      <c r="AC451" s="5">
        <v>0</v>
      </c>
      <c r="AD451" s="5">
        <v>0</v>
      </c>
      <c r="AE451" s="10" t="s">
        <v>50</v>
      </c>
      <c r="AF451" s="10"/>
      <c r="AG451" s="10" t="s">
        <v>348</v>
      </c>
      <c r="AH451" s="10" t="s">
        <v>50</v>
      </c>
      <c r="AI451" s="5">
        <v>2</v>
      </c>
      <c r="AJ451" s="10" t="s">
        <v>50</v>
      </c>
      <c r="AK451" s="10" t="s">
        <v>50</v>
      </c>
    </row>
    <row r="452" spans="1:37" ht="36.75" customHeight="1" x14ac:dyDescent="0.35">
      <c r="A452" s="5"/>
      <c r="B452" s="5" t="s">
        <v>37</v>
      </c>
      <c r="C452" s="73" t="str">
        <f t="shared" si="7"/>
        <v>Closed</v>
      </c>
      <c r="D452" s="45" t="s">
        <v>2696</v>
      </c>
      <c r="E452" s="54" t="s">
        <v>2697</v>
      </c>
      <c r="F452" s="5" t="s">
        <v>404</v>
      </c>
      <c r="G452" s="10">
        <f>DATE(2008,4,11)</f>
        <v>39549</v>
      </c>
      <c r="H452" s="35">
        <v>1.7437499999999999</v>
      </c>
      <c r="I452" s="5" t="s">
        <v>179</v>
      </c>
      <c r="J452" s="10" t="s">
        <v>2698</v>
      </c>
      <c r="K452" s="5" t="s">
        <v>406</v>
      </c>
      <c r="L452" s="5" t="s">
        <v>2699</v>
      </c>
      <c r="M452" s="5" t="s">
        <v>236</v>
      </c>
      <c r="N452" s="5">
        <v>0</v>
      </c>
      <c r="O452" s="5" t="s">
        <v>46</v>
      </c>
      <c r="P452" s="10" t="s">
        <v>67</v>
      </c>
      <c r="Q452" s="10" t="s">
        <v>1325</v>
      </c>
      <c r="R452" s="10" t="s">
        <v>1325</v>
      </c>
      <c r="S452" s="5">
        <v>3</v>
      </c>
      <c r="T452" s="37">
        <v>0</v>
      </c>
      <c r="U452" s="5">
        <v>0</v>
      </c>
      <c r="V452" s="37">
        <v>0</v>
      </c>
      <c r="W452" s="5">
        <v>0</v>
      </c>
      <c r="X452" s="5">
        <v>3</v>
      </c>
      <c r="Y452" s="5">
        <v>11</v>
      </c>
      <c r="Z452" s="37">
        <v>0</v>
      </c>
      <c r="AA452" s="5">
        <v>0</v>
      </c>
      <c r="AB452" s="5">
        <v>0</v>
      </c>
      <c r="AC452" s="5">
        <v>0</v>
      </c>
      <c r="AD452" s="5">
        <v>11</v>
      </c>
      <c r="AE452" s="10" t="s">
        <v>50</v>
      </c>
      <c r="AF452" s="10"/>
      <c r="AG452" s="10" t="s">
        <v>348</v>
      </c>
      <c r="AH452" s="10" t="s">
        <v>50</v>
      </c>
      <c r="AI452" s="5">
        <v>6</v>
      </c>
      <c r="AJ452" s="10" t="s">
        <v>50</v>
      </c>
      <c r="AK452" s="10" t="s">
        <v>50</v>
      </c>
    </row>
    <row r="453" spans="1:37" ht="36.75" customHeight="1" x14ac:dyDescent="0.35">
      <c r="A453" s="5"/>
      <c r="B453" s="5" t="s">
        <v>37</v>
      </c>
      <c r="C453" s="73" t="str">
        <f t="shared" si="7"/>
        <v>Closed</v>
      </c>
      <c r="D453" s="45" t="s">
        <v>2700</v>
      </c>
      <c r="E453" s="54" t="s">
        <v>2701</v>
      </c>
      <c r="F453" s="5" t="s">
        <v>119</v>
      </c>
      <c r="G453" s="10">
        <f>DATE(2008,4,11)</f>
        <v>39549</v>
      </c>
      <c r="H453" s="35">
        <v>1.8368055555555554</v>
      </c>
      <c r="I453" s="5" t="s">
        <v>67</v>
      </c>
      <c r="J453" s="10" t="s">
        <v>2702</v>
      </c>
      <c r="K453" s="5" t="s">
        <v>121</v>
      </c>
      <c r="L453" s="5" t="s">
        <v>2703</v>
      </c>
      <c r="M453" s="5" t="s">
        <v>45</v>
      </c>
      <c r="N453" s="5" t="s">
        <v>80</v>
      </c>
      <c r="O453" s="5" t="s">
        <v>46</v>
      </c>
      <c r="P453" s="10" t="s">
        <v>146</v>
      </c>
      <c r="Q453" s="10" t="s">
        <v>2015</v>
      </c>
      <c r="R453" s="10" t="s">
        <v>125</v>
      </c>
      <c r="S453" s="5">
        <v>0</v>
      </c>
      <c r="T453" s="37">
        <v>0</v>
      </c>
      <c r="U453" s="5">
        <v>0</v>
      </c>
      <c r="V453" s="37">
        <v>0</v>
      </c>
      <c r="W453" s="5">
        <v>0</v>
      </c>
      <c r="X453" s="5">
        <v>0</v>
      </c>
      <c r="Y453" s="5">
        <v>0</v>
      </c>
      <c r="Z453" s="37">
        <v>0</v>
      </c>
      <c r="AA453" s="5">
        <v>0</v>
      </c>
      <c r="AB453" s="5">
        <v>0</v>
      </c>
      <c r="AC453" s="5">
        <v>0</v>
      </c>
      <c r="AD453" s="5">
        <v>0</v>
      </c>
      <c r="AE453" s="10" t="s">
        <v>50</v>
      </c>
      <c r="AF453" s="10"/>
      <c r="AG453" s="10" t="s">
        <v>114</v>
      </c>
      <c r="AH453" s="10">
        <v>39588</v>
      </c>
      <c r="AI453" s="5">
        <v>3</v>
      </c>
      <c r="AJ453" s="10" t="s">
        <v>2704</v>
      </c>
      <c r="AK453" s="10" t="s">
        <v>2705</v>
      </c>
    </row>
    <row r="454" spans="1:37" ht="36.75" customHeight="1" x14ac:dyDescent="0.35">
      <c r="A454" s="5"/>
      <c r="B454" s="5" t="s">
        <v>37</v>
      </c>
      <c r="C454" s="73" t="str">
        <f t="shared" si="7"/>
        <v>Closed</v>
      </c>
      <c r="D454" s="45" t="s">
        <v>2706</v>
      </c>
      <c r="E454" s="54" t="s">
        <v>2707</v>
      </c>
      <c r="F454" s="5" t="s">
        <v>575</v>
      </c>
      <c r="G454" s="10">
        <f>DATE(2008,4,13)</f>
        <v>39551</v>
      </c>
      <c r="H454" s="35">
        <v>1.7576388888888888</v>
      </c>
      <c r="I454" s="5" t="s">
        <v>97</v>
      </c>
      <c r="J454" s="10" t="s">
        <v>2708</v>
      </c>
      <c r="K454" s="5" t="s">
        <v>577</v>
      </c>
      <c r="L454" s="5" t="s">
        <v>2709</v>
      </c>
      <c r="M454" s="5" t="s">
        <v>45</v>
      </c>
      <c r="N454" s="5">
        <v>0</v>
      </c>
      <c r="O454" s="5" t="s">
        <v>46</v>
      </c>
      <c r="P454" s="10" t="s">
        <v>146</v>
      </c>
      <c r="Q454" s="10" t="s">
        <v>579</v>
      </c>
      <c r="R454" s="10" t="s">
        <v>580</v>
      </c>
      <c r="S454" s="5">
        <v>0</v>
      </c>
      <c r="T454" s="37">
        <v>0</v>
      </c>
      <c r="U454" s="5">
        <v>1</v>
      </c>
      <c r="V454" s="37">
        <v>0</v>
      </c>
      <c r="W454" s="5">
        <v>0</v>
      </c>
      <c r="X454" s="5">
        <v>1</v>
      </c>
      <c r="Y454" s="5">
        <v>0</v>
      </c>
      <c r="Z454" s="37">
        <v>0</v>
      </c>
      <c r="AA454" s="5">
        <v>0</v>
      </c>
      <c r="AB454" s="5">
        <v>0</v>
      </c>
      <c r="AC454" s="5">
        <v>0</v>
      </c>
      <c r="AD454" s="5">
        <v>0</v>
      </c>
      <c r="AE454" s="10" t="s">
        <v>50</v>
      </c>
      <c r="AF454" s="10"/>
      <c r="AG454" s="10" t="s">
        <v>64</v>
      </c>
      <c r="AH454" s="10" t="s">
        <v>50</v>
      </c>
      <c r="AI454" s="5">
        <v>0</v>
      </c>
      <c r="AJ454" s="10" t="s">
        <v>50</v>
      </c>
      <c r="AK454" s="10" t="s">
        <v>50</v>
      </c>
    </row>
    <row r="455" spans="1:37" ht="36.75" customHeight="1" x14ac:dyDescent="0.35">
      <c r="A455" s="5"/>
      <c r="B455" s="5" t="s">
        <v>37</v>
      </c>
      <c r="C455" s="73" t="str">
        <f t="shared" si="7"/>
        <v>Closed</v>
      </c>
      <c r="D455" s="45" t="s">
        <v>2710</v>
      </c>
      <c r="E455" s="54" t="s">
        <v>2711</v>
      </c>
      <c r="F455" s="5" t="s">
        <v>619</v>
      </c>
      <c r="G455" s="10">
        <f>DATE(2008,4,16)</f>
        <v>39554</v>
      </c>
      <c r="H455" s="35">
        <v>1.6166666666666667</v>
      </c>
      <c r="I455" s="5" t="s">
        <v>97</v>
      </c>
      <c r="J455" s="10" t="s">
        <v>2712</v>
      </c>
      <c r="K455" s="5" t="s">
        <v>621</v>
      </c>
      <c r="L455" s="5" t="s">
        <v>2713</v>
      </c>
      <c r="M455" s="5" t="s">
        <v>45</v>
      </c>
      <c r="N455" s="5">
        <v>0</v>
      </c>
      <c r="O455" s="5" t="s">
        <v>59</v>
      </c>
      <c r="P455" s="10" t="s">
        <v>146</v>
      </c>
      <c r="Q455" s="10" t="s">
        <v>623</v>
      </c>
      <c r="R455" s="10" t="s">
        <v>624</v>
      </c>
      <c r="S455" s="5">
        <v>0</v>
      </c>
      <c r="T455" s="37">
        <v>0</v>
      </c>
      <c r="U455" s="5">
        <v>1</v>
      </c>
      <c r="V455" s="37">
        <v>0</v>
      </c>
      <c r="W455" s="5">
        <v>0</v>
      </c>
      <c r="X455" s="5">
        <v>1</v>
      </c>
      <c r="Y455" s="5">
        <v>0</v>
      </c>
      <c r="Z455" s="37">
        <v>0</v>
      </c>
      <c r="AA455" s="5">
        <v>0</v>
      </c>
      <c r="AB455" s="5">
        <v>0</v>
      </c>
      <c r="AC455" s="5">
        <v>0</v>
      </c>
      <c r="AD455" s="5">
        <v>0</v>
      </c>
      <c r="AE455" s="10" t="s">
        <v>50</v>
      </c>
      <c r="AF455" s="10"/>
      <c r="AG455" s="10" t="s">
        <v>229</v>
      </c>
      <c r="AH455" s="10" t="s">
        <v>50</v>
      </c>
      <c r="AI455" s="5">
        <v>1</v>
      </c>
      <c r="AJ455" s="10" t="s">
        <v>2714</v>
      </c>
      <c r="AK455" s="10" t="s">
        <v>50</v>
      </c>
    </row>
    <row r="456" spans="1:37" ht="36.75" customHeight="1" x14ac:dyDescent="0.35">
      <c r="A456" s="5"/>
      <c r="B456" s="5" t="s">
        <v>37</v>
      </c>
      <c r="C456" s="73" t="str">
        <f t="shared" si="7"/>
        <v>Closed</v>
      </c>
      <c r="D456" s="45" t="s">
        <v>2715</v>
      </c>
      <c r="E456" s="54" t="s">
        <v>2716</v>
      </c>
      <c r="F456" s="5" t="s">
        <v>214</v>
      </c>
      <c r="G456" s="10">
        <f>DATE(2008,4,16)</f>
        <v>39554</v>
      </c>
      <c r="H456" s="35">
        <v>1.3423611111111111</v>
      </c>
      <c r="I456" s="5" t="s">
        <v>97</v>
      </c>
      <c r="J456" s="10" t="s">
        <v>2717</v>
      </c>
      <c r="K456" s="5" t="s">
        <v>216</v>
      </c>
      <c r="L456" s="5" t="s">
        <v>2718</v>
      </c>
      <c r="M456" s="5" t="s">
        <v>45</v>
      </c>
      <c r="N456" s="5">
        <v>0</v>
      </c>
      <c r="O456" s="5" t="s">
        <v>46</v>
      </c>
      <c r="P456" s="10" t="s">
        <v>146</v>
      </c>
      <c r="Q456" s="10" t="s">
        <v>332</v>
      </c>
      <c r="R456" s="10" t="s">
        <v>219</v>
      </c>
      <c r="S456" s="5">
        <v>0</v>
      </c>
      <c r="T456" s="37">
        <v>0</v>
      </c>
      <c r="U456" s="5">
        <v>1</v>
      </c>
      <c r="V456" s="37">
        <v>0</v>
      </c>
      <c r="W456" s="5">
        <v>0</v>
      </c>
      <c r="X456" s="5">
        <v>1</v>
      </c>
      <c r="Y456" s="5">
        <v>0</v>
      </c>
      <c r="Z456" s="37">
        <v>0</v>
      </c>
      <c r="AA456" s="5">
        <v>0</v>
      </c>
      <c r="AB456" s="5">
        <v>0</v>
      </c>
      <c r="AC456" s="5">
        <v>0</v>
      </c>
      <c r="AD456" s="5">
        <v>0</v>
      </c>
      <c r="AE456" s="10" t="s">
        <v>50</v>
      </c>
      <c r="AF456" s="10"/>
      <c r="AG456" s="10" t="s">
        <v>64</v>
      </c>
      <c r="AH456" s="10" t="s">
        <v>50</v>
      </c>
      <c r="AI456" s="5">
        <v>4</v>
      </c>
      <c r="AJ456" s="10" t="s">
        <v>2719</v>
      </c>
      <c r="AK456" s="10" t="s">
        <v>2720</v>
      </c>
    </row>
    <row r="457" spans="1:37" ht="36.75" customHeight="1" x14ac:dyDescent="0.35">
      <c r="A457" s="5"/>
      <c r="B457" s="5" t="s">
        <v>37</v>
      </c>
      <c r="C457" s="73" t="str">
        <f t="shared" si="7"/>
        <v>Closed</v>
      </c>
      <c r="D457" s="45" t="s">
        <v>2721</v>
      </c>
      <c r="E457" s="54" t="s">
        <v>2722</v>
      </c>
      <c r="F457" s="5" t="s">
        <v>619</v>
      </c>
      <c r="G457" s="10">
        <f>DATE(2008,4,22)</f>
        <v>39560</v>
      </c>
      <c r="H457" s="35">
        <v>1.5854166666666667</v>
      </c>
      <c r="I457" s="5" t="s">
        <v>259</v>
      </c>
      <c r="J457" s="10" t="s">
        <v>2723</v>
      </c>
      <c r="K457" s="5" t="s">
        <v>621</v>
      </c>
      <c r="L457" s="5" t="s">
        <v>2724</v>
      </c>
      <c r="M457" s="5" t="s">
        <v>45</v>
      </c>
      <c r="N457" s="5">
        <v>0</v>
      </c>
      <c r="O457" s="5" t="s">
        <v>59</v>
      </c>
      <c r="P457" s="10" t="s">
        <v>60</v>
      </c>
      <c r="Q457" s="10" t="s">
        <v>623</v>
      </c>
      <c r="R457" s="10" t="s">
        <v>624</v>
      </c>
      <c r="S457" s="5">
        <v>0</v>
      </c>
      <c r="T457" s="37">
        <v>0</v>
      </c>
      <c r="U457" s="5">
        <v>0</v>
      </c>
      <c r="V457" s="37">
        <v>1</v>
      </c>
      <c r="W457" s="5">
        <v>0</v>
      </c>
      <c r="X457" s="5">
        <v>1</v>
      </c>
      <c r="Y457" s="5">
        <v>0</v>
      </c>
      <c r="Z457" s="37">
        <v>0</v>
      </c>
      <c r="AA457" s="5">
        <v>0</v>
      </c>
      <c r="AB457" s="5">
        <v>0</v>
      </c>
      <c r="AC457" s="5">
        <v>0</v>
      </c>
      <c r="AD457" s="5">
        <v>0</v>
      </c>
      <c r="AE457" s="10" t="s">
        <v>50</v>
      </c>
      <c r="AF457" s="10"/>
      <c r="AG457" s="10" t="s">
        <v>229</v>
      </c>
      <c r="AH457" s="10" t="s">
        <v>50</v>
      </c>
      <c r="AI457" s="5">
        <v>1</v>
      </c>
      <c r="AJ457" s="10" t="s">
        <v>2725</v>
      </c>
      <c r="AK457" s="10" t="s">
        <v>50</v>
      </c>
    </row>
    <row r="458" spans="1:37" ht="36.75" customHeight="1" x14ac:dyDescent="0.35">
      <c r="A458" s="5"/>
      <c r="B458" s="5" t="s">
        <v>37</v>
      </c>
      <c r="C458" s="73" t="str">
        <f t="shared" si="7"/>
        <v>Closed</v>
      </c>
      <c r="D458" s="45" t="s">
        <v>2726</v>
      </c>
      <c r="E458" s="54" t="s">
        <v>2727</v>
      </c>
      <c r="F458" s="5" t="s">
        <v>563</v>
      </c>
      <c r="G458" s="10">
        <f>DATE(2008,4,26)</f>
        <v>39564</v>
      </c>
      <c r="H458" s="35">
        <v>1.8791666666666669</v>
      </c>
      <c r="I458" s="5" t="s">
        <v>137</v>
      </c>
      <c r="J458" s="10" t="s">
        <v>2728</v>
      </c>
      <c r="K458" s="5" t="s">
        <v>565</v>
      </c>
      <c r="L458" s="5" t="s">
        <v>2729</v>
      </c>
      <c r="M458" s="5" t="s">
        <v>45</v>
      </c>
      <c r="N458" s="5">
        <v>0</v>
      </c>
      <c r="O458" s="5" t="s">
        <v>46</v>
      </c>
      <c r="P458" s="10" t="s">
        <v>443</v>
      </c>
      <c r="Q458" s="10" t="s">
        <v>2002</v>
      </c>
      <c r="R458" s="10" t="s">
        <v>568</v>
      </c>
      <c r="S458" s="5">
        <v>0</v>
      </c>
      <c r="T458" s="37" t="s">
        <v>50</v>
      </c>
      <c r="U458" s="5">
        <v>0</v>
      </c>
      <c r="V458" s="37" t="s">
        <v>50</v>
      </c>
      <c r="W458" s="5">
        <v>0</v>
      </c>
      <c r="X458" s="5">
        <v>0</v>
      </c>
      <c r="Y458" s="5">
        <v>0</v>
      </c>
      <c r="Z458" s="37" t="s">
        <v>50</v>
      </c>
      <c r="AA458" s="5">
        <v>0</v>
      </c>
      <c r="AB458" s="5">
        <v>0</v>
      </c>
      <c r="AC458" s="5">
        <v>0</v>
      </c>
      <c r="AD458" s="5">
        <v>0</v>
      </c>
      <c r="AE458" s="10" t="s">
        <v>50</v>
      </c>
      <c r="AF458" s="10"/>
      <c r="AG458" s="10" t="s">
        <v>64</v>
      </c>
      <c r="AH458" s="10" t="s">
        <v>50</v>
      </c>
      <c r="AI458" s="5">
        <v>5</v>
      </c>
      <c r="AJ458" s="10" t="s">
        <v>50</v>
      </c>
      <c r="AK458" s="10" t="s">
        <v>50</v>
      </c>
    </row>
    <row r="459" spans="1:37" ht="36.75" customHeight="1" x14ac:dyDescent="0.35">
      <c r="A459" s="5"/>
      <c r="B459" s="5" t="s">
        <v>37</v>
      </c>
      <c r="C459" s="73" t="str">
        <f t="shared" si="7"/>
        <v>Closed</v>
      </c>
      <c r="D459" s="45" t="s">
        <v>2730</v>
      </c>
      <c r="E459" s="54" t="s">
        <v>2731</v>
      </c>
      <c r="F459" s="5" t="s">
        <v>96</v>
      </c>
      <c r="G459" s="10">
        <f>DATE(2008,4,26)</f>
        <v>39564</v>
      </c>
      <c r="H459" s="35">
        <v>1.2958333333333334</v>
      </c>
      <c r="I459" s="5" t="s">
        <v>67</v>
      </c>
      <c r="J459" s="10" t="s">
        <v>2732</v>
      </c>
      <c r="K459" s="5" t="s">
        <v>99</v>
      </c>
      <c r="L459" s="5" t="s">
        <v>2733</v>
      </c>
      <c r="M459" s="5" t="s">
        <v>45</v>
      </c>
      <c r="N459" s="5">
        <v>0</v>
      </c>
      <c r="O459" s="5" t="s">
        <v>46</v>
      </c>
      <c r="P459" s="10" t="s">
        <v>60</v>
      </c>
      <c r="Q459" s="10" t="s">
        <v>2734</v>
      </c>
      <c r="R459" s="10" t="s">
        <v>102</v>
      </c>
      <c r="S459" s="5">
        <v>0</v>
      </c>
      <c r="T459" s="37" t="s">
        <v>50</v>
      </c>
      <c r="U459" s="5">
        <v>0</v>
      </c>
      <c r="V459" s="37" t="s">
        <v>50</v>
      </c>
      <c r="W459" s="5">
        <v>0</v>
      </c>
      <c r="X459" s="5">
        <v>0</v>
      </c>
      <c r="Y459" s="5">
        <v>0</v>
      </c>
      <c r="Z459" s="37" t="s">
        <v>50</v>
      </c>
      <c r="AA459" s="5">
        <v>0</v>
      </c>
      <c r="AB459" s="5">
        <v>0</v>
      </c>
      <c r="AC459" s="5">
        <v>0</v>
      </c>
      <c r="AD459" s="5">
        <v>0</v>
      </c>
      <c r="AE459" s="10" t="s">
        <v>50</v>
      </c>
      <c r="AF459" s="10"/>
      <c r="AG459" s="10" t="s">
        <v>114</v>
      </c>
      <c r="AH459" s="10" t="s">
        <v>50</v>
      </c>
      <c r="AI459" s="5">
        <v>0</v>
      </c>
      <c r="AJ459" s="10" t="s">
        <v>50</v>
      </c>
      <c r="AK459" s="10" t="s">
        <v>50</v>
      </c>
    </row>
    <row r="460" spans="1:37" ht="36.75" customHeight="1" x14ac:dyDescent="0.35">
      <c r="A460" s="5"/>
      <c r="B460" s="5" t="s">
        <v>37</v>
      </c>
      <c r="C460" s="73" t="str">
        <f t="shared" si="7"/>
        <v>Closed</v>
      </c>
      <c r="D460" s="45" t="s">
        <v>2735</v>
      </c>
      <c r="E460" s="54" t="s">
        <v>2736</v>
      </c>
      <c r="F460" s="5" t="s">
        <v>214</v>
      </c>
      <c r="G460" s="10">
        <f>DATE(2008,4,26)</f>
        <v>39564</v>
      </c>
      <c r="H460" s="35">
        <v>1.26875</v>
      </c>
      <c r="I460" s="5" t="s">
        <v>179</v>
      </c>
      <c r="J460" s="10" t="s">
        <v>2737</v>
      </c>
      <c r="K460" s="5" t="s">
        <v>216</v>
      </c>
      <c r="L460" s="5" t="s">
        <v>2738</v>
      </c>
      <c r="M460" s="5" t="s">
        <v>45</v>
      </c>
      <c r="N460" s="5">
        <v>0</v>
      </c>
      <c r="O460" s="5" t="s">
        <v>67</v>
      </c>
      <c r="P460" s="10" t="s">
        <v>60</v>
      </c>
      <c r="Q460" s="10" t="s">
        <v>2739</v>
      </c>
      <c r="R460" s="10" t="s">
        <v>219</v>
      </c>
      <c r="S460" s="5">
        <v>0</v>
      </c>
      <c r="T460" s="37" t="s">
        <v>50</v>
      </c>
      <c r="U460" s="5">
        <v>0</v>
      </c>
      <c r="V460" s="37" t="s">
        <v>50</v>
      </c>
      <c r="W460" s="5">
        <v>0</v>
      </c>
      <c r="X460" s="5">
        <v>0</v>
      </c>
      <c r="Y460" s="5">
        <v>0</v>
      </c>
      <c r="Z460" s="37" t="s">
        <v>50</v>
      </c>
      <c r="AA460" s="5">
        <v>0</v>
      </c>
      <c r="AB460" s="5">
        <v>0</v>
      </c>
      <c r="AC460" s="5">
        <v>0</v>
      </c>
      <c r="AD460" s="5">
        <v>0</v>
      </c>
      <c r="AE460" s="10" t="s">
        <v>50</v>
      </c>
      <c r="AF460" s="10"/>
      <c r="AG460" s="10" t="s">
        <v>333</v>
      </c>
      <c r="AH460" s="10" t="s">
        <v>50</v>
      </c>
      <c r="AI460" s="5">
        <v>7</v>
      </c>
      <c r="AJ460" s="10" t="s">
        <v>2740</v>
      </c>
      <c r="AK460" s="10" t="s">
        <v>2741</v>
      </c>
    </row>
    <row r="461" spans="1:37" ht="36.75" customHeight="1" x14ac:dyDescent="0.35">
      <c r="A461" s="5"/>
      <c r="B461" s="5" t="s">
        <v>37</v>
      </c>
      <c r="C461" s="73" t="str">
        <f t="shared" si="7"/>
        <v>Closed</v>
      </c>
      <c r="D461" s="45" t="s">
        <v>2742</v>
      </c>
      <c r="E461" s="54" t="s">
        <v>2743</v>
      </c>
      <c r="F461" s="5" t="s">
        <v>816</v>
      </c>
      <c r="G461" s="10">
        <f>DATE(2008,4,29)</f>
        <v>39567</v>
      </c>
      <c r="H461" s="35">
        <v>1.3506944444444444</v>
      </c>
      <c r="I461" s="5" t="s">
        <v>97</v>
      </c>
      <c r="J461" s="10" t="s">
        <v>2744</v>
      </c>
      <c r="K461" s="5" t="s">
        <v>818</v>
      </c>
      <c r="L461" s="5" t="s">
        <v>2615</v>
      </c>
      <c r="M461" s="5" t="s">
        <v>45</v>
      </c>
      <c r="N461" s="5">
        <v>0</v>
      </c>
      <c r="O461" s="5" t="s">
        <v>46</v>
      </c>
      <c r="P461" s="10" t="s">
        <v>146</v>
      </c>
      <c r="Q461" s="10" t="s">
        <v>2142</v>
      </c>
      <c r="R461" s="10" t="s">
        <v>821</v>
      </c>
      <c r="S461" s="5">
        <v>0</v>
      </c>
      <c r="T461" s="37">
        <v>0</v>
      </c>
      <c r="U461" s="5">
        <v>1</v>
      </c>
      <c r="V461" s="37">
        <v>0</v>
      </c>
      <c r="W461" s="5">
        <v>0</v>
      </c>
      <c r="X461" s="5">
        <v>1</v>
      </c>
      <c r="Y461" s="5">
        <v>0</v>
      </c>
      <c r="Z461" s="37">
        <v>0</v>
      </c>
      <c r="AA461" s="5">
        <v>0</v>
      </c>
      <c r="AB461" s="5">
        <v>0</v>
      </c>
      <c r="AC461" s="5">
        <v>0</v>
      </c>
      <c r="AD461" s="5">
        <v>0</v>
      </c>
      <c r="AE461" s="10" t="s">
        <v>50</v>
      </c>
      <c r="AF461" s="10"/>
      <c r="AG461" s="10" t="s">
        <v>333</v>
      </c>
      <c r="AH461" s="10" t="s">
        <v>50</v>
      </c>
      <c r="AI461" s="5">
        <v>1</v>
      </c>
      <c r="AJ461" s="10" t="s">
        <v>50</v>
      </c>
      <c r="AK461" s="10" t="s">
        <v>50</v>
      </c>
    </row>
    <row r="462" spans="1:37" ht="36.75" customHeight="1" x14ac:dyDescent="0.35">
      <c r="A462" s="5"/>
      <c r="B462" s="5" t="s">
        <v>37</v>
      </c>
      <c r="C462" s="73" t="str">
        <f t="shared" si="7"/>
        <v>Closed</v>
      </c>
      <c r="D462" s="45" t="s">
        <v>2745</v>
      </c>
      <c r="E462" s="54" t="s">
        <v>2746</v>
      </c>
      <c r="F462" s="5" t="s">
        <v>105</v>
      </c>
      <c r="G462" s="10">
        <f>DATE(2008,4,29)</f>
        <v>39567</v>
      </c>
      <c r="H462" s="35">
        <v>1.3895833333333334</v>
      </c>
      <c r="I462" s="5" t="s">
        <v>55</v>
      </c>
      <c r="J462" s="10" t="s">
        <v>2747</v>
      </c>
      <c r="K462" s="5" t="s">
        <v>108</v>
      </c>
      <c r="L462" s="5" t="s">
        <v>2748</v>
      </c>
      <c r="M462" s="5" t="s">
        <v>45</v>
      </c>
      <c r="N462" s="5">
        <v>0</v>
      </c>
      <c r="O462" s="5" t="s">
        <v>59</v>
      </c>
      <c r="P462" s="10" t="s">
        <v>60</v>
      </c>
      <c r="Q462" s="10" t="s">
        <v>382</v>
      </c>
      <c r="R462" s="10" t="s">
        <v>148</v>
      </c>
      <c r="S462" s="5">
        <v>0</v>
      </c>
      <c r="T462" s="37" t="s">
        <v>50</v>
      </c>
      <c r="U462" s="5">
        <v>0</v>
      </c>
      <c r="V462" s="37" t="s">
        <v>50</v>
      </c>
      <c r="W462" s="5">
        <v>0</v>
      </c>
      <c r="X462" s="5">
        <v>0</v>
      </c>
      <c r="Y462" s="5">
        <v>0</v>
      </c>
      <c r="Z462" s="37" t="s">
        <v>50</v>
      </c>
      <c r="AA462" s="5">
        <v>0</v>
      </c>
      <c r="AB462" s="5">
        <v>0</v>
      </c>
      <c r="AC462" s="5">
        <v>0</v>
      </c>
      <c r="AD462" s="5">
        <v>0</v>
      </c>
      <c r="AE462" s="10" t="s">
        <v>50</v>
      </c>
      <c r="AF462" s="10"/>
      <c r="AG462" s="10" t="s">
        <v>114</v>
      </c>
      <c r="AH462" s="10" t="s">
        <v>50</v>
      </c>
      <c r="AI462" s="5">
        <v>4</v>
      </c>
      <c r="AJ462" s="10" t="s">
        <v>50</v>
      </c>
      <c r="AK462" s="10" t="s">
        <v>50</v>
      </c>
    </row>
    <row r="463" spans="1:37" ht="36.75" customHeight="1" x14ac:dyDescent="0.35">
      <c r="A463" s="5"/>
      <c r="B463" s="5" t="s">
        <v>37</v>
      </c>
      <c r="C463" s="73" t="str">
        <f t="shared" si="7"/>
        <v>Closed</v>
      </c>
      <c r="D463" s="45" t="s">
        <v>2749</v>
      </c>
      <c r="E463" s="54" t="s">
        <v>2750</v>
      </c>
      <c r="F463" s="5" t="s">
        <v>40</v>
      </c>
      <c r="G463" s="10">
        <f>DATE(2008,4,30)</f>
        <v>39568</v>
      </c>
      <c r="H463" s="35">
        <v>1.2944444444444445</v>
      </c>
      <c r="I463" s="5" t="s">
        <v>137</v>
      </c>
      <c r="J463" s="10" t="s">
        <v>2751</v>
      </c>
      <c r="K463" s="5" t="s">
        <v>43</v>
      </c>
      <c r="L463" s="5" t="s">
        <v>2752</v>
      </c>
      <c r="M463" s="5" t="s">
        <v>45</v>
      </c>
      <c r="N463" s="5" t="s">
        <v>70</v>
      </c>
      <c r="O463" s="5" t="s">
        <v>71</v>
      </c>
      <c r="P463" s="10" t="s">
        <v>72</v>
      </c>
      <c r="Q463" s="10" t="s">
        <v>48</v>
      </c>
      <c r="R463" s="10" t="s">
        <v>49</v>
      </c>
      <c r="S463" s="5">
        <v>0</v>
      </c>
      <c r="T463" s="37">
        <v>0</v>
      </c>
      <c r="U463" s="5">
        <v>0</v>
      </c>
      <c r="V463" s="37">
        <v>0</v>
      </c>
      <c r="W463" s="5">
        <v>0</v>
      </c>
      <c r="X463" s="5">
        <v>0</v>
      </c>
      <c r="Y463" s="5">
        <v>0</v>
      </c>
      <c r="Z463" s="37">
        <v>1</v>
      </c>
      <c r="AA463" s="5">
        <v>0</v>
      </c>
      <c r="AB463" s="5">
        <v>0</v>
      </c>
      <c r="AC463" s="5">
        <v>0</v>
      </c>
      <c r="AD463" s="5">
        <v>1</v>
      </c>
      <c r="AE463" s="10" t="s">
        <v>73</v>
      </c>
      <c r="AF463" s="10"/>
      <c r="AG463" s="10" t="s">
        <v>51</v>
      </c>
      <c r="AH463" s="10">
        <v>39575</v>
      </c>
      <c r="AI463" s="5">
        <v>1</v>
      </c>
      <c r="AJ463" s="10" t="s">
        <v>2753</v>
      </c>
      <c r="AK463" s="10" t="s">
        <v>2754</v>
      </c>
    </row>
    <row r="464" spans="1:37" ht="36.75" customHeight="1" x14ac:dyDescent="0.35">
      <c r="A464" s="5"/>
      <c r="B464" s="5" t="s">
        <v>37</v>
      </c>
      <c r="C464" s="73" t="str">
        <f t="shared" si="7"/>
        <v>Closed</v>
      </c>
      <c r="D464" s="45" t="s">
        <v>2755</v>
      </c>
      <c r="E464" s="54" t="s">
        <v>2756</v>
      </c>
      <c r="F464" s="5" t="s">
        <v>214</v>
      </c>
      <c r="G464" s="10">
        <f>DATE(2008,5,3)</f>
        <v>39571</v>
      </c>
      <c r="H464" s="35">
        <v>1.6458333333333335</v>
      </c>
      <c r="I464" s="5" t="s">
        <v>55</v>
      </c>
      <c r="J464" s="10" t="s">
        <v>2757</v>
      </c>
      <c r="K464" s="5" t="s">
        <v>216</v>
      </c>
      <c r="L464" s="5" t="s">
        <v>2758</v>
      </c>
      <c r="M464" s="5" t="s">
        <v>45</v>
      </c>
      <c r="N464" s="5">
        <v>0</v>
      </c>
      <c r="O464" s="5" t="s">
        <v>46</v>
      </c>
      <c r="P464" s="10" t="s">
        <v>67</v>
      </c>
      <c r="Q464" s="10" t="s">
        <v>2759</v>
      </c>
      <c r="R464" s="10" t="s">
        <v>2759</v>
      </c>
      <c r="S464" s="5">
        <v>0</v>
      </c>
      <c r="T464" s="37" t="s">
        <v>50</v>
      </c>
      <c r="U464" s="5">
        <v>0</v>
      </c>
      <c r="V464" s="37" t="s">
        <v>50</v>
      </c>
      <c r="W464" s="5">
        <v>0</v>
      </c>
      <c r="X464" s="5">
        <v>0</v>
      </c>
      <c r="Y464" s="5">
        <v>0</v>
      </c>
      <c r="Z464" s="37" t="s">
        <v>50</v>
      </c>
      <c r="AA464" s="5">
        <v>0</v>
      </c>
      <c r="AB464" s="5">
        <v>0</v>
      </c>
      <c r="AC464" s="5">
        <v>0</v>
      </c>
      <c r="AD464" s="5">
        <v>0</v>
      </c>
      <c r="AE464" s="10" t="s">
        <v>50</v>
      </c>
      <c r="AF464" s="10"/>
      <c r="AG464" s="10" t="s">
        <v>229</v>
      </c>
      <c r="AH464" s="10" t="s">
        <v>50</v>
      </c>
      <c r="AI464" s="5">
        <v>5</v>
      </c>
      <c r="AJ464" s="10" t="s">
        <v>2760</v>
      </c>
      <c r="AK464" s="10" t="s">
        <v>2761</v>
      </c>
    </row>
    <row r="465" spans="1:37" ht="36.75" customHeight="1" x14ac:dyDescent="0.35">
      <c r="A465" s="5"/>
      <c r="B465" s="5" t="s">
        <v>37</v>
      </c>
      <c r="C465" s="73" t="str">
        <f t="shared" si="7"/>
        <v>Closed</v>
      </c>
      <c r="D465" s="45" t="s">
        <v>2762</v>
      </c>
      <c r="E465" s="54" t="s">
        <v>2763</v>
      </c>
      <c r="F465" s="5" t="s">
        <v>575</v>
      </c>
      <c r="G465" s="10">
        <f>DATE(2008,5,4)</f>
        <v>39572</v>
      </c>
      <c r="H465" s="35">
        <v>1.7715277777777776</v>
      </c>
      <c r="I465" s="5" t="s">
        <v>137</v>
      </c>
      <c r="J465" s="10" t="s">
        <v>2764</v>
      </c>
      <c r="K465" s="5" t="s">
        <v>577</v>
      </c>
      <c r="L465" s="5" t="s">
        <v>2765</v>
      </c>
      <c r="M465" s="5" t="s">
        <v>110</v>
      </c>
      <c r="N465" s="5">
        <v>0</v>
      </c>
      <c r="O465" s="5" t="s">
        <v>46</v>
      </c>
      <c r="P465" s="10" t="s">
        <v>67</v>
      </c>
      <c r="Q465" s="10" t="s">
        <v>2766</v>
      </c>
      <c r="R465" s="10" t="s">
        <v>2767</v>
      </c>
      <c r="S465" s="5">
        <v>0</v>
      </c>
      <c r="T465" s="37" t="s">
        <v>50</v>
      </c>
      <c r="U465" s="5">
        <v>0</v>
      </c>
      <c r="V465" s="37" t="s">
        <v>50</v>
      </c>
      <c r="W465" s="5">
        <v>0</v>
      </c>
      <c r="X465" s="5">
        <v>0</v>
      </c>
      <c r="Y465" s="5">
        <v>0</v>
      </c>
      <c r="Z465" s="37" t="s">
        <v>50</v>
      </c>
      <c r="AA465" s="5">
        <v>0</v>
      </c>
      <c r="AB465" s="5">
        <v>0</v>
      </c>
      <c r="AC465" s="5">
        <v>0</v>
      </c>
      <c r="AD465" s="5">
        <v>0</v>
      </c>
      <c r="AE465" s="10" t="s">
        <v>50</v>
      </c>
      <c r="AF465" s="10"/>
      <c r="AG465" s="10" t="s">
        <v>348</v>
      </c>
      <c r="AH465" s="10" t="s">
        <v>50</v>
      </c>
      <c r="AI465" s="5">
        <v>0</v>
      </c>
      <c r="AJ465" s="10" t="s">
        <v>50</v>
      </c>
      <c r="AK465" s="10" t="s">
        <v>50</v>
      </c>
    </row>
    <row r="466" spans="1:37" ht="36.75" customHeight="1" x14ac:dyDescent="0.35">
      <c r="A466" s="5"/>
      <c r="B466" s="5" t="s">
        <v>37</v>
      </c>
      <c r="C466" s="73" t="str">
        <f t="shared" si="7"/>
        <v>Closed</v>
      </c>
      <c r="D466" s="45" t="s">
        <v>2768</v>
      </c>
      <c r="E466" s="54" t="s">
        <v>2769</v>
      </c>
      <c r="F466" s="5" t="s">
        <v>619</v>
      </c>
      <c r="G466" s="10">
        <f>DATE(2008,5,6)</f>
        <v>39574</v>
      </c>
      <c r="H466" s="35">
        <v>1.8055555555555554</v>
      </c>
      <c r="I466" s="5" t="s">
        <v>259</v>
      </c>
      <c r="J466" s="10" t="s">
        <v>2770</v>
      </c>
      <c r="K466" s="5" t="s">
        <v>621</v>
      </c>
      <c r="L466" s="5" t="s">
        <v>2771</v>
      </c>
      <c r="M466" s="5" t="s">
        <v>45</v>
      </c>
      <c r="N466" s="5">
        <v>0</v>
      </c>
      <c r="O466" s="5" t="s">
        <v>59</v>
      </c>
      <c r="P466" s="10" t="s">
        <v>146</v>
      </c>
      <c r="Q466" s="10" t="s">
        <v>623</v>
      </c>
      <c r="R466" s="10" t="s">
        <v>624</v>
      </c>
      <c r="S466" s="5">
        <v>1</v>
      </c>
      <c r="T466" s="37">
        <v>0</v>
      </c>
      <c r="U466" s="5">
        <v>0</v>
      </c>
      <c r="V466" s="37">
        <v>0</v>
      </c>
      <c r="W466" s="5">
        <v>0</v>
      </c>
      <c r="X466" s="5">
        <v>1</v>
      </c>
      <c r="Y466" s="5">
        <v>0</v>
      </c>
      <c r="Z466" s="37">
        <v>0</v>
      </c>
      <c r="AA466" s="5">
        <v>0</v>
      </c>
      <c r="AB466" s="5">
        <v>0</v>
      </c>
      <c r="AC466" s="5">
        <v>0</v>
      </c>
      <c r="AD466" s="5">
        <v>0</v>
      </c>
      <c r="AE466" s="10" t="s">
        <v>50</v>
      </c>
      <c r="AF466" s="10"/>
      <c r="AG466" s="10" t="s">
        <v>229</v>
      </c>
      <c r="AH466" s="10" t="s">
        <v>50</v>
      </c>
      <c r="AI466" s="5">
        <v>0</v>
      </c>
      <c r="AJ466" s="10" t="s">
        <v>50</v>
      </c>
      <c r="AK466" s="10" t="s">
        <v>50</v>
      </c>
    </row>
    <row r="467" spans="1:37" ht="36.75" customHeight="1" x14ac:dyDescent="0.35">
      <c r="A467" s="5"/>
      <c r="B467" s="5" t="s">
        <v>37</v>
      </c>
      <c r="C467" s="73" t="str">
        <f t="shared" si="7"/>
        <v>Closed</v>
      </c>
      <c r="D467" s="45" t="s">
        <v>2772</v>
      </c>
      <c r="E467" s="54" t="s">
        <v>2773</v>
      </c>
      <c r="F467" s="5" t="s">
        <v>816</v>
      </c>
      <c r="G467" s="10">
        <f>DATE(2008,5,8)</f>
        <v>39576</v>
      </c>
      <c r="H467" s="35">
        <v>1.4875</v>
      </c>
      <c r="I467" s="5" t="s">
        <v>97</v>
      </c>
      <c r="J467" s="10" t="s">
        <v>2774</v>
      </c>
      <c r="K467" s="5" t="s">
        <v>818</v>
      </c>
      <c r="L467" s="5" t="s">
        <v>2775</v>
      </c>
      <c r="M467" s="5" t="s">
        <v>45</v>
      </c>
      <c r="N467" s="5">
        <v>0</v>
      </c>
      <c r="O467" s="5" t="s">
        <v>46</v>
      </c>
      <c r="P467" s="10" t="s">
        <v>47</v>
      </c>
      <c r="Q467" s="10" t="s">
        <v>2776</v>
      </c>
      <c r="R467" s="10" t="s">
        <v>2777</v>
      </c>
      <c r="S467" s="5">
        <v>0</v>
      </c>
      <c r="T467" s="37">
        <v>0</v>
      </c>
      <c r="U467" s="5">
        <v>1</v>
      </c>
      <c r="V467" s="37">
        <v>0</v>
      </c>
      <c r="W467" s="5">
        <v>0</v>
      </c>
      <c r="X467" s="5">
        <v>1</v>
      </c>
      <c r="Y467" s="5">
        <v>0</v>
      </c>
      <c r="Z467" s="37">
        <v>0</v>
      </c>
      <c r="AA467" s="5">
        <v>0</v>
      </c>
      <c r="AB467" s="5">
        <v>0</v>
      </c>
      <c r="AC467" s="5">
        <v>0</v>
      </c>
      <c r="AD467" s="5">
        <v>0</v>
      </c>
      <c r="AE467" s="10" t="s">
        <v>50</v>
      </c>
      <c r="AF467" s="10"/>
      <c r="AG467" s="10" t="s">
        <v>333</v>
      </c>
      <c r="AH467" s="10" t="s">
        <v>50</v>
      </c>
      <c r="AI467" s="5">
        <v>1</v>
      </c>
      <c r="AJ467" s="10" t="s">
        <v>50</v>
      </c>
      <c r="AK467" s="10" t="s">
        <v>50</v>
      </c>
    </row>
    <row r="468" spans="1:37" ht="36.75" customHeight="1" x14ac:dyDescent="0.35">
      <c r="A468" s="5"/>
      <c r="B468" s="5" t="s">
        <v>37</v>
      </c>
      <c r="C468" s="73" t="str">
        <f t="shared" si="7"/>
        <v>Closed</v>
      </c>
      <c r="D468" s="45" t="s">
        <v>2778</v>
      </c>
      <c r="E468" s="54" t="s">
        <v>2779</v>
      </c>
      <c r="F468" s="5" t="s">
        <v>619</v>
      </c>
      <c r="G468" s="10">
        <f>DATE(2008,5,9)</f>
        <v>39577</v>
      </c>
      <c r="H468" s="35">
        <v>1.9444444444444446</v>
      </c>
      <c r="I468" s="5" t="s">
        <v>97</v>
      </c>
      <c r="J468" s="10" t="s">
        <v>2780</v>
      </c>
      <c r="K468" s="5" t="s">
        <v>621</v>
      </c>
      <c r="L468" s="5" t="s">
        <v>2781</v>
      </c>
      <c r="M468" s="5" t="s">
        <v>45</v>
      </c>
      <c r="N468" s="5">
        <v>0</v>
      </c>
      <c r="O468" s="5" t="s">
        <v>46</v>
      </c>
      <c r="P468" s="10" t="s">
        <v>362</v>
      </c>
      <c r="Q468" s="10" t="s">
        <v>623</v>
      </c>
      <c r="R468" s="10" t="s">
        <v>624</v>
      </c>
      <c r="S468" s="5">
        <v>0</v>
      </c>
      <c r="T468" s="37">
        <v>0</v>
      </c>
      <c r="U468" s="5">
        <v>2</v>
      </c>
      <c r="V468" s="37">
        <v>0</v>
      </c>
      <c r="W468" s="5">
        <v>0</v>
      </c>
      <c r="X468" s="5">
        <v>2</v>
      </c>
      <c r="Y468" s="5">
        <v>0</v>
      </c>
      <c r="Z468" s="37">
        <v>0</v>
      </c>
      <c r="AA468" s="5">
        <v>0</v>
      </c>
      <c r="AB468" s="5">
        <v>0</v>
      </c>
      <c r="AC468" s="5">
        <v>0</v>
      </c>
      <c r="AD468" s="5">
        <v>0</v>
      </c>
      <c r="AE468" s="10" t="s">
        <v>50</v>
      </c>
      <c r="AF468" s="10"/>
      <c r="AG468" s="10" t="s">
        <v>229</v>
      </c>
      <c r="AH468" s="10" t="s">
        <v>50</v>
      </c>
      <c r="AI468" s="5">
        <v>1</v>
      </c>
      <c r="AJ468" s="10" t="s">
        <v>50</v>
      </c>
      <c r="AK468" s="10" t="s">
        <v>50</v>
      </c>
    </row>
    <row r="469" spans="1:37" ht="36.75" customHeight="1" x14ac:dyDescent="0.35">
      <c r="A469" s="5"/>
      <c r="B469" s="5" t="s">
        <v>37</v>
      </c>
      <c r="C469" s="73" t="str">
        <f t="shared" si="7"/>
        <v>Closed</v>
      </c>
      <c r="D469" s="45" t="s">
        <v>2782</v>
      </c>
      <c r="E469" s="54" t="s">
        <v>2783</v>
      </c>
      <c r="F469" s="5" t="s">
        <v>1553</v>
      </c>
      <c r="G469" s="10">
        <f>DATE(2008,5,10)</f>
        <v>39578</v>
      </c>
      <c r="H469" s="35">
        <v>1.7048611111111112</v>
      </c>
      <c r="I469" s="5" t="s">
        <v>55</v>
      </c>
      <c r="J469" s="10" t="s">
        <v>2784</v>
      </c>
      <c r="K469" s="5" t="s">
        <v>1555</v>
      </c>
      <c r="L469" s="5" t="s">
        <v>2785</v>
      </c>
      <c r="M469" s="5" t="s">
        <v>45</v>
      </c>
      <c r="N469" s="5">
        <v>0</v>
      </c>
      <c r="O469" s="5" t="s">
        <v>59</v>
      </c>
      <c r="P469" s="10" t="s">
        <v>47</v>
      </c>
      <c r="Q469" s="10" t="s">
        <v>2393</v>
      </c>
      <c r="R469" s="10">
        <v>0</v>
      </c>
      <c r="S469" s="5">
        <v>1</v>
      </c>
      <c r="T469" s="37">
        <v>0</v>
      </c>
      <c r="U469" s="5">
        <v>0</v>
      </c>
      <c r="V469" s="37">
        <v>0</v>
      </c>
      <c r="W469" s="5">
        <v>0</v>
      </c>
      <c r="X469" s="5">
        <v>1</v>
      </c>
      <c r="Y469" s="5">
        <v>0</v>
      </c>
      <c r="Z469" s="37">
        <v>0</v>
      </c>
      <c r="AA469" s="5">
        <v>0</v>
      </c>
      <c r="AB469" s="5">
        <v>0</v>
      </c>
      <c r="AC469" s="5">
        <v>0</v>
      </c>
      <c r="AD469" s="5">
        <v>0</v>
      </c>
      <c r="AE469" s="10" t="s">
        <v>50</v>
      </c>
      <c r="AF469" s="10"/>
      <c r="AG469" s="10" t="s">
        <v>64</v>
      </c>
      <c r="AH469" s="10" t="s">
        <v>50</v>
      </c>
      <c r="AI469" s="5">
        <v>6</v>
      </c>
      <c r="AJ469" s="10" t="s">
        <v>2786</v>
      </c>
      <c r="AK469" s="10" t="s">
        <v>2787</v>
      </c>
    </row>
    <row r="470" spans="1:37" ht="36.75" customHeight="1" x14ac:dyDescent="0.35">
      <c r="A470" s="5"/>
      <c r="B470" s="5" t="s">
        <v>37</v>
      </c>
      <c r="C470" s="73" t="str">
        <f t="shared" si="7"/>
        <v>Closed</v>
      </c>
      <c r="D470" s="45" t="s">
        <v>2788</v>
      </c>
      <c r="E470" s="54" t="s">
        <v>2789</v>
      </c>
      <c r="F470" s="5" t="s">
        <v>619</v>
      </c>
      <c r="G470" s="10">
        <f>DATE(2008,5,11)</f>
        <v>39579</v>
      </c>
      <c r="H470" s="35">
        <v>1.8284722222222221</v>
      </c>
      <c r="I470" s="5" t="s">
        <v>259</v>
      </c>
      <c r="J470" s="10" t="s">
        <v>2790</v>
      </c>
      <c r="K470" s="5" t="s">
        <v>621</v>
      </c>
      <c r="L470" s="5" t="s">
        <v>2791</v>
      </c>
      <c r="M470" s="5" t="s">
        <v>45</v>
      </c>
      <c r="N470" s="5">
        <v>0</v>
      </c>
      <c r="O470" s="5" t="s">
        <v>46</v>
      </c>
      <c r="P470" s="10" t="s">
        <v>47</v>
      </c>
      <c r="Q470" s="10" t="s">
        <v>623</v>
      </c>
      <c r="R470" s="10" t="s">
        <v>624</v>
      </c>
      <c r="S470" s="5">
        <v>0</v>
      </c>
      <c r="T470" s="37">
        <v>0</v>
      </c>
      <c r="U470" s="5">
        <v>0</v>
      </c>
      <c r="V470" s="37">
        <v>1</v>
      </c>
      <c r="W470" s="5">
        <v>0</v>
      </c>
      <c r="X470" s="5">
        <v>1</v>
      </c>
      <c r="Y470" s="5">
        <v>0</v>
      </c>
      <c r="Z470" s="37">
        <v>0</v>
      </c>
      <c r="AA470" s="5">
        <v>0</v>
      </c>
      <c r="AB470" s="5">
        <v>0</v>
      </c>
      <c r="AC470" s="5">
        <v>0</v>
      </c>
      <c r="AD470" s="5">
        <v>0</v>
      </c>
      <c r="AE470" s="10" t="s">
        <v>50</v>
      </c>
      <c r="AF470" s="10"/>
      <c r="AG470" s="10" t="s">
        <v>229</v>
      </c>
      <c r="AH470" s="10" t="s">
        <v>50</v>
      </c>
      <c r="AI470" s="5">
        <v>1</v>
      </c>
      <c r="AJ470" s="10" t="s">
        <v>50</v>
      </c>
      <c r="AK470" s="10" t="s">
        <v>50</v>
      </c>
    </row>
    <row r="471" spans="1:37" ht="36.75" customHeight="1" x14ac:dyDescent="0.35">
      <c r="A471" s="5"/>
      <c r="B471" s="5" t="s">
        <v>37</v>
      </c>
      <c r="C471" s="73" t="str">
        <f t="shared" si="7"/>
        <v>Closed</v>
      </c>
      <c r="D471" s="45" t="s">
        <v>2792</v>
      </c>
      <c r="E471" s="54" t="s">
        <v>2793</v>
      </c>
      <c r="F471" s="5" t="s">
        <v>619</v>
      </c>
      <c r="G471" s="10">
        <f>DATE(2008,5,13)</f>
        <v>39581</v>
      </c>
      <c r="H471" s="35">
        <v>1.504861111111111</v>
      </c>
      <c r="I471" s="5" t="s">
        <v>259</v>
      </c>
      <c r="J471" s="10" t="s">
        <v>2794</v>
      </c>
      <c r="K471" s="5" t="s">
        <v>621</v>
      </c>
      <c r="L471" s="5" t="s">
        <v>2795</v>
      </c>
      <c r="M471" s="5" t="s">
        <v>45</v>
      </c>
      <c r="N471" s="5">
        <v>0</v>
      </c>
      <c r="O471" s="5" t="s">
        <v>46</v>
      </c>
      <c r="P471" s="10" t="s">
        <v>146</v>
      </c>
      <c r="Q471" s="10" t="s">
        <v>623</v>
      </c>
      <c r="R471" s="10" t="s">
        <v>624</v>
      </c>
      <c r="S471" s="5">
        <v>0</v>
      </c>
      <c r="T471" s="37">
        <v>1</v>
      </c>
      <c r="U471" s="5">
        <v>0</v>
      </c>
      <c r="V471" s="37">
        <v>0</v>
      </c>
      <c r="W471" s="5">
        <v>0</v>
      </c>
      <c r="X471" s="5">
        <v>1</v>
      </c>
      <c r="Y471" s="5">
        <v>0</v>
      </c>
      <c r="Z471" s="37">
        <v>0</v>
      </c>
      <c r="AA471" s="5">
        <v>0</v>
      </c>
      <c r="AB471" s="5">
        <v>0</v>
      </c>
      <c r="AC471" s="5">
        <v>0</v>
      </c>
      <c r="AD471" s="5">
        <v>0</v>
      </c>
      <c r="AE471" s="10" t="s">
        <v>50</v>
      </c>
      <c r="AF471" s="10"/>
      <c r="AG471" s="10" t="s">
        <v>229</v>
      </c>
      <c r="AH471" s="10" t="s">
        <v>50</v>
      </c>
      <c r="AI471" s="5">
        <v>1</v>
      </c>
      <c r="AJ471" s="10" t="s">
        <v>50</v>
      </c>
      <c r="AK471" s="10" t="s">
        <v>50</v>
      </c>
    </row>
    <row r="472" spans="1:37" ht="36.75" customHeight="1" x14ac:dyDescent="0.35">
      <c r="A472" s="5"/>
      <c r="B472" s="5" t="s">
        <v>37</v>
      </c>
      <c r="C472" s="73" t="str">
        <f t="shared" si="7"/>
        <v>Closed</v>
      </c>
      <c r="D472" s="45" t="s">
        <v>2796</v>
      </c>
      <c r="E472" s="54" t="s">
        <v>2797</v>
      </c>
      <c r="F472" s="5" t="s">
        <v>619</v>
      </c>
      <c r="G472" s="10">
        <f>DATE(2008,5,13)</f>
        <v>39581</v>
      </c>
      <c r="H472" s="35">
        <v>1.6909722222222223</v>
      </c>
      <c r="I472" s="5" t="s">
        <v>259</v>
      </c>
      <c r="J472" s="10" t="s">
        <v>2798</v>
      </c>
      <c r="K472" s="5" t="s">
        <v>621</v>
      </c>
      <c r="L472" s="5" t="s">
        <v>2799</v>
      </c>
      <c r="M472" s="5" t="s">
        <v>45</v>
      </c>
      <c r="N472" s="5">
        <v>0</v>
      </c>
      <c r="O472" s="5" t="s">
        <v>67</v>
      </c>
      <c r="P472" s="10" t="s">
        <v>47</v>
      </c>
      <c r="Q472" s="10" t="s">
        <v>623</v>
      </c>
      <c r="R472" s="10" t="s">
        <v>624</v>
      </c>
      <c r="S472" s="5">
        <v>0</v>
      </c>
      <c r="T472" s="37">
        <v>0</v>
      </c>
      <c r="U472" s="5">
        <v>0</v>
      </c>
      <c r="V472" s="37">
        <v>0</v>
      </c>
      <c r="W472" s="5">
        <v>1</v>
      </c>
      <c r="X472" s="5">
        <v>1</v>
      </c>
      <c r="Y472" s="5">
        <v>0</v>
      </c>
      <c r="Z472" s="37">
        <v>0</v>
      </c>
      <c r="AA472" s="5">
        <v>0</v>
      </c>
      <c r="AB472" s="5">
        <v>0</v>
      </c>
      <c r="AC472" s="5">
        <v>0</v>
      </c>
      <c r="AD472" s="5">
        <v>0</v>
      </c>
      <c r="AE472" s="10" t="s">
        <v>50</v>
      </c>
      <c r="AF472" s="10"/>
      <c r="AG472" s="10" t="s">
        <v>229</v>
      </c>
      <c r="AH472" s="10" t="s">
        <v>50</v>
      </c>
      <c r="AI472" s="5">
        <v>1</v>
      </c>
      <c r="AJ472" s="10" t="s">
        <v>50</v>
      </c>
      <c r="AK472" s="10" t="s">
        <v>50</v>
      </c>
    </row>
    <row r="473" spans="1:37" ht="36.75" customHeight="1" x14ac:dyDescent="0.35">
      <c r="A473" s="5"/>
      <c r="B473" s="5" t="s">
        <v>37</v>
      </c>
      <c r="C473" s="73" t="str">
        <f t="shared" si="7"/>
        <v>Closed</v>
      </c>
      <c r="D473" s="45" t="s">
        <v>2800</v>
      </c>
      <c r="E473" s="54" t="s">
        <v>2801</v>
      </c>
      <c r="F473" s="5" t="s">
        <v>404</v>
      </c>
      <c r="G473" s="10">
        <f>DATE(2008,5,14)</f>
        <v>39582</v>
      </c>
      <c r="H473" s="35">
        <v>1.8534722222222224</v>
      </c>
      <c r="I473" s="5" t="s">
        <v>97</v>
      </c>
      <c r="J473" s="10" t="s">
        <v>2802</v>
      </c>
      <c r="K473" s="5" t="s">
        <v>406</v>
      </c>
      <c r="L473" s="5" t="s">
        <v>2803</v>
      </c>
      <c r="M473" s="5" t="s">
        <v>45</v>
      </c>
      <c r="N473" s="5">
        <v>0</v>
      </c>
      <c r="O473" s="5" t="s">
        <v>46</v>
      </c>
      <c r="P473" s="10" t="s">
        <v>60</v>
      </c>
      <c r="Q473" s="10" t="s">
        <v>2562</v>
      </c>
      <c r="R473" s="10" t="s">
        <v>408</v>
      </c>
      <c r="S473" s="5">
        <v>0</v>
      </c>
      <c r="T473" s="37">
        <v>0</v>
      </c>
      <c r="U473" s="5">
        <v>0</v>
      </c>
      <c r="V473" s="37">
        <v>0</v>
      </c>
      <c r="W473" s="5">
        <v>0</v>
      </c>
      <c r="X473" s="5">
        <v>0</v>
      </c>
      <c r="Y473" s="5">
        <v>0</v>
      </c>
      <c r="Z473" s="37">
        <v>1</v>
      </c>
      <c r="AA473" s="5">
        <v>0</v>
      </c>
      <c r="AB473" s="5">
        <v>0</v>
      </c>
      <c r="AC473" s="5">
        <v>0</v>
      </c>
      <c r="AD473" s="5">
        <v>1</v>
      </c>
      <c r="AE473" s="10" t="s">
        <v>50</v>
      </c>
      <c r="AF473" s="10"/>
      <c r="AG473" s="10" t="s">
        <v>114</v>
      </c>
      <c r="AH473" s="10" t="s">
        <v>50</v>
      </c>
      <c r="AI473" s="5">
        <v>0</v>
      </c>
      <c r="AJ473" s="10" t="s">
        <v>50</v>
      </c>
      <c r="AK473" s="10" t="s">
        <v>50</v>
      </c>
    </row>
    <row r="474" spans="1:37" ht="36.75" customHeight="1" x14ac:dyDescent="0.35">
      <c r="A474" s="5"/>
      <c r="B474" s="5" t="s">
        <v>37</v>
      </c>
      <c r="C474" s="73" t="str">
        <f t="shared" si="7"/>
        <v>Closed</v>
      </c>
      <c r="D474" s="45" t="s">
        <v>2804</v>
      </c>
      <c r="E474" s="54" t="s">
        <v>2805</v>
      </c>
      <c r="F474" s="5" t="s">
        <v>619</v>
      </c>
      <c r="G474" s="10">
        <f>DATE(2008,5,14)</f>
        <v>39582</v>
      </c>
      <c r="H474" s="35">
        <v>1.4534722222222223</v>
      </c>
      <c r="I474" s="5" t="s">
        <v>97</v>
      </c>
      <c r="J474" s="10" t="s">
        <v>2806</v>
      </c>
      <c r="K474" s="5" t="s">
        <v>621</v>
      </c>
      <c r="L474" s="5" t="s">
        <v>2807</v>
      </c>
      <c r="M474" s="5" t="s">
        <v>45</v>
      </c>
      <c r="N474" s="5">
        <v>0</v>
      </c>
      <c r="O474" s="5" t="s">
        <v>67</v>
      </c>
      <c r="P474" s="10" t="s">
        <v>282</v>
      </c>
      <c r="Q474" s="10" t="s">
        <v>1997</v>
      </c>
      <c r="R474" s="10" t="s">
        <v>624</v>
      </c>
      <c r="S474" s="5">
        <v>0</v>
      </c>
      <c r="T474" s="37">
        <v>0</v>
      </c>
      <c r="U474" s="5">
        <v>1</v>
      </c>
      <c r="V474" s="37">
        <v>0</v>
      </c>
      <c r="W474" s="5">
        <v>0</v>
      </c>
      <c r="X474" s="5">
        <v>1</v>
      </c>
      <c r="Y474" s="5">
        <v>0</v>
      </c>
      <c r="Z474" s="37">
        <v>0</v>
      </c>
      <c r="AA474" s="5">
        <v>0</v>
      </c>
      <c r="AB474" s="5">
        <v>0</v>
      </c>
      <c r="AC474" s="5">
        <v>0</v>
      </c>
      <c r="AD474" s="5">
        <v>0</v>
      </c>
      <c r="AE474" s="10" t="s">
        <v>50</v>
      </c>
      <c r="AF474" s="10"/>
      <c r="AG474" s="10" t="s">
        <v>229</v>
      </c>
      <c r="AH474" s="10" t="s">
        <v>50</v>
      </c>
      <c r="AI474" s="5">
        <v>1</v>
      </c>
      <c r="AJ474" s="10" t="s">
        <v>2808</v>
      </c>
      <c r="AK474" s="10" t="s">
        <v>50</v>
      </c>
    </row>
    <row r="475" spans="1:37" ht="36.75" customHeight="1" x14ac:dyDescent="0.35">
      <c r="A475" s="5"/>
      <c r="B475" s="5" t="s">
        <v>37</v>
      </c>
      <c r="C475" s="73" t="str">
        <f t="shared" si="7"/>
        <v>Closed</v>
      </c>
      <c r="D475" s="45" t="s">
        <v>2809</v>
      </c>
      <c r="E475" s="54" t="s">
        <v>2810</v>
      </c>
      <c r="F475" s="5" t="s">
        <v>40</v>
      </c>
      <c r="G475" s="10">
        <f>DATE(2008,5,15)</f>
        <v>39583</v>
      </c>
      <c r="H475" s="35">
        <v>1.7277777777777779</v>
      </c>
      <c r="I475" s="5" t="s">
        <v>55</v>
      </c>
      <c r="J475" s="10" t="s">
        <v>2811</v>
      </c>
      <c r="K475" s="5" t="s">
        <v>43</v>
      </c>
      <c r="L475" s="5" t="s">
        <v>2812</v>
      </c>
      <c r="M475" s="5" t="s">
        <v>45</v>
      </c>
      <c r="N475" s="5">
        <v>0</v>
      </c>
      <c r="O475" s="5" t="s">
        <v>71</v>
      </c>
      <c r="P475" s="10" t="s">
        <v>72</v>
      </c>
      <c r="Q475" s="10" t="s">
        <v>48</v>
      </c>
      <c r="R475" s="10" t="s">
        <v>2596</v>
      </c>
      <c r="S475" s="5">
        <v>0</v>
      </c>
      <c r="T475" s="37" t="s">
        <v>50</v>
      </c>
      <c r="U475" s="5">
        <v>0</v>
      </c>
      <c r="V475" s="37" t="s">
        <v>50</v>
      </c>
      <c r="W475" s="5">
        <v>0</v>
      </c>
      <c r="X475" s="5">
        <v>0</v>
      </c>
      <c r="Y475" s="5">
        <v>0</v>
      </c>
      <c r="Z475" s="37" t="s">
        <v>50</v>
      </c>
      <c r="AA475" s="5">
        <v>0</v>
      </c>
      <c r="AB475" s="5">
        <v>0</v>
      </c>
      <c r="AC475" s="5">
        <v>0</v>
      </c>
      <c r="AD475" s="5">
        <v>0</v>
      </c>
      <c r="AE475" s="10" t="s">
        <v>50</v>
      </c>
      <c r="AF475" s="10"/>
      <c r="AG475" s="10" t="s">
        <v>1399</v>
      </c>
      <c r="AH475" s="10" t="s">
        <v>50</v>
      </c>
      <c r="AI475" s="5">
        <v>0</v>
      </c>
      <c r="AJ475" s="10" t="s">
        <v>50</v>
      </c>
      <c r="AK475" s="10" t="s">
        <v>50</v>
      </c>
    </row>
    <row r="476" spans="1:37" ht="36.75" customHeight="1" x14ac:dyDescent="0.35">
      <c r="A476" s="5"/>
      <c r="B476" s="5" t="s">
        <v>37</v>
      </c>
      <c r="C476" s="73" t="str">
        <f t="shared" si="7"/>
        <v>Closed</v>
      </c>
      <c r="D476" s="45" t="s">
        <v>2813</v>
      </c>
      <c r="E476" s="54" t="s">
        <v>2814</v>
      </c>
      <c r="F476" s="5" t="s">
        <v>816</v>
      </c>
      <c r="G476" s="10">
        <f>DATE(2008,5,16)</f>
        <v>39584</v>
      </c>
      <c r="H476" s="35">
        <v>1.4048611111111111</v>
      </c>
      <c r="I476" s="5" t="s">
        <v>97</v>
      </c>
      <c r="J476" s="10" t="s">
        <v>2815</v>
      </c>
      <c r="K476" s="5" t="s">
        <v>818</v>
      </c>
      <c r="L476" s="5" t="s">
        <v>2816</v>
      </c>
      <c r="M476" s="5" t="s">
        <v>45</v>
      </c>
      <c r="N476" s="5">
        <v>0</v>
      </c>
      <c r="O476" s="5" t="s">
        <v>46</v>
      </c>
      <c r="P476" s="10" t="s">
        <v>146</v>
      </c>
      <c r="Q476" s="10" t="s">
        <v>2142</v>
      </c>
      <c r="R476" s="10" t="s">
        <v>821</v>
      </c>
      <c r="S476" s="5">
        <v>0</v>
      </c>
      <c r="T476" s="37" t="s">
        <v>50</v>
      </c>
      <c r="U476" s="5">
        <v>0</v>
      </c>
      <c r="V476" s="37" t="s">
        <v>50</v>
      </c>
      <c r="W476" s="5">
        <v>0</v>
      </c>
      <c r="X476" s="5">
        <v>0</v>
      </c>
      <c r="Y476" s="5">
        <v>0</v>
      </c>
      <c r="Z476" s="37" t="s">
        <v>50</v>
      </c>
      <c r="AA476" s="5">
        <v>0</v>
      </c>
      <c r="AB476" s="5">
        <v>0</v>
      </c>
      <c r="AC476" s="5">
        <v>0</v>
      </c>
      <c r="AD476" s="5">
        <v>0</v>
      </c>
      <c r="AE476" s="10" t="s">
        <v>50</v>
      </c>
      <c r="AF476" s="10"/>
      <c r="AG476" s="10" t="s">
        <v>333</v>
      </c>
      <c r="AH476" s="10" t="s">
        <v>50</v>
      </c>
      <c r="AI476" s="5">
        <v>1</v>
      </c>
      <c r="AJ476" s="10" t="s">
        <v>50</v>
      </c>
      <c r="AK476" s="10" t="s">
        <v>50</v>
      </c>
    </row>
    <row r="477" spans="1:37" ht="36.75" customHeight="1" x14ac:dyDescent="0.35">
      <c r="A477" s="5"/>
      <c r="B477" s="5" t="s">
        <v>37</v>
      </c>
      <c r="C477" s="73" t="str">
        <f t="shared" si="7"/>
        <v>Closed</v>
      </c>
      <c r="D477" s="45" t="s">
        <v>2817</v>
      </c>
      <c r="E477" s="54" t="s">
        <v>2818</v>
      </c>
      <c r="F477" s="5" t="s">
        <v>404</v>
      </c>
      <c r="G477" s="10">
        <f>DATE(2008,5,19)</f>
        <v>39587</v>
      </c>
      <c r="H477" s="35">
        <v>1.2</v>
      </c>
      <c r="I477" s="5" t="s">
        <v>179</v>
      </c>
      <c r="J477" s="10" t="s">
        <v>2819</v>
      </c>
      <c r="K477" s="5" t="s">
        <v>406</v>
      </c>
      <c r="L477" s="5" t="s">
        <v>2820</v>
      </c>
      <c r="M477" s="5" t="s">
        <v>45</v>
      </c>
      <c r="N477" s="5">
        <v>0</v>
      </c>
      <c r="O477" s="5" t="s">
        <v>59</v>
      </c>
      <c r="P477" s="10" t="s">
        <v>2821</v>
      </c>
      <c r="Q477" s="10" t="s">
        <v>2463</v>
      </c>
      <c r="R477" s="10" t="s">
        <v>408</v>
      </c>
      <c r="S477" s="5">
        <v>0</v>
      </c>
      <c r="T477" s="37">
        <v>1</v>
      </c>
      <c r="U477" s="5">
        <v>0</v>
      </c>
      <c r="V477" s="37">
        <v>0</v>
      </c>
      <c r="W477" s="5">
        <v>0</v>
      </c>
      <c r="X477" s="5">
        <v>1</v>
      </c>
      <c r="Y477" s="5">
        <v>0</v>
      </c>
      <c r="Z477" s="37">
        <v>0</v>
      </c>
      <c r="AA477" s="5">
        <v>0</v>
      </c>
      <c r="AB477" s="5">
        <v>0</v>
      </c>
      <c r="AC477" s="5">
        <v>0</v>
      </c>
      <c r="AD477" s="5">
        <v>0</v>
      </c>
      <c r="AE477" s="10" t="s">
        <v>50</v>
      </c>
      <c r="AF477" s="10"/>
      <c r="AG477" s="10" t="s">
        <v>64</v>
      </c>
      <c r="AH477" s="10" t="s">
        <v>50</v>
      </c>
      <c r="AI477" s="5">
        <v>7</v>
      </c>
      <c r="AJ477" s="10" t="s">
        <v>50</v>
      </c>
      <c r="AK477" s="10" t="s">
        <v>50</v>
      </c>
    </row>
    <row r="478" spans="1:37" ht="36.75" customHeight="1" x14ac:dyDescent="0.35">
      <c r="A478" s="5"/>
      <c r="B478" s="5" t="s">
        <v>37</v>
      </c>
      <c r="C478" s="73" t="str">
        <f t="shared" si="7"/>
        <v>Closed</v>
      </c>
      <c r="D478" s="45" t="s">
        <v>2822</v>
      </c>
      <c r="E478" s="54" t="s">
        <v>2823</v>
      </c>
      <c r="F478" s="5" t="s">
        <v>40</v>
      </c>
      <c r="G478" s="10">
        <f>DATE(2008,5,23)</f>
        <v>39591</v>
      </c>
      <c r="H478" s="35">
        <v>1.6354166666666665</v>
      </c>
      <c r="I478" s="5" t="s">
        <v>67</v>
      </c>
      <c r="J478" s="10" t="s">
        <v>2824</v>
      </c>
      <c r="K478" s="5" t="s">
        <v>43</v>
      </c>
      <c r="L478" s="5" t="s">
        <v>2825</v>
      </c>
      <c r="M478" s="5" t="s">
        <v>45</v>
      </c>
      <c r="N478" s="5" t="s">
        <v>123</v>
      </c>
      <c r="O478" s="5" t="s">
        <v>59</v>
      </c>
      <c r="P478" s="10" t="s">
        <v>146</v>
      </c>
      <c r="Q478" s="10" t="s">
        <v>48</v>
      </c>
      <c r="R478" s="10" t="s">
        <v>49</v>
      </c>
      <c r="S478" s="5">
        <v>0</v>
      </c>
      <c r="T478" s="37">
        <v>0</v>
      </c>
      <c r="U478" s="5">
        <v>0</v>
      </c>
      <c r="V478" s="37">
        <v>0</v>
      </c>
      <c r="W478" s="5">
        <v>0</v>
      </c>
      <c r="X478" s="5">
        <v>0</v>
      </c>
      <c r="Y478" s="5">
        <v>0</v>
      </c>
      <c r="Z478" s="37">
        <v>0</v>
      </c>
      <c r="AA478" s="5">
        <v>0</v>
      </c>
      <c r="AB478" s="5">
        <v>0</v>
      </c>
      <c r="AC478" s="5">
        <v>0</v>
      </c>
      <c r="AD478" s="5">
        <v>0</v>
      </c>
      <c r="AE478" s="10" t="s">
        <v>73</v>
      </c>
      <c r="AF478" s="10"/>
      <c r="AG478" s="10" t="s">
        <v>376</v>
      </c>
      <c r="AH478" s="10">
        <v>39681</v>
      </c>
      <c r="AI478" s="5">
        <v>2</v>
      </c>
      <c r="AJ478" s="10" t="s">
        <v>2826</v>
      </c>
      <c r="AK478" s="10" t="s">
        <v>2827</v>
      </c>
    </row>
    <row r="479" spans="1:37" ht="36.75" customHeight="1" x14ac:dyDescent="0.35">
      <c r="A479" s="5"/>
      <c r="B479" s="5" t="s">
        <v>37</v>
      </c>
      <c r="C479" s="73" t="str">
        <f t="shared" si="7"/>
        <v>Closed</v>
      </c>
      <c r="D479" s="45" t="s">
        <v>2828</v>
      </c>
      <c r="E479" s="54" t="s">
        <v>2829</v>
      </c>
      <c r="F479" s="5" t="s">
        <v>214</v>
      </c>
      <c r="G479" s="10">
        <f>DATE(2008,5,23)</f>
        <v>39591</v>
      </c>
      <c r="H479" s="35">
        <v>1.9076388888888891</v>
      </c>
      <c r="I479" s="5" t="s">
        <v>259</v>
      </c>
      <c r="J479" s="10" t="s">
        <v>2830</v>
      </c>
      <c r="K479" s="5" t="s">
        <v>216</v>
      </c>
      <c r="L479" s="5" t="s">
        <v>2831</v>
      </c>
      <c r="M479" s="5" t="s">
        <v>45</v>
      </c>
      <c r="N479" s="5">
        <v>0</v>
      </c>
      <c r="O479" s="5" t="s">
        <v>46</v>
      </c>
      <c r="P479" s="10" t="s">
        <v>146</v>
      </c>
      <c r="Q479" s="10" t="s">
        <v>1410</v>
      </c>
      <c r="R479" s="10" t="s">
        <v>219</v>
      </c>
      <c r="S479" s="5">
        <v>0</v>
      </c>
      <c r="T479" s="37">
        <v>0</v>
      </c>
      <c r="U479" s="5">
        <v>0</v>
      </c>
      <c r="V479" s="37">
        <v>0</v>
      </c>
      <c r="W479" s="5">
        <v>0</v>
      </c>
      <c r="X479" s="5">
        <v>0</v>
      </c>
      <c r="Y479" s="5">
        <v>0</v>
      </c>
      <c r="Z479" s="37">
        <v>1</v>
      </c>
      <c r="AA479" s="5">
        <v>0</v>
      </c>
      <c r="AB479" s="5">
        <v>0</v>
      </c>
      <c r="AC479" s="5">
        <v>0</v>
      </c>
      <c r="AD479" s="5">
        <v>1</v>
      </c>
      <c r="AE479" s="10" t="s">
        <v>50</v>
      </c>
      <c r="AF479" s="10"/>
      <c r="AG479" s="10" t="s">
        <v>333</v>
      </c>
      <c r="AH479" s="10" t="s">
        <v>50</v>
      </c>
      <c r="AI479" s="5">
        <v>3</v>
      </c>
      <c r="AJ479" s="10" t="s">
        <v>2832</v>
      </c>
      <c r="AK479" s="10" t="s">
        <v>2833</v>
      </c>
    </row>
    <row r="480" spans="1:37" ht="36.75" customHeight="1" x14ac:dyDescent="0.35">
      <c r="A480" s="5"/>
      <c r="B480" s="5" t="s">
        <v>37</v>
      </c>
      <c r="C480" s="73" t="str">
        <f t="shared" si="7"/>
        <v>Closed</v>
      </c>
      <c r="D480" s="45" t="s">
        <v>2834</v>
      </c>
      <c r="E480" s="54" t="s">
        <v>2835</v>
      </c>
      <c r="F480" s="5" t="s">
        <v>619</v>
      </c>
      <c r="G480" s="10">
        <f>DATE(2008,5,24)</f>
        <v>39592</v>
      </c>
      <c r="H480" s="35">
        <v>1.7000000000000002</v>
      </c>
      <c r="I480" s="5" t="s">
        <v>259</v>
      </c>
      <c r="J480" s="10" t="s">
        <v>2836</v>
      </c>
      <c r="K480" s="5" t="s">
        <v>621</v>
      </c>
      <c r="L480" s="5" t="s">
        <v>2837</v>
      </c>
      <c r="M480" s="5" t="s">
        <v>45</v>
      </c>
      <c r="N480" s="5">
        <v>0</v>
      </c>
      <c r="O480" s="5" t="s">
        <v>46</v>
      </c>
      <c r="P480" s="10" t="s">
        <v>47</v>
      </c>
      <c r="Q480" s="10" t="s">
        <v>623</v>
      </c>
      <c r="R480" s="10" t="s">
        <v>624</v>
      </c>
      <c r="S480" s="5">
        <v>0</v>
      </c>
      <c r="T480" s="37">
        <v>0</v>
      </c>
      <c r="U480" s="5">
        <v>0</v>
      </c>
      <c r="V480" s="37">
        <v>1</v>
      </c>
      <c r="W480" s="5">
        <v>0</v>
      </c>
      <c r="X480" s="5">
        <v>1</v>
      </c>
      <c r="Y480" s="5">
        <v>0</v>
      </c>
      <c r="Z480" s="37">
        <v>0</v>
      </c>
      <c r="AA480" s="5">
        <v>0</v>
      </c>
      <c r="AB480" s="5">
        <v>0</v>
      </c>
      <c r="AC480" s="5">
        <v>0</v>
      </c>
      <c r="AD480" s="5">
        <v>0</v>
      </c>
      <c r="AE480" s="10" t="s">
        <v>50</v>
      </c>
      <c r="AF480" s="10"/>
      <c r="AG480" s="10" t="s">
        <v>229</v>
      </c>
      <c r="AH480" s="10" t="s">
        <v>50</v>
      </c>
      <c r="AI480" s="5">
        <v>2</v>
      </c>
      <c r="AJ480" s="10" t="s">
        <v>50</v>
      </c>
      <c r="AK480" s="10" t="s">
        <v>50</v>
      </c>
    </row>
    <row r="481" spans="1:37" ht="36.75" customHeight="1" x14ac:dyDescent="0.35">
      <c r="A481" s="5"/>
      <c r="B481" s="5" t="s">
        <v>37</v>
      </c>
      <c r="C481" s="73" t="str">
        <f t="shared" si="7"/>
        <v>Closed</v>
      </c>
      <c r="D481" s="45" t="s">
        <v>2838</v>
      </c>
      <c r="E481" s="54" t="s">
        <v>2839</v>
      </c>
      <c r="F481" s="5" t="s">
        <v>619</v>
      </c>
      <c r="G481" s="10">
        <f>DATE(2008,5,24)</f>
        <v>39592</v>
      </c>
      <c r="H481" s="35">
        <v>1.8277777777777779</v>
      </c>
      <c r="I481" s="5" t="s">
        <v>259</v>
      </c>
      <c r="J481" s="10" t="s">
        <v>2840</v>
      </c>
      <c r="K481" s="5" t="s">
        <v>621</v>
      </c>
      <c r="L481" s="5" t="s">
        <v>2841</v>
      </c>
      <c r="M481" s="5" t="s">
        <v>45</v>
      </c>
      <c r="N481" s="5">
        <v>0</v>
      </c>
      <c r="O481" s="5" t="s">
        <v>46</v>
      </c>
      <c r="P481" s="10" t="s">
        <v>146</v>
      </c>
      <c r="Q481" s="10" t="s">
        <v>623</v>
      </c>
      <c r="R481" s="10" t="s">
        <v>624</v>
      </c>
      <c r="S481" s="5">
        <v>0</v>
      </c>
      <c r="T481" s="37">
        <v>0</v>
      </c>
      <c r="U481" s="5">
        <v>0</v>
      </c>
      <c r="V481" s="37">
        <v>1</v>
      </c>
      <c r="W481" s="5">
        <v>0</v>
      </c>
      <c r="X481" s="5">
        <v>1</v>
      </c>
      <c r="Y481" s="5">
        <v>0</v>
      </c>
      <c r="Z481" s="37">
        <v>0</v>
      </c>
      <c r="AA481" s="5">
        <v>0</v>
      </c>
      <c r="AB481" s="5">
        <v>0</v>
      </c>
      <c r="AC481" s="5">
        <v>0</v>
      </c>
      <c r="AD481" s="5">
        <v>0</v>
      </c>
      <c r="AE481" s="10" t="s">
        <v>50</v>
      </c>
      <c r="AF481" s="10"/>
      <c r="AG481" s="10" t="s">
        <v>229</v>
      </c>
      <c r="AH481" s="10" t="s">
        <v>50</v>
      </c>
      <c r="AI481" s="5">
        <v>1</v>
      </c>
      <c r="AJ481" s="10" t="s">
        <v>50</v>
      </c>
      <c r="AK481" s="10" t="s">
        <v>50</v>
      </c>
    </row>
    <row r="482" spans="1:37" ht="36.75" customHeight="1" x14ac:dyDescent="0.35">
      <c r="A482" s="5"/>
      <c r="B482" s="5" t="s">
        <v>37</v>
      </c>
      <c r="C482" s="73" t="str">
        <f t="shared" si="7"/>
        <v>Closed</v>
      </c>
      <c r="D482" s="45" t="s">
        <v>2842</v>
      </c>
      <c r="E482" s="54" t="s">
        <v>2843</v>
      </c>
      <c r="F482" s="5" t="s">
        <v>1553</v>
      </c>
      <c r="G482" s="10">
        <f>DATE(2008,5,26)</f>
        <v>39594</v>
      </c>
      <c r="H482" s="35">
        <v>1.6354166666666665</v>
      </c>
      <c r="I482" s="5" t="s">
        <v>55</v>
      </c>
      <c r="J482" s="10" t="s">
        <v>2844</v>
      </c>
      <c r="K482" s="5" t="s">
        <v>1555</v>
      </c>
      <c r="L482" s="5" t="s">
        <v>2845</v>
      </c>
      <c r="M482" s="5" t="s">
        <v>45</v>
      </c>
      <c r="N482" s="5">
        <v>0</v>
      </c>
      <c r="O482" s="5" t="s">
        <v>59</v>
      </c>
      <c r="P482" s="10" t="s">
        <v>146</v>
      </c>
      <c r="Q482" s="10" t="s">
        <v>2393</v>
      </c>
      <c r="R482" s="10">
        <v>0</v>
      </c>
      <c r="S482" s="5">
        <v>0</v>
      </c>
      <c r="T482" s="37" t="s">
        <v>50</v>
      </c>
      <c r="U482" s="5">
        <v>0</v>
      </c>
      <c r="V482" s="37" t="s">
        <v>50</v>
      </c>
      <c r="W482" s="5">
        <v>0</v>
      </c>
      <c r="X482" s="5">
        <v>0</v>
      </c>
      <c r="Y482" s="5">
        <v>0</v>
      </c>
      <c r="Z482" s="37" t="s">
        <v>50</v>
      </c>
      <c r="AA482" s="5">
        <v>0</v>
      </c>
      <c r="AB482" s="5">
        <v>0</v>
      </c>
      <c r="AC482" s="5">
        <v>0</v>
      </c>
      <c r="AD482" s="5">
        <v>0</v>
      </c>
      <c r="AE482" s="10" t="s">
        <v>50</v>
      </c>
      <c r="AF482" s="10"/>
      <c r="AG482" s="10" t="s">
        <v>1489</v>
      </c>
      <c r="AH482" s="10" t="s">
        <v>50</v>
      </c>
      <c r="AI482" s="5">
        <v>5</v>
      </c>
      <c r="AJ482" s="10" t="s">
        <v>2846</v>
      </c>
      <c r="AK482" s="10" t="s">
        <v>2847</v>
      </c>
    </row>
    <row r="483" spans="1:37" ht="36.75" customHeight="1" x14ac:dyDescent="0.35">
      <c r="A483" s="5"/>
      <c r="B483" s="5" t="s">
        <v>37</v>
      </c>
      <c r="C483" s="73" t="str">
        <f t="shared" si="7"/>
        <v>Closed</v>
      </c>
      <c r="D483" s="45" t="s">
        <v>2848</v>
      </c>
      <c r="E483" s="54" t="s">
        <v>2849</v>
      </c>
      <c r="F483" s="5" t="s">
        <v>619</v>
      </c>
      <c r="G483" s="10">
        <f>DATE(2008,5,27)</f>
        <v>39595</v>
      </c>
      <c r="H483" s="35">
        <v>1.75</v>
      </c>
      <c r="I483" s="5" t="s">
        <v>97</v>
      </c>
      <c r="J483" s="10" t="s">
        <v>2850</v>
      </c>
      <c r="K483" s="5" t="s">
        <v>621</v>
      </c>
      <c r="L483" s="5" t="s">
        <v>2851</v>
      </c>
      <c r="M483" s="5" t="s">
        <v>45</v>
      </c>
      <c r="N483" s="5">
        <v>0</v>
      </c>
      <c r="O483" s="5" t="s">
        <v>46</v>
      </c>
      <c r="P483" s="10" t="s">
        <v>146</v>
      </c>
      <c r="Q483" s="10" t="s">
        <v>623</v>
      </c>
      <c r="R483" s="10" t="s">
        <v>624</v>
      </c>
      <c r="S483" s="5">
        <v>0</v>
      </c>
      <c r="T483" s="37">
        <v>0</v>
      </c>
      <c r="U483" s="5">
        <v>1</v>
      </c>
      <c r="V483" s="37">
        <v>0</v>
      </c>
      <c r="W483" s="5">
        <v>0</v>
      </c>
      <c r="X483" s="5">
        <v>1</v>
      </c>
      <c r="Y483" s="5">
        <v>0</v>
      </c>
      <c r="Z483" s="37">
        <v>0</v>
      </c>
      <c r="AA483" s="5">
        <v>0</v>
      </c>
      <c r="AB483" s="5">
        <v>0</v>
      </c>
      <c r="AC483" s="5">
        <v>0</v>
      </c>
      <c r="AD483" s="5">
        <v>0</v>
      </c>
      <c r="AE483" s="10" t="s">
        <v>50</v>
      </c>
      <c r="AF483" s="10"/>
      <c r="AG483" s="10" t="s">
        <v>229</v>
      </c>
      <c r="AH483" s="10" t="s">
        <v>50</v>
      </c>
      <c r="AI483" s="5">
        <v>1</v>
      </c>
      <c r="AJ483" s="10" t="s">
        <v>50</v>
      </c>
      <c r="AK483" s="10" t="s">
        <v>50</v>
      </c>
    </row>
    <row r="484" spans="1:37" ht="36.75" customHeight="1" x14ac:dyDescent="0.35">
      <c r="A484" s="5"/>
      <c r="B484" s="5" t="s">
        <v>37</v>
      </c>
      <c r="C484" s="73" t="str">
        <f t="shared" si="7"/>
        <v>Closed</v>
      </c>
      <c r="D484" s="45" t="s">
        <v>2852</v>
      </c>
      <c r="E484" s="54" t="s">
        <v>2853</v>
      </c>
      <c r="F484" s="5" t="s">
        <v>214</v>
      </c>
      <c r="G484" s="10">
        <f>DATE(2008,5,28)</f>
        <v>39596</v>
      </c>
      <c r="H484" s="35">
        <v>1.8083333333333331</v>
      </c>
      <c r="I484" s="5" t="s">
        <v>67</v>
      </c>
      <c r="J484" s="10" t="s">
        <v>2854</v>
      </c>
      <c r="K484" s="5" t="s">
        <v>216</v>
      </c>
      <c r="L484" s="5" t="s">
        <v>2855</v>
      </c>
      <c r="M484" s="5" t="s">
        <v>45</v>
      </c>
      <c r="N484" s="5">
        <v>0</v>
      </c>
      <c r="O484" s="5" t="s">
        <v>46</v>
      </c>
      <c r="P484" s="10" t="s">
        <v>146</v>
      </c>
      <c r="Q484" s="10" t="s">
        <v>2856</v>
      </c>
      <c r="R484" s="10" t="s">
        <v>219</v>
      </c>
      <c r="S484" s="5">
        <v>0</v>
      </c>
      <c r="T484" s="37" t="s">
        <v>50</v>
      </c>
      <c r="U484" s="5">
        <v>0</v>
      </c>
      <c r="V484" s="37" t="s">
        <v>50</v>
      </c>
      <c r="W484" s="5">
        <v>0</v>
      </c>
      <c r="X484" s="5">
        <v>0</v>
      </c>
      <c r="Y484" s="5">
        <v>0</v>
      </c>
      <c r="Z484" s="37" t="s">
        <v>50</v>
      </c>
      <c r="AA484" s="5">
        <v>0</v>
      </c>
      <c r="AB484" s="5">
        <v>0</v>
      </c>
      <c r="AC484" s="5">
        <v>0</v>
      </c>
      <c r="AD484" s="5">
        <v>0</v>
      </c>
      <c r="AE484" s="10" t="s">
        <v>50</v>
      </c>
      <c r="AF484" s="10"/>
      <c r="AG484" s="10" t="s">
        <v>114</v>
      </c>
      <c r="AH484" s="10" t="s">
        <v>50</v>
      </c>
      <c r="AI484" s="5">
        <v>7</v>
      </c>
      <c r="AJ484" s="10" t="s">
        <v>2857</v>
      </c>
      <c r="AK484" s="10" t="s">
        <v>2858</v>
      </c>
    </row>
    <row r="485" spans="1:37" ht="36.75" customHeight="1" x14ac:dyDescent="0.35">
      <c r="A485" s="5"/>
      <c r="B485" s="5" t="s">
        <v>37</v>
      </c>
      <c r="C485" s="73" t="str">
        <f t="shared" si="7"/>
        <v>Closed</v>
      </c>
      <c r="D485" s="45" t="s">
        <v>2859</v>
      </c>
      <c r="E485" s="54" t="s">
        <v>2860</v>
      </c>
      <c r="F485" s="5" t="s">
        <v>404</v>
      </c>
      <c r="G485" s="10">
        <f>DATE(2008,6,2)</f>
        <v>39601</v>
      </c>
      <c r="H485" s="35">
        <v>1.6673611111111111</v>
      </c>
      <c r="I485" s="5" t="s">
        <v>259</v>
      </c>
      <c r="J485" s="10" t="s">
        <v>2861</v>
      </c>
      <c r="K485" s="5" t="s">
        <v>406</v>
      </c>
      <c r="L485" s="5" t="s">
        <v>2862</v>
      </c>
      <c r="M485" s="5" t="s">
        <v>236</v>
      </c>
      <c r="N485" s="5">
        <v>0</v>
      </c>
      <c r="O485" s="5" t="s">
        <v>67</v>
      </c>
      <c r="P485" s="10" t="s">
        <v>67</v>
      </c>
      <c r="Q485" s="10" t="s">
        <v>2863</v>
      </c>
      <c r="R485" s="10" t="s">
        <v>2863</v>
      </c>
      <c r="S485" s="5">
        <v>0</v>
      </c>
      <c r="T485" s="37">
        <v>0</v>
      </c>
      <c r="U485" s="5">
        <v>0</v>
      </c>
      <c r="V485" s="37">
        <v>0</v>
      </c>
      <c r="W485" s="5">
        <v>0</v>
      </c>
      <c r="X485" s="5">
        <v>0</v>
      </c>
      <c r="Y485" s="5">
        <v>1</v>
      </c>
      <c r="Z485" s="37">
        <v>0</v>
      </c>
      <c r="AA485" s="5">
        <v>0</v>
      </c>
      <c r="AB485" s="5">
        <v>0</v>
      </c>
      <c r="AC485" s="5">
        <v>0</v>
      </c>
      <c r="AD485" s="5">
        <v>1</v>
      </c>
      <c r="AE485" s="10" t="s">
        <v>50</v>
      </c>
      <c r="AF485" s="10"/>
      <c r="AG485" s="10" t="s">
        <v>114</v>
      </c>
      <c r="AH485" s="10" t="s">
        <v>50</v>
      </c>
      <c r="AI485" s="5">
        <v>5</v>
      </c>
      <c r="AJ485" s="10" t="s">
        <v>50</v>
      </c>
      <c r="AK485" s="10" t="s">
        <v>50</v>
      </c>
    </row>
    <row r="486" spans="1:37" ht="36.75" customHeight="1" x14ac:dyDescent="0.35">
      <c r="A486" s="5"/>
      <c r="B486" s="5" t="s">
        <v>37</v>
      </c>
      <c r="C486" s="73" t="str">
        <f t="shared" si="7"/>
        <v>Closed</v>
      </c>
      <c r="D486" s="45" t="s">
        <v>2864</v>
      </c>
      <c r="E486" s="54" t="s">
        <v>2865</v>
      </c>
      <c r="F486" s="5" t="s">
        <v>96</v>
      </c>
      <c r="G486" s="10">
        <f>DATE(2008,6,2)</f>
        <v>39601</v>
      </c>
      <c r="H486" s="35">
        <v>1.5694444444444444</v>
      </c>
      <c r="I486" s="5" t="s">
        <v>97</v>
      </c>
      <c r="J486" s="10" t="s">
        <v>2866</v>
      </c>
      <c r="K486" s="5" t="s">
        <v>99</v>
      </c>
      <c r="L486" s="5" t="s">
        <v>2867</v>
      </c>
      <c r="M486" s="5" t="s">
        <v>45</v>
      </c>
      <c r="N486" s="5">
        <v>0</v>
      </c>
      <c r="O486" s="5" t="s">
        <v>46</v>
      </c>
      <c r="P486" s="10" t="s">
        <v>146</v>
      </c>
      <c r="Q486" s="10" t="s">
        <v>101</v>
      </c>
      <c r="R486" s="10" t="s">
        <v>102</v>
      </c>
      <c r="S486" s="5">
        <v>0</v>
      </c>
      <c r="T486" s="37">
        <v>0</v>
      </c>
      <c r="U486" s="5">
        <v>7</v>
      </c>
      <c r="V486" s="37">
        <v>0</v>
      </c>
      <c r="W486" s="5">
        <v>0</v>
      </c>
      <c r="X486" s="5">
        <v>7</v>
      </c>
      <c r="Y486" s="5">
        <v>0</v>
      </c>
      <c r="Z486" s="37">
        <v>0</v>
      </c>
      <c r="AA486" s="5">
        <v>3</v>
      </c>
      <c r="AB486" s="5">
        <v>0</v>
      </c>
      <c r="AC486" s="5">
        <v>0</v>
      </c>
      <c r="AD486" s="5">
        <v>3</v>
      </c>
      <c r="AE486" s="10" t="s">
        <v>50</v>
      </c>
      <c r="AF486" s="10"/>
      <c r="AG486" s="10" t="s">
        <v>64</v>
      </c>
      <c r="AH486" s="10" t="s">
        <v>50</v>
      </c>
      <c r="AI486" s="5">
        <v>3</v>
      </c>
      <c r="AJ486" s="10" t="s">
        <v>2868</v>
      </c>
      <c r="AK486" s="10" t="s">
        <v>50</v>
      </c>
    </row>
    <row r="487" spans="1:37" ht="36.75" customHeight="1" x14ac:dyDescent="0.35">
      <c r="A487" s="5"/>
      <c r="B487" s="5" t="s">
        <v>37</v>
      </c>
      <c r="C487" s="73" t="str">
        <f t="shared" si="7"/>
        <v>Closed</v>
      </c>
      <c r="D487" s="45" t="s">
        <v>2869</v>
      </c>
      <c r="E487" s="54" t="s">
        <v>2870</v>
      </c>
      <c r="F487" s="5" t="s">
        <v>1730</v>
      </c>
      <c r="G487" s="10">
        <f>DATE(2008,6,3)</f>
        <v>39602</v>
      </c>
      <c r="H487" s="35">
        <v>1.7319444444444443</v>
      </c>
      <c r="I487" s="5" t="s">
        <v>97</v>
      </c>
      <c r="J487" s="10" t="s">
        <v>2871</v>
      </c>
      <c r="K487" s="5" t="s">
        <v>1732</v>
      </c>
      <c r="L487" s="5" t="s">
        <v>2872</v>
      </c>
      <c r="M487" s="5" t="s">
        <v>45</v>
      </c>
      <c r="N487" s="5">
        <v>0</v>
      </c>
      <c r="O487" s="5" t="s">
        <v>46</v>
      </c>
      <c r="P487" s="10" t="s">
        <v>67</v>
      </c>
      <c r="Q487" s="10" t="s">
        <v>1734</v>
      </c>
      <c r="R487" s="10" t="s">
        <v>1735</v>
      </c>
      <c r="S487" s="5">
        <v>0</v>
      </c>
      <c r="T487" s="37">
        <v>0</v>
      </c>
      <c r="U487" s="5">
        <v>1</v>
      </c>
      <c r="V487" s="37">
        <v>0</v>
      </c>
      <c r="W487" s="5">
        <v>0</v>
      </c>
      <c r="X487" s="5">
        <v>1</v>
      </c>
      <c r="Y487" s="5">
        <v>0</v>
      </c>
      <c r="Z487" s="37">
        <v>0</v>
      </c>
      <c r="AA487" s="5">
        <v>0</v>
      </c>
      <c r="AB487" s="5">
        <v>0</v>
      </c>
      <c r="AC487" s="5">
        <v>0</v>
      </c>
      <c r="AD487" s="5">
        <v>0</v>
      </c>
      <c r="AE487" s="10" t="s">
        <v>50</v>
      </c>
      <c r="AF487" s="10"/>
      <c r="AG487" s="10" t="s">
        <v>229</v>
      </c>
      <c r="AH487" s="10" t="s">
        <v>50</v>
      </c>
      <c r="AI487" s="5">
        <v>4</v>
      </c>
      <c r="AJ487" s="10" t="s">
        <v>2873</v>
      </c>
      <c r="AK487" s="10" t="s">
        <v>50</v>
      </c>
    </row>
    <row r="488" spans="1:37" ht="36.75" customHeight="1" x14ac:dyDescent="0.35">
      <c r="A488" s="5"/>
      <c r="B488" s="5" t="s">
        <v>37</v>
      </c>
      <c r="C488" s="73" t="str">
        <f t="shared" si="7"/>
        <v>Closed</v>
      </c>
      <c r="D488" s="45" t="s">
        <v>2874</v>
      </c>
      <c r="E488" s="54" t="s">
        <v>2875</v>
      </c>
      <c r="F488" s="5" t="s">
        <v>619</v>
      </c>
      <c r="G488" s="10">
        <f>DATE(2008,6,3)</f>
        <v>39602</v>
      </c>
      <c r="H488" s="35">
        <v>1.5270833333333333</v>
      </c>
      <c r="I488" s="5" t="s">
        <v>97</v>
      </c>
      <c r="J488" s="10" t="s">
        <v>2876</v>
      </c>
      <c r="K488" s="5" t="s">
        <v>621</v>
      </c>
      <c r="L488" s="5" t="s">
        <v>2877</v>
      </c>
      <c r="M488" s="5" t="s">
        <v>45</v>
      </c>
      <c r="N488" s="5">
        <v>0</v>
      </c>
      <c r="O488" s="5" t="s">
        <v>59</v>
      </c>
      <c r="P488" s="10" t="s">
        <v>146</v>
      </c>
      <c r="Q488" s="10" t="s">
        <v>623</v>
      </c>
      <c r="R488" s="10" t="s">
        <v>624</v>
      </c>
      <c r="S488" s="5">
        <v>0</v>
      </c>
      <c r="T488" s="37">
        <v>0</v>
      </c>
      <c r="U488" s="5">
        <v>1</v>
      </c>
      <c r="V488" s="37">
        <v>0</v>
      </c>
      <c r="W488" s="5">
        <v>0</v>
      </c>
      <c r="X488" s="5">
        <v>1</v>
      </c>
      <c r="Y488" s="5">
        <v>0</v>
      </c>
      <c r="Z488" s="37">
        <v>0</v>
      </c>
      <c r="AA488" s="5">
        <v>0</v>
      </c>
      <c r="AB488" s="5">
        <v>0</v>
      </c>
      <c r="AC488" s="5">
        <v>0</v>
      </c>
      <c r="AD488" s="5">
        <v>0</v>
      </c>
      <c r="AE488" s="10" t="s">
        <v>50</v>
      </c>
      <c r="AF488" s="10"/>
      <c r="AG488" s="10" t="s">
        <v>229</v>
      </c>
      <c r="AH488" s="10" t="s">
        <v>50</v>
      </c>
      <c r="AI488" s="5">
        <v>1</v>
      </c>
      <c r="AJ488" s="10" t="s">
        <v>50</v>
      </c>
      <c r="AK488" s="10" t="s">
        <v>50</v>
      </c>
    </row>
    <row r="489" spans="1:37" ht="36.75" customHeight="1" x14ac:dyDescent="0.35">
      <c r="A489" s="5"/>
      <c r="B489" s="5" t="s">
        <v>37</v>
      </c>
      <c r="C489" s="73" t="str">
        <f t="shared" si="7"/>
        <v>Closed</v>
      </c>
      <c r="D489" s="45" t="s">
        <v>2878</v>
      </c>
      <c r="E489" s="54" t="s">
        <v>2879</v>
      </c>
      <c r="F489" s="5" t="s">
        <v>619</v>
      </c>
      <c r="G489" s="10">
        <f>DATE(2008,6,3)</f>
        <v>39602</v>
      </c>
      <c r="H489" s="35">
        <v>1.8312499999999998</v>
      </c>
      <c r="I489" s="5" t="s">
        <v>97</v>
      </c>
      <c r="J489" s="10" t="s">
        <v>2880</v>
      </c>
      <c r="K489" s="5" t="s">
        <v>621</v>
      </c>
      <c r="L489" s="5" t="s">
        <v>2881</v>
      </c>
      <c r="M489" s="5" t="s">
        <v>45</v>
      </c>
      <c r="N489" s="5">
        <v>0</v>
      </c>
      <c r="O489" s="5" t="s">
        <v>46</v>
      </c>
      <c r="P489" s="10" t="s">
        <v>60</v>
      </c>
      <c r="Q489" s="10" t="s">
        <v>623</v>
      </c>
      <c r="R489" s="10" t="s">
        <v>624</v>
      </c>
      <c r="S489" s="5">
        <v>0</v>
      </c>
      <c r="T489" s="37">
        <v>0</v>
      </c>
      <c r="U489" s="5">
        <v>1</v>
      </c>
      <c r="V489" s="37">
        <v>0</v>
      </c>
      <c r="W489" s="5">
        <v>0</v>
      </c>
      <c r="X489" s="5">
        <v>1</v>
      </c>
      <c r="Y489" s="5">
        <v>0</v>
      </c>
      <c r="Z489" s="37">
        <v>0</v>
      </c>
      <c r="AA489" s="5">
        <v>0</v>
      </c>
      <c r="AB489" s="5">
        <v>0</v>
      </c>
      <c r="AC489" s="5">
        <v>0</v>
      </c>
      <c r="AD489" s="5">
        <v>0</v>
      </c>
      <c r="AE489" s="10" t="s">
        <v>50</v>
      </c>
      <c r="AF489" s="10"/>
      <c r="AG489" s="10" t="s">
        <v>229</v>
      </c>
      <c r="AH489" s="10" t="s">
        <v>50</v>
      </c>
      <c r="AI489" s="5">
        <v>1</v>
      </c>
      <c r="AJ489" s="10" t="s">
        <v>50</v>
      </c>
      <c r="AK489" s="10" t="s">
        <v>50</v>
      </c>
    </row>
    <row r="490" spans="1:37" ht="36.75" customHeight="1" x14ac:dyDescent="0.35">
      <c r="A490" s="5"/>
      <c r="B490" s="5" t="s">
        <v>37</v>
      </c>
      <c r="C490" s="73" t="str">
        <f t="shared" si="7"/>
        <v>Closed</v>
      </c>
      <c r="D490" s="45" t="s">
        <v>2882</v>
      </c>
      <c r="E490" s="54" t="s">
        <v>2883</v>
      </c>
      <c r="F490" s="5" t="s">
        <v>358</v>
      </c>
      <c r="G490" s="10">
        <f>DATE(2008,6,3)</f>
        <v>39602</v>
      </c>
      <c r="H490" s="35">
        <v>1.3083333333333333</v>
      </c>
      <c r="I490" s="5" t="s">
        <v>179</v>
      </c>
      <c r="J490" s="10" t="s">
        <v>2884</v>
      </c>
      <c r="K490" s="5" t="s">
        <v>360</v>
      </c>
      <c r="L490" s="5" t="s">
        <v>2885</v>
      </c>
      <c r="M490" s="5" t="s">
        <v>45</v>
      </c>
      <c r="N490" s="5">
        <v>0</v>
      </c>
      <c r="O490" s="5" t="s">
        <v>59</v>
      </c>
      <c r="P490" s="10" t="s">
        <v>362</v>
      </c>
      <c r="Q490" s="10" t="s">
        <v>2886</v>
      </c>
      <c r="R490" s="10" t="s">
        <v>363</v>
      </c>
      <c r="S490" s="5">
        <v>0</v>
      </c>
      <c r="T490" s="37" t="s">
        <v>50</v>
      </c>
      <c r="U490" s="5">
        <v>0</v>
      </c>
      <c r="V490" s="37" t="s">
        <v>50</v>
      </c>
      <c r="W490" s="5">
        <v>0</v>
      </c>
      <c r="X490" s="5">
        <v>0</v>
      </c>
      <c r="Y490" s="5">
        <v>0</v>
      </c>
      <c r="Z490" s="37" t="s">
        <v>50</v>
      </c>
      <c r="AA490" s="5">
        <v>0</v>
      </c>
      <c r="AB490" s="5">
        <v>0</v>
      </c>
      <c r="AC490" s="5">
        <v>0</v>
      </c>
      <c r="AD490" s="5">
        <v>0</v>
      </c>
      <c r="AE490" s="10" t="s">
        <v>50</v>
      </c>
      <c r="AF490" s="10"/>
      <c r="AG490" s="10" t="s">
        <v>333</v>
      </c>
      <c r="AH490" s="10" t="s">
        <v>50</v>
      </c>
      <c r="AI490" s="5">
        <v>5</v>
      </c>
      <c r="AJ490" s="10" t="s">
        <v>50</v>
      </c>
      <c r="AK490" s="10" t="s">
        <v>50</v>
      </c>
    </row>
    <row r="491" spans="1:37" ht="36.75" customHeight="1" x14ac:dyDescent="0.35">
      <c r="A491" s="5"/>
      <c r="B491" s="5" t="s">
        <v>37</v>
      </c>
      <c r="C491" s="73" t="str">
        <f t="shared" si="7"/>
        <v>Closed</v>
      </c>
      <c r="D491" s="45" t="s">
        <v>2887</v>
      </c>
      <c r="E491" s="54" t="s">
        <v>2888</v>
      </c>
      <c r="F491" s="5" t="s">
        <v>119</v>
      </c>
      <c r="G491" s="10">
        <f>DATE(2008,6,4)</f>
        <v>39603</v>
      </c>
      <c r="H491" s="35">
        <v>1.375</v>
      </c>
      <c r="I491" s="5" t="s">
        <v>55</v>
      </c>
      <c r="J491" s="10" t="s">
        <v>2889</v>
      </c>
      <c r="K491" s="5" t="s">
        <v>121</v>
      </c>
      <c r="L491" s="5" t="s">
        <v>2890</v>
      </c>
      <c r="M491" s="5" t="s">
        <v>45</v>
      </c>
      <c r="N491" s="5" t="s">
        <v>70</v>
      </c>
      <c r="O491" s="5" t="s">
        <v>46</v>
      </c>
      <c r="P491" s="10" t="s">
        <v>146</v>
      </c>
      <c r="Q491" s="10" t="s">
        <v>2015</v>
      </c>
      <c r="R491" s="10" t="s">
        <v>125</v>
      </c>
      <c r="S491" s="5">
        <v>0</v>
      </c>
      <c r="T491" s="37">
        <v>0</v>
      </c>
      <c r="U491" s="5">
        <v>0</v>
      </c>
      <c r="V491" s="37">
        <v>0</v>
      </c>
      <c r="W491" s="5">
        <v>0</v>
      </c>
      <c r="X491" s="5">
        <v>0</v>
      </c>
      <c r="Y491" s="5">
        <v>0</v>
      </c>
      <c r="Z491" s="37">
        <v>0</v>
      </c>
      <c r="AA491" s="5">
        <v>0</v>
      </c>
      <c r="AB491" s="5">
        <v>0</v>
      </c>
      <c r="AC491" s="5">
        <v>0</v>
      </c>
      <c r="AD491" s="5">
        <v>0</v>
      </c>
      <c r="AE491" s="10" t="s">
        <v>375</v>
      </c>
      <c r="AF491" s="10"/>
      <c r="AG491" s="10" t="s">
        <v>114</v>
      </c>
      <c r="AH491" s="10">
        <v>39643</v>
      </c>
      <c r="AI491" s="5">
        <v>3</v>
      </c>
      <c r="AJ491" s="10" t="s">
        <v>2891</v>
      </c>
      <c r="AK491" s="10" t="s">
        <v>2892</v>
      </c>
    </row>
    <row r="492" spans="1:37" ht="36.75" customHeight="1" x14ac:dyDescent="0.35">
      <c r="A492" s="5"/>
      <c r="B492" s="5" t="s">
        <v>37</v>
      </c>
      <c r="C492" s="73" t="str">
        <f t="shared" si="7"/>
        <v>Closed</v>
      </c>
      <c r="D492" s="45" t="s">
        <v>2893</v>
      </c>
      <c r="E492" s="54" t="s">
        <v>2894</v>
      </c>
      <c r="F492" s="5" t="s">
        <v>404</v>
      </c>
      <c r="G492" s="10">
        <f>DATE(2008,6,6)</f>
        <v>39605</v>
      </c>
      <c r="H492" s="35">
        <v>1.3145833333333332</v>
      </c>
      <c r="I492" s="5" t="s">
        <v>55</v>
      </c>
      <c r="J492" s="10" t="s">
        <v>2895</v>
      </c>
      <c r="K492" s="5" t="s">
        <v>406</v>
      </c>
      <c r="L492" s="5" t="s">
        <v>2896</v>
      </c>
      <c r="M492" s="5" t="s">
        <v>45</v>
      </c>
      <c r="N492" s="5">
        <v>0</v>
      </c>
      <c r="O492" s="5" t="s">
        <v>59</v>
      </c>
      <c r="P492" s="10" t="s">
        <v>146</v>
      </c>
      <c r="Q492" s="10" t="s">
        <v>408</v>
      </c>
      <c r="R492" s="10" t="s">
        <v>408</v>
      </c>
      <c r="S492" s="5">
        <v>0</v>
      </c>
      <c r="T492" s="37" t="s">
        <v>50</v>
      </c>
      <c r="U492" s="5">
        <v>0</v>
      </c>
      <c r="V492" s="37" t="s">
        <v>50</v>
      </c>
      <c r="W492" s="5">
        <v>0</v>
      </c>
      <c r="X492" s="5">
        <v>0</v>
      </c>
      <c r="Y492" s="5">
        <v>0</v>
      </c>
      <c r="Z492" s="37" t="s">
        <v>50</v>
      </c>
      <c r="AA492" s="5">
        <v>0</v>
      </c>
      <c r="AB492" s="5">
        <v>0</v>
      </c>
      <c r="AC492" s="5">
        <v>0</v>
      </c>
      <c r="AD492" s="5">
        <v>0</v>
      </c>
      <c r="AE492" s="10" t="s">
        <v>50</v>
      </c>
      <c r="AF492" s="10"/>
      <c r="AG492" s="10" t="s">
        <v>855</v>
      </c>
      <c r="AH492" s="10" t="s">
        <v>50</v>
      </c>
      <c r="AI492" s="5">
        <v>0</v>
      </c>
      <c r="AJ492" s="10" t="s">
        <v>50</v>
      </c>
      <c r="AK492" s="10" t="s">
        <v>50</v>
      </c>
    </row>
    <row r="493" spans="1:37" ht="36.75" customHeight="1" x14ac:dyDescent="0.35">
      <c r="A493" s="5"/>
      <c r="B493" s="5" t="s">
        <v>37</v>
      </c>
      <c r="C493" s="73" t="str">
        <f t="shared" si="7"/>
        <v>Closed</v>
      </c>
      <c r="D493" s="45" t="s">
        <v>2897</v>
      </c>
      <c r="E493" s="54" t="s">
        <v>2898</v>
      </c>
      <c r="F493" s="5" t="s">
        <v>575</v>
      </c>
      <c r="G493" s="10">
        <f>DATE(2008,6,6)</f>
        <v>39605</v>
      </c>
      <c r="H493" s="35">
        <v>1.4861111111111112</v>
      </c>
      <c r="I493" s="5" t="s">
        <v>55</v>
      </c>
      <c r="J493" s="10" t="s">
        <v>2899</v>
      </c>
      <c r="K493" s="5" t="s">
        <v>577</v>
      </c>
      <c r="L493" s="5" t="s">
        <v>2900</v>
      </c>
      <c r="M493" s="5" t="s">
        <v>45</v>
      </c>
      <c r="N493" s="5">
        <v>0</v>
      </c>
      <c r="O493" s="5" t="s">
        <v>46</v>
      </c>
      <c r="P493" s="10" t="s">
        <v>146</v>
      </c>
      <c r="Q493" s="10" t="s">
        <v>579</v>
      </c>
      <c r="R493" s="10" t="s">
        <v>580</v>
      </c>
      <c r="S493" s="5">
        <v>0</v>
      </c>
      <c r="T493" s="37">
        <v>0</v>
      </c>
      <c r="U493" s="5">
        <v>0</v>
      </c>
      <c r="V493" s="37">
        <v>0</v>
      </c>
      <c r="W493" s="5">
        <v>0</v>
      </c>
      <c r="X493" s="5">
        <v>0</v>
      </c>
      <c r="Y493" s="5">
        <v>0</v>
      </c>
      <c r="Z493" s="37">
        <v>1</v>
      </c>
      <c r="AA493" s="5">
        <v>0</v>
      </c>
      <c r="AB493" s="5">
        <v>0</v>
      </c>
      <c r="AC493" s="5">
        <v>0</v>
      </c>
      <c r="AD493" s="5">
        <v>1</v>
      </c>
      <c r="AE493" s="10" t="s">
        <v>50</v>
      </c>
      <c r="AF493" s="10"/>
      <c r="AG493" s="10" t="s">
        <v>114</v>
      </c>
      <c r="AH493" s="10" t="s">
        <v>50</v>
      </c>
      <c r="AI493" s="5">
        <v>2</v>
      </c>
      <c r="AJ493" s="10" t="s">
        <v>50</v>
      </c>
      <c r="AK493" s="10" t="s">
        <v>50</v>
      </c>
    </row>
    <row r="494" spans="1:37" ht="36.75" customHeight="1" x14ac:dyDescent="0.35">
      <c r="A494" s="5"/>
      <c r="B494" s="5" t="s">
        <v>37</v>
      </c>
      <c r="C494" s="73" t="str">
        <f t="shared" si="7"/>
        <v>Closed</v>
      </c>
      <c r="D494" s="45" t="s">
        <v>2901</v>
      </c>
      <c r="E494" s="54" t="s">
        <v>2902</v>
      </c>
      <c r="F494" s="5" t="s">
        <v>40</v>
      </c>
      <c r="G494" s="10">
        <f>DATE(2008,6,8)</f>
        <v>39607</v>
      </c>
      <c r="H494" s="35">
        <v>1.2416666666666667</v>
      </c>
      <c r="I494" s="5" t="s">
        <v>137</v>
      </c>
      <c r="J494" s="10" t="s">
        <v>2903</v>
      </c>
      <c r="K494" s="5" t="s">
        <v>43</v>
      </c>
      <c r="L494" s="5" t="s">
        <v>2904</v>
      </c>
      <c r="M494" s="5" t="s">
        <v>45</v>
      </c>
      <c r="N494" s="5" t="s">
        <v>123</v>
      </c>
      <c r="O494" s="5" t="s">
        <v>71</v>
      </c>
      <c r="P494" s="10" t="s">
        <v>362</v>
      </c>
      <c r="Q494" s="10" t="s">
        <v>48</v>
      </c>
      <c r="R494" s="10" t="s">
        <v>49</v>
      </c>
      <c r="S494" s="5">
        <v>0</v>
      </c>
      <c r="T494" s="37">
        <v>0</v>
      </c>
      <c r="U494" s="5">
        <v>0</v>
      </c>
      <c r="V494" s="37">
        <v>0</v>
      </c>
      <c r="W494" s="5">
        <v>0</v>
      </c>
      <c r="X494" s="5">
        <v>0</v>
      </c>
      <c r="Y494" s="5">
        <v>0</v>
      </c>
      <c r="Z494" s="37">
        <v>0</v>
      </c>
      <c r="AA494" s="5">
        <v>0</v>
      </c>
      <c r="AB494" s="5">
        <v>0</v>
      </c>
      <c r="AC494" s="5">
        <v>0</v>
      </c>
      <c r="AD494" s="5">
        <v>0</v>
      </c>
      <c r="AE494" s="10" t="s">
        <v>375</v>
      </c>
      <c r="AF494" s="10"/>
      <c r="AG494" s="10" t="s">
        <v>51</v>
      </c>
      <c r="AH494" s="10">
        <v>39617</v>
      </c>
      <c r="AI494" s="5">
        <v>2</v>
      </c>
      <c r="AJ494" s="10" t="s">
        <v>2905</v>
      </c>
      <c r="AK494" s="10" t="s">
        <v>2906</v>
      </c>
    </row>
    <row r="495" spans="1:37" ht="36.75" customHeight="1" x14ac:dyDescent="0.35">
      <c r="A495" s="5"/>
      <c r="B495" s="5" t="s">
        <v>37</v>
      </c>
      <c r="C495" s="73" t="str">
        <f t="shared" si="7"/>
        <v>Closed</v>
      </c>
      <c r="D495" s="45" t="s">
        <v>2907</v>
      </c>
      <c r="E495" s="54" t="s">
        <v>2908</v>
      </c>
      <c r="F495" s="5" t="s">
        <v>119</v>
      </c>
      <c r="G495" s="10">
        <f>DATE(2008,6,9)</f>
        <v>39608</v>
      </c>
      <c r="H495" s="35">
        <v>1.4444444444444444</v>
      </c>
      <c r="I495" s="5" t="s">
        <v>85</v>
      </c>
      <c r="J495" s="10" t="s">
        <v>2909</v>
      </c>
      <c r="K495" s="5" t="s">
        <v>121</v>
      </c>
      <c r="L495" s="5" t="s">
        <v>2910</v>
      </c>
      <c r="M495" s="5" t="s">
        <v>45</v>
      </c>
      <c r="N495" s="5" t="s">
        <v>123</v>
      </c>
      <c r="O495" s="5" t="s">
        <v>59</v>
      </c>
      <c r="P495" s="10" t="s">
        <v>2911</v>
      </c>
      <c r="Q495" s="10" t="s">
        <v>2912</v>
      </c>
      <c r="R495" s="10" t="s">
        <v>125</v>
      </c>
      <c r="S495" s="5">
        <v>0</v>
      </c>
      <c r="T495" s="37">
        <v>0</v>
      </c>
      <c r="U495" s="5">
        <v>0</v>
      </c>
      <c r="V495" s="37">
        <v>0</v>
      </c>
      <c r="W495" s="5">
        <v>0</v>
      </c>
      <c r="X495" s="5">
        <v>0</v>
      </c>
      <c r="Y495" s="5">
        <v>0</v>
      </c>
      <c r="Z495" s="37">
        <v>0</v>
      </c>
      <c r="AA495" s="5">
        <v>0</v>
      </c>
      <c r="AB495" s="5">
        <v>0</v>
      </c>
      <c r="AC495" s="5">
        <v>0</v>
      </c>
      <c r="AD495" s="5">
        <v>0</v>
      </c>
      <c r="AE495" s="10" t="s">
        <v>50</v>
      </c>
      <c r="AF495" s="10"/>
      <c r="AG495" s="10" t="s">
        <v>114</v>
      </c>
      <c r="AH495" s="10">
        <v>39644</v>
      </c>
      <c r="AI495" s="5">
        <v>2</v>
      </c>
      <c r="AJ495" s="10" t="s">
        <v>2913</v>
      </c>
      <c r="AK495" s="10" t="s">
        <v>2914</v>
      </c>
    </row>
    <row r="496" spans="1:37" ht="36.75" customHeight="1" x14ac:dyDescent="0.35">
      <c r="A496" s="5"/>
      <c r="B496" s="5" t="s">
        <v>37</v>
      </c>
      <c r="C496" s="73" t="str">
        <f t="shared" si="7"/>
        <v>Closed</v>
      </c>
      <c r="D496" s="45" t="s">
        <v>2915</v>
      </c>
      <c r="E496" s="54" t="s">
        <v>2916</v>
      </c>
      <c r="F496" s="5" t="s">
        <v>119</v>
      </c>
      <c r="G496" s="10">
        <f>DATE(2008,6,9)</f>
        <v>39608</v>
      </c>
      <c r="H496" s="35">
        <v>1.8125</v>
      </c>
      <c r="I496" s="5" t="s">
        <v>85</v>
      </c>
      <c r="J496" s="10" t="s">
        <v>2917</v>
      </c>
      <c r="K496" s="5" t="s">
        <v>121</v>
      </c>
      <c r="L496" s="5" t="s">
        <v>2918</v>
      </c>
      <c r="M496" s="5" t="s">
        <v>45</v>
      </c>
      <c r="N496" s="5" t="s">
        <v>80</v>
      </c>
      <c r="O496" s="5" t="s">
        <v>59</v>
      </c>
      <c r="P496" s="10" t="s">
        <v>197</v>
      </c>
      <c r="Q496" s="10" t="s">
        <v>2247</v>
      </c>
      <c r="R496" s="10" t="s">
        <v>125</v>
      </c>
      <c r="S496" s="5">
        <v>0</v>
      </c>
      <c r="T496" s="37">
        <v>0</v>
      </c>
      <c r="U496" s="5">
        <v>0</v>
      </c>
      <c r="V496" s="37">
        <v>0</v>
      </c>
      <c r="W496" s="5">
        <v>0</v>
      </c>
      <c r="X496" s="5">
        <v>0</v>
      </c>
      <c r="Y496" s="5">
        <v>0</v>
      </c>
      <c r="Z496" s="37">
        <v>0</v>
      </c>
      <c r="AA496" s="5">
        <v>0</v>
      </c>
      <c r="AB496" s="5">
        <v>0</v>
      </c>
      <c r="AC496" s="5">
        <v>0</v>
      </c>
      <c r="AD496" s="5">
        <v>0</v>
      </c>
      <c r="AE496" s="10" t="s">
        <v>73</v>
      </c>
      <c r="AF496" s="10"/>
      <c r="AG496" s="10" t="s">
        <v>114</v>
      </c>
      <c r="AH496" s="10">
        <v>39644</v>
      </c>
      <c r="AI496" s="5">
        <v>7</v>
      </c>
      <c r="AJ496" s="10" t="s">
        <v>2919</v>
      </c>
      <c r="AK496" s="10" t="s">
        <v>2920</v>
      </c>
    </row>
    <row r="497" spans="1:37" ht="36.75" customHeight="1" x14ac:dyDescent="0.35">
      <c r="A497" s="5"/>
      <c r="B497" s="5" t="s">
        <v>37</v>
      </c>
      <c r="C497" s="73" t="str">
        <f t="shared" si="7"/>
        <v>Closed</v>
      </c>
      <c r="D497" s="45" t="s">
        <v>2921</v>
      </c>
      <c r="E497" s="54" t="s">
        <v>2922</v>
      </c>
      <c r="F497" s="5" t="s">
        <v>2316</v>
      </c>
      <c r="G497" s="10">
        <f>DATE(2008,6,10)</f>
        <v>39609</v>
      </c>
      <c r="H497" s="35">
        <v>1.6659722222222222</v>
      </c>
      <c r="I497" s="5" t="s">
        <v>97</v>
      </c>
      <c r="J497" s="10" t="s">
        <v>2923</v>
      </c>
      <c r="K497" s="5" t="s">
        <v>2318</v>
      </c>
      <c r="L497" s="5" t="s">
        <v>2924</v>
      </c>
      <c r="M497" s="5" t="s">
        <v>45</v>
      </c>
      <c r="N497" s="5">
        <v>0</v>
      </c>
      <c r="O497" s="5" t="s">
        <v>46</v>
      </c>
      <c r="P497" s="10" t="s">
        <v>47</v>
      </c>
      <c r="Q497" s="10" t="s">
        <v>2925</v>
      </c>
      <c r="R497" s="10" t="s">
        <v>2321</v>
      </c>
      <c r="S497" s="5">
        <v>0</v>
      </c>
      <c r="T497" s="37">
        <v>0</v>
      </c>
      <c r="U497" s="5">
        <v>1</v>
      </c>
      <c r="V497" s="37">
        <v>0</v>
      </c>
      <c r="W497" s="5">
        <v>0</v>
      </c>
      <c r="X497" s="5">
        <v>1</v>
      </c>
      <c r="Y497" s="5">
        <v>0</v>
      </c>
      <c r="Z497" s="37">
        <v>0</v>
      </c>
      <c r="AA497" s="5">
        <v>0</v>
      </c>
      <c r="AB497" s="5">
        <v>0</v>
      </c>
      <c r="AC497" s="5">
        <v>0</v>
      </c>
      <c r="AD497" s="5">
        <v>0</v>
      </c>
      <c r="AE497" s="10" t="s">
        <v>50</v>
      </c>
      <c r="AF497" s="10"/>
      <c r="AG497" s="10" t="s">
        <v>64</v>
      </c>
      <c r="AH497" s="10" t="s">
        <v>50</v>
      </c>
      <c r="AI497" s="5">
        <v>5</v>
      </c>
      <c r="AJ497" s="10" t="s">
        <v>50</v>
      </c>
      <c r="AK497" s="10" t="s">
        <v>2926</v>
      </c>
    </row>
    <row r="498" spans="1:37" ht="36.75" customHeight="1" x14ac:dyDescent="0.35">
      <c r="A498" s="5"/>
      <c r="B498" s="5" t="s">
        <v>37</v>
      </c>
      <c r="C498" s="73" t="str">
        <f t="shared" si="7"/>
        <v>Closed</v>
      </c>
      <c r="D498" s="45" t="s">
        <v>2927</v>
      </c>
      <c r="E498" s="54" t="s">
        <v>2928</v>
      </c>
      <c r="F498" s="5" t="s">
        <v>575</v>
      </c>
      <c r="G498" s="10">
        <f>DATE(2008,6,12)</f>
        <v>39611</v>
      </c>
      <c r="H498" s="35">
        <v>1.84375</v>
      </c>
      <c r="I498" s="5" t="s">
        <v>97</v>
      </c>
      <c r="J498" s="10" t="s">
        <v>2929</v>
      </c>
      <c r="K498" s="5" t="s">
        <v>577</v>
      </c>
      <c r="L498" s="5" t="s">
        <v>2930</v>
      </c>
      <c r="M498" s="5" t="s">
        <v>45</v>
      </c>
      <c r="N498" s="5">
        <v>0</v>
      </c>
      <c r="O498" s="5" t="s">
        <v>46</v>
      </c>
      <c r="P498" s="10" t="s">
        <v>146</v>
      </c>
      <c r="Q498" s="10" t="s">
        <v>579</v>
      </c>
      <c r="R498" s="10" t="s">
        <v>580</v>
      </c>
      <c r="S498" s="5">
        <v>0</v>
      </c>
      <c r="T498" s="37">
        <v>0</v>
      </c>
      <c r="U498" s="5">
        <v>1</v>
      </c>
      <c r="V498" s="37">
        <v>0</v>
      </c>
      <c r="W498" s="5">
        <v>0</v>
      </c>
      <c r="X498" s="5">
        <v>1</v>
      </c>
      <c r="Y498" s="5">
        <v>0</v>
      </c>
      <c r="Z498" s="37">
        <v>0</v>
      </c>
      <c r="AA498" s="5">
        <v>1</v>
      </c>
      <c r="AB498" s="5">
        <v>0</v>
      </c>
      <c r="AC498" s="5">
        <v>0</v>
      </c>
      <c r="AD498" s="5">
        <v>1</v>
      </c>
      <c r="AE498" s="10" t="s">
        <v>50</v>
      </c>
      <c r="AF498" s="10"/>
      <c r="AG498" s="10" t="s">
        <v>114</v>
      </c>
      <c r="AH498" s="10" t="s">
        <v>50</v>
      </c>
      <c r="AI498" s="5">
        <v>0</v>
      </c>
      <c r="AJ498" s="10" t="s">
        <v>50</v>
      </c>
      <c r="AK498" s="10" t="s">
        <v>50</v>
      </c>
    </row>
    <row r="499" spans="1:37" ht="36.75" customHeight="1" x14ac:dyDescent="0.35">
      <c r="A499" s="5"/>
      <c r="B499" s="5" t="s">
        <v>37</v>
      </c>
      <c r="C499" s="73" t="str">
        <f t="shared" si="7"/>
        <v>Closed</v>
      </c>
      <c r="D499" s="45" t="s">
        <v>2931</v>
      </c>
      <c r="E499" s="54" t="s">
        <v>2932</v>
      </c>
      <c r="F499" s="5" t="s">
        <v>214</v>
      </c>
      <c r="G499" s="10">
        <f>DATE(2008,6,12)</f>
        <v>39611</v>
      </c>
      <c r="H499" s="35">
        <v>1.5868055555555556</v>
      </c>
      <c r="I499" s="5" t="s">
        <v>55</v>
      </c>
      <c r="J499" s="10" t="s">
        <v>2933</v>
      </c>
      <c r="K499" s="5" t="s">
        <v>216</v>
      </c>
      <c r="L499" s="5" t="s">
        <v>2934</v>
      </c>
      <c r="M499" s="5" t="s">
        <v>45</v>
      </c>
      <c r="N499" s="5">
        <v>0</v>
      </c>
      <c r="O499" s="5" t="s">
        <v>46</v>
      </c>
      <c r="P499" s="10" t="s">
        <v>60</v>
      </c>
      <c r="Q499" s="10" t="s">
        <v>415</v>
      </c>
      <c r="R499" s="10" t="s">
        <v>219</v>
      </c>
      <c r="S499" s="5">
        <v>0</v>
      </c>
      <c r="T499" s="37" t="s">
        <v>50</v>
      </c>
      <c r="U499" s="5">
        <v>0</v>
      </c>
      <c r="V499" s="37" t="s">
        <v>50</v>
      </c>
      <c r="W499" s="5">
        <v>0</v>
      </c>
      <c r="X499" s="5">
        <v>0</v>
      </c>
      <c r="Y499" s="5">
        <v>0</v>
      </c>
      <c r="Z499" s="37" t="s">
        <v>50</v>
      </c>
      <c r="AA499" s="5">
        <v>0</v>
      </c>
      <c r="AB499" s="5">
        <v>0</v>
      </c>
      <c r="AC499" s="5">
        <v>0</v>
      </c>
      <c r="AD499" s="5">
        <v>0</v>
      </c>
      <c r="AE499" s="10" t="s">
        <v>50</v>
      </c>
      <c r="AF499" s="10"/>
      <c r="AG499" s="10" t="s">
        <v>114</v>
      </c>
      <c r="AH499" s="10" t="s">
        <v>50</v>
      </c>
      <c r="AI499" s="5">
        <v>7</v>
      </c>
      <c r="AJ499" s="10" t="s">
        <v>2935</v>
      </c>
      <c r="AK499" s="10" t="s">
        <v>2936</v>
      </c>
    </row>
    <row r="500" spans="1:37" ht="36.75" customHeight="1" x14ac:dyDescent="0.35">
      <c r="A500" s="5"/>
      <c r="B500" s="5" t="s">
        <v>37</v>
      </c>
      <c r="C500" s="73" t="str">
        <f t="shared" si="7"/>
        <v>Closed</v>
      </c>
      <c r="D500" s="45" t="s">
        <v>2937</v>
      </c>
      <c r="E500" s="54" t="s">
        <v>2938</v>
      </c>
      <c r="F500" s="5" t="s">
        <v>40</v>
      </c>
      <c r="G500" s="10">
        <f>DATE(2008,6,13)</f>
        <v>39612</v>
      </c>
      <c r="H500" s="35">
        <v>1.5763888888888888</v>
      </c>
      <c r="I500" s="5" t="s">
        <v>179</v>
      </c>
      <c r="J500" s="10" t="s">
        <v>2939</v>
      </c>
      <c r="K500" s="5" t="s">
        <v>43</v>
      </c>
      <c r="L500" s="5" t="s">
        <v>2940</v>
      </c>
      <c r="M500" s="5" t="s">
        <v>236</v>
      </c>
      <c r="N500" s="5" t="s">
        <v>80</v>
      </c>
      <c r="O500" s="5" t="s">
        <v>46</v>
      </c>
      <c r="P500" s="10" t="s">
        <v>146</v>
      </c>
      <c r="Q500" s="10" t="s">
        <v>2941</v>
      </c>
      <c r="R500" s="10" t="s">
        <v>2942</v>
      </c>
      <c r="S500" s="5">
        <v>0</v>
      </c>
      <c r="T500" s="37">
        <v>0</v>
      </c>
      <c r="U500" s="5">
        <v>0</v>
      </c>
      <c r="V500" s="37">
        <v>0</v>
      </c>
      <c r="W500" s="5">
        <v>0</v>
      </c>
      <c r="X500" s="5">
        <v>0</v>
      </c>
      <c r="Y500" s="5">
        <v>2</v>
      </c>
      <c r="Z500" s="37">
        <v>0</v>
      </c>
      <c r="AA500" s="5">
        <v>0</v>
      </c>
      <c r="AB500" s="5">
        <v>0</v>
      </c>
      <c r="AC500" s="5">
        <v>0</v>
      </c>
      <c r="AD500" s="5">
        <v>2</v>
      </c>
      <c r="AE500" s="10" t="s">
        <v>73</v>
      </c>
      <c r="AF500" s="10"/>
      <c r="AG500" s="10" t="s">
        <v>348</v>
      </c>
      <c r="AH500" s="10">
        <v>39617</v>
      </c>
      <c r="AI500" s="5">
        <v>5</v>
      </c>
      <c r="AJ500" s="10" t="s">
        <v>2943</v>
      </c>
      <c r="AK500" s="10" t="s">
        <v>2944</v>
      </c>
    </row>
    <row r="501" spans="1:37" ht="36.75" customHeight="1" x14ac:dyDescent="0.35">
      <c r="A501" s="5"/>
      <c r="B501" s="5" t="s">
        <v>37</v>
      </c>
      <c r="C501" s="73" t="str">
        <f t="shared" si="7"/>
        <v>Closed</v>
      </c>
      <c r="D501" s="45" t="s">
        <v>2945</v>
      </c>
      <c r="E501" s="54" t="s">
        <v>2946</v>
      </c>
      <c r="F501" s="5" t="s">
        <v>1919</v>
      </c>
      <c r="G501" s="10">
        <f>DATE(2008,6,14)</f>
        <v>39613</v>
      </c>
      <c r="H501" s="35">
        <v>1.3958333333333333</v>
      </c>
      <c r="I501" s="5" t="s">
        <v>97</v>
      </c>
      <c r="J501" s="10" t="s">
        <v>2947</v>
      </c>
      <c r="K501" s="5" t="s">
        <v>1921</v>
      </c>
      <c r="L501" s="5" t="s">
        <v>2948</v>
      </c>
      <c r="M501" s="5" t="s">
        <v>45</v>
      </c>
      <c r="N501" s="5">
        <v>0</v>
      </c>
      <c r="O501" s="5" t="s">
        <v>46</v>
      </c>
      <c r="P501" s="10" t="s">
        <v>146</v>
      </c>
      <c r="Q501" s="10" t="s">
        <v>1923</v>
      </c>
      <c r="R501" s="10" t="s">
        <v>1923</v>
      </c>
      <c r="S501" s="5">
        <v>0</v>
      </c>
      <c r="T501" s="37" t="s">
        <v>50</v>
      </c>
      <c r="U501" s="5">
        <v>0</v>
      </c>
      <c r="V501" s="37" t="s">
        <v>50</v>
      </c>
      <c r="W501" s="5">
        <v>0</v>
      </c>
      <c r="X501" s="5">
        <v>0</v>
      </c>
      <c r="Y501" s="5">
        <v>0</v>
      </c>
      <c r="Z501" s="37" t="s">
        <v>50</v>
      </c>
      <c r="AA501" s="5">
        <v>0</v>
      </c>
      <c r="AB501" s="5">
        <v>0</v>
      </c>
      <c r="AC501" s="5">
        <v>0</v>
      </c>
      <c r="AD501" s="5">
        <v>0</v>
      </c>
      <c r="AE501" s="10" t="s">
        <v>50</v>
      </c>
      <c r="AF501" s="10"/>
      <c r="AG501" s="10" t="s">
        <v>114</v>
      </c>
      <c r="AH501" s="10" t="s">
        <v>50</v>
      </c>
      <c r="AI501" s="5">
        <v>2</v>
      </c>
      <c r="AJ501" s="10" t="s">
        <v>2949</v>
      </c>
      <c r="AK501" s="10" t="s">
        <v>2950</v>
      </c>
    </row>
    <row r="502" spans="1:37" ht="36.75" customHeight="1" x14ac:dyDescent="0.35">
      <c r="A502" s="5"/>
      <c r="B502" s="5" t="s">
        <v>37</v>
      </c>
      <c r="C502" s="73" t="str">
        <f t="shared" si="7"/>
        <v>Closed</v>
      </c>
      <c r="D502" s="45" t="s">
        <v>2951</v>
      </c>
      <c r="E502" s="54" t="s">
        <v>2952</v>
      </c>
      <c r="F502" s="5" t="s">
        <v>2316</v>
      </c>
      <c r="G502" s="10">
        <f>DATE(2008,6,16)</f>
        <v>39615</v>
      </c>
      <c r="H502" s="35">
        <v>1.0840277777777778</v>
      </c>
      <c r="I502" s="5" t="s">
        <v>55</v>
      </c>
      <c r="J502" s="10" t="s">
        <v>2953</v>
      </c>
      <c r="K502" s="5" t="s">
        <v>2318</v>
      </c>
      <c r="L502" s="5" t="s">
        <v>2954</v>
      </c>
      <c r="M502" s="5" t="s">
        <v>45</v>
      </c>
      <c r="N502" s="5">
        <v>0</v>
      </c>
      <c r="O502" s="5" t="s">
        <v>46</v>
      </c>
      <c r="P502" s="10" t="s">
        <v>60</v>
      </c>
      <c r="Q502" s="10" t="s">
        <v>2955</v>
      </c>
      <c r="R502" s="10" t="s">
        <v>2321</v>
      </c>
      <c r="S502" s="5">
        <v>0</v>
      </c>
      <c r="T502" s="37">
        <v>0</v>
      </c>
      <c r="U502" s="5">
        <v>0</v>
      </c>
      <c r="V502" s="37">
        <v>0</v>
      </c>
      <c r="W502" s="5">
        <v>0</v>
      </c>
      <c r="X502" s="5">
        <v>0</v>
      </c>
      <c r="Y502" s="5">
        <v>0</v>
      </c>
      <c r="Z502" s="37">
        <v>0</v>
      </c>
      <c r="AA502" s="5">
        <v>0</v>
      </c>
      <c r="AB502" s="5">
        <v>0</v>
      </c>
      <c r="AC502" s="5">
        <v>0</v>
      </c>
      <c r="AD502" s="5">
        <v>0</v>
      </c>
      <c r="AE502" s="10" t="s">
        <v>50</v>
      </c>
      <c r="AF502" s="10"/>
      <c r="AG502" s="10" t="s">
        <v>114</v>
      </c>
      <c r="AH502" s="10" t="s">
        <v>50</v>
      </c>
      <c r="AI502" s="5">
        <v>5</v>
      </c>
      <c r="AJ502" s="10" t="s">
        <v>50</v>
      </c>
      <c r="AK502" s="10" t="s">
        <v>693</v>
      </c>
    </row>
    <row r="503" spans="1:37" ht="36.75" customHeight="1" x14ac:dyDescent="0.35">
      <c r="A503" s="5"/>
      <c r="B503" s="5" t="s">
        <v>37</v>
      </c>
      <c r="C503" s="73" t="str">
        <f t="shared" si="7"/>
        <v>Closed</v>
      </c>
      <c r="D503" s="45" t="s">
        <v>2956</v>
      </c>
      <c r="E503" s="54" t="s">
        <v>2957</v>
      </c>
      <c r="F503" s="5" t="s">
        <v>119</v>
      </c>
      <c r="G503" s="10">
        <f>DATE(2008,6,17)</f>
        <v>39616</v>
      </c>
      <c r="H503" s="35">
        <v>1.3263888888888888</v>
      </c>
      <c r="I503" s="5" t="s">
        <v>2244</v>
      </c>
      <c r="J503" s="10" t="s">
        <v>2958</v>
      </c>
      <c r="K503" s="5" t="s">
        <v>121</v>
      </c>
      <c r="L503" s="5" t="s">
        <v>2959</v>
      </c>
      <c r="M503" s="5" t="s">
        <v>45</v>
      </c>
      <c r="N503" s="5" t="s">
        <v>80</v>
      </c>
      <c r="O503" s="5" t="s">
        <v>46</v>
      </c>
      <c r="P503" s="10" t="s">
        <v>197</v>
      </c>
      <c r="Q503" s="10" t="s">
        <v>2247</v>
      </c>
      <c r="R503" s="10" t="s">
        <v>125</v>
      </c>
      <c r="S503" s="5">
        <v>0</v>
      </c>
      <c r="T503" s="37">
        <v>0</v>
      </c>
      <c r="U503" s="5">
        <v>0</v>
      </c>
      <c r="V503" s="37">
        <v>0</v>
      </c>
      <c r="W503" s="5">
        <v>0</v>
      </c>
      <c r="X503" s="5">
        <v>0</v>
      </c>
      <c r="Y503" s="5">
        <v>0</v>
      </c>
      <c r="Z503" s="37">
        <v>0</v>
      </c>
      <c r="AA503" s="5">
        <v>0</v>
      </c>
      <c r="AB503" s="5">
        <v>0</v>
      </c>
      <c r="AC503" s="5">
        <v>0</v>
      </c>
      <c r="AD503" s="5">
        <v>0</v>
      </c>
      <c r="AE503" s="10" t="s">
        <v>50</v>
      </c>
      <c r="AF503" s="10"/>
      <c r="AG503" s="10" t="s">
        <v>114</v>
      </c>
      <c r="AH503" s="10">
        <v>39644</v>
      </c>
      <c r="AI503" s="5">
        <v>5</v>
      </c>
      <c r="AJ503" s="10" t="s">
        <v>2960</v>
      </c>
      <c r="AK503" s="10" t="s">
        <v>2961</v>
      </c>
    </row>
    <row r="504" spans="1:37" ht="36.75" customHeight="1" x14ac:dyDescent="0.35">
      <c r="A504" s="5"/>
      <c r="B504" s="5" t="s">
        <v>37</v>
      </c>
      <c r="C504" s="73" t="str">
        <f t="shared" si="7"/>
        <v>Closed</v>
      </c>
      <c r="D504" s="45" t="s">
        <v>2962</v>
      </c>
      <c r="E504" s="54" t="s">
        <v>2963</v>
      </c>
      <c r="F504" s="5" t="s">
        <v>619</v>
      </c>
      <c r="G504" s="10">
        <f>DATE(2008,6,22)</f>
        <v>39621</v>
      </c>
      <c r="H504" s="35">
        <v>1.2256944444444444</v>
      </c>
      <c r="I504" s="5" t="s">
        <v>259</v>
      </c>
      <c r="J504" s="10" t="s">
        <v>2964</v>
      </c>
      <c r="K504" s="5" t="s">
        <v>621</v>
      </c>
      <c r="L504" s="5" t="s">
        <v>2965</v>
      </c>
      <c r="M504" s="5" t="s">
        <v>45</v>
      </c>
      <c r="N504" s="5">
        <v>0</v>
      </c>
      <c r="O504" s="5" t="s">
        <v>46</v>
      </c>
      <c r="P504" s="10" t="s">
        <v>47</v>
      </c>
      <c r="Q504" s="10" t="s">
        <v>623</v>
      </c>
      <c r="R504" s="10" t="s">
        <v>624</v>
      </c>
      <c r="S504" s="5">
        <v>0</v>
      </c>
      <c r="T504" s="37">
        <v>0</v>
      </c>
      <c r="U504" s="5">
        <v>0</v>
      </c>
      <c r="V504" s="37">
        <v>1</v>
      </c>
      <c r="W504" s="5">
        <v>0</v>
      </c>
      <c r="X504" s="5">
        <v>1</v>
      </c>
      <c r="Y504" s="5">
        <v>0</v>
      </c>
      <c r="Z504" s="37">
        <v>0</v>
      </c>
      <c r="AA504" s="5">
        <v>0</v>
      </c>
      <c r="AB504" s="5">
        <v>0</v>
      </c>
      <c r="AC504" s="5">
        <v>0</v>
      </c>
      <c r="AD504" s="5">
        <v>0</v>
      </c>
      <c r="AE504" s="10" t="s">
        <v>50</v>
      </c>
      <c r="AF504" s="10"/>
      <c r="AG504" s="10" t="s">
        <v>229</v>
      </c>
      <c r="AH504" s="10" t="s">
        <v>50</v>
      </c>
      <c r="AI504" s="5">
        <v>1</v>
      </c>
      <c r="AJ504" s="10" t="s">
        <v>50</v>
      </c>
      <c r="AK504" s="10" t="s">
        <v>50</v>
      </c>
    </row>
    <row r="505" spans="1:37" ht="36.75" customHeight="1" x14ac:dyDescent="0.35">
      <c r="A505" s="5"/>
      <c r="B505" s="5" t="s">
        <v>37</v>
      </c>
      <c r="C505" s="73" t="str">
        <f t="shared" si="7"/>
        <v>Closed</v>
      </c>
      <c r="D505" s="45" t="s">
        <v>2966</v>
      </c>
      <c r="E505" s="54" t="s">
        <v>2967</v>
      </c>
      <c r="F505" s="5" t="s">
        <v>619</v>
      </c>
      <c r="G505" s="10">
        <f>DATE(2008,6,24)</f>
        <v>39623</v>
      </c>
      <c r="H505" s="35">
        <v>1.5666666666666667</v>
      </c>
      <c r="I505" s="5" t="s">
        <v>259</v>
      </c>
      <c r="J505" s="10" t="s">
        <v>2968</v>
      </c>
      <c r="K505" s="5" t="s">
        <v>621</v>
      </c>
      <c r="L505" s="5" t="s">
        <v>2969</v>
      </c>
      <c r="M505" s="5" t="s">
        <v>45</v>
      </c>
      <c r="N505" s="5">
        <v>0</v>
      </c>
      <c r="O505" s="5" t="s">
        <v>46</v>
      </c>
      <c r="P505" s="10" t="s">
        <v>146</v>
      </c>
      <c r="Q505" s="10" t="s">
        <v>623</v>
      </c>
      <c r="R505" s="10" t="s">
        <v>624</v>
      </c>
      <c r="S505" s="5">
        <v>0</v>
      </c>
      <c r="T505" s="37">
        <v>0</v>
      </c>
      <c r="U505" s="5">
        <v>0</v>
      </c>
      <c r="V505" s="37">
        <v>1</v>
      </c>
      <c r="W505" s="5">
        <v>0</v>
      </c>
      <c r="X505" s="5">
        <v>1</v>
      </c>
      <c r="Y505" s="5">
        <v>0</v>
      </c>
      <c r="Z505" s="37">
        <v>0</v>
      </c>
      <c r="AA505" s="5">
        <v>0</v>
      </c>
      <c r="AB505" s="5">
        <v>0</v>
      </c>
      <c r="AC505" s="5">
        <v>0</v>
      </c>
      <c r="AD505" s="5">
        <v>0</v>
      </c>
      <c r="AE505" s="10" t="s">
        <v>50</v>
      </c>
      <c r="AF505" s="10"/>
      <c r="AG505" s="10" t="s">
        <v>229</v>
      </c>
      <c r="AH505" s="10" t="s">
        <v>50</v>
      </c>
      <c r="AI505" s="5">
        <v>2</v>
      </c>
      <c r="AJ505" s="10" t="s">
        <v>50</v>
      </c>
      <c r="AK505" s="10" t="s">
        <v>50</v>
      </c>
    </row>
    <row r="506" spans="1:37" ht="36.75" customHeight="1" x14ac:dyDescent="0.35">
      <c r="A506" s="5"/>
      <c r="B506" s="5" t="s">
        <v>37</v>
      </c>
      <c r="C506" s="73" t="str">
        <f t="shared" si="7"/>
        <v>Closed</v>
      </c>
      <c r="D506" s="45" t="s">
        <v>2970</v>
      </c>
      <c r="E506" s="54" t="s">
        <v>2971</v>
      </c>
      <c r="F506" s="5" t="s">
        <v>96</v>
      </c>
      <c r="G506" s="10">
        <f>DATE(2008,6,24)</f>
        <v>39623</v>
      </c>
      <c r="H506" s="35">
        <v>1.5208333333333335</v>
      </c>
      <c r="I506" s="5" t="s">
        <v>106</v>
      </c>
      <c r="J506" s="10" t="s">
        <v>2972</v>
      </c>
      <c r="K506" s="5" t="s">
        <v>99</v>
      </c>
      <c r="L506" s="5" t="s">
        <v>2973</v>
      </c>
      <c r="M506" s="5" t="s">
        <v>45</v>
      </c>
      <c r="N506" s="5">
        <v>0</v>
      </c>
      <c r="O506" s="5" t="s">
        <v>46</v>
      </c>
      <c r="P506" s="10" t="s">
        <v>146</v>
      </c>
      <c r="Q506" s="10" t="s">
        <v>2974</v>
      </c>
      <c r="R506" s="10" t="s">
        <v>2975</v>
      </c>
      <c r="S506" s="5">
        <v>0</v>
      </c>
      <c r="T506" s="37" t="s">
        <v>50</v>
      </c>
      <c r="U506" s="5">
        <v>0</v>
      </c>
      <c r="V506" s="37" t="s">
        <v>50</v>
      </c>
      <c r="W506" s="5">
        <v>0</v>
      </c>
      <c r="X506" s="5">
        <v>0</v>
      </c>
      <c r="Y506" s="5">
        <v>0</v>
      </c>
      <c r="Z506" s="37" t="s">
        <v>50</v>
      </c>
      <c r="AA506" s="5">
        <v>0</v>
      </c>
      <c r="AB506" s="5">
        <v>0</v>
      </c>
      <c r="AC506" s="5">
        <v>0</v>
      </c>
      <c r="AD506" s="5">
        <v>0</v>
      </c>
      <c r="AE506" s="10" t="s">
        <v>50</v>
      </c>
      <c r="AF506" s="10"/>
      <c r="AG506" s="10" t="s">
        <v>114</v>
      </c>
      <c r="AH506" s="10" t="s">
        <v>50</v>
      </c>
      <c r="AI506" s="5">
        <v>3</v>
      </c>
      <c r="AJ506" s="10" t="s">
        <v>50</v>
      </c>
      <c r="AK506" s="10" t="s">
        <v>50</v>
      </c>
    </row>
    <row r="507" spans="1:37" ht="36.75" customHeight="1" x14ac:dyDescent="0.35">
      <c r="A507" s="5"/>
      <c r="B507" s="5" t="s">
        <v>37</v>
      </c>
      <c r="C507" s="73" t="str">
        <f t="shared" si="7"/>
        <v>Closed</v>
      </c>
      <c r="D507" s="45" t="s">
        <v>2976</v>
      </c>
      <c r="E507" s="54" t="s">
        <v>2977</v>
      </c>
      <c r="F507" s="5" t="s">
        <v>214</v>
      </c>
      <c r="G507" s="10">
        <f>DATE(2008,6,24)</f>
        <v>39623</v>
      </c>
      <c r="H507" s="35">
        <v>1.0104166666666667</v>
      </c>
      <c r="I507" s="5" t="s">
        <v>137</v>
      </c>
      <c r="J507" s="10" t="s">
        <v>2978</v>
      </c>
      <c r="K507" s="5" t="s">
        <v>216</v>
      </c>
      <c r="L507" s="5" t="s">
        <v>2979</v>
      </c>
      <c r="M507" s="5" t="s">
        <v>45</v>
      </c>
      <c r="N507" s="5">
        <v>0</v>
      </c>
      <c r="O507" s="5" t="s">
        <v>46</v>
      </c>
      <c r="P507" s="10" t="s">
        <v>146</v>
      </c>
      <c r="Q507" s="10" t="s">
        <v>1410</v>
      </c>
      <c r="R507" s="10" t="s">
        <v>219</v>
      </c>
      <c r="S507" s="5">
        <v>0</v>
      </c>
      <c r="T507" s="37" t="s">
        <v>50</v>
      </c>
      <c r="U507" s="5">
        <v>0</v>
      </c>
      <c r="V507" s="37" t="s">
        <v>50</v>
      </c>
      <c r="W507" s="5">
        <v>0</v>
      </c>
      <c r="X507" s="5">
        <v>0</v>
      </c>
      <c r="Y507" s="5">
        <v>0</v>
      </c>
      <c r="Z507" s="37" t="s">
        <v>50</v>
      </c>
      <c r="AA507" s="5">
        <v>0</v>
      </c>
      <c r="AB507" s="5">
        <v>0</v>
      </c>
      <c r="AC507" s="5">
        <v>0</v>
      </c>
      <c r="AD507" s="5">
        <v>0</v>
      </c>
      <c r="AE507" s="10" t="s">
        <v>50</v>
      </c>
      <c r="AF507" s="10"/>
      <c r="AG507" s="10" t="s">
        <v>333</v>
      </c>
      <c r="AH507" s="10" t="s">
        <v>50</v>
      </c>
      <c r="AI507" s="5">
        <v>8</v>
      </c>
      <c r="AJ507" s="10" t="s">
        <v>2980</v>
      </c>
      <c r="AK507" s="10" t="s">
        <v>2981</v>
      </c>
    </row>
    <row r="508" spans="1:37" ht="36.75" customHeight="1" x14ac:dyDescent="0.35">
      <c r="A508" s="5"/>
      <c r="B508" s="5" t="s">
        <v>37</v>
      </c>
      <c r="C508" s="73" t="str">
        <f t="shared" si="7"/>
        <v>Closed</v>
      </c>
      <c r="D508" s="45" t="s">
        <v>2982</v>
      </c>
      <c r="E508" s="54" t="s">
        <v>2983</v>
      </c>
      <c r="F508" s="5" t="s">
        <v>40</v>
      </c>
      <c r="G508" s="10">
        <f>DATE(2008,6,25)</f>
        <v>39624</v>
      </c>
      <c r="H508" s="35">
        <v>1.682638888888889</v>
      </c>
      <c r="I508" s="5" t="s">
        <v>97</v>
      </c>
      <c r="J508" s="10" t="s">
        <v>2984</v>
      </c>
      <c r="K508" s="5" t="s">
        <v>43</v>
      </c>
      <c r="L508" s="5" t="s">
        <v>2985</v>
      </c>
      <c r="M508" s="5" t="s">
        <v>45</v>
      </c>
      <c r="N508" s="5" t="s">
        <v>80</v>
      </c>
      <c r="O508" s="5" t="s">
        <v>46</v>
      </c>
      <c r="P508" s="10" t="s">
        <v>146</v>
      </c>
      <c r="Q508" s="10" t="s">
        <v>48</v>
      </c>
      <c r="R508" s="10" t="s">
        <v>49</v>
      </c>
      <c r="S508" s="5">
        <v>0</v>
      </c>
      <c r="T508" s="37">
        <v>0</v>
      </c>
      <c r="U508" s="5">
        <v>1</v>
      </c>
      <c r="V508" s="37">
        <v>0</v>
      </c>
      <c r="W508" s="5">
        <v>0</v>
      </c>
      <c r="X508" s="5">
        <v>1</v>
      </c>
      <c r="Y508" s="5">
        <v>0</v>
      </c>
      <c r="Z508" s="37">
        <v>0</v>
      </c>
      <c r="AA508" s="5">
        <v>0</v>
      </c>
      <c r="AB508" s="5">
        <v>0</v>
      </c>
      <c r="AC508" s="5">
        <v>0</v>
      </c>
      <c r="AD508" s="5">
        <v>0</v>
      </c>
      <c r="AE508" s="10" t="s">
        <v>73</v>
      </c>
      <c r="AF508" s="10"/>
      <c r="AG508" s="10" t="s">
        <v>64</v>
      </c>
      <c r="AH508" s="10">
        <v>39644</v>
      </c>
      <c r="AI508" s="5">
        <v>1</v>
      </c>
      <c r="AJ508" s="10" t="s">
        <v>2986</v>
      </c>
      <c r="AK508" s="10" t="s">
        <v>50</v>
      </c>
    </row>
    <row r="509" spans="1:37" ht="36.75" customHeight="1" x14ac:dyDescent="0.35">
      <c r="A509" s="5"/>
      <c r="B509" s="5" t="s">
        <v>37</v>
      </c>
      <c r="C509" s="73" t="str">
        <f t="shared" si="7"/>
        <v>Closed</v>
      </c>
      <c r="D509" s="45" t="s">
        <v>2987</v>
      </c>
      <c r="E509" s="54" t="s">
        <v>2988</v>
      </c>
      <c r="F509" s="5" t="s">
        <v>214</v>
      </c>
      <c r="G509" s="10">
        <f>DATE(2008,6,29)</f>
        <v>39628</v>
      </c>
      <c r="H509" s="35">
        <v>1.9652777777777777</v>
      </c>
      <c r="I509" s="5" t="s">
        <v>55</v>
      </c>
      <c r="J509" s="10" t="s">
        <v>2989</v>
      </c>
      <c r="K509" s="5" t="s">
        <v>216</v>
      </c>
      <c r="L509" s="5" t="s">
        <v>2990</v>
      </c>
      <c r="M509" s="5" t="s">
        <v>236</v>
      </c>
      <c r="N509" s="5">
        <v>0</v>
      </c>
      <c r="O509" s="5" t="s">
        <v>46</v>
      </c>
      <c r="P509" s="10" t="s">
        <v>67</v>
      </c>
      <c r="Q509" s="10" t="s">
        <v>297</v>
      </c>
      <c r="R509" s="10" t="s">
        <v>297</v>
      </c>
      <c r="S509" s="5">
        <v>0</v>
      </c>
      <c r="T509" s="37" t="s">
        <v>50</v>
      </c>
      <c r="U509" s="5">
        <v>0</v>
      </c>
      <c r="V509" s="37" t="s">
        <v>50</v>
      </c>
      <c r="W509" s="5">
        <v>0</v>
      </c>
      <c r="X509" s="5">
        <v>0</v>
      </c>
      <c r="Y509" s="5">
        <v>0</v>
      </c>
      <c r="Z509" s="37" t="s">
        <v>50</v>
      </c>
      <c r="AA509" s="5">
        <v>0</v>
      </c>
      <c r="AB509" s="5">
        <v>0</v>
      </c>
      <c r="AC509" s="5">
        <v>0</v>
      </c>
      <c r="AD509" s="5">
        <v>0</v>
      </c>
      <c r="AE509" s="10" t="s">
        <v>50</v>
      </c>
      <c r="AF509" s="10"/>
      <c r="AG509" s="10" t="s">
        <v>114</v>
      </c>
      <c r="AH509" s="10" t="s">
        <v>50</v>
      </c>
      <c r="AI509" s="5">
        <v>5</v>
      </c>
      <c r="AJ509" s="10" t="s">
        <v>2991</v>
      </c>
      <c r="AK509" s="10" t="s">
        <v>2992</v>
      </c>
    </row>
    <row r="510" spans="1:37" ht="36.75" customHeight="1" x14ac:dyDescent="0.35">
      <c r="A510" s="5"/>
      <c r="B510" s="5" t="s">
        <v>37</v>
      </c>
      <c r="C510" s="73" t="str">
        <f t="shared" si="7"/>
        <v>Closed</v>
      </c>
      <c r="D510" s="45" t="s">
        <v>2993</v>
      </c>
      <c r="E510" s="54" t="s">
        <v>2994</v>
      </c>
      <c r="F510" s="5" t="s">
        <v>619</v>
      </c>
      <c r="G510" s="10">
        <f>DATE(2008,6,30)</f>
        <v>39629</v>
      </c>
      <c r="H510" s="35">
        <v>1.879861111111111</v>
      </c>
      <c r="I510" s="5" t="s">
        <v>259</v>
      </c>
      <c r="J510" s="10" t="s">
        <v>2995</v>
      </c>
      <c r="K510" s="5" t="s">
        <v>621</v>
      </c>
      <c r="L510" s="5" t="s">
        <v>2996</v>
      </c>
      <c r="M510" s="5" t="s">
        <v>45</v>
      </c>
      <c r="N510" s="5">
        <v>0</v>
      </c>
      <c r="O510" s="5" t="s">
        <v>59</v>
      </c>
      <c r="P510" s="10" t="s">
        <v>60</v>
      </c>
      <c r="Q510" s="10" t="s">
        <v>623</v>
      </c>
      <c r="R510" s="10" t="s">
        <v>624</v>
      </c>
      <c r="S510" s="5">
        <v>0</v>
      </c>
      <c r="T510" s="37">
        <v>0</v>
      </c>
      <c r="U510" s="5">
        <v>0</v>
      </c>
      <c r="V510" s="37">
        <v>1</v>
      </c>
      <c r="W510" s="5">
        <v>0</v>
      </c>
      <c r="X510" s="5">
        <v>1</v>
      </c>
      <c r="Y510" s="5">
        <v>0</v>
      </c>
      <c r="Z510" s="37">
        <v>0</v>
      </c>
      <c r="AA510" s="5">
        <v>0</v>
      </c>
      <c r="AB510" s="5">
        <v>0</v>
      </c>
      <c r="AC510" s="5">
        <v>0</v>
      </c>
      <c r="AD510" s="5">
        <v>0</v>
      </c>
      <c r="AE510" s="10" t="s">
        <v>50</v>
      </c>
      <c r="AF510" s="10"/>
      <c r="AG510" s="10" t="s">
        <v>229</v>
      </c>
      <c r="AH510" s="10" t="s">
        <v>50</v>
      </c>
      <c r="AI510" s="5">
        <v>1</v>
      </c>
      <c r="AJ510" s="10" t="s">
        <v>50</v>
      </c>
      <c r="AK510" s="10" t="s">
        <v>50</v>
      </c>
    </row>
    <row r="511" spans="1:37" ht="36.75" customHeight="1" x14ac:dyDescent="0.35">
      <c r="A511" s="5"/>
      <c r="B511" s="5" t="s">
        <v>37</v>
      </c>
      <c r="C511" s="73" t="str">
        <f t="shared" si="7"/>
        <v>Closed</v>
      </c>
      <c r="D511" s="45" t="s">
        <v>2997</v>
      </c>
      <c r="E511" s="54" t="s">
        <v>2998</v>
      </c>
      <c r="F511" s="5" t="s">
        <v>214</v>
      </c>
      <c r="G511" s="10">
        <f>DATE(2008,7,1)</f>
        <v>39630</v>
      </c>
      <c r="H511" s="35">
        <v>1.6749999999999998</v>
      </c>
      <c r="I511" s="5" t="s">
        <v>97</v>
      </c>
      <c r="J511" s="10" t="s">
        <v>2999</v>
      </c>
      <c r="K511" s="5" t="s">
        <v>216</v>
      </c>
      <c r="L511" s="5" t="s">
        <v>3000</v>
      </c>
      <c r="M511" s="5" t="s">
        <v>45</v>
      </c>
      <c r="N511" s="5">
        <v>0</v>
      </c>
      <c r="O511" s="5" t="s">
        <v>46</v>
      </c>
      <c r="P511" s="10" t="s">
        <v>146</v>
      </c>
      <c r="Q511" s="10" t="s">
        <v>227</v>
      </c>
      <c r="R511" s="10" t="s">
        <v>219</v>
      </c>
      <c r="S511" s="5">
        <v>0</v>
      </c>
      <c r="T511" s="37" t="s">
        <v>50</v>
      </c>
      <c r="U511" s="5">
        <v>0</v>
      </c>
      <c r="V511" s="37" t="s">
        <v>50</v>
      </c>
      <c r="W511" s="5">
        <v>0</v>
      </c>
      <c r="X511" s="5">
        <v>0</v>
      </c>
      <c r="Y511" s="5">
        <v>0</v>
      </c>
      <c r="Z511" s="37" t="s">
        <v>50</v>
      </c>
      <c r="AA511" s="5">
        <v>0</v>
      </c>
      <c r="AB511" s="5">
        <v>0</v>
      </c>
      <c r="AC511" s="5">
        <v>0</v>
      </c>
      <c r="AD511" s="5">
        <v>0</v>
      </c>
      <c r="AE511" s="10" t="s">
        <v>50</v>
      </c>
      <c r="AF511" s="10"/>
      <c r="AG511" s="10" t="s">
        <v>114</v>
      </c>
      <c r="AH511" s="10" t="s">
        <v>50</v>
      </c>
      <c r="AI511" s="5">
        <v>2</v>
      </c>
      <c r="AJ511" s="10" t="s">
        <v>3001</v>
      </c>
      <c r="AK511" s="10" t="s">
        <v>3002</v>
      </c>
    </row>
    <row r="512" spans="1:37" ht="36.75" customHeight="1" x14ac:dyDescent="0.35">
      <c r="A512" s="5"/>
      <c r="B512" s="5" t="s">
        <v>37</v>
      </c>
      <c r="C512" s="73" t="str">
        <f t="shared" si="7"/>
        <v>Closed</v>
      </c>
      <c r="D512" s="45" t="s">
        <v>3003</v>
      </c>
      <c r="E512" s="54" t="s">
        <v>3004</v>
      </c>
      <c r="F512" s="5" t="s">
        <v>1751</v>
      </c>
      <c r="G512" s="10">
        <f>DATE(2008,7,3)</f>
        <v>39632</v>
      </c>
      <c r="H512" s="35">
        <v>1.2833333333333332</v>
      </c>
      <c r="I512" s="5" t="s">
        <v>179</v>
      </c>
      <c r="J512" s="10" t="s">
        <v>3005</v>
      </c>
      <c r="K512" s="5" t="s">
        <v>1753</v>
      </c>
      <c r="L512" s="5" t="s">
        <v>3006</v>
      </c>
      <c r="M512" s="5" t="s">
        <v>45</v>
      </c>
      <c r="N512" s="5" t="s">
        <v>123</v>
      </c>
      <c r="O512" s="5" t="s">
        <v>46</v>
      </c>
      <c r="P512" s="10" t="s">
        <v>197</v>
      </c>
      <c r="Q512" s="10" t="s">
        <v>1755</v>
      </c>
      <c r="R512" s="10" t="s">
        <v>1756</v>
      </c>
      <c r="S512" s="5">
        <v>0</v>
      </c>
      <c r="T512" s="37">
        <v>0</v>
      </c>
      <c r="U512" s="5">
        <v>0</v>
      </c>
      <c r="V512" s="37">
        <v>0</v>
      </c>
      <c r="W512" s="5">
        <v>0</v>
      </c>
      <c r="X512" s="5">
        <v>0</v>
      </c>
      <c r="Y512" s="5">
        <v>2</v>
      </c>
      <c r="Z512" s="37">
        <v>0</v>
      </c>
      <c r="AA512" s="5">
        <v>0</v>
      </c>
      <c r="AB512" s="5">
        <v>0</v>
      </c>
      <c r="AC512" s="5">
        <v>0</v>
      </c>
      <c r="AD512" s="5">
        <v>2</v>
      </c>
      <c r="AE512" s="10" t="s">
        <v>73</v>
      </c>
      <c r="AF512" s="10"/>
      <c r="AG512" s="10" t="s">
        <v>855</v>
      </c>
      <c r="AH512" s="10">
        <v>39633</v>
      </c>
      <c r="AI512" s="5">
        <v>4</v>
      </c>
      <c r="AJ512" s="10" t="s">
        <v>3007</v>
      </c>
      <c r="AK512" s="10" t="s">
        <v>3008</v>
      </c>
    </row>
    <row r="513" spans="1:37" ht="36.75" customHeight="1" x14ac:dyDescent="0.35">
      <c r="A513" s="5"/>
      <c r="B513" s="5" t="s">
        <v>37</v>
      </c>
      <c r="C513" s="73" t="str">
        <f t="shared" si="7"/>
        <v>Closed</v>
      </c>
      <c r="D513" s="45" t="s">
        <v>3009</v>
      </c>
      <c r="E513" s="54" t="s">
        <v>3010</v>
      </c>
      <c r="F513" s="5" t="s">
        <v>619</v>
      </c>
      <c r="G513" s="10">
        <f>DATE(2008,7,4)</f>
        <v>39633</v>
      </c>
      <c r="H513" s="35">
        <v>1.9159722222222224</v>
      </c>
      <c r="I513" s="5" t="s">
        <v>67</v>
      </c>
      <c r="J513" s="10" t="s">
        <v>3011</v>
      </c>
      <c r="K513" s="5" t="s">
        <v>621</v>
      </c>
      <c r="L513" s="5" t="s">
        <v>3012</v>
      </c>
      <c r="M513" s="5" t="s">
        <v>45</v>
      </c>
      <c r="N513" s="5">
        <v>0</v>
      </c>
      <c r="O513" s="5" t="s">
        <v>59</v>
      </c>
      <c r="P513" s="10" t="s">
        <v>197</v>
      </c>
      <c r="Q513" s="10" t="s">
        <v>3013</v>
      </c>
      <c r="R513" s="10" t="s">
        <v>624</v>
      </c>
      <c r="S513" s="5">
        <v>0</v>
      </c>
      <c r="T513" s="37" t="s">
        <v>50</v>
      </c>
      <c r="U513" s="5">
        <v>0</v>
      </c>
      <c r="V513" s="37" t="s">
        <v>50</v>
      </c>
      <c r="W513" s="5">
        <v>0</v>
      </c>
      <c r="X513" s="5">
        <v>0</v>
      </c>
      <c r="Y513" s="5">
        <v>0</v>
      </c>
      <c r="Z513" s="37" t="s">
        <v>50</v>
      </c>
      <c r="AA513" s="5">
        <v>0</v>
      </c>
      <c r="AB513" s="5">
        <v>0</v>
      </c>
      <c r="AC513" s="5">
        <v>0</v>
      </c>
      <c r="AD513" s="5">
        <v>0</v>
      </c>
      <c r="AE513" s="10" t="s">
        <v>50</v>
      </c>
      <c r="AF513" s="10"/>
      <c r="AG513" s="10" t="s">
        <v>376</v>
      </c>
      <c r="AH513" s="10" t="s">
        <v>50</v>
      </c>
      <c r="AI513" s="5">
        <v>3</v>
      </c>
      <c r="AJ513" s="10" t="s">
        <v>3014</v>
      </c>
      <c r="AK513" s="10" t="s">
        <v>3015</v>
      </c>
    </row>
    <row r="514" spans="1:37" ht="36.75" customHeight="1" x14ac:dyDescent="0.35">
      <c r="A514" s="5"/>
      <c r="B514" s="5" t="s">
        <v>37</v>
      </c>
      <c r="C514" s="73" t="str">
        <f t="shared" ref="C514:C577" si="8">IF(B514="Notification","Open",IF(B514="Interim Statement","In progress","Closed"))</f>
        <v>Closed</v>
      </c>
      <c r="D514" s="45" t="s">
        <v>3016</v>
      </c>
      <c r="E514" s="54" t="s">
        <v>3017</v>
      </c>
      <c r="F514" s="5" t="s">
        <v>619</v>
      </c>
      <c r="G514" s="10">
        <f>DATE(2008,7,5)</f>
        <v>39634</v>
      </c>
      <c r="H514" s="35">
        <v>1.4972222222222222</v>
      </c>
      <c r="I514" s="5" t="s">
        <v>55</v>
      </c>
      <c r="J514" s="10" t="s">
        <v>3018</v>
      </c>
      <c r="K514" s="5" t="s">
        <v>621</v>
      </c>
      <c r="L514" s="5" t="s">
        <v>3019</v>
      </c>
      <c r="M514" s="5" t="s">
        <v>45</v>
      </c>
      <c r="N514" s="5">
        <v>0</v>
      </c>
      <c r="O514" s="5" t="s">
        <v>59</v>
      </c>
      <c r="P514" s="10" t="s">
        <v>47</v>
      </c>
      <c r="Q514" s="10" t="s">
        <v>623</v>
      </c>
      <c r="R514" s="10" t="s">
        <v>624</v>
      </c>
      <c r="S514" s="5">
        <v>0</v>
      </c>
      <c r="T514" s="37" t="s">
        <v>50</v>
      </c>
      <c r="U514" s="5">
        <v>0</v>
      </c>
      <c r="V514" s="37" t="s">
        <v>50</v>
      </c>
      <c r="W514" s="5">
        <v>0</v>
      </c>
      <c r="X514" s="5">
        <v>0</v>
      </c>
      <c r="Y514" s="5">
        <v>0</v>
      </c>
      <c r="Z514" s="37" t="s">
        <v>50</v>
      </c>
      <c r="AA514" s="5">
        <v>0</v>
      </c>
      <c r="AB514" s="5">
        <v>0</v>
      </c>
      <c r="AC514" s="5">
        <v>0</v>
      </c>
      <c r="AD514" s="5">
        <v>0</v>
      </c>
      <c r="AE514" s="10" t="s">
        <v>50</v>
      </c>
      <c r="AF514" s="10"/>
      <c r="AG514" s="10" t="s">
        <v>333</v>
      </c>
      <c r="AH514" s="10" t="s">
        <v>50</v>
      </c>
      <c r="AI514" s="5">
        <v>1</v>
      </c>
      <c r="AJ514" s="10" t="s">
        <v>50</v>
      </c>
      <c r="AK514" s="10" t="s">
        <v>50</v>
      </c>
    </row>
    <row r="515" spans="1:37" ht="36.75" customHeight="1" x14ac:dyDescent="0.35">
      <c r="A515" s="5"/>
      <c r="B515" s="5" t="s">
        <v>37</v>
      </c>
      <c r="C515" s="73" t="str">
        <f t="shared" si="8"/>
        <v>Closed</v>
      </c>
      <c r="D515" s="45" t="s">
        <v>3020</v>
      </c>
      <c r="E515" s="54" t="s">
        <v>3021</v>
      </c>
      <c r="F515" s="5" t="s">
        <v>40</v>
      </c>
      <c r="G515" s="10">
        <f>DATE(2008,7,7)</f>
        <v>39636</v>
      </c>
      <c r="H515" s="35">
        <v>1.9451388888888888</v>
      </c>
      <c r="I515" s="5" t="s">
        <v>97</v>
      </c>
      <c r="J515" s="10" t="s">
        <v>3022</v>
      </c>
      <c r="K515" s="5" t="s">
        <v>43</v>
      </c>
      <c r="L515" s="5" t="s">
        <v>3023</v>
      </c>
      <c r="M515" s="5" t="s">
        <v>45</v>
      </c>
      <c r="N515" s="5" t="s">
        <v>80</v>
      </c>
      <c r="O515" s="5" t="s">
        <v>46</v>
      </c>
      <c r="P515" s="10" t="s">
        <v>362</v>
      </c>
      <c r="Q515" s="10" t="s">
        <v>48</v>
      </c>
      <c r="R515" s="10" t="s">
        <v>49</v>
      </c>
      <c r="S515" s="5">
        <v>0</v>
      </c>
      <c r="T515" s="37">
        <v>0</v>
      </c>
      <c r="U515" s="5">
        <v>1</v>
      </c>
      <c r="V515" s="37">
        <v>0</v>
      </c>
      <c r="W515" s="5">
        <v>0</v>
      </c>
      <c r="X515" s="5">
        <v>1</v>
      </c>
      <c r="Y515" s="5">
        <v>0</v>
      </c>
      <c r="Z515" s="37">
        <v>0</v>
      </c>
      <c r="AA515" s="5">
        <v>0</v>
      </c>
      <c r="AB515" s="5">
        <v>0</v>
      </c>
      <c r="AC515" s="5">
        <v>0</v>
      </c>
      <c r="AD515" s="5">
        <v>0</v>
      </c>
      <c r="AE515" s="10" t="s">
        <v>73</v>
      </c>
      <c r="AF515" s="10"/>
      <c r="AG515" s="10" t="s">
        <v>64</v>
      </c>
      <c r="AH515" s="10">
        <v>39638</v>
      </c>
      <c r="AI515" s="5">
        <v>2</v>
      </c>
      <c r="AJ515" s="10" t="s">
        <v>3024</v>
      </c>
      <c r="AK515" s="10" t="s">
        <v>3025</v>
      </c>
    </row>
    <row r="516" spans="1:37" ht="36.75" customHeight="1" x14ac:dyDescent="0.35">
      <c r="A516" s="5"/>
      <c r="B516" s="5" t="s">
        <v>37</v>
      </c>
      <c r="C516" s="73" t="str">
        <f t="shared" si="8"/>
        <v>Closed</v>
      </c>
      <c r="D516" s="45" t="s">
        <v>3026</v>
      </c>
      <c r="E516" s="54" t="s">
        <v>3027</v>
      </c>
      <c r="F516" s="5" t="s">
        <v>96</v>
      </c>
      <c r="G516" s="10">
        <f>DATE(2008,7,7)</f>
        <v>39636</v>
      </c>
      <c r="H516" s="35">
        <v>1.4270833333333333</v>
      </c>
      <c r="I516" s="5" t="s">
        <v>97</v>
      </c>
      <c r="J516" s="10" t="s">
        <v>3028</v>
      </c>
      <c r="K516" s="5" t="s">
        <v>99</v>
      </c>
      <c r="L516" s="5" t="s">
        <v>3029</v>
      </c>
      <c r="M516" s="5" t="s">
        <v>45</v>
      </c>
      <c r="N516" s="5">
        <v>0</v>
      </c>
      <c r="O516" s="5" t="s">
        <v>46</v>
      </c>
      <c r="P516" s="10" t="s">
        <v>197</v>
      </c>
      <c r="Q516" s="10" t="s">
        <v>3030</v>
      </c>
      <c r="R516" s="10" t="s">
        <v>102</v>
      </c>
      <c r="S516" s="5">
        <v>0</v>
      </c>
      <c r="T516" s="37" t="s">
        <v>50</v>
      </c>
      <c r="U516" s="5">
        <v>0</v>
      </c>
      <c r="V516" s="37" t="s">
        <v>50</v>
      </c>
      <c r="W516" s="5">
        <v>0</v>
      </c>
      <c r="X516" s="5">
        <v>0</v>
      </c>
      <c r="Y516" s="5">
        <v>0</v>
      </c>
      <c r="Z516" s="37" t="s">
        <v>50</v>
      </c>
      <c r="AA516" s="5">
        <v>0</v>
      </c>
      <c r="AB516" s="5">
        <v>0</v>
      </c>
      <c r="AC516" s="5">
        <v>0</v>
      </c>
      <c r="AD516" s="5">
        <v>0</v>
      </c>
      <c r="AE516" s="10" t="s">
        <v>50</v>
      </c>
      <c r="AF516" s="10"/>
      <c r="AG516" s="10" t="s">
        <v>376</v>
      </c>
      <c r="AH516" s="10" t="s">
        <v>50</v>
      </c>
      <c r="AI516" s="5">
        <v>2</v>
      </c>
      <c r="AJ516" s="10" t="s">
        <v>3031</v>
      </c>
      <c r="AK516" s="10" t="s">
        <v>50</v>
      </c>
    </row>
    <row r="517" spans="1:37" ht="36.75" customHeight="1" x14ac:dyDescent="0.35">
      <c r="A517" s="5"/>
      <c r="B517" s="5" t="s">
        <v>37</v>
      </c>
      <c r="C517" s="73" t="str">
        <f t="shared" si="8"/>
        <v>Closed</v>
      </c>
      <c r="D517" s="45" t="s">
        <v>3032</v>
      </c>
      <c r="E517" s="54" t="s">
        <v>3033</v>
      </c>
      <c r="F517" s="5" t="s">
        <v>563</v>
      </c>
      <c r="G517" s="10">
        <f>DATE(2008,7,9)</f>
        <v>39638</v>
      </c>
      <c r="H517" s="35">
        <v>1.6749999999999998</v>
      </c>
      <c r="I517" s="5" t="s">
        <v>55</v>
      </c>
      <c r="J517" s="10" t="s">
        <v>3034</v>
      </c>
      <c r="K517" s="5" t="s">
        <v>565</v>
      </c>
      <c r="L517" s="5" t="s">
        <v>3035</v>
      </c>
      <c r="M517" s="5" t="s">
        <v>45</v>
      </c>
      <c r="N517" s="5" t="s">
        <v>123</v>
      </c>
      <c r="O517" s="5" t="s">
        <v>59</v>
      </c>
      <c r="P517" s="10" t="s">
        <v>443</v>
      </c>
      <c r="Q517" s="10" t="s">
        <v>2002</v>
      </c>
      <c r="R517" s="10" t="s">
        <v>568</v>
      </c>
      <c r="S517" s="5">
        <v>0</v>
      </c>
      <c r="T517" s="37">
        <v>0</v>
      </c>
      <c r="U517" s="5">
        <v>0</v>
      </c>
      <c r="V517" s="37">
        <v>0</v>
      </c>
      <c r="W517" s="5">
        <v>0</v>
      </c>
      <c r="X517" s="5">
        <v>0</v>
      </c>
      <c r="Y517" s="5">
        <v>0</v>
      </c>
      <c r="Z517" s="37">
        <v>0</v>
      </c>
      <c r="AA517" s="5">
        <v>0</v>
      </c>
      <c r="AB517" s="5">
        <v>0</v>
      </c>
      <c r="AC517" s="5">
        <v>0</v>
      </c>
      <c r="AD517" s="5">
        <v>0</v>
      </c>
      <c r="AE517" s="10" t="s">
        <v>375</v>
      </c>
      <c r="AF517" s="10"/>
      <c r="AG517" s="10" t="s">
        <v>114</v>
      </c>
      <c r="AH517" s="10">
        <v>39665</v>
      </c>
      <c r="AI517" s="5">
        <v>1</v>
      </c>
      <c r="AJ517" s="10" t="s">
        <v>3036</v>
      </c>
      <c r="AK517" s="10" t="s">
        <v>1215</v>
      </c>
    </row>
    <row r="518" spans="1:37" ht="36.75" customHeight="1" x14ac:dyDescent="0.35">
      <c r="A518" s="5"/>
      <c r="B518" s="5" t="s">
        <v>37</v>
      </c>
      <c r="C518" s="73" t="str">
        <f t="shared" si="8"/>
        <v>Closed</v>
      </c>
      <c r="D518" s="45" t="s">
        <v>3037</v>
      </c>
      <c r="E518" s="54" t="s">
        <v>3038</v>
      </c>
      <c r="F518" s="5" t="s">
        <v>816</v>
      </c>
      <c r="G518" s="10">
        <f>DATE(2008,7,14)</f>
        <v>39643</v>
      </c>
      <c r="H518" s="35">
        <v>1.8854166666666665</v>
      </c>
      <c r="I518" s="5" t="s">
        <v>259</v>
      </c>
      <c r="J518" s="10" t="s">
        <v>3039</v>
      </c>
      <c r="K518" s="5" t="s">
        <v>818</v>
      </c>
      <c r="L518" s="5" t="s">
        <v>3040</v>
      </c>
      <c r="M518" s="5" t="s">
        <v>45</v>
      </c>
      <c r="N518" s="5">
        <v>0</v>
      </c>
      <c r="O518" s="5" t="s">
        <v>59</v>
      </c>
      <c r="P518" s="10" t="s">
        <v>72</v>
      </c>
      <c r="Q518" s="10" t="s">
        <v>3041</v>
      </c>
      <c r="R518" s="10" t="s">
        <v>821</v>
      </c>
      <c r="S518" s="5">
        <v>0</v>
      </c>
      <c r="T518" s="37">
        <v>1</v>
      </c>
      <c r="U518" s="5">
        <v>0</v>
      </c>
      <c r="V518" s="37">
        <v>0</v>
      </c>
      <c r="W518" s="5">
        <v>0</v>
      </c>
      <c r="X518" s="5">
        <v>1</v>
      </c>
      <c r="Y518" s="5">
        <v>0</v>
      </c>
      <c r="Z518" s="37">
        <v>1</v>
      </c>
      <c r="AA518" s="5">
        <v>0</v>
      </c>
      <c r="AB518" s="5">
        <v>0</v>
      </c>
      <c r="AC518" s="5">
        <v>0</v>
      </c>
      <c r="AD518" s="5">
        <v>1</v>
      </c>
      <c r="AE518" s="10" t="s">
        <v>50</v>
      </c>
      <c r="AF518" s="10"/>
      <c r="AG518" s="10" t="s">
        <v>333</v>
      </c>
      <c r="AH518" s="10" t="s">
        <v>50</v>
      </c>
      <c r="AI518" s="5">
        <v>3</v>
      </c>
      <c r="AJ518" s="10" t="s">
        <v>50</v>
      </c>
      <c r="AK518" s="10" t="s">
        <v>50</v>
      </c>
    </row>
    <row r="519" spans="1:37" ht="36.75" customHeight="1" x14ac:dyDescent="0.35">
      <c r="A519" s="5"/>
      <c r="B519" s="5" t="s">
        <v>37</v>
      </c>
      <c r="C519" s="73" t="str">
        <f t="shared" si="8"/>
        <v>Closed</v>
      </c>
      <c r="D519" s="45" t="s">
        <v>3042</v>
      </c>
      <c r="E519" s="54" t="s">
        <v>3043</v>
      </c>
      <c r="F519" s="5" t="s">
        <v>619</v>
      </c>
      <c r="G519" s="10">
        <f>DATE(2008,7,16)</f>
        <v>39645</v>
      </c>
      <c r="H519" s="35">
        <v>1.5229166666666667</v>
      </c>
      <c r="I519" s="5" t="s">
        <v>259</v>
      </c>
      <c r="J519" s="10" t="s">
        <v>3044</v>
      </c>
      <c r="K519" s="5" t="s">
        <v>621</v>
      </c>
      <c r="L519" s="5" t="s">
        <v>3045</v>
      </c>
      <c r="M519" s="5" t="s">
        <v>45</v>
      </c>
      <c r="N519" s="5">
        <v>0</v>
      </c>
      <c r="O519" s="5" t="s">
        <v>46</v>
      </c>
      <c r="P519" s="10" t="s">
        <v>47</v>
      </c>
      <c r="Q519" s="10" t="s">
        <v>623</v>
      </c>
      <c r="R519" s="10" t="s">
        <v>624</v>
      </c>
      <c r="S519" s="5">
        <v>0</v>
      </c>
      <c r="T519" s="37">
        <v>0</v>
      </c>
      <c r="U519" s="5">
        <v>0</v>
      </c>
      <c r="V519" s="37">
        <v>1</v>
      </c>
      <c r="W519" s="5">
        <v>0</v>
      </c>
      <c r="X519" s="5">
        <v>1</v>
      </c>
      <c r="Y519" s="5">
        <v>0</v>
      </c>
      <c r="Z519" s="37">
        <v>0</v>
      </c>
      <c r="AA519" s="5">
        <v>0</v>
      </c>
      <c r="AB519" s="5">
        <v>0</v>
      </c>
      <c r="AC519" s="5">
        <v>0</v>
      </c>
      <c r="AD519" s="5">
        <v>0</v>
      </c>
      <c r="AE519" s="10" t="s">
        <v>50</v>
      </c>
      <c r="AF519" s="10"/>
      <c r="AG519" s="10" t="s">
        <v>229</v>
      </c>
      <c r="AH519" s="10" t="s">
        <v>50</v>
      </c>
      <c r="AI519" s="5">
        <v>1</v>
      </c>
      <c r="AJ519" s="10" t="s">
        <v>50</v>
      </c>
      <c r="AK519" s="10" t="s">
        <v>50</v>
      </c>
    </row>
    <row r="520" spans="1:37" ht="36.75" customHeight="1" x14ac:dyDescent="0.35">
      <c r="A520" s="5"/>
      <c r="B520" s="5" t="s">
        <v>37</v>
      </c>
      <c r="C520" s="73" t="str">
        <f t="shared" si="8"/>
        <v>Closed</v>
      </c>
      <c r="D520" s="45" t="s">
        <v>3046</v>
      </c>
      <c r="E520" s="54" t="s">
        <v>3047</v>
      </c>
      <c r="F520" s="5" t="s">
        <v>816</v>
      </c>
      <c r="G520" s="10">
        <f>DATE(2008,7,22)</f>
        <v>39651</v>
      </c>
      <c r="H520" s="35">
        <v>1.65625</v>
      </c>
      <c r="I520" s="5" t="s">
        <v>55</v>
      </c>
      <c r="J520" s="10" t="s">
        <v>3048</v>
      </c>
      <c r="K520" s="5" t="s">
        <v>818</v>
      </c>
      <c r="L520" s="5" t="s">
        <v>3049</v>
      </c>
      <c r="M520" s="5" t="s">
        <v>45</v>
      </c>
      <c r="N520" s="5">
        <v>0</v>
      </c>
      <c r="O520" s="5" t="s">
        <v>59</v>
      </c>
      <c r="P520" s="10" t="s">
        <v>60</v>
      </c>
      <c r="Q520" s="10" t="s">
        <v>1331</v>
      </c>
      <c r="R520" s="10" t="s">
        <v>821</v>
      </c>
      <c r="S520" s="5">
        <v>0</v>
      </c>
      <c r="T520" s="37" t="s">
        <v>50</v>
      </c>
      <c r="U520" s="5">
        <v>0</v>
      </c>
      <c r="V520" s="37" t="s">
        <v>50</v>
      </c>
      <c r="W520" s="5">
        <v>0</v>
      </c>
      <c r="X520" s="5">
        <v>0</v>
      </c>
      <c r="Y520" s="5">
        <v>0</v>
      </c>
      <c r="Z520" s="37" t="s">
        <v>50</v>
      </c>
      <c r="AA520" s="5">
        <v>0</v>
      </c>
      <c r="AB520" s="5">
        <v>0</v>
      </c>
      <c r="AC520" s="5">
        <v>0</v>
      </c>
      <c r="AD520" s="5">
        <v>0</v>
      </c>
      <c r="AE520" s="10" t="s">
        <v>50</v>
      </c>
      <c r="AF520" s="10"/>
      <c r="AG520" s="10" t="s">
        <v>333</v>
      </c>
      <c r="AH520" s="10" t="s">
        <v>50</v>
      </c>
      <c r="AI520" s="5">
        <v>3</v>
      </c>
      <c r="AJ520" s="10" t="s">
        <v>50</v>
      </c>
      <c r="AK520" s="10" t="s">
        <v>50</v>
      </c>
    </row>
    <row r="521" spans="1:37" ht="36.75" customHeight="1" x14ac:dyDescent="0.35">
      <c r="A521" s="5"/>
      <c r="B521" s="5" t="s">
        <v>37</v>
      </c>
      <c r="C521" s="73" t="str">
        <f t="shared" si="8"/>
        <v>Closed</v>
      </c>
      <c r="D521" s="45" t="s">
        <v>3050</v>
      </c>
      <c r="E521" s="54" t="s">
        <v>3051</v>
      </c>
      <c r="F521" s="5" t="s">
        <v>105</v>
      </c>
      <c r="G521" s="10">
        <f>DATE(2008,7,25)</f>
        <v>39654</v>
      </c>
      <c r="H521" s="35">
        <v>1.5972222222222223</v>
      </c>
      <c r="I521" s="5" t="s">
        <v>55</v>
      </c>
      <c r="J521" s="10" t="s">
        <v>3052</v>
      </c>
      <c r="K521" s="5" t="s">
        <v>108</v>
      </c>
      <c r="L521" s="5" t="s">
        <v>3053</v>
      </c>
      <c r="M521" s="5" t="s">
        <v>45</v>
      </c>
      <c r="N521" s="5">
        <v>0</v>
      </c>
      <c r="O521" s="5" t="s">
        <v>46</v>
      </c>
      <c r="P521" s="10" t="s">
        <v>60</v>
      </c>
      <c r="Q521" s="10" t="s">
        <v>382</v>
      </c>
      <c r="R521" s="10" t="s">
        <v>148</v>
      </c>
      <c r="S521" s="5">
        <v>0</v>
      </c>
      <c r="T521" s="37" t="s">
        <v>50</v>
      </c>
      <c r="U521" s="5">
        <v>0</v>
      </c>
      <c r="V521" s="37" t="s">
        <v>50</v>
      </c>
      <c r="W521" s="5">
        <v>0</v>
      </c>
      <c r="X521" s="5">
        <v>0</v>
      </c>
      <c r="Y521" s="5">
        <v>0</v>
      </c>
      <c r="Z521" s="37" t="s">
        <v>50</v>
      </c>
      <c r="AA521" s="5">
        <v>0</v>
      </c>
      <c r="AB521" s="5">
        <v>0</v>
      </c>
      <c r="AC521" s="5">
        <v>0</v>
      </c>
      <c r="AD521" s="5">
        <v>0</v>
      </c>
      <c r="AE521" s="10" t="s">
        <v>50</v>
      </c>
      <c r="AF521" s="10"/>
      <c r="AG521" s="10" t="s">
        <v>114</v>
      </c>
      <c r="AH521" s="10" t="s">
        <v>50</v>
      </c>
      <c r="AI521" s="5">
        <v>2</v>
      </c>
      <c r="AJ521" s="10" t="s">
        <v>3054</v>
      </c>
      <c r="AK521" s="10" t="s">
        <v>3055</v>
      </c>
    </row>
    <row r="522" spans="1:37" ht="36.75" customHeight="1" x14ac:dyDescent="0.35">
      <c r="A522" s="5"/>
      <c r="B522" s="5" t="s">
        <v>37</v>
      </c>
      <c r="C522" s="73" t="str">
        <f t="shared" si="8"/>
        <v>Closed</v>
      </c>
      <c r="D522" s="45" t="s">
        <v>3056</v>
      </c>
      <c r="E522" s="54" t="s">
        <v>3057</v>
      </c>
      <c r="F522" s="5" t="s">
        <v>105</v>
      </c>
      <c r="G522" s="10">
        <f>DATE(2008,7,27)</f>
        <v>39656</v>
      </c>
      <c r="H522" s="35">
        <v>1.8333333333333335</v>
      </c>
      <c r="I522" s="5" t="s">
        <v>106</v>
      </c>
      <c r="J522" s="10" t="s">
        <v>3058</v>
      </c>
      <c r="K522" s="5" t="s">
        <v>108</v>
      </c>
      <c r="L522" s="5" t="s">
        <v>3059</v>
      </c>
      <c r="M522" s="5" t="s">
        <v>45</v>
      </c>
      <c r="N522" s="5">
        <v>0</v>
      </c>
      <c r="O522" s="5" t="s">
        <v>46</v>
      </c>
      <c r="P522" s="10" t="s">
        <v>146</v>
      </c>
      <c r="Q522" s="10" t="s">
        <v>210</v>
      </c>
      <c r="R522" s="10" t="s">
        <v>148</v>
      </c>
      <c r="S522" s="5">
        <v>0</v>
      </c>
      <c r="T522" s="37" t="s">
        <v>50</v>
      </c>
      <c r="U522" s="5">
        <v>0</v>
      </c>
      <c r="V522" s="37" t="s">
        <v>50</v>
      </c>
      <c r="W522" s="5">
        <v>0</v>
      </c>
      <c r="X522" s="5">
        <v>0</v>
      </c>
      <c r="Y522" s="5">
        <v>0</v>
      </c>
      <c r="Z522" s="37" t="s">
        <v>50</v>
      </c>
      <c r="AA522" s="5">
        <v>0</v>
      </c>
      <c r="AB522" s="5">
        <v>0</v>
      </c>
      <c r="AC522" s="5">
        <v>0</v>
      </c>
      <c r="AD522" s="5">
        <v>0</v>
      </c>
      <c r="AE522" s="10" t="s">
        <v>50</v>
      </c>
      <c r="AF522" s="10"/>
      <c r="AG522" s="10" t="s">
        <v>114</v>
      </c>
      <c r="AH522" s="10" t="s">
        <v>50</v>
      </c>
      <c r="AI522" s="5">
        <v>1</v>
      </c>
      <c r="AJ522" s="10" t="s">
        <v>50</v>
      </c>
      <c r="AK522" s="10" t="s">
        <v>50</v>
      </c>
    </row>
    <row r="523" spans="1:37" ht="36.75" customHeight="1" x14ac:dyDescent="0.35">
      <c r="A523" s="5"/>
      <c r="B523" s="5" t="s">
        <v>37</v>
      </c>
      <c r="C523" s="73" t="str">
        <f t="shared" si="8"/>
        <v>Closed</v>
      </c>
      <c r="D523" s="45" t="s">
        <v>3060</v>
      </c>
      <c r="E523" s="54" t="s">
        <v>3061</v>
      </c>
      <c r="F523" s="5" t="s">
        <v>214</v>
      </c>
      <c r="G523" s="10">
        <f>DATE(2008,7,27)</f>
        <v>39656</v>
      </c>
      <c r="H523" s="35">
        <v>1.4722222222222223</v>
      </c>
      <c r="I523" s="5" t="s">
        <v>259</v>
      </c>
      <c r="J523" s="10" t="s">
        <v>3062</v>
      </c>
      <c r="K523" s="5" t="s">
        <v>216</v>
      </c>
      <c r="L523" s="5" t="s">
        <v>3063</v>
      </c>
      <c r="M523" s="5" t="s">
        <v>45</v>
      </c>
      <c r="N523" s="5">
        <v>0</v>
      </c>
      <c r="O523" s="5" t="s">
        <v>46</v>
      </c>
      <c r="P523" s="10" t="s">
        <v>47</v>
      </c>
      <c r="Q523" s="10" t="s">
        <v>3064</v>
      </c>
      <c r="R523" s="10" t="s">
        <v>219</v>
      </c>
      <c r="S523" s="5">
        <v>0</v>
      </c>
      <c r="T523" s="37" t="s">
        <v>50</v>
      </c>
      <c r="U523" s="5">
        <v>0</v>
      </c>
      <c r="V523" s="37" t="s">
        <v>50</v>
      </c>
      <c r="W523" s="5">
        <v>0</v>
      </c>
      <c r="X523" s="5">
        <v>0</v>
      </c>
      <c r="Y523" s="5">
        <v>0</v>
      </c>
      <c r="Z523" s="37" t="s">
        <v>50</v>
      </c>
      <c r="AA523" s="5">
        <v>0</v>
      </c>
      <c r="AB523" s="5">
        <v>0</v>
      </c>
      <c r="AC523" s="5">
        <v>0</v>
      </c>
      <c r="AD523" s="5">
        <v>0</v>
      </c>
      <c r="AE523" s="10" t="s">
        <v>50</v>
      </c>
      <c r="AF523" s="10"/>
      <c r="AG523" s="10" t="s">
        <v>114</v>
      </c>
      <c r="AH523" s="10" t="s">
        <v>50</v>
      </c>
      <c r="AI523" s="5">
        <v>5</v>
      </c>
      <c r="AJ523" s="10" t="s">
        <v>3065</v>
      </c>
      <c r="AK523" s="10" t="s">
        <v>3066</v>
      </c>
    </row>
    <row r="524" spans="1:37" ht="36.75" customHeight="1" x14ac:dyDescent="0.35">
      <c r="A524" s="5"/>
      <c r="B524" s="5" t="s">
        <v>37</v>
      </c>
      <c r="C524" s="73" t="str">
        <f t="shared" si="8"/>
        <v>Closed</v>
      </c>
      <c r="D524" s="45" t="s">
        <v>3067</v>
      </c>
      <c r="E524" s="54" t="s">
        <v>3068</v>
      </c>
      <c r="F524" s="5" t="s">
        <v>432</v>
      </c>
      <c r="G524" s="10">
        <f>DATE(2008,7,28)</f>
        <v>39657</v>
      </c>
      <c r="H524" s="35">
        <v>1.7777777777777777</v>
      </c>
      <c r="I524" s="5" t="s">
        <v>97</v>
      </c>
      <c r="J524" s="10" t="s">
        <v>3069</v>
      </c>
      <c r="K524" s="5" t="s">
        <v>434</v>
      </c>
      <c r="L524" s="5" t="s">
        <v>3070</v>
      </c>
      <c r="M524" s="5" t="s">
        <v>45</v>
      </c>
      <c r="N524" s="5" t="s">
        <v>80</v>
      </c>
      <c r="O524" s="5" t="s">
        <v>46</v>
      </c>
      <c r="P524" s="10" t="s">
        <v>146</v>
      </c>
      <c r="Q524" s="10" t="s">
        <v>646</v>
      </c>
      <c r="R524" s="10" t="s">
        <v>553</v>
      </c>
      <c r="S524" s="5">
        <v>0</v>
      </c>
      <c r="T524" s="37">
        <v>0</v>
      </c>
      <c r="U524" s="5">
        <v>1</v>
      </c>
      <c r="V524" s="37">
        <v>0</v>
      </c>
      <c r="W524" s="5">
        <v>0</v>
      </c>
      <c r="X524" s="5">
        <v>1</v>
      </c>
      <c r="Y524" s="5">
        <v>0</v>
      </c>
      <c r="Z524" s="37">
        <v>1</v>
      </c>
      <c r="AA524" s="5">
        <v>0</v>
      </c>
      <c r="AB524" s="5">
        <v>0</v>
      </c>
      <c r="AC524" s="5">
        <v>0</v>
      </c>
      <c r="AD524" s="5">
        <v>1</v>
      </c>
      <c r="AE524" s="10" t="s">
        <v>50</v>
      </c>
      <c r="AF524" s="10"/>
      <c r="AG524" s="10" t="s">
        <v>64</v>
      </c>
      <c r="AH524" s="10" t="s">
        <v>50</v>
      </c>
      <c r="AI524" s="5">
        <v>2</v>
      </c>
      <c r="AJ524" s="10" t="s">
        <v>3071</v>
      </c>
      <c r="AK524" s="10" t="s">
        <v>50</v>
      </c>
    </row>
    <row r="525" spans="1:37" ht="36.75" customHeight="1" x14ac:dyDescent="0.35">
      <c r="A525" s="5"/>
      <c r="B525" s="5" t="s">
        <v>37</v>
      </c>
      <c r="C525" s="73" t="str">
        <f t="shared" si="8"/>
        <v>Closed</v>
      </c>
      <c r="D525" s="45" t="s">
        <v>3072</v>
      </c>
      <c r="E525" s="54" t="s">
        <v>3073</v>
      </c>
      <c r="F525" s="5" t="s">
        <v>119</v>
      </c>
      <c r="G525" s="10">
        <f>DATE(2008,7,29)</f>
        <v>39658</v>
      </c>
      <c r="H525" s="35">
        <v>1.7777777777777777</v>
      </c>
      <c r="I525" s="5" t="s">
        <v>41</v>
      </c>
      <c r="J525" s="10" t="s">
        <v>3074</v>
      </c>
      <c r="K525" s="5" t="s">
        <v>121</v>
      </c>
      <c r="L525" s="5" t="s">
        <v>3075</v>
      </c>
      <c r="M525" s="5" t="s">
        <v>45</v>
      </c>
      <c r="N525" s="5" t="s">
        <v>70</v>
      </c>
      <c r="O525" s="5" t="s">
        <v>59</v>
      </c>
      <c r="P525" s="10" t="s">
        <v>3076</v>
      </c>
      <c r="Q525" s="10" t="s">
        <v>2912</v>
      </c>
      <c r="R525" s="10" t="s">
        <v>125</v>
      </c>
      <c r="S525" s="5">
        <v>0</v>
      </c>
      <c r="T525" s="37">
        <v>0</v>
      </c>
      <c r="U525" s="5">
        <v>0</v>
      </c>
      <c r="V525" s="37">
        <v>0</v>
      </c>
      <c r="W525" s="5">
        <v>0</v>
      </c>
      <c r="X525" s="5">
        <v>0</v>
      </c>
      <c r="Y525" s="5">
        <v>0</v>
      </c>
      <c r="Z525" s="37">
        <v>0</v>
      </c>
      <c r="AA525" s="5">
        <v>0</v>
      </c>
      <c r="AB525" s="5">
        <v>0</v>
      </c>
      <c r="AC525" s="5">
        <v>0</v>
      </c>
      <c r="AD525" s="5">
        <v>0</v>
      </c>
      <c r="AE525" s="10" t="s">
        <v>50</v>
      </c>
      <c r="AF525" s="10"/>
      <c r="AG525" s="10" t="s">
        <v>114</v>
      </c>
      <c r="AH525" s="10">
        <v>39722</v>
      </c>
      <c r="AI525" s="5">
        <v>3</v>
      </c>
      <c r="AJ525" s="10" t="s">
        <v>3077</v>
      </c>
      <c r="AK525" s="10" t="s">
        <v>3078</v>
      </c>
    </row>
    <row r="526" spans="1:37" ht="36.75" customHeight="1" x14ac:dyDescent="0.35">
      <c r="A526" s="5"/>
      <c r="B526" s="5" t="s">
        <v>37</v>
      </c>
      <c r="C526" s="73" t="str">
        <f t="shared" si="8"/>
        <v>Closed</v>
      </c>
      <c r="D526" s="45" t="s">
        <v>3079</v>
      </c>
      <c r="E526" s="54" t="s">
        <v>3080</v>
      </c>
      <c r="F526" s="5" t="s">
        <v>404</v>
      </c>
      <c r="G526" s="10">
        <f>DATE(2008,7,30)</f>
        <v>39659</v>
      </c>
      <c r="H526" s="35">
        <v>1.9368055555555554</v>
      </c>
      <c r="I526" s="5" t="s">
        <v>106</v>
      </c>
      <c r="J526" s="10" t="s">
        <v>3081</v>
      </c>
      <c r="K526" s="5" t="s">
        <v>406</v>
      </c>
      <c r="L526" s="5" t="s">
        <v>3082</v>
      </c>
      <c r="M526" s="5" t="s">
        <v>45</v>
      </c>
      <c r="N526" s="5">
        <v>0</v>
      </c>
      <c r="O526" s="5" t="s">
        <v>46</v>
      </c>
      <c r="P526" s="10" t="s">
        <v>47</v>
      </c>
      <c r="Q526" s="10" t="s">
        <v>408</v>
      </c>
      <c r="R526" s="10" t="s">
        <v>3083</v>
      </c>
      <c r="S526" s="5">
        <v>0</v>
      </c>
      <c r="T526" s="37" t="s">
        <v>50</v>
      </c>
      <c r="U526" s="5">
        <v>0</v>
      </c>
      <c r="V526" s="37" t="s">
        <v>50</v>
      </c>
      <c r="W526" s="5">
        <v>0</v>
      </c>
      <c r="X526" s="5">
        <v>0</v>
      </c>
      <c r="Y526" s="5">
        <v>0</v>
      </c>
      <c r="Z526" s="37" t="s">
        <v>50</v>
      </c>
      <c r="AA526" s="5">
        <v>0</v>
      </c>
      <c r="AB526" s="5">
        <v>0</v>
      </c>
      <c r="AC526" s="5">
        <v>0</v>
      </c>
      <c r="AD526" s="5">
        <v>0</v>
      </c>
      <c r="AE526" s="10" t="s">
        <v>50</v>
      </c>
      <c r="AF526" s="10"/>
      <c r="AG526" s="10" t="s">
        <v>855</v>
      </c>
      <c r="AH526" s="10" t="s">
        <v>50</v>
      </c>
      <c r="AI526" s="5">
        <v>3</v>
      </c>
      <c r="AJ526" s="10" t="s">
        <v>50</v>
      </c>
      <c r="AK526" s="10" t="s">
        <v>50</v>
      </c>
    </row>
    <row r="527" spans="1:37" ht="36.75" customHeight="1" x14ac:dyDescent="0.35">
      <c r="A527" s="5"/>
      <c r="B527" s="5" t="s">
        <v>37</v>
      </c>
      <c r="C527" s="73" t="str">
        <f t="shared" si="8"/>
        <v>Closed</v>
      </c>
      <c r="D527" s="45" t="s">
        <v>3084</v>
      </c>
      <c r="E527" s="54" t="s">
        <v>3085</v>
      </c>
      <c r="F527" s="5" t="s">
        <v>619</v>
      </c>
      <c r="G527" s="10">
        <f>DATE(2008,7,30)</f>
        <v>39659</v>
      </c>
      <c r="H527" s="35">
        <v>1.3020833333333333</v>
      </c>
      <c r="I527" s="5" t="s">
        <v>259</v>
      </c>
      <c r="J527" s="10" t="s">
        <v>3086</v>
      </c>
      <c r="K527" s="5" t="s">
        <v>621</v>
      </c>
      <c r="L527" s="5" t="s">
        <v>3087</v>
      </c>
      <c r="M527" s="5" t="s">
        <v>45</v>
      </c>
      <c r="N527" s="5">
        <v>0</v>
      </c>
      <c r="O527" s="5" t="s">
        <v>67</v>
      </c>
      <c r="P527" s="10" t="s">
        <v>60</v>
      </c>
      <c r="Q527" s="10" t="s">
        <v>623</v>
      </c>
      <c r="R527" s="10" t="s">
        <v>624</v>
      </c>
      <c r="S527" s="5">
        <v>0</v>
      </c>
      <c r="T527" s="37">
        <v>0</v>
      </c>
      <c r="U527" s="5">
        <v>0</v>
      </c>
      <c r="V527" s="37">
        <v>0</v>
      </c>
      <c r="W527" s="5">
        <v>1</v>
      </c>
      <c r="X527" s="5">
        <v>1</v>
      </c>
      <c r="Y527" s="5">
        <v>0</v>
      </c>
      <c r="Z527" s="37">
        <v>0</v>
      </c>
      <c r="AA527" s="5">
        <v>0</v>
      </c>
      <c r="AB527" s="5">
        <v>0</v>
      </c>
      <c r="AC527" s="5">
        <v>0</v>
      </c>
      <c r="AD527" s="5">
        <v>0</v>
      </c>
      <c r="AE527" s="10" t="s">
        <v>50</v>
      </c>
      <c r="AF527" s="10"/>
      <c r="AG527" s="10" t="s">
        <v>229</v>
      </c>
      <c r="AH527" s="10" t="s">
        <v>50</v>
      </c>
      <c r="AI527" s="5">
        <v>1</v>
      </c>
      <c r="AJ527" s="10" t="s">
        <v>3088</v>
      </c>
      <c r="AK527" s="10" t="s">
        <v>50</v>
      </c>
    </row>
    <row r="528" spans="1:37" ht="36.75" customHeight="1" x14ac:dyDescent="0.35">
      <c r="A528" s="5"/>
      <c r="B528" s="5" t="s">
        <v>37</v>
      </c>
      <c r="C528" s="73" t="str">
        <f t="shared" si="8"/>
        <v>Closed</v>
      </c>
      <c r="D528" s="45" t="s">
        <v>3089</v>
      </c>
      <c r="E528" s="54" t="s">
        <v>3090</v>
      </c>
      <c r="F528" s="5" t="s">
        <v>619</v>
      </c>
      <c r="G528" s="10">
        <f>DATE(2008,7,30)</f>
        <v>39659</v>
      </c>
      <c r="H528" s="35">
        <v>1.7534722222222223</v>
      </c>
      <c r="I528" s="5" t="s">
        <v>259</v>
      </c>
      <c r="J528" s="10" t="s">
        <v>3091</v>
      </c>
      <c r="K528" s="5" t="s">
        <v>621</v>
      </c>
      <c r="L528" s="5" t="s">
        <v>3092</v>
      </c>
      <c r="M528" s="5" t="s">
        <v>45</v>
      </c>
      <c r="N528" s="5">
        <v>0</v>
      </c>
      <c r="O528" s="5" t="s">
        <v>46</v>
      </c>
      <c r="P528" s="10" t="s">
        <v>146</v>
      </c>
      <c r="Q528" s="10" t="s">
        <v>623</v>
      </c>
      <c r="R528" s="10" t="s">
        <v>624</v>
      </c>
      <c r="S528" s="5">
        <v>0</v>
      </c>
      <c r="T528" s="37">
        <v>0</v>
      </c>
      <c r="U528" s="5">
        <v>0</v>
      </c>
      <c r="V528" s="37">
        <v>1</v>
      </c>
      <c r="W528" s="5">
        <v>0</v>
      </c>
      <c r="X528" s="5">
        <v>1</v>
      </c>
      <c r="Y528" s="5">
        <v>0</v>
      </c>
      <c r="Z528" s="37">
        <v>0</v>
      </c>
      <c r="AA528" s="5">
        <v>0</v>
      </c>
      <c r="AB528" s="5">
        <v>0</v>
      </c>
      <c r="AC528" s="5">
        <v>0</v>
      </c>
      <c r="AD528" s="5">
        <v>0</v>
      </c>
      <c r="AE528" s="10" t="s">
        <v>50</v>
      </c>
      <c r="AF528" s="10"/>
      <c r="AG528" s="10" t="s">
        <v>229</v>
      </c>
      <c r="AH528" s="10" t="s">
        <v>50</v>
      </c>
      <c r="AI528" s="5">
        <v>1</v>
      </c>
      <c r="AJ528" s="10" t="s">
        <v>50</v>
      </c>
      <c r="AK528" s="10" t="s">
        <v>50</v>
      </c>
    </row>
    <row r="529" spans="1:37" ht="36.75" customHeight="1" x14ac:dyDescent="0.35">
      <c r="A529" s="5"/>
      <c r="B529" s="5" t="s">
        <v>37</v>
      </c>
      <c r="C529" s="73" t="str">
        <f t="shared" si="8"/>
        <v>Closed</v>
      </c>
      <c r="D529" s="45" t="s">
        <v>3093</v>
      </c>
      <c r="E529" s="54" t="s">
        <v>3094</v>
      </c>
      <c r="F529" s="5" t="s">
        <v>1919</v>
      </c>
      <c r="G529" s="10">
        <f>DATE(2008,7,31)</f>
        <v>39660</v>
      </c>
      <c r="H529" s="35">
        <v>1.7083333333333335</v>
      </c>
      <c r="I529" s="5" t="s">
        <v>97</v>
      </c>
      <c r="J529" s="10" t="s">
        <v>3095</v>
      </c>
      <c r="K529" s="5" t="s">
        <v>1921</v>
      </c>
      <c r="L529" s="5" t="s">
        <v>3096</v>
      </c>
      <c r="M529" s="5" t="s">
        <v>45</v>
      </c>
      <c r="N529" s="5">
        <v>0</v>
      </c>
      <c r="O529" s="5" t="s">
        <v>46</v>
      </c>
      <c r="P529" s="10" t="s">
        <v>146</v>
      </c>
      <c r="Q529" s="10" t="s">
        <v>1923</v>
      </c>
      <c r="R529" s="10" t="s">
        <v>1923</v>
      </c>
      <c r="S529" s="5">
        <v>0</v>
      </c>
      <c r="T529" s="37" t="s">
        <v>50</v>
      </c>
      <c r="U529" s="5">
        <v>0</v>
      </c>
      <c r="V529" s="37" t="s">
        <v>50</v>
      </c>
      <c r="W529" s="5">
        <v>0</v>
      </c>
      <c r="X529" s="5">
        <v>0</v>
      </c>
      <c r="Y529" s="5">
        <v>0</v>
      </c>
      <c r="Z529" s="37" t="s">
        <v>50</v>
      </c>
      <c r="AA529" s="5">
        <v>0</v>
      </c>
      <c r="AB529" s="5">
        <v>0</v>
      </c>
      <c r="AC529" s="5">
        <v>0</v>
      </c>
      <c r="AD529" s="5">
        <v>0</v>
      </c>
      <c r="AE529" s="10" t="s">
        <v>50</v>
      </c>
      <c r="AF529" s="10"/>
      <c r="AG529" s="10" t="s">
        <v>114</v>
      </c>
      <c r="AH529" s="10" t="s">
        <v>50</v>
      </c>
      <c r="AI529" s="5">
        <v>2</v>
      </c>
      <c r="AJ529" s="10" t="s">
        <v>3097</v>
      </c>
      <c r="AK529" s="10" t="s">
        <v>3098</v>
      </c>
    </row>
    <row r="530" spans="1:37" ht="36.75" customHeight="1" x14ac:dyDescent="0.35">
      <c r="A530" s="5"/>
      <c r="B530" s="5" t="s">
        <v>37</v>
      </c>
      <c r="C530" s="73" t="str">
        <f t="shared" si="8"/>
        <v>Closed</v>
      </c>
      <c r="D530" s="45" t="s">
        <v>3099</v>
      </c>
      <c r="E530" s="54" t="s">
        <v>3100</v>
      </c>
      <c r="F530" s="5" t="s">
        <v>816</v>
      </c>
      <c r="G530" s="10">
        <f>DATE(2008,8,2)</f>
        <v>39662</v>
      </c>
      <c r="H530" s="35">
        <v>1.6055555555555556</v>
      </c>
      <c r="I530" s="5" t="s">
        <v>55</v>
      </c>
      <c r="J530" s="10" t="s">
        <v>3101</v>
      </c>
      <c r="K530" s="5" t="s">
        <v>818</v>
      </c>
      <c r="L530" s="5" t="s">
        <v>3102</v>
      </c>
      <c r="M530" s="5" t="s">
        <v>45</v>
      </c>
      <c r="N530" s="5">
        <v>0</v>
      </c>
      <c r="O530" s="5" t="s">
        <v>46</v>
      </c>
      <c r="P530" s="10" t="s">
        <v>47</v>
      </c>
      <c r="Q530" s="10" t="s">
        <v>2142</v>
      </c>
      <c r="R530" s="10" t="s">
        <v>821</v>
      </c>
      <c r="S530" s="5">
        <v>0</v>
      </c>
      <c r="T530" s="37">
        <v>0</v>
      </c>
      <c r="U530" s="5">
        <v>0</v>
      </c>
      <c r="V530" s="37">
        <v>0</v>
      </c>
      <c r="W530" s="5">
        <v>0</v>
      </c>
      <c r="X530" s="5">
        <v>0</v>
      </c>
      <c r="Y530" s="5">
        <v>1</v>
      </c>
      <c r="Z530" s="37">
        <v>0</v>
      </c>
      <c r="AA530" s="5">
        <v>0</v>
      </c>
      <c r="AB530" s="5">
        <v>0</v>
      </c>
      <c r="AC530" s="5">
        <v>0</v>
      </c>
      <c r="AD530" s="5">
        <v>1</v>
      </c>
      <c r="AE530" s="10" t="s">
        <v>50</v>
      </c>
      <c r="AF530" s="10"/>
      <c r="AG530" s="10" t="s">
        <v>114</v>
      </c>
      <c r="AH530" s="10" t="s">
        <v>50</v>
      </c>
      <c r="AI530" s="5">
        <v>0</v>
      </c>
      <c r="AJ530" s="10" t="s">
        <v>50</v>
      </c>
      <c r="AK530" s="10" t="s">
        <v>50</v>
      </c>
    </row>
    <row r="531" spans="1:37" ht="36.75" customHeight="1" x14ac:dyDescent="0.35">
      <c r="A531" s="5"/>
      <c r="B531" s="5" t="s">
        <v>37</v>
      </c>
      <c r="C531" s="73" t="str">
        <f t="shared" si="8"/>
        <v>Closed</v>
      </c>
      <c r="D531" s="45" t="s">
        <v>3103</v>
      </c>
      <c r="E531" s="54" t="s">
        <v>3104</v>
      </c>
      <c r="F531" s="5" t="s">
        <v>404</v>
      </c>
      <c r="G531" s="10">
        <f>DATE(2008,8,8)</f>
        <v>39668</v>
      </c>
      <c r="H531" s="35">
        <v>1.4375</v>
      </c>
      <c r="I531" s="5" t="s">
        <v>137</v>
      </c>
      <c r="J531" s="10" t="s">
        <v>3105</v>
      </c>
      <c r="K531" s="5" t="s">
        <v>406</v>
      </c>
      <c r="L531" s="5" t="s">
        <v>3106</v>
      </c>
      <c r="M531" s="5" t="s">
        <v>45</v>
      </c>
      <c r="N531" s="5">
        <v>0</v>
      </c>
      <c r="O531" s="5" t="s">
        <v>59</v>
      </c>
      <c r="P531" s="10" t="s">
        <v>3076</v>
      </c>
      <c r="Q531" s="10" t="s">
        <v>3107</v>
      </c>
      <c r="R531" s="10" t="s">
        <v>408</v>
      </c>
      <c r="S531" s="5">
        <v>7</v>
      </c>
      <c r="T531" s="37">
        <v>0</v>
      </c>
      <c r="U531" s="5">
        <v>0</v>
      </c>
      <c r="V531" s="37">
        <v>0</v>
      </c>
      <c r="W531" s="5">
        <v>0</v>
      </c>
      <c r="X531" s="5">
        <v>7</v>
      </c>
      <c r="Y531" s="5">
        <v>84</v>
      </c>
      <c r="Z531" s="37">
        <v>4</v>
      </c>
      <c r="AA531" s="5">
        <v>0</v>
      </c>
      <c r="AB531" s="5">
        <v>0</v>
      </c>
      <c r="AC531" s="5">
        <v>0</v>
      </c>
      <c r="AD531" s="5">
        <v>88</v>
      </c>
      <c r="AE531" s="10" t="s">
        <v>50</v>
      </c>
      <c r="AF531" s="10"/>
      <c r="AG531" s="10" t="s">
        <v>64</v>
      </c>
      <c r="AH531" s="10" t="s">
        <v>50</v>
      </c>
      <c r="AI531" s="5">
        <v>5</v>
      </c>
      <c r="AJ531" s="10" t="s">
        <v>3108</v>
      </c>
      <c r="AK531" s="10" t="s">
        <v>3109</v>
      </c>
    </row>
    <row r="532" spans="1:37" ht="36.75" customHeight="1" x14ac:dyDescent="0.35">
      <c r="A532" s="5"/>
      <c r="B532" s="5" t="s">
        <v>37</v>
      </c>
      <c r="C532" s="73" t="str">
        <f t="shared" si="8"/>
        <v>Closed</v>
      </c>
      <c r="D532" s="45" t="s">
        <v>3110</v>
      </c>
      <c r="E532" s="54" t="s">
        <v>3111</v>
      </c>
      <c r="F532" s="5" t="s">
        <v>358</v>
      </c>
      <c r="G532" s="10">
        <f>DATE(2008,8,8)</f>
        <v>39668</v>
      </c>
      <c r="H532" s="35">
        <v>1.3958333333333333</v>
      </c>
      <c r="I532" s="5" t="s">
        <v>137</v>
      </c>
      <c r="J532" s="10" t="s">
        <v>3112</v>
      </c>
      <c r="K532" s="5" t="s">
        <v>360</v>
      </c>
      <c r="L532" s="5" t="s">
        <v>3113</v>
      </c>
      <c r="M532" s="5" t="s">
        <v>45</v>
      </c>
      <c r="N532" s="5">
        <v>0</v>
      </c>
      <c r="O532" s="5" t="s">
        <v>59</v>
      </c>
      <c r="P532" s="10" t="s">
        <v>3114</v>
      </c>
      <c r="Q532" s="10" t="s">
        <v>3115</v>
      </c>
      <c r="R532" s="10" t="s">
        <v>363</v>
      </c>
      <c r="S532" s="5">
        <v>0</v>
      </c>
      <c r="T532" s="37">
        <v>1</v>
      </c>
      <c r="U532" s="5">
        <v>0</v>
      </c>
      <c r="V532" s="37">
        <v>0</v>
      </c>
      <c r="W532" s="5">
        <v>0</v>
      </c>
      <c r="X532" s="5">
        <v>1</v>
      </c>
      <c r="Y532" s="5">
        <v>0</v>
      </c>
      <c r="Z532" s="37">
        <v>2</v>
      </c>
      <c r="AA532" s="5">
        <v>0</v>
      </c>
      <c r="AB532" s="5">
        <v>0</v>
      </c>
      <c r="AC532" s="5">
        <v>0</v>
      </c>
      <c r="AD532" s="5">
        <v>2</v>
      </c>
      <c r="AE532" s="10" t="s">
        <v>50</v>
      </c>
      <c r="AF532" s="10"/>
      <c r="AG532" s="10" t="s">
        <v>64</v>
      </c>
      <c r="AH532" s="10" t="s">
        <v>50</v>
      </c>
      <c r="AI532" s="5">
        <v>3</v>
      </c>
      <c r="AJ532" s="10" t="s">
        <v>50</v>
      </c>
      <c r="AK532" s="10" t="s">
        <v>50</v>
      </c>
    </row>
    <row r="533" spans="1:37" ht="36.75" customHeight="1" x14ac:dyDescent="0.35">
      <c r="A533" s="5"/>
      <c r="B533" s="5" t="s">
        <v>37</v>
      </c>
      <c r="C533" s="73" t="str">
        <f t="shared" si="8"/>
        <v>Closed</v>
      </c>
      <c r="D533" s="45" t="s">
        <v>3116</v>
      </c>
      <c r="E533" s="54" t="s">
        <v>3117</v>
      </c>
      <c r="F533" s="5" t="s">
        <v>816</v>
      </c>
      <c r="G533" s="10">
        <f>DATE(2008,8,14)</f>
        <v>39674</v>
      </c>
      <c r="H533" s="35">
        <v>1.6527777777777777</v>
      </c>
      <c r="I533" s="5" t="s">
        <v>97</v>
      </c>
      <c r="J533" s="10" t="s">
        <v>3118</v>
      </c>
      <c r="K533" s="5" t="s">
        <v>818</v>
      </c>
      <c r="L533" s="5" t="s">
        <v>3119</v>
      </c>
      <c r="M533" s="5" t="s">
        <v>45</v>
      </c>
      <c r="N533" s="5">
        <v>0</v>
      </c>
      <c r="O533" s="5" t="s">
        <v>46</v>
      </c>
      <c r="P533" s="10" t="s">
        <v>146</v>
      </c>
      <c r="Q533" s="10" t="s">
        <v>2142</v>
      </c>
      <c r="R533" s="10" t="s">
        <v>821</v>
      </c>
      <c r="S533" s="5">
        <v>0</v>
      </c>
      <c r="T533" s="37">
        <v>0</v>
      </c>
      <c r="U533" s="5">
        <v>5</v>
      </c>
      <c r="V533" s="37">
        <v>0</v>
      </c>
      <c r="W533" s="5">
        <v>0</v>
      </c>
      <c r="X533" s="5">
        <v>5</v>
      </c>
      <c r="Y533" s="5">
        <v>0</v>
      </c>
      <c r="Z533" s="37">
        <v>0</v>
      </c>
      <c r="AA533" s="5">
        <v>0</v>
      </c>
      <c r="AB533" s="5">
        <v>0</v>
      </c>
      <c r="AC533" s="5">
        <v>0</v>
      </c>
      <c r="AD533" s="5">
        <v>0</v>
      </c>
      <c r="AE533" s="10" t="s">
        <v>50</v>
      </c>
      <c r="AF533" s="10"/>
      <c r="AG533" s="10" t="s">
        <v>333</v>
      </c>
      <c r="AH533" s="10" t="s">
        <v>50</v>
      </c>
      <c r="AI533" s="5">
        <v>1</v>
      </c>
      <c r="AJ533" s="10" t="s">
        <v>50</v>
      </c>
      <c r="AK533" s="10" t="s">
        <v>50</v>
      </c>
    </row>
    <row r="534" spans="1:37" ht="36.75" customHeight="1" x14ac:dyDescent="0.35">
      <c r="A534" s="5"/>
      <c r="B534" s="5" t="s">
        <v>37</v>
      </c>
      <c r="C534" s="73" t="str">
        <f t="shared" si="8"/>
        <v>Closed</v>
      </c>
      <c r="D534" s="45" t="s">
        <v>3120</v>
      </c>
      <c r="E534" s="54" t="s">
        <v>3121</v>
      </c>
      <c r="F534" s="5" t="s">
        <v>178</v>
      </c>
      <c r="G534" s="10">
        <f>DATE(2008,8,16)</f>
        <v>39676</v>
      </c>
      <c r="H534" s="35">
        <v>1.7645833333333334</v>
      </c>
      <c r="I534" s="5" t="s">
        <v>55</v>
      </c>
      <c r="J534" s="10" t="s">
        <v>3122</v>
      </c>
      <c r="K534" s="5" t="s">
        <v>181</v>
      </c>
      <c r="L534" s="5" t="s">
        <v>3123</v>
      </c>
      <c r="M534" s="5" t="s">
        <v>45</v>
      </c>
      <c r="N534" s="5">
        <v>0</v>
      </c>
      <c r="O534" s="5" t="s">
        <v>59</v>
      </c>
      <c r="P534" s="10" t="s">
        <v>60</v>
      </c>
      <c r="Q534" s="10" t="s">
        <v>3124</v>
      </c>
      <c r="R534" s="10" t="s">
        <v>184</v>
      </c>
      <c r="S534" s="5">
        <v>0</v>
      </c>
      <c r="T534" s="37" t="s">
        <v>50</v>
      </c>
      <c r="U534" s="5">
        <v>0</v>
      </c>
      <c r="V534" s="37" t="s">
        <v>50</v>
      </c>
      <c r="W534" s="5">
        <v>0</v>
      </c>
      <c r="X534" s="5">
        <v>0</v>
      </c>
      <c r="Y534" s="5">
        <v>0</v>
      </c>
      <c r="Z534" s="37" t="s">
        <v>50</v>
      </c>
      <c r="AA534" s="5">
        <v>0</v>
      </c>
      <c r="AB534" s="5">
        <v>0</v>
      </c>
      <c r="AC534" s="5">
        <v>0</v>
      </c>
      <c r="AD534" s="5">
        <v>0</v>
      </c>
      <c r="AE534" s="10" t="s">
        <v>50</v>
      </c>
      <c r="AF534" s="10"/>
      <c r="AG534" s="10" t="s">
        <v>855</v>
      </c>
      <c r="AH534" s="10" t="s">
        <v>50</v>
      </c>
      <c r="AI534" s="5">
        <v>8</v>
      </c>
      <c r="AJ534" s="10" t="s">
        <v>3125</v>
      </c>
      <c r="AK534" s="10" t="s">
        <v>50</v>
      </c>
    </row>
    <row r="535" spans="1:37" ht="36.75" customHeight="1" x14ac:dyDescent="0.35">
      <c r="A535" s="5"/>
      <c r="B535" s="5" t="s">
        <v>37</v>
      </c>
      <c r="C535" s="73" t="str">
        <f t="shared" si="8"/>
        <v>Closed</v>
      </c>
      <c r="D535" s="45" t="s">
        <v>3126</v>
      </c>
      <c r="E535" s="54" t="s">
        <v>3127</v>
      </c>
      <c r="F535" s="5" t="s">
        <v>3128</v>
      </c>
      <c r="G535" s="10">
        <f>DATE(2008,8,20)</f>
        <v>39680</v>
      </c>
      <c r="H535" s="35">
        <v>1.6256944444444446</v>
      </c>
      <c r="I535" s="5" t="s">
        <v>97</v>
      </c>
      <c r="J535" s="10" t="s">
        <v>3129</v>
      </c>
      <c r="K535" s="5" t="s">
        <v>3130</v>
      </c>
      <c r="L535" s="5" t="s">
        <v>3131</v>
      </c>
      <c r="M535" s="5" t="s">
        <v>45</v>
      </c>
      <c r="N535" s="5">
        <v>0</v>
      </c>
      <c r="O535" s="5" t="s">
        <v>46</v>
      </c>
      <c r="P535" s="10" t="s">
        <v>60</v>
      </c>
      <c r="Q535" s="10" t="s">
        <v>3132</v>
      </c>
      <c r="R535" s="10" t="s">
        <v>3133</v>
      </c>
      <c r="S535" s="5">
        <v>0</v>
      </c>
      <c r="T535" s="37">
        <v>0</v>
      </c>
      <c r="U535" s="5">
        <v>1</v>
      </c>
      <c r="V535" s="37">
        <v>0</v>
      </c>
      <c r="W535" s="5">
        <v>0</v>
      </c>
      <c r="X535" s="5">
        <v>1</v>
      </c>
      <c r="Y535" s="5">
        <v>0</v>
      </c>
      <c r="Z535" s="37">
        <v>0</v>
      </c>
      <c r="AA535" s="5">
        <v>1</v>
      </c>
      <c r="AB535" s="5">
        <v>0</v>
      </c>
      <c r="AC535" s="5">
        <v>0</v>
      </c>
      <c r="AD535" s="5">
        <v>1</v>
      </c>
      <c r="AE535" s="10" t="s">
        <v>50</v>
      </c>
      <c r="AF535" s="10"/>
      <c r="AG535" s="10" t="s">
        <v>64</v>
      </c>
      <c r="AH535" s="10" t="s">
        <v>50</v>
      </c>
      <c r="AI535" s="5">
        <v>2</v>
      </c>
      <c r="AJ535" s="10" t="s">
        <v>3134</v>
      </c>
      <c r="AK535" s="10" t="s">
        <v>3135</v>
      </c>
    </row>
    <row r="536" spans="1:37" ht="36.75" customHeight="1" x14ac:dyDescent="0.35">
      <c r="A536" s="5"/>
      <c r="B536" s="5" t="s">
        <v>37</v>
      </c>
      <c r="C536" s="73" t="str">
        <f t="shared" si="8"/>
        <v>Closed</v>
      </c>
      <c r="D536" s="45" t="s">
        <v>3136</v>
      </c>
      <c r="E536" s="54" t="s">
        <v>3137</v>
      </c>
      <c r="F536" s="5" t="s">
        <v>575</v>
      </c>
      <c r="G536" s="10">
        <f>DATE(2008,8,22)</f>
        <v>39682</v>
      </c>
      <c r="H536" s="35">
        <v>1.4583333333333333</v>
      </c>
      <c r="I536" s="5" t="s">
        <v>55</v>
      </c>
      <c r="J536" s="10" t="s">
        <v>3138</v>
      </c>
      <c r="K536" s="5" t="s">
        <v>577</v>
      </c>
      <c r="L536" s="5" t="s">
        <v>3139</v>
      </c>
      <c r="M536" s="5" t="s">
        <v>45</v>
      </c>
      <c r="N536" s="5">
        <v>0</v>
      </c>
      <c r="O536" s="5" t="s">
        <v>46</v>
      </c>
      <c r="P536" s="10" t="s">
        <v>146</v>
      </c>
      <c r="Q536" s="10" t="s">
        <v>579</v>
      </c>
      <c r="R536" s="10" t="s">
        <v>580</v>
      </c>
      <c r="S536" s="5">
        <v>1</v>
      </c>
      <c r="T536" s="37">
        <v>0</v>
      </c>
      <c r="U536" s="5">
        <v>0</v>
      </c>
      <c r="V536" s="37">
        <v>0</v>
      </c>
      <c r="W536" s="5">
        <v>0</v>
      </c>
      <c r="X536" s="5">
        <v>1</v>
      </c>
      <c r="Y536" s="5">
        <v>41</v>
      </c>
      <c r="Z536" s="37">
        <v>0</v>
      </c>
      <c r="AA536" s="5">
        <v>0</v>
      </c>
      <c r="AB536" s="5">
        <v>0</v>
      </c>
      <c r="AC536" s="5">
        <v>0</v>
      </c>
      <c r="AD536" s="5">
        <v>41</v>
      </c>
      <c r="AE536" s="10" t="s">
        <v>50</v>
      </c>
      <c r="AF536" s="10"/>
      <c r="AG536" s="10" t="s">
        <v>64</v>
      </c>
      <c r="AH536" s="10" t="s">
        <v>50</v>
      </c>
      <c r="AI536" s="5">
        <v>4</v>
      </c>
      <c r="AJ536" s="10" t="s">
        <v>50</v>
      </c>
      <c r="AK536" s="10" t="s">
        <v>50</v>
      </c>
    </row>
    <row r="537" spans="1:37" ht="36.75" customHeight="1" x14ac:dyDescent="0.35">
      <c r="A537" s="5"/>
      <c r="B537" s="5" t="s">
        <v>37</v>
      </c>
      <c r="C537" s="73" t="str">
        <f t="shared" si="8"/>
        <v>Closed</v>
      </c>
      <c r="D537" s="45" t="s">
        <v>3140</v>
      </c>
      <c r="E537" s="54" t="s">
        <v>3141</v>
      </c>
      <c r="F537" s="5" t="s">
        <v>40</v>
      </c>
      <c r="G537" s="10">
        <f>DATE(2008,8,26)</f>
        <v>39686</v>
      </c>
      <c r="H537" s="35">
        <v>1.4465277777777779</v>
      </c>
      <c r="I537" s="5" t="s">
        <v>97</v>
      </c>
      <c r="J537" s="10" t="s">
        <v>3142</v>
      </c>
      <c r="K537" s="5" t="s">
        <v>43</v>
      </c>
      <c r="L537" s="5" t="s">
        <v>3143</v>
      </c>
      <c r="M537" s="5" t="s">
        <v>45</v>
      </c>
      <c r="N537" s="5" t="s">
        <v>80</v>
      </c>
      <c r="O537" s="5" t="s">
        <v>46</v>
      </c>
      <c r="P537" s="10" t="s">
        <v>282</v>
      </c>
      <c r="Q537" s="10" t="s">
        <v>3144</v>
      </c>
      <c r="R537" s="10" t="s">
        <v>49</v>
      </c>
      <c r="S537" s="5">
        <v>0</v>
      </c>
      <c r="T537" s="37">
        <v>0</v>
      </c>
      <c r="U537" s="5">
        <v>1</v>
      </c>
      <c r="V537" s="37">
        <v>0</v>
      </c>
      <c r="W537" s="5">
        <v>0</v>
      </c>
      <c r="X537" s="5">
        <v>1</v>
      </c>
      <c r="Y537" s="5">
        <v>0</v>
      </c>
      <c r="Z537" s="37">
        <v>0</v>
      </c>
      <c r="AA537" s="5">
        <v>0</v>
      </c>
      <c r="AB537" s="5">
        <v>0</v>
      </c>
      <c r="AC537" s="5">
        <v>0</v>
      </c>
      <c r="AD537" s="5">
        <v>0</v>
      </c>
      <c r="AE537" s="10" t="s">
        <v>73</v>
      </c>
      <c r="AF537" s="10"/>
      <c r="AG537" s="10" t="s">
        <v>64</v>
      </c>
      <c r="AH537" s="10">
        <v>39688</v>
      </c>
      <c r="AI537" s="5">
        <v>3</v>
      </c>
      <c r="AJ537" s="10" t="s">
        <v>3145</v>
      </c>
      <c r="AK537" s="10" t="s">
        <v>3146</v>
      </c>
    </row>
    <row r="538" spans="1:37" ht="36.75" customHeight="1" x14ac:dyDescent="0.35">
      <c r="A538" s="5"/>
      <c r="B538" s="5" t="s">
        <v>37</v>
      </c>
      <c r="C538" s="73" t="str">
        <f t="shared" si="8"/>
        <v>Closed</v>
      </c>
      <c r="D538" s="45" t="s">
        <v>3147</v>
      </c>
      <c r="E538" s="54" t="s">
        <v>3148</v>
      </c>
      <c r="F538" s="5" t="s">
        <v>619</v>
      </c>
      <c r="G538" s="10">
        <f>DATE(2008,8,29)</f>
        <v>39689</v>
      </c>
      <c r="H538" s="35">
        <v>1.5354166666666667</v>
      </c>
      <c r="I538" s="5" t="s">
        <v>259</v>
      </c>
      <c r="J538" s="10" t="s">
        <v>3149</v>
      </c>
      <c r="K538" s="5" t="s">
        <v>621</v>
      </c>
      <c r="L538" s="5" t="s">
        <v>3150</v>
      </c>
      <c r="M538" s="5" t="s">
        <v>45</v>
      </c>
      <c r="N538" s="5">
        <v>0</v>
      </c>
      <c r="O538" s="5" t="s">
        <v>67</v>
      </c>
      <c r="P538" s="10" t="s">
        <v>146</v>
      </c>
      <c r="Q538" s="10" t="s">
        <v>623</v>
      </c>
      <c r="R538" s="10" t="s">
        <v>624</v>
      </c>
      <c r="S538" s="5">
        <v>0</v>
      </c>
      <c r="T538" s="37">
        <v>0</v>
      </c>
      <c r="U538" s="5">
        <v>0</v>
      </c>
      <c r="V538" s="37">
        <v>1</v>
      </c>
      <c r="W538" s="5">
        <v>0</v>
      </c>
      <c r="X538" s="5">
        <v>1</v>
      </c>
      <c r="Y538" s="5">
        <v>0</v>
      </c>
      <c r="Z538" s="37">
        <v>0</v>
      </c>
      <c r="AA538" s="5">
        <v>0</v>
      </c>
      <c r="AB538" s="5">
        <v>0</v>
      </c>
      <c r="AC538" s="5">
        <v>0</v>
      </c>
      <c r="AD538" s="5">
        <v>0</v>
      </c>
      <c r="AE538" s="10" t="s">
        <v>50</v>
      </c>
      <c r="AF538" s="10"/>
      <c r="AG538" s="10" t="s">
        <v>229</v>
      </c>
      <c r="AH538" s="10" t="s">
        <v>50</v>
      </c>
      <c r="AI538" s="5">
        <v>1</v>
      </c>
      <c r="AJ538" s="10" t="s">
        <v>50</v>
      </c>
      <c r="AK538" s="10" t="s">
        <v>50</v>
      </c>
    </row>
    <row r="539" spans="1:37" ht="36.75" customHeight="1" x14ac:dyDescent="0.35">
      <c r="A539" s="5"/>
      <c r="B539" s="5" t="s">
        <v>37</v>
      </c>
      <c r="C539" s="73" t="str">
        <f t="shared" si="8"/>
        <v>Closed</v>
      </c>
      <c r="D539" s="45" t="s">
        <v>3151</v>
      </c>
      <c r="E539" s="54" t="s">
        <v>3152</v>
      </c>
      <c r="F539" s="5" t="s">
        <v>105</v>
      </c>
      <c r="G539" s="10">
        <f>DATE(2008,8,29)</f>
        <v>39689</v>
      </c>
      <c r="H539" s="35">
        <v>1.9861111111111112</v>
      </c>
      <c r="I539" s="5" t="s">
        <v>137</v>
      </c>
      <c r="J539" s="10" t="s">
        <v>3153</v>
      </c>
      <c r="K539" s="5" t="s">
        <v>108</v>
      </c>
      <c r="L539" s="5" t="s">
        <v>3154</v>
      </c>
      <c r="M539" s="5" t="s">
        <v>236</v>
      </c>
      <c r="N539" s="5">
        <v>0</v>
      </c>
      <c r="O539" s="5" t="s">
        <v>67</v>
      </c>
      <c r="P539" s="10" t="s">
        <v>67</v>
      </c>
      <c r="Q539" s="10" t="s">
        <v>960</v>
      </c>
      <c r="R539" s="10" t="s">
        <v>3155</v>
      </c>
      <c r="S539" s="5">
        <v>0</v>
      </c>
      <c r="T539" s="37" t="s">
        <v>50</v>
      </c>
      <c r="U539" s="5">
        <v>0</v>
      </c>
      <c r="V539" s="37" t="s">
        <v>50</v>
      </c>
      <c r="W539" s="5">
        <v>0</v>
      </c>
      <c r="X539" s="5">
        <v>0</v>
      </c>
      <c r="Y539" s="5">
        <v>0</v>
      </c>
      <c r="Z539" s="37" t="s">
        <v>50</v>
      </c>
      <c r="AA539" s="5">
        <v>0</v>
      </c>
      <c r="AB539" s="5">
        <v>0</v>
      </c>
      <c r="AC539" s="5">
        <v>0</v>
      </c>
      <c r="AD539" s="5">
        <v>0</v>
      </c>
      <c r="AE539" s="10" t="s">
        <v>50</v>
      </c>
      <c r="AF539" s="10"/>
      <c r="AG539" s="10" t="s">
        <v>348</v>
      </c>
      <c r="AH539" s="10" t="s">
        <v>50</v>
      </c>
      <c r="AI539" s="5">
        <v>5</v>
      </c>
      <c r="AJ539" s="10" t="s">
        <v>3156</v>
      </c>
      <c r="AK539" s="10" t="s">
        <v>50</v>
      </c>
    </row>
    <row r="540" spans="1:37" ht="36.75" customHeight="1" x14ac:dyDescent="0.35">
      <c r="A540" s="5"/>
      <c r="B540" s="5" t="s">
        <v>37</v>
      </c>
      <c r="C540" s="73" t="str">
        <f t="shared" si="8"/>
        <v>Closed</v>
      </c>
      <c r="D540" s="45" t="s">
        <v>3157</v>
      </c>
      <c r="E540" s="54" t="s">
        <v>3158</v>
      </c>
      <c r="F540" s="5" t="s">
        <v>105</v>
      </c>
      <c r="G540" s="10">
        <f>DATE(2008,8,31)</f>
        <v>39691</v>
      </c>
      <c r="H540" s="35">
        <v>1.5625</v>
      </c>
      <c r="I540" s="5" t="s">
        <v>412</v>
      </c>
      <c r="J540" s="10" t="s">
        <v>3159</v>
      </c>
      <c r="K540" s="5" t="s">
        <v>108</v>
      </c>
      <c r="L540" s="5" t="s">
        <v>3160</v>
      </c>
      <c r="M540" s="5" t="s">
        <v>45</v>
      </c>
      <c r="N540" s="5">
        <v>0</v>
      </c>
      <c r="O540" s="5" t="s">
        <v>46</v>
      </c>
      <c r="P540" s="10" t="s">
        <v>146</v>
      </c>
      <c r="Q540" s="10" t="s">
        <v>3161</v>
      </c>
      <c r="R540" s="10" t="s">
        <v>148</v>
      </c>
      <c r="S540" s="5">
        <v>0</v>
      </c>
      <c r="T540" s="37" t="s">
        <v>50</v>
      </c>
      <c r="U540" s="5">
        <v>0</v>
      </c>
      <c r="V540" s="37" t="s">
        <v>50</v>
      </c>
      <c r="W540" s="5">
        <v>0</v>
      </c>
      <c r="X540" s="5">
        <v>0</v>
      </c>
      <c r="Y540" s="5">
        <v>0</v>
      </c>
      <c r="Z540" s="37" t="s">
        <v>50</v>
      </c>
      <c r="AA540" s="5">
        <v>0</v>
      </c>
      <c r="AB540" s="5">
        <v>0</v>
      </c>
      <c r="AC540" s="5">
        <v>0</v>
      </c>
      <c r="AD540" s="5">
        <v>0</v>
      </c>
      <c r="AE540" s="10" t="s">
        <v>50</v>
      </c>
      <c r="AF540" s="10"/>
      <c r="AG540" s="10" t="s">
        <v>114</v>
      </c>
      <c r="AH540" s="10" t="s">
        <v>50</v>
      </c>
      <c r="AI540" s="5">
        <v>0</v>
      </c>
      <c r="AJ540" s="10" t="s">
        <v>3162</v>
      </c>
      <c r="AK540" s="10" t="s">
        <v>3163</v>
      </c>
    </row>
    <row r="541" spans="1:37" ht="36.75" customHeight="1" x14ac:dyDescent="0.35">
      <c r="A541" s="5"/>
      <c r="B541" s="5" t="s">
        <v>37</v>
      </c>
      <c r="C541" s="73" t="str">
        <f t="shared" si="8"/>
        <v>Closed</v>
      </c>
      <c r="D541" s="45" t="s">
        <v>3164</v>
      </c>
      <c r="E541" s="54" t="s">
        <v>3165</v>
      </c>
      <c r="F541" s="5" t="s">
        <v>619</v>
      </c>
      <c r="G541" s="10">
        <f>DATE(2008,9,1)</f>
        <v>39692</v>
      </c>
      <c r="H541" s="35">
        <v>1.7166666666666668</v>
      </c>
      <c r="I541" s="5" t="s">
        <v>137</v>
      </c>
      <c r="J541" s="10" t="s">
        <v>3166</v>
      </c>
      <c r="K541" s="5" t="s">
        <v>621</v>
      </c>
      <c r="L541" s="5" t="s">
        <v>3167</v>
      </c>
      <c r="M541" s="5" t="s">
        <v>45</v>
      </c>
      <c r="N541" s="5">
        <v>0</v>
      </c>
      <c r="O541" s="5" t="s">
        <v>59</v>
      </c>
      <c r="P541" s="10" t="s">
        <v>362</v>
      </c>
      <c r="Q541" s="10" t="s">
        <v>623</v>
      </c>
      <c r="R541" s="10" t="s">
        <v>624</v>
      </c>
      <c r="S541" s="5">
        <v>0</v>
      </c>
      <c r="T541" s="37">
        <v>1</v>
      </c>
      <c r="U541" s="5">
        <v>0</v>
      </c>
      <c r="V541" s="37">
        <v>0</v>
      </c>
      <c r="W541" s="5">
        <v>0</v>
      </c>
      <c r="X541" s="5">
        <v>1</v>
      </c>
      <c r="Y541" s="5">
        <v>0</v>
      </c>
      <c r="Z541" s="37">
        <v>0</v>
      </c>
      <c r="AA541" s="5">
        <v>0</v>
      </c>
      <c r="AB541" s="5">
        <v>0</v>
      </c>
      <c r="AC541" s="5">
        <v>0</v>
      </c>
      <c r="AD541" s="5">
        <v>0</v>
      </c>
      <c r="AE541" s="10" t="s">
        <v>50</v>
      </c>
      <c r="AF541" s="10"/>
      <c r="AG541" s="10" t="s">
        <v>64</v>
      </c>
      <c r="AH541" s="10" t="s">
        <v>50</v>
      </c>
      <c r="AI541" s="5">
        <v>1</v>
      </c>
      <c r="AJ541" s="10" t="s">
        <v>3168</v>
      </c>
      <c r="AK541" s="10" t="s">
        <v>50</v>
      </c>
    </row>
    <row r="542" spans="1:37" ht="36.75" customHeight="1" x14ac:dyDescent="0.35">
      <c r="A542" s="5"/>
      <c r="B542" s="5" t="s">
        <v>37</v>
      </c>
      <c r="C542" s="73" t="str">
        <f t="shared" si="8"/>
        <v>Closed</v>
      </c>
      <c r="D542" s="45" t="s">
        <v>3169</v>
      </c>
      <c r="E542" s="54" t="s">
        <v>3170</v>
      </c>
      <c r="F542" s="5" t="s">
        <v>358</v>
      </c>
      <c r="G542" s="10">
        <f>DATE(2008,9,1)</f>
        <v>39692</v>
      </c>
      <c r="H542" s="35">
        <v>1.4756944444444444</v>
      </c>
      <c r="I542" s="5" t="s">
        <v>259</v>
      </c>
      <c r="J542" s="10" t="s">
        <v>3171</v>
      </c>
      <c r="K542" s="5" t="s">
        <v>360</v>
      </c>
      <c r="L542" s="5" t="s">
        <v>3172</v>
      </c>
      <c r="M542" s="5" t="s">
        <v>45</v>
      </c>
      <c r="N542" s="5">
        <v>0</v>
      </c>
      <c r="O542" s="5" t="s">
        <v>59</v>
      </c>
      <c r="P542" s="10" t="s">
        <v>146</v>
      </c>
      <c r="Q542" s="10" t="s">
        <v>3173</v>
      </c>
      <c r="R542" s="10" t="s">
        <v>363</v>
      </c>
      <c r="S542" s="5">
        <v>0</v>
      </c>
      <c r="T542" s="37">
        <v>2</v>
      </c>
      <c r="U542" s="5">
        <v>0</v>
      </c>
      <c r="V542" s="37">
        <v>0</v>
      </c>
      <c r="W542" s="5">
        <v>0</v>
      </c>
      <c r="X542" s="5">
        <v>2</v>
      </c>
      <c r="Y542" s="5">
        <v>0</v>
      </c>
      <c r="Z542" s="37">
        <v>0</v>
      </c>
      <c r="AA542" s="5">
        <v>0</v>
      </c>
      <c r="AB542" s="5">
        <v>0</v>
      </c>
      <c r="AC542" s="5">
        <v>0</v>
      </c>
      <c r="AD542" s="5">
        <v>0</v>
      </c>
      <c r="AE542" s="10" t="s">
        <v>50</v>
      </c>
      <c r="AF542" s="10"/>
      <c r="AG542" s="10" t="s">
        <v>64</v>
      </c>
      <c r="AH542" s="10" t="s">
        <v>50</v>
      </c>
      <c r="AI542" s="5">
        <v>2</v>
      </c>
      <c r="AJ542" s="10" t="s">
        <v>50</v>
      </c>
      <c r="AK542" s="10" t="s">
        <v>50</v>
      </c>
    </row>
    <row r="543" spans="1:37" ht="36.75" customHeight="1" x14ac:dyDescent="0.35">
      <c r="A543" s="5"/>
      <c r="B543" s="5" t="s">
        <v>37</v>
      </c>
      <c r="C543" s="73" t="str">
        <f t="shared" si="8"/>
        <v>Closed</v>
      </c>
      <c r="D543" s="45" t="s">
        <v>3174</v>
      </c>
      <c r="E543" s="54" t="s">
        <v>3175</v>
      </c>
      <c r="F543" s="5" t="s">
        <v>178</v>
      </c>
      <c r="G543" s="10">
        <f>DATE(2008,9,6)</f>
        <v>39697</v>
      </c>
      <c r="H543" s="35">
        <v>1.3555555555555556</v>
      </c>
      <c r="I543" s="5" t="s">
        <v>55</v>
      </c>
      <c r="J543" s="10" t="s">
        <v>3176</v>
      </c>
      <c r="K543" s="5" t="s">
        <v>181</v>
      </c>
      <c r="L543" s="5" t="s">
        <v>3177</v>
      </c>
      <c r="M543" s="5" t="s">
        <v>45</v>
      </c>
      <c r="N543" s="5">
        <v>0</v>
      </c>
      <c r="O543" s="5" t="s">
        <v>59</v>
      </c>
      <c r="P543" s="10" t="s">
        <v>60</v>
      </c>
      <c r="Q543" s="10" t="s">
        <v>1697</v>
      </c>
      <c r="R543" s="10" t="s">
        <v>184</v>
      </c>
      <c r="S543" s="5">
        <v>0</v>
      </c>
      <c r="T543" s="37" t="s">
        <v>50</v>
      </c>
      <c r="U543" s="5">
        <v>0</v>
      </c>
      <c r="V543" s="37" t="s">
        <v>50</v>
      </c>
      <c r="W543" s="5">
        <v>0</v>
      </c>
      <c r="X543" s="5">
        <v>0</v>
      </c>
      <c r="Y543" s="5">
        <v>0</v>
      </c>
      <c r="Z543" s="37" t="s">
        <v>50</v>
      </c>
      <c r="AA543" s="5">
        <v>0</v>
      </c>
      <c r="AB543" s="5">
        <v>0</v>
      </c>
      <c r="AC543" s="5">
        <v>0</v>
      </c>
      <c r="AD543" s="5">
        <v>0</v>
      </c>
      <c r="AE543" s="10" t="s">
        <v>50</v>
      </c>
      <c r="AF543" s="10"/>
      <c r="AG543" s="10" t="s">
        <v>333</v>
      </c>
      <c r="AH543" s="10" t="s">
        <v>50</v>
      </c>
      <c r="AI543" s="5">
        <v>3</v>
      </c>
      <c r="AJ543" s="10" t="s">
        <v>3178</v>
      </c>
      <c r="AK543" s="10" t="s">
        <v>50</v>
      </c>
    </row>
    <row r="544" spans="1:37" ht="36.75" customHeight="1" x14ac:dyDescent="0.35">
      <c r="A544" s="5"/>
      <c r="B544" s="5" t="s">
        <v>37</v>
      </c>
      <c r="C544" s="73" t="str">
        <f t="shared" si="8"/>
        <v>Closed</v>
      </c>
      <c r="D544" s="45" t="s">
        <v>3179</v>
      </c>
      <c r="E544" s="54" t="s">
        <v>3180</v>
      </c>
      <c r="F544" s="5" t="s">
        <v>816</v>
      </c>
      <c r="G544" s="10">
        <f>DATE(2008,9,6)</f>
        <v>39697</v>
      </c>
      <c r="H544" s="35">
        <v>1.4604166666666667</v>
      </c>
      <c r="I544" s="5" t="s">
        <v>97</v>
      </c>
      <c r="J544" s="10" t="s">
        <v>3181</v>
      </c>
      <c r="K544" s="5" t="s">
        <v>818</v>
      </c>
      <c r="L544" s="5" t="s">
        <v>3182</v>
      </c>
      <c r="M544" s="5" t="s">
        <v>45</v>
      </c>
      <c r="N544" s="5">
        <v>0</v>
      </c>
      <c r="O544" s="5" t="s">
        <v>59</v>
      </c>
      <c r="P544" s="10" t="s">
        <v>146</v>
      </c>
      <c r="Q544" s="10" t="s">
        <v>2776</v>
      </c>
      <c r="R544" s="10" t="s">
        <v>2777</v>
      </c>
      <c r="S544" s="5">
        <v>0</v>
      </c>
      <c r="T544" s="37">
        <v>0</v>
      </c>
      <c r="U544" s="5">
        <v>4</v>
      </c>
      <c r="V544" s="37">
        <v>0</v>
      </c>
      <c r="W544" s="5">
        <v>0</v>
      </c>
      <c r="X544" s="5">
        <v>4</v>
      </c>
      <c r="Y544" s="5">
        <v>0</v>
      </c>
      <c r="Z544" s="37">
        <v>0</v>
      </c>
      <c r="AA544" s="5">
        <v>1</v>
      </c>
      <c r="AB544" s="5">
        <v>0</v>
      </c>
      <c r="AC544" s="5">
        <v>0</v>
      </c>
      <c r="AD544" s="5">
        <v>1</v>
      </c>
      <c r="AE544" s="10" t="s">
        <v>50</v>
      </c>
      <c r="AF544" s="10"/>
      <c r="AG544" s="10" t="s">
        <v>333</v>
      </c>
      <c r="AH544" s="10" t="s">
        <v>50</v>
      </c>
      <c r="AI544" s="5">
        <v>0</v>
      </c>
      <c r="AJ544" s="10" t="s">
        <v>50</v>
      </c>
      <c r="AK544" s="10" t="s">
        <v>50</v>
      </c>
    </row>
    <row r="545" spans="1:37" ht="36.75" customHeight="1" x14ac:dyDescent="0.35">
      <c r="A545" s="5"/>
      <c r="B545" s="5" t="s">
        <v>37</v>
      </c>
      <c r="C545" s="73" t="str">
        <f t="shared" si="8"/>
        <v>Closed</v>
      </c>
      <c r="D545" s="45" t="s">
        <v>3183</v>
      </c>
      <c r="E545" s="54" t="s">
        <v>3184</v>
      </c>
      <c r="F545" s="5" t="s">
        <v>816</v>
      </c>
      <c r="G545" s="10">
        <f>DATE(2008,9,9)</f>
        <v>39700</v>
      </c>
      <c r="H545" s="35">
        <v>1.5368055555555555</v>
      </c>
      <c r="I545" s="5" t="s">
        <v>55</v>
      </c>
      <c r="J545" s="10" t="s">
        <v>3185</v>
      </c>
      <c r="K545" s="5" t="s">
        <v>818</v>
      </c>
      <c r="L545" s="5" t="s">
        <v>3186</v>
      </c>
      <c r="M545" s="5" t="s">
        <v>45</v>
      </c>
      <c r="N545" s="5">
        <v>0</v>
      </c>
      <c r="O545" s="5" t="s">
        <v>59</v>
      </c>
      <c r="P545" s="10" t="s">
        <v>60</v>
      </c>
      <c r="Q545" s="10" t="s">
        <v>1331</v>
      </c>
      <c r="R545" s="10" t="s">
        <v>821</v>
      </c>
      <c r="S545" s="5">
        <v>0</v>
      </c>
      <c r="T545" s="37" t="s">
        <v>50</v>
      </c>
      <c r="U545" s="5">
        <v>0</v>
      </c>
      <c r="V545" s="37" t="s">
        <v>50</v>
      </c>
      <c r="W545" s="5">
        <v>0</v>
      </c>
      <c r="X545" s="5">
        <v>0</v>
      </c>
      <c r="Y545" s="5">
        <v>0</v>
      </c>
      <c r="Z545" s="37" t="s">
        <v>50</v>
      </c>
      <c r="AA545" s="5">
        <v>0</v>
      </c>
      <c r="AB545" s="5">
        <v>0</v>
      </c>
      <c r="AC545" s="5">
        <v>0</v>
      </c>
      <c r="AD545" s="5">
        <v>0</v>
      </c>
      <c r="AE545" s="10" t="s">
        <v>50</v>
      </c>
      <c r="AF545" s="10"/>
      <c r="AG545" s="10" t="s">
        <v>333</v>
      </c>
      <c r="AH545" s="10" t="s">
        <v>50</v>
      </c>
      <c r="AI545" s="5">
        <v>0</v>
      </c>
      <c r="AJ545" s="10" t="s">
        <v>50</v>
      </c>
      <c r="AK545" s="10" t="s">
        <v>50</v>
      </c>
    </row>
    <row r="546" spans="1:37" ht="36.75" customHeight="1" x14ac:dyDescent="0.35">
      <c r="A546" s="5"/>
      <c r="B546" s="5" t="s">
        <v>37</v>
      </c>
      <c r="C546" s="73" t="str">
        <f t="shared" si="8"/>
        <v>Closed</v>
      </c>
      <c r="D546" s="45" t="s">
        <v>3187</v>
      </c>
      <c r="E546" s="54" t="s">
        <v>3188</v>
      </c>
      <c r="F546" s="5" t="s">
        <v>619</v>
      </c>
      <c r="G546" s="10">
        <f>DATE(2008,9,10)</f>
        <v>39701</v>
      </c>
      <c r="H546" s="35">
        <v>1.6347222222222222</v>
      </c>
      <c r="I546" s="5" t="s">
        <v>259</v>
      </c>
      <c r="J546" s="10" t="s">
        <v>3189</v>
      </c>
      <c r="K546" s="5" t="s">
        <v>621</v>
      </c>
      <c r="L546" s="5" t="s">
        <v>3190</v>
      </c>
      <c r="M546" s="5" t="s">
        <v>45</v>
      </c>
      <c r="N546" s="5">
        <v>0</v>
      </c>
      <c r="O546" s="5" t="s">
        <v>59</v>
      </c>
      <c r="P546" s="10" t="s">
        <v>60</v>
      </c>
      <c r="Q546" s="10" t="s">
        <v>3191</v>
      </c>
      <c r="R546" s="10" t="s">
        <v>624</v>
      </c>
      <c r="S546" s="5">
        <v>0</v>
      </c>
      <c r="T546" s="37">
        <v>0</v>
      </c>
      <c r="U546" s="5">
        <v>0</v>
      </c>
      <c r="V546" s="37">
        <v>1</v>
      </c>
      <c r="W546" s="5">
        <v>0</v>
      </c>
      <c r="X546" s="5">
        <v>1</v>
      </c>
      <c r="Y546" s="5">
        <v>0</v>
      </c>
      <c r="Z546" s="37">
        <v>0</v>
      </c>
      <c r="AA546" s="5">
        <v>0</v>
      </c>
      <c r="AB546" s="5">
        <v>0</v>
      </c>
      <c r="AC546" s="5">
        <v>0</v>
      </c>
      <c r="AD546" s="5">
        <v>0</v>
      </c>
      <c r="AE546" s="10" t="s">
        <v>50</v>
      </c>
      <c r="AF546" s="10"/>
      <c r="AG546" s="10" t="s">
        <v>229</v>
      </c>
      <c r="AH546" s="10" t="s">
        <v>50</v>
      </c>
      <c r="AI546" s="5">
        <v>1</v>
      </c>
      <c r="AJ546" s="10" t="s">
        <v>50</v>
      </c>
      <c r="AK546" s="10" t="s">
        <v>50</v>
      </c>
    </row>
    <row r="547" spans="1:37" ht="36.75" customHeight="1" x14ac:dyDescent="0.35">
      <c r="A547" s="5"/>
      <c r="B547" s="5" t="s">
        <v>37</v>
      </c>
      <c r="C547" s="73" t="str">
        <f t="shared" si="8"/>
        <v>Closed</v>
      </c>
      <c r="D547" s="45" t="s">
        <v>3192</v>
      </c>
      <c r="E547" s="54" t="s">
        <v>3193</v>
      </c>
      <c r="F547" s="5" t="s">
        <v>96</v>
      </c>
      <c r="G547" s="10">
        <f>DATE(2008,9,11)</f>
        <v>39702</v>
      </c>
      <c r="H547" s="35">
        <v>1.6597222222222223</v>
      </c>
      <c r="I547" s="5" t="s">
        <v>106</v>
      </c>
      <c r="J547" s="10" t="s">
        <v>3194</v>
      </c>
      <c r="K547" s="5" t="s">
        <v>99</v>
      </c>
      <c r="L547" s="5" t="s">
        <v>3195</v>
      </c>
      <c r="M547" s="5" t="s">
        <v>45</v>
      </c>
      <c r="N547" s="5">
        <v>0</v>
      </c>
      <c r="O547" s="5" t="s">
        <v>46</v>
      </c>
      <c r="P547" s="10" t="s">
        <v>60</v>
      </c>
      <c r="Q547" s="10" t="s">
        <v>996</v>
      </c>
      <c r="R547" s="10" t="s">
        <v>996</v>
      </c>
      <c r="S547" s="5">
        <v>0</v>
      </c>
      <c r="T547" s="37" t="s">
        <v>50</v>
      </c>
      <c r="U547" s="5">
        <v>0</v>
      </c>
      <c r="V547" s="37" t="s">
        <v>50</v>
      </c>
      <c r="W547" s="5">
        <v>0</v>
      </c>
      <c r="X547" s="5">
        <v>0</v>
      </c>
      <c r="Y547" s="5">
        <v>0</v>
      </c>
      <c r="Z547" s="37" t="s">
        <v>50</v>
      </c>
      <c r="AA547" s="5">
        <v>0</v>
      </c>
      <c r="AB547" s="5">
        <v>0</v>
      </c>
      <c r="AC547" s="5">
        <v>0</v>
      </c>
      <c r="AD547" s="5">
        <v>0</v>
      </c>
      <c r="AE547" s="10" t="s">
        <v>50</v>
      </c>
      <c r="AF547" s="10"/>
      <c r="AG547" s="10" t="s">
        <v>64</v>
      </c>
      <c r="AH547" s="10" t="s">
        <v>50</v>
      </c>
      <c r="AI547" s="5">
        <v>6</v>
      </c>
      <c r="AJ547" s="10" t="s">
        <v>3196</v>
      </c>
      <c r="AK547" s="10" t="s">
        <v>50</v>
      </c>
    </row>
    <row r="548" spans="1:37" ht="36.75" customHeight="1" x14ac:dyDescent="0.35">
      <c r="A548" s="5"/>
      <c r="B548" s="5" t="s">
        <v>37</v>
      </c>
      <c r="C548" s="73" t="str">
        <f t="shared" si="8"/>
        <v>Closed</v>
      </c>
      <c r="D548" s="45" t="s">
        <v>3197</v>
      </c>
      <c r="E548" s="54" t="s">
        <v>3198</v>
      </c>
      <c r="F548" s="5" t="s">
        <v>178</v>
      </c>
      <c r="G548" s="10">
        <f>DATE(2008,9,12)</f>
        <v>39703</v>
      </c>
      <c r="H548" s="35">
        <v>1.9430555555555555</v>
      </c>
      <c r="I548" s="5" t="s">
        <v>55</v>
      </c>
      <c r="J548" s="10" t="s">
        <v>3199</v>
      </c>
      <c r="K548" s="5" t="s">
        <v>181</v>
      </c>
      <c r="L548" s="5" t="s">
        <v>3200</v>
      </c>
      <c r="M548" s="5" t="s">
        <v>45</v>
      </c>
      <c r="N548" s="5">
        <v>0</v>
      </c>
      <c r="O548" s="5" t="s">
        <v>71</v>
      </c>
      <c r="P548" s="10" t="s">
        <v>60</v>
      </c>
      <c r="Q548" s="10" t="s">
        <v>1697</v>
      </c>
      <c r="R548" s="10" t="s">
        <v>184</v>
      </c>
      <c r="S548" s="5">
        <v>0</v>
      </c>
      <c r="T548" s="37" t="s">
        <v>50</v>
      </c>
      <c r="U548" s="5">
        <v>0</v>
      </c>
      <c r="V548" s="37" t="s">
        <v>50</v>
      </c>
      <c r="W548" s="5">
        <v>0</v>
      </c>
      <c r="X548" s="5">
        <v>0</v>
      </c>
      <c r="Y548" s="5">
        <v>0</v>
      </c>
      <c r="Z548" s="37" t="s">
        <v>50</v>
      </c>
      <c r="AA548" s="5">
        <v>0</v>
      </c>
      <c r="AB548" s="5">
        <v>0</v>
      </c>
      <c r="AC548" s="5">
        <v>0</v>
      </c>
      <c r="AD548" s="5">
        <v>0</v>
      </c>
      <c r="AE548" s="10" t="s">
        <v>50</v>
      </c>
      <c r="AF548" s="10"/>
      <c r="AG548" s="10" t="s">
        <v>333</v>
      </c>
      <c r="AH548" s="10" t="s">
        <v>50</v>
      </c>
      <c r="AI548" s="5">
        <v>1</v>
      </c>
      <c r="AJ548" s="10" t="s">
        <v>3201</v>
      </c>
      <c r="AK548" s="10" t="s">
        <v>3202</v>
      </c>
    </row>
    <row r="549" spans="1:37" ht="36.75" customHeight="1" x14ac:dyDescent="0.35">
      <c r="A549" s="5"/>
      <c r="B549" s="5" t="s">
        <v>37</v>
      </c>
      <c r="C549" s="73" t="str">
        <f t="shared" si="8"/>
        <v>Closed</v>
      </c>
      <c r="D549" s="45" t="s">
        <v>3203</v>
      </c>
      <c r="E549" s="54" t="s">
        <v>3204</v>
      </c>
      <c r="F549" s="5" t="s">
        <v>619</v>
      </c>
      <c r="G549" s="10">
        <f>DATE(2008,9,12)</f>
        <v>39703</v>
      </c>
      <c r="H549" s="35">
        <v>1.8256944444444443</v>
      </c>
      <c r="I549" s="5" t="s">
        <v>259</v>
      </c>
      <c r="J549" s="10" t="s">
        <v>3205</v>
      </c>
      <c r="K549" s="5" t="s">
        <v>621</v>
      </c>
      <c r="L549" s="5" t="s">
        <v>3206</v>
      </c>
      <c r="M549" s="5" t="s">
        <v>45</v>
      </c>
      <c r="N549" s="5">
        <v>0</v>
      </c>
      <c r="O549" s="5" t="s">
        <v>59</v>
      </c>
      <c r="P549" s="10" t="s">
        <v>60</v>
      </c>
      <c r="Q549" s="10" t="s">
        <v>623</v>
      </c>
      <c r="R549" s="10" t="s">
        <v>624</v>
      </c>
      <c r="S549" s="5">
        <v>0</v>
      </c>
      <c r="T549" s="37">
        <v>0</v>
      </c>
      <c r="U549" s="5">
        <v>0</v>
      </c>
      <c r="V549" s="37">
        <v>1</v>
      </c>
      <c r="W549" s="5">
        <v>0</v>
      </c>
      <c r="X549" s="5">
        <v>1</v>
      </c>
      <c r="Y549" s="5">
        <v>0</v>
      </c>
      <c r="Z549" s="37">
        <v>0</v>
      </c>
      <c r="AA549" s="5">
        <v>0</v>
      </c>
      <c r="AB549" s="5">
        <v>0</v>
      </c>
      <c r="AC549" s="5">
        <v>0</v>
      </c>
      <c r="AD549" s="5">
        <v>0</v>
      </c>
      <c r="AE549" s="10" t="s">
        <v>50</v>
      </c>
      <c r="AF549" s="10"/>
      <c r="AG549" s="10" t="s">
        <v>229</v>
      </c>
      <c r="AH549" s="10" t="s">
        <v>50</v>
      </c>
      <c r="AI549" s="5">
        <v>1</v>
      </c>
      <c r="AJ549" s="10" t="s">
        <v>50</v>
      </c>
      <c r="AK549" s="10" t="s">
        <v>50</v>
      </c>
    </row>
    <row r="550" spans="1:37" ht="36.75" customHeight="1" x14ac:dyDescent="0.35">
      <c r="A550" s="5"/>
      <c r="B550" s="5" t="s">
        <v>37</v>
      </c>
      <c r="C550" s="73" t="str">
        <f t="shared" si="8"/>
        <v>Closed</v>
      </c>
      <c r="D550" s="45" t="s">
        <v>3207</v>
      </c>
      <c r="E550" s="54" t="s">
        <v>3208</v>
      </c>
      <c r="F550" s="5" t="s">
        <v>404</v>
      </c>
      <c r="G550" s="10">
        <f>DATE(2008,9,13)</f>
        <v>39704</v>
      </c>
      <c r="H550" s="35">
        <v>1.0979166666666667</v>
      </c>
      <c r="I550" s="5" t="s">
        <v>179</v>
      </c>
      <c r="J550" s="10" t="s">
        <v>3209</v>
      </c>
      <c r="K550" s="5" t="s">
        <v>406</v>
      </c>
      <c r="L550" s="5" t="s">
        <v>3210</v>
      </c>
      <c r="M550" s="5" t="s">
        <v>45</v>
      </c>
      <c r="N550" s="5">
        <v>0</v>
      </c>
      <c r="O550" s="5" t="s">
        <v>46</v>
      </c>
      <c r="P550" s="10" t="s">
        <v>60</v>
      </c>
      <c r="Q550" s="10" t="s">
        <v>2562</v>
      </c>
      <c r="R550" s="10" t="s">
        <v>3083</v>
      </c>
      <c r="S550" s="5">
        <v>0</v>
      </c>
      <c r="T550" s="37">
        <v>1</v>
      </c>
      <c r="U550" s="5">
        <v>0</v>
      </c>
      <c r="V550" s="37">
        <v>0</v>
      </c>
      <c r="W550" s="5">
        <v>0</v>
      </c>
      <c r="X550" s="5">
        <v>1</v>
      </c>
      <c r="Y550" s="5">
        <v>0</v>
      </c>
      <c r="Z550" s="37">
        <v>0</v>
      </c>
      <c r="AA550" s="5">
        <v>0</v>
      </c>
      <c r="AB550" s="5">
        <v>0</v>
      </c>
      <c r="AC550" s="5">
        <v>0</v>
      </c>
      <c r="AD550" s="5">
        <v>0</v>
      </c>
      <c r="AE550" s="10" t="s">
        <v>50</v>
      </c>
      <c r="AF550" s="10"/>
      <c r="AG550" s="10" t="s">
        <v>64</v>
      </c>
      <c r="AH550" s="10" t="s">
        <v>50</v>
      </c>
      <c r="AI550" s="5">
        <v>0</v>
      </c>
      <c r="AJ550" s="10" t="s">
        <v>50</v>
      </c>
      <c r="AK550" s="10" t="s">
        <v>50</v>
      </c>
    </row>
    <row r="551" spans="1:37" ht="36.75" customHeight="1" x14ac:dyDescent="0.35">
      <c r="A551" s="5"/>
      <c r="B551" s="5" t="s">
        <v>37</v>
      </c>
      <c r="C551" s="73" t="str">
        <f t="shared" si="8"/>
        <v>Closed</v>
      </c>
      <c r="D551" s="45" t="s">
        <v>3211</v>
      </c>
      <c r="E551" s="54" t="s">
        <v>3212</v>
      </c>
      <c r="F551" s="5" t="s">
        <v>214</v>
      </c>
      <c r="G551" s="10">
        <f>DATE(2008,9,13)</f>
        <v>39704</v>
      </c>
      <c r="H551" s="35">
        <v>1.6090277777777779</v>
      </c>
      <c r="I551" s="5" t="s">
        <v>97</v>
      </c>
      <c r="J551" s="10" t="s">
        <v>3213</v>
      </c>
      <c r="K551" s="5" t="s">
        <v>216</v>
      </c>
      <c r="L551" s="5" t="s">
        <v>3214</v>
      </c>
      <c r="M551" s="5" t="s">
        <v>236</v>
      </c>
      <c r="N551" s="5">
        <v>0</v>
      </c>
      <c r="O551" s="5" t="s">
        <v>46</v>
      </c>
      <c r="P551" s="10" t="s">
        <v>67</v>
      </c>
      <c r="Q551" s="10" t="s">
        <v>1875</v>
      </c>
      <c r="R551" s="10" t="s">
        <v>1874</v>
      </c>
      <c r="S551" s="5">
        <v>0</v>
      </c>
      <c r="T551" s="37">
        <v>0</v>
      </c>
      <c r="U551" s="5">
        <v>1</v>
      </c>
      <c r="V551" s="37">
        <v>0</v>
      </c>
      <c r="W551" s="5">
        <v>0</v>
      </c>
      <c r="X551" s="5">
        <v>1</v>
      </c>
      <c r="Y551" s="5">
        <v>0</v>
      </c>
      <c r="Z551" s="37">
        <v>0</v>
      </c>
      <c r="AA551" s="5">
        <v>0</v>
      </c>
      <c r="AB551" s="5">
        <v>0</v>
      </c>
      <c r="AC551" s="5">
        <v>0</v>
      </c>
      <c r="AD551" s="5">
        <v>0</v>
      </c>
      <c r="AE551" s="10" t="s">
        <v>50</v>
      </c>
      <c r="AF551" s="10"/>
      <c r="AG551" s="10" t="s">
        <v>64</v>
      </c>
      <c r="AH551" s="10" t="s">
        <v>50</v>
      </c>
      <c r="AI551" s="5">
        <v>1</v>
      </c>
      <c r="AJ551" s="10" t="s">
        <v>3215</v>
      </c>
      <c r="AK551" s="10" t="s">
        <v>3216</v>
      </c>
    </row>
    <row r="552" spans="1:37" ht="36.75" customHeight="1" x14ac:dyDescent="0.35">
      <c r="A552" s="5"/>
      <c r="B552" s="5" t="s">
        <v>37</v>
      </c>
      <c r="C552" s="73" t="str">
        <f t="shared" si="8"/>
        <v>Closed</v>
      </c>
      <c r="D552" s="45" t="s">
        <v>3217</v>
      </c>
      <c r="E552" s="54" t="s">
        <v>3218</v>
      </c>
      <c r="F552" s="5" t="s">
        <v>619</v>
      </c>
      <c r="G552" s="10">
        <f>DATE(2008,9,25)</f>
        <v>39716</v>
      </c>
      <c r="H552" s="35">
        <v>1.5562499999999999</v>
      </c>
      <c r="I552" s="5" t="s">
        <v>259</v>
      </c>
      <c r="J552" s="10" t="s">
        <v>3219</v>
      </c>
      <c r="K552" s="5" t="s">
        <v>621</v>
      </c>
      <c r="L552" s="5" t="s">
        <v>3220</v>
      </c>
      <c r="M552" s="5" t="s">
        <v>45</v>
      </c>
      <c r="N552" s="5">
        <v>0</v>
      </c>
      <c r="O552" s="5" t="s">
        <v>46</v>
      </c>
      <c r="P552" s="10" t="s">
        <v>146</v>
      </c>
      <c r="Q552" s="10" t="s">
        <v>623</v>
      </c>
      <c r="R552" s="10" t="s">
        <v>624</v>
      </c>
      <c r="S552" s="5">
        <v>0</v>
      </c>
      <c r="T552" s="37">
        <v>0</v>
      </c>
      <c r="U552" s="5">
        <v>0</v>
      </c>
      <c r="V552" s="37">
        <v>1</v>
      </c>
      <c r="W552" s="5">
        <v>0</v>
      </c>
      <c r="X552" s="5">
        <v>1</v>
      </c>
      <c r="Y552" s="5">
        <v>0</v>
      </c>
      <c r="Z552" s="37">
        <v>0</v>
      </c>
      <c r="AA552" s="5">
        <v>0</v>
      </c>
      <c r="AB552" s="5">
        <v>0</v>
      </c>
      <c r="AC552" s="5">
        <v>0</v>
      </c>
      <c r="AD552" s="5">
        <v>0</v>
      </c>
      <c r="AE552" s="10" t="s">
        <v>50</v>
      </c>
      <c r="AF552" s="10"/>
      <c r="AG552" s="10" t="s">
        <v>229</v>
      </c>
      <c r="AH552" s="10" t="s">
        <v>50</v>
      </c>
      <c r="AI552" s="5">
        <v>1</v>
      </c>
      <c r="AJ552" s="10" t="s">
        <v>50</v>
      </c>
      <c r="AK552" s="10" t="s">
        <v>50</v>
      </c>
    </row>
    <row r="553" spans="1:37" ht="36.75" customHeight="1" x14ac:dyDescent="0.35">
      <c r="A553" s="5"/>
      <c r="B553" s="5" t="s">
        <v>37</v>
      </c>
      <c r="C553" s="73" t="str">
        <f t="shared" si="8"/>
        <v>Closed</v>
      </c>
      <c r="D553" s="45" t="s">
        <v>3221</v>
      </c>
      <c r="E553" s="54" t="s">
        <v>3222</v>
      </c>
      <c r="F553" s="5" t="s">
        <v>619</v>
      </c>
      <c r="G553" s="10">
        <f>DATE(2008,9,25)</f>
        <v>39716</v>
      </c>
      <c r="H553" s="35">
        <v>1.7013888888888888</v>
      </c>
      <c r="I553" s="5" t="s">
        <v>137</v>
      </c>
      <c r="J553" s="10" t="s">
        <v>3223</v>
      </c>
      <c r="K553" s="5" t="s">
        <v>621</v>
      </c>
      <c r="L553" s="5" t="s">
        <v>3224</v>
      </c>
      <c r="M553" s="5" t="s">
        <v>45</v>
      </c>
      <c r="N553" s="5">
        <v>0</v>
      </c>
      <c r="O553" s="5" t="s">
        <v>59</v>
      </c>
      <c r="P553" s="10" t="s">
        <v>67</v>
      </c>
      <c r="Q553" s="10" t="s">
        <v>3225</v>
      </c>
      <c r="R553" s="10" t="s">
        <v>3226</v>
      </c>
      <c r="S553" s="5">
        <v>0</v>
      </c>
      <c r="T553" s="37" t="s">
        <v>50</v>
      </c>
      <c r="U553" s="5">
        <v>0</v>
      </c>
      <c r="V553" s="37" t="s">
        <v>50</v>
      </c>
      <c r="W553" s="5">
        <v>0</v>
      </c>
      <c r="X553" s="5">
        <v>0</v>
      </c>
      <c r="Y553" s="5">
        <v>0</v>
      </c>
      <c r="Z553" s="37" t="s">
        <v>50</v>
      </c>
      <c r="AA553" s="5">
        <v>0</v>
      </c>
      <c r="AB553" s="5">
        <v>0</v>
      </c>
      <c r="AC553" s="5">
        <v>0</v>
      </c>
      <c r="AD553" s="5">
        <v>0</v>
      </c>
      <c r="AE553" s="10" t="s">
        <v>50</v>
      </c>
      <c r="AF553" s="10"/>
      <c r="AG553" s="10" t="s">
        <v>114</v>
      </c>
      <c r="AH553" s="10" t="s">
        <v>50</v>
      </c>
      <c r="AI553" s="5">
        <v>1</v>
      </c>
      <c r="AJ553" s="10" t="s">
        <v>3227</v>
      </c>
      <c r="AK553" s="10" t="s">
        <v>50</v>
      </c>
    </row>
    <row r="554" spans="1:37" ht="36.75" customHeight="1" x14ac:dyDescent="0.35">
      <c r="A554" s="5"/>
      <c r="B554" s="5" t="s">
        <v>37</v>
      </c>
      <c r="C554" s="73" t="str">
        <f t="shared" si="8"/>
        <v>Closed</v>
      </c>
      <c r="D554" s="45" t="s">
        <v>3228</v>
      </c>
      <c r="E554" s="54" t="s">
        <v>3229</v>
      </c>
      <c r="F554" s="5" t="s">
        <v>40</v>
      </c>
      <c r="G554" s="10">
        <f>DATE(2008,9,25)</f>
        <v>39716</v>
      </c>
      <c r="H554" s="35">
        <v>1.6791666666666667</v>
      </c>
      <c r="I554" s="5" t="s">
        <v>97</v>
      </c>
      <c r="J554" s="10" t="s">
        <v>3230</v>
      </c>
      <c r="K554" s="5" t="s">
        <v>43</v>
      </c>
      <c r="L554" s="5" t="s">
        <v>3231</v>
      </c>
      <c r="M554" s="5" t="s">
        <v>45</v>
      </c>
      <c r="N554" s="5">
        <v>0</v>
      </c>
      <c r="O554" s="5" t="s">
        <v>46</v>
      </c>
      <c r="P554" s="10" t="s">
        <v>47</v>
      </c>
      <c r="Q554" s="10" t="s">
        <v>48</v>
      </c>
      <c r="R554" s="10" t="s">
        <v>49</v>
      </c>
      <c r="S554" s="5">
        <v>0</v>
      </c>
      <c r="T554" s="37">
        <v>0</v>
      </c>
      <c r="U554" s="5">
        <v>2</v>
      </c>
      <c r="V554" s="37">
        <v>0</v>
      </c>
      <c r="W554" s="5">
        <v>0</v>
      </c>
      <c r="X554" s="5">
        <v>2</v>
      </c>
      <c r="Y554" s="5">
        <v>0</v>
      </c>
      <c r="Z554" s="37">
        <v>0</v>
      </c>
      <c r="AA554" s="5">
        <v>0</v>
      </c>
      <c r="AB554" s="5">
        <v>0</v>
      </c>
      <c r="AC554" s="5">
        <v>0</v>
      </c>
      <c r="AD554" s="5">
        <v>0</v>
      </c>
      <c r="AE554" s="10" t="s">
        <v>50</v>
      </c>
      <c r="AF554" s="10"/>
      <c r="AG554" s="10" t="s">
        <v>64</v>
      </c>
      <c r="AH554" s="10" t="s">
        <v>50</v>
      </c>
      <c r="AI554" s="5">
        <v>0</v>
      </c>
      <c r="AJ554" s="10" t="s">
        <v>3232</v>
      </c>
      <c r="AK554" s="10" t="s">
        <v>50</v>
      </c>
    </row>
    <row r="555" spans="1:37" ht="36.75" customHeight="1" x14ac:dyDescent="0.35">
      <c r="A555" s="5"/>
      <c r="B555" s="5" t="s">
        <v>37</v>
      </c>
      <c r="C555" s="73" t="str">
        <f t="shared" si="8"/>
        <v>Closed</v>
      </c>
      <c r="D555" s="45" t="s">
        <v>3233</v>
      </c>
      <c r="E555" s="54" t="s">
        <v>3234</v>
      </c>
      <c r="F555" s="5" t="s">
        <v>619</v>
      </c>
      <c r="G555" s="10">
        <f>DATE(2008,9,28)</f>
        <v>39719</v>
      </c>
      <c r="H555" s="35">
        <v>1.5659722222222223</v>
      </c>
      <c r="I555" s="5" t="s">
        <v>259</v>
      </c>
      <c r="J555" s="10" t="s">
        <v>3235</v>
      </c>
      <c r="K555" s="5" t="s">
        <v>621</v>
      </c>
      <c r="L555" s="5" t="s">
        <v>3236</v>
      </c>
      <c r="M555" s="5" t="s">
        <v>45</v>
      </c>
      <c r="N555" s="5">
        <v>0</v>
      </c>
      <c r="O555" s="5" t="s">
        <v>46</v>
      </c>
      <c r="P555" s="10" t="s">
        <v>146</v>
      </c>
      <c r="Q555" s="10" t="s">
        <v>623</v>
      </c>
      <c r="R555" s="10" t="s">
        <v>624</v>
      </c>
      <c r="S555" s="5">
        <v>0</v>
      </c>
      <c r="T555" s="37">
        <v>0</v>
      </c>
      <c r="U555" s="5">
        <v>0</v>
      </c>
      <c r="V555" s="37">
        <v>1</v>
      </c>
      <c r="W555" s="5">
        <v>0</v>
      </c>
      <c r="X555" s="5">
        <v>1</v>
      </c>
      <c r="Y555" s="5">
        <v>0</v>
      </c>
      <c r="Z555" s="37">
        <v>0</v>
      </c>
      <c r="AA555" s="5">
        <v>0</v>
      </c>
      <c r="AB555" s="5">
        <v>0</v>
      </c>
      <c r="AC555" s="5">
        <v>0</v>
      </c>
      <c r="AD555" s="5">
        <v>0</v>
      </c>
      <c r="AE555" s="10" t="s">
        <v>50</v>
      </c>
      <c r="AF555" s="10"/>
      <c r="AG555" s="10" t="s">
        <v>229</v>
      </c>
      <c r="AH555" s="10" t="s">
        <v>50</v>
      </c>
      <c r="AI555" s="5">
        <v>1</v>
      </c>
      <c r="AJ555" s="10" t="s">
        <v>50</v>
      </c>
      <c r="AK555" s="10" t="s">
        <v>50</v>
      </c>
    </row>
    <row r="556" spans="1:37" ht="36.75" customHeight="1" x14ac:dyDescent="0.35">
      <c r="A556" s="5"/>
      <c r="B556" s="5" t="s">
        <v>37</v>
      </c>
      <c r="C556" s="73" t="str">
        <f t="shared" si="8"/>
        <v>Closed</v>
      </c>
      <c r="D556" s="45" t="s">
        <v>3237</v>
      </c>
      <c r="E556" s="54" t="s">
        <v>3238</v>
      </c>
      <c r="F556" s="5" t="s">
        <v>619</v>
      </c>
      <c r="G556" s="10">
        <f>DATE(2008,10,2)</f>
        <v>39723</v>
      </c>
      <c r="H556" s="35">
        <v>1.7583333333333333</v>
      </c>
      <c r="I556" s="5" t="s">
        <v>259</v>
      </c>
      <c r="J556" s="10" t="s">
        <v>3239</v>
      </c>
      <c r="K556" s="5" t="s">
        <v>621</v>
      </c>
      <c r="L556" s="5" t="s">
        <v>3240</v>
      </c>
      <c r="M556" s="5" t="s">
        <v>45</v>
      </c>
      <c r="N556" s="5">
        <v>0</v>
      </c>
      <c r="O556" s="5" t="s">
        <v>46</v>
      </c>
      <c r="P556" s="10" t="s">
        <v>146</v>
      </c>
      <c r="Q556" s="10" t="s">
        <v>3226</v>
      </c>
      <c r="R556" s="10" t="s">
        <v>3226</v>
      </c>
      <c r="S556" s="5">
        <v>0</v>
      </c>
      <c r="T556" s="37">
        <v>0</v>
      </c>
      <c r="U556" s="5">
        <v>0</v>
      </c>
      <c r="V556" s="37">
        <v>1</v>
      </c>
      <c r="W556" s="5">
        <v>0</v>
      </c>
      <c r="X556" s="5">
        <v>1</v>
      </c>
      <c r="Y556" s="5">
        <v>0</v>
      </c>
      <c r="Z556" s="37">
        <v>0</v>
      </c>
      <c r="AA556" s="5">
        <v>0</v>
      </c>
      <c r="AB556" s="5">
        <v>0</v>
      </c>
      <c r="AC556" s="5">
        <v>0</v>
      </c>
      <c r="AD556" s="5">
        <v>0</v>
      </c>
      <c r="AE556" s="10" t="s">
        <v>50</v>
      </c>
      <c r="AF556" s="10"/>
      <c r="AG556" s="10" t="s">
        <v>229</v>
      </c>
      <c r="AH556" s="10" t="s">
        <v>50</v>
      </c>
      <c r="AI556" s="5">
        <v>2</v>
      </c>
      <c r="AJ556" s="10" t="s">
        <v>50</v>
      </c>
      <c r="AK556" s="10" t="s">
        <v>50</v>
      </c>
    </row>
    <row r="557" spans="1:37" ht="36.75" customHeight="1" x14ac:dyDescent="0.35">
      <c r="A557" s="5"/>
      <c r="B557" s="5" t="s">
        <v>37</v>
      </c>
      <c r="C557" s="73" t="str">
        <f t="shared" si="8"/>
        <v>Closed</v>
      </c>
      <c r="D557" s="45" t="s">
        <v>3241</v>
      </c>
      <c r="E557" s="54" t="s">
        <v>3242</v>
      </c>
      <c r="F557" s="5" t="s">
        <v>816</v>
      </c>
      <c r="G557" s="10">
        <f>DATE(2008,10,6)</f>
        <v>39727</v>
      </c>
      <c r="H557" s="35">
        <v>1.4347222222222222</v>
      </c>
      <c r="I557" s="5" t="s">
        <v>179</v>
      </c>
      <c r="J557" s="10" t="s">
        <v>3243</v>
      </c>
      <c r="K557" s="5" t="s">
        <v>818</v>
      </c>
      <c r="L557" s="5" t="s">
        <v>3244</v>
      </c>
      <c r="M557" s="5" t="s">
        <v>45</v>
      </c>
      <c r="N557" s="5">
        <v>0</v>
      </c>
      <c r="O557" s="5" t="s">
        <v>46</v>
      </c>
      <c r="P557" s="10" t="s">
        <v>1198</v>
      </c>
      <c r="Q557" s="10" t="s">
        <v>3245</v>
      </c>
      <c r="R557" s="10" t="s">
        <v>821</v>
      </c>
      <c r="S557" s="5">
        <v>1</v>
      </c>
      <c r="T557" s="37">
        <v>3</v>
      </c>
      <c r="U557" s="5">
        <v>0</v>
      </c>
      <c r="V557" s="37">
        <v>0</v>
      </c>
      <c r="W557" s="5">
        <v>0</v>
      </c>
      <c r="X557" s="5">
        <v>4</v>
      </c>
      <c r="Y557" s="5">
        <v>4</v>
      </c>
      <c r="Z557" s="37">
        <v>0</v>
      </c>
      <c r="AA557" s="5">
        <v>0</v>
      </c>
      <c r="AB557" s="5">
        <v>0</v>
      </c>
      <c r="AC557" s="5">
        <v>0</v>
      </c>
      <c r="AD557" s="5">
        <v>4</v>
      </c>
      <c r="AE557" s="10" t="s">
        <v>50</v>
      </c>
      <c r="AF557" s="10"/>
      <c r="AG557" s="10" t="s">
        <v>64</v>
      </c>
      <c r="AH557" s="10" t="s">
        <v>50</v>
      </c>
      <c r="AI557" s="5">
        <v>5</v>
      </c>
      <c r="AJ557" s="10" t="s">
        <v>50</v>
      </c>
      <c r="AK557" s="10" t="s">
        <v>50</v>
      </c>
    </row>
    <row r="558" spans="1:37" ht="36.75" customHeight="1" x14ac:dyDescent="0.35">
      <c r="A558" s="5"/>
      <c r="B558" s="5" t="s">
        <v>37</v>
      </c>
      <c r="C558" s="73" t="str">
        <f t="shared" si="8"/>
        <v>Closed</v>
      </c>
      <c r="D558" s="45" t="s">
        <v>3246</v>
      </c>
      <c r="E558" s="54" t="s">
        <v>3247</v>
      </c>
      <c r="F558" s="5" t="s">
        <v>619</v>
      </c>
      <c r="G558" s="10">
        <f>DATE(2008,10,12)</f>
        <v>39733</v>
      </c>
      <c r="H558" s="35">
        <v>1.5520833333333335</v>
      </c>
      <c r="I558" s="5" t="s">
        <v>259</v>
      </c>
      <c r="J558" s="10" t="s">
        <v>3248</v>
      </c>
      <c r="K558" s="5" t="s">
        <v>621</v>
      </c>
      <c r="L558" s="5" t="s">
        <v>3249</v>
      </c>
      <c r="M558" s="5" t="s">
        <v>45</v>
      </c>
      <c r="N558" s="5">
        <v>0</v>
      </c>
      <c r="O558" s="5" t="s">
        <v>59</v>
      </c>
      <c r="P558" s="10" t="s">
        <v>72</v>
      </c>
      <c r="Q558" s="10" t="s">
        <v>3226</v>
      </c>
      <c r="R558" s="10" t="s">
        <v>3226</v>
      </c>
      <c r="S558" s="5">
        <v>0</v>
      </c>
      <c r="T558" s="37">
        <v>0</v>
      </c>
      <c r="U558" s="5">
        <v>0</v>
      </c>
      <c r="V558" s="37">
        <v>1</v>
      </c>
      <c r="W558" s="5">
        <v>0</v>
      </c>
      <c r="X558" s="5">
        <v>1</v>
      </c>
      <c r="Y558" s="5">
        <v>0</v>
      </c>
      <c r="Z558" s="37">
        <v>0</v>
      </c>
      <c r="AA558" s="5">
        <v>0</v>
      </c>
      <c r="AB558" s="5">
        <v>0</v>
      </c>
      <c r="AC558" s="5">
        <v>0</v>
      </c>
      <c r="AD558" s="5">
        <v>0</v>
      </c>
      <c r="AE558" s="10" t="s">
        <v>50</v>
      </c>
      <c r="AF558" s="10"/>
      <c r="AG558" s="10" t="s">
        <v>229</v>
      </c>
      <c r="AH558" s="10" t="s">
        <v>50</v>
      </c>
      <c r="AI558" s="5">
        <v>3</v>
      </c>
      <c r="AJ558" s="10" t="s">
        <v>50</v>
      </c>
      <c r="AK558" s="10" t="s">
        <v>50</v>
      </c>
    </row>
    <row r="559" spans="1:37" ht="36.75" customHeight="1" x14ac:dyDescent="0.35">
      <c r="A559" s="5"/>
      <c r="B559" s="5" t="s">
        <v>37</v>
      </c>
      <c r="C559" s="73" t="str">
        <f t="shared" si="8"/>
        <v>Closed</v>
      </c>
      <c r="D559" s="45" t="s">
        <v>3250</v>
      </c>
      <c r="E559" s="54" t="s">
        <v>3251</v>
      </c>
      <c r="F559" s="5" t="s">
        <v>619</v>
      </c>
      <c r="G559" s="10">
        <f>DATE(2008,10,13)</f>
        <v>39734</v>
      </c>
      <c r="H559" s="35">
        <v>1.5131944444444443</v>
      </c>
      <c r="I559" s="5" t="s">
        <v>259</v>
      </c>
      <c r="J559" s="10" t="s">
        <v>3252</v>
      </c>
      <c r="K559" s="5" t="s">
        <v>621</v>
      </c>
      <c r="L559" s="5" t="s">
        <v>3253</v>
      </c>
      <c r="M559" s="5" t="s">
        <v>45</v>
      </c>
      <c r="N559" s="5">
        <v>0</v>
      </c>
      <c r="O559" s="5" t="s">
        <v>59</v>
      </c>
      <c r="P559" s="10" t="s">
        <v>47</v>
      </c>
      <c r="Q559" s="10" t="s">
        <v>623</v>
      </c>
      <c r="R559" s="10" t="s">
        <v>624</v>
      </c>
      <c r="S559" s="5">
        <v>0</v>
      </c>
      <c r="T559" s="37">
        <v>0</v>
      </c>
      <c r="U559" s="5">
        <v>0</v>
      </c>
      <c r="V559" s="37">
        <v>1</v>
      </c>
      <c r="W559" s="5">
        <v>0</v>
      </c>
      <c r="X559" s="5">
        <v>1</v>
      </c>
      <c r="Y559" s="5">
        <v>0</v>
      </c>
      <c r="Z559" s="37">
        <v>0</v>
      </c>
      <c r="AA559" s="5">
        <v>0</v>
      </c>
      <c r="AB559" s="5">
        <v>0</v>
      </c>
      <c r="AC559" s="5">
        <v>0</v>
      </c>
      <c r="AD559" s="5">
        <v>0</v>
      </c>
      <c r="AE559" s="10" t="s">
        <v>50</v>
      </c>
      <c r="AF559" s="10"/>
      <c r="AG559" s="10" t="s">
        <v>229</v>
      </c>
      <c r="AH559" s="10" t="s">
        <v>50</v>
      </c>
      <c r="AI559" s="5">
        <v>1</v>
      </c>
      <c r="AJ559" s="10" t="s">
        <v>50</v>
      </c>
      <c r="AK559" s="10" t="s">
        <v>50</v>
      </c>
    </row>
    <row r="560" spans="1:37" ht="36.75" customHeight="1" x14ac:dyDescent="0.35">
      <c r="A560" s="5"/>
      <c r="B560" s="5" t="s">
        <v>37</v>
      </c>
      <c r="C560" s="73" t="str">
        <f t="shared" si="8"/>
        <v>Closed</v>
      </c>
      <c r="D560" s="45" t="s">
        <v>3254</v>
      </c>
      <c r="E560" s="54" t="s">
        <v>3255</v>
      </c>
      <c r="F560" s="5" t="s">
        <v>619</v>
      </c>
      <c r="G560" s="10">
        <f>DATE(2008,10,14)</f>
        <v>39735</v>
      </c>
      <c r="H560" s="35">
        <v>1.6152777777777778</v>
      </c>
      <c r="I560" s="5" t="s">
        <v>259</v>
      </c>
      <c r="J560" s="10" t="s">
        <v>3256</v>
      </c>
      <c r="K560" s="5" t="s">
        <v>621</v>
      </c>
      <c r="L560" s="5" t="s">
        <v>3257</v>
      </c>
      <c r="M560" s="5" t="s">
        <v>45</v>
      </c>
      <c r="N560" s="5">
        <v>0</v>
      </c>
      <c r="O560" s="5" t="s">
        <v>59</v>
      </c>
      <c r="P560" s="10" t="s">
        <v>146</v>
      </c>
      <c r="Q560" s="10" t="s">
        <v>623</v>
      </c>
      <c r="R560" s="10" t="s">
        <v>624</v>
      </c>
      <c r="S560" s="5">
        <v>0</v>
      </c>
      <c r="T560" s="37">
        <v>0</v>
      </c>
      <c r="U560" s="5">
        <v>0</v>
      </c>
      <c r="V560" s="37">
        <v>1</v>
      </c>
      <c r="W560" s="5">
        <v>0</v>
      </c>
      <c r="X560" s="5">
        <v>1</v>
      </c>
      <c r="Y560" s="5">
        <v>0</v>
      </c>
      <c r="Z560" s="37">
        <v>0</v>
      </c>
      <c r="AA560" s="5">
        <v>0</v>
      </c>
      <c r="AB560" s="5">
        <v>0</v>
      </c>
      <c r="AC560" s="5">
        <v>0</v>
      </c>
      <c r="AD560" s="5">
        <v>0</v>
      </c>
      <c r="AE560" s="10" t="s">
        <v>50</v>
      </c>
      <c r="AF560" s="10"/>
      <c r="AG560" s="10" t="s">
        <v>229</v>
      </c>
      <c r="AH560" s="10" t="s">
        <v>50</v>
      </c>
      <c r="AI560" s="5">
        <v>1</v>
      </c>
      <c r="AJ560" s="10" t="s">
        <v>50</v>
      </c>
      <c r="AK560" s="10" t="s">
        <v>50</v>
      </c>
    </row>
    <row r="561" spans="1:37" ht="36.75" customHeight="1" x14ac:dyDescent="0.35">
      <c r="A561" s="5"/>
      <c r="B561" s="5" t="s">
        <v>37</v>
      </c>
      <c r="C561" s="73" t="str">
        <f t="shared" si="8"/>
        <v>Closed</v>
      </c>
      <c r="D561" s="45" t="s">
        <v>3258</v>
      </c>
      <c r="E561" s="54" t="s">
        <v>3259</v>
      </c>
      <c r="F561" s="5" t="s">
        <v>619</v>
      </c>
      <c r="G561" s="10">
        <f>DATE(2008,10,15)</f>
        <v>39736</v>
      </c>
      <c r="H561" s="35">
        <v>1.320138888888889</v>
      </c>
      <c r="I561" s="5" t="s">
        <v>259</v>
      </c>
      <c r="J561" s="10" t="s">
        <v>3260</v>
      </c>
      <c r="K561" s="5" t="s">
        <v>621</v>
      </c>
      <c r="L561" s="5" t="s">
        <v>3261</v>
      </c>
      <c r="M561" s="5" t="s">
        <v>45</v>
      </c>
      <c r="N561" s="5">
        <v>0</v>
      </c>
      <c r="O561" s="5" t="s">
        <v>67</v>
      </c>
      <c r="P561" s="10" t="s">
        <v>146</v>
      </c>
      <c r="Q561" s="10" t="s">
        <v>623</v>
      </c>
      <c r="R561" s="10" t="s">
        <v>624</v>
      </c>
      <c r="S561" s="5">
        <v>0</v>
      </c>
      <c r="T561" s="37">
        <v>0</v>
      </c>
      <c r="U561" s="5">
        <v>0</v>
      </c>
      <c r="V561" s="37">
        <v>1</v>
      </c>
      <c r="W561" s="5">
        <v>0</v>
      </c>
      <c r="X561" s="5">
        <v>1</v>
      </c>
      <c r="Y561" s="5">
        <v>0</v>
      </c>
      <c r="Z561" s="37">
        <v>0</v>
      </c>
      <c r="AA561" s="5">
        <v>0</v>
      </c>
      <c r="AB561" s="5">
        <v>0</v>
      </c>
      <c r="AC561" s="5">
        <v>0</v>
      </c>
      <c r="AD561" s="5">
        <v>0</v>
      </c>
      <c r="AE561" s="10" t="s">
        <v>50</v>
      </c>
      <c r="AF561" s="10"/>
      <c r="AG561" s="10" t="s">
        <v>229</v>
      </c>
      <c r="AH561" s="10" t="s">
        <v>50</v>
      </c>
      <c r="AI561" s="5">
        <v>1</v>
      </c>
      <c r="AJ561" s="10" t="s">
        <v>50</v>
      </c>
      <c r="AK561" s="10" t="s">
        <v>50</v>
      </c>
    </row>
    <row r="562" spans="1:37" ht="36.75" customHeight="1" x14ac:dyDescent="0.35">
      <c r="A562" s="5"/>
      <c r="B562" s="5" t="s">
        <v>37</v>
      </c>
      <c r="C562" s="73" t="str">
        <f t="shared" si="8"/>
        <v>Closed</v>
      </c>
      <c r="D562" s="45" t="s">
        <v>3262</v>
      </c>
      <c r="E562" s="54" t="s">
        <v>3263</v>
      </c>
      <c r="F562" s="5" t="s">
        <v>178</v>
      </c>
      <c r="G562" s="10">
        <f>DATE(2008,10,18)</f>
        <v>39739</v>
      </c>
      <c r="H562" s="35">
        <v>1.0534722222222221</v>
      </c>
      <c r="I562" s="5" t="s">
        <v>55</v>
      </c>
      <c r="J562" s="10" t="s">
        <v>3264</v>
      </c>
      <c r="K562" s="5" t="s">
        <v>181</v>
      </c>
      <c r="L562" s="5" t="s">
        <v>3265</v>
      </c>
      <c r="M562" s="5" t="s">
        <v>45</v>
      </c>
      <c r="N562" s="5">
        <v>0</v>
      </c>
      <c r="O562" s="5" t="s">
        <v>59</v>
      </c>
      <c r="P562" s="10" t="s">
        <v>60</v>
      </c>
      <c r="Q562" s="10" t="s">
        <v>1697</v>
      </c>
      <c r="R562" s="10" t="s">
        <v>184</v>
      </c>
      <c r="S562" s="5">
        <v>0</v>
      </c>
      <c r="T562" s="37" t="s">
        <v>50</v>
      </c>
      <c r="U562" s="5">
        <v>0</v>
      </c>
      <c r="V562" s="37" t="s">
        <v>50</v>
      </c>
      <c r="W562" s="5">
        <v>0</v>
      </c>
      <c r="X562" s="5">
        <v>0</v>
      </c>
      <c r="Y562" s="5">
        <v>0</v>
      </c>
      <c r="Z562" s="37" t="s">
        <v>50</v>
      </c>
      <c r="AA562" s="5">
        <v>0</v>
      </c>
      <c r="AB562" s="5">
        <v>0</v>
      </c>
      <c r="AC562" s="5">
        <v>0</v>
      </c>
      <c r="AD562" s="5">
        <v>0</v>
      </c>
      <c r="AE562" s="10" t="s">
        <v>50</v>
      </c>
      <c r="AF562" s="10"/>
      <c r="AG562" s="10" t="s">
        <v>333</v>
      </c>
      <c r="AH562" s="10" t="s">
        <v>50</v>
      </c>
      <c r="AI562" s="5">
        <v>6</v>
      </c>
      <c r="AJ562" s="10" t="s">
        <v>3266</v>
      </c>
      <c r="AK562" s="10" t="s">
        <v>3267</v>
      </c>
    </row>
    <row r="563" spans="1:37" ht="36.75" customHeight="1" x14ac:dyDescent="0.35">
      <c r="A563" s="5"/>
      <c r="B563" s="5" t="s">
        <v>37</v>
      </c>
      <c r="C563" s="73" t="str">
        <f t="shared" si="8"/>
        <v>Closed</v>
      </c>
      <c r="D563" s="45" t="s">
        <v>3268</v>
      </c>
      <c r="E563" s="54" t="s">
        <v>3269</v>
      </c>
      <c r="F563" s="5" t="s">
        <v>619</v>
      </c>
      <c r="G563" s="10">
        <f>DATE(2008,10,18)</f>
        <v>39739</v>
      </c>
      <c r="H563" s="35">
        <v>1.3374999999999999</v>
      </c>
      <c r="I563" s="5" t="s">
        <v>97</v>
      </c>
      <c r="J563" s="10" t="s">
        <v>3270</v>
      </c>
      <c r="K563" s="5" t="s">
        <v>621</v>
      </c>
      <c r="L563" s="5" t="s">
        <v>3271</v>
      </c>
      <c r="M563" s="5" t="s">
        <v>45</v>
      </c>
      <c r="N563" s="5">
        <v>0</v>
      </c>
      <c r="O563" s="5" t="s">
        <v>59</v>
      </c>
      <c r="P563" s="10" t="s">
        <v>60</v>
      </c>
      <c r="Q563" s="10" t="s">
        <v>623</v>
      </c>
      <c r="R563" s="10" t="s">
        <v>624</v>
      </c>
      <c r="S563" s="5">
        <v>0</v>
      </c>
      <c r="T563" s="37">
        <v>0</v>
      </c>
      <c r="U563" s="5">
        <v>1</v>
      </c>
      <c r="V563" s="37">
        <v>0</v>
      </c>
      <c r="W563" s="5">
        <v>0</v>
      </c>
      <c r="X563" s="5">
        <v>1</v>
      </c>
      <c r="Y563" s="5">
        <v>0</v>
      </c>
      <c r="Z563" s="37">
        <v>0</v>
      </c>
      <c r="AA563" s="5">
        <v>0</v>
      </c>
      <c r="AB563" s="5">
        <v>0</v>
      </c>
      <c r="AC563" s="5">
        <v>0</v>
      </c>
      <c r="AD563" s="5">
        <v>0</v>
      </c>
      <c r="AE563" s="10" t="s">
        <v>50</v>
      </c>
      <c r="AF563" s="10"/>
      <c r="AG563" s="10" t="s">
        <v>229</v>
      </c>
      <c r="AH563" s="10" t="s">
        <v>50</v>
      </c>
      <c r="AI563" s="5">
        <v>1</v>
      </c>
      <c r="AJ563" s="10" t="s">
        <v>50</v>
      </c>
      <c r="AK563" s="10" t="s">
        <v>50</v>
      </c>
    </row>
    <row r="564" spans="1:37" ht="36.75" customHeight="1" x14ac:dyDescent="0.35">
      <c r="A564" s="5"/>
      <c r="B564" s="5" t="s">
        <v>37</v>
      </c>
      <c r="C564" s="73" t="str">
        <f t="shared" si="8"/>
        <v>Closed</v>
      </c>
      <c r="D564" s="45" t="s">
        <v>3272</v>
      </c>
      <c r="E564" s="54" t="s">
        <v>3273</v>
      </c>
      <c r="F564" s="5" t="s">
        <v>619</v>
      </c>
      <c r="G564" s="10">
        <f>DATE(2008,10,20)</f>
        <v>39741</v>
      </c>
      <c r="H564" s="35">
        <v>1.5243055555555556</v>
      </c>
      <c r="I564" s="5" t="s">
        <v>97</v>
      </c>
      <c r="J564" s="10" t="s">
        <v>3274</v>
      </c>
      <c r="K564" s="5" t="s">
        <v>621</v>
      </c>
      <c r="L564" s="5" t="s">
        <v>3275</v>
      </c>
      <c r="M564" s="5" t="s">
        <v>45</v>
      </c>
      <c r="N564" s="5">
        <v>0</v>
      </c>
      <c r="O564" s="5" t="s">
        <v>59</v>
      </c>
      <c r="P564" s="10" t="s">
        <v>146</v>
      </c>
      <c r="Q564" s="10" t="s">
        <v>623</v>
      </c>
      <c r="R564" s="10" t="s">
        <v>624</v>
      </c>
      <c r="S564" s="5">
        <v>0</v>
      </c>
      <c r="T564" s="37">
        <v>0</v>
      </c>
      <c r="U564" s="5">
        <v>1</v>
      </c>
      <c r="V564" s="37">
        <v>0</v>
      </c>
      <c r="W564" s="5">
        <v>0</v>
      </c>
      <c r="X564" s="5">
        <v>1</v>
      </c>
      <c r="Y564" s="5">
        <v>0</v>
      </c>
      <c r="Z564" s="37">
        <v>0</v>
      </c>
      <c r="AA564" s="5">
        <v>0</v>
      </c>
      <c r="AB564" s="5">
        <v>0</v>
      </c>
      <c r="AC564" s="5">
        <v>0</v>
      </c>
      <c r="AD564" s="5">
        <v>0</v>
      </c>
      <c r="AE564" s="10" t="s">
        <v>50</v>
      </c>
      <c r="AF564" s="10"/>
      <c r="AG564" s="10" t="s">
        <v>229</v>
      </c>
      <c r="AH564" s="10" t="s">
        <v>50</v>
      </c>
      <c r="AI564" s="5">
        <v>1</v>
      </c>
      <c r="AJ564" s="10" t="s">
        <v>50</v>
      </c>
      <c r="AK564" s="10" t="s">
        <v>50</v>
      </c>
    </row>
    <row r="565" spans="1:37" ht="36.75" customHeight="1" x14ac:dyDescent="0.35">
      <c r="A565" s="5"/>
      <c r="B565" s="5" t="s">
        <v>37</v>
      </c>
      <c r="C565" s="73" t="str">
        <f t="shared" si="8"/>
        <v>Closed</v>
      </c>
      <c r="D565" s="45" t="s">
        <v>3276</v>
      </c>
      <c r="E565" s="54" t="s">
        <v>3277</v>
      </c>
      <c r="F565" s="5" t="s">
        <v>40</v>
      </c>
      <c r="G565" s="10">
        <f>DATE(2008,10,20)</f>
        <v>39741</v>
      </c>
      <c r="H565" s="35">
        <v>1.6986111111111111</v>
      </c>
      <c r="I565" s="5" t="s">
        <v>85</v>
      </c>
      <c r="J565" s="10" t="s">
        <v>3278</v>
      </c>
      <c r="K565" s="5" t="s">
        <v>43</v>
      </c>
      <c r="L565" s="5" t="s">
        <v>3279</v>
      </c>
      <c r="M565" s="5" t="s">
        <v>45</v>
      </c>
      <c r="N565" s="5" t="s">
        <v>70</v>
      </c>
      <c r="O565" s="5" t="s">
        <v>59</v>
      </c>
      <c r="P565" s="10" t="s">
        <v>146</v>
      </c>
      <c r="Q565" s="10" t="s">
        <v>48</v>
      </c>
      <c r="R565" s="10" t="s">
        <v>49</v>
      </c>
      <c r="S565" s="5">
        <v>0</v>
      </c>
      <c r="T565" s="37">
        <v>0</v>
      </c>
      <c r="U565" s="5">
        <v>0</v>
      </c>
      <c r="V565" s="37">
        <v>0</v>
      </c>
      <c r="W565" s="5">
        <v>0</v>
      </c>
      <c r="X565" s="5">
        <v>0</v>
      </c>
      <c r="Y565" s="5">
        <v>0</v>
      </c>
      <c r="Z565" s="37">
        <v>0</v>
      </c>
      <c r="AA565" s="5">
        <v>0</v>
      </c>
      <c r="AB565" s="5">
        <v>0</v>
      </c>
      <c r="AC565" s="5">
        <v>0</v>
      </c>
      <c r="AD565" s="5">
        <v>0</v>
      </c>
      <c r="AE565" s="10" t="s">
        <v>73</v>
      </c>
      <c r="AF565" s="10"/>
      <c r="AG565" s="10" t="s">
        <v>51</v>
      </c>
      <c r="AH565" s="10">
        <v>39756</v>
      </c>
      <c r="AI565" s="5">
        <v>4</v>
      </c>
      <c r="AJ565" s="10" t="s">
        <v>3280</v>
      </c>
      <c r="AK565" s="10" t="s">
        <v>3281</v>
      </c>
    </row>
    <row r="566" spans="1:37" ht="36.75" customHeight="1" x14ac:dyDescent="0.35">
      <c r="A566" s="5"/>
      <c r="B566" s="5" t="s">
        <v>37</v>
      </c>
      <c r="C566" s="73" t="str">
        <f t="shared" si="8"/>
        <v>Closed</v>
      </c>
      <c r="D566" s="45" t="s">
        <v>3282</v>
      </c>
      <c r="E566" s="54" t="s">
        <v>3283</v>
      </c>
      <c r="F566" s="5" t="s">
        <v>2316</v>
      </c>
      <c r="G566" s="10">
        <f>DATE(2008,10,20)</f>
        <v>39741</v>
      </c>
      <c r="H566" s="35">
        <v>1.8937499999999998</v>
      </c>
      <c r="I566" s="5" t="s">
        <v>179</v>
      </c>
      <c r="J566" s="10" t="s">
        <v>3284</v>
      </c>
      <c r="K566" s="5" t="s">
        <v>2318</v>
      </c>
      <c r="L566" s="5" t="s">
        <v>3285</v>
      </c>
      <c r="M566" s="5" t="s">
        <v>45</v>
      </c>
      <c r="N566" s="5">
        <v>0</v>
      </c>
      <c r="O566" s="5" t="s">
        <v>59</v>
      </c>
      <c r="P566" s="10" t="s">
        <v>1198</v>
      </c>
      <c r="Q566" s="10" t="s">
        <v>3286</v>
      </c>
      <c r="R566" s="10" t="s">
        <v>2321</v>
      </c>
      <c r="S566" s="5">
        <v>0</v>
      </c>
      <c r="T566" s="37">
        <v>0</v>
      </c>
      <c r="U566" s="5">
        <v>0</v>
      </c>
      <c r="V566" s="37">
        <v>0</v>
      </c>
      <c r="W566" s="5">
        <v>0</v>
      </c>
      <c r="X566" s="5">
        <v>0</v>
      </c>
      <c r="Y566" s="5">
        <v>1</v>
      </c>
      <c r="Z566" s="37">
        <v>1</v>
      </c>
      <c r="AA566" s="5">
        <v>0</v>
      </c>
      <c r="AB566" s="5">
        <v>0</v>
      </c>
      <c r="AC566" s="5">
        <v>0</v>
      </c>
      <c r="AD566" s="5">
        <v>2</v>
      </c>
      <c r="AE566" s="10" t="s">
        <v>50</v>
      </c>
      <c r="AF566" s="10"/>
      <c r="AG566" s="10" t="s">
        <v>114</v>
      </c>
      <c r="AH566" s="10" t="s">
        <v>50</v>
      </c>
      <c r="AI566" s="5">
        <v>3</v>
      </c>
      <c r="AJ566" s="10" t="s">
        <v>3287</v>
      </c>
      <c r="AK566" s="10" t="s">
        <v>3288</v>
      </c>
    </row>
    <row r="567" spans="1:37" ht="36.75" customHeight="1" x14ac:dyDescent="0.35">
      <c r="A567" s="5"/>
      <c r="B567" s="5" t="s">
        <v>37</v>
      </c>
      <c r="C567" s="73" t="str">
        <f t="shared" si="8"/>
        <v>Closed</v>
      </c>
      <c r="D567" s="45" t="s">
        <v>3289</v>
      </c>
      <c r="E567" s="54" t="s">
        <v>3290</v>
      </c>
      <c r="F567" s="5" t="s">
        <v>214</v>
      </c>
      <c r="G567" s="10">
        <f>DATE(2008,10,21)</f>
        <v>39742</v>
      </c>
      <c r="H567" s="35">
        <v>1.4756944444444444</v>
      </c>
      <c r="I567" s="5" t="s">
        <v>97</v>
      </c>
      <c r="J567" s="10" t="s">
        <v>3291</v>
      </c>
      <c r="K567" s="5" t="s">
        <v>216</v>
      </c>
      <c r="L567" s="5" t="s">
        <v>3292</v>
      </c>
      <c r="M567" s="5" t="s">
        <v>45</v>
      </c>
      <c r="N567" s="5">
        <v>0</v>
      </c>
      <c r="O567" s="5" t="s">
        <v>46</v>
      </c>
      <c r="P567" s="10" t="s">
        <v>146</v>
      </c>
      <c r="Q567" s="10" t="s">
        <v>2154</v>
      </c>
      <c r="R567" s="10" t="s">
        <v>219</v>
      </c>
      <c r="S567" s="5">
        <v>0</v>
      </c>
      <c r="T567" s="37" t="s">
        <v>50</v>
      </c>
      <c r="U567" s="5">
        <v>0</v>
      </c>
      <c r="V567" s="37" t="s">
        <v>50</v>
      </c>
      <c r="W567" s="5">
        <v>0</v>
      </c>
      <c r="X567" s="5">
        <v>0</v>
      </c>
      <c r="Y567" s="5">
        <v>0</v>
      </c>
      <c r="Z567" s="37" t="s">
        <v>50</v>
      </c>
      <c r="AA567" s="5">
        <v>0</v>
      </c>
      <c r="AB567" s="5">
        <v>0</v>
      </c>
      <c r="AC567" s="5">
        <v>0</v>
      </c>
      <c r="AD567" s="5">
        <v>0</v>
      </c>
      <c r="AE567" s="10" t="s">
        <v>50</v>
      </c>
      <c r="AF567" s="10"/>
      <c r="AG567" s="10" t="s">
        <v>333</v>
      </c>
      <c r="AH567" s="10" t="s">
        <v>50</v>
      </c>
      <c r="AI567" s="5">
        <v>8</v>
      </c>
      <c r="AJ567" s="10" t="s">
        <v>3293</v>
      </c>
      <c r="AK567" s="10" t="s">
        <v>3294</v>
      </c>
    </row>
    <row r="568" spans="1:37" ht="36.75" customHeight="1" x14ac:dyDescent="0.35">
      <c r="A568" s="5"/>
      <c r="B568" s="5" t="s">
        <v>37</v>
      </c>
      <c r="C568" s="73" t="str">
        <f t="shared" si="8"/>
        <v>Closed</v>
      </c>
      <c r="D568" s="45" t="s">
        <v>3295</v>
      </c>
      <c r="E568" s="54" t="s">
        <v>3296</v>
      </c>
      <c r="F568" s="5" t="s">
        <v>178</v>
      </c>
      <c r="G568" s="10">
        <f>DATE(2008,10,22)</f>
        <v>39743</v>
      </c>
      <c r="H568" s="35">
        <v>1.4006944444444445</v>
      </c>
      <c r="I568" s="5" t="s">
        <v>55</v>
      </c>
      <c r="J568" s="10" t="s">
        <v>3297</v>
      </c>
      <c r="K568" s="5" t="s">
        <v>181</v>
      </c>
      <c r="L568" s="5" t="s">
        <v>3298</v>
      </c>
      <c r="M568" s="5" t="s">
        <v>45</v>
      </c>
      <c r="N568" s="5">
        <v>0</v>
      </c>
      <c r="O568" s="5" t="s">
        <v>71</v>
      </c>
      <c r="P568" s="10" t="s">
        <v>60</v>
      </c>
      <c r="Q568" s="10" t="s">
        <v>3124</v>
      </c>
      <c r="R568" s="10" t="s">
        <v>184</v>
      </c>
      <c r="S568" s="5">
        <v>0</v>
      </c>
      <c r="T568" s="37" t="s">
        <v>50</v>
      </c>
      <c r="U568" s="5">
        <v>0</v>
      </c>
      <c r="V568" s="37" t="s">
        <v>50</v>
      </c>
      <c r="W568" s="5">
        <v>0</v>
      </c>
      <c r="X568" s="5">
        <v>0</v>
      </c>
      <c r="Y568" s="5">
        <v>0</v>
      </c>
      <c r="Z568" s="37" t="s">
        <v>50</v>
      </c>
      <c r="AA568" s="5">
        <v>0</v>
      </c>
      <c r="AB568" s="5">
        <v>0</v>
      </c>
      <c r="AC568" s="5">
        <v>0</v>
      </c>
      <c r="AD568" s="5">
        <v>0</v>
      </c>
      <c r="AE568" s="10" t="s">
        <v>50</v>
      </c>
      <c r="AF568" s="10"/>
      <c r="AG568" s="10" t="s">
        <v>333</v>
      </c>
      <c r="AH568" s="10" t="s">
        <v>50</v>
      </c>
      <c r="AI568" s="5">
        <v>4</v>
      </c>
      <c r="AJ568" s="10" t="s">
        <v>3299</v>
      </c>
      <c r="AK568" s="10" t="s">
        <v>3300</v>
      </c>
    </row>
    <row r="569" spans="1:37" ht="36.75" customHeight="1" x14ac:dyDescent="0.35">
      <c r="A569" s="5"/>
      <c r="B569" s="5" t="s">
        <v>37</v>
      </c>
      <c r="C569" s="73" t="str">
        <f t="shared" si="8"/>
        <v>Closed</v>
      </c>
      <c r="D569" s="45" t="s">
        <v>3301</v>
      </c>
      <c r="E569" s="54" t="s">
        <v>3302</v>
      </c>
      <c r="F569" s="5" t="s">
        <v>619</v>
      </c>
      <c r="G569" s="10">
        <f>DATE(2008,10,23)</f>
        <v>39744</v>
      </c>
      <c r="H569" s="35">
        <v>1.5201388888888889</v>
      </c>
      <c r="I569" s="5" t="s">
        <v>85</v>
      </c>
      <c r="J569" s="10" t="s">
        <v>3303</v>
      </c>
      <c r="K569" s="5" t="s">
        <v>621</v>
      </c>
      <c r="L569" s="5" t="s">
        <v>3304</v>
      </c>
      <c r="M569" s="5" t="s">
        <v>45</v>
      </c>
      <c r="N569" s="5">
        <v>0</v>
      </c>
      <c r="O569" s="5" t="s">
        <v>59</v>
      </c>
      <c r="P569" s="10" t="s">
        <v>60</v>
      </c>
      <c r="Q569" s="10" t="s">
        <v>3191</v>
      </c>
      <c r="R569" s="10" t="s">
        <v>624</v>
      </c>
      <c r="S569" s="5">
        <v>0</v>
      </c>
      <c r="T569" s="37" t="s">
        <v>50</v>
      </c>
      <c r="U569" s="5">
        <v>0</v>
      </c>
      <c r="V569" s="37" t="s">
        <v>50</v>
      </c>
      <c r="W569" s="5">
        <v>0</v>
      </c>
      <c r="X569" s="5">
        <v>0</v>
      </c>
      <c r="Y569" s="5">
        <v>0</v>
      </c>
      <c r="Z569" s="37" t="s">
        <v>50</v>
      </c>
      <c r="AA569" s="5">
        <v>0</v>
      </c>
      <c r="AB569" s="5">
        <v>0</v>
      </c>
      <c r="AC569" s="5">
        <v>0</v>
      </c>
      <c r="AD569" s="5">
        <v>0</v>
      </c>
      <c r="AE569" s="10" t="s">
        <v>50</v>
      </c>
      <c r="AF569" s="10"/>
      <c r="AG569" s="10" t="s">
        <v>229</v>
      </c>
      <c r="AH569" s="10" t="s">
        <v>50</v>
      </c>
      <c r="AI569" s="5">
        <v>4</v>
      </c>
      <c r="AJ569" s="10" t="s">
        <v>50</v>
      </c>
      <c r="AK569" s="10" t="s">
        <v>50</v>
      </c>
    </row>
    <row r="570" spans="1:37" ht="36.75" customHeight="1" x14ac:dyDescent="0.35">
      <c r="A570" s="5"/>
      <c r="B570" s="5" t="s">
        <v>37</v>
      </c>
      <c r="C570" s="73" t="str">
        <f t="shared" si="8"/>
        <v>Closed</v>
      </c>
      <c r="D570" s="45" t="s">
        <v>3305</v>
      </c>
      <c r="E570" s="54" t="s">
        <v>3306</v>
      </c>
      <c r="F570" s="5" t="s">
        <v>619</v>
      </c>
      <c r="G570" s="10">
        <f>DATE(2008,10,24)</f>
        <v>39745</v>
      </c>
      <c r="H570" s="35">
        <v>1.2694444444444444</v>
      </c>
      <c r="I570" s="5" t="s">
        <v>55</v>
      </c>
      <c r="J570" s="10" t="s">
        <v>3307</v>
      </c>
      <c r="K570" s="5" t="s">
        <v>621</v>
      </c>
      <c r="L570" s="5" t="s">
        <v>3308</v>
      </c>
      <c r="M570" s="5" t="s">
        <v>45</v>
      </c>
      <c r="N570" s="5">
        <v>0</v>
      </c>
      <c r="O570" s="5" t="s">
        <v>59</v>
      </c>
      <c r="P570" s="10" t="s">
        <v>60</v>
      </c>
      <c r="Q570" s="10" t="s">
        <v>623</v>
      </c>
      <c r="R570" s="10" t="s">
        <v>624</v>
      </c>
      <c r="S570" s="5">
        <v>0</v>
      </c>
      <c r="T570" s="37" t="s">
        <v>50</v>
      </c>
      <c r="U570" s="5">
        <v>0</v>
      </c>
      <c r="V570" s="37" t="s">
        <v>50</v>
      </c>
      <c r="W570" s="5">
        <v>0</v>
      </c>
      <c r="X570" s="5">
        <v>0</v>
      </c>
      <c r="Y570" s="5">
        <v>0</v>
      </c>
      <c r="Z570" s="37" t="s">
        <v>50</v>
      </c>
      <c r="AA570" s="5">
        <v>0</v>
      </c>
      <c r="AB570" s="5">
        <v>0</v>
      </c>
      <c r="AC570" s="5">
        <v>0</v>
      </c>
      <c r="AD570" s="5">
        <v>0</v>
      </c>
      <c r="AE570" s="10" t="s">
        <v>50</v>
      </c>
      <c r="AF570" s="10"/>
      <c r="AG570" s="10" t="s">
        <v>114</v>
      </c>
      <c r="AH570" s="10" t="s">
        <v>50</v>
      </c>
      <c r="AI570" s="5">
        <v>5</v>
      </c>
      <c r="AJ570" s="10" t="s">
        <v>3309</v>
      </c>
      <c r="AK570" s="10" t="s">
        <v>50</v>
      </c>
    </row>
    <row r="571" spans="1:37" ht="36.75" customHeight="1" x14ac:dyDescent="0.35">
      <c r="A571" s="5"/>
      <c r="B571" s="5" t="s">
        <v>37</v>
      </c>
      <c r="C571" s="73" t="str">
        <f t="shared" si="8"/>
        <v>Closed</v>
      </c>
      <c r="D571" s="45" t="s">
        <v>3310</v>
      </c>
      <c r="E571" s="54" t="s">
        <v>3311</v>
      </c>
      <c r="F571" s="5" t="s">
        <v>1751</v>
      </c>
      <c r="G571" s="10">
        <f>DATE(2008,10,25)</f>
        <v>39746</v>
      </c>
      <c r="H571" s="35">
        <v>1.8472222222222223</v>
      </c>
      <c r="I571" s="5" t="s">
        <v>259</v>
      </c>
      <c r="J571" s="10" t="s">
        <v>3312</v>
      </c>
      <c r="K571" s="5" t="s">
        <v>1753</v>
      </c>
      <c r="L571" s="5" t="s">
        <v>3313</v>
      </c>
      <c r="M571" s="5" t="s">
        <v>45</v>
      </c>
      <c r="N571" s="5" t="s">
        <v>123</v>
      </c>
      <c r="O571" s="5" t="s">
        <v>46</v>
      </c>
      <c r="P571" s="10" t="s">
        <v>146</v>
      </c>
      <c r="Q571" s="10" t="s">
        <v>1755</v>
      </c>
      <c r="R571" s="10" t="s">
        <v>1756</v>
      </c>
      <c r="S571" s="5">
        <v>0</v>
      </c>
      <c r="T571" s="37">
        <v>1</v>
      </c>
      <c r="U571" s="5">
        <v>0</v>
      </c>
      <c r="V571" s="37">
        <v>0</v>
      </c>
      <c r="W571" s="5">
        <v>0</v>
      </c>
      <c r="X571" s="5">
        <v>1</v>
      </c>
      <c r="Y571" s="5">
        <v>0</v>
      </c>
      <c r="Z571" s="37">
        <v>0</v>
      </c>
      <c r="AA571" s="5">
        <v>0</v>
      </c>
      <c r="AB571" s="5">
        <v>0</v>
      </c>
      <c r="AC571" s="5">
        <v>0</v>
      </c>
      <c r="AD571" s="5">
        <v>0</v>
      </c>
      <c r="AE571" s="10" t="s">
        <v>73</v>
      </c>
      <c r="AF571" s="10"/>
      <c r="AG571" s="10" t="s">
        <v>64</v>
      </c>
      <c r="AH571" s="10">
        <v>39752</v>
      </c>
      <c r="AI571" s="5">
        <v>4</v>
      </c>
      <c r="AJ571" s="10" t="s">
        <v>3314</v>
      </c>
      <c r="AK571" s="10" t="s">
        <v>1215</v>
      </c>
    </row>
    <row r="572" spans="1:37" ht="36.75" customHeight="1" x14ac:dyDescent="0.35">
      <c r="A572" s="5"/>
      <c r="B572" s="5" t="s">
        <v>37</v>
      </c>
      <c r="C572" s="73" t="str">
        <f t="shared" si="8"/>
        <v>Closed</v>
      </c>
      <c r="D572" s="45" t="s">
        <v>3315</v>
      </c>
      <c r="E572" s="54" t="s">
        <v>3316</v>
      </c>
      <c r="F572" s="5" t="s">
        <v>178</v>
      </c>
      <c r="G572" s="10">
        <f>DATE(2008,10,31)</f>
        <v>39752</v>
      </c>
      <c r="H572" s="35">
        <v>1.9277777777777776</v>
      </c>
      <c r="I572" s="5" t="s">
        <v>55</v>
      </c>
      <c r="J572" s="10" t="s">
        <v>3317</v>
      </c>
      <c r="K572" s="5" t="s">
        <v>181</v>
      </c>
      <c r="L572" s="5" t="s">
        <v>3318</v>
      </c>
      <c r="M572" s="5" t="s">
        <v>45</v>
      </c>
      <c r="N572" s="5">
        <v>0</v>
      </c>
      <c r="O572" s="5" t="s">
        <v>59</v>
      </c>
      <c r="P572" s="10" t="s">
        <v>60</v>
      </c>
      <c r="Q572" s="10" t="s">
        <v>1697</v>
      </c>
      <c r="R572" s="10" t="s">
        <v>184</v>
      </c>
      <c r="S572" s="5">
        <v>0</v>
      </c>
      <c r="T572" s="37" t="s">
        <v>50</v>
      </c>
      <c r="U572" s="5">
        <v>0</v>
      </c>
      <c r="V572" s="37" t="s">
        <v>50</v>
      </c>
      <c r="W572" s="5">
        <v>0</v>
      </c>
      <c r="X572" s="5">
        <v>0</v>
      </c>
      <c r="Y572" s="5">
        <v>0</v>
      </c>
      <c r="Z572" s="37" t="s">
        <v>50</v>
      </c>
      <c r="AA572" s="5">
        <v>0</v>
      </c>
      <c r="AB572" s="5">
        <v>0</v>
      </c>
      <c r="AC572" s="5">
        <v>0</v>
      </c>
      <c r="AD572" s="5">
        <v>0</v>
      </c>
      <c r="AE572" s="10" t="s">
        <v>50</v>
      </c>
      <c r="AF572" s="10"/>
      <c r="AG572" s="10" t="s">
        <v>64</v>
      </c>
      <c r="AH572" s="10" t="s">
        <v>50</v>
      </c>
      <c r="AI572" s="5">
        <v>4</v>
      </c>
      <c r="AJ572" s="10" t="s">
        <v>3319</v>
      </c>
      <c r="AK572" s="10" t="s">
        <v>50</v>
      </c>
    </row>
    <row r="573" spans="1:37" ht="36.75" customHeight="1" x14ac:dyDescent="0.35">
      <c r="A573" s="5"/>
      <c r="B573" s="5" t="s">
        <v>37</v>
      </c>
      <c r="C573" s="73" t="str">
        <f t="shared" si="8"/>
        <v>Closed</v>
      </c>
      <c r="D573" s="45" t="s">
        <v>3320</v>
      </c>
      <c r="E573" s="54" t="s">
        <v>3321</v>
      </c>
      <c r="F573" s="5" t="s">
        <v>619</v>
      </c>
      <c r="G573" s="10">
        <f>DATE(2008,11,2)</f>
        <v>39754</v>
      </c>
      <c r="H573" s="35">
        <v>1.9236111111111112</v>
      </c>
      <c r="I573" s="5" t="s">
        <v>259</v>
      </c>
      <c r="J573" s="10" t="s">
        <v>3322</v>
      </c>
      <c r="K573" s="5" t="s">
        <v>621</v>
      </c>
      <c r="L573" s="5" t="s">
        <v>3323</v>
      </c>
      <c r="M573" s="5" t="s">
        <v>45</v>
      </c>
      <c r="N573" s="5">
        <v>0</v>
      </c>
      <c r="O573" s="5" t="s">
        <v>67</v>
      </c>
      <c r="P573" s="10" t="s">
        <v>47</v>
      </c>
      <c r="Q573" s="10" t="s">
        <v>623</v>
      </c>
      <c r="R573" s="10" t="s">
        <v>624</v>
      </c>
      <c r="S573" s="5">
        <v>0</v>
      </c>
      <c r="T573" s="37">
        <v>0</v>
      </c>
      <c r="U573" s="5">
        <v>0</v>
      </c>
      <c r="V573" s="37">
        <v>1</v>
      </c>
      <c r="W573" s="5">
        <v>0</v>
      </c>
      <c r="X573" s="5">
        <v>1</v>
      </c>
      <c r="Y573" s="5">
        <v>0</v>
      </c>
      <c r="Z573" s="37">
        <v>0</v>
      </c>
      <c r="AA573" s="5">
        <v>0</v>
      </c>
      <c r="AB573" s="5">
        <v>0</v>
      </c>
      <c r="AC573" s="5">
        <v>0</v>
      </c>
      <c r="AD573" s="5">
        <v>0</v>
      </c>
      <c r="AE573" s="10" t="s">
        <v>50</v>
      </c>
      <c r="AF573" s="10"/>
      <c r="AG573" s="10" t="s">
        <v>229</v>
      </c>
      <c r="AH573" s="10" t="s">
        <v>50</v>
      </c>
      <c r="AI573" s="5">
        <v>1</v>
      </c>
      <c r="AJ573" s="10" t="s">
        <v>50</v>
      </c>
      <c r="AK573" s="10" t="s">
        <v>50</v>
      </c>
    </row>
    <row r="574" spans="1:37" ht="36.75" customHeight="1" x14ac:dyDescent="0.35">
      <c r="A574" s="5"/>
      <c r="B574" s="5" t="s">
        <v>37</v>
      </c>
      <c r="C574" s="73" t="str">
        <f t="shared" si="8"/>
        <v>Closed</v>
      </c>
      <c r="D574" s="45" t="s">
        <v>3324</v>
      </c>
      <c r="E574" s="54" t="s">
        <v>3325</v>
      </c>
      <c r="F574" s="5" t="s">
        <v>619</v>
      </c>
      <c r="G574" s="10">
        <f>DATE(2008,11,3)</f>
        <v>39755</v>
      </c>
      <c r="H574" s="35">
        <v>1.8534722222222224</v>
      </c>
      <c r="I574" s="5" t="s">
        <v>259</v>
      </c>
      <c r="J574" s="10" t="s">
        <v>3326</v>
      </c>
      <c r="K574" s="5" t="s">
        <v>621</v>
      </c>
      <c r="L574" s="5" t="s">
        <v>3327</v>
      </c>
      <c r="M574" s="5" t="s">
        <v>45</v>
      </c>
      <c r="N574" s="5">
        <v>0</v>
      </c>
      <c r="O574" s="5" t="s">
        <v>59</v>
      </c>
      <c r="P574" s="10" t="s">
        <v>146</v>
      </c>
      <c r="Q574" s="10" t="s">
        <v>623</v>
      </c>
      <c r="R574" s="10" t="s">
        <v>624</v>
      </c>
      <c r="S574" s="5">
        <v>0</v>
      </c>
      <c r="T574" s="37">
        <v>0</v>
      </c>
      <c r="U574" s="5">
        <v>0</v>
      </c>
      <c r="V574" s="37">
        <v>1</v>
      </c>
      <c r="W574" s="5">
        <v>0</v>
      </c>
      <c r="X574" s="5">
        <v>1</v>
      </c>
      <c r="Y574" s="5">
        <v>0</v>
      </c>
      <c r="Z574" s="37">
        <v>0</v>
      </c>
      <c r="AA574" s="5">
        <v>0</v>
      </c>
      <c r="AB574" s="5">
        <v>0</v>
      </c>
      <c r="AC574" s="5">
        <v>0</v>
      </c>
      <c r="AD574" s="5">
        <v>0</v>
      </c>
      <c r="AE574" s="10" t="s">
        <v>50</v>
      </c>
      <c r="AF574" s="10"/>
      <c r="AG574" s="10" t="s">
        <v>229</v>
      </c>
      <c r="AH574" s="10" t="s">
        <v>50</v>
      </c>
      <c r="AI574" s="5">
        <v>1</v>
      </c>
      <c r="AJ574" s="10" t="s">
        <v>50</v>
      </c>
      <c r="AK574" s="10" t="s">
        <v>50</v>
      </c>
    </row>
    <row r="575" spans="1:37" ht="36.75" customHeight="1" x14ac:dyDescent="0.35">
      <c r="A575" s="5"/>
      <c r="B575" s="5" t="s">
        <v>37</v>
      </c>
      <c r="C575" s="73" t="str">
        <f t="shared" si="8"/>
        <v>Closed</v>
      </c>
      <c r="D575" s="45" t="s">
        <v>3328</v>
      </c>
      <c r="E575" s="54" t="s">
        <v>3329</v>
      </c>
      <c r="F575" s="5" t="s">
        <v>214</v>
      </c>
      <c r="G575" s="10">
        <f>DATE(2008,11,3)</f>
        <v>39755</v>
      </c>
      <c r="H575" s="35">
        <v>1.5208333333333335</v>
      </c>
      <c r="I575" s="5" t="s">
        <v>97</v>
      </c>
      <c r="J575" s="10" t="s">
        <v>3330</v>
      </c>
      <c r="K575" s="5" t="s">
        <v>216</v>
      </c>
      <c r="L575" s="5" t="s">
        <v>3331</v>
      </c>
      <c r="M575" s="5" t="s">
        <v>45</v>
      </c>
      <c r="N575" s="5">
        <v>0</v>
      </c>
      <c r="O575" s="5" t="s">
        <v>46</v>
      </c>
      <c r="P575" s="10" t="s">
        <v>146</v>
      </c>
      <c r="Q575" s="10" t="s">
        <v>3332</v>
      </c>
      <c r="R575" s="10" t="s">
        <v>219</v>
      </c>
      <c r="S575" s="5">
        <v>0</v>
      </c>
      <c r="T575" s="37">
        <v>0</v>
      </c>
      <c r="U575" s="5">
        <v>1</v>
      </c>
      <c r="V575" s="37">
        <v>0</v>
      </c>
      <c r="W575" s="5">
        <v>0</v>
      </c>
      <c r="X575" s="5">
        <v>1</v>
      </c>
      <c r="Y575" s="5">
        <v>0</v>
      </c>
      <c r="Z575" s="37">
        <v>0</v>
      </c>
      <c r="AA575" s="5">
        <v>0</v>
      </c>
      <c r="AB575" s="5">
        <v>0</v>
      </c>
      <c r="AC575" s="5">
        <v>0</v>
      </c>
      <c r="AD575" s="5">
        <v>0</v>
      </c>
      <c r="AE575" s="10" t="s">
        <v>50</v>
      </c>
      <c r="AF575" s="10"/>
      <c r="AG575" s="10" t="s">
        <v>64</v>
      </c>
      <c r="AH575" s="10" t="s">
        <v>50</v>
      </c>
      <c r="AI575" s="5">
        <v>5</v>
      </c>
      <c r="AJ575" s="10" t="s">
        <v>3333</v>
      </c>
      <c r="AK575" s="10" t="s">
        <v>3334</v>
      </c>
    </row>
    <row r="576" spans="1:37" ht="36.75" customHeight="1" x14ac:dyDescent="0.35">
      <c r="A576" s="5"/>
      <c r="B576" s="5" t="s">
        <v>37</v>
      </c>
      <c r="C576" s="73" t="str">
        <f t="shared" si="8"/>
        <v>Closed</v>
      </c>
      <c r="D576" s="45" t="s">
        <v>3335</v>
      </c>
      <c r="E576" s="54" t="s">
        <v>3336</v>
      </c>
      <c r="F576" s="5" t="s">
        <v>563</v>
      </c>
      <c r="G576" s="10">
        <f>DATE(2008,11,5)</f>
        <v>39757</v>
      </c>
      <c r="H576" s="35">
        <v>1.0145833333333334</v>
      </c>
      <c r="I576" s="5" t="s">
        <v>179</v>
      </c>
      <c r="J576" s="10" t="s">
        <v>3337</v>
      </c>
      <c r="K576" s="5" t="s">
        <v>565</v>
      </c>
      <c r="L576" s="5" t="s">
        <v>3338</v>
      </c>
      <c r="M576" s="5" t="s">
        <v>45</v>
      </c>
      <c r="N576" s="5" t="s">
        <v>123</v>
      </c>
      <c r="O576" s="5" t="s">
        <v>59</v>
      </c>
      <c r="P576" s="10" t="s">
        <v>60</v>
      </c>
      <c r="Q576" s="10" t="s">
        <v>3339</v>
      </c>
      <c r="R576" s="10" t="s">
        <v>568</v>
      </c>
      <c r="S576" s="5">
        <v>0</v>
      </c>
      <c r="T576" s="37">
        <v>0</v>
      </c>
      <c r="U576" s="5">
        <v>0</v>
      </c>
      <c r="V576" s="37">
        <v>0</v>
      </c>
      <c r="W576" s="5">
        <v>0</v>
      </c>
      <c r="X576" s="5">
        <v>0</v>
      </c>
      <c r="Y576" s="5">
        <v>0</v>
      </c>
      <c r="Z576" s="37">
        <v>0</v>
      </c>
      <c r="AA576" s="5">
        <v>0</v>
      </c>
      <c r="AB576" s="5">
        <v>0</v>
      </c>
      <c r="AC576" s="5">
        <v>0</v>
      </c>
      <c r="AD576" s="5">
        <v>0</v>
      </c>
      <c r="AE576" s="10" t="s">
        <v>126</v>
      </c>
      <c r="AF576" s="10"/>
      <c r="AG576" s="10" t="s">
        <v>64</v>
      </c>
      <c r="AH576" s="10">
        <v>39758</v>
      </c>
      <c r="AI576" s="5">
        <v>0</v>
      </c>
      <c r="AJ576" s="10" t="s">
        <v>3340</v>
      </c>
      <c r="AK576" s="10" t="s">
        <v>1215</v>
      </c>
    </row>
    <row r="577" spans="1:37" ht="36.75" customHeight="1" x14ac:dyDescent="0.35">
      <c r="A577" s="5"/>
      <c r="B577" s="5" t="s">
        <v>37</v>
      </c>
      <c r="C577" s="73" t="str">
        <f t="shared" si="8"/>
        <v>Closed</v>
      </c>
      <c r="D577" s="45" t="s">
        <v>3341</v>
      </c>
      <c r="E577" s="54" t="s">
        <v>3342</v>
      </c>
      <c r="F577" s="5" t="s">
        <v>619</v>
      </c>
      <c r="G577" s="10">
        <f>DATE(2008,11,8)</f>
        <v>39760</v>
      </c>
      <c r="H577" s="35">
        <v>1.6187499999999999</v>
      </c>
      <c r="I577" s="5" t="s">
        <v>259</v>
      </c>
      <c r="J577" s="10" t="s">
        <v>3343</v>
      </c>
      <c r="K577" s="5" t="s">
        <v>621</v>
      </c>
      <c r="L577" s="5" t="s">
        <v>3344</v>
      </c>
      <c r="M577" s="5" t="s">
        <v>45</v>
      </c>
      <c r="N577" s="5">
        <v>0</v>
      </c>
      <c r="O577" s="5" t="s">
        <v>59</v>
      </c>
      <c r="P577" s="10" t="s">
        <v>146</v>
      </c>
      <c r="Q577" s="10" t="s">
        <v>623</v>
      </c>
      <c r="R577" s="10" t="s">
        <v>624</v>
      </c>
      <c r="S577" s="5">
        <v>0</v>
      </c>
      <c r="T577" s="37">
        <v>0</v>
      </c>
      <c r="U577" s="5">
        <v>0</v>
      </c>
      <c r="V577" s="37">
        <v>1</v>
      </c>
      <c r="W577" s="5">
        <v>0</v>
      </c>
      <c r="X577" s="5">
        <v>1</v>
      </c>
      <c r="Y577" s="5">
        <v>0</v>
      </c>
      <c r="Z577" s="37">
        <v>0</v>
      </c>
      <c r="AA577" s="5">
        <v>0</v>
      </c>
      <c r="AB577" s="5">
        <v>0</v>
      </c>
      <c r="AC577" s="5">
        <v>0</v>
      </c>
      <c r="AD577" s="5">
        <v>0</v>
      </c>
      <c r="AE577" s="10" t="s">
        <v>50</v>
      </c>
      <c r="AF577" s="10"/>
      <c r="AG577" s="10" t="s">
        <v>229</v>
      </c>
      <c r="AH577" s="10" t="s">
        <v>50</v>
      </c>
      <c r="AI577" s="5">
        <v>1</v>
      </c>
      <c r="AJ577" s="10" t="s">
        <v>50</v>
      </c>
      <c r="AK577" s="10" t="s">
        <v>50</v>
      </c>
    </row>
    <row r="578" spans="1:37" ht="36.75" customHeight="1" x14ac:dyDescent="0.35">
      <c r="A578" s="5"/>
      <c r="B578" s="5" t="s">
        <v>37</v>
      </c>
      <c r="C578" s="73" t="str">
        <f t="shared" ref="C578:C641" si="9">IF(B578="Notification","Open",IF(B578="Interim Statement","In progress","Closed"))</f>
        <v>Closed</v>
      </c>
      <c r="D578" s="45" t="s">
        <v>3345</v>
      </c>
      <c r="E578" s="54" t="s">
        <v>3346</v>
      </c>
      <c r="F578" s="5" t="s">
        <v>619</v>
      </c>
      <c r="G578" s="10">
        <f>DATE(2008,11,9)</f>
        <v>39761</v>
      </c>
      <c r="H578" s="35">
        <v>1.4111111111111112</v>
      </c>
      <c r="I578" s="5" t="s">
        <v>97</v>
      </c>
      <c r="J578" s="10" t="s">
        <v>3347</v>
      </c>
      <c r="K578" s="5" t="s">
        <v>621</v>
      </c>
      <c r="L578" s="5" t="s">
        <v>3348</v>
      </c>
      <c r="M578" s="5" t="s">
        <v>45</v>
      </c>
      <c r="N578" s="5">
        <v>0</v>
      </c>
      <c r="O578" s="5" t="s">
        <v>46</v>
      </c>
      <c r="P578" s="10" t="s">
        <v>146</v>
      </c>
      <c r="Q578" s="10" t="s">
        <v>623</v>
      </c>
      <c r="R578" s="10" t="s">
        <v>624</v>
      </c>
      <c r="S578" s="5">
        <v>0</v>
      </c>
      <c r="T578" s="37">
        <v>0</v>
      </c>
      <c r="U578" s="5">
        <v>1</v>
      </c>
      <c r="V578" s="37">
        <v>0</v>
      </c>
      <c r="W578" s="5">
        <v>0</v>
      </c>
      <c r="X578" s="5">
        <v>1</v>
      </c>
      <c r="Y578" s="5">
        <v>0</v>
      </c>
      <c r="Z578" s="37">
        <v>0</v>
      </c>
      <c r="AA578" s="5">
        <v>0</v>
      </c>
      <c r="AB578" s="5">
        <v>0</v>
      </c>
      <c r="AC578" s="5">
        <v>0</v>
      </c>
      <c r="AD578" s="5">
        <v>0</v>
      </c>
      <c r="AE578" s="10" t="s">
        <v>50</v>
      </c>
      <c r="AF578" s="10"/>
      <c r="AG578" s="10" t="s">
        <v>229</v>
      </c>
      <c r="AH578" s="10" t="s">
        <v>50</v>
      </c>
      <c r="AI578" s="5">
        <v>1</v>
      </c>
      <c r="AJ578" s="10" t="s">
        <v>50</v>
      </c>
      <c r="AK578" s="10" t="s">
        <v>50</v>
      </c>
    </row>
    <row r="579" spans="1:37" ht="36.75" customHeight="1" x14ac:dyDescent="0.35">
      <c r="A579" s="5"/>
      <c r="B579" s="5" t="s">
        <v>37</v>
      </c>
      <c r="C579" s="73" t="str">
        <f t="shared" si="9"/>
        <v>Closed</v>
      </c>
      <c r="D579" s="45" t="s">
        <v>3349</v>
      </c>
      <c r="E579" s="54" t="s">
        <v>3350</v>
      </c>
      <c r="F579" s="5" t="s">
        <v>404</v>
      </c>
      <c r="G579" s="10">
        <f>DATE(2008,11,10)</f>
        <v>39762</v>
      </c>
      <c r="H579" s="35">
        <v>1.5395833333333333</v>
      </c>
      <c r="I579" s="5" t="s">
        <v>179</v>
      </c>
      <c r="J579" s="10" t="s">
        <v>3351</v>
      </c>
      <c r="K579" s="5" t="s">
        <v>406</v>
      </c>
      <c r="L579" s="5" t="s">
        <v>3352</v>
      </c>
      <c r="M579" s="5" t="s">
        <v>45</v>
      </c>
      <c r="N579" s="5">
        <v>0</v>
      </c>
      <c r="O579" s="5" t="s">
        <v>46</v>
      </c>
      <c r="P579" s="10" t="s">
        <v>1893</v>
      </c>
      <c r="Q579" s="10" t="s">
        <v>2463</v>
      </c>
      <c r="R579" s="10" t="s">
        <v>3083</v>
      </c>
      <c r="S579" s="5">
        <v>0</v>
      </c>
      <c r="T579" s="37">
        <v>0</v>
      </c>
      <c r="U579" s="5">
        <v>0</v>
      </c>
      <c r="V579" s="37">
        <v>0</v>
      </c>
      <c r="W579" s="5">
        <v>0</v>
      </c>
      <c r="X579" s="5">
        <v>0</v>
      </c>
      <c r="Y579" s="5">
        <v>4</v>
      </c>
      <c r="Z579" s="37">
        <v>0</v>
      </c>
      <c r="AA579" s="5">
        <v>0</v>
      </c>
      <c r="AB579" s="5">
        <v>0</v>
      </c>
      <c r="AC579" s="5">
        <v>0</v>
      </c>
      <c r="AD579" s="5">
        <v>4</v>
      </c>
      <c r="AE579" s="10" t="s">
        <v>50</v>
      </c>
      <c r="AF579" s="10"/>
      <c r="AG579" s="10" t="s">
        <v>114</v>
      </c>
      <c r="AH579" s="10" t="s">
        <v>50</v>
      </c>
      <c r="AI579" s="5">
        <v>1</v>
      </c>
      <c r="AJ579" s="10" t="s">
        <v>50</v>
      </c>
      <c r="AK579" s="10" t="s">
        <v>3353</v>
      </c>
    </row>
    <row r="580" spans="1:37" ht="36.75" customHeight="1" x14ac:dyDescent="0.35">
      <c r="A580" s="5"/>
      <c r="B580" s="5" t="s">
        <v>37</v>
      </c>
      <c r="C580" s="73" t="str">
        <f t="shared" si="9"/>
        <v>Closed</v>
      </c>
      <c r="D580" s="45" t="s">
        <v>3354</v>
      </c>
      <c r="E580" s="54" t="s">
        <v>3355</v>
      </c>
      <c r="F580" s="5" t="s">
        <v>619</v>
      </c>
      <c r="G580" s="10">
        <f>DATE(2008,11,10)</f>
        <v>39762</v>
      </c>
      <c r="H580" s="35">
        <v>1.3993055555555556</v>
      </c>
      <c r="I580" s="5" t="s">
        <v>97</v>
      </c>
      <c r="J580" s="10" t="s">
        <v>3356</v>
      </c>
      <c r="K580" s="5" t="s">
        <v>621</v>
      </c>
      <c r="L580" s="5" t="s">
        <v>3357</v>
      </c>
      <c r="M580" s="5" t="s">
        <v>45</v>
      </c>
      <c r="N580" s="5">
        <v>0</v>
      </c>
      <c r="O580" s="5" t="s">
        <v>46</v>
      </c>
      <c r="P580" s="10" t="s">
        <v>146</v>
      </c>
      <c r="Q580" s="10" t="s">
        <v>623</v>
      </c>
      <c r="R580" s="10" t="s">
        <v>624</v>
      </c>
      <c r="S580" s="5">
        <v>0</v>
      </c>
      <c r="T580" s="37">
        <v>0</v>
      </c>
      <c r="U580" s="5">
        <v>1</v>
      </c>
      <c r="V580" s="37">
        <v>0</v>
      </c>
      <c r="W580" s="5">
        <v>0</v>
      </c>
      <c r="X580" s="5">
        <v>1</v>
      </c>
      <c r="Y580" s="5">
        <v>0</v>
      </c>
      <c r="Z580" s="37">
        <v>0</v>
      </c>
      <c r="AA580" s="5">
        <v>0</v>
      </c>
      <c r="AB580" s="5">
        <v>0</v>
      </c>
      <c r="AC580" s="5">
        <v>0</v>
      </c>
      <c r="AD580" s="5">
        <v>0</v>
      </c>
      <c r="AE580" s="10" t="s">
        <v>50</v>
      </c>
      <c r="AF580" s="10"/>
      <c r="AG580" s="10" t="s">
        <v>229</v>
      </c>
      <c r="AH580" s="10" t="s">
        <v>50</v>
      </c>
      <c r="AI580" s="5">
        <v>1</v>
      </c>
      <c r="AJ580" s="10" t="s">
        <v>50</v>
      </c>
      <c r="AK580" s="10" t="s">
        <v>50</v>
      </c>
    </row>
    <row r="581" spans="1:37" ht="36.75" customHeight="1" x14ac:dyDescent="0.35">
      <c r="A581" s="5"/>
      <c r="B581" s="5" t="s">
        <v>37</v>
      </c>
      <c r="C581" s="73" t="str">
        <f t="shared" si="9"/>
        <v>Closed</v>
      </c>
      <c r="D581" s="45" t="s">
        <v>3358</v>
      </c>
      <c r="E581" s="54" t="s">
        <v>3359</v>
      </c>
      <c r="F581" s="5" t="s">
        <v>619</v>
      </c>
      <c r="G581" s="10">
        <f>DATE(2008,11,10)</f>
        <v>39762</v>
      </c>
      <c r="H581" s="35">
        <v>1.6284722222222223</v>
      </c>
      <c r="I581" s="5" t="s">
        <v>85</v>
      </c>
      <c r="J581" s="10" t="s">
        <v>3360</v>
      </c>
      <c r="K581" s="5" t="s">
        <v>621</v>
      </c>
      <c r="L581" s="5" t="s">
        <v>3361</v>
      </c>
      <c r="M581" s="5" t="s">
        <v>45</v>
      </c>
      <c r="N581" s="5">
        <v>0</v>
      </c>
      <c r="O581" s="5" t="s">
        <v>59</v>
      </c>
      <c r="P581" s="10" t="s">
        <v>146</v>
      </c>
      <c r="Q581" s="10" t="s">
        <v>3226</v>
      </c>
      <c r="R581" s="10" t="s">
        <v>3226</v>
      </c>
      <c r="S581" s="5">
        <v>0</v>
      </c>
      <c r="T581" s="37" t="s">
        <v>50</v>
      </c>
      <c r="U581" s="5">
        <v>0</v>
      </c>
      <c r="V581" s="37" t="s">
        <v>50</v>
      </c>
      <c r="W581" s="5">
        <v>0</v>
      </c>
      <c r="X581" s="5">
        <v>0</v>
      </c>
      <c r="Y581" s="5">
        <v>0</v>
      </c>
      <c r="Z581" s="37" t="s">
        <v>50</v>
      </c>
      <c r="AA581" s="5">
        <v>0</v>
      </c>
      <c r="AB581" s="5">
        <v>0</v>
      </c>
      <c r="AC581" s="5">
        <v>0</v>
      </c>
      <c r="AD581" s="5">
        <v>0</v>
      </c>
      <c r="AE581" s="10" t="s">
        <v>50</v>
      </c>
      <c r="AF581" s="10"/>
      <c r="AG581" s="10" t="s">
        <v>229</v>
      </c>
      <c r="AH581" s="10" t="s">
        <v>50</v>
      </c>
      <c r="AI581" s="5">
        <v>1</v>
      </c>
      <c r="AJ581" s="10" t="s">
        <v>3362</v>
      </c>
      <c r="AK581" s="10" t="s">
        <v>50</v>
      </c>
    </row>
    <row r="582" spans="1:37" ht="36.75" customHeight="1" x14ac:dyDescent="0.35">
      <c r="A582" s="5"/>
      <c r="B582" s="5" t="s">
        <v>37</v>
      </c>
      <c r="C582" s="73" t="str">
        <f t="shared" si="9"/>
        <v>Closed</v>
      </c>
      <c r="D582" s="45" t="s">
        <v>3363</v>
      </c>
      <c r="E582" s="54" t="s">
        <v>3364</v>
      </c>
      <c r="F582" s="5" t="s">
        <v>214</v>
      </c>
      <c r="G582" s="10">
        <f>DATE(2008,11,10)</f>
        <v>39762</v>
      </c>
      <c r="H582" s="35">
        <v>1.10625</v>
      </c>
      <c r="I582" s="5" t="s">
        <v>55</v>
      </c>
      <c r="J582" s="10" t="s">
        <v>3365</v>
      </c>
      <c r="K582" s="5" t="s">
        <v>216</v>
      </c>
      <c r="L582" s="5" t="s">
        <v>3366</v>
      </c>
      <c r="M582" s="5" t="s">
        <v>45</v>
      </c>
      <c r="N582" s="5">
        <v>0</v>
      </c>
      <c r="O582" s="5" t="s">
        <v>46</v>
      </c>
      <c r="P582" s="10" t="s">
        <v>146</v>
      </c>
      <c r="Q582" s="10" t="s">
        <v>1410</v>
      </c>
      <c r="R582" s="10" t="s">
        <v>219</v>
      </c>
      <c r="S582" s="5">
        <v>0</v>
      </c>
      <c r="T582" s="37" t="s">
        <v>50</v>
      </c>
      <c r="U582" s="5">
        <v>0</v>
      </c>
      <c r="V582" s="37" t="s">
        <v>50</v>
      </c>
      <c r="W582" s="5">
        <v>0</v>
      </c>
      <c r="X582" s="5">
        <v>0</v>
      </c>
      <c r="Y582" s="5">
        <v>0</v>
      </c>
      <c r="Z582" s="37" t="s">
        <v>50</v>
      </c>
      <c r="AA582" s="5">
        <v>0</v>
      </c>
      <c r="AB582" s="5">
        <v>0</v>
      </c>
      <c r="AC582" s="5">
        <v>0</v>
      </c>
      <c r="AD582" s="5">
        <v>0</v>
      </c>
      <c r="AE582" s="10" t="s">
        <v>50</v>
      </c>
      <c r="AF582" s="10"/>
      <c r="AG582" s="10" t="s">
        <v>114</v>
      </c>
      <c r="AH582" s="10" t="s">
        <v>50</v>
      </c>
      <c r="AI582" s="5">
        <v>10</v>
      </c>
      <c r="AJ582" s="10" t="s">
        <v>3367</v>
      </c>
      <c r="AK582" s="10" t="s">
        <v>3368</v>
      </c>
    </row>
    <row r="583" spans="1:37" ht="36.75" customHeight="1" x14ac:dyDescent="0.35">
      <c r="A583" s="5"/>
      <c r="B583" s="5" t="s">
        <v>37</v>
      </c>
      <c r="C583" s="73" t="str">
        <f t="shared" si="9"/>
        <v>Closed</v>
      </c>
      <c r="D583" s="45" t="s">
        <v>3369</v>
      </c>
      <c r="E583" s="54" t="s">
        <v>3370</v>
      </c>
      <c r="F583" s="5" t="s">
        <v>1751</v>
      </c>
      <c r="G583" s="10">
        <f>DATE(2008,11,14)</f>
        <v>39766</v>
      </c>
      <c r="H583" s="35">
        <v>1.2395833333333333</v>
      </c>
      <c r="I583" s="5" t="s">
        <v>179</v>
      </c>
      <c r="J583" s="10" t="s">
        <v>3371</v>
      </c>
      <c r="K583" s="5" t="s">
        <v>1753</v>
      </c>
      <c r="L583" s="5" t="s">
        <v>3372</v>
      </c>
      <c r="M583" s="5" t="s">
        <v>45</v>
      </c>
      <c r="N583" s="5" t="s">
        <v>70</v>
      </c>
      <c r="O583" s="5" t="s">
        <v>46</v>
      </c>
      <c r="P583" s="10" t="s">
        <v>2911</v>
      </c>
      <c r="Q583" s="10" t="s">
        <v>3373</v>
      </c>
      <c r="R583" s="10" t="s">
        <v>1756</v>
      </c>
      <c r="S583" s="5">
        <v>0</v>
      </c>
      <c r="T583" s="37">
        <v>0</v>
      </c>
      <c r="U583" s="5">
        <v>0</v>
      </c>
      <c r="V583" s="37">
        <v>0</v>
      </c>
      <c r="W583" s="5">
        <v>0</v>
      </c>
      <c r="X583" s="5">
        <v>0</v>
      </c>
      <c r="Y583" s="5">
        <v>0</v>
      </c>
      <c r="Z583" s="37">
        <v>0</v>
      </c>
      <c r="AA583" s="5">
        <v>0</v>
      </c>
      <c r="AB583" s="5">
        <v>0</v>
      </c>
      <c r="AC583" s="5">
        <v>0</v>
      </c>
      <c r="AD583" s="5">
        <v>0</v>
      </c>
      <c r="AE583" s="10" t="s">
        <v>73</v>
      </c>
      <c r="AF583" s="10"/>
      <c r="AG583" s="10" t="s">
        <v>114</v>
      </c>
      <c r="AH583" s="10">
        <v>39822</v>
      </c>
      <c r="AI583" s="5">
        <v>0</v>
      </c>
      <c r="AJ583" s="10" t="s">
        <v>3374</v>
      </c>
      <c r="AK583" s="10" t="s">
        <v>3375</v>
      </c>
    </row>
    <row r="584" spans="1:37" ht="36.75" customHeight="1" x14ac:dyDescent="0.35">
      <c r="A584" s="5"/>
      <c r="B584" s="5" t="s">
        <v>37</v>
      </c>
      <c r="C584" s="73" t="str">
        <f t="shared" si="9"/>
        <v>Closed</v>
      </c>
      <c r="D584" s="45" t="s">
        <v>3376</v>
      </c>
      <c r="E584" s="54" t="s">
        <v>3377</v>
      </c>
      <c r="F584" s="5" t="s">
        <v>563</v>
      </c>
      <c r="G584" s="10">
        <f>DATE(2008,11,22)</f>
        <v>39774</v>
      </c>
      <c r="H584" s="35">
        <v>1.1625000000000001</v>
      </c>
      <c r="I584" s="5" t="s">
        <v>55</v>
      </c>
      <c r="J584" s="10" t="s">
        <v>3378</v>
      </c>
      <c r="K584" s="5" t="s">
        <v>565</v>
      </c>
      <c r="L584" s="5" t="s">
        <v>3379</v>
      </c>
      <c r="M584" s="5" t="s">
        <v>45</v>
      </c>
      <c r="N584" s="5" t="s">
        <v>80</v>
      </c>
      <c r="O584" s="5" t="s">
        <v>46</v>
      </c>
      <c r="P584" s="10" t="s">
        <v>282</v>
      </c>
      <c r="Q584" s="10" t="s">
        <v>3380</v>
      </c>
      <c r="R584" s="10" t="s">
        <v>568</v>
      </c>
      <c r="S584" s="5">
        <v>0</v>
      </c>
      <c r="T584" s="37">
        <v>1</v>
      </c>
      <c r="U584" s="5">
        <v>0</v>
      </c>
      <c r="V584" s="37">
        <v>0</v>
      </c>
      <c r="W584" s="5">
        <v>0</v>
      </c>
      <c r="X584" s="5">
        <v>1</v>
      </c>
      <c r="Y584" s="5">
        <v>0</v>
      </c>
      <c r="Z584" s="37">
        <v>1</v>
      </c>
      <c r="AA584" s="5">
        <v>0</v>
      </c>
      <c r="AB584" s="5">
        <v>0</v>
      </c>
      <c r="AC584" s="5">
        <v>0</v>
      </c>
      <c r="AD584" s="5">
        <v>1</v>
      </c>
      <c r="AE584" s="10" t="s">
        <v>375</v>
      </c>
      <c r="AF584" s="10"/>
      <c r="AG584" s="10" t="s">
        <v>64</v>
      </c>
      <c r="AH584" s="10">
        <v>39778</v>
      </c>
      <c r="AI584" s="5">
        <v>0</v>
      </c>
      <c r="AJ584" s="10" t="s">
        <v>3381</v>
      </c>
      <c r="AK584" s="10" t="s">
        <v>1215</v>
      </c>
    </row>
    <row r="585" spans="1:37" ht="36.75" customHeight="1" x14ac:dyDescent="0.35">
      <c r="A585" s="5"/>
      <c r="B585" s="5" t="s">
        <v>37</v>
      </c>
      <c r="C585" s="73" t="str">
        <f t="shared" si="9"/>
        <v>Closed</v>
      </c>
      <c r="D585" s="45" t="s">
        <v>3382</v>
      </c>
      <c r="E585" s="54" t="s">
        <v>3383</v>
      </c>
      <c r="F585" s="5" t="s">
        <v>619</v>
      </c>
      <c r="G585" s="10">
        <f>DATE(2008,11,22)</f>
        <v>39774</v>
      </c>
      <c r="H585" s="35">
        <v>1.625</v>
      </c>
      <c r="I585" s="5" t="s">
        <v>259</v>
      </c>
      <c r="J585" s="10" t="s">
        <v>3384</v>
      </c>
      <c r="K585" s="5" t="s">
        <v>621</v>
      </c>
      <c r="L585" s="5" t="s">
        <v>3385</v>
      </c>
      <c r="M585" s="5" t="s">
        <v>45</v>
      </c>
      <c r="N585" s="5">
        <v>0</v>
      </c>
      <c r="O585" s="5" t="s">
        <v>46</v>
      </c>
      <c r="P585" s="10" t="s">
        <v>146</v>
      </c>
      <c r="Q585" s="10" t="s">
        <v>623</v>
      </c>
      <c r="R585" s="10" t="s">
        <v>624</v>
      </c>
      <c r="S585" s="5">
        <v>0</v>
      </c>
      <c r="T585" s="37">
        <v>0</v>
      </c>
      <c r="U585" s="5">
        <v>0</v>
      </c>
      <c r="V585" s="37">
        <v>1</v>
      </c>
      <c r="W585" s="5">
        <v>0</v>
      </c>
      <c r="X585" s="5">
        <v>1</v>
      </c>
      <c r="Y585" s="5">
        <v>0</v>
      </c>
      <c r="Z585" s="37">
        <v>0</v>
      </c>
      <c r="AA585" s="5">
        <v>0</v>
      </c>
      <c r="AB585" s="5">
        <v>0</v>
      </c>
      <c r="AC585" s="5">
        <v>0</v>
      </c>
      <c r="AD585" s="5">
        <v>0</v>
      </c>
      <c r="AE585" s="10" t="s">
        <v>50</v>
      </c>
      <c r="AF585" s="10"/>
      <c r="AG585" s="10" t="s">
        <v>229</v>
      </c>
      <c r="AH585" s="10" t="s">
        <v>50</v>
      </c>
      <c r="AI585" s="5">
        <v>1</v>
      </c>
      <c r="AJ585" s="10" t="s">
        <v>50</v>
      </c>
      <c r="AK585" s="10" t="s">
        <v>50</v>
      </c>
    </row>
    <row r="586" spans="1:37" ht="36.75" customHeight="1" x14ac:dyDescent="0.35">
      <c r="A586" s="5"/>
      <c r="B586" s="5" t="s">
        <v>37</v>
      </c>
      <c r="C586" s="73" t="str">
        <f t="shared" si="9"/>
        <v>Closed</v>
      </c>
      <c r="D586" s="45" t="s">
        <v>3386</v>
      </c>
      <c r="E586" s="54" t="s">
        <v>3387</v>
      </c>
      <c r="F586" s="5" t="s">
        <v>619</v>
      </c>
      <c r="G586" s="10">
        <f>DATE(2008,11,22)</f>
        <v>39774</v>
      </c>
      <c r="H586" s="35">
        <v>1.8569444444444443</v>
      </c>
      <c r="I586" s="5" t="s">
        <v>259</v>
      </c>
      <c r="J586" s="10" t="s">
        <v>3388</v>
      </c>
      <c r="K586" s="5" t="s">
        <v>621</v>
      </c>
      <c r="L586" s="5" t="s">
        <v>3389</v>
      </c>
      <c r="M586" s="5" t="s">
        <v>45</v>
      </c>
      <c r="N586" s="5">
        <v>0</v>
      </c>
      <c r="O586" s="5" t="s">
        <v>59</v>
      </c>
      <c r="P586" s="10" t="s">
        <v>146</v>
      </c>
      <c r="Q586" s="10" t="s">
        <v>623</v>
      </c>
      <c r="R586" s="10" t="s">
        <v>624</v>
      </c>
      <c r="S586" s="5">
        <v>0</v>
      </c>
      <c r="T586" s="37">
        <v>0</v>
      </c>
      <c r="U586" s="5">
        <v>0</v>
      </c>
      <c r="V586" s="37">
        <v>1</v>
      </c>
      <c r="W586" s="5">
        <v>0</v>
      </c>
      <c r="X586" s="5">
        <v>1</v>
      </c>
      <c r="Y586" s="5">
        <v>0</v>
      </c>
      <c r="Z586" s="37">
        <v>0</v>
      </c>
      <c r="AA586" s="5">
        <v>0</v>
      </c>
      <c r="AB586" s="5">
        <v>0</v>
      </c>
      <c r="AC586" s="5">
        <v>0</v>
      </c>
      <c r="AD586" s="5">
        <v>0</v>
      </c>
      <c r="AE586" s="10" t="s">
        <v>50</v>
      </c>
      <c r="AF586" s="10"/>
      <c r="AG586" s="10" t="s">
        <v>229</v>
      </c>
      <c r="AH586" s="10" t="s">
        <v>50</v>
      </c>
      <c r="AI586" s="5">
        <v>1</v>
      </c>
      <c r="AJ586" s="10" t="s">
        <v>3390</v>
      </c>
      <c r="AK586" s="10" t="s">
        <v>50</v>
      </c>
    </row>
    <row r="587" spans="1:37" ht="36.75" customHeight="1" x14ac:dyDescent="0.35">
      <c r="A587" s="5"/>
      <c r="B587" s="5" t="s">
        <v>37</v>
      </c>
      <c r="C587" s="73" t="str">
        <f t="shared" si="9"/>
        <v>Closed</v>
      </c>
      <c r="D587" s="45" t="s">
        <v>3391</v>
      </c>
      <c r="E587" s="54" t="s">
        <v>3392</v>
      </c>
      <c r="F587" s="5" t="s">
        <v>54</v>
      </c>
      <c r="G587" s="10">
        <f>DATE(2008,11,22)</f>
        <v>39774</v>
      </c>
      <c r="H587" s="35">
        <v>1.6979166666666665</v>
      </c>
      <c r="I587" s="5" t="s">
        <v>55</v>
      </c>
      <c r="J587" s="10" t="s">
        <v>3393</v>
      </c>
      <c r="K587" s="5" t="s">
        <v>57</v>
      </c>
      <c r="L587" s="5" t="s">
        <v>3394</v>
      </c>
      <c r="M587" s="5" t="s">
        <v>45</v>
      </c>
      <c r="N587" s="5">
        <v>0</v>
      </c>
      <c r="O587" s="5" t="s">
        <v>59</v>
      </c>
      <c r="P587" s="10" t="s">
        <v>60</v>
      </c>
      <c r="Q587" s="10" t="s">
        <v>61</v>
      </c>
      <c r="R587" s="10" t="s">
        <v>62</v>
      </c>
      <c r="S587" s="5">
        <v>0</v>
      </c>
      <c r="T587" s="37" t="s">
        <v>50</v>
      </c>
      <c r="U587" s="5">
        <v>0</v>
      </c>
      <c r="V587" s="37" t="s">
        <v>50</v>
      </c>
      <c r="W587" s="5">
        <v>0</v>
      </c>
      <c r="X587" s="5">
        <v>0</v>
      </c>
      <c r="Y587" s="5">
        <v>0</v>
      </c>
      <c r="Z587" s="37" t="s">
        <v>50</v>
      </c>
      <c r="AA587" s="5">
        <v>0</v>
      </c>
      <c r="AB587" s="5">
        <v>0</v>
      </c>
      <c r="AC587" s="5">
        <v>0</v>
      </c>
      <c r="AD587" s="5">
        <v>0</v>
      </c>
      <c r="AE587" s="10" t="s">
        <v>50</v>
      </c>
      <c r="AF587" s="10"/>
      <c r="AG587" s="10" t="s">
        <v>51</v>
      </c>
      <c r="AH587" s="10" t="s">
        <v>50</v>
      </c>
      <c r="AI587" s="5">
        <v>4</v>
      </c>
      <c r="AJ587" s="10" t="s">
        <v>3395</v>
      </c>
      <c r="AK587" s="10" t="s">
        <v>50</v>
      </c>
    </row>
    <row r="588" spans="1:37" ht="36.75" customHeight="1" x14ac:dyDescent="0.35">
      <c r="A588" s="5"/>
      <c r="B588" s="5" t="s">
        <v>37</v>
      </c>
      <c r="C588" s="73" t="str">
        <f t="shared" si="9"/>
        <v>Closed</v>
      </c>
      <c r="D588" s="45" t="s">
        <v>3396</v>
      </c>
      <c r="E588" s="54" t="s">
        <v>3397</v>
      </c>
      <c r="F588" s="5" t="s">
        <v>214</v>
      </c>
      <c r="G588" s="10">
        <f>DATE(2008,11,22)</f>
        <v>39774</v>
      </c>
      <c r="H588" s="35">
        <v>1.7777777777777777</v>
      </c>
      <c r="I588" s="5" t="s">
        <v>97</v>
      </c>
      <c r="J588" s="10" t="s">
        <v>3398</v>
      </c>
      <c r="K588" s="5" t="s">
        <v>216</v>
      </c>
      <c r="L588" s="5" t="s">
        <v>3399</v>
      </c>
      <c r="M588" s="5" t="s">
        <v>45</v>
      </c>
      <c r="N588" s="5">
        <v>0</v>
      </c>
      <c r="O588" s="5" t="s">
        <v>46</v>
      </c>
      <c r="P588" s="10" t="s">
        <v>146</v>
      </c>
      <c r="Q588" s="10" t="s">
        <v>2518</v>
      </c>
      <c r="R588" s="10" t="s">
        <v>219</v>
      </c>
      <c r="S588" s="5">
        <v>0</v>
      </c>
      <c r="T588" s="37">
        <v>0</v>
      </c>
      <c r="U588" s="5">
        <v>2</v>
      </c>
      <c r="V588" s="37">
        <v>0</v>
      </c>
      <c r="W588" s="5">
        <v>0</v>
      </c>
      <c r="X588" s="5">
        <v>2</v>
      </c>
      <c r="Y588" s="5">
        <v>0</v>
      </c>
      <c r="Z588" s="37">
        <v>0</v>
      </c>
      <c r="AA588" s="5">
        <v>0</v>
      </c>
      <c r="AB588" s="5">
        <v>0</v>
      </c>
      <c r="AC588" s="5">
        <v>0</v>
      </c>
      <c r="AD588" s="5">
        <v>0</v>
      </c>
      <c r="AE588" s="10" t="s">
        <v>50</v>
      </c>
      <c r="AF588" s="10"/>
      <c r="AG588" s="10" t="s">
        <v>64</v>
      </c>
      <c r="AH588" s="10" t="s">
        <v>50</v>
      </c>
      <c r="AI588" s="5">
        <v>8</v>
      </c>
      <c r="AJ588" s="10" t="s">
        <v>3400</v>
      </c>
      <c r="AK588" s="10" t="s">
        <v>3401</v>
      </c>
    </row>
    <row r="589" spans="1:37" ht="36.75" customHeight="1" x14ac:dyDescent="0.35">
      <c r="A589" s="5"/>
      <c r="B589" s="5" t="s">
        <v>37</v>
      </c>
      <c r="C589" s="73" t="str">
        <f t="shared" si="9"/>
        <v>Closed</v>
      </c>
      <c r="D589" s="45" t="s">
        <v>3402</v>
      </c>
      <c r="E589" s="54" t="s">
        <v>3403</v>
      </c>
      <c r="F589" s="5" t="s">
        <v>404</v>
      </c>
      <c r="G589" s="10">
        <f>DATE(2008,11,23)</f>
        <v>39775</v>
      </c>
      <c r="H589" s="35">
        <v>1.4840277777777777</v>
      </c>
      <c r="I589" s="5" t="s">
        <v>97</v>
      </c>
      <c r="J589" s="10" t="s">
        <v>3404</v>
      </c>
      <c r="K589" s="5" t="s">
        <v>406</v>
      </c>
      <c r="L589" s="5" t="s">
        <v>3405</v>
      </c>
      <c r="M589" s="5" t="s">
        <v>45</v>
      </c>
      <c r="N589" s="5">
        <v>0</v>
      </c>
      <c r="O589" s="5" t="s">
        <v>46</v>
      </c>
      <c r="P589" s="10" t="s">
        <v>146</v>
      </c>
      <c r="Q589" s="10" t="s">
        <v>408</v>
      </c>
      <c r="R589" s="10" t="s">
        <v>3083</v>
      </c>
      <c r="S589" s="5">
        <v>0</v>
      </c>
      <c r="T589" s="37" t="s">
        <v>50</v>
      </c>
      <c r="U589" s="5">
        <v>0</v>
      </c>
      <c r="V589" s="37" t="s">
        <v>50</v>
      </c>
      <c r="W589" s="5">
        <v>0</v>
      </c>
      <c r="X589" s="5">
        <v>0</v>
      </c>
      <c r="Y589" s="5">
        <v>0</v>
      </c>
      <c r="Z589" s="37" t="s">
        <v>50</v>
      </c>
      <c r="AA589" s="5">
        <v>0</v>
      </c>
      <c r="AB589" s="5">
        <v>0</v>
      </c>
      <c r="AC589" s="5">
        <v>0</v>
      </c>
      <c r="AD589" s="5">
        <v>0</v>
      </c>
      <c r="AE589" s="10" t="s">
        <v>50</v>
      </c>
      <c r="AF589" s="10"/>
      <c r="AG589" s="10" t="s">
        <v>333</v>
      </c>
      <c r="AH589" s="10" t="s">
        <v>50</v>
      </c>
      <c r="AI589" s="5">
        <v>2</v>
      </c>
      <c r="AJ589" s="10" t="s">
        <v>50</v>
      </c>
      <c r="AK589" s="10" t="s">
        <v>50</v>
      </c>
    </row>
    <row r="590" spans="1:37" ht="36.75" customHeight="1" x14ac:dyDescent="0.35">
      <c r="A590" s="5"/>
      <c r="B590" s="5" t="s">
        <v>37</v>
      </c>
      <c r="C590" s="73" t="str">
        <f t="shared" si="9"/>
        <v>Closed</v>
      </c>
      <c r="D590" s="45" t="s">
        <v>3406</v>
      </c>
      <c r="E590" s="54" t="s">
        <v>3407</v>
      </c>
      <c r="F590" s="5" t="s">
        <v>563</v>
      </c>
      <c r="G590" s="10">
        <f>DATE(2008,11,25)</f>
        <v>39777</v>
      </c>
      <c r="H590" s="35">
        <v>1.0590277777777777</v>
      </c>
      <c r="I590" s="5" t="s">
        <v>179</v>
      </c>
      <c r="J590" s="10" t="s">
        <v>3408</v>
      </c>
      <c r="K590" s="5" t="s">
        <v>565</v>
      </c>
      <c r="L590" s="5" t="s">
        <v>3409</v>
      </c>
      <c r="M590" s="5" t="s">
        <v>45</v>
      </c>
      <c r="N590" s="5">
        <v>0</v>
      </c>
      <c r="O590" s="5" t="s">
        <v>59</v>
      </c>
      <c r="P590" s="10" t="s">
        <v>3410</v>
      </c>
      <c r="Q590" s="10" t="s">
        <v>3339</v>
      </c>
      <c r="R590" s="10" t="s">
        <v>568</v>
      </c>
      <c r="S590" s="5">
        <v>0</v>
      </c>
      <c r="T590" s="37">
        <v>0</v>
      </c>
      <c r="U590" s="5">
        <v>0</v>
      </c>
      <c r="V590" s="37">
        <v>0</v>
      </c>
      <c r="W590" s="5">
        <v>0</v>
      </c>
      <c r="X590" s="5">
        <v>0</v>
      </c>
      <c r="Y590" s="5">
        <v>0</v>
      </c>
      <c r="Z590" s="37">
        <v>2</v>
      </c>
      <c r="AA590" s="5">
        <v>0</v>
      </c>
      <c r="AB590" s="5">
        <v>0</v>
      </c>
      <c r="AC590" s="5">
        <v>0</v>
      </c>
      <c r="AD590" s="5">
        <v>2</v>
      </c>
      <c r="AE590" s="10" t="s">
        <v>50</v>
      </c>
      <c r="AF590" s="10"/>
      <c r="AG590" s="10" t="s">
        <v>114</v>
      </c>
      <c r="AH590" s="10" t="s">
        <v>50</v>
      </c>
      <c r="AI590" s="5">
        <v>1</v>
      </c>
      <c r="AJ590" s="10" t="s">
        <v>50</v>
      </c>
      <c r="AK590" s="10" t="s">
        <v>50</v>
      </c>
    </row>
    <row r="591" spans="1:37" ht="36.75" customHeight="1" x14ac:dyDescent="0.35">
      <c r="A591" s="5"/>
      <c r="B591" s="5" t="s">
        <v>37</v>
      </c>
      <c r="C591" s="73" t="str">
        <f t="shared" si="9"/>
        <v>Closed</v>
      </c>
      <c r="D591" s="45" t="s">
        <v>3411</v>
      </c>
      <c r="E591" s="54" t="s">
        <v>3412</v>
      </c>
      <c r="F591" s="5" t="s">
        <v>619</v>
      </c>
      <c r="G591" s="10">
        <f>DATE(2008,11,26)</f>
        <v>39778</v>
      </c>
      <c r="H591" s="35">
        <v>1.6395833333333334</v>
      </c>
      <c r="I591" s="5" t="s">
        <v>259</v>
      </c>
      <c r="J591" s="10" t="s">
        <v>3413</v>
      </c>
      <c r="K591" s="5" t="s">
        <v>621</v>
      </c>
      <c r="L591" s="5" t="s">
        <v>3414</v>
      </c>
      <c r="M591" s="5" t="s">
        <v>45</v>
      </c>
      <c r="N591" s="5">
        <v>0</v>
      </c>
      <c r="O591" s="5" t="s">
        <v>46</v>
      </c>
      <c r="P591" s="10" t="s">
        <v>146</v>
      </c>
      <c r="Q591" s="10" t="s">
        <v>623</v>
      </c>
      <c r="R591" s="10" t="s">
        <v>624</v>
      </c>
      <c r="S591" s="5">
        <v>0</v>
      </c>
      <c r="T591" s="37">
        <v>0</v>
      </c>
      <c r="U591" s="5">
        <v>0</v>
      </c>
      <c r="V591" s="37">
        <v>1</v>
      </c>
      <c r="W591" s="5">
        <v>0</v>
      </c>
      <c r="X591" s="5">
        <v>1</v>
      </c>
      <c r="Y591" s="5">
        <v>0</v>
      </c>
      <c r="Z591" s="37">
        <v>0</v>
      </c>
      <c r="AA591" s="5">
        <v>0</v>
      </c>
      <c r="AB591" s="5">
        <v>0</v>
      </c>
      <c r="AC591" s="5">
        <v>0</v>
      </c>
      <c r="AD591" s="5">
        <v>0</v>
      </c>
      <c r="AE591" s="10" t="s">
        <v>50</v>
      </c>
      <c r="AF591" s="10"/>
      <c r="AG591" s="10" t="s">
        <v>229</v>
      </c>
      <c r="AH591" s="10" t="s">
        <v>50</v>
      </c>
      <c r="AI591" s="5">
        <v>1</v>
      </c>
      <c r="AJ591" s="10" t="s">
        <v>50</v>
      </c>
      <c r="AK591" s="10" t="s">
        <v>50</v>
      </c>
    </row>
    <row r="592" spans="1:37" ht="36.75" customHeight="1" x14ac:dyDescent="0.35">
      <c r="A592" s="5"/>
      <c r="B592" s="5" t="s">
        <v>37</v>
      </c>
      <c r="C592" s="73" t="str">
        <f t="shared" si="9"/>
        <v>Closed</v>
      </c>
      <c r="D592" s="45" t="s">
        <v>3415</v>
      </c>
      <c r="E592" s="54" t="s">
        <v>3416</v>
      </c>
      <c r="F592" s="5" t="s">
        <v>619</v>
      </c>
      <c r="G592" s="10">
        <f>DATE(2008,11,29)</f>
        <v>39781</v>
      </c>
      <c r="H592" s="35">
        <v>1.125</v>
      </c>
      <c r="I592" s="5" t="s">
        <v>259</v>
      </c>
      <c r="J592" s="10" t="s">
        <v>3417</v>
      </c>
      <c r="K592" s="5" t="s">
        <v>621</v>
      </c>
      <c r="L592" s="5" t="s">
        <v>3418</v>
      </c>
      <c r="M592" s="5" t="s">
        <v>45</v>
      </c>
      <c r="N592" s="5">
        <v>0</v>
      </c>
      <c r="O592" s="5" t="s">
        <v>59</v>
      </c>
      <c r="P592" s="10" t="s">
        <v>60</v>
      </c>
      <c r="Q592" s="10" t="s">
        <v>3419</v>
      </c>
      <c r="R592" s="10" t="s">
        <v>624</v>
      </c>
      <c r="S592" s="5">
        <v>0</v>
      </c>
      <c r="T592" s="37">
        <v>1</v>
      </c>
      <c r="U592" s="5">
        <v>0</v>
      </c>
      <c r="V592" s="37">
        <v>0</v>
      </c>
      <c r="W592" s="5">
        <v>0</v>
      </c>
      <c r="X592" s="5">
        <v>1</v>
      </c>
      <c r="Y592" s="5">
        <v>0</v>
      </c>
      <c r="Z592" s="37">
        <v>0</v>
      </c>
      <c r="AA592" s="5">
        <v>0</v>
      </c>
      <c r="AB592" s="5">
        <v>0</v>
      </c>
      <c r="AC592" s="5">
        <v>0</v>
      </c>
      <c r="AD592" s="5">
        <v>0</v>
      </c>
      <c r="AE592" s="10" t="s">
        <v>50</v>
      </c>
      <c r="AF592" s="10"/>
      <c r="AG592" s="10" t="s">
        <v>229</v>
      </c>
      <c r="AH592" s="10" t="s">
        <v>50</v>
      </c>
      <c r="AI592" s="5">
        <v>1</v>
      </c>
      <c r="AJ592" s="10" t="s">
        <v>50</v>
      </c>
      <c r="AK592" s="10" t="s">
        <v>50</v>
      </c>
    </row>
    <row r="593" spans="1:37" ht="36.75" customHeight="1" x14ac:dyDescent="0.35">
      <c r="A593" s="5"/>
      <c r="B593" s="5" t="s">
        <v>37</v>
      </c>
      <c r="C593" s="73" t="str">
        <f t="shared" si="9"/>
        <v>Closed</v>
      </c>
      <c r="D593" s="45" t="s">
        <v>3420</v>
      </c>
      <c r="E593" s="54" t="s">
        <v>3421</v>
      </c>
      <c r="F593" s="5" t="s">
        <v>1919</v>
      </c>
      <c r="G593" s="10">
        <f>DATE(2008,12,2)</f>
        <v>39784</v>
      </c>
      <c r="H593" s="35">
        <v>1.40625</v>
      </c>
      <c r="I593" s="5" t="s">
        <v>97</v>
      </c>
      <c r="J593" s="10" t="s">
        <v>3422</v>
      </c>
      <c r="K593" s="5" t="s">
        <v>1921</v>
      </c>
      <c r="L593" s="5" t="s">
        <v>3423</v>
      </c>
      <c r="M593" s="5" t="s">
        <v>45</v>
      </c>
      <c r="N593" s="5">
        <v>0</v>
      </c>
      <c r="O593" s="5" t="s">
        <v>46</v>
      </c>
      <c r="P593" s="10" t="s">
        <v>282</v>
      </c>
      <c r="Q593" s="10" t="s">
        <v>1923</v>
      </c>
      <c r="R593" s="10" t="s">
        <v>1923</v>
      </c>
      <c r="S593" s="5">
        <v>0</v>
      </c>
      <c r="T593" s="37" t="s">
        <v>50</v>
      </c>
      <c r="U593" s="5">
        <v>0</v>
      </c>
      <c r="V593" s="37" t="s">
        <v>50</v>
      </c>
      <c r="W593" s="5">
        <v>0</v>
      </c>
      <c r="X593" s="5">
        <v>0</v>
      </c>
      <c r="Y593" s="5">
        <v>0</v>
      </c>
      <c r="Z593" s="37" t="s">
        <v>50</v>
      </c>
      <c r="AA593" s="5">
        <v>0</v>
      </c>
      <c r="AB593" s="5">
        <v>0</v>
      </c>
      <c r="AC593" s="5">
        <v>0</v>
      </c>
      <c r="AD593" s="5">
        <v>0</v>
      </c>
      <c r="AE593" s="10" t="s">
        <v>50</v>
      </c>
      <c r="AF593" s="10"/>
      <c r="AG593" s="10" t="s">
        <v>1489</v>
      </c>
      <c r="AH593" s="10" t="s">
        <v>50</v>
      </c>
      <c r="AI593" s="5">
        <v>2</v>
      </c>
      <c r="AJ593" s="10" t="s">
        <v>50</v>
      </c>
      <c r="AK593" s="10" t="s">
        <v>50</v>
      </c>
    </row>
    <row r="594" spans="1:37" ht="36.75" customHeight="1" x14ac:dyDescent="0.35">
      <c r="A594" s="5"/>
      <c r="B594" s="5" t="s">
        <v>37</v>
      </c>
      <c r="C594" s="73" t="str">
        <f t="shared" si="9"/>
        <v>Closed</v>
      </c>
      <c r="D594" s="45" t="s">
        <v>3424</v>
      </c>
      <c r="E594" s="54" t="s">
        <v>3425</v>
      </c>
      <c r="F594" s="5" t="s">
        <v>1730</v>
      </c>
      <c r="G594" s="10">
        <f>DATE(2008,12,4)</f>
        <v>39786</v>
      </c>
      <c r="H594" s="35">
        <v>1.5520833333333335</v>
      </c>
      <c r="I594" s="5" t="s">
        <v>55</v>
      </c>
      <c r="J594" s="10" t="s">
        <v>3426</v>
      </c>
      <c r="K594" s="5" t="s">
        <v>1732</v>
      </c>
      <c r="L594" s="5" t="s">
        <v>3427</v>
      </c>
      <c r="M594" s="5" t="s">
        <v>45</v>
      </c>
      <c r="N594" s="5">
        <v>0</v>
      </c>
      <c r="O594" s="5" t="s">
        <v>46</v>
      </c>
      <c r="P594" s="10" t="s">
        <v>60</v>
      </c>
      <c r="Q594" s="10" t="s">
        <v>3428</v>
      </c>
      <c r="R594" s="10" t="s">
        <v>3428</v>
      </c>
      <c r="S594" s="5">
        <v>0</v>
      </c>
      <c r="T594" s="37" t="s">
        <v>50</v>
      </c>
      <c r="U594" s="5">
        <v>0</v>
      </c>
      <c r="V594" s="37" t="s">
        <v>50</v>
      </c>
      <c r="W594" s="5">
        <v>0</v>
      </c>
      <c r="X594" s="5">
        <v>0</v>
      </c>
      <c r="Y594" s="5">
        <v>0</v>
      </c>
      <c r="Z594" s="37" t="s">
        <v>50</v>
      </c>
      <c r="AA594" s="5">
        <v>0</v>
      </c>
      <c r="AB594" s="5">
        <v>0</v>
      </c>
      <c r="AC594" s="5">
        <v>0</v>
      </c>
      <c r="AD594" s="5">
        <v>0</v>
      </c>
      <c r="AE594" s="10" t="s">
        <v>50</v>
      </c>
      <c r="AF594" s="10"/>
      <c r="AG594" s="10" t="s">
        <v>229</v>
      </c>
      <c r="AH594" s="10" t="s">
        <v>50</v>
      </c>
      <c r="AI594" s="5">
        <v>7</v>
      </c>
      <c r="AJ594" s="10" t="s">
        <v>3429</v>
      </c>
      <c r="AK594" s="10" t="s">
        <v>3430</v>
      </c>
    </row>
    <row r="595" spans="1:37" ht="36.75" customHeight="1" x14ac:dyDescent="0.35">
      <c r="A595" s="5"/>
      <c r="B595" s="5" t="s">
        <v>37</v>
      </c>
      <c r="C595" s="73" t="str">
        <f t="shared" si="9"/>
        <v>Closed</v>
      </c>
      <c r="D595" s="45" t="s">
        <v>3431</v>
      </c>
      <c r="E595" s="54" t="s">
        <v>3432</v>
      </c>
      <c r="F595" s="5" t="s">
        <v>214</v>
      </c>
      <c r="G595" s="10">
        <f>DATE(2008,12,7)</f>
        <v>39789</v>
      </c>
      <c r="H595" s="35">
        <v>1.7291666666666665</v>
      </c>
      <c r="I595" s="5" t="s">
        <v>259</v>
      </c>
      <c r="J595" s="10" t="s">
        <v>3433</v>
      </c>
      <c r="K595" s="5" t="s">
        <v>216</v>
      </c>
      <c r="L595" s="5" t="s">
        <v>3434</v>
      </c>
      <c r="M595" s="5" t="s">
        <v>45</v>
      </c>
      <c r="N595" s="5">
        <v>0</v>
      </c>
      <c r="O595" s="5" t="s">
        <v>67</v>
      </c>
      <c r="P595" s="10" t="s">
        <v>47</v>
      </c>
      <c r="Q595" s="10" t="s">
        <v>3064</v>
      </c>
      <c r="R595" s="10" t="s">
        <v>219</v>
      </c>
      <c r="S595" s="5">
        <v>0</v>
      </c>
      <c r="T595" s="37">
        <v>0</v>
      </c>
      <c r="U595" s="5">
        <v>0</v>
      </c>
      <c r="V595" s="37">
        <v>0</v>
      </c>
      <c r="W595" s="5">
        <v>0</v>
      </c>
      <c r="X595" s="5">
        <v>0</v>
      </c>
      <c r="Y595" s="5">
        <v>0</v>
      </c>
      <c r="Z595" s="37">
        <v>1</v>
      </c>
      <c r="AA595" s="5">
        <v>0</v>
      </c>
      <c r="AB595" s="5">
        <v>0</v>
      </c>
      <c r="AC595" s="5">
        <v>0</v>
      </c>
      <c r="AD595" s="5">
        <v>1</v>
      </c>
      <c r="AE595" s="10" t="s">
        <v>50</v>
      </c>
      <c r="AF595" s="10"/>
      <c r="AG595" s="10" t="s">
        <v>114</v>
      </c>
      <c r="AH595" s="10" t="s">
        <v>50</v>
      </c>
      <c r="AI595" s="5">
        <v>6</v>
      </c>
      <c r="AJ595" s="10" t="s">
        <v>3435</v>
      </c>
      <c r="AK595" s="10" t="s">
        <v>3436</v>
      </c>
    </row>
    <row r="596" spans="1:37" ht="36.75" customHeight="1" x14ac:dyDescent="0.35">
      <c r="A596" s="5"/>
      <c r="B596" s="5" t="s">
        <v>37</v>
      </c>
      <c r="C596" s="73" t="str">
        <f t="shared" si="9"/>
        <v>Closed</v>
      </c>
      <c r="D596" s="45" t="s">
        <v>3437</v>
      </c>
      <c r="E596" s="54" t="s">
        <v>3438</v>
      </c>
      <c r="F596" s="5" t="s">
        <v>404</v>
      </c>
      <c r="G596" s="10">
        <f>DATE(2008,12,12)</f>
        <v>39794</v>
      </c>
      <c r="H596" s="35">
        <v>1.4826388888888888</v>
      </c>
      <c r="I596" s="5" t="s">
        <v>97</v>
      </c>
      <c r="J596" s="10" t="s">
        <v>3439</v>
      </c>
      <c r="K596" s="5" t="s">
        <v>406</v>
      </c>
      <c r="L596" s="5" t="s">
        <v>3440</v>
      </c>
      <c r="M596" s="5" t="s">
        <v>45</v>
      </c>
      <c r="N596" s="5">
        <v>0</v>
      </c>
      <c r="O596" s="5" t="s">
        <v>46</v>
      </c>
      <c r="P596" s="10" t="s">
        <v>197</v>
      </c>
      <c r="Q596" s="10" t="s">
        <v>3441</v>
      </c>
      <c r="R596" s="10" t="s">
        <v>3083</v>
      </c>
      <c r="S596" s="5">
        <v>0</v>
      </c>
      <c r="T596" s="37">
        <v>0</v>
      </c>
      <c r="U596" s="5">
        <v>0</v>
      </c>
      <c r="V596" s="37">
        <v>0</v>
      </c>
      <c r="W596" s="5">
        <v>0</v>
      </c>
      <c r="X596" s="5">
        <v>0</v>
      </c>
      <c r="Y596" s="5">
        <v>0</v>
      </c>
      <c r="Z596" s="37">
        <v>0</v>
      </c>
      <c r="AA596" s="5">
        <v>1</v>
      </c>
      <c r="AB596" s="5">
        <v>0</v>
      </c>
      <c r="AC596" s="5">
        <v>0</v>
      </c>
      <c r="AD596" s="5">
        <v>1</v>
      </c>
      <c r="AE596" s="10" t="s">
        <v>50</v>
      </c>
      <c r="AF596" s="10"/>
      <c r="AG596" s="10" t="s">
        <v>114</v>
      </c>
      <c r="AH596" s="10" t="s">
        <v>50</v>
      </c>
      <c r="AI596" s="5">
        <v>0</v>
      </c>
      <c r="AJ596" s="10" t="s">
        <v>50</v>
      </c>
      <c r="AK596" s="10" t="s">
        <v>50</v>
      </c>
    </row>
    <row r="597" spans="1:37" ht="36.75" customHeight="1" x14ac:dyDescent="0.35">
      <c r="A597" s="5"/>
      <c r="B597" s="5" t="s">
        <v>37</v>
      </c>
      <c r="C597" s="73" t="str">
        <f t="shared" si="9"/>
        <v>Closed</v>
      </c>
      <c r="D597" s="45" t="s">
        <v>3442</v>
      </c>
      <c r="E597" s="54" t="s">
        <v>3443</v>
      </c>
      <c r="F597" s="5" t="s">
        <v>619</v>
      </c>
      <c r="G597" s="10">
        <f>DATE(2008,12,13)</f>
        <v>39795</v>
      </c>
      <c r="H597" s="35">
        <v>1.320138888888889</v>
      </c>
      <c r="I597" s="5" t="s">
        <v>97</v>
      </c>
      <c r="J597" s="10" t="s">
        <v>3444</v>
      </c>
      <c r="K597" s="5" t="s">
        <v>621</v>
      </c>
      <c r="L597" s="5" t="s">
        <v>3445</v>
      </c>
      <c r="M597" s="5" t="s">
        <v>45</v>
      </c>
      <c r="N597" s="5">
        <v>0</v>
      </c>
      <c r="O597" s="5" t="s">
        <v>59</v>
      </c>
      <c r="P597" s="10" t="s">
        <v>146</v>
      </c>
      <c r="Q597" s="10" t="s">
        <v>623</v>
      </c>
      <c r="R597" s="10" t="s">
        <v>624</v>
      </c>
      <c r="S597" s="5">
        <v>0</v>
      </c>
      <c r="T597" s="37">
        <v>0</v>
      </c>
      <c r="U597" s="5">
        <v>1</v>
      </c>
      <c r="V597" s="37">
        <v>0</v>
      </c>
      <c r="W597" s="5">
        <v>0</v>
      </c>
      <c r="X597" s="5">
        <v>1</v>
      </c>
      <c r="Y597" s="5">
        <v>0</v>
      </c>
      <c r="Z597" s="37">
        <v>0</v>
      </c>
      <c r="AA597" s="5">
        <v>0</v>
      </c>
      <c r="AB597" s="5">
        <v>0</v>
      </c>
      <c r="AC597" s="5">
        <v>0</v>
      </c>
      <c r="AD597" s="5">
        <v>0</v>
      </c>
      <c r="AE597" s="10" t="s">
        <v>50</v>
      </c>
      <c r="AF597" s="10"/>
      <c r="AG597" s="10" t="s">
        <v>229</v>
      </c>
      <c r="AH597" s="10" t="s">
        <v>50</v>
      </c>
      <c r="AI597" s="5">
        <v>1</v>
      </c>
      <c r="AJ597" s="10" t="s">
        <v>50</v>
      </c>
      <c r="AK597" s="10" t="s">
        <v>50</v>
      </c>
    </row>
    <row r="598" spans="1:37" ht="36.75" customHeight="1" x14ac:dyDescent="0.35">
      <c r="A598" s="5"/>
      <c r="B598" s="5" t="s">
        <v>37</v>
      </c>
      <c r="C598" s="73" t="str">
        <f t="shared" si="9"/>
        <v>Closed</v>
      </c>
      <c r="D598" s="45" t="s">
        <v>3446</v>
      </c>
      <c r="E598" s="54" t="s">
        <v>3447</v>
      </c>
      <c r="F598" s="5" t="s">
        <v>619</v>
      </c>
      <c r="G598" s="10">
        <f>DATE(2008,12,13)</f>
        <v>39795</v>
      </c>
      <c r="H598" s="35">
        <v>1.40625</v>
      </c>
      <c r="I598" s="5" t="s">
        <v>259</v>
      </c>
      <c r="J598" s="10" t="s">
        <v>3448</v>
      </c>
      <c r="K598" s="5" t="s">
        <v>621</v>
      </c>
      <c r="L598" s="5" t="s">
        <v>3449</v>
      </c>
      <c r="M598" s="5" t="s">
        <v>45</v>
      </c>
      <c r="N598" s="5">
        <v>0</v>
      </c>
      <c r="O598" s="5" t="s">
        <v>46</v>
      </c>
      <c r="P598" s="10" t="s">
        <v>60</v>
      </c>
      <c r="Q598" s="10" t="s">
        <v>623</v>
      </c>
      <c r="R598" s="10" t="s">
        <v>624</v>
      </c>
      <c r="S598" s="5">
        <v>0</v>
      </c>
      <c r="T598" s="37">
        <v>0</v>
      </c>
      <c r="U598" s="5">
        <v>0</v>
      </c>
      <c r="V598" s="37">
        <v>1</v>
      </c>
      <c r="W598" s="5">
        <v>0</v>
      </c>
      <c r="X598" s="5">
        <v>1</v>
      </c>
      <c r="Y598" s="5">
        <v>0</v>
      </c>
      <c r="Z598" s="37">
        <v>0</v>
      </c>
      <c r="AA598" s="5">
        <v>0</v>
      </c>
      <c r="AB598" s="5">
        <v>0</v>
      </c>
      <c r="AC598" s="5">
        <v>0</v>
      </c>
      <c r="AD598" s="5">
        <v>0</v>
      </c>
      <c r="AE598" s="10" t="s">
        <v>50</v>
      </c>
      <c r="AF598" s="10"/>
      <c r="AG598" s="10" t="s">
        <v>229</v>
      </c>
      <c r="AH598" s="10" t="s">
        <v>50</v>
      </c>
      <c r="AI598" s="5">
        <v>1</v>
      </c>
      <c r="AJ598" s="10" t="s">
        <v>50</v>
      </c>
      <c r="AK598" s="10" t="s">
        <v>50</v>
      </c>
    </row>
    <row r="599" spans="1:37" ht="36.75" customHeight="1" x14ac:dyDescent="0.35">
      <c r="A599" s="5"/>
      <c r="B599" s="5" t="s">
        <v>37</v>
      </c>
      <c r="C599" s="73" t="str">
        <f t="shared" si="9"/>
        <v>Closed</v>
      </c>
      <c r="D599" s="45" t="s">
        <v>3450</v>
      </c>
      <c r="E599" s="54" t="s">
        <v>3451</v>
      </c>
      <c r="F599" s="5" t="s">
        <v>1553</v>
      </c>
      <c r="G599" s="10">
        <f>DATE(2008,12,16)</f>
        <v>39798</v>
      </c>
      <c r="H599" s="35">
        <v>1.85</v>
      </c>
      <c r="I599" s="5" t="s">
        <v>41</v>
      </c>
      <c r="J599" s="10" t="s">
        <v>3452</v>
      </c>
      <c r="K599" s="5" t="s">
        <v>1555</v>
      </c>
      <c r="L599" s="5" t="s">
        <v>3453</v>
      </c>
      <c r="M599" s="5" t="s">
        <v>45</v>
      </c>
      <c r="N599" s="5">
        <v>0</v>
      </c>
      <c r="O599" s="5" t="s">
        <v>59</v>
      </c>
      <c r="P599" s="10" t="s">
        <v>146</v>
      </c>
      <c r="Q599" s="10" t="s">
        <v>2393</v>
      </c>
      <c r="R599" s="10">
        <v>0</v>
      </c>
      <c r="S599" s="5">
        <v>0</v>
      </c>
      <c r="T599" s="37" t="s">
        <v>50</v>
      </c>
      <c r="U599" s="5">
        <v>0</v>
      </c>
      <c r="V599" s="37" t="s">
        <v>50</v>
      </c>
      <c r="W599" s="5">
        <v>0</v>
      </c>
      <c r="X599" s="5">
        <v>0</v>
      </c>
      <c r="Y599" s="5">
        <v>0</v>
      </c>
      <c r="Z599" s="37" t="s">
        <v>50</v>
      </c>
      <c r="AA599" s="5">
        <v>0</v>
      </c>
      <c r="AB599" s="5">
        <v>0</v>
      </c>
      <c r="AC599" s="5">
        <v>0</v>
      </c>
      <c r="AD599" s="5">
        <v>0</v>
      </c>
      <c r="AE599" s="10" t="s">
        <v>50</v>
      </c>
      <c r="AF599" s="10"/>
      <c r="AG599" s="10" t="s">
        <v>1664</v>
      </c>
      <c r="AH599" s="10" t="s">
        <v>50</v>
      </c>
      <c r="AI599" s="5">
        <v>4</v>
      </c>
      <c r="AJ599" s="10" t="s">
        <v>3454</v>
      </c>
      <c r="AK599" s="10" t="s">
        <v>3455</v>
      </c>
    </row>
    <row r="600" spans="1:37" ht="36.75" customHeight="1" x14ac:dyDescent="0.35">
      <c r="A600" s="5"/>
      <c r="B600" s="5" t="s">
        <v>37</v>
      </c>
      <c r="C600" s="73" t="str">
        <f t="shared" si="9"/>
        <v>Closed</v>
      </c>
      <c r="D600" s="45" t="s">
        <v>3456</v>
      </c>
      <c r="E600" s="54" t="s">
        <v>3457</v>
      </c>
      <c r="F600" s="5" t="s">
        <v>404</v>
      </c>
      <c r="G600" s="10">
        <f>DATE(2008,12,17)</f>
        <v>39799</v>
      </c>
      <c r="H600" s="35">
        <v>1.7173611111111109</v>
      </c>
      <c r="I600" s="5" t="s">
        <v>97</v>
      </c>
      <c r="J600" s="10" t="s">
        <v>3458</v>
      </c>
      <c r="K600" s="5" t="s">
        <v>406</v>
      </c>
      <c r="L600" s="5" t="s">
        <v>3459</v>
      </c>
      <c r="M600" s="5" t="s">
        <v>45</v>
      </c>
      <c r="N600" s="5">
        <v>0</v>
      </c>
      <c r="O600" s="5" t="s">
        <v>46</v>
      </c>
      <c r="P600" s="10" t="s">
        <v>146</v>
      </c>
      <c r="Q600" s="10" t="s">
        <v>408</v>
      </c>
      <c r="R600" s="10" t="s">
        <v>3083</v>
      </c>
      <c r="S600" s="5">
        <v>0</v>
      </c>
      <c r="T600" s="37">
        <v>0</v>
      </c>
      <c r="U600" s="5">
        <v>0</v>
      </c>
      <c r="V600" s="37">
        <v>0</v>
      </c>
      <c r="W600" s="5">
        <v>0</v>
      </c>
      <c r="X600" s="5">
        <v>0</v>
      </c>
      <c r="Y600" s="5">
        <v>3</v>
      </c>
      <c r="Z600" s="37">
        <v>0</v>
      </c>
      <c r="AA600" s="5">
        <v>0</v>
      </c>
      <c r="AB600" s="5">
        <v>0</v>
      </c>
      <c r="AC600" s="5">
        <v>0</v>
      </c>
      <c r="AD600" s="5">
        <v>3</v>
      </c>
      <c r="AE600" s="10" t="s">
        <v>50</v>
      </c>
      <c r="AF600" s="10"/>
      <c r="AG600" s="10" t="s">
        <v>855</v>
      </c>
      <c r="AH600" s="10" t="s">
        <v>50</v>
      </c>
      <c r="AI600" s="5">
        <v>3</v>
      </c>
      <c r="AJ600" s="10" t="s">
        <v>50</v>
      </c>
      <c r="AK600" s="10" t="s">
        <v>50</v>
      </c>
    </row>
    <row r="601" spans="1:37" ht="36.75" customHeight="1" x14ac:dyDescent="0.35">
      <c r="A601" s="5"/>
      <c r="B601" s="5" t="s">
        <v>37</v>
      </c>
      <c r="C601" s="73" t="str">
        <f t="shared" si="9"/>
        <v>Closed</v>
      </c>
      <c r="D601" s="45" t="s">
        <v>3460</v>
      </c>
      <c r="E601" s="54" t="s">
        <v>3461</v>
      </c>
      <c r="F601" s="5" t="s">
        <v>214</v>
      </c>
      <c r="G601" s="10">
        <f>DATE(2008,12,18)</f>
        <v>39800</v>
      </c>
      <c r="H601" s="35">
        <v>1.7486111111111109</v>
      </c>
      <c r="I601" s="5" t="s">
        <v>137</v>
      </c>
      <c r="J601" s="10" t="s">
        <v>3462</v>
      </c>
      <c r="K601" s="5" t="s">
        <v>216</v>
      </c>
      <c r="L601" s="5" t="s">
        <v>3463</v>
      </c>
      <c r="M601" s="5" t="s">
        <v>45</v>
      </c>
      <c r="N601" s="5">
        <v>0</v>
      </c>
      <c r="O601" s="5" t="s">
        <v>46</v>
      </c>
      <c r="P601" s="10" t="s">
        <v>146</v>
      </c>
      <c r="Q601" s="10" t="s">
        <v>427</v>
      </c>
      <c r="R601" s="10" t="s">
        <v>219</v>
      </c>
      <c r="S601" s="5">
        <v>0</v>
      </c>
      <c r="T601" s="37" t="s">
        <v>50</v>
      </c>
      <c r="U601" s="5">
        <v>0</v>
      </c>
      <c r="V601" s="37" t="s">
        <v>50</v>
      </c>
      <c r="W601" s="5">
        <v>0</v>
      </c>
      <c r="X601" s="5">
        <v>0</v>
      </c>
      <c r="Y601" s="5">
        <v>0</v>
      </c>
      <c r="Z601" s="37" t="s">
        <v>50</v>
      </c>
      <c r="AA601" s="5">
        <v>0</v>
      </c>
      <c r="AB601" s="5">
        <v>0</v>
      </c>
      <c r="AC601" s="5">
        <v>0</v>
      </c>
      <c r="AD601" s="5">
        <v>0</v>
      </c>
      <c r="AE601" s="10" t="s">
        <v>50</v>
      </c>
      <c r="AF601" s="10"/>
      <c r="AG601" s="10" t="s">
        <v>114</v>
      </c>
      <c r="AH601" s="10" t="s">
        <v>50</v>
      </c>
      <c r="AI601" s="5">
        <v>3</v>
      </c>
      <c r="AJ601" s="10" t="s">
        <v>3464</v>
      </c>
      <c r="AK601" s="10" t="s">
        <v>3465</v>
      </c>
    </row>
    <row r="602" spans="1:37" ht="36.75" customHeight="1" x14ac:dyDescent="0.35">
      <c r="A602" s="5"/>
      <c r="B602" s="5" t="s">
        <v>37</v>
      </c>
      <c r="C602" s="73" t="str">
        <f t="shared" si="9"/>
        <v>Closed</v>
      </c>
      <c r="D602" s="45" t="s">
        <v>3466</v>
      </c>
      <c r="E602" s="54" t="s">
        <v>3467</v>
      </c>
      <c r="F602" s="5" t="s">
        <v>214</v>
      </c>
      <c r="G602" s="10">
        <f>DATE(2008,12,19)</f>
        <v>39801</v>
      </c>
      <c r="H602" s="35">
        <v>1.4333333333333333</v>
      </c>
      <c r="I602" s="5" t="s">
        <v>137</v>
      </c>
      <c r="J602" s="10" t="s">
        <v>3468</v>
      </c>
      <c r="K602" s="5" t="s">
        <v>216</v>
      </c>
      <c r="L602" s="5" t="s">
        <v>3469</v>
      </c>
      <c r="M602" s="5" t="s">
        <v>45</v>
      </c>
      <c r="N602" s="5">
        <v>0</v>
      </c>
      <c r="O602" s="5" t="s">
        <v>59</v>
      </c>
      <c r="P602" s="10" t="s">
        <v>60</v>
      </c>
      <c r="Q602" s="10" t="s">
        <v>218</v>
      </c>
      <c r="R602" s="10" t="s">
        <v>219</v>
      </c>
      <c r="S602" s="5">
        <v>0</v>
      </c>
      <c r="T602" s="37" t="s">
        <v>50</v>
      </c>
      <c r="U602" s="5">
        <v>0</v>
      </c>
      <c r="V602" s="37" t="s">
        <v>50</v>
      </c>
      <c r="W602" s="5">
        <v>0</v>
      </c>
      <c r="X602" s="5">
        <v>0</v>
      </c>
      <c r="Y602" s="5">
        <v>0</v>
      </c>
      <c r="Z602" s="37" t="s">
        <v>50</v>
      </c>
      <c r="AA602" s="5">
        <v>0</v>
      </c>
      <c r="AB602" s="5">
        <v>0</v>
      </c>
      <c r="AC602" s="5">
        <v>0</v>
      </c>
      <c r="AD602" s="5">
        <v>0</v>
      </c>
      <c r="AE602" s="10" t="s">
        <v>50</v>
      </c>
      <c r="AF602" s="10"/>
      <c r="AG602" s="10" t="s">
        <v>229</v>
      </c>
      <c r="AH602" s="10" t="s">
        <v>50</v>
      </c>
      <c r="AI602" s="5">
        <v>3</v>
      </c>
      <c r="AJ602" s="10" t="s">
        <v>3470</v>
      </c>
      <c r="AK602" s="10" t="s">
        <v>3471</v>
      </c>
    </row>
    <row r="603" spans="1:37" ht="36.75" customHeight="1" x14ac:dyDescent="0.35">
      <c r="A603" s="5"/>
      <c r="B603" s="5" t="s">
        <v>37</v>
      </c>
      <c r="C603" s="73" t="str">
        <f t="shared" si="9"/>
        <v>Closed</v>
      </c>
      <c r="D603" s="45" t="s">
        <v>3472</v>
      </c>
      <c r="E603" s="54" t="s">
        <v>3473</v>
      </c>
      <c r="F603" s="5" t="s">
        <v>178</v>
      </c>
      <c r="G603" s="10">
        <f>DATE(2008,12,20)</f>
        <v>39802</v>
      </c>
      <c r="H603" s="35">
        <v>1.1944444444444444</v>
      </c>
      <c r="I603" s="5" t="s">
        <v>55</v>
      </c>
      <c r="J603" s="10" t="s">
        <v>3474</v>
      </c>
      <c r="K603" s="5" t="s">
        <v>181</v>
      </c>
      <c r="L603" s="5" t="s">
        <v>3475</v>
      </c>
      <c r="M603" s="5" t="s">
        <v>45</v>
      </c>
      <c r="N603" s="5">
        <v>0</v>
      </c>
      <c r="O603" s="5" t="s">
        <v>46</v>
      </c>
      <c r="P603" s="10" t="s">
        <v>60</v>
      </c>
      <c r="Q603" s="10" t="s">
        <v>1697</v>
      </c>
      <c r="R603" s="10" t="s">
        <v>184</v>
      </c>
      <c r="S603" s="5">
        <v>0</v>
      </c>
      <c r="T603" s="37" t="s">
        <v>50</v>
      </c>
      <c r="U603" s="5">
        <v>0</v>
      </c>
      <c r="V603" s="37" t="s">
        <v>50</v>
      </c>
      <c r="W603" s="5">
        <v>0</v>
      </c>
      <c r="X603" s="5">
        <v>0</v>
      </c>
      <c r="Y603" s="5">
        <v>0</v>
      </c>
      <c r="Z603" s="37" t="s">
        <v>50</v>
      </c>
      <c r="AA603" s="5">
        <v>0</v>
      </c>
      <c r="AB603" s="5">
        <v>0</v>
      </c>
      <c r="AC603" s="5">
        <v>0</v>
      </c>
      <c r="AD603" s="5">
        <v>0</v>
      </c>
      <c r="AE603" s="10" t="s">
        <v>50</v>
      </c>
      <c r="AF603" s="10"/>
      <c r="AG603" s="10" t="s">
        <v>114</v>
      </c>
      <c r="AH603" s="10" t="s">
        <v>50</v>
      </c>
      <c r="AI603" s="5">
        <v>0</v>
      </c>
      <c r="AJ603" s="10" t="s">
        <v>50</v>
      </c>
      <c r="AK603" s="10" t="s">
        <v>50</v>
      </c>
    </row>
    <row r="604" spans="1:37" ht="36.75" customHeight="1" x14ac:dyDescent="0.35">
      <c r="A604" s="5"/>
      <c r="B604" s="5" t="s">
        <v>37</v>
      </c>
      <c r="C604" s="73" t="str">
        <f t="shared" si="9"/>
        <v>Closed</v>
      </c>
      <c r="D604" s="45" t="s">
        <v>3476</v>
      </c>
      <c r="E604" s="54" t="s">
        <v>3477</v>
      </c>
      <c r="F604" s="5" t="s">
        <v>619</v>
      </c>
      <c r="G604" s="10">
        <f>DATE(2008,12,20)</f>
        <v>39802</v>
      </c>
      <c r="H604" s="35">
        <v>1.2229166666666667</v>
      </c>
      <c r="I604" s="5" t="s">
        <v>97</v>
      </c>
      <c r="J604" s="10" t="s">
        <v>3478</v>
      </c>
      <c r="K604" s="5" t="s">
        <v>621</v>
      </c>
      <c r="L604" s="5" t="s">
        <v>3479</v>
      </c>
      <c r="M604" s="5" t="s">
        <v>45</v>
      </c>
      <c r="N604" s="5">
        <v>0</v>
      </c>
      <c r="O604" s="5" t="s">
        <v>59</v>
      </c>
      <c r="P604" s="10" t="s">
        <v>60</v>
      </c>
      <c r="Q604" s="10" t="s">
        <v>623</v>
      </c>
      <c r="R604" s="10" t="s">
        <v>624</v>
      </c>
      <c r="S604" s="5">
        <v>0</v>
      </c>
      <c r="T604" s="37">
        <v>0</v>
      </c>
      <c r="U604" s="5">
        <v>1</v>
      </c>
      <c r="V604" s="37">
        <v>0</v>
      </c>
      <c r="W604" s="5">
        <v>0</v>
      </c>
      <c r="X604" s="5">
        <v>1</v>
      </c>
      <c r="Y604" s="5">
        <v>0</v>
      </c>
      <c r="Z604" s="37">
        <v>0</v>
      </c>
      <c r="AA604" s="5">
        <v>0</v>
      </c>
      <c r="AB604" s="5">
        <v>0</v>
      </c>
      <c r="AC604" s="5">
        <v>0</v>
      </c>
      <c r="AD604" s="5">
        <v>0</v>
      </c>
      <c r="AE604" s="10" t="s">
        <v>50</v>
      </c>
      <c r="AF604" s="10"/>
      <c r="AG604" s="10" t="s">
        <v>229</v>
      </c>
      <c r="AH604" s="10" t="s">
        <v>50</v>
      </c>
      <c r="AI604" s="5">
        <v>1</v>
      </c>
      <c r="AJ604" s="10" t="s">
        <v>50</v>
      </c>
      <c r="AK604" s="10" t="s">
        <v>50</v>
      </c>
    </row>
    <row r="605" spans="1:37" ht="36.75" customHeight="1" x14ac:dyDescent="0.35">
      <c r="A605" s="5"/>
      <c r="B605" s="5" t="s">
        <v>37</v>
      </c>
      <c r="C605" s="73" t="str">
        <f t="shared" si="9"/>
        <v>Closed</v>
      </c>
      <c r="D605" s="45" t="s">
        <v>3480</v>
      </c>
      <c r="E605" s="54" t="s">
        <v>3481</v>
      </c>
      <c r="F605" s="5" t="s">
        <v>2527</v>
      </c>
      <c r="G605" s="10">
        <f>DATE(2008,12,20)</f>
        <v>39802</v>
      </c>
      <c r="H605" s="35">
        <v>1.3951388888888889</v>
      </c>
      <c r="I605" s="5" t="s">
        <v>179</v>
      </c>
      <c r="J605" s="10" t="s">
        <v>3482</v>
      </c>
      <c r="K605" s="5" t="s">
        <v>2529</v>
      </c>
      <c r="L605" s="5" t="s">
        <v>3483</v>
      </c>
      <c r="M605" s="5" t="s">
        <v>45</v>
      </c>
      <c r="N605" s="5">
        <v>0</v>
      </c>
      <c r="O605" s="5" t="s">
        <v>59</v>
      </c>
      <c r="P605" s="10" t="s">
        <v>60</v>
      </c>
      <c r="Q605" s="10" t="s">
        <v>3484</v>
      </c>
      <c r="R605" s="10">
        <v>0</v>
      </c>
      <c r="S605" s="5">
        <v>0</v>
      </c>
      <c r="T605" s="37">
        <v>2</v>
      </c>
      <c r="U605" s="5">
        <v>0</v>
      </c>
      <c r="V605" s="37">
        <v>0</v>
      </c>
      <c r="W605" s="5">
        <v>0</v>
      </c>
      <c r="X605" s="5">
        <v>2</v>
      </c>
      <c r="Y605" s="5">
        <v>0</v>
      </c>
      <c r="Z605" s="37">
        <v>0</v>
      </c>
      <c r="AA605" s="5">
        <v>0</v>
      </c>
      <c r="AB605" s="5">
        <v>0</v>
      </c>
      <c r="AC605" s="5">
        <v>0</v>
      </c>
      <c r="AD605" s="5">
        <v>0</v>
      </c>
      <c r="AE605" s="10" t="s">
        <v>50</v>
      </c>
      <c r="AF605" s="10"/>
      <c r="AG605" s="10" t="s">
        <v>64</v>
      </c>
      <c r="AH605" s="10" t="s">
        <v>50</v>
      </c>
      <c r="AI605" s="5">
        <v>4</v>
      </c>
      <c r="AJ605" s="10" t="s">
        <v>3485</v>
      </c>
      <c r="AK605" s="10" t="s">
        <v>50</v>
      </c>
    </row>
    <row r="606" spans="1:37" ht="36.75" customHeight="1" x14ac:dyDescent="0.35">
      <c r="A606" s="5"/>
      <c r="B606" s="5" t="s">
        <v>37</v>
      </c>
      <c r="C606" s="73" t="str">
        <f t="shared" si="9"/>
        <v>Closed</v>
      </c>
      <c r="D606" s="45" t="s">
        <v>3486</v>
      </c>
      <c r="E606" s="54" t="s">
        <v>3487</v>
      </c>
      <c r="F606" s="5" t="s">
        <v>119</v>
      </c>
      <c r="G606" s="10">
        <f>DATE(2008,12,21)</f>
        <v>39803</v>
      </c>
      <c r="H606" s="35">
        <v>1.5979166666666667</v>
      </c>
      <c r="I606" s="5" t="s">
        <v>55</v>
      </c>
      <c r="J606" s="10" t="s">
        <v>3488</v>
      </c>
      <c r="K606" s="5" t="s">
        <v>121</v>
      </c>
      <c r="L606" s="5" t="s">
        <v>3489</v>
      </c>
      <c r="M606" s="5" t="s">
        <v>45</v>
      </c>
      <c r="N606" s="5" t="s">
        <v>123</v>
      </c>
      <c r="O606" s="5" t="s">
        <v>59</v>
      </c>
      <c r="P606" s="10" t="s">
        <v>60</v>
      </c>
      <c r="Q606" s="10" t="s">
        <v>3490</v>
      </c>
      <c r="R606" s="10" t="s">
        <v>125</v>
      </c>
      <c r="S606" s="5">
        <v>0</v>
      </c>
      <c r="T606" s="37">
        <v>0</v>
      </c>
      <c r="U606" s="5">
        <v>0</v>
      </c>
      <c r="V606" s="37">
        <v>0</v>
      </c>
      <c r="W606" s="5">
        <v>0</v>
      </c>
      <c r="X606" s="5">
        <v>0</v>
      </c>
      <c r="Y606" s="5">
        <v>0</v>
      </c>
      <c r="Z606" s="37">
        <v>0</v>
      </c>
      <c r="AA606" s="5">
        <v>0</v>
      </c>
      <c r="AB606" s="5">
        <v>0</v>
      </c>
      <c r="AC606" s="5">
        <v>0</v>
      </c>
      <c r="AD606" s="5">
        <v>0</v>
      </c>
      <c r="AE606" s="10" t="s">
        <v>73</v>
      </c>
      <c r="AF606" s="10"/>
      <c r="AG606" s="10" t="s">
        <v>114</v>
      </c>
      <c r="AH606" s="10">
        <v>40185</v>
      </c>
      <c r="AI606" s="5">
        <v>5</v>
      </c>
      <c r="AJ606" s="10" t="s">
        <v>3491</v>
      </c>
      <c r="AK606" s="10" t="s">
        <v>3492</v>
      </c>
    </row>
    <row r="607" spans="1:37" ht="36.75" customHeight="1" x14ac:dyDescent="0.35">
      <c r="A607" s="5"/>
      <c r="B607" s="5" t="s">
        <v>37</v>
      </c>
      <c r="C607" s="73" t="str">
        <f t="shared" si="9"/>
        <v>Closed</v>
      </c>
      <c r="D607" s="45" t="s">
        <v>3493</v>
      </c>
      <c r="E607" s="54" t="s">
        <v>3494</v>
      </c>
      <c r="F607" s="5" t="s">
        <v>40</v>
      </c>
      <c r="G607" s="10">
        <f>DATE(2008,12,30)</f>
        <v>39812</v>
      </c>
      <c r="H607" s="35">
        <v>1.5416666666666665</v>
      </c>
      <c r="I607" s="5" t="s">
        <v>67</v>
      </c>
      <c r="J607" s="10" t="s">
        <v>3495</v>
      </c>
      <c r="K607" s="5" t="s">
        <v>43</v>
      </c>
      <c r="L607" s="5" t="s">
        <v>3496</v>
      </c>
      <c r="M607" s="5" t="s">
        <v>45</v>
      </c>
      <c r="N607" s="5" t="s">
        <v>123</v>
      </c>
      <c r="O607" s="5" t="s">
        <v>46</v>
      </c>
      <c r="P607" s="10" t="s">
        <v>443</v>
      </c>
      <c r="Q607" s="10" t="s">
        <v>48</v>
      </c>
      <c r="R607" s="10" t="s">
        <v>49</v>
      </c>
      <c r="S607" s="5">
        <v>0</v>
      </c>
      <c r="T607" s="37">
        <v>0</v>
      </c>
      <c r="U607" s="5">
        <v>0</v>
      </c>
      <c r="V607" s="37">
        <v>0</v>
      </c>
      <c r="W607" s="5">
        <v>0</v>
      </c>
      <c r="X607" s="5">
        <v>0</v>
      </c>
      <c r="Y607" s="5">
        <v>0</v>
      </c>
      <c r="Z607" s="37">
        <v>0</v>
      </c>
      <c r="AA607" s="5">
        <v>0</v>
      </c>
      <c r="AB607" s="5">
        <v>0</v>
      </c>
      <c r="AC607" s="5">
        <v>0</v>
      </c>
      <c r="AD607" s="5">
        <v>0</v>
      </c>
      <c r="AE607" s="10" t="s">
        <v>73</v>
      </c>
      <c r="AF607" s="10"/>
      <c r="AG607" s="10" t="s">
        <v>51</v>
      </c>
      <c r="AH607" s="10">
        <v>39839</v>
      </c>
      <c r="AI607" s="5">
        <v>2</v>
      </c>
      <c r="AJ607" s="10" t="s">
        <v>3497</v>
      </c>
      <c r="AK607" s="10" t="s">
        <v>3498</v>
      </c>
    </row>
    <row r="608" spans="1:37" ht="36.75" customHeight="1" x14ac:dyDescent="0.35">
      <c r="A608" s="5"/>
      <c r="B608" s="5" t="s">
        <v>37</v>
      </c>
      <c r="C608" s="73" t="str">
        <f t="shared" si="9"/>
        <v>Closed</v>
      </c>
      <c r="D608" s="45" t="s">
        <v>3499</v>
      </c>
      <c r="E608" s="54" t="s">
        <v>3500</v>
      </c>
      <c r="F608" s="5" t="s">
        <v>619</v>
      </c>
      <c r="G608" s="10">
        <f>DATE(2009,1,1)</f>
        <v>39814</v>
      </c>
      <c r="H608" s="35">
        <v>1.3423611111111111</v>
      </c>
      <c r="I608" s="5" t="s">
        <v>259</v>
      </c>
      <c r="J608" s="10" t="s">
        <v>3501</v>
      </c>
      <c r="K608" s="5" t="s">
        <v>621</v>
      </c>
      <c r="L608" s="5" t="s">
        <v>3502</v>
      </c>
      <c r="M608" s="5" t="s">
        <v>45</v>
      </c>
      <c r="N608" s="5">
        <v>0</v>
      </c>
      <c r="O608" s="5" t="s">
        <v>59</v>
      </c>
      <c r="P608" s="10" t="s">
        <v>146</v>
      </c>
      <c r="Q608" s="10" t="s">
        <v>623</v>
      </c>
      <c r="R608" s="10" t="s">
        <v>624</v>
      </c>
      <c r="S608" s="5">
        <v>0</v>
      </c>
      <c r="T608" s="37">
        <v>0</v>
      </c>
      <c r="U608" s="5">
        <v>0</v>
      </c>
      <c r="V608" s="37">
        <v>0</v>
      </c>
      <c r="W608" s="5">
        <v>1</v>
      </c>
      <c r="X608" s="5">
        <v>1</v>
      </c>
      <c r="Y608" s="5">
        <v>0</v>
      </c>
      <c r="Z608" s="37">
        <v>0</v>
      </c>
      <c r="AA608" s="5">
        <v>0</v>
      </c>
      <c r="AB608" s="5">
        <v>0</v>
      </c>
      <c r="AC608" s="5">
        <v>0</v>
      </c>
      <c r="AD608" s="5">
        <v>0</v>
      </c>
      <c r="AE608" s="10" t="s">
        <v>50</v>
      </c>
      <c r="AF608" s="10"/>
      <c r="AG608" s="10" t="s">
        <v>229</v>
      </c>
      <c r="AH608" s="10" t="s">
        <v>50</v>
      </c>
      <c r="AI608" s="5">
        <v>1</v>
      </c>
      <c r="AJ608" s="10" t="s">
        <v>50</v>
      </c>
      <c r="AK608" s="10" t="s">
        <v>50</v>
      </c>
    </row>
    <row r="609" spans="1:37" ht="36.75" customHeight="1" x14ac:dyDescent="0.35">
      <c r="A609" s="5"/>
      <c r="B609" s="5" t="s">
        <v>37</v>
      </c>
      <c r="C609" s="73" t="str">
        <f t="shared" si="9"/>
        <v>Closed</v>
      </c>
      <c r="D609" s="45" t="s">
        <v>3503</v>
      </c>
      <c r="E609" s="54" t="s">
        <v>3504</v>
      </c>
      <c r="F609" s="5" t="s">
        <v>404</v>
      </c>
      <c r="G609" s="10">
        <f>DATE(2009,1,8)</f>
        <v>39821</v>
      </c>
      <c r="H609" s="35">
        <v>1.2861111111111112</v>
      </c>
      <c r="I609" s="5" t="s">
        <v>97</v>
      </c>
      <c r="J609" s="10" t="s">
        <v>3505</v>
      </c>
      <c r="K609" s="5" t="s">
        <v>406</v>
      </c>
      <c r="L609" s="5" t="s">
        <v>3506</v>
      </c>
      <c r="M609" s="5" t="s">
        <v>45</v>
      </c>
      <c r="N609" s="5">
        <v>0</v>
      </c>
      <c r="O609" s="5" t="s">
        <v>46</v>
      </c>
      <c r="P609" s="10" t="s">
        <v>146</v>
      </c>
      <c r="Q609" s="10" t="s">
        <v>408</v>
      </c>
      <c r="R609" s="10" t="s">
        <v>3083</v>
      </c>
      <c r="S609" s="5">
        <v>0</v>
      </c>
      <c r="T609" s="37" t="s">
        <v>50</v>
      </c>
      <c r="U609" s="5">
        <v>0</v>
      </c>
      <c r="V609" s="37" t="s">
        <v>50</v>
      </c>
      <c r="W609" s="5">
        <v>0</v>
      </c>
      <c r="X609" s="5">
        <v>0</v>
      </c>
      <c r="Y609" s="5">
        <v>0</v>
      </c>
      <c r="Z609" s="37" t="s">
        <v>50</v>
      </c>
      <c r="AA609" s="5">
        <v>0</v>
      </c>
      <c r="AB609" s="5">
        <v>0</v>
      </c>
      <c r="AC609" s="5">
        <v>0</v>
      </c>
      <c r="AD609" s="5">
        <v>0</v>
      </c>
      <c r="AE609" s="10" t="s">
        <v>50</v>
      </c>
      <c r="AF609" s="10"/>
      <c r="AG609" s="10" t="s">
        <v>333</v>
      </c>
      <c r="AH609" s="10" t="s">
        <v>50</v>
      </c>
      <c r="AI609" s="5">
        <v>2</v>
      </c>
      <c r="AJ609" s="10" t="s">
        <v>50</v>
      </c>
      <c r="AK609" s="10" t="s">
        <v>50</v>
      </c>
    </row>
    <row r="610" spans="1:37" ht="36.75" customHeight="1" x14ac:dyDescent="0.35">
      <c r="A610" s="5"/>
      <c r="B610" s="5" t="s">
        <v>37</v>
      </c>
      <c r="C610" s="73" t="str">
        <f t="shared" si="9"/>
        <v>Closed</v>
      </c>
      <c r="D610" s="45" t="s">
        <v>3507</v>
      </c>
      <c r="E610" s="54" t="s">
        <v>3508</v>
      </c>
      <c r="F610" s="5" t="s">
        <v>619</v>
      </c>
      <c r="G610" s="10">
        <f>DATE(2009,1,14)</f>
        <v>39827</v>
      </c>
      <c r="H610" s="35">
        <v>1.45625</v>
      </c>
      <c r="I610" s="5" t="s">
        <v>97</v>
      </c>
      <c r="J610" s="10" t="s">
        <v>3509</v>
      </c>
      <c r="K610" s="5" t="s">
        <v>621</v>
      </c>
      <c r="L610" s="5" t="s">
        <v>3510</v>
      </c>
      <c r="M610" s="5" t="s">
        <v>45</v>
      </c>
      <c r="N610" s="5">
        <v>0</v>
      </c>
      <c r="O610" s="5" t="s">
        <v>59</v>
      </c>
      <c r="P610" s="10" t="s">
        <v>146</v>
      </c>
      <c r="Q610" s="10" t="s">
        <v>623</v>
      </c>
      <c r="R610" s="10" t="s">
        <v>624</v>
      </c>
      <c r="S610" s="5">
        <v>0</v>
      </c>
      <c r="T610" s="37">
        <v>0</v>
      </c>
      <c r="U610" s="5">
        <v>1</v>
      </c>
      <c r="V610" s="37">
        <v>0</v>
      </c>
      <c r="W610" s="5">
        <v>0</v>
      </c>
      <c r="X610" s="5">
        <v>1</v>
      </c>
      <c r="Y610" s="5">
        <v>0</v>
      </c>
      <c r="Z610" s="37">
        <v>0</v>
      </c>
      <c r="AA610" s="5">
        <v>0</v>
      </c>
      <c r="AB610" s="5">
        <v>0</v>
      </c>
      <c r="AC610" s="5">
        <v>0</v>
      </c>
      <c r="AD610" s="5">
        <v>0</v>
      </c>
      <c r="AE610" s="10" t="s">
        <v>50</v>
      </c>
      <c r="AF610" s="10"/>
      <c r="AG610" s="10" t="s">
        <v>229</v>
      </c>
      <c r="AH610" s="10" t="s">
        <v>50</v>
      </c>
      <c r="AI610" s="5">
        <v>1</v>
      </c>
      <c r="AJ610" s="10" t="s">
        <v>50</v>
      </c>
      <c r="AK610" s="10" t="s">
        <v>50</v>
      </c>
    </row>
    <row r="611" spans="1:37" ht="36.75" customHeight="1" x14ac:dyDescent="0.35">
      <c r="A611" s="5"/>
      <c r="B611" s="5" t="s">
        <v>37</v>
      </c>
      <c r="C611" s="73" t="str">
        <f t="shared" si="9"/>
        <v>Closed</v>
      </c>
      <c r="D611" s="45" t="s">
        <v>3511</v>
      </c>
      <c r="E611" s="54" t="s">
        <v>3512</v>
      </c>
      <c r="F611" s="5" t="s">
        <v>3128</v>
      </c>
      <c r="G611" s="10">
        <f>DATE(2009,1,16)</f>
        <v>39829</v>
      </c>
      <c r="H611" s="35">
        <v>1.3576388888888888</v>
      </c>
      <c r="I611" s="5" t="s">
        <v>41</v>
      </c>
      <c r="J611" s="10" t="s">
        <v>3513</v>
      </c>
      <c r="K611" s="5" t="s">
        <v>3130</v>
      </c>
      <c r="L611" s="5" t="s">
        <v>3514</v>
      </c>
      <c r="M611" s="5" t="s">
        <v>45</v>
      </c>
      <c r="N611" s="5">
        <v>0</v>
      </c>
      <c r="O611" s="5" t="s">
        <v>59</v>
      </c>
      <c r="P611" s="10" t="s">
        <v>146</v>
      </c>
      <c r="Q611" s="10" t="s">
        <v>3132</v>
      </c>
      <c r="R611" s="10" t="s">
        <v>3133</v>
      </c>
      <c r="S611" s="5">
        <v>0</v>
      </c>
      <c r="T611" s="37" t="s">
        <v>50</v>
      </c>
      <c r="U611" s="5">
        <v>0</v>
      </c>
      <c r="V611" s="37" t="s">
        <v>50</v>
      </c>
      <c r="W611" s="5">
        <v>0</v>
      </c>
      <c r="X611" s="5">
        <v>0</v>
      </c>
      <c r="Y611" s="5">
        <v>0</v>
      </c>
      <c r="Z611" s="37" t="s">
        <v>50</v>
      </c>
      <c r="AA611" s="5">
        <v>0</v>
      </c>
      <c r="AB611" s="5">
        <v>0</v>
      </c>
      <c r="AC611" s="5">
        <v>0</v>
      </c>
      <c r="AD611" s="5">
        <v>0</v>
      </c>
      <c r="AE611" s="10" t="s">
        <v>50</v>
      </c>
      <c r="AF611" s="10"/>
      <c r="AG611" s="10" t="s">
        <v>1489</v>
      </c>
      <c r="AH611" s="10" t="s">
        <v>50</v>
      </c>
      <c r="AI611" s="5">
        <v>1</v>
      </c>
      <c r="AJ611" s="10" t="s">
        <v>50</v>
      </c>
      <c r="AK611" s="10" t="s">
        <v>50</v>
      </c>
    </row>
    <row r="612" spans="1:37" ht="36.75" customHeight="1" x14ac:dyDescent="0.35">
      <c r="A612" s="5"/>
      <c r="B612" s="5" t="s">
        <v>37</v>
      </c>
      <c r="C612" s="73" t="str">
        <f t="shared" si="9"/>
        <v>Closed</v>
      </c>
      <c r="D612" s="45" t="s">
        <v>3515</v>
      </c>
      <c r="E612" s="54" t="s">
        <v>3516</v>
      </c>
      <c r="F612" s="5" t="s">
        <v>619</v>
      </c>
      <c r="G612" s="10">
        <f>DATE(2009,1,20)</f>
        <v>39833</v>
      </c>
      <c r="H612" s="35">
        <v>1.5062500000000001</v>
      </c>
      <c r="I612" s="5" t="s">
        <v>85</v>
      </c>
      <c r="J612" s="10" t="s">
        <v>3517</v>
      </c>
      <c r="K612" s="5" t="s">
        <v>621</v>
      </c>
      <c r="L612" s="5" t="s">
        <v>3518</v>
      </c>
      <c r="M612" s="5" t="s">
        <v>45</v>
      </c>
      <c r="N612" s="5">
        <v>0</v>
      </c>
      <c r="O612" s="5" t="s">
        <v>59</v>
      </c>
      <c r="P612" s="10" t="s">
        <v>197</v>
      </c>
      <c r="Q612" s="10" t="s">
        <v>3519</v>
      </c>
      <c r="R612" s="10" t="s">
        <v>3226</v>
      </c>
      <c r="S612" s="5">
        <v>0</v>
      </c>
      <c r="T612" s="37" t="s">
        <v>50</v>
      </c>
      <c r="U612" s="5">
        <v>0</v>
      </c>
      <c r="V612" s="37" t="s">
        <v>50</v>
      </c>
      <c r="W612" s="5">
        <v>0</v>
      </c>
      <c r="X612" s="5">
        <v>0</v>
      </c>
      <c r="Y612" s="5">
        <v>0</v>
      </c>
      <c r="Z612" s="37" t="s">
        <v>50</v>
      </c>
      <c r="AA612" s="5">
        <v>0</v>
      </c>
      <c r="AB612" s="5">
        <v>0</v>
      </c>
      <c r="AC612" s="5">
        <v>0</v>
      </c>
      <c r="AD612" s="5">
        <v>0</v>
      </c>
      <c r="AE612" s="10" t="s">
        <v>50</v>
      </c>
      <c r="AF612" s="10"/>
      <c r="AG612" s="10" t="s">
        <v>229</v>
      </c>
      <c r="AH612" s="10" t="s">
        <v>50</v>
      </c>
      <c r="AI612" s="5">
        <v>1</v>
      </c>
      <c r="AJ612" s="10" t="s">
        <v>3520</v>
      </c>
      <c r="AK612" s="10" t="s">
        <v>50</v>
      </c>
    </row>
    <row r="613" spans="1:37" ht="36.75" customHeight="1" x14ac:dyDescent="0.35">
      <c r="A613" s="5"/>
      <c r="B613" s="5" t="s">
        <v>37</v>
      </c>
      <c r="C613" s="73" t="str">
        <f t="shared" si="9"/>
        <v>Closed</v>
      </c>
      <c r="D613" s="45" t="s">
        <v>3521</v>
      </c>
      <c r="E613" s="54" t="s">
        <v>3522</v>
      </c>
      <c r="F613" s="5" t="s">
        <v>619</v>
      </c>
      <c r="G613" s="10">
        <f>DATE(2009,1,20)</f>
        <v>39833</v>
      </c>
      <c r="H613" s="35">
        <v>1.5736111111111111</v>
      </c>
      <c r="I613" s="5" t="s">
        <v>259</v>
      </c>
      <c r="J613" s="10" t="s">
        <v>3523</v>
      </c>
      <c r="K613" s="5" t="s">
        <v>621</v>
      </c>
      <c r="L613" s="5" t="s">
        <v>3524</v>
      </c>
      <c r="M613" s="5" t="s">
        <v>45</v>
      </c>
      <c r="N613" s="5">
        <v>0</v>
      </c>
      <c r="O613" s="5" t="s">
        <v>46</v>
      </c>
      <c r="P613" s="10" t="s">
        <v>146</v>
      </c>
      <c r="Q613" s="10" t="s">
        <v>623</v>
      </c>
      <c r="R613" s="10" t="s">
        <v>624</v>
      </c>
      <c r="S613" s="5">
        <v>0</v>
      </c>
      <c r="T613" s="37">
        <v>0</v>
      </c>
      <c r="U613" s="5">
        <v>0</v>
      </c>
      <c r="V613" s="37">
        <v>1</v>
      </c>
      <c r="W613" s="5">
        <v>0</v>
      </c>
      <c r="X613" s="5">
        <v>1</v>
      </c>
      <c r="Y613" s="5">
        <v>0</v>
      </c>
      <c r="Z613" s="37">
        <v>0</v>
      </c>
      <c r="AA613" s="5">
        <v>0</v>
      </c>
      <c r="AB613" s="5">
        <v>0</v>
      </c>
      <c r="AC613" s="5">
        <v>0</v>
      </c>
      <c r="AD613" s="5">
        <v>0</v>
      </c>
      <c r="AE613" s="10" t="s">
        <v>50</v>
      </c>
      <c r="AF613" s="10"/>
      <c r="AG613" s="10" t="s">
        <v>229</v>
      </c>
      <c r="AH613" s="10" t="s">
        <v>50</v>
      </c>
      <c r="AI613" s="5">
        <v>1</v>
      </c>
      <c r="AJ613" s="10" t="s">
        <v>3525</v>
      </c>
      <c r="AK613" s="10" t="s">
        <v>50</v>
      </c>
    </row>
    <row r="614" spans="1:37" ht="36.75" customHeight="1" x14ac:dyDescent="0.35">
      <c r="A614" s="5"/>
      <c r="B614" s="5" t="s">
        <v>37</v>
      </c>
      <c r="C614" s="73" t="str">
        <f t="shared" si="9"/>
        <v>Closed</v>
      </c>
      <c r="D614" s="45" t="s">
        <v>3526</v>
      </c>
      <c r="E614" s="54" t="s">
        <v>3527</v>
      </c>
      <c r="F614" s="5" t="s">
        <v>619</v>
      </c>
      <c r="G614" s="10">
        <f>DATE(2009,1,22)</f>
        <v>39835</v>
      </c>
      <c r="H614" s="35">
        <v>1.29375</v>
      </c>
      <c r="I614" s="5" t="s">
        <v>259</v>
      </c>
      <c r="J614" s="10" t="s">
        <v>3528</v>
      </c>
      <c r="K614" s="5" t="s">
        <v>621</v>
      </c>
      <c r="L614" s="5" t="s">
        <v>3529</v>
      </c>
      <c r="M614" s="5" t="s">
        <v>45</v>
      </c>
      <c r="N614" s="5">
        <v>0</v>
      </c>
      <c r="O614" s="5" t="s">
        <v>46</v>
      </c>
      <c r="P614" s="10" t="s">
        <v>146</v>
      </c>
      <c r="Q614" s="10" t="s">
        <v>623</v>
      </c>
      <c r="R614" s="10" t="s">
        <v>624</v>
      </c>
      <c r="S614" s="5">
        <v>0</v>
      </c>
      <c r="T614" s="37">
        <v>0</v>
      </c>
      <c r="U614" s="5">
        <v>0</v>
      </c>
      <c r="V614" s="37">
        <v>1</v>
      </c>
      <c r="W614" s="5">
        <v>0</v>
      </c>
      <c r="X614" s="5">
        <v>1</v>
      </c>
      <c r="Y614" s="5">
        <v>0</v>
      </c>
      <c r="Z614" s="37">
        <v>0</v>
      </c>
      <c r="AA614" s="5">
        <v>0</v>
      </c>
      <c r="AB614" s="5">
        <v>0</v>
      </c>
      <c r="AC614" s="5">
        <v>0</v>
      </c>
      <c r="AD614" s="5">
        <v>0</v>
      </c>
      <c r="AE614" s="10" t="s">
        <v>50</v>
      </c>
      <c r="AF614" s="10"/>
      <c r="AG614" s="10" t="s">
        <v>229</v>
      </c>
      <c r="AH614" s="10" t="s">
        <v>50</v>
      </c>
      <c r="AI614" s="5">
        <v>1</v>
      </c>
      <c r="AJ614" s="10" t="s">
        <v>50</v>
      </c>
      <c r="AK614" s="10" t="s">
        <v>50</v>
      </c>
    </row>
    <row r="615" spans="1:37" ht="36.75" customHeight="1" x14ac:dyDescent="0.35">
      <c r="A615" s="5"/>
      <c r="B615" s="5" t="s">
        <v>37</v>
      </c>
      <c r="C615" s="73" t="str">
        <f t="shared" si="9"/>
        <v>Closed</v>
      </c>
      <c r="D615" s="45" t="s">
        <v>3530</v>
      </c>
      <c r="E615" s="54" t="s">
        <v>3531</v>
      </c>
      <c r="F615" s="5" t="s">
        <v>358</v>
      </c>
      <c r="G615" s="10">
        <f>DATE(2009,1,24)</f>
        <v>39837</v>
      </c>
      <c r="H615" s="35">
        <v>1.8361111111111112</v>
      </c>
      <c r="I615" s="5" t="s">
        <v>67</v>
      </c>
      <c r="J615" s="10" t="s">
        <v>3532</v>
      </c>
      <c r="K615" s="5" t="s">
        <v>360</v>
      </c>
      <c r="L615" s="5" t="s">
        <v>3533</v>
      </c>
      <c r="M615" s="5" t="s">
        <v>45</v>
      </c>
      <c r="N615" s="5">
        <v>0</v>
      </c>
      <c r="O615" s="5" t="s">
        <v>46</v>
      </c>
      <c r="P615" s="10" t="s">
        <v>47</v>
      </c>
      <c r="Q615" s="10" t="s">
        <v>363</v>
      </c>
      <c r="R615" s="10" t="s">
        <v>2886</v>
      </c>
      <c r="S615" s="5">
        <v>0</v>
      </c>
      <c r="T615" s="37" t="s">
        <v>50</v>
      </c>
      <c r="U615" s="5">
        <v>0</v>
      </c>
      <c r="V615" s="37" t="s">
        <v>50</v>
      </c>
      <c r="W615" s="5">
        <v>0</v>
      </c>
      <c r="X615" s="5">
        <v>0</v>
      </c>
      <c r="Y615" s="5">
        <v>0</v>
      </c>
      <c r="Z615" s="37" t="s">
        <v>50</v>
      </c>
      <c r="AA615" s="5">
        <v>0</v>
      </c>
      <c r="AB615" s="5">
        <v>0</v>
      </c>
      <c r="AC615" s="5">
        <v>0</v>
      </c>
      <c r="AD615" s="5">
        <v>0</v>
      </c>
      <c r="AE615" s="10" t="s">
        <v>50</v>
      </c>
      <c r="AF615" s="10"/>
      <c r="AG615" s="10" t="s">
        <v>333</v>
      </c>
      <c r="AH615" s="10" t="s">
        <v>50</v>
      </c>
      <c r="AI615" s="5">
        <v>6</v>
      </c>
      <c r="AJ615" s="10" t="s">
        <v>50</v>
      </c>
      <c r="AK615" s="10" t="s">
        <v>50</v>
      </c>
    </row>
    <row r="616" spans="1:37" ht="36.75" customHeight="1" x14ac:dyDescent="0.35">
      <c r="A616" s="5"/>
      <c r="B616" s="5" t="s">
        <v>37</v>
      </c>
      <c r="C616" s="73" t="str">
        <f t="shared" si="9"/>
        <v>Closed</v>
      </c>
      <c r="D616" s="45" t="s">
        <v>3534</v>
      </c>
      <c r="E616" s="54" t="s">
        <v>3535</v>
      </c>
      <c r="F616" s="5" t="s">
        <v>816</v>
      </c>
      <c r="G616" s="10">
        <f>DATE(2009,1,25)</f>
        <v>39838</v>
      </c>
      <c r="H616" s="35">
        <v>1.5666666666666667</v>
      </c>
      <c r="I616" s="5" t="s">
        <v>97</v>
      </c>
      <c r="J616" s="10" t="s">
        <v>3536</v>
      </c>
      <c r="K616" s="5" t="s">
        <v>818</v>
      </c>
      <c r="L616" s="5" t="s">
        <v>3537</v>
      </c>
      <c r="M616" s="5" t="s">
        <v>45</v>
      </c>
      <c r="N616" s="5">
        <v>0</v>
      </c>
      <c r="O616" s="5" t="s">
        <v>46</v>
      </c>
      <c r="P616" s="10" t="s">
        <v>146</v>
      </c>
      <c r="Q616" s="10" t="s">
        <v>2142</v>
      </c>
      <c r="R616" s="10" t="s">
        <v>821</v>
      </c>
      <c r="S616" s="5">
        <v>0</v>
      </c>
      <c r="T616" s="37">
        <v>0</v>
      </c>
      <c r="U616" s="5">
        <v>2</v>
      </c>
      <c r="V616" s="37">
        <v>0</v>
      </c>
      <c r="W616" s="5">
        <v>0</v>
      </c>
      <c r="X616" s="5">
        <v>2</v>
      </c>
      <c r="Y616" s="5">
        <v>0</v>
      </c>
      <c r="Z616" s="37">
        <v>0</v>
      </c>
      <c r="AA616" s="5">
        <v>1</v>
      </c>
      <c r="AB616" s="5">
        <v>0</v>
      </c>
      <c r="AC616" s="5">
        <v>0</v>
      </c>
      <c r="AD616" s="5">
        <v>1</v>
      </c>
      <c r="AE616" s="10" t="s">
        <v>50</v>
      </c>
      <c r="AF616" s="10"/>
      <c r="AG616" s="10" t="s">
        <v>333</v>
      </c>
      <c r="AH616" s="10" t="s">
        <v>50</v>
      </c>
      <c r="AI616" s="5">
        <v>0</v>
      </c>
      <c r="AJ616" s="10" t="s">
        <v>50</v>
      </c>
      <c r="AK616" s="10" t="s">
        <v>50</v>
      </c>
    </row>
    <row r="617" spans="1:37" ht="36.75" customHeight="1" x14ac:dyDescent="0.35">
      <c r="A617" s="5"/>
      <c r="B617" s="5" t="s">
        <v>37</v>
      </c>
      <c r="C617" s="73" t="str">
        <f t="shared" si="9"/>
        <v>Closed</v>
      </c>
      <c r="D617" s="45" t="s">
        <v>3538</v>
      </c>
      <c r="E617" s="54" t="s">
        <v>3539</v>
      </c>
      <c r="F617" s="5" t="s">
        <v>214</v>
      </c>
      <c r="G617" s="10">
        <f>DATE(2009,1,27)</f>
        <v>39840</v>
      </c>
      <c r="H617" s="35">
        <v>1.2604166666666667</v>
      </c>
      <c r="I617" s="5" t="s">
        <v>55</v>
      </c>
      <c r="J617" s="10" t="s">
        <v>3540</v>
      </c>
      <c r="K617" s="5" t="s">
        <v>216</v>
      </c>
      <c r="L617" s="5" t="s">
        <v>3541</v>
      </c>
      <c r="M617" s="5" t="s">
        <v>45</v>
      </c>
      <c r="N617" s="5">
        <v>0</v>
      </c>
      <c r="O617" s="5" t="s">
        <v>46</v>
      </c>
      <c r="P617" s="10" t="s">
        <v>60</v>
      </c>
      <c r="Q617" s="10" t="s">
        <v>218</v>
      </c>
      <c r="R617" s="10" t="s">
        <v>219</v>
      </c>
      <c r="S617" s="5">
        <v>0</v>
      </c>
      <c r="T617" s="37" t="s">
        <v>50</v>
      </c>
      <c r="U617" s="5">
        <v>0</v>
      </c>
      <c r="V617" s="37" t="s">
        <v>50</v>
      </c>
      <c r="W617" s="5">
        <v>0</v>
      </c>
      <c r="X617" s="5">
        <v>0</v>
      </c>
      <c r="Y617" s="5">
        <v>0</v>
      </c>
      <c r="Z617" s="37" t="s">
        <v>50</v>
      </c>
      <c r="AA617" s="5">
        <v>0</v>
      </c>
      <c r="AB617" s="5">
        <v>0</v>
      </c>
      <c r="AC617" s="5">
        <v>0</v>
      </c>
      <c r="AD617" s="5">
        <v>0</v>
      </c>
      <c r="AE617" s="10" t="s">
        <v>50</v>
      </c>
      <c r="AF617" s="10"/>
      <c r="AG617" s="10" t="s">
        <v>64</v>
      </c>
      <c r="AH617" s="10" t="s">
        <v>50</v>
      </c>
      <c r="AI617" s="5">
        <v>10</v>
      </c>
      <c r="AJ617" s="10" t="s">
        <v>3542</v>
      </c>
      <c r="AK617" s="10" t="s">
        <v>3543</v>
      </c>
    </row>
    <row r="618" spans="1:37" ht="36.75" customHeight="1" x14ac:dyDescent="0.35">
      <c r="A618" s="5"/>
      <c r="B618" s="5" t="s">
        <v>37</v>
      </c>
      <c r="C618" s="73" t="str">
        <f t="shared" si="9"/>
        <v>Closed</v>
      </c>
      <c r="D618" s="45" t="s">
        <v>3544</v>
      </c>
      <c r="E618" s="54" t="s">
        <v>3545</v>
      </c>
      <c r="F618" s="5" t="s">
        <v>619</v>
      </c>
      <c r="G618" s="10">
        <f>DATE(2009,1,30)</f>
        <v>39843</v>
      </c>
      <c r="H618" s="35">
        <v>1.8319444444444444</v>
      </c>
      <c r="I618" s="5" t="s">
        <v>97</v>
      </c>
      <c r="J618" s="10" t="s">
        <v>3546</v>
      </c>
      <c r="K618" s="5" t="s">
        <v>621</v>
      </c>
      <c r="L618" s="5" t="s">
        <v>3547</v>
      </c>
      <c r="M618" s="5" t="s">
        <v>45</v>
      </c>
      <c r="N618" s="5">
        <v>0</v>
      </c>
      <c r="O618" s="5" t="s">
        <v>59</v>
      </c>
      <c r="P618" s="10" t="s">
        <v>146</v>
      </c>
      <c r="Q618" s="10" t="s">
        <v>3226</v>
      </c>
      <c r="R618" s="10" t="s">
        <v>3226</v>
      </c>
      <c r="S618" s="5">
        <v>0</v>
      </c>
      <c r="T618" s="37">
        <v>0</v>
      </c>
      <c r="U618" s="5">
        <v>1</v>
      </c>
      <c r="V618" s="37">
        <v>0</v>
      </c>
      <c r="W618" s="5">
        <v>0</v>
      </c>
      <c r="X618" s="5">
        <v>1</v>
      </c>
      <c r="Y618" s="5">
        <v>0</v>
      </c>
      <c r="Z618" s="37">
        <v>0</v>
      </c>
      <c r="AA618" s="5">
        <v>0</v>
      </c>
      <c r="AB618" s="5">
        <v>0</v>
      </c>
      <c r="AC618" s="5">
        <v>0</v>
      </c>
      <c r="AD618" s="5">
        <v>0</v>
      </c>
      <c r="AE618" s="10" t="s">
        <v>50</v>
      </c>
      <c r="AF618" s="10"/>
      <c r="AG618" s="10" t="s">
        <v>229</v>
      </c>
      <c r="AH618" s="10" t="s">
        <v>50</v>
      </c>
      <c r="AI618" s="5">
        <v>1</v>
      </c>
      <c r="AJ618" s="10" t="s">
        <v>50</v>
      </c>
      <c r="AK618" s="10" t="s">
        <v>50</v>
      </c>
    </row>
    <row r="619" spans="1:37" ht="36.75" customHeight="1" x14ac:dyDescent="0.35">
      <c r="A619" s="5"/>
      <c r="B619" s="5" t="s">
        <v>37</v>
      </c>
      <c r="C619" s="73" t="str">
        <f t="shared" si="9"/>
        <v>Closed</v>
      </c>
      <c r="D619" s="45" t="s">
        <v>3548</v>
      </c>
      <c r="E619" s="54" t="s">
        <v>3549</v>
      </c>
      <c r="F619" s="5" t="s">
        <v>619</v>
      </c>
      <c r="G619" s="10">
        <f>DATE(2009,2,2)</f>
        <v>39846</v>
      </c>
      <c r="H619" s="35">
        <v>1.8256944444444443</v>
      </c>
      <c r="I619" s="5" t="s">
        <v>179</v>
      </c>
      <c r="J619" s="10" t="s">
        <v>3550</v>
      </c>
      <c r="K619" s="5" t="s">
        <v>621</v>
      </c>
      <c r="L619" s="5" t="s">
        <v>3551</v>
      </c>
      <c r="M619" s="5" t="s">
        <v>45</v>
      </c>
      <c r="N619" s="5">
        <v>0</v>
      </c>
      <c r="O619" s="5" t="s">
        <v>46</v>
      </c>
      <c r="P619" s="10" t="s">
        <v>197</v>
      </c>
      <c r="Q619" s="10" t="s">
        <v>3013</v>
      </c>
      <c r="R619" s="10" t="s">
        <v>624</v>
      </c>
      <c r="S619" s="5">
        <v>0</v>
      </c>
      <c r="T619" s="37" t="s">
        <v>50</v>
      </c>
      <c r="U619" s="5">
        <v>0</v>
      </c>
      <c r="V619" s="37" t="s">
        <v>50</v>
      </c>
      <c r="W619" s="5">
        <v>0</v>
      </c>
      <c r="X619" s="5">
        <v>0</v>
      </c>
      <c r="Y619" s="5">
        <v>0</v>
      </c>
      <c r="Z619" s="37" t="s">
        <v>50</v>
      </c>
      <c r="AA619" s="5">
        <v>0</v>
      </c>
      <c r="AB619" s="5">
        <v>0</v>
      </c>
      <c r="AC619" s="5">
        <v>0</v>
      </c>
      <c r="AD619" s="5">
        <v>0</v>
      </c>
      <c r="AE619" s="10" t="s">
        <v>50</v>
      </c>
      <c r="AF619" s="10"/>
      <c r="AG619" s="10" t="s">
        <v>333</v>
      </c>
      <c r="AH619" s="10" t="s">
        <v>50</v>
      </c>
      <c r="AI619" s="5">
        <v>3</v>
      </c>
      <c r="AJ619" s="10" t="s">
        <v>3552</v>
      </c>
      <c r="AK619" s="10" t="s">
        <v>50</v>
      </c>
    </row>
    <row r="620" spans="1:37" ht="36.75" customHeight="1" x14ac:dyDescent="0.35">
      <c r="A620" s="5"/>
      <c r="B620" s="5" t="s">
        <v>37</v>
      </c>
      <c r="C620" s="73" t="str">
        <f t="shared" si="9"/>
        <v>Closed</v>
      </c>
      <c r="D620" s="45" t="s">
        <v>3553</v>
      </c>
      <c r="E620" s="54" t="s">
        <v>3554</v>
      </c>
      <c r="F620" s="5" t="s">
        <v>96</v>
      </c>
      <c r="G620" s="10">
        <f>DATE(2009,2,3)</f>
        <v>39847</v>
      </c>
      <c r="H620" s="35">
        <v>1.5611111111111111</v>
      </c>
      <c r="I620" s="5" t="s">
        <v>97</v>
      </c>
      <c r="J620" s="10" t="s">
        <v>3555</v>
      </c>
      <c r="K620" s="5" t="s">
        <v>99</v>
      </c>
      <c r="L620" s="5" t="s">
        <v>3556</v>
      </c>
      <c r="M620" s="5" t="s">
        <v>45</v>
      </c>
      <c r="N620" s="5">
        <v>0</v>
      </c>
      <c r="O620" s="5" t="s">
        <v>46</v>
      </c>
      <c r="P620" s="10" t="s">
        <v>146</v>
      </c>
      <c r="Q620" s="10" t="s">
        <v>101</v>
      </c>
      <c r="R620" s="10" t="s">
        <v>102</v>
      </c>
      <c r="S620" s="5">
        <v>0</v>
      </c>
      <c r="T620" s="37" t="s">
        <v>50</v>
      </c>
      <c r="U620" s="5">
        <v>0</v>
      </c>
      <c r="V620" s="37" t="s">
        <v>50</v>
      </c>
      <c r="W620" s="5">
        <v>0</v>
      </c>
      <c r="X620" s="5">
        <v>0</v>
      </c>
      <c r="Y620" s="5">
        <v>0</v>
      </c>
      <c r="Z620" s="37" t="s">
        <v>50</v>
      </c>
      <c r="AA620" s="5">
        <v>0</v>
      </c>
      <c r="AB620" s="5">
        <v>0</v>
      </c>
      <c r="AC620" s="5">
        <v>0</v>
      </c>
      <c r="AD620" s="5">
        <v>0</v>
      </c>
      <c r="AE620" s="10" t="s">
        <v>50</v>
      </c>
      <c r="AF620" s="10"/>
      <c r="AG620" s="10" t="s">
        <v>376</v>
      </c>
      <c r="AH620" s="10" t="s">
        <v>50</v>
      </c>
      <c r="AI620" s="5">
        <v>3</v>
      </c>
      <c r="AJ620" s="10" t="s">
        <v>3557</v>
      </c>
      <c r="AK620" s="10" t="s">
        <v>50</v>
      </c>
    </row>
    <row r="621" spans="1:37" ht="36.75" customHeight="1" x14ac:dyDescent="0.35">
      <c r="A621" s="5"/>
      <c r="B621" s="5" t="s">
        <v>37</v>
      </c>
      <c r="C621" s="73" t="str">
        <f t="shared" si="9"/>
        <v>Closed</v>
      </c>
      <c r="D621" s="45" t="s">
        <v>3558</v>
      </c>
      <c r="E621" s="54" t="s">
        <v>3559</v>
      </c>
      <c r="F621" s="5" t="s">
        <v>816</v>
      </c>
      <c r="G621" s="10">
        <f>DATE(2009,2,4)</f>
        <v>39848</v>
      </c>
      <c r="H621" s="35">
        <v>1.3645833333333333</v>
      </c>
      <c r="I621" s="5" t="s">
        <v>55</v>
      </c>
      <c r="J621" s="10" t="s">
        <v>3560</v>
      </c>
      <c r="K621" s="5" t="s">
        <v>818</v>
      </c>
      <c r="L621" s="5" t="s">
        <v>3561</v>
      </c>
      <c r="M621" s="5" t="s">
        <v>45</v>
      </c>
      <c r="N621" s="5">
        <v>0</v>
      </c>
      <c r="O621" s="5" t="s">
        <v>59</v>
      </c>
      <c r="P621" s="10" t="s">
        <v>60</v>
      </c>
      <c r="Q621" s="10" t="s">
        <v>1331</v>
      </c>
      <c r="R621" s="10" t="s">
        <v>821</v>
      </c>
      <c r="S621" s="5">
        <v>0</v>
      </c>
      <c r="T621" s="37" t="s">
        <v>50</v>
      </c>
      <c r="U621" s="5">
        <v>0</v>
      </c>
      <c r="V621" s="37" t="s">
        <v>50</v>
      </c>
      <c r="W621" s="5">
        <v>0</v>
      </c>
      <c r="X621" s="5">
        <v>0</v>
      </c>
      <c r="Y621" s="5">
        <v>0</v>
      </c>
      <c r="Z621" s="37" t="s">
        <v>50</v>
      </c>
      <c r="AA621" s="5">
        <v>0</v>
      </c>
      <c r="AB621" s="5">
        <v>0</v>
      </c>
      <c r="AC621" s="5">
        <v>0</v>
      </c>
      <c r="AD621" s="5">
        <v>0</v>
      </c>
      <c r="AE621" s="10" t="s">
        <v>50</v>
      </c>
      <c r="AF621" s="10"/>
      <c r="AG621" s="10" t="s">
        <v>333</v>
      </c>
      <c r="AH621" s="10" t="s">
        <v>50</v>
      </c>
      <c r="AI621" s="5">
        <v>0</v>
      </c>
      <c r="AJ621" s="10" t="s">
        <v>50</v>
      </c>
      <c r="AK621" s="10" t="s">
        <v>50</v>
      </c>
    </row>
    <row r="622" spans="1:37" ht="36.75" customHeight="1" x14ac:dyDescent="0.35">
      <c r="A622" s="5"/>
      <c r="B622" s="5" t="s">
        <v>37</v>
      </c>
      <c r="C622" s="73" t="str">
        <f t="shared" si="9"/>
        <v>Closed</v>
      </c>
      <c r="D622" s="45" t="s">
        <v>3562</v>
      </c>
      <c r="E622" s="54" t="s">
        <v>3563</v>
      </c>
      <c r="F622" s="5" t="s">
        <v>40</v>
      </c>
      <c r="G622" s="10">
        <f>DATE(2009,2,11)</f>
        <v>39855</v>
      </c>
      <c r="H622" s="35">
        <v>1.6333333333333333</v>
      </c>
      <c r="I622" s="5" t="s">
        <v>97</v>
      </c>
      <c r="J622" s="10" t="s">
        <v>3564</v>
      </c>
      <c r="K622" s="5" t="s">
        <v>43</v>
      </c>
      <c r="L622" s="5" t="s">
        <v>3565</v>
      </c>
      <c r="M622" s="5" t="s">
        <v>45</v>
      </c>
      <c r="N622" s="5" t="s">
        <v>80</v>
      </c>
      <c r="O622" s="5" t="s">
        <v>46</v>
      </c>
      <c r="P622" s="10" t="s">
        <v>60</v>
      </c>
      <c r="Q622" s="10" t="s">
        <v>48</v>
      </c>
      <c r="R622" s="10" t="s">
        <v>49</v>
      </c>
      <c r="S622" s="5">
        <v>0</v>
      </c>
      <c r="T622" s="37">
        <v>0</v>
      </c>
      <c r="U622" s="5">
        <v>2</v>
      </c>
      <c r="V622" s="37">
        <v>0</v>
      </c>
      <c r="W622" s="5">
        <v>0</v>
      </c>
      <c r="X622" s="5">
        <v>2</v>
      </c>
      <c r="Y622" s="5">
        <v>0</v>
      </c>
      <c r="Z622" s="37">
        <v>0</v>
      </c>
      <c r="AA622" s="5">
        <v>1</v>
      </c>
      <c r="AB622" s="5">
        <v>0</v>
      </c>
      <c r="AC622" s="5">
        <v>0</v>
      </c>
      <c r="AD622" s="5">
        <v>1</v>
      </c>
      <c r="AE622" s="10" t="s">
        <v>73</v>
      </c>
      <c r="AF622" s="10"/>
      <c r="AG622" s="10" t="s">
        <v>64</v>
      </c>
      <c r="AH622" s="10">
        <v>39850</v>
      </c>
      <c r="AI622" s="5">
        <v>2</v>
      </c>
      <c r="AJ622" s="10" t="s">
        <v>3566</v>
      </c>
      <c r="AK622" s="10" t="s">
        <v>3567</v>
      </c>
    </row>
    <row r="623" spans="1:37" ht="36.75" customHeight="1" x14ac:dyDescent="0.35">
      <c r="A623" s="5"/>
      <c r="B623" s="5" t="s">
        <v>37</v>
      </c>
      <c r="C623" s="73" t="str">
        <f t="shared" si="9"/>
        <v>Closed</v>
      </c>
      <c r="D623" s="45" t="s">
        <v>3568</v>
      </c>
      <c r="E623" s="54" t="s">
        <v>3569</v>
      </c>
      <c r="F623" s="5" t="s">
        <v>619</v>
      </c>
      <c r="G623" s="10">
        <f>DATE(2009,2,12)</f>
        <v>39856</v>
      </c>
      <c r="H623" s="35">
        <v>1.9215277777777779</v>
      </c>
      <c r="I623" s="5" t="s">
        <v>85</v>
      </c>
      <c r="J623" s="10" t="s">
        <v>3570</v>
      </c>
      <c r="K623" s="5" t="s">
        <v>621</v>
      </c>
      <c r="L623" s="5" t="s">
        <v>3571</v>
      </c>
      <c r="M623" s="5" t="s">
        <v>45</v>
      </c>
      <c r="N623" s="5">
        <v>0</v>
      </c>
      <c r="O623" s="5" t="s">
        <v>59</v>
      </c>
      <c r="P623" s="10" t="s">
        <v>1211</v>
      </c>
      <c r="Q623" s="10" t="s">
        <v>3572</v>
      </c>
      <c r="R623" s="10" t="s">
        <v>624</v>
      </c>
      <c r="S623" s="5">
        <v>0</v>
      </c>
      <c r="T623" s="37" t="s">
        <v>50</v>
      </c>
      <c r="U623" s="5">
        <v>0</v>
      </c>
      <c r="V623" s="37" t="s">
        <v>50</v>
      </c>
      <c r="W623" s="5">
        <v>0</v>
      </c>
      <c r="X623" s="5">
        <v>0</v>
      </c>
      <c r="Y623" s="5">
        <v>0</v>
      </c>
      <c r="Z623" s="37" t="s">
        <v>50</v>
      </c>
      <c r="AA623" s="5">
        <v>0</v>
      </c>
      <c r="AB623" s="5">
        <v>0</v>
      </c>
      <c r="AC623" s="5">
        <v>0</v>
      </c>
      <c r="AD623" s="5">
        <v>0</v>
      </c>
      <c r="AE623" s="10" t="s">
        <v>50</v>
      </c>
      <c r="AF623" s="10"/>
      <c r="AG623" s="10" t="s">
        <v>229</v>
      </c>
      <c r="AH623" s="10" t="s">
        <v>50</v>
      </c>
      <c r="AI623" s="5">
        <v>3</v>
      </c>
      <c r="AJ623" s="10" t="s">
        <v>3573</v>
      </c>
      <c r="AK623" s="10" t="s">
        <v>50</v>
      </c>
    </row>
    <row r="624" spans="1:37" ht="36.75" customHeight="1" x14ac:dyDescent="0.35">
      <c r="A624" s="5"/>
      <c r="B624" s="5" t="s">
        <v>37</v>
      </c>
      <c r="C624" s="73" t="str">
        <f t="shared" si="9"/>
        <v>Closed</v>
      </c>
      <c r="D624" s="45" t="s">
        <v>3574</v>
      </c>
      <c r="E624" s="54" t="s">
        <v>3575</v>
      </c>
      <c r="F624" s="5" t="s">
        <v>105</v>
      </c>
      <c r="G624" s="10">
        <f>DATE(2009,2,12)</f>
        <v>39856</v>
      </c>
      <c r="H624" s="35">
        <v>1.3583333333333334</v>
      </c>
      <c r="I624" s="5" t="s">
        <v>41</v>
      </c>
      <c r="J624" s="10" t="s">
        <v>3576</v>
      </c>
      <c r="K624" s="5" t="s">
        <v>108</v>
      </c>
      <c r="L624" s="5" t="s">
        <v>3577</v>
      </c>
      <c r="M624" s="5" t="s">
        <v>45</v>
      </c>
      <c r="N624" s="5">
        <v>0</v>
      </c>
      <c r="O624" s="5" t="s">
        <v>59</v>
      </c>
      <c r="P624" s="10" t="s">
        <v>146</v>
      </c>
      <c r="Q624" s="10" t="s">
        <v>3578</v>
      </c>
      <c r="R624" s="10" t="s">
        <v>148</v>
      </c>
      <c r="S624" s="5">
        <v>0</v>
      </c>
      <c r="T624" s="37" t="s">
        <v>50</v>
      </c>
      <c r="U624" s="5">
        <v>0</v>
      </c>
      <c r="V624" s="37" t="s">
        <v>50</v>
      </c>
      <c r="W624" s="5">
        <v>0</v>
      </c>
      <c r="X624" s="5">
        <v>0</v>
      </c>
      <c r="Y624" s="5">
        <v>0</v>
      </c>
      <c r="Z624" s="37" t="s">
        <v>50</v>
      </c>
      <c r="AA624" s="5">
        <v>0</v>
      </c>
      <c r="AB624" s="5">
        <v>0</v>
      </c>
      <c r="AC624" s="5">
        <v>0</v>
      </c>
      <c r="AD624" s="5">
        <v>0</v>
      </c>
      <c r="AE624" s="10" t="s">
        <v>50</v>
      </c>
      <c r="AF624" s="10"/>
      <c r="AG624" s="10" t="s">
        <v>51</v>
      </c>
      <c r="AH624" s="10" t="s">
        <v>50</v>
      </c>
      <c r="AI624" s="5">
        <v>1</v>
      </c>
      <c r="AJ624" s="10" t="s">
        <v>50</v>
      </c>
      <c r="AK624" s="10" t="s">
        <v>3579</v>
      </c>
    </row>
    <row r="625" spans="1:37" ht="36.75" customHeight="1" x14ac:dyDescent="0.35">
      <c r="A625" s="5"/>
      <c r="B625" s="5" t="s">
        <v>37</v>
      </c>
      <c r="C625" s="73" t="str">
        <f t="shared" si="9"/>
        <v>Closed</v>
      </c>
      <c r="D625" s="45" t="s">
        <v>3580</v>
      </c>
      <c r="E625" s="54" t="s">
        <v>3581</v>
      </c>
      <c r="F625" s="5" t="s">
        <v>3128</v>
      </c>
      <c r="G625" s="10">
        <f>DATE(2009,2,12)</f>
        <v>39856</v>
      </c>
      <c r="H625" s="35">
        <v>1.5583333333333333</v>
      </c>
      <c r="I625" s="5" t="s">
        <v>97</v>
      </c>
      <c r="J625" s="10" t="s">
        <v>3582</v>
      </c>
      <c r="K625" s="5" t="s">
        <v>3130</v>
      </c>
      <c r="L625" s="5" t="s">
        <v>3583</v>
      </c>
      <c r="M625" s="5" t="s">
        <v>45</v>
      </c>
      <c r="N625" s="5">
        <v>0</v>
      </c>
      <c r="O625" s="5" t="s">
        <v>46</v>
      </c>
      <c r="P625" s="10" t="s">
        <v>146</v>
      </c>
      <c r="Q625" s="10" t="s">
        <v>3132</v>
      </c>
      <c r="R625" s="10" t="s">
        <v>3133</v>
      </c>
      <c r="S625" s="5">
        <v>0</v>
      </c>
      <c r="T625" s="37">
        <v>0</v>
      </c>
      <c r="U625" s="5">
        <v>1</v>
      </c>
      <c r="V625" s="37">
        <v>0</v>
      </c>
      <c r="W625" s="5">
        <v>0</v>
      </c>
      <c r="X625" s="5">
        <v>1</v>
      </c>
      <c r="Y625" s="5">
        <v>0</v>
      </c>
      <c r="Z625" s="37">
        <v>0</v>
      </c>
      <c r="AA625" s="5">
        <v>0</v>
      </c>
      <c r="AB625" s="5">
        <v>0</v>
      </c>
      <c r="AC625" s="5">
        <v>0</v>
      </c>
      <c r="AD625" s="5">
        <v>0</v>
      </c>
      <c r="AE625" s="10" t="s">
        <v>50</v>
      </c>
      <c r="AF625" s="10"/>
      <c r="AG625" s="10" t="s">
        <v>114</v>
      </c>
      <c r="AH625" s="10" t="s">
        <v>50</v>
      </c>
      <c r="AI625" s="5">
        <v>2</v>
      </c>
      <c r="AJ625" s="10" t="s">
        <v>50</v>
      </c>
      <c r="AK625" s="10" t="s">
        <v>50</v>
      </c>
    </row>
    <row r="626" spans="1:37" ht="36.75" customHeight="1" x14ac:dyDescent="0.35">
      <c r="A626" s="5"/>
      <c r="B626" s="5" t="s">
        <v>37</v>
      </c>
      <c r="C626" s="73" t="str">
        <f t="shared" si="9"/>
        <v>Closed</v>
      </c>
      <c r="D626" s="45" t="s">
        <v>3584</v>
      </c>
      <c r="E626" s="54" t="s">
        <v>3585</v>
      </c>
      <c r="F626" s="5" t="s">
        <v>619</v>
      </c>
      <c r="G626" s="10">
        <f>DATE(2009,2,14)</f>
        <v>39858</v>
      </c>
      <c r="H626" s="35">
        <v>1.5902777777777777</v>
      </c>
      <c r="I626" s="5" t="s">
        <v>85</v>
      </c>
      <c r="J626" s="10" t="s">
        <v>3586</v>
      </c>
      <c r="K626" s="5" t="s">
        <v>621</v>
      </c>
      <c r="L626" s="5" t="s">
        <v>3587</v>
      </c>
      <c r="M626" s="5" t="s">
        <v>45</v>
      </c>
      <c r="N626" s="5">
        <v>0</v>
      </c>
      <c r="O626" s="5" t="s">
        <v>59</v>
      </c>
      <c r="P626" s="10" t="s">
        <v>146</v>
      </c>
      <c r="Q626" s="10" t="s">
        <v>3226</v>
      </c>
      <c r="R626" s="10" t="s">
        <v>3226</v>
      </c>
      <c r="S626" s="5">
        <v>0</v>
      </c>
      <c r="T626" s="37" t="s">
        <v>50</v>
      </c>
      <c r="U626" s="5">
        <v>0</v>
      </c>
      <c r="V626" s="37" t="s">
        <v>50</v>
      </c>
      <c r="W626" s="5">
        <v>0</v>
      </c>
      <c r="X626" s="5">
        <v>0</v>
      </c>
      <c r="Y626" s="5">
        <v>0</v>
      </c>
      <c r="Z626" s="37" t="s">
        <v>50</v>
      </c>
      <c r="AA626" s="5">
        <v>0</v>
      </c>
      <c r="AB626" s="5">
        <v>0</v>
      </c>
      <c r="AC626" s="5">
        <v>0</v>
      </c>
      <c r="AD626" s="5">
        <v>0</v>
      </c>
      <c r="AE626" s="10" t="s">
        <v>50</v>
      </c>
      <c r="AF626" s="10"/>
      <c r="AG626" s="10" t="s">
        <v>229</v>
      </c>
      <c r="AH626" s="10" t="s">
        <v>50</v>
      </c>
      <c r="AI626" s="5">
        <v>3</v>
      </c>
      <c r="AJ626" s="10" t="s">
        <v>3588</v>
      </c>
      <c r="AK626" s="10" t="s">
        <v>50</v>
      </c>
    </row>
    <row r="627" spans="1:37" ht="36.75" customHeight="1" x14ac:dyDescent="0.35">
      <c r="A627" s="5"/>
      <c r="B627" s="5" t="s">
        <v>37</v>
      </c>
      <c r="C627" s="73" t="str">
        <f t="shared" si="9"/>
        <v>Closed</v>
      </c>
      <c r="D627" s="45" t="s">
        <v>3589</v>
      </c>
      <c r="E627" s="54" t="s">
        <v>3590</v>
      </c>
      <c r="F627" s="5" t="s">
        <v>404</v>
      </c>
      <c r="G627" s="10">
        <f>DATE(2009,2,16)</f>
        <v>39860</v>
      </c>
      <c r="H627" s="35">
        <v>1.3763888888888889</v>
      </c>
      <c r="I627" s="5" t="s">
        <v>179</v>
      </c>
      <c r="J627" s="10" t="s">
        <v>3591</v>
      </c>
      <c r="K627" s="5" t="s">
        <v>406</v>
      </c>
      <c r="L627" s="5" t="s">
        <v>3592</v>
      </c>
      <c r="M627" s="5" t="s">
        <v>45</v>
      </c>
      <c r="N627" s="5">
        <v>0</v>
      </c>
      <c r="O627" s="5" t="s">
        <v>46</v>
      </c>
      <c r="P627" s="10" t="s">
        <v>146</v>
      </c>
      <c r="Q627" s="10" t="s">
        <v>408</v>
      </c>
      <c r="R627" s="10" t="s">
        <v>3083</v>
      </c>
      <c r="S627" s="5">
        <v>0</v>
      </c>
      <c r="T627" s="37" t="s">
        <v>50</v>
      </c>
      <c r="U627" s="5">
        <v>0</v>
      </c>
      <c r="V627" s="37" t="s">
        <v>50</v>
      </c>
      <c r="W627" s="5">
        <v>0</v>
      </c>
      <c r="X627" s="5">
        <v>0</v>
      </c>
      <c r="Y627" s="5">
        <v>0</v>
      </c>
      <c r="Z627" s="37" t="s">
        <v>50</v>
      </c>
      <c r="AA627" s="5">
        <v>0</v>
      </c>
      <c r="AB627" s="5">
        <v>0</v>
      </c>
      <c r="AC627" s="5">
        <v>0</v>
      </c>
      <c r="AD627" s="5">
        <v>0</v>
      </c>
      <c r="AE627" s="10" t="s">
        <v>50</v>
      </c>
      <c r="AF627" s="10"/>
      <c r="AG627" s="10" t="s">
        <v>114</v>
      </c>
      <c r="AH627" s="10" t="s">
        <v>50</v>
      </c>
      <c r="AI627" s="5">
        <v>4</v>
      </c>
      <c r="AJ627" s="10" t="s">
        <v>3593</v>
      </c>
      <c r="AK627" s="10" t="s">
        <v>3594</v>
      </c>
    </row>
    <row r="628" spans="1:37" ht="36.75" customHeight="1" x14ac:dyDescent="0.35">
      <c r="A628" s="5"/>
      <c r="B628" s="5" t="s">
        <v>37</v>
      </c>
      <c r="C628" s="73" t="str">
        <f t="shared" si="9"/>
        <v>Closed</v>
      </c>
      <c r="D628" s="45" t="s">
        <v>3595</v>
      </c>
      <c r="E628" s="54" t="s">
        <v>3596</v>
      </c>
      <c r="F628" s="5" t="s">
        <v>1730</v>
      </c>
      <c r="G628" s="10">
        <f>DATE(2009,2,18)</f>
        <v>39862</v>
      </c>
      <c r="H628" s="35">
        <v>1.3916666666666666</v>
      </c>
      <c r="I628" s="5" t="s">
        <v>67</v>
      </c>
      <c r="J628" s="10" t="s">
        <v>3597</v>
      </c>
      <c r="K628" s="5" t="s">
        <v>1732</v>
      </c>
      <c r="L628" s="5" t="s">
        <v>3598</v>
      </c>
      <c r="M628" s="5" t="s">
        <v>45</v>
      </c>
      <c r="N628" s="5">
        <v>0</v>
      </c>
      <c r="O628" s="5" t="s">
        <v>59</v>
      </c>
      <c r="P628" s="10" t="s">
        <v>60</v>
      </c>
      <c r="Q628" s="10" t="s">
        <v>1962</v>
      </c>
      <c r="R628" s="10" t="s">
        <v>3599</v>
      </c>
      <c r="S628" s="5">
        <v>0</v>
      </c>
      <c r="T628" s="37" t="s">
        <v>50</v>
      </c>
      <c r="U628" s="5">
        <v>0</v>
      </c>
      <c r="V628" s="37" t="s">
        <v>50</v>
      </c>
      <c r="W628" s="5">
        <v>0</v>
      </c>
      <c r="X628" s="5">
        <v>0</v>
      </c>
      <c r="Y628" s="5">
        <v>0</v>
      </c>
      <c r="Z628" s="37" t="s">
        <v>50</v>
      </c>
      <c r="AA628" s="5">
        <v>0</v>
      </c>
      <c r="AB628" s="5">
        <v>0</v>
      </c>
      <c r="AC628" s="5">
        <v>0</v>
      </c>
      <c r="AD628" s="5">
        <v>0</v>
      </c>
      <c r="AE628" s="10" t="s">
        <v>50</v>
      </c>
      <c r="AF628" s="10"/>
      <c r="AG628" s="10" t="s">
        <v>229</v>
      </c>
      <c r="AH628" s="10" t="s">
        <v>50</v>
      </c>
      <c r="AI628" s="5">
        <v>5</v>
      </c>
      <c r="AJ628" s="10" t="s">
        <v>3600</v>
      </c>
      <c r="AK628" s="10" t="s">
        <v>50</v>
      </c>
    </row>
    <row r="629" spans="1:37" ht="36.75" customHeight="1" x14ac:dyDescent="0.35">
      <c r="A629" s="5"/>
      <c r="B629" s="5" t="s">
        <v>37</v>
      </c>
      <c r="C629" s="73" t="str">
        <f t="shared" si="9"/>
        <v>Closed</v>
      </c>
      <c r="D629" s="45" t="s">
        <v>3601</v>
      </c>
      <c r="E629" s="54" t="s">
        <v>3602</v>
      </c>
      <c r="F629" s="5" t="s">
        <v>619</v>
      </c>
      <c r="G629" s="10">
        <f>DATE(2009,2,22)</f>
        <v>39866</v>
      </c>
      <c r="H629" s="35">
        <v>1.7368055555555557</v>
      </c>
      <c r="I629" s="5" t="s">
        <v>259</v>
      </c>
      <c r="J629" s="10" t="s">
        <v>3603</v>
      </c>
      <c r="K629" s="5" t="s">
        <v>621</v>
      </c>
      <c r="L629" s="5" t="s">
        <v>3604</v>
      </c>
      <c r="M629" s="5" t="s">
        <v>45</v>
      </c>
      <c r="N629" s="5">
        <v>0</v>
      </c>
      <c r="O629" s="5" t="s">
        <v>46</v>
      </c>
      <c r="P629" s="10" t="s">
        <v>146</v>
      </c>
      <c r="Q629" s="10" t="s">
        <v>623</v>
      </c>
      <c r="R629" s="10" t="s">
        <v>624</v>
      </c>
      <c r="S629" s="5">
        <v>0</v>
      </c>
      <c r="T629" s="37">
        <v>0</v>
      </c>
      <c r="U629" s="5">
        <v>0</v>
      </c>
      <c r="V629" s="37">
        <v>1</v>
      </c>
      <c r="W629" s="5">
        <v>0</v>
      </c>
      <c r="X629" s="5">
        <v>1</v>
      </c>
      <c r="Y629" s="5">
        <v>0</v>
      </c>
      <c r="Z629" s="37">
        <v>0</v>
      </c>
      <c r="AA629" s="5">
        <v>0</v>
      </c>
      <c r="AB629" s="5">
        <v>0</v>
      </c>
      <c r="AC629" s="5">
        <v>0</v>
      </c>
      <c r="AD629" s="5">
        <v>0</v>
      </c>
      <c r="AE629" s="10" t="s">
        <v>50</v>
      </c>
      <c r="AF629" s="10"/>
      <c r="AG629" s="10" t="s">
        <v>229</v>
      </c>
      <c r="AH629" s="10" t="s">
        <v>50</v>
      </c>
      <c r="AI629" s="5">
        <v>1</v>
      </c>
      <c r="AJ629" s="10" t="s">
        <v>50</v>
      </c>
      <c r="AK629" s="10" t="s">
        <v>50</v>
      </c>
    </row>
    <row r="630" spans="1:37" ht="36.75" customHeight="1" x14ac:dyDescent="0.35">
      <c r="A630" s="5"/>
      <c r="B630" s="5" t="s">
        <v>37</v>
      </c>
      <c r="C630" s="73" t="str">
        <f t="shared" si="9"/>
        <v>Closed</v>
      </c>
      <c r="D630" s="45" t="s">
        <v>3605</v>
      </c>
      <c r="E630" s="54" t="s">
        <v>3606</v>
      </c>
      <c r="F630" s="5" t="s">
        <v>619</v>
      </c>
      <c r="G630" s="10">
        <f>DATE(2009,2,23)</f>
        <v>39867</v>
      </c>
      <c r="H630" s="35">
        <v>1.5208333333333335</v>
      </c>
      <c r="I630" s="5" t="s">
        <v>55</v>
      </c>
      <c r="J630" s="10" t="s">
        <v>3607</v>
      </c>
      <c r="K630" s="5" t="s">
        <v>621</v>
      </c>
      <c r="L630" s="5" t="s">
        <v>3608</v>
      </c>
      <c r="M630" s="5" t="s">
        <v>45</v>
      </c>
      <c r="N630" s="5">
        <v>0</v>
      </c>
      <c r="O630" s="5" t="s">
        <v>46</v>
      </c>
      <c r="P630" s="10" t="s">
        <v>146</v>
      </c>
      <c r="Q630" s="10" t="s">
        <v>3226</v>
      </c>
      <c r="R630" s="10" t="s">
        <v>3226</v>
      </c>
      <c r="S630" s="5">
        <v>0</v>
      </c>
      <c r="T630" s="37" t="s">
        <v>50</v>
      </c>
      <c r="U630" s="5">
        <v>0</v>
      </c>
      <c r="V630" s="37" t="s">
        <v>50</v>
      </c>
      <c r="W630" s="5">
        <v>0</v>
      </c>
      <c r="X630" s="5">
        <v>0</v>
      </c>
      <c r="Y630" s="5">
        <v>0</v>
      </c>
      <c r="Z630" s="37" t="s">
        <v>50</v>
      </c>
      <c r="AA630" s="5">
        <v>0</v>
      </c>
      <c r="AB630" s="5">
        <v>0</v>
      </c>
      <c r="AC630" s="5">
        <v>0</v>
      </c>
      <c r="AD630" s="5">
        <v>0</v>
      </c>
      <c r="AE630" s="10" t="s">
        <v>50</v>
      </c>
      <c r="AF630" s="10"/>
      <c r="AG630" s="10" t="s">
        <v>114</v>
      </c>
      <c r="AH630" s="10" t="s">
        <v>50</v>
      </c>
      <c r="AI630" s="5">
        <v>1</v>
      </c>
      <c r="AJ630" s="10" t="s">
        <v>50</v>
      </c>
      <c r="AK630" s="10" t="s">
        <v>50</v>
      </c>
    </row>
    <row r="631" spans="1:37" ht="36.75" customHeight="1" x14ac:dyDescent="0.35">
      <c r="A631" s="5"/>
      <c r="B631" s="5" t="s">
        <v>37</v>
      </c>
      <c r="C631" s="73" t="str">
        <f t="shared" si="9"/>
        <v>Closed</v>
      </c>
      <c r="D631" s="45" t="s">
        <v>3609</v>
      </c>
      <c r="E631" s="54" t="s">
        <v>3610</v>
      </c>
      <c r="F631" s="5" t="s">
        <v>105</v>
      </c>
      <c r="G631" s="10">
        <f>DATE(2009,2,25)</f>
        <v>39869</v>
      </c>
      <c r="H631" s="35">
        <v>1.3854166666666667</v>
      </c>
      <c r="I631" s="5" t="s">
        <v>179</v>
      </c>
      <c r="J631" s="10" t="s">
        <v>3611</v>
      </c>
      <c r="K631" s="5" t="s">
        <v>108</v>
      </c>
      <c r="L631" s="5" t="s">
        <v>3612</v>
      </c>
      <c r="M631" s="5" t="s">
        <v>45</v>
      </c>
      <c r="N631" s="5">
        <v>0</v>
      </c>
      <c r="O631" s="5" t="s">
        <v>59</v>
      </c>
      <c r="P631" s="10" t="s">
        <v>3613</v>
      </c>
      <c r="Q631" s="10" t="s">
        <v>3614</v>
      </c>
      <c r="R631" s="10" t="s">
        <v>148</v>
      </c>
      <c r="S631" s="5">
        <v>0</v>
      </c>
      <c r="T631" s="37" t="s">
        <v>50</v>
      </c>
      <c r="U631" s="5">
        <v>0</v>
      </c>
      <c r="V631" s="37" t="s">
        <v>50</v>
      </c>
      <c r="W631" s="5">
        <v>0</v>
      </c>
      <c r="X631" s="5">
        <v>0</v>
      </c>
      <c r="Y631" s="5">
        <v>0</v>
      </c>
      <c r="Z631" s="37" t="s">
        <v>50</v>
      </c>
      <c r="AA631" s="5">
        <v>0</v>
      </c>
      <c r="AB631" s="5">
        <v>0</v>
      </c>
      <c r="AC631" s="5">
        <v>0</v>
      </c>
      <c r="AD631" s="5">
        <v>0</v>
      </c>
      <c r="AE631" s="10" t="s">
        <v>50</v>
      </c>
      <c r="AF631" s="10"/>
      <c r="AG631" s="10" t="s">
        <v>64</v>
      </c>
      <c r="AH631" s="10" t="s">
        <v>50</v>
      </c>
      <c r="AI631" s="5">
        <v>3</v>
      </c>
      <c r="AJ631" s="10" t="s">
        <v>3615</v>
      </c>
      <c r="AK631" s="10" t="s">
        <v>50</v>
      </c>
    </row>
    <row r="632" spans="1:37" ht="36.75" customHeight="1" x14ac:dyDescent="0.35">
      <c r="A632" s="5"/>
      <c r="B632" s="5" t="s">
        <v>37</v>
      </c>
      <c r="C632" s="73" t="str">
        <f t="shared" si="9"/>
        <v>Closed</v>
      </c>
      <c r="D632" s="45" t="s">
        <v>3616</v>
      </c>
      <c r="E632" s="54" t="s">
        <v>3617</v>
      </c>
      <c r="F632" s="5" t="s">
        <v>178</v>
      </c>
      <c r="G632" s="10">
        <f>DATE(2009,3,4)</f>
        <v>39876</v>
      </c>
      <c r="H632" s="35">
        <v>1.5326388888888889</v>
      </c>
      <c r="I632" s="5" t="s">
        <v>67</v>
      </c>
      <c r="J632" s="10" t="s">
        <v>3618</v>
      </c>
      <c r="K632" s="5" t="s">
        <v>181</v>
      </c>
      <c r="L632" s="5" t="s">
        <v>3619</v>
      </c>
      <c r="M632" s="5" t="s">
        <v>45</v>
      </c>
      <c r="N632" s="5">
        <v>0</v>
      </c>
      <c r="O632" s="5" t="s">
        <v>59</v>
      </c>
      <c r="P632" s="10" t="s">
        <v>362</v>
      </c>
      <c r="Q632" s="10" t="s">
        <v>3620</v>
      </c>
      <c r="R632" s="10" t="s">
        <v>184</v>
      </c>
      <c r="S632" s="5">
        <v>0</v>
      </c>
      <c r="T632" s="37" t="s">
        <v>50</v>
      </c>
      <c r="U632" s="5">
        <v>0</v>
      </c>
      <c r="V632" s="37" t="s">
        <v>50</v>
      </c>
      <c r="W632" s="5">
        <v>0</v>
      </c>
      <c r="X632" s="5">
        <v>0</v>
      </c>
      <c r="Y632" s="5">
        <v>0</v>
      </c>
      <c r="Z632" s="37" t="s">
        <v>50</v>
      </c>
      <c r="AA632" s="5">
        <v>0</v>
      </c>
      <c r="AB632" s="5">
        <v>0</v>
      </c>
      <c r="AC632" s="5">
        <v>0</v>
      </c>
      <c r="AD632" s="5">
        <v>0</v>
      </c>
      <c r="AE632" s="10" t="s">
        <v>50</v>
      </c>
      <c r="AF632" s="10"/>
      <c r="AG632" s="10" t="s">
        <v>64</v>
      </c>
      <c r="AH632" s="10" t="s">
        <v>50</v>
      </c>
      <c r="AI632" s="5">
        <v>3</v>
      </c>
      <c r="AJ632" s="10" t="s">
        <v>3621</v>
      </c>
      <c r="AK632" s="10" t="s">
        <v>50</v>
      </c>
    </row>
    <row r="633" spans="1:37" ht="36.75" customHeight="1" x14ac:dyDescent="0.35">
      <c r="A633" s="5"/>
      <c r="B633" s="5" t="s">
        <v>37</v>
      </c>
      <c r="C633" s="73" t="str">
        <f t="shared" si="9"/>
        <v>Closed</v>
      </c>
      <c r="D633" s="45" t="s">
        <v>3622</v>
      </c>
      <c r="E633" s="54" t="s">
        <v>3623</v>
      </c>
      <c r="F633" s="5" t="s">
        <v>619</v>
      </c>
      <c r="G633" s="10">
        <f>DATE(2009,3,4)</f>
        <v>39876</v>
      </c>
      <c r="H633" s="35">
        <v>1.9090277777777778</v>
      </c>
      <c r="I633" s="5" t="s">
        <v>259</v>
      </c>
      <c r="J633" s="10" t="s">
        <v>3624</v>
      </c>
      <c r="K633" s="5" t="s">
        <v>621</v>
      </c>
      <c r="L633" s="5" t="s">
        <v>3625</v>
      </c>
      <c r="M633" s="5" t="s">
        <v>45</v>
      </c>
      <c r="N633" s="5">
        <v>0</v>
      </c>
      <c r="O633" s="5" t="s">
        <v>59</v>
      </c>
      <c r="P633" s="10" t="s">
        <v>146</v>
      </c>
      <c r="Q633" s="10" t="s">
        <v>623</v>
      </c>
      <c r="R633" s="10" t="s">
        <v>624</v>
      </c>
      <c r="S633" s="5">
        <v>0</v>
      </c>
      <c r="T633" s="37">
        <v>0</v>
      </c>
      <c r="U633" s="5">
        <v>0</v>
      </c>
      <c r="V633" s="37">
        <v>0</v>
      </c>
      <c r="W633" s="5">
        <v>1</v>
      </c>
      <c r="X633" s="5">
        <v>1</v>
      </c>
      <c r="Y633" s="5">
        <v>0</v>
      </c>
      <c r="Z633" s="37">
        <v>0</v>
      </c>
      <c r="AA633" s="5">
        <v>0</v>
      </c>
      <c r="AB633" s="5">
        <v>0</v>
      </c>
      <c r="AC633" s="5">
        <v>0</v>
      </c>
      <c r="AD633" s="5">
        <v>0</v>
      </c>
      <c r="AE633" s="10" t="s">
        <v>50</v>
      </c>
      <c r="AF633" s="10"/>
      <c r="AG633" s="10" t="s">
        <v>229</v>
      </c>
      <c r="AH633" s="10" t="s">
        <v>50</v>
      </c>
      <c r="AI633" s="5">
        <v>1</v>
      </c>
      <c r="AJ633" s="10" t="s">
        <v>50</v>
      </c>
      <c r="AK633" s="10" t="s">
        <v>50</v>
      </c>
    </row>
    <row r="634" spans="1:37" ht="36.75" customHeight="1" x14ac:dyDescent="0.35">
      <c r="A634" s="5"/>
      <c r="B634" s="5" t="s">
        <v>37</v>
      </c>
      <c r="C634" s="73" t="str">
        <f t="shared" si="9"/>
        <v>Closed</v>
      </c>
      <c r="D634" s="45" t="s">
        <v>3626</v>
      </c>
      <c r="E634" s="54" t="s">
        <v>3627</v>
      </c>
      <c r="F634" s="5" t="s">
        <v>96</v>
      </c>
      <c r="G634" s="10">
        <f>DATE(2009,3,7)</f>
        <v>39879</v>
      </c>
      <c r="H634" s="35">
        <v>1.9756944444444446</v>
      </c>
      <c r="I634" s="5" t="s">
        <v>259</v>
      </c>
      <c r="J634" s="10" t="s">
        <v>3628</v>
      </c>
      <c r="K634" s="5" t="s">
        <v>99</v>
      </c>
      <c r="L634" s="5" t="s">
        <v>3629</v>
      </c>
      <c r="M634" s="5" t="s">
        <v>45</v>
      </c>
      <c r="N634" s="5">
        <v>0</v>
      </c>
      <c r="O634" s="5" t="s">
        <v>46</v>
      </c>
      <c r="P634" s="10" t="s">
        <v>197</v>
      </c>
      <c r="Q634" s="10" t="s">
        <v>3030</v>
      </c>
      <c r="R634" s="10" t="s">
        <v>102</v>
      </c>
      <c r="S634" s="5">
        <v>0</v>
      </c>
      <c r="T634" s="37">
        <v>0</v>
      </c>
      <c r="U634" s="5">
        <v>0</v>
      </c>
      <c r="V634" s="37">
        <v>2</v>
      </c>
      <c r="W634" s="5">
        <v>0</v>
      </c>
      <c r="X634" s="5">
        <v>2</v>
      </c>
      <c r="Y634" s="5">
        <v>0</v>
      </c>
      <c r="Z634" s="37">
        <v>0</v>
      </c>
      <c r="AA634" s="5">
        <v>0</v>
      </c>
      <c r="AB634" s="5">
        <v>3</v>
      </c>
      <c r="AC634" s="5">
        <v>0</v>
      </c>
      <c r="AD634" s="5">
        <v>3</v>
      </c>
      <c r="AE634" s="10" t="s">
        <v>50</v>
      </c>
      <c r="AF634" s="10"/>
      <c r="AG634" s="10" t="s">
        <v>64</v>
      </c>
      <c r="AH634" s="10" t="s">
        <v>50</v>
      </c>
      <c r="AI634" s="5">
        <v>6</v>
      </c>
      <c r="AJ634" s="10" t="s">
        <v>3630</v>
      </c>
      <c r="AK634" s="10" t="s">
        <v>50</v>
      </c>
    </row>
    <row r="635" spans="1:37" ht="36.75" customHeight="1" x14ac:dyDescent="0.35">
      <c r="A635" s="5"/>
      <c r="B635" s="5" t="s">
        <v>37</v>
      </c>
      <c r="C635" s="73" t="str">
        <f t="shared" si="9"/>
        <v>Closed</v>
      </c>
      <c r="D635" s="45" t="s">
        <v>3631</v>
      </c>
      <c r="E635" s="54" t="s">
        <v>3632</v>
      </c>
      <c r="F635" s="5" t="s">
        <v>40</v>
      </c>
      <c r="G635" s="10">
        <f>DATE(2009,3,9)</f>
        <v>39881</v>
      </c>
      <c r="H635" s="35">
        <v>1.8624999999999998</v>
      </c>
      <c r="I635" s="5" t="s">
        <v>55</v>
      </c>
      <c r="J635" s="10" t="s">
        <v>3633</v>
      </c>
      <c r="K635" s="5" t="s">
        <v>43</v>
      </c>
      <c r="L635" s="5" t="s">
        <v>3634</v>
      </c>
      <c r="M635" s="5" t="s">
        <v>45</v>
      </c>
      <c r="N635" s="5" t="s">
        <v>123</v>
      </c>
      <c r="O635" s="5" t="s">
        <v>71</v>
      </c>
      <c r="P635" s="10" t="s">
        <v>60</v>
      </c>
      <c r="Q635" s="10" t="s">
        <v>48</v>
      </c>
      <c r="R635" s="10" t="s">
        <v>49</v>
      </c>
      <c r="S635" s="5">
        <v>0</v>
      </c>
      <c r="T635" s="37">
        <v>0</v>
      </c>
      <c r="U635" s="5">
        <v>0</v>
      </c>
      <c r="V635" s="37">
        <v>0</v>
      </c>
      <c r="W635" s="5">
        <v>0</v>
      </c>
      <c r="X635" s="5">
        <v>0</v>
      </c>
      <c r="Y635" s="5">
        <v>0</v>
      </c>
      <c r="Z635" s="37">
        <v>0</v>
      </c>
      <c r="AA635" s="5">
        <v>0</v>
      </c>
      <c r="AB635" s="5">
        <v>0</v>
      </c>
      <c r="AC635" s="5">
        <v>0</v>
      </c>
      <c r="AD635" s="5">
        <v>0</v>
      </c>
      <c r="AE635" s="10" t="s">
        <v>375</v>
      </c>
      <c r="AF635" s="10"/>
      <c r="AG635" s="10" t="s">
        <v>51</v>
      </c>
      <c r="AH635" s="10">
        <v>39897</v>
      </c>
      <c r="AI635" s="5">
        <v>1</v>
      </c>
      <c r="AJ635" s="10" t="s">
        <v>3635</v>
      </c>
      <c r="AK635" s="10" t="s">
        <v>3636</v>
      </c>
    </row>
    <row r="636" spans="1:37" ht="36.75" customHeight="1" x14ac:dyDescent="0.35">
      <c r="A636" s="5"/>
      <c r="B636" s="5" t="s">
        <v>37</v>
      </c>
      <c r="C636" s="73" t="str">
        <f t="shared" si="9"/>
        <v>Closed</v>
      </c>
      <c r="D636" s="45" t="s">
        <v>3637</v>
      </c>
      <c r="E636" s="54" t="s">
        <v>3638</v>
      </c>
      <c r="F636" s="5" t="s">
        <v>214</v>
      </c>
      <c r="G636" s="10">
        <f>DATE(2009,3,10)</f>
        <v>39882</v>
      </c>
      <c r="H636" s="35">
        <v>1.4180555555555556</v>
      </c>
      <c r="I636" s="5" t="s">
        <v>55</v>
      </c>
      <c r="J636" s="10" t="s">
        <v>3639</v>
      </c>
      <c r="K636" s="5" t="s">
        <v>216</v>
      </c>
      <c r="L636" s="5" t="s">
        <v>3640</v>
      </c>
      <c r="M636" s="5" t="s">
        <v>110</v>
      </c>
      <c r="N636" s="5">
        <v>0</v>
      </c>
      <c r="O636" s="5" t="s">
        <v>46</v>
      </c>
      <c r="P636" s="10" t="s">
        <v>146</v>
      </c>
      <c r="Q636" s="10" t="s">
        <v>2677</v>
      </c>
      <c r="R636" s="10" t="s">
        <v>2677</v>
      </c>
      <c r="S636" s="5">
        <v>0</v>
      </c>
      <c r="T636" s="37" t="s">
        <v>50</v>
      </c>
      <c r="U636" s="5">
        <v>0</v>
      </c>
      <c r="V636" s="37" t="s">
        <v>50</v>
      </c>
      <c r="W636" s="5">
        <v>0</v>
      </c>
      <c r="X636" s="5">
        <v>0</v>
      </c>
      <c r="Y636" s="5">
        <v>0</v>
      </c>
      <c r="Z636" s="37" t="s">
        <v>50</v>
      </c>
      <c r="AA636" s="5">
        <v>0</v>
      </c>
      <c r="AB636" s="5">
        <v>0</v>
      </c>
      <c r="AC636" s="5">
        <v>0</v>
      </c>
      <c r="AD636" s="5">
        <v>0</v>
      </c>
      <c r="AE636" s="10" t="s">
        <v>50</v>
      </c>
      <c r="AF636" s="10"/>
      <c r="AG636" s="10" t="s">
        <v>229</v>
      </c>
      <c r="AH636" s="10" t="s">
        <v>50</v>
      </c>
      <c r="AI636" s="5">
        <v>7</v>
      </c>
      <c r="AJ636" s="10" t="s">
        <v>3641</v>
      </c>
      <c r="AK636" s="10" t="s">
        <v>3642</v>
      </c>
    </row>
    <row r="637" spans="1:37" ht="36.75" customHeight="1" x14ac:dyDescent="0.35">
      <c r="A637" s="5"/>
      <c r="B637" s="5" t="s">
        <v>37</v>
      </c>
      <c r="C637" s="73" t="str">
        <f t="shared" si="9"/>
        <v>Closed</v>
      </c>
      <c r="D637" s="45" t="s">
        <v>3643</v>
      </c>
      <c r="E637" s="54" t="s">
        <v>3644</v>
      </c>
      <c r="F637" s="5" t="s">
        <v>3128</v>
      </c>
      <c r="G637" s="10">
        <f>DATE(2009,3,11)</f>
        <v>39883</v>
      </c>
      <c r="H637" s="35">
        <v>1.5868055555555556</v>
      </c>
      <c r="I637" s="5" t="s">
        <v>179</v>
      </c>
      <c r="J637" s="10" t="s">
        <v>3645</v>
      </c>
      <c r="K637" s="5" t="s">
        <v>3130</v>
      </c>
      <c r="L637" s="5" t="s">
        <v>3646</v>
      </c>
      <c r="M637" s="5" t="s">
        <v>45</v>
      </c>
      <c r="N637" s="5">
        <v>0</v>
      </c>
      <c r="O637" s="5" t="s">
        <v>46</v>
      </c>
      <c r="P637" s="10" t="s">
        <v>282</v>
      </c>
      <c r="Q637" s="10" t="s">
        <v>3132</v>
      </c>
      <c r="R637" s="10" t="s">
        <v>3133</v>
      </c>
      <c r="S637" s="5">
        <v>0</v>
      </c>
      <c r="T637" s="37">
        <v>0</v>
      </c>
      <c r="U637" s="5">
        <v>0</v>
      </c>
      <c r="V637" s="37">
        <v>0</v>
      </c>
      <c r="W637" s="5">
        <v>0</v>
      </c>
      <c r="X637" s="5">
        <v>0</v>
      </c>
      <c r="Y637" s="5">
        <v>0</v>
      </c>
      <c r="Z637" s="37">
        <v>2</v>
      </c>
      <c r="AA637" s="5">
        <v>0</v>
      </c>
      <c r="AB637" s="5">
        <v>0</v>
      </c>
      <c r="AC637" s="5">
        <v>0</v>
      </c>
      <c r="AD637" s="5">
        <v>2</v>
      </c>
      <c r="AE637" s="10" t="s">
        <v>50</v>
      </c>
      <c r="AF637" s="10"/>
      <c r="AG637" s="10" t="s">
        <v>1489</v>
      </c>
      <c r="AH637" s="10" t="s">
        <v>50</v>
      </c>
      <c r="AI637" s="5">
        <v>6</v>
      </c>
      <c r="AJ637" s="10" t="s">
        <v>3647</v>
      </c>
      <c r="AK637" s="10" t="s">
        <v>50</v>
      </c>
    </row>
    <row r="638" spans="1:37" ht="36.75" customHeight="1" x14ac:dyDescent="0.35">
      <c r="A638" s="5"/>
      <c r="B638" s="5" t="s">
        <v>37</v>
      </c>
      <c r="C638" s="73" t="str">
        <f t="shared" si="9"/>
        <v>Closed</v>
      </c>
      <c r="D638" s="45" t="s">
        <v>3648</v>
      </c>
      <c r="E638" s="54" t="s">
        <v>3649</v>
      </c>
      <c r="F638" s="5" t="s">
        <v>1553</v>
      </c>
      <c r="G638" s="10">
        <f>DATE(2009,3,14)</f>
        <v>39886</v>
      </c>
      <c r="H638" s="35">
        <v>1.9097222222222223</v>
      </c>
      <c r="I638" s="5" t="s">
        <v>55</v>
      </c>
      <c r="J638" s="10" t="s">
        <v>3650</v>
      </c>
      <c r="K638" s="5" t="s">
        <v>1555</v>
      </c>
      <c r="L638" s="5" t="s">
        <v>3651</v>
      </c>
      <c r="M638" s="5" t="s">
        <v>45</v>
      </c>
      <c r="N638" s="5">
        <v>0</v>
      </c>
      <c r="O638" s="5" t="s">
        <v>59</v>
      </c>
      <c r="P638" s="10" t="s">
        <v>146</v>
      </c>
      <c r="Q638" s="10" t="s">
        <v>2393</v>
      </c>
      <c r="R638" s="10">
        <v>0</v>
      </c>
      <c r="S638" s="5">
        <v>0</v>
      </c>
      <c r="T638" s="37" t="s">
        <v>50</v>
      </c>
      <c r="U638" s="5">
        <v>0</v>
      </c>
      <c r="V638" s="37" t="s">
        <v>50</v>
      </c>
      <c r="W638" s="5">
        <v>0</v>
      </c>
      <c r="X638" s="5">
        <v>0</v>
      </c>
      <c r="Y638" s="5">
        <v>0</v>
      </c>
      <c r="Z638" s="37" t="s">
        <v>50</v>
      </c>
      <c r="AA638" s="5">
        <v>0</v>
      </c>
      <c r="AB638" s="5">
        <v>0</v>
      </c>
      <c r="AC638" s="5">
        <v>0</v>
      </c>
      <c r="AD638" s="5">
        <v>0</v>
      </c>
      <c r="AE638" s="10" t="s">
        <v>50</v>
      </c>
      <c r="AF638" s="10"/>
      <c r="AG638" s="10" t="s">
        <v>333</v>
      </c>
      <c r="AH638" s="10" t="s">
        <v>50</v>
      </c>
      <c r="AI638" s="5">
        <v>3</v>
      </c>
      <c r="AJ638" s="10" t="s">
        <v>3652</v>
      </c>
      <c r="AK638" s="10" t="s">
        <v>3653</v>
      </c>
    </row>
    <row r="639" spans="1:37" ht="36.75" customHeight="1" x14ac:dyDescent="0.35">
      <c r="A639" s="5"/>
      <c r="B639" s="5" t="s">
        <v>37</v>
      </c>
      <c r="C639" s="73" t="str">
        <f t="shared" si="9"/>
        <v>Closed</v>
      </c>
      <c r="D639" s="45" t="s">
        <v>3654</v>
      </c>
      <c r="E639" s="54" t="s">
        <v>3655</v>
      </c>
      <c r="F639" s="5" t="s">
        <v>214</v>
      </c>
      <c r="G639" s="10">
        <f>DATE(2009,3,22)</f>
        <v>39894</v>
      </c>
      <c r="H639" s="35">
        <v>1.40625</v>
      </c>
      <c r="I639" s="5" t="s">
        <v>41</v>
      </c>
      <c r="J639" s="10" t="s">
        <v>3656</v>
      </c>
      <c r="K639" s="5" t="s">
        <v>216</v>
      </c>
      <c r="L639" s="5" t="s">
        <v>3657</v>
      </c>
      <c r="M639" s="5" t="s">
        <v>45</v>
      </c>
      <c r="N639" s="5">
        <v>0</v>
      </c>
      <c r="O639" s="5" t="s">
        <v>46</v>
      </c>
      <c r="P639" s="10" t="s">
        <v>47</v>
      </c>
      <c r="Q639" s="10" t="s">
        <v>3658</v>
      </c>
      <c r="R639" s="10" t="s">
        <v>219</v>
      </c>
      <c r="S639" s="5">
        <v>0</v>
      </c>
      <c r="T639" s="37" t="s">
        <v>50</v>
      </c>
      <c r="U639" s="5">
        <v>0</v>
      </c>
      <c r="V639" s="37" t="s">
        <v>50</v>
      </c>
      <c r="W639" s="5">
        <v>0</v>
      </c>
      <c r="X639" s="5">
        <v>0</v>
      </c>
      <c r="Y639" s="5">
        <v>0</v>
      </c>
      <c r="Z639" s="37" t="s">
        <v>50</v>
      </c>
      <c r="AA639" s="5">
        <v>0</v>
      </c>
      <c r="AB639" s="5">
        <v>0</v>
      </c>
      <c r="AC639" s="5">
        <v>0</v>
      </c>
      <c r="AD639" s="5">
        <v>0</v>
      </c>
      <c r="AE639" s="10" t="s">
        <v>50</v>
      </c>
      <c r="AF639" s="10"/>
      <c r="AG639" s="10" t="s">
        <v>114</v>
      </c>
      <c r="AH639" s="10" t="s">
        <v>50</v>
      </c>
      <c r="AI639" s="5">
        <v>6</v>
      </c>
      <c r="AJ639" s="10" t="s">
        <v>3659</v>
      </c>
      <c r="AK639" s="10" t="s">
        <v>3660</v>
      </c>
    </row>
    <row r="640" spans="1:37" ht="36.75" customHeight="1" x14ac:dyDescent="0.35">
      <c r="A640" s="5"/>
      <c r="B640" s="5" t="s">
        <v>37</v>
      </c>
      <c r="C640" s="73" t="str">
        <f t="shared" si="9"/>
        <v>Closed</v>
      </c>
      <c r="D640" s="45" t="s">
        <v>3661</v>
      </c>
      <c r="E640" s="54" t="s">
        <v>3662</v>
      </c>
      <c r="F640" s="5" t="s">
        <v>816</v>
      </c>
      <c r="G640" s="10">
        <f>DATE(2009,3,23)</f>
        <v>39895</v>
      </c>
      <c r="H640" s="35">
        <v>1.1666666666666667</v>
      </c>
      <c r="I640" s="5" t="s">
        <v>55</v>
      </c>
      <c r="J640" s="10" t="s">
        <v>3663</v>
      </c>
      <c r="K640" s="5" t="s">
        <v>818</v>
      </c>
      <c r="L640" s="5" t="s">
        <v>3664</v>
      </c>
      <c r="M640" s="5" t="s">
        <v>45</v>
      </c>
      <c r="N640" s="5">
        <v>0</v>
      </c>
      <c r="O640" s="5" t="s">
        <v>59</v>
      </c>
      <c r="P640" s="10" t="s">
        <v>60</v>
      </c>
      <c r="Q640" s="10" t="s">
        <v>1331</v>
      </c>
      <c r="R640" s="10" t="s">
        <v>821</v>
      </c>
      <c r="S640" s="5">
        <v>0</v>
      </c>
      <c r="T640" s="37" t="s">
        <v>50</v>
      </c>
      <c r="U640" s="5">
        <v>0</v>
      </c>
      <c r="V640" s="37" t="s">
        <v>50</v>
      </c>
      <c r="W640" s="5">
        <v>0</v>
      </c>
      <c r="X640" s="5">
        <v>0</v>
      </c>
      <c r="Y640" s="5">
        <v>0</v>
      </c>
      <c r="Z640" s="37" t="s">
        <v>50</v>
      </c>
      <c r="AA640" s="5">
        <v>0</v>
      </c>
      <c r="AB640" s="5">
        <v>0</v>
      </c>
      <c r="AC640" s="5">
        <v>0</v>
      </c>
      <c r="AD640" s="5">
        <v>0</v>
      </c>
      <c r="AE640" s="10" t="s">
        <v>50</v>
      </c>
      <c r="AF640" s="10"/>
      <c r="AG640" s="10" t="s">
        <v>333</v>
      </c>
      <c r="AH640" s="10" t="s">
        <v>50</v>
      </c>
      <c r="AI640" s="5">
        <v>0</v>
      </c>
      <c r="AJ640" s="10" t="s">
        <v>50</v>
      </c>
      <c r="AK640" s="10" t="s">
        <v>50</v>
      </c>
    </row>
    <row r="641" spans="1:37" ht="36.75" customHeight="1" x14ac:dyDescent="0.35">
      <c r="A641" s="5"/>
      <c r="B641" s="5" t="s">
        <v>37</v>
      </c>
      <c r="C641" s="73" t="str">
        <f t="shared" si="9"/>
        <v>Closed</v>
      </c>
      <c r="D641" s="45" t="s">
        <v>3665</v>
      </c>
      <c r="E641" s="54" t="s">
        <v>3666</v>
      </c>
      <c r="F641" s="5" t="s">
        <v>619</v>
      </c>
      <c r="G641" s="10">
        <f>DATE(2009,3,24)</f>
        <v>39896</v>
      </c>
      <c r="H641" s="35">
        <v>1.5902777777777777</v>
      </c>
      <c r="I641" s="5" t="s">
        <v>97</v>
      </c>
      <c r="J641" s="10" t="s">
        <v>3667</v>
      </c>
      <c r="K641" s="5" t="s">
        <v>621</v>
      </c>
      <c r="L641" s="5" t="s">
        <v>3668</v>
      </c>
      <c r="M641" s="5" t="s">
        <v>45</v>
      </c>
      <c r="N641" s="5">
        <v>0</v>
      </c>
      <c r="O641" s="5" t="s">
        <v>59</v>
      </c>
      <c r="P641" s="10" t="s">
        <v>146</v>
      </c>
      <c r="Q641" s="10" t="s">
        <v>623</v>
      </c>
      <c r="R641" s="10" t="s">
        <v>624</v>
      </c>
      <c r="S641" s="5">
        <v>0</v>
      </c>
      <c r="T641" s="37">
        <v>0</v>
      </c>
      <c r="U641" s="5">
        <v>1</v>
      </c>
      <c r="V641" s="37">
        <v>0</v>
      </c>
      <c r="W641" s="5">
        <v>0</v>
      </c>
      <c r="X641" s="5">
        <v>1</v>
      </c>
      <c r="Y641" s="5">
        <v>0</v>
      </c>
      <c r="Z641" s="37">
        <v>0</v>
      </c>
      <c r="AA641" s="5">
        <v>0</v>
      </c>
      <c r="AB641" s="5">
        <v>0</v>
      </c>
      <c r="AC641" s="5">
        <v>0</v>
      </c>
      <c r="AD641" s="5">
        <v>0</v>
      </c>
      <c r="AE641" s="10" t="s">
        <v>50</v>
      </c>
      <c r="AF641" s="10"/>
      <c r="AG641" s="10" t="s">
        <v>229</v>
      </c>
      <c r="AH641" s="10" t="s">
        <v>50</v>
      </c>
      <c r="AI641" s="5">
        <v>1</v>
      </c>
      <c r="AJ641" s="10" t="s">
        <v>50</v>
      </c>
      <c r="AK641" s="10" t="s">
        <v>50</v>
      </c>
    </row>
    <row r="642" spans="1:37" ht="36.75" customHeight="1" x14ac:dyDescent="0.35">
      <c r="A642" s="5"/>
      <c r="B642" s="5" t="s">
        <v>37</v>
      </c>
      <c r="C642" s="73" t="str">
        <f t="shared" ref="C642:C705" si="10">IF(B642="Notification","Open",IF(B642="Interim Statement","In progress","Closed"))</f>
        <v>Closed</v>
      </c>
      <c r="D642" s="45" t="s">
        <v>3669</v>
      </c>
      <c r="E642" s="54" t="s">
        <v>3670</v>
      </c>
      <c r="F642" s="5" t="s">
        <v>619</v>
      </c>
      <c r="G642" s="10">
        <f>DATE(2009,3,24)</f>
        <v>39896</v>
      </c>
      <c r="H642" s="35">
        <v>1.9340277777777777</v>
      </c>
      <c r="I642" s="5" t="s">
        <v>97</v>
      </c>
      <c r="J642" s="10" t="s">
        <v>3671</v>
      </c>
      <c r="K642" s="5" t="s">
        <v>621</v>
      </c>
      <c r="L642" s="5" t="s">
        <v>3672</v>
      </c>
      <c r="M642" s="5" t="s">
        <v>45</v>
      </c>
      <c r="N642" s="5">
        <v>0</v>
      </c>
      <c r="O642" s="5" t="s">
        <v>46</v>
      </c>
      <c r="P642" s="10" t="s">
        <v>146</v>
      </c>
      <c r="Q642" s="10" t="s">
        <v>623</v>
      </c>
      <c r="R642" s="10" t="s">
        <v>624</v>
      </c>
      <c r="S642" s="5">
        <v>0</v>
      </c>
      <c r="T642" s="37">
        <v>0</v>
      </c>
      <c r="U642" s="5">
        <v>1</v>
      </c>
      <c r="V642" s="37">
        <v>0</v>
      </c>
      <c r="W642" s="5">
        <v>0</v>
      </c>
      <c r="X642" s="5">
        <v>1</v>
      </c>
      <c r="Y642" s="5">
        <v>0</v>
      </c>
      <c r="Z642" s="37">
        <v>0</v>
      </c>
      <c r="AA642" s="5">
        <v>0</v>
      </c>
      <c r="AB642" s="5">
        <v>0</v>
      </c>
      <c r="AC642" s="5">
        <v>0</v>
      </c>
      <c r="AD642" s="5">
        <v>0</v>
      </c>
      <c r="AE642" s="10" t="s">
        <v>50</v>
      </c>
      <c r="AF642" s="10"/>
      <c r="AG642" s="10" t="s">
        <v>229</v>
      </c>
      <c r="AH642" s="10" t="s">
        <v>50</v>
      </c>
      <c r="AI642" s="5">
        <v>1</v>
      </c>
      <c r="AJ642" s="10" t="s">
        <v>3673</v>
      </c>
      <c r="AK642" s="10" t="s">
        <v>50</v>
      </c>
    </row>
    <row r="643" spans="1:37" ht="36.75" customHeight="1" x14ac:dyDescent="0.35">
      <c r="A643" s="5"/>
      <c r="B643" s="5" t="s">
        <v>37</v>
      </c>
      <c r="C643" s="73" t="str">
        <f t="shared" si="10"/>
        <v>Closed</v>
      </c>
      <c r="D643" s="45" t="s">
        <v>3674</v>
      </c>
      <c r="E643" s="54" t="s">
        <v>3675</v>
      </c>
      <c r="F643" s="5" t="s">
        <v>40</v>
      </c>
      <c r="G643" s="10">
        <f>DATE(2009,3,25)</f>
        <v>39897</v>
      </c>
      <c r="H643" s="35">
        <v>1.4465277777777779</v>
      </c>
      <c r="I643" s="5" t="s">
        <v>97</v>
      </c>
      <c r="J643" s="10" t="s">
        <v>3676</v>
      </c>
      <c r="K643" s="5" t="s">
        <v>43</v>
      </c>
      <c r="L643" s="5" t="s">
        <v>3677</v>
      </c>
      <c r="M643" s="5" t="s">
        <v>45</v>
      </c>
      <c r="N643" s="5" t="s">
        <v>80</v>
      </c>
      <c r="O643" s="5" t="s">
        <v>46</v>
      </c>
      <c r="P643" s="10" t="s">
        <v>60</v>
      </c>
      <c r="Q643" s="10" t="s">
        <v>48</v>
      </c>
      <c r="R643" s="10" t="s">
        <v>49</v>
      </c>
      <c r="S643" s="5">
        <v>0</v>
      </c>
      <c r="T643" s="37">
        <v>0</v>
      </c>
      <c r="U643" s="5">
        <v>1</v>
      </c>
      <c r="V643" s="37">
        <v>0</v>
      </c>
      <c r="W643" s="5">
        <v>0</v>
      </c>
      <c r="X643" s="5">
        <v>1</v>
      </c>
      <c r="Y643" s="5">
        <v>0</v>
      </c>
      <c r="Z643" s="37">
        <v>0</v>
      </c>
      <c r="AA643" s="5">
        <v>0</v>
      </c>
      <c r="AB643" s="5">
        <v>0</v>
      </c>
      <c r="AC643" s="5">
        <v>0</v>
      </c>
      <c r="AD643" s="5">
        <v>0</v>
      </c>
      <c r="AE643" s="10" t="s">
        <v>73</v>
      </c>
      <c r="AF643" s="10"/>
      <c r="AG643" s="10" t="s">
        <v>64</v>
      </c>
      <c r="AH643" s="10">
        <v>39904</v>
      </c>
      <c r="AI643" s="5">
        <v>1</v>
      </c>
      <c r="AJ643" s="10" t="s">
        <v>3678</v>
      </c>
      <c r="AK643" s="10" t="s">
        <v>50</v>
      </c>
    </row>
    <row r="644" spans="1:37" ht="36.75" customHeight="1" x14ac:dyDescent="0.35">
      <c r="A644" s="5"/>
      <c r="B644" s="5" t="s">
        <v>37</v>
      </c>
      <c r="C644" s="73" t="str">
        <f t="shared" si="10"/>
        <v>Closed</v>
      </c>
      <c r="D644" s="45" t="s">
        <v>3679</v>
      </c>
      <c r="E644" s="54" t="s">
        <v>3680</v>
      </c>
      <c r="F644" s="5" t="s">
        <v>214</v>
      </c>
      <c r="G644" s="10">
        <f>DATE(2009,3,27)</f>
        <v>39899</v>
      </c>
      <c r="H644" s="35">
        <v>1.7243055555555555</v>
      </c>
      <c r="I644" s="5" t="s">
        <v>85</v>
      </c>
      <c r="J644" s="10" t="s">
        <v>3681</v>
      </c>
      <c r="K644" s="5" t="s">
        <v>216</v>
      </c>
      <c r="L644" s="5" t="s">
        <v>3682</v>
      </c>
      <c r="M644" s="5" t="s">
        <v>110</v>
      </c>
      <c r="N644" s="5">
        <v>0</v>
      </c>
      <c r="O644" s="5" t="s">
        <v>46</v>
      </c>
      <c r="P644" s="10" t="s">
        <v>67</v>
      </c>
      <c r="Q644" s="10" t="s">
        <v>1941</v>
      </c>
      <c r="R644" s="10" t="s">
        <v>664</v>
      </c>
      <c r="S644" s="5">
        <v>0</v>
      </c>
      <c r="T644" s="37" t="s">
        <v>50</v>
      </c>
      <c r="U644" s="5">
        <v>0</v>
      </c>
      <c r="V644" s="37" t="s">
        <v>50</v>
      </c>
      <c r="W644" s="5">
        <v>0</v>
      </c>
      <c r="X644" s="5">
        <v>0</v>
      </c>
      <c r="Y644" s="5">
        <v>0</v>
      </c>
      <c r="Z644" s="37" t="s">
        <v>50</v>
      </c>
      <c r="AA644" s="5">
        <v>0</v>
      </c>
      <c r="AB644" s="5">
        <v>0</v>
      </c>
      <c r="AC644" s="5">
        <v>0</v>
      </c>
      <c r="AD644" s="5">
        <v>0</v>
      </c>
      <c r="AE644" s="10" t="s">
        <v>50</v>
      </c>
      <c r="AF644" s="10"/>
      <c r="AG644" s="10" t="s">
        <v>114</v>
      </c>
      <c r="AH644" s="10" t="s">
        <v>50</v>
      </c>
      <c r="AI644" s="5">
        <v>6</v>
      </c>
      <c r="AJ644" s="10" t="s">
        <v>3683</v>
      </c>
      <c r="AK644" s="10" t="s">
        <v>3684</v>
      </c>
    </row>
    <row r="645" spans="1:37" ht="36.75" customHeight="1" x14ac:dyDescent="0.35">
      <c r="A645" s="5"/>
      <c r="B645" s="5" t="s">
        <v>37</v>
      </c>
      <c r="C645" s="73" t="str">
        <f t="shared" si="10"/>
        <v>Closed</v>
      </c>
      <c r="D645" s="45" t="s">
        <v>3685</v>
      </c>
      <c r="E645" s="54" t="s">
        <v>3686</v>
      </c>
      <c r="F645" s="5" t="s">
        <v>1919</v>
      </c>
      <c r="G645" s="10">
        <f>DATE(2009,3,29)</f>
        <v>39901</v>
      </c>
      <c r="H645" s="35">
        <v>1.8541666666666665</v>
      </c>
      <c r="I645" s="5" t="s">
        <v>179</v>
      </c>
      <c r="J645" s="10" t="s">
        <v>3687</v>
      </c>
      <c r="K645" s="5" t="s">
        <v>1921</v>
      </c>
      <c r="L645" s="5" t="s">
        <v>3688</v>
      </c>
      <c r="M645" s="5" t="s">
        <v>45</v>
      </c>
      <c r="N645" s="5">
        <v>0</v>
      </c>
      <c r="O645" s="5" t="s">
        <v>59</v>
      </c>
      <c r="P645" s="10" t="s">
        <v>72</v>
      </c>
      <c r="Q645" s="10" t="s">
        <v>1923</v>
      </c>
      <c r="R645" s="10" t="s">
        <v>1923</v>
      </c>
      <c r="S645" s="5">
        <v>0</v>
      </c>
      <c r="T645" s="37" t="s">
        <v>50</v>
      </c>
      <c r="U645" s="5">
        <v>0</v>
      </c>
      <c r="V645" s="37" t="s">
        <v>50</v>
      </c>
      <c r="W645" s="5">
        <v>0</v>
      </c>
      <c r="X645" s="5">
        <v>0</v>
      </c>
      <c r="Y645" s="5">
        <v>0</v>
      </c>
      <c r="Z645" s="37" t="s">
        <v>50</v>
      </c>
      <c r="AA645" s="5">
        <v>0</v>
      </c>
      <c r="AB645" s="5">
        <v>0</v>
      </c>
      <c r="AC645" s="5">
        <v>0</v>
      </c>
      <c r="AD645" s="5">
        <v>0</v>
      </c>
      <c r="AE645" s="10" t="s">
        <v>50</v>
      </c>
      <c r="AF645" s="10"/>
      <c r="AG645" s="10" t="s">
        <v>114</v>
      </c>
      <c r="AH645" s="10" t="s">
        <v>50</v>
      </c>
      <c r="AI645" s="5">
        <v>2</v>
      </c>
      <c r="AJ645" s="10" t="s">
        <v>3689</v>
      </c>
      <c r="AK645" s="10" t="s">
        <v>3690</v>
      </c>
    </row>
    <row r="646" spans="1:37" ht="36.75" customHeight="1" x14ac:dyDescent="0.35">
      <c r="A646" s="5"/>
      <c r="B646" s="5" t="s">
        <v>37</v>
      </c>
      <c r="C646" s="73" t="str">
        <f t="shared" si="10"/>
        <v>Closed</v>
      </c>
      <c r="D646" s="45" t="s">
        <v>3691</v>
      </c>
      <c r="E646" s="54" t="s">
        <v>3692</v>
      </c>
      <c r="F646" s="5" t="s">
        <v>3128</v>
      </c>
      <c r="G646" s="10">
        <f>DATE(2009,3,29)</f>
        <v>39901</v>
      </c>
      <c r="H646" s="35">
        <v>1.2291666666666667</v>
      </c>
      <c r="I646" s="5" t="s">
        <v>97</v>
      </c>
      <c r="J646" s="10" t="s">
        <v>3693</v>
      </c>
      <c r="K646" s="5" t="s">
        <v>3130</v>
      </c>
      <c r="L646" s="5" t="s">
        <v>3694</v>
      </c>
      <c r="M646" s="5" t="s">
        <v>45</v>
      </c>
      <c r="N646" s="5">
        <v>0</v>
      </c>
      <c r="O646" s="5" t="s">
        <v>46</v>
      </c>
      <c r="P646" s="10" t="s">
        <v>146</v>
      </c>
      <c r="Q646" s="10" t="s">
        <v>3132</v>
      </c>
      <c r="R646" s="10" t="s">
        <v>3133</v>
      </c>
      <c r="S646" s="5">
        <v>0</v>
      </c>
      <c r="T646" s="37">
        <v>0</v>
      </c>
      <c r="U646" s="5">
        <v>2</v>
      </c>
      <c r="V646" s="37">
        <v>0</v>
      </c>
      <c r="W646" s="5">
        <v>0</v>
      </c>
      <c r="X646" s="5">
        <v>2</v>
      </c>
      <c r="Y646" s="5">
        <v>0</v>
      </c>
      <c r="Z646" s="37">
        <v>0</v>
      </c>
      <c r="AA646" s="5">
        <v>0</v>
      </c>
      <c r="AB646" s="5">
        <v>0</v>
      </c>
      <c r="AC646" s="5">
        <v>0</v>
      </c>
      <c r="AD646" s="5">
        <v>0</v>
      </c>
      <c r="AE646" s="10" t="s">
        <v>50</v>
      </c>
      <c r="AF646" s="10"/>
      <c r="AG646" s="10" t="s">
        <v>114</v>
      </c>
      <c r="AH646" s="10" t="s">
        <v>50</v>
      </c>
      <c r="AI646" s="5">
        <v>3</v>
      </c>
      <c r="AJ646" s="10" t="s">
        <v>50</v>
      </c>
      <c r="AK646" s="10" t="s">
        <v>50</v>
      </c>
    </row>
    <row r="647" spans="1:37" ht="36.75" customHeight="1" x14ac:dyDescent="0.35">
      <c r="A647" s="5"/>
      <c r="B647" s="5" t="s">
        <v>37</v>
      </c>
      <c r="C647" s="73" t="str">
        <f t="shared" si="10"/>
        <v>Closed</v>
      </c>
      <c r="D647" s="45" t="s">
        <v>3695</v>
      </c>
      <c r="E647" s="54" t="s">
        <v>3696</v>
      </c>
      <c r="F647" s="5" t="s">
        <v>214</v>
      </c>
      <c r="G647" s="10">
        <f>DATE(2009,3,30)</f>
        <v>39902</v>
      </c>
      <c r="H647" s="35">
        <v>1.5451388888888888</v>
      </c>
      <c r="I647" s="5" t="s">
        <v>259</v>
      </c>
      <c r="J647" s="10" t="s">
        <v>3697</v>
      </c>
      <c r="K647" s="5" t="s">
        <v>216</v>
      </c>
      <c r="L647" s="5" t="s">
        <v>3698</v>
      </c>
      <c r="M647" s="5" t="s">
        <v>45</v>
      </c>
      <c r="N647" s="5">
        <v>0</v>
      </c>
      <c r="O647" s="5" t="s">
        <v>46</v>
      </c>
      <c r="P647" s="10" t="s">
        <v>146</v>
      </c>
      <c r="Q647" s="10" t="s">
        <v>3699</v>
      </c>
      <c r="R647" s="10" t="s">
        <v>219</v>
      </c>
      <c r="S647" s="5">
        <v>0</v>
      </c>
      <c r="T647" s="37" t="s">
        <v>50</v>
      </c>
      <c r="U647" s="5">
        <v>0</v>
      </c>
      <c r="V647" s="37" t="s">
        <v>50</v>
      </c>
      <c r="W647" s="5">
        <v>0</v>
      </c>
      <c r="X647" s="5">
        <v>0</v>
      </c>
      <c r="Y647" s="5">
        <v>0</v>
      </c>
      <c r="Z647" s="37" t="s">
        <v>50</v>
      </c>
      <c r="AA647" s="5">
        <v>0</v>
      </c>
      <c r="AB647" s="5">
        <v>0</v>
      </c>
      <c r="AC647" s="5">
        <v>0</v>
      </c>
      <c r="AD647" s="5">
        <v>0</v>
      </c>
      <c r="AE647" s="10" t="s">
        <v>50</v>
      </c>
      <c r="AF647" s="10"/>
      <c r="AG647" s="10" t="s">
        <v>114</v>
      </c>
      <c r="AH647" s="10" t="s">
        <v>50</v>
      </c>
      <c r="AI647" s="5">
        <v>3</v>
      </c>
      <c r="AJ647" s="10" t="s">
        <v>3700</v>
      </c>
      <c r="AK647" s="10" t="s">
        <v>3701</v>
      </c>
    </row>
    <row r="648" spans="1:37" ht="36.75" customHeight="1" x14ac:dyDescent="0.35">
      <c r="A648" s="5"/>
      <c r="B648" s="5" t="s">
        <v>37</v>
      </c>
      <c r="C648" s="73" t="str">
        <f t="shared" si="10"/>
        <v>Closed</v>
      </c>
      <c r="D648" s="45" t="s">
        <v>3702</v>
      </c>
      <c r="E648" s="54" t="s">
        <v>3703</v>
      </c>
      <c r="F648" s="5" t="s">
        <v>404</v>
      </c>
      <c r="G648" s="10">
        <f>DATE(2009,4,1)</f>
        <v>39904</v>
      </c>
      <c r="H648" s="35">
        <v>1.2930555555555556</v>
      </c>
      <c r="I648" s="5" t="s">
        <v>55</v>
      </c>
      <c r="J648" s="10" t="s">
        <v>3704</v>
      </c>
      <c r="K648" s="5" t="s">
        <v>406</v>
      </c>
      <c r="L648" s="5" t="s">
        <v>3705</v>
      </c>
      <c r="M648" s="5" t="s">
        <v>45</v>
      </c>
      <c r="N648" s="5">
        <v>0</v>
      </c>
      <c r="O648" s="5" t="s">
        <v>59</v>
      </c>
      <c r="P648" s="10" t="s">
        <v>72</v>
      </c>
      <c r="Q648" s="10" t="s">
        <v>408</v>
      </c>
      <c r="R648" s="10" t="s">
        <v>3083</v>
      </c>
      <c r="S648" s="5">
        <v>0</v>
      </c>
      <c r="T648" s="37" t="s">
        <v>50</v>
      </c>
      <c r="U648" s="5">
        <v>0</v>
      </c>
      <c r="V648" s="37" t="s">
        <v>50</v>
      </c>
      <c r="W648" s="5">
        <v>0</v>
      </c>
      <c r="X648" s="5">
        <v>0</v>
      </c>
      <c r="Y648" s="5">
        <v>0</v>
      </c>
      <c r="Z648" s="37" t="s">
        <v>50</v>
      </c>
      <c r="AA648" s="5">
        <v>0</v>
      </c>
      <c r="AB648" s="5">
        <v>0</v>
      </c>
      <c r="AC648" s="5">
        <v>0</v>
      </c>
      <c r="AD648" s="5">
        <v>0</v>
      </c>
      <c r="AE648" s="10" t="s">
        <v>50</v>
      </c>
      <c r="AF648" s="10"/>
      <c r="AG648" s="10" t="s">
        <v>855</v>
      </c>
      <c r="AH648" s="10" t="s">
        <v>50</v>
      </c>
      <c r="AI648" s="5">
        <v>1</v>
      </c>
      <c r="AJ648" s="10" t="s">
        <v>3706</v>
      </c>
      <c r="AK648" s="10" t="s">
        <v>3707</v>
      </c>
    </row>
    <row r="649" spans="1:37" ht="36.75" customHeight="1" x14ac:dyDescent="0.35">
      <c r="A649" s="5"/>
      <c r="B649" s="5" t="s">
        <v>37</v>
      </c>
      <c r="C649" s="73" t="str">
        <f t="shared" si="10"/>
        <v>Closed</v>
      </c>
      <c r="D649" s="45" t="s">
        <v>3708</v>
      </c>
      <c r="E649" s="54" t="s">
        <v>3709</v>
      </c>
      <c r="F649" s="5" t="s">
        <v>2316</v>
      </c>
      <c r="G649" s="10">
        <f>DATE(2009,4,6)</f>
        <v>39909</v>
      </c>
      <c r="H649" s="35">
        <v>1.6180555555555556</v>
      </c>
      <c r="I649" s="5" t="s">
        <v>97</v>
      </c>
      <c r="J649" s="10" t="s">
        <v>3710</v>
      </c>
      <c r="K649" s="5" t="s">
        <v>2318</v>
      </c>
      <c r="L649" s="5" t="s">
        <v>3711</v>
      </c>
      <c r="M649" s="5" t="s">
        <v>45</v>
      </c>
      <c r="N649" s="5">
        <v>0</v>
      </c>
      <c r="O649" s="5" t="s">
        <v>46</v>
      </c>
      <c r="P649" s="10" t="s">
        <v>146</v>
      </c>
      <c r="Q649" s="10" t="s">
        <v>3712</v>
      </c>
      <c r="R649" s="10" t="s">
        <v>2321</v>
      </c>
      <c r="S649" s="5">
        <v>1</v>
      </c>
      <c r="T649" s="37">
        <v>0</v>
      </c>
      <c r="U649" s="5">
        <v>1</v>
      </c>
      <c r="V649" s="37">
        <v>0</v>
      </c>
      <c r="W649" s="5">
        <v>0</v>
      </c>
      <c r="X649" s="5">
        <v>2</v>
      </c>
      <c r="Y649" s="5">
        <v>18</v>
      </c>
      <c r="Z649" s="37">
        <v>4</v>
      </c>
      <c r="AA649" s="5">
        <v>0</v>
      </c>
      <c r="AB649" s="5">
        <v>0</v>
      </c>
      <c r="AC649" s="5">
        <v>0</v>
      </c>
      <c r="AD649" s="5">
        <v>22</v>
      </c>
      <c r="AE649" s="10" t="s">
        <v>50</v>
      </c>
      <c r="AF649" s="10"/>
      <c r="AG649" s="10" t="s">
        <v>64</v>
      </c>
      <c r="AH649" s="10" t="s">
        <v>50</v>
      </c>
      <c r="AI649" s="5">
        <v>5</v>
      </c>
      <c r="AJ649" s="10" t="s">
        <v>3713</v>
      </c>
      <c r="AK649" s="10" t="s">
        <v>3714</v>
      </c>
    </row>
    <row r="650" spans="1:37" ht="36.75" customHeight="1" x14ac:dyDescent="0.35">
      <c r="A650" s="5"/>
      <c r="B650" s="5" t="s">
        <v>37</v>
      </c>
      <c r="C650" s="73" t="str">
        <f t="shared" si="10"/>
        <v>Closed</v>
      </c>
      <c r="D650" s="45" t="s">
        <v>3715</v>
      </c>
      <c r="E650" s="54" t="s">
        <v>3716</v>
      </c>
      <c r="F650" s="5" t="s">
        <v>3128</v>
      </c>
      <c r="G650" s="10">
        <f>DATE(2009,4,6)</f>
        <v>39909</v>
      </c>
      <c r="H650" s="35">
        <v>1.5125000000000002</v>
      </c>
      <c r="I650" s="5" t="s">
        <v>97</v>
      </c>
      <c r="J650" s="10" t="s">
        <v>3717</v>
      </c>
      <c r="K650" s="5" t="s">
        <v>3130</v>
      </c>
      <c r="L650" s="5" t="s">
        <v>3718</v>
      </c>
      <c r="M650" s="5" t="s">
        <v>45</v>
      </c>
      <c r="N650" s="5">
        <v>0</v>
      </c>
      <c r="O650" s="5" t="s">
        <v>46</v>
      </c>
      <c r="P650" s="10" t="s">
        <v>146</v>
      </c>
      <c r="Q650" s="10" t="s">
        <v>3132</v>
      </c>
      <c r="R650" s="10" t="s">
        <v>3133</v>
      </c>
      <c r="S650" s="5">
        <v>0</v>
      </c>
      <c r="T650" s="37">
        <v>0</v>
      </c>
      <c r="U650" s="5">
        <v>2</v>
      </c>
      <c r="V650" s="37">
        <v>0</v>
      </c>
      <c r="W650" s="5">
        <v>0</v>
      </c>
      <c r="X650" s="5">
        <v>2</v>
      </c>
      <c r="Y650" s="5">
        <v>0</v>
      </c>
      <c r="Z650" s="37">
        <v>0</v>
      </c>
      <c r="AA650" s="5">
        <v>0</v>
      </c>
      <c r="AB650" s="5">
        <v>0</v>
      </c>
      <c r="AC650" s="5">
        <v>0</v>
      </c>
      <c r="AD650" s="5">
        <v>0</v>
      </c>
      <c r="AE650" s="10" t="s">
        <v>50</v>
      </c>
      <c r="AF650" s="10"/>
      <c r="AG650" s="10" t="s">
        <v>114</v>
      </c>
      <c r="AH650" s="10" t="s">
        <v>50</v>
      </c>
      <c r="AI650" s="5">
        <v>1</v>
      </c>
      <c r="AJ650" s="10" t="s">
        <v>50</v>
      </c>
      <c r="AK650" s="10" t="s">
        <v>50</v>
      </c>
    </row>
    <row r="651" spans="1:37" ht="36.75" customHeight="1" x14ac:dyDescent="0.35">
      <c r="A651" s="5"/>
      <c r="B651" s="5" t="s">
        <v>37</v>
      </c>
      <c r="C651" s="73" t="str">
        <f t="shared" si="10"/>
        <v>Closed</v>
      </c>
      <c r="D651" s="45" t="s">
        <v>3719</v>
      </c>
      <c r="E651" s="54" t="s">
        <v>3720</v>
      </c>
      <c r="F651" s="5" t="s">
        <v>619</v>
      </c>
      <c r="G651" s="10">
        <f>DATE(2009,4,7)</f>
        <v>39910</v>
      </c>
      <c r="H651" s="35">
        <v>1.8361111111111112</v>
      </c>
      <c r="I651" s="5" t="s">
        <v>259</v>
      </c>
      <c r="J651" s="10" t="s">
        <v>3721</v>
      </c>
      <c r="K651" s="5" t="s">
        <v>621</v>
      </c>
      <c r="L651" s="5" t="s">
        <v>3722</v>
      </c>
      <c r="M651" s="5" t="s">
        <v>45</v>
      </c>
      <c r="N651" s="5">
        <v>0</v>
      </c>
      <c r="O651" s="5" t="s">
        <v>59</v>
      </c>
      <c r="P651" s="10" t="s">
        <v>47</v>
      </c>
      <c r="Q651" s="10" t="s">
        <v>623</v>
      </c>
      <c r="R651" s="10" t="s">
        <v>624</v>
      </c>
      <c r="S651" s="5">
        <v>0</v>
      </c>
      <c r="T651" s="37">
        <v>0</v>
      </c>
      <c r="U651" s="5">
        <v>0</v>
      </c>
      <c r="V651" s="37">
        <v>0</v>
      </c>
      <c r="W651" s="5">
        <v>1</v>
      </c>
      <c r="X651" s="5">
        <v>1</v>
      </c>
      <c r="Y651" s="5">
        <v>0</v>
      </c>
      <c r="Z651" s="37">
        <v>0</v>
      </c>
      <c r="AA651" s="5">
        <v>0</v>
      </c>
      <c r="AB651" s="5">
        <v>0</v>
      </c>
      <c r="AC651" s="5">
        <v>0</v>
      </c>
      <c r="AD651" s="5">
        <v>0</v>
      </c>
      <c r="AE651" s="10" t="s">
        <v>50</v>
      </c>
      <c r="AF651" s="10"/>
      <c r="AG651" s="10" t="s">
        <v>229</v>
      </c>
      <c r="AH651" s="10" t="s">
        <v>50</v>
      </c>
      <c r="AI651" s="5">
        <v>0</v>
      </c>
      <c r="AJ651" s="10" t="s">
        <v>3723</v>
      </c>
      <c r="AK651" s="10" t="s">
        <v>50</v>
      </c>
    </row>
    <row r="652" spans="1:37" ht="36.75" customHeight="1" x14ac:dyDescent="0.35">
      <c r="A652" s="5"/>
      <c r="B652" s="5" t="s">
        <v>37</v>
      </c>
      <c r="C652" s="73" t="str">
        <f t="shared" si="10"/>
        <v>Closed</v>
      </c>
      <c r="D652" s="45" t="s">
        <v>3724</v>
      </c>
      <c r="E652" s="54" t="s">
        <v>3725</v>
      </c>
      <c r="F652" s="5" t="s">
        <v>178</v>
      </c>
      <c r="G652" s="10">
        <f>DATE(2009,4,8)</f>
        <v>39911</v>
      </c>
      <c r="H652" s="35">
        <v>1.6319444444444444</v>
      </c>
      <c r="I652" s="5" t="s">
        <v>55</v>
      </c>
      <c r="J652" s="10" t="s">
        <v>3726</v>
      </c>
      <c r="K652" s="5" t="s">
        <v>181</v>
      </c>
      <c r="L652" s="5" t="s">
        <v>3727</v>
      </c>
      <c r="M652" s="5" t="s">
        <v>45</v>
      </c>
      <c r="N652" s="5">
        <v>0</v>
      </c>
      <c r="O652" s="5" t="s">
        <v>46</v>
      </c>
      <c r="P652" s="10" t="s">
        <v>60</v>
      </c>
      <c r="Q652" s="10" t="s">
        <v>1697</v>
      </c>
      <c r="R652" s="10" t="s">
        <v>184</v>
      </c>
      <c r="S652" s="5">
        <v>0</v>
      </c>
      <c r="T652" s="37" t="s">
        <v>50</v>
      </c>
      <c r="U652" s="5">
        <v>0</v>
      </c>
      <c r="V652" s="37" t="s">
        <v>50</v>
      </c>
      <c r="W652" s="5">
        <v>0</v>
      </c>
      <c r="X652" s="5">
        <v>0</v>
      </c>
      <c r="Y652" s="5">
        <v>0</v>
      </c>
      <c r="Z652" s="37" t="s">
        <v>50</v>
      </c>
      <c r="AA652" s="5">
        <v>0</v>
      </c>
      <c r="AB652" s="5">
        <v>0</v>
      </c>
      <c r="AC652" s="5">
        <v>0</v>
      </c>
      <c r="AD652" s="5">
        <v>0</v>
      </c>
      <c r="AE652" s="10" t="s">
        <v>50</v>
      </c>
      <c r="AF652" s="10"/>
      <c r="AG652" s="10" t="s">
        <v>333</v>
      </c>
      <c r="AH652" s="10" t="s">
        <v>50</v>
      </c>
      <c r="AI652" s="5">
        <v>10</v>
      </c>
      <c r="AJ652" s="10" t="s">
        <v>3728</v>
      </c>
      <c r="AK652" s="10" t="s">
        <v>3729</v>
      </c>
    </row>
    <row r="653" spans="1:37" ht="36.75" customHeight="1" x14ac:dyDescent="0.35">
      <c r="A653" s="5"/>
      <c r="B653" s="5" t="s">
        <v>37</v>
      </c>
      <c r="C653" s="73" t="str">
        <f t="shared" si="10"/>
        <v>Closed</v>
      </c>
      <c r="D653" s="45" t="s">
        <v>3730</v>
      </c>
      <c r="E653" s="54" t="s">
        <v>3731</v>
      </c>
      <c r="F653" s="5" t="s">
        <v>178</v>
      </c>
      <c r="G653" s="10">
        <f>DATE(2009,4,9)</f>
        <v>39912</v>
      </c>
      <c r="H653" s="35">
        <v>1.2868055555555555</v>
      </c>
      <c r="I653" s="5" t="s">
        <v>55</v>
      </c>
      <c r="J653" s="10" t="s">
        <v>3732</v>
      </c>
      <c r="K653" s="5" t="s">
        <v>181</v>
      </c>
      <c r="L653" s="5" t="s">
        <v>3733</v>
      </c>
      <c r="M653" s="5" t="s">
        <v>45</v>
      </c>
      <c r="N653" s="5">
        <v>0</v>
      </c>
      <c r="O653" s="5" t="s">
        <v>59</v>
      </c>
      <c r="P653" s="10" t="s">
        <v>60</v>
      </c>
      <c r="Q653" s="10" t="s">
        <v>1697</v>
      </c>
      <c r="R653" s="10" t="s">
        <v>184</v>
      </c>
      <c r="S653" s="5">
        <v>0</v>
      </c>
      <c r="T653" s="37" t="s">
        <v>50</v>
      </c>
      <c r="U653" s="5">
        <v>0</v>
      </c>
      <c r="V653" s="37" t="s">
        <v>50</v>
      </c>
      <c r="W653" s="5">
        <v>0</v>
      </c>
      <c r="X653" s="5">
        <v>0</v>
      </c>
      <c r="Y653" s="5">
        <v>0</v>
      </c>
      <c r="Z653" s="37" t="s">
        <v>50</v>
      </c>
      <c r="AA653" s="5">
        <v>0</v>
      </c>
      <c r="AB653" s="5">
        <v>0</v>
      </c>
      <c r="AC653" s="5">
        <v>0</v>
      </c>
      <c r="AD653" s="5">
        <v>0</v>
      </c>
      <c r="AE653" s="10" t="s">
        <v>50</v>
      </c>
      <c r="AF653" s="10"/>
      <c r="AG653" s="10" t="s">
        <v>64</v>
      </c>
      <c r="AH653" s="10" t="s">
        <v>50</v>
      </c>
      <c r="AI653" s="5">
        <v>0</v>
      </c>
      <c r="AJ653" s="10" t="s">
        <v>50</v>
      </c>
      <c r="AK653" s="10" t="s">
        <v>3734</v>
      </c>
    </row>
    <row r="654" spans="1:37" ht="36.75" customHeight="1" x14ac:dyDescent="0.35">
      <c r="A654" s="5"/>
      <c r="B654" s="5" t="s">
        <v>37</v>
      </c>
      <c r="C654" s="73" t="str">
        <f t="shared" si="10"/>
        <v>Closed</v>
      </c>
      <c r="D654" s="45" t="s">
        <v>3735</v>
      </c>
      <c r="E654" s="54" t="s">
        <v>3736</v>
      </c>
      <c r="F654" s="5" t="s">
        <v>816</v>
      </c>
      <c r="G654" s="10">
        <f>DATE(2009,4,14)</f>
        <v>39917</v>
      </c>
      <c r="H654" s="35">
        <v>1.5534722222222221</v>
      </c>
      <c r="I654" s="5" t="s">
        <v>85</v>
      </c>
      <c r="J654" s="10" t="s">
        <v>3737</v>
      </c>
      <c r="K654" s="5" t="s">
        <v>818</v>
      </c>
      <c r="L654" s="5" t="s">
        <v>3738</v>
      </c>
      <c r="M654" s="5" t="s">
        <v>45</v>
      </c>
      <c r="N654" s="5">
        <v>0</v>
      </c>
      <c r="O654" s="5" t="s">
        <v>59</v>
      </c>
      <c r="P654" s="10" t="s">
        <v>47</v>
      </c>
      <c r="Q654" s="10" t="s">
        <v>2142</v>
      </c>
      <c r="R654" s="10" t="s">
        <v>821</v>
      </c>
      <c r="S654" s="5">
        <v>0</v>
      </c>
      <c r="T654" s="37" t="s">
        <v>50</v>
      </c>
      <c r="U654" s="5">
        <v>0</v>
      </c>
      <c r="V654" s="37" t="s">
        <v>50</v>
      </c>
      <c r="W654" s="5">
        <v>0</v>
      </c>
      <c r="X654" s="5">
        <v>0</v>
      </c>
      <c r="Y654" s="5">
        <v>0</v>
      </c>
      <c r="Z654" s="37" t="s">
        <v>50</v>
      </c>
      <c r="AA654" s="5">
        <v>0</v>
      </c>
      <c r="AB654" s="5">
        <v>0</v>
      </c>
      <c r="AC654" s="5">
        <v>0</v>
      </c>
      <c r="AD654" s="5">
        <v>0</v>
      </c>
      <c r="AE654" s="10" t="s">
        <v>50</v>
      </c>
      <c r="AF654" s="10"/>
      <c r="AG654" s="10" t="s">
        <v>333</v>
      </c>
      <c r="AH654" s="10" t="s">
        <v>50</v>
      </c>
      <c r="AI654" s="5">
        <v>4</v>
      </c>
      <c r="AJ654" s="10" t="s">
        <v>50</v>
      </c>
      <c r="AK654" s="10" t="s">
        <v>50</v>
      </c>
    </row>
    <row r="655" spans="1:37" ht="36.75" customHeight="1" x14ac:dyDescent="0.35">
      <c r="A655" s="5"/>
      <c r="B655" s="5" t="s">
        <v>37</v>
      </c>
      <c r="C655" s="73" t="str">
        <f t="shared" si="10"/>
        <v>Closed</v>
      </c>
      <c r="D655" s="45" t="s">
        <v>3739</v>
      </c>
      <c r="E655" s="54" t="s">
        <v>3740</v>
      </c>
      <c r="F655" s="5" t="s">
        <v>3128</v>
      </c>
      <c r="G655" s="10">
        <f>DATE(2009,4,15)</f>
        <v>39918</v>
      </c>
      <c r="H655" s="35">
        <v>1.39375</v>
      </c>
      <c r="I655" s="5" t="s">
        <v>259</v>
      </c>
      <c r="J655" s="10" t="s">
        <v>3741</v>
      </c>
      <c r="K655" s="5" t="s">
        <v>3130</v>
      </c>
      <c r="L655" s="5" t="s">
        <v>3742</v>
      </c>
      <c r="M655" s="5" t="s">
        <v>45</v>
      </c>
      <c r="N655" s="5">
        <v>0</v>
      </c>
      <c r="O655" s="5" t="s">
        <v>46</v>
      </c>
      <c r="P655" s="10" t="s">
        <v>60</v>
      </c>
      <c r="Q655" s="10" t="s">
        <v>3132</v>
      </c>
      <c r="R655" s="10" t="s">
        <v>3133</v>
      </c>
      <c r="S655" s="5">
        <v>0</v>
      </c>
      <c r="T655" s="37">
        <v>1</v>
      </c>
      <c r="U655" s="5">
        <v>0</v>
      </c>
      <c r="V655" s="37">
        <v>0</v>
      </c>
      <c r="W655" s="5">
        <v>0</v>
      </c>
      <c r="X655" s="5">
        <v>1</v>
      </c>
      <c r="Y655" s="5">
        <v>0</v>
      </c>
      <c r="Z655" s="37">
        <v>0</v>
      </c>
      <c r="AA655" s="5">
        <v>0</v>
      </c>
      <c r="AB655" s="5">
        <v>0</v>
      </c>
      <c r="AC655" s="5">
        <v>0</v>
      </c>
      <c r="AD655" s="5">
        <v>0</v>
      </c>
      <c r="AE655" s="10" t="s">
        <v>50</v>
      </c>
      <c r="AF655" s="10"/>
      <c r="AG655" s="10" t="s">
        <v>1489</v>
      </c>
      <c r="AH655" s="10" t="s">
        <v>50</v>
      </c>
      <c r="AI655" s="5">
        <v>1</v>
      </c>
      <c r="AJ655" s="10" t="s">
        <v>50</v>
      </c>
      <c r="AK655" s="10" t="s">
        <v>50</v>
      </c>
    </row>
    <row r="656" spans="1:37" ht="36.75" customHeight="1" x14ac:dyDescent="0.35">
      <c r="A656" s="5"/>
      <c r="B656" s="5" t="s">
        <v>37</v>
      </c>
      <c r="C656" s="73" t="str">
        <f t="shared" si="10"/>
        <v>Closed</v>
      </c>
      <c r="D656" s="45" t="s">
        <v>3743</v>
      </c>
      <c r="E656" s="54" t="s">
        <v>3744</v>
      </c>
      <c r="F656" s="5" t="s">
        <v>563</v>
      </c>
      <c r="G656" s="10">
        <f>DATE(2009,4,16)</f>
        <v>39919</v>
      </c>
      <c r="H656" s="35">
        <v>1.9277777777777776</v>
      </c>
      <c r="I656" s="5" t="s">
        <v>179</v>
      </c>
      <c r="J656" s="10" t="s">
        <v>3745</v>
      </c>
      <c r="K656" s="5" t="s">
        <v>565</v>
      </c>
      <c r="L656" s="5" t="s">
        <v>3746</v>
      </c>
      <c r="M656" s="5" t="s">
        <v>45</v>
      </c>
      <c r="N656" s="5">
        <v>0</v>
      </c>
      <c r="O656" s="5" t="s">
        <v>59</v>
      </c>
      <c r="P656" s="10" t="s">
        <v>197</v>
      </c>
      <c r="Q656" s="10" t="s">
        <v>3747</v>
      </c>
      <c r="R656" s="10" t="s">
        <v>568</v>
      </c>
      <c r="S656" s="5">
        <v>0</v>
      </c>
      <c r="T656" s="37">
        <v>0</v>
      </c>
      <c r="U656" s="5">
        <v>0</v>
      </c>
      <c r="V656" s="37">
        <v>0</v>
      </c>
      <c r="W656" s="5">
        <v>0</v>
      </c>
      <c r="X656" s="5">
        <v>0</v>
      </c>
      <c r="Y656" s="5">
        <v>0</v>
      </c>
      <c r="Z656" s="37">
        <v>1</v>
      </c>
      <c r="AA656" s="5">
        <v>0</v>
      </c>
      <c r="AB656" s="5">
        <v>0</v>
      </c>
      <c r="AC656" s="5">
        <v>0</v>
      </c>
      <c r="AD656" s="5">
        <v>1</v>
      </c>
      <c r="AE656" s="10" t="s">
        <v>50</v>
      </c>
      <c r="AF656" s="10"/>
      <c r="AG656" s="10" t="s">
        <v>114</v>
      </c>
      <c r="AH656" s="10" t="s">
        <v>50</v>
      </c>
      <c r="AI656" s="5">
        <v>3</v>
      </c>
      <c r="AJ656" s="10" t="s">
        <v>50</v>
      </c>
      <c r="AK656" s="10" t="s">
        <v>50</v>
      </c>
    </row>
    <row r="657" spans="1:37" ht="36.75" customHeight="1" x14ac:dyDescent="0.35">
      <c r="A657" s="5"/>
      <c r="B657" s="5" t="s">
        <v>37</v>
      </c>
      <c r="C657" s="73" t="str">
        <f t="shared" si="10"/>
        <v>Closed</v>
      </c>
      <c r="D657" s="45" t="s">
        <v>3748</v>
      </c>
      <c r="E657" s="54" t="s">
        <v>3749</v>
      </c>
      <c r="F657" s="5" t="s">
        <v>619</v>
      </c>
      <c r="G657" s="10">
        <f>DATE(2009,4,17)</f>
        <v>39920</v>
      </c>
      <c r="H657" s="35">
        <v>1.8069444444444445</v>
      </c>
      <c r="I657" s="5" t="s">
        <v>85</v>
      </c>
      <c r="J657" s="10" t="s">
        <v>3750</v>
      </c>
      <c r="K657" s="5" t="s">
        <v>621</v>
      </c>
      <c r="L657" s="5" t="s">
        <v>3751</v>
      </c>
      <c r="M657" s="5" t="s">
        <v>45</v>
      </c>
      <c r="N657" s="5">
        <v>0</v>
      </c>
      <c r="O657" s="5" t="s">
        <v>59</v>
      </c>
      <c r="P657" s="10" t="s">
        <v>146</v>
      </c>
      <c r="Q657" s="10" t="s">
        <v>623</v>
      </c>
      <c r="R657" s="10" t="s">
        <v>624</v>
      </c>
      <c r="S657" s="5">
        <v>0</v>
      </c>
      <c r="T657" s="37" t="s">
        <v>50</v>
      </c>
      <c r="U657" s="5">
        <v>0</v>
      </c>
      <c r="V657" s="37" t="s">
        <v>50</v>
      </c>
      <c r="W657" s="5">
        <v>0</v>
      </c>
      <c r="X657" s="5">
        <v>0</v>
      </c>
      <c r="Y657" s="5">
        <v>0</v>
      </c>
      <c r="Z657" s="37" t="s">
        <v>50</v>
      </c>
      <c r="AA657" s="5">
        <v>0</v>
      </c>
      <c r="AB657" s="5">
        <v>0</v>
      </c>
      <c r="AC657" s="5">
        <v>0</v>
      </c>
      <c r="AD657" s="5">
        <v>0</v>
      </c>
      <c r="AE657" s="10" t="s">
        <v>50</v>
      </c>
      <c r="AF657" s="10"/>
      <c r="AG657" s="10" t="s">
        <v>333</v>
      </c>
      <c r="AH657" s="10" t="s">
        <v>50</v>
      </c>
      <c r="AI657" s="5">
        <v>1</v>
      </c>
      <c r="AJ657" s="10" t="s">
        <v>3752</v>
      </c>
      <c r="AK657" s="10" t="s">
        <v>50</v>
      </c>
    </row>
    <row r="658" spans="1:37" ht="36.75" customHeight="1" x14ac:dyDescent="0.35">
      <c r="A658" s="5"/>
      <c r="B658" s="5" t="s">
        <v>37</v>
      </c>
      <c r="C658" s="73" t="str">
        <f t="shared" si="10"/>
        <v>Closed</v>
      </c>
      <c r="D658" s="45" t="s">
        <v>3753</v>
      </c>
      <c r="E658" s="54" t="s">
        <v>3754</v>
      </c>
      <c r="F658" s="5" t="s">
        <v>816</v>
      </c>
      <c r="G658" s="10">
        <f>DATE(2009,4,21)</f>
        <v>39924</v>
      </c>
      <c r="H658" s="35">
        <v>1.6124999999999998</v>
      </c>
      <c r="I658" s="5" t="s">
        <v>55</v>
      </c>
      <c r="J658" s="10" t="s">
        <v>3755</v>
      </c>
      <c r="K658" s="5" t="s">
        <v>818</v>
      </c>
      <c r="L658" s="5" t="s">
        <v>3756</v>
      </c>
      <c r="M658" s="5" t="s">
        <v>45</v>
      </c>
      <c r="N658" s="5">
        <v>0</v>
      </c>
      <c r="O658" s="5" t="s">
        <v>59</v>
      </c>
      <c r="P658" s="10" t="s">
        <v>60</v>
      </c>
      <c r="Q658" s="10" t="s">
        <v>3757</v>
      </c>
      <c r="R658" s="10" t="s">
        <v>821</v>
      </c>
      <c r="S658" s="5">
        <v>0</v>
      </c>
      <c r="T658" s="37" t="s">
        <v>50</v>
      </c>
      <c r="U658" s="5">
        <v>0</v>
      </c>
      <c r="V658" s="37" t="s">
        <v>50</v>
      </c>
      <c r="W658" s="5">
        <v>0</v>
      </c>
      <c r="X658" s="5">
        <v>0</v>
      </c>
      <c r="Y658" s="5">
        <v>0</v>
      </c>
      <c r="Z658" s="37" t="s">
        <v>50</v>
      </c>
      <c r="AA658" s="5">
        <v>0</v>
      </c>
      <c r="AB658" s="5">
        <v>0</v>
      </c>
      <c r="AC658" s="5">
        <v>0</v>
      </c>
      <c r="AD658" s="5">
        <v>0</v>
      </c>
      <c r="AE658" s="10" t="s">
        <v>50</v>
      </c>
      <c r="AF658" s="10"/>
      <c r="AG658" s="10" t="s">
        <v>333</v>
      </c>
      <c r="AH658" s="10" t="s">
        <v>50</v>
      </c>
      <c r="AI658" s="5">
        <v>1</v>
      </c>
      <c r="AJ658" s="10" t="s">
        <v>50</v>
      </c>
      <c r="AK658" s="10" t="s">
        <v>50</v>
      </c>
    </row>
    <row r="659" spans="1:37" ht="36.75" customHeight="1" x14ac:dyDescent="0.35">
      <c r="A659" s="5"/>
      <c r="B659" s="5" t="s">
        <v>37</v>
      </c>
      <c r="C659" s="73" t="str">
        <f t="shared" si="10"/>
        <v>Closed</v>
      </c>
      <c r="D659" s="45" t="s">
        <v>3758</v>
      </c>
      <c r="E659" s="54" t="s">
        <v>3759</v>
      </c>
      <c r="F659" s="5" t="s">
        <v>404</v>
      </c>
      <c r="G659" s="10">
        <f>DATE(2009,4,24)</f>
        <v>39927</v>
      </c>
      <c r="H659" s="35">
        <v>1.1736111111111112</v>
      </c>
      <c r="I659" s="5" t="s">
        <v>55</v>
      </c>
      <c r="J659" s="10" t="s">
        <v>3760</v>
      </c>
      <c r="K659" s="5" t="s">
        <v>406</v>
      </c>
      <c r="L659" s="5" t="s">
        <v>3761</v>
      </c>
      <c r="M659" s="5" t="s">
        <v>45</v>
      </c>
      <c r="N659" s="5">
        <v>0</v>
      </c>
      <c r="O659" s="5" t="s">
        <v>59</v>
      </c>
      <c r="P659" s="10" t="s">
        <v>60</v>
      </c>
      <c r="Q659" s="10" t="s">
        <v>3762</v>
      </c>
      <c r="R659" s="10" t="s">
        <v>3083</v>
      </c>
      <c r="S659" s="5">
        <v>0</v>
      </c>
      <c r="T659" s="37" t="s">
        <v>50</v>
      </c>
      <c r="U659" s="5">
        <v>0</v>
      </c>
      <c r="V659" s="37" t="s">
        <v>50</v>
      </c>
      <c r="W659" s="5">
        <v>0</v>
      </c>
      <c r="X659" s="5">
        <v>0</v>
      </c>
      <c r="Y659" s="5">
        <v>0</v>
      </c>
      <c r="Z659" s="37" t="s">
        <v>50</v>
      </c>
      <c r="AA659" s="5">
        <v>0</v>
      </c>
      <c r="AB659" s="5">
        <v>0</v>
      </c>
      <c r="AC659" s="5">
        <v>0</v>
      </c>
      <c r="AD659" s="5">
        <v>0</v>
      </c>
      <c r="AE659" s="10" t="s">
        <v>50</v>
      </c>
      <c r="AF659" s="10"/>
      <c r="AG659" s="10" t="s">
        <v>333</v>
      </c>
      <c r="AH659" s="10" t="s">
        <v>50</v>
      </c>
      <c r="AI659" s="5">
        <v>1</v>
      </c>
      <c r="AJ659" s="10" t="s">
        <v>50</v>
      </c>
      <c r="AK659" s="10" t="s">
        <v>50</v>
      </c>
    </row>
    <row r="660" spans="1:37" ht="36.75" customHeight="1" x14ac:dyDescent="0.35">
      <c r="A660" s="5"/>
      <c r="B660" s="5" t="s">
        <v>37</v>
      </c>
      <c r="C660" s="73" t="str">
        <f t="shared" si="10"/>
        <v>Closed</v>
      </c>
      <c r="D660" s="45" t="s">
        <v>3763</v>
      </c>
      <c r="E660" s="54" t="s">
        <v>3764</v>
      </c>
      <c r="F660" s="5" t="s">
        <v>40</v>
      </c>
      <c r="G660" s="10">
        <f>DATE(2009,4,25)</f>
        <v>39928</v>
      </c>
      <c r="H660" s="35">
        <v>1.5472222222222221</v>
      </c>
      <c r="I660" s="5" t="s">
        <v>97</v>
      </c>
      <c r="J660" s="10" t="s">
        <v>3765</v>
      </c>
      <c r="K660" s="5" t="s">
        <v>43</v>
      </c>
      <c r="L660" s="5" t="s">
        <v>3766</v>
      </c>
      <c r="M660" s="5" t="s">
        <v>45</v>
      </c>
      <c r="N660" s="5" t="s">
        <v>80</v>
      </c>
      <c r="O660" s="5" t="s">
        <v>46</v>
      </c>
      <c r="P660" s="10" t="s">
        <v>60</v>
      </c>
      <c r="Q660" s="10" t="s">
        <v>48</v>
      </c>
      <c r="R660" s="10" t="s">
        <v>49</v>
      </c>
      <c r="S660" s="5">
        <v>0</v>
      </c>
      <c r="T660" s="37">
        <v>0</v>
      </c>
      <c r="U660" s="5">
        <v>1</v>
      </c>
      <c r="V660" s="37">
        <v>0</v>
      </c>
      <c r="W660" s="5">
        <v>0</v>
      </c>
      <c r="X660" s="5">
        <v>1</v>
      </c>
      <c r="Y660" s="5">
        <v>0</v>
      </c>
      <c r="Z660" s="37">
        <v>0</v>
      </c>
      <c r="AA660" s="5">
        <v>0</v>
      </c>
      <c r="AB660" s="5">
        <v>0</v>
      </c>
      <c r="AC660" s="5">
        <v>0</v>
      </c>
      <c r="AD660" s="5">
        <v>0</v>
      </c>
      <c r="AE660" s="10" t="s">
        <v>73</v>
      </c>
      <c r="AF660" s="10"/>
      <c r="AG660" s="10" t="s">
        <v>64</v>
      </c>
      <c r="AH660" s="10" t="s">
        <v>50</v>
      </c>
      <c r="AI660" s="5">
        <v>1</v>
      </c>
      <c r="AJ660" s="10" t="s">
        <v>3767</v>
      </c>
      <c r="AK660" s="10" t="s">
        <v>3768</v>
      </c>
    </row>
    <row r="661" spans="1:37" ht="36.75" customHeight="1" x14ac:dyDescent="0.35">
      <c r="A661" s="5"/>
      <c r="B661" s="5" t="s">
        <v>37</v>
      </c>
      <c r="C661" s="73" t="str">
        <f t="shared" si="10"/>
        <v>Closed</v>
      </c>
      <c r="D661" s="45" t="s">
        <v>3769</v>
      </c>
      <c r="E661" s="54" t="s">
        <v>3770</v>
      </c>
      <c r="F661" s="5" t="s">
        <v>119</v>
      </c>
      <c r="G661" s="10">
        <f>DATE(2009,5,2)</f>
        <v>39935</v>
      </c>
      <c r="H661" s="35">
        <v>1.6388888888888888</v>
      </c>
      <c r="I661" s="5" t="s">
        <v>468</v>
      </c>
      <c r="J661" s="10" t="s">
        <v>3771</v>
      </c>
      <c r="K661" s="5" t="s">
        <v>121</v>
      </c>
      <c r="L661" s="5" t="s">
        <v>3772</v>
      </c>
      <c r="M661" s="5" t="s">
        <v>45</v>
      </c>
      <c r="N661" s="5" t="s">
        <v>123</v>
      </c>
      <c r="O661" s="5" t="s">
        <v>71</v>
      </c>
      <c r="P661" s="10" t="s">
        <v>72</v>
      </c>
      <c r="Q661" s="10" t="s">
        <v>3773</v>
      </c>
      <c r="R661" s="10" t="s">
        <v>125</v>
      </c>
      <c r="S661" s="5">
        <v>0</v>
      </c>
      <c r="T661" s="37">
        <v>0</v>
      </c>
      <c r="U661" s="5">
        <v>0</v>
      </c>
      <c r="V661" s="37">
        <v>0</v>
      </c>
      <c r="W661" s="5">
        <v>0</v>
      </c>
      <c r="X661" s="5">
        <v>0</v>
      </c>
      <c r="Y661" s="5">
        <v>0</v>
      </c>
      <c r="Z661" s="37">
        <v>0</v>
      </c>
      <c r="AA661" s="5">
        <v>0</v>
      </c>
      <c r="AB661" s="5">
        <v>0</v>
      </c>
      <c r="AC661" s="5">
        <v>0</v>
      </c>
      <c r="AD661" s="5">
        <v>0</v>
      </c>
      <c r="AE661" s="10" t="s">
        <v>50</v>
      </c>
      <c r="AF661" s="10"/>
      <c r="AG661" s="10" t="s">
        <v>114</v>
      </c>
      <c r="AH661" s="10">
        <v>39940</v>
      </c>
      <c r="AI661" s="5">
        <v>2</v>
      </c>
      <c r="AJ661" s="10" t="s">
        <v>3774</v>
      </c>
      <c r="AK661" s="10" t="s">
        <v>3775</v>
      </c>
    </row>
    <row r="662" spans="1:37" ht="36.75" customHeight="1" x14ac:dyDescent="0.35">
      <c r="A662" s="5"/>
      <c r="B662" s="5" t="s">
        <v>37</v>
      </c>
      <c r="C662" s="73" t="str">
        <f t="shared" si="10"/>
        <v>Closed</v>
      </c>
      <c r="D662" s="45" t="s">
        <v>3776</v>
      </c>
      <c r="E662" s="54" t="s">
        <v>3777</v>
      </c>
      <c r="F662" s="5" t="s">
        <v>214</v>
      </c>
      <c r="G662" s="10">
        <f>DATE(2009,5,6)</f>
        <v>39939</v>
      </c>
      <c r="H662" s="35">
        <v>1.7291666666666665</v>
      </c>
      <c r="I662" s="5" t="s">
        <v>97</v>
      </c>
      <c r="J662" s="10" t="s">
        <v>3778</v>
      </c>
      <c r="K662" s="5" t="s">
        <v>216</v>
      </c>
      <c r="L662" s="5" t="s">
        <v>3779</v>
      </c>
      <c r="M662" s="5" t="s">
        <v>45</v>
      </c>
      <c r="N662" s="5">
        <v>0</v>
      </c>
      <c r="O662" s="5" t="s">
        <v>46</v>
      </c>
      <c r="P662" s="10" t="s">
        <v>146</v>
      </c>
      <c r="Q662" s="10" t="s">
        <v>1410</v>
      </c>
      <c r="R662" s="10" t="s">
        <v>219</v>
      </c>
      <c r="S662" s="5">
        <v>0</v>
      </c>
      <c r="T662" s="37">
        <v>0</v>
      </c>
      <c r="U662" s="5">
        <v>1</v>
      </c>
      <c r="V662" s="37">
        <v>0</v>
      </c>
      <c r="W662" s="5">
        <v>0</v>
      </c>
      <c r="X662" s="5">
        <v>1</v>
      </c>
      <c r="Y662" s="5">
        <v>0</v>
      </c>
      <c r="Z662" s="37">
        <v>0</v>
      </c>
      <c r="AA662" s="5">
        <v>0</v>
      </c>
      <c r="AB662" s="5">
        <v>0</v>
      </c>
      <c r="AC662" s="5">
        <v>0</v>
      </c>
      <c r="AD662" s="5">
        <v>0</v>
      </c>
      <c r="AE662" s="10" t="s">
        <v>50</v>
      </c>
      <c r="AF662" s="10"/>
      <c r="AG662" s="10" t="s">
        <v>64</v>
      </c>
      <c r="AH662" s="10" t="s">
        <v>50</v>
      </c>
      <c r="AI662" s="5">
        <v>3</v>
      </c>
      <c r="AJ662" s="10" t="s">
        <v>3780</v>
      </c>
      <c r="AK662" s="10" t="s">
        <v>3781</v>
      </c>
    </row>
    <row r="663" spans="1:37" ht="36.75" customHeight="1" x14ac:dyDescent="0.35">
      <c r="A663" s="5"/>
      <c r="B663" s="5" t="s">
        <v>37</v>
      </c>
      <c r="C663" s="73" t="str">
        <f t="shared" si="10"/>
        <v>Closed</v>
      </c>
      <c r="D663" s="45" t="s">
        <v>3782</v>
      </c>
      <c r="E663" s="54" t="s">
        <v>3783</v>
      </c>
      <c r="F663" s="5" t="s">
        <v>816</v>
      </c>
      <c r="G663" s="10">
        <f>DATE(2009,5,8)</f>
        <v>39941</v>
      </c>
      <c r="H663" s="35">
        <v>1.4875</v>
      </c>
      <c r="I663" s="5" t="s">
        <v>97</v>
      </c>
      <c r="J663" s="10" t="s">
        <v>3784</v>
      </c>
      <c r="K663" s="5" t="s">
        <v>818</v>
      </c>
      <c r="L663" s="5" t="s">
        <v>3785</v>
      </c>
      <c r="M663" s="5" t="s">
        <v>45</v>
      </c>
      <c r="N663" s="5">
        <v>0</v>
      </c>
      <c r="O663" s="5" t="s">
        <v>46</v>
      </c>
      <c r="P663" s="10" t="s">
        <v>146</v>
      </c>
      <c r="Q663" s="10" t="s">
        <v>2142</v>
      </c>
      <c r="R663" s="10" t="s">
        <v>821</v>
      </c>
      <c r="S663" s="5">
        <v>0</v>
      </c>
      <c r="T663" s="37">
        <v>1</v>
      </c>
      <c r="U663" s="5">
        <v>0</v>
      </c>
      <c r="V663" s="37">
        <v>0</v>
      </c>
      <c r="W663" s="5">
        <v>0</v>
      </c>
      <c r="X663" s="5">
        <v>1</v>
      </c>
      <c r="Y663" s="5">
        <v>0</v>
      </c>
      <c r="Z663" s="37">
        <v>0</v>
      </c>
      <c r="AA663" s="5">
        <v>0</v>
      </c>
      <c r="AB663" s="5">
        <v>0</v>
      </c>
      <c r="AC663" s="5">
        <v>0</v>
      </c>
      <c r="AD663" s="5">
        <v>0</v>
      </c>
      <c r="AE663" s="10" t="s">
        <v>50</v>
      </c>
      <c r="AF663" s="10"/>
      <c r="AG663" s="10" t="s">
        <v>333</v>
      </c>
      <c r="AH663" s="10" t="s">
        <v>50</v>
      </c>
      <c r="AI663" s="5">
        <v>0</v>
      </c>
      <c r="AJ663" s="10" t="s">
        <v>50</v>
      </c>
      <c r="AK663" s="10" t="s">
        <v>50</v>
      </c>
    </row>
    <row r="664" spans="1:37" ht="36.75" customHeight="1" x14ac:dyDescent="0.35">
      <c r="A664" s="5"/>
      <c r="B664" s="5" t="s">
        <v>37</v>
      </c>
      <c r="C664" s="73" t="str">
        <f t="shared" si="10"/>
        <v>Closed</v>
      </c>
      <c r="D664" s="45" t="s">
        <v>3786</v>
      </c>
      <c r="E664" s="54" t="s">
        <v>3787</v>
      </c>
      <c r="F664" s="5" t="s">
        <v>404</v>
      </c>
      <c r="G664" s="10">
        <f>DATE(2009,5,16)</f>
        <v>39949</v>
      </c>
      <c r="H664" s="35">
        <v>1.9097222222222223</v>
      </c>
      <c r="I664" s="5" t="s">
        <v>179</v>
      </c>
      <c r="J664" s="10" t="s">
        <v>3788</v>
      </c>
      <c r="K664" s="5" t="s">
        <v>406</v>
      </c>
      <c r="L664" s="5" t="s">
        <v>3789</v>
      </c>
      <c r="M664" s="5" t="s">
        <v>45</v>
      </c>
      <c r="N664" s="5">
        <v>0</v>
      </c>
      <c r="O664" s="5" t="s">
        <v>71</v>
      </c>
      <c r="P664" s="10" t="s">
        <v>72</v>
      </c>
      <c r="Q664" s="10" t="s">
        <v>2562</v>
      </c>
      <c r="R664" s="10" t="s">
        <v>3083</v>
      </c>
      <c r="S664" s="5">
        <v>0</v>
      </c>
      <c r="T664" s="37" t="s">
        <v>50</v>
      </c>
      <c r="U664" s="5">
        <v>0</v>
      </c>
      <c r="V664" s="37" t="s">
        <v>50</v>
      </c>
      <c r="W664" s="5">
        <v>0</v>
      </c>
      <c r="X664" s="5">
        <v>0</v>
      </c>
      <c r="Y664" s="5">
        <v>0</v>
      </c>
      <c r="Z664" s="37" t="s">
        <v>50</v>
      </c>
      <c r="AA664" s="5">
        <v>0</v>
      </c>
      <c r="AB664" s="5">
        <v>0</v>
      </c>
      <c r="AC664" s="5">
        <v>0</v>
      </c>
      <c r="AD664" s="5">
        <v>0</v>
      </c>
      <c r="AE664" s="10" t="s">
        <v>50</v>
      </c>
      <c r="AF664" s="10"/>
      <c r="AG664" s="10" t="s">
        <v>3790</v>
      </c>
      <c r="AH664" s="10" t="s">
        <v>50</v>
      </c>
      <c r="AI664" s="5">
        <v>1</v>
      </c>
      <c r="AJ664" s="10" t="s">
        <v>50</v>
      </c>
      <c r="AK664" s="10" t="s">
        <v>50</v>
      </c>
    </row>
    <row r="665" spans="1:37" ht="36.75" customHeight="1" x14ac:dyDescent="0.35">
      <c r="A665" s="5"/>
      <c r="B665" s="5" t="s">
        <v>37</v>
      </c>
      <c r="C665" s="73" t="str">
        <f t="shared" si="10"/>
        <v>Closed</v>
      </c>
      <c r="D665" s="45" t="s">
        <v>3791</v>
      </c>
      <c r="E665" s="54" t="s">
        <v>3792</v>
      </c>
      <c r="F665" s="5" t="s">
        <v>96</v>
      </c>
      <c r="G665" s="10">
        <f>DATE(2009,5,20)</f>
        <v>39953</v>
      </c>
      <c r="H665" s="35">
        <v>1.0277777777777777</v>
      </c>
      <c r="I665" s="5" t="s">
        <v>179</v>
      </c>
      <c r="J665" s="10" t="s">
        <v>3793</v>
      </c>
      <c r="K665" s="5" t="s">
        <v>99</v>
      </c>
      <c r="L665" s="5" t="s">
        <v>3794</v>
      </c>
      <c r="M665" s="5" t="s">
        <v>45</v>
      </c>
      <c r="N665" s="5">
        <v>0</v>
      </c>
      <c r="O665" s="5" t="s">
        <v>46</v>
      </c>
      <c r="P665" s="10" t="s">
        <v>60</v>
      </c>
      <c r="Q665" s="10" t="s">
        <v>3795</v>
      </c>
      <c r="R665" s="10" t="s">
        <v>102</v>
      </c>
      <c r="S665" s="5">
        <v>0</v>
      </c>
      <c r="T665" s="37" t="s">
        <v>50</v>
      </c>
      <c r="U665" s="5">
        <v>0</v>
      </c>
      <c r="V665" s="37" t="s">
        <v>50</v>
      </c>
      <c r="W665" s="5">
        <v>0</v>
      </c>
      <c r="X665" s="5">
        <v>0</v>
      </c>
      <c r="Y665" s="5">
        <v>0</v>
      </c>
      <c r="Z665" s="37" t="s">
        <v>50</v>
      </c>
      <c r="AA665" s="5">
        <v>0</v>
      </c>
      <c r="AB665" s="5">
        <v>0</v>
      </c>
      <c r="AC665" s="5">
        <v>0</v>
      </c>
      <c r="AD665" s="5">
        <v>0</v>
      </c>
      <c r="AE665" s="10" t="s">
        <v>50</v>
      </c>
      <c r="AF665" s="10"/>
      <c r="AG665" s="10" t="s">
        <v>64</v>
      </c>
      <c r="AH665" s="10" t="s">
        <v>50</v>
      </c>
      <c r="AI665" s="5">
        <v>4</v>
      </c>
      <c r="AJ665" s="10" t="s">
        <v>3796</v>
      </c>
      <c r="AK665" s="10" t="s">
        <v>3797</v>
      </c>
    </row>
    <row r="666" spans="1:37" ht="36.75" customHeight="1" x14ac:dyDescent="0.35">
      <c r="A666" s="5"/>
      <c r="B666" s="5" t="s">
        <v>37</v>
      </c>
      <c r="C666" s="73" t="str">
        <f t="shared" si="10"/>
        <v>Closed</v>
      </c>
      <c r="D666" s="45" t="s">
        <v>3798</v>
      </c>
      <c r="E666" s="54" t="s">
        <v>3799</v>
      </c>
      <c r="F666" s="5" t="s">
        <v>1751</v>
      </c>
      <c r="G666" s="10">
        <f>DATE(2009,5,23)</f>
        <v>39956</v>
      </c>
      <c r="H666" s="35">
        <v>1.5291666666666668</v>
      </c>
      <c r="I666" s="5" t="s">
        <v>259</v>
      </c>
      <c r="J666" s="10" t="s">
        <v>3800</v>
      </c>
      <c r="K666" s="5" t="s">
        <v>1753</v>
      </c>
      <c r="L666" s="5" t="s">
        <v>3801</v>
      </c>
      <c r="M666" s="5" t="s">
        <v>45</v>
      </c>
      <c r="N666" s="5" t="s">
        <v>70</v>
      </c>
      <c r="O666" s="5" t="s">
        <v>59</v>
      </c>
      <c r="P666" s="10" t="s">
        <v>146</v>
      </c>
      <c r="Q666" s="10" t="s">
        <v>1755</v>
      </c>
      <c r="R666" s="10" t="s">
        <v>1756</v>
      </c>
      <c r="S666" s="5">
        <v>0</v>
      </c>
      <c r="T666" s="37">
        <v>0</v>
      </c>
      <c r="U666" s="5">
        <v>0</v>
      </c>
      <c r="V666" s="37">
        <v>0</v>
      </c>
      <c r="W666" s="5">
        <v>0</v>
      </c>
      <c r="X666" s="5">
        <v>0</v>
      </c>
      <c r="Y666" s="5">
        <v>1</v>
      </c>
      <c r="Z666" s="37">
        <v>1</v>
      </c>
      <c r="AA666" s="5">
        <v>0</v>
      </c>
      <c r="AB666" s="5">
        <v>0</v>
      </c>
      <c r="AC666" s="5">
        <v>0</v>
      </c>
      <c r="AD666" s="5">
        <v>2</v>
      </c>
      <c r="AE666" s="10" t="s">
        <v>375</v>
      </c>
      <c r="AF666" s="10"/>
      <c r="AG666" s="10" t="s">
        <v>855</v>
      </c>
      <c r="AH666" s="10">
        <v>39958</v>
      </c>
      <c r="AI666" s="5">
        <v>6</v>
      </c>
      <c r="AJ666" s="10" t="s">
        <v>3802</v>
      </c>
      <c r="AK666" s="10" t="s">
        <v>1215</v>
      </c>
    </row>
    <row r="667" spans="1:37" ht="36.75" customHeight="1" x14ac:dyDescent="0.35">
      <c r="A667" s="5"/>
      <c r="B667" s="5" t="s">
        <v>37</v>
      </c>
      <c r="C667" s="73" t="str">
        <f t="shared" si="10"/>
        <v>Closed</v>
      </c>
      <c r="D667" s="45" t="s">
        <v>3803</v>
      </c>
      <c r="E667" s="54" t="s">
        <v>3804</v>
      </c>
      <c r="F667" s="5" t="s">
        <v>1730</v>
      </c>
      <c r="G667" s="10">
        <f>DATE(2009,5,24)</f>
        <v>39957</v>
      </c>
      <c r="H667" s="35">
        <v>1.7743055555555554</v>
      </c>
      <c r="I667" s="5" t="s">
        <v>97</v>
      </c>
      <c r="J667" s="10" t="s">
        <v>3805</v>
      </c>
      <c r="K667" s="5" t="s">
        <v>1732</v>
      </c>
      <c r="L667" s="5" t="s">
        <v>3806</v>
      </c>
      <c r="M667" s="5" t="s">
        <v>45</v>
      </c>
      <c r="N667" s="5">
        <v>0</v>
      </c>
      <c r="O667" s="5" t="s">
        <v>46</v>
      </c>
      <c r="P667" s="10" t="s">
        <v>67</v>
      </c>
      <c r="Q667" s="10" t="s">
        <v>1734</v>
      </c>
      <c r="R667" s="10" t="s">
        <v>3599</v>
      </c>
      <c r="S667" s="5">
        <v>0</v>
      </c>
      <c r="T667" s="37">
        <v>0</v>
      </c>
      <c r="U667" s="5">
        <v>1</v>
      </c>
      <c r="V667" s="37">
        <v>0</v>
      </c>
      <c r="W667" s="5">
        <v>0</v>
      </c>
      <c r="X667" s="5">
        <v>1</v>
      </c>
      <c r="Y667" s="5">
        <v>0</v>
      </c>
      <c r="Z667" s="37">
        <v>0</v>
      </c>
      <c r="AA667" s="5">
        <v>0</v>
      </c>
      <c r="AB667" s="5">
        <v>0</v>
      </c>
      <c r="AC667" s="5">
        <v>0</v>
      </c>
      <c r="AD667" s="5">
        <v>0</v>
      </c>
      <c r="AE667" s="10" t="s">
        <v>50</v>
      </c>
      <c r="AF667" s="10"/>
      <c r="AG667" s="10" t="s">
        <v>229</v>
      </c>
      <c r="AH667" s="10" t="s">
        <v>50</v>
      </c>
      <c r="AI667" s="5">
        <v>6</v>
      </c>
      <c r="AJ667" s="10" t="s">
        <v>3807</v>
      </c>
      <c r="AK667" s="10" t="s">
        <v>50</v>
      </c>
    </row>
    <row r="668" spans="1:37" ht="36.75" customHeight="1" x14ac:dyDescent="0.35">
      <c r="A668" s="5"/>
      <c r="B668" s="5" t="s">
        <v>37</v>
      </c>
      <c r="C668" s="73" t="str">
        <f t="shared" si="10"/>
        <v>Closed</v>
      </c>
      <c r="D668" s="45" t="s">
        <v>3808</v>
      </c>
      <c r="E668" s="54" t="s">
        <v>3809</v>
      </c>
      <c r="F668" s="5" t="s">
        <v>40</v>
      </c>
      <c r="G668" s="10">
        <f>DATE(2009,5,24)</f>
        <v>39957</v>
      </c>
      <c r="H668" s="35">
        <v>1.6027777777777779</v>
      </c>
      <c r="I668" s="5" t="s">
        <v>97</v>
      </c>
      <c r="J668" s="10" t="s">
        <v>3810</v>
      </c>
      <c r="K668" s="5" t="s">
        <v>43</v>
      </c>
      <c r="L668" s="5" t="s">
        <v>3811</v>
      </c>
      <c r="M668" s="5" t="s">
        <v>45</v>
      </c>
      <c r="N668" s="5" t="s">
        <v>80</v>
      </c>
      <c r="O668" s="5" t="s">
        <v>46</v>
      </c>
      <c r="P668" s="10" t="s">
        <v>60</v>
      </c>
      <c r="Q668" s="10" t="s">
        <v>48</v>
      </c>
      <c r="R668" s="10" t="s">
        <v>49</v>
      </c>
      <c r="S668" s="5">
        <v>0</v>
      </c>
      <c r="T668" s="37">
        <v>0</v>
      </c>
      <c r="U668" s="5">
        <v>1</v>
      </c>
      <c r="V668" s="37">
        <v>0</v>
      </c>
      <c r="W668" s="5">
        <v>0</v>
      </c>
      <c r="X668" s="5">
        <v>1</v>
      </c>
      <c r="Y668" s="5">
        <v>0</v>
      </c>
      <c r="Z668" s="37">
        <v>0</v>
      </c>
      <c r="AA668" s="5">
        <v>0</v>
      </c>
      <c r="AB668" s="5">
        <v>0</v>
      </c>
      <c r="AC668" s="5">
        <v>0</v>
      </c>
      <c r="AD668" s="5">
        <v>0</v>
      </c>
      <c r="AE668" s="10" t="s">
        <v>73</v>
      </c>
      <c r="AF668" s="10"/>
      <c r="AG668" s="10" t="s">
        <v>64</v>
      </c>
      <c r="AH668" s="10">
        <v>39965</v>
      </c>
      <c r="AI668" s="5">
        <v>1</v>
      </c>
      <c r="AJ668" s="10" t="s">
        <v>3812</v>
      </c>
      <c r="AK668" s="10" t="s">
        <v>50</v>
      </c>
    </row>
    <row r="669" spans="1:37" ht="36.75" customHeight="1" x14ac:dyDescent="0.35">
      <c r="A669" s="5"/>
      <c r="B669" s="5" t="s">
        <v>37</v>
      </c>
      <c r="C669" s="73" t="str">
        <f t="shared" si="10"/>
        <v>Closed</v>
      </c>
      <c r="D669" s="45" t="s">
        <v>3813</v>
      </c>
      <c r="E669" s="54" t="s">
        <v>3814</v>
      </c>
      <c r="F669" s="5" t="s">
        <v>105</v>
      </c>
      <c r="G669" s="10">
        <f>DATE(2009,5,25)</f>
        <v>39958</v>
      </c>
      <c r="H669" s="35">
        <v>1.0173611111111112</v>
      </c>
      <c r="I669" s="5" t="s">
        <v>55</v>
      </c>
      <c r="J669" s="10" t="s">
        <v>3815</v>
      </c>
      <c r="K669" s="5" t="s">
        <v>108</v>
      </c>
      <c r="L669" s="5" t="s">
        <v>3816</v>
      </c>
      <c r="M669" s="5" t="s">
        <v>45</v>
      </c>
      <c r="N669" s="5">
        <v>0</v>
      </c>
      <c r="O669" s="5" t="s">
        <v>59</v>
      </c>
      <c r="P669" s="10" t="s">
        <v>60</v>
      </c>
      <c r="Q669" s="10" t="s">
        <v>382</v>
      </c>
      <c r="R669" s="10" t="s">
        <v>148</v>
      </c>
      <c r="S669" s="5">
        <v>0</v>
      </c>
      <c r="T669" s="37" t="s">
        <v>50</v>
      </c>
      <c r="U669" s="5">
        <v>0</v>
      </c>
      <c r="V669" s="37" t="s">
        <v>50</v>
      </c>
      <c r="W669" s="5">
        <v>0</v>
      </c>
      <c r="X669" s="5">
        <v>0</v>
      </c>
      <c r="Y669" s="5">
        <v>0</v>
      </c>
      <c r="Z669" s="37" t="s">
        <v>50</v>
      </c>
      <c r="AA669" s="5">
        <v>0</v>
      </c>
      <c r="AB669" s="5">
        <v>0</v>
      </c>
      <c r="AC669" s="5">
        <v>0</v>
      </c>
      <c r="AD669" s="5">
        <v>0</v>
      </c>
      <c r="AE669" s="10" t="s">
        <v>50</v>
      </c>
      <c r="AF669" s="10"/>
      <c r="AG669" s="10" t="s">
        <v>114</v>
      </c>
      <c r="AH669" s="10" t="s">
        <v>50</v>
      </c>
      <c r="AI669" s="5">
        <v>1</v>
      </c>
      <c r="AJ669" s="10" t="s">
        <v>3817</v>
      </c>
      <c r="AK669" s="10" t="s">
        <v>50</v>
      </c>
    </row>
    <row r="670" spans="1:37" ht="36.75" customHeight="1" x14ac:dyDescent="0.35">
      <c r="A670" s="5"/>
      <c r="B670" s="5" t="s">
        <v>37</v>
      </c>
      <c r="C670" s="73" t="str">
        <f t="shared" si="10"/>
        <v>Closed</v>
      </c>
      <c r="D670" s="45" t="s">
        <v>3818</v>
      </c>
      <c r="E670" s="54" t="s">
        <v>3819</v>
      </c>
      <c r="F670" s="5" t="s">
        <v>214</v>
      </c>
      <c r="G670" s="10">
        <f>DATE(2009,6,1)</f>
        <v>39965</v>
      </c>
      <c r="H670" s="35">
        <v>1.588888888888889</v>
      </c>
      <c r="I670" s="5" t="s">
        <v>55</v>
      </c>
      <c r="J670" s="10" t="s">
        <v>3820</v>
      </c>
      <c r="K670" s="5" t="s">
        <v>216</v>
      </c>
      <c r="L670" s="5" t="s">
        <v>3821</v>
      </c>
      <c r="M670" s="5" t="s">
        <v>45</v>
      </c>
      <c r="N670" s="5">
        <v>0</v>
      </c>
      <c r="O670" s="5" t="s">
        <v>46</v>
      </c>
      <c r="P670" s="10" t="s">
        <v>146</v>
      </c>
      <c r="Q670" s="10" t="s">
        <v>3332</v>
      </c>
      <c r="R670" s="10" t="s">
        <v>219</v>
      </c>
      <c r="S670" s="5">
        <v>0</v>
      </c>
      <c r="T670" s="37" t="s">
        <v>50</v>
      </c>
      <c r="U670" s="5">
        <v>0</v>
      </c>
      <c r="V670" s="37" t="s">
        <v>50</v>
      </c>
      <c r="W670" s="5">
        <v>0</v>
      </c>
      <c r="X670" s="5">
        <v>0</v>
      </c>
      <c r="Y670" s="5">
        <v>0</v>
      </c>
      <c r="Z670" s="37" t="s">
        <v>50</v>
      </c>
      <c r="AA670" s="5">
        <v>0</v>
      </c>
      <c r="AB670" s="5">
        <v>0</v>
      </c>
      <c r="AC670" s="5">
        <v>0</v>
      </c>
      <c r="AD670" s="5">
        <v>0</v>
      </c>
      <c r="AE670" s="10" t="s">
        <v>50</v>
      </c>
      <c r="AF670" s="10"/>
      <c r="AG670" s="10" t="s">
        <v>114</v>
      </c>
      <c r="AH670" s="10" t="s">
        <v>50</v>
      </c>
      <c r="AI670" s="5">
        <v>5</v>
      </c>
      <c r="AJ670" s="10" t="s">
        <v>3822</v>
      </c>
      <c r="AK670" s="10" t="s">
        <v>3823</v>
      </c>
    </row>
    <row r="671" spans="1:37" ht="36.75" customHeight="1" x14ac:dyDescent="0.35">
      <c r="A671" s="5"/>
      <c r="B671" s="5" t="s">
        <v>37</v>
      </c>
      <c r="C671" s="73" t="str">
        <f t="shared" si="10"/>
        <v>Closed</v>
      </c>
      <c r="D671" s="45" t="s">
        <v>3824</v>
      </c>
      <c r="E671" s="54" t="s">
        <v>3825</v>
      </c>
      <c r="F671" s="5" t="s">
        <v>619</v>
      </c>
      <c r="G671" s="10">
        <f>DATE(2009,6,5)</f>
        <v>39969</v>
      </c>
      <c r="H671" s="35">
        <v>1.9458333333333333</v>
      </c>
      <c r="I671" s="5" t="s">
        <v>97</v>
      </c>
      <c r="J671" s="10" t="s">
        <v>3826</v>
      </c>
      <c r="K671" s="5" t="s">
        <v>621</v>
      </c>
      <c r="L671" s="5" t="s">
        <v>3827</v>
      </c>
      <c r="M671" s="5" t="s">
        <v>45</v>
      </c>
      <c r="N671" s="5">
        <v>0</v>
      </c>
      <c r="O671" s="5" t="s">
        <v>59</v>
      </c>
      <c r="P671" s="10" t="s">
        <v>60</v>
      </c>
      <c r="Q671" s="10" t="s">
        <v>623</v>
      </c>
      <c r="R671" s="10" t="s">
        <v>624</v>
      </c>
      <c r="S671" s="5">
        <v>0</v>
      </c>
      <c r="T671" s="37">
        <v>0</v>
      </c>
      <c r="U671" s="5">
        <v>1</v>
      </c>
      <c r="V671" s="37">
        <v>0</v>
      </c>
      <c r="W671" s="5">
        <v>0</v>
      </c>
      <c r="X671" s="5">
        <v>1</v>
      </c>
      <c r="Y671" s="5">
        <v>0</v>
      </c>
      <c r="Z671" s="37">
        <v>0</v>
      </c>
      <c r="AA671" s="5">
        <v>0</v>
      </c>
      <c r="AB671" s="5">
        <v>0</v>
      </c>
      <c r="AC671" s="5">
        <v>0</v>
      </c>
      <c r="AD671" s="5">
        <v>0</v>
      </c>
      <c r="AE671" s="10" t="s">
        <v>50</v>
      </c>
      <c r="AF671" s="10"/>
      <c r="AG671" s="10" t="s">
        <v>229</v>
      </c>
      <c r="AH671" s="10" t="s">
        <v>50</v>
      </c>
      <c r="AI671" s="5">
        <v>1</v>
      </c>
      <c r="AJ671" s="10" t="s">
        <v>3828</v>
      </c>
      <c r="AK671" s="10" t="s">
        <v>50</v>
      </c>
    </row>
    <row r="672" spans="1:37" ht="36.75" customHeight="1" x14ac:dyDescent="0.35">
      <c r="A672" s="5"/>
      <c r="B672" s="5" t="s">
        <v>37</v>
      </c>
      <c r="C672" s="73" t="str">
        <f t="shared" si="10"/>
        <v>Closed</v>
      </c>
      <c r="D672" s="45" t="s">
        <v>3829</v>
      </c>
      <c r="E672" s="54" t="s">
        <v>3830</v>
      </c>
      <c r="F672" s="5" t="s">
        <v>105</v>
      </c>
      <c r="G672" s="10">
        <f>DATE(2009,6,7)</f>
        <v>39971</v>
      </c>
      <c r="H672" s="35">
        <v>1.5659722222222223</v>
      </c>
      <c r="I672" s="5" t="s">
        <v>106</v>
      </c>
      <c r="J672" s="10" t="s">
        <v>3831</v>
      </c>
      <c r="K672" s="5" t="s">
        <v>108</v>
      </c>
      <c r="L672" s="5" t="s">
        <v>3832</v>
      </c>
      <c r="M672" s="5" t="s">
        <v>45</v>
      </c>
      <c r="N672" s="5">
        <v>0</v>
      </c>
      <c r="O672" s="5" t="s">
        <v>59</v>
      </c>
      <c r="P672" s="10" t="s">
        <v>146</v>
      </c>
      <c r="Q672" s="10" t="s">
        <v>3161</v>
      </c>
      <c r="R672" s="10" t="s">
        <v>148</v>
      </c>
      <c r="S672" s="5">
        <v>0</v>
      </c>
      <c r="T672" s="37" t="s">
        <v>50</v>
      </c>
      <c r="U672" s="5">
        <v>0</v>
      </c>
      <c r="V672" s="37" t="s">
        <v>50</v>
      </c>
      <c r="W672" s="5">
        <v>0</v>
      </c>
      <c r="X672" s="5">
        <v>0</v>
      </c>
      <c r="Y672" s="5">
        <v>0</v>
      </c>
      <c r="Z672" s="37" t="s">
        <v>50</v>
      </c>
      <c r="AA672" s="5">
        <v>0</v>
      </c>
      <c r="AB672" s="5">
        <v>0</v>
      </c>
      <c r="AC672" s="5">
        <v>0</v>
      </c>
      <c r="AD672" s="5">
        <v>0</v>
      </c>
      <c r="AE672" s="10" t="s">
        <v>50</v>
      </c>
      <c r="AF672" s="10"/>
      <c r="AG672" s="10" t="s">
        <v>114</v>
      </c>
      <c r="AH672" s="10" t="s">
        <v>50</v>
      </c>
      <c r="AI672" s="5">
        <v>4</v>
      </c>
      <c r="AJ672" s="10" t="s">
        <v>50</v>
      </c>
      <c r="AK672" s="10" t="s">
        <v>50</v>
      </c>
    </row>
    <row r="673" spans="1:37" ht="36.75" customHeight="1" x14ac:dyDescent="0.35">
      <c r="A673" s="5"/>
      <c r="B673" s="5" t="s">
        <v>37</v>
      </c>
      <c r="C673" s="73" t="str">
        <f t="shared" si="10"/>
        <v>Closed</v>
      </c>
      <c r="D673" s="45" t="s">
        <v>3833</v>
      </c>
      <c r="E673" s="54" t="s">
        <v>3834</v>
      </c>
      <c r="F673" s="5" t="s">
        <v>40</v>
      </c>
      <c r="G673" s="10">
        <f>DATE(2009,6,16)</f>
        <v>39980</v>
      </c>
      <c r="H673" s="35">
        <v>1.8687499999999999</v>
      </c>
      <c r="I673" s="5" t="s">
        <v>55</v>
      </c>
      <c r="J673" s="10" t="s">
        <v>3835</v>
      </c>
      <c r="K673" s="5" t="s">
        <v>43</v>
      </c>
      <c r="L673" s="5" t="s">
        <v>3836</v>
      </c>
      <c r="M673" s="5" t="s">
        <v>45</v>
      </c>
      <c r="N673" s="5" t="s">
        <v>70</v>
      </c>
      <c r="O673" s="5" t="s">
        <v>59</v>
      </c>
      <c r="P673" s="10" t="s">
        <v>60</v>
      </c>
      <c r="Q673" s="10" t="s">
        <v>48</v>
      </c>
      <c r="R673" s="10" t="s">
        <v>49</v>
      </c>
      <c r="S673" s="5">
        <v>0</v>
      </c>
      <c r="T673" s="37">
        <v>0</v>
      </c>
      <c r="U673" s="5">
        <v>0</v>
      </c>
      <c r="V673" s="37">
        <v>0</v>
      </c>
      <c r="W673" s="5">
        <v>0</v>
      </c>
      <c r="X673" s="5">
        <v>0</v>
      </c>
      <c r="Y673" s="5">
        <v>0</v>
      </c>
      <c r="Z673" s="37">
        <v>0</v>
      </c>
      <c r="AA673" s="5">
        <v>0</v>
      </c>
      <c r="AB673" s="5">
        <v>0</v>
      </c>
      <c r="AC673" s="5">
        <v>0</v>
      </c>
      <c r="AD673" s="5">
        <v>0</v>
      </c>
      <c r="AE673" s="10" t="s">
        <v>126</v>
      </c>
      <c r="AF673" s="10"/>
      <c r="AG673" s="10" t="s">
        <v>64</v>
      </c>
      <c r="AH673" s="10">
        <v>39986</v>
      </c>
      <c r="AI673" s="5">
        <v>5</v>
      </c>
      <c r="AJ673" s="10" t="s">
        <v>3837</v>
      </c>
      <c r="AK673" s="10" t="s">
        <v>3838</v>
      </c>
    </row>
    <row r="674" spans="1:37" ht="36.75" customHeight="1" x14ac:dyDescent="0.35">
      <c r="A674" s="5"/>
      <c r="B674" s="5" t="s">
        <v>37</v>
      </c>
      <c r="C674" s="73" t="str">
        <f t="shared" si="10"/>
        <v>Closed</v>
      </c>
      <c r="D674" s="45" t="s">
        <v>3839</v>
      </c>
      <c r="E674" s="54" t="s">
        <v>3840</v>
      </c>
      <c r="F674" s="5" t="s">
        <v>619</v>
      </c>
      <c r="G674" s="10">
        <f>DATE(2009,6,18)</f>
        <v>39982</v>
      </c>
      <c r="H674" s="35">
        <v>1.3444444444444446</v>
      </c>
      <c r="I674" s="5" t="s">
        <v>85</v>
      </c>
      <c r="J674" s="10" t="s">
        <v>3841</v>
      </c>
      <c r="K674" s="5" t="s">
        <v>621</v>
      </c>
      <c r="L674" s="5" t="s">
        <v>3842</v>
      </c>
      <c r="M674" s="5" t="s">
        <v>45</v>
      </c>
      <c r="N674" s="5">
        <v>0</v>
      </c>
      <c r="O674" s="5" t="s">
        <v>59</v>
      </c>
      <c r="P674" s="10" t="s">
        <v>1198</v>
      </c>
      <c r="Q674" s="10" t="s">
        <v>3013</v>
      </c>
      <c r="R674" s="10" t="s">
        <v>624</v>
      </c>
      <c r="S674" s="5">
        <v>0</v>
      </c>
      <c r="T674" s="37" t="s">
        <v>50</v>
      </c>
      <c r="U674" s="5">
        <v>0</v>
      </c>
      <c r="V674" s="37" t="s">
        <v>50</v>
      </c>
      <c r="W674" s="5">
        <v>0</v>
      </c>
      <c r="X674" s="5">
        <v>0</v>
      </c>
      <c r="Y674" s="5">
        <v>0</v>
      </c>
      <c r="Z674" s="37" t="s">
        <v>50</v>
      </c>
      <c r="AA674" s="5">
        <v>0</v>
      </c>
      <c r="AB674" s="5">
        <v>0</v>
      </c>
      <c r="AC674" s="5">
        <v>0</v>
      </c>
      <c r="AD674" s="5">
        <v>0</v>
      </c>
      <c r="AE674" s="10" t="s">
        <v>50</v>
      </c>
      <c r="AF674" s="10"/>
      <c r="AG674" s="10" t="s">
        <v>229</v>
      </c>
      <c r="AH674" s="10" t="s">
        <v>50</v>
      </c>
      <c r="AI674" s="5">
        <v>1</v>
      </c>
      <c r="AJ674" s="10" t="s">
        <v>3843</v>
      </c>
      <c r="AK674" s="10" t="s">
        <v>50</v>
      </c>
    </row>
    <row r="675" spans="1:37" ht="36.75" customHeight="1" x14ac:dyDescent="0.35">
      <c r="A675" s="5"/>
      <c r="B675" s="5" t="s">
        <v>37</v>
      </c>
      <c r="C675" s="73" t="str">
        <f t="shared" si="10"/>
        <v>Closed</v>
      </c>
      <c r="D675" s="45" t="s">
        <v>3844</v>
      </c>
      <c r="E675" s="54" t="s">
        <v>3845</v>
      </c>
      <c r="F675" s="5" t="s">
        <v>816</v>
      </c>
      <c r="G675" s="10">
        <f>DATE(2009,6,19)</f>
        <v>39983</v>
      </c>
      <c r="H675" s="35">
        <v>1.6784722222222221</v>
      </c>
      <c r="I675" s="5" t="s">
        <v>97</v>
      </c>
      <c r="J675" s="10" t="s">
        <v>3846</v>
      </c>
      <c r="K675" s="5" t="s">
        <v>818</v>
      </c>
      <c r="L675" s="5" t="s">
        <v>3847</v>
      </c>
      <c r="M675" s="5" t="s">
        <v>45</v>
      </c>
      <c r="N675" s="5">
        <v>0</v>
      </c>
      <c r="O675" s="5" t="s">
        <v>46</v>
      </c>
      <c r="P675" s="10" t="s">
        <v>146</v>
      </c>
      <c r="Q675" s="10" t="s">
        <v>2142</v>
      </c>
      <c r="R675" s="10" t="s">
        <v>821</v>
      </c>
      <c r="S675" s="5">
        <v>0</v>
      </c>
      <c r="T675" s="37">
        <v>0</v>
      </c>
      <c r="U675" s="5">
        <v>1</v>
      </c>
      <c r="V675" s="37">
        <v>0</v>
      </c>
      <c r="W675" s="5">
        <v>0</v>
      </c>
      <c r="X675" s="5">
        <v>1</v>
      </c>
      <c r="Y675" s="5">
        <v>0</v>
      </c>
      <c r="Z675" s="37">
        <v>0</v>
      </c>
      <c r="AA675" s="5">
        <v>0</v>
      </c>
      <c r="AB675" s="5">
        <v>0</v>
      </c>
      <c r="AC675" s="5">
        <v>0</v>
      </c>
      <c r="AD675" s="5">
        <v>0</v>
      </c>
      <c r="AE675" s="10" t="s">
        <v>50</v>
      </c>
      <c r="AF675" s="10"/>
      <c r="AG675" s="10" t="s">
        <v>333</v>
      </c>
      <c r="AH675" s="10" t="s">
        <v>50</v>
      </c>
      <c r="AI675" s="5">
        <v>0</v>
      </c>
      <c r="AJ675" s="10" t="s">
        <v>50</v>
      </c>
      <c r="AK675" s="10" t="s">
        <v>50</v>
      </c>
    </row>
    <row r="676" spans="1:37" ht="36.75" customHeight="1" x14ac:dyDescent="0.35">
      <c r="A676" s="5"/>
      <c r="B676" s="5" t="s">
        <v>37</v>
      </c>
      <c r="C676" s="73" t="str">
        <f t="shared" si="10"/>
        <v>Closed</v>
      </c>
      <c r="D676" s="45" t="s">
        <v>3848</v>
      </c>
      <c r="E676" s="54" t="s">
        <v>3849</v>
      </c>
      <c r="F676" s="5" t="s">
        <v>404</v>
      </c>
      <c r="G676" s="10">
        <f>DATE(2009,6,22)</f>
        <v>39986</v>
      </c>
      <c r="H676" s="35">
        <v>1.0291666666666666</v>
      </c>
      <c r="I676" s="5" t="s">
        <v>55</v>
      </c>
      <c r="J676" s="10" t="s">
        <v>3850</v>
      </c>
      <c r="K676" s="5" t="s">
        <v>406</v>
      </c>
      <c r="L676" s="5" t="s">
        <v>3851</v>
      </c>
      <c r="M676" s="5" t="s">
        <v>45</v>
      </c>
      <c r="N676" s="5">
        <v>0</v>
      </c>
      <c r="O676" s="5" t="s">
        <v>59</v>
      </c>
      <c r="P676" s="10" t="s">
        <v>60</v>
      </c>
      <c r="Q676" s="10" t="s">
        <v>3762</v>
      </c>
      <c r="R676" s="10" t="s">
        <v>3083</v>
      </c>
      <c r="S676" s="5">
        <v>0</v>
      </c>
      <c r="T676" s="37" t="s">
        <v>50</v>
      </c>
      <c r="U676" s="5">
        <v>0</v>
      </c>
      <c r="V676" s="37" t="s">
        <v>50</v>
      </c>
      <c r="W676" s="5">
        <v>0</v>
      </c>
      <c r="X676" s="5">
        <v>0</v>
      </c>
      <c r="Y676" s="5">
        <v>0</v>
      </c>
      <c r="Z676" s="37" t="s">
        <v>50</v>
      </c>
      <c r="AA676" s="5">
        <v>0</v>
      </c>
      <c r="AB676" s="5">
        <v>0</v>
      </c>
      <c r="AC676" s="5">
        <v>0</v>
      </c>
      <c r="AD676" s="5">
        <v>0</v>
      </c>
      <c r="AE676" s="10" t="s">
        <v>50</v>
      </c>
      <c r="AF676" s="10"/>
      <c r="AG676" s="10" t="s">
        <v>855</v>
      </c>
      <c r="AH676" s="10" t="s">
        <v>50</v>
      </c>
      <c r="AI676" s="5">
        <v>2</v>
      </c>
      <c r="AJ676" s="10" t="s">
        <v>3852</v>
      </c>
      <c r="AK676" s="10" t="s">
        <v>3853</v>
      </c>
    </row>
    <row r="677" spans="1:37" ht="36.75" customHeight="1" x14ac:dyDescent="0.35">
      <c r="A677" s="5"/>
      <c r="B677" s="5" t="s">
        <v>37</v>
      </c>
      <c r="C677" s="73" t="str">
        <f t="shared" si="10"/>
        <v>Closed</v>
      </c>
      <c r="D677" s="45" t="s">
        <v>3854</v>
      </c>
      <c r="E677" s="54" t="s">
        <v>3855</v>
      </c>
      <c r="F677" s="5" t="s">
        <v>619</v>
      </c>
      <c r="G677" s="10">
        <f>DATE(2009,6,22)</f>
        <v>39986</v>
      </c>
      <c r="H677" s="35">
        <v>1.3888888888888888</v>
      </c>
      <c r="I677" s="5" t="s">
        <v>97</v>
      </c>
      <c r="J677" s="10" t="s">
        <v>3856</v>
      </c>
      <c r="K677" s="5" t="s">
        <v>621</v>
      </c>
      <c r="L677" s="5" t="s">
        <v>3857</v>
      </c>
      <c r="M677" s="5" t="s">
        <v>45</v>
      </c>
      <c r="N677" s="5">
        <v>0</v>
      </c>
      <c r="O677" s="5" t="s">
        <v>59</v>
      </c>
      <c r="P677" s="10" t="s">
        <v>146</v>
      </c>
      <c r="Q677" s="10" t="s">
        <v>3226</v>
      </c>
      <c r="R677" s="10" t="s">
        <v>3226</v>
      </c>
      <c r="S677" s="5">
        <v>0</v>
      </c>
      <c r="T677" s="37">
        <v>0</v>
      </c>
      <c r="U677" s="5">
        <v>1</v>
      </c>
      <c r="V677" s="37">
        <v>0</v>
      </c>
      <c r="W677" s="5">
        <v>0</v>
      </c>
      <c r="X677" s="5">
        <v>1</v>
      </c>
      <c r="Y677" s="5">
        <v>0</v>
      </c>
      <c r="Z677" s="37">
        <v>0</v>
      </c>
      <c r="AA677" s="5">
        <v>0</v>
      </c>
      <c r="AB677" s="5">
        <v>0</v>
      </c>
      <c r="AC677" s="5">
        <v>0</v>
      </c>
      <c r="AD677" s="5">
        <v>0</v>
      </c>
      <c r="AE677" s="10" t="s">
        <v>50</v>
      </c>
      <c r="AF677" s="10"/>
      <c r="AG677" s="10" t="s">
        <v>229</v>
      </c>
      <c r="AH677" s="10" t="s">
        <v>50</v>
      </c>
      <c r="AI677" s="5">
        <v>1</v>
      </c>
      <c r="AJ677" s="10" t="s">
        <v>50</v>
      </c>
      <c r="AK677" s="10" t="s">
        <v>50</v>
      </c>
    </row>
    <row r="678" spans="1:37" ht="36.75" customHeight="1" x14ac:dyDescent="0.35">
      <c r="A678" s="5"/>
      <c r="B678" s="5" t="s">
        <v>37</v>
      </c>
      <c r="C678" s="73" t="str">
        <f t="shared" si="10"/>
        <v>Closed</v>
      </c>
      <c r="D678" s="45" t="s">
        <v>3858</v>
      </c>
      <c r="E678" s="54" t="s">
        <v>3859</v>
      </c>
      <c r="F678" s="5" t="s">
        <v>404</v>
      </c>
      <c r="G678" s="10">
        <f>DATE(2009,6,23)</f>
        <v>39987</v>
      </c>
      <c r="H678" s="35">
        <v>1.1881944444444446</v>
      </c>
      <c r="I678" s="5" t="s">
        <v>179</v>
      </c>
      <c r="J678" s="10" t="s">
        <v>3860</v>
      </c>
      <c r="K678" s="5" t="s">
        <v>406</v>
      </c>
      <c r="L678" s="5" t="s">
        <v>3861</v>
      </c>
      <c r="M678" s="5" t="s">
        <v>45</v>
      </c>
      <c r="N678" s="5">
        <v>0</v>
      </c>
      <c r="O678" s="5" t="s">
        <v>59</v>
      </c>
      <c r="P678" s="10" t="s">
        <v>3114</v>
      </c>
      <c r="Q678" s="10" t="s">
        <v>535</v>
      </c>
      <c r="R678" s="10" t="s">
        <v>3083</v>
      </c>
      <c r="S678" s="5">
        <v>0</v>
      </c>
      <c r="T678" s="37" t="s">
        <v>50</v>
      </c>
      <c r="U678" s="5">
        <v>0</v>
      </c>
      <c r="V678" s="37" t="s">
        <v>50</v>
      </c>
      <c r="W678" s="5">
        <v>0</v>
      </c>
      <c r="X678" s="5">
        <v>0</v>
      </c>
      <c r="Y678" s="5">
        <v>0</v>
      </c>
      <c r="Z678" s="37" t="s">
        <v>50</v>
      </c>
      <c r="AA678" s="5">
        <v>0</v>
      </c>
      <c r="AB678" s="5">
        <v>0</v>
      </c>
      <c r="AC678" s="5">
        <v>0</v>
      </c>
      <c r="AD678" s="5">
        <v>0</v>
      </c>
      <c r="AE678" s="10" t="s">
        <v>50</v>
      </c>
      <c r="AF678" s="10"/>
      <c r="AG678" s="10" t="s">
        <v>1439</v>
      </c>
      <c r="AH678" s="10" t="s">
        <v>50</v>
      </c>
      <c r="AI678" s="5">
        <v>5</v>
      </c>
      <c r="AJ678" s="10" t="s">
        <v>3862</v>
      </c>
      <c r="AK678" s="10" t="s">
        <v>3863</v>
      </c>
    </row>
    <row r="679" spans="1:37" ht="36.75" customHeight="1" x14ac:dyDescent="0.35">
      <c r="A679" s="5"/>
      <c r="B679" s="5" t="s">
        <v>37</v>
      </c>
      <c r="C679" s="73" t="str">
        <f t="shared" si="10"/>
        <v>Closed</v>
      </c>
      <c r="D679" s="45" t="s">
        <v>3864</v>
      </c>
      <c r="E679" s="54" t="s">
        <v>3865</v>
      </c>
      <c r="F679" s="5" t="s">
        <v>619</v>
      </c>
      <c r="G679" s="10">
        <f>DATE(2009,6,26)</f>
        <v>39990</v>
      </c>
      <c r="H679" s="35">
        <v>1.3180555555555555</v>
      </c>
      <c r="I679" s="5" t="s">
        <v>179</v>
      </c>
      <c r="J679" s="10" t="s">
        <v>3866</v>
      </c>
      <c r="K679" s="5" t="s">
        <v>621</v>
      </c>
      <c r="L679" s="5" t="s">
        <v>3867</v>
      </c>
      <c r="M679" s="5" t="s">
        <v>45</v>
      </c>
      <c r="N679" s="5">
        <v>0</v>
      </c>
      <c r="O679" s="5" t="s">
        <v>59</v>
      </c>
      <c r="P679" s="10" t="s">
        <v>67</v>
      </c>
      <c r="Q679" s="10" t="s">
        <v>623</v>
      </c>
      <c r="R679" s="10" t="s">
        <v>624</v>
      </c>
      <c r="S679" s="5">
        <v>0</v>
      </c>
      <c r="T679" s="37" t="s">
        <v>50</v>
      </c>
      <c r="U679" s="5">
        <v>0</v>
      </c>
      <c r="V679" s="37" t="s">
        <v>50</v>
      </c>
      <c r="W679" s="5">
        <v>0</v>
      </c>
      <c r="X679" s="5">
        <v>0</v>
      </c>
      <c r="Y679" s="5">
        <v>0</v>
      </c>
      <c r="Z679" s="37" t="s">
        <v>50</v>
      </c>
      <c r="AA679" s="5">
        <v>0</v>
      </c>
      <c r="AB679" s="5">
        <v>0</v>
      </c>
      <c r="AC679" s="5">
        <v>0</v>
      </c>
      <c r="AD679" s="5">
        <v>0</v>
      </c>
      <c r="AE679" s="10" t="s">
        <v>50</v>
      </c>
      <c r="AF679" s="10"/>
      <c r="AG679" s="10" t="s">
        <v>114</v>
      </c>
      <c r="AH679" s="10" t="s">
        <v>50</v>
      </c>
      <c r="AI679" s="5">
        <v>1</v>
      </c>
      <c r="AJ679" s="10" t="s">
        <v>3868</v>
      </c>
      <c r="AK679" s="10" t="s">
        <v>50</v>
      </c>
    </row>
    <row r="680" spans="1:37" ht="36.75" customHeight="1" x14ac:dyDescent="0.35">
      <c r="A680" s="5"/>
      <c r="B680" s="5" t="s">
        <v>37</v>
      </c>
      <c r="C680" s="73" t="str">
        <f t="shared" si="10"/>
        <v>Closed</v>
      </c>
      <c r="D680" s="45" t="s">
        <v>3869</v>
      </c>
      <c r="E680" s="54" t="s">
        <v>3870</v>
      </c>
      <c r="F680" s="5" t="s">
        <v>619</v>
      </c>
      <c r="G680" s="10">
        <f>DATE(2009,6,26)</f>
        <v>39990</v>
      </c>
      <c r="H680" s="35">
        <v>1.4368055555555554</v>
      </c>
      <c r="I680" s="5" t="s">
        <v>85</v>
      </c>
      <c r="J680" s="10" t="s">
        <v>3871</v>
      </c>
      <c r="K680" s="5" t="s">
        <v>621</v>
      </c>
      <c r="L680" s="5" t="s">
        <v>3872</v>
      </c>
      <c r="M680" s="5" t="s">
        <v>45</v>
      </c>
      <c r="N680" s="5">
        <v>0</v>
      </c>
      <c r="O680" s="5" t="s">
        <v>59</v>
      </c>
      <c r="P680" s="10" t="s">
        <v>67</v>
      </c>
      <c r="Q680" s="10" t="s">
        <v>623</v>
      </c>
      <c r="R680" s="10" t="s">
        <v>624</v>
      </c>
      <c r="S680" s="5">
        <v>0</v>
      </c>
      <c r="T680" s="37" t="s">
        <v>50</v>
      </c>
      <c r="U680" s="5">
        <v>0</v>
      </c>
      <c r="V680" s="37" t="s">
        <v>50</v>
      </c>
      <c r="W680" s="5">
        <v>0</v>
      </c>
      <c r="X680" s="5">
        <v>0</v>
      </c>
      <c r="Y680" s="5">
        <v>0</v>
      </c>
      <c r="Z680" s="37" t="s">
        <v>50</v>
      </c>
      <c r="AA680" s="5">
        <v>0</v>
      </c>
      <c r="AB680" s="5">
        <v>0</v>
      </c>
      <c r="AC680" s="5">
        <v>0</v>
      </c>
      <c r="AD680" s="5">
        <v>0</v>
      </c>
      <c r="AE680" s="10" t="s">
        <v>50</v>
      </c>
      <c r="AF680" s="10"/>
      <c r="AG680" s="10" t="s">
        <v>229</v>
      </c>
      <c r="AH680" s="10" t="s">
        <v>50</v>
      </c>
      <c r="AI680" s="5">
        <v>1</v>
      </c>
      <c r="AJ680" s="10" t="s">
        <v>3873</v>
      </c>
      <c r="AK680" s="10" t="s">
        <v>50</v>
      </c>
    </row>
    <row r="681" spans="1:37" ht="36.75" customHeight="1" x14ac:dyDescent="0.35">
      <c r="A681" s="5"/>
      <c r="B681" s="5" t="s">
        <v>37</v>
      </c>
      <c r="C681" s="73" t="str">
        <f t="shared" si="10"/>
        <v>Closed</v>
      </c>
      <c r="D681" s="45" t="s">
        <v>3874</v>
      </c>
      <c r="E681" s="54" t="s">
        <v>3875</v>
      </c>
      <c r="F681" s="5" t="s">
        <v>404</v>
      </c>
      <c r="G681" s="10">
        <f>DATE(2009,6,27)</f>
        <v>39991</v>
      </c>
      <c r="H681" s="35">
        <v>1.4937499999999999</v>
      </c>
      <c r="I681" s="5" t="s">
        <v>85</v>
      </c>
      <c r="J681" s="10" t="s">
        <v>3876</v>
      </c>
      <c r="K681" s="5" t="s">
        <v>406</v>
      </c>
      <c r="L681" s="5" t="s">
        <v>3877</v>
      </c>
      <c r="M681" s="5" t="s">
        <v>45</v>
      </c>
      <c r="N681" s="5">
        <v>0</v>
      </c>
      <c r="O681" s="5" t="s">
        <v>59</v>
      </c>
      <c r="P681" s="10" t="s">
        <v>47</v>
      </c>
      <c r="Q681" s="10" t="s">
        <v>408</v>
      </c>
      <c r="R681" s="10" t="s">
        <v>3083</v>
      </c>
      <c r="S681" s="5">
        <v>0</v>
      </c>
      <c r="T681" s="37" t="s">
        <v>50</v>
      </c>
      <c r="U681" s="5">
        <v>0</v>
      </c>
      <c r="V681" s="37" t="s">
        <v>50</v>
      </c>
      <c r="W681" s="5">
        <v>0</v>
      </c>
      <c r="X681" s="5">
        <v>0</v>
      </c>
      <c r="Y681" s="5">
        <v>0</v>
      </c>
      <c r="Z681" s="37" t="s">
        <v>50</v>
      </c>
      <c r="AA681" s="5">
        <v>0</v>
      </c>
      <c r="AB681" s="5">
        <v>0</v>
      </c>
      <c r="AC681" s="5">
        <v>0</v>
      </c>
      <c r="AD681" s="5">
        <v>0</v>
      </c>
      <c r="AE681" s="10" t="s">
        <v>50</v>
      </c>
      <c r="AF681" s="10"/>
      <c r="AG681" s="10" t="s">
        <v>114</v>
      </c>
      <c r="AH681" s="10" t="s">
        <v>50</v>
      </c>
      <c r="AI681" s="5">
        <v>0</v>
      </c>
      <c r="AJ681" s="10" t="s">
        <v>3878</v>
      </c>
      <c r="AK681" s="10" t="s">
        <v>50</v>
      </c>
    </row>
    <row r="682" spans="1:37" ht="36.75" customHeight="1" x14ac:dyDescent="0.35">
      <c r="A682" s="5"/>
      <c r="B682" s="5" t="s">
        <v>37</v>
      </c>
      <c r="C682" s="73" t="str">
        <f t="shared" si="10"/>
        <v>Closed</v>
      </c>
      <c r="D682" s="45" t="s">
        <v>3879</v>
      </c>
      <c r="E682" s="54" t="s">
        <v>3880</v>
      </c>
      <c r="F682" s="5" t="s">
        <v>563</v>
      </c>
      <c r="G682" s="10">
        <f>DATE(2009,6,27)</f>
        <v>39991</v>
      </c>
      <c r="H682" s="35">
        <v>1.8506944444444446</v>
      </c>
      <c r="I682" s="5" t="s">
        <v>106</v>
      </c>
      <c r="J682" s="10" t="s">
        <v>3881</v>
      </c>
      <c r="K682" s="5" t="s">
        <v>565</v>
      </c>
      <c r="L682" s="5" t="s">
        <v>3882</v>
      </c>
      <c r="M682" s="5" t="s">
        <v>45</v>
      </c>
      <c r="N682" s="5">
        <v>0</v>
      </c>
      <c r="O682" s="5" t="s">
        <v>46</v>
      </c>
      <c r="P682" s="10" t="s">
        <v>146</v>
      </c>
      <c r="Q682" s="10" t="s">
        <v>3883</v>
      </c>
      <c r="R682" s="10" t="s">
        <v>568</v>
      </c>
      <c r="S682" s="5">
        <v>0</v>
      </c>
      <c r="T682" s="37">
        <v>0</v>
      </c>
      <c r="U682" s="5">
        <v>0</v>
      </c>
      <c r="V682" s="37">
        <v>0</v>
      </c>
      <c r="W682" s="5">
        <v>0</v>
      </c>
      <c r="X682" s="5">
        <v>0</v>
      </c>
      <c r="Y682" s="5">
        <v>0</v>
      </c>
      <c r="Z682" s="37">
        <v>0</v>
      </c>
      <c r="AA682" s="5">
        <v>0</v>
      </c>
      <c r="AB682" s="5">
        <v>0</v>
      </c>
      <c r="AC682" s="5">
        <v>0</v>
      </c>
      <c r="AD682" s="5">
        <v>0</v>
      </c>
      <c r="AE682" s="10" t="s">
        <v>50</v>
      </c>
      <c r="AF682" s="10"/>
      <c r="AG682" s="10" t="s">
        <v>114</v>
      </c>
      <c r="AH682" s="10" t="s">
        <v>50</v>
      </c>
      <c r="AI682" s="5">
        <v>3</v>
      </c>
      <c r="AJ682" s="10" t="s">
        <v>3884</v>
      </c>
      <c r="AK682" s="10" t="s">
        <v>1215</v>
      </c>
    </row>
    <row r="683" spans="1:37" ht="36.75" customHeight="1" x14ac:dyDescent="0.35">
      <c r="A683" s="5"/>
      <c r="B683" s="5" t="s">
        <v>37</v>
      </c>
      <c r="C683" s="73" t="str">
        <f t="shared" si="10"/>
        <v>Closed</v>
      </c>
      <c r="D683" s="45" t="s">
        <v>3885</v>
      </c>
      <c r="E683" s="54" t="s">
        <v>3886</v>
      </c>
      <c r="F683" s="5" t="s">
        <v>358</v>
      </c>
      <c r="G683" s="10">
        <f>DATE(2009,6,29)</f>
        <v>39993</v>
      </c>
      <c r="H683" s="35">
        <v>1.9916666666666667</v>
      </c>
      <c r="I683" s="5" t="s">
        <v>55</v>
      </c>
      <c r="J683" s="10" t="s">
        <v>3887</v>
      </c>
      <c r="K683" s="5" t="s">
        <v>360</v>
      </c>
      <c r="L683" s="5" t="s">
        <v>3888</v>
      </c>
      <c r="M683" s="5" t="s">
        <v>45</v>
      </c>
      <c r="N683" s="5" t="s">
        <v>70</v>
      </c>
      <c r="O683" s="5" t="s">
        <v>59</v>
      </c>
      <c r="P683" s="10" t="s">
        <v>60</v>
      </c>
      <c r="Q683" s="10" t="s">
        <v>3889</v>
      </c>
      <c r="R683" s="10" t="s">
        <v>363</v>
      </c>
      <c r="S683" s="5">
        <v>0</v>
      </c>
      <c r="T683" s="37">
        <v>0</v>
      </c>
      <c r="U683" s="5">
        <v>0</v>
      </c>
      <c r="V683" s="37">
        <v>0</v>
      </c>
      <c r="W683" s="5">
        <v>32</v>
      </c>
      <c r="X683" s="5">
        <v>32</v>
      </c>
      <c r="Y683" s="5">
        <v>0</v>
      </c>
      <c r="Z683" s="37">
        <v>0</v>
      </c>
      <c r="AA683" s="5">
        <v>0</v>
      </c>
      <c r="AB683" s="5">
        <v>0</v>
      </c>
      <c r="AC683" s="5">
        <v>126</v>
      </c>
      <c r="AD683" s="5">
        <v>126</v>
      </c>
      <c r="AE683" s="10" t="s">
        <v>126</v>
      </c>
      <c r="AF683" s="10"/>
      <c r="AG683" s="10" t="s">
        <v>64</v>
      </c>
      <c r="AH683" s="10">
        <v>39993</v>
      </c>
      <c r="AI683" s="5">
        <v>13</v>
      </c>
      <c r="AJ683" s="10" t="s">
        <v>3890</v>
      </c>
      <c r="AK683" s="10" t="s">
        <v>3891</v>
      </c>
    </row>
    <row r="684" spans="1:37" ht="36.75" customHeight="1" x14ac:dyDescent="0.35">
      <c r="A684" s="5"/>
      <c r="B684" s="5" t="s">
        <v>37</v>
      </c>
      <c r="C684" s="73" t="str">
        <f t="shared" si="10"/>
        <v>Closed</v>
      </c>
      <c r="D684" s="45" t="s">
        <v>3892</v>
      </c>
      <c r="E684" s="54" t="s">
        <v>3893</v>
      </c>
      <c r="F684" s="5" t="s">
        <v>404</v>
      </c>
      <c r="G684" s="10">
        <f>DATE(2009,7,1)</f>
        <v>39995</v>
      </c>
      <c r="H684" s="35">
        <v>1.4305555555555556</v>
      </c>
      <c r="I684" s="5" t="s">
        <v>97</v>
      </c>
      <c r="J684" s="10" t="s">
        <v>3894</v>
      </c>
      <c r="K684" s="5" t="s">
        <v>406</v>
      </c>
      <c r="L684" s="5" t="s">
        <v>3895</v>
      </c>
      <c r="M684" s="5" t="s">
        <v>45</v>
      </c>
      <c r="N684" s="5">
        <v>0</v>
      </c>
      <c r="O684" s="5" t="s">
        <v>46</v>
      </c>
      <c r="P684" s="10" t="s">
        <v>47</v>
      </c>
      <c r="Q684" s="10" t="s">
        <v>408</v>
      </c>
      <c r="R684" s="10" t="s">
        <v>3083</v>
      </c>
      <c r="S684" s="5">
        <v>0</v>
      </c>
      <c r="T684" s="37" t="s">
        <v>50</v>
      </c>
      <c r="U684" s="5">
        <v>0</v>
      </c>
      <c r="V684" s="37" t="s">
        <v>50</v>
      </c>
      <c r="W684" s="5">
        <v>0</v>
      </c>
      <c r="X684" s="5">
        <v>0</v>
      </c>
      <c r="Y684" s="5">
        <v>0</v>
      </c>
      <c r="Z684" s="37" t="s">
        <v>50</v>
      </c>
      <c r="AA684" s="5">
        <v>0</v>
      </c>
      <c r="AB684" s="5">
        <v>0</v>
      </c>
      <c r="AC684" s="5">
        <v>0</v>
      </c>
      <c r="AD684" s="5">
        <v>0</v>
      </c>
      <c r="AE684" s="10" t="s">
        <v>50</v>
      </c>
      <c r="AF684" s="10"/>
      <c r="AG684" s="10" t="s">
        <v>333</v>
      </c>
      <c r="AH684" s="10" t="s">
        <v>50</v>
      </c>
      <c r="AI684" s="5">
        <v>0</v>
      </c>
      <c r="AJ684" s="10" t="s">
        <v>50</v>
      </c>
      <c r="AK684" s="10" t="s">
        <v>50</v>
      </c>
    </row>
    <row r="685" spans="1:37" ht="36.75" customHeight="1" x14ac:dyDescent="0.35">
      <c r="A685" s="5"/>
      <c r="B685" s="5" t="s">
        <v>37</v>
      </c>
      <c r="C685" s="73" t="str">
        <f t="shared" si="10"/>
        <v>Closed</v>
      </c>
      <c r="D685" s="45" t="s">
        <v>3896</v>
      </c>
      <c r="E685" s="54" t="s">
        <v>3897</v>
      </c>
      <c r="F685" s="5" t="s">
        <v>404</v>
      </c>
      <c r="G685" s="10">
        <f>DATE(2009,7,1)</f>
        <v>39995</v>
      </c>
      <c r="H685" s="35">
        <v>1.5138888888888888</v>
      </c>
      <c r="I685" s="5" t="s">
        <v>55</v>
      </c>
      <c r="J685" s="10" t="s">
        <v>3898</v>
      </c>
      <c r="K685" s="5" t="s">
        <v>406</v>
      </c>
      <c r="L685" s="5" t="s">
        <v>3899</v>
      </c>
      <c r="M685" s="5" t="s">
        <v>45</v>
      </c>
      <c r="N685" s="5">
        <v>0</v>
      </c>
      <c r="O685" s="5" t="s">
        <v>46</v>
      </c>
      <c r="P685" s="10" t="s">
        <v>60</v>
      </c>
      <c r="Q685" s="10" t="s">
        <v>3900</v>
      </c>
      <c r="R685" s="10" t="s">
        <v>3083</v>
      </c>
      <c r="S685" s="5">
        <v>0</v>
      </c>
      <c r="T685" s="37" t="s">
        <v>50</v>
      </c>
      <c r="U685" s="5">
        <v>0</v>
      </c>
      <c r="V685" s="37" t="s">
        <v>50</v>
      </c>
      <c r="W685" s="5">
        <v>0</v>
      </c>
      <c r="X685" s="5">
        <v>0</v>
      </c>
      <c r="Y685" s="5">
        <v>0</v>
      </c>
      <c r="Z685" s="37" t="s">
        <v>50</v>
      </c>
      <c r="AA685" s="5">
        <v>0</v>
      </c>
      <c r="AB685" s="5">
        <v>0</v>
      </c>
      <c r="AC685" s="5">
        <v>0</v>
      </c>
      <c r="AD685" s="5">
        <v>0</v>
      </c>
      <c r="AE685" s="10" t="s">
        <v>50</v>
      </c>
      <c r="AF685" s="10"/>
      <c r="AG685" s="10" t="s">
        <v>114</v>
      </c>
      <c r="AH685" s="10" t="s">
        <v>50</v>
      </c>
      <c r="AI685" s="5">
        <v>2</v>
      </c>
      <c r="AJ685" s="10" t="s">
        <v>3901</v>
      </c>
      <c r="AK685" s="10" t="s">
        <v>3902</v>
      </c>
    </row>
    <row r="686" spans="1:37" ht="36.75" customHeight="1" x14ac:dyDescent="0.35">
      <c r="A686" s="5"/>
      <c r="B686" s="5" t="s">
        <v>37</v>
      </c>
      <c r="C686" s="73" t="str">
        <f t="shared" si="10"/>
        <v>Closed</v>
      </c>
      <c r="D686" s="45" t="s">
        <v>3903</v>
      </c>
      <c r="E686" s="54" t="s">
        <v>3904</v>
      </c>
      <c r="F686" s="5" t="s">
        <v>96</v>
      </c>
      <c r="G686" s="10">
        <f>DATE(2009,7,3)</f>
        <v>39997</v>
      </c>
      <c r="H686" s="35">
        <v>1.8624999999999998</v>
      </c>
      <c r="I686" s="5" t="s">
        <v>137</v>
      </c>
      <c r="J686" s="10" t="s">
        <v>3905</v>
      </c>
      <c r="K686" s="5" t="s">
        <v>99</v>
      </c>
      <c r="L686" s="5" t="s">
        <v>3906</v>
      </c>
      <c r="M686" s="5" t="s">
        <v>45</v>
      </c>
      <c r="N686" s="5">
        <v>0</v>
      </c>
      <c r="O686" s="5" t="s">
        <v>46</v>
      </c>
      <c r="P686" s="10" t="s">
        <v>47</v>
      </c>
      <c r="Q686" s="10" t="s">
        <v>101</v>
      </c>
      <c r="R686" s="10" t="s">
        <v>102</v>
      </c>
      <c r="S686" s="5">
        <v>0</v>
      </c>
      <c r="T686" s="37">
        <v>0</v>
      </c>
      <c r="U686" s="5">
        <v>0</v>
      </c>
      <c r="V686" s="37">
        <v>0</v>
      </c>
      <c r="W686" s="5">
        <v>0</v>
      </c>
      <c r="X686" s="5">
        <v>0</v>
      </c>
      <c r="Y686" s="5">
        <v>1</v>
      </c>
      <c r="Z686" s="37">
        <v>0</v>
      </c>
      <c r="AA686" s="5">
        <v>0</v>
      </c>
      <c r="AB686" s="5">
        <v>0</v>
      </c>
      <c r="AC686" s="5">
        <v>0</v>
      </c>
      <c r="AD686" s="5">
        <v>1</v>
      </c>
      <c r="AE686" s="10" t="s">
        <v>50</v>
      </c>
      <c r="AF686" s="10"/>
      <c r="AG686" s="10" t="s">
        <v>64</v>
      </c>
      <c r="AH686" s="10" t="s">
        <v>50</v>
      </c>
      <c r="AI686" s="5">
        <v>3</v>
      </c>
      <c r="AJ686" s="10" t="s">
        <v>3907</v>
      </c>
      <c r="AK686" s="10" t="s">
        <v>3908</v>
      </c>
    </row>
    <row r="687" spans="1:37" ht="36.75" customHeight="1" x14ac:dyDescent="0.35">
      <c r="A687" s="5"/>
      <c r="B687" s="5" t="s">
        <v>37</v>
      </c>
      <c r="C687" s="73" t="str">
        <f t="shared" si="10"/>
        <v>Closed</v>
      </c>
      <c r="D687" s="45" t="s">
        <v>3909</v>
      </c>
      <c r="E687" s="54" t="s">
        <v>3910</v>
      </c>
      <c r="F687" s="5" t="s">
        <v>1919</v>
      </c>
      <c r="G687" s="10">
        <f>DATE(2009,7,3)</f>
        <v>39997</v>
      </c>
      <c r="H687" s="35">
        <v>1.2083333333333333</v>
      </c>
      <c r="I687" s="5" t="s">
        <v>55</v>
      </c>
      <c r="J687" s="10" t="s">
        <v>3911</v>
      </c>
      <c r="K687" s="5" t="s">
        <v>1921</v>
      </c>
      <c r="L687" s="5" t="s">
        <v>3912</v>
      </c>
      <c r="M687" s="5" t="s">
        <v>45</v>
      </c>
      <c r="N687" s="5">
        <v>0</v>
      </c>
      <c r="O687" s="5" t="s">
        <v>46</v>
      </c>
      <c r="P687" s="10" t="s">
        <v>282</v>
      </c>
      <c r="Q687" s="10" t="s">
        <v>1923</v>
      </c>
      <c r="R687" s="10" t="s">
        <v>1923</v>
      </c>
      <c r="S687" s="5">
        <v>0</v>
      </c>
      <c r="T687" s="37" t="s">
        <v>50</v>
      </c>
      <c r="U687" s="5">
        <v>0</v>
      </c>
      <c r="V687" s="37" t="s">
        <v>50</v>
      </c>
      <c r="W687" s="5">
        <v>0</v>
      </c>
      <c r="X687" s="5">
        <v>0</v>
      </c>
      <c r="Y687" s="5">
        <v>0</v>
      </c>
      <c r="Z687" s="37" t="s">
        <v>50</v>
      </c>
      <c r="AA687" s="5">
        <v>0</v>
      </c>
      <c r="AB687" s="5">
        <v>0</v>
      </c>
      <c r="AC687" s="5">
        <v>0</v>
      </c>
      <c r="AD687" s="5">
        <v>0</v>
      </c>
      <c r="AE687" s="10" t="s">
        <v>50</v>
      </c>
      <c r="AF687" s="10"/>
      <c r="AG687" s="10" t="s">
        <v>114</v>
      </c>
      <c r="AH687" s="10" t="s">
        <v>50</v>
      </c>
      <c r="AI687" s="5">
        <v>2</v>
      </c>
      <c r="AJ687" s="10" t="s">
        <v>3913</v>
      </c>
      <c r="AK687" s="10" t="s">
        <v>3914</v>
      </c>
    </row>
    <row r="688" spans="1:37" ht="36.75" customHeight="1" x14ac:dyDescent="0.35">
      <c r="A688" s="5"/>
      <c r="B688" s="5" t="s">
        <v>37</v>
      </c>
      <c r="C688" s="73" t="str">
        <f t="shared" si="10"/>
        <v>Closed</v>
      </c>
      <c r="D688" s="45" t="s">
        <v>3915</v>
      </c>
      <c r="E688" s="54" t="s">
        <v>3916</v>
      </c>
      <c r="F688" s="5" t="s">
        <v>214</v>
      </c>
      <c r="G688" s="10">
        <f>DATE(2009,7,4)</f>
        <v>39998</v>
      </c>
      <c r="H688" s="35">
        <v>1.6680555555555556</v>
      </c>
      <c r="I688" s="5" t="s">
        <v>67</v>
      </c>
      <c r="J688" s="10" t="s">
        <v>3917</v>
      </c>
      <c r="K688" s="5" t="s">
        <v>216</v>
      </c>
      <c r="L688" s="5" t="s">
        <v>3918</v>
      </c>
      <c r="M688" s="5" t="s">
        <v>45</v>
      </c>
      <c r="N688" s="5" t="s">
        <v>123</v>
      </c>
      <c r="O688" s="5" t="s">
        <v>46</v>
      </c>
      <c r="P688" s="10" t="s">
        <v>534</v>
      </c>
      <c r="Q688" s="10" t="s">
        <v>3919</v>
      </c>
      <c r="R688" s="10" t="s">
        <v>219</v>
      </c>
      <c r="S688" s="5">
        <v>0</v>
      </c>
      <c r="T688" s="37">
        <v>0</v>
      </c>
      <c r="U688" s="5">
        <v>0</v>
      </c>
      <c r="V688" s="37">
        <v>0</v>
      </c>
      <c r="W688" s="5">
        <v>0</v>
      </c>
      <c r="X688" s="5">
        <v>0</v>
      </c>
      <c r="Y688" s="5">
        <v>0</v>
      </c>
      <c r="Z688" s="37">
        <v>0</v>
      </c>
      <c r="AA688" s="5">
        <v>0</v>
      </c>
      <c r="AB688" s="5">
        <v>0</v>
      </c>
      <c r="AC688" s="5">
        <v>0</v>
      </c>
      <c r="AD688" s="5">
        <v>0</v>
      </c>
      <c r="AE688" s="10" t="s">
        <v>50</v>
      </c>
      <c r="AF688" s="10"/>
      <c r="AG688" s="10" t="s">
        <v>114</v>
      </c>
      <c r="AH688" s="10" t="s">
        <v>50</v>
      </c>
      <c r="AI688" s="5">
        <v>3</v>
      </c>
      <c r="AJ688" s="10" t="s">
        <v>3920</v>
      </c>
      <c r="AK688" s="10" t="s">
        <v>3921</v>
      </c>
    </row>
    <row r="689" spans="1:37" ht="36.75" customHeight="1" x14ac:dyDescent="0.35">
      <c r="A689" s="5"/>
      <c r="B689" s="5" t="s">
        <v>37</v>
      </c>
      <c r="C689" s="73" t="str">
        <f t="shared" si="10"/>
        <v>Closed</v>
      </c>
      <c r="D689" s="45" t="s">
        <v>3922</v>
      </c>
      <c r="E689" s="54" t="s">
        <v>3923</v>
      </c>
      <c r="F689" s="5" t="s">
        <v>619</v>
      </c>
      <c r="G689" s="10">
        <f>DATE(2009,7,6)</f>
        <v>40000</v>
      </c>
      <c r="H689" s="35">
        <v>1.7090277777777776</v>
      </c>
      <c r="I689" s="5" t="s">
        <v>97</v>
      </c>
      <c r="J689" s="10" t="s">
        <v>3924</v>
      </c>
      <c r="K689" s="5" t="s">
        <v>621</v>
      </c>
      <c r="L689" s="5" t="s">
        <v>3925</v>
      </c>
      <c r="M689" s="5" t="s">
        <v>45</v>
      </c>
      <c r="N689" s="5">
        <v>0</v>
      </c>
      <c r="O689" s="5" t="s">
        <v>46</v>
      </c>
      <c r="P689" s="10" t="s">
        <v>47</v>
      </c>
      <c r="Q689" s="10" t="s">
        <v>623</v>
      </c>
      <c r="R689" s="10" t="s">
        <v>624</v>
      </c>
      <c r="S689" s="5">
        <v>0</v>
      </c>
      <c r="T689" s="37">
        <v>0</v>
      </c>
      <c r="U689" s="5">
        <v>1</v>
      </c>
      <c r="V689" s="37">
        <v>0</v>
      </c>
      <c r="W689" s="5">
        <v>0</v>
      </c>
      <c r="X689" s="5">
        <v>1</v>
      </c>
      <c r="Y689" s="5">
        <v>0</v>
      </c>
      <c r="Z689" s="37">
        <v>0</v>
      </c>
      <c r="AA689" s="5">
        <v>0</v>
      </c>
      <c r="AB689" s="5">
        <v>0</v>
      </c>
      <c r="AC689" s="5">
        <v>0</v>
      </c>
      <c r="AD689" s="5">
        <v>0</v>
      </c>
      <c r="AE689" s="10" t="s">
        <v>50</v>
      </c>
      <c r="AF689" s="10"/>
      <c r="AG689" s="10" t="s">
        <v>229</v>
      </c>
      <c r="AH689" s="10" t="s">
        <v>50</v>
      </c>
      <c r="AI689" s="5">
        <v>1</v>
      </c>
      <c r="AJ689" s="10" t="s">
        <v>50</v>
      </c>
      <c r="AK689" s="10" t="s">
        <v>50</v>
      </c>
    </row>
    <row r="690" spans="1:37" ht="36.75" customHeight="1" x14ac:dyDescent="0.35">
      <c r="A690" s="5"/>
      <c r="B690" s="5" t="s">
        <v>37</v>
      </c>
      <c r="C690" s="73" t="str">
        <f t="shared" si="10"/>
        <v>Closed</v>
      </c>
      <c r="D690" s="45" t="s">
        <v>3926</v>
      </c>
      <c r="E690" s="54" t="s">
        <v>3927</v>
      </c>
      <c r="F690" s="5" t="s">
        <v>432</v>
      </c>
      <c r="G690" s="10">
        <f>DATE(2009,7,8)</f>
        <v>40002</v>
      </c>
      <c r="H690" s="35">
        <v>1.59375</v>
      </c>
      <c r="I690" s="5" t="s">
        <v>106</v>
      </c>
      <c r="J690" s="10" t="s">
        <v>3928</v>
      </c>
      <c r="K690" s="5" t="s">
        <v>434</v>
      </c>
      <c r="L690" s="5" t="s">
        <v>3929</v>
      </c>
      <c r="M690" s="5" t="s">
        <v>45</v>
      </c>
      <c r="N690" s="5" t="s">
        <v>80</v>
      </c>
      <c r="O690" s="5" t="s">
        <v>59</v>
      </c>
      <c r="P690" s="10" t="s">
        <v>47</v>
      </c>
      <c r="Q690" s="10" t="s">
        <v>552</v>
      </c>
      <c r="R690" s="10" t="s">
        <v>553</v>
      </c>
      <c r="S690" s="5">
        <v>0</v>
      </c>
      <c r="T690" s="37">
        <v>0</v>
      </c>
      <c r="U690" s="5">
        <v>0</v>
      </c>
      <c r="V690" s="37">
        <v>0</v>
      </c>
      <c r="W690" s="5">
        <v>0</v>
      </c>
      <c r="X690" s="5">
        <v>0</v>
      </c>
      <c r="Y690" s="5">
        <v>0</v>
      </c>
      <c r="Z690" s="37">
        <v>0</v>
      </c>
      <c r="AA690" s="5">
        <v>0</v>
      </c>
      <c r="AB690" s="5">
        <v>0</v>
      </c>
      <c r="AC690" s="5">
        <v>0</v>
      </c>
      <c r="AD690" s="5">
        <v>0</v>
      </c>
      <c r="AE690" s="10" t="s">
        <v>375</v>
      </c>
      <c r="AF690" s="10"/>
      <c r="AG690" s="10" t="s">
        <v>333</v>
      </c>
      <c r="AH690" s="10">
        <v>41122</v>
      </c>
      <c r="AI690" s="5">
        <v>1</v>
      </c>
      <c r="AJ690" s="10" t="s">
        <v>3930</v>
      </c>
      <c r="AK690" s="10" t="s">
        <v>1215</v>
      </c>
    </row>
    <row r="691" spans="1:37" ht="36.75" customHeight="1" x14ac:dyDescent="0.35">
      <c r="A691" s="5"/>
      <c r="B691" s="5" t="s">
        <v>37</v>
      </c>
      <c r="C691" s="73" t="str">
        <f t="shared" si="10"/>
        <v>Closed</v>
      </c>
      <c r="D691" s="45" t="s">
        <v>3931</v>
      </c>
      <c r="E691" s="54" t="s">
        <v>3932</v>
      </c>
      <c r="F691" s="5" t="s">
        <v>619</v>
      </c>
      <c r="G691" s="10">
        <f>DATE(2009,7,8)</f>
        <v>40002</v>
      </c>
      <c r="H691" s="35">
        <v>1.7645833333333334</v>
      </c>
      <c r="I691" s="5" t="s">
        <v>97</v>
      </c>
      <c r="J691" s="10" t="s">
        <v>3933</v>
      </c>
      <c r="K691" s="5" t="s">
        <v>621</v>
      </c>
      <c r="L691" s="5" t="s">
        <v>3934</v>
      </c>
      <c r="M691" s="5" t="s">
        <v>45</v>
      </c>
      <c r="N691" s="5">
        <v>0</v>
      </c>
      <c r="O691" s="5" t="s">
        <v>67</v>
      </c>
      <c r="P691" s="10" t="s">
        <v>60</v>
      </c>
      <c r="Q691" s="10" t="s">
        <v>3226</v>
      </c>
      <c r="R691" s="10" t="s">
        <v>3226</v>
      </c>
      <c r="S691" s="5">
        <v>0</v>
      </c>
      <c r="T691" s="37">
        <v>0</v>
      </c>
      <c r="U691" s="5">
        <v>1</v>
      </c>
      <c r="V691" s="37">
        <v>0</v>
      </c>
      <c r="W691" s="5">
        <v>0</v>
      </c>
      <c r="X691" s="5">
        <v>1</v>
      </c>
      <c r="Y691" s="5">
        <v>0</v>
      </c>
      <c r="Z691" s="37">
        <v>0</v>
      </c>
      <c r="AA691" s="5">
        <v>0</v>
      </c>
      <c r="AB691" s="5">
        <v>0</v>
      </c>
      <c r="AC691" s="5">
        <v>0</v>
      </c>
      <c r="AD691" s="5">
        <v>0</v>
      </c>
      <c r="AE691" s="10" t="s">
        <v>50</v>
      </c>
      <c r="AF691" s="10"/>
      <c r="AG691" s="10" t="s">
        <v>229</v>
      </c>
      <c r="AH691" s="10" t="s">
        <v>50</v>
      </c>
      <c r="AI691" s="5">
        <v>1</v>
      </c>
      <c r="AJ691" s="10" t="s">
        <v>3935</v>
      </c>
      <c r="AK691" s="10" t="s">
        <v>50</v>
      </c>
    </row>
    <row r="692" spans="1:37" ht="36.75" customHeight="1" x14ac:dyDescent="0.35">
      <c r="A692" s="5"/>
      <c r="B692" s="5" t="s">
        <v>37</v>
      </c>
      <c r="C692" s="73" t="str">
        <f t="shared" si="10"/>
        <v>Closed</v>
      </c>
      <c r="D692" s="45" t="s">
        <v>3936</v>
      </c>
      <c r="E692" s="54" t="s">
        <v>3937</v>
      </c>
      <c r="F692" s="5" t="s">
        <v>575</v>
      </c>
      <c r="G692" s="10">
        <f>DATE(2009,7,8)</f>
        <v>40002</v>
      </c>
      <c r="H692" s="35">
        <v>1.5666666666666667</v>
      </c>
      <c r="I692" s="5" t="s">
        <v>259</v>
      </c>
      <c r="J692" s="10" t="s">
        <v>3938</v>
      </c>
      <c r="K692" s="5" t="s">
        <v>577</v>
      </c>
      <c r="L692" s="5" t="s">
        <v>3939</v>
      </c>
      <c r="M692" s="5" t="s">
        <v>236</v>
      </c>
      <c r="N692" s="5">
        <v>0</v>
      </c>
      <c r="O692" s="5" t="s">
        <v>46</v>
      </c>
      <c r="P692" s="10" t="s">
        <v>146</v>
      </c>
      <c r="Q692" s="10" t="s">
        <v>3940</v>
      </c>
      <c r="R692" s="10" t="s">
        <v>3940</v>
      </c>
      <c r="S692" s="5">
        <v>0</v>
      </c>
      <c r="T692" s="37">
        <v>0</v>
      </c>
      <c r="U692" s="5">
        <v>0</v>
      </c>
      <c r="V692" s="37">
        <v>1</v>
      </c>
      <c r="W692" s="5">
        <v>0</v>
      </c>
      <c r="X692" s="5">
        <v>1</v>
      </c>
      <c r="Y692" s="5">
        <v>0</v>
      </c>
      <c r="Z692" s="37">
        <v>0</v>
      </c>
      <c r="AA692" s="5">
        <v>0</v>
      </c>
      <c r="AB692" s="5">
        <v>1</v>
      </c>
      <c r="AC692" s="5">
        <v>0</v>
      </c>
      <c r="AD692" s="5">
        <v>1</v>
      </c>
      <c r="AE692" s="10" t="s">
        <v>50</v>
      </c>
      <c r="AF692" s="10"/>
      <c r="AG692" s="10" t="s">
        <v>348</v>
      </c>
      <c r="AH692" s="10" t="s">
        <v>50</v>
      </c>
      <c r="AI692" s="5">
        <v>7</v>
      </c>
      <c r="AJ692" s="10" t="s">
        <v>50</v>
      </c>
      <c r="AK692" s="10" t="s">
        <v>50</v>
      </c>
    </row>
    <row r="693" spans="1:37" ht="36.75" customHeight="1" x14ac:dyDescent="0.35">
      <c r="A693" s="5"/>
      <c r="B693" s="5" t="s">
        <v>37</v>
      </c>
      <c r="C693" s="73" t="str">
        <f t="shared" si="10"/>
        <v>Closed</v>
      </c>
      <c r="D693" s="45" t="s">
        <v>3941</v>
      </c>
      <c r="E693" s="54" t="s">
        <v>3942</v>
      </c>
      <c r="F693" s="5" t="s">
        <v>619</v>
      </c>
      <c r="G693" s="10">
        <f>DATE(2009,7,13)</f>
        <v>40007</v>
      </c>
      <c r="H693" s="35">
        <v>1.7805555555555554</v>
      </c>
      <c r="I693" s="5" t="s">
        <v>97</v>
      </c>
      <c r="J693" s="10" t="s">
        <v>3943</v>
      </c>
      <c r="K693" s="5" t="s">
        <v>621</v>
      </c>
      <c r="L693" s="5" t="s">
        <v>3944</v>
      </c>
      <c r="M693" s="5" t="s">
        <v>45</v>
      </c>
      <c r="N693" s="5">
        <v>0</v>
      </c>
      <c r="O693" s="5" t="s">
        <v>46</v>
      </c>
      <c r="P693" s="10" t="s">
        <v>146</v>
      </c>
      <c r="Q693" s="10" t="s">
        <v>623</v>
      </c>
      <c r="R693" s="10" t="s">
        <v>624</v>
      </c>
      <c r="S693" s="5">
        <v>0</v>
      </c>
      <c r="T693" s="37">
        <v>0</v>
      </c>
      <c r="U693" s="5">
        <v>0</v>
      </c>
      <c r="V693" s="37">
        <v>0</v>
      </c>
      <c r="W693" s="5">
        <v>0</v>
      </c>
      <c r="X693" s="5">
        <v>0</v>
      </c>
      <c r="Y693" s="5">
        <v>0</v>
      </c>
      <c r="Z693" s="37">
        <v>0</v>
      </c>
      <c r="AA693" s="5">
        <v>0</v>
      </c>
      <c r="AB693" s="5">
        <v>0</v>
      </c>
      <c r="AC693" s="5">
        <v>0</v>
      </c>
      <c r="AD693" s="5">
        <v>0</v>
      </c>
      <c r="AE693" s="10" t="s">
        <v>50</v>
      </c>
      <c r="AF693" s="10"/>
      <c r="AG693" s="10" t="s">
        <v>229</v>
      </c>
      <c r="AH693" s="10" t="s">
        <v>50</v>
      </c>
      <c r="AI693" s="5">
        <v>0</v>
      </c>
      <c r="AJ693" s="10" t="s">
        <v>50</v>
      </c>
      <c r="AK693" s="10" t="s">
        <v>50</v>
      </c>
    </row>
    <row r="694" spans="1:37" ht="36.75" customHeight="1" x14ac:dyDescent="0.35">
      <c r="A694" s="5"/>
      <c r="B694" s="5" t="s">
        <v>37</v>
      </c>
      <c r="C694" s="73" t="str">
        <f t="shared" si="10"/>
        <v>Closed</v>
      </c>
      <c r="D694" s="45" t="s">
        <v>3945</v>
      </c>
      <c r="E694" s="54" t="s">
        <v>3946</v>
      </c>
      <c r="F694" s="5" t="s">
        <v>40</v>
      </c>
      <c r="G694" s="10">
        <f>DATE(2009,7,14)</f>
        <v>40008</v>
      </c>
      <c r="H694" s="35">
        <v>1.4701388888888889</v>
      </c>
      <c r="I694" s="5" t="s">
        <v>97</v>
      </c>
      <c r="J694" s="10" t="s">
        <v>3947</v>
      </c>
      <c r="K694" s="5" t="s">
        <v>43</v>
      </c>
      <c r="L694" s="5" t="s">
        <v>3948</v>
      </c>
      <c r="M694" s="5" t="s">
        <v>45</v>
      </c>
      <c r="N694" s="5" t="s">
        <v>80</v>
      </c>
      <c r="O694" s="5" t="s">
        <v>46</v>
      </c>
      <c r="P694" s="10" t="s">
        <v>60</v>
      </c>
      <c r="Q694" s="10" t="s">
        <v>48</v>
      </c>
      <c r="R694" s="10" t="s">
        <v>49</v>
      </c>
      <c r="S694" s="5">
        <v>0</v>
      </c>
      <c r="T694" s="37">
        <v>0</v>
      </c>
      <c r="U694" s="5">
        <v>1</v>
      </c>
      <c r="V694" s="37">
        <v>0</v>
      </c>
      <c r="W694" s="5">
        <v>0</v>
      </c>
      <c r="X694" s="5">
        <v>1</v>
      </c>
      <c r="Y694" s="5">
        <v>0</v>
      </c>
      <c r="Z694" s="37">
        <v>0</v>
      </c>
      <c r="AA694" s="5">
        <v>1</v>
      </c>
      <c r="AB694" s="5">
        <v>0</v>
      </c>
      <c r="AC694" s="5">
        <v>0</v>
      </c>
      <c r="AD694" s="5">
        <v>1</v>
      </c>
      <c r="AE694" s="10" t="s">
        <v>73</v>
      </c>
      <c r="AF694" s="10"/>
      <c r="AG694" s="10" t="s">
        <v>64</v>
      </c>
      <c r="AH694" s="10">
        <v>40009</v>
      </c>
      <c r="AI694" s="5">
        <v>1</v>
      </c>
      <c r="AJ694" s="10" t="s">
        <v>3949</v>
      </c>
      <c r="AK694" s="10" t="s">
        <v>3950</v>
      </c>
    </row>
    <row r="695" spans="1:37" ht="36.75" customHeight="1" x14ac:dyDescent="0.35">
      <c r="A695" s="5"/>
      <c r="B695" s="5" t="s">
        <v>37</v>
      </c>
      <c r="C695" s="73" t="str">
        <f t="shared" si="10"/>
        <v>Closed</v>
      </c>
      <c r="D695" s="45" t="s">
        <v>3951</v>
      </c>
      <c r="E695" s="54" t="s">
        <v>3952</v>
      </c>
      <c r="F695" s="5" t="s">
        <v>105</v>
      </c>
      <c r="G695" s="10">
        <f>DATE(2009,7,15)</f>
        <v>40009</v>
      </c>
      <c r="H695" s="35">
        <v>1.4027777777777777</v>
      </c>
      <c r="I695" s="5" t="s">
        <v>97</v>
      </c>
      <c r="J695" s="10" t="s">
        <v>3953</v>
      </c>
      <c r="K695" s="5" t="s">
        <v>108</v>
      </c>
      <c r="L695" s="5" t="s">
        <v>3954</v>
      </c>
      <c r="M695" s="5" t="s">
        <v>45</v>
      </c>
      <c r="N695" s="5">
        <v>0</v>
      </c>
      <c r="O695" s="5" t="s">
        <v>46</v>
      </c>
      <c r="P695" s="10" t="s">
        <v>146</v>
      </c>
      <c r="Q695" s="10" t="s">
        <v>3578</v>
      </c>
      <c r="R695" s="10" t="s">
        <v>148</v>
      </c>
      <c r="S695" s="5">
        <v>0</v>
      </c>
      <c r="T695" s="37">
        <v>0</v>
      </c>
      <c r="U695" s="5">
        <v>1</v>
      </c>
      <c r="V695" s="37">
        <v>0</v>
      </c>
      <c r="W695" s="5">
        <v>0</v>
      </c>
      <c r="X695" s="5">
        <v>1</v>
      </c>
      <c r="Y695" s="5">
        <v>0</v>
      </c>
      <c r="Z695" s="37">
        <v>0</v>
      </c>
      <c r="AA695" s="5">
        <v>0</v>
      </c>
      <c r="AB695" s="5">
        <v>0</v>
      </c>
      <c r="AC695" s="5">
        <v>0</v>
      </c>
      <c r="AD695" s="5">
        <v>0</v>
      </c>
      <c r="AE695" s="10" t="s">
        <v>50</v>
      </c>
      <c r="AF695" s="10"/>
      <c r="AG695" s="10" t="s">
        <v>1489</v>
      </c>
      <c r="AH695" s="10" t="s">
        <v>50</v>
      </c>
      <c r="AI695" s="5">
        <v>1</v>
      </c>
      <c r="AJ695" s="10" t="s">
        <v>50</v>
      </c>
      <c r="AK695" s="10" t="s">
        <v>50</v>
      </c>
    </row>
    <row r="696" spans="1:37" ht="36.75" customHeight="1" x14ac:dyDescent="0.35">
      <c r="A696" s="5"/>
      <c r="B696" s="5" t="s">
        <v>37</v>
      </c>
      <c r="C696" s="73" t="str">
        <f t="shared" si="10"/>
        <v>Closed</v>
      </c>
      <c r="D696" s="45" t="s">
        <v>3955</v>
      </c>
      <c r="E696" s="54" t="s">
        <v>3956</v>
      </c>
      <c r="F696" s="5" t="s">
        <v>563</v>
      </c>
      <c r="G696" s="10">
        <f>DATE(2009,7,17)</f>
        <v>40011</v>
      </c>
      <c r="H696" s="35">
        <v>1.0138888888888888</v>
      </c>
      <c r="I696" s="5" t="s">
        <v>55</v>
      </c>
      <c r="J696" s="10" t="s">
        <v>3957</v>
      </c>
      <c r="K696" s="5" t="s">
        <v>565</v>
      </c>
      <c r="L696" s="5" t="s">
        <v>3958</v>
      </c>
      <c r="M696" s="5" t="s">
        <v>45</v>
      </c>
      <c r="N696" s="5">
        <v>0</v>
      </c>
      <c r="O696" s="5" t="s">
        <v>46</v>
      </c>
      <c r="P696" s="10" t="s">
        <v>60</v>
      </c>
      <c r="Q696" s="10" t="s">
        <v>567</v>
      </c>
      <c r="R696" s="10" t="s">
        <v>568</v>
      </c>
      <c r="S696" s="5">
        <v>0</v>
      </c>
      <c r="T696" s="37">
        <v>0</v>
      </c>
      <c r="U696" s="5">
        <v>0</v>
      </c>
      <c r="V696" s="37">
        <v>0</v>
      </c>
      <c r="W696" s="5">
        <v>0</v>
      </c>
      <c r="X696" s="5">
        <v>0</v>
      </c>
      <c r="Y696" s="5">
        <v>0</v>
      </c>
      <c r="Z696" s="37">
        <v>0</v>
      </c>
      <c r="AA696" s="5">
        <v>0</v>
      </c>
      <c r="AB696" s="5">
        <v>0</v>
      </c>
      <c r="AC696" s="5">
        <v>0</v>
      </c>
      <c r="AD696" s="5">
        <v>0</v>
      </c>
      <c r="AE696" s="10" t="s">
        <v>375</v>
      </c>
      <c r="AF696" s="10"/>
      <c r="AG696" s="10" t="s">
        <v>114</v>
      </c>
      <c r="AH696" s="10">
        <v>40011</v>
      </c>
      <c r="AI696" s="5">
        <v>1</v>
      </c>
      <c r="AJ696" s="10" t="s">
        <v>3959</v>
      </c>
      <c r="AK696" s="10" t="s">
        <v>1215</v>
      </c>
    </row>
    <row r="697" spans="1:37" ht="36.75" customHeight="1" x14ac:dyDescent="0.35">
      <c r="A697" s="5"/>
      <c r="B697" s="5" t="s">
        <v>37</v>
      </c>
      <c r="C697" s="73" t="str">
        <f t="shared" si="10"/>
        <v>Closed</v>
      </c>
      <c r="D697" s="45" t="s">
        <v>3960</v>
      </c>
      <c r="E697" s="54" t="s">
        <v>3961</v>
      </c>
      <c r="F697" s="5" t="s">
        <v>40</v>
      </c>
      <c r="G697" s="10">
        <f>DATE(2009,7,17)</f>
        <v>40011</v>
      </c>
      <c r="H697" s="35">
        <v>1.4097222222222223</v>
      </c>
      <c r="I697" s="5" t="s">
        <v>97</v>
      </c>
      <c r="J697" s="10" t="s">
        <v>3962</v>
      </c>
      <c r="K697" s="5" t="s">
        <v>43</v>
      </c>
      <c r="L697" s="5" t="s">
        <v>3963</v>
      </c>
      <c r="M697" s="5" t="s">
        <v>45</v>
      </c>
      <c r="N697" s="5">
        <v>0</v>
      </c>
      <c r="O697" s="5" t="s">
        <v>46</v>
      </c>
      <c r="P697" s="10" t="s">
        <v>60</v>
      </c>
      <c r="Q697" s="10" t="s">
        <v>48</v>
      </c>
      <c r="R697" s="10" t="s">
        <v>49</v>
      </c>
      <c r="S697" s="5">
        <v>0</v>
      </c>
      <c r="T697" s="37">
        <v>0</v>
      </c>
      <c r="U697" s="5">
        <v>1</v>
      </c>
      <c r="V697" s="37">
        <v>0</v>
      </c>
      <c r="W697" s="5">
        <v>0</v>
      </c>
      <c r="X697" s="5">
        <v>1</v>
      </c>
      <c r="Y697" s="5">
        <v>0</v>
      </c>
      <c r="Z697" s="37">
        <v>0</v>
      </c>
      <c r="AA697" s="5">
        <v>0</v>
      </c>
      <c r="AB697" s="5">
        <v>0</v>
      </c>
      <c r="AC697" s="5">
        <v>0</v>
      </c>
      <c r="AD697" s="5">
        <v>0</v>
      </c>
      <c r="AE697" s="10" t="s">
        <v>50</v>
      </c>
      <c r="AF697" s="10"/>
      <c r="AG697" s="10" t="s">
        <v>64</v>
      </c>
      <c r="AH697" s="10" t="s">
        <v>50</v>
      </c>
      <c r="AI697" s="5">
        <v>1</v>
      </c>
      <c r="AJ697" s="10" t="s">
        <v>3964</v>
      </c>
      <c r="AK697" s="10" t="s">
        <v>3965</v>
      </c>
    </row>
    <row r="698" spans="1:37" ht="36.75" customHeight="1" x14ac:dyDescent="0.35">
      <c r="A698" s="5"/>
      <c r="B698" s="5" t="s">
        <v>37</v>
      </c>
      <c r="C698" s="73" t="str">
        <f t="shared" si="10"/>
        <v>Closed</v>
      </c>
      <c r="D698" s="45" t="s">
        <v>3966</v>
      </c>
      <c r="E698" s="54" t="s">
        <v>3967</v>
      </c>
      <c r="F698" s="5" t="s">
        <v>619</v>
      </c>
      <c r="G698" s="10">
        <f>DATE(2009,7,27)</f>
        <v>40021</v>
      </c>
      <c r="H698" s="35">
        <v>1.8444444444444446</v>
      </c>
      <c r="I698" s="5" t="s">
        <v>85</v>
      </c>
      <c r="J698" s="10" t="s">
        <v>3968</v>
      </c>
      <c r="K698" s="5" t="s">
        <v>621</v>
      </c>
      <c r="L698" s="5" t="s">
        <v>3969</v>
      </c>
      <c r="M698" s="5" t="s">
        <v>45</v>
      </c>
      <c r="N698" s="5">
        <v>0</v>
      </c>
      <c r="O698" s="5" t="s">
        <v>59</v>
      </c>
      <c r="P698" s="10" t="s">
        <v>146</v>
      </c>
      <c r="Q698" s="10" t="s">
        <v>623</v>
      </c>
      <c r="R698" s="10" t="s">
        <v>624</v>
      </c>
      <c r="S698" s="5">
        <v>0</v>
      </c>
      <c r="T698" s="37" t="s">
        <v>50</v>
      </c>
      <c r="U698" s="5">
        <v>0</v>
      </c>
      <c r="V698" s="37" t="s">
        <v>50</v>
      </c>
      <c r="W698" s="5">
        <v>0</v>
      </c>
      <c r="X698" s="5">
        <v>0</v>
      </c>
      <c r="Y698" s="5">
        <v>0</v>
      </c>
      <c r="Z698" s="37" t="s">
        <v>50</v>
      </c>
      <c r="AA698" s="5">
        <v>0</v>
      </c>
      <c r="AB698" s="5">
        <v>0</v>
      </c>
      <c r="AC698" s="5">
        <v>0</v>
      </c>
      <c r="AD698" s="5">
        <v>0</v>
      </c>
      <c r="AE698" s="10" t="s">
        <v>50</v>
      </c>
      <c r="AF698" s="10"/>
      <c r="AG698" s="10" t="s">
        <v>229</v>
      </c>
      <c r="AH698" s="10" t="s">
        <v>50</v>
      </c>
      <c r="AI698" s="5">
        <v>1</v>
      </c>
      <c r="AJ698" s="10" t="s">
        <v>3970</v>
      </c>
      <c r="AK698" s="10" t="s">
        <v>50</v>
      </c>
    </row>
    <row r="699" spans="1:37" ht="36.75" customHeight="1" x14ac:dyDescent="0.35">
      <c r="A699" s="5"/>
      <c r="B699" s="5" t="s">
        <v>37</v>
      </c>
      <c r="C699" s="73" t="str">
        <f t="shared" si="10"/>
        <v>Closed</v>
      </c>
      <c r="D699" s="45" t="s">
        <v>3971</v>
      </c>
      <c r="E699" s="54" t="s">
        <v>3972</v>
      </c>
      <c r="F699" s="5" t="s">
        <v>2316</v>
      </c>
      <c r="G699" s="10">
        <f>DATE(2009,8,4)</f>
        <v>40029</v>
      </c>
      <c r="H699" s="35">
        <v>1.4444444444444444</v>
      </c>
      <c r="I699" s="5" t="s">
        <v>55</v>
      </c>
      <c r="J699" s="10" t="s">
        <v>3973</v>
      </c>
      <c r="K699" s="5" t="s">
        <v>2318</v>
      </c>
      <c r="L699" s="5" t="s">
        <v>3974</v>
      </c>
      <c r="M699" s="5" t="s">
        <v>45</v>
      </c>
      <c r="N699" s="5">
        <v>0</v>
      </c>
      <c r="O699" s="5" t="s">
        <v>46</v>
      </c>
      <c r="P699" s="10" t="s">
        <v>47</v>
      </c>
      <c r="Q699" s="10" t="s">
        <v>2925</v>
      </c>
      <c r="R699" s="10" t="s">
        <v>2321</v>
      </c>
      <c r="S699" s="5">
        <v>0</v>
      </c>
      <c r="T699" s="37" t="s">
        <v>50</v>
      </c>
      <c r="U699" s="5">
        <v>0</v>
      </c>
      <c r="V699" s="37" t="s">
        <v>50</v>
      </c>
      <c r="W699" s="5">
        <v>0</v>
      </c>
      <c r="X699" s="5">
        <v>0</v>
      </c>
      <c r="Y699" s="5">
        <v>0</v>
      </c>
      <c r="Z699" s="37" t="s">
        <v>50</v>
      </c>
      <c r="AA699" s="5">
        <v>0</v>
      </c>
      <c r="AB699" s="5">
        <v>0</v>
      </c>
      <c r="AC699" s="5">
        <v>0</v>
      </c>
      <c r="AD699" s="5">
        <v>0</v>
      </c>
      <c r="AE699" s="10" t="s">
        <v>50</v>
      </c>
      <c r="AF699" s="10"/>
      <c r="AG699" s="10" t="s">
        <v>333</v>
      </c>
      <c r="AH699" s="10" t="s">
        <v>50</v>
      </c>
      <c r="AI699" s="5">
        <v>10</v>
      </c>
      <c r="AJ699" s="10" t="s">
        <v>3975</v>
      </c>
      <c r="AK699" s="10" t="s">
        <v>3976</v>
      </c>
    </row>
    <row r="700" spans="1:37" ht="36.75" customHeight="1" x14ac:dyDescent="0.35">
      <c r="A700" s="5"/>
      <c r="B700" s="5" t="s">
        <v>37</v>
      </c>
      <c r="C700" s="73" t="str">
        <f t="shared" si="10"/>
        <v>Closed</v>
      </c>
      <c r="D700" s="45" t="s">
        <v>3977</v>
      </c>
      <c r="E700" s="54" t="s">
        <v>3978</v>
      </c>
      <c r="F700" s="5" t="s">
        <v>214</v>
      </c>
      <c r="G700" s="10">
        <f>DATE(2009,8,5)</f>
        <v>40030</v>
      </c>
      <c r="H700" s="35">
        <v>1.4208333333333334</v>
      </c>
      <c r="I700" s="5" t="s">
        <v>97</v>
      </c>
      <c r="J700" s="10" t="s">
        <v>3979</v>
      </c>
      <c r="K700" s="5" t="s">
        <v>216</v>
      </c>
      <c r="L700" s="5" t="s">
        <v>3980</v>
      </c>
      <c r="M700" s="5" t="s">
        <v>236</v>
      </c>
      <c r="N700" s="5">
        <v>0</v>
      </c>
      <c r="O700" s="5" t="s">
        <v>59</v>
      </c>
      <c r="P700" s="10" t="s">
        <v>67</v>
      </c>
      <c r="Q700" s="10" t="s">
        <v>318</v>
      </c>
      <c r="R700" s="10" t="s">
        <v>318</v>
      </c>
      <c r="S700" s="5">
        <v>0</v>
      </c>
      <c r="T700" s="37">
        <v>0</v>
      </c>
      <c r="U700" s="5">
        <v>0</v>
      </c>
      <c r="V700" s="37">
        <v>0</v>
      </c>
      <c r="W700" s="5">
        <v>0</v>
      </c>
      <c r="X700" s="5">
        <v>0</v>
      </c>
      <c r="Y700" s="5">
        <v>0</v>
      </c>
      <c r="Z700" s="37">
        <v>0</v>
      </c>
      <c r="AA700" s="5">
        <v>1</v>
      </c>
      <c r="AB700" s="5">
        <v>0</v>
      </c>
      <c r="AC700" s="5">
        <v>0</v>
      </c>
      <c r="AD700" s="5">
        <v>1</v>
      </c>
      <c r="AE700" s="10" t="s">
        <v>50</v>
      </c>
      <c r="AF700" s="10"/>
      <c r="AG700" s="10" t="s">
        <v>114</v>
      </c>
      <c r="AH700" s="10" t="s">
        <v>50</v>
      </c>
      <c r="AI700" s="5">
        <v>2</v>
      </c>
      <c r="AJ700" s="10" t="s">
        <v>3981</v>
      </c>
      <c r="AK700" s="10" t="s">
        <v>3982</v>
      </c>
    </row>
    <row r="701" spans="1:37" ht="36.75" customHeight="1" x14ac:dyDescent="0.35">
      <c r="A701" s="5"/>
      <c r="B701" s="5" t="s">
        <v>37</v>
      </c>
      <c r="C701" s="73" t="str">
        <f t="shared" si="10"/>
        <v>Closed</v>
      </c>
      <c r="D701" s="45" t="s">
        <v>3983</v>
      </c>
      <c r="E701" s="54" t="s">
        <v>3984</v>
      </c>
      <c r="F701" s="5" t="s">
        <v>563</v>
      </c>
      <c r="G701" s="10">
        <f>DATE(2009,8,7)</f>
        <v>40032</v>
      </c>
      <c r="H701" s="35">
        <v>1.629861111111111</v>
      </c>
      <c r="I701" s="5" t="s">
        <v>55</v>
      </c>
      <c r="J701" s="10" t="s">
        <v>3985</v>
      </c>
      <c r="K701" s="5" t="s">
        <v>565</v>
      </c>
      <c r="L701" s="5" t="s">
        <v>3986</v>
      </c>
      <c r="M701" s="5" t="s">
        <v>45</v>
      </c>
      <c r="N701" s="5">
        <v>0</v>
      </c>
      <c r="O701" s="5" t="s">
        <v>46</v>
      </c>
      <c r="P701" s="10" t="s">
        <v>60</v>
      </c>
      <c r="Q701" s="10" t="s">
        <v>567</v>
      </c>
      <c r="R701" s="10" t="s">
        <v>568</v>
      </c>
      <c r="S701" s="5">
        <v>0</v>
      </c>
      <c r="T701" s="37" t="s">
        <v>50</v>
      </c>
      <c r="U701" s="5">
        <v>0</v>
      </c>
      <c r="V701" s="37" t="s">
        <v>50</v>
      </c>
      <c r="W701" s="5">
        <v>0</v>
      </c>
      <c r="X701" s="5">
        <v>0</v>
      </c>
      <c r="Y701" s="5">
        <v>0</v>
      </c>
      <c r="Z701" s="37" t="s">
        <v>50</v>
      </c>
      <c r="AA701" s="5">
        <v>0</v>
      </c>
      <c r="AB701" s="5">
        <v>0</v>
      </c>
      <c r="AC701" s="5">
        <v>0</v>
      </c>
      <c r="AD701" s="5">
        <v>0</v>
      </c>
      <c r="AE701" s="10" t="s">
        <v>50</v>
      </c>
      <c r="AF701" s="10"/>
      <c r="AG701" s="10" t="s">
        <v>114</v>
      </c>
      <c r="AH701" s="10" t="s">
        <v>50</v>
      </c>
      <c r="AI701" s="5">
        <v>2</v>
      </c>
      <c r="AJ701" s="10" t="s">
        <v>50</v>
      </c>
      <c r="AK701" s="10" t="s">
        <v>50</v>
      </c>
    </row>
    <row r="702" spans="1:37" ht="36.75" customHeight="1" x14ac:dyDescent="0.35">
      <c r="A702" s="5"/>
      <c r="B702" s="5" t="s">
        <v>37</v>
      </c>
      <c r="C702" s="73" t="str">
        <f t="shared" si="10"/>
        <v>Closed</v>
      </c>
      <c r="D702" s="45" t="s">
        <v>3987</v>
      </c>
      <c r="E702" s="54" t="s">
        <v>3988</v>
      </c>
      <c r="F702" s="5" t="s">
        <v>816</v>
      </c>
      <c r="G702" s="10">
        <f>DATE(2009,8,7)</f>
        <v>40032</v>
      </c>
      <c r="H702" s="35">
        <v>1.1631944444444444</v>
      </c>
      <c r="I702" s="5" t="s">
        <v>97</v>
      </c>
      <c r="J702" s="10" t="s">
        <v>3989</v>
      </c>
      <c r="K702" s="5" t="s">
        <v>818</v>
      </c>
      <c r="L702" s="5" t="s">
        <v>3990</v>
      </c>
      <c r="M702" s="5" t="s">
        <v>45</v>
      </c>
      <c r="N702" s="5">
        <v>0</v>
      </c>
      <c r="O702" s="5" t="s">
        <v>59</v>
      </c>
      <c r="P702" s="10" t="s">
        <v>47</v>
      </c>
      <c r="Q702" s="10" t="s">
        <v>2142</v>
      </c>
      <c r="R702" s="10" t="s">
        <v>821</v>
      </c>
      <c r="S702" s="5">
        <v>0</v>
      </c>
      <c r="T702" s="37">
        <v>0</v>
      </c>
      <c r="U702" s="5">
        <v>1</v>
      </c>
      <c r="V702" s="37">
        <v>0</v>
      </c>
      <c r="W702" s="5">
        <v>0</v>
      </c>
      <c r="X702" s="5">
        <v>1</v>
      </c>
      <c r="Y702" s="5">
        <v>0</v>
      </c>
      <c r="Z702" s="37">
        <v>0</v>
      </c>
      <c r="AA702" s="5">
        <v>2</v>
      </c>
      <c r="AB702" s="5">
        <v>0</v>
      </c>
      <c r="AC702" s="5">
        <v>0</v>
      </c>
      <c r="AD702" s="5">
        <v>2</v>
      </c>
      <c r="AE702" s="10" t="s">
        <v>50</v>
      </c>
      <c r="AF702" s="10"/>
      <c r="AG702" s="10" t="s">
        <v>333</v>
      </c>
      <c r="AH702" s="10" t="s">
        <v>50</v>
      </c>
      <c r="AI702" s="5">
        <v>0</v>
      </c>
      <c r="AJ702" s="10" t="s">
        <v>50</v>
      </c>
      <c r="AK702" s="10" t="s">
        <v>50</v>
      </c>
    </row>
    <row r="703" spans="1:37" ht="36.75" customHeight="1" x14ac:dyDescent="0.35">
      <c r="A703" s="5"/>
      <c r="B703" s="5" t="s">
        <v>37</v>
      </c>
      <c r="C703" s="73" t="str">
        <f t="shared" si="10"/>
        <v>Closed</v>
      </c>
      <c r="D703" s="45" t="s">
        <v>3991</v>
      </c>
      <c r="E703" s="54" t="s">
        <v>3992</v>
      </c>
      <c r="F703" s="5" t="s">
        <v>816</v>
      </c>
      <c r="G703" s="10">
        <f>DATE(2009,8,13)</f>
        <v>40038</v>
      </c>
      <c r="H703" s="35">
        <v>1.5555555555555556</v>
      </c>
      <c r="I703" s="5" t="s">
        <v>55</v>
      </c>
      <c r="J703" s="10" t="s">
        <v>3993</v>
      </c>
      <c r="K703" s="5" t="s">
        <v>818</v>
      </c>
      <c r="L703" s="5" t="s">
        <v>3994</v>
      </c>
      <c r="M703" s="5" t="s">
        <v>45</v>
      </c>
      <c r="N703" s="5">
        <v>0</v>
      </c>
      <c r="O703" s="5" t="s">
        <v>46</v>
      </c>
      <c r="P703" s="10" t="s">
        <v>282</v>
      </c>
      <c r="Q703" s="10" t="s">
        <v>820</v>
      </c>
      <c r="R703" s="10" t="s">
        <v>821</v>
      </c>
      <c r="S703" s="5">
        <v>0</v>
      </c>
      <c r="T703" s="37">
        <v>0</v>
      </c>
      <c r="U703" s="5">
        <v>0</v>
      </c>
      <c r="V703" s="37">
        <v>0</v>
      </c>
      <c r="W703" s="5">
        <v>0</v>
      </c>
      <c r="X703" s="5">
        <v>0</v>
      </c>
      <c r="Y703" s="5">
        <v>0</v>
      </c>
      <c r="Z703" s="37">
        <v>1</v>
      </c>
      <c r="AA703" s="5">
        <v>0</v>
      </c>
      <c r="AB703" s="5">
        <v>0</v>
      </c>
      <c r="AC703" s="5">
        <v>0</v>
      </c>
      <c r="AD703" s="5">
        <v>1</v>
      </c>
      <c r="AE703" s="10" t="s">
        <v>50</v>
      </c>
      <c r="AF703" s="10"/>
      <c r="AG703" s="10" t="s">
        <v>333</v>
      </c>
      <c r="AH703" s="10" t="s">
        <v>50</v>
      </c>
      <c r="AI703" s="5">
        <v>1</v>
      </c>
      <c r="AJ703" s="10" t="s">
        <v>50</v>
      </c>
      <c r="AK703" s="10" t="s">
        <v>50</v>
      </c>
    </row>
    <row r="704" spans="1:37" ht="36.75" customHeight="1" x14ac:dyDescent="0.35">
      <c r="A704" s="5"/>
      <c r="B704" s="5" t="s">
        <v>37</v>
      </c>
      <c r="C704" s="73" t="str">
        <f t="shared" si="10"/>
        <v>Closed</v>
      </c>
      <c r="D704" s="45" t="s">
        <v>3995</v>
      </c>
      <c r="E704" s="54" t="s">
        <v>3996</v>
      </c>
      <c r="F704" s="5" t="s">
        <v>404</v>
      </c>
      <c r="G704" s="10">
        <f>DATE(2009,8,17)</f>
        <v>40042</v>
      </c>
      <c r="H704" s="35">
        <v>1.6743055555555557</v>
      </c>
      <c r="I704" s="5" t="s">
        <v>67</v>
      </c>
      <c r="J704" s="10" t="s">
        <v>3997</v>
      </c>
      <c r="K704" s="5" t="s">
        <v>406</v>
      </c>
      <c r="L704" s="5" t="s">
        <v>3998</v>
      </c>
      <c r="M704" s="5" t="s">
        <v>236</v>
      </c>
      <c r="N704" s="5">
        <v>0</v>
      </c>
      <c r="O704" s="5" t="s">
        <v>67</v>
      </c>
      <c r="P704" s="10" t="s">
        <v>67</v>
      </c>
      <c r="Q704" s="10" t="s">
        <v>2695</v>
      </c>
      <c r="R704" s="10" t="s">
        <v>2695</v>
      </c>
      <c r="S704" s="5">
        <v>0</v>
      </c>
      <c r="T704" s="37" t="s">
        <v>50</v>
      </c>
      <c r="U704" s="5">
        <v>0</v>
      </c>
      <c r="V704" s="37" t="s">
        <v>50</v>
      </c>
      <c r="W704" s="5">
        <v>0</v>
      </c>
      <c r="X704" s="5">
        <v>0</v>
      </c>
      <c r="Y704" s="5">
        <v>0</v>
      </c>
      <c r="Z704" s="37" t="s">
        <v>50</v>
      </c>
      <c r="AA704" s="5">
        <v>0</v>
      </c>
      <c r="AB704" s="5">
        <v>0</v>
      </c>
      <c r="AC704" s="5">
        <v>0</v>
      </c>
      <c r="AD704" s="5">
        <v>0</v>
      </c>
      <c r="AE704" s="10" t="s">
        <v>50</v>
      </c>
      <c r="AF704" s="10"/>
      <c r="AG704" s="10" t="s">
        <v>348</v>
      </c>
      <c r="AH704" s="10" t="s">
        <v>50</v>
      </c>
      <c r="AI704" s="5">
        <v>3</v>
      </c>
      <c r="AJ704" s="10" t="s">
        <v>3999</v>
      </c>
      <c r="AK704" s="10" t="s">
        <v>4000</v>
      </c>
    </row>
    <row r="705" spans="1:37" ht="36.75" customHeight="1" x14ac:dyDescent="0.35">
      <c r="A705" s="5"/>
      <c r="B705" s="5" t="s">
        <v>37</v>
      </c>
      <c r="C705" s="73" t="str">
        <f t="shared" si="10"/>
        <v>Closed</v>
      </c>
      <c r="D705" s="45" t="s">
        <v>4001</v>
      </c>
      <c r="E705" s="54" t="s">
        <v>4002</v>
      </c>
      <c r="F705" s="5" t="s">
        <v>1919</v>
      </c>
      <c r="G705" s="10">
        <f>DATE(2009,8,21)</f>
        <v>40046</v>
      </c>
      <c r="H705" s="35">
        <v>1.7534722222222223</v>
      </c>
      <c r="I705" s="5" t="s">
        <v>67</v>
      </c>
      <c r="J705" s="10" t="s">
        <v>4003</v>
      </c>
      <c r="K705" s="5" t="s">
        <v>1921</v>
      </c>
      <c r="L705" s="5" t="s">
        <v>4004</v>
      </c>
      <c r="M705" s="5" t="s">
        <v>45</v>
      </c>
      <c r="N705" s="5">
        <v>0</v>
      </c>
      <c r="O705" s="5" t="s">
        <v>46</v>
      </c>
      <c r="P705" s="10" t="s">
        <v>67</v>
      </c>
      <c r="Q705" s="10" t="s">
        <v>1923</v>
      </c>
      <c r="R705" s="10" t="s">
        <v>1923</v>
      </c>
      <c r="S705" s="5">
        <v>0</v>
      </c>
      <c r="T705" s="37" t="s">
        <v>50</v>
      </c>
      <c r="U705" s="5">
        <v>0</v>
      </c>
      <c r="V705" s="37" t="s">
        <v>50</v>
      </c>
      <c r="W705" s="5">
        <v>0</v>
      </c>
      <c r="X705" s="5">
        <v>0</v>
      </c>
      <c r="Y705" s="5">
        <v>0</v>
      </c>
      <c r="Z705" s="37" t="s">
        <v>50</v>
      </c>
      <c r="AA705" s="5">
        <v>0</v>
      </c>
      <c r="AB705" s="5">
        <v>0</v>
      </c>
      <c r="AC705" s="5">
        <v>0</v>
      </c>
      <c r="AD705" s="5">
        <v>0</v>
      </c>
      <c r="AE705" s="10" t="s">
        <v>50</v>
      </c>
      <c r="AF705" s="10"/>
      <c r="AG705" s="10" t="s">
        <v>64</v>
      </c>
      <c r="AH705" s="10" t="s">
        <v>50</v>
      </c>
      <c r="AI705" s="5">
        <v>10</v>
      </c>
      <c r="AJ705" s="10" t="s">
        <v>4005</v>
      </c>
      <c r="AK705" s="10" t="s">
        <v>4006</v>
      </c>
    </row>
    <row r="706" spans="1:37" ht="36.75" customHeight="1" x14ac:dyDescent="0.35">
      <c r="A706" s="5"/>
      <c r="B706" s="5" t="s">
        <v>37</v>
      </c>
      <c r="C706" s="73" t="str">
        <f t="shared" ref="C706:C769" si="11">IF(B706="Notification","Open",IF(B706="Interim Statement","In progress","Closed"))</f>
        <v>Closed</v>
      </c>
      <c r="D706" s="45" t="s">
        <v>4007</v>
      </c>
      <c r="E706" s="54" t="s">
        <v>4008</v>
      </c>
      <c r="F706" s="5" t="s">
        <v>816</v>
      </c>
      <c r="G706" s="10">
        <f>DATE(2009,8,23)</f>
        <v>40048</v>
      </c>
      <c r="H706" s="35">
        <v>1.8875000000000002</v>
      </c>
      <c r="I706" s="5" t="s">
        <v>85</v>
      </c>
      <c r="J706" s="10" t="s">
        <v>4009</v>
      </c>
      <c r="K706" s="5" t="s">
        <v>818</v>
      </c>
      <c r="L706" s="5" t="s">
        <v>4010</v>
      </c>
      <c r="M706" s="5" t="s">
        <v>45</v>
      </c>
      <c r="N706" s="5">
        <v>0</v>
      </c>
      <c r="O706" s="5" t="s">
        <v>59</v>
      </c>
      <c r="P706" s="10" t="s">
        <v>197</v>
      </c>
      <c r="Q706" s="10" t="s">
        <v>4011</v>
      </c>
      <c r="R706" s="10" t="s">
        <v>821</v>
      </c>
      <c r="S706" s="5">
        <v>0</v>
      </c>
      <c r="T706" s="37" t="s">
        <v>50</v>
      </c>
      <c r="U706" s="5">
        <v>0</v>
      </c>
      <c r="V706" s="37" t="s">
        <v>50</v>
      </c>
      <c r="W706" s="5">
        <v>0</v>
      </c>
      <c r="X706" s="5">
        <v>0</v>
      </c>
      <c r="Y706" s="5">
        <v>0</v>
      </c>
      <c r="Z706" s="37" t="s">
        <v>50</v>
      </c>
      <c r="AA706" s="5">
        <v>0</v>
      </c>
      <c r="AB706" s="5">
        <v>0</v>
      </c>
      <c r="AC706" s="5">
        <v>0</v>
      </c>
      <c r="AD706" s="5">
        <v>0</v>
      </c>
      <c r="AE706" s="10" t="s">
        <v>50</v>
      </c>
      <c r="AF706" s="10"/>
      <c r="AG706" s="10" t="s">
        <v>333</v>
      </c>
      <c r="AH706" s="10" t="s">
        <v>50</v>
      </c>
      <c r="AI706" s="5">
        <v>1</v>
      </c>
      <c r="AJ706" s="10" t="s">
        <v>50</v>
      </c>
      <c r="AK706" s="10" t="s">
        <v>50</v>
      </c>
    </row>
    <row r="707" spans="1:37" ht="36.75" customHeight="1" x14ac:dyDescent="0.35">
      <c r="A707" s="5"/>
      <c r="B707" s="5" t="s">
        <v>37</v>
      </c>
      <c r="C707" s="73" t="str">
        <f t="shared" si="11"/>
        <v>Closed</v>
      </c>
      <c r="D707" s="45" t="s">
        <v>4012</v>
      </c>
      <c r="E707" s="54" t="s">
        <v>4013</v>
      </c>
      <c r="F707" s="5" t="s">
        <v>619</v>
      </c>
      <c r="G707" s="10">
        <f>DATE(2009,8,24)</f>
        <v>40049</v>
      </c>
      <c r="H707" s="35">
        <v>1.7062499999999998</v>
      </c>
      <c r="I707" s="5" t="s">
        <v>259</v>
      </c>
      <c r="J707" s="10" t="s">
        <v>4014</v>
      </c>
      <c r="K707" s="5" t="s">
        <v>621</v>
      </c>
      <c r="L707" s="5" t="s">
        <v>4015</v>
      </c>
      <c r="M707" s="5" t="s">
        <v>45</v>
      </c>
      <c r="N707" s="5">
        <v>0</v>
      </c>
      <c r="O707" s="5" t="s">
        <v>59</v>
      </c>
      <c r="P707" s="10" t="s">
        <v>67</v>
      </c>
      <c r="Q707" s="10" t="s">
        <v>623</v>
      </c>
      <c r="R707" s="10" t="s">
        <v>624</v>
      </c>
      <c r="S707" s="5">
        <v>0</v>
      </c>
      <c r="T707" s="37">
        <v>0</v>
      </c>
      <c r="U707" s="5">
        <v>0</v>
      </c>
      <c r="V707" s="37">
        <v>0</v>
      </c>
      <c r="W707" s="5">
        <v>1</v>
      </c>
      <c r="X707" s="5">
        <v>1</v>
      </c>
      <c r="Y707" s="5">
        <v>0</v>
      </c>
      <c r="Z707" s="37">
        <v>0</v>
      </c>
      <c r="AA707" s="5">
        <v>0</v>
      </c>
      <c r="AB707" s="5">
        <v>0</v>
      </c>
      <c r="AC707" s="5">
        <v>0</v>
      </c>
      <c r="AD707" s="5">
        <v>0</v>
      </c>
      <c r="AE707" s="10" t="s">
        <v>50</v>
      </c>
      <c r="AF707" s="10"/>
      <c r="AG707" s="10" t="s">
        <v>229</v>
      </c>
      <c r="AH707" s="10" t="s">
        <v>50</v>
      </c>
      <c r="AI707" s="5">
        <v>1</v>
      </c>
      <c r="AJ707" s="10" t="s">
        <v>4016</v>
      </c>
      <c r="AK707" s="10" t="s">
        <v>4017</v>
      </c>
    </row>
    <row r="708" spans="1:37" ht="36.75" customHeight="1" x14ac:dyDescent="0.35">
      <c r="A708" s="5"/>
      <c r="B708" s="5" t="s">
        <v>37</v>
      </c>
      <c r="C708" s="73" t="str">
        <f t="shared" si="11"/>
        <v>Closed</v>
      </c>
      <c r="D708" s="45" t="s">
        <v>4018</v>
      </c>
      <c r="E708" s="54" t="s">
        <v>4019</v>
      </c>
      <c r="F708" s="5" t="s">
        <v>214</v>
      </c>
      <c r="G708" s="10">
        <f>DATE(2009,8,25)</f>
        <v>40050</v>
      </c>
      <c r="H708" s="35">
        <v>1.9993055555555554</v>
      </c>
      <c r="I708" s="5" t="s">
        <v>55</v>
      </c>
      <c r="J708" s="10" t="s">
        <v>4020</v>
      </c>
      <c r="K708" s="5" t="s">
        <v>216</v>
      </c>
      <c r="L708" s="5" t="s">
        <v>4021</v>
      </c>
      <c r="M708" s="5" t="s">
        <v>45</v>
      </c>
      <c r="N708" s="5">
        <v>0</v>
      </c>
      <c r="O708" s="5" t="s">
        <v>46</v>
      </c>
      <c r="P708" s="10" t="s">
        <v>60</v>
      </c>
      <c r="Q708" s="10" t="s">
        <v>4022</v>
      </c>
      <c r="R708" s="10" t="s">
        <v>219</v>
      </c>
      <c r="S708" s="5">
        <v>0</v>
      </c>
      <c r="T708" s="37" t="s">
        <v>50</v>
      </c>
      <c r="U708" s="5">
        <v>0</v>
      </c>
      <c r="V708" s="37" t="s">
        <v>50</v>
      </c>
      <c r="W708" s="5">
        <v>0</v>
      </c>
      <c r="X708" s="5">
        <v>0</v>
      </c>
      <c r="Y708" s="5">
        <v>0</v>
      </c>
      <c r="Z708" s="37" t="s">
        <v>50</v>
      </c>
      <c r="AA708" s="5">
        <v>0</v>
      </c>
      <c r="AB708" s="5">
        <v>0</v>
      </c>
      <c r="AC708" s="5">
        <v>0</v>
      </c>
      <c r="AD708" s="5">
        <v>0</v>
      </c>
      <c r="AE708" s="10" t="s">
        <v>50</v>
      </c>
      <c r="AF708" s="10"/>
      <c r="AG708" s="10" t="s">
        <v>114</v>
      </c>
      <c r="AH708" s="10" t="s">
        <v>50</v>
      </c>
      <c r="AI708" s="5">
        <v>4</v>
      </c>
      <c r="AJ708" s="10" t="s">
        <v>4023</v>
      </c>
      <c r="AK708" s="10" t="s">
        <v>4024</v>
      </c>
    </row>
    <row r="709" spans="1:37" ht="36.75" customHeight="1" x14ac:dyDescent="0.35">
      <c r="A709" s="5"/>
      <c r="B709" s="5" t="s">
        <v>37</v>
      </c>
      <c r="C709" s="73" t="str">
        <f t="shared" si="11"/>
        <v>Closed</v>
      </c>
      <c r="D709" s="45" t="s">
        <v>4025</v>
      </c>
      <c r="E709" s="54" t="s">
        <v>4026</v>
      </c>
      <c r="F709" s="5" t="s">
        <v>1730</v>
      </c>
      <c r="G709" s="10">
        <f>DATE(2009,8,26)</f>
        <v>40051</v>
      </c>
      <c r="H709" s="35">
        <v>1.4034722222222222</v>
      </c>
      <c r="I709" s="5" t="s">
        <v>97</v>
      </c>
      <c r="J709" s="10" t="s">
        <v>4027</v>
      </c>
      <c r="K709" s="5" t="s">
        <v>1732</v>
      </c>
      <c r="L709" s="5" t="s">
        <v>4028</v>
      </c>
      <c r="M709" s="5" t="s">
        <v>45</v>
      </c>
      <c r="N709" s="5">
        <v>0</v>
      </c>
      <c r="O709" s="5" t="s">
        <v>46</v>
      </c>
      <c r="P709" s="10" t="s">
        <v>67</v>
      </c>
      <c r="Q709" s="10" t="s">
        <v>1734</v>
      </c>
      <c r="R709" s="10" t="s">
        <v>3599</v>
      </c>
      <c r="S709" s="5">
        <v>0</v>
      </c>
      <c r="T709" s="37">
        <v>0</v>
      </c>
      <c r="U709" s="5">
        <v>1</v>
      </c>
      <c r="V709" s="37">
        <v>0</v>
      </c>
      <c r="W709" s="5">
        <v>0</v>
      </c>
      <c r="X709" s="5">
        <v>1</v>
      </c>
      <c r="Y709" s="5">
        <v>0</v>
      </c>
      <c r="Z709" s="37">
        <v>0</v>
      </c>
      <c r="AA709" s="5">
        <v>0</v>
      </c>
      <c r="AB709" s="5">
        <v>0</v>
      </c>
      <c r="AC709" s="5">
        <v>0</v>
      </c>
      <c r="AD709" s="5">
        <v>0</v>
      </c>
      <c r="AE709" s="10" t="s">
        <v>50</v>
      </c>
      <c r="AF709" s="10"/>
      <c r="AG709" s="10" t="s">
        <v>229</v>
      </c>
      <c r="AH709" s="10" t="s">
        <v>50</v>
      </c>
      <c r="AI709" s="5">
        <v>5</v>
      </c>
      <c r="AJ709" s="10" t="s">
        <v>4029</v>
      </c>
      <c r="AK709" s="10" t="s">
        <v>50</v>
      </c>
    </row>
    <row r="710" spans="1:37" ht="36.75" customHeight="1" x14ac:dyDescent="0.35">
      <c r="A710" s="5"/>
      <c r="B710" s="5" t="s">
        <v>37</v>
      </c>
      <c r="C710" s="73" t="str">
        <f t="shared" si="11"/>
        <v>Closed</v>
      </c>
      <c r="D710" s="45" t="s">
        <v>4030</v>
      </c>
      <c r="E710" s="54" t="s">
        <v>4031</v>
      </c>
      <c r="F710" s="5" t="s">
        <v>619</v>
      </c>
      <c r="G710" s="10">
        <f>DATE(2009,8,28)</f>
        <v>40053</v>
      </c>
      <c r="H710" s="35">
        <v>1.5687500000000001</v>
      </c>
      <c r="I710" s="5" t="s">
        <v>55</v>
      </c>
      <c r="J710" s="10" t="s">
        <v>4032</v>
      </c>
      <c r="K710" s="5" t="s">
        <v>621</v>
      </c>
      <c r="L710" s="5" t="s">
        <v>4033</v>
      </c>
      <c r="M710" s="5" t="s">
        <v>45</v>
      </c>
      <c r="N710" s="5">
        <v>0</v>
      </c>
      <c r="O710" s="5" t="s">
        <v>59</v>
      </c>
      <c r="P710" s="10" t="s">
        <v>146</v>
      </c>
      <c r="Q710" s="10" t="s">
        <v>623</v>
      </c>
      <c r="R710" s="10" t="s">
        <v>624</v>
      </c>
      <c r="S710" s="5">
        <v>0</v>
      </c>
      <c r="T710" s="37" t="s">
        <v>50</v>
      </c>
      <c r="U710" s="5">
        <v>0</v>
      </c>
      <c r="V710" s="37" t="s">
        <v>50</v>
      </c>
      <c r="W710" s="5">
        <v>0</v>
      </c>
      <c r="X710" s="5">
        <v>0</v>
      </c>
      <c r="Y710" s="5">
        <v>0</v>
      </c>
      <c r="Z710" s="37" t="s">
        <v>50</v>
      </c>
      <c r="AA710" s="5">
        <v>0</v>
      </c>
      <c r="AB710" s="5">
        <v>0</v>
      </c>
      <c r="AC710" s="5">
        <v>0</v>
      </c>
      <c r="AD710" s="5">
        <v>0</v>
      </c>
      <c r="AE710" s="10" t="s">
        <v>50</v>
      </c>
      <c r="AF710" s="10"/>
      <c r="AG710" s="10" t="s">
        <v>333</v>
      </c>
      <c r="AH710" s="10" t="s">
        <v>50</v>
      </c>
      <c r="AI710" s="5">
        <v>1</v>
      </c>
      <c r="AJ710" s="10" t="s">
        <v>50</v>
      </c>
      <c r="AK710" s="10" t="s">
        <v>50</v>
      </c>
    </row>
    <row r="711" spans="1:37" ht="36.75" customHeight="1" x14ac:dyDescent="0.35">
      <c r="A711" s="5"/>
      <c r="B711" s="5" t="s">
        <v>37</v>
      </c>
      <c r="C711" s="73" t="str">
        <f t="shared" si="11"/>
        <v>Closed</v>
      </c>
      <c r="D711" s="45" t="s">
        <v>4034</v>
      </c>
      <c r="E711" s="54" t="s">
        <v>4035</v>
      </c>
      <c r="F711" s="5" t="s">
        <v>2316</v>
      </c>
      <c r="G711" s="10">
        <f>DATE(2009,8,30)</f>
        <v>40055</v>
      </c>
      <c r="H711" s="35">
        <v>1.39375</v>
      </c>
      <c r="I711" s="5" t="s">
        <v>97</v>
      </c>
      <c r="J711" s="10" t="s">
        <v>4036</v>
      </c>
      <c r="K711" s="5" t="s">
        <v>2318</v>
      </c>
      <c r="L711" s="5" t="s">
        <v>4037</v>
      </c>
      <c r="M711" s="5" t="s">
        <v>45</v>
      </c>
      <c r="N711" s="5">
        <v>0</v>
      </c>
      <c r="O711" s="5" t="s">
        <v>59</v>
      </c>
      <c r="P711" s="10" t="s">
        <v>362</v>
      </c>
      <c r="Q711" s="10" t="s">
        <v>4038</v>
      </c>
      <c r="R711" s="10" t="s">
        <v>2321</v>
      </c>
      <c r="S711" s="5">
        <v>0</v>
      </c>
      <c r="T711" s="37">
        <v>0</v>
      </c>
      <c r="U711" s="5">
        <v>2</v>
      </c>
      <c r="V711" s="37">
        <v>0</v>
      </c>
      <c r="W711" s="5">
        <v>0</v>
      </c>
      <c r="X711" s="5">
        <v>2</v>
      </c>
      <c r="Y711" s="5">
        <v>0</v>
      </c>
      <c r="Z711" s="37">
        <v>0</v>
      </c>
      <c r="AA711" s="5">
        <v>1</v>
      </c>
      <c r="AB711" s="5">
        <v>0</v>
      </c>
      <c r="AC711" s="5">
        <v>0</v>
      </c>
      <c r="AD711" s="5">
        <v>1</v>
      </c>
      <c r="AE711" s="10" t="s">
        <v>50</v>
      </c>
      <c r="AF711" s="10"/>
      <c r="AG711" s="10" t="s">
        <v>64</v>
      </c>
      <c r="AH711" s="10" t="s">
        <v>50</v>
      </c>
      <c r="AI711" s="5">
        <v>4</v>
      </c>
      <c r="AJ711" s="10" t="s">
        <v>4039</v>
      </c>
      <c r="AK711" s="10" t="s">
        <v>4040</v>
      </c>
    </row>
    <row r="712" spans="1:37" ht="36.75" customHeight="1" x14ac:dyDescent="0.35">
      <c r="A712" s="5"/>
      <c r="B712" s="5" t="s">
        <v>37</v>
      </c>
      <c r="C712" s="73" t="str">
        <f t="shared" si="11"/>
        <v>Closed</v>
      </c>
      <c r="D712" s="45" t="s">
        <v>4041</v>
      </c>
      <c r="E712" s="54" t="s">
        <v>4042</v>
      </c>
      <c r="F712" s="5" t="s">
        <v>619</v>
      </c>
      <c r="G712" s="10">
        <f>DATE(2009,8,31)</f>
        <v>40056</v>
      </c>
      <c r="H712" s="35">
        <v>1.7597222222222224</v>
      </c>
      <c r="I712" s="5" t="s">
        <v>85</v>
      </c>
      <c r="J712" s="10" t="s">
        <v>4043</v>
      </c>
      <c r="K712" s="5" t="s">
        <v>621</v>
      </c>
      <c r="L712" s="5" t="s">
        <v>4044</v>
      </c>
      <c r="M712" s="5" t="s">
        <v>45</v>
      </c>
      <c r="N712" s="5">
        <v>0</v>
      </c>
      <c r="O712" s="5" t="s">
        <v>59</v>
      </c>
      <c r="P712" s="10" t="s">
        <v>146</v>
      </c>
      <c r="Q712" s="10" t="s">
        <v>623</v>
      </c>
      <c r="R712" s="10" t="s">
        <v>624</v>
      </c>
      <c r="S712" s="5">
        <v>0</v>
      </c>
      <c r="T712" s="37" t="s">
        <v>50</v>
      </c>
      <c r="U712" s="5">
        <v>0</v>
      </c>
      <c r="V712" s="37" t="s">
        <v>50</v>
      </c>
      <c r="W712" s="5">
        <v>0</v>
      </c>
      <c r="X712" s="5">
        <v>0</v>
      </c>
      <c r="Y712" s="5">
        <v>0</v>
      </c>
      <c r="Z712" s="37" t="s">
        <v>50</v>
      </c>
      <c r="AA712" s="5">
        <v>0</v>
      </c>
      <c r="AB712" s="5">
        <v>0</v>
      </c>
      <c r="AC712" s="5">
        <v>0</v>
      </c>
      <c r="AD712" s="5">
        <v>0</v>
      </c>
      <c r="AE712" s="10" t="s">
        <v>50</v>
      </c>
      <c r="AF712" s="10"/>
      <c r="AG712" s="10" t="s">
        <v>229</v>
      </c>
      <c r="AH712" s="10" t="s">
        <v>50</v>
      </c>
      <c r="AI712" s="5">
        <v>1</v>
      </c>
      <c r="AJ712" s="10" t="s">
        <v>4045</v>
      </c>
      <c r="AK712" s="10" t="s">
        <v>50</v>
      </c>
    </row>
    <row r="713" spans="1:37" ht="36.75" customHeight="1" x14ac:dyDescent="0.35">
      <c r="A713" s="5"/>
      <c r="B713" s="5" t="s">
        <v>37</v>
      </c>
      <c r="C713" s="73" t="str">
        <f t="shared" si="11"/>
        <v>Closed</v>
      </c>
      <c r="D713" s="45" t="s">
        <v>4046</v>
      </c>
      <c r="E713" s="54" t="s">
        <v>4047</v>
      </c>
      <c r="F713" s="5" t="s">
        <v>178</v>
      </c>
      <c r="G713" s="10">
        <f>DATE(2009,9,1)</f>
        <v>40057</v>
      </c>
      <c r="H713" s="35">
        <v>1.2208333333333332</v>
      </c>
      <c r="I713" s="5" t="s">
        <v>55</v>
      </c>
      <c r="J713" s="10" t="s">
        <v>4048</v>
      </c>
      <c r="K713" s="5" t="s">
        <v>181</v>
      </c>
      <c r="L713" s="5" t="s">
        <v>4049</v>
      </c>
      <c r="M713" s="5" t="s">
        <v>45</v>
      </c>
      <c r="N713" s="5">
        <v>0</v>
      </c>
      <c r="O713" s="5" t="s">
        <v>59</v>
      </c>
      <c r="P713" s="10" t="s">
        <v>60</v>
      </c>
      <c r="Q713" s="10" t="s">
        <v>1697</v>
      </c>
      <c r="R713" s="10" t="s">
        <v>184</v>
      </c>
      <c r="S713" s="5">
        <v>0</v>
      </c>
      <c r="T713" s="37">
        <v>0</v>
      </c>
      <c r="U713" s="5">
        <v>0</v>
      </c>
      <c r="V713" s="37">
        <v>0</v>
      </c>
      <c r="W713" s="5">
        <v>0</v>
      </c>
      <c r="X713" s="5">
        <v>0</v>
      </c>
      <c r="Y713" s="5">
        <v>0</v>
      </c>
      <c r="Z713" s="37">
        <v>0</v>
      </c>
      <c r="AA713" s="5">
        <v>0</v>
      </c>
      <c r="AB713" s="5">
        <v>0</v>
      </c>
      <c r="AC713" s="5">
        <v>0</v>
      </c>
      <c r="AD713" s="5">
        <v>0</v>
      </c>
      <c r="AE713" s="10" t="s">
        <v>50</v>
      </c>
      <c r="AF713" s="10"/>
      <c r="AG713" s="10" t="s">
        <v>855</v>
      </c>
      <c r="AH713" s="10" t="s">
        <v>50</v>
      </c>
      <c r="AI713" s="5">
        <v>0</v>
      </c>
      <c r="AJ713" s="10" t="s">
        <v>4050</v>
      </c>
      <c r="AK713" s="10" t="s">
        <v>1215</v>
      </c>
    </row>
    <row r="714" spans="1:37" ht="36.75" customHeight="1" x14ac:dyDescent="0.35">
      <c r="A714" s="5"/>
      <c r="B714" s="5" t="s">
        <v>37</v>
      </c>
      <c r="C714" s="73" t="str">
        <f t="shared" si="11"/>
        <v>Closed</v>
      </c>
      <c r="D714" s="45" t="s">
        <v>4051</v>
      </c>
      <c r="E714" s="54" t="s">
        <v>4052</v>
      </c>
      <c r="F714" s="5" t="s">
        <v>404</v>
      </c>
      <c r="G714" s="10">
        <f>DATE(2009,9,1)</f>
        <v>40057</v>
      </c>
      <c r="H714" s="35">
        <v>1.6736111111111112</v>
      </c>
      <c r="I714" s="5" t="s">
        <v>179</v>
      </c>
      <c r="J714" s="10" t="s">
        <v>4053</v>
      </c>
      <c r="K714" s="5" t="s">
        <v>406</v>
      </c>
      <c r="L714" s="5" t="s">
        <v>4054</v>
      </c>
      <c r="M714" s="5" t="s">
        <v>45</v>
      </c>
      <c r="N714" s="5">
        <v>0</v>
      </c>
      <c r="O714" s="5" t="s">
        <v>46</v>
      </c>
      <c r="P714" s="10" t="s">
        <v>1893</v>
      </c>
      <c r="Q714" s="10" t="s">
        <v>535</v>
      </c>
      <c r="R714" s="10" t="s">
        <v>3083</v>
      </c>
      <c r="S714" s="5">
        <v>0</v>
      </c>
      <c r="T714" s="37" t="s">
        <v>50</v>
      </c>
      <c r="U714" s="5">
        <v>0</v>
      </c>
      <c r="V714" s="37" t="s">
        <v>50</v>
      </c>
      <c r="W714" s="5">
        <v>0</v>
      </c>
      <c r="X714" s="5">
        <v>0</v>
      </c>
      <c r="Y714" s="5">
        <v>0</v>
      </c>
      <c r="Z714" s="37" t="s">
        <v>50</v>
      </c>
      <c r="AA714" s="5">
        <v>0</v>
      </c>
      <c r="AB714" s="5">
        <v>0</v>
      </c>
      <c r="AC714" s="5">
        <v>0</v>
      </c>
      <c r="AD714" s="5">
        <v>0</v>
      </c>
      <c r="AE714" s="10" t="s">
        <v>50</v>
      </c>
      <c r="AF714" s="10"/>
      <c r="AG714" s="10" t="s">
        <v>114</v>
      </c>
      <c r="AH714" s="10" t="s">
        <v>50</v>
      </c>
      <c r="AI714" s="5">
        <v>3</v>
      </c>
      <c r="AJ714" s="10" t="s">
        <v>4055</v>
      </c>
      <c r="AK714" s="10" t="s">
        <v>50</v>
      </c>
    </row>
    <row r="715" spans="1:37" ht="36.75" customHeight="1" x14ac:dyDescent="0.35">
      <c r="A715" s="5"/>
      <c r="B715" s="5" t="s">
        <v>37</v>
      </c>
      <c r="C715" s="73" t="str">
        <f t="shared" si="11"/>
        <v>Closed</v>
      </c>
      <c r="D715" s="45" t="s">
        <v>4056</v>
      </c>
      <c r="E715" s="54" t="s">
        <v>4057</v>
      </c>
      <c r="F715" s="5" t="s">
        <v>575</v>
      </c>
      <c r="G715" s="10">
        <f>DATE(2009,9,1)</f>
        <v>40057</v>
      </c>
      <c r="H715" s="35">
        <v>1.2465277777777777</v>
      </c>
      <c r="I715" s="5" t="s">
        <v>97</v>
      </c>
      <c r="J715" s="10" t="s">
        <v>4058</v>
      </c>
      <c r="K715" s="5" t="s">
        <v>577</v>
      </c>
      <c r="L715" s="5" t="s">
        <v>4059</v>
      </c>
      <c r="M715" s="5" t="s">
        <v>45</v>
      </c>
      <c r="N715" s="5">
        <v>0</v>
      </c>
      <c r="O715" s="5" t="s">
        <v>46</v>
      </c>
      <c r="P715" s="10" t="s">
        <v>146</v>
      </c>
      <c r="Q715" s="10" t="s">
        <v>579</v>
      </c>
      <c r="R715" s="10" t="s">
        <v>580</v>
      </c>
      <c r="S715" s="5">
        <v>0</v>
      </c>
      <c r="T715" s="37">
        <v>0</v>
      </c>
      <c r="U715" s="5">
        <v>6</v>
      </c>
      <c r="V715" s="37">
        <v>0</v>
      </c>
      <c r="W715" s="5">
        <v>0</v>
      </c>
      <c r="X715" s="5">
        <v>6</v>
      </c>
      <c r="Y715" s="5">
        <v>0</v>
      </c>
      <c r="Z715" s="37">
        <v>0</v>
      </c>
      <c r="AA715" s="5">
        <v>1</v>
      </c>
      <c r="AB715" s="5">
        <v>0</v>
      </c>
      <c r="AC715" s="5">
        <v>0</v>
      </c>
      <c r="AD715" s="5">
        <v>1</v>
      </c>
      <c r="AE715" s="10" t="s">
        <v>50</v>
      </c>
      <c r="AF715" s="10"/>
      <c r="AG715" s="10" t="s">
        <v>51</v>
      </c>
      <c r="AH715" s="10" t="s">
        <v>50</v>
      </c>
      <c r="AI715" s="5">
        <v>3</v>
      </c>
      <c r="AJ715" s="10" t="s">
        <v>50</v>
      </c>
      <c r="AK715" s="10" t="s">
        <v>50</v>
      </c>
    </row>
    <row r="716" spans="1:37" ht="36.75" customHeight="1" x14ac:dyDescent="0.35">
      <c r="A716" s="5"/>
      <c r="B716" s="5" t="s">
        <v>37</v>
      </c>
      <c r="C716" s="73" t="str">
        <f t="shared" si="11"/>
        <v>Closed</v>
      </c>
      <c r="D716" s="45" t="s">
        <v>4060</v>
      </c>
      <c r="E716" s="54" t="s">
        <v>4061</v>
      </c>
      <c r="F716" s="5" t="s">
        <v>1919</v>
      </c>
      <c r="G716" s="10">
        <f>DATE(2009,9,2)</f>
        <v>40058</v>
      </c>
      <c r="H716" s="35">
        <v>1.5625</v>
      </c>
      <c r="I716" s="5" t="s">
        <v>67</v>
      </c>
      <c r="J716" s="10" t="s">
        <v>4062</v>
      </c>
      <c r="K716" s="5" t="s">
        <v>1921</v>
      </c>
      <c r="L716" s="5" t="s">
        <v>4063</v>
      </c>
      <c r="M716" s="5" t="s">
        <v>45</v>
      </c>
      <c r="N716" s="5">
        <v>0</v>
      </c>
      <c r="O716" s="5" t="s">
        <v>46</v>
      </c>
      <c r="P716" s="10" t="s">
        <v>47</v>
      </c>
      <c r="Q716" s="10" t="s">
        <v>1923</v>
      </c>
      <c r="R716" s="10" t="s">
        <v>1923</v>
      </c>
      <c r="S716" s="5">
        <v>0</v>
      </c>
      <c r="T716" s="37" t="s">
        <v>50</v>
      </c>
      <c r="U716" s="5">
        <v>0</v>
      </c>
      <c r="V716" s="37" t="s">
        <v>50</v>
      </c>
      <c r="W716" s="5">
        <v>0</v>
      </c>
      <c r="X716" s="5">
        <v>0</v>
      </c>
      <c r="Y716" s="5">
        <v>0</v>
      </c>
      <c r="Z716" s="37" t="s">
        <v>50</v>
      </c>
      <c r="AA716" s="5">
        <v>0</v>
      </c>
      <c r="AB716" s="5">
        <v>0</v>
      </c>
      <c r="AC716" s="5">
        <v>0</v>
      </c>
      <c r="AD716" s="5">
        <v>0</v>
      </c>
      <c r="AE716" s="10" t="s">
        <v>50</v>
      </c>
      <c r="AF716" s="10"/>
      <c r="AG716" s="10" t="s">
        <v>114</v>
      </c>
      <c r="AH716" s="10" t="s">
        <v>50</v>
      </c>
      <c r="AI716" s="5">
        <v>1</v>
      </c>
      <c r="AJ716" s="10" t="s">
        <v>4064</v>
      </c>
      <c r="AK716" s="10" t="s">
        <v>4065</v>
      </c>
    </row>
    <row r="717" spans="1:37" ht="36.75" customHeight="1" x14ac:dyDescent="0.35">
      <c r="A717" s="5"/>
      <c r="B717" s="5" t="s">
        <v>37</v>
      </c>
      <c r="C717" s="73" t="str">
        <f t="shared" si="11"/>
        <v>Closed</v>
      </c>
      <c r="D717" s="45" t="s">
        <v>4066</v>
      </c>
      <c r="E717" s="54" t="s">
        <v>4067</v>
      </c>
      <c r="F717" s="5" t="s">
        <v>404</v>
      </c>
      <c r="G717" s="10">
        <f>DATE(2009,9,3)</f>
        <v>40059</v>
      </c>
      <c r="H717" s="35">
        <v>1.3541666666666667</v>
      </c>
      <c r="I717" s="5" t="s">
        <v>55</v>
      </c>
      <c r="J717" s="10" t="s">
        <v>4068</v>
      </c>
      <c r="K717" s="5" t="s">
        <v>406</v>
      </c>
      <c r="L717" s="5" t="s">
        <v>4069</v>
      </c>
      <c r="M717" s="5" t="s">
        <v>45</v>
      </c>
      <c r="N717" s="5">
        <v>0</v>
      </c>
      <c r="O717" s="5" t="s">
        <v>67</v>
      </c>
      <c r="P717" s="10" t="s">
        <v>72</v>
      </c>
      <c r="Q717" s="10" t="s">
        <v>2562</v>
      </c>
      <c r="R717" s="10" t="s">
        <v>4070</v>
      </c>
      <c r="S717" s="5">
        <v>0</v>
      </c>
      <c r="T717" s="37" t="s">
        <v>50</v>
      </c>
      <c r="U717" s="5">
        <v>0</v>
      </c>
      <c r="V717" s="37" t="s">
        <v>50</v>
      </c>
      <c r="W717" s="5">
        <v>0</v>
      </c>
      <c r="X717" s="5">
        <v>0</v>
      </c>
      <c r="Y717" s="5">
        <v>0</v>
      </c>
      <c r="Z717" s="37" t="s">
        <v>50</v>
      </c>
      <c r="AA717" s="5">
        <v>0</v>
      </c>
      <c r="AB717" s="5">
        <v>0</v>
      </c>
      <c r="AC717" s="5">
        <v>0</v>
      </c>
      <c r="AD717" s="5">
        <v>0</v>
      </c>
      <c r="AE717" s="10" t="s">
        <v>50</v>
      </c>
      <c r="AF717" s="10"/>
      <c r="AG717" s="10" t="s">
        <v>1399</v>
      </c>
      <c r="AH717" s="10" t="s">
        <v>50</v>
      </c>
      <c r="AI717" s="5">
        <v>0</v>
      </c>
      <c r="AJ717" s="10" t="s">
        <v>4071</v>
      </c>
      <c r="AK717" s="10" t="s">
        <v>4072</v>
      </c>
    </row>
    <row r="718" spans="1:37" ht="36.75" customHeight="1" x14ac:dyDescent="0.35">
      <c r="A718" s="5"/>
      <c r="B718" s="5" t="s">
        <v>37</v>
      </c>
      <c r="C718" s="73" t="str">
        <f t="shared" si="11"/>
        <v>Closed</v>
      </c>
      <c r="D718" s="45" t="s">
        <v>4073</v>
      </c>
      <c r="E718" s="54" t="s">
        <v>4074</v>
      </c>
      <c r="F718" s="5" t="s">
        <v>816</v>
      </c>
      <c r="G718" s="10">
        <f>DATE(2009,9,5)</f>
        <v>40061</v>
      </c>
      <c r="H718" s="35">
        <v>1.3909722222222223</v>
      </c>
      <c r="I718" s="5" t="s">
        <v>85</v>
      </c>
      <c r="J718" s="10" t="s">
        <v>4075</v>
      </c>
      <c r="K718" s="5" t="s">
        <v>818</v>
      </c>
      <c r="L718" s="5" t="s">
        <v>4076</v>
      </c>
      <c r="M718" s="5" t="s">
        <v>45</v>
      </c>
      <c r="N718" s="5">
        <v>0</v>
      </c>
      <c r="O718" s="5" t="s">
        <v>59</v>
      </c>
      <c r="P718" s="10" t="s">
        <v>1198</v>
      </c>
      <c r="Q718" s="10" t="s">
        <v>3245</v>
      </c>
      <c r="R718" s="10" t="s">
        <v>821</v>
      </c>
      <c r="S718" s="5">
        <v>0</v>
      </c>
      <c r="T718" s="37" t="s">
        <v>50</v>
      </c>
      <c r="U718" s="5">
        <v>0</v>
      </c>
      <c r="V718" s="37" t="s">
        <v>50</v>
      </c>
      <c r="W718" s="5">
        <v>0</v>
      </c>
      <c r="X718" s="5">
        <v>0</v>
      </c>
      <c r="Y718" s="5">
        <v>0</v>
      </c>
      <c r="Z718" s="37" t="s">
        <v>50</v>
      </c>
      <c r="AA718" s="5">
        <v>0</v>
      </c>
      <c r="AB718" s="5">
        <v>0</v>
      </c>
      <c r="AC718" s="5">
        <v>0</v>
      </c>
      <c r="AD718" s="5">
        <v>0</v>
      </c>
      <c r="AE718" s="10" t="s">
        <v>50</v>
      </c>
      <c r="AF718" s="10"/>
      <c r="AG718" s="10" t="s">
        <v>333</v>
      </c>
      <c r="AH718" s="10" t="s">
        <v>50</v>
      </c>
      <c r="AI718" s="5">
        <v>5</v>
      </c>
      <c r="AJ718" s="10" t="s">
        <v>50</v>
      </c>
      <c r="AK718" s="10" t="s">
        <v>50</v>
      </c>
    </row>
    <row r="719" spans="1:37" ht="36.75" customHeight="1" x14ac:dyDescent="0.35">
      <c r="A719" s="5"/>
      <c r="B719" s="5" t="s">
        <v>37</v>
      </c>
      <c r="C719" s="73" t="str">
        <f t="shared" si="11"/>
        <v>Closed</v>
      </c>
      <c r="D719" s="45" t="s">
        <v>4077</v>
      </c>
      <c r="E719" s="54" t="s">
        <v>4078</v>
      </c>
      <c r="F719" s="5" t="s">
        <v>3128</v>
      </c>
      <c r="G719" s="10">
        <f>DATE(2009,9,5)</f>
        <v>40061</v>
      </c>
      <c r="H719" s="35">
        <v>1.1111111111111112</v>
      </c>
      <c r="I719" s="5" t="s">
        <v>97</v>
      </c>
      <c r="J719" s="10" t="s">
        <v>4079</v>
      </c>
      <c r="K719" s="5" t="s">
        <v>3130</v>
      </c>
      <c r="L719" s="5" t="s">
        <v>4080</v>
      </c>
      <c r="M719" s="5" t="s">
        <v>45</v>
      </c>
      <c r="N719" s="5">
        <v>0</v>
      </c>
      <c r="O719" s="5" t="s">
        <v>46</v>
      </c>
      <c r="P719" s="10" t="s">
        <v>60</v>
      </c>
      <c r="Q719" s="10" t="s">
        <v>3132</v>
      </c>
      <c r="R719" s="10" t="s">
        <v>3133</v>
      </c>
      <c r="S719" s="5">
        <v>0</v>
      </c>
      <c r="T719" s="37">
        <v>0</v>
      </c>
      <c r="U719" s="5">
        <v>1</v>
      </c>
      <c r="V719" s="37">
        <v>0</v>
      </c>
      <c r="W719" s="5">
        <v>0</v>
      </c>
      <c r="X719" s="5">
        <v>1</v>
      </c>
      <c r="Y719" s="5">
        <v>0</v>
      </c>
      <c r="Z719" s="37">
        <v>0</v>
      </c>
      <c r="AA719" s="5">
        <v>0</v>
      </c>
      <c r="AB719" s="5">
        <v>0</v>
      </c>
      <c r="AC719" s="5">
        <v>0</v>
      </c>
      <c r="AD719" s="5">
        <v>0</v>
      </c>
      <c r="AE719" s="10" t="s">
        <v>50</v>
      </c>
      <c r="AF719" s="10"/>
      <c r="AG719" s="10" t="s">
        <v>229</v>
      </c>
      <c r="AH719" s="10" t="s">
        <v>50</v>
      </c>
      <c r="AI719" s="5">
        <v>1</v>
      </c>
      <c r="AJ719" s="10" t="s">
        <v>50</v>
      </c>
      <c r="AK719" s="10" t="s">
        <v>50</v>
      </c>
    </row>
    <row r="720" spans="1:37" ht="36.75" customHeight="1" x14ac:dyDescent="0.35">
      <c r="A720" s="5"/>
      <c r="B720" s="5" t="s">
        <v>37</v>
      </c>
      <c r="C720" s="73" t="str">
        <f t="shared" si="11"/>
        <v>Closed</v>
      </c>
      <c r="D720" s="45" t="s">
        <v>4081</v>
      </c>
      <c r="E720" s="54" t="s">
        <v>4082</v>
      </c>
      <c r="F720" s="5" t="s">
        <v>1553</v>
      </c>
      <c r="G720" s="10">
        <f>DATE(2009,9,8)</f>
        <v>40064</v>
      </c>
      <c r="H720" s="35">
        <v>1.8611111111111112</v>
      </c>
      <c r="I720" s="5" t="s">
        <v>1022</v>
      </c>
      <c r="J720" s="10" t="s">
        <v>4083</v>
      </c>
      <c r="K720" s="5" t="s">
        <v>1555</v>
      </c>
      <c r="L720" s="5" t="s">
        <v>4084</v>
      </c>
      <c r="M720" s="5" t="s">
        <v>45</v>
      </c>
      <c r="N720" s="5">
        <v>0</v>
      </c>
      <c r="O720" s="5" t="s">
        <v>59</v>
      </c>
      <c r="P720" s="10" t="s">
        <v>146</v>
      </c>
      <c r="Q720" s="10" t="s">
        <v>2393</v>
      </c>
      <c r="R720" s="10">
        <v>0</v>
      </c>
      <c r="S720" s="5">
        <v>0</v>
      </c>
      <c r="T720" s="37" t="s">
        <v>50</v>
      </c>
      <c r="U720" s="5">
        <v>0</v>
      </c>
      <c r="V720" s="37" t="s">
        <v>50</v>
      </c>
      <c r="W720" s="5">
        <v>0</v>
      </c>
      <c r="X720" s="5">
        <v>0</v>
      </c>
      <c r="Y720" s="5">
        <v>0</v>
      </c>
      <c r="Z720" s="37" t="s">
        <v>50</v>
      </c>
      <c r="AA720" s="5">
        <v>0</v>
      </c>
      <c r="AB720" s="5">
        <v>0</v>
      </c>
      <c r="AC720" s="5">
        <v>0</v>
      </c>
      <c r="AD720" s="5">
        <v>0</v>
      </c>
      <c r="AE720" s="10" t="s">
        <v>50</v>
      </c>
      <c r="AF720" s="10"/>
      <c r="AG720" s="10" t="s">
        <v>1664</v>
      </c>
      <c r="AH720" s="10" t="s">
        <v>50</v>
      </c>
      <c r="AI720" s="5">
        <v>1</v>
      </c>
      <c r="AJ720" s="10" t="s">
        <v>4085</v>
      </c>
      <c r="AK720" s="10" t="s">
        <v>4086</v>
      </c>
    </row>
    <row r="721" spans="1:37" ht="36.75" customHeight="1" x14ac:dyDescent="0.35">
      <c r="A721" s="5"/>
      <c r="B721" s="5" t="s">
        <v>37</v>
      </c>
      <c r="C721" s="73" t="str">
        <f t="shared" si="11"/>
        <v>Closed</v>
      </c>
      <c r="D721" s="45" t="s">
        <v>4087</v>
      </c>
      <c r="E721" s="54" t="s">
        <v>4088</v>
      </c>
      <c r="F721" s="5" t="s">
        <v>105</v>
      </c>
      <c r="G721" s="10">
        <f>DATE(2009,9,10)</f>
        <v>40066</v>
      </c>
      <c r="H721" s="35">
        <v>1.2534722222222223</v>
      </c>
      <c r="I721" s="5" t="s">
        <v>67</v>
      </c>
      <c r="J721" s="10" t="s">
        <v>4089</v>
      </c>
      <c r="K721" s="5" t="s">
        <v>108</v>
      </c>
      <c r="L721" s="5" t="s">
        <v>4090</v>
      </c>
      <c r="M721" s="5" t="s">
        <v>110</v>
      </c>
      <c r="N721" s="5">
        <v>0</v>
      </c>
      <c r="O721" s="5" t="s">
        <v>67</v>
      </c>
      <c r="P721" s="10" t="s">
        <v>67</v>
      </c>
      <c r="Q721" s="10" t="s">
        <v>111</v>
      </c>
      <c r="R721" s="10" t="s">
        <v>112</v>
      </c>
      <c r="S721" s="5">
        <v>0</v>
      </c>
      <c r="T721" s="37" t="s">
        <v>50</v>
      </c>
      <c r="U721" s="5">
        <v>0</v>
      </c>
      <c r="V721" s="37" t="s">
        <v>50</v>
      </c>
      <c r="W721" s="5">
        <v>0</v>
      </c>
      <c r="X721" s="5">
        <v>0</v>
      </c>
      <c r="Y721" s="5">
        <v>0</v>
      </c>
      <c r="Z721" s="37" t="s">
        <v>50</v>
      </c>
      <c r="AA721" s="5">
        <v>0</v>
      </c>
      <c r="AB721" s="5">
        <v>0</v>
      </c>
      <c r="AC721" s="5">
        <v>0</v>
      </c>
      <c r="AD721" s="5">
        <v>0</v>
      </c>
      <c r="AE721" s="10" t="s">
        <v>50</v>
      </c>
      <c r="AF721" s="10"/>
      <c r="AG721" s="10" t="s">
        <v>348</v>
      </c>
      <c r="AH721" s="10" t="s">
        <v>50</v>
      </c>
      <c r="AI721" s="5">
        <v>4</v>
      </c>
      <c r="AJ721" s="10" t="s">
        <v>4091</v>
      </c>
      <c r="AK721" s="10" t="s">
        <v>50</v>
      </c>
    </row>
    <row r="722" spans="1:37" ht="36.75" customHeight="1" x14ac:dyDescent="0.35">
      <c r="A722" s="5"/>
      <c r="B722" s="5" t="s">
        <v>37</v>
      </c>
      <c r="C722" s="73" t="str">
        <f t="shared" si="11"/>
        <v>Closed</v>
      </c>
      <c r="D722" s="45" t="s">
        <v>4092</v>
      </c>
      <c r="E722" s="54" t="s">
        <v>4093</v>
      </c>
      <c r="F722" s="5" t="s">
        <v>105</v>
      </c>
      <c r="G722" s="10">
        <f>DATE(2009,9,10)</f>
        <v>40066</v>
      </c>
      <c r="H722" s="35">
        <v>1.7020833333333334</v>
      </c>
      <c r="I722" s="5" t="s">
        <v>67</v>
      </c>
      <c r="J722" s="10" t="s">
        <v>4094</v>
      </c>
      <c r="K722" s="5" t="s">
        <v>108</v>
      </c>
      <c r="L722" s="5" t="s">
        <v>4095</v>
      </c>
      <c r="M722" s="5" t="s">
        <v>45</v>
      </c>
      <c r="N722" s="5">
        <v>0</v>
      </c>
      <c r="O722" s="5" t="s">
        <v>59</v>
      </c>
      <c r="P722" s="10" t="s">
        <v>197</v>
      </c>
      <c r="Q722" s="10" t="s">
        <v>4096</v>
      </c>
      <c r="R722" s="10" t="s">
        <v>148</v>
      </c>
      <c r="S722" s="5">
        <v>0</v>
      </c>
      <c r="T722" s="37" t="s">
        <v>50</v>
      </c>
      <c r="U722" s="5">
        <v>0</v>
      </c>
      <c r="V722" s="37" t="s">
        <v>50</v>
      </c>
      <c r="W722" s="5">
        <v>0</v>
      </c>
      <c r="X722" s="5">
        <v>0</v>
      </c>
      <c r="Y722" s="5">
        <v>0</v>
      </c>
      <c r="Z722" s="37" t="s">
        <v>50</v>
      </c>
      <c r="AA722" s="5">
        <v>0</v>
      </c>
      <c r="AB722" s="5">
        <v>0</v>
      </c>
      <c r="AC722" s="5">
        <v>0</v>
      </c>
      <c r="AD722" s="5">
        <v>0</v>
      </c>
      <c r="AE722" s="10" t="s">
        <v>50</v>
      </c>
      <c r="AF722" s="10"/>
      <c r="AG722" s="10" t="s">
        <v>855</v>
      </c>
      <c r="AH722" s="10" t="s">
        <v>50</v>
      </c>
      <c r="AI722" s="5">
        <v>2</v>
      </c>
      <c r="AJ722" s="10" t="s">
        <v>50</v>
      </c>
      <c r="AK722" s="10" t="s">
        <v>50</v>
      </c>
    </row>
    <row r="723" spans="1:37" ht="36.75" customHeight="1" x14ac:dyDescent="0.35">
      <c r="A723" s="5"/>
      <c r="B723" s="5" t="s">
        <v>37</v>
      </c>
      <c r="C723" s="73" t="str">
        <f t="shared" si="11"/>
        <v>Closed</v>
      </c>
      <c r="D723" s="45" t="s">
        <v>4097</v>
      </c>
      <c r="E723" s="54" t="s">
        <v>4098</v>
      </c>
      <c r="F723" s="5" t="s">
        <v>404</v>
      </c>
      <c r="G723" s="10">
        <f>DATE(2009,9,15)</f>
        <v>40071</v>
      </c>
      <c r="H723" s="35">
        <v>1.6124999999999998</v>
      </c>
      <c r="I723" s="5" t="s">
        <v>97</v>
      </c>
      <c r="J723" s="10" t="s">
        <v>4099</v>
      </c>
      <c r="K723" s="5" t="s">
        <v>406</v>
      </c>
      <c r="L723" s="5" t="s">
        <v>4100</v>
      </c>
      <c r="M723" s="5" t="s">
        <v>45</v>
      </c>
      <c r="N723" s="5">
        <v>0</v>
      </c>
      <c r="O723" s="5" t="s">
        <v>46</v>
      </c>
      <c r="P723" s="10" t="s">
        <v>60</v>
      </c>
      <c r="Q723" s="10" t="s">
        <v>2562</v>
      </c>
      <c r="R723" s="10" t="s">
        <v>3083</v>
      </c>
      <c r="S723" s="5">
        <v>0</v>
      </c>
      <c r="T723" s="37">
        <v>0</v>
      </c>
      <c r="U723" s="5">
        <v>1</v>
      </c>
      <c r="V723" s="37">
        <v>0</v>
      </c>
      <c r="W723" s="5">
        <v>0</v>
      </c>
      <c r="X723" s="5">
        <v>1</v>
      </c>
      <c r="Y723" s="5">
        <v>0</v>
      </c>
      <c r="Z723" s="37">
        <v>0</v>
      </c>
      <c r="AA723" s="5">
        <v>0</v>
      </c>
      <c r="AB723" s="5">
        <v>0</v>
      </c>
      <c r="AC723" s="5">
        <v>0</v>
      </c>
      <c r="AD723" s="5">
        <v>0</v>
      </c>
      <c r="AE723" s="10" t="s">
        <v>50</v>
      </c>
      <c r="AF723" s="10"/>
      <c r="AG723" s="10" t="s">
        <v>333</v>
      </c>
      <c r="AH723" s="10" t="s">
        <v>50</v>
      </c>
      <c r="AI723" s="5">
        <v>0</v>
      </c>
      <c r="AJ723" s="10" t="s">
        <v>50</v>
      </c>
      <c r="AK723" s="10" t="s">
        <v>2328</v>
      </c>
    </row>
    <row r="724" spans="1:37" ht="36.75" customHeight="1" x14ac:dyDescent="0.35">
      <c r="A724" s="5"/>
      <c r="B724" s="5" t="s">
        <v>37</v>
      </c>
      <c r="C724" s="73" t="str">
        <f t="shared" si="11"/>
        <v>Closed</v>
      </c>
      <c r="D724" s="45" t="s">
        <v>4101</v>
      </c>
      <c r="E724" s="54" t="s">
        <v>4102</v>
      </c>
      <c r="F724" s="5" t="s">
        <v>214</v>
      </c>
      <c r="G724" s="10">
        <f>DATE(2009,9,15)</f>
        <v>40071</v>
      </c>
      <c r="H724" s="35">
        <v>1.5111111111111111</v>
      </c>
      <c r="I724" s="5" t="s">
        <v>179</v>
      </c>
      <c r="J724" s="10" t="s">
        <v>4103</v>
      </c>
      <c r="K724" s="5" t="s">
        <v>216</v>
      </c>
      <c r="L724" s="5" t="s">
        <v>4104</v>
      </c>
      <c r="M724" s="5" t="s">
        <v>236</v>
      </c>
      <c r="N724" s="5">
        <v>0</v>
      </c>
      <c r="O724" s="5" t="s">
        <v>46</v>
      </c>
      <c r="P724" s="10" t="s">
        <v>67</v>
      </c>
      <c r="Q724" s="10" t="s">
        <v>4105</v>
      </c>
      <c r="R724" s="10" t="s">
        <v>4105</v>
      </c>
      <c r="S724" s="5">
        <v>0</v>
      </c>
      <c r="T724" s="37" t="s">
        <v>50</v>
      </c>
      <c r="U724" s="5">
        <v>0</v>
      </c>
      <c r="V724" s="37" t="s">
        <v>50</v>
      </c>
      <c r="W724" s="5">
        <v>0</v>
      </c>
      <c r="X724" s="5">
        <v>0</v>
      </c>
      <c r="Y724" s="5">
        <v>0</v>
      </c>
      <c r="Z724" s="37" t="s">
        <v>50</v>
      </c>
      <c r="AA724" s="5">
        <v>0</v>
      </c>
      <c r="AB724" s="5">
        <v>0</v>
      </c>
      <c r="AC724" s="5">
        <v>0</v>
      </c>
      <c r="AD724" s="5">
        <v>0</v>
      </c>
      <c r="AE724" s="10" t="s">
        <v>50</v>
      </c>
      <c r="AF724" s="10"/>
      <c r="AG724" s="10" t="s">
        <v>114</v>
      </c>
      <c r="AH724" s="10" t="s">
        <v>50</v>
      </c>
      <c r="AI724" s="5">
        <v>2</v>
      </c>
      <c r="AJ724" s="10" t="s">
        <v>4106</v>
      </c>
      <c r="AK724" s="10" t="s">
        <v>4107</v>
      </c>
    </row>
    <row r="725" spans="1:37" ht="36.75" customHeight="1" x14ac:dyDescent="0.35">
      <c r="A725" s="5"/>
      <c r="B725" s="5" t="s">
        <v>37</v>
      </c>
      <c r="C725" s="73" t="str">
        <f t="shared" si="11"/>
        <v>Closed</v>
      </c>
      <c r="D725" s="45" t="s">
        <v>4108</v>
      </c>
      <c r="E725" s="54" t="s">
        <v>4109</v>
      </c>
      <c r="F725" s="5" t="s">
        <v>619</v>
      </c>
      <c r="G725" s="10">
        <f>DATE(2009,9,17)</f>
        <v>40073</v>
      </c>
      <c r="H725" s="35">
        <v>1.6666666666666665</v>
      </c>
      <c r="I725" s="5" t="s">
        <v>55</v>
      </c>
      <c r="J725" s="10" t="s">
        <v>4110</v>
      </c>
      <c r="K725" s="5" t="s">
        <v>621</v>
      </c>
      <c r="L725" s="5" t="s">
        <v>4111</v>
      </c>
      <c r="M725" s="5" t="s">
        <v>45</v>
      </c>
      <c r="N725" s="5">
        <v>0</v>
      </c>
      <c r="O725" s="5" t="s">
        <v>46</v>
      </c>
      <c r="P725" s="10" t="s">
        <v>60</v>
      </c>
      <c r="Q725" s="10" t="s">
        <v>623</v>
      </c>
      <c r="R725" s="10" t="s">
        <v>624</v>
      </c>
      <c r="S725" s="5">
        <v>0</v>
      </c>
      <c r="T725" s="37" t="s">
        <v>50</v>
      </c>
      <c r="U725" s="5">
        <v>0</v>
      </c>
      <c r="V725" s="37" t="s">
        <v>50</v>
      </c>
      <c r="W725" s="5">
        <v>0</v>
      </c>
      <c r="X725" s="5">
        <v>0</v>
      </c>
      <c r="Y725" s="5">
        <v>0</v>
      </c>
      <c r="Z725" s="37" t="s">
        <v>50</v>
      </c>
      <c r="AA725" s="5">
        <v>0</v>
      </c>
      <c r="AB725" s="5">
        <v>0</v>
      </c>
      <c r="AC725" s="5">
        <v>0</v>
      </c>
      <c r="AD725" s="5">
        <v>0</v>
      </c>
      <c r="AE725" s="10" t="s">
        <v>50</v>
      </c>
      <c r="AF725" s="10"/>
      <c r="AG725" s="10" t="s">
        <v>333</v>
      </c>
      <c r="AH725" s="10" t="s">
        <v>50</v>
      </c>
      <c r="AI725" s="5">
        <v>1</v>
      </c>
      <c r="AJ725" s="10" t="s">
        <v>4112</v>
      </c>
      <c r="AK725" s="10" t="s">
        <v>50</v>
      </c>
    </row>
    <row r="726" spans="1:37" ht="36.75" customHeight="1" x14ac:dyDescent="0.35">
      <c r="A726" s="5"/>
      <c r="B726" s="5" t="s">
        <v>37</v>
      </c>
      <c r="C726" s="73" t="str">
        <f t="shared" si="11"/>
        <v>Closed</v>
      </c>
      <c r="D726" s="45" t="s">
        <v>4113</v>
      </c>
      <c r="E726" s="54" t="s">
        <v>4114</v>
      </c>
      <c r="F726" s="5" t="s">
        <v>40</v>
      </c>
      <c r="G726" s="10">
        <f>DATE(2009,9,17)</f>
        <v>40073</v>
      </c>
      <c r="H726" s="35">
        <v>1.5506944444444444</v>
      </c>
      <c r="I726" s="5" t="s">
        <v>55</v>
      </c>
      <c r="J726" s="10" t="s">
        <v>4115</v>
      </c>
      <c r="K726" s="5" t="s">
        <v>43</v>
      </c>
      <c r="L726" s="5" t="s">
        <v>4116</v>
      </c>
      <c r="M726" s="5" t="s">
        <v>45</v>
      </c>
      <c r="N726" s="5" t="s">
        <v>80</v>
      </c>
      <c r="O726" s="5" t="s">
        <v>71</v>
      </c>
      <c r="P726" s="10" t="s">
        <v>60</v>
      </c>
      <c r="Q726" s="10" t="s">
        <v>48</v>
      </c>
      <c r="R726" s="10" t="s">
        <v>49</v>
      </c>
      <c r="S726" s="5">
        <v>0</v>
      </c>
      <c r="T726" s="37">
        <v>0</v>
      </c>
      <c r="U726" s="5">
        <v>0</v>
      </c>
      <c r="V726" s="37">
        <v>0</v>
      </c>
      <c r="W726" s="5">
        <v>0</v>
      </c>
      <c r="X726" s="5">
        <v>0</v>
      </c>
      <c r="Y726" s="5">
        <v>0</v>
      </c>
      <c r="Z726" s="37">
        <v>0</v>
      </c>
      <c r="AA726" s="5">
        <v>0</v>
      </c>
      <c r="AB726" s="5">
        <v>0</v>
      </c>
      <c r="AC726" s="5">
        <v>0</v>
      </c>
      <c r="AD726" s="5">
        <v>0</v>
      </c>
      <c r="AE726" s="10" t="s">
        <v>73</v>
      </c>
      <c r="AF726" s="10"/>
      <c r="AG726" s="10" t="s">
        <v>51</v>
      </c>
      <c r="AH726" s="10">
        <v>40121</v>
      </c>
      <c r="AI726" s="5">
        <v>1</v>
      </c>
      <c r="AJ726" s="10" t="s">
        <v>4117</v>
      </c>
      <c r="AK726" s="10" t="s">
        <v>4118</v>
      </c>
    </row>
    <row r="727" spans="1:37" ht="36.75" customHeight="1" x14ac:dyDescent="0.35">
      <c r="A727" s="5"/>
      <c r="B727" s="5" t="s">
        <v>37</v>
      </c>
      <c r="C727" s="73" t="str">
        <f t="shared" si="11"/>
        <v>Closed</v>
      </c>
      <c r="D727" s="45" t="s">
        <v>4119</v>
      </c>
      <c r="E727" s="54" t="s">
        <v>4120</v>
      </c>
      <c r="F727" s="5" t="s">
        <v>178</v>
      </c>
      <c r="G727" s="10">
        <f>DATE(2009,9,19)</f>
        <v>40075</v>
      </c>
      <c r="H727" s="35">
        <v>1.838888888888889</v>
      </c>
      <c r="I727" s="5" t="s">
        <v>179</v>
      </c>
      <c r="J727" s="10" t="s">
        <v>4121</v>
      </c>
      <c r="K727" s="5" t="s">
        <v>181</v>
      </c>
      <c r="L727" s="5" t="s">
        <v>4122</v>
      </c>
      <c r="M727" s="5" t="s">
        <v>45</v>
      </c>
      <c r="N727" s="5" t="s">
        <v>123</v>
      </c>
      <c r="O727" s="5" t="s">
        <v>46</v>
      </c>
      <c r="P727" s="10" t="s">
        <v>534</v>
      </c>
      <c r="Q727" s="10" t="s">
        <v>4123</v>
      </c>
      <c r="R727" s="10" t="s">
        <v>184</v>
      </c>
      <c r="S727" s="5">
        <v>0</v>
      </c>
      <c r="T727" s="37">
        <v>0</v>
      </c>
      <c r="U727" s="5">
        <v>0</v>
      </c>
      <c r="V727" s="37">
        <v>0</v>
      </c>
      <c r="W727" s="5">
        <v>0</v>
      </c>
      <c r="X727" s="5">
        <v>0</v>
      </c>
      <c r="Y727" s="5">
        <v>0</v>
      </c>
      <c r="Z727" s="37">
        <v>0</v>
      </c>
      <c r="AA727" s="5">
        <v>0</v>
      </c>
      <c r="AB727" s="5">
        <v>0</v>
      </c>
      <c r="AC727" s="5">
        <v>0</v>
      </c>
      <c r="AD727" s="5">
        <v>0</v>
      </c>
      <c r="AE727" s="10" t="s">
        <v>375</v>
      </c>
      <c r="AF727" s="10"/>
      <c r="AG727" s="10" t="s">
        <v>855</v>
      </c>
      <c r="AH727" s="10">
        <v>40608</v>
      </c>
      <c r="AI727" s="5">
        <v>14</v>
      </c>
      <c r="AJ727" s="10" t="s">
        <v>4124</v>
      </c>
      <c r="AK727" s="10" t="s">
        <v>1215</v>
      </c>
    </row>
    <row r="728" spans="1:37" ht="36.75" customHeight="1" x14ac:dyDescent="0.35">
      <c r="A728" s="5"/>
      <c r="B728" s="5" t="s">
        <v>37</v>
      </c>
      <c r="C728" s="73" t="str">
        <f t="shared" si="11"/>
        <v>Closed</v>
      </c>
      <c r="D728" s="45" t="s">
        <v>4125</v>
      </c>
      <c r="E728" s="54" t="s">
        <v>4126</v>
      </c>
      <c r="F728" s="5" t="s">
        <v>432</v>
      </c>
      <c r="G728" s="10">
        <f>DATE(2009,9,19)</f>
        <v>40075</v>
      </c>
      <c r="H728" s="35">
        <v>1.2861111111111112</v>
      </c>
      <c r="I728" s="5" t="s">
        <v>97</v>
      </c>
      <c r="J728" s="10" t="s">
        <v>4127</v>
      </c>
      <c r="K728" s="5" t="s">
        <v>434</v>
      </c>
      <c r="L728" s="5" t="s">
        <v>4128</v>
      </c>
      <c r="M728" s="5" t="s">
        <v>45</v>
      </c>
      <c r="N728" s="5" t="s">
        <v>80</v>
      </c>
      <c r="O728" s="5" t="s">
        <v>46</v>
      </c>
      <c r="P728" s="10" t="s">
        <v>47</v>
      </c>
      <c r="Q728" s="10" t="s">
        <v>552</v>
      </c>
      <c r="R728" s="10" t="s">
        <v>553</v>
      </c>
      <c r="S728" s="5">
        <v>0</v>
      </c>
      <c r="T728" s="37">
        <v>1</v>
      </c>
      <c r="U728" s="5">
        <v>1</v>
      </c>
      <c r="V728" s="37">
        <v>0</v>
      </c>
      <c r="W728" s="5">
        <v>0</v>
      </c>
      <c r="X728" s="5">
        <v>2</v>
      </c>
      <c r="Y728" s="5">
        <v>0</v>
      </c>
      <c r="Z728" s="37">
        <v>1</v>
      </c>
      <c r="AA728" s="5">
        <v>0</v>
      </c>
      <c r="AB728" s="5">
        <v>0</v>
      </c>
      <c r="AC728" s="5">
        <v>0</v>
      </c>
      <c r="AD728" s="5">
        <v>1</v>
      </c>
      <c r="AE728" s="10" t="s">
        <v>126</v>
      </c>
      <c r="AF728" s="10"/>
      <c r="AG728" s="10" t="s">
        <v>64</v>
      </c>
      <c r="AH728" s="10">
        <v>40075</v>
      </c>
      <c r="AI728" s="5">
        <v>2</v>
      </c>
      <c r="AJ728" s="10" t="s">
        <v>4129</v>
      </c>
      <c r="AK728" s="10" t="s">
        <v>4130</v>
      </c>
    </row>
    <row r="729" spans="1:37" ht="36.75" customHeight="1" x14ac:dyDescent="0.35">
      <c r="A729" s="5"/>
      <c r="B729" s="5" t="s">
        <v>37</v>
      </c>
      <c r="C729" s="73" t="str">
        <f t="shared" si="11"/>
        <v>Closed</v>
      </c>
      <c r="D729" s="45" t="s">
        <v>4131</v>
      </c>
      <c r="E729" s="54" t="s">
        <v>4132</v>
      </c>
      <c r="F729" s="5" t="s">
        <v>1553</v>
      </c>
      <c r="G729" s="10">
        <f>DATE(2009,9,21)</f>
        <v>40077</v>
      </c>
      <c r="H729" s="35">
        <v>1.1041666666666667</v>
      </c>
      <c r="I729" s="5" t="s">
        <v>55</v>
      </c>
      <c r="J729" s="10" t="s">
        <v>4133</v>
      </c>
      <c r="K729" s="5" t="s">
        <v>1555</v>
      </c>
      <c r="L729" s="5" t="s">
        <v>4134</v>
      </c>
      <c r="M729" s="5" t="s">
        <v>45</v>
      </c>
      <c r="N729" s="5">
        <v>0</v>
      </c>
      <c r="O729" s="5" t="s">
        <v>46</v>
      </c>
      <c r="P729" s="10" t="s">
        <v>47</v>
      </c>
      <c r="Q729" s="10" t="s">
        <v>2393</v>
      </c>
      <c r="R729" s="10">
        <v>0</v>
      </c>
      <c r="S729" s="5">
        <v>0</v>
      </c>
      <c r="T729" s="37" t="s">
        <v>50</v>
      </c>
      <c r="U729" s="5">
        <v>0</v>
      </c>
      <c r="V729" s="37" t="s">
        <v>50</v>
      </c>
      <c r="W729" s="5">
        <v>0</v>
      </c>
      <c r="X729" s="5">
        <v>0</v>
      </c>
      <c r="Y729" s="5">
        <v>0</v>
      </c>
      <c r="Z729" s="37" t="s">
        <v>50</v>
      </c>
      <c r="AA729" s="5">
        <v>0</v>
      </c>
      <c r="AB729" s="5">
        <v>0</v>
      </c>
      <c r="AC729" s="5">
        <v>0</v>
      </c>
      <c r="AD729" s="5">
        <v>0</v>
      </c>
      <c r="AE729" s="10" t="s">
        <v>50</v>
      </c>
      <c r="AF729" s="10"/>
      <c r="AG729" s="10" t="s">
        <v>64</v>
      </c>
      <c r="AH729" s="10" t="s">
        <v>50</v>
      </c>
      <c r="AI729" s="5">
        <v>3</v>
      </c>
      <c r="AJ729" s="10" t="s">
        <v>4135</v>
      </c>
      <c r="AK729" s="10" t="s">
        <v>4136</v>
      </c>
    </row>
    <row r="730" spans="1:37" ht="36.75" customHeight="1" x14ac:dyDescent="0.35">
      <c r="A730" s="5"/>
      <c r="B730" s="5" t="s">
        <v>37</v>
      </c>
      <c r="C730" s="73" t="str">
        <f t="shared" si="11"/>
        <v>Closed</v>
      </c>
      <c r="D730" s="45" t="s">
        <v>4137</v>
      </c>
      <c r="E730" s="54" t="s">
        <v>4138</v>
      </c>
      <c r="F730" s="5" t="s">
        <v>214</v>
      </c>
      <c r="G730" s="10">
        <f>DATE(2009,9,23)</f>
        <v>40079</v>
      </c>
      <c r="H730" s="35">
        <v>1.7743055555555554</v>
      </c>
      <c r="I730" s="5" t="s">
        <v>67</v>
      </c>
      <c r="J730" s="10" t="s">
        <v>4139</v>
      </c>
      <c r="K730" s="5" t="s">
        <v>216</v>
      </c>
      <c r="L730" s="5" t="s">
        <v>4140</v>
      </c>
      <c r="M730" s="5" t="s">
        <v>45</v>
      </c>
      <c r="N730" s="5">
        <v>0</v>
      </c>
      <c r="O730" s="5" t="s">
        <v>59</v>
      </c>
      <c r="P730" s="10" t="s">
        <v>443</v>
      </c>
      <c r="Q730" s="10" t="s">
        <v>4141</v>
      </c>
      <c r="R730" s="10" t="s">
        <v>219</v>
      </c>
      <c r="S730" s="5">
        <v>0</v>
      </c>
      <c r="T730" s="37" t="s">
        <v>50</v>
      </c>
      <c r="U730" s="5">
        <v>0</v>
      </c>
      <c r="V730" s="37" t="s">
        <v>50</v>
      </c>
      <c r="W730" s="5">
        <v>0</v>
      </c>
      <c r="X730" s="5">
        <v>0</v>
      </c>
      <c r="Y730" s="5">
        <v>0</v>
      </c>
      <c r="Z730" s="37" t="s">
        <v>50</v>
      </c>
      <c r="AA730" s="5">
        <v>0</v>
      </c>
      <c r="AB730" s="5">
        <v>0</v>
      </c>
      <c r="AC730" s="5">
        <v>0</v>
      </c>
      <c r="AD730" s="5">
        <v>0</v>
      </c>
      <c r="AE730" s="10" t="s">
        <v>50</v>
      </c>
      <c r="AF730" s="10"/>
      <c r="AG730" s="10" t="s">
        <v>114</v>
      </c>
      <c r="AH730" s="10" t="s">
        <v>50</v>
      </c>
      <c r="AI730" s="5">
        <v>7</v>
      </c>
      <c r="AJ730" s="10" t="s">
        <v>4142</v>
      </c>
      <c r="AK730" s="10" t="s">
        <v>4143</v>
      </c>
    </row>
    <row r="731" spans="1:37" ht="36.75" customHeight="1" x14ac:dyDescent="0.35">
      <c r="A731" s="5"/>
      <c r="B731" s="5" t="s">
        <v>37</v>
      </c>
      <c r="C731" s="73" t="str">
        <f t="shared" si="11"/>
        <v>Closed</v>
      </c>
      <c r="D731" s="45" t="s">
        <v>4144</v>
      </c>
      <c r="E731" s="54" t="s">
        <v>4145</v>
      </c>
      <c r="F731" s="5" t="s">
        <v>619</v>
      </c>
      <c r="G731" s="10">
        <f>DATE(2009,9,24)</f>
        <v>40080</v>
      </c>
      <c r="H731" s="35">
        <v>1.5763888888888888</v>
      </c>
      <c r="I731" s="5" t="s">
        <v>1022</v>
      </c>
      <c r="J731" s="10" t="s">
        <v>4146</v>
      </c>
      <c r="K731" s="5" t="s">
        <v>621</v>
      </c>
      <c r="L731" s="5" t="s">
        <v>4147</v>
      </c>
      <c r="M731" s="5" t="s">
        <v>45</v>
      </c>
      <c r="N731" s="5">
        <v>0</v>
      </c>
      <c r="O731" s="5" t="s">
        <v>67</v>
      </c>
      <c r="P731" s="10" t="s">
        <v>146</v>
      </c>
      <c r="Q731" s="10" t="s">
        <v>3226</v>
      </c>
      <c r="R731" s="10" t="s">
        <v>3226</v>
      </c>
      <c r="S731" s="5">
        <v>0</v>
      </c>
      <c r="T731" s="37" t="s">
        <v>50</v>
      </c>
      <c r="U731" s="5">
        <v>0</v>
      </c>
      <c r="V731" s="37" t="s">
        <v>50</v>
      </c>
      <c r="W731" s="5">
        <v>0</v>
      </c>
      <c r="X731" s="5">
        <v>0</v>
      </c>
      <c r="Y731" s="5">
        <v>0</v>
      </c>
      <c r="Z731" s="37" t="s">
        <v>50</v>
      </c>
      <c r="AA731" s="5">
        <v>0</v>
      </c>
      <c r="AB731" s="5">
        <v>0</v>
      </c>
      <c r="AC731" s="5">
        <v>0</v>
      </c>
      <c r="AD731" s="5">
        <v>0</v>
      </c>
      <c r="AE731" s="10" t="s">
        <v>50</v>
      </c>
      <c r="AF731" s="10"/>
      <c r="AG731" s="10" t="s">
        <v>229</v>
      </c>
      <c r="AH731" s="10" t="s">
        <v>50</v>
      </c>
      <c r="AI731" s="5">
        <v>3</v>
      </c>
      <c r="AJ731" s="10" t="s">
        <v>4148</v>
      </c>
      <c r="AK731" s="10" t="s">
        <v>50</v>
      </c>
    </row>
    <row r="732" spans="1:37" ht="36.75" customHeight="1" x14ac:dyDescent="0.35">
      <c r="A732" s="5"/>
      <c r="B732" s="5" t="s">
        <v>37</v>
      </c>
      <c r="C732" s="73" t="str">
        <f t="shared" si="11"/>
        <v>Closed</v>
      </c>
      <c r="D732" s="45" t="s">
        <v>4149</v>
      </c>
      <c r="E732" s="54" t="s">
        <v>4150</v>
      </c>
      <c r="F732" s="5" t="s">
        <v>54</v>
      </c>
      <c r="G732" s="10">
        <f>DATE(2009,9,24)</f>
        <v>40080</v>
      </c>
      <c r="H732" s="35">
        <v>1.9375</v>
      </c>
      <c r="I732" s="5" t="s">
        <v>179</v>
      </c>
      <c r="J732" s="10" t="s">
        <v>4151</v>
      </c>
      <c r="K732" s="5" t="s">
        <v>57</v>
      </c>
      <c r="L732" s="5" t="s">
        <v>4152</v>
      </c>
      <c r="M732" s="5" t="s">
        <v>45</v>
      </c>
      <c r="N732" s="5" t="s">
        <v>70</v>
      </c>
      <c r="O732" s="5" t="s">
        <v>46</v>
      </c>
      <c r="P732" s="10" t="s">
        <v>60</v>
      </c>
      <c r="Q732" s="10" t="s">
        <v>4153</v>
      </c>
      <c r="R732" s="10" t="s">
        <v>62</v>
      </c>
      <c r="S732" s="5">
        <v>0</v>
      </c>
      <c r="T732" s="37">
        <v>1</v>
      </c>
      <c r="U732" s="5">
        <v>0</v>
      </c>
      <c r="V732" s="37">
        <v>0</v>
      </c>
      <c r="W732" s="5">
        <v>0</v>
      </c>
      <c r="X732" s="5">
        <v>1</v>
      </c>
      <c r="Y732" s="5">
        <v>0</v>
      </c>
      <c r="Z732" s="37">
        <v>1</v>
      </c>
      <c r="AA732" s="5">
        <v>0</v>
      </c>
      <c r="AB732" s="5">
        <v>0</v>
      </c>
      <c r="AC732" s="5">
        <v>0</v>
      </c>
      <c r="AD732" s="5">
        <v>1</v>
      </c>
      <c r="AE732" s="10" t="s">
        <v>50</v>
      </c>
      <c r="AF732" s="10"/>
      <c r="AG732" s="10" t="s">
        <v>64</v>
      </c>
      <c r="AH732" s="10">
        <v>40080</v>
      </c>
      <c r="AI732" s="5">
        <v>4</v>
      </c>
      <c r="AJ732" s="10" t="s">
        <v>4154</v>
      </c>
      <c r="AK732" s="10" t="s">
        <v>4155</v>
      </c>
    </row>
    <row r="733" spans="1:37" ht="36.75" customHeight="1" x14ac:dyDescent="0.35">
      <c r="A733" s="5"/>
      <c r="B733" s="5" t="s">
        <v>37</v>
      </c>
      <c r="C733" s="73" t="str">
        <f t="shared" si="11"/>
        <v>Closed</v>
      </c>
      <c r="D733" s="45" t="s">
        <v>4156</v>
      </c>
      <c r="E733" s="54" t="s">
        <v>4157</v>
      </c>
      <c r="F733" s="5" t="s">
        <v>96</v>
      </c>
      <c r="G733" s="10">
        <f>DATE(2009,9,25)</f>
        <v>40081</v>
      </c>
      <c r="H733" s="35">
        <v>1.5319444444444446</v>
      </c>
      <c r="I733" s="5" t="s">
        <v>97</v>
      </c>
      <c r="J733" s="10" t="s">
        <v>4158</v>
      </c>
      <c r="K733" s="5" t="s">
        <v>99</v>
      </c>
      <c r="L733" s="5" t="s">
        <v>4159</v>
      </c>
      <c r="M733" s="5" t="s">
        <v>45</v>
      </c>
      <c r="N733" s="5">
        <v>0</v>
      </c>
      <c r="O733" s="5" t="s">
        <v>46</v>
      </c>
      <c r="P733" s="10" t="s">
        <v>60</v>
      </c>
      <c r="Q733" s="10" t="s">
        <v>101</v>
      </c>
      <c r="R733" s="10" t="s">
        <v>102</v>
      </c>
      <c r="S733" s="5">
        <v>0</v>
      </c>
      <c r="T733" s="37" t="s">
        <v>50</v>
      </c>
      <c r="U733" s="5">
        <v>0</v>
      </c>
      <c r="V733" s="37" t="s">
        <v>50</v>
      </c>
      <c r="W733" s="5">
        <v>0</v>
      </c>
      <c r="X733" s="5">
        <v>0</v>
      </c>
      <c r="Y733" s="5">
        <v>0</v>
      </c>
      <c r="Z733" s="37" t="s">
        <v>50</v>
      </c>
      <c r="AA733" s="5">
        <v>0</v>
      </c>
      <c r="AB733" s="5">
        <v>0</v>
      </c>
      <c r="AC733" s="5">
        <v>0</v>
      </c>
      <c r="AD733" s="5">
        <v>0</v>
      </c>
      <c r="AE733" s="10" t="s">
        <v>50</v>
      </c>
      <c r="AF733" s="10"/>
      <c r="AG733" s="10" t="s">
        <v>333</v>
      </c>
      <c r="AH733" s="10" t="s">
        <v>50</v>
      </c>
      <c r="AI733" s="5">
        <v>3</v>
      </c>
      <c r="AJ733" s="10" t="s">
        <v>50</v>
      </c>
      <c r="AK733" s="10" t="s">
        <v>50</v>
      </c>
    </row>
    <row r="734" spans="1:37" ht="36.75" customHeight="1" x14ac:dyDescent="0.35">
      <c r="A734" s="5"/>
      <c r="B734" s="5" t="s">
        <v>37</v>
      </c>
      <c r="C734" s="73" t="str">
        <f t="shared" si="11"/>
        <v>Closed</v>
      </c>
      <c r="D734" s="45" t="s">
        <v>4160</v>
      </c>
      <c r="E734" s="54" t="s">
        <v>4161</v>
      </c>
      <c r="F734" s="5" t="s">
        <v>619</v>
      </c>
      <c r="G734" s="10">
        <f>DATE(2009,9,28)</f>
        <v>40084</v>
      </c>
      <c r="H734" s="35">
        <v>1.5659722222222223</v>
      </c>
      <c r="I734" s="5" t="s">
        <v>97</v>
      </c>
      <c r="J734" s="10" t="s">
        <v>4162</v>
      </c>
      <c r="K734" s="5" t="s">
        <v>621</v>
      </c>
      <c r="L734" s="5" t="s">
        <v>4163</v>
      </c>
      <c r="M734" s="5" t="s">
        <v>45</v>
      </c>
      <c r="N734" s="5">
        <v>0</v>
      </c>
      <c r="O734" s="5" t="s">
        <v>46</v>
      </c>
      <c r="P734" s="10" t="s">
        <v>146</v>
      </c>
      <c r="Q734" s="10" t="s">
        <v>3226</v>
      </c>
      <c r="R734" s="10" t="s">
        <v>3226</v>
      </c>
      <c r="S734" s="5">
        <v>0</v>
      </c>
      <c r="T734" s="37">
        <v>0</v>
      </c>
      <c r="U734" s="5">
        <v>1</v>
      </c>
      <c r="V734" s="37">
        <v>0</v>
      </c>
      <c r="W734" s="5">
        <v>0</v>
      </c>
      <c r="X734" s="5">
        <v>1</v>
      </c>
      <c r="Y734" s="5">
        <v>0</v>
      </c>
      <c r="Z734" s="37">
        <v>0</v>
      </c>
      <c r="AA734" s="5">
        <v>1</v>
      </c>
      <c r="AB734" s="5">
        <v>0</v>
      </c>
      <c r="AC734" s="5">
        <v>0</v>
      </c>
      <c r="AD734" s="5">
        <v>1</v>
      </c>
      <c r="AE734" s="10" t="s">
        <v>50</v>
      </c>
      <c r="AF734" s="10"/>
      <c r="AG734" s="10" t="s">
        <v>229</v>
      </c>
      <c r="AH734" s="10" t="s">
        <v>50</v>
      </c>
      <c r="AI734" s="5">
        <v>0</v>
      </c>
      <c r="AJ734" s="10" t="s">
        <v>4164</v>
      </c>
      <c r="AK734" s="10" t="s">
        <v>50</v>
      </c>
    </row>
    <row r="735" spans="1:37" ht="36.75" customHeight="1" x14ac:dyDescent="0.35">
      <c r="A735" s="5"/>
      <c r="B735" s="5" t="s">
        <v>37</v>
      </c>
      <c r="C735" s="73" t="str">
        <f t="shared" si="11"/>
        <v>Closed</v>
      </c>
      <c r="D735" s="45" t="s">
        <v>4165</v>
      </c>
      <c r="E735" s="54" t="s">
        <v>4166</v>
      </c>
      <c r="F735" s="5" t="s">
        <v>214</v>
      </c>
      <c r="G735" s="10">
        <f>DATE(2009,9,28)</f>
        <v>40084</v>
      </c>
      <c r="H735" s="35">
        <v>1.7013888888888888</v>
      </c>
      <c r="I735" s="5" t="s">
        <v>55</v>
      </c>
      <c r="J735" s="10" t="s">
        <v>4167</v>
      </c>
      <c r="K735" s="5" t="s">
        <v>216</v>
      </c>
      <c r="L735" s="5" t="s">
        <v>4168</v>
      </c>
      <c r="M735" s="5" t="s">
        <v>45</v>
      </c>
      <c r="N735" s="5">
        <v>0</v>
      </c>
      <c r="O735" s="5" t="s">
        <v>46</v>
      </c>
      <c r="P735" s="10" t="s">
        <v>146</v>
      </c>
      <c r="Q735" s="10" t="s">
        <v>4169</v>
      </c>
      <c r="R735" s="10" t="s">
        <v>4169</v>
      </c>
      <c r="S735" s="5">
        <v>0</v>
      </c>
      <c r="T735" s="37" t="s">
        <v>50</v>
      </c>
      <c r="U735" s="5">
        <v>0</v>
      </c>
      <c r="V735" s="37" t="s">
        <v>50</v>
      </c>
      <c r="W735" s="5">
        <v>0</v>
      </c>
      <c r="X735" s="5">
        <v>0</v>
      </c>
      <c r="Y735" s="5">
        <v>0</v>
      </c>
      <c r="Z735" s="37" t="s">
        <v>50</v>
      </c>
      <c r="AA735" s="5">
        <v>0</v>
      </c>
      <c r="AB735" s="5">
        <v>0</v>
      </c>
      <c r="AC735" s="5">
        <v>0</v>
      </c>
      <c r="AD735" s="5">
        <v>0</v>
      </c>
      <c r="AE735" s="10" t="s">
        <v>50</v>
      </c>
      <c r="AF735" s="10"/>
      <c r="AG735" s="10" t="s">
        <v>229</v>
      </c>
      <c r="AH735" s="10" t="s">
        <v>50</v>
      </c>
      <c r="AI735" s="5">
        <v>5</v>
      </c>
      <c r="AJ735" s="10" t="s">
        <v>4170</v>
      </c>
      <c r="AK735" s="10" t="s">
        <v>4171</v>
      </c>
    </row>
    <row r="736" spans="1:37" ht="36.75" customHeight="1" x14ac:dyDescent="0.35">
      <c r="A736" s="5"/>
      <c r="B736" s="5" t="s">
        <v>37</v>
      </c>
      <c r="C736" s="73" t="str">
        <f t="shared" si="11"/>
        <v>Closed</v>
      </c>
      <c r="D736" s="45" t="s">
        <v>4172</v>
      </c>
      <c r="E736" s="54" t="s">
        <v>4173</v>
      </c>
      <c r="F736" s="5" t="s">
        <v>214</v>
      </c>
      <c r="G736" s="10">
        <f>DATE(2009,9,29)</f>
        <v>40085</v>
      </c>
      <c r="H736" s="35">
        <v>1.5874999999999999</v>
      </c>
      <c r="I736" s="5" t="s">
        <v>97</v>
      </c>
      <c r="J736" s="10" t="s">
        <v>4174</v>
      </c>
      <c r="K736" s="5" t="s">
        <v>216</v>
      </c>
      <c r="L736" s="5" t="s">
        <v>4175</v>
      </c>
      <c r="M736" s="5" t="s">
        <v>45</v>
      </c>
      <c r="N736" s="5">
        <v>0</v>
      </c>
      <c r="O736" s="5" t="s">
        <v>46</v>
      </c>
      <c r="P736" s="10" t="s">
        <v>146</v>
      </c>
      <c r="Q736" s="10" t="s">
        <v>4176</v>
      </c>
      <c r="R736" s="10" t="s">
        <v>219</v>
      </c>
      <c r="S736" s="5">
        <v>0</v>
      </c>
      <c r="T736" s="37">
        <v>0</v>
      </c>
      <c r="U736" s="5">
        <v>3</v>
      </c>
      <c r="V736" s="37">
        <v>0</v>
      </c>
      <c r="W736" s="5">
        <v>0</v>
      </c>
      <c r="X736" s="5">
        <v>3</v>
      </c>
      <c r="Y736" s="5">
        <v>0</v>
      </c>
      <c r="Z736" s="37">
        <v>0</v>
      </c>
      <c r="AA736" s="5">
        <v>0</v>
      </c>
      <c r="AB736" s="5">
        <v>0</v>
      </c>
      <c r="AC736" s="5">
        <v>0</v>
      </c>
      <c r="AD736" s="5">
        <v>0</v>
      </c>
      <c r="AE736" s="10" t="s">
        <v>50</v>
      </c>
      <c r="AF736" s="10"/>
      <c r="AG736" s="10" t="s">
        <v>64</v>
      </c>
      <c r="AH736" s="10" t="s">
        <v>50</v>
      </c>
      <c r="AI736" s="5">
        <v>6</v>
      </c>
      <c r="AJ736" s="10" t="s">
        <v>4177</v>
      </c>
      <c r="AK736" s="10" t="s">
        <v>4178</v>
      </c>
    </row>
    <row r="737" spans="1:37" ht="36.75" customHeight="1" x14ac:dyDescent="0.35">
      <c r="A737" s="5"/>
      <c r="B737" s="5" t="s">
        <v>37</v>
      </c>
      <c r="C737" s="73" t="str">
        <f t="shared" si="11"/>
        <v>Closed</v>
      </c>
      <c r="D737" s="45" t="s">
        <v>4179</v>
      </c>
      <c r="E737" s="54" t="s">
        <v>4180</v>
      </c>
      <c r="F737" s="5" t="s">
        <v>40</v>
      </c>
      <c r="G737" s="10">
        <f>DATE(2009,10,1)</f>
        <v>40087</v>
      </c>
      <c r="H737" s="35">
        <v>1.5201388888888889</v>
      </c>
      <c r="I737" s="5" t="s">
        <v>67</v>
      </c>
      <c r="J737" s="10" t="s">
        <v>4181</v>
      </c>
      <c r="K737" s="5" t="s">
        <v>43</v>
      </c>
      <c r="L737" s="5" t="s">
        <v>4182</v>
      </c>
      <c r="M737" s="5" t="s">
        <v>45</v>
      </c>
      <c r="N737" s="5" t="s">
        <v>123</v>
      </c>
      <c r="O737" s="5" t="s">
        <v>59</v>
      </c>
      <c r="P737" s="10" t="s">
        <v>534</v>
      </c>
      <c r="Q737" s="10" t="s">
        <v>4183</v>
      </c>
      <c r="R737" s="10" t="s">
        <v>49</v>
      </c>
      <c r="S737" s="5">
        <v>0</v>
      </c>
      <c r="T737" s="37">
        <v>0</v>
      </c>
      <c r="U737" s="5">
        <v>0</v>
      </c>
      <c r="V737" s="37">
        <v>0</v>
      </c>
      <c r="W737" s="5">
        <v>0</v>
      </c>
      <c r="X737" s="5">
        <v>0</v>
      </c>
      <c r="Y737" s="5">
        <v>0</v>
      </c>
      <c r="Z737" s="37">
        <v>0</v>
      </c>
      <c r="AA737" s="5">
        <v>0</v>
      </c>
      <c r="AB737" s="5">
        <v>0</v>
      </c>
      <c r="AC737" s="5">
        <v>0</v>
      </c>
      <c r="AD737" s="5">
        <v>0</v>
      </c>
      <c r="AE737" s="10" t="s">
        <v>73</v>
      </c>
      <c r="AF737" s="10"/>
      <c r="AG737" s="10" t="s">
        <v>51</v>
      </c>
      <c r="AH737" s="10">
        <v>40088</v>
      </c>
      <c r="AI737" s="5">
        <v>1</v>
      </c>
      <c r="AJ737" s="10" t="s">
        <v>4184</v>
      </c>
      <c r="AK737" s="10" t="s">
        <v>4185</v>
      </c>
    </row>
    <row r="738" spans="1:37" ht="36.75" customHeight="1" x14ac:dyDescent="0.35">
      <c r="A738" s="5"/>
      <c r="B738" s="5" t="s">
        <v>37</v>
      </c>
      <c r="C738" s="73" t="str">
        <f t="shared" si="11"/>
        <v>Closed</v>
      </c>
      <c r="D738" s="45" t="s">
        <v>4186</v>
      </c>
      <c r="E738" s="54" t="s">
        <v>4187</v>
      </c>
      <c r="F738" s="5" t="s">
        <v>816</v>
      </c>
      <c r="G738" s="10">
        <f>DATE(2009,10,4)</f>
        <v>40090</v>
      </c>
      <c r="H738" s="35">
        <v>1.4784722222222222</v>
      </c>
      <c r="I738" s="5" t="s">
        <v>97</v>
      </c>
      <c r="J738" s="10" t="s">
        <v>4188</v>
      </c>
      <c r="K738" s="5" t="s">
        <v>818</v>
      </c>
      <c r="L738" s="5" t="s">
        <v>4189</v>
      </c>
      <c r="M738" s="5" t="s">
        <v>45</v>
      </c>
      <c r="N738" s="5">
        <v>0</v>
      </c>
      <c r="O738" s="5" t="s">
        <v>46</v>
      </c>
      <c r="P738" s="10" t="s">
        <v>146</v>
      </c>
      <c r="Q738" s="10" t="s">
        <v>4190</v>
      </c>
      <c r="R738" s="10" t="s">
        <v>4190</v>
      </c>
      <c r="S738" s="5">
        <v>0</v>
      </c>
      <c r="T738" s="37">
        <v>0</v>
      </c>
      <c r="U738" s="5">
        <v>0</v>
      </c>
      <c r="V738" s="37">
        <v>0</v>
      </c>
      <c r="W738" s="5">
        <v>0</v>
      </c>
      <c r="X738" s="5">
        <v>0</v>
      </c>
      <c r="Y738" s="5">
        <v>0</v>
      </c>
      <c r="Z738" s="37">
        <v>0</v>
      </c>
      <c r="AA738" s="5">
        <v>0</v>
      </c>
      <c r="AB738" s="5">
        <v>0</v>
      </c>
      <c r="AC738" s="5">
        <v>0</v>
      </c>
      <c r="AD738" s="5">
        <v>0</v>
      </c>
      <c r="AE738" s="10" t="s">
        <v>50</v>
      </c>
      <c r="AF738" s="10"/>
      <c r="AG738" s="10" t="s">
        <v>333</v>
      </c>
      <c r="AH738" s="10" t="s">
        <v>50</v>
      </c>
      <c r="AI738" s="5">
        <v>1</v>
      </c>
      <c r="AJ738" s="10" t="s">
        <v>50</v>
      </c>
      <c r="AK738" s="10" t="s">
        <v>50</v>
      </c>
    </row>
    <row r="739" spans="1:37" ht="36.75" customHeight="1" x14ac:dyDescent="0.35">
      <c r="A739" s="5"/>
      <c r="B739" s="5" t="s">
        <v>37</v>
      </c>
      <c r="C739" s="73" t="str">
        <f t="shared" si="11"/>
        <v>Closed</v>
      </c>
      <c r="D739" s="45" t="s">
        <v>4191</v>
      </c>
      <c r="E739" s="54" t="s">
        <v>4192</v>
      </c>
      <c r="F739" s="5" t="s">
        <v>619</v>
      </c>
      <c r="G739" s="10">
        <f>DATE(2009,10,8)</f>
        <v>40094</v>
      </c>
      <c r="H739" s="35">
        <v>1.7756944444444445</v>
      </c>
      <c r="I739" s="5" t="s">
        <v>97</v>
      </c>
      <c r="J739" s="10" t="s">
        <v>4193</v>
      </c>
      <c r="K739" s="5" t="s">
        <v>621</v>
      </c>
      <c r="L739" s="5" t="s">
        <v>4194</v>
      </c>
      <c r="M739" s="5" t="s">
        <v>45</v>
      </c>
      <c r="N739" s="5">
        <v>0</v>
      </c>
      <c r="O739" s="5" t="s">
        <v>59</v>
      </c>
      <c r="P739" s="10" t="s">
        <v>60</v>
      </c>
      <c r="Q739" s="10" t="s">
        <v>623</v>
      </c>
      <c r="R739" s="10" t="s">
        <v>624</v>
      </c>
      <c r="S739" s="5">
        <v>0</v>
      </c>
      <c r="T739" s="37">
        <v>0</v>
      </c>
      <c r="U739" s="5">
        <v>1</v>
      </c>
      <c r="V739" s="37">
        <v>0</v>
      </c>
      <c r="W739" s="5">
        <v>0</v>
      </c>
      <c r="X739" s="5">
        <v>1</v>
      </c>
      <c r="Y739" s="5">
        <v>0</v>
      </c>
      <c r="Z739" s="37">
        <v>0</v>
      </c>
      <c r="AA739" s="5">
        <v>0</v>
      </c>
      <c r="AB739" s="5">
        <v>0</v>
      </c>
      <c r="AC739" s="5">
        <v>0</v>
      </c>
      <c r="AD739" s="5">
        <v>0</v>
      </c>
      <c r="AE739" s="10" t="s">
        <v>50</v>
      </c>
      <c r="AF739" s="10"/>
      <c r="AG739" s="10" t="s">
        <v>229</v>
      </c>
      <c r="AH739" s="10" t="s">
        <v>50</v>
      </c>
      <c r="AI739" s="5">
        <v>1</v>
      </c>
      <c r="AJ739" s="10" t="s">
        <v>50</v>
      </c>
      <c r="AK739" s="10" t="s">
        <v>50</v>
      </c>
    </row>
    <row r="740" spans="1:37" ht="36.75" customHeight="1" x14ac:dyDescent="0.35">
      <c r="A740" s="5"/>
      <c r="B740" s="5" t="s">
        <v>37</v>
      </c>
      <c r="C740" s="73" t="str">
        <f t="shared" si="11"/>
        <v>Closed</v>
      </c>
      <c r="D740" s="45" t="s">
        <v>4195</v>
      </c>
      <c r="E740" s="54" t="s">
        <v>4196</v>
      </c>
      <c r="F740" s="5" t="s">
        <v>432</v>
      </c>
      <c r="G740" s="10">
        <f>DATE(2009,10,10)</f>
        <v>40096</v>
      </c>
      <c r="H740" s="35">
        <v>1.0173611111111112</v>
      </c>
      <c r="I740" s="5" t="s">
        <v>106</v>
      </c>
      <c r="J740" s="10" t="s">
        <v>4197</v>
      </c>
      <c r="K740" s="5" t="s">
        <v>434</v>
      </c>
      <c r="L740" s="5" t="s">
        <v>4198</v>
      </c>
      <c r="M740" s="5" t="s">
        <v>45</v>
      </c>
      <c r="N740" s="5" t="s">
        <v>80</v>
      </c>
      <c r="O740" s="5" t="s">
        <v>46</v>
      </c>
      <c r="P740" s="10" t="s">
        <v>47</v>
      </c>
      <c r="Q740" s="10" t="s">
        <v>552</v>
      </c>
      <c r="R740" s="10" t="s">
        <v>553</v>
      </c>
      <c r="S740" s="5">
        <v>0</v>
      </c>
      <c r="T740" s="37">
        <v>0</v>
      </c>
      <c r="U740" s="5">
        <v>0</v>
      </c>
      <c r="V740" s="37">
        <v>0</v>
      </c>
      <c r="W740" s="5">
        <v>0</v>
      </c>
      <c r="X740" s="5">
        <v>0</v>
      </c>
      <c r="Y740" s="5">
        <v>0</v>
      </c>
      <c r="Z740" s="37">
        <v>0</v>
      </c>
      <c r="AA740" s="5">
        <v>0</v>
      </c>
      <c r="AB740" s="5">
        <v>0</v>
      </c>
      <c r="AC740" s="5">
        <v>0</v>
      </c>
      <c r="AD740" s="5">
        <v>0</v>
      </c>
      <c r="AE740" s="10" t="s">
        <v>375</v>
      </c>
      <c r="AF740" s="10"/>
      <c r="AG740" s="10" t="s">
        <v>333</v>
      </c>
      <c r="AH740" s="10">
        <v>40121</v>
      </c>
      <c r="AI740" s="5">
        <v>1</v>
      </c>
      <c r="AJ740" s="10" t="s">
        <v>4199</v>
      </c>
      <c r="AK740" s="10" t="s">
        <v>4200</v>
      </c>
    </row>
    <row r="741" spans="1:37" ht="36.75" customHeight="1" x14ac:dyDescent="0.35">
      <c r="A741" s="5"/>
      <c r="B741" s="5" t="s">
        <v>37</v>
      </c>
      <c r="C741" s="73" t="str">
        <f t="shared" si="11"/>
        <v>Closed</v>
      </c>
      <c r="D741" s="45" t="s">
        <v>4201</v>
      </c>
      <c r="E741" s="54" t="s">
        <v>4202</v>
      </c>
      <c r="F741" s="5" t="s">
        <v>214</v>
      </c>
      <c r="G741" s="10">
        <f>DATE(2009,10,11)</f>
        <v>40097</v>
      </c>
      <c r="H741" s="35">
        <v>1.5993055555555555</v>
      </c>
      <c r="I741" s="5" t="s">
        <v>55</v>
      </c>
      <c r="J741" s="10" t="s">
        <v>4203</v>
      </c>
      <c r="K741" s="5" t="s">
        <v>216</v>
      </c>
      <c r="L741" s="5" t="s">
        <v>4204</v>
      </c>
      <c r="M741" s="5" t="s">
        <v>45</v>
      </c>
      <c r="N741" s="5">
        <v>0</v>
      </c>
      <c r="O741" s="5" t="s">
        <v>59</v>
      </c>
      <c r="P741" s="10" t="s">
        <v>146</v>
      </c>
      <c r="Q741" s="10" t="s">
        <v>4205</v>
      </c>
      <c r="R741" s="10" t="s">
        <v>219</v>
      </c>
      <c r="S741" s="5">
        <v>0</v>
      </c>
      <c r="T741" s="37" t="s">
        <v>50</v>
      </c>
      <c r="U741" s="5">
        <v>0</v>
      </c>
      <c r="V741" s="37" t="s">
        <v>50</v>
      </c>
      <c r="W741" s="5">
        <v>0</v>
      </c>
      <c r="X741" s="5">
        <v>0</v>
      </c>
      <c r="Y741" s="5">
        <v>0</v>
      </c>
      <c r="Z741" s="37" t="s">
        <v>50</v>
      </c>
      <c r="AA741" s="5">
        <v>0</v>
      </c>
      <c r="AB741" s="5">
        <v>0</v>
      </c>
      <c r="AC741" s="5">
        <v>0</v>
      </c>
      <c r="AD741" s="5">
        <v>0</v>
      </c>
      <c r="AE741" s="10" t="s">
        <v>50</v>
      </c>
      <c r="AF741" s="10"/>
      <c r="AG741" s="10" t="s">
        <v>229</v>
      </c>
      <c r="AH741" s="10" t="s">
        <v>50</v>
      </c>
      <c r="AI741" s="5">
        <v>3</v>
      </c>
      <c r="AJ741" s="10" t="s">
        <v>4206</v>
      </c>
      <c r="AK741" s="10" t="s">
        <v>4207</v>
      </c>
    </row>
    <row r="742" spans="1:37" ht="36.75" customHeight="1" x14ac:dyDescent="0.35">
      <c r="A742" s="5"/>
      <c r="B742" s="5" t="s">
        <v>37</v>
      </c>
      <c r="C742" s="73" t="str">
        <f t="shared" si="11"/>
        <v>Closed</v>
      </c>
      <c r="D742" s="45" t="s">
        <v>4208</v>
      </c>
      <c r="E742" s="54" t="s">
        <v>4209</v>
      </c>
      <c r="F742" s="5" t="s">
        <v>105</v>
      </c>
      <c r="G742" s="10">
        <f>DATE(2009,10,12)</f>
        <v>40098</v>
      </c>
      <c r="H742" s="35">
        <v>1.7326388888888888</v>
      </c>
      <c r="I742" s="5" t="s">
        <v>55</v>
      </c>
      <c r="J742" s="10" t="s">
        <v>4210</v>
      </c>
      <c r="K742" s="5" t="s">
        <v>108</v>
      </c>
      <c r="L742" s="5" t="s">
        <v>4211</v>
      </c>
      <c r="M742" s="5" t="s">
        <v>45</v>
      </c>
      <c r="N742" s="5">
        <v>0</v>
      </c>
      <c r="O742" s="5" t="s">
        <v>59</v>
      </c>
      <c r="P742" s="10" t="s">
        <v>60</v>
      </c>
      <c r="Q742" s="10" t="s">
        <v>4212</v>
      </c>
      <c r="R742" s="10" t="s">
        <v>148</v>
      </c>
      <c r="S742" s="5">
        <v>0</v>
      </c>
      <c r="T742" s="37" t="s">
        <v>50</v>
      </c>
      <c r="U742" s="5">
        <v>0</v>
      </c>
      <c r="V742" s="37" t="s">
        <v>50</v>
      </c>
      <c r="W742" s="5">
        <v>0</v>
      </c>
      <c r="X742" s="5">
        <v>0</v>
      </c>
      <c r="Y742" s="5">
        <v>0</v>
      </c>
      <c r="Z742" s="37" t="s">
        <v>50</v>
      </c>
      <c r="AA742" s="5">
        <v>0</v>
      </c>
      <c r="AB742" s="5">
        <v>0</v>
      </c>
      <c r="AC742" s="5">
        <v>0</v>
      </c>
      <c r="AD742" s="5">
        <v>0</v>
      </c>
      <c r="AE742" s="10" t="s">
        <v>50</v>
      </c>
      <c r="AF742" s="10"/>
      <c r="AG742" s="10" t="s">
        <v>64</v>
      </c>
      <c r="AH742" s="10" t="s">
        <v>50</v>
      </c>
      <c r="AI742" s="5">
        <v>0</v>
      </c>
      <c r="AJ742" s="10" t="s">
        <v>50</v>
      </c>
      <c r="AK742" s="10" t="s">
        <v>50</v>
      </c>
    </row>
    <row r="743" spans="1:37" ht="36.75" customHeight="1" x14ac:dyDescent="0.35">
      <c r="A743" s="5"/>
      <c r="B743" s="5" t="s">
        <v>37</v>
      </c>
      <c r="C743" s="73" t="str">
        <f t="shared" si="11"/>
        <v>Closed</v>
      </c>
      <c r="D743" s="45" t="s">
        <v>4213</v>
      </c>
      <c r="E743" s="54" t="s">
        <v>4214</v>
      </c>
      <c r="F743" s="5" t="s">
        <v>404</v>
      </c>
      <c r="G743" s="10">
        <f>DATE(2009,10,16)</f>
        <v>40102</v>
      </c>
      <c r="H743" s="35">
        <v>1.9486111111111111</v>
      </c>
      <c r="I743" s="5" t="s">
        <v>179</v>
      </c>
      <c r="J743" s="10" t="s">
        <v>4215</v>
      </c>
      <c r="K743" s="5" t="s">
        <v>406</v>
      </c>
      <c r="L743" s="5" t="s">
        <v>4216</v>
      </c>
      <c r="M743" s="5" t="s">
        <v>45</v>
      </c>
      <c r="N743" s="5">
        <v>0</v>
      </c>
      <c r="O743" s="5" t="s">
        <v>59</v>
      </c>
      <c r="P743" s="10" t="s">
        <v>60</v>
      </c>
      <c r="Q743" s="10" t="s">
        <v>2562</v>
      </c>
      <c r="R743" s="10" t="s">
        <v>3083</v>
      </c>
      <c r="S743" s="5">
        <v>0</v>
      </c>
      <c r="T743" s="37" t="s">
        <v>50</v>
      </c>
      <c r="U743" s="5">
        <v>0</v>
      </c>
      <c r="V743" s="37" t="s">
        <v>50</v>
      </c>
      <c r="W743" s="5">
        <v>0</v>
      </c>
      <c r="X743" s="5">
        <v>0</v>
      </c>
      <c r="Y743" s="5">
        <v>0</v>
      </c>
      <c r="Z743" s="37" t="s">
        <v>50</v>
      </c>
      <c r="AA743" s="5">
        <v>0</v>
      </c>
      <c r="AB743" s="5">
        <v>0</v>
      </c>
      <c r="AC743" s="5">
        <v>0</v>
      </c>
      <c r="AD743" s="5">
        <v>0</v>
      </c>
      <c r="AE743" s="10" t="s">
        <v>50</v>
      </c>
      <c r="AF743" s="10"/>
      <c r="AG743" s="10" t="s">
        <v>114</v>
      </c>
      <c r="AH743" s="10" t="s">
        <v>50</v>
      </c>
      <c r="AI743" s="5">
        <v>4</v>
      </c>
      <c r="AJ743" s="10" t="s">
        <v>4217</v>
      </c>
      <c r="AK743" s="10" t="s">
        <v>2328</v>
      </c>
    </row>
    <row r="744" spans="1:37" ht="36.75" customHeight="1" x14ac:dyDescent="0.35">
      <c r="A744" s="5"/>
      <c r="B744" s="5" t="s">
        <v>37</v>
      </c>
      <c r="C744" s="73" t="str">
        <f t="shared" si="11"/>
        <v>Closed</v>
      </c>
      <c r="D744" s="45" t="s">
        <v>4218</v>
      </c>
      <c r="E744" s="54" t="s">
        <v>4219</v>
      </c>
      <c r="F744" s="5" t="s">
        <v>619</v>
      </c>
      <c r="G744" s="10">
        <f>DATE(2009,10,16)</f>
        <v>40102</v>
      </c>
      <c r="H744" s="35">
        <v>1.4715277777777778</v>
      </c>
      <c r="I744" s="5" t="s">
        <v>97</v>
      </c>
      <c r="J744" s="10" t="s">
        <v>4220</v>
      </c>
      <c r="K744" s="5" t="s">
        <v>621</v>
      </c>
      <c r="L744" s="5" t="s">
        <v>4221</v>
      </c>
      <c r="M744" s="5" t="s">
        <v>45</v>
      </c>
      <c r="N744" s="5">
        <v>0</v>
      </c>
      <c r="O744" s="5" t="s">
        <v>59</v>
      </c>
      <c r="P744" s="10" t="s">
        <v>146</v>
      </c>
      <c r="Q744" s="10" t="s">
        <v>623</v>
      </c>
      <c r="R744" s="10" t="s">
        <v>624</v>
      </c>
      <c r="S744" s="5">
        <v>0</v>
      </c>
      <c r="T744" s="37">
        <v>0</v>
      </c>
      <c r="U744" s="5">
        <v>1</v>
      </c>
      <c r="V744" s="37">
        <v>0</v>
      </c>
      <c r="W744" s="5">
        <v>0</v>
      </c>
      <c r="X744" s="5">
        <v>1</v>
      </c>
      <c r="Y744" s="5">
        <v>0</v>
      </c>
      <c r="Z744" s="37">
        <v>0</v>
      </c>
      <c r="AA744" s="5">
        <v>0</v>
      </c>
      <c r="AB744" s="5">
        <v>0</v>
      </c>
      <c r="AC744" s="5">
        <v>0</v>
      </c>
      <c r="AD744" s="5">
        <v>0</v>
      </c>
      <c r="AE744" s="10" t="s">
        <v>50</v>
      </c>
      <c r="AF744" s="10"/>
      <c r="AG744" s="10" t="s">
        <v>229</v>
      </c>
      <c r="AH744" s="10" t="s">
        <v>50</v>
      </c>
      <c r="AI744" s="5">
        <v>0</v>
      </c>
      <c r="AJ744" s="10" t="s">
        <v>1713</v>
      </c>
      <c r="AK744" s="10" t="s">
        <v>50</v>
      </c>
    </row>
    <row r="745" spans="1:37" ht="36.75" customHeight="1" x14ac:dyDescent="0.35">
      <c r="A745" s="5"/>
      <c r="B745" s="5" t="s">
        <v>37</v>
      </c>
      <c r="C745" s="73" t="str">
        <f t="shared" si="11"/>
        <v>Closed</v>
      </c>
      <c r="D745" s="45" t="s">
        <v>4222</v>
      </c>
      <c r="E745" s="54" t="s">
        <v>4223</v>
      </c>
      <c r="F745" s="5" t="s">
        <v>816</v>
      </c>
      <c r="G745" s="10">
        <f>DATE(2009,10,17)</f>
        <v>40103</v>
      </c>
      <c r="H745" s="35">
        <v>1.5090277777777779</v>
      </c>
      <c r="I745" s="5" t="s">
        <v>97</v>
      </c>
      <c r="J745" s="10" t="s">
        <v>4224</v>
      </c>
      <c r="K745" s="5" t="s">
        <v>818</v>
      </c>
      <c r="L745" s="5" t="s">
        <v>4225</v>
      </c>
      <c r="M745" s="5" t="s">
        <v>45</v>
      </c>
      <c r="N745" s="5">
        <v>0</v>
      </c>
      <c r="O745" s="5" t="s">
        <v>46</v>
      </c>
      <c r="P745" s="10" t="s">
        <v>362</v>
      </c>
      <c r="Q745" s="10" t="s">
        <v>1331</v>
      </c>
      <c r="R745" s="10" t="s">
        <v>821</v>
      </c>
      <c r="S745" s="5">
        <v>0</v>
      </c>
      <c r="T745" s="37">
        <v>0</v>
      </c>
      <c r="U745" s="5">
        <v>1</v>
      </c>
      <c r="V745" s="37">
        <v>0</v>
      </c>
      <c r="W745" s="5">
        <v>0</v>
      </c>
      <c r="X745" s="5">
        <v>1</v>
      </c>
      <c r="Y745" s="5">
        <v>0</v>
      </c>
      <c r="Z745" s="37">
        <v>0</v>
      </c>
      <c r="AA745" s="5">
        <v>0</v>
      </c>
      <c r="AB745" s="5">
        <v>0</v>
      </c>
      <c r="AC745" s="5">
        <v>0</v>
      </c>
      <c r="AD745" s="5">
        <v>0</v>
      </c>
      <c r="AE745" s="10" t="s">
        <v>50</v>
      </c>
      <c r="AF745" s="10"/>
      <c r="AG745" s="10" t="s">
        <v>333</v>
      </c>
      <c r="AH745" s="10" t="s">
        <v>50</v>
      </c>
      <c r="AI745" s="5">
        <v>1</v>
      </c>
      <c r="AJ745" s="10" t="s">
        <v>50</v>
      </c>
      <c r="AK745" s="10" t="s">
        <v>50</v>
      </c>
    </row>
    <row r="746" spans="1:37" ht="36.75" customHeight="1" x14ac:dyDescent="0.35">
      <c r="A746" s="5"/>
      <c r="B746" s="5" t="s">
        <v>37</v>
      </c>
      <c r="C746" s="73" t="str">
        <f t="shared" si="11"/>
        <v>Closed</v>
      </c>
      <c r="D746" s="45" t="s">
        <v>4226</v>
      </c>
      <c r="E746" s="54" t="s">
        <v>4227</v>
      </c>
      <c r="F746" s="5" t="s">
        <v>1553</v>
      </c>
      <c r="G746" s="10">
        <f>DATE(2009,10,17)</f>
        <v>40103</v>
      </c>
      <c r="H746" s="35">
        <v>1.1597222222222223</v>
      </c>
      <c r="I746" s="5" t="s">
        <v>179</v>
      </c>
      <c r="J746" s="10" t="s">
        <v>4228</v>
      </c>
      <c r="K746" s="5" t="s">
        <v>1555</v>
      </c>
      <c r="L746" s="5" t="s">
        <v>4229</v>
      </c>
      <c r="M746" s="5" t="s">
        <v>45</v>
      </c>
      <c r="N746" s="5">
        <v>0</v>
      </c>
      <c r="O746" s="5" t="s">
        <v>46</v>
      </c>
      <c r="P746" s="10" t="s">
        <v>60</v>
      </c>
      <c r="Q746" s="10" t="s">
        <v>1565</v>
      </c>
      <c r="R746" s="10">
        <v>0</v>
      </c>
      <c r="S746" s="5">
        <v>0</v>
      </c>
      <c r="T746" s="37" t="s">
        <v>50</v>
      </c>
      <c r="U746" s="5">
        <v>0</v>
      </c>
      <c r="V746" s="37" t="s">
        <v>50</v>
      </c>
      <c r="W746" s="5">
        <v>0</v>
      </c>
      <c r="X746" s="5">
        <v>0</v>
      </c>
      <c r="Y746" s="5">
        <v>0</v>
      </c>
      <c r="Z746" s="37" t="s">
        <v>50</v>
      </c>
      <c r="AA746" s="5">
        <v>0</v>
      </c>
      <c r="AB746" s="5">
        <v>0</v>
      </c>
      <c r="AC746" s="5">
        <v>0</v>
      </c>
      <c r="AD746" s="5">
        <v>0</v>
      </c>
      <c r="AE746" s="10" t="s">
        <v>50</v>
      </c>
      <c r="AF746" s="10"/>
      <c r="AG746" s="10" t="s">
        <v>855</v>
      </c>
      <c r="AH746" s="10" t="s">
        <v>50</v>
      </c>
      <c r="AI746" s="5">
        <v>1</v>
      </c>
      <c r="AJ746" s="10" t="s">
        <v>4230</v>
      </c>
      <c r="AK746" s="10" t="s">
        <v>50</v>
      </c>
    </row>
    <row r="747" spans="1:37" ht="36.75" customHeight="1" x14ac:dyDescent="0.35">
      <c r="A747" s="5"/>
      <c r="B747" s="5" t="s">
        <v>37</v>
      </c>
      <c r="C747" s="73" t="str">
        <f t="shared" si="11"/>
        <v>Closed</v>
      </c>
      <c r="D747" s="45" t="s">
        <v>4231</v>
      </c>
      <c r="E747" s="54" t="s">
        <v>4232</v>
      </c>
      <c r="F747" s="5" t="s">
        <v>619</v>
      </c>
      <c r="G747" s="10">
        <f>DATE(2009,10,23)</f>
        <v>40109</v>
      </c>
      <c r="H747" s="35">
        <v>1.5208333333333335</v>
      </c>
      <c r="I747" s="5" t="s">
        <v>259</v>
      </c>
      <c r="J747" s="10" t="s">
        <v>4233</v>
      </c>
      <c r="K747" s="5" t="s">
        <v>621</v>
      </c>
      <c r="L747" s="5" t="s">
        <v>4234</v>
      </c>
      <c r="M747" s="5" t="s">
        <v>45</v>
      </c>
      <c r="N747" s="5">
        <v>0</v>
      </c>
      <c r="O747" s="5" t="s">
        <v>67</v>
      </c>
      <c r="P747" s="10" t="s">
        <v>146</v>
      </c>
      <c r="Q747" s="10" t="s">
        <v>623</v>
      </c>
      <c r="R747" s="10" t="s">
        <v>624</v>
      </c>
      <c r="S747" s="5">
        <v>0</v>
      </c>
      <c r="T747" s="37">
        <v>0</v>
      </c>
      <c r="U747" s="5">
        <v>0</v>
      </c>
      <c r="V747" s="37">
        <v>1</v>
      </c>
      <c r="W747" s="5">
        <v>0</v>
      </c>
      <c r="X747" s="5">
        <v>1</v>
      </c>
      <c r="Y747" s="5">
        <v>0</v>
      </c>
      <c r="Z747" s="37">
        <v>0</v>
      </c>
      <c r="AA747" s="5">
        <v>0</v>
      </c>
      <c r="AB747" s="5">
        <v>0</v>
      </c>
      <c r="AC747" s="5">
        <v>0</v>
      </c>
      <c r="AD747" s="5">
        <v>0</v>
      </c>
      <c r="AE747" s="10" t="s">
        <v>50</v>
      </c>
      <c r="AF747" s="10"/>
      <c r="AG747" s="10" t="s">
        <v>229</v>
      </c>
      <c r="AH747" s="10" t="s">
        <v>50</v>
      </c>
      <c r="AI747" s="5">
        <v>1</v>
      </c>
      <c r="AJ747" s="10" t="s">
        <v>4235</v>
      </c>
      <c r="AK747" s="10" t="s">
        <v>50</v>
      </c>
    </row>
    <row r="748" spans="1:37" ht="36.75" customHeight="1" x14ac:dyDescent="0.35">
      <c r="A748" s="5"/>
      <c r="B748" s="5" t="s">
        <v>37</v>
      </c>
      <c r="C748" s="73" t="str">
        <f t="shared" si="11"/>
        <v>Closed</v>
      </c>
      <c r="D748" s="45" t="s">
        <v>4236</v>
      </c>
      <c r="E748" s="54" t="s">
        <v>4237</v>
      </c>
      <c r="F748" s="5" t="s">
        <v>1553</v>
      </c>
      <c r="G748" s="10">
        <f>DATE(2009,11,2)</f>
        <v>40119</v>
      </c>
      <c r="H748" s="35">
        <v>1.4409722222222223</v>
      </c>
      <c r="I748" s="5" t="s">
        <v>179</v>
      </c>
      <c r="J748" s="10" t="s">
        <v>4238</v>
      </c>
      <c r="K748" s="5" t="s">
        <v>1555</v>
      </c>
      <c r="L748" s="5" t="s">
        <v>4239</v>
      </c>
      <c r="M748" s="5" t="s">
        <v>45</v>
      </c>
      <c r="N748" s="5">
        <v>0</v>
      </c>
      <c r="O748" s="5" t="s">
        <v>46</v>
      </c>
      <c r="P748" s="10" t="s">
        <v>47</v>
      </c>
      <c r="Q748" s="10" t="s">
        <v>2393</v>
      </c>
      <c r="R748" s="10">
        <v>0</v>
      </c>
      <c r="S748" s="5">
        <v>0</v>
      </c>
      <c r="T748" s="37" t="s">
        <v>50</v>
      </c>
      <c r="U748" s="5">
        <v>0</v>
      </c>
      <c r="V748" s="37" t="s">
        <v>50</v>
      </c>
      <c r="W748" s="5">
        <v>0</v>
      </c>
      <c r="X748" s="5">
        <v>0</v>
      </c>
      <c r="Y748" s="5">
        <v>0</v>
      </c>
      <c r="Z748" s="37" t="s">
        <v>50</v>
      </c>
      <c r="AA748" s="5">
        <v>0</v>
      </c>
      <c r="AB748" s="5">
        <v>0</v>
      </c>
      <c r="AC748" s="5">
        <v>0</v>
      </c>
      <c r="AD748" s="5">
        <v>0</v>
      </c>
      <c r="AE748" s="10" t="s">
        <v>50</v>
      </c>
      <c r="AF748" s="10"/>
      <c r="AG748" s="10" t="s">
        <v>855</v>
      </c>
      <c r="AH748" s="10" t="s">
        <v>50</v>
      </c>
      <c r="AI748" s="5">
        <v>2</v>
      </c>
      <c r="AJ748" s="10" t="s">
        <v>4240</v>
      </c>
      <c r="AK748" s="10" t="s">
        <v>50</v>
      </c>
    </row>
    <row r="749" spans="1:37" ht="36.75" customHeight="1" x14ac:dyDescent="0.35">
      <c r="A749" s="5"/>
      <c r="B749" s="5" t="s">
        <v>37</v>
      </c>
      <c r="C749" s="73" t="str">
        <f t="shared" si="11"/>
        <v>Closed</v>
      </c>
      <c r="D749" s="45" t="s">
        <v>4241</v>
      </c>
      <c r="E749" s="54" t="s">
        <v>4242</v>
      </c>
      <c r="F749" s="5" t="s">
        <v>105</v>
      </c>
      <c r="G749" s="10">
        <f>DATE(2009,11,5)</f>
        <v>40122</v>
      </c>
      <c r="H749" s="35">
        <v>1.7430555555555554</v>
      </c>
      <c r="I749" s="5" t="s">
        <v>137</v>
      </c>
      <c r="J749" s="10" t="s">
        <v>4243</v>
      </c>
      <c r="K749" s="5" t="s">
        <v>108</v>
      </c>
      <c r="L749" s="5" t="s">
        <v>4244</v>
      </c>
      <c r="M749" s="5" t="s">
        <v>236</v>
      </c>
      <c r="N749" s="5">
        <v>0</v>
      </c>
      <c r="O749" s="5" t="s">
        <v>46</v>
      </c>
      <c r="P749" s="10" t="s">
        <v>67</v>
      </c>
      <c r="Q749" s="10" t="s">
        <v>4245</v>
      </c>
      <c r="R749" s="10" t="s">
        <v>4246</v>
      </c>
      <c r="S749" s="5">
        <v>0</v>
      </c>
      <c r="T749" s="37" t="s">
        <v>50</v>
      </c>
      <c r="U749" s="5">
        <v>0</v>
      </c>
      <c r="V749" s="37" t="s">
        <v>50</v>
      </c>
      <c r="W749" s="5">
        <v>0</v>
      </c>
      <c r="X749" s="5">
        <v>0</v>
      </c>
      <c r="Y749" s="5">
        <v>0</v>
      </c>
      <c r="Z749" s="37" t="s">
        <v>50</v>
      </c>
      <c r="AA749" s="5">
        <v>0</v>
      </c>
      <c r="AB749" s="5">
        <v>0</v>
      </c>
      <c r="AC749" s="5">
        <v>0</v>
      </c>
      <c r="AD749" s="5">
        <v>0</v>
      </c>
      <c r="AE749" s="10" t="s">
        <v>50</v>
      </c>
      <c r="AF749" s="10"/>
      <c r="AG749" s="10" t="s">
        <v>348</v>
      </c>
      <c r="AH749" s="10" t="s">
        <v>50</v>
      </c>
      <c r="AI749" s="5">
        <v>0</v>
      </c>
      <c r="AJ749" s="10" t="s">
        <v>50</v>
      </c>
      <c r="AK749" s="10" t="s">
        <v>50</v>
      </c>
    </row>
    <row r="750" spans="1:37" ht="36.75" customHeight="1" x14ac:dyDescent="0.35">
      <c r="A750" s="5"/>
      <c r="B750" s="5" t="s">
        <v>37</v>
      </c>
      <c r="C750" s="73" t="str">
        <f t="shared" si="11"/>
        <v>Closed</v>
      </c>
      <c r="D750" s="45" t="s">
        <v>4247</v>
      </c>
      <c r="E750" s="54" t="s">
        <v>4248</v>
      </c>
      <c r="F750" s="5" t="s">
        <v>404</v>
      </c>
      <c r="G750" s="10">
        <f>DATE(2009,11,10)</f>
        <v>40127</v>
      </c>
      <c r="H750" s="35">
        <v>1.4652777777777777</v>
      </c>
      <c r="I750" s="5" t="s">
        <v>97</v>
      </c>
      <c r="J750" s="10" t="s">
        <v>4249</v>
      </c>
      <c r="K750" s="5" t="s">
        <v>406</v>
      </c>
      <c r="L750" s="5" t="s">
        <v>4250</v>
      </c>
      <c r="M750" s="5" t="s">
        <v>45</v>
      </c>
      <c r="N750" s="5">
        <v>0</v>
      </c>
      <c r="O750" s="5" t="s">
        <v>67</v>
      </c>
      <c r="P750" s="10" t="s">
        <v>72</v>
      </c>
      <c r="Q750" s="10" t="s">
        <v>3762</v>
      </c>
      <c r="R750" s="10" t="s">
        <v>4251</v>
      </c>
      <c r="S750" s="5">
        <v>0</v>
      </c>
      <c r="T750" s="37">
        <v>0</v>
      </c>
      <c r="U750" s="5">
        <v>1</v>
      </c>
      <c r="V750" s="37">
        <v>0</v>
      </c>
      <c r="W750" s="5">
        <v>0</v>
      </c>
      <c r="X750" s="5">
        <v>1</v>
      </c>
      <c r="Y750" s="5">
        <v>0</v>
      </c>
      <c r="Z750" s="37">
        <v>0</v>
      </c>
      <c r="AA750" s="5">
        <v>0</v>
      </c>
      <c r="AB750" s="5">
        <v>0</v>
      </c>
      <c r="AC750" s="5">
        <v>0</v>
      </c>
      <c r="AD750" s="5">
        <v>0</v>
      </c>
      <c r="AE750" s="10" t="s">
        <v>50</v>
      </c>
      <c r="AF750" s="10"/>
      <c r="AG750" s="10" t="s">
        <v>1399</v>
      </c>
      <c r="AH750" s="10" t="s">
        <v>50</v>
      </c>
      <c r="AI750" s="5">
        <v>0</v>
      </c>
      <c r="AJ750" s="10" t="s">
        <v>4252</v>
      </c>
      <c r="AK750" s="10" t="s">
        <v>50</v>
      </c>
    </row>
    <row r="751" spans="1:37" ht="36.75" customHeight="1" x14ac:dyDescent="0.35">
      <c r="A751" s="5"/>
      <c r="B751" s="5" t="s">
        <v>37</v>
      </c>
      <c r="C751" s="73" t="str">
        <f t="shared" si="11"/>
        <v>Closed</v>
      </c>
      <c r="D751" s="45" t="s">
        <v>4253</v>
      </c>
      <c r="E751" s="54" t="s">
        <v>4254</v>
      </c>
      <c r="F751" s="5" t="s">
        <v>816</v>
      </c>
      <c r="G751" s="10">
        <f>DATE(2009,11,14)</f>
        <v>40131</v>
      </c>
      <c r="H751" s="35">
        <v>1.8402777777777777</v>
      </c>
      <c r="I751" s="5" t="s">
        <v>67</v>
      </c>
      <c r="J751" s="10" t="s">
        <v>4255</v>
      </c>
      <c r="K751" s="5" t="s">
        <v>818</v>
      </c>
      <c r="L751" s="5" t="s">
        <v>4256</v>
      </c>
      <c r="M751" s="5" t="s">
        <v>45</v>
      </c>
      <c r="N751" s="5">
        <v>0</v>
      </c>
      <c r="O751" s="5" t="s">
        <v>59</v>
      </c>
      <c r="P751" s="10" t="s">
        <v>72</v>
      </c>
      <c r="Q751" s="10" t="s">
        <v>4257</v>
      </c>
      <c r="R751" s="10" t="s">
        <v>821</v>
      </c>
      <c r="S751" s="5">
        <v>0</v>
      </c>
      <c r="T751" s="37">
        <v>0</v>
      </c>
      <c r="U751" s="5">
        <v>0</v>
      </c>
      <c r="V751" s="37">
        <v>0</v>
      </c>
      <c r="W751" s="5">
        <v>0</v>
      </c>
      <c r="X751" s="5">
        <v>0</v>
      </c>
      <c r="Y751" s="5">
        <v>0</v>
      </c>
      <c r="Z751" s="37">
        <v>0</v>
      </c>
      <c r="AA751" s="5">
        <v>0</v>
      </c>
      <c r="AB751" s="5">
        <v>0</v>
      </c>
      <c r="AC751" s="5">
        <v>0</v>
      </c>
      <c r="AD751" s="5">
        <v>0</v>
      </c>
      <c r="AE751" s="10" t="s">
        <v>50</v>
      </c>
      <c r="AF751" s="10"/>
      <c r="AG751" s="10" t="s">
        <v>333</v>
      </c>
      <c r="AH751" s="10" t="s">
        <v>50</v>
      </c>
      <c r="AI751" s="5">
        <v>0</v>
      </c>
      <c r="AJ751" s="10" t="s">
        <v>50</v>
      </c>
      <c r="AK751" s="10" t="s">
        <v>50</v>
      </c>
    </row>
    <row r="752" spans="1:37" ht="36.75" customHeight="1" x14ac:dyDescent="0.35">
      <c r="A752" s="5"/>
      <c r="B752" s="5" t="s">
        <v>37</v>
      </c>
      <c r="C752" s="73" t="str">
        <f t="shared" si="11"/>
        <v>Closed</v>
      </c>
      <c r="D752" s="45" t="s">
        <v>4258</v>
      </c>
      <c r="E752" s="54" t="s">
        <v>4259</v>
      </c>
      <c r="F752" s="5" t="s">
        <v>214</v>
      </c>
      <c r="G752" s="10">
        <f>DATE(2009,11,14)</f>
        <v>40131</v>
      </c>
      <c r="H752" s="35">
        <v>1.9479166666666665</v>
      </c>
      <c r="I752" s="5" t="s">
        <v>4260</v>
      </c>
      <c r="J752" s="10" t="s">
        <v>4261</v>
      </c>
      <c r="K752" s="5" t="s">
        <v>216</v>
      </c>
      <c r="L752" s="5" t="s">
        <v>4262</v>
      </c>
      <c r="M752" s="5" t="s">
        <v>45</v>
      </c>
      <c r="N752" s="5">
        <v>0</v>
      </c>
      <c r="O752" s="5" t="s">
        <v>46</v>
      </c>
      <c r="P752" s="10" t="s">
        <v>67</v>
      </c>
      <c r="Q752" s="10" t="s">
        <v>699</v>
      </c>
      <c r="R752" s="10" t="s">
        <v>219</v>
      </c>
      <c r="S752" s="5">
        <v>0</v>
      </c>
      <c r="T752" s="37" t="s">
        <v>50</v>
      </c>
      <c r="U752" s="5">
        <v>0</v>
      </c>
      <c r="V752" s="37" t="s">
        <v>50</v>
      </c>
      <c r="W752" s="5">
        <v>0</v>
      </c>
      <c r="X752" s="5">
        <v>0</v>
      </c>
      <c r="Y752" s="5">
        <v>0</v>
      </c>
      <c r="Z752" s="37" t="s">
        <v>50</v>
      </c>
      <c r="AA752" s="5">
        <v>0</v>
      </c>
      <c r="AB752" s="5">
        <v>0</v>
      </c>
      <c r="AC752" s="5">
        <v>0</v>
      </c>
      <c r="AD752" s="5">
        <v>0</v>
      </c>
      <c r="AE752" s="10" t="s">
        <v>50</v>
      </c>
      <c r="AF752" s="10"/>
      <c r="AG752" s="10" t="s">
        <v>114</v>
      </c>
      <c r="AH752" s="10" t="s">
        <v>50</v>
      </c>
      <c r="AI752" s="5">
        <v>6</v>
      </c>
      <c r="AJ752" s="10" t="s">
        <v>4263</v>
      </c>
      <c r="AK752" s="10" t="s">
        <v>4264</v>
      </c>
    </row>
    <row r="753" spans="1:37" ht="36.75" customHeight="1" x14ac:dyDescent="0.35">
      <c r="A753" s="5"/>
      <c r="B753" s="5" t="s">
        <v>37</v>
      </c>
      <c r="C753" s="73" t="str">
        <f t="shared" si="11"/>
        <v>Closed</v>
      </c>
      <c r="D753" s="45" t="s">
        <v>4265</v>
      </c>
      <c r="E753" s="54" t="s">
        <v>4266</v>
      </c>
      <c r="F753" s="5" t="s">
        <v>1751</v>
      </c>
      <c r="G753" s="10">
        <f>DATE(2009,11,15)</f>
        <v>40132</v>
      </c>
      <c r="H753" s="35">
        <v>1.9097222222222223</v>
      </c>
      <c r="I753" s="5" t="s">
        <v>259</v>
      </c>
      <c r="J753" s="10" t="s">
        <v>4267</v>
      </c>
      <c r="K753" s="5" t="s">
        <v>1753</v>
      </c>
      <c r="L753" s="5" t="s">
        <v>4268</v>
      </c>
      <c r="M753" s="5" t="s">
        <v>45</v>
      </c>
      <c r="N753" s="5" t="s">
        <v>70</v>
      </c>
      <c r="O753" s="5" t="s">
        <v>59</v>
      </c>
      <c r="P753" s="10" t="s">
        <v>72</v>
      </c>
      <c r="Q753" s="10" t="s">
        <v>4269</v>
      </c>
      <c r="R753" s="10" t="s">
        <v>1756</v>
      </c>
      <c r="S753" s="5">
        <v>0</v>
      </c>
      <c r="T753" s="37">
        <v>1</v>
      </c>
      <c r="U753" s="5">
        <v>0</v>
      </c>
      <c r="V753" s="37">
        <v>0</v>
      </c>
      <c r="W753" s="5">
        <v>0</v>
      </c>
      <c r="X753" s="5">
        <v>1</v>
      </c>
      <c r="Y753" s="5">
        <v>0</v>
      </c>
      <c r="Z753" s="37">
        <v>0</v>
      </c>
      <c r="AA753" s="5">
        <v>0</v>
      </c>
      <c r="AB753" s="5">
        <v>0</v>
      </c>
      <c r="AC753" s="5">
        <v>0</v>
      </c>
      <c r="AD753" s="5">
        <v>0</v>
      </c>
      <c r="AE753" s="10" t="s">
        <v>73</v>
      </c>
      <c r="AF753" s="10"/>
      <c r="AG753" s="10" t="s">
        <v>64</v>
      </c>
      <c r="AH753" s="10">
        <v>40136</v>
      </c>
      <c r="AI753" s="5">
        <v>0</v>
      </c>
      <c r="AJ753" s="10" t="s">
        <v>4270</v>
      </c>
      <c r="AK753" s="10" t="s">
        <v>1215</v>
      </c>
    </row>
    <row r="754" spans="1:37" ht="36.75" customHeight="1" x14ac:dyDescent="0.35">
      <c r="A754" s="5"/>
      <c r="B754" s="5" t="s">
        <v>37</v>
      </c>
      <c r="C754" s="73" t="str">
        <f t="shared" si="11"/>
        <v>Closed</v>
      </c>
      <c r="D754" s="45" t="s">
        <v>4271</v>
      </c>
      <c r="E754" s="54" t="s">
        <v>4272</v>
      </c>
      <c r="F754" s="5" t="s">
        <v>619</v>
      </c>
      <c r="G754" s="10">
        <f>DATE(2009,11,16)</f>
        <v>40133</v>
      </c>
      <c r="H754" s="35">
        <v>1.5284722222222222</v>
      </c>
      <c r="I754" s="5" t="s">
        <v>97</v>
      </c>
      <c r="J754" s="10" t="s">
        <v>4273</v>
      </c>
      <c r="K754" s="5" t="s">
        <v>621</v>
      </c>
      <c r="L754" s="5" t="s">
        <v>4274</v>
      </c>
      <c r="M754" s="5" t="s">
        <v>45</v>
      </c>
      <c r="N754" s="5">
        <v>0</v>
      </c>
      <c r="O754" s="5" t="s">
        <v>59</v>
      </c>
      <c r="P754" s="10" t="s">
        <v>67</v>
      </c>
      <c r="Q754" s="10" t="s">
        <v>623</v>
      </c>
      <c r="R754" s="10" t="s">
        <v>624</v>
      </c>
      <c r="S754" s="5">
        <v>0</v>
      </c>
      <c r="T754" s="37">
        <v>0</v>
      </c>
      <c r="U754" s="5">
        <v>2</v>
      </c>
      <c r="V754" s="37">
        <v>0</v>
      </c>
      <c r="W754" s="5">
        <v>0</v>
      </c>
      <c r="X754" s="5">
        <v>2</v>
      </c>
      <c r="Y754" s="5">
        <v>0</v>
      </c>
      <c r="Z754" s="37">
        <v>0</v>
      </c>
      <c r="AA754" s="5">
        <v>0</v>
      </c>
      <c r="AB754" s="5">
        <v>0</v>
      </c>
      <c r="AC754" s="5">
        <v>0</v>
      </c>
      <c r="AD754" s="5">
        <v>0</v>
      </c>
      <c r="AE754" s="10" t="s">
        <v>50</v>
      </c>
      <c r="AF754" s="10"/>
      <c r="AG754" s="10" t="s">
        <v>229</v>
      </c>
      <c r="AH754" s="10" t="s">
        <v>50</v>
      </c>
      <c r="AI754" s="5">
        <v>0</v>
      </c>
      <c r="AJ754" s="10" t="s">
        <v>4275</v>
      </c>
      <c r="AK754" s="10" t="s">
        <v>50</v>
      </c>
    </row>
    <row r="755" spans="1:37" ht="36.75" customHeight="1" x14ac:dyDescent="0.35">
      <c r="A755" s="5"/>
      <c r="B755" s="5" t="s">
        <v>37</v>
      </c>
      <c r="C755" s="73" t="str">
        <f t="shared" si="11"/>
        <v>Closed</v>
      </c>
      <c r="D755" s="45" t="s">
        <v>4276</v>
      </c>
      <c r="E755" s="54" t="s">
        <v>4277</v>
      </c>
      <c r="F755" s="5" t="s">
        <v>1919</v>
      </c>
      <c r="G755" s="10">
        <f>DATE(2009,11,16)</f>
        <v>40133</v>
      </c>
      <c r="H755" s="35">
        <v>1.2708333333333333</v>
      </c>
      <c r="I755" s="5" t="s">
        <v>137</v>
      </c>
      <c r="J755" s="10" t="s">
        <v>4278</v>
      </c>
      <c r="K755" s="5" t="s">
        <v>1921</v>
      </c>
      <c r="L755" s="5" t="s">
        <v>4279</v>
      </c>
      <c r="M755" s="5" t="s">
        <v>45</v>
      </c>
      <c r="N755" s="5">
        <v>0</v>
      </c>
      <c r="O755" s="5" t="s">
        <v>46</v>
      </c>
      <c r="P755" s="10" t="s">
        <v>146</v>
      </c>
      <c r="Q755" s="10" t="s">
        <v>1923</v>
      </c>
      <c r="R755" s="10" t="s">
        <v>1923</v>
      </c>
      <c r="S755" s="5">
        <v>0</v>
      </c>
      <c r="T755" s="37" t="s">
        <v>50</v>
      </c>
      <c r="U755" s="5">
        <v>0</v>
      </c>
      <c r="V755" s="37" t="s">
        <v>50</v>
      </c>
      <c r="W755" s="5">
        <v>0</v>
      </c>
      <c r="X755" s="5">
        <v>0</v>
      </c>
      <c r="Y755" s="5">
        <v>0</v>
      </c>
      <c r="Z755" s="37" t="s">
        <v>50</v>
      </c>
      <c r="AA755" s="5">
        <v>0</v>
      </c>
      <c r="AB755" s="5">
        <v>0</v>
      </c>
      <c r="AC755" s="5">
        <v>0</v>
      </c>
      <c r="AD755" s="5">
        <v>0</v>
      </c>
      <c r="AE755" s="10" t="s">
        <v>50</v>
      </c>
      <c r="AF755" s="10"/>
      <c r="AG755" s="10" t="s">
        <v>114</v>
      </c>
      <c r="AH755" s="10" t="s">
        <v>50</v>
      </c>
      <c r="AI755" s="5">
        <v>6</v>
      </c>
      <c r="AJ755" s="10" t="s">
        <v>4280</v>
      </c>
      <c r="AK755" s="10" t="s">
        <v>4281</v>
      </c>
    </row>
    <row r="756" spans="1:37" ht="36.75" customHeight="1" x14ac:dyDescent="0.35">
      <c r="A756" s="5"/>
      <c r="B756" s="5" t="s">
        <v>37</v>
      </c>
      <c r="C756" s="73" t="str">
        <f t="shared" si="11"/>
        <v>Closed</v>
      </c>
      <c r="D756" s="45" t="s">
        <v>4282</v>
      </c>
      <c r="E756" s="54" t="s">
        <v>4283</v>
      </c>
      <c r="F756" s="5" t="s">
        <v>1751</v>
      </c>
      <c r="G756" s="10">
        <f>DATE(2009,11,19)</f>
        <v>40136</v>
      </c>
      <c r="H756" s="35">
        <v>1.9763888888888888</v>
      </c>
      <c r="I756" s="5" t="s">
        <v>55</v>
      </c>
      <c r="J756" s="10" t="s">
        <v>4284</v>
      </c>
      <c r="K756" s="5" t="s">
        <v>1753</v>
      </c>
      <c r="L756" s="5" t="s">
        <v>4285</v>
      </c>
      <c r="M756" s="5" t="s">
        <v>45</v>
      </c>
      <c r="N756" s="5" t="s">
        <v>123</v>
      </c>
      <c r="O756" s="5" t="s">
        <v>46</v>
      </c>
      <c r="P756" s="10" t="s">
        <v>146</v>
      </c>
      <c r="Q756" s="10" t="s">
        <v>1755</v>
      </c>
      <c r="R756" s="10" t="s">
        <v>1756</v>
      </c>
      <c r="S756" s="5">
        <v>0</v>
      </c>
      <c r="T756" s="37">
        <v>1</v>
      </c>
      <c r="U756" s="5">
        <v>0</v>
      </c>
      <c r="V756" s="37">
        <v>0</v>
      </c>
      <c r="W756" s="5">
        <v>0</v>
      </c>
      <c r="X756" s="5">
        <v>1</v>
      </c>
      <c r="Y756" s="5">
        <v>4</v>
      </c>
      <c r="Z756" s="37">
        <v>1</v>
      </c>
      <c r="AA756" s="5">
        <v>0</v>
      </c>
      <c r="AB756" s="5">
        <v>0</v>
      </c>
      <c r="AC756" s="5">
        <v>0</v>
      </c>
      <c r="AD756" s="5">
        <v>5</v>
      </c>
      <c r="AE756" s="10" t="s">
        <v>375</v>
      </c>
      <c r="AF756" s="10"/>
      <c r="AG756" s="10" t="s">
        <v>64</v>
      </c>
      <c r="AH756" s="10">
        <v>40136</v>
      </c>
      <c r="AI756" s="5">
        <v>0</v>
      </c>
      <c r="AJ756" s="10" t="s">
        <v>4286</v>
      </c>
      <c r="AK756" s="10" t="s">
        <v>1215</v>
      </c>
    </row>
    <row r="757" spans="1:37" ht="36.75" customHeight="1" x14ac:dyDescent="0.35">
      <c r="A757" s="5"/>
      <c r="B757" s="5" t="s">
        <v>37</v>
      </c>
      <c r="C757" s="73" t="str">
        <f t="shared" si="11"/>
        <v>Closed</v>
      </c>
      <c r="D757" s="45" t="s">
        <v>4287</v>
      </c>
      <c r="E757" s="54" t="s">
        <v>4288</v>
      </c>
      <c r="F757" s="5" t="s">
        <v>816</v>
      </c>
      <c r="G757" s="10">
        <f>DATE(2009,11,19)</f>
        <v>40136</v>
      </c>
      <c r="H757" s="35">
        <v>1.2958333333333334</v>
      </c>
      <c r="I757" s="5" t="s">
        <v>97</v>
      </c>
      <c r="J757" s="10" t="s">
        <v>4289</v>
      </c>
      <c r="K757" s="5" t="s">
        <v>818</v>
      </c>
      <c r="L757" s="5" t="s">
        <v>4290</v>
      </c>
      <c r="M757" s="5" t="s">
        <v>45</v>
      </c>
      <c r="N757" s="5">
        <v>0</v>
      </c>
      <c r="O757" s="5" t="s">
        <v>46</v>
      </c>
      <c r="P757" s="10" t="s">
        <v>47</v>
      </c>
      <c r="Q757" s="10" t="s">
        <v>4291</v>
      </c>
      <c r="R757" s="10" t="s">
        <v>2777</v>
      </c>
      <c r="S757" s="5">
        <v>0</v>
      </c>
      <c r="T757" s="37">
        <v>0</v>
      </c>
      <c r="U757" s="5">
        <v>1</v>
      </c>
      <c r="V757" s="37">
        <v>0</v>
      </c>
      <c r="W757" s="5">
        <v>0</v>
      </c>
      <c r="X757" s="5">
        <v>1</v>
      </c>
      <c r="Y757" s="5">
        <v>0</v>
      </c>
      <c r="Z757" s="37">
        <v>0</v>
      </c>
      <c r="AA757" s="5">
        <v>0</v>
      </c>
      <c r="AB757" s="5">
        <v>0</v>
      </c>
      <c r="AC757" s="5">
        <v>0</v>
      </c>
      <c r="AD757" s="5">
        <v>0</v>
      </c>
      <c r="AE757" s="10" t="s">
        <v>50</v>
      </c>
      <c r="AF757" s="10"/>
      <c r="AG757" s="10" t="s">
        <v>333</v>
      </c>
      <c r="AH757" s="10" t="s">
        <v>50</v>
      </c>
      <c r="AI757" s="5">
        <v>0</v>
      </c>
      <c r="AJ757" s="10" t="s">
        <v>50</v>
      </c>
      <c r="AK757" s="10" t="s">
        <v>50</v>
      </c>
    </row>
    <row r="758" spans="1:37" ht="36.75" customHeight="1" x14ac:dyDescent="0.35">
      <c r="A758" s="5"/>
      <c r="B758" s="5" t="s">
        <v>37</v>
      </c>
      <c r="C758" s="73" t="str">
        <f t="shared" si="11"/>
        <v>Closed</v>
      </c>
      <c r="D758" s="45" t="s">
        <v>4292</v>
      </c>
      <c r="E758" s="54" t="s">
        <v>4293</v>
      </c>
      <c r="F758" s="5" t="s">
        <v>1730</v>
      </c>
      <c r="G758" s="10">
        <f>DATE(2009,11,21)</f>
        <v>40138</v>
      </c>
      <c r="H758" s="35">
        <v>1.3402777777777777</v>
      </c>
      <c r="I758" s="5" t="s">
        <v>97</v>
      </c>
      <c r="J758" s="10" t="s">
        <v>4294</v>
      </c>
      <c r="K758" s="5" t="s">
        <v>1732</v>
      </c>
      <c r="L758" s="5" t="s">
        <v>4295</v>
      </c>
      <c r="M758" s="5" t="s">
        <v>45</v>
      </c>
      <c r="N758" s="5">
        <v>0</v>
      </c>
      <c r="O758" s="5" t="s">
        <v>46</v>
      </c>
      <c r="P758" s="10" t="s">
        <v>67</v>
      </c>
      <c r="Q758" s="10" t="s">
        <v>1734</v>
      </c>
      <c r="R758" s="10" t="s">
        <v>1735</v>
      </c>
      <c r="S758" s="5">
        <v>0</v>
      </c>
      <c r="T758" s="37">
        <v>0</v>
      </c>
      <c r="U758" s="5">
        <v>1</v>
      </c>
      <c r="V758" s="37">
        <v>0</v>
      </c>
      <c r="W758" s="5">
        <v>0</v>
      </c>
      <c r="X758" s="5">
        <v>1</v>
      </c>
      <c r="Y758" s="5">
        <v>0</v>
      </c>
      <c r="Z758" s="37">
        <v>0</v>
      </c>
      <c r="AA758" s="5">
        <v>0</v>
      </c>
      <c r="AB758" s="5">
        <v>0</v>
      </c>
      <c r="AC758" s="5">
        <v>0</v>
      </c>
      <c r="AD758" s="5">
        <v>0</v>
      </c>
      <c r="AE758" s="10" t="s">
        <v>50</v>
      </c>
      <c r="AF758" s="10"/>
      <c r="AG758" s="10" t="s">
        <v>229</v>
      </c>
      <c r="AH758" s="10" t="s">
        <v>50</v>
      </c>
      <c r="AI758" s="5">
        <v>7</v>
      </c>
      <c r="AJ758" s="10" t="s">
        <v>4296</v>
      </c>
      <c r="AK758" s="10" t="s">
        <v>50</v>
      </c>
    </row>
    <row r="759" spans="1:37" ht="36.75" customHeight="1" x14ac:dyDescent="0.35">
      <c r="A759" s="5"/>
      <c r="B759" s="5" t="s">
        <v>37</v>
      </c>
      <c r="C759" s="73" t="str">
        <f t="shared" si="11"/>
        <v>Closed</v>
      </c>
      <c r="D759" s="45" t="s">
        <v>4297</v>
      </c>
      <c r="E759" s="54" t="s">
        <v>4298</v>
      </c>
      <c r="F759" s="5" t="s">
        <v>96</v>
      </c>
      <c r="G759" s="10">
        <f>DATE(2009,11,24)</f>
        <v>40141</v>
      </c>
      <c r="H759" s="35">
        <v>1.7604166666666665</v>
      </c>
      <c r="I759" s="5" t="s">
        <v>55</v>
      </c>
      <c r="J759" s="10" t="s">
        <v>4299</v>
      </c>
      <c r="K759" s="5" t="s">
        <v>99</v>
      </c>
      <c r="L759" s="5" t="s">
        <v>4300</v>
      </c>
      <c r="M759" s="5" t="s">
        <v>45</v>
      </c>
      <c r="N759" s="5">
        <v>0</v>
      </c>
      <c r="O759" s="5" t="s">
        <v>46</v>
      </c>
      <c r="P759" s="10" t="s">
        <v>60</v>
      </c>
      <c r="Q759" s="10" t="s">
        <v>101</v>
      </c>
      <c r="R759" s="10" t="s">
        <v>102</v>
      </c>
      <c r="S759" s="5">
        <v>0</v>
      </c>
      <c r="T759" s="37" t="s">
        <v>50</v>
      </c>
      <c r="U759" s="5">
        <v>0</v>
      </c>
      <c r="V759" s="37" t="s">
        <v>50</v>
      </c>
      <c r="W759" s="5">
        <v>0</v>
      </c>
      <c r="X759" s="5">
        <v>0</v>
      </c>
      <c r="Y759" s="5">
        <v>0</v>
      </c>
      <c r="Z759" s="37" t="s">
        <v>50</v>
      </c>
      <c r="AA759" s="5">
        <v>0</v>
      </c>
      <c r="AB759" s="5">
        <v>0</v>
      </c>
      <c r="AC759" s="5">
        <v>0</v>
      </c>
      <c r="AD759" s="5">
        <v>0</v>
      </c>
      <c r="AE759" s="10" t="s">
        <v>50</v>
      </c>
      <c r="AF759" s="10"/>
      <c r="AG759" s="10" t="s">
        <v>114</v>
      </c>
      <c r="AH759" s="10" t="s">
        <v>50</v>
      </c>
      <c r="AI759" s="5">
        <v>5</v>
      </c>
      <c r="AJ759" s="10" t="s">
        <v>4301</v>
      </c>
      <c r="AK759" s="10" t="s">
        <v>50</v>
      </c>
    </row>
    <row r="760" spans="1:37" ht="36.75" customHeight="1" x14ac:dyDescent="0.35">
      <c r="A760" s="5"/>
      <c r="B760" s="5" t="s">
        <v>37</v>
      </c>
      <c r="C760" s="73" t="str">
        <f t="shared" si="11"/>
        <v>Closed</v>
      </c>
      <c r="D760" s="45" t="s">
        <v>4302</v>
      </c>
      <c r="E760" s="54" t="s">
        <v>4303</v>
      </c>
      <c r="F760" s="5" t="s">
        <v>404</v>
      </c>
      <c r="G760" s="10">
        <f>DATE(2009,11,28)</f>
        <v>40145</v>
      </c>
      <c r="H760" s="35">
        <v>1.2694444444444444</v>
      </c>
      <c r="I760" s="5" t="s">
        <v>55</v>
      </c>
      <c r="J760" s="10" t="s">
        <v>4304</v>
      </c>
      <c r="K760" s="5" t="s">
        <v>406</v>
      </c>
      <c r="L760" s="5" t="s">
        <v>4305</v>
      </c>
      <c r="M760" s="5" t="s">
        <v>45</v>
      </c>
      <c r="N760" s="5">
        <v>0</v>
      </c>
      <c r="O760" s="5" t="s">
        <v>59</v>
      </c>
      <c r="P760" s="10" t="s">
        <v>146</v>
      </c>
      <c r="Q760" s="10" t="s">
        <v>408</v>
      </c>
      <c r="R760" s="10" t="s">
        <v>3083</v>
      </c>
      <c r="S760" s="5">
        <v>0</v>
      </c>
      <c r="T760" s="37" t="s">
        <v>50</v>
      </c>
      <c r="U760" s="5">
        <v>0</v>
      </c>
      <c r="V760" s="37" t="s">
        <v>50</v>
      </c>
      <c r="W760" s="5">
        <v>0</v>
      </c>
      <c r="X760" s="5">
        <v>0</v>
      </c>
      <c r="Y760" s="5">
        <v>0</v>
      </c>
      <c r="Z760" s="37" t="s">
        <v>50</v>
      </c>
      <c r="AA760" s="5">
        <v>0</v>
      </c>
      <c r="AB760" s="5">
        <v>0</v>
      </c>
      <c r="AC760" s="5">
        <v>0</v>
      </c>
      <c r="AD760" s="5">
        <v>0</v>
      </c>
      <c r="AE760" s="10" t="s">
        <v>50</v>
      </c>
      <c r="AF760" s="10"/>
      <c r="AG760" s="10" t="s">
        <v>114</v>
      </c>
      <c r="AH760" s="10" t="s">
        <v>50</v>
      </c>
      <c r="AI760" s="5">
        <v>0</v>
      </c>
      <c r="AJ760" s="10" t="s">
        <v>4306</v>
      </c>
      <c r="AK760" s="10" t="s">
        <v>4307</v>
      </c>
    </row>
    <row r="761" spans="1:37" ht="36.75" customHeight="1" x14ac:dyDescent="0.35">
      <c r="A761" s="5"/>
      <c r="B761" s="5" t="s">
        <v>37</v>
      </c>
      <c r="C761" s="73" t="str">
        <f t="shared" si="11"/>
        <v>Closed</v>
      </c>
      <c r="D761" s="45" t="s">
        <v>4308</v>
      </c>
      <c r="E761" s="54" t="s">
        <v>4309</v>
      </c>
      <c r="F761" s="5" t="s">
        <v>214</v>
      </c>
      <c r="G761" s="10">
        <f>DATE(2009,11,28)</f>
        <v>40145</v>
      </c>
      <c r="H761" s="35">
        <v>1.8104166666666668</v>
      </c>
      <c r="I761" s="5" t="s">
        <v>55</v>
      </c>
      <c r="J761" s="10" t="s">
        <v>4310</v>
      </c>
      <c r="K761" s="5" t="s">
        <v>216</v>
      </c>
      <c r="L761" s="5" t="s">
        <v>4311</v>
      </c>
      <c r="M761" s="5" t="s">
        <v>45</v>
      </c>
      <c r="N761" s="5">
        <v>0</v>
      </c>
      <c r="O761" s="5" t="s">
        <v>46</v>
      </c>
      <c r="P761" s="10" t="s">
        <v>146</v>
      </c>
      <c r="Q761" s="10" t="s">
        <v>1063</v>
      </c>
      <c r="R761" s="10" t="s">
        <v>219</v>
      </c>
      <c r="S761" s="5">
        <v>0</v>
      </c>
      <c r="T761" s="37" t="s">
        <v>50</v>
      </c>
      <c r="U761" s="5">
        <v>0</v>
      </c>
      <c r="V761" s="37" t="s">
        <v>50</v>
      </c>
      <c r="W761" s="5">
        <v>0</v>
      </c>
      <c r="X761" s="5">
        <v>0</v>
      </c>
      <c r="Y761" s="5">
        <v>0</v>
      </c>
      <c r="Z761" s="37" t="s">
        <v>50</v>
      </c>
      <c r="AA761" s="5">
        <v>0</v>
      </c>
      <c r="AB761" s="5">
        <v>0</v>
      </c>
      <c r="AC761" s="5">
        <v>0</v>
      </c>
      <c r="AD761" s="5">
        <v>0</v>
      </c>
      <c r="AE761" s="10" t="s">
        <v>50</v>
      </c>
      <c r="AF761" s="10"/>
      <c r="AG761" s="10" t="s">
        <v>114</v>
      </c>
      <c r="AH761" s="10" t="s">
        <v>50</v>
      </c>
      <c r="AI761" s="5">
        <v>5</v>
      </c>
      <c r="AJ761" s="10" t="s">
        <v>4312</v>
      </c>
      <c r="AK761" s="10" t="s">
        <v>4313</v>
      </c>
    </row>
    <row r="762" spans="1:37" ht="36.75" customHeight="1" x14ac:dyDescent="0.35">
      <c r="A762" s="5"/>
      <c r="B762" s="5" t="s">
        <v>37</v>
      </c>
      <c r="C762" s="73" t="str">
        <f t="shared" si="11"/>
        <v>Closed</v>
      </c>
      <c r="D762" s="45" t="s">
        <v>4314</v>
      </c>
      <c r="E762" s="54" t="s">
        <v>4315</v>
      </c>
      <c r="F762" s="5" t="s">
        <v>2581</v>
      </c>
      <c r="G762" s="10">
        <f>DATE(2009,11,30)</f>
        <v>40147</v>
      </c>
      <c r="H762" s="35">
        <v>1.7465277777777777</v>
      </c>
      <c r="I762" s="5" t="s">
        <v>106</v>
      </c>
      <c r="J762" s="10" t="s">
        <v>4316</v>
      </c>
      <c r="K762" s="5" t="s">
        <v>2583</v>
      </c>
      <c r="L762" s="5" t="s">
        <v>4317</v>
      </c>
      <c r="M762" s="5" t="s">
        <v>45</v>
      </c>
      <c r="N762" s="5">
        <v>0</v>
      </c>
      <c r="O762" s="5" t="s">
        <v>46</v>
      </c>
      <c r="P762" s="10" t="s">
        <v>47</v>
      </c>
      <c r="Q762" s="10" t="s">
        <v>4318</v>
      </c>
      <c r="R762" s="10" t="s">
        <v>2586</v>
      </c>
      <c r="S762" s="5">
        <v>0</v>
      </c>
      <c r="T762" s="37" t="s">
        <v>50</v>
      </c>
      <c r="U762" s="5">
        <v>0</v>
      </c>
      <c r="V762" s="37" t="s">
        <v>50</v>
      </c>
      <c r="W762" s="5">
        <v>0</v>
      </c>
      <c r="X762" s="5">
        <v>0</v>
      </c>
      <c r="Y762" s="5">
        <v>0</v>
      </c>
      <c r="Z762" s="37" t="s">
        <v>50</v>
      </c>
      <c r="AA762" s="5">
        <v>0</v>
      </c>
      <c r="AB762" s="5">
        <v>0</v>
      </c>
      <c r="AC762" s="5">
        <v>0</v>
      </c>
      <c r="AD762" s="5">
        <v>0</v>
      </c>
      <c r="AE762" s="10" t="s">
        <v>50</v>
      </c>
      <c r="AF762" s="10"/>
      <c r="AG762" s="10" t="s">
        <v>333</v>
      </c>
      <c r="AH762" s="10" t="s">
        <v>50</v>
      </c>
      <c r="AI762" s="5">
        <v>5</v>
      </c>
      <c r="AJ762" s="10" t="s">
        <v>4319</v>
      </c>
      <c r="AK762" s="10" t="s">
        <v>50</v>
      </c>
    </row>
    <row r="763" spans="1:37" ht="36.75" customHeight="1" x14ac:dyDescent="0.35">
      <c r="A763" s="5"/>
      <c r="B763" s="5" t="s">
        <v>37</v>
      </c>
      <c r="C763" s="73" t="str">
        <f t="shared" si="11"/>
        <v>Closed</v>
      </c>
      <c r="D763" s="45" t="s">
        <v>4320</v>
      </c>
      <c r="E763" s="54" t="s">
        <v>4321</v>
      </c>
      <c r="F763" s="5" t="s">
        <v>619</v>
      </c>
      <c r="G763" s="10">
        <f>DATE(2009,12,1)</f>
        <v>40148</v>
      </c>
      <c r="H763" s="35">
        <v>1.8152777777777778</v>
      </c>
      <c r="I763" s="5" t="s">
        <v>97</v>
      </c>
      <c r="J763" s="10" t="s">
        <v>4322</v>
      </c>
      <c r="K763" s="5" t="s">
        <v>621</v>
      </c>
      <c r="L763" s="5" t="s">
        <v>4323</v>
      </c>
      <c r="M763" s="5" t="s">
        <v>45</v>
      </c>
      <c r="N763" s="5">
        <v>0</v>
      </c>
      <c r="O763" s="5" t="s">
        <v>59</v>
      </c>
      <c r="P763" s="10" t="s">
        <v>47</v>
      </c>
      <c r="Q763" s="10" t="s">
        <v>623</v>
      </c>
      <c r="R763" s="10" t="s">
        <v>624</v>
      </c>
      <c r="S763" s="5">
        <v>0</v>
      </c>
      <c r="T763" s="37">
        <v>0</v>
      </c>
      <c r="U763" s="5">
        <v>1</v>
      </c>
      <c r="V763" s="37">
        <v>0</v>
      </c>
      <c r="W763" s="5">
        <v>0</v>
      </c>
      <c r="X763" s="5">
        <v>1</v>
      </c>
      <c r="Y763" s="5">
        <v>0</v>
      </c>
      <c r="Z763" s="37">
        <v>0</v>
      </c>
      <c r="AA763" s="5">
        <v>0</v>
      </c>
      <c r="AB763" s="5">
        <v>0</v>
      </c>
      <c r="AC763" s="5">
        <v>0</v>
      </c>
      <c r="AD763" s="5">
        <v>0</v>
      </c>
      <c r="AE763" s="10" t="s">
        <v>50</v>
      </c>
      <c r="AF763" s="10"/>
      <c r="AG763" s="10" t="s">
        <v>229</v>
      </c>
      <c r="AH763" s="10" t="s">
        <v>50</v>
      </c>
      <c r="AI763" s="5">
        <v>0</v>
      </c>
      <c r="AJ763" s="10" t="s">
        <v>50</v>
      </c>
      <c r="AK763" s="10" t="s">
        <v>50</v>
      </c>
    </row>
    <row r="764" spans="1:37" ht="36.75" customHeight="1" x14ac:dyDescent="0.35">
      <c r="A764" s="5"/>
      <c r="B764" s="5" t="s">
        <v>37</v>
      </c>
      <c r="C764" s="73" t="str">
        <f t="shared" si="11"/>
        <v>Closed</v>
      </c>
      <c r="D764" s="45" t="s">
        <v>4324</v>
      </c>
      <c r="E764" s="54" t="s">
        <v>4325</v>
      </c>
      <c r="F764" s="5" t="s">
        <v>214</v>
      </c>
      <c r="G764" s="10">
        <f>DATE(2009,12,2)</f>
        <v>40149</v>
      </c>
      <c r="H764" s="35">
        <v>1.4006944444444445</v>
      </c>
      <c r="I764" s="5" t="s">
        <v>259</v>
      </c>
      <c r="J764" s="10" t="s">
        <v>4326</v>
      </c>
      <c r="K764" s="5" t="s">
        <v>216</v>
      </c>
      <c r="L764" s="5" t="s">
        <v>4327</v>
      </c>
      <c r="M764" s="5" t="s">
        <v>45</v>
      </c>
      <c r="N764" s="5">
        <v>0</v>
      </c>
      <c r="O764" s="5" t="s">
        <v>46</v>
      </c>
      <c r="P764" s="10" t="s">
        <v>146</v>
      </c>
      <c r="Q764" s="10" t="s">
        <v>3332</v>
      </c>
      <c r="R764" s="10" t="s">
        <v>219</v>
      </c>
      <c r="S764" s="5">
        <v>0</v>
      </c>
      <c r="T764" s="37">
        <v>1</v>
      </c>
      <c r="U764" s="5">
        <v>0</v>
      </c>
      <c r="V764" s="37">
        <v>0</v>
      </c>
      <c r="W764" s="5">
        <v>0</v>
      </c>
      <c r="X764" s="5">
        <v>1</v>
      </c>
      <c r="Y764" s="5">
        <v>0</v>
      </c>
      <c r="Z764" s="37">
        <v>0</v>
      </c>
      <c r="AA764" s="5">
        <v>0</v>
      </c>
      <c r="AB764" s="5">
        <v>0</v>
      </c>
      <c r="AC764" s="5">
        <v>0</v>
      </c>
      <c r="AD764" s="5">
        <v>0</v>
      </c>
      <c r="AE764" s="10" t="s">
        <v>50</v>
      </c>
      <c r="AF764" s="10"/>
      <c r="AG764" s="10" t="s">
        <v>64</v>
      </c>
      <c r="AH764" s="10" t="s">
        <v>50</v>
      </c>
      <c r="AI764" s="5">
        <v>2</v>
      </c>
      <c r="AJ764" s="10" t="s">
        <v>4328</v>
      </c>
      <c r="AK764" s="10" t="s">
        <v>4329</v>
      </c>
    </row>
    <row r="765" spans="1:37" ht="36.75" customHeight="1" x14ac:dyDescent="0.35">
      <c r="A765" s="5"/>
      <c r="B765" s="5" t="s">
        <v>37</v>
      </c>
      <c r="C765" s="73" t="str">
        <f t="shared" si="11"/>
        <v>Closed</v>
      </c>
      <c r="D765" s="45" t="s">
        <v>4330</v>
      </c>
      <c r="E765" s="54" t="s">
        <v>4331</v>
      </c>
      <c r="F765" s="5" t="s">
        <v>40</v>
      </c>
      <c r="G765" s="10">
        <f>DATE(2009,12,3)</f>
        <v>40150</v>
      </c>
      <c r="H765" s="35">
        <v>1.1701388888888888</v>
      </c>
      <c r="I765" s="5" t="s">
        <v>97</v>
      </c>
      <c r="J765" s="10" t="s">
        <v>4332</v>
      </c>
      <c r="K765" s="5" t="s">
        <v>43</v>
      </c>
      <c r="L765" s="5" t="s">
        <v>4333</v>
      </c>
      <c r="M765" s="5" t="s">
        <v>45</v>
      </c>
      <c r="N765" s="5">
        <v>0</v>
      </c>
      <c r="O765" s="5" t="s">
        <v>46</v>
      </c>
      <c r="P765" s="10" t="s">
        <v>47</v>
      </c>
      <c r="Q765" s="10" t="s">
        <v>48</v>
      </c>
      <c r="R765" s="10" t="s">
        <v>49</v>
      </c>
      <c r="S765" s="5">
        <v>0</v>
      </c>
      <c r="T765" s="37">
        <v>0</v>
      </c>
      <c r="U765" s="5">
        <v>1</v>
      </c>
      <c r="V765" s="37">
        <v>0</v>
      </c>
      <c r="W765" s="5">
        <v>0</v>
      </c>
      <c r="X765" s="5">
        <v>1</v>
      </c>
      <c r="Y765" s="5">
        <v>0</v>
      </c>
      <c r="Z765" s="37">
        <v>0</v>
      </c>
      <c r="AA765" s="5">
        <v>0</v>
      </c>
      <c r="AB765" s="5">
        <v>0</v>
      </c>
      <c r="AC765" s="5">
        <v>0</v>
      </c>
      <c r="AD765" s="5">
        <v>0</v>
      </c>
      <c r="AE765" s="10" t="s">
        <v>50</v>
      </c>
      <c r="AF765" s="10"/>
      <c r="AG765" s="10" t="s">
        <v>64</v>
      </c>
      <c r="AH765" s="10" t="s">
        <v>50</v>
      </c>
      <c r="AI765" s="5">
        <v>0</v>
      </c>
      <c r="AJ765" s="10" t="s">
        <v>4334</v>
      </c>
      <c r="AK765" s="10" t="s">
        <v>50</v>
      </c>
    </row>
    <row r="766" spans="1:37" ht="36.75" customHeight="1" x14ac:dyDescent="0.35">
      <c r="A766" s="5"/>
      <c r="B766" s="5" t="s">
        <v>37</v>
      </c>
      <c r="C766" s="73" t="str">
        <f t="shared" si="11"/>
        <v>Closed</v>
      </c>
      <c r="D766" s="45" t="s">
        <v>4335</v>
      </c>
      <c r="E766" s="54" t="s">
        <v>4336</v>
      </c>
      <c r="F766" s="5" t="s">
        <v>1553</v>
      </c>
      <c r="G766" s="10">
        <f>DATE(2009,12,5)</f>
        <v>40152</v>
      </c>
      <c r="H766" s="35">
        <v>1.5715277777777779</v>
      </c>
      <c r="I766" s="5" t="s">
        <v>41</v>
      </c>
      <c r="J766" s="10" t="s">
        <v>4337</v>
      </c>
      <c r="K766" s="5" t="s">
        <v>1555</v>
      </c>
      <c r="L766" s="5" t="s">
        <v>4338</v>
      </c>
      <c r="M766" s="5" t="s">
        <v>45</v>
      </c>
      <c r="N766" s="5">
        <v>0</v>
      </c>
      <c r="O766" s="5" t="s">
        <v>59</v>
      </c>
      <c r="P766" s="10" t="s">
        <v>146</v>
      </c>
      <c r="Q766" s="10" t="s">
        <v>2393</v>
      </c>
      <c r="R766" s="10">
        <v>0</v>
      </c>
      <c r="S766" s="5">
        <v>0</v>
      </c>
      <c r="T766" s="37" t="s">
        <v>50</v>
      </c>
      <c r="U766" s="5">
        <v>0</v>
      </c>
      <c r="V766" s="37" t="s">
        <v>50</v>
      </c>
      <c r="W766" s="5">
        <v>0</v>
      </c>
      <c r="X766" s="5">
        <v>0</v>
      </c>
      <c r="Y766" s="5">
        <v>0</v>
      </c>
      <c r="Z766" s="37" t="s">
        <v>50</v>
      </c>
      <c r="AA766" s="5">
        <v>0</v>
      </c>
      <c r="AB766" s="5">
        <v>0</v>
      </c>
      <c r="AC766" s="5">
        <v>0</v>
      </c>
      <c r="AD766" s="5">
        <v>0</v>
      </c>
      <c r="AE766" s="10" t="s">
        <v>50</v>
      </c>
      <c r="AF766" s="10"/>
      <c r="AG766" s="10" t="s">
        <v>1664</v>
      </c>
      <c r="AH766" s="10" t="s">
        <v>50</v>
      </c>
      <c r="AI766" s="5">
        <v>3</v>
      </c>
      <c r="AJ766" s="10" t="s">
        <v>4339</v>
      </c>
      <c r="AK766" s="10" t="s">
        <v>4340</v>
      </c>
    </row>
    <row r="767" spans="1:37" ht="36.75" customHeight="1" x14ac:dyDescent="0.35">
      <c r="A767" s="5"/>
      <c r="B767" s="5" t="s">
        <v>37</v>
      </c>
      <c r="C767" s="73" t="str">
        <f t="shared" si="11"/>
        <v>Closed</v>
      </c>
      <c r="D767" s="45" t="s">
        <v>4341</v>
      </c>
      <c r="E767" s="54" t="s">
        <v>4342</v>
      </c>
      <c r="F767" s="5" t="s">
        <v>619</v>
      </c>
      <c r="G767" s="10">
        <f>DATE(2009,12,6)</f>
        <v>40153</v>
      </c>
      <c r="H767" s="35">
        <v>1.3611111111111112</v>
      </c>
      <c r="I767" s="5" t="s">
        <v>85</v>
      </c>
      <c r="J767" s="10" t="s">
        <v>4343</v>
      </c>
      <c r="K767" s="5" t="s">
        <v>621</v>
      </c>
      <c r="L767" s="5" t="s">
        <v>4344</v>
      </c>
      <c r="M767" s="5" t="s">
        <v>45</v>
      </c>
      <c r="N767" s="5">
        <v>0</v>
      </c>
      <c r="O767" s="5" t="s">
        <v>59</v>
      </c>
      <c r="P767" s="10" t="s">
        <v>47</v>
      </c>
      <c r="Q767" s="10" t="s">
        <v>623</v>
      </c>
      <c r="R767" s="10" t="s">
        <v>624</v>
      </c>
      <c r="S767" s="5">
        <v>0</v>
      </c>
      <c r="T767" s="37" t="s">
        <v>50</v>
      </c>
      <c r="U767" s="5">
        <v>0</v>
      </c>
      <c r="V767" s="37" t="s">
        <v>50</v>
      </c>
      <c r="W767" s="5">
        <v>0</v>
      </c>
      <c r="X767" s="5">
        <v>0</v>
      </c>
      <c r="Y767" s="5">
        <v>0</v>
      </c>
      <c r="Z767" s="37" t="s">
        <v>50</v>
      </c>
      <c r="AA767" s="5">
        <v>0</v>
      </c>
      <c r="AB767" s="5">
        <v>0</v>
      </c>
      <c r="AC767" s="5">
        <v>0</v>
      </c>
      <c r="AD767" s="5">
        <v>0</v>
      </c>
      <c r="AE767" s="10" t="s">
        <v>50</v>
      </c>
      <c r="AF767" s="10"/>
      <c r="AG767" s="10" t="s">
        <v>229</v>
      </c>
      <c r="AH767" s="10" t="s">
        <v>50</v>
      </c>
      <c r="AI767" s="5">
        <v>6</v>
      </c>
      <c r="AJ767" s="10" t="s">
        <v>4345</v>
      </c>
      <c r="AK767" s="10" t="s">
        <v>50</v>
      </c>
    </row>
    <row r="768" spans="1:37" ht="36.75" customHeight="1" x14ac:dyDescent="0.35">
      <c r="A768" s="5"/>
      <c r="B768" s="5" t="s">
        <v>37</v>
      </c>
      <c r="C768" s="73" t="str">
        <f t="shared" si="11"/>
        <v>Closed</v>
      </c>
      <c r="D768" s="45" t="s">
        <v>4346</v>
      </c>
      <c r="E768" s="54" t="s">
        <v>4347</v>
      </c>
      <c r="F768" s="5" t="s">
        <v>619</v>
      </c>
      <c r="G768" s="10">
        <f>DATE(2009,12,11)</f>
        <v>40158</v>
      </c>
      <c r="H768" s="35">
        <v>1.8986111111111112</v>
      </c>
      <c r="I768" s="5" t="s">
        <v>85</v>
      </c>
      <c r="J768" s="10" t="s">
        <v>4348</v>
      </c>
      <c r="K768" s="5" t="s">
        <v>621</v>
      </c>
      <c r="L768" s="5" t="s">
        <v>4349</v>
      </c>
      <c r="M768" s="5" t="s">
        <v>45</v>
      </c>
      <c r="N768" s="5">
        <v>0</v>
      </c>
      <c r="O768" s="5" t="s">
        <v>59</v>
      </c>
      <c r="P768" s="10" t="s">
        <v>2821</v>
      </c>
      <c r="Q768" s="10" t="s">
        <v>3013</v>
      </c>
      <c r="R768" s="10" t="s">
        <v>624</v>
      </c>
      <c r="S768" s="5">
        <v>0</v>
      </c>
      <c r="T768" s="37" t="s">
        <v>50</v>
      </c>
      <c r="U768" s="5">
        <v>0</v>
      </c>
      <c r="V768" s="37" t="s">
        <v>50</v>
      </c>
      <c r="W768" s="5">
        <v>0</v>
      </c>
      <c r="X768" s="5">
        <v>0</v>
      </c>
      <c r="Y768" s="5">
        <v>0</v>
      </c>
      <c r="Z768" s="37" t="s">
        <v>50</v>
      </c>
      <c r="AA768" s="5">
        <v>0</v>
      </c>
      <c r="AB768" s="5">
        <v>0</v>
      </c>
      <c r="AC768" s="5">
        <v>0</v>
      </c>
      <c r="AD768" s="5">
        <v>0</v>
      </c>
      <c r="AE768" s="10" t="s">
        <v>50</v>
      </c>
      <c r="AF768" s="10"/>
      <c r="AG768" s="10" t="s">
        <v>229</v>
      </c>
      <c r="AH768" s="10" t="s">
        <v>50</v>
      </c>
      <c r="AI768" s="5">
        <v>1</v>
      </c>
      <c r="AJ768" s="10" t="s">
        <v>4350</v>
      </c>
      <c r="AK768" s="10" t="s">
        <v>50</v>
      </c>
    </row>
    <row r="769" spans="1:37" ht="36.75" customHeight="1" x14ac:dyDescent="0.35">
      <c r="A769" s="5"/>
      <c r="B769" s="5" t="s">
        <v>37</v>
      </c>
      <c r="C769" s="73" t="str">
        <f t="shared" si="11"/>
        <v>Closed</v>
      </c>
      <c r="D769" s="45" t="s">
        <v>4351</v>
      </c>
      <c r="E769" s="54" t="s">
        <v>4352</v>
      </c>
      <c r="F769" s="5" t="s">
        <v>619</v>
      </c>
      <c r="G769" s="10">
        <f>DATE(2009,12,13)</f>
        <v>40160</v>
      </c>
      <c r="H769" s="35">
        <v>1.7687499999999998</v>
      </c>
      <c r="I769" s="5" t="s">
        <v>97</v>
      </c>
      <c r="J769" s="10" t="s">
        <v>4353</v>
      </c>
      <c r="K769" s="5" t="s">
        <v>621</v>
      </c>
      <c r="L769" s="5" t="s">
        <v>4354</v>
      </c>
      <c r="M769" s="5" t="s">
        <v>45</v>
      </c>
      <c r="N769" s="5">
        <v>0</v>
      </c>
      <c r="O769" s="5" t="s">
        <v>46</v>
      </c>
      <c r="P769" s="10" t="s">
        <v>146</v>
      </c>
      <c r="Q769" s="10" t="s">
        <v>623</v>
      </c>
      <c r="R769" s="10" t="s">
        <v>624</v>
      </c>
      <c r="S769" s="5">
        <v>0</v>
      </c>
      <c r="T769" s="37">
        <v>0</v>
      </c>
      <c r="U769" s="5">
        <v>1</v>
      </c>
      <c r="V769" s="37">
        <v>0</v>
      </c>
      <c r="W769" s="5">
        <v>0</v>
      </c>
      <c r="X769" s="5">
        <v>1</v>
      </c>
      <c r="Y769" s="5">
        <v>0</v>
      </c>
      <c r="Z769" s="37">
        <v>0</v>
      </c>
      <c r="AA769" s="5">
        <v>0</v>
      </c>
      <c r="AB769" s="5">
        <v>0</v>
      </c>
      <c r="AC769" s="5">
        <v>0</v>
      </c>
      <c r="AD769" s="5">
        <v>0</v>
      </c>
      <c r="AE769" s="10" t="s">
        <v>50</v>
      </c>
      <c r="AF769" s="10"/>
      <c r="AG769" s="10" t="s">
        <v>229</v>
      </c>
      <c r="AH769" s="10" t="s">
        <v>50</v>
      </c>
      <c r="AI769" s="5">
        <v>1</v>
      </c>
      <c r="AJ769" s="10" t="s">
        <v>4355</v>
      </c>
      <c r="AK769" s="10" t="s">
        <v>50</v>
      </c>
    </row>
    <row r="770" spans="1:37" ht="36.75" customHeight="1" x14ac:dyDescent="0.35">
      <c r="A770" s="5"/>
      <c r="B770" s="5" t="s">
        <v>37</v>
      </c>
      <c r="C770" s="73" t="str">
        <f t="shared" ref="C770:C833" si="12">IF(B770="Notification","Open",IF(B770="Interim Statement","In progress","Closed"))</f>
        <v>Closed</v>
      </c>
      <c r="D770" s="45" t="s">
        <v>4356</v>
      </c>
      <c r="E770" s="54" t="s">
        <v>4357</v>
      </c>
      <c r="F770" s="5" t="s">
        <v>619</v>
      </c>
      <c r="G770" s="10">
        <f>DATE(2009,12,15)</f>
        <v>40162</v>
      </c>
      <c r="H770" s="35">
        <v>1.7270833333333333</v>
      </c>
      <c r="I770" s="5" t="s">
        <v>137</v>
      </c>
      <c r="J770" s="10" t="s">
        <v>4358</v>
      </c>
      <c r="K770" s="5" t="s">
        <v>621</v>
      </c>
      <c r="L770" s="5" t="s">
        <v>4359</v>
      </c>
      <c r="M770" s="5" t="s">
        <v>45</v>
      </c>
      <c r="N770" s="5">
        <v>0</v>
      </c>
      <c r="O770" s="5" t="s">
        <v>46</v>
      </c>
      <c r="P770" s="10" t="s">
        <v>146</v>
      </c>
      <c r="Q770" s="10" t="s">
        <v>3226</v>
      </c>
      <c r="R770" s="10" t="s">
        <v>3226</v>
      </c>
      <c r="S770" s="5">
        <v>0</v>
      </c>
      <c r="T770" s="37" t="s">
        <v>50</v>
      </c>
      <c r="U770" s="5">
        <v>0</v>
      </c>
      <c r="V770" s="37" t="s">
        <v>50</v>
      </c>
      <c r="W770" s="5">
        <v>0</v>
      </c>
      <c r="X770" s="5">
        <v>0</v>
      </c>
      <c r="Y770" s="5">
        <v>0</v>
      </c>
      <c r="Z770" s="37" t="s">
        <v>50</v>
      </c>
      <c r="AA770" s="5">
        <v>0</v>
      </c>
      <c r="AB770" s="5">
        <v>0</v>
      </c>
      <c r="AC770" s="5">
        <v>0</v>
      </c>
      <c r="AD770" s="5">
        <v>0</v>
      </c>
      <c r="AE770" s="10" t="s">
        <v>50</v>
      </c>
      <c r="AF770" s="10"/>
      <c r="AG770" s="10" t="s">
        <v>333</v>
      </c>
      <c r="AH770" s="10" t="s">
        <v>50</v>
      </c>
      <c r="AI770" s="5">
        <v>1</v>
      </c>
      <c r="AJ770" s="10" t="s">
        <v>4360</v>
      </c>
      <c r="AK770" s="10" t="s">
        <v>50</v>
      </c>
    </row>
    <row r="771" spans="1:37" ht="36.75" customHeight="1" x14ac:dyDescent="0.35">
      <c r="A771" s="5"/>
      <c r="B771" s="5" t="s">
        <v>37</v>
      </c>
      <c r="C771" s="73" t="str">
        <f t="shared" si="12"/>
        <v>Closed</v>
      </c>
      <c r="D771" s="45" t="s">
        <v>4361</v>
      </c>
      <c r="E771" s="54" t="s">
        <v>4362</v>
      </c>
      <c r="F771" s="5" t="s">
        <v>40</v>
      </c>
      <c r="G771" s="10">
        <f>DATE(2009,12,16)</f>
        <v>40163</v>
      </c>
      <c r="H771" s="35">
        <v>1.5597222222222222</v>
      </c>
      <c r="I771" s="5" t="s">
        <v>97</v>
      </c>
      <c r="J771" s="10" t="s">
        <v>4363</v>
      </c>
      <c r="K771" s="5" t="s">
        <v>43</v>
      </c>
      <c r="L771" s="5" t="s">
        <v>4364</v>
      </c>
      <c r="M771" s="5" t="s">
        <v>45</v>
      </c>
      <c r="N771" s="5" t="s">
        <v>80</v>
      </c>
      <c r="O771" s="5" t="s">
        <v>46</v>
      </c>
      <c r="P771" s="10" t="s">
        <v>60</v>
      </c>
      <c r="Q771" s="10" t="s">
        <v>48</v>
      </c>
      <c r="R771" s="10" t="s">
        <v>49</v>
      </c>
      <c r="S771" s="5">
        <v>0</v>
      </c>
      <c r="T771" s="37">
        <v>0</v>
      </c>
      <c r="U771" s="5">
        <v>2</v>
      </c>
      <c r="V771" s="37">
        <v>0</v>
      </c>
      <c r="W771" s="5">
        <v>0</v>
      </c>
      <c r="X771" s="5">
        <v>2</v>
      </c>
      <c r="Y771" s="5">
        <v>0</v>
      </c>
      <c r="Z771" s="37">
        <v>0</v>
      </c>
      <c r="AA771" s="5">
        <v>0</v>
      </c>
      <c r="AB771" s="5">
        <v>0</v>
      </c>
      <c r="AC771" s="5">
        <v>0</v>
      </c>
      <c r="AD771" s="5">
        <v>0</v>
      </c>
      <c r="AE771" s="10" t="s">
        <v>73</v>
      </c>
      <c r="AF771" s="10"/>
      <c r="AG771" s="10" t="s">
        <v>64</v>
      </c>
      <c r="AH771" s="10">
        <v>40165</v>
      </c>
      <c r="AI771" s="5">
        <v>1</v>
      </c>
      <c r="AJ771" s="10" t="s">
        <v>4365</v>
      </c>
      <c r="AK771" s="10" t="s">
        <v>4366</v>
      </c>
    </row>
    <row r="772" spans="1:37" ht="36.75" customHeight="1" x14ac:dyDescent="0.35">
      <c r="A772" s="5"/>
      <c r="B772" s="5" t="s">
        <v>37</v>
      </c>
      <c r="C772" s="73" t="str">
        <f t="shared" si="12"/>
        <v>Closed</v>
      </c>
      <c r="D772" s="45" t="s">
        <v>4367</v>
      </c>
      <c r="E772" s="54" t="s">
        <v>4368</v>
      </c>
      <c r="F772" s="5" t="s">
        <v>2527</v>
      </c>
      <c r="G772" s="10">
        <f>DATE(2009,12,16)</f>
        <v>40163</v>
      </c>
      <c r="H772" s="35">
        <v>1.5138888888888888</v>
      </c>
      <c r="I772" s="5" t="s">
        <v>179</v>
      </c>
      <c r="J772" s="10" t="s">
        <v>4369</v>
      </c>
      <c r="K772" s="5" t="s">
        <v>2529</v>
      </c>
      <c r="L772" s="5" t="s">
        <v>4370</v>
      </c>
      <c r="M772" s="5" t="s">
        <v>45</v>
      </c>
      <c r="N772" s="5">
        <v>0</v>
      </c>
      <c r="O772" s="5" t="s">
        <v>46</v>
      </c>
      <c r="P772" s="10" t="s">
        <v>60</v>
      </c>
      <c r="Q772" s="10" t="s">
        <v>4371</v>
      </c>
      <c r="R772" s="10">
        <v>0</v>
      </c>
      <c r="S772" s="5">
        <v>0</v>
      </c>
      <c r="T772" s="37" t="s">
        <v>50</v>
      </c>
      <c r="U772" s="5">
        <v>0</v>
      </c>
      <c r="V772" s="37" t="s">
        <v>50</v>
      </c>
      <c r="W772" s="5">
        <v>0</v>
      </c>
      <c r="X772" s="5">
        <v>0</v>
      </c>
      <c r="Y772" s="5">
        <v>0</v>
      </c>
      <c r="Z772" s="37" t="s">
        <v>50</v>
      </c>
      <c r="AA772" s="5">
        <v>0</v>
      </c>
      <c r="AB772" s="5">
        <v>0</v>
      </c>
      <c r="AC772" s="5">
        <v>0</v>
      </c>
      <c r="AD772" s="5">
        <v>0</v>
      </c>
      <c r="AE772" s="10" t="s">
        <v>50</v>
      </c>
      <c r="AF772" s="10"/>
      <c r="AG772" s="10" t="s">
        <v>114</v>
      </c>
      <c r="AH772" s="10" t="s">
        <v>50</v>
      </c>
      <c r="AI772" s="5">
        <v>4</v>
      </c>
      <c r="AJ772" s="10" t="s">
        <v>4372</v>
      </c>
      <c r="AK772" s="10" t="s">
        <v>4373</v>
      </c>
    </row>
    <row r="773" spans="1:37" ht="36.75" customHeight="1" x14ac:dyDescent="0.35">
      <c r="A773" s="5"/>
      <c r="B773" s="5" t="s">
        <v>37</v>
      </c>
      <c r="C773" s="73" t="str">
        <f t="shared" si="12"/>
        <v>Closed</v>
      </c>
      <c r="D773" s="45" t="s">
        <v>4374</v>
      </c>
      <c r="E773" s="54" t="s">
        <v>4375</v>
      </c>
      <c r="F773" s="5" t="s">
        <v>105</v>
      </c>
      <c r="G773" s="10">
        <f>DATE(2009,12,17)</f>
        <v>40164</v>
      </c>
      <c r="H773" s="35">
        <v>1.7361111111111112</v>
      </c>
      <c r="I773" s="5" t="s">
        <v>179</v>
      </c>
      <c r="J773" s="10" t="s">
        <v>4376</v>
      </c>
      <c r="K773" s="5" t="s">
        <v>108</v>
      </c>
      <c r="L773" s="5" t="s">
        <v>4377</v>
      </c>
      <c r="M773" s="5" t="s">
        <v>45</v>
      </c>
      <c r="N773" s="5">
        <v>0</v>
      </c>
      <c r="O773" s="5" t="s">
        <v>59</v>
      </c>
      <c r="P773" s="10" t="s">
        <v>197</v>
      </c>
      <c r="Q773" s="10" t="s">
        <v>4378</v>
      </c>
      <c r="R773" s="10" t="s">
        <v>148</v>
      </c>
      <c r="S773" s="5">
        <v>0</v>
      </c>
      <c r="T773" s="37" t="s">
        <v>50</v>
      </c>
      <c r="U773" s="5">
        <v>0</v>
      </c>
      <c r="V773" s="37" t="s">
        <v>50</v>
      </c>
      <c r="W773" s="5">
        <v>0</v>
      </c>
      <c r="X773" s="5">
        <v>0</v>
      </c>
      <c r="Y773" s="5">
        <v>0</v>
      </c>
      <c r="Z773" s="37" t="s">
        <v>50</v>
      </c>
      <c r="AA773" s="5">
        <v>0</v>
      </c>
      <c r="AB773" s="5">
        <v>0</v>
      </c>
      <c r="AC773" s="5">
        <v>0</v>
      </c>
      <c r="AD773" s="5">
        <v>0</v>
      </c>
      <c r="AE773" s="10" t="s">
        <v>50</v>
      </c>
      <c r="AF773" s="10"/>
      <c r="AG773" s="10" t="s">
        <v>114</v>
      </c>
      <c r="AH773" s="10" t="s">
        <v>50</v>
      </c>
      <c r="AI773" s="5">
        <v>2</v>
      </c>
      <c r="AJ773" s="10" t="s">
        <v>4379</v>
      </c>
      <c r="AK773" s="10" t="s">
        <v>4380</v>
      </c>
    </row>
    <row r="774" spans="1:37" ht="36.75" customHeight="1" x14ac:dyDescent="0.35">
      <c r="A774" s="5"/>
      <c r="B774" s="5" t="s">
        <v>37</v>
      </c>
      <c r="C774" s="73" t="str">
        <f t="shared" si="12"/>
        <v>Closed</v>
      </c>
      <c r="D774" s="45" t="s">
        <v>4381</v>
      </c>
      <c r="E774" s="54" t="s">
        <v>4382</v>
      </c>
      <c r="F774" s="5" t="s">
        <v>214</v>
      </c>
      <c r="G774" s="10">
        <f>DATE(2009,12,19)</f>
        <v>40166</v>
      </c>
      <c r="H774" s="35">
        <v>1.78125</v>
      </c>
      <c r="I774" s="5" t="s">
        <v>97</v>
      </c>
      <c r="J774" s="10" t="s">
        <v>4383</v>
      </c>
      <c r="K774" s="5" t="s">
        <v>216</v>
      </c>
      <c r="L774" s="5" t="s">
        <v>4384</v>
      </c>
      <c r="M774" s="5" t="s">
        <v>45</v>
      </c>
      <c r="N774" s="5">
        <v>0</v>
      </c>
      <c r="O774" s="5" t="s">
        <v>46</v>
      </c>
      <c r="P774" s="10" t="s">
        <v>47</v>
      </c>
      <c r="Q774" s="10" t="s">
        <v>2670</v>
      </c>
      <c r="R774" s="10" t="s">
        <v>219</v>
      </c>
      <c r="S774" s="5">
        <v>0</v>
      </c>
      <c r="T774" s="37" t="s">
        <v>50</v>
      </c>
      <c r="U774" s="5">
        <v>0</v>
      </c>
      <c r="V774" s="37" t="s">
        <v>50</v>
      </c>
      <c r="W774" s="5">
        <v>0</v>
      </c>
      <c r="X774" s="5">
        <v>0</v>
      </c>
      <c r="Y774" s="5">
        <v>0</v>
      </c>
      <c r="Z774" s="37" t="s">
        <v>50</v>
      </c>
      <c r="AA774" s="5">
        <v>0</v>
      </c>
      <c r="AB774" s="5">
        <v>0</v>
      </c>
      <c r="AC774" s="5">
        <v>0</v>
      </c>
      <c r="AD774" s="5">
        <v>0</v>
      </c>
      <c r="AE774" s="10" t="s">
        <v>50</v>
      </c>
      <c r="AF774" s="10"/>
      <c r="AG774" s="10" t="s">
        <v>114</v>
      </c>
      <c r="AH774" s="10" t="s">
        <v>50</v>
      </c>
      <c r="AI774" s="5">
        <v>4</v>
      </c>
      <c r="AJ774" s="10" t="s">
        <v>4385</v>
      </c>
      <c r="AK774" s="10" t="s">
        <v>4386</v>
      </c>
    </row>
    <row r="775" spans="1:37" ht="36.75" customHeight="1" x14ac:dyDescent="0.35">
      <c r="A775" s="5"/>
      <c r="B775" s="5" t="s">
        <v>37</v>
      </c>
      <c r="C775" s="73" t="str">
        <f t="shared" si="12"/>
        <v>Closed</v>
      </c>
      <c r="D775" s="45" t="s">
        <v>4387</v>
      </c>
      <c r="E775" s="54" t="s">
        <v>4388</v>
      </c>
      <c r="F775" s="5" t="s">
        <v>619</v>
      </c>
      <c r="G775" s="10">
        <f>DATE(2009,12,20)</f>
        <v>40167</v>
      </c>
      <c r="H775" s="35">
        <v>1.7131944444444445</v>
      </c>
      <c r="I775" s="5" t="s">
        <v>97</v>
      </c>
      <c r="J775" s="10" t="s">
        <v>4389</v>
      </c>
      <c r="K775" s="5" t="s">
        <v>621</v>
      </c>
      <c r="L775" s="5" t="s">
        <v>4390</v>
      </c>
      <c r="M775" s="5" t="s">
        <v>45</v>
      </c>
      <c r="N775" s="5">
        <v>0</v>
      </c>
      <c r="O775" s="5" t="s">
        <v>67</v>
      </c>
      <c r="P775" s="10" t="s">
        <v>146</v>
      </c>
      <c r="Q775" s="10" t="s">
        <v>623</v>
      </c>
      <c r="R775" s="10" t="s">
        <v>624</v>
      </c>
      <c r="S775" s="5">
        <v>0</v>
      </c>
      <c r="T775" s="37">
        <v>0</v>
      </c>
      <c r="U775" s="5">
        <v>1</v>
      </c>
      <c r="V775" s="37">
        <v>0</v>
      </c>
      <c r="W775" s="5">
        <v>0</v>
      </c>
      <c r="X775" s="5">
        <v>1</v>
      </c>
      <c r="Y775" s="5">
        <v>0</v>
      </c>
      <c r="Z775" s="37">
        <v>0</v>
      </c>
      <c r="AA775" s="5">
        <v>0</v>
      </c>
      <c r="AB775" s="5">
        <v>0</v>
      </c>
      <c r="AC775" s="5">
        <v>0</v>
      </c>
      <c r="AD775" s="5">
        <v>0</v>
      </c>
      <c r="AE775" s="10" t="s">
        <v>50</v>
      </c>
      <c r="AF775" s="10"/>
      <c r="AG775" s="10" t="s">
        <v>229</v>
      </c>
      <c r="AH775" s="10" t="s">
        <v>50</v>
      </c>
      <c r="AI775" s="5">
        <v>0</v>
      </c>
      <c r="AJ775" s="10" t="s">
        <v>1713</v>
      </c>
      <c r="AK775" s="10" t="s">
        <v>50</v>
      </c>
    </row>
    <row r="776" spans="1:37" ht="36.75" customHeight="1" x14ac:dyDescent="0.35">
      <c r="A776" s="5"/>
      <c r="B776" s="5" t="s">
        <v>37</v>
      </c>
      <c r="C776" s="73" t="str">
        <f t="shared" si="12"/>
        <v>Closed</v>
      </c>
      <c r="D776" s="45" t="s">
        <v>4391</v>
      </c>
      <c r="E776" s="54" t="s">
        <v>4392</v>
      </c>
      <c r="F776" s="5" t="s">
        <v>96</v>
      </c>
      <c r="G776" s="10">
        <f>DATE(2009,12,20)</f>
        <v>40167</v>
      </c>
      <c r="H776" s="35">
        <v>1.8597222222222221</v>
      </c>
      <c r="I776" s="5" t="s">
        <v>137</v>
      </c>
      <c r="J776" s="10" t="s">
        <v>4393</v>
      </c>
      <c r="K776" s="5" t="s">
        <v>99</v>
      </c>
      <c r="L776" s="5" t="s">
        <v>4394</v>
      </c>
      <c r="M776" s="5" t="s">
        <v>45</v>
      </c>
      <c r="N776" s="5">
        <v>0</v>
      </c>
      <c r="O776" s="5" t="s">
        <v>46</v>
      </c>
      <c r="P776" s="10" t="s">
        <v>146</v>
      </c>
      <c r="Q776" s="10" t="s">
        <v>101</v>
      </c>
      <c r="R776" s="10" t="s">
        <v>102</v>
      </c>
      <c r="S776" s="5">
        <v>0</v>
      </c>
      <c r="T776" s="37">
        <v>0</v>
      </c>
      <c r="U776" s="5">
        <v>0</v>
      </c>
      <c r="V776" s="37">
        <v>0</v>
      </c>
      <c r="W776" s="5">
        <v>0</v>
      </c>
      <c r="X776" s="5">
        <v>0</v>
      </c>
      <c r="Y776" s="5">
        <v>2</v>
      </c>
      <c r="Z776" s="37">
        <v>0</v>
      </c>
      <c r="AA776" s="5">
        <v>0</v>
      </c>
      <c r="AB776" s="5">
        <v>0</v>
      </c>
      <c r="AC776" s="5">
        <v>0</v>
      </c>
      <c r="AD776" s="5">
        <v>2</v>
      </c>
      <c r="AE776" s="10" t="s">
        <v>50</v>
      </c>
      <c r="AF776" s="10"/>
      <c r="AG776" s="10" t="s">
        <v>64</v>
      </c>
      <c r="AH776" s="10" t="s">
        <v>50</v>
      </c>
      <c r="AI776" s="5">
        <v>0</v>
      </c>
      <c r="AJ776" s="10" t="s">
        <v>4395</v>
      </c>
      <c r="AK776" s="10" t="s">
        <v>50</v>
      </c>
    </row>
    <row r="777" spans="1:37" ht="36.75" customHeight="1" x14ac:dyDescent="0.35">
      <c r="A777" s="5"/>
      <c r="B777" s="5" t="s">
        <v>37</v>
      </c>
      <c r="C777" s="73" t="str">
        <f t="shared" si="12"/>
        <v>Closed</v>
      </c>
      <c r="D777" s="45" t="s">
        <v>4396</v>
      </c>
      <c r="E777" s="54" t="s">
        <v>4397</v>
      </c>
      <c r="F777" s="5" t="s">
        <v>105</v>
      </c>
      <c r="G777" s="10">
        <f>DATE(2009,12,22)</f>
        <v>40169</v>
      </c>
      <c r="H777" s="35">
        <v>1.7916666666666665</v>
      </c>
      <c r="I777" s="5" t="s">
        <v>1022</v>
      </c>
      <c r="J777" s="10" t="s">
        <v>4398</v>
      </c>
      <c r="K777" s="5" t="s">
        <v>108</v>
      </c>
      <c r="L777" s="5" t="s">
        <v>4399</v>
      </c>
      <c r="M777" s="5" t="s">
        <v>45</v>
      </c>
      <c r="N777" s="5">
        <v>0</v>
      </c>
      <c r="O777" s="5" t="s">
        <v>67</v>
      </c>
      <c r="P777" s="10" t="s">
        <v>60</v>
      </c>
      <c r="Q777" s="10" t="s">
        <v>382</v>
      </c>
      <c r="R777" s="10" t="s">
        <v>148</v>
      </c>
      <c r="S777" s="5">
        <v>0</v>
      </c>
      <c r="T777" s="37" t="s">
        <v>50</v>
      </c>
      <c r="U777" s="5">
        <v>0</v>
      </c>
      <c r="V777" s="37" t="s">
        <v>50</v>
      </c>
      <c r="W777" s="5">
        <v>0</v>
      </c>
      <c r="X777" s="5">
        <v>0</v>
      </c>
      <c r="Y777" s="5">
        <v>0</v>
      </c>
      <c r="Z777" s="37" t="s">
        <v>50</v>
      </c>
      <c r="AA777" s="5">
        <v>0</v>
      </c>
      <c r="AB777" s="5">
        <v>0</v>
      </c>
      <c r="AC777" s="5">
        <v>0</v>
      </c>
      <c r="AD777" s="5">
        <v>0</v>
      </c>
      <c r="AE777" s="10" t="s">
        <v>50</v>
      </c>
      <c r="AF777" s="10"/>
      <c r="AG777" s="10" t="s">
        <v>114</v>
      </c>
      <c r="AH777" s="10" t="s">
        <v>50</v>
      </c>
      <c r="AI777" s="5">
        <v>2</v>
      </c>
      <c r="AJ777" s="10" t="s">
        <v>4400</v>
      </c>
      <c r="AK777" s="10" t="s">
        <v>4401</v>
      </c>
    </row>
    <row r="778" spans="1:37" ht="36.75" customHeight="1" x14ac:dyDescent="0.35">
      <c r="A778" s="5"/>
      <c r="B778" s="5" t="s">
        <v>37</v>
      </c>
      <c r="C778" s="73" t="str">
        <f t="shared" si="12"/>
        <v>Closed</v>
      </c>
      <c r="D778" s="45" t="s">
        <v>4402</v>
      </c>
      <c r="E778" s="54" t="s">
        <v>4403</v>
      </c>
      <c r="F778" s="5" t="s">
        <v>214</v>
      </c>
      <c r="G778" s="10">
        <f>DATE(2009,12,22)</f>
        <v>40169</v>
      </c>
      <c r="H778" s="35">
        <v>1.8472222222222223</v>
      </c>
      <c r="I778" s="5" t="s">
        <v>85</v>
      </c>
      <c r="J778" s="10" t="s">
        <v>4404</v>
      </c>
      <c r="K778" s="5" t="s">
        <v>216</v>
      </c>
      <c r="L778" s="5" t="s">
        <v>4405</v>
      </c>
      <c r="M778" s="5" t="s">
        <v>45</v>
      </c>
      <c r="N778" s="5">
        <v>0</v>
      </c>
      <c r="O778" s="5" t="s">
        <v>46</v>
      </c>
      <c r="P778" s="10" t="s">
        <v>60</v>
      </c>
      <c r="Q778" s="10" t="s">
        <v>415</v>
      </c>
      <c r="R778" s="10" t="s">
        <v>219</v>
      </c>
      <c r="S778" s="5">
        <v>0</v>
      </c>
      <c r="T778" s="37" t="s">
        <v>50</v>
      </c>
      <c r="U778" s="5">
        <v>0</v>
      </c>
      <c r="V778" s="37" t="s">
        <v>50</v>
      </c>
      <c r="W778" s="5">
        <v>0</v>
      </c>
      <c r="X778" s="5">
        <v>0</v>
      </c>
      <c r="Y778" s="5">
        <v>0</v>
      </c>
      <c r="Z778" s="37" t="s">
        <v>50</v>
      </c>
      <c r="AA778" s="5">
        <v>0</v>
      </c>
      <c r="AB778" s="5">
        <v>0</v>
      </c>
      <c r="AC778" s="5">
        <v>0</v>
      </c>
      <c r="AD778" s="5">
        <v>0</v>
      </c>
      <c r="AE778" s="10" t="s">
        <v>50</v>
      </c>
      <c r="AF778" s="10"/>
      <c r="AG778" s="10" t="s">
        <v>114</v>
      </c>
      <c r="AH778" s="10" t="s">
        <v>50</v>
      </c>
      <c r="AI778" s="5">
        <v>3</v>
      </c>
      <c r="AJ778" s="10" t="s">
        <v>4406</v>
      </c>
      <c r="AK778" s="10" t="s">
        <v>4407</v>
      </c>
    </row>
    <row r="779" spans="1:37" ht="36.75" customHeight="1" x14ac:dyDescent="0.35">
      <c r="A779" s="5"/>
      <c r="B779" s="5" t="s">
        <v>37</v>
      </c>
      <c r="C779" s="73" t="str">
        <f t="shared" si="12"/>
        <v>Closed</v>
      </c>
      <c r="D779" s="45" t="s">
        <v>4408</v>
      </c>
      <c r="E779" s="54" t="s">
        <v>4409</v>
      </c>
      <c r="F779" s="5" t="s">
        <v>619</v>
      </c>
      <c r="G779" s="10">
        <f>DATE(2009,12,28)</f>
        <v>40175</v>
      </c>
      <c r="H779" s="35">
        <v>1.8402777777777777</v>
      </c>
      <c r="I779" s="5" t="s">
        <v>55</v>
      </c>
      <c r="J779" s="10" t="s">
        <v>4410</v>
      </c>
      <c r="K779" s="5" t="s">
        <v>621</v>
      </c>
      <c r="L779" s="5" t="s">
        <v>4411</v>
      </c>
      <c r="M779" s="5" t="s">
        <v>45</v>
      </c>
      <c r="N779" s="5">
        <v>0</v>
      </c>
      <c r="O779" s="5" t="s">
        <v>59</v>
      </c>
      <c r="P779" s="10" t="s">
        <v>146</v>
      </c>
      <c r="Q779" s="10" t="s">
        <v>623</v>
      </c>
      <c r="R779" s="10" t="s">
        <v>624</v>
      </c>
      <c r="S779" s="5">
        <v>0</v>
      </c>
      <c r="T779" s="37" t="s">
        <v>50</v>
      </c>
      <c r="U779" s="5">
        <v>0</v>
      </c>
      <c r="V779" s="37" t="s">
        <v>50</v>
      </c>
      <c r="W779" s="5">
        <v>0</v>
      </c>
      <c r="X779" s="5">
        <v>0</v>
      </c>
      <c r="Y779" s="5">
        <v>0</v>
      </c>
      <c r="Z779" s="37" t="s">
        <v>50</v>
      </c>
      <c r="AA779" s="5">
        <v>0</v>
      </c>
      <c r="AB779" s="5">
        <v>0</v>
      </c>
      <c r="AC779" s="5">
        <v>0</v>
      </c>
      <c r="AD779" s="5">
        <v>0</v>
      </c>
      <c r="AE779" s="10" t="s">
        <v>50</v>
      </c>
      <c r="AF779" s="10"/>
      <c r="AG779" s="10" t="s">
        <v>333</v>
      </c>
      <c r="AH779" s="10" t="s">
        <v>50</v>
      </c>
      <c r="AI779" s="5">
        <v>1</v>
      </c>
      <c r="AJ779" s="10" t="s">
        <v>50</v>
      </c>
      <c r="AK779" s="10" t="s">
        <v>4412</v>
      </c>
    </row>
    <row r="780" spans="1:37" ht="36.75" customHeight="1" x14ac:dyDescent="0.35">
      <c r="A780" s="5"/>
      <c r="B780" s="5" t="s">
        <v>37</v>
      </c>
      <c r="C780" s="73" t="str">
        <f t="shared" si="12"/>
        <v>Closed</v>
      </c>
      <c r="D780" s="45" t="s">
        <v>4413</v>
      </c>
      <c r="E780" s="54" t="s">
        <v>4414</v>
      </c>
      <c r="F780" s="5" t="s">
        <v>619</v>
      </c>
      <c r="G780" s="10">
        <f>DATE(2009,12,30)</f>
        <v>40177</v>
      </c>
      <c r="H780" s="35">
        <v>1.1305555555555555</v>
      </c>
      <c r="I780" s="5" t="s">
        <v>137</v>
      </c>
      <c r="J780" s="10" t="s">
        <v>4415</v>
      </c>
      <c r="K780" s="5" t="s">
        <v>621</v>
      </c>
      <c r="L780" s="5" t="s">
        <v>4416</v>
      </c>
      <c r="M780" s="5" t="s">
        <v>45</v>
      </c>
      <c r="N780" s="5">
        <v>0</v>
      </c>
      <c r="O780" s="5" t="s">
        <v>46</v>
      </c>
      <c r="P780" s="10" t="s">
        <v>47</v>
      </c>
      <c r="Q780" s="10" t="s">
        <v>623</v>
      </c>
      <c r="R780" s="10" t="s">
        <v>624</v>
      </c>
      <c r="S780" s="5">
        <v>0</v>
      </c>
      <c r="T780" s="37" t="s">
        <v>50</v>
      </c>
      <c r="U780" s="5">
        <v>0</v>
      </c>
      <c r="V780" s="37" t="s">
        <v>50</v>
      </c>
      <c r="W780" s="5">
        <v>0</v>
      </c>
      <c r="X780" s="5">
        <v>0</v>
      </c>
      <c r="Y780" s="5">
        <v>0</v>
      </c>
      <c r="Z780" s="37" t="s">
        <v>50</v>
      </c>
      <c r="AA780" s="5">
        <v>0</v>
      </c>
      <c r="AB780" s="5">
        <v>0</v>
      </c>
      <c r="AC780" s="5">
        <v>0</v>
      </c>
      <c r="AD780" s="5">
        <v>0</v>
      </c>
      <c r="AE780" s="10" t="s">
        <v>50</v>
      </c>
      <c r="AF780" s="10"/>
      <c r="AG780" s="10" t="s">
        <v>333</v>
      </c>
      <c r="AH780" s="10" t="s">
        <v>50</v>
      </c>
      <c r="AI780" s="5">
        <v>1</v>
      </c>
      <c r="AJ780" s="10" t="s">
        <v>4417</v>
      </c>
      <c r="AK780" s="10" t="s">
        <v>50</v>
      </c>
    </row>
    <row r="781" spans="1:37" ht="36.75" customHeight="1" x14ac:dyDescent="0.35">
      <c r="A781" s="5"/>
      <c r="B781" s="5" t="s">
        <v>37</v>
      </c>
      <c r="C781" s="73" t="str">
        <f t="shared" si="12"/>
        <v>Closed</v>
      </c>
      <c r="D781" s="45" t="s">
        <v>4418</v>
      </c>
      <c r="E781" s="54" t="s">
        <v>4419</v>
      </c>
      <c r="F781" s="5" t="s">
        <v>40</v>
      </c>
      <c r="G781" s="10">
        <f>DATE(2010,1,4)</f>
        <v>40182</v>
      </c>
      <c r="H781" s="35">
        <v>1.3527777777777779</v>
      </c>
      <c r="I781" s="5" t="s">
        <v>137</v>
      </c>
      <c r="J781" s="10" t="s">
        <v>4420</v>
      </c>
      <c r="K781" s="5" t="s">
        <v>43</v>
      </c>
      <c r="L781" s="5" t="s">
        <v>4421</v>
      </c>
      <c r="M781" s="5" t="s">
        <v>45</v>
      </c>
      <c r="N781" s="5" t="s">
        <v>70</v>
      </c>
      <c r="O781" s="5" t="s">
        <v>59</v>
      </c>
      <c r="P781" s="10" t="s">
        <v>4422</v>
      </c>
      <c r="Q781" s="10" t="s">
        <v>4423</v>
      </c>
      <c r="R781" s="10" t="s">
        <v>49</v>
      </c>
      <c r="S781" s="5">
        <v>0</v>
      </c>
      <c r="T781" s="37">
        <v>0</v>
      </c>
      <c r="U781" s="5">
        <v>0</v>
      </c>
      <c r="V781" s="37">
        <v>0</v>
      </c>
      <c r="W781" s="5">
        <v>0</v>
      </c>
      <c r="X781" s="5">
        <v>0</v>
      </c>
      <c r="Y781" s="5">
        <v>0</v>
      </c>
      <c r="Z781" s="37">
        <v>0</v>
      </c>
      <c r="AA781" s="5">
        <v>0</v>
      </c>
      <c r="AB781" s="5">
        <v>0</v>
      </c>
      <c r="AC781" s="5">
        <v>0</v>
      </c>
      <c r="AD781" s="5">
        <v>0</v>
      </c>
      <c r="AE781" s="10" t="s">
        <v>375</v>
      </c>
      <c r="AF781" s="10"/>
      <c r="AG781" s="10" t="s">
        <v>64</v>
      </c>
      <c r="AH781" s="10">
        <v>40190</v>
      </c>
      <c r="AI781" s="5">
        <v>4</v>
      </c>
      <c r="AJ781" s="10" t="s">
        <v>4424</v>
      </c>
      <c r="AK781" s="10" t="s">
        <v>4425</v>
      </c>
    </row>
    <row r="782" spans="1:37" ht="36.75" customHeight="1" x14ac:dyDescent="0.35">
      <c r="A782" s="5"/>
      <c r="B782" s="5" t="s">
        <v>37</v>
      </c>
      <c r="C782" s="73" t="str">
        <f t="shared" si="12"/>
        <v>Closed</v>
      </c>
      <c r="D782" s="45" t="s">
        <v>4426</v>
      </c>
      <c r="E782" s="54" t="s">
        <v>4427</v>
      </c>
      <c r="F782" s="5" t="s">
        <v>214</v>
      </c>
      <c r="G782" s="10">
        <f>DATE(2010,1,4)</f>
        <v>40182</v>
      </c>
      <c r="H782" s="35">
        <v>1.6687500000000002</v>
      </c>
      <c r="I782" s="5" t="s">
        <v>55</v>
      </c>
      <c r="J782" s="10" t="s">
        <v>4428</v>
      </c>
      <c r="K782" s="5" t="s">
        <v>216</v>
      </c>
      <c r="L782" s="5" t="s">
        <v>4429</v>
      </c>
      <c r="M782" s="5" t="s">
        <v>45</v>
      </c>
      <c r="N782" s="5">
        <v>0</v>
      </c>
      <c r="O782" s="5" t="s">
        <v>46</v>
      </c>
      <c r="P782" s="10" t="s">
        <v>60</v>
      </c>
      <c r="Q782" s="10" t="s">
        <v>4022</v>
      </c>
      <c r="R782" s="10" t="s">
        <v>219</v>
      </c>
      <c r="S782" s="5">
        <v>0</v>
      </c>
      <c r="T782" s="37" t="s">
        <v>50</v>
      </c>
      <c r="U782" s="5">
        <v>0</v>
      </c>
      <c r="V782" s="37" t="s">
        <v>50</v>
      </c>
      <c r="W782" s="5">
        <v>0</v>
      </c>
      <c r="X782" s="5">
        <v>0</v>
      </c>
      <c r="Y782" s="5">
        <v>0</v>
      </c>
      <c r="Z782" s="37" t="s">
        <v>50</v>
      </c>
      <c r="AA782" s="5">
        <v>0</v>
      </c>
      <c r="AB782" s="5">
        <v>0</v>
      </c>
      <c r="AC782" s="5">
        <v>0</v>
      </c>
      <c r="AD782" s="5">
        <v>0</v>
      </c>
      <c r="AE782" s="10" t="s">
        <v>50</v>
      </c>
      <c r="AF782" s="10"/>
      <c r="AG782" s="10" t="s">
        <v>114</v>
      </c>
      <c r="AH782" s="10" t="s">
        <v>50</v>
      </c>
      <c r="AI782" s="5">
        <v>4</v>
      </c>
      <c r="AJ782" s="10" t="s">
        <v>4430</v>
      </c>
      <c r="AK782" s="10" t="s">
        <v>4431</v>
      </c>
    </row>
    <row r="783" spans="1:37" ht="36.75" customHeight="1" x14ac:dyDescent="0.35">
      <c r="A783" s="5"/>
      <c r="B783" s="5" t="s">
        <v>37</v>
      </c>
      <c r="C783" s="73" t="str">
        <f t="shared" si="12"/>
        <v>Closed</v>
      </c>
      <c r="D783" s="45" t="s">
        <v>4432</v>
      </c>
      <c r="E783" s="54" t="s">
        <v>4433</v>
      </c>
      <c r="F783" s="5" t="s">
        <v>214</v>
      </c>
      <c r="G783" s="10">
        <f>DATE(2010,1,4)</f>
        <v>40182</v>
      </c>
      <c r="H783" s="35">
        <v>1.8090277777777777</v>
      </c>
      <c r="I783" s="5" t="s">
        <v>179</v>
      </c>
      <c r="J783" s="10" t="s">
        <v>4434</v>
      </c>
      <c r="K783" s="5" t="s">
        <v>216</v>
      </c>
      <c r="L783" s="5" t="s">
        <v>4435</v>
      </c>
      <c r="M783" s="5" t="s">
        <v>45</v>
      </c>
      <c r="N783" s="5">
        <v>0</v>
      </c>
      <c r="O783" s="5" t="s">
        <v>59</v>
      </c>
      <c r="P783" s="10" t="s">
        <v>146</v>
      </c>
      <c r="Q783" s="10" t="s">
        <v>4436</v>
      </c>
      <c r="R783" s="10" t="s">
        <v>219</v>
      </c>
      <c r="S783" s="5">
        <v>0</v>
      </c>
      <c r="T783" s="37" t="s">
        <v>50</v>
      </c>
      <c r="U783" s="5">
        <v>0</v>
      </c>
      <c r="V783" s="37" t="s">
        <v>50</v>
      </c>
      <c r="W783" s="5">
        <v>0</v>
      </c>
      <c r="X783" s="5">
        <v>0</v>
      </c>
      <c r="Y783" s="5">
        <v>0</v>
      </c>
      <c r="Z783" s="37" t="s">
        <v>50</v>
      </c>
      <c r="AA783" s="5">
        <v>0</v>
      </c>
      <c r="AB783" s="5">
        <v>0</v>
      </c>
      <c r="AC783" s="5">
        <v>0</v>
      </c>
      <c r="AD783" s="5">
        <v>0</v>
      </c>
      <c r="AE783" s="10" t="s">
        <v>50</v>
      </c>
      <c r="AF783" s="10"/>
      <c r="AG783" s="10" t="s">
        <v>114</v>
      </c>
      <c r="AH783" s="10" t="s">
        <v>50</v>
      </c>
      <c r="AI783" s="5">
        <v>1</v>
      </c>
      <c r="AJ783" s="10" t="s">
        <v>4437</v>
      </c>
      <c r="AK783" s="10" t="s">
        <v>4438</v>
      </c>
    </row>
    <row r="784" spans="1:37" ht="36.75" customHeight="1" x14ac:dyDescent="0.35">
      <c r="A784" s="5"/>
      <c r="B784" s="5" t="s">
        <v>37</v>
      </c>
      <c r="C784" s="73" t="str">
        <f t="shared" si="12"/>
        <v>Closed</v>
      </c>
      <c r="D784" s="45" t="s">
        <v>4439</v>
      </c>
      <c r="E784" s="54" t="s">
        <v>4440</v>
      </c>
      <c r="F784" s="5" t="s">
        <v>816</v>
      </c>
      <c r="G784" s="10">
        <f>DATE(2010,1,9)</f>
        <v>40187</v>
      </c>
      <c r="H784" s="35">
        <v>1.8236111111111111</v>
      </c>
      <c r="I784" s="5" t="s">
        <v>97</v>
      </c>
      <c r="J784" s="10" t="s">
        <v>4441</v>
      </c>
      <c r="K784" s="5" t="s">
        <v>818</v>
      </c>
      <c r="L784" s="5" t="s">
        <v>4442</v>
      </c>
      <c r="M784" s="5" t="s">
        <v>45</v>
      </c>
      <c r="N784" s="5">
        <v>0</v>
      </c>
      <c r="O784" s="5" t="s">
        <v>59</v>
      </c>
      <c r="P784" s="10" t="s">
        <v>47</v>
      </c>
      <c r="Q784" s="10" t="s">
        <v>2142</v>
      </c>
      <c r="R784" s="10" t="s">
        <v>821</v>
      </c>
      <c r="S784" s="5">
        <v>0</v>
      </c>
      <c r="T784" s="37">
        <v>0</v>
      </c>
      <c r="U784" s="5">
        <v>2</v>
      </c>
      <c r="V784" s="37">
        <v>0</v>
      </c>
      <c r="W784" s="5">
        <v>0</v>
      </c>
      <c r="X784" s="5">
        <v>2</v>
      </c>
      <c r="Y784" s="5">
        <v>0</v>
      </c>
      <c r="Z784" s="37">
        <v>0</v>
      </c>
      <c r="AA784" s="5">
        <v>1</v>
      </c>
      <c r="AB784" s="5">
        <v>0</v>
      </c>
      <c r="AC784" s="5">
        <v>0</v>
      </c>
      <c r="AD784" s="5">
        <v>1</v>
      </c>
      <c r="AE784" s="10" t="s">
        <v>50</v>
      </c>
      <c r="AF784" s="10"/>
      <c r="AG784" s="10" t="s">
        <v>333</v>
      </c>
      <c r="AH784" s="10" t="s">
        <v>50</v>
      </c>
      <c r="AI784" s="5">
        <v>0</v>
      </c>
      <c r="AJ784" s="10" t="s">
        <v>50</v>
      </c>
      <c r="AK784" s="10" t="s">
        <v>50</v>
      </c>
    </row>
    <row r="785" spans="1:37" ht="36.75" customHeight="1" x14ac:dyDescent="0.35">
      <c r="A785" s="5"/>
      <c r="B785" s="5" t="s">
        <v>37</v>
      </c>
      <c r="C785" s="73" t="str">
        <f t="shared" si="12"/>
        <v>Closed</v>
      </c>
      <c r="D785" s="45" t="s">
        <v>4443</v>
      </c>
      <c r="E785" s="54" t="s">
        <v>4444</v>
      </c>
      <c r="F785" s="5" t="s">
        <v>619</v>
      </c>
      <c r="G785" s="10">
        <f>DATE(2010,1,10)</f>
        <v>40188</v>
      </c>
      <c r="H785" s="35">
        <v>1.8256944444444443</v>
      </c>
      <c r="I785" s="5" t="s">
        <v>55</v>
      </c>
      <c r="J785" s="10" t="s">
        <v>4445</v>
      </c>
      <c r="K785" s="5" t="s">
        <v>621</v>
      </c>
      <c r="L785" s="5" t="s">
        <v>4446</v>
      </c>
      <c r="M785" s="5" t="s">
        <v>45</v>
      </c>
      <c r="N785" s="5">
        <v>0</v>
      </c>
      <c r="O785" s="5" t="s">
        <v>46</v>
      </c>
      <c r="P785" s="10" t="s">
        <v>47</v>
      </c>
      <c r="Q785" s="10" t="s">
        <v>623</v>
      </c>
      <c r="R785" s="10" t="s">
        <v>624</v>
      </c>
      <c r="S785" s="5">
        <v>0</v>
      </c>
      <c r="T785" s="37" t="s">
        <v>50</v>
      </c>
      <c r="U785" s="5">
        <v>0</v>
      </c>
      <c r="V785" s="37" t="s">
        <v>50</v>
      </c>
      <c r="W785" s="5">
        <v>0</v>
      </c>
      <c r="X785" s="5">
        <v>0</v>
      </c>
      <c r="Y785" s="5">
        <v>0</v>
      </c>
      <c r="Z785" s="37" t="s">
        <v>50</v>
      </c>
      <c r="AA785" s="5">
        <v>0</v>
      </c>
      <c r="AB785" s="5">
        <v>0</v>
      </c>
      <c r="AC785" s="5">
        <v>0</v>
      </c>
      <c r="AD785" s="5">
        <v>0</v>
      </c>
      <c r="AE785" s="10" t="s">
        <v>50</v>
      </c>
      <c r="AF785" s="10"/>
      <c r="AG785" s="10" t="s">
        <v>333</v>
      </c>
      <c r="AH785" s="10" t="s">
        <v>50</v>
      </c>
      <c r="AI785" s="5">
        <v>5</v>
      </c>
      <c r="AJ785" s="10" t="s">
        <v>4447</v>
      </c>
      <c r="AK785" s="10" t="s">
        <v>50</v>
      </c>
    </row>
    <row r="786" spans="1:37" ht="36.75" customHeight="1" x14ac:dyDescent="0.35">
      <c r="A786" s="5"/>
      <c r="B786" s="5" t="s">
        <v>37</v>
      </c>
      <c r="C786" s="73" t="str">
        <f t="shared" si="12"/>
        <v>Closed</v>
      </c>
      <c r="D786" s="45" t="s">
        <v>4448</v>
      </c>
      <c r="E786" s="54" t="s">
        <v>4449</v>
      </c>
      <c r="F786" s="5" t="s">
        <v>619</v>
      </c>
      <c r="G786" s="10">
        <f>DATE(2010,1,15)</f>
        <v>40193</v>
      </c>
      <c r="H786" s="35">
        <v>1.7680555555555557</v>
      </c>
      <c r="I786" s="5" t="s">
        <v>97</v>
      </c>
      <c r="J786" s="10" t="s">
        <v>4450</v>
      </c>
      <c r="K786" s="5" t="s">
        <v>621</v>
      </c>
      <c r="L786" s="5" t="s">
        <v>4451</v>
      </c>
      <c r="M786" s="5" t="s">
        <v>45</v>
      </c>
      <c r="N786" s="5">
        <v>0</v>
      </c>
      <c r="O786" s="5" t="s">
        <v>59</v>
      </c>
      <c r="P786" s="10" t="s">
        <v>47</v>
      </c>
      <c r="Q786" s="10" t="s">
        <v>623</v>
      </c>
      <c r="R786" s="10" t="s">
        <v>624</v>
      </c>
      <c r="S786" s="5">
        <v>0</v>
      </c>
      <c r="T786" s="37">
        <v>0</v>
      </c>
      <c r="U786" s="5">
        <v>1</v>
      </c>
      <c r="V786" s="37">
        <v>0</v>
      </c>
      <c r="W786" s="5">
        <v>0</v>
      </c>
      <c r="X786" s="5">
        <v>1</v>
      </c>
      <c r="Y786" s="5">
        <v>0</v>
      </c>
      <c r="Z786" s="37">
        <v>0</v>
      </c>
      <c r="AA786" s="5">
        <v>0</v>
      </c>
      <c r="AB786" s="5">
        <v>0</v>
      </c>
      <c r="AC786" s="5">
        <v>0</v>
      </c>
      <c r="AD786" s="5">
        <v>0</v>
      </c>
      <c r="AE786" s="10" t="s">
        <v>50</v>
      </c>
      <c r="AF786" s="10"/>
      <c r="AG786" s="10" t="s">
        <v>229</v>
      </c>
      <c r="AH786" s="10" t="s">
        <v>50</v>
      </c>
      <c r="AI786" s="5">
        <v>0</v>
      </c>
      <c r="AJ786" s="10" t="s">
        <v>1713</v>
      </c>
      <c r="AK786" s="10" t="s">
        <v>50</v>
      </c>
    </row>
    <row r="787" spans="1:37" ht="36.75" customHeight="1" x14ac:dyDescent="0.35">
      <c r="A787" s="5"/>
      <c r="B787" s="5" t="s">
        <v>37</v>
      </c>
      <c r="C787" s="73" t="str">
        <f t="shared" si="12"/>
        <v>Closed</v>
      </c>
      <c r="D787" s="45" t="s">
        <v>4452</v>
      </c>
      <c r="E787" s="54" t="s">
        <v>4453</v>
      </c>
      <c r="F787" s="5" t="s">
        <v>619</v>
      </c>
      <c r="G787" s="10">
        <f>DATE(2010,1,15)</f>
        <v>40193</v>
      </c>
      <c r="H787" s="35">
        <v>1.8791666666666669</v>
      </c>
      <c r="I787" s="5" t="s">
        <v>259</v>
      </c>
      <c r="J787" s="10" t="s">
        <v>4454</v>
      </c>
      <c r="K787" s="5" t="s">
        <v>621</v>
      </c>
      <c r="L787" s="5" t="s">
        <v>4455</v>
      </c>
      <c r="M787" s="5" t="s">
        <v>45</v>
      </c>
      <c r="N787" s="5">
        <v>0</v>
      </c>
      <c r="O787" s="5" t="s">
        <v>59</v>
      </c>
      <c r="P787" s="10" t="s">
        <v>146</v>
      </c>
      <c r="Q787" s="10" t="s">
        <v>623</v>
      </c>
      <c r="R787" s="10" t="s">
        <v>624</v>
      </c>
      <c r="S787" s="5">
        <v>0</v>
      </c>
      <c r="T787" s="37">
        <v>0</v>
      </c>
      <c r="U787" s="5">
        <v>0</v>
      </c>
      <c r="V787" s="37">
        <v>1</v>
      </c>
      <c r="W787" s="5">
        <v>0</v>
      </c>
      <c r="X787" s="5">
        <v>1</v>
      </c>
      <c r="Y787" s="5">
        <v>0</v>
      </c>
      <c r="Z787" s="37">
        <v>0</v>
      </c>
      <c r="AA787" s="5">
        <v>0</v>
      </c>
      <c r="AB787" s="5">
        <v>0</v>
      </c>
      <c r="AC787" s="5">
        <v>0</v>
      </c>
      <c r="AD787" s="5">
        <v>0</v>
      </c>
      <c r="AE787" s="10" t="s">
        <v>50</v>
      </c>
      <c r="AF787" s="10"/>
      <c r="AG787" s="10" t="s">
        <v>229</v>
      </c>
      <c r="AH787" s="10" t="s">
        <v>50</v>
      </c>
      <c r="AI787" s="5">
        <v>0</v>
      </c>
      <c r="AJ787" s="10" t="s">
        <v>4456</v>
      </c>
      <c r="AK787" s="10" t="s">
        <v>50</v>
      </c>
    </row>
    <row r="788" spans="1:37" ht="36.75" customHeight="1" x14ac:dyDescent="0.35">
      <c r="A788" s="5"/>
      <c r="B788" s="5" t="s">
        <v>37</v>
      </c>
      <c r="C788" s="73" t="str">
        <f t="shared" si="12"/>
        <v>Closed</v>
      </c>
      <c r="D788" s="45" t="s">
        <v>4457</v>
      </c>
      <c r="E788" s="54" t="s">
        <v>4458</v>
      </c>
      <c r="F788" s="5" t="s">
        <v>214</v>
      </c>
      <c r="G788" s="10">
        <f>DATE(2010,1,16)</f>
        <v>40194</v>
      </c>
      <c r="H788" s="35">
        <v>1.4375</v>
      </c>
      <c r="I788" s="5" t="s">
        <v>97</v>
      </c>
      <c r="J788" s="10" t="s">
        <v>4459</v>
      </c>
      <c r="K788" s="5" t="s">
        <v>216</v>
      </c>
      <c r="L788" s="5" t="s">
        <v>4460</v>
      </c>
      <c r="M788" s="5" t="s">
        <v>45</v>
      </c>
      <c r="N788" s="5">
        <v>0</v>
      </c>
      <c r="O788" s="5" t="s">
        <v>46</v>
      </c>
      <c r="P788" s="10" t="s">
        <v>146</v>
      </c>
      <c r="Q788" s="10" t="s">
        <v>2154</v>
      </c>
      <c r="R788" s="10" t="s">
        <v>219</v>
      </c>
      <c r="S788" s="5">
        <v>0</v>
      </c>
      <c r="T788" s="37">
        <v>0</v>
      </c>
      <c r="U788" s="5">
        <v>1</v>
      </c>
      <c r="V788" s="37">
        <v>0</v>
      </c>
      <c r="W788" s="5">
        <v>0</v>
      </c>
      <c r="X788" s="5">
        <v>1</v>
      </c>
      <c r="Y788" s="5">
        <v>0</v>
      </c>
      <c r="Z788" s="37">
        <v>0</v>
      </c>
      <c r="AA788" s="5">
        <v>1</v>
      </c>
      <c r="AB788" s="5">
        <v>0</v>
      </c>
      <c r="AC788" s="5">
        <v>0</v>
      </c>
      <c r="AD788" s="5">
        <v>1</v>
      </c>
      <c r="AE788" s="10" t="s">
        <v>50</v>
      </c>
      <c r="AF788" s="10"/>
      <c r="AG788" s="10" t="s">
        <v>64</v>
      </c>
      <c r="AH788" s="10" t="s">
        <v>50</v>
      </c>
      <c r="AI788" s="5">
        <v>4</v>
      </c>
      <c r="AJ788" s="10" t="s">
        <v>4461</v>
      </c>
      <c r="AK788" s="10" t="s">
        <v>4462</v>
      </c>
    </row>
    <row r="789" spans="1:37" ht="36.75" customHeight="1" x14ac:dyDescent="0.35">
      <c r="A789" s="5"/>
      <c r="B789" s="5" t="s">
        <v>37</v>
      </c>
      <c r="C789" s="73" t="str">
        <f t="shared" si="12"/>
        <v>Closed</v>
      </c>
      <c r="D789" s="45" t="s">
        <v>4463</v>
      </c>
      <c r="E789" s="54" t="s">
        <v>4464</v>
      </c>
      <c r="F789" s="5" t="s">
        <v>563</v>
      </c>
      <c r="G789" s="10">
        <f>DATE(2010,1,20)</f>
        <v>40198</v>
      </c>
      <c r="H789" s="35">
        <v>1.3194444444444444</v>
      </c>
      <c r="I789" s="5" t="s">
        <v>137</v>
      </c>
      <c r="J789" s="10" t="s">
        <v>4465</v>
      </c>
      <c r="K789" s="5" t="s">
        <v>565</v>
      </c>
      <c r="L789" s="5" t="s">
        <v>4466</v>
      </c>
      <c r="M789" s="5" t="s">
        <v>45</v>
      </c>
      <c r="N789" s="5">
        <v>0</v>
      </c>
      <c r="O789" s="5" t="s">
        <v>46</v>
      </c>
      <c r="P789" s="10" t="s">
        <v>146</v>
      </c>
      <c r="Q789" s="10" t="s">
        <v>4467</v>
      </c>
      <c r="R789" s="10" t="s">
        <v>568</v>
      </c>
      <c r="S789" s="5">
        <v>0</v>
      </c>
      <c r="T789" s="37">
        <v>0</v>
      </c>
      <c r="U789" s="5">
        <v>0</v>
      </c>
      <c r="V789" s="37">
        <v>0</v>
      </c>
      <c r="W789" s="5">
        <v>0</v>
      </c>
      <c r="X789" s="5">
        <v>0</v>
      </c>
      <c r="Y789" s="5">
        <v>2</v>
      </c>
      <c r="Z789" s="37">
        <v>1</v>
      </c>
      <c r="AA789" s="5">
        <v>0</v>
      </c>
      <c r="AB789" s="5">
        <v>0</v>
      </c>
      <c r="AC789" s="5">
        <v>0</v>
      </c>
      <c r="AD789" s="5">
        <v>3</v>
      </c>
      <c r="AE789" s="10" t="s">
        <v>50</v>
      </c>
      <c r="AF789" s="10"/>
      <c r="AG789" s="10" t="s">
        <v>114</v>
      </c>
      <c r="AH789" s="10" t="s">
        <v>50</v>
      </c>
      <c r="AI789" s="5">
        <v>1</v>
      </c>
      <c r="AJ789" s="10" t="s">
        <v>4468</v>
      </c>
      <c r="AK789" s="10" t="s">
        <v>1215</v>
      </c>
    </row>
    <row r="790" spans="1:37" ht="36.75" customHeight="1" x14ac:dyDescent="0.35">
      <c r="A790" s="5"/>
      <c r="B790" s="5" t="s">
        <v>37</v>
      </c>
      <c r="C790" s="73" t="str">
        <f t="shared" si="12"/>
        <v>Closed</v>
      </c>
      <c r="D790" s="45" t="s">
        <v>4469</v>
      </c>
      <c r="E790" s="54" t="s">
        <v>4470</v>
      </c>
      <c r="F790" s="5" t="s">
        <v>1919</v>
      </c>
      <c r="G790" s="10">
        <f>DATE(2010,1,20)</f>
        <v>40198</v>
      </c>
      <c r="H790" s="35">
        <v>1.6319444444444444</v>
      </c>
      <c r="I790" s="5" t="s">
        <v>55</v>
      </c>
      <c r="J790" s="10" t="s">
        <v>4471</v>
      </c>
      <c r="K790" s="5" t="s">
        <v>1921</v>
      </c>
      <c r="L790" s="5" t="s">
        <v>4472</v>
      </c>
      <c r="M790" s="5" t="s">
        <v>45</v>
      </c>
      <c r="N790" s="5">
        <v>0</v>
      </c>
      <c r="O790" s="5" t="s">
        <v>67</v>
      </c>
      <c r="P790" s="10" t="s">
        <v>47</v>
      </c>
      <c r="Q790" s="10" t="s">
        <v>1923</v>
      </c>
      <c r="R790" s="10" t="s">
        <v>1923</v>
      </c>
      <c r="S790" s="5">
        <v>0</v>
      </c>
      <c r="T790" s="37" t="s">
        <v>50</v>
      </c>
      <c r="U790" s="5">
        <v>0</v>
      </c>
      <c r="V790" s="37" t="s">
        <v>50</v>
      </c>
      <c r="W790" s="5">
        <v>0</v>
      </c>
      <c r="X790" s="5">
        <v>0</v>
      </c>
      <c r="Y790" s="5">
        <v>0</v>
      </c>
      <c r="Z790" s="37" t="s">
        <v>50</v>
      </c>
      <c r="AA790" s="5">
        <v>0</v>
      </c>
      <c r="AB790" s="5">
        <v>0</v>
      </c>
      <c r="AC790" s="5">
        <v>0</v>
      </c>
      <c r="AD790" s="5">
        <v>0</v>
      </c>
      <c r="AE790" s="10" t="s">
        <v>50</v>
      </c>
      <c r="AF790" s="10"/>
      <c r="AG790" s="10" t="s">
        <v>114</v>
      </c>
      <c r="AH790" s="10" t="s">
        <v>50</v>
      </c>
      <c r="AI790" s="5">
        <v>2</v>
      </c>
      <c r="AJ790" s="10" t="s">
        <v>4473</v>
      </c>
      <c r="AK790" s="10" t="s">
        <v>4474</v>
      </c>
    </row>
    <row r="791" spans="1:37" ht="36.75" customHeight="1" x14ac:dyDescent="0.35">
      <c r="A791" s="5"/>
      <c r="B791" s="5" t="s">
        <v>37</v>
      </c>
      <c r="C791" s="73" t="str">
        <f t="shared" si="12"/>
        <v>Closed</v>
      </c>
      <c r="D791" s="45" t="s">
        <v>4475</v>
      </c>
      <c r="E791" s="54" t="s">
        <v>4476</v>
      </c>
      <c r="F791" s="5" t="s">
        <v>404</v>
      </c>
      <c r="G791" s="10">
        <f>DATE(2010,1,21)</f>
        <v>40199</v>
      </c>
      <c r="H791" s="35">
        <v>1.9965277777777777</v>
      </c>
      <c r="I791" s="5" t="s">
        <v>55</v>
      </c>
      <c r="J791" s="10" t="s">
        <v>4477</v>
      </c>
      <c r="K791" s="5" t="s">
        <v>406</v>
      </c>
      <c r="L791" s="5" t="s">
        <v>4478</v>
      </c>
      <c r="M791" s="5" t="s">
        <v>45</v>
      </c>
      <c r="N791" s="5">
        <v>0</v>
      </c>
      <c r="O791" s="5" t="s">
        <v>46</v>
      </c>
      <c r="P791" s="10" t="s">
        <v>60</v>
      </c>
      <c r="Q791" s="10" t="s">
        <v>2562</v>
      </c>
      <c r="R791" s="10" t="s">
        <v>3083</v>
      </c>
      <c r="S791" s="5">
        <v>0</v>
      </c>
      <c r="T791" s="37" t="s">
        <v>50</v>
      </c>
      <c r="U791" s="5">
        <v>0</v>
      </c>
      <c r="V791" s="37" t="s">
        <v>50</v>
      </c>
      <c r="W791" s="5">
        <v>0</v>
      </c>
      <c r="X791" s="5">
        <v>0</v>
      </c>
      <c r="Y791" s="5">
        <v>0</v>
      </c>
      <c r="Z791" s="37" t="s">
        <v>50</v>
      </c>
      <c r="AA791" s="5">
        <v>0</v>
      </c>
      <c r="AB791" s="5">
        <v>0</v>
      </c>
      <c r="AC791" s="5">
        <v>0</v>
      </c>
      <c r="AD791" s="5">
        <v>0</v>
      </c>
      <c r="AE791" s="10" t="s">
        <v>50</v>
      </c>
      <c r="AF791" s="10"/>
      <c r="AG791" s="10" t="s">
        <v>333</v>
      </c>
      <c r="AH791" s="10" t="s">
        <v>50</v>
      </c>
      <c r="AI791" s="5">
        <v>0</v>
      </c>
      <c r="AJ791" s="10" t="s">
        <v>4479</v>
      </c>
      <c r="AK791" s="10" t="s">
        <v>2328</v>
      </c>
    </row>
    <row r="792" spans="1:37" ht="36.75" customHeight="1" x14ac:dyDescent="0.35">
      <c r="A792" s="5"/>
      <c r="B792" s="5" t="s">
        <v>37</v>
      </c>
      <c r="C792" s="73" t="str">
        <f t="shared" si="12"/>
        <v>Closed</v>
      </c>
      <c r="D792" s="45" t="s">
        <v>4480</v>
      </c>
      <c r="E792" s="54" t="s">
        <v>4481</v>
      </c>
      <c r="F792" s="5" t="s">
        <v>1730</v>
      </c>
      <c r="G792" s="10">
        <f>DATE(2010,1,21)</f>
        <v>40199</v>
      </c>
      <c r="H792" s="35">
        <v>1.4145833333333333</v>
      </c>
      <c r="I792" s="5" t="s">
        <v>97</v>
      </c>
      <c r="J792" s="10" t="s">
        <v>4482</v>
      </c>
      <c r="K792" s="5" t="s">
        <v>1732</v>
      </c>
      <c r="L792" s="5" t="s">
        <v>4483</v>
      </c>
      <c r="M792" s="5" t="s">
        <v>45</v>
      </c>
      <c r="N792" s="5">
        <v>0</v>
      </c>
      <c r="O792" s="5" t="s">
        <v>46</v>
      </c>
      <c r="P792" s="10" t="s">
        <v>67</v>
      </c>
      <c r="Q792" s="10" t="s">
        <v>1734</v>
      </c>
      <c r="R792" s="10" t="s">
        <v>3599</v>
      </c>
      <c r="S792" s="5">
        <v>0</v>
      </c>
      <c r="T792" s="37">
        <v>0</v>
      </c>
      <c r="U792" s="5">
        <v>1</v>
      </c>
      <c r="V792" s="37">
        <v>0</v>
      </c>
      <c r="W792" s="5">
        <v>0</v>
      </c>
      <c r="X792" s="5">
        <v>1</v>
      </c>
      <c r="Y792" s="5">
        <v>0</v>
      </c>
      <c r="Z792" s="37">
        <v>0</v>
      </c>
      <c r="AA792" s="5">
        <v>0</v>
      </c>
      <c r="AB792" s="5">
        <v>0</v>
      </c>
      <c r="AC792" s="5">
        <v>0</v>
      </c>
      <c r="AD792" s="5">
        <v>0</v>
      </c>
      <c r="AE792" s="10" t="s">
        <v>50</v>
      </c>
      <c r="AF792" s="10"/>
      <c r="AG792" s="10" t="s">
        <v>229</v>
      </c>
      <c r="AH792" s="10" t="s">
        <v>50</v>
      </c>
      <c r="AI792" s="5">
        <v>2</v>
      </c>
      <c r="AJ792" s="10" t="s">
        <v>4484</v>
      </c>
      <c r="AK792" s="10" t="s">
        <v>50</v>
      </c>
    </row>
    <row r="793" spans="1:37" ht="36.75" customHeight="1" x14ac:dyDescent="0.35">
      <c r="A793" s="5"/>
      <c r="B793" s="5" t="s">
        <v>37</v>
      </c>
      <c r="C793" s="73" t="str">
        <f t="shared" si="12"/>
        <v>Closed</v>
      </c>
      <c r="D793" s="45" t="s">
        <v>4485</v>
      </c>
      <c r="E793" s="54" t="s">
        <v>4486</v>
      </c>
      <c r="F793" s="5" t="s">
        <v>1553</v>
      </c>
      <c r="G793" s="10">
        <f>DATE(2010,1,25)</f>
        <v>40203</v>
      </c>
      <c r="H793" s="35">
        <v>1.3125</v>
      </c>
      <c r="I793" s="5" t="s">
        <v>55</v>
      </c>
      <c r="J793" s="10" t="s">
        <v>4487</v>
      </c>
      <c r="K793" s="5" t="s">
        <v>1555</v>
      </c>
      <c r="L793" s="5" t="s">
        <v>4488</v>
      </c>
      <c r="M793" s="5" t="s">
        <v>45</v>
      </c>
      <c r="N793" s="5">
        <v>0</v>
      </c>
      <c r="O793" s="5" t="s">
        <v>46</v>
      </c>
      <c r="P793" s="10" t="s">
        <v>146</v>
      </c>
      <c r="Q793" s="10" t="s">
        <v>2393</v>
      </c>
      <c r="R793" s="10">
        <v>0</v>
      </c>
      <c r="S793" s="5">
        <v>0</v>
      </c>
      <c r="T793" s="37" t="s">
        <v>50</v>
      </c>
      <c r="U793" s="5">
        <v>0</v>
      </c>
      <c r="V793" s="37" t="s">
        <v>50</v>
      </c>
      <c r="W793" s="5">
        <v>0</v>
      </c>
      <c r="X793" s="5">
        <v>0</v>
      </c>
      <c r="Y793" s="5">
        <v>0</v>
      </c>
      <c r="Z793" s="37" t="s">
        <v>50</v>
      </c>
      <c r="AA793" s="5">
        <v>0</v>
      </c>
      <c r="AB793" s="5">
        <v>0</v>
      </c>
      <c r="AC793" s="5">
        <v>0</v>
      </c>
      <c r="AD793" s="5">
        <v>0</v>
      </c>
      <c r="AE793" s="10" t="s">
        <v>50</v>
      </c>
      <c r="AF793" s="10"/>
      <c r="AG793" s="10" t="s">
        <v>333</v>
      </c>
      <c r="AH793" s="10" t="s">
        <v>50</v>
      </c>
      <c r="AI793" s="5">
        <v>2</v>
      </c>
      <c r="AJ793" s="10" t="s">
        <v>4489</v>
      </c>
      <c r="AK793" s="10" t="s">
        <v>4490</v>
      </c>
    </row>
    <row r="794" spans="1:37" ht="36.75" customHeight="1" x14ac:dyDescent="0.35">
      <c r="A794" s="5"/>
      <c r="B794" s="5" t="s">
        <v>37</v>
      </c>
      <c r="C794" s="73" t="str">
        <f t="shared" si="12"/>
        <v>Closed</v>
      </c>
      <c r="D794" s="45" t="s">
        <v>4491</v>
      </c>
      <c r="E794" s="54" t="s">
        <v>4492</v>
      </c>
      <c r="F794" s="5" t="s">
        <v>105</v>
      </c>
      <c r="G794" s="10">
        <f>DATE(2010,1,26)</f>
        <v>40204</v>
      </c>
      <c r="H794" s="35">
        <v>1.9756944444444446</v>
      </c>
      <c r="I794" s="5" t="s">
        <v>106</v>
      </c>
      <c r="J794" s="10" t="s">
        <v>4493</v>
      </c>
      <c r="K794" s="5" t="s">
        <v>108</v>
      </c>
      <c r="L794" s="5" t="s">
        <v>4494</v>
      </c>
      <c r="M794" s="5" t="s">
        <v>110</v>
      </c>
      <c r="N794" s="5">
        <v>0</v>
      </c>
      <c r="O794" s="5" t="s">
        <v>46</v>
      </c>
      <c r="P794" s="10" t="s">
        <v>146</v>
      </c>
      <c r="Q794" s="10" t="s">
        <v>111</v>
      </c>
      <c r="R794" s="10" t="s">
        <v>112</v>
      </c>
      <c r="S794" s="5">
        <v>0</v>
      </c>
      <c r="T794" s="37" t="s">
        <v>50</v>
      </c>
      <c r="U794" s="5">
        <v>0</v>
      </c>
      <c r="V794" s="37" t="s">
        <v>50</v>
      </c>
      <c r="W794" s="5">
        <v>0</v>
      </c>
      <c r="X794" s="5">
        <v>0</v>
      </c>
      <c r="Y794" s="5">
        <v>0</v>
      </c>
      <c r="Z794" s="37" t="s">
        <v>50</v>
      </c>
      <c r="AA794" s="5">
        <v>0</v>
      </c>
      <c r="AB794" s="5">
        <v>0</v>
      </c>
      <c r="AC794" s="5">
        <v>0</v>
      </c>
      <c r="AD794" s="5">
        <v>0</v>
      </c>
      <c r="AE794" s="10" t="s">
        <v>50</v>
      </c>
      <c r="AF794" s="10"/>
      <c r="AG794" s="10" t="s">
        <v>348</v>
      </c>
      <c r="AH794" s="10" t="s">
        <v>50</v>
      </c>
      <c r="AI794" s="5">
        <v>1</v>
      </c>
      <c r="AJ794" s="10" t="s">
        <v>50</v>
      </c>
      <c r="AK794" s="10" t="s">
        <v>50</v>
      </c>
    </row>
    <row r="795" spans="1:37" ht="36.75" customHeight="1" x14ac:dyDescent="0.35">
      <c r="A795" s="5"/>
      <c r="B795" s="5" t="s">
        <v>37</v>
      </c>
      <c r="C795" s="73" t="str">
        <f t="shared" si="12"/>
        <v>Closed</v>
      </c>
      <c r="D795" s="45" t="s">
        <v>4495</v>
      </c>
      <c r="E795" s="54" t="s">
        <v>4496</v>
      </c>
      <c r="F795" s="5" t="s">
        <v>1553</v>
      </c>
      <c r="G795" s="10">
        <f>DATE(2010,1,26)</f>
        <v>40204</v>
      </c>
      <c r="H795" s="35">
        <v>1.211111111111111</v>
      </c>
      <c r="I795" s="5" t="s">
        <v>55</v>
      </c>
      <c r="J795" s="10" t="s">
        <v>4497</v>
      </c>
      <c r="K795" s="5" t="s">
        <v>1555</v>
      </c>
      <c r="L795" s="5" t="s">
        <v>4498</v>
      </c>
      <c r="M795" s="5" t="s">
        <v>45</v>
      </c>
      <c r="N795" s="5">
        <v>0</v>
      </c>
      <c r="O795" s="5" t="s">
        <v>59</v>
      </c>
      <c r="P795" s="10" t="s">
        <v>146</v>
      </c>
      <c r="Q795" s="10" t="s">
        <v>2393</v>
      </c>
      <c r="R795" s="10">
        <v>0</v>
      </c>
      <c r="S795" s="5">
        <v>0</v>
      </c>
      <c r="T795" s="37" t="s">
        <v>50</v>
      </c>
      <c r="U795" s="5">
        <v>0</v>
      </c>
      <c r="V795" s="37" t="s">
        <v>50</v>
      </c>
      <c r="W795" s="5">
        <v>0</v>
      </c>
      <c r="X795" s="5">
        <v>0</v>
      </c>
      <c r="Y795" s="5">
        <v>0</v>
      </c>
      <c r="Z795" s="37" t="s">
        <v>50</v>
      </c>
      <c r="AA795" s="5">
        <v>0</v>
      </c>
      <c r="AB795" s="5">
        <v>0</v>
      </c>
      <c r="AC795" s="5">
        <v>0</v>
      </c>
      <c r="AD795" s="5">
        <v>0</v>
      </c>
      <c r="AE795" s="10" t="s">
        <v>50</v>
      </c>
      <c r="AF795" s="10"/>
      <c r="AG795" s="10" t="s">
        <v>333</v>
      </c>
      <c r="AH795" s="10" t="s">
        <v>50</v>
      </c>
      <c r="AI795" s="5">
        <v>2</v>
      </c>
      <c r="AJ795" s="10" t="s">
        <v>4499</v>
      </c>
      <c r="AK795" s="10" t="s">
        <v>4490</v>
      </c>
    </row>
    <row r="796" spans="1:37" ht="36.75" customHeight="1" x14ac:dyDescent="0.35">
      <c r="A796" s="5"/>
      <c r="B796" s="5" t="s">
        <v>37</v>
      </c>
      <c r="C796" s="73" t="str">
        <f t="shared" si="12"/>
        <v>Closed</v>
      </c>
      <c r="D796" s="45" t="s">
        <v>4500</v>
      </c>
      <c r="E796" s="54" t="s">
        <v>4501</v>
      </c>
      <c r="F796" s="5" t="s">
        <v>1553</v>
      </c>
      <c r="G796" s="10">
        <f>DATE(2010,1,26)</f>
        <v>40204</v>
      </c>
      <c r="H796" s="35">
        <v>1.598611111111111</v>
      </c>
      <c r="I796" s="5" t="s">
        <v>55</v>
      </c>
      <c r="J796" s="10" t="s">
        <v>4502</v>
      </c>
      <c r="K796" s="5" t="s">
        <v>1555</v>
      </c>
      <c r="L796" s="5" t="s">
        <v>4503</v>
      </c>
      <c r="M796" s="5" t="s">
        <v>45</v>
      </c>
      <c r="N796" s="5">
        <v>0</v>
      </c>
      <c r="O796" s="5" t="s">
        <v>46</v>
      </c>
      <c r="P796" s="10" t="s">
        <v>146</v>
      </c>
      <c r="Q796" s="10" t="s">
        <v>2393</v>
      </c>
      <c r="R796" s="10">
        <v>0</v>
      </c>
      <c r="S796" s="5">
        <v>0</v>
      </c>
      <c r="T796" s="37" t="s">
        <v>50</v>
      </c>
      <c r="U796" s="5">
        <v>0</v>
      </c>
      <c r="V796" s="37" t="s">
        <v>50</v>
      </c>
      <c r="W796" s="5">
        <v>0</v>
      </c>
      <c r="X796" s="5">
        <v>0</v>
      </c>
      <c r="Y796" s="5">
        <v>0</v>
      </c>
      <c r="Z796" s="37" t="s">
        <v>50</v>
      </c>
      <c r="AA796" s="5">
        <v>0</v>
      </c>
      <c r="AB796" s="5">
        <v>0</v>
      </c>
      <c r="AC796" s="5">
        <v>0</v>
      </c>
      <c r="AD796" s="5">
        <v>0</v>
      </c>
      <c r="AE796" s="10" t="s">
        <v>50</v>
      </c>
      <c r="AF796" s="10"/>
      <c r="AG796" s="10" t="s">
        <v>333</v>
      </c>
      <c r="AH796" s="10" t="s">
        <v>50</v>
      </c>
      <c r="AI796" s="5">
        <v>2</v>
      </c>
      <c r="AJ796" s="10" t="s">
        <v>4504</v>
      </c>
      <c r="AK796" s="10" t="s">
        <v>4490</v>
      </c>
    </row>
    <row r="797" spans="1:37" ht="36.75" customHeight="1" x14ac:dyDescent="0.35">
      <c r="A797" s="5"/>
      <c r="B797" s="5" t="s">
        <v>37</v>
      </c>
      <c r="C797" s="73" t="str">
        <f t="shared" si="12"/>
        <v>Closed</v>
      </c>
      <c r="D797" s="45" t="s">
        <v>4505</v>
      </c>
      <c r="E797" s="54" t="s">
        <v>4506</v>
      </c>
      <c r="F797" s="5" t="s">
        <v>3128</v>
      </c>
      <c r="G797" s="10">
        <f>DATE(2010,1,27)</f>
        <v>40205</v>
      </c>
      <c r="H797" s="35">
        <v>1.8645833333333335</v>
      </c>
      <c r="I797" s="5" t="s">
        <v>97</v>
      </c>
      <c r="J797" s="10" t="s">
        <v>4507</v>
      </c>
      <c r="K797" s="5" t="s">
        <v>3130</v>
      </c>
      <c r="L797" s="5" t="s">
        <v>4508</v>
      </c>
      <c r="M797" s="5" t="s">
        <v>45</v>
      </c>
      <c r="N797" s="5">
        <v>0</v>
      </c>
      <c r="O797" s="5" t="s">
        <v>59</v>
      </c>
      <c r="P797" s="10" t="s">
        <v>362</v>
      </c>
      <c r="Q797" s="10" t="s">
        <v>4509</v>
      </c>
      <c r="R797" s="10" t="s">
        <v>3133</v>
      </c>
      <c r="S797" s="5">
        <v>0</v>
      </c>
      <c r="T797" s="37">
        <v>0</v>
      </c>
      <c r="U797" s="5">
        <v>0</v>
      </c>
      <c r="V797" s="37">
        <v>0</v>
      </c>
      <c r="W797" s="5">
        <v>0</v>
      </c>
      <c r="X797" s="5">
        <v>0</v>
      </c>
      <c r="Y797" s="5">
        <v>0</v>
      </c>
      <c r="Z797" s="37">
        <v>0</v>
      </c>
      <c r="AA797" s="5">
        <v>0</v>
      </c>
      <c r="AB797" s="5">
        <v>0</v>
      </c>
      <c r="AC797" s="5">
        <v>0</v>
      </c>
      <c r="AD797" s="5">
        <v>0</v>
      </c>
      <c r="AE797" s="10" t="s">
        <v>50</v>
      </c>
      <c r="AF797" s="10"/>
      <c r="AG797" s="10" t="s">
        <v>376</v>
      </c>
      <c r="AH797" s="10" t="s">
        <v>50</v>
      </c>
      <c r="AI797" s="5">
        <v>4</v>
      </c>
      <c r="AJ797" s="10" t="s">
        <v>50</v>
      </c>
      <c r="AK797" s="10" t="s">
        <v>50</v>
      </c>
    </row>
    <row r="798" spans="1:37" ht="36.75" customHeight="1" x14ac:dyDescent="0.35">
      <c r="A798" s="5"/>
      <c r="B798" s="5" t="s">
        <v>37</v>
      </c>
      <c r="C798" s="73" t="str">
        <f t="shared" si="12"/>
        <v>Closed</v>
      </c>
      <c r="D798" s="45" t="s">
        <v>4510</v>
      </c>
      <c r="E798" s="54" t="s">
        <v>4511</v>
      </c>
      <c r="F798" s="5" t="s">
        <v>178</v>
      </c>
      <c r="G798" s="10">
        <f>DATE(2010,1,28)</f>
        <v>40206</v>
      </c>
      <c r="H798" s="35">
        <v>1.5055555555555555</v>
      </c>
      <c r="I798" s="5" t="s">
        <v>137</v>
      </c>
      <c r="J798" s="10" t="s">
        <v>4512</v>
      </c>
      <c r="K798" s="5" t="s">
        <v>181</v>
      </c>
      <c r="L798" s="5" t="s">
        <v>4513</v>
      </c>
      <c r="M798" s="5" t="s">
        <v>45</v>
      </c>
      <c r="N798" s="5">
        <v>0</v>
      </c>
      <c r="O798" s="5" t="s">
        <v>46</v>
      </c>
      <c r="P798" s="10" t="s">
        <v>443</v>
      </c>
      <c r="Q798" s="10" t="s">
        <v>183</v>
      </c>
      <c r="R798" s="10" t="s">
        <v>184</v>
      </c>
      <c r="S798" s="5">
        <v>0</v>
      </c>
      <c r="T798" s="37">
        <v>0</v>
      </c>
      <c r="U798" s="5">
        <v>0</v>
      </c>
      <c r="V798" s="37">
        <v>0</v>
      </c>
      <c r="W798" s="5">
        <v>0</v>
      </c>
      <c r="X798" s="5">
        <v>0</v>
      </c>
      <c r="Y798" s="5">
        <v>0</v>
      </c>
      <c r="Z798" s="37">
        <v>0</v>
      </c>
      <c r="AA798" s="5">
        <v>0</v>
      </c>
      <c r="AB798" s="5">
        <v>0</v>
      </c>
      <c r="AC798" s="5">
        <v>0</v>
      </c>
      <c r="AD798" s="5">
        <v>0</v>
      </c>
      <c r="AE798" s="10" t="s">
        <v>50</v>
      </c>
      <c r="AF798" s="10"/>
      <c r="AG798" s="10" t="s">
        <v>1489</v>
      </c>
      <c r="AH798" s="10" t="s">
        <v>50</v>
      </c>
      <c r="AI798" s="5">
        <v>4</v>
      </c>
      <c r="AJ798" s="10" t="s">
        <v>4514</v>
      </c>
      <c r="AK798" s="10" t="s">
        <v>4515</v>
      </c>
    </row>
    <row r="799" spans="1:37" ht="36.75" customHeight="1" x14ac:dyDescent="0.35">
      <c r="A799" s="5"/>
      <c r="B799" s="5" t="s">
        <v>37</v>
      </c>
      <c r="C799" s="73" t="str">
        <f t="shared" si="12"/>
        <v>Closed</v>
      </c>
      <c r="D799" s="45" t="s">
        <v>4516</v>
      </c>
      <c r="E799" s="54" t="s">
        <v>4517</v>
      </c>
      <c r="F799" s="5" t="s">
        <v>105</v>
      </c>
      <c r="G799" s="10">
        <f>DATE(2010,1,28)</f>
        <v>40206</v>
      </c>
      <c r="H799" s="35">
        <v>1.1479166666666667</v>
      </c>
      <c r="I799" s="5" t="s">
        <v>137</v>
      </c>
      <c r="J799" s="10" t="s">
        <v>4518</v>
      </c>
      <c r="K799" s="5" t="s">
        <v>108</v>
      </c>
      <c r="L799" s="5" t="s">
        <v>4519</v>
      </c>
      <c r="M799" s="5" t="s">
        <v>45</v>
      </c>
      <c r="N799" s="5">
        <v>0</v>
      </c>
      <c r="O799" s="5" t="s">
        <v>71</v>
      </c>
      <c r="P799" s="10" t="s">
        <v>72</v>
      </c>
      <c r="Q799" s="10" t="s">
        <v>382</v>
      </c>
      <c r="R799" s="10" t="s">
        <v>4520</v>
      </c>
      <c r="S799" s="5">
        <v>0</v>
      </c>
      <c r="T799" s="37" t="s">
        <v>50</v>
      </c>
      <c r="U799" s="5">
        <v>0</v>
      </c>
      <c r="V799" s="37" t="s">
        <v>50</v>
      </c>
      <c r="W799" s="5">
        <v>0</v>
      </c>
      <c r="X799" s="5">
        <v>0</v>
      </c>
      <c r="Y799" s="5">
        <v>0</v>
      </c>
      <c r="Z799" s="37" t="s">
        <v>50</v>
      </c>
      <c r="AA799" s="5">
        <v>0</v>
      </c>
      <c r="AB799" s="5">
        <v>0</v>
      </c>
      <c r="AC799" s="5">
        <v>0</v>
      </c>
      <c r="AD799" s="5">
        <v>0</v>
      </c>
      <c r="AE799" s="10" t="s">
        <v>50</v>
      </c>
      <c r="AF799" s="10"/>
      <c r="AG799" s="10" t="s">
        <v>114</v>
      </c>
      <c r="AH799" s="10" t="s">
        <v>50</v>
      </c>
      <c r="AI799" s="5">
        <v>1</v>
      </c>
      <c r="AJ799" s="10" t="s">
        <v>50</v>
      </c>
      <c r="AK799" s="10" t="s">
        <v>50</v>
      </c>
    </row>
    <row r="800" spans="1:37" ht="36.75" customHeight="1" x14ac:dyDescent="0.35">
      <c r="A800" s="5"/>
      <c r="B800" s="5" t="s">
        <v>37</v>
      </c>
      <c r="C800" s="73" t="str">
        <f t="shared" si="12"/>
        <v>Closed</v>
      </c>
      <c r="D800" s="45" t="s">
        <v>4521</v>
      </c>
      <c r="E800" s="54" t="s">
        <v>4522</v>
      </c>
      <c r="F800" s="5" t="s">
        <v>178</v>
      </c>
      <c r="G800" s="10">
        <f>DATE(2010,1,29)</f>
        <v>40207</v>
      </c>
      <c r="H800" s="35">
        <v>1.175</v>
      </c>
      <c r="I800" s="5" t="s">
        <v>55</v>
      </c>
      <c r="J800" s="10" t="s">
        <v>4523</v>
      </c>
      <c r="K800" s="5" t="s">
        <v>181</v>
      </c>
      <c r="L800" s="5" t="s">
        <v>4524</v>
      </c>
      <c r="M800" s="5" t="s">
        <v>45</v>
      </c>
      <c r="N800" s="5">
        <v>0</v>
      </c>
      <c r="O800" s="5" t="s">
        <v>46</v>
      </c>
      <c r="P800" s="10" t="s">
        <v>60</v>
      </c>
      <c r="Q800" s="10" t="s">
        <v>1697</v>
      </c>
      <c r="R800" s="10" t="s">
        <v>184</v>
      </c>
      <c r="S800" s="5">
        <v>0</v>
      </c>
      <c r="T800" s="37">
        <v>0</v>
      </c>
      <c r="U800" s="5">
        <v>0</v>
      </c>
      <c r="V800" s="37">
        <v>0</v>
      </c>
      <c r="W800" s="5">
        <v>0</v>
      </c>
      <c r="X800" s="5">
        <v>0</v>
      </c>
      <c r="Y800" s="5">
        <v>0</v>
      </c>
      <c r="Z800" s="37">
        <v>0</v>
      </c>
      <c r="AA800" s="5">
        <v>0</v>
      </c>
      <c r="AB800" s="5">
        <v>0</v>
      </c>
      <c r="AC800" s="5">
        <v>0</v>
      </c>
      <c r="AD800" s="5">
        <v>0</v>
      </c>
      <c r="AE800" s="10" t="s">
        <v>50</v>
      </c>
      <c r="AF800" s="10"/>
      <c r="AG800" s="10" t="s">
        <v>333</v>
      </c>
      <c r="AH800" s="10" t="s">
        <v>50</v>
      </c>
      <c r="AI800" s="5">
        <v>6</v>
      </c>
      <c r="AJ800" s="10" t="s">
        <v>4525</v>
      </c>
      <c r="AK800" s="10" t="s">
        <v>4526</v>
      </c>
    </row>
    <row r="801" spans="1:37" ht="36.75" customHeight="1" x14ac:dyDescent="0.35">
      <c r="A801" s="5"/>
      <c r="B801" s="5" t="s">
        <v>37</v>
      </c>
      <c r="C801" s="73" t="str">
        <f t="shared" si="12"/>
        <v>Closed</v>
      </c>
      <c r="D801" s="45" t="s">
        <v>4527</v>
      </c>
      <c r="E801" s="54" t="s">
        <v>4528</v>
      </c>
      <c r="F801" s="5" t="s">
        <v>404</v>
      </c>
      <c r="G801" s="10">
        <f>DATE(2010,1,29)</f>
        <v>40207</v>
      </c>
      <c r="H801" s="35">
        <v>1.1770833333333333</v>
      </c>
      <c r="I801" s="5" t="s">
        <v>97</v>
      </c>
      <c r="J801" s="10" t="s">
        <v>4529</v>
      </c>
      <c r="K801" s="5" t="s">
        <v>406</v>
      </c>
      <c r="L801" s="5" t="s">
        <v>4530</v>
      </c>
      <c r="M801" s="5" t="s">
        <v>45</v>
      </c>
      <c r="N801" s="5">
        <v>0</v>
      </c>
      <c r="O801" s="5" t="s">
        <v>59</v>
      </c>
      <c r="P801" s="10" t="s">
        <v>146</v>
      </c>
      <c r="Q801" s="10" t="s">
        <v>4531</v>
      </c>
      <c r="R801" s="10" t="s">
        <v>3083</v>
      </c>
      <c r="S801" s="5">
        <v>0</v>
      </c>
      <c r="T801" s="37" t="s">
        <v>50</v>
      </c>
      <c r="U801" s="5">
        <v>0</v>
      </c>
      <c r="V801" s="37" t="s">
        <v>50</v>
      </c>
      <c r="W801" s="5">
        <v>0</v>
      </c>
      <c r="X801" s="5">
        <v>0</v>
      </c>
      <c r="Y801" s="5">
        <v>0</v>
      </c>
      <c r="Z801" s="37" t="s">
        <v>50</v>
      </c>
      <c r="AA801" s="5">
        <v>0</v>
      </c>
      <c r="AB801" s="5">
        <v>0</v>
      </c>
      <c r="AC801" s="5">
        <v>0</v>
      </c>
      <c r="AD801" s="5">
        <v>0</v>
      </c>
      <c r="AE801" s="10" t="s">
        <v>50</v>
      </c>
      <c r="AF801" s="10"/>
      <c r="AG801" s="10" t="s">
        <v>333</v>
      </c>
      <c r="AH801" s="10" t="s">
        <v>50</v>
      </c>
      <c r="AI801" s="5">
        <v>0</v>
      </c>
      <c r="AJ801" s="10" t="s">
        <v>4532</v>
      </c>
      <c r="AK801" s="10" t="s">
        <v>2328</v>
      </c>
    </row>
    <row r="802" spans="1:37" ht="36.75" customHeight="1" x14ac:dyDescent="0.35">
      <c r="A802" s="5"/>
      <c r="B802" s="5" t="s">
        <v>37</v>
      </c>
      <c r="C802" s="73" t="str">
        <f t="shared" si="12"/>
        <v>Closed</v>
      </c>
      <c r="D802" s="45" t="s">
        <v>4533</v>
      </c>
      <c r="E802" s="54" t="s">
        <v>4534</v>
      </c>
      <c r="F802" s="5" t="s">
        <v>2316</v>
      </c>
      <c r="G802" s="10">
        <f>DATE(2010,1,29)</f>
        <v>40207</v>
      </c>
      <c r="H802" s="35">
        <v>1.3541666666666667</v>
      </c>
      <c r="I802" s="5" t="s">
        <v>259</v>
      </c>
      <c r="J802" s="10" t="s">
        <v>4535</v>
      </c>
      <c r="K802" s="5" t="s">
        <v>2318</v>
      </c>
      <c r="L802" s="5" t="s">
        <v>4536</v>
      </c>
      <c r="M802" s="5" t="s">
        <v>45</v>
      </c>
      <c r="N802" s="5">
        <v>0</v>
      </c>
      <c r="O802" s="5" t="s">
        <v>59</v>
      </c>
      <c r="P802" s="10" t="s">
        <v>60</v>
      </c>
      <c r="Q802" s="10" t="s">
        <v>2955</v>
      </c>
      <c r="R802" s="10" t="s">
        <v>2321</v>
      </c>
      <c r="S802" s="5">
        <v>0</v>
      </c>
      <c r="T802" s="37">
        <v>1</v>
      </c>
      <c r="U802" s="5">
        <v>0</v>
      </c>
      <c r="V802" s="37">
        <v>0</v>
      </c>
      <c r="W802" s="5">
        <v>0</v>
      </c>
      <c r="X802" s="5">
        <v>1</v>
      </c>
      <c r="Y802" s="5">
        <v>0</v>
      </c>
      <c r="Z802" s="37">
        <v>0</v>
      </c>
      <c r="AA802" s="5">
        <v>0</v>
      </c>
      <c r="AB802" s="5">
        <v>0</v>
      </c>
      <c r="AC802" s="5">
        <v>0</v>
      </c>
      <c r="AD802" s="5">
        <v>0</v>
      </c>
      <c r="AE802" s="10" t="s">
        <v>50</v>
      </c>
      <c r="AF802" s="10"/>
      <c r="AG802" s="10" t="s">
        <v>64</v>
      </c>
      <c r="AH802" s="10" t="s">
        <v>50</v>
      </c>
      <c r="AI802" s="5">
        <v>9</v>
      </c>
      <c r="AJ802" s="10" t="s">
        <v>4537</v>
      </c>
      <c r="AK802" s="10" t="s">
        <v>4538</v>
      </c>
    </row>
    <row r="803" spans="1:37" ht="36.75" customHeight="1" x14ac:dyDescent="0.35">
      <c r="A803" s="5"/>
      <c r="B803" s="5" t="s">
        <v>37</v>
      </c>
      <c r="C803" s="73" t="str">
        <f t="shared" si="12"/>
        <v>Closed</v>
      </c>
      <c r="D803" s="45" t="s">
        <v>4539</v>
      </c>
      <c r="E803" s="54" t="s">
        <v>4540</v>
      </c>
      <c r="F803" s="5" t="s">
        <v>105</v>
      </c>
      <c r="G803" s="10">
        <f>DATE(2010,1,31)</f>
        <v>40209</v>
      </c>
      <c r="H803" s="35">
        <v>1.6347222222222222</v>
      </c>
      <c r="I803" s="5" t="s">
        <v>55</v>
      </c>
      <c r="J803" s="10" t="s">
        <v>4541</v>
      </c>
      <c r="K803" s="5" t="s">
        <v>108</v>
      </c>
      <c r="L803" s="5" t="s">
        <v>4542</v>
      </c>
      <c r="M803" s="5" t="s">
        <v>45</v>
      </c>
      <c r="N803" s="5">
        <v>0</v>
      </c>
      <c r="O803" s="5" t="s">
        <v>59</v>
      </c>
      <c r="P803" s="10" t="s">
        <v>60</v>
      </c>
      <c r="Q803" s="10" t="s">
        <v>382</v>
      </c>
      <c r="R803" s="10" t="s">
        <v>148</v>
      </c>
      <c r="S803" s="5">
        <v>0</v>
      </c>
      <c r="T803" s="37" t="s">
        <v>50</v>
      </c>
      <c r="U803" s="5">
        <v>0</v>
      </c>
      <c r="V803" s="37" t="s">
        <v>50</v>
      </c>
      <c r="W803" s="5">
        <v>0</v>
      </c>
      <c r="X803" s="5">
        <v>0</v>
      </c>
      <c r="Y803" s="5">
        <v>0</v>
      </c>
      <c r="Z803" s="37" t="s">
        <v>50</v>
      </c>
      <c r="AA803" s="5">
        <v>0</v>
      </c>
      <c r="AB803" s="5">
        <v>0</v>
      </c>
      <c r="AC803" s="5">
        <v>0</v>
      </c>
      <c r="AD803" s="5">
        <v>0</v>
      </c>
      <c r="AE803" s="10" t="s">
        <v>50</v>
      </c>
      <c r="AF803" s="10"/>
      <c r="AG803" s="10" t="s">
        <v>114</v>
      </c>
      <c r="AH803" s="10" t="s">
        <v>50</v>
      </c>
      <c r="AI803" s="5">
        <v>0</v>
      </c>
      <c r="AJ803" s="10" t="s">
        <v>4543</v>
      </c>
      <c r="AK803" s="10" t="s">
        <v>50</v>
      </c>
    </row>
    <row r="804" spans="1:37" ht="36.75" customHeight="1" x14ac:dyDescent="0.35">
      <c r="A804" s="5"/>
      <c r="B804" s="5" t="s">
        <v>37</v>
      </c>
      <c r="C804" s="73" t="str">
        <f t="shared" si="12"/>
        <v>Closed</v>
      </c>
      <c r="D804" s="45" t="s">
        <v>4544</v>
      </c>
      <c r="E804" s="54" t="s">
        <v>4545</v>
      </c>
      <c r="F804" s="5" t="s">
        <v>119</v>
      </c>
      <c r="G804" s="10">
        <f>DATE(2010,2,1)</f>
        <v>40210</v>
      </c>
      <c r="H804" s="35">
        <v>1.2562500000000001</v>
      </c>
      <c r="I804" s="5" t="s">
        <v>259</v>
      </c>
      <c r="J804" s="10" t="s">
        <v>4546</v>
      </c>
      <c r="K804" s="5" t="s">
        <v>121</v>
      </c>
      <c r="L804" s="5" t="s">
        <v>4547</v>
      </c>
      <c r="M804" s="5" t="s">
        <v>45</v>
      </c>
      <c r="N804" s="5" t="s">
        <v>123</v>
      </c>
      <c r="O804" s="5" t="s">
        <v>59</v>
      </c>
      <c r="P804" s="10"/>
      <c r="Q804" s="10" t="s">
        <v>2015</v>
      </c>
      <c r="R804" s="10" t="s">
        <v>4548</v>
      </c>
      <c r="S804" s="5">
        <v>0</v>
      </c>
      <c r="T804" s="37">
        <v>1</v>
      </c>
      <c r="U804" s="5">
        <v>0</v>
      </c>
      <c r="V804" s="37">
        <v>0</v>
      </c>
      <c r="W804" s="5">
        <v>0</v>
      </c>
      <c r="X804" s="5">
        <v>1</v>
      </c>
      <c r="Y804" s="5">
        <v>0</v>
      </c>
      <c r="Z804" s="37">
        <v>0</v>
      </c>
      <c r="AA804" s="5">
        <v>0</v>
      </c>
      <c r="AB804" s="5">
        <v>0</v>
      </c>
      <c r="AC804" s="5">
        <v>0</v>
      </c>
      <c r="AD804" s="5">
        <v>0</v>
      </c>
      <c r="AE804" s="10" t="s">
        <v>50</v>
      </c>
      <c r="AF804" s="10"/>
      <c r="AG804" s="10" t="s">
        <v>64</v>
      </c>
      <c r="AH804" s="10">
        <v>40213</v>
      </c>
      <c r="AI804" s="5">
        <v>6</v>
      </c>
      <c r="AJ804" s="10" t="s">
        <v>4549</v>
      </c>
      <c r="AK804" s="10" t="s">
        <v>4550</v>
      </c>
    </row>
    <row r="805" spans="1:37" ht="36.75" customHeight="1" x14ac:dyDescent="0.35">
      <c r="A805" s="5"/>
      <c r="B805" s="5" t="s">
        <v>37</v>
      </c>
      <c r="C805" s="73" t="str">
        <f t="shared" si="12"/>
        <v>Closed</v>
      </c>
      <c r="D805" s="45" t="s">
        <v>4551</v>
      </c>
      <c r="E805" s="54" t="s">
        <v>4552</v>
      </c>
      <c r="F805" s="5" t="s">
        <v>214</v>
      </c>
      <c r="G805" s="10">
        <f>DATE(2010,2,4)</f>
        <v>40213</v>
      </c>
      <c r="H805" s="35">
        <v>1.3180555555555555</v>
      </c>
      <c r="I805" s="5" t="s">
        <v>67</v>
      </c>
      <c r="J805" s="10" t="s">
        <v>4553</v>
      </c>
      <c r="K805" s="5" t="s">
        <v>216</v>
      </c>
      <c r="L805" s="5" t="s">
        <v>4554</v>
      </c>
      <c r="M805" s="5" t="s">
        <v>45</v>
      </c>
      <c r="N805" s="5">
        <v>0</v>
      </c>
      <c r="O805" s="5" t="s">
        <v>59</v>
      </c>
      <c r="P805" s="10" t="s">
        <v>60</v>
      </c>
      <c r="Q805" s="10" t="s">
        <v>4022</v>
      </c>
      <c r="R805" s="10" t="s">
        <v>219</v>
      </c>
      <c r="S805" s="5">
        <v>0</v>
      </c>
      <c r="T805" s="37" t="s">
        <v>50</v>
      </c>
      <c r="U805" s="5">
        <v>0</v>
      </c>
      <c r="V805" s="37" t="s">
        <v>50</v>
      </c>
      <c r="W805" s="5">
        <v>0</v>
      </c>
      <c r="X805" s="5">
        <v>0</v>
      </c>
      <c r="Y805" s="5">
        <v>0</v>
      </c>
      <c r="Z805" s="37" t="s">
        <v>50</v>
      </c>
      <c r="AA805" s="5">
        <v>0</v>
      </c>
      <c r="AB805" s="5">
        <v>0</v>
      </c>
      <c r="AC805" s="5">
        <v>0</v>
      </c>
      <c r="AD805" s="5">
        <v>0</v>
      </c>
      <c r="AE805" s="10" t="s">
        <v>50</v>
      </c>
      <c r="AF805" s="10"/>
      <c r="AG805" s="10" t="s">
        <v>114</v>
      </c>
      <c r="AH805" s="10" t="s">
        <v>50</v>
      </c>
      <c r="AI805" s="5">
        <v>5</v>
      </c>
      <c r="AJ805" s="10" t="s">
        <v>4555</v>
      </c>
      <c r="AK805" s="10" t="s">
        <v>4556</v>
      </c>
    </row>
    <row r="806" spans="1:37" ht="36.75" customHeight="1" x14ac:dyDescent="0.35">
      <c r="A806" s="5"/>
      <c r="B806" s="5" t="s">
        <v>37</v>
      </c>
      <c r="C806" s="73" t="str">
        <f t="shared" si="12"/>
        <v>Closed</v>
      </c>
      <c r="D806" s="45" t="s">
        <v>4557</v>
      </c>
      <c r="E806" s="54" t="s">
        <v>4558</v>
      </c>
      <c r="F806" s="5" t="s">
        <v>1553</v>
      </c>
      <c r="G806" s="10">
        <f>DATE(2010,2,7)</f>
        <v>40216</v>
      </c>
      <c r="H806" s="35">
        <v>1.2743055555555556</v>
      </c>
      <c r="I806" s="5" t="s">
        <v>106</v>
      </c>
      <c r="J806" s="10" t="s">
        <v>4559</v>
      </c>
      <c r="K806" s="5" t="s">
        <v>1555</v>
      </c>
      <c r="L806" s="5" t="s">
        <v>4560</v>
      </c>
      <c r="M806" s="5" t="s">
        <v>45</v>
      </c>
      <c r="N806" s="5">
        <v>0</v>
      </c>
      <c r="O806" s="5" t="s">
        <v>46</v>
      </c>
      <c r="P806" s="10" t="s">
        <v>146</v>
      </c>
      <c r="Q806" s="10" t="s">
        <v>2393</v>
      </c>
      <c r="R806" s="10">
        <v>0</v>
      </c>
      <c r="S806" s="5">
        <v>0</v>
      </c>
      <c r="T806" s="37" t="s">
        <v>50</v>
      </c>
      <c r="U806" s="5">
        <v>0</v>
      </c>
      <c r="V806" s="37" t="s">
        <v>50</v>
      </c>
      <c r="W806" s="5">
        <v>0</v>
      </c>
      <c r="X806" s="5">
        <v>0</v>
      </c>
      <c r="Y806" s="5">
        <v>0</v>
      </c>
      <c r="Z806" s="37" t="s">
        <v>50</v>
      </c>
      <c r="AA806" s="5">
        <v>0</v>
      </c>
      <c r="AB806" s="5">
        <v>0</v>
      </c>
      <c r="AC806" s="5">
        <v>0</v>
      </c>
      <c r="AD806" s="5">
        <v>0</v>
      </c>
      <c r="AE806" s="10" t="s">
        <v>50</v>
      </c>
      <c r="AF806" s="10"/>
      <c r="AG806" s="10" t="s">
        <v>114</v>
      </c>
      <c r="AH806" s="10" t="s">
        <v>50</v>
      </c>
      <c r="AI806" s="5">
        <v>1</v>
      </c>
      <c r="AJ806" s="10" t="s">
        <v>4561</v>
      </c>
      <c r="AK806" s="10" t="s">
        <v>50</v>
      </c>
    </row>
    <row r="807" spans="1:37" ht="36.75" customHeight="1" x14ac:dyDescent="0.35">
      <c r="A807" s="5"/>
      <c r="B807" s="5" t="s">
        <v>37</v>
      </c>
      <c r="C807" s="73" t="str">
        <f t="shared" si="12"/>
        <v>Closed</v>
      </c>
      <c r="D807" s="45" t="s">
        <v>4562</v>
      </c>
      <c r="E807" s="54" t="s">
        <v>4563</v>
      </c>
      <c r="F807" s="5" t="s">
        <v>2581</v>
      </c>
      <c r="G807" s="10">
        <f>DATE(2010,2,8)</f>
        <v>40217</v>
      </c>
      <c r="H807" s="35">
        <v>1.4083333333333334</v>
      </c>
      <c r="I807" s="5" t="s">
        <v>55</v>
      </c>
      <c r="J807" s="10" t="s">
        <v>4564</v>
      </c>
      <c r="K807" s="5" t="s">
        <v>2583</v>
      </c>
      <c r="L807" s="5" t="s">
        <v>4565</v>
      </c>
      <c r="M807" s="5" t="s">
        <v>45</v>
      </c>
      <c r="N807" s="5">
        <v>0</v>
      </c>
      <c r="O807" s="5" t="s">
        <v>46</v>
      </c>
      <c r="P807" s="10" t="s">
        <v>47</v>
      </c>
      <c r="Q807" s="10" t="s">
        <v>2585</v>
      </c>
      <c r="R807" s="10" t="s">
        <v>2586</v>
      </c>
      <c r="S807" s="5">
        <v>0</v>
      </c>
      <c r="T807" s="37" t="s">
        <v>50</v>
      </c>
      <c r="U807" s="5">
        <v>0</v>
      </c>
      <c r="V807" s="37" t="s">
        <v>50</v>
      </c>
      <c r="W807" s="5">
        <v>0</v>
      </c>
      <c r="X807" s="5">
        <v>0</v>
      </c>
      <c r="Y807" s="5">
        <v>0</v>
      </c>
      <c r="Z807" s="37" t="s">
        <v>50</v>
      </c>
      <c r="AA807" s="5">
        <v>0</v>
      </c>
      <c r="AB807" s="5">
        <v>0</v>
      </c>
      <c r="AC807" s="5">
        <v>0</v>
      </c>
      <c r="AD807" s="5">
        <v>0</v>
      </c>
      <c r="AE807" s="10" t="s">
        <v>50</v>
      </c>
      <c r="AF807" s="10"/>
      <c r="AG807" s="10" t="s">
        <v>1489</v>
      </c>
      <c r="AH807" s="10" t="s">
        <v>50</v>
      </c>
      <c r="AI807" s="5">
        <v>6</v>
      </c>
      <c r="AJ807" s="10" t="s">
        <v>4566</v>
      </c>
      <c r="AK807" s="10" t="s">
        <v>50</v>
      </c>
    </row>
    <row r="808" spans="1:37" ht="36.75" customHeight="1" x14ac:dyDescent="0.35">
      <c r="A808" s="5"/>
      <c r="B808" s="5" t="s">
        <v>37</v>
      </c>
      <c r="C808" s="73" t="str">
        <f t="shared" si="12"/>
        <v>Closed</v>
      </c>
      <c r="D808" s="45" t="s">
        <v>4567</v>
      </c>
      <c r="E808" s="54" t="s">
        <v>4568</v>
      </c>
      <c r="F808" s="5" t="s">
        <v>816</v>
      </c>
      <c r="G808" s="10">
        <f>DATE(2010,2,9)</f>
        <v>40218</v>
      </c>
      <c r="H808" s="35">
        <v>1.3520833333333333</v>
      </c>
      <c r="I808" s="5" t="s">
        <v>55</v>
      </c>
      <c r="J808" s="10" t="s">
        <v>4569</v>
      </c>
      <c r="K808" s="5" t="s">
        <v>818</v>
      </c>
      <c r="L808" s="5" t="s">
        <v>4570</v>
      </c>
      <c r="M808" s="5" t="s">
        <v>45</v>
      </c>
      <c r="N808" s="5">
        <v>0</v>
      </c>
      <c r="O808" s="5" t="s">
        <v>59</v>
      </c>
      <c r="P808" s="10" t="s">
        <v>146</v>
      </c>
      <c r="Q808" s="10" t="s">
        <v>2142</v>
      </c>
      <c r="R808" s="10" t="s">
        <v>821</v>
      </c>
      <c r="S808" s="5">
        <v>0</v>
      </c>
      <c r="T808" s="37">
        <v>0</v>
      </c>
      <c r="U808" s="5">
        <v>0</v>
      </c>
      <c r="V808" s="37">
        <v>0</v>
      </c>
      <c r="W808" s="5">
        <v>0</v>
      </c>
      <c r="X808" s="5">
        <v>0</v>
      </c>
      <c r="Y808" s="5">
        <v>0</v>
      </c>
      <c r="Z808" s="37">
        <v>0</v>
      </c>
      <c r="AA808" s="5">
        <v>0</v>
      </c>
      <c r="AB808" s="5">
        <v>0</v>
      </c>
      <c r="AC808" s="5">
        <v>0</v>
      </c>
      <c r="AD808" s="5">
        <v>0</v>
      </c>
      <c r="AE808" s="10" t="s">
        <v>50</v>
      </c>
      <c r="AF808" s="10"/>
      <c r="AG808" s="10" t="s">
        <v>333</v>
      </c>
      <c r="AH808" s="10" t="s">
        <v>50</v>
      </c>
      <c r="AI808" s="5">
        <v>1</v>
      </c>
      <c r="AJ808" s="10" t="s">
        <v>50</v>
      </c>
      <c r="AK808" s="10" t="s">
        <v>50</v>
      </c>
    </row>
    <row r="809" spans="1:37" ht="36.75" customHeight="1" x14ac:dyDescent="0.35">
      <c r="A809" s="5"/>
      <c r="B809" s="5" t="s">
        <v>37</v>
      </c>
      <c r="C809" s="73" t="str">
        <f t="shared" si="12"/>
        <v>Closed</v>
      </c>
      <c r="D809" s="45" t="s">
        <v>4571</v>
      </c>
      <c r="E809" s="54" t="s">
        <v>4572</v>
      </c>
      <c r="F809" s="5" t="s">
        <v>619</v>
      </c>
      <c r="G809" s="10">
        <f>DATE(2010,2,11)</f>
        <v>40220</v>
      </c>
      <c r="H809" s="35">
        <v>1.7986111111111112</v>
      </c>
      <c r="I809" s="5" t="s">
        <v>55</v>
      </c>
      <c r="J809" s="10" t="s">
        <v>4573</v>
      </c>
      <c r="K809" s="5" t="s">
        <v>621</v>
      </c>
      <c r="L809" s="5" t="s">
        <v>4574</v>
      </c>
      <c r="M809" s="5" t="s">
        <v>45</v>
      </c>
      <c r="N809" s="5">
        <v>0</v>
      </c>
      <c r="O809" s="5" t="s">
        <v>59</v>
      </c>
      <c r="P809" s="10" t="s">
        <v>146</v>
      </c>
      <c r="Q809" s="10" t="s">
        <v>623</v>
      </c>
      <c r="R809" s="10" t="s">
        <v>624</v>
      </c>
      <c r="S809" s="5">
        <v>0</v>
      </c>
      <c r="T809" s="37" t="s">
        <v>50</v>
      </c>
      <c r="U809" s="5">
        <v>0</v>
      </c>
      <c r="V809" s="37" t="s">
        <v>50</v>
      </c>
      <c r="W809" s="5">
        <v>0</v>
      </c>
      <c r="X809" s="5">
        <v>0</v>
      </c>
      <c r="Y809" s="5">
        <v>0</v>
      </c>
      <c r="Z809" s="37" t="s">
        <v>50</v>
      </c>
      <c r="AA809" s="5">
        <v>0</v>
      </c>
      <c r="AB809" s="5">
        <v>0</v>
      </c>
      <c r="AC809" s="5">
        <v>0</v>
      </c>
      <c r="AD809" s="5">
        <v>0</v>
      </c>
      <c r="AE809" s="10" t="s">
        <v>50</v>
      </c>
      <c r="AF809" s="10"/>
      <c r="AG809" s="10" t="s">
        <v>333</v>
      </c>
      <c r="AH809" s="10" t="s">
        <v>50</v>
      </c>
      <c r="AI809" s="5">
        <v>2</v>
      </c>
      <c r="AJ809" s="10" t="s">
        <v>4575</v>
      </c>
      <c r="AK809" s="10" t="s">
        <v>50</v>
      </c>
    </row>
    <row r="810" spans="1:37" ht="36.75" customHeight="1" x14ac:dyDescent="0.35">
      <c r="A810" s="5"/>
      <c r="B810" s="5" t="s">
        <v>37</v>
      </c>
      <c r="C810" s="73" t="str">
        <f t="shared" si="12"/>
        <v>Closed</v>
      </c>
      <c r="D810" s="45" t="s">
        <v>4576</v>
      </c>
      <c r="E810" s="54" t="s">
        <v>4577</v>
      </c>
      <c r="F810" s="5" t="s">
        <v>816</v>
      </c>
      <c r="G810" s="10">
        <f>DATE(2010,2,11)</f>
        <v>40220</v>
      </c>
      <c r="H810" s="35">
        <v>1.5104166666666665</v>
      </c>
      <c r="I810" s="5" t="s">
        <v>85</v>
      </c>
      <c r="J810" s="10" t="s">
        <v>4578</v>
      </c>
      <c r="K810" s="5" t="s">
        <v>818</v>
      </c>
      <c r="L810" s="5" t="s">
        <v>4579</v>
      </c>
      <c r="M810" s="5" t="s">
        <v>45</v>
      </c>
      <c r="N810" s="5">
        <v>0</v>
      </c>
      <c r="O810" s="5" t="s">
        <v>46</v>
      </c>
      <c r="P810" s="10" t="s">
        <v>47</v>
      </c>
      <c r="Q810" s="10" t="s">
        <v>2142</v>
      </c>
      <c r="R810" s="10" t="s">
        <v>821</v>
      </c>
      <c r="S810" s="5">
        <v>0</v>
      </c>
      <c r="T810" s="37" t="s">
        <v>50</v>
      </c>
      <c r="U810" s="5">
        <v>0</v>
      </c>
      <c r="V810" s="37" t="s">
        <v>50</v>
      </c>
      <c r="W810" s="5">
        <v>0</v>
      </c>
      <c r="X810" s="5">
        <v>0</v>
      </c>
      <c r="Y810" s="5">
        <v>0</v>
      </c>
      <c r="Z810" s="37" t="s">
        <v>50</v>
      </c>
      <c r="AA810" s="5">
        <v>0</v>
      </c>
      <c r="AB810" s="5">
        <v>0</v>
      </c>
      <c r="AC810" s="5">
        <v>0</v>
      </c>
      <c r="AD810" s="5">
        <v>0</v>
      </c>
      <c r="AE810" s="10" t="s">
        <v>50</v>
      </c>
      <c r="AF810" s="10"/>
      <c r="AG810" s="10" t="s">
        <v>333</v>
      </c>
      <c r="AH810" s="10" t="s">
        <v>50</v>
      </c>
      <c r="AI810" s="5">
        <v>4</v>
      </c>
      <c r="AJ810" s="10" t="s">
        <v>50</v>
      </c>
      <c r="AK810" s="10" t="s">
        <v>50</v>
      </c>
    </row>
    <row r="811" spans="1:37" ht="36.75" customHeight="1" x14ac:dyDescent="0.35">
      <c r="A811" s="5"/>
      <c r="B811" s="5" t="s">
        <v>37</v>
      </c>
      <c r="C811" s="73" t="str">
        <f t="shared" si="12"/>
        <v>Closed</v>
      </c>
      <c r="D811" s="45" t="s">
        <v>4580</v>
      </c>
      <c r="E811" s="54" t="s">
        <v>4581</v>
      </c>
      <c r="F811" s="5" t="s">
        <v>178</v>
      </c>
      <c r="G811" s="10">
        <f>DATE(2010,2,15)</f>
        <v>40224</v>
      </c>
      <c r="H811" s="35">
        <v>1.8069444444444445</v>
      </c>
      <c r="I811" s="5" t="s">
        <v>137</v>
      </c>
      <c r="J811" s="10" t="s">
        <v>4582</v>
      </c>
      <c r="K811" s="5" t="s">
        <v>181</v>
      </c>
      <c r="L811" s="5" t="s">
        <v>4583</v>
      </c>
      <c r="M811" s="5" t="s">
        <v>45</v>
      </c>
      <c r="N811" s="5">
        <v>0</v>
      </c>
      <c r="O811" s="5" t="s">
        <v>46</v>
      </c>
      <c r="P811" s="10" t="s">
        <v>443</v>
      </c>
      <c r="Q811" s="10" t="s">
        <v>183</v>
      </c>
      <c r="R811" s="10" t="s">
        <v>184</v>
      </c>
      <c r="S811" s="5">
        <v>0</v>
      </c>
      <c r="T811" s="37" t="s">
        <v>50</v>
      </c>
      <c r="U811" s="5">
        <v>0</v>
      </c>
      <c r="V811" s="37" t="s">
        <v>50</v>
      </c>
      <c r="W811" s="5">
        <v>0</v>
      </c>
      <c r="X811" s="5">
        <v>0</v>
      </c>
      <c r="Y811" s="5">
        <v>0</v>
      </c>
      <c r="Z811" s="37" t="s">
        <v>50</v>
      </c>
      <c r="AA811" s="5">
        <v>0</v>
      </c>
      <c r="AB811" s="5">
        <v>0</v>
      </c>
      <c r="AC811" s="5">
        <v>0</v>
      </c>
      <c r="AD811" s="5">
        <v>0</v>
      </c>
      <c r="AE811" s="10" t="s">
        <v>50</v>
      </c>
      <c r="AF811" s="10"/>
      <c r="AG811" s="10" t="s">
        <v>114</v>
      </c>
      <c r="AH811" s="10" t="s">
        <v>50</v>
      </c>
      <c r="AI811" s="5">
        <v>2</v>
      </c>
      <c r="AJ811" s="10" t="s">
        <v>4584</v>
      </c>
      <c r="AK811" s="10" t="s">
        <v>4585</v>
      </c>
    </row>
    <row r="812" spans="1:37" ht="36.75" customHeight="1" x14ac:dyDescent="0.35">
      <c r="A812" s="5"/>
      <c r="B812" s="5" t="s">
        <v>37</v>
      </c>
      <c r="C812" s="73" t="str">
        <f t="shared" si="12"/>
        <v>Closed</v>
      </c>
      <c r="D812" s="45" t="s">
        <v>4586</v>
      </c>
      <c r="E812" s="54" t="s">
        <v>4587</v>
      </c>
      <c r="F812" s="5" t="s">
        <v>1751</v>
      </c>
      <c r="G812" s="10">
        <f>DATE(2010,2,15)</f>
        <v>40224</v>
      </c>
      <c r="H812" s="35">
        <v>1.3527777777777779</v>
      </c>
      <c r="I812" s="5" t="s">
        <v>179</v>
      </c>
      <c r="J812" s="10" t="s">
        <v>4588</v>
      </c>
      <c r="K812" s="5" t="s">
        <v>1753</v>
      </c>
      <c r="L812" s="5" t="s">
        <v>4589</v>
      </c>
      <c r="M812" s="5" t="s">
        <v>45</v>
      </c>
      <c r="N812" s="5" t="s">
        <v>70</v>
      </c>
      <c r="O812" s="5" t="s">
        <v>46</v>
      </c>
      <c r="P812" s="10" t="s">
        <v>146</v>
      </c>
      <c r="Q812" s="10" t="s">
        <v>1755</v>
      </c>
      <c r="R812" s="10" t="s">
        <v>1756</v>
      </c>
      <c r="S812" s="5">
        <v>18</v>
      </c>
      <c r="T812" s="37">
        <v>1</v>
      </c>
      <c r="U812" s="5">
        <v>0</v>
      </c>
      <c r="V812" s="37">
        <v>0</v>
      </c>
      <c r="W812" s="5">
        <v>0</v>
      </c>
      <c r="X812" s="5">
        <v>19</v>
      </c>
      <c r="Y812" s="5">
        <v>34</v>
      </c>
      <c r="Z812" s="37">
        <v>1</v>
      </c>
      <c r="AA812" s="5">
        <v>0</v>
      </c>
      <c r="AB812" s="5">
        <v>0</v>
      </c>
      <c r="AC812" s="5">
        <v>0</v>
      </c>
      <c r="AD812" s="5">
        <v>35</v>
      </c>
      <c r="AE812" s="10" t="s">
        <v>375</v>
      </c>
      <c r="AF812" s="10"/>
      <c r="AG812" s="10" t="s">
        <v>64</v>
      </c>
      <c r="AH812" s="10">
        <v>40224</v>
      </c>
      <c r="AI812" s="5">
        <v>9</v>
      </c>
      <c r="AJ812" s="10" t="s">
        <v>4590</v>
      </c>
      <c r="AK812" s="10" t="s">
        <v>50</v>
      </c>
    </row>
    <row r="813" spans="1:37" ht="36.75" customHeight="1" x14ac:dyDescent="0.35">
      <c r="A813" s="5"/>
      <c r="B813" s="5" t="s">
        <v>37</v>
      </c>
      <c r="C813" s="73" t="str">
        <f t="shared" si="12"/>
        <v>Closed</v>
      </c>
      <c r="D813" s="45" t="s">
        <v>4591</v>
      </c>
      <c r="E813" s="54" t="s">
        <v>4592</v>
      </c>
      <c r="F813" s="5" t="s">
        <v>816</v>
      </c>
      <c r="G813" s="10">
        <f>DATE(2010,2,17)</f>
        <v>40226</v>
      </c>
      <c r="H813" s="35">
        <v>1.4131944444444444</v>
      </c>
      <c r="I813" s="5" t="s">
        <v>97</v>
      </c>
      <c r="J813" s="10" t="s">
        <v>4593</v>
      </c>
      <c r="K813" s="5" t="s">
        <v>818</v>
      </c>
      <c r="L813" s="5" t="s">
        <v>4594</v>
      </c>
      <c r="M813" s="5" t="s">
        <v>45</v>
      </c>
      <c r="N813" s="5">
        <v>0</v>
      </c>
      <c r="O813" s="5" t="s">
        <v>46</v>
      </c>
      <c r="P813" s="10" t="s">
        <v>146</v>
      </c>
      <c r="Q813" s="10" t="s">
        <v>2142</v>
      </c>
      <c r="R813" s="10" t="s">
        <v>821</v>
      </c>
      <c r="S813" s="5">
        <v>0</v>
      </c>
      <c r="T813" s="37">
        <v>0</v>
      </c>
      <c r="U813" s="5">
        <v>2</v>
      </c>
      <c r="V813" s="37">
        <v>0</v>
      </c>
      <c r="W813" s="5">
        <v>0</v>
      </c>
      <c r="X813" s="5">
        <v>2</v>
      </c>
      <c r="Y813" s="5">
        <v>0</v>
      </c>
      <c r="Z813" s="37">
        <v>0</v>
      </c>
      <c r="AA813" s="5">
        <v>0</v>
      </c>
      <c r="AB813" s="5">
        <v>0</v>
      </c>
      <c r="AC813" s="5">
        <v>0</v>
      </c>
      <c r="AD813" s="5">
        <v>0</v>
      </c>
      <c r="AE813" s="10" t="s">
        <v>50</v>
      </c>
      <c r="AF813" s="10"/>
      <c r="AG813" s="10" t="s">
        <v>333</v>
      </c>
      <c r="AH813" s="10" t="s">
        <v>50</v>
      </c>
      <c r="AI813" s="5">
        <v>0</v>
      </c>
      <c r="AJ813" s="10" t="s">
        <v>50</v>
      </c>
      <c r="AK813" s="10" t="s">
        <v>50</v>
      </c>
    </row>
    <row r="814" spans="1:37" ht="36.75" customHeight="1" x14ac:dyDescent="0.35">
      <c r="A814" s="5"/>
      <c r="B814" s="5" t="s">
        <v>37</v>
      </c>
      <c r="C814" s="73" t="str">
        <f t="shared" si="12"/>
        <v>Closed</v>
      </c>
      <c r="D814" s="45" t="s">
        <v>4595</v>
      </c>
      <c r="E814" s="54" t="s">
        <v>4596</v>
      </c>
      <c r="F814" s="5" t="s">
        <v>40</v>
      </c>
      <c r="G814" s="10">
        <f>DATE(2010,2,19)</f>
        <v>40228</v>
      </c>
      <c r="H814" s="35">
        <v>1.1965277777777779</v>
      </c>
      <c r="I814" s="5" t="s">
        <v>137</v>
      </c>
      <c r="J814" s="10" t="s">
        <v>4597</v>
      </c>
      <c r="K814" s="5" t="s">
        <v>43</v>
      </c>
      <c r="L814" s="5" t="s">
        <v>4598</v>
      </c>
      <c r="M814" s="5" t="s">
        <v>45</v>
      </c>
      <c r="N814" s="5" t="s">
        <v>70</v>
      </c>
      <c r="O814" s="5" t="s">
        <v>71</v>
      </c>
      <c r="P814" s="10" t="s">
        <v>72</v>
      </c>
      <c r="Q814" s="10" t="s">
        <v>48</v>
      </c>
      <c r="R814" s="10" t="s">
        <v>4599</v>
      </c>
      <c r="S814" s="5">
        <v>0</v>
      </c>
      <c r="T814" s="37">
        <v>0</v>
      </c>
      <c r="U814" s="5">
        <v>0</v>
      </c>
      <c r="V814" s="37">
        <v>0</v>
      </c>
      <c r="W814" s="5">
        <v>0</v>
      </c>
      <c r="X814" s="5">
        <v>0</v>
      </c>
      <c r="Y814" s="5">
        <v>0</v>
      </c>
      <c r="Z814" s="37">
        <v>0</v>
      </c>
      <c r="AA814" s="5">
        <v>0</v>
      </c>
      <c r="AB814" s="5">
        <v>0</v>
      </c>
      <c r="AC814" s="5">
        <v>0</v>
      </c>
      <c r="AD814" s="5">
        <v>0</v>
      </c>
      <c r="AE814" s="10" t="s">
        <v>73</v>
      </c>
      <c r="AF814" s="10"/>
      <c r="AG814" s="10" t="s">
        <v>114</v>
      </c>
      <c r="AH814" s="10">
        <v>40240</v>
      </c>
      <c r="AI814" s="5">
        <v>3</v>
      </c>
      <c r="AJ814" s="10" t="s">
        <v>4600</v>
      </c>
      <c r="AK814" s="10" t="s">
        <v>4601</v>
      </c>
    </row>
    <row r="815" spans="1:37" ht="36.75" customHeight="1" x14ac:dyDescent="0.35">
      <c r="A815" s="5"/>
      <c r="B815" s="5" t="s">
        <v>37</v>
      </c>
      <c r="C815" s="73" t="str">
        <f t="shared" si="12"/>
        <v>Closed</v>
      </c>
      <c r="D815" s="45" t="s">
        <v>4602</v>
      </c>
      <c r="E815" s="54" t="s">
        <v>4603</v>
      </c>
      <c r="F815" s="5" t="s">
        <v>54</v>
      </c>
      <c r="G815" s="10">
        <f>DATE(2010,2,20)</f>
        <v>40229</v>
      </c>
      <c r="H815" s="35">
        <v>1.6875</v>
      </c>
      <c r="I815" s="5" t="s">
        <v>179</v>
      </c>
      <c r="J815" s="10" t="s">
        <v>4604</v>
      </c>
      <c r="K815" s="5" t="s">
        <v>57</v>
      </c>
      <c r="L815" s="5" t="s">
        <v>4605</v>
      </c>
      <c r="M815" s="5" t="s">
        <v>110</v>
      </c>
      <c r="N815" s="5" t="s">
        <v>123</v>
      </c>
      <c r="O815" s="5" t="s">
        <v>59</v>
      </c>
      <c r="P815" s="10" t="s">
        <v>110</v>
      </c>
      <c r="Q815" s="10" t="s">
        <v>4606</v>
      </c>
      <c r="R815" s="10" t="s">
        <v>4607</v>
      </c>
      <c r="S815" s="5">
        <v>0</v>
      </c>
      <c r="T815" s="37">
        <v>0</v>
      </c>
      <c r="U815" s="5">
        <v>0</v>
      </c>
      <c r="V815" s="37">
        <v>0</v>
      </c>
      <c r="W815" s="5">
        <v>0</v>
      </c>
      <c r="X815" s="5">
        <v>0</v>
      </c>
      <c r="Y815" s="5">
        <v>0</v>
      </c>
      <c r="Z815" s="37">
        <v>0</v>
      </c>
      <c r="AA815" s="5">
        <v>0</v>
      </c>
      <c r="AB815" s="5">
        <v>0</v>
      </c>
      <c r="AC815" s="5">
        <v>0</v>
      </c>
      <c r="AD815" s="5">
        <v>0</v>
      </c>
      <c r="AE815" s="10" t="s">
        <v>375</v>
      </c>
      <c r="AF815" s="10"/>
      <c r="AG815" s="10" t="s">
        <v>51</v>
      </c>
      <c r="AH815" s="10">
        <v>40246</v>
      </c>
      <c r="AI815" s="5">
        <v>3</v>
      </c>
      <c r="AJ815" s="10" t="s">
        <v>4608</v>
      </c>
      <c r="AK815" s="10" t="s">
        <v>1215</v>
      </c>
    </row>
    <row r="816" spans="1:37" ht="36.75" customHeight="1" x14ac:dyDescent="0.35">
      <c r="A816" s="5"/>
      <c r="B816" s="5" t="s">
        <v>37</v>
      </c>
      <c r="C816" s="73" t="str">
        <f t="shared" si="12"/>
        <v>Closed</v>
      </c>
      <c r="D816" s="45" t="s">
        <v>4609</v>
      </c>
      <c r="E816" s="54" t="s">
        <v>4610</v>
      </c>
      <c r="F816" s="5" t="s">
        <v>214</v>
      </c>
      <c r="G816" s="10">
        <f>DATE(2010,2,20)</f>
        <v>40229</v>
      </c>
      <c r="H816" s="35">
        <v>1.6569444444444446</v>
      </c>
      <c r="I816" s="5" t="s">
        <v>55</v>
      </c>
      <c r="J816" s="10" t="s">
        <v>4611</v>
      </c>
      <c r="K816" s="5" t="s">
        <v>216</v>
      </c>
      <c r="L816" s="5" t="s">
        <v>4612</v>
      </c>
      <c r="M816" s="5" t="s">
        <v>45</v>
      </c>
      <c r="N816" s="5">
        <v>0</v>
      </c>
      <c r="O816" s="5" t="s">
        <v>46</v>
      </c>
      <c r="P816" s="10" t="s">
        <v>443</v>
      </c>
      <c r="Q816" s="10" t="s">
        <v>2518</v>
      </c>
      <c r="R816" s="10" t="s">
        <v>219</v>
      </c>
      <c r="S816" s="5">
        <v>0</v>
      </c>
      <c r="T816" s="37" t="s">
        <v>50</v>
      </c>
      <c r="U816" s="5">
        <v>0</v>
      </c>
      <c r="V816" s="37" t="s">
        <v>50</v>
      </c>
      <c r="W816" s="5">
        <v>0</v>
      </c>
      <c r="X816" s="5">
        <v>0</v>
      </c>
      <c r="Y816" s="5">
        <v>0</v>
      </c>
      <c r="Z816" s="37" t="s">
        <v>50</v>
      </c>
      <c r="AA816" s="5">
        <v>0</v>
      </c>
      <c r="AB816" s="5">
        <v>0</v>
      </c>
      <c r="AC816" s="5">
        <v>0</v>
      </c>
      <c r="AD816" s="5">
        <v>0</v>
      </c>
      <c r="AE816" s="10" t="s">
        <v>50</v>
      </c>
      <c r="AF816" s="10"/>
      <c r="AG816" s="10" t="s">
        <v>114</v>
      </c>
      <c r="AH816" s="10" t="s">
        <v>50</v>
      </c>
      <c r="AI816" s="5">
        <v>4</v>
      </c>
      <c r="AJ816" s="10" t="s">
        <v>4613</v>
      </c>
      <c r="AK816" s="10" t="s">
        <v>4614</v>
      </c>
    </row>
    <row r="817" spans="1:37" ht="36.75" customHeight="1" x14ac:dyDescent="0.35">
      <c r="A817" s="5"/>
      <c r="B817" s="5" t="s">
        <v>37</v>
      </c>
      <c r="C817" s="73" t="str">
        <f t="shared" si="12"/>
        <v>Closed</v>
      </c>
      <c r="D817" s="45" t="s">
        <v>4615</v>
      </c>
      <c r="E817" s="54" t="s">
        <v>4616</v>
      </c>
      <c r="F817" s="5" t="s">
        <v>40</v>
      </c>
      <c r="G817" s="10">
        <f>DATE(2010,2,25)</f>
        <v>40234</v>
      </c>
      <c r="H817" s="35">
        <v>1.5291666666666668</v>
      </c>
      <c r="I817" s="5" t="s">
        <v>97</v>
      </c>
      <c r="J817" s="10" t="s">
        <v>4617</v>
      </c>
      <c r="K817" s="5" t="s">
        <v>43</v>
      </c>
      <c r="L817" s="5" t="s">
        <v>4618</v>
      </c>
      <c r="M817" s="5" t="s">
        <v>45</v>
      </c>
      <c r="N817" s="5" t="s">
        <v>80</v>
      </c>
      <c r="O817" s="5" t="s">
        <v>46</v>
      </c>
      <c r="P817" s="10" t="s">
        <v>60</v>
      </c>
      <c r="Q817" s="10" t="s">
        <v>48</v>
      </c>
      <c r="R817" s="10" t="s">
        <v>49</v>
      </c>
      <c r="S817" s="5">
        <v>0</v>
      </c>
      <c r="T817" s="37">
        <v>0</v>
      </c>
      <c r="U817" s="5">
        <v>2</v>
      </c>
      <c r="V817" s="37">
        <v>0</v>
      </c>
      <c r="W817" s="5">
        <v>0</v>
      </c>
      <c r="X817" s="5">
        <v>2</v>
      </c>
      <c r="Y817" s="5">
        <v>0</v>
      </c>
      <c r="Z817" s="37">
        <v>0</v>
      </c>
      <c r="AA817" s="5">
        <v>0</v>
      </c>
      <c r="AB817" s="5">
        <v>0</v>
      </c>
      <c r="AC817" s="5">
        <v>0</v>
      </c>
      <c r="AD817" s="5">
        <v>0</v>
      </c>
      <c r="AE817" s="10" t="s">
        <v>73</v>
      </c>
      <c r="AF817" s="10"/>
      <c r="AG817" s="10" t="s">
        <v>64</v>
      </c>
      <c r="AH817" s="10">
        <v>40240</v>
      </c>
      <c r="AI817" s="5">
        <v>1</v>
      </c>
      <c r="AJ817" s="10" t="s">
        <v>4619</v>
      </c>
      <c r="AK817" s="10" t="s">
        <v>4620</v>
      </c>
    </row>
    <row r="818" spans="1:37" ht="36.75" customHeight="1" x14ac:dyDescent="0.35">
      <c r="A818" s="5"/>
      <c r="B818" s="5" t="s">
        <v>37</v>
      </c>
      <c r="C818" s="73" t="str">
        <f t="shared" si="12"/>
        <v>Closed</v>
      </c>
      <c r="D818" s="45" t="s">
        <v>4621</v>
      </c>
      <c r="E818" s="54" t="s">
        <v>4622</v>
      </c>
      <c r="F818" s="5" t="s">
        <v>3128</v>
      </c>
      <c r="G818" s="10">
        <f>DATE(2010,2,25)</f>
        <v>40234</v>
      </c>
      <c r="H818" s="35">
        <v>1.46875</v>
      </c>
      <c r="I818" s="5" t="s">
        <v>97</v>
      </c>
      <c r="J818" s="10" t="s">
        <v>4623</v>
      </c>
      <c r="K818" s="5" t="s">
        <v>3130</v>
      </c>
      <c r="L818" s="5" t="s">
        <v>4624</v>
      </c>
      <c r="M818" s="5" t="s">
        <v>45</v>
      </c>
      <c r="N818" s="5">
        <v>0</v>
      </c>
      <c r="O818" s="5" t="s">
        <v>46</v>
      </c>
      <c r="P818" s="10" t="s">
        <v>60</v>
      </c>
      <c r="Q818" s="10" t="s">
        <v>4509</v>
      </c>
      <c r="R818" s="10" t="s">
        <v>3133</v>
      </c>
      <c r="S818" s="5">
        <v>0</v>
      </c>
      <c r="T818" s="37">
        <v>0</v>
      </c>
      <c r="U818" s="5">
        <v>2</v>
      </c>
      <c r="V818" s="37">
        <v>0</v>
      </c>
      <c r="W818" s="5">
        <v>0</v>
      </c>
      <c r="X818" s="5">
        <v>2</v>
      </c>
      <c r="Y818" s="5">
        <v>0</v>
      </c>
      <c r="Z818" s="37">
        <v>0</v>
      </c>
      <c r="AA818" s="5">
        <v>0</v>
      </c>
      <c r="AB818" s="5">
        <v>0</v>
      </c>
      <c r="AC818" s="5">
        <v>0</v>
      </c>
      <c r="AD818" s="5">
        <v>0</v>
      </c>
      <c r="AE818" s="10" t="s">
        <v>50</v>
      </c>
      <c r="AF818" s="10"/>
      <c r="AG818" s="10" t="s">
        <v>229</v>
      </c>
      <c r="AH818" s="10" t="s">
        <v>50</v>
      </c>
      <c r="AI818" s="5">
        <v>1</v>
      </c>
      <c r="AJ818" s="10" t="s">
        <v>50</v>
      </c>
      <c r="AK818" s="10" t="s">
        <v>50</v>
      </c>
    </row>
    <row r="819" spans="1:37" ht="36.75" customHeight="1" x14ac:dyDescent="0.35">
      <c r="A819" s="5"/>
      <c r="B819" s="5" t="s">
        <v>37</v>
      </c>
      <c r="C819" s="73" t="str">
        <f t="shared" si="12"/>
        <v>Closed</v>
      </c>
      <c r="D819" s="45" t="s">
        <v>4625</v>
      </c>
      <c r="E819" s="54" t="s">
        <v>4626</v>
      </c>
      <c r="F819" s="5" t="s">
        <v>563</v>
      </c>
      <c r="G819" s="10">
        <f>DATE(2010,3,5)</f>
        <v>40242</v>
      </c>
      <c r="H819" s="35">
        <v>1.879861111111111</v>
      </c>
      <c r="I819" s="5" t="s">
        <v>55</v>
      </c>
      <c r="J819" s="10" t="s">
        <v>4627</v>
      </c>
      <c r="K819" s="5" t="s">
        <v>565</v>
      </c>
      <c r="L819" s="5" t="s">
        <v>4628</v>
      </c>
      <c r="M819" s="5" t="s">
        <v>45</v>
      </c>
      <c r="N819" s="5">
        <v>0</v>
      </c>
      <c r="O819" s="5" t="s">
        <v>59</v>
      </c>
      <c r="P819" s="10" t="s">
        <v>60</v>
      </c>
      <c r="Q819" s="10" t="s">
        <v>567</v>
      </c>
      <c r="R819" s="10" t="s">
        <v>568</v>
      </c>
      <c r="S819" s="5">
        <v>0</v>
      </c>
      <c r="T819" s="37">
        <v>0</v>
      </c>
      <c r="U819" s="5">
        <v>0</v>
      </c>
      <c r="V819" s="37">
        <v>0</v>
      </c>
      <c r="W819" s="5">
        <v>0</v>
      </c>
      <c r="X819" s="5">
        <v>0</v>
      </c>
      <c r="Y819" s="5">
        <v>0</v>
      </c>
      <c r="Z819" s="37">
        <v>0</v>
      </c>
      <c r="AA819" s="5">
        <v>0</v>
      </c>
      <c r="AB819" s="5">
        <v>0</v>
      </c>
      <c r="AC819" s="5">
        <v>0</v>
      </c>
      <c r="AD819" s="5">
        <v>0</v>
      </c>
      <c r="AE819" s="10" t="s">
        <v>50</v>
      </c>
      <c r="AF819" s="10"/>
      <c r="AG819" s="10" t="s">
        <v>114</v>
      </c>
      <c r="AH819" s="10" t="s">
        <v>50</v>
      </c>
      <c r="AI819" s="5">
        <v>0</v>
      </c>
      <c r="AJ819" s="10" t="s">
        <v>4629</v>
      </c>
      <c r="AK819" s="10" t="s">
        <v>50</v>
      </c>
    </row>
    <row r="820" spans="1:37" ht="36.75" customHeight="1" x14ac:dyDescent="0.35">
      <c r="A820" s="5"/>
      <c r="B820" s="5" t="s">
        <v>37</v>
      </c>
      <c r="C820" s="73" t="str">
        <f t="shared" si="12"/>
        <v>Closed</v>
      </c>
      <c r="D820" s="45" t="s">
        <v>4630</v>
      </c>
      <c r="E820" s="54" t="s">
        <v>4631</v>
      </c>
      <c r="F820" s="5" t="s">
        <v>619</v>
      </c>
      <c r="G820" s="10">
        <f>DATE(2010,3,5)</f>
        <v>40242</v>
      </c>
      <c r="H820" s="35">
        <v>1.0673611111111112</v>
      </c>
      <c r="I820" s="5" t="s">
        <v>259</v>
      </c>
      <c r="J820" s="10" t="s">
        <v>4632</v>
      </c>
      <c r="K820" s="5" t="s">
        <v>621</v>
      </c>
      <c r="L820" s="5" t="s">
        <v>4633</v>
      </c>
      <c r="M820" s="5" t="s">
        <v>45</v>
      </c>
      <c r="N820" s="5">
        <v>0</v>
      </c>
      <c r="O820" s="5" t="s">
        <v>59</v>
      </c>
      <c r="P820" s="10" t="s">
        <v>47</v>
      </c>
      <c r="Q820" s="10" t="s">
        <v>623</v>
      </c>
      <c r="R820" s="10" t="s">
        <v>624</v>
      </c>
      <c r="S820" s="5">
        <v>0</v>
      </c>
      <c r="T820" s="37">
        <v>1</v>
      </c>
      <c r="U820" s="5">
        <v>0</v>
      </c>
      <c r="V820" s="37">
        <v>0</v>
      </c>
      <c r="W820" s="5">
        <v>0</v>
      </c>
      <c r="X820" s="5">
        <v>1</v>
      </c>
      <c r="Y820" s="5">
        <v>0</v>
      </c>
      <c r="Z820" s="37">
        <v>0</v>
      </c>
      <c r="AA820" s="5">
        <v>0</v>
      </c>
      <c r="AB820" s="5">
        <v>0</v>
      </c>
      <c r="AC820" s="5">
        <v>0</v>
      </c>
      <c r="AD820" s="5">
        <v>0</v>
      </c>
      <c r="AE820" s="10" t="s">
        <v>50</v>
      </c>
      <c r="AF820" s="10"/>
      <c r="AG820" s="10" t="s">
        <v>333</v>
      </c>
      <c r="AH820" s="10" t="s">
        <v>50</v>
      </c>
      <c r="AI820" s="5">
        <v>2</v>
      </c>
      <c r="AJ820" s="10" t="s">
        <v>4634</v>
      </c>
      <c r="AK820" s="10" t="s">
        <v>50</v>
      </c>
    </row>
    <row r="821" spans="1:37" ht="36.75" customHeight="1" x14ac:dyDescent="0.35">
      <c r="A821" s="5"/>
      <c r="B821" s="5" t="s">
        <v>37</v>
      </c>
      <c r="C821" s="73" t="str">
        <f t="shared" si="12"/>
        <v>Closed</v>
      </c>
      <c r="D821" s="45" t="s">
        <v>4635</v>
      </c>
      <c r="E821" s="54" t="s">
        <v>4636</v>
      </c>
      <c r="F821" s="5" t="s">
        <v>214</v>
      </c>
      <c r="G821" s="10">
        <f>DATE(2010,3,6)</f>
        <v>40243</v>
      </c>
      <c r="H821" s="35">
        <v>1.8090277777777777</v>
      </c>
      <c r="I821" s="5" t="s">
        <v>137</v>
      </c>
      <c r="J821" s="10" t="s">
        <v>4637</v>
      </c>
      <c r="K821" s="5" t="s">
        <v>216</v>
      </c>
      <c r="L821" s="5" t="s">
        <v>4638</v>
      </c>
      <c r="M821" s="5" t="s">
        <v>45</v>
      </c>
      <c r="N821" s="5">
        <v>0</v>
      </c>
      <c r="O821" s="5" t="s">
        <v>46</v>
      </c>
      <c r="P821" s="10" t="s">
        <v>146</v>
      </c>
      <c r="Q821" s="10" t="s">
        <v>4639</v>
      </c>
      <c r="R821" s="10" t="s">
        <v>219</v>
      </c>
      <c r="S821" s="5">
        <v>0</v>
      </c>
      <c r="T821" s="37" t="s">
        <v>50</v>
      </c>
      <c r="U821" s="5">
        <v>0</v>
      </c>
      <c r="V821" s="37" t="s">
        <v>50</v>
      </c>
      <c r="W821" s="5">
        <v>0</v>
      </c>
      <c r="X821" s="5">
        <v>0</v>
      </c>
      <c r="Y821" s="5">
        <v>0</v>
      </c>
      <c r="Z821" s="37" t="s">
        <v>50</v>
      </c>
      <c r="AA821" s="5">
        <v>0</v>
      </c>
      <c r="AB821" s="5">
        <v>0</v>
      </c>
      <c r="AC821" s="5">
        <v>0</v>
      </c>
      <c r="AD821" s="5">
        <v>0</v>
      </c>
      <c r="AE821" s="10" t="s">
        <v>50</v>
      </c>
      <c r="AF821" s="10"/>
      <c r="AG821" s="10" t="s">
        <v>114</v>
      </c>
      <c r="AH821" s="10" t="s">
        <v>50</v>
      </c>
      <c r="AI821" s="5">
        <v>4</v>
      </c>
      <c r="AJ821" s="10" t="s">
        <v>4640</v>
      </c>
      <c r="AK821" s="10" t="s">
        <v>4641</v>
      </c>
    </row>
    <row r="822" spans="1:37" ht="36.75" customHeight="1" x14ac:dyDescent="0.35">
      <c r="A822" s="5"/>
      <c r="B822" s="5" t="s">
        <v>37</v>
      </c>
      <c r="C822" s="73" t="str">
        <f t="shared" si="12"/>
        <v>Closed</v>
      </c>
      <c r="D822" s="45" t="s">
        <v>4642</v>
      </c>
      <c r="E822" s="54" t="s">
        <v>4643</v>
      </c>
      <c r="F822" s="5" t="s">
        <v>404</v>
      </c>
      <c r="G822" s="10">
        <f>DATE(2010,3,7)</f>
        <v>40244</v>
      </c>
      <c r="H822" s="35">
        <v>1.1680555555555556</v>
      </c>
      <c r="I822" s="5" t="s">
        <v>259</v>
      </c>
      <c r="J822" s="10" t="s">
        <v>4644</v>
      </c>
      <c r="K822" s="5" t="s">
        <v>406</v>
      </c>
      <c r="L822" s="5" t="s">
        <v>4645</v>
      </c>
      <c r="M822" s="5" t="s">
        <v>45</v>
      </c>
      <c r="N822" s="5">
        <v>0</v>
      </c>
      <c r="O822" s="5" t="s">
        <v>59</v>
      </c>
      <c r="P822" s="10" t="s">
        <v>72</v>
      </c>
      <c r="Q822" s="10" t="s">
        <v>408</v>
      </c>
      <c r="R822" s="10" t="s">
        <v>3083</v>
      </c>
      <c r="S822" s="5">
        <v>0</v>
      </c>
      <c r="T822" s="37">
        <v>0</v>
      </c>
      <c r="U822" s="5">
        <v>0</v>
      </c>
      <c r="V822" s="37">
        <v>0</v>
      </c>
      <c r="W822" s="5">
        <v>0</v>
      </c>
      <c r="X822" s="5">
        <v>0</v>
      </c>
      <c r="Y822" s="5">
        <v>1</v>
      </c>
      <c r="Z822" s="37">
        <v>0</v>
      </c>
      <c r="AA822" s="5">
        <v>0</v>
      </c>
      <c r="AB822" s="5">
        <v>0</v>
      </c>
      <c r="AC822" s="5">
        <v>0</v>
      </c>
      <c r="AD822" s="5">
        <v>1</v>
      </c>
      <c r="AE822" s="10" t="s">
        <v>50</v>
      </c>
      <c r="AF822" s="10"/>
      <c r="AG822" s="10" t="s">
        <v>114</v>
      </c>
      <c r="AH822" s="10" t="s">
        <v>50</v>
      </c>
      <c r="AI822" s="5">
        <v>7</v>
      </c>
      <c r="AJ822" s="10" t="s">
        <v>4646</v>
      </c>
      <c r="AK822" s="10" t="s">
        <v>4647</v>
      </c>
    </row>
    <row r="823" spans="1:37" ht="36.75" customHeight="1" x14ac:dyDescent="0.35">
      <c r="A823" s="5"/>
      <c r="B823" s="5" t="s">
        <v>37</v>
      </c>
      <c r="C823" s="73" t="str">
        <f t="shared" si="12"/>
        <v>Closed</v>
      </c>
      <c r="D823" s="45" t="s">
        <v>4648</v>
      </c>
      <c r="E823" s="54" t="s">
        <v>4649</v>
      </c>
      <c r="F823" s="5" t="s">
        <v>404</v>
      </c>
      <c r="G823" s="10">
        <f>DATE(2010,3,9)</f>
        <v>40246</v>
      </c>
      <c r="H823" s="35">
        <v>1.3527777777777779</v>
      </c>
      <c r="I823" s="5" t="s">
        <v>55</v>
      </c>
      <c r="J823" s="10" t="s">
        <v>4650</v>
      </c>
      <c r="K823" s="5" t="s">
        <v>406</v>
      </c>
      <c r="L823" s="5" t="s">
        <v>4651</v>
      </c>
      <c r="M823" s="5" t="s">
        <v>45</v>
      </c>
      <c r="N823" s="5">
        <v>0</v>
      </c>
      <c r="O823" s="5" t="s">
        <v>46</v>
      </c>
      <c r="P823" s="10" t="s">
        <v>60</v>
      </c>
      <c r="Q823" s="10" t="s">
        <v>2562</v>
      </c>
      <c r="R823" s="10" t="s">
        <v>3083</v>
      </c>
      <c r="S823" s="5">
        <v>0</v>
      </c>
      <c r="T823" s="37" t="s">
        <v>50</v>
      </c>
      <c r="U823" s="5">
        <v>0</v>
      </c>
      <c r="V823" s="37" t="s">
        <v>50</v>
      </c>
      <c r="W823" s="5">
        <v>0</v>
      </c>
      <c r="X823" s="5">
        <v>0</v>
      </c>
      <c r="Y823" s="5">
        <v>0</v>
      </c>
      <c r="Z823" s="37" t="s">
        <v>50</v>
      </c>
      <c r="AA823" s="5">
        <v>0</v>
      </c>
      <c r="AB823" s="5">
        <v>0</v>
      </c>
      <c r="AC823" s="5">
        <v>0</v>
      </c>
      <c r="AD823" s="5">
        <v>0</v>
      </c>
      <c r="AE823" s="10" t="s">
        <v>50</v>
      </c>
      <c r="AF823" s="10"/>
      <c r="AG823" s="10" t="s">
        <v>114</v>
      </c>
      <c r="AH823" s="10" t="s">
        <v>50</v>
      </c>
      <c r="AI823" s="5">
        <v>0</v>
      </c>
      <c r="AJ823" s="10" t="s">
        <v>4652</v>
      </c>
      <c r="AK823" s="10" t="s">
        <v>4653</v>
      </c>
    </row>
    <row r="824" spans="1:37" ht="36.75" customHeight="1" x14ac:dyDescent="0.35">
      <c r="A824" s="5"/>
      <c r="B824" s="5" t="s">
        <v>37</v>
      </c>
      <c r="C824" s="73" t="str">
        <f t="shared" si="12"/>
        <v>Closed</v>
      </c>
      <c r="D824" s="45" t="s">
        <v>4654</v>
      </c>
      <c r="E824" s="54" t="s">
        <v>4655</v>
      </c>
      <c r="F824" s="5" t="s">
        <v>619</v>
      </c>
      <c r="G824" s="10">
        <f>DATE(2010,3,10)</f>
        <v>40247</v>
      </c>
      <c r="H824" s="35">
        <v>1.0819444444444444</v>
      </c>
      <c r="I824" s="5" t="s">
        <v>85</v>
      </c>
      <c r="J824" s="10" t="s">
        <v>4656</v>
      </c>
      <c r="K824" s="5" t="s">
        <v>621</v>
      </c>
      <c r="L824" s="5" t="s">
        <v>4657</v>
      </c>
      <c r="M824" s="5" t="s">
        <v>45</v>
      </c>
      <c r="N824" s="5">
        <v>0</v>
      </c>
      <c r="O824" s="5" t="s">
        <v>59</v>
      </c>
      <c r="P824" s="10" t="s">
        <v>534</v>
      </c>
      <c r="Q824" s="10" t="s">
        <v>3013</v>
      </c>
      <c r="R824" s="10" t="s">
        <v>624</v>
      </c>
      <c r="S824" s="5">
        <v>0</v>
      </c>
      <c r="T824" s="37" t="s">
        <v>50</v>
      </c>
      <c r="U824" s="5">
        <v>0</v>
      </c>
      <c r="V824" s="37" t="s">
        <v>50</v>
      </c>
      <c r="W824" s="5">
        <v>0</v>
      </c>
      <c r="X824" s="5">
        <v>0</v>
      </c>
      <c r="Y824" s="5">
        <v>0</v>
      </c>
      <c r="Z824" s="37" t="s">
        <v>50</v>
      </c>
      <c r="AA824" s="5">
        <v>0</v>
      </c>
      <c r="AB824" s="5">
        <v>0</v>
      </c>
      <c r="AC824" s="5">
        <v>0</v>
      </c>
      <c r="AD824" s="5">
        <v>0</v>
      </c>
      <c r="AE824" s="10" t="s">
        <v>50</v>
      </c>
      <c r="AF824" s="10"/>
      <c r="AG824" s="10" t="s">
        <v>333</v>
      </c>
      <c r="AH824" s="10" t="s">
        <v>50</v>
      </c>
      <c r="AI824" s="5">
        <v>0</v>
      </c>
      <c r="AJ824" s="10" t="s">
        <v>4658</v>
      </c>
      <c r="AK824" s="10" t="s">
        <v>50</v>
      </c>
    </row>
    <row r="825" spans="1:37" ht="36.75" customHeight="1" x14ac:dyDescent="0.35">
      <c r="A825" s="5"/>
      <c r="B825" s="5" t="s">
        <v>37</v>
      </c>
      <c r="C825" s="73" t="str">
        <f t="shared" si="12"/>
        <v>Closed</v>
      </c>
      <c r="D825" s="45" t="s">
        <v>4659</v>
      </c>
      <c r="E825" s="54" t="s">
        <v>4660</v>
      </c>
      <c r="F825" s="5" t="s">
        <v>816</v>
      </c>
      <c r="G825" s="10">
        <f>DATE(2010,3,10)</f>
        <v>40247</v>
      </c>
      <c r="H825" s="35">
        <v>1.5972222222222223</v>
      </c>
      <c r="I825" s="5" t="s">
        <v>97</v>
      </c>
      <c r="J825" s="10" t="s">
        <v>4661</v>
      </c>
      <c r="K825" s="5" t="s">
        <v>818</v>
      </c>
      <c r="L825" s="5" t="s">
        <v>4662</v>
      </c>
      <c r="M825" s="5" t="s">
        <v>45</v>
      </c>
      <c r="N825" s="5">
        <v>0</v>
      </c>
      <c r="O825" s="5" t="s">
        <v>46</v>
      </c>
      <c r="P825" s="10" t="s">
        <v>146</v>
      </c>
      <c r="Q825" s="10" t="s">
        <v>2142</v>
      </c>
      <c r="R825" s="10" t="s">
        <v>821</v>
      </c>
      <c r="S825" s="5">
        <v>0</v>
      </c>
      <c r="T825" s="37">
        <v>0</v>
      </c>
      <c r="U825" s="5">
        <v>1</v>
      </c>
      <c r="V825" s="37">
        <v>0</v>
      </c>
      <c r="W825" s="5">
        <v>0</v>
      </c>
      <c r="X825" s="5">
        <v>1</v>
      </c>
      <c r="Y825" s="5">
        <v>0</v>
      </c>
      <c r="Z825" s="37">
        <v>0</v>
      </c>
      <c r="AA825" s="5">
        <v>1</v>
      </c>
      <c r="AB825" s="5">
        <v>0</v>
      </c>
      <c r="AC825" s="5">
        <v>0</v>
      </c>
      <c r="AD825" s="5">
        <v>1</v>
      </c>
      <c r="AE825" s="10" t="s">
        <v>50</v>
      </c>
      <c r="AF825" s="10"/>
      <c r="AG825" s="10" t="s">
        <v>333</v>
      </c>
      <c r="AH825" s="10" t="s">
        <v>50</v>
      </c>
      <c r="AI825" s="5">
        <v>1</v>
      </c>
      <c r="AJ825" s="10" t="s">
        <v>50</v>
      </c>
      <c r="AK825" s="10" t="s">
        <v>50</v>
      </c>
    </row>
    <row r="826" spans="1:37" ht="36.75" customHeight="1" x14ac:dyDescent="0.35">
      <c r="A826" s="5"/>
      <c r="B826" s="5" t="s">
        <v>37</v>
      </c>
      <c r="C826" s="73" t="str">
        <f t="shared" si="12"/>
        <v>Closed</v>
      </c>
      <c r="D826" s="45" t="s">
        <v>4663</v>
      </c>
      <c r="E826" s="54" t="s">
        <v>4664</v>
      </c>
      <c r="F826" s="5" t="s">
        <v>404</v>
      </c>
      <c r="G826" s="10">
        <f>DATE(2010,3,11)</f>
        <v>40248</v>
      </c>
      <c r="H826" s="35">
        <v>1.3916666666666666</v>
      </c>
      <c r="I826" s="5" t="s">
        <v>67</v>
      </c>
      <c r="J826" s="10" t="s">
        <v>4665</v>
      </c>
      <c r="K826" s="5" t="s">
        <v>406</v>
      </c>
      <c r="L826" s="5" t="s">
        <v>4666</v>
      </c>
      <c r="M826" s="5" t="s">
        <v>45</v>
      </c>
      <c r="N826" s="5">
        <v>0</v>
      </c>
      <c r="O826" s="5" t="s">
        <v>46</v>
      </c>
      <c r="P826" s="10" t="s">
        <v>47</v>
      </c>
      <c r="Q826" s="10" t="s">
        <v>4531</v>
      </c>
      <c r="R826" s="10" t="s">
        <v>3083</v>
      </c>
      <c r="S826" s="5">
        <v>0</v>
      </c>
      <c r="T826" s="37" t="s">
        <v>50</v>
      </c>
      <c r="U826" s="5">
        <v>0</v>
      </c>
      <c r="V826" s="37" t="s">
        <v>50</v>
      </c>
      <c r="W826" s="5">
        <v>0</v>
      </c>
      <c r="X826" s="5">
        <v>0</v>
      </c>
      <c r="Y826" s="5">
        <v>0</v>
      </c>
      <c r="Z826" s="37" t="s">
        <v>50</v>
      </c>
      <c r="AA826" s="5">
        <v>0</v>
      </c>
      <c r="AB826" s="5">
        <v>0</v>
      </c>
      <c r="AC826" s="5">
        <v>0</v>
      </c>
      <c r="AD826" s="5">
        <v>0</v>
      </c>
      <c r="AE826" s="10" t="s">
        <v>50</v>
      </c>
      <c r="AF826" s="10"/>
      <c r="AG826" s="10" t="s">
        <v>333</v>
      </c>
      <c r="AH826" s="10" t="s">
        <v>50</v>
      </c>
      <c r="AI826" s="5">
        <v>3</v>
      </c>
      <c r="AJ826" s="10" t="s">
        <v>4667</v>
      </c>
      <c r="AK826" s="10" t="s">
        <v>4668</v>
      </c>
    </row>
    <row r="827" spans="1:37" ht="36.75" customHeight="1" x14ac:dyDescent="0.35">
      <c r="A827" s="5"/>
      <c r="B827" s="5" t="s">
        <v>37</v>
      </c>
      <c r="C827" s="73" t="str">
        <f t="shared" si="12"/>
        <v>Closed</v>
      </c>
      <c r="D827" s="45" t="s">
        <v>4669</v>
      </c>
      <c r="E827" s="54" t="s">
        <v>4670</v>
      </c>
      <c r="F827" s="5" t="s">
        <v>619</v>
      </c>
      <c r="G827" s="10">
        <f>DATE(2010,3,11)</f>
        <v>40248</v>
      </c>
      <c r="H827" s="35">
        <v>1.3854166666666667</v>
      </c>
      <c r="I827" s="5" t="s">
        <v>97</v>
      </c>
      <c r="J827" s="10" t="s">
        <v>4671</v>
      </c>
      <c r="K827" s="5" t="s">
        <v>621</v>
      </c>
      <c r="L827" s="5" t="s">
        <v>4672</v>
      </c>
      <c r="M827" s="5" t="s">
        <v>45</v>
      </c>
      <c r="N827" s="5">
        <v>0</v>
      </c>
      <c r="O827" s="5" t="s">
        <v>46</v>
      </c>
      <c r="P827" s="10" t="s">
        <v>146</v>
      </c>
      <c r="Q827" s="10" t="s">
        <v>3226</v>
      </c>
      <c r="R827" s="10" t="s">
        <v>3226</v>
      </c>
      <c r="S827" s="5">
        <v>0</v>
      </c>
      <c r="T827" s="37">
        <v>0</v>
      </c>
      <c r="U827" s="5">
        <v>1</v>
      </c>
      <c r="V827" s="37">
        <v>0</v>
      </c>
      <c r="W827" s="5">
        <v>0</v>
      </c>
      <c r="X827" s="5">
        <v>1</v>
      </c>
      <c r="Y827" s="5">
        <v>0</v>
      </c>
      <c r="Z827" s="37">
        <v>0</v>
      </c>
      <c r="AA827" s="5">
        <v>0</v>
      </c>
      <c r="AB827" s="5">
        <v>0</v>
      </c>
      <c r="AC827" s="5">
        <v>0</v>
      </c>
      <c r="AD827" s="5">
        <v>0</v>
      </c>
      <c r="AE827" s="10" t="s">
        <v>50</v>
      </c>
      <c r="AF827" s="10"/>
      <c r="AG827" s="10" t="s">
        <v>229</v>
      </c>
      <c r="AH827" s="10" t="s">
        <v>50</v>
      </c>
      <c r="AI827" s="5">
        <v>2</v>
      </c>
      <c r="AJ827" s="10" t="s">
        <v>50</v>
      </c>
      <c r="AK827" s="10" t="s">
        <v>50</v>
      </c>
    </row>
    <row r="828" spans="1:37" ht="36.75" customHeight="1" x14ac:dyDescent="0.35">
      <c r="A828" s="5"/>
      <c r="B828" s="5" t="s">
        <v>37</v>
      </c>
      <c r="C828" s="73" t="str">
        <f t="shared" si="12"/>
        <v>Closed</v>
      </c>
      <c r="D828" s="45" t="s">
        <v>4673</v>
      </c>
      <c r="E828" s="54" t="s">
        <v>4674</v>
      </c>
      <c r="F828" s="5" t="s">
        <v>119</v>
      </c>
      <c r="G828" s="10">
        <f>DATE(2010,3,13)</f>
        <v>40250</v>
      </c>
      <c r="H828" s="35">
        <v>1.9305555555555554</v>
      </c>
      <c r="I828" s="5" t="s">
        <v>85</v>
      </c>
      <c r="J828" s="10" t="s">
        <v>4675</v>
      </c>
      <c r="K828" s="5" t="s">
        <v>121</v>
      </c>
      <c r="L828" s="5" t="s">
        <v>4676</v>
      </c>
      <c r="M828" s="5" t="s">
        <v>45</v>
      </c>
      <c r="N828" s="5" t="s">
        <v>123</v>
      </c>
      <c r="O828" s="5" t="s">
        <v>59</v>
      </c>
      <c r="P828" s="10" t="s">
        <v>60</v>
      </c>
      <c r="Q828" s="10" t="s">
        <v>124</v>
      </c>
      <c r="R828" s="10" t="s">
        <v>125</v>
      </c>
      <c r="S828" s="5">
        <v>0</v>
      </c>
      <c r="T828" s="37">
        <v>0</v>
      </c>
      <c r="U828" s="5">
        <v>0</v>
      </c>
      <c r="V828" s="37">
        <v>0</v>
      </c>
      <c r="W828" s="5">
        <v>0</v>
      </c>
      <c r="X828" s="5">
        <v>0</v>
      </c>
      <c r="Y828" s="5">
        <v>0</v>
      </c>
      <c r="Z828" s="37">
        <v>0</v>
      </c>
      <c r="AA828" s="5">
        <v>0</v>
      </c>
      <c r="AB828" s="5">
        <v>0</v>
      </c>
      <c r="AC828" s="5">
        <v>0</v>
      </c>
      <c r="AD828" s="5">
        <v>0</v>
      </c>
      <c r="AE828" s="10" t="s">
        <v>73</v>
      </c>
      <c r="AF828" s="10"/>
      <c r="AG828" s="10" t="s">
        <v>114</v>
      </c>
      <c r="AH828" s="10">
        <v>40634</v>
      </c>
      <c r="AI828" s="5">
        <v>5</v>
      </c>
      <c r="AJ828" s="10" t="s">
        <v>4677</v>
      </c>
      <c r="AK828" s="10" t="s">
        <v>4678</v>
      </c>
    </row>
    <row r="829" spans="1:37" ht="36.75" customHeight="1" x14ac:dyDescent="0.35">
      <c r="A829" s="5"/>
      <c r="B829" s="5" t="s">
        <v>37</v>
      </c>
      <c r="C829" s="73" t="str">
        <f t="shared" si="12"/>
        <v>Closed</v>
      </c>
      <c r="D829" s="45" t="s">
        <v>4679</v>
      </c>
      <c r="E829" s="54" t="s">
        <v>4680</v>
      </c>
      <c r="F829" s="5" t="s">
        <v>563</v>
      </c>
      <c r="G829" s="10">
        <f>DATE(2010,3,15)</f>
        <v>40252</v>
      </c>
      <c r="H829" s="35">
        <v>1.8680555555555554</v>
      </c>
      <c r="I829" s="5" t="s">
        <v>55</v>
      </c>
      <c r="J829" s="10" t="s">
        <v>4681</v>
      </c>
      <c r="K829" s="5" t="s">
        <v>565</v>
      </c>
      <c r="L829" s="5" t="s">
        <v>4682</v>
      </c>
      <c r="M829" s="5" t="s">
        <v>45</v>
      </c>
      <c r="N829" s="5">
        <v>0</v>
      </c>
      <c r="O829" s="5" t="s">
        <v>59</v>
      </c>
      <c r="P829" s="10" t="s">
        <v>60</v>
      </c>
      <c r="Q829" s="10" t="s">
        <v>567</v>
      </c>
      <c r="R829" s="10" t="s">
        <v>568</v>
      </c>
      <c r="S829" s="5">
        <v>0</v>
      </c>
      <c r="T829" s="37" t="s">
        <v>50</v>
      </c>
      <c r="U829" s="5">
        <v>0</v>
      </c>
      <c r="V829" s="37" t="s">
        <v>50</v>
      </c>
      <c r="W829" s="5">
        <v>0</v>
      </c>
      <c r="X829" s="5">
        <v>0</v>
      </c>
      <c r="Y829" s="5">
        <v>0</v>
      </c>
      <c r="Z829" s="37" t="s">
        <v>50</v>
      </c>
      <c r="AA829" s="5">
        <v>0</v>
      </c>
      <c r="AB829" s="5">
        <v>0</v>
      </c>
      <c r="AC829" s="5">
        <v>0</v>
      </c>
      <c r="AD829" s="5">
        <v>0</v>
      </c>
      <c r="AE829" s="10" t="s">
        <v>50</v>
      </c>
      <c r="AF829" s="10"/>
      <c r="AG829" s="10" t="s">
        <v>64</v>
      </c>
      <c r="AH829" s="10" t="s">
        <v>50</v>
      </c>
      <c r="AI829" s="5">
        <v>0</v>
      </c>
      <c r="AJ829" s="10" t="s">
        <v>50</v>
      </c>
      <c r="AK829" s="10" t="s">
        <v>4683</v>
      </c>
    </row>
    <row r="830" spans="1:37" ht="36.75" customHeight="1" x14ac:dyDescent="0.35">
      <c r="A830" s="5"/>
      <c r="B830" s="5" t="s">
        <v>37</v>
      </c>
      <c r="C830" s="73" t="str">
        <f t="shared" si="12"/>
        <v>Closed</v>
      </c>
      <c r="D830" s="45" t="s">
        <v>4684</v>
      </c>
      <c r="E830" s="54" t="s">
        <v>4685</v>
      </c>
      <c r="F830" s="5" t="s">
        <v>816</v>
      </c>
      <c r="G830" s="10">
        <f>DATE(2010,3,15)</f>
        <v>40252</v>
      </c>
      <c r="H830" s="35">
        <v>1.3958333333333333</v>
      </c>
      <c r="I830" s="5" t="s">
        <v>55</v>
      </c>
      <c r="J830" s="10" t="s">
        <v>4686</v>
      </c>
      <c r="K830" s="5" t="s">
        <v>818</v>
      </c>
      <c r="L830" s="5" t="s">
        <v>4687</v>
      </c>
      <c r="M830" s="5" t="s">
        <v>45</v>
      </c>
      <c r="N830" s="5">
        <v>0</v>
      </c>
      <c r="O830" s="5" t="s">
        <v>59</v>
      </c>
      <c r="P830" s="10" t="s">
        <v>60</v>
      </c>
      <c r="Q830" s="10" t="s">
        <v>4688</v>
      </c>
      <c r="R830" s="10" t="s">
        <v>821</v>
      </c>
      <c r="S830" s="5">
        <v>0</v>
      </c>
      <c r="T830" s="37">
        <v>0</v>
      </c>
      <c r="U830" s="5">
        <v>0</v>
      </c>
      <c r="V830" s="37">
        <v>0</v>
      </c>
      <c r="W830" s="5">
        <v>0</v>
      </c>
      <c r="X830" s="5">
        <v>0</v>
      </c>
      <c r="Y830" s="5">
        <v>0</v>
      </c>
      <c r="Z830" s="37">
        <v>0</v>
      </c>
      <c r="AA830" s="5">
        <v>0</v>
      </c>
      <c r="AB830" s="5">
        <v>0</v>
      </c>
      <c r="AC830" s="5">
        <v>0</v>
      </c>
      <c r="AD830" s="5">
        <v>0</v>
      </c>
      <c r="AE830" s="10" t="s">
        <v>50</v>
      </c>
      <c r="AF830" s="10"/>
      <c r="AG830" s="10" t="s">
        <v>1489</v>
      </c>
      <c r="AH830" s="10" t="s">
        <v>50</v>
      </c>
      <c r="AI830" s="5">
        <v>0</v>
      </c>
      <c r="AJ830" s="10" t="s">
        <v>50</v>
      </c>
      <c r="AK830" s="10" t="s">
        <v>50</v>
      </c>
    </row>
    <row r="831" spans="1:37" ht="36.75" customHeight="1" x14ac:dyDescent="0.35">
      <c r="A831" s="5"/>
      <c r="B831" s="5" t="s">
        <v>37</v>
      </c>
      <c r="C831" s="73" t="str">
        <f t="shared" si="12"/>
        <v>Closed</v>
      </c>
      <c r="D831" s="45" t="s">
        <v>4689</v>
      </c>
      <c r="E831" s="54" t="s">
        <v>4690</v>
      </c>
      <c r="F831" s="5" t="s">
        <v>816</v>
      </c>
      <c r="G831" s="10">
        <f>DATE(2010,3,15)</f>
        <v>40252</v>
      </c>
      <c r="H831" s="35">
        <v>1.8284722222222221</v>
      </c>
      <c r="I831" s="5" t="s">
        <v>259</v>
      </c>
      <c r="J831" s="10" t="s">
        <v>4691</v>
      </c>
      <c r="K831" s="5" t="s">
        <v>818</v>
      </c>
      <c r="L831" s="5" t="s">
        <v>4692</v>
      </c>
      <c r="M831" s="5" t="s">
        <v>45</v>
      </c>
      <c r="N831" s="5">
        <v>0</v>
      </c>
      <c r="O831" s="5" t="s">
        <v>59</v>
      </c>
      <c r="P831" s="10" t="s">
        <v>72</v>
      </c>
      <c r="Q831" s="10" t="s">
        <v>820</v>
      </c>
      <c r="R831" s="10" t="s">
        <v>821</v>
      </c>
      <c r="S831" s="5">
        <v>1</v>
      </c>
      <c r="T831" s="37">
        <v>0</v>
      </c>
      <c r="U831" s="5">
        <v>0</v>
      </c>
      <c r="V831" s="37">
        <v>0</v>
      </c>
      <c r="W831" s="5">
        <v>0</v>
      </c>
      <c r="X831" s="5">
        <v>1</v>
      </c>
      <c r="Y831" s="5">
        <v>0</v>
      </c>
      <c r="Z831" s="37">
        <v>0</v>
      </c>
      <c r="AA831" s="5">
        <v>0</v>
      </c>
      <c r="AB831" s="5">
        <v>0</v>
      </c>
      <c r="AC831" s="5">
        <v>0</v>
      </c>
      <c r="AD831" s="5">
        <v>0</v>
      </c>
      <c r="AE831" s="10" t="s">
        <v>50</v>
      </c>
      <c r="AF831" s="10"/>
      <c r="AG831" s="10" t="s">
        <v>333</v>
      </c>
      <c r="AH831" s="10" t="s">
        <v>50</v>
      </c>
      <c r="AI831" s="5">
        <v>7</v>
      </c>
      <c r="AJ831" s="10" t="s">
        <v>50</v>
      </c>
      <c r="AK831" s="10" t="s">
        <v>50</v>
      </c>
    </row>
    <row r="832" spans="1:37" ht="36.75" customHeight="1" x14ac:dyDescent="0.35">
      <c r="A832" s="5"/>
      <c r="B832" s="5" t="s">
        <v>37</v>
      </c>
      <c r="C832" s="73" t="str">
        <f t="shared" si="12"/>
        <v>Closed</v>
      </c>
      <c r="D832" s="45" t="s">
        <v>4693</v>
      </c>
      <c r="E832" s="54" t="s">
        <v>4694</v>
      </c>
      <c r="F832" s="5" t="s">
        <v>1553</v>
      </c>
      <c r="G832" s="10">
        <f>DATE(2010,3,18)</f>
        <v>40255</v>
      </c>
      <c r="H832" s="35">
        <v>1.3784722222222223</v>
      </c>
      <c r="I832" s="5" t="s">
        <v>55</v>
      </c>
      <c r="J832" s="10" t="s">
        <v>4695</v>
      </c>
      <c r="K832" s="5" t="s">
        <v>1555</v>
      </c>
      <c r="L832" s="5" t="s">
        <v>4696</v>
      </c>
      <c r="M832" s="5" t="s">
        <v>45</v>
      </c>
      <c r="N832" s="5">
        <v>0</v>
      </c>
      <c r="O832" s="5" t="s">
        <v>46</v>
      </c>
      <c r="P832" s="10" t="s">
        <v>60</v>
      </c>
      <c r="Q832" s="10" t="s">
        <v>2417</v>
      </c>
      <c r="R832" s="10">
        <v>0</v>
      </c>
      <c r="S832" s="5">
        <v>0</v>
      </c>
      <c r="T832" s="37" t="s">
        <v>50</v>
      </c>
      <c r="U832" s="5">
        <v>0</v>
      </c>
      <c r="V832" s="37" t="s">
        <v>50</v>
      </c>
      <c r="W832" s="5">
        <v>0</v>
      </c>
      <c r="X832" s="5">
        <v>0</v>
      </c>
      <c r="Y832" s="5">
        <v>0</v>
      </c>
      <c r="Z832" s="37" t="s">
        <v>50</v>
      </c>
      <c r="AA832" s="5">
        <v>0</v>
      </c>
      <c r="AB832" s="5">
        <v>0</v>
      </c>
      <c r="AC832" s="5">
        <v>0</v>
      </c>
      <c r="AD832" s="5">
        <v>0</v>
      </c>
      <c r="AE832" s="10" t="s">
        <v>50</v>
      </c>
      <c r="AF832" s="10"/>
      <c r="AG832" s="10" t="s">
        <v>3790</v>
      </c>
      <c r="AH832" s="10" t="s">
        <v>50</v>
      </c>
      <c r="AI832" s="5">
        <v>2</v>
      </c>
      <c r="AJ832" s="10" t="s">
        <v>4697</v>
      </c>
      <c r="AK832" s="10" t="s">
        <v>4698</v>
      </c>
    </row>
    <row r="833" spans="1:37" ht="36.75" customHeight="1" x14ac:dyDescent="0.35">
      <c r="A833" s="5"/>
      <c r="B833" s="5" t="s">
        <v>37</v>
      </c>
      <c r="C833" s="73" t="str">
        <f t="shared" si="12"/>
        <v>Closed</v>
      </c>
      <c r="D833" s="45" t="s">
        <v>4699</v>
      </c>
      <c r="E833" s="54" t="s">
        <v>4700</v>
      </c>
      <c r="F833" s="5" t="s">
        <v>1553</v>
      </c>
      <c r="G833" s="10">
        <f>DATE(2010,3,18)</f>
        <v>40255</v>
      </c>
      <c r="H833" s="35">
        <v>1.3680555555555556</v>
      </c>
      <c r="I833" s="5" t="s">
        <v>67</v>
      </c>
      <c r="J833" s="10" t="s">
        <v>4701</v>
      </c>
      <c r="K833" s="5" t="s">
        <v>1555</v>
      </c>
      <c r="L833" s="5" t="s">
        <v>4702</v>
      </c>
      <c r="M833" s="5" t="s">
        <v>45</v>
      </c>
      <c r="N833" s="5">
        <v>0</v>
      </c>
      <c r="O833" s="5" t="s">
        <v>46</v>
      </c>
      <c r="P833" s="10" t="s">
        <v>60</v>
      </c>
      <c r="Q833" s="10" t="s">
        <v>2417</v>
      </c>
      <c r="R833" s="10">
        <v>0</v>
      </c>
      <c r="S833" s="5">
        <v>0</v>
      </c>
      <c r="T833" s="37" t="s">
        <v>50</v>
      </c>
      <c r="U833" s="5">
        <v>0</v>
      </c>
      <c r="V833" s="37" t="s">
        <v>50</v>
      </c>
      <c r="W833" s="5">
        <v>0</v>
      </c>
      <c r="X833" s="5">
        <v>0</v>
      </c>
      <c r="Y833" s="5">
        <v>0</v>
      </c>
      <c r="Z833" s="37" t="s">
        <v>50</v>
      </c>
      <c r="AA833" s="5">
        <v>0</v>
      </c>
      <c r="AB833" s="5">
        <v>0</v>
      </c>
      <c r="AC833" s="5">
        <v>0</v>
      </c>
      <c r="AD833" s="5">
        <v>0</v>
      </c>
      <c r="AE833" s="10" t="s">
        <v>50</v>
      </c>
      <c r="AF833" s="10"/>
      <c r="AG833" s="10" t="s">
        <v>3790</v>
      </c>
      <c r="AH833" s="10" t="s">
        <v>50</v>
      </c>
      <c r="AI833" s="5">
        <v>0</v>
      </c>
      <c r="AJ833" s="10" t="s">
        <v>4703</v>
      </c>
      <c r="AK833" s="10" t="s">
        <v>4704</v>
      </c>
    </row>
    <row r="834" spans="1:37" ht="36.75" customHeight="1" x14ac:dyDescent="0.35">
      <c r="A834" s="5"/>
      <c r="B834" s="5" t="s">
        <v>37</v>
      </c>
      <c r="C834" s="73" t="str">
        <f t="shared" ref="C834:C897" si="13">IF(B834="Notification","Open",IF(B834="Interim Statement","In progress","Closed"))</f>
        <v>Closed</v>
      </c>
      <c r="D834" s="45" t="s">
        <v>4705</v>
      </c>
      <c r="E834" s="54" t="s">
        <v>4706</v>
      </c>
      <c r="F834" s="5" t="s">
        <v>40</v>
      </c>
      <c r="G834" s="10">
        <f>DATE(2010,3,24)</f>
        <v>40261</v>
      </c>
      <c r="H834" s="35">
        <v>1.5499999999999998</v>
      </c>
      <c r="I834" s="5" t="s">
        <v>55</v>
      </c>
      <c r="J834" s="10" t="s">
        <v>4707</v>
      </c>
      <c r="K834" s="5" t="s">
        <v>43</v>
      </c>
      <c r="L834" s="5" t="s">
        <v>4708</v>
      </c>
      <c r="M834" s="5" t="s">
        <v>45</v>
      </c>
      <c r="N834" s="5">
        <v>0</v>
      </c>
      <c r="O834" s="5" t="s">
        <v>71</v>
      </c>
      <c r="P834" s="10" t="s">
        <v>60</v>
      </c>
      <c r="Q834" s="10" t="s">
        <v>48</v>
      </c>
      <c r="R834" s="10" t="s">
        <v>49</v>
      </c>
      <c r="S834" s="5">
        <v>0</v>
      </c>
      <c r="T834" s="37" t="s">
        <v>50</v>
      </c>
      <c r="U834" s="5">
        <v>0</v>
      </c>
      <c r="V834" s="37" t="s">
        <v>50</v>
      </c>
      <c r="W834" s="5">
        <v>0</v>
      </c>
      <c r="X834" s="5">
        <v>0</v>
      </c>
      <c r="Y834" s="5">
        <v>0</v>
      </c>
      <c r="Z834" s="37" t="s">
        <v>50</v>
      </c>
      <c r="AA834" s="5">
        <v>0</v>
      </c>
      <c r="AB834" s="5">
        <v>0</v>
      </c>
      <c r="AC834" s="5">
        <v>0</v>
      </c>
      <c r="AD834" s="5">
        <v>0</v>
      </c>
      <c r="AE834" s="10" t="s">
        <v>50</v>
      </c>
      <c r="AF834" s="10"/>
      <c r="AG834" s="10" t="s">
        <v>51</v>
      </c>
      <c r="AH834" s="10" t="s">
        <v>50</v>
      </c>
      <c r="AI834" s="5">
        <v>0</v>
      </c>
      <c r="AJ834" s="10" t="s">
        <v>4709</v>
      </c>
      <c r="AK834" s="10" t="s">
        <v>4710</v>
      </c>
    </row>
    <row r="835" spans="1:37" ht="36.75" customHeight="1" x14ac:dyDescent="0.35">
      <c r="A835" s="5"/>
      <c r="B835" s="5" t="s">
        <v>37</v>
      </c>
      <c r="C835" s="73" t="str">
        <f t="shared" si="13"/>
        <v>Closed</v>
      </c>
      <c r="D835" s="45" t="s">
        <v>4711</v>
      </c>
      <c r="E835" s="54" t="s">
        <v>4712</v>
      </c>
      <c r="F835" s="5" t="s">
        <v>105</v>
      </c>
      <c r="G835" s="10">
        <f>DATE(2010,3,24)</f>
        <v>40261</v>
      </c>
      <c r="H835" s="35">
        <v>1.5527777777777778</v>
      </c>
      <c r="I835" s="5" t="s">
        <v>137</v>
      </c>
      <c r="J835" s="10" t="s">
        <v>4713</v>
      </c>
      <c r="K835" s="5" t="s">
        <v>108</v>
      </c>
      <c r="L835" s="5" t="s">
        <v>4714</v>
      </c>
      <c r="M835" s="5" t="s">
        <v>45</v>
      </c>
      <c r="N835" s="5">
        <v>0</v>
      </c>
      <c r="O835" s="5" t="s">
        <v>71</v>
      </c>
      <c r="P835" s="10" t="s">
        <v>72</v>
      </c>
      <c r="Q835" s="10" t="s">
        <v>382</v>
      </c>
      <c r="R835" s="10" t="s">
        <v>148</v>
      </c>
      <c r="S835" s="5">
        <v>0</v>
      </c>
      <c r="T835" s="37">
        <v>0</v>
      </c>
      <c r="U835" s="5">
        <v>0</v>
      </c>
      <c r="V835" s="37">
        <v>0</v>
      </c>
      <c r="W835" s="5">
        <v>3</v>
      </c>
      <c r="X835" s="5">
        <v>3</v>
      </c>
      <c r="Y835" s="5">
        <v>0</v>
      </c>
      <c r="Z835" s="37">
        <v>0</v>
      </c>
      <c r="AA835" s="5">
        <v>0</v>
      </c>
      <c r="AB835" s="5">
        <v>0</v>
      </c>
      <c r="AC835" s="5">
        <v>4</v>
      </c>
      <c r="AD835" s="5">
        <v>4</v>
      </c>
      <c r="AE835" s="10" t="s">
        <v>50</v>
      </c>
      <c r="AF835" s="10"/>
      <c r="AG835" s="10" t="s">
        <v>64</v>
      </c>
      <c r="AH835" s="10" t="s">
        <v>50</v>
      </c>
      <c r="AI835" s="5">
        <v>7</v>
      </c>
      <c r="AJ835" s="10" t="s">
        <v>50</v>
      </c>
      <c r="AK835" s="10" t="s">
        <v>4715</v>
      </c>
    </row>
    <row r="836" spans="1:37" ht="36.75" customHeight="1" x14ac:dyDescent="0.35">
      <c r="A836" s="5"/>
      <c r="B836" s="5" t="s">
        <v>37</v>
      </c>
      <c r="C836" s="73" t="str">
        <f t="shared" si="13"/>
        <v>Closed</v>
      </c>
      <c r="D836" s="45" t="s">
        <v>4716</v>
      </c>
      <c r="E836" s="54" t="s">
        <v>4717</v>
      </c>
      <c r="F836" s="5" t="s">
        <v>563</v>
      </c>
      <c r="G836" s="10">
        <f>DATE(2010,3,25)</f>
        <v>40262</v>
      </c>
      <c r="H836" s="35">
        <v>1.9118055555555555</v>
      </c>
      <c r="I836" s="5" t="s">
        <v>55</v>
      </c>
      <c r="J836" s="10" t="s">
        <v>4718</v>
      </c>
      <c r="K836" s="5" t="s">
        <v>565</v>
      </c>
      <c r="L836" s="5" t="s">
        <v>4719</v>
      </c>
      <c r="M836" s="5" t="s">
        <v>45</v>
      </c>
      <c r="N836" s="5" t="s">
        <v>123</v>
      </c>
      <c r="O836" s="5" t="s">
        <v>59</v>
      </c>
      <c r="P836" s="10" t="s">
        <v>60</v>
      </c>
      <c r="Q836" s="10" t="s">
        <v>567</v>
      </c>
      <c r="R836" s="10" t="s">
        <v>568</v>
      </c>
      <c r="S836" s="5">
        <v>0</v>
      </c>
      <c r="T836" s="37">
        <v>0</v>
      </c>
      <c r="U836" s="5">
        <v>0</v>
      </c>
      <c r="V836" s="37">
        <v>0</v>
      </c>
      <c r="W836" s="5">
        <v>0</v>
      </c>
      <c r="X836" s="5">
        <v>0</v>
      </c>
      <c r="Y836" s="5">
        <v>0</v>
      </c>
      <c r="Z836" s="37">
        <v>0</v>
      </c>
      <c r="AA836" s="5">
        <v>0</v>
      </c>
      <c r="AB836" s="5">
        <v>0</v>
      </c>
      <c r="AC836" s="5">
        <v>0</v>
      </c>
      <c r="AD836" s="5">
        <v>0</v>
      </c>
      <c r="AE836" s="10" t="s">
        <v>375</v>
      </c>
      <c r="AF836" s="10"/>
      <c r="AG836" s="10" t="s">
        <v>114</v>
      </c>
      <c r="AH836" s="10">
        <v>40266</v>
      </c>
      <c r="AI836" s="5">
        <v>0</v>
      </c>
      <c r="AJ836" s="10" t="s">
        <v>4720</v>
      </c>
      <c r="AK836" s="10" t="s">
        <v>1215</v>
      </c>
    </row>
    <row r="837" spans="1:37" ht="36.75" customHeight="1" x14ac:dyDescent="0.35">
      <c r="A837" s="5"/>
      <c r="B837" s="5" t="s">
        <v>37</v>
      </c>
      <c r="C837" s="73" t="str">
        <f t="shared" si="13"/>
        <v>Closed</v>
      </c>
      <c r="D837" s="45" t="s">
        <v>4721</v>
      </c>
      <c r="E837" s="54" t="s">
        <v>4722</v>
      </c>
      <c r="F837" s="5" t="s">
        <v>619</v>
      </c>
      <c r="G837" s="10">
        <f>DATE(2010,3,26)</f>
        <v>40263</v>
      </c>
      <c r="H837" s="35">
        <v>1.1479166666666667</v>
      </c>
      <c r="I837" s="5" t="s">
        <v>179</v>
      </c>
      <c r="J837" s="10" t="s">
        <v>4723</v>
      </c>
      <c r="K837" s="5" t="s">
        <v>621</v>
      </c>
      <c r="L837" s="5" t="s">
        <v>4724</v>
      </c>
      <c r="M837" s="5" t="s">
        <v>45</v>
      </c>
      <c r="N837" s="5">
        <v>0</v>
      </c>
      <c r="O837" s="5" t="s">
        <v>46</v>
      </c>
      <c r="P837" s="10" t="s">
        <v>60</v>
      </c>
      <c r="Q837" s="10" t="s">
        <v>623</v>
      </c>
      <c r="R837" s="10" t="s">
        <v>624</v>
      </c>
      <c r="S837" s="5">
        <v>0</v>
      </c>
      <c r="T837" s="37">
        <v>1</v>
      </c>
      <c r="U837" s="5">
        <v>0</v>
      </c>
      <c r="V837" s="37">
        <v>0</v>
      </c>
      <c r="W837" s="5">
        <v>0</v>
      </c>
      <c r="X837" s="5">
        <v>1</v>
      </c>
      <c r="Y837" s="5">
        <v>0</v>
      </c>
      <c r="Z837" s="37">
        <v>0</v>
      </c>
      <c r="AA837" s="5">
        <v>0</v>
      </c>
      <c r="AB837" s="5">
        <v>0</v>
      </c>
      <c r="AC837" s="5">
        <v>0</v>
      </c>
      <c r="AD837" s="5">
        <v>0</v>
      </c>
      <c r="AE837" s="10" t="s">
        <v>50</v>
      </c>
      <c r="AF837" s="10"/>
      <c r="AG837" s="10" t="s">
        <v>64</v>
      </c>
      <c r="AH837" s="10" t="s">
        <v>50</v>
      </c>
      <c r="AI837" s="5">
        <v>3</v>
      </c>
      <c r="AJ837" s="10" t="s">
        <v>4725</v>
      </c>
      <c r="AK837" s="10" t="s">
        <v>4726</v>
      </c>
    </row>
    <row r="838" spans="1:37" ht="36.75" customHeight="1" x14ac:dyDescent="0.35">
      <c r="A838" s="5"/>
      <c r="B838" s="5" t="s">
        <v>37</v>
      </c>
      <c r="C838" s="73" t="str">
        <f t="shared" si="13"/>
        <v>Closed</v>
      </c>
      <c r="D838" s="45" t="s">
        <v>4727</v>
      </c>
      <c r="E838" s="54" t="s">
        <v>4728</v>
      </c>
      <c r="F838" s="5" t="s">
        <v>214</v>
      </c>
      <c r="G838" s="10">
        <f>DATE(2010,3,30)</f>
        <v>40267</v>
      </c>
      <c r="H838" s="35">
        <v>1.4888888888888889</v>
      </c>
      <c r="I838" s="5" t="s">
        <v>259</v>
      </c>
      <c r="J838" s="10" t="s">
        <v>4729</v>
      </c>
      <c r="K838" s="5" t="s">
        <v>216</v>
      </c>
      <c r="L838" s="5" t="s">
        <v>4730</v>
      </c>
      <c r="M838" s="5" t="s">
        <v>45</v>
      </c>
      <c r="N838" s="5">
        <v>0</v>
      </c>
      <c r="O838" s="5" t="s">
        <v>46</v>
      </c>
      <c r="P838" s="10" t="s">
        <v>146</v>
      </c>
      <c r="Q838" s="10" t="s">
        <v>2856</v>
      </c>
      <c r="R838" s="10" t="s">
        <v>219</v>
      </c>
      <c r="S838" s="5">
        <v>0</v>
      </c>
      <c r="T838" s="37">
        <v>0</v>
      </c>
      <c r="U838" s="5">
        <v>0</v>
      </c>
      <c r="V838" s="37">
        <v>0</v>
      </c>
      <c r="W838" s="5">
        <v>0</v>
      </c>
      <c r="X838" s="5">
        <v>0</v>
      </c>
      <c r="Y838" s="5">
        <v>0</v>
      </c>
      <c r="Z838" s="37">
        <v>1</v>
      </c>
      <c r="AA838" s="5">
        <v>0</v>
      </c>
      <c r="AB838" s="5">
        <v>0</v>
      </c>
      <c r="AC838" s="5">
        <v>0</v>
      </c>
      <c r="AD838" s="5">
        <v>1</v>
      </c>
      <c r="AE838" s="10" t="s">
        <v>50</v>
      </c>
      <c r="AF838" s="10"/>
      <c r="AG838" s="10" t="s">
        <v>114</v>
      </c>
      <c r="AH838" s="10" t="s">
        <v>50</v>
      </c>
      <c r="AI838" s="5">
        <v>2</v>
      </c>
      <c r="AJ838" s="10" t="s">
        <v>4731</v>
      </c>
      <c r="AK838" s="10" t="s">
        <v>4732</v>
      </c>
    </row>
    <row r="839" spans="1:37" ht="36.75" customHeight="1" x14ac:dyDescent="0.35">
      <c r="A839" s="5"/>
      <c r="B839" s="5" t="s">
        <v>37</v>
      </c>
      <c r="C839" s="73" t="str">
        <f t="shared" si="13"/>
        <v>Closed</v>
      </c>
      <c r="D839" s="45" t="s">
        <v>4733</v>
      </c>
      <c r="E839" s="54" t="s">
        <v>4734</v>
      </c>
      <c r="F839" s="5" t="s">
        <v>105</v>
      </c>
      <c r="G839" s="10">
        <f>DATE(2010,4,1)</f>
        <v>40269</v>
      </c>
      <c r="H839" s="35">
        <v>1.7916666666666665</v>
      </c>
      <c r="I839" s="5" t="s">
        <v>55</v>
      </c>
      <c r="J839" s="10" t="s">
        <v>4735</v>
      </c>
      <c r="K839" s="5" t="s">
        <v>108</v>
      </c>
      <c r="L839" s="5" t="s">
        <v>4736</v>
      </c>
      <c r="M839" s="5" t="s">
        <v>45</v>
      </c>
      <c r="N839" s="5">
        <v>0</v>
      </c>
      <c r="O839" s="5" t="s">
        <v>46</v>
      </c>
      <c r="P839" s="10" t="s">
        <v>146</v>
      </c>
      <c r="Q839" s="10" t="s">
        <v>3578</v>
      </c>
      <c r="R839" s="10" t="s">
        <v>148</v>
      </c>
      <c r="S839" s="5">
        <v>0</v>
      </c>
      <c r="T839" s="37" t="s">
        <v>50</v>
      </c>
      <c r="U839" s="5">
        <v>0</v>
      </c>
      <c r="V839" s="37" t="s">
        <v>50</v>
      </c>
      <c r="W839" s="5">
        <v>0</v>
      </c>
      <c r="X839" s="5">
        <v>0</v>
      </c>
      <c r="Y839" s="5">
        <v>0</v>
      </c>
      <c r="Z839" s="37" t="s">
        <v>50</v>
      </c>
      <c r="AA839" s="5">
        <v>0</v>
      </c>
      <c r="AB839" s="5">
        <v>0</v>
      </c>
      <c r="AC839" s="5">
        <v>0</v>
      </c>
      <c r="AD839" s="5">
        <v>0</v>
      </c>
      <c r="AE839" s="10" t="s">
        <v>50</v>
      </c>
      <c r="AF839" s="10"/>
      <c r="AG839" s="10" t="s">
        <v>333</v>
      </c>
      <c r="AH839" s="10" t="s">
        <v>50</v>
      </c>
      <c r="AI839" s="5">
        <v>1</v>
      </c>
      <c r="AJ839" s="10" t="s">
        <v>4737</v>
      </c>
      <c r="AK839" s="10" t="s">
        <v>4738</v>
      </c>
    </row>
    <row r="840" spans="1:37" ht="36.75" customHeight="1" x14ac:dyDescent="0.35">
      <c r="A840" s="5"/>
      <c r="B840" s="5" t="s">
        <v>887</v>
      </c>
      <c r="C840" s="73" t="str">
        <f t="shared" si="13"/>
        <v>Open</v>
      </c>
      <c r="D840" s="45" t="s">
        <v>4739</v>
      </c>
      <c r="E840" s="54" t="s">
        <v>4740</v>
      </c>
      <c r="F840" s="5" t="s">
        <v>3128</v>
      </c>
      <c r="G840" s="10">
        <f>DATE(2010,4,1)</f>
        <v>40269</v>
      </c>
      <c r="H840" s="35">
        <v>1.4958333333333333</v>
      </c>
      <c r="I840" s="5" t="s">
        <v>41</v>
      </c>
      <c r="J840" s="10" t="s">
        <v>4741</v>
      </c>
      <c r="K840" s="5" t="s">
        <v>3130</v>
      </c>
      <c r="L840" s="5" t="s">
        <v>4742</v>
      </c>
      <c r="M840" s="5" t="s">
        <v>45</v>
      </c>
      <c r="N840" s="5">
        <v>0</v>
      </c>
      <c r="O840" s="5" t="s">
        <v>59</v>
      </c>
      <c r="P840" s="10" t="s">
        <v>60</v>
      </c>
      <c r="Q840" s="10" t="s">
        <v>4743</v>
      </c>
      <c r="R840" s="10" t="s">
        <v>3133</v>
      </c>
      <c r="S840" s="5">
        <v>0</v>
      </c>
      <c r="T840" s="37" t="s">
        <v>50</v>
      </c>
      <c r="U840" s="5">
        <v>0</v>
      </c>
      <c r="V840" s="37" t="s">
        <v>50</v>
      </c>
      <c r="W840" s="5">
        <v>0</v>
      </c>
      <c r="X840" s="5">
        <v>0</v>
      </c>
      <c r="Y840" s="5">
        <v>0</v>
      </c>
      <c r="Z840" s="37" t="s">
        <v>50</v>
      </c>
      <c r="AA840" s="5">
        <v>0</v>
      </c>
      <c r="AB840" s="5">
        <v>0</v>
      </c>
      <c r="AC840" s="5">
        <v>0</v>
      </c>
      <c r="AD840" s="5">
        <v>0</v>
      </c>
      <c r="AE840" s="10" t="s">
        <v>50</v>
      </c>
      <c r="AF840" s="10"/>
      <c r="AG840" s="10" t="s">
        <v>114</v>
      </c>
      <c r="AH840" s="10" t="s">
        <v>50</v>
      </c>
      <c r="AI840" s="5">
        <v>0</v>
      </c>
      <c r="AJ840" s="10" t="s">
        <v>50</v>
      </c>
      <c r="AK840" s="10" t="s">
        <v>50</v>
      </c>
    </row>
    <row r="841" spans="1:37" ht="36.75" customHeight="1" x14ac:dyDescent="0.35">
      <c r="A841" s="5"/>
      <c r="B841" s="5" t="s">
        <v>37</v>
      </c>
      <c r="C841" s="73" t="str">
        <f t="shared" si="13"/>
        <v>Closed</v>
      </c>
      <c r="D841" s="45" t="s">
        <v>4744</v>
      </c>
      <c r="E841" s="54" t="s">
        <v>4745</v>
      </c>
      <c r="F841" s="5" t="s">
        <v>605</v>
      </c>
      <c r="G841" s="10">
        <f>DATE(2010,4,1)</f>
        <v>40269</v>
      </c>
      <c r="H841" s="35">
        <v>1.4819444444444445</v>
      </c>
      <c r="I841" s="5" t="s">
        <v>179</v>
      </c>
      <c r="J841" s="10" t="s">
        <v>4746</v>
      </c>
      <c r="K841" s="5" t="s">
        <v>607</v>
      </c>
      <c r="L841" s="5" t="s">
        <v>4747</v>
      </c>
      <c r="M841" s="5" t="s">
        <v>45</v>
      </c>
      <c r="N841" s="5">
        <v>0</v>
      </c>
      <c r="O841" s="5" t="s">
        <v>59</v>
      </c>
      <c r="P841" s="10" t="s">
        <v>1893</v>
      </c>
      <c r="Q841" s="10" t="s">
        <v>4748</v>
      </c>
      <c r="R841" s="10" t="s">
        <v>610</v>
      </c>
      <c r="S841" s="5">
        <v>0</v>
      </c>
      <c r="T841" s="37">
        <v>3</v>
      </c>
      <c r="U841" s="5">
        <v>0</v>
      </c>
      <c r="V841" s="37">
        <v>0</v>
      </c>
      <c r="W841" s="5">
        <v>0</v>
      </c>
      <c r="X841" s="5">
        <v>3</v>
      </c>
      <c r="Y841" s="5">
        <v>0</v>
      </c>
      <c r="Z841" s="37">
        <v>1</v>
      </c>
      <c r="AA841" s="5">
        <v>0</v>
      </c>
      <c r="AB841" s="5">
        <v>0</v>
      </c>
      <c r="AC841" s="5">
        <v>0</v>
      </c>
      <c r="AD841" s="5">
        <v>1</v>
      </c>
      <c r="AE841" s="10" t="s">
        <v>50</v>
      </c>
      <c r="AF841" s="10"/>
      <c r="AG841" s="10" t="s">
        <v>64</v>
      </c>
      <c r="AH841" s="10" t="s">
        <v>50</v>
      </c>
      <c r="AI841" s="5">
        <v>2</v>
      </c>
      <c r="AJ841" s="10" t="s">
        <v>4749</v>
      </c>
      <c r="AK841" s="10" t="s">
        <v>50</v>
      </c>
    </row>
    <row r="842" spans="1:37" ht="36.75" customHeight="1" x14ac:dyDescent="0.35">
      <c r="A842" s="5"/>
      <c r="B842" s="5" t="s">
        <v>37</v>
      </c>
      <c r="C842" s="73" t="str">
        <f t="shared" si="13"/>
        <v>Closed</v>
      </c>
      <c r="D842" s="45" t="s">
        <v>4750</v>
      </c>
      <c r="E842" s="54" t="s">
        <v>4751</v>
      </c>
      <c r="F842" s="5" t="s">
        <v>404</v>
      </c>
      <c r="G842" s="10">
        <f>DATE(2010,4,4)</f>
        <v>40272</v>
      </c>
      <c r="H842" s="35">
        <v>1.5826388888888889</v>
      </c>
      <c r="I842" s="5" t="s">
        <v>259</v>
      </c>
      <c r="J842" s="10" t="s">
        <v>4752</v>
      </c>
      <c r="K842" s="5" t="s">
        <v>406</v>
      </c>
      <c r="L842" s="5" t="s">
        <v>4753</v>
      </c>
      <c r="M842" s="5" t="s">
        <v>45</v>
      </c>
      <c r="N842" s="5">
        <v>0</v>
      </c>
      <c r="O842" s="5" t="s">
        <v>59</v>
      </c>
      <c r="P842" s="10" t="s">
        <v>146</v>
      </c>
      <c r="Q842" s="10" t="s">
        <v>4531</v>
      </c>
      <c r="R842" s="10" t="s">
        <v>3083</v>
      </c>
      <c r="S842" s="5">
        <v>0</v>
      </c>
      <c r="T842" s="37" t="s">
        <v>50</v>
      </c>
      <c r="U842" s="5">
        <v>0</v>
      </c>
      <c r="V842" s="37" t="s">
        <v>50</v>
      </c>
      <c r="W842" s="5">
        <v>0</v>
      </c>
      <c r="X842" s="5">
        <v>0</v>
      </c>
      <c r="Y842" s="5">
        <v>0</v>
      </c>
      <c r="Z842" s="37" t="s">
        <v>50</v>
      </c>
      <c r="AA842" s="5">
        <v>0</v>
      </c>
      <c r="AB842" s="5">
        <v>0</v>
      </c>
      <c r="AC842" s="5">
        <v>0</v>
      </c>
      <c r="AD842" s="5">
        <v>0</v>
      </c>
      <c r="AE842" s="10" t="s">
        <v>50</v>
      </c>
      <c r="AF842" s="10"/>
      <c r="AG842" s="10" t="s">
        <v>333</v>
      </c>
      <c r="AH842" s="10" t="s">
        <v>50</v>
      </c>
      <c r="AI842" s="5">
        <v>2</v>
      </c>
      <c r="AJ842" s="10" t="s">
        <v>4754</v>
      </c>
      <c r="AK842" s="10" t="s">
        <v>4755</v>
      </c>
    </row>
    <row r="843" spans="1:37" ht="36.75" customHeight="1" x14ac:dyDescent="0.35">
      <c r="A843" s="5"/>
      <c r="B843" s="5" t="s">
        <v>37</v>
      </c>
      <c r="C843" s="73" t="str">
        <f t="shared" si="13"/>
        <v>Closed</v>
      </c>
      <c r="D843" s="45" t="s">
        <v>4756</v>
      </c>
      <c r="E843" s="54" t="s">
        <v>4757</v>
      </c>
      <c r="F843" s="5" t="s">
        <v>563</v>
      </c>
      <c r="G843" s="10">
        <f>DATE(2010,4,7)</f>
        <v>40275</v>
      </c>
      <c r="H843" s="35">
        <v>1.7986111111111112</v>
      </c>
      <c r="I843" s="5" t="s">
        <v>55</v>
      </c>
      <c r="J843" s="10" t="s">
        <v>4758</v>
      </c>
      <c r="K843" s="5" t="s">
        <v>565</v>
      </c>
      <c r="L843" s="5" t="s">
        <v>4759</v>
      </c>
      <c r="M843" s="5" t="s">
        <v>45</v>
      </c>
      <c r="N843" s="5">
        <v>0</v>
      </c>
      <c r="O843" s="5" t="s">
        <v>59</v>
      </c>
      <c r="P843" s="10" t="s">
        <v>60</v>
      </c>
      <c r="Q843" s="10" t="s">
        <v>4760</v>
      </c>
      <c r="R843" s="10" t="s">
        <v>568</v>
      </c>
      <c r="S843" s="5">
        <v>0</v>
      </c>
      <c r="T843" s="37" t="s">
        <v>50</v>
      </c>
      <c r="U843" s="5">
        <v>0</v>
      </c>
      <c r="V843" s="37" t="s">
        <v>50</v>
      </c>
      <c r="W843" s="5">
        <v>0</v>
      </c>
      <c r="X843" s="5">
        <v>0</v>
      </c>
      <c r="Y843" s="5">
        <v>0</v>
      </c>
      <c r="Z843" s="37" t="s">
        <v>50</v>
      </c>
      <c r="AA843" s="5">
        <v>0</v>
      </c>
      <c r="AB843" s="5">
        <v>0</v>
      </c>
      <c r="AC843" s="5">
        <v>0</v>
      </c>
      <c r="AD843" s="5">
        <v>0</v>
      </c>
      <c r="AE843" s="10" t="s">
        <v>50</v>
      </c>
      <c r="AF843" s="10"/>
      <c r="AG843" s="10" t="s">
        <v>114</v>
      </c>
      <c r="AH843" s="10" t="s">
        <v>50</v>
      </c>
      <c r="AI843" s="5">
        <v>0</v>
      </c>
      <c r="AJ843" s="10" t="s">
        <v>4761</v>
      </c>
      <c r="AK843" s="10" t="s">
        <v>4762</v>
      </c>
    </row>
    <row r="844" spans="1:37" ht="36.75" customHeight="1" x14ac:dyDescent="0.35">
      <c r="A844" s="5"/>
      <c r="B844" s="5" t="s">
        <v>37</v>
      </c>
      <c r="C844" s="73" t="str">
        <f t="shared" si="13"/>
        <v>Closed</v>
      </c>
      <c r="D844" s="45" t="s">
        <v>4763</v>
      </c>
      <c r="E844" s="54" t="s">
        <v>4764</v>
      </c>
      <c r="F844" s="5" t="s">
        <v>1553</v>
      </c>
      <c r="G844" s="10">
        <f>DATE(2010,4,7)</f>
        <v>40275</v>
      </c>
      <c r="H844" s="35">
        <v>1.7312500000000002</v>
      </c>
      <c r="I844" s="5" t="s">
        <v>55</v>
      </c>
      <c r="J844" s="10" t="s">
        <v>4765</v>
      </c>
      <c r="K844" s="5" t="s">
        <v>1555</v>
      </c>
      <c r="L844" s="5" t="s">
        <v>4766</v>
      </c>
      <c r="M844" s="5" t="s">
        <v>45</v>
      </c>
      <c r="N844" s="5">
        <v>0</v>
      </c>
      <c r="O844" s="5" t="s">
        <v>59</v>
      </c>
      <c r="P844" s="10" t="s">
        <v>146</v>
      </c>
      <c r="Q844" s="10" t="s">
        <v>2393</v>
      </c>
      <c r="R844" s="10">
        <v>0</v>
      </c>
      <c r="S844" s="5">
        <v>0</v>
      </c>
      <c r="T844" s="37" t="s">
        <v>50</v>
      </c>
      <c r="U844" s="5">
        <v>0</v>
      </c>
      <c r="V844" s="37" t="s">
        <v>50</v>
      </c>
      <c r="W844" s="5">
        <v>0</v>
      </c>
      <c r="X844" s="5">
        <v>0</v>
      </c>
      <c r="Y844" s="5">
        <v>0</v>
      </c>
      <c r="Z844" s="37" t="s">
        <v>50</v>
      </c>
      <c r="AA844" s="5">
        <v>0</v>
      </c>
      <c r="AB844" s="5">
        <v>0</v>
      </c>
      <c r="AC844" s="5">
        <v>0</v>
      </c>
      <c r="AD844" s="5">
        <v>0</v>
      </c>
      <c r="AE844" s="10" t="s">
        <v>50</v>
      </c>
      <c r="AF844" s="10"/>
      <c r="AG844" s="10" t="s">
        <v>855</v>
      </c>
      <c r="AH844" s="10" t="s">
        <v>50</v>
      </c>
      <c r="AI844" s="5">
        <v>6</v>
      </c>
      <c r="AJ844" s="10" t="s">
        <v>4767</v>
      </c>
      <c r="AK844" s="10" t="s">
        <v>4768</v>
      </c>
    </row>
    <row r="845" spans="1:37" ht="36.75" customHeight="1" x14ac:dyDescent="0.35">
      <c r="A845" s="5"/>
      <c r="B845" s="5" t="s">
        <v>37</v>
      </c>
      <c r="C845" s="73" t="str">
        <f t="shared" si="13"/>
        <v>Closed</v>
      </c>
      <c r="D845" s="45" t="s">
        <v>4769</v>
      </c>
      <c r="E845" s="54" t="s">
        <v>4770</v>
      </c>
      <c r="F845" s="5" t="s">
        <v>619</v>
      </c>
      <c r="G845" s="10">
        <f>DATE(2010,4,8)</f>
        <v>40276</v>
      </c>
      <c r="H845" s="35">
        <v>1.4756944444444444</v>
      </c>
      <c r="I845" s="5" t="s">
        <v>179</v>
      </c>
      <c r="J845" s="10" t="s">
        <v>4771</v>
      </c>
      <c r="K845" s="5" t="s">
        <v>621</v>
      </c>
      <c r="L845" s="5" t="s">
        <v>4772</v>
      </c>
      <c r="M845" s="5" t="s">
        <v>45</v>
      </c>
      <c r="N845" s="5">
        <v>0</v>
      </c>
      <c r="O845" s="5" t="s">
        <v>71</v>
      </c>
      <c r="P845" s="10" t="s">
        <v>72</v>
      </c>
      <c r="Q845" s="10" t="s">
        <v>623</v>
      </c>
      <c r="R845" s="10" t="s">
        <v>624</v>
      </c>
      <c r="S845" s="5">
        <v>0</v>
      </c>
      <c r="T845" s="37">
        <v>1</v>
      </c>
      <c r="U845" s="5">
        <v>0</v>
      </c>
      <c r="V845" s="37">
        <v>0</v>
      </c>
      <c r="W845" s="5">
        <v>0</v>
      </c>
      <c r="X845" s="5">
        <v>1</v>
      </c>
      <c r="Y845" s="5">
        <v>0</v>
      </c>
      <c r="Z845" s="37">
        <v>0</v>
      </c>
      <c r="AA845" s="5">
        <v>0</v>
      </c>
      <c r="AB845" s="5">
        <v>0</v>
      </c>
      <c r="AC845" s="5">
        <v>0</v>
      </c>
      <c r="AD845" s="5">
        <v>0</v>
      </c>
      <c r="AE845" s="10" t="s">
        <v>50</v>
      </c>
      <c r="AF845" s="10"/>
      <c r="AG845" s="10" t="s">
        <v>333</v>
      </c>
      <c r="AH845" s="10" t="s">
        <v>50</v>
      </c>
      <c r="AI845" s="5">
        <v>1</v>
      </c>
      <c r="AJ845" s="10" t="s">
        <v>4773</v>
      </c>
      <c r="AK845" s="10" t="s">
        <v>50</v>
      </c>
    </row>
    <row r="846" spans="1:37" ht="36.75" customHeight="1" x14ac:dyDescent="0.35">
      <c r="A846" s="5"/>
      <c r="B846" s="5" t="s">
        <v>37</v>
      </c>
      <c r="C846" s="73" t="str">
        <f t="shared" si="13"/>
        <v>Closed</v>
      </c>
      <c r="D846" s="45" t="s">
        <v>4774</v>
      </c>
      <c r="E846" s="54" t="s">
        <v>4775</v>
      </c>
      <c r="F846" s="5" t="s">
        <v>563</v>
      </c>
      <c r="G846" s="10">
        <f>DATE(2010,4,13)</f>
        <v>40281</v>
      </c>
      <c r="H846" s="35">
        <v>1.3368055555555556</v>
      </c>
      <c r="I846" s="5" t="s">
        <v>97</v>
      </c>
      <c r="J846" s="10" t="s">
        <v>4776</v>
      </c>
      <c r="K846" s="5" t="s">
        <v>565</v>
      </c>
      <c r="L846" s="5" t="s">
        <v>4777</v>
      </c>
      <c r="M846" s="5" t="s">
        <v>45</v>
      </c>
      <c r="N846" s="5">
        <v>0</v>
      </c>
      <c r="O846" s="5" t="s">
        <v>46</v>
      </c>
      <c r="P846" s="10" t="s">
        <v>146</v>
      </c>
      <c r="Q846" s="10" t="s">
        <v>4467</v>
      </c>
      <c r="R846" s="10" t="s">
        <v>568</v>
      </c>
      <c r="S846" s="5">
        <v>0</v>
      </c>
      <c r="T846" s="37" t="s">
        <v>50</v>
      </c>
      <c r="U846" s="5">
        <v>0</v>
      </c>
      <c r="V846" s="37" t="s">
        <v>50</v>
      </c>
      <c r="W846" s="5">
        <v>0</v>
      </c>
      <c r="X846" s="5">
        <v>0</v>
      </c>
      <c r="Y846" s="5">
        <v>0</v>
      </c>
      <c r="Z846" s="37" t="s">
        <v>50</v>
      </c>
      <c r="AA846" s="5">
        <v>0</v>
      </c>
      <c r="AB846" s="5">
        <v>0</v>
      </c>
      <c r="AC846" s="5">
        <v>0</v>
      </c>
      <c r="AD846" s="5">
        <v>0</v>
      </c>
      <c r="AE846" s="10" t="s">
        <v>50</v>
      </c>
      <c r="AF846" s="10"/>
      <c r="AG846" s="10" t="s">
        <v>114</v>
      </c>
      <c r="AH846" s="10" t="s">
        <v>50</v>
      </c>
      <c r="AI846" s="5">
        <v>0</v>
      </c>
      <c r="AJ846" s="10" t="s">
        <v>50</v>
      </c>
      <c r="AK846" s="10" t="s">
        <v>50</v>
      </c>
    </row>
    <row r="847" spans="1:37" ht="36.75" customHeight="1" x14ac:dyDescent="0.35">
      <c r="A847" s="5"/>
      <c r="B847" s="5" t="s">
        <v>37</v>
      </c>
      <c r="C847" s="73" t="str">
        <f t="shared" si="13"/>
        <v>Closed</v>
      </c>
      <c r="D847" s="45" t="s">
        <v>4778</v>
      </c>
      <c r="E847" s="54" t="s">
        <v>4779</v>
      </c>
      <c r="F847" s="5" t="s">
        <v>1553</v>
      </c>
      <c r="G847" s="10">
        <f>DATE(2010,4,13)</f>
        <v>40281</v>
      </c>
      <c r="H847" s="35">
        <v>1.0458333333333334</v>
      </c>
      <c r="I847" s="5" t="s">
        <v>67</v>
      </c>
      <c r="J847" s="10" t="s">
        <v>4780</v>
      </c>
      <c r="K847" s="5" t="s">
        <v>1555</v>
      </c>
      <c r="L847" s="5" t="s">
        <v>4781</v>
      </c>
      <c r="M847" s="5" t="s">
        <v>45</v>
      </c>
      <c r="N847" s="5">
        <v>0</v>
      </c>
      <c r="O847" s="5" t="s">
        <v>59</v>
      </c>
      <c r="P847" s="10" t="s">
        <v>47</v>
      </c>
      <c r="Q847" s="10" t="s">
        <v>2393</v>
      </c>
      <c r="R847" s="10">
        <v>0</v>
      </c>
      <c r="S847" s="5">
        <v>0</v>
      </c>
      <c r="T847" s="37" t="s">
        <v>50</v>
      </c>
      <c r="U847" s="5">
        <v>0</v>
      </c>
      <c r="V847" s="37" t="s">
        <v>50</v>
      </c>
      <c r="W847" s="5">
        <v>0</v>
      </c>
      <c r="X847" s="5">
        <v>0</v>
      </c>
      <c r="Y847" s="5">
        <v>0</v>
      </c>
      <c r="Z847" s="37" t="s">
        <v>50</v>
      </c>
      <c r="AA847" s="5">
        <v>0</v>
      </c>
      <c r="AB847" s="5">
        <v>0</v>
      </c>
      <c r="AC847" s="5">
        <v>0</v>
      </c>
      <c r="AD847" s="5">
        <v>0</v>
      </c>
      <c r="AE847" s="10" t="s">
        <v>50</v>
      </c>
      <c r="AF847" s="10"/>
      <c r="AG847" s="10" t="s">
        <v>3790</v>
      </c>
      <c r="AH847" s="10" t="s">
        <v>50</v>
      </c>
      <c r="AI847" s="5">
        <v>0</v>
      </c>
      <c r="AJ847" s="10" t="s">
        <v>4782</v>
      </c>
      <c r="AK847" s="10" t="s">
        <v>2328</v>
      </c>
    </row>
    <row r="848" spans="1:37" ht="36.75" customHeight="1" x14ac:dyDescent="0.35">
      <c r="A848" s="5"/>
      <c r="B848" s="5" t="s">
        <v>37</v>
      </c>
      <c r="C848" s="73" t="str">
        <f t="shared" si="13"/>
        <v>Closed</v>
      </c>
      <c r="D848" s="45" t="s">
        <v>4783</v>
      </c>
      <c r="E848" s="54" t="s">
        <v>4784</v>
      </c>
      <c r="F848" s="5" t="s">
        <v>40</v>
      </c>
      <c r="G848" s="10">
        <f>DATE(2010,4,14)</f>
        <v>40282</v>
      </c>
      <c r="H848" s="35">
        <v>1.6993055555555556</v>
      </c>
      <c r="I848" s="5" t="s">
        <v>97</v>
      </c>
      <c r="J848" s="10" t="s">
        <v>4785</v>
      </c>
      <c r="K848" s="5" t="s">
        <v>43</v>
      </c>
      <c r="L848" s="5" t="s">
        <v>4786</v>
      </c>
      <c r="M848" s="5" t="s">
        <v>45</v>
      </c>
      <c r="N848" s="5" t="s">
        <v>80</v>
      </c>
      <c r="O848" s="5" t="s">
        <v>46</v>
      </c>
      <c r="P848" s="10" t="s">
        <v>146</v>
      </c>
      <c r="Q848" s="10" t="s">
        <v>48</v>
      </c>
      <c r="R848" s="10" t="s">
        <v>49</v>
      </c>
      <c r="S848" s="5">
        <v>0</v>
      </c>
      <c r="T848" s="37">
        <v>0</v>
      </c>
      <c r="U848" s="5">
        <v>1</v>
      </c>
      <c r="V848" s="37">
        <v>0</v>
      </c>
      <c r="W848" s="5">
        <v>0</v>
      </c>
      <c r="X848" s="5">
        <v>1</v>
      </c>
      <c r="Y848" s="5">
        <v>0</v>
      </c>
      <c r="Z848" s="37">
        <v>0</v>
      </c>
      <c r="AA848" s="5">
        <v>0</v>
      </c>
      <c r="AB848" s="5">
        <v>0</v>
      </c>
      <c r="AC848" s="5">
        <v>0</v>
      </c>
      <c r="AD848" s="5">
        <v>0</v>
      </c>
      <c r="AE848" s="10" t="s">
        <v>73</v>
      </c>
      <c r="AF848" s="10"/>
      <c r="AG848" s="10" t="s">
        <v>64</v>
      </c>
      <c r="AH848" s="10">
        <v>40372</v>
      </c>
      <c r="AI848" s="5">
        <v>1</v>
      </c>
      <c r="AJ848" s="10" t="s">
        <v>4787</v>
      </c>
      <c r="AK848" s="10" t="s">
        <v>4788</v>
      </c>
    </row>
    <row r="849" spans="1:37" ht="36.75" customHeight="1" x14ac:dyDescent="0.35">
      <c r="A849" s="5"/>
      <c r="B849" s="5" t="s">
        <v>37</v>
      </c>
      <c r="C849" s="73" t="str">
        <f t="shared" si="13"/>
        <v>Closed</v>
      </c>
      <c r="D849" s="45" t="s">
        <v>4789</v>
      </c>
      <c r="E849" s="54" t="s">
        <v>4790</v>
      </c>
      <c r="F849" s="5" t="s">
        <v>2581</v>
      </c>
      <c r="G849" s="10">
        <f>DATE(2010,4,15)</f>
        <v>40283</v>
      </c>
      <c r="H849" s="35">
        <v>1.4805555555555556</v>
      </c>
      <c r="I849" s="5" t="s">
        <v>97</v>
      </c>
      <c r="J849" s="10" t="s">
        <v>4791</v>
      </c>
      <c r="K849" s="5" t="s">
        <v>2583</v>
      </c>
      <c r="L849" s="5" t="s">
        <v>4792</v>
      </c>
      <c r="M849" s="5" t="s">
        <v>45</v>
      </c>
      <c r="N849" s="5">
        <v>0</v>
      </c>
      <c r="O849" s="5" t="s">
        <v>46</v>
      </c>
      <c r="P849" s="10" t="s">
        <v>60</v>
      </c>
      <c r="Q849" s="10" t="s">
        <v>4793</v>
      </c>
      <c r="R849" s="10" t="s">
        <v>2586</v>
      </c>
      <c r="S849" s="5">
        <v>0</v>
      </c>
      <c r="T849" s="37">
        <v>0</v>
      </c>
      <c r="U849" s="5">
        <v>2</v>
      </c>
      <c r="V849" s="37">
        <v>0</v>
      </c>
      <c r="W849" s="5">
        <v>0</v>
      </c>
      <c r="X849" s="5">
        <v>2</v>
      </c>
      <c r="Y849" s="5">
        <v>0</v>
      </c>
      <c r="Z849" s="37">
        <v>0</v>
      </c>
      <c r="AA849" s="5">
        <v>1</v>
      </c>
      <c r="AB849" s="5">
        <v>0</v>
      </c>
      <c r="AC849" s="5">
        <v>0</v>
      </c>
      <c r="AD849" s="5">
        <v>1</v>
      </c>
      <c r="AE849" s="10" t="s">
        <v>50</v>
      </c>
      <c r="AF849" s="10"/>
      <c r="AG849" s="10" t="s">
        <v>64</v>
      </c>
      <c r="AH849" s="10" t="s">
        <v>50</v>
      </c>
      <c r="AI849" s="5">
        <v>3</v>
      </c>
      <c r="AJ849" s="10" t="s">
        <v>50</v>
      </c>
      <c r="AK849" s="10" t="s">
        <v>50</v>
      </c>
    </row>
    <row r="850" spans="1:37" ht="36.75" customHeight="1" x14ac:dyDescent="0.35">
      <c r="A850" s="5"/>
      <c r="B850" s="5" t="s">
        <v>37</v>
      </c>
      <c r="C850" s="73" t="str">
        <f t="shared" si="13"/>
        <v>Closed</v>
      </c>
      <c r="D850" s="45" t="s">
        <v>4794</v>
      </c>
      <c r="E850" s="54" t="s">
        <v>4795</v>
      </c>
      <c r="F850" s="5" t="s">
        <v>404</v>
      </c>
      <c r="G850" s="10">
        <f>DATE(2010,4,16)</f>
        <v>40284</v>
      </c>
      <c r="H850" s="35">
        <v>1.4590277777777778</v>
      </c>
      <c r="I850" s="5" t="s">
        <v>179</v>
      </c>
      <c r="J850" s="10" t="s">
        <v>4796</v>
      </c>
      <c r="K850" s="5" t="s">
        <v>406</v>
      </c>
      <c r="L850" s="5" t="s">
        <v>4797</v>
      </c>
      <c r="M850" s="5" t="s">
        <v>45</v>
      </c>
      <c r="N850" s="5">
        <v>0</v>
      </c>
      <c r="O850" s="5" t="s">
        <v>59</v>
      </c>
      <c r="P850" s="10" t="s">
        <v>60</v>
      </c>
      <c r="Q850" s="10" t="s">
        <v>2562</v>
      </c>
      <c r="R850" s="10" t="s">
        <v>3083</v>
      </c>
      <c r="S850" s="5">
        <v>0</v>
      </c>
      <c r="T850" s="37" t="s">
        <v>50</v>
      </c>
      <c r="U850" s="5">
        <v>0</v>
      </c>
      <c r="V850" s="37" t="s">
        <v>50</v>
      </c>
      <c r="W850" s="5">
        <v>0</v>
      </c>
      <c r="X850" s="5">
        <v>0</v>
      </c>
      <c r="Y850" s="5">
        <v>0</v>
      </c>
      <c r="Z850" s="37" t="s">
        <v>50</v>
      </c>
      <c r="AA850" s="5">
        <v>0</v>
      </c>
      <c r="AB850" s="5">
        <v>0</v>
      </c>
      <c r="AC850" s="5">
        <v>0</v>
      </c>
      <c r="AD850" s="5">
        <v>0</v>
      </c>
      <c r="AE850" s="10" t="s">
        <v>50</v>
      </c>
      <c r="AF850" s="10"/>
      <c r="AG850" s="10" t="s">
        <v>114</v>
      </c>
      <c r="AH850" s="10" t="s">
        <v>50</v>
      </c>
      <c r="AI850" s="5">
        <v>3</v>
      </c>
      <c r="AJ850" s="10" t="s">
        <v>4798</v>
      </c>
      <c r="AK850" s="10" t="s">
        <v>4799</v>
      </c>
    </row>
    <row r="851" spans="1:37" ht="36.75" customHeight="1" x14ac:dyDescent="0.35">
      <c r="A851" s="5"/>
      <c r="B851" s="5" t="s">
        <v>37</v>
      </c>
      <c r="C851" s="73" t="str">
        <f t="shared" si="13"/>
        <v>Closed</v>
      </c>
      <c r="D851" s="45" t="s">
        <v>4800</v>
      </c>
      <c r="E851" s="54" t="s">
        <v>4801</v>
      </c>
      <c r="F851" s="5" t="s">
        <v>1730</v>
      </c>
      <c r="G851" s="10">
        <f>DATE(2010,4,16)</f>
        <v>40284</v>
      </c>
      <c r="H851" s="35">
        <v>1.3423611111111111</v>
      </c>
      <c r="I851" s="5" t="s">
        <v>97</v>
      </c>
      <c r="J851" s="10" t="s">
        <v>4802</v>
      </c>
      <c r="K851" s="5" t="s">
        <v>1732</v>
      </c>
      <c r="L851" s="5" t="s">
        <v>4803</v>
      </c>
      <c r="M851" s="5" t="s">
        <v>45</v>
      </c>
      <c r="N851" s="5">
        <v>0</v>
      </c>
      <c r="O851" s="5" t="s">
        <v>46</v>
      </c>
      <c r="P851" s="10" t="s">
        <v>67</v>
      </c>
      <c r="Q851" s="10" t="s">
        <v>1734</v>
      </c>
      <c r="R851" s="10" t="s">
        <v>1735</v>
      </c>
      <c r="S851" s="5">
        <v>0</v>
      </c>
      <c r="T851" s="37">
        <v>0</v>
      </c>
      <c r="U851" s="5">
        <v>1</v>
      </c>
      <c r="V851" s="37">
        <v>0</v>
      </c>
      <c r="W851" s="5">
        <v>0</v>
      </c>
      <c r="X851" s="5">
        <v>1</v>
      </c>
      <c r="Y851" s="5">
        <v>0</v>
      </c>
      <c r="Z851" s="37">
        <v>0</v>
      </c>
      <c r="AA851" s="5">
        <v>0</v>
      </c>
      <c r="AB851" s="5">
        <v>0</v>
      </c>
      <c r="AC851" s="5">
        <v>0</v>
      </c>
      <c r="AD851" s="5">
        <v>0</v>
      </c>
      <c r="AE851" s="10" t="s">
        <v>50</v>
      </c>
      <c r="AF851" s="10"/>
      <c r="AG851" s="10" t="s">
        <v>229</v>
      </c>
      <c r="AH851" s="10" t="s">
        <v>50</v>
      </c>
      <c r="AI851" s="5">
        <v>5</v>
      </c>
      <c r="AJ851" s="10" t="s">
        <v>4804</v>
      </c>
      <c r="AK851" s="10" t="s">
        <v>4805</v>
      </c>
    </row>
    <row r="852" spans="1:37" ht="36.75" customHeight="1" x14ac:dyDescent="0.35">
      <c r="A852" s="5"/>
      <c r="B852" s="5" t="s">
        <v>37</v>
      </c>
      <c r="C852" s="73" t="str">
        <f t="shared" si="13"/>
        <v>Closed</v>
      </c>
      <c r="D852" s="45" t="s">
        <v>4806</v>
      </c>
      <c r="E852" s="54" t="s">
        <v>4807</v>
      </c>
      <c r="F852" s="5" t="s">
        <v>563</v>
      </c>
      <c r="G852" s="10">
        <f>DATE(2010,4,17)</f>
        <v>40285</v>
      </c>
      <c r="H852" s="35">
        <v>1.4798611111111111</v>
      </c>
      <c r="I852" s="5" t="s">
        <v>137</v>
      </c>
      <c r="J852" s="10" t="s">
        <v>4808</v>
      </c>
      <c r="K852" s="5" t="s">
        <v>565</v>
      </c>
      <c r="L852" s="5" t="s">
        <v>4809</v>
      </c>
      <c r="M852" s="5" t="s">
        <v>45</v>
      </c>
      <c r="N852" s="5" t="s">
        <v>123</v>
      </c>
      <c r="O852" s="5" t="s">
        <v>46</v>
      </c>
      <c r="P852" s="10" t="s">
        <v>443</v>
      </c>
      <c r="Q852" s="10" t="s">
        <v>4810</v>
      </c>
      <c r="R852" s="10" t="s">
        <v>568</v>
      </c>
      <c r="S852" s="5">
        <v>0</v>
      </c>
      <c r="T852" s="37">
        <v>0</v>
      </c>
      <c r="U852" s="5">
        <v>0</v>
      </c>
      <c r="V852" s="37">
        <v>0</v>
      </c>
      <c r="W852" s="5">
        <v>0</v>
      </c>
      <c r="X852" s="5">
        <v>0</v>
      </c>
      <c r="Y852" s="5">
        <v>0</v>
      </c>
      <c r="Z852" s="37">
        <v>0</v>
      </c>
      <c r="AA852" s="5">
        <v>0</v>
      </c>
      <c r="AB852" s="5">
        <v>0</v>
      </c>
      <c r="AC852" s="5">
        <v>0</v>
      </c>
      <c r="AD852" s="5">
        <v>0</v>
      </c>
      <c r="AE852" s="10" t="s">
        <v>50</v>
      </c>
      <c r="AF852" s="10"/>
      <c r="AG852" s="10" t="s">
        <v>114</v>
      </c>
      <c r="AH852" s="10">
        <v>40287</v>
      </c>
      <c r="AI852" s="5">
        <v>0</v>
      </c>
      <c r="AJ852" s="10" t="s">
        <v>4811</v>
      </c>
      <c r="AK852" s="10" t="s">
        <v>1215</v>
      </c>
    </row>
    <row r="853" spans="1:37" ht="36.75" customHeight="1" x14ac:dyDescent="0.35">
      <c r="A853" s="5"/>
      <c r="B853" s="5" t="s">
        <v>37</v>
      </c>
      <c r="C853" s="73" t="str">
        <f t="shared" si="13"/>
        <v>Closed</v>
      </c>
      <c r="D853" s="45" t="s">
        <v>4812</v>
      </c>
      <c r="E853" s="54" t="s">
        <v>4813</v>
      </c>
      <c r="F853" s="5" t="s">
        <v>816</v>
      </c>
      <c r="G853" s="10">
        <f>DATE(2010,4,19)</f>
        <v>40287</v>
      </c>
      <c r="H853" s="35">
        <v>1.8576388888888888</v>
      </c>
      <c r="I853" s="5" t="s">
        <v>55</v>
      </c>
      <c r="J853" s="10" t="s">
        <v>4814</v>
      </c>
      <c r="K853" s="5" t="s">
        <v>818</v>
      </c>
      <c r="L853" s="5" t="s">
        <v>4815</v>
      </c>
      <c r="M853" s="5" t="s">
        <v>45</v>
      </c>
      <c r="N853" s="5">
        <v>0</v>
      </c>
      <c r="O853" s="5" t="s">
        <v>46</v>
      </c>
      <c r="P853" s="10" t="s">
        <v>47</v>
      </c>
      <c r="Q853" s="10" t="s">
        <v>2142</v>
      </c>
      <c r="R853" s="10" t="s">
        <v>821</v>
      </c>
      <c r="S853" s="5">
        <v>0</v>
      </c>
      <c r="T853" s="37">
        <v>0</v>
      </c>
      <c r="U853" s="5">
        <v>0</v>
      </c>
      <c r="V853" s="37">
        <v>0</v>
      </c>
      <c r="W853" s="5">
        <v>0</v>
      </c>
      <c r="X853" s="5">
        <v>0</v>
      </c>
      <c r="Y853" s="5">
        <v>0</v>
      </c>
      <c r="Z853" s="37">
        <v>0</v>
      </c>
      <c r="AA853" s="5">
        <v>0</v>
      </c>
      <c r="AB853" s="5">
        <v>0</v>
      </c>
      <c r="AC853" s="5">
        <v>0</v>
      </c>
      <c r="AD853" s="5">
        <v>0</v>
      </c>
      <c r="AE853" s="10" t="s">
        <v>73</v>
      </c>
      <c r="AF853" s="10"/>
      <c r="AG853" s="10" t="s">
        <v>333</v>
      </c>
      <c r="AH853" s="10">
        <v>40325</v>
      </c>
      <c r="AI853" s="5">
        <v>0</v>
      </c>
      <c r="AJ853" s="10" t="s">
        <v>4816</v>
      </c>
      <c r="AK853" s="10" t="s">
        <v>4817</v>
      </c>
    </row>
    <row r="854" spans="1:37" ht="36.75" customHeight="1" x14ac:dyDescent="0.35">
      <c r="A854" s="5"/>
      <c r="B854" s="5" t="s">
        <v>37</v>
      </c>
      <c r="C854" s="73" t="str">
        <f t="shared" si="13"/>
        <v>Closed</v>
      </c>
      <c r="D854" s="45" t="s">
        <v>4818</v>
      </c>
      <c r="E854" s="54" t="s">
        <v>4819</v>
      </c>
      <c r="F854" s="5" t="s">
        <v>40</v>
      </c>
      <c r="G854" s="10">
        <f>DATE(2010,4,26)</f>
        <v>40294</v>
      </c>
      <c r="H854" s="35">
        <v>1.7152777777777777</v>
      </c>
      <c r="I854" s="5" t="s">
        <v>55</v>
      </c>
      <c r="J854" s="10" t="s">
        <v>4820</v>
      </c>
      <c r="K854" s="5" t="s">
        <v>43</v>
      </c>
      <c r="L854" s="5" t="s">
        <v>4821</v>
      </c>
      <c r="M854" s="5" t="s">
        <v>45</v>
      </c>
      <c r="N854" s="5" t="s">
        <v>70</v>
      </c>
      <c r="O854" s="5" t="s">
        <v>59</v>
      </c>
      <c r="P854" s="10" t="s">
        <v>146</v>
      </c>
      <c r="Q854" s="10" t="s">
        <v>48</v>
      </c>
      <c r="R854" s="10" t="s">
        <v>49</v>
      </c>
      <c r="S854" s="5">
        <v>0</v>
      </c>
      <c r="T854" s="37">
        <v>0</v>
      </c>
      <c r="U854" s="5">
        <v>0</v>
      </c>
      <c r="V854" s="37">
        <v>0</v>
      </c>
      <c r="W854" s="5">
        <v>0</v>
      </c>
      <c r="X854" s="5">
        <v>0</v>
      </c>
      <c r="Y854" s="5">
        <v>0</v>
      </c>
      <c r="Z854" s="37">
        <v>0</v>
      </c>
      <c r="AA854" s="5">
        <v>0</v>
      </c>
      <c r="AB854" s="5">
        <v>0</v>
      </c>
      <c r="AC854" s="5">
        <v>0</v>
      </c>
      <c r="AD854" s="5">
        <v>0</v>
      </c>
      <c r="AE854" s="10" t="s">
        <v>375</v>
      </c>
      <c r="AF854" s="10"/>
      <c r="AG854" s="10" t="s">
        <v>114</v>
      </c>
      <c r="AH854" s="10">
        <v>40296</v>
      </c>
      <c r="AI854" s="5">
        <v>2</v>
      </c>
      <c r="AJ854" s="10" t="s">
        <v>4822</v>
      </c>
      <c r="AK854" s="10" t="s">
        <v>4823</v>
      </c>
    </row>
    <row r="855" spans="1:37" ht="36.75" customHeight="1" x14ac:dyDescent="0.35">
      <c r="A855" s="5"/>
      <c r="B855" s="5" t="s">
        <v>37</v>
      </c>
      <c r="C855" s="73" t="str">
        <f t="shared" si="13"/>
        <v>Closed</v>
      </c>
      <c r="D855" s="45" t="s">
        <v>4824</v>
      </c>
      <c r="E855" s="54" t="s">
        <v>4825</v>
      </c>
      <c r="F855" s="5" t="s">
        <v>105</v>
      </c>
      <c r="G855" s="10">
        <f>DATE(2010,4,26)</f>
        <v>40294</v>
      </c>
      <c r="H855" s="35">
        <v>1.1666666666666667</v>
      </c>
      <c r="I855" s="5" t="s">
        <v>55</v>
      </c>
      <c r="J855" s="10" t="s">
        <v>4826</v>
      </c>
      <c r="K855" s="5" t="s">
        <v>108</v>
      </c>
      <c r="L855" s="5" t="s">
        <v>4827</v>
      </c>
      <c r="M855" s="5" t="s">
        <v>45</v>
      </c>
      <c r="N855" s="5">
        <v>0</v>
      </c>
      <c r="O855" s="5" t="s">
        <v>59</v>
      </c>
      <c r="P855" s="10" t="s">
        <v>47</v>
      </c>
      <c r="Q855" s="10" t="s">
        <v>210</v>
      </c>
      <c r="R855" s="10" t="s">
        <v>148</v>
      </c>
      <c r="S855" s="5">
        <v>0</v>
      </c>
      <c r="T855" s="37" t="s">
        <v>50</v>
      </c>
      <c r="U855" s="5">
        <v>0</v>
      </c>
      <c r="V855" s="37" t="s">
        <v>50</v>
      </c>
      <c r="W855" s="5">
        <v>0</v>
      </c>
      <c r="X855" s="5">
        <v>0</v>
      </c>
      <c r="Y855" s="5">
        <v>0</v>
      </c>
      <c r="Z855" s="37" t="s">
        <v>50</v>
      </c>
      <c r="AA855" s="5">
        <v>0</v>
      </c>
      <c r="AB855" s="5">
        <v>0</v>
      </c>
      <c r="AC855" s="5">
        <v>0</v>
      </c>
      <c r="AD855" s="5">
        <v>0</v>
      </c>
      <c r="AE855" s="10" t="s">
        <v>50</v>
      </c>
      <c r="AF855" s="10"/>
      <c r="AG855" s="10" t="s">
        <v>114</v>
      </c>
      <c r="AH855" s="10" t="s">
        <v>50</v>
      </c>
      <c r="AI855" s="5">
        <v>1</v>
      </c>
      <c r="AJ855" s="10" t="s">
        <v>50</v>
      </c>
      <c r="AK855" s="10" t="s">
        <v>50</v>
      </c>
    </row>
    <row r="856" spans="1:37" ht="36.75" customHeight="1" x14ac:dyDescent="0.35">
      <c r="A856" s="5"/>
      <c r="B856" s="5" t="s">
        <v>37</v>
      </c>
      <c r="C856" s="73" t="str">
        <f t="shared" si="13"/>
        <v>Closed</v>
      </c>
      <c r="D856" s="45" t="s">
        <v>4828</v>
      </c>
      <c r="E856" s="54" t="s">
        <v>4829</v>
      </c>
      <c r="F856" s="5" t="s">
        <v>816</v>
      </c>
      <c r="G856" s="10">
        <f>DATE(2010,4,29)</f>
        <v>40297</v>
      </c>
      <c r="H856" s="35">
        <v>1.53125</v>
      </c>
      <c r="I856" s="5" t="s">
        <v>97</v>
      </c>
      <c r="J856" s="10" t="s">
        <v>4830</v>
      </c>
      <c r="K856" s="5" t="s">
        <v>818</v>
      </c>
      <c r="L856" s="5" t="s">
        <v>4831</v>
      </c>
      <c r="M856" s="5" t="s">
        <v>45</v>
      </c>
      <c r="N856" s="5">
        <v>0</v>
      </c>
      <c r="O856" s="5" t="s">
        <v>46</v>
      </c>
      <c r="P856" s="10" t="s">
        <v>146</v>
      </c>
      <c r="Q856" s="10" t="s">
        <v>2142</v>
      </c>
      <c r="R856" s="10" t="s">
        <v>821</v>
      </c>
      <c r="S856" s="5">
        <v>0</v>
      </c>
      <c r="T856" s="37">
        <v>0</v>
      </c>
      <c r="U856" s="5">
        <v>0</v>
      </c>
      <c r="V856" s="37">
        <v>0</v>
      </c>
      <c r="W856" s="5">
        <v>0</v>
      </c>
      <c r="X856" s="5">
        <v>0</v>
      </c>
      <c r="Y856" s="5">
        <v>0</v>
      </c>
      <c r="Z856" s="37">
        <v>0</v>
      </c>
      <c r="AA856" s="5">
        <v>2</v>
      </c>
      <c r="AB856" s="5">
        <v>0</v>
      </c>
      <c r="AC856" s="5">
        <v>0</v>
      </c>
      <c r="AD856" s="5">
        <v>2</v>
      </c>
      <c r="AE856" s="10" t="s">
        <v>50</v>
      </c>
      <c r="AF856" s="10"/>
      <c r="AG856" s="10" t="s">
        <v>333</v>
      </c>
      <c r="AH856" s="10" t="s">
        <v>50</v>
      </c>
      <c r="AI856" s="5">
        <v>1</v>
      </c>
      <c r="AJ856" s="10" t="s">
        <v>50</v>
      </c>
      <c r="AK856" s="10" t="s">
        <v>50</v>
      </c>
    </row>
    <row r="857" spans="1:37" ht="36.75" customHeight="1" x14ac:dyDescent="0.35">
      <c r="A857" s="5"/>
      <c r="B857" s="5" t="s">
        <v>37</v>
      </c>
      <c r="C857" s="73" t="str">
        <f t="shared" si="13"/>
        <v>Closed</v>
      </c>
      <c r="D857" s="45" t="s">
        <v>4832</v>
      </c>
      <c r="E857" s="54" t="s">
        <v>4833</v>
      </c>
      <c r="F857" s="5" t="s">
        <v>214</v>
      </c>
      <c r="G857" s="10">
        <f>DATE(2010,5,4)</f>
        <v>40302</v>
      </c>
      <c r="H857" s="35">
        <v>1.0173611111111112</v>
      </c>
      <c r="I857" s="5" t="s">
        <v>67</v>
      </c>
      <c r="J857" s="10" t="s">
        <v>4834</v>
      </c>
      <c r="K857" s="5" t="s">
        <v>216</v>
      </c>
      <c r="L857" s="5" t="s">
        <v>4835</v>
      </c>
      <c r="M857" s="5" t="s">
        <v>45</v>
      </c>
      <c r="N857" s="5">
        <v>0</v>
      </c>
      <c r="O857" s="5" t="s">
        <v>67</v>
      </c>
      <c r="P857" s="10" t="s">
        <v>67</v>
      </c>
      <c r="Q857" s="10" t="s">
        <v>4022</v>
      </c>
      <c r="R857" s="10" t="s">
        <v>219</v>
      </c>
      <c r="S857" s="5">
        <v>0</v>
      </c>
      <c r="T857" s="37" t="s">
        <v>50</v>
      </c>
      <c r="U857" s="5">
        <v>0</v>
      </c>
      <c r="V857" s="37" t="s">
        <v>50</v>
      </c>
      <c r="W857" s="5">
        <v>0</v>
      </c>
      <c r="X857" s="5">
        <v>0</v>
      </c>
      <c r="Y857" s="5">
        <v>0</v>
      </c>
      <c r="Z857" s="37" t="s">
        <v>50</v>
      </c>
      <c r="AA857" s="5">
        <v>0</v>
      </c>
      <c r="AB857" s="5">
        <v>0</v>
      </c>
      <c r="AC857" s="5">
        <v>0</v>
      </c>
      <c r="AD857" s="5">
        <v>0</v>
      </c>
      <c r="AE857" s="10" t="s">
        <v>50</v>
      </c>
      <c r="AF857" s="10"/>
      <c r="AG857" s="10" t="s">
        <v>229</v>
      </c>
      <c r="AH857" s="10" t="s">
        <v>50</v>
      </c>
      <c r="AI857" s="5">
        <v>6</v>
      </c>
      <c r="AJ857" s="10" t="s">
        <v>4836</v>
      </c>
      <c r="AK857" s="10" t="s">
        <v>4837</v>
      </c>
    </row>
    <row r="858" spans="1:37" ht="36.75" customHeight="1" x14ac:dyDescent="0.35">
      <c r="A858" s="5"/>
      <c r="B858" s="5" t="s">
        <v>37</v>
      </c>
      <c r="C858" s="73" t="str">
        <f t="shared" si="13"/>
        <v>Closed</v>
      </c>
      <c r="D858" s="45" t="s">
        <v>4838</v>
      </c>
      <c r="E858" s="54" t="s">
        <v>4839</v>
      </c>
      <c r="F858" s="5" t="s">
        <v>178</v>
      </c>
      <c r="G858" s="10">
        <f>DATE(2010,5,7)</f>
        <v>40305</v>
      </c>
      <c r="H858" s="35">
        <v>1.6208333333333333</v>
      </c>
      <c r="I858" s="5" t="s">
        <v>259</v>
      </c>
      <c r="J858" s="10" t="s">
        <v>4840</v>
      </c>
      <c r="K858" s="5" t="s">
        <v>181</v>
      </c>
      <c r="L858" s="5" t="s">
        <v>4841</v>
      </c>
      <c r="M858" s="5" t="s">
        <v>110</v>
      </c>
      <c r="N858" s="5">
        <v>0</v>
      </c>
      <c r="O858" s="5" t="s">
        <v>59</v>
      </c>
      <c r="P858" s="10" t="s">
        <v>67</v>
      </c>
      <c r="Q858" s="10" t="s">
        <v>4842</v>
      </c>
      <c r="R858" s="10">
        <v>0</v>
      </c>
      <c r="S858" s="5">
        <v>0</v>
      </c>
      <c r="T858" s="37">
        <v>0</v>
      </c>
      <c r="U858" s="5">
        <v>0</v>
      </c>
      <c r="V858" s="37">
        <v>0</v>
      </c>
      <c r="W858" s="5">
        <v>0</v>
      </c>
      <c r="X858" s="5">
        <v>0</v>
      </c>
      <c r="Y858" s="5">
        <v>1</v>
      </c>
      <c r="Z858" s="37">
        <v>0</v>
      </c>
      <c r="AA858" s="5">
        <v>0</v>
      </c>
      <c r="AB858" s="5">
        <v>0</v>
      </c>
      <c r="AC858" s="5">
        <v>0</v>
      </c>
      <c r="AD858" s="5">
        <v>1</v>
      </c>
      <c r="AE858" s="10" t="s">
        <v>50</v>
      </c>
      <c r="AF858" s="10"/>
      <c r="AG858" s="10" t="s">
        <v>376</v>
      </c>
      <c r="AH858" s="10" t="s">
        <v>50</v>
      </c>
      <c r="AI858" s="5">
        <v>0</v>
      </c>
      <c r="AJ858" s="10" t="s">
        <v>4843</v>
      </c>
      <c r="AK858" s="10" t="s">
        <v>50</v>
      </c>
    </row>
    <row r="859" spans="1:37" ht="36.75" customHeight="1" x14ac:dyDescent="0.35">
      <c r="A859" s="5"/>
      <c r="B859" s="5" t="s">
        <v>37</v>
      </c>
      <c r="C859" s="73" t="str">
        <f t="shared" si="13"/>
        <v>Closed</v>
      </c>
      <c r="D859" s="45" t="s">
        <v>4844</v>
      </c>
      <c r="E859" s="54" t="s">
        <v>4845</v>
      </c>
      <c r="F859" s="5" t="s">
        <v>1919</v>
      </c>
      <c r="G859" s="10">
        <f>DATE(2010,5,7)</f>
        <v>40305</v>
      </c>
      <c r="H859" s="35">
        <v>1.9513888888888888</v>
      </c>
      <c r="I859" s="5" t="s">
        <v>67</v>
      </c>
      <c r="J859" s="10" t="s">
        <v>4846</v>
      </c>
      <c r="K859" s="5" t="s">
        <v>1921</v>
      </c>
      <c r="L859" s="5" t="s">
        <v>4847</v>
      </c>
      <c r="M859" s="5" t="s">
        <v>45</v>
      </c>
      <c r="N859" s="5">
        <v>0</v>
      </c>
      <c r="O859" s="5" t="s">
        <v>59</v>
      </c>
      <c r="P859" s="10" t="s">
        <v>146</v>
      </c>
      <c r="Q859" s="10" t="s">
        <v>1923</v>
      </c>
      <c r="R859" s="10" t="s">
        <v>1923</v>
      </c>
      <c r="S859" s="5">
        <v>0</v>
      </c>
      <c r="T859" s="37" t="s">
        <v>50</v>
      </c>
      <c r="U859" s="5">
        <v>0</v>
      </c>
      <c r="V859" s="37" t="s">
        <v>50</v>
      </c>
      <c r="W859" s="5">
        <v>0</v>
      </c>
      <c r="X859" s="5">
        <v>0</v>
      </c>
      <c r="Y859" s="5">
        <v>0</v>
      </c>
      <c r="Z859" s="37" t="s">
        <v>50</v>
      </c>
      <c r="AA859" s="5">
        <v>0</v>
      </c>
      <c r="AB859" s="5">
        <v>0</v>
      </c>
      <c r="AC859" s="5">
        <v>0</v>
      </c>
      <c r="AD859" s="5">
        <v>0</v>
      </c>
      <c r="AE859" s="10" t="s">
        <v>50</v>
      </c>
      <c r="AF859" s="10"/>
      <c r="AG859" s="10" t="s">
        <v>114</v>
      </c>
      <c r="AH859" s="10" t="s">
        <v>50</v>
      </c>
      <c r="AI859" s="5">
        <v>3</v>
      </c>
      <c r="AJ859" s="10" t="s">
        <v>4848</v>
      </c>
      <c r="AK859" s="10" t="s">
        <v>4849</v>
      </c>
    </row>
    <row r="860" spans="1:37" ht="36.75" customHeight="1" x14ac:dyDescent="0.35">
      <c r="A860" s="5"/>
      <c r="B860" s="5" t="s">
        <v>37</v>
      </c>
      <c r="C860" s="73" t="str">
        <f t="shared" si="13"/>
        <v>Closed</v>
      </c>
      <c r="D860" s="45" t="s">
        <v>4850</v>
      </c>
      <c r="E860" s="54" t="s">
        <v>4851</v>
      </c>
      <c r="F860" s="5" t="s">
        <v>214</v>
      </c>
      <c r="G860" s="10">
        <f>DATE(2010,5,12)</f>
        <v>40310</v>
      </c>
      <c r="H860" s="35">
        <v>1.2291666666666667</v>
      </c>
      <c r="I860" s="5" t="s">
        <v>55</v>
      </c>
      <c r="J860" s="10" t="s">
        <v>4852</v>
      </c>
      <c r="K860" s="5" t="s">
        <v>216</v>
      </c>
      <c r="L860" s="5" t="s">
        <v>4853</v>
      </c>
      <c r="M860" s="5" t="s">
        <v>110</v>
      </c>
      <c r="N860" s="5">
        <v>0</v>
      </c>
      <c r="O860" s="5" t="s">
        <v>46</v>
      </c>
      <c r="P860" s="10" t="s">
        <v>282</v>
      </c>
      <c r="Q860" s="10" t="s">
        <v>4854</v>
      </c>
      <c r="R860" s="10" t="s">
        <v>664</v>
      </c>
      <c r="S860" s="5">
        <v>0</v>
      </c>
      <c r="T860" s="37" t="s">
        <v>50</v>
      </c>
      <c r="U860" s="5">
        <v>0</v>
      </c>
      <c r="V860" s="37" t="s">
        <v>50</v>
      </c>
      <c r="W860" s="5">
        <v>0</v>
      </c>
      <c r="X860" s="5">
        <v>0</v>
      </c>
      <c r="Y860" s="5">
        <v>0</v>
      </c>
      <c r="Z860" s="37" t="s">
        <v>50</v>
      </c>
      <c r="AA860" s="5">
        <v>0</v>
      </c>
      <c r="AB860" s="5">
        <v>0</v>
      </c>
      <c r="AC860" s="5">
        <v>0</v>
      </c>
      <c r="AD860" s="5">
        <v>0</v>
      </c>
      <c r="AE860" s="10" t="s">
        <v>50</v>
      </c>
      <c r="AF860" s="10"/>
      <c r="AG860" s="10" t="s">
        <v>114</v>
      </c>
      <c r="AH860" s="10" t="s">
        <v>50</v>
      </c>
      <c r="AI860" s="5">
        <v>9</v>
      </c>
      <c r="AJ860" s="10" t="s">
        <v>4855</v>
      </c>
      <c r="AK860" s="10" t="s">
        <v>4856</v>
      </c>
    </row>
    <row r="861" spans="1:37" ht="36.75" customHeight="1" x14ac:dyDescent="0.35">
      <c r="A861" s="5"/>
      <c r="B861" s="5" t="s">
        <v>37</v>
      </c>
      <c r="C861" s="73" t="str">
        <f t="shared" si="13"/>
        <v>Closed</v>
      </c>
      <c r="D861" s="45" t="s">
        <v>4857</v>
      </c>
      <c r="E861" s="54" t="s">
        <v>4858</v>
      </c>
      <c r="F861" s="5" t="s">
        <v>40</v>
      </c>
      <c r="G861" s="10">
        <f>DATE(2010,5,16)</f>
        <v>40314</v>
      </c>
      <c r="H861" s="35">
        <v>1.8312499999999998</v>
      </c>
      <c r="I861" s="5" t="s">
        <v>97</v>
      </c>
      <c r="J861" s="10" t="s">
        <v>3765</v>
      </c>
      <c r="K861" s="5" t="s">
        <v>43</v>
      </c>
      <c r="L861" s="5" t="s">
        <v>4859</v>
      </c>
      <c r="M861" s="5" t="s">
        <v>45</v>
      </c>
      <c r="N861" s="5">
        <v>0</v>
      </c>
      <c r="O861" s="5" t="s">
        <v>46</v>
      </c>
      <c r="P861" s="10" t="s">
        <v>60</v>
      </c>
      <c r="Q861" s="10" t="s">
        <v>48</v>
      </c>
      <c r="R861" s="10" t="s">
        <v>49</v>
      </c>
      <c r="S861" s="5">
        <v>0</v>
      </c>
      <c r="T861" s="37">
        <v>0</v>
      </c>
      <c r="U861" s="5">
        <v>2</v>
      </c>
      <c r="V861" s="37">
        <v>0</v>
      </c>
      <c r="W861" s="5">
        <v>0</v>
      </c>
      <c r="X861" s="5">
        <v>2</v>
      </c>
      <c r="Y861" s="5">
        <v>0</v>
      </c>
      <c r="Z861" s="37">
        <v>0</v>
      </c>
      <c r="AA861" s="5">
        <v>0</v>
      </c>
      <c r="AB861" s="5">
        <v>0</v>
      </c>
      <c r="AC861" s="5">
        <v>0</v>
      </c>
      <c r="AD861" s="5">
        <v>0</v>
      </c>
      <c r="AE861" s="10" t="s">
        <v>50</v>
      </c>
      <c r="AF861" s="10"/>
      <c r="AG861" s="10" t="s">
        <v>64</v>
      </c>
      <c r="AH861" s="10" t="s">
        <v>50</v>
      </c>
      <c r="AI861" s="5">
        <v>0</v>
      </c>
      <c r="AJ861" s="10" t="s">
        <v>4860</v>
      </c>
      <c r="AK861" s="10" t="s">
        <v>4861</v>
      </c>
    </row>
    <row r="862" spans="1:37" ht="36.75" customHeight="1" x14ac:dyDescent="0.35">
      <c r="A862" s="5"/>
      <c r="B862" s="5" t="s">
        <v>37</v>
      </c>
      <c r="C862" s="73" t="str">
        <f t="shared" si="13"/>
        <v>Closed</v>
      </c>
      <c r="D862" s="45" t="s">
        <v>4862</v>
      </c>
      <c r="E862" s="54" t="s">
        <v>4863</v>
      </c>
      <c r="F862" s="5" t="s">
        <v>2316</v>
      </c>
      <c r="G862" s="10">
        <f>DATE(2010,5,16)</f>
        <v>40314</v>
      </c>
      <c r="H862" s="35">
        <v>1.8520833333333333</v>
      </c>
      <c r="I862" s="5" t="s">
        <v>179</v>
      </c>
      <c r="J862" s="10" t="s">
        <v>4864</v>
      </c>
      <c r="K862" s="5" t="s">
        <v>2318</v>
      </c>
      <c r="L862" s="5" t="s">
        <v>4865</v>
      </c>
      <c r="M862" s="5" t="s">
        <v>45</v>
      </c>
      <c r="N862" s="5">
        <v>0</v>
      </c>
      <c r="O862" s="5" t="s">
        <v>46</v>
      </c>
      <c r="P862" s="10" t="s">
        <v>2911</v>
      </c>
      <c r="Q862" s="10" t="s">
        <v>4866</v>
      </c>
      <c r="R862" s="10" t="s">
        <v>2321</v>
      </c>
      <c r="S862" s="5">
        <v>0</v>
      </c>
      <c r="T862" s="37">
        <v>0</v>
      </c>
      <c r="U862" s="5">
        <v>0</v>
      </c>
      <c r="V862" s="37">
        <v>0</v>
      </c>
      <c r="W862" s="5">
        <v>0</v>
      </c>
      <c r="X862" s="5">
        <v>0</v>
      </c>
      <c r="Y862" s="5">
        <v>4</v>
      </c>
      <c r="Z862" s="37">
        <v>3</v>
      </c>
      <c r="AA862" s="5">
        <v>0</v>
      </c>
      <c r="AB862" s="5">
        <v>0</v>
      </c>
      <c r="AC862" s="5">
        <v>0</v>
      </c>
      <c r="AD862" s="5">
        <v>7</v>
      </c>
      <c r="AE862" s="10" t="s">
        <v>50</v>
      </c>
      <c r="AF862" s="10"/>
      <c r="AG862" s="10" t="s">
        <v>64</v>
      </c>
      <c r="AH862" s="10" t="s">
        <v>50</v>
      </c>
      <c r="AI862" s="5">
        <v>8</v>
      </c>
      <c r="AJ862" s="10" t="s">
        <v>4867</v>
      </c>
      <c r="AK862" s="10" t="s">
        <v>4868</v>
      </c>
    </row>
    <row r="863" spans="1:37" ht="36.75" customHeight="1" x14ac:dyDescent="0.35">
      <c r="A863" s="5"/>
      <c r="B863" s="5" t="s">
        <v>37</v>
      </c>
      <c r="C863" s="73" t="str">
        <f t="shared" si="13"/>
        <v>Closed</v>
      </c>
      <c r="D863" s="45" t="s">
        <v>4869</v>
      </c>
      <c r="E863" s="54" t="s">
        <v>4870</v>
      </c>
      <c r="F863" s="5" t="s">
        <v>1553</v>
      </c>
      <c r="G863" s="10">
        <f>DATE(2010,5,16)</f>
        <v>40314</v>
      </c>
      <c r="H863" s="35">
        <v>1.9895833333333335</v>
      </c>
      <c r="I863" s="5" t="s">
        <v>55</v>
      </c>
      <c r="J863" s="10" t="s">
        <v>4871</v>
      </c>
      <c r="K863" s="5" t="s">
        <v>1555</v>
      </c>
      <c r="L863" s="5" t="s">
        <v>4872</v>
      </c>
      <c r="M863" s="5" t="s">
        <v>45</v>
      </c>
      <c r="N863" s="5">
        <v>0</v>
      </c>
      <c r="O863" s="5" t="s">
        <v>46</v>
      </c>
      <c r="P863" s="10" t="s">
        <v>60</v>
      </c>
      <c r="Q863" s="10" t="s">
        <v>2635</v>
      </c>
      <c r="R863" s="10">
        <v>0</v>
      </c>
      <c r="S863" s="5">
        <v>0</v>
      </c>
      <c r="T863" s="37" t="s">
        <v>50</v>
      </c>
      <c r="U863" s="5">
        <v>0</v>
      </c>
      <c r="V863" s="37" t="s">
        <v>50</v>
      </c>
      <c r="W863" s="5">
        <v>0</v>
      </c>
      <c r="X863" s="5">
        <v>0</v>
      </c>
      <c r="Y863" s="5">
        <v>0</v>
      </c>
      <c r="Z863" s="37" t="s">
        <v>50</v>
      </c>
      <c r="AA863" s="5">
        <v>0</v>
      </c>
      <c r="AB863" s="5">
        <v>0</v>
      </c>
      <c r="AC863" s="5">
        <v>0</v>
      </c>
      <c r="AD863" s="5">
        <v>0</v>
      </c>
      <c r="AE863" s="10" t="s">
        <v>50</v>
      </c>
      <c r="AF863" s="10"/>
      <c r="AG863" s="10" t="s">
        <v>114</v>
      </c>
      <c r="AH863" s="10" t="s">
        <v>50</v>
      </c>
      <c r="AI863" s="5">
        <v>1</v>
      </c>
      <c r="AJ863" s="10" t="s">
        <v>4873</v>
      </c>
      <c r="AK863" s="10" t="s">
        <v>4874</v>
      </c>
    </row>
    <row r="864" spans="1:37" ht="36.75" customHeight="1" x14ac:dyDescent="0.35">
      <c r="A864" s="5"/>
      <c r="B864" s="5" t="s">
        <v>37</v>
      </c>
      <c r="C864" s="73" t="str">
        <f t="shared" si="13"/>
        <v>Closed</v>
      </c>
      <c r="D864" s="45" t="s">
        <v>4875</v>
      </c>
      <c r="E864" s="54" t="s">
        <v>4876</v>
      </c>
      <c r="F864" s="5" t="s">
        <v>96</v>
      </c>
      <c r="G864" s="10">
        <f>DATE(2010,5,22)</f>
        <v>40320</v>
      </c>
      <c r="H864" s="35">
        <v>1.4479166666666667</v>
      </c>
      <c r="I864" s="5" t="s">
        <v>55</v>
      </c>
      <c r="J864" s="10" t="s">
        <v>4877</v>
      </c>
      <c r="K864" s="5" t="s">
        <v>99</v>
      </c>
      <c r="L864" s="5" t="s">
        <v>4878</v>
      </c>
      <c r="M864" s="5" t="s">
        <v>45</v>
      </c>
      <c r="N864" s="5">
        <v>0</v>
      </c>
      <c r="O864" s="5" t="s">
        <v>46</v>
      </c>
      <c r="P864" s="10" t="s">
        <v>60</v>
      </c>
      <c r="Q864" s="10" t="s">
        <v>101</v>
      </c>
      <c r="R864" s="10" t="s">
        <v>102</v>
      </c>
      <c r="S864" s="5">
        <v>0</v>
      </c>
      <c r="T864" s="37" t="s">
        <v>50</v>
      </c>
      <c r="U864" s="5">
        <v>0</v>
      </c>
      <c r="V864" s="37" t="s">
        <v>50</v>
      </c>
      <c r="W864" s="5">
        <v>0</v>
      </c>
      <c r="X864" s="5">
        <v>0</v>
      </c>
      <c r="Y864" s="5">
        <v>0</v>
      </c>
      <c r="Z864" s="37" t="s">
        <v>50</v>
      </c>
      <c r="AA864" s="5">
        <v>0</v>
      </c>
      <c r="AB864" s="5">
        <v>0</v>
      </c>
      <c r="AC864" s="5">
        <v>0</v>
      </c>
      <c r="AD864" s="5">
        <v>0</v>
      </c>
      <c r="AE864" s="10" t="s">
        <v>50</v>
      </c>
      <c r="AF864" s="10"/>
      <c r="AG864" s="10" t="s">
        <v>114</v>
      </c>
      <c r="AH864" s="10" t="s">
        <v>50</v>
      </c>
      <c r="AI864" s="5">
        <v>8</v>
      </c>
      <c r="AJ864" s="10" t="s">
        <v>4879</v>
      </c>
      <c r="AK864" s="10" t="s">
        <v>50</v>
      </c>
    </row>
    <row r="865" spans="1:37" ht="36.75" customHeight="1" x14ac:dyDescent="0.35">
      <c r="A865" s="5"/>
      <c r="B865" s="5" t="s">
        <v>37</v>
      </c>
      <c r="C865" s="73" t="str">
        <f t="shared" si="13"/>
        <v>Closed</v>
      </c>
      <c r="D865" s="45" t="s">
        <v>4880</v>
      </c>
      <c r="E865" s="54" t="s">
        <v>4881</v>
      </c>
      <c r="F865" s="5" t="s">
        <v>619</v>
      </c>
      <c r="G865" s="10">
        <f>DATE(2010,5,23)</f>
        <v>40321</v>
      </c>
      <c r="H865" s="35">
        <v>1.9541666666666666</v>
      </c>
      <c r="I865" s="5" t="s">
        <v>55</v>
      </c>
      <c r="J865" s="10" t="s">
        <v>4882</v>
      </c>
      <c r="K865" s="5" t="s">
        <v>621</v>
      </c>
      <c r="L865" s="5" t="s">
        <v>4883</v>
      </c>
      <c r="M865" s="5" t="s">
        <v>45</v>
      </c>
      <c r="N865" s="5">
        <v>0</v>
      </c>
      <c r="O865" s="5" t="s">
        <v>46</v>
      </c>
      <c r="P865" s="10" t="s">
        <v>60</v>
      </c>
      <c r="Q865" s="10" t="s">
        <v>4884</v>
      </c>
      <c r="R865" s="10" t="s">
        <v>624</v>
      </c>
      <c r="S865" s="5">
        <v>0</v>
      </c>
      <c r="T865" s="37" t="s">
        <v>50</v>
      </c>
      <c r="U865" s="5">
        <v>0</v>
      </c>
      <c r="V865" s="37" t="s">
        <v>50</v>
      </c>
      <c r="W865" s="5">
        <v>0</v>
      </c>
      <c r="X865" s="5">
        <v>0</v>
      </c>
      <c r="Y865" s="5">
        <v>0</v>
      </c>
      <c r="Z865" s="37" t="s">
        <v>50</v>
      </c>
      <c r="AA865" s="5">
        <v>0</v>
      </c>
      <c r="AB865" s="5">
        <v>0</v>
      </c>
      <c r="AC865" s="5">
        <v>0</v>
      </c>
      <c r="AD865" s="5">
        <v>0</v>
      </c>
      <c r="AE865" s="10" t="s">
        <v>50</v>
      </c>
      <c r="AF865" s="10"/>
      <c r="AG865" s="10" t="s">
        <v>333</v>
      </c>
      <c r="AH865" s="10" t="s">
        <v>50</v>
      </c>
      <c r="AI865" s="5">
        <v>1</v>
      </c>
      <c r="AJ865" s="10" t="s">
        <v>4885</v>
      </c>
      <c r="AK865" s="10" t="s">
        <v>50</v>
      </c>
    </row>
    <row r="866" spans="1:37" ht="36.75" customHeight="1" x14ac:dyDescent="0.35">
      <c r="A866" s="5"/>
      <c r="B866" s="5" t="s">
        <v>37</v>
      </c>
      <c r="C866" s="73" t="str">
        <f t="shared" si="13"/>
        <v>Closed</v>
      </c>
      <c r="D866" s="45" t="s">
        <v>4886</v>
      </c>
      <c r="E866" s="54" t="s">
        <v>4887</v>
      </c>
      <c r="F866" s="5" t="s">
        <v>816</v>
      </c>
      <c r="G866" s="10">
        <f>DATE(2010,5,25)</f>
        <v>40323</v>
      </c>
      <c r="H866" s="35">
        <v>1.5833333333333335</v>
      </c>
      <c r="I866" s="5" t="s">
        <v>97</v>
      </c>
      <c r="J866" s="10" t="s">
        <v>4888</v>
      </c>
      <c r="K866" s="5" t="s">
        <v>818</v>
      </c>
      <c r="L866" s="5" t="s">
        <v>4889</v>
      </c>
      <c r="M866" s="5" t="s">
        <v>45</v>
      </c>
      <c r="N866" s="5">
        <v>0</v>
      </c>
      <c r="O866" s="5" t="s">
        <v>59</v>
      </c>
      <c r="P866" s="10" t="s">
        <v>146</v>
      </c>
      <c r="Q866" s="10" t="s">
        <v>2142</v>
      </c>
      <c r="R866" s="10" t="s">
        <v>821</v>
      </c>
      <c r="S866" s="5">
        <v>0</v>
      </c>
      <c r="T866" s="37">
        <v>0</v>
      </c>
      <c r="U866" s="5">
        <v>2</v>
      </c>
      <c r="V866" s="37">
        <v>0</v>
      </c>
      <c r="W866" s="5">
        <v>0</v>
      </c>
      <c r="X866" s="5">
        <v>2</v>
      </c>
      <c r="Y866" s="5">
        <v>0</v>
      </c>
      <c r="Z866" s="37">
        <v>0</v>
      </c>
      <c r="AA866" s="5">
        <v>0</v>
      </c>
      <c r="AB866" s="5">
        <v>0</v>
      </c>
      <c r="AC866" s="5">
        <v>0</v>
      </c>
      <c r="AD866" s="5">
        <v>0</v>
      </c>
      <c r="AE866" s="10" t="s">
        <v>50</v>
      </c>
      <c r="AF866" s="10"/>
      <c r="AG866" s="10" t="s">
        <v>333</v>
      </c>
      <c r="AH866" s="10" t="s">
        <v>50</v>
      </c>
      <c r="AI866" s="5">
        <v>0</v>
      </c>
      <c r="AJ866" s="10" t="s">
        <v>50</v>
      </c>
      <c r="AK866" s="10" t="s">
        <v>50</v>
      </c>
    </row>
    <row r="867" spans="1:37" ht="36.75" customHeight="1" x14ac:dyDescent="0.35">
      <c r="A867" s="23" t="s">
        <v>4890</v>
      </c>
      <c r="B867" s="5" t="s">
        <v>37</v>
      </c>
      <c r="C867" s="73" t="str">
        <f t="shared" si="13"/>
        <v>Closed</v>
      </c>
      <c r="D867" s="45" t="s">
        <v>4891</v>
      </c>
      <c r="E867" s="54" t="s">
        <v>4892</v>
      </c>
      <c r="F867" s="5" t="s">
        <v>563</v>
      </c>
      <c r="G867" s="10">
        <f>DATE(2010,5,26)</f>
        <v>40324</v>
      </c>
      <c r="H867" s="35">
        <v>1.6395833333333334</v>
      </c>
      <c r="I867" s="5" t="s">
        <v>55</v>
      </c>
      <c r="J867" s="10" t="s">
        <v>4893</v>
      </c>
      <c r="K867" s="5" t="s">
        <v>565</v>
      </c>
      <c r="L867" s="5" t="s">
        <v>4894</v>
      </c>
      <c r="M867" s="5" t="s">
        <v>45</v>
      </c>
      <c r="N867" s="5">
        <v>0</v>
      </c>
      <c r="O867" s="5" t="s">
        <v>46</v>
      </c>
      <c r="P867" s="10" t="s">
        <v>60</v>
      </c>
      <c r="Q867" s="10" t="s">
        <v>567</v>
      </c>
      <c r="R867" s="10" t="s">
        <v>568</v>
      </c>
      <c r="S867" s="5">
        <v>0</v>
      </c>
      <c r="T867" s="38" t="s">
        <v>50</v>
      </c>
      <c r="U867" s="5">
        <v>0</v>
      </c>
      <c r="V867" s="38" t="s">
        <v>50</v>
      </c>
      <c r="W867" s="5">
        <v>0</v>
      </c>
      <c r="X867" s="5">
        <v>0</v>
      </c>
      <c r="Y867" s="5">
        <v>0</v>
      </c>
      <c r="Z867" s="38" t="s">
        <v>50</v>
      </c>
      <c r="AA867" s="5">
        <v>0</v>
      </c>
      <c r="AB867" s="5">
        <v>0</v>
      </c>
      <c r="AC867" s="5">
        <v>0</v>
      </c>
      <c r="AD867" s="5">
        <v>0</v>
      </c>
      <c r="AE867" s="10" t="s">
        <v>50</v>
      </c>
      <c r="AF867" s="10"/>
      <c r="AG867" s="10" t="s">
        <v>114</v>
      </c>
      <c r="AH867" s="10" t="s">
        <v>50</v>
      </c>
      <c r="AI867" s="5">
        <v>0</v>
      </c>
      <c r="AJ867" s="10" t="s">
        <v>50</v>
      </c>
      <c r="AK867" s="10" t="s">
        <v>50</v>
      </c>
    </row>
    <row r="868" spans="1:37" ht="36.75" customHeight="1" x14ac:dyDescent="0.35">
      <c r="A868" s="5"/>
      <c r="B868" s="5" t="s">
        <v>37</v>
      </c>
      <c r="C868" s="73" t="str">
        <f t="shared" si="13"/>
        <v>Closed</v>
      </c>
      <c r="D868" s="45" t="s">
        <v>4895</v>
      </c>
      <c r="E868" s="54" t="s">
        <v>4896</v>
      </c>
      <c r="F868" s="5" t="s">
        <v>1553</v>
      </c>
      <c r="G868" s="10">
        <f>DATE(2010,5,28)</f>
        <v>40326</v>
      </c>
      <c r="H868" s="35">
        <v>1.71875</v>
      </c>
      <c r="I868" s="5" t="s">
        <v>55</v>
      </c>
      <c r="J868" s="10" t="s">
        <v>4897</v>
      </c>
      <c r="K868" s="5" t="s">
        <v>1555</v>
      </c>
      <c r="L868" s="5" t="s">
        <v>4898</v>
      </c>
      <c r="M868" s="5" t="s">
        <v>45</v>
      </c>
      <c r="N868" s="5">
        <v>0</v>
      </c>
      <c r="O868" s="5" t="s">
        <v>59</v>
      </c>
      <c r="P868" s="10" t="s">
        <v>60</v>
      </c>
      <c r="Q868" s="10" t="s">
        <v>4899</v>
      </c>
      <c r="R868" s="10">
        <v>0</v>
      </c>
      <c r="S868" s="5">
        <v>0</v>
      </c>
      <c r="T868" s="37" t="s">
        <v>50</v>
      </c>
      <c r="U868" s="5">
        <v>0</v>
      </c>
      <c r="V868" s="37" t="s">
        <v>50</v>
      </c>
      <c r="W868" s="5">
        <v>0</v>
      </c>
      <c r="X868" s="5">
        <v>0</v>
      </c>
      <c r="Y868" s="5">
        <v>0</v>
      </c>
      <c r="Z868" s="37" t="s">
        <v>50</v>
      </c>
      <c r="AA868" s="5">
        <v>0</v>
      </c>
      <c r="AB868" s="5">
        <v>0</v>
      </c>
      <c r="AC868" s="5">
        <v>0</v>
      </c>
      <c r="AD868" s="5">
        <v>0</v>
      </c>
      <c r="AE868" s="10" t="s">
        <v>50</v>
      </c>
      <c r="AF868" s="10"/>
      <c r="AG868" s="10" t="s">
        <v>114</v>
      </c>
      <c r="AH868" s="10" t="s">
        <v>50</v>
      </c>
      <c r="AI868" s="5">
        <v>1</v>
      </c>
      <c r="AJ868" s="10" t="s">
        <v>4900</v>
      </c>
      <c r="AK868" s="10" t="s">
        <v>4901</v>
      </c>
    </row>
    <row r="869" spans="1:37" ht="36.75" customHeight="1" x14ac:dyDescent="0.35">
      <c r="A869" s="5"/>
      <c r="B869" s="5" t="s">
        <v>37</v>
      </c>
      <c r="C869" s="73" t="str">
        <f t="shared" si="13"/>
        <v>Closed</v>
      </c>
      <c r="D869" s="45" t="s">
        <v>4902</v>
      </c>
      <c r="E869" s="54" t="s">
        <v>4903</v>
      </c>
      <c r="F869" s="5" t="s">
        <v>404</v>
      </c>
      <c r="G869" s="10">
        <f>DATE(2010,5,29)</f>
        <v>40327</v>
      </c>
      <c r="H869" s="35">
        <v>1.7826388888888891</v>
      </c>
      <c r="I869" s="5" t="s">
        <v>97</v>
      </c>
      <c r="J869" s="10" t="s">
        <v>4904</v>
      </c>
      <c r="K869" s="5" t="s">
        <v>406</v>
      </c>
      <c r="L869" s="5" t="s">
        <v>4905</v>
      </c>
      <c r="M869" s="5" t="s">
        <v>45</v>
      </c>
      <c r="N869" s="5">
        <v>0</v>
      </c>
      <c r="O869" s="5" t="s">
        <v>46</v>
      </c>
      <c r="P869" s="10" t="s">
        <v>146</v>
      </c>
      <c r="Q869" s="10" t="s">
        <v>4531</v>
      </c>
      <c r="R869" s="10" t="s">
        <v>3083</v>
      </c>
      <c r="S869" s="5">
        <v>0</v>
      </c>
      <c r="T869" s="37">
        <v>0</v>
      </c>
      <c r="U869" s="5">
        <v>1</v>
      </c>
      <c r="V869" s="37">
        <v>0</v>
      </c>
      <c r="W869" s="5">
        <v>0</v>
      </c>
      <c r="X869" s="5">
        <v>1</v>
      </c>
      <c r="Y869" s="5">
        <v>0</v>
      </c>
      <c r="Z869" s="37">
        <v>0</v>
      </c>
      <c r="AA869" s="5">
        <v>1</v>
      </c>
      <c r="AB869" s="5">
        <v>0</v>
      </c>
      <c r="AC869" s="5">
        <v>0</v>
      </c>
      <c r="AD869" s="5">
        <v>1</v>
      </c>
      <c r="AE869" s="10" t="s">
        <v>50</v>
      </c>
      <c r="AF869" s="10"/>
      <c r="AG869" s="10" t="s">
        <v>114</v>
      </c>
      <c r="AH869" s="10" t="s">
        <v>50</v>
      </c>
      <c r="AI869" s="5">
        <v>4</v>
      </c>
      <c r="AJ869" s="10" t="s">
        <v>4906</v>
      </c>
      <c r="AK869" s="10" t="s">
        <v>4907</v>
      </c>
    </row>
    <row r="870" spans="1:37" ht="36.75" customHeight="1" x14ac:dyDescent="0.35">
      <c r="A870" s="5"/>
      <c r="B870" s="5" t="s">
        <v>37</v>
      </c>
      <c r="C870" s="73" t="str">
        <f t="shared" si="13"/>
        <v>Closed</v>
      </c>
      <c r="D870" s="45" t="s">
        <v>4908</v>
      </c>
      <c r="E870" s="54" t="s">
        <v>4909</v>
      </c>
      <c r="F870" s="5" t="s">
        <v>119</v>
      </c>
      <c r="G870" s="10">
        <f>DATE(2010,6,4)</f>
        <v>40333</v>
      </c>
      <c r="H870" s="35">
        <v>1.6333333333333333</v>
      </c>
      <c r="I870" s="5" t="s">
        <v>259</v>
      </c>
      <c r="J870" s="10" t="s">
        <v>4910</v>
      </c>
      <c r="K870" s="5" t="s">
        <v>121</v>
      </c>
      <c r="L870" s="5" t="s">
        <v>4911</v>
      </c>
      <c r="M870" s="5" t="s">
        <v>45</v>
      </c>
      <c r="N870" s="5" t="s">
        <v>70</v>
      </c>
      <c r="O870" s="5" t="s">
        <v>59</v>
      </c>
      <c r="P870" s="10" t="s">
        <v>146</v>
      </c>
      <c r="Q870" s="10" t="s">
        <v>4912</v>
      </c>
      <c r="R870" s="10" t="s">
        <v>4913</v>
      </c>
      <c r="S870" s="5">
        <v>0</v>
      </c>
      <c r="T870" s="37">
        <v>1</v>
      </c>
      <c r="U870" s="5">
        <v>0</v>
      </c>
      <c r="V870" s="37">
        <v>0</v>
      </c>
      <c r="W870" s="5">
        <v>0</v>
      </c>
      <c r="X870" s="5">
        <v>1</v>
      </c>
      <c r="Y870" s="5">
        <v>0</v>
      </c>
      <c r="Z870" s="37">
        <v>1</v>
      </c>
      <c r="AA870" s="5">
        <v>0</v>
      </c>
      <c r="AB870" s="5">
        <v>0</v>
      </c>
      <c r="AC870" s="5">
        <v>0</v>
      </c>
      <c r="AD870" s="5">
        <v>1</v>
      </c>
      <c r="AE870" s="10" t="s">
        <v>50</v>
      </c>
      <c r="AF870" s="10"/>
      <c r="AG870" s="10" t="s">
        <v>64</v>
      </c>
      <c r="AH870" s="10">
        <v>40337</v>
      </c>
      <c r="AI870" s="5">
        <v>1</v>
      </c>
      <c r="AJ870" s="10" t="s">
        <v>4914</v>
      </c>
      <c r="AK870" s="10" t="s">
        <v>4915</v>
      </c>
    </row>
    <row r="871" spans="1:37" ht="36.75" customHeight="1" x14ac:dyDescent="0.35">
      <c r="A871" s="5"/>
      <c r="B871" s="5" t="s">
        <v>37</v>
      </c>
      <c r="C871" s="73" t="str">
        <f t="shared" si="13"/>
        <v>Closed</v>
      </c>
      <c r="D871" s="45" t="s">
        <v>4916</v>
      </c>
      <c r="E871" s="54" t="s">
        <v>4917</v>
      </c>
      <c r="F871" s="5" t="s">
        <v>1553</v>
      </c>
      <c r="G871" s="10">
        <f>DATE(2010,6,6)</f>
        <v>40335</v>
      </c>
      <c r="H871" s="35">
        <v>1.7638888888888888</v>
      </c>
      <c r="I871" s="5" t="s">
        <v>106</v>
      </c>
      <c r="J871" s="10" t="s">
        <v>4918</v>
      </c>
      <c r="K871" s="5" t="s">
        <v>1555</v>
      </c>
      <c r="L871" s="5" t="s">
        <v>4919</v>
      </c>
      <c r="M871" s="5" t="s">
        <v>45</v>
      </c>
      <c r="N871" s="5">
        <v>0</v>
      </c>
      <c r="O871" s="5" t="s">
        <v>46</v>
      </c>
      <c r="P871" s="10" t="s">
        <v>362</v>
      </c>
      <c r="Q871" s="10" t="s">
        <v>2393</v>
      </c>
      <c r="R871" s="10">
        <v>0</v>
      </c>
      <c r="S871" s="5">
        <v>0</v>
      </c>
      <c r="T871" s="37" t="s">
        <v>50</v>
      </c>
      <c r="U871" s="5">
        <v>0</v>
      </c>
      <c r="V871" s="37" t="s">
        <v>50</v>
      </c>
      <c r="W871" s="5">
        <v>0</v>
      </c>
      <c r="X871" s="5">
        <v>0</v>
      </c>
      <c r="Y871" s="5">
        <v>0</v>
      </c>
      <c r="Z871" s="37" t="s">
        <v>50</v>
      </c>
      <c r="AA871" s="5">
        <v>0</v>
      </c>
      <c r="AB871" s="5">
        <v>0</v>
      </c>
      <c r="AC871" s="5">
        <v>0</v>
      </c>
      <c r="AD871" s="5">
        <v>0</v>
      </c>
      <c r="AE871" s="10" t="s">
        <v>50</v>
      </c>
      <c r="AF871" s="10"/>
      <c r="AG871" s="10" t="s">
        <v>114</v>
      </c>
      <c r="AH871" s="10" t="s">
        <v>50</v>
      </c>
      <c r="AI871" s="5">
        <v>3</v>
      </c>
      <c r="AJ871" s="10" t="s">
        <v>4920</v>
      </c>
      <c r="AK871" s="10" t="s">
        <v>4921</v>
      </c>
    </row>
    <row r="872" spans="1:37" ht="36.75" customHeight="1" x14ac:dyDescent="0.35">
      <c r="A872" s="5"/>
      <c r="B872" s="5" t="s">
        <v>37</v>
      </c>
      <c r="C872" s="73" t="str">
        <f t="shared" si="13"/>
        <v>Closed</v>
      </c>
      <c r="D872" s="45" t="s">
        <v>4922</v>
      </c>
      <c r="E872" s="54" t="s">
        <v>4923</v>
      </c>
      <c r="F872" s="5" t="s">
        <v>214</v>
      </c>
      <c r="G872" s="10">
        <f>DATE(2010,6,6)</f>
        <v>40335</v>
      </c>
      <c r="H872" s="35">
        <v>1.8715277777777777</v>
      </c>
      <c r="I872" s="5" t="s">
        <v>137</v>
      </c>
      <c r="J872" s="10" t="s">
        <v>4924</v>
      </c>
      <c r="K872" s="5" t="s">
        <v>216</v>
      </c>
      <c r="L872" s="5" t="s">
        <v>4925</v>
      </c>
      <c r="M872" s="5" t="s">
        <v>45</v>
      </c>
      <c r="N872" s="5">
        <v>0</v>
      </c>
      <c r="O872" s="5" t="s">
        <v>46</v>
      </c>
      <c r="P872" s="10" t="s">
        <v>146</v>
      </c>
      <c r="Q872" s="10" t="s">
        <v>340</v>
      </c>
      <c r="R872" s="10" t="s">
        <v>219</v>
      </c>
      <c r="S872" s="5">
        <v>0</v>
      </c>
      <c r="T872" s="37" t="s">
        <v>50</v>
      </c>
      <c r="U872" s="5">
        <v>0</v>
      </c>
      <c r="V872" s="37" t="s">
        <v>50</v>
      </c>
      <c r="W872" s="5">
        <v>0</v>
      </c>
      <c r="X872" s="5">
        <v>0</v>
      </c>
      <c r="Y872" s="5">
        <v>0</v>
      </c>
      <c r="Z872" s="37" t="s">
        <v>50</v>
      </c>
      <c r="AA872" s="5">
        <v>0</v>
      </c>
      <c r="AB872" s="5">
        <v>0</v>
      </c>
      <c r="AC872" s="5">
        <v>0</v>
      </c>
      <c r="AD872" s="5">
        <v>0</v>
      </c>
      <c r="AE872" s="10" t="s">
        <v>50</v>
      </c>
      <c r="AF872" s="10"/>
      <c r="AG872" s="10" t="s">
        <v>114</v>
      </c>
      <c r="AH872" s="10" t="s">
        <v>50</v>
      </c>
      <c r="AI872" s="5">
        <v>6</v>
      </c>
      <c r="AJ872" s="10" t="s">
        <v>4926</v>
      </c>
      <c r="AK872" s="10" t="s">
        <v>4927</v>
      </c>
    </row>
    <row r="873" spans="1:37" ht="36.75" customHeight="1" x14ac:dyDescent="0.35">
      <c r="A873" s="5"/>
      <c r="B873" s="5" t="s">
        <v>37</v>
      </c>
      <c r="C873" s="73" t="str">
        <f t="shared" si="13"/>
        <v>Closed</v>
      </c>
      <c r="D873" s="45" t="s">
        <v>4928</v>
      </c>
      <c r="E873" s="54" t="s">
        <v>4929</v>
      </c>
      <c r="F873" s="5" t="s">
        <v>2581</v>
      </c>
      <c r="G873" s="10">
        <f>DATE(2010,6,9)</f>
        <v>40338</v>
      </c>
      <c r="H873" s="35">
        <v>1.4756944444444444</v>
      </c>
      <c r="I873" s="5" t="s">
        <v>67</v>
      </c>
      <c r="J873" s="10" t="s">
        <v>4930</v>
      </c>
      <c r="K873" s="5" t="s">
        <v>2583</v>
      </c>
      <c r="L873" s="5" t="s">
        <v>4931</v>
      </c>
      <c r="M873" s="5" t="s">
        <v>45</v>
      </c>
      <c r="N873" s="5" t="s">
        <v>123</v>
      </c>
      <c r="O873" s="5" t="s">
        <v>59</v>
      </c>
      <c r="P873" s="10" t="s">
        <v>443</v>
      </c>
      <c r="Q873" s="10" t="s">
        <v>2585</v>
      </c>
      <c r="R873" s="10" t="s">
        <v>2586</v>
      </c>
      <c r="S873" s="5">
        <v>0</v>
      </c>
      <c r="T873" s="37">
        <v>0</v>
      </c>
      <c r="U873" s="5">
        <v>0</v>
      </c>
      <c r="V873" s="37">
        <v>0</v>
      </c>
      <c r="W873" s="5">
        <v>0</v>
      </c>
      <c r="X873" s="5">
        <v>0</v>
      </c>
      <c r="Y873" s="5">
        <v>0</v>
      </c>
      <c r="Z873" s="37">
        <v>0</v>
      </c>
      <c r="AA873" s="5">
        <v>0</v>
      </c>
      <c r="AB873" s="5">
        <v>0</v>
      </c>
      <c r="AC873" s="5">
        <v>0</v>
      </c>
      <c r="AD873" s="5">
        <v>0</v>
      </c>
      <c r="AE873" s="10" t="s">
        <v>73</v>
      </c>
      <c r="AF873" s="10"/>
      <c r="AG873" s="10" t="s">
        <v>114</v>
      </c>
      <c r="AH873" s="10">
        <v>40339</v>
      </c>
      <c r="AI873" s="5">
        <v>3</v>
      </c>
      <c r="AJ873" s="10" t="s">
        <v>4932</v>
      </c>
      <c r="AK873" s="10" t="s">
        <v>4933</v>
      </c>
    </row>
    <row r="874" spans="1:37" ht="36.75" customHeight="1" x14ac:dyDescent="0.35">
      <c r="A874" s="5"/>
      <c r="B874" s="5" t="s">
        <v>887</v>
      </c>
      <c r="C874" s="73" t="str">
        <f t="shared" si="13"/>
        <v>Open</v>
      </c>
      <c r="D874" s="45" t="s">
        <v>4934</v>
      </c>
      <c r="E874" s="54" t="s">
        <v>4935</v>
      </c>
      <c r="F874" s="5" t="s">
        <v>3128</v>
      </c>
      <c r="G874" s="10">
        <f>DATE(2010,6,10)</f>
        <v>40339</v>
      </c>
      <c r="H874" s="35">
        <v>1.3805555555555555</v>
      </c>
      <c r="I874" s="5" t="s">
        <v>97</v>
      </c>
      <c r="J874" s="10" t="s">
        <v>4936</v>
      </c>
      <c r="K874" s="5" t="s">
        <v>3130</v>
      </c>
      <c r="L874" s="5" t="s">
        <v>4937</v>
      </c>
      <c r="M874" s="5" t="s">
        <v>45</v>
      </c>
      <c r="N874" s="5">
        <v>0</v>
      </c>
      <c r="O874" s="5" t="s">
        <v>46</v>
      </c>
      <c r="P874" s="10" t="s">
        <v>47</v>
      </c>
      <c r="Q874" s="10" t="s">
        <v>3132</v>
      </c>
      <c r="R874" s="10" t="s">
        <v>3133</v>
      </c>
      <c r="S874" s="5">
        <v>0</v>
      </c>
      <c r="T874" s="37" t="s">
        <v>50</v>
      </c>
      <c r="U874" s="5">
        <v>1</v>
      </c>
      <c r="V874" s="37" t="s">
        <v>50</v>
      </c>
      <c r="W874" s="5">
        <v>0</v>
      </c>
      <c r="X874" s="5">
        <v>1</v>
      </c>
      <c r="Y874" s="5">
        <v>0</v>
      </c>
      <c r="Z874" s="37" t="s">
        <v>50</v>
      </c>
      <c r="AA874" s="5">
        <v>0</v>
      </c>
      <c r="AB874" s="5">
        <v>0</v>
      </c>
      <c r="AC874" s="5">
        <v>0</v>
      </c>
      <c r="AD874" s="5">
        <v>0</v>
      </c>
      <c r="AE874" s="10" t="s">
        <v>50</v>
      </c>
      <c r="AF874" s="10"/>
      <c r="AG874" s="10" t="s">
        <v>229</v>
      </c>
      <c r="AH874" s="10" t="s">
        <v>50</v>
      </c>
      <c r="AI874" s="5">
        <v>0</v>
      </c>
      <c r="AJ874" s="10" t="s">
        <v>50</v>
      </c>
      <c r="AK874" s="10" t="s">
        <v>50</v>
      </c>
    </row>
    <row r="875" spans="1:37" ht="36.75" customHeight="1" x14ac:dyDescent="0.35">
      <c r="A875" s="5"/>
      <c r="B875" s="5" t="s">
        <v>37</v>
      </c>
      <c r="C875" s="73" t="str">
        <f t="shared" si="13"/>
        <v>Closed</v>
      </c>
      <c r="D875" s="45" t="s">
        <v>4938</v>
      </c>
      <c r="E875" s="54" t="s">
        <v>4939</v>
      </c>
      <c r="F875" s="5" t="s">
        <v>3128</v>
      </c>
      <c r="G875" s="10">
        <f>DATE(2010,6,10)</f>
        <v>40339</v>
      </c>
      <c r="H875" s="35">
        <v>1.78125</v>
      </c>
      <c r="I875" s="5" t="s">
        <v>97</v>
      </c>
      <c r="J875" s="10" t="s">
        <v>4940</v>
      </c>
      <c r="K875" s="5" t="s">
        <v>3130</v>
      </c>
      <c r="L875" s="5" t="s">
        <v>4941</v>
      </c>
      <c r="M875" s="5" t="s">
        <v>45</v>
      </c>
      <c r="N875" s="5">
        <v>0</v>
      </c>
      <c r="O875" s="5" t="s">
        <v>46</v>
      </c>
      <c r="P875" s="10" t="s">
        <v>146</v>
      </c>
      <c r="Q875" s="10" t="s">
        <v>3132</v>
      </c>
      <c r="R875" s="10" t="s">
        <v>3133</v>
      </c>
      <c r="S875" s="5">
        <v>0</v>
      </c>
      <c r="T875" s="37">
        <v>0</v>
      </c>
      <c r="U875" s="5">
        <v>1</v>
      </c>
      <c r="V875" s="37">
        <v>0</v>
      </c>
      <c r="W875" s="5">
        <v>0</v>
      </c>
      <c r="X875" s="5">
        <v>1</v>
      </c>
      <c r="Y875" s="5">
        <v>0</v>
      </c>
      <c r="Z875" s="37">
        <v>0</v>
      </c>
      <c r="AA875" s="5">
        <v>0</v>
      </c>
      <c r="AB875" s="5">
        <v>0</v>
      </c>
      <c r="AC875" s="5">
        <v>0</v>
      </c>
      <c r="AD875" s="5">
        <v>0</v>
      </c>
      <c r="AE875" s="10" t="s">
        <v>50</v>
      </c>
      <c r="AF875" s="10"/>
      <c r="AG875" s="10" t="s">
        <v>229</v>
      </c>
      <c r="AH875" s="10" t="s">
        <v>50</v>
      </c>
      <c r="AI875" s="5">
        <v>1</v>
      </c>
      <c r="AJ875" s="10" t="s">
        <v>50</v>
      </c>
      <c r="AK875" s="10" t="s">
        <v>50</v>
      </c>
    </row>
    <row r="876" spans="1:37" ht="36.75" customHeight="1" x14ac:dyDescent="0.35">
      <c r="A876" s="5"/>
      <c r="B876" s="5" t="s">
        <v>37</v>
      </c>
      <c r="C876" s="73" t="str">
        <f t="shared" si="13"/>
        <v>Closed</v>
      </c>
      <c r="D876" s="45" t="s">
        <v>4942</v>
      </c>
      <c r="E876" s="54" t="s">
        <v>4943</v>
      </c>
      <c r="F876" s="5" t="s">
        <v>358</v>
      </c>
      <c r="G876" s="10">
        <f>DATE(2010,6,12)</f>
        <v>40341</v>
      </c>
      <c r="H876" s="35">
        <v>1.6</v>
      </c>
      <c r="I876" s="5" t="s">
        <v>97</v>
      </c>
      <c r="J876" s="10" t="s">
        <v>4944</v>
      </c>
      <c r="K876" s="5" t="s">
        <v>360</v>
      </c>
      <c r="L876" s="5" t="s">
        <v>4945</v>
      </c>
      <c r="M876" s="5" t="s">
        <v>45</v>
      </c>
      <c r="N876" s="5">
        <v>0</v>
      </c>
      <c r="O876" s="5" t="s">
        <v>46</v>
      </c>
      <c r="P876" s="10" t="s">
        <v>146</v>
      </c>
      <c r="Q876" s="10" t="s">
        <v>3173</v>
      </c>
      <c r="R876" s="10" t="s">
        <v>363</v>
      </c>
      <c r="S876" s="5">
        <v>0</v>
      </c>
      <c r="T876" s="37">
        <v>0</v>
      </c>
      <c r="U876" s="5">
        <v>0</v>
      </c>
      <c r="V876" s="37">
        <v>0</v>
      </c>
      <c r="W876" s="5">
        <v>0</v>
      </c>
      <c r="X876" s="5">
        <v>0</v>
      </c>
      <c r="Y876" s="5">
        <v>0</v>
      </c>
      <c r="Z876" s="37">
        <v>0</v>
      </c>
      <c r="AA876" s="5">
        <v>0</v>
      </c>
      <c r="AB876" s="5">
        <v>0</v>
      </c>
      <c r="AC876" s="5">
        <v>0</v>
      </c>
      <c r="AD876" s="5">
        <v>0</v>
      </c>
      <c r="AE876" s="10" t="s">
        <v>73</v>
      </c>
      <c r="AF876" s="10"/>
      <c r="AG876" s="10" t="s">
        <v>333</v>
      </c>
      <c r="AH876" s="10" t="s">
        <v>50</v>
      </c>
      <c r="AI876" s="5">
        <v>0</v>
      </c>
      <c r="AJ876" s="10" t="s">
        <v>4946</v>
      </c>
      <c r="AK876" s="10" t="s">
        <v>50</v>
      </c>
    </row>
    <row r="877" spans="1:37" ht="36.75" customHeight="1" x14ac:dyDescent="0.35">
      <c r="A877" s="5"/>
      <c r="B877" s="5" t="s">
        <v>37</v>
      </c>
      <c r="C877" s="73" t="str">
        <f t="shared" si="13"/>
        <v>Closed</v>
      </c>
      <c r="D877" s="45" t="s">
        <v>4947</v>
      </c>
      <c r="E877" s="54" t="s">
        <v>4948</v>
      </c>
      <c r="F877" s="5" t="s">
        <v>619</v>
      </c>
      <c r="G877" s="10">
        <f>DATE(2010,6,14)</f>
        <v>40343</v>
      </c>
      <c r="H877" s="35">
        <v>1.3555555555555556</v>
      </c>
      <c r="I877" s="5" t="s">
        <v>55</v>
      </c>
      <c r="J877" s="10" t="s">
        <v>4949</v>
      </c>
      <c r="K877" s="5" t="s">
        <v>621</v>
      </c>
      <c r="L877" s="5" t="s">
        <v>4950</v>
      </c>
      <c r="M877" s="5" t="s">
        <v>45</v>
      </c>
      <c r="N877" s="5">
        <v>0</v>
      </c>
      <c r="O877" s="5" t="s">
        <v>46</v>
      </c>
      <c r="P877" s="10" t="s">
        <v>60</v>
      </c>
      <c r="Q877" s="10" t="s">
        <v>3226</v>
      </c>
      <c r="R877" s="10" t="s">
        <v>3226</v>
      </c>
      <c r="S877" s="5">
        <v>0</v>
      </c>
      <c r="T877" s="37" t="s">
        <v>50</v>
      </c>
      <c r="U877" s="5">
        <v>0</v>
      </c>
      <c r="V877" s="37" t="s">
        <v>50</v>
      </c>
      <c r="W877" s="5">
        <v>0</v>
      </c>
      <c r="X877" s="5">
        <v>0</v>
      </c>
      <c r="Y877" s="5">
        <v>0</v>
      </c>
      <c r="Z877" s="37" t="s">
        <v>50</v>
      </c>
      <c r="AA877" s="5">
        <v>0</v>
      </c>
      <c r="AB877" s="5">
        <v>0</v>
      </c>
      <c r="AC877" s="5">
        <v>0</v>
      </c>
      <c r="AD877" s="5">
        <v>0</v>
      </c>
      <c r="AE877" s="10" t="s">
        <v>50</v>
      </c>
      <c r="AF877" s="10"/>
      <c r="AG877" s="10" t="s">
        <v>333</v>
      </c>
      <c r="AH877" s="10" t="s">
        <v>50</v>
      </c>
      <c r="AI877" s="5">
        <v>1</v>
      </c>
      <c r="AJ877" s="10" t="s">
        <v>4951</v>
      </c>
      <c r="AK877" s="10" t="s">
        <v>4952</v>
      </c>
    </row>
    <row r="878" spans="1:37" ht="36.75" customHeight="1" x14ac:dyDescent="0.35">
      <c r="A878" s="5"/>
      <c r="B878" s="5" t="s">
        <v>37</v>
      </c>
      <c r="C878" s="73" t="str">
        <f t="shared" si="13"/>
        <v>Closed</v>
      </c>
      <c r="D878" s="45" t="s">
        <v>4953</v>
      </c>
      <c r="E878" s="54" t="s">
        <v>4954</v>
      </c>
      <c r="F878" s="5" t="s">
        <v>178</v>
      </c>
      <c r="G878" s="10">
        <f>DATE(2010,6,16)</f>
        <v>40345</v>
      </c>
      <c r="H878" s="35">
        <v>1.1298611111111112</v>
      </c>
      <c r="I878" s="5" t="s">
        <v>55</v>
      </c>
      <c r="J878" s="10" t="s">
        <v>4955</v>
      </c>
      <c r="K878" s="5" t="s">
        <v>181</v>
      </c>
      <c r="L878" s="5" t="s">
        <v>4956</v>
      </c>
      <c r="M878" s="5" t="s">
        <v>45</v>
      </c>
      <c r="N878" s="5">
        <v>0</v>
      </c>
      <c r="O878" s="5" t="s">
        <v>46</v>
      </c>
      <c r="P878" s="10" t="s">
        <v>60</v>
      </c>
      <c r="Q878" s="10" t="s">
        <v>1697</v>
      </c>
      <c r="R878" s="10" t="s">
        <v>184</v>
      </c>
      <c r="S878" s="5">
        <v>0</v>
      </c>
      <c r="T878" s="37">
        <v>0</v>
      </c>
      <c r="U878" s="5">
        <v>0</v>
      </c>
      <c r="V878" s="37">
        <v>0</v>
      </c>
      <c r="W878" s="5">
        <v>0</v>
      </c>
      <c r="X878" s="5">
        <v>0</v>
      </c>
      <c r="Y878" s="5">
        <v>0</v>
      </c>
      <c r="Z878" s="37">
        <v>1</v>
      </c>
      <c r="AA878" s="5">
        <v>0</v>
      </c>
      <c r="AB878" s="5">
        <v>0</v>
      </c>
      <c r="AC878" s="5">
        <v>0</v>
      </c>
      <c r="AD878" s="5">
        <v>1</v>
      </c>
      <c r="AE878" s="10" t="s">
        <v>50</v>
      </c>
      <c r="AF878" s="10"/>
      <c r="AG878" s="10" t="s">
        <v>64</v>
      </c>
      <c r="AH878" s="10" t="s">
        <v>50</v>
      </c>
      <c r="AI878" s="5">
        <v>4</v>
      </c>
      <c r="AJ878" s="10" t="s">
        <v>4957</v>
      </c>
      <c r="AK878" s="10" t="s">
        <v>4958</v>
      </c>
    </row>
    <row r="879" spans="1:37" ht="36.75" customHeight="1" x14ac:dyDescent="0.35">
      <c r="A879" s="5"/>
      <c r="B879" s="5" t="s">
        <v>37</v>
      </c>
      <c r="C879" s="73" t="str">
        <f t="shared" si="13"/>
        <v>Closed</v>
      </c>
      <c r="D879" s="45" t="s">
        <v>4959</v>
      </c>
      <c r="E879" s="54" t="s">
        <v>4960</v>
      </c>
      <c r="F879" s="5" t="s">
        <v>563</v>
      </c>
      <c r="G879" s="10">
        <f>DATE(2010,6,16)</f>
        <v>40345</v>
      </c>
      <c r="H879" s="35">
        <v>1.9743055555555555</v>
      </c>
      <c r="I879" s="5" t="s">
        <v>55</v>
      </c>
      <c r="J879" s="10" t="s">
        <v>4961</v>
      </c>
      <c r="K879" s="5" t="s">
        <v>565</v>
      </c>
      <c r="L879" s="5" t="s">
        <v>4962</v>
      </c>
      <c r="M879" s="5" t="s">
        <v>45</v>
      </c>
      <c r="N879" s="5" t="s">
        <v>123</v>
      </c>
      <c r="O879" s="5" t="s">
        <v>46</v>
      </c>
      <c r="P879" s="10" t="s">
        <v>197</v>
      </c>
      <c r="Q879" s="10" t="s">
        <v>4963</v>
      </c>
      <c r="R879" s="10" t="s">
        <v>568</v>
      </c>
      <c r="S879" s="5">
        <v>0</v>
      </c>
      <c r="T879" s="37">
        <v>0</v>
      </c>
      <c r="U879" s="5">
        <v>0</v>
      </c>
      <c r="V879" s="37">
        <v>0</v>
      </c>
      <c r="W879" s="5">
        <v>0</v>
      </c>
      <c r="X879" s="5">
        <v>0</v>
      </c>
      <c r="Y879" s="5">
        <v>0</v>
      </c>
      <c r="Z879" s="37">
        <v>1</v>
      </c>
      <c r="AA879" s="5">
        <v>0</v>
      </c>
      <c r="AB879" s="5">
        <v>0</v>
      </c>
      <c r="AC879" s="5">
        <v>0</v>
      </c>
      <c r="AD879" s="5">
        <v>1</v>
      </c>
      <c r="AE879" s="10" t="s">
        <v>126</v>
      </c>
      <c r="AF879" s="10"/>
      <c r="AG879" s="10" t="s">
        <v>64</v>
      </c>
      <c r="AH879" s="10">
        <v>39953</v>
      </c>
      <c r="AI879" s="5">
        <v>0</v>
      </c>
      <c r="AJ879" s="10" t="s">
        <v>4964</v>
      </c>
      <c r="AK879" s="10" t="s">
        <v>1215</v>
      </c>
    </row>
    <row r="880" spans="1:37" ht="36.75" customHeight="1" x14ac:dyDescent="0.35">
      <c r="A880" s="5"/>
      <c r="B880" s="5" t="s">
        <v>37</v>
      </c>
      <c r="C880" s="73" t="str">
        <f t="shared" si="13"/>
        <v>Closed</v>
      </c>
      <c r="D880" s="45" t="s">
        <v>4965</v>
      </c>
      <c r="E880" s="54" t="s">
        <v>4966</v>
      </c>
      <c r="F880" s="5" t="s">
        <v>2581</v>
      </c>
      <c r="G880" s="10">
        <f>DATE(2010,6,18)</f>
        <v>40347</v>
      </c>
      <c r="H880" s="35">
        <v>1.6541666666666668</v>
      </c>
      <c r="I880" s="5" t="s">
        <v>97</v>
      </c>
      <c r="J880" s="10" t="s">
        <v>4967</v>
      </c>
      <c r="K880" s="5" t="s">
        <v>2583</v>
      </c>
      <c r="L880" s="5" t="s">
        <v>4968</v>
      </c>
      <c r="M880" s="5" t="s">
        <v>45</v>
      </c>
      <c r="N880" s="5" t="s">
        <v>80</v>
      </c>
      <c r="O880" s="5" t="s">
        <v>46</v>
      </c>
      <c r="P880" s="10" t="s">
        <v>146</v>
      </c>
      <c r="Q880" s="10" t="s">
        <v>2585</v>
      </c>
      <c r="R880" s="10" t="s">
        <v>2586</v>
      </c>
      <c r="S880" s="5">
        <v>0</v>
      </c>
      <c r="T880" s="37">
        <v>0</v>
      </c>
      <c r="U880" s="5">
        <v>1</v>
      </c>
      <c r="V880" s="37">
        <v>0</v>
      </c>
      <c r="W880" s="5">
        <v>0</v>
      </c>
      <c r="X880" s="5">
        <v>1</v>
      </c>
      <c r="Y880" s="5">
        <v>0</v>
      </c>
      <c r="Z880" s="37">
        <v>0</v>
      </c>
      <c r="AA880" s="5">
        <v>0</v>
      </c>
      <c r="AB880" s="5">
        <v>0</v>
      </c>
      <c r="AC880" s="5">
        <v>0</v>
      </c>
      <c r="AD880" s="5">
        <v>0</v>
      </c>
      <c r="AE880" s="10" t="s">
        <v>73</v>
      </c>
      <c r="AF880" s="10"/>
      <c r="AG880" s="10" t="s">
        <v>64</v>
      </c>
      <c r="AH880" s="10">
        <v>40353</v>
      </c>
      <c r="AI880" s="5">
        <v>4</v>
      </c>
      <c r="AJ880" s="10" t="s">
        <v>4969</v>
      </c>
      <c r="AK880" s="10" t="s">
        <v>4970</v>
      </c>
    </row>
    <row r="881" spans="1:37" ht="36.75" customHeight="1" x14ac:dyDescent="0.35">
      <c r="A881" s="5"/>
      <c r="B881" s="5" t="s">
        <v>37</v>
      </c>
      <c r="C881" s="73" t="str">
        <f t="shared" si="13"/>
        <v>Closed</v>
      </c>
      <c r="D881" s="45" t="s">
        <v>4971</v>
      </c>
      <c r="E881" s="54" t="s">
        <v>4972</v>
      </c>
      <c r="F881" s="5" t="s">
        <v>358</v>
      </c>
      <c r="G881" s="10">
        <f>DATE(2010,6,21)</f>
        <v>40350</v>
      </c>
      <c r="H881" s="35">
        <v>1.0625</v>
      </c>
      <c r="I881" s="5" t="s">
        <v>4973</v>
      </c>
      <c r="J881" s="10" t="s">
        <v>4974</v>
      </c>
      <c r="K881" s="5" t="s">
        <v>360</v>
      </c>
      <c r="L881" s="5" t="s">
        <v>4975</v>
      </c>
      <c r="M881" s="5" t="s">
        <v>45</v>
      </c>
      <c r="N881" s="5">
        <v>0</v>
      </c>
      <c r="O881" s="5" t="s">
        <v>71</v>
      </c>
      <c r="P881" s="10" t="s">
        <v>60</v>
      </c>
      <c r="Q881" s="10" t="s">
        <v>4976</v>
      </c>
      <c r="R881" s="10" t="s">
        <v>363</v>
      </c>
      <c r="S881" s="5">
        <v>0</v>
      </c>
      <c r="T881" s="37" t="s">
        <v>50</v>
      </c>
      <c r="U881" s="5">
        <v>0</v>
      </c>
      <c r="V881" s="37" t="s">
        <v>50</v>
      </c>
      <c r="W881" s="5">
        <v>0</v>
      </c>
      <c r="X881" s="5">
        <v>0</v>
      </c>
      <c r="Y881" s="5">
        <v>0</v>
      </c>
      <c r="Z881" s="37" t="s">
        <v>50</v>
      </c>
      <c r="AA881" s="5">
        <v>0</v>
      </c>
      <c r="AB881" s="5">
        <v>0</v>
      </c>
      <c r="AC881" s="5">
        <v>0</v>
      </c>
      <c r="AD881" s="5">
        <v>0</v>
      </c>
      <c r="AE881" s="10" t="s">
        <v>50</v>
      </c>
      <c r="AF881" s="10"/>
      <c r="AG881" s="10" t="s">
        <v>333</v>
      </c>
      <c r="AH881" s="10" t="s">
        <v>50</v>
      </c>
      <c r="AI881" s="5">
        <v>2</v>
      </c>
      <c r="AJ881" s="10" t="s">
        <v>50</v>
      </c>
      <c r="AK881" s="10" t="s">
        <v>50</v>
      </c>
    </row>
    <row r="882" spans="1:37" ht="36.75" customHeight="1" x14ac:dyDescent="0.35">
      <c r="A882" s="5"/>
      <c r="B882" s="5" t="s">
        <v>37</v>
      </c>
      <c r="C882" s="73" t="str">
        <f t="shared" si="13"/>
        <v>Closed</v>
      </c>
      <c r="D882" s="45" t="s">
        <v>4977</v>
      </c>
      <c r="E882" s="54" t="s">
        <v>4978</v>
      </c>
      <c r="F882" s="5" t="s">
        <v>619</v>
      </c>
      <c r="G882" s="10">
        <f>DATE(2010,6,23)</f>
        <v>40352</v>
      </c>
      <c r="H882" s="35">
        <v>1.9743055555555555</v>
      </c>
      <c r="I882" s="5" t="s">
        <v>259</v>
      </c>
      <c r="J882" s="10" t="s">
        <v>4979</v>
      </c>
      <c r="K882" s="5" t="s">
        <v>621</v>
      </c>
      <c r="L882" s="5" t="s">
        <v>4980</v>
      </c>
      <c r="M882" s="5" t="s">
        <v>45</v>
      </c>
      <c r="N882" s="5">
        <v>0</v>
      </c>
      <c r="O882" s="5" t="s">
        <v>67</v>
      </c>
      <c r="P882" s="10" t="s">
        <v>47</v>
      </c>
      <c r="Q882" s="10" t="s">
        <v>623</v>
      </c>
      <c r="R882" s="10" t="s">
        <v>624</v>
      </c>
      <c r="S882" s="5">
        <v>0</v>
      </c>
      <c r="T882" s="37">
        <v>0</v>
      </c>
      <c r="U882" s="5">
        <v>0</v>
      </c>
      <c r="V882" s="37">
        <v>12</v>
      </c>
      <c r="W882" s="5">
        <v>0</v>
      </c>
      <c r="X882" s="5">
        <v>12</v>
      </c>
      <c r="Y882" s="5">
        <v>0</v>
      </c>
      <c r="Z882" s="37">
        <v>0</v>
      </c>
      <c r="AA882" s="5">
        <v>0</v>
      </c>
      <c r="AB882" s="5">
        <v>10</v>
      </c>
      <c r="AC882" s="5">
        <v>0</v>
      </c>
      <c r="AD882" s="5">
        <v>10</v>
      </c>
      <c r="AE882" s="10" t="s">
        <v>50</v>
      </c>
      <c r="AF882" s="10"/>
      <c r="AG882" s="10" t="s">
        <v>333</v>
      </c>
      <c r="AH882" s="10" t="s">
        <v>50</v>
      </c>
      <c r="AI882" s="5">
        <v>0</v>
      </c>
      <c r="AJ882" s="10" t="s">
        <v>4981</v>
      </c>
      <c r="AK882" s="10" t="s">
        <v>50</v>
      </c>
    </row>
    <row r="883" spans="1:37" ht="36.75" customHeight="1" x14ac:dyDescent="0.35">
      <c r="A883" s="5"/>
      <c r="B883" s="5" t="s">
        <v>37</v>
      </c>
      <c r="C883" s="73" t="str">
        <f t="shared" si="13"/>
        <v>Closed</v>
      </c>
      <c r="D883" s="45" t="s">
        <v>4982</v>
      </c>
      <c r="E883" s="54" t="s">
        <v>4983</v>
      </c>
      <c r="F883" s="5" t="s">
        <v>40</v>
      </c>
      <c r="G883" s="10">
        <f>DATE(2010,6,23)</f>
        <v>40352</v>
      </c>
      <c r="H883" s="35">
        <v>1.6555555555555554</v>
      </c>
      <c r="I883" s="5" t="s">
        <v>97</v>
      </c>
      <c r="J883" s="10" t="s">
        <v>4984</v>
      </c>
      <c r="K883" s="5" t="s">
        <v>43</v>
      </c>
      <c r="L883" s="5" t="s">
        <v>4985</v>
      </c>
      <c r="M883" s="5" t="s">
        <v>45</v>
      </c>
      <c r="N883" s="5">
        <v>0</v>
      </c>
      <c r="O883" s="5" t="s">
        <v>46</v>
      </c>
      <c r="P883" s="10" t="s">
        <v>60</v>
      </c>
      <c r="Q883" s="10" t="s">
        <v>48</v>
      </c>
      <c r="R883" s="10" t="s">
        <v>49</v>
      </c>
      <c r="S883" s="5">
        <v>0</v>
      </c>
      <c r="T883" s="37" t="s">
        <v>50</v>
      </c>
      <c r="U883" s="5">
        <v>0</v>
      </c>
      <c r="V883" s="37" t="s">
        <v>50</v>
      </c>
      <c r="W883" s="5">
        <v>0</v>
      </c>
      <c r="X883" s="5">
        <v>0</v>
      </c>
      <c r="Y883" s="5">
        <v>0</v>
      </c>
      <c r="Z883" s="37" t="s">
        <v>50</v>
      </c>
      <c r="AA883" s="5">
        <v>0</v>
      </c>
      <c r="AB883" s="5">
        <v>0</v>
      </c>
      <c r="AC883" s="5">
        <v>0</v>
      </c>
      <c r="AD883" s="5">
        <v>0</v>
      </c>
      <c r="AE883" s="10" t="s">
        <v>50</v>
      </c>
      <c r="AF883" s="10"/>
      <c r="AG883" s="10" t="s">
        <v>114</v>
      </c>
      <c r="AH883" s="10" t="s">
        <v>50</v>
      </c>
      <c r="AI883" s="5">
        <v>0</v>
      </c>
      <c r="AJ883" s="10" t="s">
        <v>4986</v>
      </c>
      <c r="AK883" s="10" t="s">
        <v>4987</v>
      </c>
    </row>
    <row r="884" spans="1:37" ht="36.75" customHeight="1" x14ac:dyDescent="0.35">
      <c r="A884" s="5"/>
      <c r="B884" s="5" t="s">
        <v>37</v>
      </c>
      <c r="C884" s="73" t="str">
        <f t="shared" si="13"/>
        <v>Closed</v>
      </c>
      <c r="D884" s="45" t="s">
        <v>4988</v>
      </c>
      <c r="E884" s="54" t="s">
        <v>4989</v>
      </c>
      <c r="F884" s="5" t="s">
        <v>619</v>
      </c>
      <c r="G884" s="10">
        <f>DATE(2010,6,26)</f>
        <v>40355</v>
      </c>
      <c r="H884" s="35">
        <v>1.0194444444444444</v>
      </c>
      <c r="I884" s="5" t="s">
        <v>259</v>
      </c>
      <c r="J884" s="10" t="s">
        <v>4990</v>
      </c>
      <c r="K884" s="5" t="s">
        <v>621</v>
      </c>
      <c r="L884" s="5" t="s">
        <v>4991</v>
      </c>
      <c r="M884" s="5" t="s">
        <v>45</v>
      </c>
      <c r="N884" s="5">
        <v>0</v>
      </c>
      <c r="O884" s="5" t="s">
        <v>59</v>
      </c>
      <c r="P884" s="10" t="s">
        <v>146</v>
      </c>
      <c r="Q884" s="10" t="s">
        <v>623</v>
      </c>
      <c r="R884" s="10" t="s">
        <v>624</v>
      </c>
      <c r="S884" s="5">
        <v>0</v>
      </c>
      <c r="T884" s="37" t="s">
        <v>50</v>
      </c>
      <c r="U884" s="5">
        <v>0</v>
      </c>
      <c r="V884" s="37" t="s">
        <v>50</v>
      </c>
      <c r="W884" s="5">
        <v>0</v>
      </c>
      <c r="X884" s="5">
        <v>0</v>
      </c>
      <c r="Y884" s="5">
        <v>0</v>
      </c>
      <c r="Z884" s="37" t="s">
        <v>50</v>
      </c>
      <c r="AA884" s="5">
        <v>0</v>
      </c>
      <c r="AB884" s="5">
        <v>0</v>
      </c>
      <c r="AC884" s="5">
        <v>0</v>
      </c>
      <c r="AD884" s="5">
        <v>0</v>
      </c>
      <c r="AE884" s="10" t="s">
        <v>50</v>
      </c>
      <c r="AF884" s="10"/>
      <c r="AG884" s="10" t="s">
        <v>229</v>
      </c>
      <c r="AH884" s="10" t="s">
        <v>50</v>
      </c>
      <c r="AI884" s="5">
        <v>2</v>
      </c>
      <c r="AJ884" s="10" t="s">
        <v>4992</v>
      </c>
      <c r="AK884" s="10" t="s">
        <v>50</v>
      </c>
    </row>
    <row r="885" spans="1:37" ht="36.75" customHeight="1" x14ac:dyDescent="0.35">
      <c r="A885" s="5"/>
      <c r="B885" s="5" t="s">
        <v>37</v>
      </c>
      <c r="C885" s="73" t="str">
        <f t="shared" si="13"/>
        <v>Closed</v>
      </c>
      <c r="D885" s="45" t="s">
        <v>4993</v>
      </c>
      <c r="E885" s="54" t="s">
        <v>4994</v>
      </c>
      <c r="F885" s="5" t="s">
        <v>1919</v>
      </c>
      <c r="G885" s="10">
        <f>DATE(2010,6,27)</f>
        <v>40356</v>
      </c>
      <c r="H885" s="35">
        <v>1.9270833333333335</v>
      </c>
      <c r="I885" s="5" t="s">
        <v>97</v>
      </c>
      <c r="J885" s="10" t="s">
        <v>4995</v>
      </c>
      <c r="K885" s="5" t="s">
        <v>1921</v>
      </c>
      <c r="L885" s="5" t="s">
        <v>4996</v>
      </c>
      <c r="M885" s="5" t="s">
        <v>45</v>
      </c>
      <c r="N885" s="5">
        <v>0</v>
      </c>
      <c r="O885" s="5" t="s">
        <v>46</v>
      </c>
      <c r="P885" s="10" t="s">
        <v>146</v>
      </c>
      <c r="Q885" s="10" t="s">
        <v>1923</v>
      </c>
      <c r="R885" s="10" t="s">
        <v>1923</v>
      </c>
      <c r="S885" s="5">
        <v>0</v>
      </c>
      <c r="T885" s="37">
        <v>0</v>
      </c>
      <c r="U885" s="5">
        <v>1</v>
      </c>
      <c r="V885" s="37">
        <v>0</v>
      </c>
      <c r="W885" s="5">
        <v>0</v>
      </c>
      <c r="X885" s="5">
        <v>1</v>
      </c>
      <c r="Y885" s="5">
        <v>0</v>
      </c>
      <c r="Z885" s="37">
        <v>0</v>
      </c>
      <c r="AA885" s="5">
        <v>0</v>
      </c>
      <c r="AB885" s="5">
        <v>0</v>
      </c>
      <c r="AC885" s="5">
        <v>0</v>
      </c>
      <c r="AD885" s="5">
        <v>0</v>
      </c>
      <c r="AE885" s="10" t="s">
        <v>50</v>
      </c>
      <c r="AF885" s="10"/>
      <c r="AG885" s="10" t="s">
        <v>64</v>
      </c>
      <c r="AH885" s="10" t="s">
        <v>50</v>
      </c>
      <c r="AI885" s="5">
        <v>4</v>
      </c>
      <c r="AJ885" s="10" t="s">
        <v>4997</v>
      </c>
      <c r="AK885" s="10" t="s">
        <v>4998</v>
      </c>
    </row>
    <row r="886" spans="1:37" ht="36.75" customHeight="1" x14ac:dyDescent="0.35">
      <c r="A886" s="5"/>
      <c r="B886" s="5" t="s">
        <v>37</v>
      </c>
      <c r="C886" s="73" t="str">
        <f t="shared" si="13"/>
        <v>Closed</v>
      </c>
      <c r="D886" s="45" t="s">
        <v>4999</v>
      </c>
      <c r="E886" s="54" t="s">
        <v>5000</v>
      </c>
      <c r="F886" s="5" t="s">
        <v>404</v>
      </c>
      <c r="G886" s="10">
        <f>DATE(2010,6,28)</f>
        <v>40357</v>
      </c>
      <c r="H886" s="35">
        <v>1.6993055555555556</v>
      </c>
      <c r="I886" s="5" t="s">
        <v>55</v>
      </c>
      <c r="J886" s="10" t="s">
        <v>5001</v>
      </c>
      <c r="K886" s="5" t="s">
        <v>406</v>
      </c>
      <c r="L886" s="5" t="s">
        <v>5002</v>
      </c>
      <c r="M886" s="5" t="s">
        <v>45</v>
      </c>
      <c r="N886" s="5">
        <v>0</v>
      </c>
      <c r="O886" s="5" t="s">
        <v>59</v>
      </c>
      <c r="P886" s="10" t="s">
        <v>146</v>
      </c>
      <c r="Q886" s="10" t="s">
        <v>408</v>
      </c>
      <c r="R886" s="10" t="s">
        <v>3083</v>
      </c>
      <c r="S886" s="5">
        <v>0</v>
      </c>
      <c r="T886" s="37">
        <v>1</v>
      </c>
      <c r="U886" s="5">
        <v>0</v>
      </c>
      <c r="V886" s="37">
        <v>0</v>
      </c>
      <c r="W886" s="5">
        <v>0</v>
      </c>
      <c r="X886" s="5">
        <v>1</v>
      </c>
      <c r="Y886" s="5">
        <v>8</v>
      </c>
      <c r="Z886" s="37">
        <v>1</v>
      </c>
      <c r="AA886" s="5">
        <v>0</v>
      </c>
      <c r="AB886" s="5">
        <v>0</v>
      </c>
      <c r="AC886" s="5">
        <v>0</v>
      </c>
      <c r="AD886" s="5">
        <v>9</v>
      </c>
      <c r="AE886" s="10" t="s">
        <v>50</v>
      </c>
      <c r="AF886" s="10"/>
      <c r="AG886" s="10" t="s">
        <v>64</v>
      </c>
      <c r="AH886" s="10" t="s">
        <v>50</v>
      </c>
      <c r="AI886" s="5">
        <v>3</v>
      </c>
      <c r="AJ886" s="10" t="s">
        <v>5003</v>
      </c>
      <c r="AK886" s="10" t="s">
        <v>5004</v>
      </c>
    </row>
    <row r="887" spans="1:37" ht="36.75" customHeight="1" x14ac:dyDescent="0.35">
      <c r="A887" s="5"/>
      <c r="B887" s="5" t="s">
        <v>37</v>
      </c>
      <c r="C887" s="73" t="str">
        <f t="shared" si="13"/>
        <v>Closed</v>
      </c>
      <c r="D887" s="45" t="s">
        <v>5005</v>
      </c>
      <c r="E887" s="54" t="s">
        <v>5006</v>
      </c>
      <c r="F887" s="5" t="s">
        <v>619</v>
      </c>
      <c r="G887" s="10">
        <f>DATE(2010,6,29)</f>
        <v>40358</v>
      </c>
      <c r="H887" s="35">
        <v>1.3798611111111112</v>
      </c>
      <c r="I887" s="5" t="s">
        <v>85</v>
      </c>
      <c r="J887" s="10" t="s">
        <v>5007</v>
      </c>
      <c r="K887" s="5" t="s">
        <v>621</v>
      </c>
      <c r="L887" s="5" t="s">
        <v>5008</v>
      </c>
      <c r="M887" s="5" t="s">
        <v>45</v>
      </c>
      <c r="N887" s="5">
        <v>0</v>
      </c>
      <c r="O887" s="5" t="s">
        <v>59</v>
      </c>
      <c r="P887" s="10" t="s">
        <v>67</v>
      </c>
      <c r="Q887" s="10" t="s">
        <v>623</v>
      </c>
      <c r="R887" s="10" t="s">
        <v>624</v>
      </c>
      <c r="S887" s="5">
        <v>0</v>
      </c>
      <c r="T887" s="37" t="s">
        <v>50</v>
      </c>
      <c r="U887" s="5">
        <v>0</v>
      </c>
      <c r="V887" s="37" t="s">
        <v>50</v>
      </c>
      <c r="W887" s="5">
        <v>0</v>
      </c>
      <c r="X887" s="5">
        <v>0</v>
      </c>
      <c r="Y887" s="5">
        <v>0</v>
      </c>
      <c r="Z887" s="37" t="s">
        <v>50</v>
      </c>
      <c r="AA887" s="5">
        <v>0</v>
      </c>
      <c r="AB887" s="5">
        <v>0</v>
      </c>
      <c r="AC887" s="5">
        <v>0</v>
      </c>
      <c r="AD887" s="5">
        <v>0</v>
      </c>
      <c r="AE887" s="10" t="s">
        <v>50</v>
      </c>
      <c r="AF887" s="10"/>
      <c r="AG887" s="10" t="s">
        <v>333</v>
      </c>
      <c r="AH887" s="10" t="s">
        <v>50</v>
      </c>
      <c r="AI887" s="5">
        <v>0</v>
      </c>
      <c r="AJ887" s="10" t="s">
        <v>5009</v>
      </c>
      <c r="AK887" s="10" t="s">
        <v>50</v>
      </c>
    </row>
    <row r="888" spans="1:37" ht="36.75" customHeight="1" x14ac:dyDescent="0.35">
      <c r="A888" s="5"/>
      <c r="B888" s="5" t="s">
        <v>37</v>
      </c>
      <c r="C888" s="73" t="str">
        <f t="shared" si="13"/>
        <v>Closed</v>
      </c>
      <c r="D888" s="45" t="s">
        <v>5010</v>
      </c>
      <c r="E888" s="54" t="s">
        <v>5011</v>
      </c>
      <c r="F888" s="5" t="s">
        <v>358</v>
      </c>
      <c r="G888" s="10">
        <f>DATE(2010,6,30)</f>
        <v>40359</v>
      </c>
      <c r="H888" s="35">
        <v>1.8715277777777777</v>
      </c>
      <c r="I888" s="5" t="s">
        <v>85</v>
      </c>
      <c r="J888" s="10" t="s">
        <v>5012</v>
      </c>
      <c r="K888" s="5" t="s">
        <v>360</v>
      </c>
      <c r="L888" s="5" t="s">
        <v>5013</v>
      </c>
      <c r="M888" s="5" t="s">
        <v>45</v>
      </c>
      <c r="N888" s="5">
        <v>0</v>
      </c>
      <c r="O888" s="5" t="s">
        <v>59</v>
      </c>
      <c r="P888" s="10" t="s">
        <v>60</v>
      </c>
      <c r="Q888" s="10" t="s">
        <v>5014</v>
      </c>
      <c r="R888" s="10" t="s">
        <v>363</v>
      </c>
      <c r="S888" s="5">
        <v>0</v>
      </c>
      <c r="T888" s="37" t="s">
        <v>50</v>
      </c>
      <c r="U888" s="5">
        <v>0</v>
      </c>
      <c r="V888" s="37" t="s">
        <v>50</v>
      </c>
      <c r="W888" s="5">
        <v>0</v>
      </c>
      <c r="X888" s="5">
        <v>0</v>
      </c>
      <c r="Y888" s="5">
        <v>0</v>
      </c>
      <c r="Z888" s="37" t="s">
        <v>50</v>
      </c>
      <c r="AA888" s="5">
        <v>0</v>
      </c>
      <c r="AB888" s="5">
        <v>0</v>
      </c>
      <c r="AC888" s="5">
        <v>0</v>
      </c>
      <c r="AD888" s="5">
        <v>0</v>
      </c>
      <c r="AE888" s="10" t="s">
        <v>50</v>
      </c>
      <c r="AF888" s="10"/>
      <c r="AG888" s="10" t="s">
        <v>333</v>
      </c>
      <c r="AH888" s="10" t="s">
        <v>50</v>
      </c>
      <c r="AI888" s="5">
        <v>0</v>
      </c>
      <c r="AJ888" s="10" t="s">
        <v>50</v>
      </c>
      <c r="AK888" s="10" t="s">
        <v>50</v>
      </c>
    </row>
    <row r="889" spans="1:37" ht="36.75" customHeight="1" x14ac:dyDescent="0.35">
      <c r="A889" s="5"/>
      <c r="B889" s="5" t="s">
        <v>37</v>
      </c>
      <c r="C889" s="73" t="str">
        <f t="shared" si="13"/>
        <v>Closed</v>
      </c>
      <c r="D889" s="45" t="s">
        <v>5015</v>
      </c>
      <c r="E889" s="54" t="s">
        <v>5016</v>
      </c>
      <c r="F889" s="5" t="s">
        <v>1919</v>
      </c>
      <c r="G889" s="10">
        <f>DATE(2010,7,2)</f>
        <v>40361</v>
      </c>
      <c r="H889" s="35">
        <v>1.4375</v>
      </c>
      <c r="I889" s="5" t="s">
        <v>137</v>
      </c>
      <c r="J889" s="10" t="s">
        <v>5017</v>
      </c>
      <c r="K889" s="5" t="s">
        <v>1921</v>
      </c>
      <c r="L889" s="5" t="s">
        <v>5018</v>
      </c>
      <c r="M889" s="5" t="s">
        <v>45</v>
      </c>
      <c r="N889" s="5">
        <v>0</v>
      </c>
      <c r="O889" s="5" t="s">
        <v>46</v>
      </c>
      <c r="P889" s="10" t="s">
        <v>282</v>
      </c>
      <c r="Q889" s="10" t="s">
        <v>1923</v>
      </c>
      <c r="R889" s="10" t="s">
        <v>1923</v>
      </c>
      <c r="S889" s="5">
        <v>0</v>
      </c>
      <c r="T889" s="37" t="s">
        <v>50</v>
      </c>
      <c r="U889" s="5">
        <v>0</v>
      </c>
      <c r="V889" s="37" t="s">
        <v>50</v>
      </c>
      <c r="W889" s="5">
        <v>0</v>
      </c>
      <c r="X889" s="5">
        <v>0</v>
      </c>
      <c r="Y889" s="5">
        <v>0</v>
      </c>
      <c r="Z889" s="37" t="s">
        <v>50</v>
      </c>
      <c r="AA889" s="5">
        <v>0</v>
      </c>
      <c r="AB889" s="5">
        <v>0</v>
      </c>
      <c r="AC889" s="5">
        <v>0</v>
      </c>
      <c r="AD889" s="5">
        <v>0</v>
      </c>
      <c r="AE889" s="10" t="s">
        <v>50</v>
      </c>
      <c r="AF889" s="10"/>
      <c r="AG889" s="10" t="s">
        <v>333</v>
      </c>
      <c r="AH889" s="10" t="s">
        <v>50</v>
      </c>
      <c r="AI889" s="5">
        <v>2</v>
      </c>
      <c r="AJ889" s="10" t="s">
        <v>5019</v>
      </c>
      <c r="AK889" s="10" t="s">
        <v>5020</v>
      </c>
    </row>
    <row r="890" spans="1:37" ht="36.75" customHeight="1" x14ac:dyDescent="0.35">
      <c r="A890" s="5"/>
      <c r="B890" s="5" t="s">
        <v>37</v>
      </c>
      <c r="C890" s="73" t="str">
        <f t="shared" si="13"/>
        <v>Closed</v>
      </c>
      <c r="D890" s="45" t="s">
        <v>5021</v>
      </c>
      <c r="E890" s="54" t="s">
        <v>5022</v>
      </c>
      <c r="F890" s="5" t="s">
        <v>2581</v>
      </c>
      <c r="G890" s="10">
        <f>DATE(2010,7,3)</f>
        <v>40362</v>
      </c>
      <c r="H890" s="35">
        <v>1.2777777777777777</v>
      </c>
      <c r="I890" s="5" t="s">
        <v>106</v>
      </c>
      <c r="J890" s="10" t="s">
        <v>5023</v>
      </c>
      <c r="K890" s="5" t="s">
        <v>2583</v>
      </c>
      <c r="L890" s="5" t="s">
        <v>5024</v>
      </c>
      <c r="M890" s="5" t="s">
        <v>45</v>
      </c>
      <c r="N890" s="5" t="s">
        <v>123</v>
      </c>
      <c r="O890" s="5" t="s">
        <v>46</v>
      </c>
      <c r="P890" s="10" t="s">
        <v>146</v>
      </c>
      <c r="Q890" s="10" t="s">
        <v>2585</v>
      </c>
      <c r="R890" s="10" t="s">
        <v>2586</v>
      </c>
      <c r="S890" s="5">
        <v>0</v>
      </c>
      <c r="T890" s="37">
        <v>0</v>
      </c>
      <c r="U890" s="5">
        <v>0</v>
      </c>
      <c r="V890" s="37">
        <v>0</v>
      </c>
      <c r="W890" s="5">
        <v>0</v>
      </c>
      <c r="X890" s="5">
        <v>0</v>
      </c>
      <c r="Y890" s="5">
        <v>0</v>
      </c>
      <c r="Z890" s="37">
        <v>0</v>
      </c>
      <c r="AA890" s="5">
        <v>0</v>
      </c>
      <c r="AB890" s="5">
        <v>0</v>
      </c>
      <c r="AC890" s="5">
        <v>0</v>
      </c>
      <c r="AD890" s="5">
        <v>0</v>
      </c>
      <c r="AE890" s="10" t="s">
        <v>73</v>
      </c>
      <c r="AF890" s="10"/>
      <c r="AG890" s="10" t="s">
        <v>333</v>
      </c>
      <c r="AH890" s="10">
        <v>40364</v>
      </c>
      <c r="AI890" s="5">
        <v>7</v>
      </c>
      <c r="AJ890" s="10" t="s">
        <v>5025</v>
      </c>
      <c r="AK890" s="10" t="s">
        <v>5026</v>
      </c>
    </row>
    <row r="891" spans="1:37" ht="36.75" customHeight="1" x14ac:dyDescent="0.35">
      <c r="A891" s="5"/>
      <c r="B891" s="5" t="s">
        <v>37</v>
      </c>
      <c r="C891" s="73" t="str">
        <f t="shared" si="13"/>
        <v>Closed</v>
      </c>
      <c r="D891" s="45" t="s">
        <v>5027</v>
      </c>
      <c r="E891" s="54" t="s">
        <v>5028</v>
      </c>
      <c r="F891" s="5" t="s">
        <v>404</v>
      </c>
      <c r="G891" s="10">
        <f>DATE(2010,7,3)</f>
        <v>40362</v>
      </c>
      <c r="H891" s="35">
        <v>1.5444444444444443</v>
      </c>
      <c r="I891" s="5" t="s">
        <v>179</v>
      </c>
      <c r="J891" s="10" t="s">
        <v>5029</v>
      </c>
      <c r="K891" s="5" t="s">
        <v>406</v>
      </c>
      <c r="L891" s="5" t="s">
        <v>5030</v>
      </c>
      <c r="M891" s="5" t="s">
        <v>45</v>
      </c>
      <c r="N891" s="5">
        <v>0</v>
      </c>
      <c r="O891" s="5" t="s">
        <v>59</v>
      </c>
      <c r="P891" s="10" t="s">
        <v>2531</v>
      </c>
      <c r="Q891" s="10" t="s">
        <v>5031</v>
      </c>
      <c r="R891" s="10" t="s">
        <v>3083</v>
      </c>
      <c r="S891" s="5">
        <v>0</v>
      </c>
      <c r="T891" s="37" t="s">
        <v>50</v>
      </c>
      <c r="U891" s="5">
        <v>0</v>
      </c>
      <c r="V891" s="37" t="s">
        <v>50</v>
      </c>
      <c r="W891" s="5">
        <v>0</v>
      </c>
      <c r="X891" s="5">
        <v>0</v>
      </c>
      <c r="Y891" s="5">
        <v>0</v>
      </c>
      <c r="Z891" s="37" t="s">
        <v>50</v>
      </c>
      <c r="AA891" s="5">
        <v>0</v>
      </c>
      <c r="AB891" s="5">
        <v>0</v>
      </c>
      <c r="AC891" s="5">
        <v>0</v>
      </c>
      <c r="AD891" s="5">
        <v>0</v>
      </c>
      <c r="AE891" s="10" t="s">
        <v>50</v>
      </c>
      <c r="AF891" s="10"/>
      <c r="AG891" s="10" t="s">
        <v>114</v>
      </c>
      <c r="AH891" s="10" t="s">
        <v>50</v>
      </c>
      <c r="AI891" s="5">
        <v>0</v>
      </c>
      <c r="AJ891" s="10" t="s">
        <v>5032</v>
      </c>
      <c r="AK891" s="10" t="s">
        <v>5033</v>
      </c>
    </row>
    <row r="892" spans="1:37" ht="36.75" customHeight="1" x14ac:dyDescent="0.35">
      <c r="A892" s="5"/>
      <c r="B892" s="5" t="s">
        <v>37</v>
      </c>
      <c r="C892" s="73" t="str">
        <f t="shared" si="13"/>
        <v>Closed</v>
      </c>
      <c r="D892" s="45" t="s">
        <v>5034</v>
      </c>
      <c r="E892" s="54" t="s">
        <v>5035</v>
      </c>
      <c r="F892" s="5" t="s">
        <v>563</v>
      </c>
      <c r="G892" s="10">
        <f>DATE(2010,7,4)</f>
        <v>40363</v>
      </c>
      <c r="H892" s="35">
        <v>1.0618055555555554</v>
      </c>
      <c r="I892" s="5" t="s">
        <v>55</v>
      </c>
      <c r="J892" s="10" t="s">
        <v>5036</v>
      </c>
      <c r="K892" s="5" t="s">
        <v>565</v>
      </c>
      <c r="L892" s="5" t="s">
        <v>5037</v>
      </c>
      <c r="M892" s="5" t="s">
        <v>45</v>
      </c>
      <c r="N892" s="5" t="s">
        <v>123</v>
      </c>
      <c r="O892" s="5" t="s">
        <v>59</v>
      </c>
      <c r="P892" s="10" t="s">
        <v>60</v>
      </c>
      <c r="Q892" s="10" t="s">
        <v>567</v>
      </c>
      <c r="R892" s="10" t="s">
        <v>568</v>
      </c>
      <c r="S892" s="5">
        <v>0</v>
      </c>
      <c r="T892" s="37">
        <v>0</v>
      </c>
      <c r="U892" s="5">
        <v>0</v>
      </c>
      <c r="V892" s="37">
        <v>0</v>
      </c>
      <c r="W892" s="5">
        <v>0</v>
      </c>
      <c r="X892" s="5">
        <v>0</v>
      </c>
      <c r="Y892" s="5">
        <v>0</v>
      </c>
      <c r="Z892" s="37">
        <v>0</v>
      </c>
      <c r="AA892" s="5">
        <v>0</v>
      </c>
      <c r="AB892" s="5">
        <v>0</v>
      </c>
      <c r="AC892" s="5">
        <v>0</v>
      </c>
      <c r="AD892" s="5">
        <v>0</v>
      </c>
      <c r="AE892" s="10" t="s">
        <v>375</v>
      </c>
      <c r="AF892" s="10"/>
      <c r="AG892" s="10" t="s">
        <v>64</v>
      </c>
      <c r="AH892" s="10">
        <v>40367</v>
      </c>
      <c r="AI892" s="5">
        <v>0</v>
      </c>
      <c r="AJ892" s="10" t="s">
        <v>5038</v>
      </c>
      <c r="AK892" s="10" t="s">
        <v>1215</v>
      </c>
    </row>
    <row r="893" spans="1:37" ht="36.75" customHeight="1" x14ac:dyDescent="0.35">
      <c r="A893" s="5"/>
      <c r="B893" s="5" t="s">
        <v>37</v>
      </c>
      <c r="C893" s="73" t="str">
        <f t="shared" si="13"/>
        <v>Closed</v>
      </c>
      <c r="D893" s="45" t="s">
        <v>5039</v>
      </c>
      <c r="E893" s="54" t="s">
        <v>5040</v>
      </c>
      <c r="F893" s="5" t="s">
        <v>619</v>
      </c>
      <c r="G893" s="10">
        <f>DATE(2010,7,5)</f>
        <v>40364</v>
      </c>
      <c r="H893" s="35">
        <v>1.4173611111111111</v>
      </c>
      <c r="I893" s="5" t="s">
        <v>85</v>
      </c>
      <c r="J893" s="10" t="s">
        <v>5041</v>
      </c>
      <c r="K893" s="5" t="s">
        <v>621</v>
      </c>
      <c r="L893" s="5" t="s">
        <v>5042</v>
      </c>
      <c r="M893" s="5" t="s">
        <v>45</v>
      </c>
      <c r="N893" s="5">
        <v>0</v>
      </c>
      <c r="O893" s="5" t="s">
        <v>59</v>
      </c>
      <c r="P893" s="10" t="s">
        <v>3114</v>
      </c>
      <c r="Q893" s="10" t="s">
        <v>3013</v>
      </c>
      <c r="R893" s="10" t="s">
        <v>624</v>
      </c>
      <c r="S893" s="5">
        <v>0</v>
      </c>
      <c r="T893" s="37" t="s">
        <v>50</v>
      </c>
      <c r="U893" s="5">
        <v>0</v>
      </c>
      <c r="V893" s="37" t="s">
        <v>50</v>
      </c>
      <c r="W893" s="5">
        <v>0</v>
      </c>
      <c r="X893" s="5">
        <v>0</v>
      </c>
      <c r="Y893" s="5">
        <v>0</v>
      </c>
      <c r="Z893" s="37" t="s">
        <v>50</v>
      </c>
      <c r="AA893" s="5">
        <v>0</v>
      </c>
      <c r="AB893" s="5">
        <v>0</v>
      </c>
      <c r="AC893" s="5">
        <v>0</v>
      </c>
      <c r="AD893" s="5">
        <v>0</v>
      </c>
      <c r="AE893" s="10" t="s">
        <v>50</v>
      </c>
      <c r="AF893" s="10"/>
      <c r="AG893" s="10" t="s">
        <v>333</v>
      </c>
      <c r="AH893" s="10" t="s">
        <v>50</v>
      </c>
      <c r="AI893" s="5">
        <v>0</v>
      </c>
      <c r="AJ893" s="10" t="s">
        <v>5043</v>
      </c>
      <c r="AK893" s="10" t="s">
        <v>50</v>
      </c>
    </row>
    <row r="894" spans="1:37" ht="36.75" customHeight="1" x14ac:dyDescent="0.35">
      <c r="A894" s="5"/>
      <c r="B894" s="5" t="s">
        <v>37</v>
      </c>
      <c r="C894" s="73" t="str">
        <f t="shared" si="13"/>
        <v>Closed</v>
      </c>
      <c r="D894" s="45" t="s">
        <v>5044</v>
      </c>
      <c r="E894" s="54" t="s">
        <v>5045</v>
      </c>
      <c r="F894" s="5" t="s">
        <v>563</v>
      </c>
      <c r="G894" s="10">
        <f>DATE(2010,7,10)</f>
        <v>40369</v>
      </c>
      <c r="H894" s="35">
        <v>1.7916666666666665</v>
      </c>
      <c r="I894" s="5" t="s">
        <v>67</v>
      </c>
      <c r="J894" s="10" t="s">
        <v>5046</v>
      </c>
      <c r="K894" s="5" t="s">
        <v>565</v>
      </c>
      <c r="L894" s="5" t="s">
        <v>5047</v>
      </c>
      <c r="M894" s="5" t="s">
        <v>45</v>
      </c>
      <c r="N894" s="5">
        <v>0</v>
      </c>
      <c r="O894" s="5" t="s">
        <v>59</v>
      </c>
      <c r="P894" s="10" t="s">
        <v>443</v>
      </c>
      <c r="Q894" s="10" t="s">
        <v>2002</v>
      </c>
      <c r="R894" s="10" t="s">
        <v>568</v>
      </c>
      <c r="S894" s="5">
        <v>0</v>
      </c>
      <c r="T894" s="37">
        <v>0</v>
      </c>
      <c r="U894" s="5">
        <v>0</v>
      </c>
      <c r="V894" s="37">
        <v>0</v>
      </c>
      <c r="W894" s="5">
        <v>0</v>
      </c>
      <c r="X894" s="5">
        <v>0</v>
      </c>
      <c r="Y894" s="5">
        <v>0</v>
      </c>
      <c r="Z894" s="37">
        <v>0</v>
      </c>
      <c r="AA894" s="5">
        <v>0</v>
      </c>
      <c r="AB894" s="5">
        <v>0</v>
      </c>
      <c r="AC894" s="5">
        <v>0</v>
      </c>
      <c r="AD894" s="5">
        <v>0</v>
      </c>
      <c r="AE894" s="10" t="s">
        <v>50</v>
      </c>
      <c r="AF894" s="10"/>
      <c r="AG894" s="10" t="s">
        <v>114</v>
      </c>
      <c r="AH894" s="10" t="s">
        <v>50</v>
      </c>
      <c r="AI894" s="5">
        <v>1</v>
      </c>
      <c r="AJ894" s="10" t="s">
        <v>5048</v>
      </c>
      <c r="AK894" s="10" t="s">
        <v>1215</v>
      </c>
    </row>
    <row r="895" spans="1:37" ht="36.75" customHeight="1" x14ac:dyDescent="0.35">
      <c r="A895" s="5"/>
      <c r="B895" s="5" t="s">
        <v>37</v>
      </c>
      <c r="C895" s="73" t="str">
        <f t="shared" si="13"/>
        <v>Closed</v>
      </c>
      <c r="D895" s="45" t="s">
        <v>5049</v>
      </c>
      <c r="E895" s="54" t="s">
        <v>5050</v>
      </c>
      <c r="F895" s="5" t="s">
        <v>619</v>
      </c>
      <c r="G895" s="10">
        <f>DATE(2010,7,10)</f>
        <v>40369</v>
      </c>
      <c r="H895" s="35">
        <v>1.6604166666666667</v>
      </c>
      <c r="I895" s="5" t="s">
        <v>55</v>
      </c>
      <c r="J895" s="10" t="s">
        <v>5051</v>
      </c>
      <c r="K895" s="5" t="s">
        <v>621</v>
      </c>
      <c r="L895" s="5" t="s">
        <v>5052</v>
      </c>
      <c r="M895" s="5" t="s">
        <v>45</v>
      </c>
      <c r="N895" s="5">
        <v>0</v>
      </c>
      <c r="O895" s="5" t="s">
        <v>46</v>
      </c>
      <c r="P895" s="10" t="s">
        <v>47</v>
      </c>
      <c r="Q895" s="10" t="s">
        <v>623</v>
      </c>
      <c r="R895" s="10" t="s">
        <v>624</v>
      </c>
      <c r="S895" s="5">
        <v>0</v>
      </c>
      <c r="T895" s="37" t="s">
        <v>50</v>
      </c>
      <c r="U895" s="5">
        <v>0</v>
      </c>
      <c r="V895" s="37" t="s">
        <v>50</v>
      </c>
      <c r="W895" s="5">
        <v>0</v>
      </c>
      <c r="X895" s="5">
        <v>0</v>
      </c>
      <c r="Y895" s="5">
        <v>0</v>
      </c>
      <c r="Z895" s="37" t="s">
        <v>50</v>
      </c>
      <c r="AA895" s="5">
        <v>0</v>
      </c>
      <c r="AB895" s="5">
        <v>0</v>
      </c>
      <c r="AC895" s="5">
        <v>0</v>
      </c>
      <c r="AD895" s="5">
        <v>0</v>
      </c>
      <c r="AE895" s="10" t="s">
        <v>50</v>
      </c>
      <c r="AF895" s="10"/>
      <c r="AG895" s="10" t="s">
        <v>114</v>
      </c>
      <c r="AH895" s="10" t="s">
        <v>50</v>
      </c>
      <c r="AI895" s="5">
        <v>3</v>
      </c>
      <c r="AJ895" s="10" t="s">
        <v>5053</v>
      </c>
      <c r="AK895" s="10" t="s">
        <v>50</v>
      </c>
    </row>
    <row r="896" spans="1:37" ht="36.75" customHeight="1" x14ac:dyDescent="0.35">
      <c r="A896" s="5"/>
      <c r="B896" s="5" t="s">
        <v>37</v>
      </c>
      <c r="C896" s="73" t="str">
        <f t="shared" si="13"/>
        <v>Closed</v>
      </c>
      <c r="D896" s="45" t="s">
        <v>5054</v>
      </c>
      <c r="E896" s="54" t="s">
        <v>5055</v>
      </c>
      <c r="F896" s="5" t="s">
        <v>214</v>
      </c>
      <c r="G896" s="10">
        <f>DATE(2010,7,10)</f>
        <v>40369</v>
      </c>
      <c r="H896" s="35">
        <v>1.5895833333333333</v>
      </c>
      <c r="I896" s="5" t="s">
        <v>137</v>
      </c>
      <c r="J896" s="10" t="s">
        <v>5056</v>
      </c>
      <c r="K896" s="5" t="s">
        <v>216</v>
      </c>
      <c r="L896" s="5" t="s">
        <v>5057</v>
      </c>
      <c r="M896" s="5" t="s">
        <v>45</v>
      </c>
      <c r="N896" s="5">
        <v>0</v>
      </c>
      <c r="O896" s="5" t="s">
        <v>46</v>
      </c>
      <c r="P896" s="10" t="s">
        <v>47</v>
      </c>
      <c r="Q896" s="10" t="s">
        <v>1410</v>
      </c>
      <c r="R896" s="10" t="s">
        <v>219</v>
      </c>
      <c r="S896" s="5">
        <v>0</v>
      </c>
      <c r="T896" s="37" t="s">
        <v>50</v>
      </c>
      <c r="U896" s="5">
        <v>0</v>
      </c>
      <c r="V896" s="37" t="s">
        <v>50</v>
      </c>
      <c r="W896" s="5">
        <v>0</v>
      </c>
      <c r="X896" s="5">
        <v>0</v>
      </c>
      <c r="Y896" s="5">
        <v>0</v>
      </c>
      <c r="Z896" s="37" t="s">
        <v>50</v>
      </c>
      <c r="AA896" s="5">
        <v>0</v>
      </c>
      <c r="AB896" s="5">
        <v>0</v>
      </c>
      <c r="AC896" s="5">
        <v>0</v>
      </c>
      <c r="AD896" s="5">
        <v>0</v>
      </c>
      <c r="AE896" s="10" t="s">
        <v>50</v>
      </c>
      <c r="AF896" s="10"/>
      <c r="AG896" s="10" t="s">
        <v>114</v>
      </c>
      <c r="AH896" s="10" t="s">
        <v>50</v>
      </c>
      <c r="AI896" s="5">
        <v>4</v>
      </c>
      <c r="AJ896" s="10" t="s">
        <v>5058</v>
      </c>
      <c r="AK896" s="10" t="s">
        <v>5059</v>
      </c>
    </row>
    <row r="897" spans="1:37" ht="36.75" customHeight="1" x14ac:dyDescent="0.35">
      <c r="A897" s="5"/>
      <c r="B897" s="5" t="s">
        <v>37</v>
      </c>
      <c r="C897" s="73" t="str">
        <f t="shared" si="13"/>
        <v>Closed</v>
      </c>
      <c r="D897" s="45" t="s">
        <v>5060</v>
      </c>
      <c r="E897" s="54" t="s">
        <v>5061</v>
      </c>
      <c r="F897" s="5" t="s">
        <v>816</v>
      </c>
      <c r="G897" s="10">
        <f>DATE(2010,7,11)</f>
        <v>40370</v>
      </c>
      <c r="H897" s="35">
        <v>1.6736111111111112</v>
      </c>
      <c r="I897" s="5" t="s">
        <v>55</v>
      </c>
      <c r="J897" s="10" t="s">
        <v>5062</v>
      </c>
      <c r="K897" s="5" t="s">
        <v>818</v>
      </c>
      <c r="L897" s="5" t="s">
        <v>5063</v>
      </c>
      <c r="M897" s="5" t="s">
        <v>45</v>
      </c>
      <c r="N897" s="5">
        <v>0</v>
      </c>
      <c r="O897" s="5" t="s">
        <v>59</v>
      </c>
      <c r="P897" s="10" t="s">
        <v>60</v>
      </c>
      <c r="Q897" s="10" t="s">
        <v>4688</v>
      </c>
      <c r="R897" s="10" t="s">
        <v>821</v>
      </c>
      <c r="S897" s="5">
        <v>0</v>
      </c>
      <c r="T897" s="37" t="s">
        <v>50</v>
      </c>
      <c r="U897" s="5">
        <v>0</v>
      </c>
      <c r="V897" s="37" t="s">
        <v>50</v>
      </c>
      <c r="W897" s="5">
        <v>0</v>
      </c>
      <c r="X897" s="5">
        <v>0</v>
      </c>
      <c r="Y897" s="5">
        <v>0</v>
      </c>
      <c r="Z897" s="37" t="s">
        <v>50</v>
      </c>
      <c r="AA897" s="5">
        <v>0</v>
      </c>
      <c r="AB897" s="5">
        <v>0</v>
      </c>
      <c r="AC897" s="5">
        <v>0</v>
      </c>
      <c r="AD897" s="5">
        <v>0</v>
      </c>
      <c r="AE897" s="10" t="s">
        <v>50</v>
      </c>
      <c r="AF897" s="10"/>
      <c r="AG897" s="10" t="s">
        <v>333</v>
      </c>
      <c r="AH897" s="10" t="s">
        <v>50</v>
      </c>
      <c r="AI897" s="5">
        <v>0</v>
      </c>
      <c r="AJ897" s="10" t="s">
        <v>50</v>
      </c>
      <c r="AK897" s="10" t="s">
        <v>50</v>
      </c>
    </row>
    <row r="898" spans="1:37" ht="36.75" customHeight="1" x14ac:dyDescent="0.35">
      <c r="A898" s="5"/>
      <c r="B898" s="5" t="s">
        <v>37</v>
      </c>
      <c r="C898" s="73" t="str">
        <f t="shared" ref="C898:C961" si="14">IF(B898="Notification","Open",IF(B898="Interim Statement","In progress","Closed"))</f>
        <v>Closed</v>
      </c>
      <c r="D898" s="45" t="s">
        <v>5064</v>
      </c>
      <c r="E898" s="54" t="s">
        <v>5065</v>
      </c>
      <c r="F898" s="5" t="s">
        <v>2316</v>
      </c>
      <c r="G898" s="10">
        <f>DATE(2010,7,13)</f>
        <v>40372</v>
      </c>
      <c r="H898" s="35">
        <v>1.3833333333333333</v>
      </c>
      <c r="I898" s="5" t="s">
        <v>179</v>
      </c>
      <c r="J898" s="10" t="s">
        <v>5066</v>
      </c>
      <c r="K898" s="5" t="s">
        <v>2318</v>
      </c>
      <c r="L898" s="5" t="s">
        <v>5067</v>
      </c>
      <c r="M898" s="5" t="s">
        <v>45</v>
      </c>
      <c r="N898" s="5">
        <v>0</v>
      </c>
      <c r="O898" s="5" t="s">
        <v>46</v>
      </c>
      <c r="P898" s="10" t="s">
        <v>146</v>
      </c>
      <c r="Q898" s="10" t="s">
        <v>3712</v>
      </c>
      <c r="R898" s="10" t="s">
        <v>2321</v>
      </c>
      <c r="S898" s="5">
        <v>0</v>
      </c>
      <c r="T898" s="37">
        <v>0</v>
      </c>
      <c r="U898" s="5">
        <v>0</v>
      </c>
      <c r="V898" s="37">
        <v>0</v>
      </c>
      <c r="W898" s="5">
        <v>0</v>
      </c>
      <c r="X898" s="5">
        <v>0</v>
      </c>
      <c r="Y898" s="5">
        <v>9</v>
      </c>
      <c r="Z898" s="37">
        <v>3</v>
      </c>
      <c r="AA898" s="5">
        <v>0</v>
      </c>
      <c r="AB898" s="5">
        <v>0</v>
      </c>
      <c r="AC898" s="5">
        <v>0</v>
      </c>
      <c r="AD898" s="5">
        <v>12</v>
      </c>
      <c r="AE898" s="10" t="s">
        <v>50</v>
      </c>
      <c r="AF898" s="10"/>
      <c r="AG898" s="10" t="s">
        <v>64</v>
      </c>
      <c r="AH898" s="10" t="s">
        <v>50</v>
      </c>
      <c r="AI898" s="5">
        <v>1</v>
      </c>
      <c r="AJ898" s="10" t="s">
        <v>5068</v>
      </c>
      <c r="AK898" s="10" t="s">
        <v>5069</v>
      </c>
    </row>
    <row r="899" spans="1:37" ht="36.75" customHeight="1" x14ac:dyDescent="0.35">
      <c r="A899" s="5"/>
      <c r="B899" s="5" t="s">
        <v>37</v>
      </c>
      <c r="C899" s="73" t="str">
        <f t="shared" si="14"/>
        <v>Closed</v>
      </c>
      <c r="D899" s="45" t="s">
        <v>5070</v>
      </c>
      <c r="E899" s="54" t="s">
        <v>5071</v>
      </c>
      <c r="F899" s="5" t="s">
        <v>619</v>
      </c>
      <c r="G899" s="10">
        <f>DATE(2010,7,14)</f>
        <v>40373</v>
      </c>
      <c r="H899" s="35">
        <v>1.5284722222222222</v>
      </c>
      <c r="I899" s="5" t="s">
        <v>55</v>
      </c>
      <c r="J899" s="10" t="s">
        <v>5072</v>
      </c>
      <c r="K899" s="5" t="s">
        <v>621</v>
      </c>
      <c r="L899" s="5" t="s">
        <v>5073</v>
      </c>
      <c r="M899" s="5" t="s">
        <v>45</v>
      </c>
      <c r="N899" s="5">
        <v>0</v>
      </c>
      <c r="O899" s="5" t="s">
        <v>46</v>
      </c>
      <c r="P899" s="10" t="s">
        <v>60</v>
      </c>
      <c r="Q899" s="10" t="s">
        <v>3226</v>
      </c>
      <c r="R899" s="10" t="s">
        <v>3226</v>
      </c>
      <c r="S899" s="5">
        <v>0</v>
      </c>
      <c r="T899" s="37" t="s">
        <v>50</v>
      </c>
      <c r="U899" s="5">
        <v>0</v>
      </c>
      <c r="V899" s="37" t="s">
        <v>50</v>
      </c>
      <c r="W899" s="5">
        <v>0</v>
      </c>
      <c r="X899" s="5">
        <v>0</v>
      </c>
      <c r="Y899" s="5">
        <v>0</v>
      </c>
      <c r="Z899" s="37" t="s">
        <v>50</v>
      </c>
      <c r="AA899" s="5">
        <v>0</v>
      </c>
      <c r="AB899" s="5">
        <v>0</v>
      </c>
      <c r="AC899" s="5">
        <v>0</v>
      </c>
      <c r="AD899" s="5">
        <v>0</v>
      </c>
      <c r="AE899" s="10" t="s">
        <v>50</v>
      </c>
      <c r="AF899" s="10"/>
      <c r="AG899" s="10" t="s">
        <v>333</v>
      </c>
      <c r="AH899" s="10" t="s">
        <v>50</v>
      </c>
      <c r="AI899" s="5">
        <v>2</v>
      </c>
      <c r="AJ899" s="10" t="s">
        <v>50</v>
      </c>
      <c r="AK899" s="10" t="s">
        <v>5074</v>
      </c>
    </row>
    <row r="900" spans="1:37" ht="36.75" customHeight="1" x14ac:dyDescent="0.35">
      <c r="A900" s="5"/>
      <c r="B900" s="5" t="s">
        <v>37</v>
      </c>
      <c r="C900" s="73" t="str">
        <f t="shared" si="14"/>
        <v>Closed</v>
      </c>
      <c r="D900" s="45" t="s">
        <v>5075</v>
      </c>
      <c r="E900" s="54" t="s">
        <v>5076</v>
      </c>
      <c r="F900" s="5" t="s">
        <v>816</v>
      </c>
      <c r="G900" s="10">
        <f>DATE(2010,7,14)</f>
        <v>40373</v>
      </c>
      <c r="H900" s="35">
        <v>1.5180555555555557</v>
      </c>
      <c r="I900" s="5" t="s">
        <v>97</v>
      </c>
      <c r="J900" s="10" t="s">
        <v>5077</v>
      </c>
      <c r="K900" s="5" t="s">
        <v>818</v>
      </c>
      <c r="L900" s="5" t="s">
        <v>5078</v>
      </c>
      <c r="M900" s="5" t="s">
        <v>45</v>
      </c>
      <c r="N900" s="5">
        <v>0</v>
      </c>
      <c r="O900" s="5" t="s">
        <v>59</v>
      </c>
      <c r="P900" s="10" t="s">
        <v>146</v>
      </c>
      <c r="Q900" s="10" t="s">
        <v>2142</v>
      </c>
      <c r="R900" s="10" t="s">
        <v>821</v>
      </c>
      <c r="S900" s="5">
        <v>0</v>
      </c>
      <c r="T900" s="37">
        <v>0</v>
      </c>
      <c r="U900" s="5">
        <v>0</v>
      </c>
      <c r="V900" s="37">
        <v>0</v>
      </c>
      <c r="W900" s="5">
        <v>0</v>
      </c>
      <c r="X900" s="5">
        <v>0</v>
      </c>
      <c r="Y900" s="5">
        <v>0</v>
      </c>
      <c r="Z900" s="37">
        <v>0</v>
      </c>
      <c r="AA900" s="5">
        <v>2</v>
      </c>
      <c r="AB900" s="5">
        <v>0</v>
      </c>
      <c r="AC900" s="5">
        <v>0</v>
      </c>
      <c r="AD900" s="5">
        <v>2</v>
      </c>
      <c r="AE900" s="10" t="s">
        <v>50</v>
      </c>
      <c r="AF900" s="10"/>
      <c r="AG900" s="10" t="s">
        <v>333</v>
      </c>
      <c r="AH900" s="10" t="s">
        <v>50</v>
      </c>
      <c r="AI900" s="5">
        <v>0</v>
      </c>
      <c r="AJ900" s="10" t="s">
        <v>50</v>
      </c>
      <c r="AK900" s="10" t="s">
        <v>50</v>
      </c>
    </row>
    <row r="901" spans="1:37" ht="36.75" customHeight="1" x14ac:dyDescent="0.35">
      <c r="A901" s="5"/>
      <c r="B901" s="5" t="s">
        <v>887</v>
      </c>
      <c r="C901" s="73" t="str">
        <f t="shared" si="14"/>
        <v>Open</v>
      </c>
      <c r="D901" s="45" t="s">
        <v>5079</v>
      </c>
      <c r="E901" s="54" t="s">
        <v>5080</v>
      </c>
      <c r="F901" s="5" t="s">
        <v>3128</v>
      </c>
      <c r="G901" s="10">
        <f>DATE(2010,7,14)</f>
        <v>40373</v>
      </c>
      <c r="H901" s="35">
        <v>1.651388888888889</v>
      </c>
      <c r="I901" s="5" t="s">
        <v>97</v>
      </c>
      <c r="J901" s="10" t="s">
        <v>5081</v>
      </c>
      <c r="K901" s="5" t="s">
        <v>3130</v>
      </c>
      <c r="L901" s="5" t="s">
        <v>5082</v>
      </c>
      <c r="M901" s="5" t="s">
        <v>45</v>
      </c>
      <c r="N901" s="5">
        <v>0</v>
      </c>
      <c r="O901" s="5" t="s">
        <v>46</v>
      </c>
      <c r="P901" s="10" t="s">
        <v>60</v>
      </c>
      <c r="Q901" s="10" t="s">
        <v>4509</v>
      </c>
      <c r="R901" s="10" t="s">
        <v>3133</v>
      </c>
      <c r="S901" s="5">
        <v>0</v>
      </c>
      <c r="T901" s="37" t="s">
        <v>50</v>
      </c>
      <c r="U901" s="5">
        <v>1</v>
      </c>
      <c r="V901" s="37" t="s">
        <v>50</v>
      </c>
      <c r="W901" s="5">
        <v>0</v>
      </c>
      <c r="X901" s="5">
        <v>1</v>
      </c>
      <c r="Y901" s="5">
        <v>0</v>
      </c>
      <c r="Z901" s="37" t="s">
        <v>50</v>
      </c>
      <c r="AA901" s="5">
        <v>1</v>
      </c>
      <c r="AB901" s="5">
        <v>0</v>
      </c>
      <c r="AC901" s="5">
        <v>0</v>
      </c>
      <c r="AD901" s="5">
        <v>1</v>
      </c>
      <c r="AE901" s="10" t="s">
        <v>50</v>
      </c>
      <c r="AF901" s="10"/>
      <c r="AG901" s="10" t="s">
        <v>229</v>
      </c>
      <c r="AH901" s="10" t="s">
        <v>50</v>
      </c>
      <c r="AI901" s="5">
        <v>0</v>
      </c>
      <c r="AJ901" s="10" t="s">
        <v>50</v>
      </c>
      <c r="AK901" s="10" t="s">
        <v>50</v>
      </c>
    </row>
    <row r="902" spans="1:37" ht="36.75" customHeight="1" x14ac:dyDescent="0.35">
      <c r="A902" s="5"/>
      <c r="B902" s="5" t="s">
        <v>37</v>
      </c>
      <c r="C902" s="73" t="str">
        <f t="shared" si="14"/>
        <v>Closed</v>
      </c>
      <c r="D902" s="45" t="s">
        <v>5083</v>
      </c>
      <c r="E902" s="54" t="s">
        <v>5084</v>
      </c>
      <c r="F902" s="5" t="s">
        <v>619</v>
      </c>
      <c r="G902" s="10">
        <f>DATE(2010,7,16)</f>
        <v>40375</v>
      </c>
      <c r="H902" s="35">
        <v>1.6534722222222222</v>
      </c>
      <c r="I902" s="5" t="s">
        <v>85</v>
      </c>
      <c r="J902" s="10" t="s">
        <v>5085</v>
      </c>
      <c r="K902" s="5" t="s">
        <v>621</v>
      </c>
      <c r="L902" s="5" t="s">
        <v>5086</v>
      </c>
      <c r="M902" s="5" t="s">
        <v>45</v>
      </c>
      <c r="N902" s="5">
        <v>0</v>
      </c>
      <c r="O902" s="5" t="s">
        <v>59</v>
      </c>
      <c r="P902" s="10" t="s">
        <v>47</v>
      </c>
      <c r="Q902" s="10" t="s">
        <v>623</v>
      </c>
      <c r="R902" s="10" t="s">
        <v>624</v>
      </c>
      <c r="S902" s="5">
        <v>0</v>
      </c>
      <c r="T902" s="37" t="s">
        <v>50</v>
      </c>
      <c r="U902" s="5">
        <v>0</v>
      </c>
      <c r="V902" s="37" t="s">
        <v>50</v>
      </c>
      <c r="W902" s="5">
        <v>0</v>
      </c>
      <c r="X902" s="5">
        <v>0</v>
      </c>
      <c r="Y902" s="5">
        <v>0</v>
      </c>
      <c r="Z902" s="37" t="s">
        <v>50</v>
      </c>
      <c r="AA902" s="5">
        <v>0</v>
      </c>
      <c r="AB902" s="5">
        <v>0</v>
      </c>
      <c r="AC902" s="5">
        <v>0</v>
      </c>
      <c r="AD902" s="5">
        <v>0</v>
      </c>
      <c r="AE902" s="10" t="s">
        <v>50</v>
      </c>
      <c r="AF902" s="10"/>
      <c r="AG902" s="10" t="s">
        <v>333</v>
      </c>
      <c r="AH902" s="10" t="s">
        <v>50</v>
      </c>
      <c r="AI902" s="5">
        <v>0</v>
      </c>
      <c r="AJ902" s="10" t="s">
        <v>5087</v>
      </c>
      <c r="AK902" s="10" t="s">
        <v>50</v>
      </c>
    </row>
    <row r="903" spans="1:37" ht="36.75" customHeight="1" x14ac:dyDescent="0.35">
      <c r="A903" s="5"/>
      <c r="B903" s="5" t="s">
        <v>37</v>
      </c>
      <c r="C903" s="73" t="str">
        <f t="shared" si="14"/>
        <v>Closed</v>
      </c>
      <c r="D903" s="45" t="s">
        <v>5088</v>
      </c>
      <c r="E903" s="54" t="s">
        <v>5089</v>
      </c>
      <c r="F903" s="5" t="s">
        <v>816</v>
      </c>
      <c r="G903" s="10">
        <f>DATE(2010,7,16)</f>
        <v>40375</v>
      </c>
      <c r="H903" s="35">
        <v>1.429861111111111</v>
      </c>
      <c r="I903" s="5" t="s">
        <v>97</v>
      </c>
      <c r="J903" s="10" t="s">
        <v>5090</v>
      </c>
      <c r="K903" s="5" t="s">
        <v>818</v>
      </c>
      <c r="L903" s="5" t="s">
        <v>5091</v>
      </c>
      <c r="M903" s="5" t="s">
        <v>45</v>
      </c>
      <c r="N903" s="5">
        <v>0</v>
      </c>
      <c r="O903" s="5" t="s">
        <v>46</v>
      </c>
      <c r="P903" s="10" t="s">
        <v>146</v>
      </c>
      <c r="Q903" s="10" t="s">
        <v>2142</v>
      </c>
      <c r="R903" s="10" t="s">
        <v>821</v>
      </c>
      <c r="S903" s="5">
        <v>0</v>
      </c>
      <c r="T903" s="37">
        <v>0</v>
      </c>
      <c r="U903" s="5">
        <v>0</v>
      </c>
      <c r="V903" s="37">
        <v>0</v>
      </c>
      <c r="W903" s="5">
        <v>0</v>
      </c>
      <c r="X903" s="5">
        <v>0</v>
      </c>
      <c r="Y903" s="5">
        <v>0</v>
      </c>
      <c r="Z903" s="37">
        <v>0</v>
      </c>
      <c r="AA903" s="5">
        <v>1</v>
      </c>
      <c r="AB903" s="5">
        <v>0</v>
      </c>
      <c r="AC903" s="5">
        <v>0</v>
      </c>
      <c r="AD903" s="5">
        <v>1</v>
      </c>
      <c r="AE903" s="10" t="s">
        <v>50</v>
      </c>
      <c r="AF903" s="10"/>
      <c r="AG903" s="10" t="s">
        <v>333</v>
      </c>
      <c r="AH903" s="10" t="s">
        <v>50</v>
      </c>
      <c r="AI903" s="5">
        <v>0</v>
      </c>
      <c r="AJ903" s="10" t="s">
        <v>50</v>
      </c>
      <c r="AK903" s="10" t="s">
        <v>50</v>
      </c>
    </row>
    <row r="904" spans="1:37" ht="36.75" customHeight="1" x14ac:dyDescent="0.35">
      <c r="A904" s="5"/>
      <c r="B904" s="5" t="s">
        <v>37</v>
      </c>
      <c r="C904" s="73" t="str">
        <f t="shared" si="14"/>
        <v>Closed</v>
      </c>
      <c r="D904" s="45" t="s">
        <v>5092</v>
      </c>
      <c r="E904" s="54" t="s">
        <v>5093</v>
      </c>
      <c r="F904" s="5" t="s">
        <v>816</v>
      </c>
      <c r="G904" s="10">
        <f>DATE(2010,7,16)</f>
        <v>40375</v>
      </c>
      <c r="H904" s="35">
        <v>1.4347222222222222</v>
      </c>
      <c r="I904" s="5" t="s">
        <v>97</v>
      </c>
      <c r="J904" s="10" t="s">
        <v>5094</v>
      </c>
      <c r="K904" s="5" t="s">
        <v>818</v>
      </c>
      <c r="L904" s="5" t="s">
        <v>5095</v>
      </c>
      <c r="M904" s="5" t="s">
        <v>45</v>
      </c>
      <c r="N904" s="5">
        <v>0</v>
      </c>
      <c r="O904" s="5" t="s">
        <v>46</v>
      </c>
      <c r="P904" s="10" t="s">
        <v>146</v>
      </c>
      <c r="Q904" s="10" t="s">
        <v>2142</v>
      </c>
      <c r="R904" s="10" t="s">
        <v>821</v>
      </c>
      <c r="S904" s="5">
        <v>0</v>
      </c>
      <c r="T904" s="37">
        <v>0</v>
      </c>
      <c r="U904" s="5">
        <v>1</v>
      </c>
      <c r="V904" s="37">
        <v>0</v>
      </c>
      <c r="W904" s="5">
        <v>0</v>
      </c>
      <c r="X904" s="5">
        <v>1</v>
      </c>
      <c r="Y904" s="5">
        <v>0</v>
      </c>
      <c r="Z904" s="37">
        <v>0</v>
      </c>
      <c r="AA904" s="5">
        <v>0</v>
      </c>
      <c r="AB904" s="5">
        <v>0</v>
      </c>
      <c r="AC904" s="5">
        <v>0</v>
      </c>
      <c r="AD904" s="5">
        <v>0</v>
      </c>
      <c r="AE904" s="10" t="s">
        <v>50</v>
      </c>
      <c r="AF904" s="10"/>
      <c r="AG904" s="10" t="s">
        <v>333</v>
      </c>
      <c r="AH904" s="10" t="s">
        <v>50</v>
      </c>
      <c r="AI904" s="5">
        <v>3</v>
      </c>
      <c r="AJ904" s="10" t="s">
        <v>50</v>
      </c>
      <c r="AK904" s="10" t="s">
        <v>50</v>
      </c>
    </row>
    <row r="905" spans="1:37" ht="36.75" customHeight="1" x14ac:dyDescent="0.35">
      <c r="A905" s="5"/>
      <c r="B905" s="5" t="s">
        <v>37</v>
      </c>
      <c r="C905" s="73" t="str">
        <f t="shared" si="14"/>
        <v>Closed</v>
      </c>
      <c r="D905" s="91" t="s">
        <v>5096</v>
      </c>
      <c r="E905" s="54" t="s">
        <v>5097</v>
      </c>
      <c r="F905" s="5" t="s">
        <v>575</v>
      </c>
      <c r="G905" s="10">
        <f>DATE(2010,7,16)</f>
        <v>40375</v>
      </c>
      <c r="H905" s="35">
        <v>1.7305555555555556</v>
      </c>
      <c r="I905" s="5" t="s">
        <v>55</v>
      </c>
      <c r="J905" s="10" t="s">
        <v>5098</v>
      </c>
      <c r="K905" s="5" t="s">
        <v>577</v>
      </c>
      <c r="L905" s="5" t="s">
        <v>5099</v>
      </c>
      <c r="M905" s="5" t="s">
        <v>45</v>
      </c>
      <c r="N905" s="5" t="s">
        <v>123</v>
      </c>
      <c r="O905" s="5" t="s">
        <v>46</v>
      </c>
      <c r="P905" s="10" t="s">
        <v>60</v>
      </c>
      <c r="Q905" s="10" t="s">
        <v>5100</v>
      </c>
      <c r="R905" s="10" t="s">
        <v>580</v>
      </c>
      <c r="S905" s="5">
        <v>0</v>
      </c>
      <c r="T905" s="5">
        <v>0</v>
      </c>
      <c r="U905" s="5">
        <v>0</v>
      </c>
      <c r="V905" s="37" t="s">
        <v>50</v>
      </c>
      <c r="W905" s="5">
        <v>0</v>
      </c>
      <c r="X905" s="5">
        <v>0</v>
      </c>
      <c r="Y905" s="5">
        <v>0</v>
      </c>
      <c r="Z905" s="5">
        <v>0</v>
      </c>
      <c r="AA905" s="5">
        <v>0</v>
      </c>
      <c r="AB905" s="5">
        <v>0</v>
      </c>
      <c r="AC905" s="5">
        <v>0</v>
      </c>
      <c r="AD905" s="5">
        <v>0</v>
      </c>
      <c r="AE905" s="10" t="s">
        <v>5101</v>
      </c>
      <c r="AF905" s="10" t="s">
        <v>5102</v>
      </c>
      <c r="AG905" s="10" t="s">
        <v>64</v>
      </c>
      <c r="AH905" s="10" t="s">
        <v>50</v>
      </c>
      <c r="AI905" s="5"/>
      <c r="AJ905" s="10" t="s">
        <v>50</v>
      </c>
      <c r="AK905" s="10" t="s">
        <v>50</v>
      </c>
    </row>
    <row r="906" spans="1:37" ht="36.75" customHeight="1" x14ac:dyDescent="0.35">
      <c r="A906" s="5"/>
      <c r="B906" s="5" t="s">
        <v>37</v>
      </c>
      <c r="C906" s="73" t="str">
        <f t="shared" si="14"/>
        <v>Closed</v>
      </c>
      <c r="D906" s="45" t="s">
        <v>5103</v>
      </c>
      <c r="E906" s="54" t="s">
        <v>5104</v>
      </c>
      <c r="F906" s="5" t="s">
        <v>1553</v>
      </c>
      <c r="G906" s="10">
        <f>DATE(2010,7,18)</f>
        <v>40377</v>
      </c>
      <c r="H906" s="35">
        <v>1.3541666666666667</v>
      </c>
      <c r="I906" s="5" t="s">
        <v>55</v>
      </c>
      <c r="J906" s="10" t="s">
        <v>5105</v>
      </c>
      <c r="K906" s="5" t="s">
        <v>1555</v>
      </c>
      <c r="L906" s="5" t="s">
        <v>5106</v>
      </c>
      <c r="M906" s="5" t="s">
        <v>45</v>
      </c>
      <c r="N906" s="5">
        <v>0</v>
      </c>
      <c r="O906" s="5" t="s">
        <v>59</v>
      </c>
      <c r="P906" s="10" t="s">
        <v>60</v>
      </c>
      <c r="Q906" s="10" t="s">
        <v>5107</v>
      </c>
      <c r="R906" s="10">
        <v>0</v>
      </c>
      <c r="S906" s="5">
        <v>0</v>
      </c>
      <c r="T906" s="37" t="s">
        <v>50</v>
      </c>
      <c r="U906" s="5">
        <v>0</v>
      </c>
      <c r="V906" s="37" t="s">
        <v>50</v>
      </c>
      <c r="W906" s="5">
        <v>0</v>
      </c>
      <c r="X906" s="5">
        <v>0</v>
      </c>
      <c r="Y906" s="5">
        <v>0</v>
      </c>
      <c r="Z906" s="37" t="s">
        <v>50</v>
      </c>
      <c r="AA906" s="5">
        <v>0</v>
      </c>
      <c r="AB906" s="5">
        <v>0</v>
      </c>
      <c r="AC906" s="5">
        <v>0</v>
      </c>
      <c r="AD906" s="5">
        <v>0</v>
      </c>
      <c r="AE906" s="10" t="s">
        <v>50</v>
      </c>
      <c r="AF906" s="10"/>
      <c r="AG906" s="10" t="s">
        <v>114</v>
      </c>
      <c r="AH906" s="10" t="s">
        <v>50</v>
      </c>
      <c r="AI906" s="5">
        <v>5</v>
      </c>
      <c r="AJ906" s="10" t="s">
        <v>5108</v>
      </c>
      <c r="AK906" s="10" t="s">
        <v>5109</v>
      </c>
    </row>
    <row r="907" spans="1:37" ht="36.75" customHeight="1" x14ac:dyDescent="0.35">
      <c r="A907" s="5"/>
      <c r="B907" s="5" t="s">
        <v>37</v>
      </c>
      <c r="C907" s="73" t="str">
        <f t="shared" si="14"/>
        <v>Closed</v>
      </c>
      <c r="D907" s="45" t="s">
        <v>5110</v>
      </c>
      <c r="E907" s="54" t="s">
        <v>5111</v>
      </c>
      <c r="F907" s="5" t="s">
        <v>816</v>
      </c>
      <c r="G907" s="10">
        <f>DATE(2010,7,19)</f>
        <v>40378</v>
      </c>
      <c r="H907" s="35">
        <v>1.5173611111111112</v>
      </c>
      <c r="I907" s="5" t="s">
        <v>67</v>
      </c>
      <c r="J907" s="10" t="s">
        <v>5112</v>
      </c>
      <c r="K907" s="5" t="s">
        <v>818</v>
      </c>
      <c r="L907" s="5" t="s">
        <v>5113</v>
      </c>
      <c r="M907" s="5" t="s">
        <v>45</v>
      </c>
      <c r="N907" s="5">
        <v>0</v>
      </c>
      <c r="O907" s="5" t="s">
        <v>59</v>
      </c>
      <c r="P907" s="10" t="s">
        <v>72</v>
      </c>
      <c r="Q907" s="10" t="s">
        <v>5114</v>
      </c>
      <c r="R907" s="10" t="s">
        <v>821</v>
      </c>
      <c r="S907" s="5">
        <v>0</v>
      </c>
      <c r="T907" s="37" t="s">
        <v>50</v>
      </c>
      <c r="U907" s="5">
        <v>0</v>
      </c>
      <c r="V907" s="37" t="s">
        <v>50</v>
      </c>
      <c r="W907" s="5">
        <v>0</v>
      </c>
      <c r="X907" s="5">
        <v>0</v>
      </c>
      <c r="Y907" s="5">
        <v>0</v>
      </c>
      <c r="Z907" s="37" t="s">
        <v>50</v>
      </c>
      <c r="AA907" s="5">
        <v>0</v>
      </c>
      <c r="AB907" s="5">
        <v>0</v>
      </c>
      <c r="AC907" s="5">
        <v>0</v>
      </c>
      <c r="AD907" s="5">
        <v>0</v>
      </c>
      <c r="AE907" s="10" t="s">
        <v>50</v>
      </c>
      <c r="AF907" s="10"/>
      <c r="AG907" s="10" t="s">
        <v>333</v>
      </c>
      <c r="AH907" s="10" t="s">
        <v>50</v>
      </c>
      <c r="AI907" s="5">
        <v>2</v>
      </c>
      <c r="AJ907" s="10" t="s">
        <v>50</v>
      </c>
      <c r="AK907" s="10" t="s">
        <v>50</v>
      </c>
    </row>
    <row r="908" spans="1:37" ht="36.75" customHeight="1" x14ac:dyDescent="0.35">
      <c r="A908" s="5"/>
      <c r="B908" s="5" t="s">
        <v>37</v>
      </c>
      <c r="C908" s="73" t="str">
        <f t="shared" si="14"/>
        <v>Closed</v>
      </c>
      <c r="D908" s="45" t="s">
        <v>5115</v>
      </c>
      <c r="E908" s="54" t="s">
        <v>5116</v>
      </c>
      <c r="F908" s="5" t="s">
        <v>214</v>
      </c>
      <c r="G908" s="10">
        <f>DATE(2010,7,20)</f>
        <v>40379</v>
      </c>
      <c r="H908" s="35">
        <v>1.9791666666666665</v>
      </c>
      <c r="I908" s="5" t="s">
        <v>179</v>
      </c>
      <c r="J908" s="10" t="s">
        <v>5117</v>
      </c>
      <c r="K908" s="5" t="s">
        <v>216</v>
      </c>
      <c r="L908" s="5" t="s">
        <v>5118</v>
      </c>
      <c r="M908" s="5" t="s">
        <v>45</v>
      </c>
      <c r="N908" s="5">
        <v>0</v>
      </c>
      <c r="O908" s="5" t="s">
        <v>46</v>
      </c>
      <c r="P908" s="10" t="s">
        <v>282</v>
      </c>
      <c r="Q908" s="10" t="s">
        <v>5119</v>
      </c>
      <c r="R908" s="10" t="s">
        <v>219</v>
      </c>
      <c r="S908" s="5">
        <v>0</v>
      </c>
      <c r="T908" s="37">
        <v>0</v>
      </c>
      <c r="U908" s="5">
        <v>0</v>
      </c>
      <c r="V908" s="37">
        <v>0</v>
      </c>
      <c r="W908" s="5">
        <v>0</v>
      </c>
      <c r="X908" s="5">
        <v>0</v>
      </c>
      <c r="Y908" s="5">
        <v>0</v>
      </c>
      <c r="Z908" s="37">
        <v>1</v>
      </c>
      <c r="AA908" s="5">
        <v>0</v>
      </c>
      <c r="AB908" s="5">
        <v>0</v>
      </c>
      <c r="AC908" s="5">
        <v>0</v>
      </c>
      <c r="AD908" s="5">
        <v>1</v>
      </c>
      <c r="AE908" s="10" t="s">
        <v>50</v>
      </c>
      <c r="AF908" s="10"/>
      <c r="AG908" s="10" t="s">
        <v>114</v>
      </c>
      <c r="AH908" s="10" t="s">
        <v>50</v>
      </c>
      <c r="AI908" s="5">
        <v>4</v>
      </c>
      <c r="AJ908" s="10" t="s">
        <v>5120</v>
      </c>
      <c r="AK908" s="10" t="s">
        <v>5121</v>
      </c>
    </row>
    <row r="909" spans="1:37" ht="36.75" customHeight="1" x14ac:dyDescent="0.35">
      <c r="A909" s="5"/>
      <c r="B909" s="5" t="s">
        <v>37</v>
      </c>
      <c r="C909" s="73" t="str">
        <f t="shared" si="14"/>
        <v>Closed</v>
      </c>
      <c r="D909" s="45" t="s">
        <v>5122</v>
      </c>
      <c r="E909" s="54" t="s">
        <v>5123</v>
      </c>
      <c r="F909" s="5" t="s">
        <v>54</v>
      </c>
      <c r="G909" s="10">
        <f>DATE(2010,7,25)</f>
        <v>40384</v>
      </c>
      <c r="H909" s="35">
        <v>1.9791666666666665</v>
      </c>
      <c r="I909" s="5" t="s">
        <v>137</v>
      </c>
      <c r="J909" s="10" t="s">
        <v>5124</v>
      </c>
      <c r="K909" s="5" t="s">
        <v>57</v>
      </c>
      <c r="L909" s="5" t="s">
        <v>5125</v>
      </c>
      <c r="M909" s="5" t="s">
        <v>45</v>
      </c>
      <c r="N909" s="5">
        <v>0</v>
      </c>
      <c r="O909" s="5" t="s">
        <v>59</v>
      </c>
      <c r="P909" s="10" t="s">
        <v>282</v>
      </c>
      <c r="Q909" s="10" t="s">
        <v>5126</v>
      </c>
      <c r="R909" s="10" t="s">
        <v>62</v>
      </c>
      <c r="S909" s="5">
        <v>0</v>
      </c>
      <c r="T909" s="37" t="s">
        <v>50</v>
      </c>
      <c r="U909" s="5">
        <v>0</v>
      </c>
      <c r="V909" s="37" t="s">
        <v>50</v>
      </c>
      <c r="W909" s="5">
        <v>0</v>
      </c>
      <c r="X909" s="5">
        <v>0</v>
      </c>
      <c r="Y909" s="5">
        <v>0</v>
      </c>
      <c r="Z909" s="37" t="s">
        <v>50</v>
      </c>
      <c r="AA909" s="5">
        <v>0</v>
      </c>
      <c r="AB909" s="5">
        <v>0</v>
      </c>
      <c r="AC909" s="5">
        <v>0</v>
      </c>
      <c r="AD909" s="5">
        <v>0</v>
      </c>
      <c r="AE909" s="10" t="s">
        <v>50</v>
      </c>
      <c r="AF909" s="10"/>
      <c r="AG909" s="10" t="s">
        <v>64</v>
      </c>
      <c r="AH909" s="10" t="s">
        <v>50</v>
      </c>
      <c r="AI909" s="5">
        <v>4</v>
      </c>
      <c r="AJ909" s="10" t="s">
        <v>50</v>
      </c>
      <c r="AK909" s="10" t="s">
        <v>50</v>
      </c>
    </row>
    <row r="910" spans="1:37" ht="36.75" customHeight="1" x14ac:dyDescent="0.35">
      <c r="A910" s="5"/>
      <c r="B910" s="5" t="s">
        <v>37</v>
      </c>
      <c r="C910" s="73" t="str">
        <f t="shared" si="14"/>
        <v>Closed</v>
      </c>
      <c r="D910" s="45" t="s">
        <v>5127</v>
      </c>
      <c r="E910" s="54" t="s">
        <v>5128</v>
      </c>
      <c r="F910" s="5" t="s">
        <v>563</v>
      </c>
      <c r="G910" s="10">
        <f>DATE(2010,7,26)</f>
        <v>40385</v>
      </c>
      <c r="H910" s="35">
        <v>1.6194444444444445</v>
      </c>
      <c r="I910" s="5" t="s">
        <v>55</v>
      </c>
      <c r="J910" s="10" t="s">
        <v>5129</v>
      </c>
      <c r="K910" s="5" t="s">
        <v>565</v>
      </c>
      <c r="L910" s="5" t="s">
        <v>5130</v>
      </c>
      <c r="M910" s="5" t="s">
        <v>45</v>
      </c>
      <c r="N910" s="5" t="s">
        <v>123</v>
      </c>
      <c r="O910" s="5" t="s">
        <v>59</v>
      </c>
      <c r="P910" s="10" t="s">
        <v>60</v>
      </c>
      <c r="Q910" s="10" t="s">
        <v>5131</v>
      </c>
      <c r="R910" s="10" t="s">
        <v>568</v>
      </c>
      <c r="S910" s="5">
        <v>0</v>
      </c>
      <c r="T910" s="37">
        <v>0</v>
      </c>
      <c r="U910" s="5">
        <v>0</v>
      </c>
      <c r="V910" s="37">
        <v>0</v>
      </c>
      <c r="W910" s="5">
        <v>0</v>
      </c>
      <c r="X910" s="5">
        <v>0</v>
      </c>
      <c r="Y910" s="5">
        <v>0</v>
      </c>
      <c r="Z910" s="37">
        <v>0</v>
      </c>
      <c r="AA910" s="5">
        <v>0</v>
      </c>
      <c r="AB910" s="5">
        <v>0</v>
      </c>
      <c r="AC910" s="5">
        <v>0</v>
      </c>
      <c r="AD910" s="5">
        <v>0</v>
      </c>
      <c r="AE910" s="10" t="s">
        <v>375</v>
      </c>
      <c r="AF910" s="10"/>
      <c r="AG910" s="10" t="s">
        <v>333</v>
      </c>
      <c r="AH910" s="10">
        <v>40406</v>
      </c>
      <c r="AI910" s="5">
        <v>0</v>
      </c>
      <c r="AJ910" s="10" t="s">
        <v>5132</v>
      </c>
      <c r="AK910" s="10" t="s">
        <v>1215</v>
      </c>
    </row>
    <row r="911" spans="1:37" ht="36.75" customHeight="1" x14ac:dyDescent="0.35">
      <c r="A911" s="5"/>
      <c r="B911" s="5" t="s">
        <v>37</v>
      </c>
      <c r="C911" s="73" t="str">
        <f t="shared" si="14"/>
        <v>Closed</v>
      </c>
      <c r="D911" s="45" t="s">
        <v>5133</v>
      </c>
      <c r="E911" s="54" t="s">
        <v>5134</v>
      </c>
      <c r="F911" s="5" t="s">
        <v>96</v>
      </c>
      <c r="G911" s="10">
        <f>DATE(2010,7,29)</f>
        <v>40388</v>
      </c>
      <c r="H911" s="35">
        <v>1.4652777777777777</v>
      </c>
      <c r="I911" s="5" t="s">
        <v>55</v>
      </c>
      <c r="J911" s="10" t="s">
        <v>5135</v>
      </c>
      <c r="K911" s="5" t="s">
        <v>99</v>
      </c>
      <c r="L911" s="5" t="s">
        <v>5136</v>
      </c>
      <c r="M911" s="5" t="s">
        <v>45</v>
      </c>
      <c r="N911" s="5">
        <v>0</v>
      </c>
      <c r="O911" s="5" t="s">
        <v>59</v>
      </c>
      <c r="P911" s="10" t="s">
        <v>60</v>
      </c>
      <c r="Q911" s="10" t="s">
        <v>101</v>
      </c>
      <c r="R911" s="10" t="s">
        <v>102</v>
      </c>
      <c r="S911" s="5">
        <v>0</v>
      </c>
      <c r="T911" s="37" t="s">
        <v>50</v>
      </c>
      <c r="U911" s="5">
        <v>0</v>
      </c>
      <c r="V911" s="37" t="s">
        <v>50</v>
      </c>
      <c r="W911" s="5">
        <v>0</v>
      </c>
      <c r="X911" s="5">
        <v>0</v>
      </c>
      <c r="Y911" s="5">
        <v>0</v>
      </c>
      <c r="Z911" s="37" t="s">
        <v>50</v>
      </c>
      <c r="AA911" s="5">
        <v>0</v>
      </c>
      <c r="AB911" s="5">
        <v>0</v>
      </c>
      <c r="AC911" s="5">
        <v>0</v>
      </c>
      <c r="AD911" s="5">
        <v>0</v>
      </c>
      <c r="AE911" s="10" t="s">
        <v>50</v>
      </c>
      <c r="AF911" s="10"/>
      <c r="AG911" s="10" t="s">
        <v>64</v>
      </c>
      <c r="AH911" s="10" t="s">
        <v>50</v>
      </c>
      <c r="AI911" s="5">
        <v>3</v>
      </c>
      <c r="AJ911" s="10" t="s">
        <v>5137</v>
      </c>
      <c r="AK911" s="10" t="s">
        <v>5138</v>
      </c>
    </row>
    <row r="912" spans="1:37" ht="36.75" customHeight="1" x14ac:dyDescent="0.35">
      <c r="A912" s="5"/>
      <c r="B912" s="5" t="s">
        <v>37</v>
      </c>
      <c r="C912" s="73" t="str">
        <f t="shared" si="14"/>
        <v>Closed</v>
      </c>
      <c r="D912" s="45" t="s">
        <v>5139</v>
      </c>
      <c r="E912" s="54" t="s">
        <v>5140</v>
      </c>
      <c r="F912" s="5" t="s">
        <v>1553</v>
      </c>
      <c r="G912" s="10">
        <f>DATE(2010,7,29)</f>
        <v>40388</v>
      </c>
      <c r="H912" s="35">
        <v>1.78125</v>
      </c>
      <c r="I912" s="5" t="s">
        <v>55</v>
      </c>
      <c r="J912" s="10" t="s">
        <v>5141</v>
      </c>
      <c r="K912" s="5" t="s">
        <v>1555</v>
      </c>
      <c r="L912" s="5" t="s">
        <v>5142</v>
      </c>
      <c r="M912" s="5" t="s">
        <v>45</v>
      </c>
      <c r="N912" s="5">
        <v>0</v>
      </c>
      <c r="O912" s="5" t="s">
        <v>59</v>
      </c>
      <c r="P912" s="10" t="s">
        <v>60</v>
      </c>
      <c r="Q912" s="10" t="s">
        <v>1565</v>
      </c>
      <c r="R912" s="10">
        <v>0</v>
      </c>
      <c r="S912" s="5">
        <v>0</v>
      </c>
      <c r="T912" s="37" t="s">
        <v>50</v>
      </c>
      <c r="U912" s="5">
        <v>0</v>
      </c>
      <c r="V912" s="37" t="s">
        <v>50</v>
      </c>
      <c r="W912" s="5">
        <v>0</v>
      </c>
      <c r="X912" s="5">
        <v>0</v>
      </c>
      <c r="Y912" s="5">
        <v>0</v>
      </c>
      <c r="Z912" s="37" t="s">
        <v>50</v>
      </c>
      <c r="AA912" s="5">
        <v>0</v>
      </c>
      <c r="AB912" s="5">
        <v>0</v>
      </c>
      <c r="AC912" s="5">
        <v>0</v>
      </c>
      <c r="AD912" s="5">
        <v>0</v>
      </c>
      <c r="AE912" s="10" t="s">
        <v>50</v>
      </c>
      <c r="AF912" s="10"/>
      <c r="AG912" s="10" t="s">
        <v>114</v>
      </c>
      <c r="AH912" s="10" t="s">
        <v>50</v>
      </c>
      <c r="AI912" s="5">
        <v>1</v>
      </c>
      <c r="AJ912" s="10" t="s">
        <v>5143</v>
      </c>
      <c r="AK912" s="10" t="s">
        <v>5144</v>
      </c>
    </row>
    <row r="913" spans="1:37" ht="36.75" customHeight="1" x14ac:dyDescent="0.35">
      <c r="A913" s="5"/>
      <c r="B913" s="5" t="s">
        <v>37</v>
      </c>
      <c r="C913" s="73" t="str">
        <f t="shared" si="14"/>
        <v>Closed</v>
      </c>
      <c r="D913" s="45" t="s">
        <v>5145</v>
      </c>
      <c r="E913" s="54" t="s">
        <v>5146</v>
      </c>
      <c r="F913" s="5" t="s">
        <v>1553</v>
      </c>
      <c r="G913" s="10">
        <f>DATE(2010,8,2)</f>
        <v>40392</v>
      </c>
      <c r="H913" s="35">
        <v>1.1666666666666667</v>
      </c>
      <c r="I913" s="5" t="s">
        <v>55</v>
      </c>
      <c r="J913" s="10" t="s">
        <v>5147</v>
      </c>
      <c r="K913" s="5" t="s">
        <v>1555</v>
      </c>
      <c r="L913" s="5" t="s">
        <v>5148</v>
      </c>
      <c r="M913" s="5" t="s">
        <v>45</v>
      </c>
      <c r="N913" s="5">
        <v>0</v>
      </c>
      <c r="O913" s="5" t="s">
        <v>46</v>
      </c>
      <c r="P913" s="10" t="s">
        <v>146</v>
      </c>
      <c r="Q913" s="10" t="s">
        <v>5149</v>
      </c>
      <c r="R913" s="10" t="s">
        <v>2541</v>
      </c>
      <c r="S913" s="5">
        <v>0</v>
      </c>
      <c r="T913" s="37" t="s">
        <v>50</v>
      </c>
      <c r="U913" s="5">
        <v>0</v>
      </c>
      <c r="V913" s="37" t="s">
        <v>50</v>
      </c>
      <c r="W913" s="5">
        <v>0</v>
      </c>
      <c r="X913" s="5">
        <v>0</v>
      </c>
      <c r="Y913" s="5">
        <v>0</v>
      </c>
      <c r="Z913" s="37" t="s">
        <v>50</v>
      </c>
      <c r="AA913" s="5">
        <v>0</v>
      </c>
      <c r="AB913" s="5">
        <v>0</v>
      </c>
      <c r="AC913" s="5">
        <v>0</v>
      </c>
      <c r="AD913" s="5">
        <v>0</v>
      </c>
      <c r="AE913" s="10" t="s">
        <v>50</v>
      </c>
      <c r="AF913" s="10"/>
      <c r="AG913" s="10" t="s">
        <v>114</v>
      </c>
      <c r="AH913" s="10" t="s">
        <v>50</v>
      </c>
      <c r="AI913" s="5">
        <v>3</v>
      </c>
      <c r="AJ913" s="10" t="s">
        <v>5150</v>
      </c>
      <c r="AK913" s="10" t="s">
        <v>5151</v>
      </c>
    </row>
    <row r="914" spans="1:37" ht="36.75" customHeight="1" x14ac:dyDescent="0.35">
      <c r="A914" s="5"/>
      <c r="B914" s="5" t="s">
        <v>37</v>
      </c>
      <c r="C914" s="73" t="str">
        <f t="shared" si="14"/>
        <v>Closed</v>
      </c>
      <c r="D914" s="45" t="s">
        <v>5152</v>
      </c>
      <c r="E914" s="54" t="s">
        <v>5153</v>
      </c>
      <c r="F914" s="5" t="s">
        <v>563</v>
      </c>
      <c r="G914" s="10">
        <f>DATE(2010,8,7)</f>
        <v>40397</v>
      </c>
      <c r="H914" s="35">
        <v>1.2152777777777777</v>
      </c>
      <c r="I914" s="5" t="s">
        <v>179</v>
      </c>
      <c r="J914" s="10" t="s">
        <v>5154</v>
      </c>
      <c r="K914" s="5" t="s">
        <v>565</v>
      </c>
      <c r="L914" s="5" t="s">
        <v>5155</v>
      </c>
      <c r="M914" s="5" t="s">
        <v>45</v>
      </c>
      <c r="N914" s="5">
        <v>0</v>
      </c>
      <c r="O914" s="5" t="s">
        <v>59</v>
      </c>
      <c r="P914" s="10" t="s">
        <v>282</v>
      </c>
      <c r="Q914" s="10" t="s">
        <v>5156</v>
      </c>
      <c r="R914" s="10" t="s">
        <v>568</v>
      </c>
      <c r="S914" s="5">
        <v>0</v>
      </c>
      <c r="T914" s="37" t="s">
        <v>50</v>
      </c>
      <c r="U914" s="5">
        <v>0</v>
      </c>
      <c r="V914" s="37" t="s">
        <v>50</v>
      </c>
      <c r="W914" s="5">
        <v>0</v>
      </c>
      <c r="X914" s="5">
        <v>0</v>
      </c>
      <c r="Y914" s="5">
        <v>0</v>
      </c>
      <c r="Z914" s="37" t="s">
        <v>50</v>
      </c>
      <c r="AA914" s="5">
        <v>0</v>
      </c>
      <c r="AB914" s="5">
        <v>0</v>
      </c>
      <c r="AC914" s="5">
        <v>0</v>
      </c>
      <c r="AD914" s="5">
        <v>0</v>
      </c>
      <c r="AE914" s="10" t="s">
        <v>50</v>
      </c>
      <c r="AF914" s="10"/>
      <c r="AG914" s="10" t="s">
        <v>64</v>
      </c>
      <c r="AH914" s="10" t="s">
        <v>50</v>
      </c>
      <c r="AI914" s="5">
        <v>0</v>
      </c>
      <c r="AJ914" s="10" t="s">
        <v>5157</v>
      </c>
      <c r="AK914" s="10" t="s">
        <v>50</v>
      </c>
    </row>
    <row r="915" spans="1:37" ht="36.75" customHeight="1" x14ac:dyDescent="0.35">
      <c r="A915" s="5"/>
      <c r="B915" s="5" t="s">
        <v>37</v>
      </c>
      <c r="C915" s="73" t="str">
        <f t="shared" si="14"/>
        <v>Closed</v>
      </c>
      <c r="D915" s="45" t="s">
        <v>5158</v>
      </c>
      <c r="E915" s="54" t="s">
        <v>5159</v>
      </c>
      <c r="F915" s="5" t="s">
        <v>619</v>
      </c>
      <c r="G915" s="10">
        <f>DATE(2010,8,9)</f>
        <v>40399</v>
      </c>
      <c r="H915" s="35">
        <v>1.7083333333333335</v>
      </c>
      <c r="I915" s="5" t="s">
        <v>97</v>
      </c>
      <c r="J915" s="10" t="s">
        <v>5160</v>
      </c>
      <c r="K915" s="5" t="s">
        <v>621</v>
      </c>
      <c r="L915" s="5" t="s">
        <v>5161</v>
      </c>
      <c r="M915" s="5" t="s">
        <v>45</v>
      </c>
      <c r="N915" s="5">
        <v>0</v>
      </c>
      <c r="O915" s="5" t="s">
        <v>46</v>
      </c>
      <c r="P915" s="10" t="s">
        <v>146</v>
      </c>
      <c r="Q915" s="10" t="s">
        <v>3226</v>
      </c>
      <c r="R915" s="10" t="s">
        <v>3226</v>
      </c>
      <c r="S915" s="5">
        <v>0</v>
      </c>
      <c r="T915" s="37">
        <v>0</v>
      </c>
      <c r="U915" s="5">
        <v>1</v>
      </c>
      <c r="V915" s="37">
        <v>0</v>
      </c>
      <c r="W915" s="5">
        <v>0</v>
      </c>
      <c r="X915" s="5">
        <v>1</v>
      </c>
      <c r="Y915" s="5">
        <v>0</v>
      </c>
      <c r="Z915" s="37">
        <v>0</v>
      </c>
      <c r="AA915" s="5">
        <v>0</v>
      </c>
      <c r="AB915" s="5">
        <v>0</v>
      </c>
      <c r="AC915" s="5">
        <v>0</v>
      </c>
      <c r="AD915" s="5">
        <v>0</v>
      </c>
      <c r="AE915" s="10" t="s">
        <v>50</v>
      </c>
      <c r="AF915" s="10"/>
      <c r="AG915" s="10" t="s">
        <v>229</v>
      </c>
      <c r="AH915" s="10" t="s">
        <v>50</v>
      </c>
      <c r="AI915" s="5">
        <v>1</v>
      </c>
      <c r="AJ915" s="10" t="s">
        <v>5162</v>
      </c>
      <c r="AK915" s="10" t="s">
        <v>50</v>
      </c>
    </row>
    <row r="916" spans="1:37" ht="36.75" customHeight="1" x14ac:dyDescent="0.35">
      <c r="A916" s="5"/>
      <c r="B916" s="5" t="s">
        <v>37</v>
      </c>
      <c r="C916" s="73" t="str">
        <f t="shared" si="14"/>
        <v>Closed</v>
      </c>
      <c r="D916" s="45" t="s">
        <v>5163</v>
      </c>
      <c r="E916" s="54" t="s">
        <v>5164</v>
      </c>
      <c r="F916" s="5" t="s">
        <v>1553</v>
      </c>
      <c r="G916" s="10">
        <f>DATE(2010,8,11)</f>
        <v>40401</v>
      </c>
      <c r="H916" s="35">
        <v>1.3763888888888889</v>
      </c>
      <c r="I916" s="5" t="s">
        <v>179</v>
      </c>
      <c r="J916" s="10" t="s">
        <v>5165</v>
      </c>
      <c r="K916" s="5" t="s">
        <v>1555</v>
      </c>
      <c r="L916" s="5" t="s">
        <v>5166</v>
      </c>
      <c r="M916" s="5" t="s">
        <v>45</v>
      </c>
      <c r="N916" s="5">
        <v>0</v>
      </c>
      <c r="O916" s="5" t="s">
        <v>59</v>
      </c>
      <c r="P916" s="10" t="s">
        <v>60</v>
      </c>
      <c r="Q916" s="10" t="s">
        <v>5167</v>
      </c>
      <c r="R916" s="10">
        <v>0</v>
      </c>
      <c r="S916" s="5">
        <v>0</v>
      </c>
      <c r="T916" s="37" t="s">
        <v>50</v>
      </c>
      <c r="U916" s="5">
        <v>0</v>
      </c>
      <c r="V916" s="37" t="s">
        <v>50</v>
      </c>
      <c r="W916" s="5">
        <v>0</v>
      </c>
      <c r="X916" s="5">
        <v>0</v>
      </c>
      <c r="Y916" s="5">
        <v>0</v>
      </c>
      <c r="Z916" s="37" t="s">
        <v>50</v>
      </c>
      <c r="AA916" s="5">
        <v>0</v>
      </c>
      <c r="AB916" s="5">
        <v>0</v>
      </c>
      <c r="AC916" s="5">
        <v>0</v>
      </c>
      <c r="AD916" s="5">
        <v>0</v>
      </c>
      <c r="AE916" s="10" t="s">
        <v>50</v>
      </c>
      <c r="AF916" s="10"/>
      <c r="AG916" s="10" t="s">
        <v>114</v>
      </c>
      <c r="AH916" s="10" t="s">
        <v>50</v>
      </c>
      <c r="AI916" s="5">
        <v>2</v>
      </c>
      <c r="AJ916" s="10" t="s">
        <v>5168</v>
      </c>
      <c r="AK916" s="10" t="s">
        <v>5169</v>
      </c>
    </row>
    <row r="917" spans="1:37" ht="36.75" customHeight="1" x14ac:dyDescent="0.35">
      <c r="A917" s="5"/>
      <c r="B917" s="5" t="s">
        <v>37</v>
      </c>
      <c r="C917" s="73" t="str">
        <f t="shared" si="14"/>
        <v>Closed</v>
      </c>
      <c r="D917" s="45" t="s">
        <v>5170</v>
      </c>
      <c r="E917" s="54" t="s">
        <v>5171</v>
      </c>
      <c r="F917" s="5" t="s">
        <v>816</v>
      </c>
      <c r="G917" s="10">
        <f>DATE(2010,8,12)</f>
        <v>40402</v>
      </c>
      <c r="H917" s="35">
        <v>1.6423611111111112</v>
      </c>
      <c r="I917" s="5" t="s">
        <v>97</v>
      </c>
      <c r="J917" s="10" t="s">
        <v>5172</v>
      </c>
      <c r="K917" s="5" t="s">
        <v>818</v>
      </c>
      <c r="L917" s="5" t="s">
        <v>5173</v>
      </c>
      <c r="M917" s="5" t="s">
        <v>45</v>
      </c>
      <c r="N917" s="5">
        <v>0</v>
      </c>
      <c r="O917" s="5" t="s">
        <v>46</v>
      </c>
      <c r="P917" s="10" t="s">
        <v>146</v>
      </c>
      <c r="Q917" s="10" t="s">
        <v>2142</v>
      </c>
      <c r="R917" s="10" t="s">
        <v>821</v>
      </c>
      <c r="S917" s="5">
        <v>0</v>
      </c>
      <c r="T917" s="37">
        <v>0</v>
      </c>
      <c r="U917" s="5">
        <v>1</v>
      </c>
      <c r="V917" s="37">
        <v>0</v>
      </c>
      <c r="W917" s="5">
        <v>0</v>
      </c>
      <c r="X917" s="5">
        <v>1</v>
      </c>
      <c r="Y917" s="5">
        <v>0</v>
      </c>
      <c r="Z917" s="37">
        <v>0</v>
      </c>
      <c r="AA917" s="5">
        <v>0</v>
      </c>
      <c r="AB917" s="5">
        <v>0</v>
      </c>
      <c r="AC917" s="5">
        <v>0</v>
      </c>
      <c r="AD917" s="5">
        <v>0</v>
      </c>
      <c r="AE917" s="10" t="s">
        <v>50</v>
      </c>
      <c r="AF917" s="10"/>
      <c r="AG917" s="10" t="s">
        <v>333</v>
      </c>
      <c r="AH917" s="10" t="s">
        <v>50</v>
      </c>
      <c r="AI917" s="5">
        <v>1</v>
      </c>
      <c r="AJ917" s="10" t="s">
        <v>50</v>
      </c>
      <c r="AK917" s="10" t="s">
        <v>50</v>
      </c>
    </row>
    <row r="918" spans="1:37" ht="36.75" customHeight="1" x14ac:dyDescent="0.35">
      <c r="A918" s="5"/>
      <c r="B918" s="5" t="s">
        <v>37</v>
      </c>
      <c r="C918" s="73" t="str">
        <f t="shared" si="14"/>
        <v>Closed</v>
      </c>
      <c r="D918" s="45" t="s">
        <v>5174</v>
      </c>
      <c r="E918" s="54" t="s">
        <v>5175</v>
      </c>
      <c r="F918" s="5" t="s">
        <v>404</v>
      </c>
      <c r="G918" s="10">
        <f>DATE(2010,8,13)</f>
        <v>40403</v>
      </c>
      <c r="H918" s="35">
        <v>1.4527777777777777</v>
      </c>
      <c r="I918" s="5" t="s">
        <v>97</v>
      </c>
      <c r="J918" s="10" t="s">
        <v>5176</v>
      </c>
      <c r="K918" s="5" t="s">
        <v>406</v>
      </c>
      <c r="L918" s="5" t="s">
        <v>5177</v>
      </c>
      <c r="M918" s="5" t="s">
        <v>45</v>
      </c>
      <c r="N918" s="5">
        <v>0</v>
      </c>
      <c r="O918" s="5" t="s">
        <v>67</v>
      </c>
      <c r="P918" s="10" t="s">
        <v>72</v>
      </c>
      <c r="Q918" s="10" t="s">
        <v>5178</v>
      </c>
      <c r="R918" s="10" t="s">
        <v>5179</v>
      </c>
      <c r="S918" s="5">
        <v>0</v>
      </c>
      <c r="T918" s="37" t="s">
        <v>50</v>
      </c>
      <c r="U918" s="5">
        <v>0</v>
      </c>
      <c r="V918" s="37" t="s">
        <v>50</v>
      </c>
      <c r="W918" s="5">
        <v>0</v>
      </c>
      <c r="X918" s="5">
        <v>0</v>
      </c>
      <c r="Y918" s="5">
        <v>0</v>
      </c>
      <c r="Z918" s="37" t="s">
        <v>50</v>
      </c>
      <c r="AA918" s="5">
        <v>0</v>
      </c>
      <c r="AB918" s="5">
        <v>0</v>
      </c>
      <c r="AC918" s="5">
        <v>0</v>
      </c>
      <c r="AD918" s="5">
        <v>0</v>
      </c>
      <c r="AE918" s="10" t="s">
        <v>50</v>
      </c>
      <c r="AF918" s="10"/>
      <c r="AG918" s="10" t="s">
        <v>1399</v>
      </c>
      <c r="AH918" s="10" t="s">
        <v>50</v>
      </c>
      <c r="AI918" s="5">
        <v>0</v>
      </c>
      <c r="AJ918" s="10" t="s">
        <v>5180</v>
      </c>
      <c r="AK918" s="10" t="s">
        <v>5181</v>
      </c>
    </row>
    <row r="919" spans="1:37" ht="36.75" customHeight="1" x14ac:dyDescent="0.35">
      <c r="A919" s="5"/>
      <c r="B919" s="5" t="s">
        <v>37</v>
      </c>
      <c r="C919" s="73" t="str">
        <f t="shared" si="14"/>
        <v>Closed</v>
      </c>
      <c r="D919" s="45" t="s">
        <v>5182</v>
      </c>
      <c r="E919" s="54" t="s">
        <v>5183</v>
      </c>
      <c r="F919" s="5" t="s">
        <v>214</v>
      </c>
      <c r="G919" s="10">
        <f>DATE(2010,8,13)</f>
        <v>40403</v>
      </c>
      <c r="H919" s="35">
        <v>1.2805555555555554</v>
      </c>
      <c r="I919" s="5" t="s">
        <v>67</v>
      </c>
      <c r="J919" s="10" t="s">
        <v>5184</v>
      </c>
      <c r="K919" s="5" t="s">
        <v>216</v>
      </c>
      <c r="L919" s="5" t="s">
        <v>5185</v>
      </c>
      <c r="M919" s="5" t="s">
        <v>110</v>
      </c>
      <c r="N919" s="5">
        <v>0</v>
      </c>
      <c r="O919" s="5" t="s">
        <v>46</v>
      </c>
      <c r="P919" s="10" t="s">
        <v>282</v>
      </c>
      <c r="Q919" s="10" t="s">
        <v>4854</v>
      </c>
      <c r="R919" s="10" t="s">
        <v>664</v>
      </c>
      <c r="S919" s="5">
        <v>0</v>
      </c>
      <c r="T919" s="37" t="s">
        <v>50</v>
      </c>
      <c r="U919" s="5">
        <v>0</v>
      </c>
      <c r="V919" s="37" t="s">
        <v>50</v>
      </c>
      <c r="W919" s="5">
        <v>0</v>
      </c>
      <c r="X919" s="5">
        <v>0</v>
      </c>
      <c r="Y919" s="5">
        <v>0</v>
      </c>
      <c r="Z919" s="37" t="s">
        <v>50</v>
      </c>
      <c r="AA919" s="5">
        <v>0</v>
      </c>
      <c r="AB919" s="5">
        <v>0</v>
      </c>
      <c r="AC919" s="5">
        <v>0</v>
      </c>
      <c r="AD919" s="5">
        <v>0</v>
      </c>
      <c r="AE919" s="10" t="s">
        <v>50</v>
      </c>
      <c r="AF919" s="10"/>
      <c r="AG919" s="10" t="s">
        <v>114</v>
      </c>
      <c r="AH919" s="10" t="s">
        <v>50</v>
      </c>
      <c r="AI919" s="5">
        <v>7</v>
      </c>
      <c r="AJ919" s="10" t="s">
        <v>5186</v>
      </c>
      <c r="AK919" s="10" t="s">
        <v>5187</v>
      </c>
    </row>
    <row r="920" spans="1:37" ht="36.75" customHeight="1" x14ac:dyDescent="0.35">
      <c r="A920" s="5"/>
      <c r="B920" s="5" t="s">
        <v>37</v>
      </c>
      <c r="C920" s="73" t="str">
        <f t="shared" si="14"/>
        <v>Closed</v>
      </c>
      <c r="D920" s="45" t="s">
        <v>5188</v>
      </c>
      <c r="E920" s="54" t="s">
        <v>5189</v>
      </c>
      <c r="F920" s="5" t="s">
        <v>563</v>
      </c>
      <c r="G920" s="10">
        <f>DATE(2010,8,17)</f>
        <v>40407</v>
      </c>
      <c r="H920" s="35">
        <v>1.4208333333333334</v>
      </c>
      <c r="I920" s="5" t="s">
        <v>137</v>
      </c>
      <c r="J920" s="10" t="s">
        <v>5190</v>
      </c>
      <c r="K920" s="5" t="s">
        <v>565</v>
      </c>
      <c r="L920" s="5" t="s">
        <v>5191</v>
      </c>
      <c r="M920" s="5" t="s">
        <v>45</v>
      </c>
      <c r="N920" s="5" t="s">
        <v>123</v>
      </c>
      <c r="O920" s="5" t="s">
        <v>46</v>
      </c>
      <c r="P920" s="10" t="s">
        <v>443</v>
      </c>
      <c r="Q920" s="10" t="s">
        <v>4810</v>
      </c>
      <c r="R920" s="10" t="s">
        <v>568</v>
      </c>
      <c r="S920" s="5">
        <v>0</v>
      </c>
      <c r="T920" s="37">
        <v>0</v>
      </c>
      <c r="U920" s="5">
        <v>0</v>
      </c>
      <c r="V920" s="37">
        <v>0</v>
      </c>
      <c r="W920" s="5">
        <v>0</v>
      </c>
      <c r="X920" s="5">
        <v>0</v>
      </c>
      <c r="Y920" s="5">
        <v>0</v>
      </c>
      <c r="Z920" s="37">
        <v>0</v>
      </c>
      <c r="AA920" s="5">
        <v>0</v>
      </c>
      <c r="AB920" s="5">
        <v>0</v>
      </c>
      <c r="AC920" s="5">
        <v>0</v>
      </c>
      <c r="AD920" s="5">
        <v>0</v>
      </c>
      <c r="AE920" s="10" t="s">
        <v>375</v>
      </c>
      <c r="AF920" s="10"/>
      <c r="AG920" s="10" t="s">
        <v>64</v>
      </c>
      <c r="AH920" s="10">
        <v>40407</v>
      </c>
      <c r="AI920" s="5">
        <v>0</v>
      </c>
      <c r="AJ920" s="10" t="s">
        <v>5192</v>
      </c>
      <c r="AK920" s="10" t="s">
        <v>1215</v>
      </c>
    </row>
    <row r="921" spans="1:37" ht="36.75" customHeight="1" x14ac:dyDescent="0.35">
      <c r="A921" s="5"/>
      <c r="B921" s="5" t="s">
        <v>37</v>
      </c>
      <c r="C921" s="73" t="str">
        <f t="shared" si="14"/>
        <v>Closed</v>
      </c>
      <c r="D921" s="45" t="s">
        <v>5193</v>
      </c>
      <c r="E921" s="54" t="s">
        <v>5194</v>
      </c>
      <c r="F921" s="5" t="s">
        <v>619</v>
      </c>
      <c r="G921" s="10">
        <f>DATE(2010,8,17)</f>
        <v>40407</v>
      </c>
      <c r="H921" s="35">
        <v>1.8361111111111112</v>
      </c>
      <c r="I921" s="5" t="s">
        <v>85</v>
      </c>
      <c r="J921" s="10" t="s">
        <v>5195</v>
      </c>
      <c r="K921" s="5" t="s">
        <v>621</v>
      </c>
      <c r="L921" s="5" t="s">
        <v>5196</v>
      </c>
      <c r="M921" s="5" t="s">
        <v>45</v>
      </c>
      <c r="N921" s="5">
        <v>0</v>
      </c>
      <c r="O921" s="5" t="s">
        <v>59</v>
      </c>
      <c r="P921" s="10" t="s">
        <v>60</v>
      </c>
      <c r="Q921" s="10" t="s">
        <v>623</v>
      </c>
      <c r="R921" s="10" t="s">
        <v>624</v>
      </c>
      <c r="S921" s="5">
        <v>0</v>
      </c>
      <c r="T921" s="37" t="s">
        <v>50</v>
      </c>
      <c r="U921" s="5">
        <v>0</v>
      </c>
      <c r="V921" s="37" t="s">
        <v>50</v>
      </c>
      <c r="W921" s="5">
        <v>0</v>
      </c>
      <c r="X921" s="5">
        <v>0</v>
      </c>
      <c r="Y921" s="5">
        <v>0</v>
      </c>
      <c r="Z921" s="37" t="s">
        <v>50</v>
      </c>
      <c r="AA921" s="5">
        <v>0</v>
      </c>
      <c r="AB921" s="5">
        <v>0</v>
      </c>
      <c r="AC921" s="5">
        <v>0</v>
      </c>
      <c r="AD921" s="5">
        <v>0</v>
      </c>
      <c r="AE921" s="10" t="s">
        <v>50</v>
      </c>
      <c r="AF921" s="10"/>
      <c r="AG921" s="10" t="s">
        <v>333</v>
      </c>
      <c r="AH921" s="10" t="s">
        <v>50</v>
      </c>
      <c r="AI921" s="5">
        <v>0</v>
      </c>
      <c r="AJ921" s="10" t="s">
        <v>5197</v>
      </c>
      <c r="AK921" s="10" t="s">
        <v>50</v>
      </c>
    </row>
    <row r="922" spans="1:37" ht="36.75" customHeight="1" x14ac:dyDescent="0.35">
      <c r="A922" s="5"/>
      <c r="B922" s="5" t="s">
        <v>37</v>
      </c>
      <c r="C922" s="73" t="str">
        <f t="shared" si="14"/>
        <v>Closed</v>
      </c>
      <c r="D922" s="45" t="s">
        <v>5198</v>
      </c>
      <c r="E922" s="54" t="s">
        <v>5199</v>
      </c>
      <c r="F922" s="5" t="s">
        <v>816</v>
      </c>
      <c r="G922" s="10">
        <f>DATE(2010,8,17)</f>
        <v>40407</v>
      </c>
      <c r="H922" s="35">
        <v>1.5236111111111112</v>
      </c>
      <c r="I922" s="5" t="s">
        <v>97</v>
      </c>
      <c r="J922" s="10" t="s">
        <v>5200</v>
      </c>
      <c r="K922" s="5" t="s">
        <v>818</v>
      </c>
      <c r="L922" s="5" t="s">
        <v>5201</v>
      </c>
      <c r="M922" s="5" t="s">
        <v>45</v>
      </c>
      <c r="N922" s="5">
        <v>0</v>
      </c>
      <c r="O922" s="5" t="s">
        <v>46</v>
      </c>
      <c r="P922" s="10" t="s">
        <v>146</v>
      </c>
      <c r="Q922" s="10" t="s">
        <v>2142</v>
      </c>
      <c r="R922" s="10" t="s">
        <v>821</v>
      </c>
      <c r="S922" s="5">
        <v>0</v>
      </c>
      <c r="T922" s="37">
        <v>0</v>
      </c>
      <c r="U922" s="5">
        <v>1</v>
      </c>
      <c r="V922" s="37">
        <v>0</v>
      </c>
      <c r="W922" s="5">
        <v>0</v>
      </c>
      <c r="X922" s="5">
        <v>1</v>
      </c>
      <c r="Y922" s="5">
        <v>0</v>
      </c>
      <c r="Z922" s="37">
        <v>0</v>
      </c>
      <c r="AA922" s="5">
        <v>0</v>
      </c>
      <c r="AB922" s="5">
        <v>0</v>
      </c>
      <c r="AC922" s="5">
        <v>0</v>
      </c>
      <c r="AD922" s="5">
        <v>0</v>
      </c>
      <c r="AE922" s="10" t="s">
        <v>50</v>
      </c>
      <c r="AF922" s="10"/>
      <c r="AG922" s="10" t="s">
        <v>333</v>
      </c>
      <c r="AH922" s="10" t="s">
        <v>50</v>
      </c>
      <c r="AI922" s="5">
        <v>1</v>
      </c>
      <c r="AJ922" s="10" t="s">
        <v>50</v>
      </c>
      <c r="AK922" s="10" t="s">
        <v>50</v>
      </c>
    </row>
    <row r="923" spans="1:37" ht="36.75" customHeight="1" x14ac:dyDescent="0.35">
      <c r="A923" s="5"/>
      <c r="B923" s="5" t="s">
        <v>37</v>
      </c>
      <c r="C923" s="73" t="str">
        <f t="shared" si="14"/>
        <v>Closed</v>
      </c>
      <c r="D923" s="45" t="s">
        <v>5202</v>
      </c>
      <c r="E923" s="54" t="s">
        <v>5203</v>
      </c>
      <c r="F923" s="5" t="s">
        <v>214</v>
      </c>
      <c r="G923" s="10">
        <f>DATE(2010,8,17)</f>
        <v>40407</v>
      </c>
      <c r="H923" s="35">
        <v>1.0770833333333334</v>
      </c>
      <c r="I923" s="5" t="s">
        <v>67</v>
      </c>
      <c r="J923" s="10" t="s">
        <v>5204</v>
      </c>
      <c r="K923" s="5" t="s">
        <v>216</v>
      </c>
      <c r="L923" s="5" t="s">
        <v>5205</v>
      </c>
      <c r="M923" s="5" t="s">
        <v>45</v>
      </c>
      <c r="N923" s="5">
        <v>0</v>
      </c>
      <c r="O923" s="5" t="s">
        <v>46</v>
      </c>
      <c r="P923" s="10" t="s">
        <v>60</v>
      </c>
      <c r="Q923" s="10" t="s">
        <v>4022</v>
      </c>
      <c r="R923" s="10" t="s">
        <v>219</v>
      </c>
      <c r="S923" s="5">
        <v>0</v>
      </c>
      <c r="T923" s="37" t="s">
        <v>50</v>
      </c>
      <c r="U923" s="5">
        <v>0</v>
      </c>
      <c r="V923" s="37" t="s">
        <v>50</v>
      </c>
      <c r="W923" s="5">
        <v>0</v>
      </c>
      <c r="X923" s="5">
        <v>0</v>
      </c>
      <c r="Y923" s="5">
        <v>0</v>
      </c>
      <c r="Z923" s="37" t="s">
        <v>50</v>
      </c>
      <c r="AA923" s="5">
        <v>0</v>
      </c>
      <c r="AB923" s="5">
        <v>0</v>
      </c>
      <c r="AC923" s="5">
        <v>0</v>
      </c>
      <c r="AD923" s="5">
        <v>0</v>
      </c>
      <c r="AE923" s="10" t="s">
        <v>50</v>
      </c>
      <c r="AF923" s="10"/>
      <c r="AG923" s="10" t="s">
        <v>114</v>
      </c>
      <c r="AH923" s="10" t="s">
        <v>50</v>
      </c>
      <c r="AI923" s="5">
        <v>4</v>
      </c>
      <c r="AJ923" s="10" t="s">
        <v>5206</v>
      </c>
      <c r="AK923" s="10" t="s">
        <v>50</v>
      </c>
    </row>
    <row r="924" spans="1:37" ht="36.75" customHeight="1" x14ac:dyDescent="0.35">
      <c r="A924" s="5"/>
      <c r="B924" s="5" t="s">
        <v>37</v>
      </c>
      <c r="C924" s="73" t="str">
        <f t="shared" si="14"/>
        <v>Closed</v>
      </c>
      <c r="D924" s="45" t="s">
        <v>5207</v>
      </c>
      <c r="E924" s="54" t="s">
        <v>5208</v>
      </c>
      <c r="F924" s="5" t="s">
        <v>214</v>
      </c>
      <c r="G924" s="10">
        <f>DATE(2010,8,17)</f>
        <v>40407</v>
      </c>
      <c r="H924" s="35">
        <v>1.7326388888888888</v>
      </c>
      <c r="I924" s="5" t="s">
        <v>97</v>
      </c>
      <c r="J924" s="10" t="s">
        <v>5209</v>
      </c>
      <c r="K924" s="5" t="s">
        <v>216</v>
      </c>
      <c r="L924" s="5" t="s">
        <v>493</v>
      </c>
      <c r="M924" s="5" t="s">
        <v>45</v>
      </c>
      <c r="N924" s="5">
        <v>0</v>
      </c>
      <c r="O924" s="5" t="s">
        <v>46</v>
      </c>
      <c r="P924" s="10" t="s">
        <v>146</v>
      </c>
      <c r="Q924" s="10" t="s">
        <v>2856</v>
      </c>
      <c r="R924" s="10" t="s">
        <v>219</v>
      </c>
      <c r="S924" s="5">
        <v>0</v>
      </c>
      <c r="T924" s="37">
        <v>0</v>
      </c>
      <c r="U924" s="5">
        <v>0</v>
      </c>
      <c r="V924" s="37">
        <v>0</v>
      </c>
      <c r="W924" s="5">
        <v>0</v>
      </c>
      <c r="X924" s="5">
        <v>0</v>
      </c>
      <c r="Y924" s="5">
        <v>3</v>
      </c>
      <c r="Z924" s="37">
        <v>1</v>
      </c>
      <c r="AA924" s="5">
        <v>0</v>
      </c>
      <c r="AB924" s="5">
        <v>0</v>
      </c>
      <c r="AC924" s="5">
        <v>0</v>
      </c>
      <c r="AD924" s="5">
        <v>4</v>
      </c>
      <c r="AE924" s="10" t="s">
        <v>50</v>
      </c>
      <c r="AF924" s="10"/>
      <c r="AG924" s="10" t="s">
        <v>114</v>
      </c>
      <c r="AH924" s="10" t="s">
        <v>50</v>
      </c>
      <c r="AI924" s="5">
        <v>6</v>
      </c>
      <c r="AJ924" s="10" t="s">
        <v>5210</v>
      </c>
      <c r="AK924" s="10" t="s">
        <v>5211</v>
      </c>
    </row>
    <row r="925" spans="1:37" ht="36.75" customHeight="1" x14ac:dyDescent="0.35">
      <c r="A925" s="5"/>
      <c r="B925" s="5" t="s">
        <v>37</v>
      </c>
      <c r="C925" s="73" t="str">
        <f t="shared" si="14"/>
        <v>Closed</v>
      </c>
      <c r="D925" s="45" t="s">
        <v>5212</v>
      </c>
      <c r="E925" s="54" t="s">
        <v>5213</v>
      </c>
      <c r="F925" s="5" t="s">
        <v>619</v>
      </c>
      <c r="G925" s="10">
        <f>DATE(2010,8,18)</f>
        <v>40408</v>
      </c>
      <c r="H925" s="35">
        <v>1.5111111111111111</v>
      </c>
      <c r="I925" s="5" t="s">
        <v>97</v>
      </c>
      <c r="J925" s="10" t="s">
        <v>5214</v>
      </c>
      <c r="K925" s="5" t="s">
        <v>621</v>
      </c>
      <c r="L925" s="5" t="s">
        <v>5215</v>
      </c>
      <c r="M925" s="5" t="s">
        <v>45</v>
      </c>
      <c r="N925" s="5">
        <v>0</v>
      </c>
      <c r="O925" s="5" t="s">
        <v>46</v>
      </c>
      <c r="P925" s="10" t="s">
        <v>146</v>
      </c>
      <c r="Q925" s="10" t="s">
        <v>623</v>
      </c>
      <c r="R925" s="10" t="s">
        <v>624</v>
      </c>
      <c r="S925" s="5">
        <v>0</v>
      </c>
      <c r="T925" s="37">
        <v>0</v>
      </c>
      <c r="U925" s="5">
        <v>1</v>
      </c>
      <c r="V925" s="37">
        <v>0</v>
      </c>
      <c r="W925" s="5">
        <v>0</v>
      </c>
      <c r="X925" s="5">
        <v>1</v>
      </c>
      <c r="Y925" s="5">
        <v>0</v>
      </c>
      <c r="Z925" s="37">
        <v>0</v>
      </c>
      <c r="AA925" s="5">
        <v>0</v>
      </c>
      <c r="AB925" s="5">
        <v>0</v>
      </c>
      <c r="AC925" s="5">
        <v>0</v>
      </c>
      <c r="AD925" s="5">
        <v>0</v>
      </c>
      <c r="AE925" s="10" t="s">
        <v>50</v>
      </c>
      <c r="AF925" s="10"/>
      <c r="AG925" s="10" t="s">
        <v>229</v>
      </c>
      <c r="AH925" s="10" t="s">
        <v>50</v>
      </c>
      <c r="AI925" s="5">
        <v>1</v>
      </c>
      <c r="AJ925" s="10" t="s">
        <v>5216</v>
      </c>
      <c r="AK925" s="10" t="s">
        <v>50</v>
      </c>
    </row>
    <row r="926" spans="1:37" ht="36.75" customHeight="1" x14ac:dyDescent="0.35">
      <c r="A926" s="5"/>
      <c r="B926" s="5" t="s">
        <v>37</v>
      </c>
      <c r="C926" s="73" t="str">
        <f t="shared" si="14"/>
        <v>Closed</v>
      </c>
      <c r="D926" s="45" t="s">
        <v>5217</v>
      </c>
      <c r="E926" s="54" t="s">
        <v>5218</v>
      </c>
      <c r="F926" s="5" t="s">
        <v>2316</v>
      </c>
      <c r="G926" s="10">
        <f>DATE(2010,8,18)</f>
        <v>40408</v>
      </c>
      <c r="H926" s="35">
        <v>1.4513888888888888</v>
      </c>
      <c r="I926" s="5" t="s">
        <v>55</v>
      </c>
      <c r="J926" s="10" t="s">
        <v>5219</v>
      </c>
      <c r="K926" s="5" t="s">
        <v>2318</v>
      </c>
      <c r="L926" s="5" t="s">
        <v>5220</v>
      </c>
      <c r="M926" s="5" t="s">
        <v>45</v>
      </c>
      <c r="N926" s="5">
        <v>0</v>
      </c>
      <c r="O926" s="5" t="s">
        <v>59</v>
      </c>
      <c r="P926" s="10" t="s">
        <v>146</v>
      </c>
      <c r="Q926" s="10" t="s">
        <v>3712</v>
      </c>
      <c r="R926" s="10" t="s">
        <v>2321</v>
      </c>
      <c r="S926" s="5">
        <v>0</v>
      </c>
      <c r="T926" s="37">
        <v>0</v>
      </c>
      <c r="U926" s="5">
        <v>0</v>
      </c>
      <c r="V926" s="37">
        <v>0</v>
      </c>
      <c r="W926" s="5">
        <v>0</v>
      </c>
      <c r="X926" s="5">
        <v>0</v>
      </c>
      <c r="Y926" s="5">
        <v>0</v>
      </c>
      <c r="Z926" s="37">
        <v>0</v>
      </c>
      <c r="AA926" s="5">
        <v>0</v>
      </c>
      <c r="AB926" s="5">
        <v>0</v>
      </c>
      <c r="AC926" s="5">
        <v>0</v>
      </c>
      <c r="AD926" s="5">
        <v>0</v>
      </c>
      <c r="AE926" s="10" t="s">
        <v>50</v>
      </c>
      <c r="AF926" s="10"/>
      <c r="AG926" s="10" t="s">
        <v>114</v>
      </c>
      <c r="AH926" s="10" t="s">
        <v>50</v>
      </c>
      <c r="AI926" s="5">
        <v>9</v>
      </c>
      <c r="AJ926" s="10" t="s">
        <v>5221</v>
      </c>
      <c r="AK926" s="10" t="s">
        <v>5222</v>
      </c>
    </row>
    <row r="927" spans="1:37" ht="36.75" customHeight="1" x14ac:dyDescent="0.35">
      <c r="A927" s="5"/>
      <c r="B927" s="5" t="s">
        <v>37</v>
      </c>
      <c r="C927" s="73" t="str">
        <f t="shared" si="14"/>
        <v>Closed</v>
      </c>
      <c r="D927" s="45" t="s">
        <v>5223</v>
      </c>
      <c r="E927" s="54" t="s">
        <v>5224</v>
      </c>
      <c r="F927" s="5" t="s">
        <v>816</v>
      </c>
      <c r="G927" s="10">
        <f>DATE(2010,8,21)</f>
        <v>40411</v>
      </c>
      <c r="H927" s="35">
        <v>1.4194444444444445</v>
      </c>
      <c r="I927" s="5" t="s">
        <v>97</v>
      </c>
      <c r="J927" s="10" t="s">
        <v>5225</v>
      </c>
      <c r="K927" s="5" t="s">
        <v>818</v>
      </c>
      <c r="L927" s="5" t="s">
        <v>5226</v>
      </c>
      <c r="M927" s="5" t="s">
        <v>45</v>
      </c>
      <c r="N927" s="5">
        <v>0</v>
      </c>
      <c r="O927" s="5" t="s">
        <v>46</v>
      </c>
      <c r="P927" s="10" t="s">
        <v>146</v>
      </c>
      <c r="Q927" s="10" t="s">
        <v>2142</v>
      </c>
      <c r="R927" s="10" t="s">
        <v>821</v>
      </c>
      <c r="S927" s="5">
        <v>0</v>
      </c>
      <c r="T927" s="37">
        <v>0</v>
      </c>
      <c r="U927" s="5">
        <v>0</v>
      </c>
      <c r="V927" s="37">
        <v>0</v>
      </c>
      <c r="W927" s="5">
        <v>0</v>
      </c>
      <c r="X927" s="5">
        <v>0</v>
      </c>
      <c r="Y927" s="5">
        <v>0</v>
      </c>
      <c r="Z927" s="37">
        <v>0</v>
      </c>
      <c r="AA927" s="5">
        <v>1</v>
      </c>
      <c r="AB927" s="5">
        <v>0</v>
      </c>
      <c r="AC927" s="5">
        <v>0</v>
      </c>
      <c r="AD927" s="5">
        <v>1</v>
      </c>
      <c r="AE927" s="10" t="s">
        <v>50</v>
      </c>
      <c r="AF927" s="10"/>
      <c r="AG927" s="10" t="s">
        <v>333</v>
      </c>
      <c r="AH927" s="10" t="s">
        <v>50</v>
      </c>
      <c r="AI927" s="5">
        <v>1</v>
      </c>
      <c r="AJ927" s="10" t="s">
        <v>50</v>
      </c>
      <c r="AK927" s="10" t="s">
        <v>50</v>
      </c>
    </row>
    <row r="928" spans="1:37" ht="36.75" customHeight="1" x14ac:dyDescent="0.35">
      <c r="A928" s="5"/>
      <c r="B928" s="5" t="s">
        <v>37</v>
      </c>
      <c r="C928" s="73" t="str">
        <f t="shared" si="14"/>
        <v>Closed</v>
      </c>
      <c r="D928" s="45" t="s">
        <v>5227</v>
      </c>
      <c r="E928" s="54" t="s">
        <v>5228</v>
      </c>
      <c r="F928" s="5" t="s">
        <v>816</v>
      </c>
      <c r="G928" s="10">
        <f>DATE(2010,8,21)</f>
        <v>40411</v>
      </c>
      <c r="H928" s="35">
        <v>1.7013888888888888</v>
      </c>
      <c r="I928" s="5" t="s">
        <v>97</v>
      </c>
      <c r="J928" s="10" t="s">
        <v>5229</v>
      </c>
      <c r="K928" s="5" t="s">
        <v>818</v>
      </c>
      <c r="L928" s="5" t="s">
        <v>5230</v>
      </c>
      <c r="M928" s="5" t="s">
        <v>45</v>
      </c>
      <c r="N928" s="5">
        <v>0</v>
      </c>
      <c r="O928" s="5" t="s">
        <v>46</v>
      </c>
      <c r="P928" s="10" t="s">
        <v>146</v>
      </c>
      <c r="Q928" s="10" t="s">
        <v>2142</v>
      </c>
      <c r="R928" s="10" t="s">
        <v>821</v>
      </c>
      <c r="S928" s="5">
        <v>0</v>
      </c>
      <c r="T928" s="37">
        <v>0</v>
      </c>
      <c r="U928" s="5">
        <v>1</v>
      </c>
      <c r="V928" s="37">
        <v>0</v>
      </c>
      <c r="W928" s="5">
        <v>0</v>
      </c>
      <c r="X928" s="5">
        <v>1</v>
      </c>
      <c r="Y928" s="5">
        <v>0</v>
      </c>
      <c r="Z928" s="37">
        <v>0</v>
      </c>
      <c r="AA928" s="5">
        <v>0</v>
      </c>
      <c r="AB928" s="5">
        <v>0</v>
      </c>
      <c r="AC928" s="5">
        <v>0</v>
      </c>
      <c r="AD928" s="5">
        <v>0</v>
      </c>
      <c r="AE928" s="10" t="s">
        <v>50</v>
      </c>
      <c r="AF928" s="10"/>
      <c r="AG928" s="10" t="s">
        <v>333</v>
      </c>
      <c r="AH928" s="10" t="s">
        <v>50</v>
      </c>
      <c r="AI928" s="5">
        <v>0</v>
      </c>
      <c r="AJ928" s="10" t="s">
        <v>50</v>
      </c>
      <c r="AK928" s="10" t="s">
        <v>50</v>
      </c>
    </row>
    <row r="929" spans="1:37" ht="36.75" customHeight="1" x14ac:dyDescent="0.35">
      <c r="A929" s="5"/>
      <c r="B929" s="5" t="s">
        <v>37</v>
      </c>
      <c r="C929" s="73" t="str">
        <f t="shared" si="14"/>
        <v>Closed</v>
      </c>
      <c r="D929" s="45" t="s">
        <v>5231</v>
      </c>
      <c r="E929" s="54" t="s">
        <v>5232</v>
      </c>
      <c r="F929" s="5" t="s">
        <v>816</v>
      </c>
      <c r="G929" s="10">
        <f>DATE(2010,8,23)</f>
        <v>40413</v>
      </c>
      <c r="H929" s="35">
        <v>1.5868055555555556</v>
      </c>
      <c r="I929" s="5" t="s">
        <v>97</v>
      </c>
      <c r="J929" s="10" t="s">
        <v>5233</v>
      </c>
      <c r="K929" s="5" t="s">
        <v>818</v>
      </c>
      <c r="L929" s="5" t="s">
        <v>5234</v>
      </c>
      <c r="M929" s="5" t="s">
        <v>45</v>
      </c>
      <c r="N929" s="5">
        <v>0</v>
      </c>
      <c r="O929" s="5" t="s">
        <v>46</v>
      </c>
      <c r="P929" s="10" t="s">
        <v>47</v>
      </c>
      <c r="Q929" s="10" t="s">
        <v>2142</v>
      </c>
      <c r="R929" s="10" t="s">
        <v>821</v>
      </c>
      <c r="S929" s="5">
        <v>0</v>
      </c>
      <c r="T929" s="37">
        <v>0</v>
      </c>
      <c r="U929" s="5">
        <v>2</v>
      </c>
      <c r="V929" s="37">
        <v>0</v>
      </c>
      <c r="W929" s="5">
        <v>0</v>
      </c>
      <c r="X929" s="5">
        <v>2</v>
      </c>
      <c r="Y929" s="5">
        <v>0</v>
      </c>
      <c r="Z929" s="37">
        <v>0</v>
      </c>
      <c r="AA929" s="5">
        <v>0</v>
      </c>
      <c r="AB929" s="5">
        <v>0</v>
      </c>
      <c r="AC929" s="5">
        <v>0</v>
      </c>
      <c r="AD929" s="5">
        <v>0</v>
      </c>
      <c r="AE929" s="10" t="s">
        <v>50</v>
      </c>
      <c r="AF929" s="10"/>
      <c r="AG929" s="10" t="s">
        <v>333</v>
      </c>
      <c r="AH929" s="10" t="s">
        <v>50</v>
      </c>
      <c r="AI929" s="5">
        <v>0</v>
      </c>
      <c r="AJ929" s="10" t="s">
        <v>50</v>
      </c>
      <c r="AK929" s="10" t="s">
        <v>50</v>
      </c>
    </row>
    <row r="930" spans="1:37" ht="36.75" customHeight="1" x14ac:dyDescent="0.35">
      <c r="A930" s="5"/>
      <c r="B930" s="5" t="s">
        <v>37</v>
      </c>
      <c r="C930" s="73" t="str">
        <f t="shared" si="14"/>
        <v>Closed</v>
      </c>
      <c r="D930" s="45" t="s">
        <v>5235</v>
      </c>
      <c r="E930" s="54" t="s">
        <v>5236</v>
      </c>
      <c r="F930" s="5" t="s">
        <v>1553</v>
      </c>
      <c r="G930" s="10">
        <f>DATE(2010,8,23)</f>
        <v>40413</v>
      </c>
      <c r="H930" s="35">
        <v>1.7708333333333335</v>
      </c>
      <c r="I930" s="5" t="s">
        <v>106</v>
      </c>
      <c r="J930" s="10" t="s">
        <v>5237</v>
      </c>
      <c r="K930" s="5" t="s">
        <v>1555</v>
      </c>
      <c r="L930" s="5" t="s">
        <v>5238</v>
      </c>
      <c r="M930" s="5" t="s">
        <v>45</v>
      </c>
      <c r="N930" s="5">
        <v>0</v>
      </c>
      <c r="O930" s="5" t="s">
        <v>46</v>
      </c>
      <c r="P930" s="10" t="s">
        <v>60</v>
      </c>
      <c r="Q930" s="10" t="s">
        <v>2635</v>
      </c>
      <c r="R930" s="10">
        <v>0</v>
      </c>
      <c r="S930" s="5">
        <v>0</v>
      </c>
      <c r="T930" s="37">
        <v>1</v>
      </c>
      <c r="U930" s="5">
        <v>0</v>
      </c>
      <c r="V930" s="37">
        <v>0</v>
      </c>
      <c r="W930" s="5">
        <v>0</v>
      </c>
      <c r="X930" s="5">
        <v>1</v>
      </c>
      <c r="Y930" s="5">
        <v>0</v>
      </c>
      <c r="Z930" s="37">
        <v>0</v>
      </c>
      <c r="AA930" s="5">
        <v>0</v>
      </c>
      <c r="AB930" s="5">
        <v>0</v>
      </c>
      <c r="AC930" s="5">
        <v>0</v>
      </c>
      <c r="AD930" s="5">
        <v>0</v>
      </c>
      <c r="AE930" s="10" t="s">
        <v>50</v>
      </c>
      <c r="AF930" s="10"/>
      <c r="AG930" s="10" t="s">
        <v>114</v>
      </c>
      <c r="AH930" s="10" t="s">
        <v>50</v>
      </c>
      <c r="AI930" s="5">
        <v>3</v>
      </c>
      <c r="AJ930" s="10" t="s">
        <v>5239</v>
      </c>
      <c r="AK930" s="10" t="s">
        <v>5240</v>
      </c>
    </row>
    <row r="931" spans="1:37" ht="36.75" customHeight="1" x14ac:dyDescent="0.35">
      <c r="A931" s="5"/>
      <c r="B931" s="5" t="s">
        <v>37</v>
      </c>
      <c r="C931" s="73" t="str">
        <f t="shared" si="14"/>
        <v>Closed</v>
      </c>
      <c r="D931" s="45" t="s">
        <v>5241</v>
      </c>
      <c r="E931" s="54" t="s">
        <v>5242</v>
      </c>
      <c r="F931" s="5" t="s">
        <v>1553</v>
      </c>
      <c r="G931" s="10">
        <f>DATE(2010,8,30)</f>
        <v>40420</v>
      </c>
      <c r="H931" s="35">
        <v>1.2222222222222223</v>
      </c>
      <c r="I931" s="5" t="s">
        <v>55</v>
      </c>
      <c r="J931" s="10" t="s">
        <v>5243</v>
      </c>
      <c r="K931" s="5" t="s">
        <v>1555</v>
      </c>
      <c r="L931" s="5" t="s">
        <v>5244</v>
      </c>
      <c r="M931" s="5" t="s">
        <v>45</v>
      </c>
      <c r="N931" s="5">
        <v>0</v>
      </c>
      <c r="O931" s="5" t="s">
        <v>59</v>
      </c>
      <c r="P931" s="10" t="s">
        <v>60</v>
      </c>
      <c r="Q931" s="10" t="s">
        <v>5245</v>
      </c>
      <c r="R931" s="10">
        <v>0</v>
      </c>
      <c r="S931" s="5">
        <v>0</v>
      </c>
      <c r="T931" s="37" t="s">
        <v>50</v>
      </c>
      <c r="U931" s="5">
        <v>0</v>
      </c>
      <c r="V931" s="37" t="s">
        <v>50</v>
      </c>
      <c r="W931" s="5">
        <v>0</v>
      </c>
      <c r="X931" s="5">
        <v>0</v>
      </c>
      <c r="Y931" s="5">
        <v>0</v>
      </c>
      <c r="Z931" s="37" t="s">
        <v>50</v>
      </c>
      <c r="AA931" s="5">
        <v>0</v>
      </c>
      <c r="AB931" s="5">
        <v>0</v>
      </c>
      <c r="AC931" s="5">
        <v>0</v>
      </c>
      <c r="AD931" s="5">
        <v>0</v>
      </c>
      <c r="AE931" s="10" t="s">
        <v>50</v>
      </c>
      <c r="AF931" s="10"/>
      <c r="AG931" s="10" t="s">
        <v>114</v>
      </c>
      <c r="AH931" s="10" t="s">
        <v>50</v>
      </c>
      <c r="AI931" s="5">
        <v>0</v>
      </c>
      <c r="AJ931" s="10" t="s">
        <v>5246</v>
      </c>
      <c r="AK931" s="10" t="s">
        <v>5247</v>
      </c>
    </row>
    <row r="932" spans="1:37" ht="36.75" customHeight="1" x14ac:dyDescent="0.35">
      <c r="A932" s="5"/>
      <c r="B932" s="5" t="s">
        <v>37</v>
      </c>
      <c r="C932" s="73" t="str">
        <f t="shared" si="14"/>
        <v>Closed</v>
      </c>
      <c r="D932" s="45" t="s">
        <v>5248</v>
      </c>
      <c r="E932" s="54" t="s">
        <v>5249</v>
      </c>
      <c r="F932" s="5" t="s">
        <v>404</v>
      </c>
      <c r="G932" s="10">
        <f>DATE(2010,8,31)</f>
        <v>40421</v>
      </c>
      <c r="H932" s="35">
        <v>1.6694444444444443</v>
      </c>
      <c r="I932" s="5" t="s">
        <v>97</v>
      </c>
      <c r="J932" s="10" t="s">
        <v>5250</v>
      </c>
      <c r="K932" s="5" t="s">
        <v>406</v>
      </c>
      <c r="L932" s="5" t="s">
        <v>5251</v>
      </c>
      <c r="M932" s="5" t="s">
        <v>45</v>
      </c>
      <c r="N932" s="5">
        <v>0</v>
      </c>
      <c r="O932" s="5" t="s">
        <v>67</v>
      </c>
      <c r="P932" s="10" t="s">
        <v>60</v>
      </c>
      <c r="Q932" s="10" t="s">
        <v>5178</v>
      </c>
      <c r="R932" s="10" t="s">
        <v>5179</v>
      </c>
      <c r="S932" s="5">
        <v>0</v>
      </c>
      <c r="T932" s="37" t="s">
        <v>50</v>
      </c>
      <c r="U932" s="5">
        <v>0</v>
      </c>
      <c r="V932" s="37" t="s">
        <v>50</v>
      </c>
      <c r="W932" s="5">
        <v>0</v>
      </c>
      <c r="X932" s="5">
        <v>0</v>
      </c>
      <c r="Y932" s="5">
        <v>0</v>
      </c>
      <c r="Z932" s="37" t="s">
        <v>50</v>
      </c>
      <c r="AA932" s="5">
        <v>0</v>
      </c>
      <c r="AB932" s="5">
        <v>0</v>
      </c>
      <c r="AC932" s="5">
        <v>0</v>
      </c>
      <c r="AD932" s="5">
        <v>0</v>
      </c>
      <c r="AE932" s="10" t="s">
        <v>50</v>
      </c>
      <c r="AF932" s="10"/>
      <c r="AG932" s="10" t="s">
        <v>1399</v>
      </c>
      <c r="AH932" s="10" t="s">
        <v>50</v>
      </c>
      <c r="AI932" s="5">
        <v>0</v>
      </c>
      <c r="AJ932" s="10" t="s">
        <v>5252</v>
      </c>
      <c r="AK932" s="10" t="s">
        <v>5253</v>
      </c>
    </row>
    <row r="933" spans="1:37" ht="36.75" customHeight="1" x14ac:dyDescent="0.35">
      <c r="A933" s="5"/>
      <c r="B933" s="5" t="s">
        <v>37</v>
      </c>
      <c r="C933" s="73" t="str">
        <f t="shared" si="14"/>
        <v>Closed</v>
      </c>
      <c r="D933" s="45" t="s">
        <v>5254</v>
      </c>
      <c r="E933" s="54" t="s">
        <v>5255</v>
      </c>
      <c r="F933" s="5" t="s">
        <v>563</v>
      </c>
      <c r="G933" s="10">
        <f>DATE(2010,9,1)</f>
        <v>40422</v>
      </c>
      <c r="H933" s="35">
        <v>1.7701388888888889</v>
      </c>
      <c r="I933" s="5" t="s">
        <v>55</v>
      </c>
      <c r="J933" s="10" t="s">
        <v>5256</v>
      </c>
      <c r="K933" s="5" t="s">
        <v>565</v>
      </c>
      <c r="L933" s="5" t="s">
        <v>5257</v>
      </c>
      <c r="M933" s="5" t="s">
        <v>45</v>
      </c>
      <c r="N933" s="5">
        <v>0</v>
      </c>
      <c r="O933" s="5" t="s">
        <v>59</v>
      </c>
      <c r="P933" s="10" t="s">
        <v>60</v>
      </c>
      <c r="Q933" s="10" t="s">
        <v>567</v>
      </c>
      <c r="R933" s="10" t="s">
        <v>568</v>
      </c>
      <c r="S933" s="5">
        <v>0</v>
      </c>
      <c r="T933" s="37">
        <v>0</v>
      </c>
      <c r="U933" s="5">
        <v>0</v>
      </c>
      <c r="V933" s="37">
        <v>0</v>
      </c>
      <c r="W933" s="5">
        <v>0</v>
      </c>
      <c r="X933" s="5">
        <v>0</v>
      </c>
      <c r="Y933" s="5">
        <v>0</v>
      </c>
      <c r="Z933" s="37">
        <v>0</v>
      </c>
      <c r="AA933" s="5">
        <v>0</v>
      </c>
      <c r="AB933" s="5">
        <v>0</v>
      </c>
      <c r="AC933" s="5">
        <v>0</v>
      </c>
      <c r="AD933" s="5">
        <v>0</v>
      </c>
      <c r="AE933" s="10" t="s">
        <v>50</v>
      </c>
      <c r="AF933" s="10"/>
      <c r="AG933" s="10" t="s">
        <v>114</v>
      </c>
      <c r="AH933" s="10" t="s">
        <v>50</v>
      </c>
      <c r="AI933" s="5">
        <v>2</v>
      </c>
      <c r="AJ933" s="10" t="s">
        <v>5258</v>
      </c>
      <c r="AK933" s="10" t="s">
        <v>1215</v>
      </c>
    </row>
    <row r="934" spans="1:37" ht="36.75" customHeight="1" x14ac:dyDescent="0.35">
      <c r="A934" s="5"/>
      <c r="B934" s="5" t="s">
        <v>37</v>
      </c>
      <c r="C934" s="73" t="str">
        <f t="shared" si="14"/>
        <v>Closed</v>
      </c>
      <c r="D934" s="45" t="s">
        <v>5259</v>
      </c>
      <c r="E934" s="54" t="s">
        <v>5260</v>
      </c>
      <c r="F934" s="5" t="s">
        <v>1919</v>
      </c>
      <c r="G934" s="10">
        <f>DATE(2010,9,2)</f>
        <v>40423</v>
      </c>
      <c r="H934" s="35">
        <v>1.4791666666666667</v>
      </c>
      <c r="I934" s="5" t="s">
        <v>97</v>
      </c>
      <c r="J934" s="10" t="s">
        <v>5261</v>
      </c>
      <c r="K934" s="5" t="s">
        <v>1921</v>
      </c>
      <c r="L934" s="5" t="s">
        <v>5262</v>
      </c>
      <c r="M934" s="5" t="s">
        <v>45</v>
      </c>
      <c r="N934" s="5">
        <v>0</v>
      </c>
      <c r="O934" s="5" t="s">
        <v>46</v>
      </c>
      <c r="P934" s="10" t="s">
        <v>60</v>
      </c>
      <c r="Q934" s="10" t="s">
        <v>1923</v>
      </c>
      <c r="R934" s="10" t="s">
        <v>1923</v>
      </c>
      <c r="S934" s="5">
        <v>0</v>
      </c>
      <c r="T934" s="37">
        <v>0</v>
      </c>
      <c r="U934" s="5">
        <v>1</v>
      </c>
      <c r="V934" s="37">
        <v>0</v>
      </c>
      <c r="W934" s="5">
        <v>0</v>
      </c>
      <c r="X934" s="5">
        <v>1</v>
      </c>
      <c r="Y934" s="5">
        <v>0</v>
      </c>
      <c r="Z934" s="37">
        <v>0</v>
      </c>
      <c r="AA934" s="5">
        <v>0</v>
      </c>
      <c r="AB934" s="5">
        <v>0</v>
      </c>
      <c r="AC934" s="5">
        <v>0</v>
      </c>
      <c r="AD934" s="5">
        <v>0</v>
      </c>
      <c r="AE934" s="10" t="s">
        <v>50</v>
      </c>
      <c r="AF934" s="10"/>
      <c r="AG934" s="10" t="s">
        <v>64</v>
      </c>
      <c r="AH934" s="10" t="s">
        <v>50</v>
      </c>
      <c r="AI934" s="5">
        <v>2</v>
      </c>
      <c r="AJ934" s="10" t="s">
        <v>5263</v>
      </c>
      <c r="AK934" s="10" t="s">
        <v>5264</v>
      </c>
    </row>
    <row r="935" spans="1:37" ht="36.75" customHeight="1" x14ac:dyDescent="0.35">
      <c r="A935" s="5"/>
      <c r="B935" s="5" t="s">
        <v>37</v>
      </c>
      <c r="C935" s="73" t="str">
        <f t="shared" si="14"/>
        <v>Closed</v>
      </c>
      <c r="D935" s="45" t="s">
        <v>5265</v>
      </c>
      <c r="E935" s="54" t="s">
        <v>5266</v>
      </c>
      <c r="F935" s="5" t="s">
        <v>816</v>
      </c>
      <c r="G935" s="10">
        <f>DATE(2010,9,4)</f>
        <v>40425</v>
      </c>
      <c r="H935" s="35">
        <v>1.4541666666666666</v>
      </c>
      <c r="I935" s="5" t="s">
        <v>85</v>
      </c>
      <c r="J935" s="10" t="s">
        <v>5267</v>
      </c>
      <c r="K935" s="5" t="s">
        <v>818</v>
      </c>
      <c r="L935" s="5" t="s">
        <v>5268</v>
      </c>
      <c r="M935" s="5" t="s">
        <v>45</v>
      </c>
      <c r="N935" s="5">
        <v>0</v>
      </c>
      <c r="O935" s="5" t="s">
        <v>59</v>
      </c>
      <c r="P935" s="10" t="s">
        <v>146</v>
      </c>
      <c r="Q935" s="10" t="s">
        <v>4291</v>
      </c>
      <c r="R935" s="10" t="s">
        <v>2777</v>
      </c>
      <c r="S935" s="5">
        <v>0</v>
      </c>
      <c r="T935" s="37">
        <v>0</v>
      </c>
      <c r="U935" s="5">
        <v>0</v>
      </c>
      <c r="V935" s="37">
        <v>0</v>
      </c>
      <c r="W935" s="5">
        <v>0</v>
      </c>
      <c r="X935" s="5">
        <v>0</v>
      </c>
      <c r="Y935" s="5">
        <v>0</v>
      </c>
      <c r="Z935" s="37">
        <v>0</v>
      </c>
      <c r="AA935" s="5">
        <v>0</v>
      </c>
      <c r="AB935" s="5">
        <v>0</v>
      </c>
      <c r="AC935" s="5">
        <v>0</v>
      </c>
      <c r="AD935" s="5">
        <v>0</v>
      </c>
      <c r="AE935" s="10" t="s">
        <v>50</v>
      </c>
      <c r="AF935" s="10"/>
      <c r="AG935" s="10" t="s">
        <v>333</v>
      </c>
      <c r="AH935" s="10" t="s">
        <v>50</v>
      </c>
      <c r="AI935" s="5">
        <v>0</v>
      </c>
      <c r="AJ935" s="10" t="s">
        <v>50</v>
      </c>
      <c r="AK935" s="10" t="s">
        <v>50</v>
      </c>
    </row>
    <row r="936" spans="1:37" ht="36.75" customHeight="1" x14ac:dyDescent="0.35">
      <c r="A936" s="5"/>
      <c r="B936" s="5" t="s">
        <v>37</v>
      </c>
      <c r="C936" s="73" t="str">
        <f t="shared" si="14"/>
        <v>Closed</v>
      </c>
      <c r="D936" s="45" t="s">
        <v>5269</v>
      </c>
      <c r="E936" s="54" t="s">
        <v>5270</v>
      </c>
      <c r="F936" s="5" t="s">
        <v>619</v>
      </c>
      <c r="G936" s="10">
        <f>DATE(2010,9,6)</f>
        <v>40427</v>
      </c>
      <c r="H936" s="35">
        <v>1.5243055555555556</v>
      </c>
      <c r="I936" s="5" t="s">
        <v>97</v>
      </c>
      <c r="J936" s="10" t="s">
        <v>5271</v>
      </c>
      <c r="K936" s="5" t="s">
        <v>621</v>
      </c>
      <c r="L936" s="5" t="s">
        <v>5272</v>
      </c>
      <c r="M936" s="5" t="s">
        <v>45</v>
      </c>
      <c r="N936" s="5">
        <v>0</v>
      </c>
      <c r="O936" s="5" t="s">
        <v>46</v>
      </c>
      <c r="P936" s="10" t="s">
        <v>146</v>
      </c>
      <c r="Q936" s="10" t="s">
        <v>623</v>
      </c>
      <c r="R936" s="10" t="s">
        <v>624</v>
      </c>
      <c r="S936" s="5">
        <v>0</v>
      </c>
      <c r="T936" s="37">
        <v>0</v>
      </c>
      <c r="U936" s="5">
        <v>1</v>
      </c>
      <c r="V936" s="37">
        <v>0</v>
      </c>
      <c r="W936" s="5">
        <v>0</v>
      </c>
      <c r="X936" s="5">
        <v>1</v>
      </c>
      <c r="Y936" s="5">
        <v>0</v>
      </c>
      <c r="Z936" s="37">
        <v>0</v>
      </c>
      <c r="AA936" s="5">
        <v>0</v>
      </c>
      <c r="AB936" s="5">
        <v>0</v>
      </c>
      <c r="AC936" s="5">
        <v>0</v>
      </c>
      <c r="AD936" s="5">
        <v>0</v>
      </c>
      <c r="AE936" s="10" t="s">
        <v>50</v>
      </c>
      <c r="AF936" s="10"/>
      <c r="AG936" s="10" t="s">
        <v>333</v>
      </c>
      <c r="AH936" s="10" t="s">
        <v>50</v>
      </c>
      <c r="AI936" s="5">
        <v>5</v>
      </c>
      <c r="AJ936" s="10" t="s">
        <v>5273</v>
      </c>
      <c r="AK936" s="10" t="s">
        <v>50</v>
      </c>
    </row>
    <row r="937" spans="1:37" ht="36.75" customHeight="1" x14ac:dyDescent="0.35">
      <c r="A937" s="5"/>
      <c r="B937" s="5" t="s">
        <v>37</v>
      </c>
      <c r="C937" s="73" t="str">
        <f t="shared" si="14"/>
        <v>Closed</v>
      </c>
      <c r="D937" s="45" t="s">
        <v>5274</v>
      </c>
      <c r="E937" s="54" t="s">
        <v>5275</v>
      </c>
      <c r="F937" s="5" t="s">
        <v>619</v>
      </c>
      <c r="G937" s="10">
        <f>DATE(2010,9,7)</f>
        <v>40428</v>
      </c>
      <c r="H937" s="35">
        <v>1.7097222222222221</v>
      </c>
      <c r="I937" s="5" t="s">
        <v>97</v>
      </c>
      <c r="J937" s="10" t="s">
        <v>5276</v>
      </c>
      <c r="K937" s="5" t="s">
        <v>621</v>
      </c>
      <c r="L937" s="5" t="s">
        <v>5277</v>
      </c>
      <c r="M937" s="5" t="s">
        <v>45</v>
      </c>
      <c r="N937" s="5">
        <v>0</v>
      </c>
      <c r="O937" s="5" t="s">
        <v>46</v>
      </c>
      <c r="P937" s="10" t="s">
        <v>146</v>
      </c>
      <c r="Q937" s="10" t="s">
        <v>3226</v>
      </c>
      <c r="R937" s="10" t="s">
        <v>3226</v>
      </c>
      <c r="S937" s="5">
        <v>0</v>
      </c>
      <c r="T937" s="37">
        <v>0</v>
      </c>
      <c r="U937" s="5">
        <v>1</v>
      </c>
      <c r="V937" s="37">
        <v>0</v>
      </c>
      <c r="W937" s="5">
        <v>0</v>
      </c>
      <c r="X937" s="5">
        <v>1</v>
      </c>
      <c r="Y937" s="5">
        <v>0</v>
      </c>
      <c r="Z937" s="37">
        <v>0</v>
      </c>
      <c r="AA937" s="5">
        <v>0</v>
      </c>
      <c r="AB937" s="5">
        <v>0</v>
      </c>
      <c r="AC937" s="5">
        <v>0</v>
      </c>
      <c r="AD937" s="5">
        <v>0</v>
      </c>
      <c r="AE937" s="10" t="s">
        <v>50</v>
      </c>
      <c r="AF937" s="10"/>
      <c r="AG937" s="10" t="s">
        <v>229</v>
      </c>
      <c r="AH937" s="10" t="s">
        <v>50</v>
      </c>
      <c r="AI937" s="5">
        <v>3</v>
      </c>
      <c r="AJ937" s="10" t="s">
        <v>1713</v>
      </c>
      <c r="AK937" s="10" t="s">
        <v>50</v>
      </c>
    </row>
    <row r="938" spans="1:37" ht="36.75" customHeight="1" x14ac:dyDescent="0.35">
      <c r="A938" s="5"/>
      <c r="B938" s="5" t="s">
        <v>37</v>
      </c>
      <c r="C938" s="73" t="str">
        <f t="shared" si="14"/>
        <v>Closed</v>
      </c>
      <c r="D938" s="45" t="s">
        <v>5278</v>
      </c>
      <c r="E938" s="54" t="s">
        <v>5279</v>
      </c>
      <c r="F938" s="5" t="s">
        <v>1553</v>
      </c>
      <c r="G938" s="10">
        <f>DATE(2010,9,8)</f>
        <v>40429</v>
      </c>
      <c r="H938" s="35">
        <v>1.3715277777777777</v>
      </c>
      <c r="I938" s="5" t="s">
        <v>106</v>
      </c>
      <c r="J938" s="10" t="s">
        <v>5280</v>
      </c>
      <c r="K938" s="5" t="s">
        <v>1555</v>
      </c>
      <c r="L938" s="5" t="s">
        <v>5281</v>
      </c>
      <c r="M938" s="5" t="s">
        <v>45</v>
      </c>
      <c r="N938" s="5">
        <v>0</v>
      </c>
      <c r="O938" s="5" t="s">
        <v>46</v>
      </c>
      <c r="P938" s="10" t="s">
        <v>362</v>
      </c>
      <c r="Q938" s="10" t="s">
        <v>2393</v>
      </c>
      <c r="R938" s="10" t="s">
        <v>2541</v>
      </c>
      <c r="S938" s="5">
        <v>0</v>
      </c>
      <c r="T938" s="37" t="s">
        <v>50</v>
      </c>
      <c r="U938" s="5">
        <v>0</v>
      </c>
      <c r="V938" s="37" t="s">
        <v>50</v>
      </c>
      <c r="W938" s="5">
        <v>0</v>
      </c>
      <c r="X938" s="5">
        <v>0</v>
      </c>
      <c r="Y938" s="5">
        <v>0</v>
      </c>
      <c r="Z938" s="37" t="s">
        <v>50</v>
      </c>
      <c r="AA938" s="5">
        <v>0</v>
      </c>
      <c r="AB938" s="5">
        <v>0</v>
      </c>
      <c r="AC938" s="5">
        <v>0</v>
      </c>
      <c r="AD938" s="5">
        <v>0</v>
      </c>
      <c r="AE938" s="10" t="s">
        <v>50</v>
      </c>
      <c r="AF938" s="10"/>
      <c r="AG938" s="10" t="s">
        <v>114</v>
      </c>
      <c r="AH938" s="10" t="s">
        <v>50</v>
      </c>
      <c r="AI938" s="5">
        <v>3</v>
      </c>
      <c r="AJ938" s="10" t="s">
        <v>5282</v>
      </c>
      <c r="AK938" s="10" t="s">
        <v>50</v>
      </c>
    </row>
    <row r="939" spans="1:37" ht="36.75" customHeight="1" x14ac:dyDescent="0.35">
      <c r="A939" s="5"/>
      <c r="B939" s="5" t="s">
        <v>37</v>
      </c>
      <c r="C939" s="73" t="str">
        <f t="shared" si="14"/>
        <v>Closed</v>
      </c>
      <c r="D939" s="45" t="s">
        <v>5283</v>
      </c>
      <c r="E939" s="54" t="s">
        <v>5284</v>
      </c>
      <c r="F939" s="5" t="s">
        <v>105</v>
      </c>
      <c r="G939" s="10">
        <f>DATE(2010,9,9)</f>
        <v>40430</v>
      </c>
      <c r="H939" s="35">
        <v>1.3090277777777777</v>
      </c>
      <c r="I939" s="5" t="s">
        <v>106</v>
      </c>
      <c r="J939" s="10" t="s">
        <v>5285</v>
      </c>
      <c r="K939" s="5" t="s">
        <v>108</v>
      </c>
      <c r="L939" s="5" t="s">
        <v>5286</v>
      </c>
      <c r="M939" s="5" t="s">
        <v>45</v>
      </c>
      <c r="N939" s="5">
        <v>0</v>
      </c>
      <c r="O939" s="5" t="s">
        <v>46</v>
      </c>
      <c r="P939" s="10" t="s">
        <v>146</v>
      </c>
      <c r="Q939" s="10" t="s">
        <v>210</v>
      </c>
      <c r="R939" s="10" t="s">
        <v>148</v>
      </c>
      <c r="S939" s="5">
        <v>0</v>
      </c>
      <c r="T939" s="37" t="s">
        <v>50</v>
      </c>
      <c r="U939" s="5">
        <v>0</v>
      </c>
      <c r="V939" s="37" t="s">
        <v>50</v>
      </c>
      <c r="W939" s="5">
        <v>0</v>
      </c>
      <c r="X939" s="5">
        <v>0</v>
      </c>
      <c r="Y939" s="5">
        <v>0</v>
      </c>
      <c r="Z939" s="37" t="s">
        <v>50</v>
      </c>
      <c r="AA939" s="5">
        <v>0</v>
      </c>
      <c r="AB939" s="5">
        <v>0</v>
      </c>
      <c r="AC939" s="5">
        <v>0</v>
      </c>
      <c r="AD939" s="5">
        <v>0</v>
      </c>
      <c r="AE939" s="10" t="s">
        <v>50</v>
      </c>
      <c r="AF939" s="10"/>
      <c r="AG939" s="10" t="s">
        <v>114</v>
      </c>
      <c r="AH939" s="10" t="s">
        <v>50</v>
      </c>
      <c r="AI939" s="5">
        <v>1</v>
      </c>
      <c r="AJ939" s="10" t="s">
        <v>50</v>
      </c>
      <c r="AK939" s="10" t="s">
        <v>50</v>
      </c>
    </row>
    <row r="940" spans="1:37" ht="36.75" customHeight="1" x14ac:dyDescent="0.35">
      <c r="A940" s="5"/>
      <c r="B940" s="5" t="s">
        <v>37</v>
      </c>
      <c r="C940" s="73" t="str">
        <f t="shared" si="14"/>
        <v>Closed</v>
      </c>
      <c r="D940" s="45" t="s">
        <v>5287</v>
      </c>
      <c r="E940" s="54" t="s">
        <v>5288</v>
      </c>
      <c r="F940" s="5" t="s">
        <v>119</v>
      </c>
      <c r="G940" s="10">
        <f>DATE(2010,9,9)</f>
        <v>40430</v>
      </c>
      <c r="H940" s="35">
        <v>1.5555555555555556</v>
      </c>
      <c r="I940" s="5" t="s">
        <v>97</v>
      </c>
      <c r="J940" s="10" t="s">
        <v>5289</v>
      </c>
      <c r="K940" s="5" t="s">
        <v>121</v>
      </c>
      <c r="L940" s="5" t="s">
        <v>5290</v>
      </c>
      <c r="M940" s="5" t="s">
        <v>45</v>
      </c>
      <c r="N940" s="5" t="s">
        <v>80</v>
      </c>
      <c r="O940" s="5" t="s">
        <v>46</v>
      </c>
      <c r="P940" s="10" t="s">
        <v>146</v>
      </c>
      <c r="Q940" s="10" t="s">
        <v>2015</v>
      </c>
      <c r="R940" s="10" t="s">
        <v>4913</v>
      </c>
      <c r="S940" s="5">
        <v>0</v>
      </c>
      <c r="T940" s="37">
        <v>0</v>
      </c>
      <c r="U940" s="5">
        <v>2</v>
      </c>
      <c r="V940" s="37">
        <v>0</v>
      </c>
      <c r="W940" s="5">
        <v>0</v>
      </c>
      <c r="X940" s="5">
        <v>2</v>
      </c>
      <c r="Y940" s="5">
        <v>0</v>
      </c>
      <c r="Z940" s="37">
        <v>0</v>
      </c>
      <c r="AA940" s="5">
        <v>0</v>
      </c>
      <c r="AB940" s="5">
        <v>0</v>
      </c>
      <c r="AC940" s="5">
        <v>0</v>
      </c>
      <c r="AD940" s="5">
        <v>0</v>
      </c>
      <c r="AE940" s="10" t="s">
        <v>50</v>
      </c>
      <c r="AF940" s="10"/>
      <c r="AG940" s="10" t="s">
        <v>64</v>
      </c>
      <c r="AH940" s="10">
        <v>40460</v>
      </c>
      <c r="AI940" s="5">
        <v>3</v>
      </c>
      <c r="AJ940" s="10" t="s">
        <v>5291</v>
      </c>
      <c r="AK940" s="10" t="s">
        <v>5292</v>
      </c>
    </row>
    <row r="941" spans="1:37" ht="36.75" customHeight="1" x14ac:dyDescent="0.35">
      <c r="A941" s="5"/>
      <c r="B941" s="5" t="s">
        <v>37</v>
      </c>
      <c r="C941" s="73" t="str">
        <f t="shared" si="14"/>
        <v>Closed</v>
      </c>
      <c r="D941" s="45" t="s">
        <v>5293</v>
      </c>
      <c r="E941" s="54" t="s">
        <v>5294</v>
      </c>
      <c r="F941" s="5" t="s">
        <v>119</v>
      </c>
      <c r="G941" s="10">
        <f>DATE(2010,9,12)</f>
        <v>40433</v>
      </c>
      <c r="H941" s="35">
        <v>1.8187500000000001</v>
      </c>
      <c r="I941" s="5" t="s">
        <v>137</v>
      </c>
      <c r="J941" s="10" t="s">
        <v>5295</v>
      </c>
      <c r="K941" s="5" t="s">
        <v>121</v>
      </c>
      <c r="L941" s="5" t="s">
        <v>5296</v>
      </c>
      <c r="M941" s="5" t="s">
        <v>45</v>
      </c>
      <c r="N941" s="5" t="s">
        <v>70</v>
      </c>
      <c r="O941" s="5" t="s">
        <v>59</v>
      </c>
      <c r="P941" s="10" t="s">
        <v>443</v>
      </c>
      <c r="Q941" s="10" t="s">
        <v>2015</v>
      </c>
      <c r="R941" s="10" t="s">
        <v>4913</v>
      </c>
      <c r="S941" s="5">
        <v>1</v>
      </c>
      <c r="T941" s="37">
        <v>0</v>
      </c>
      <c r="U941" s="5">
        <v>0</v>
      </c>
      <c r="V941" s="37">
        <v>0</v>
      </c>
      <c r="W941" s="5">
        <v>0</v>
      </c>
      <c r="X941" s="5">
        <v>1</v>
      </c>
      <c r="Y941" s="5">
        <v>8</v>
      </c>
      <c r="Z941" s="37">
        <v>1</v>
      </c>
      <c r="AA941" s="5">
        <v>0</v>
      </c>
      <c r="AB941" s="5">
        <v>0</v>
      </c>
      <c r="AC941" s="5">
        <v>0</v>
      </c>
      <c r="AD941" s="5">
        <v>9</v>
      </c>
      <c r="AE941" s="10" t="s">
        <v>126</v>
      </c>
      <c r="AF941" s="10"/>
      <c r="AG941" s="10" t="s">
        <v>64</v>
      </c>
      <c r="AH941" s="10">
        <v>40434</v>
      </c>
      <c r="AI941" s="5">
        <v>1</v>
      </c>
      <c r="AJ941" s="10" t="s">
        <v>5297</v>
      </c>
      <c r="AK941" s="10" t="s">
        <v>5298</v>
      </c>
    </row>
    <row r="942" spans="1:37" ht="36.75" customHeight="1" x14ac:dyDescent="0.35">
      <c r="A942" s="5"/>
      <c r="B942" s="5" t="s">
        <v>37</v>
      </c>
      <c r="C942" s="73" t="str">
        <f t="shared" si="14"/>
        <v>Closed</v>
      </c>
      <c r="D942" s="45" t="s">
        <v>5299</v>
      </c>
      <c r="E942" s="54" t="s">
        <v>5300</v>
      </c>
      <c r="F942" s="5" t="s">
        <v>1751</v>
      </c>
      <c r="G942" s="10">
        <f>DATE(2010,9,15)</f>
        <v>40436</v>
      </c>
      <c r="H942" s="35">
        <v>1.7506944444444446</v>
      </c>
      <c r="I942" s="5" t="s">
        <v>179</v>
      </c>
      <c r="J942" s="10" t="s">
        <v>5301</v>
      </c>
      <c r="K942" s="5" t="s">
        <v>1753</v>
      </c>
      <c r="L942" s="5" t="s">
        <v>5302</v>
      </c>
      <c r="M942" s="5" t="s">
        <v>45</v>
      </c>
      <c r="N942" s="5" t="s">
        <v>70</v>
      </c>
      <c r="O942" s="5" t="s">
        <v>59</v>
      </c>
      <c r="P942" s="10" t="s">
        <v>5303</v>
      </c>
      <c r="Q942" s="10" t="s">
        <v>1755</v>
      </c>
      <c r="R942" s="10" t="s">
        <v>1756</v>
      </c>
      <c r="S942" s="5">
        <v>0</v>
      </c>
      <c r="T942" s="37">
        <v>0</v>
      </c>
      <c r="U942" s="5">
        <v>0</v>
      </c>
      <c r="V942" s="37">
        <v>0</v>
      </c>
      <c r="W942" s="5">
        <v>0</v>
      </c>
      <c r="X942" s="5">
        <v>0</v>
      </c>
      <c r="Y942" s="5">
        <v>0</v>
      </c>
      <c r="Z942" s="37">
        <v>0</v>
      </c>
      <c r="AA942" s="5">
        <v>0</v>
      </c>
      <c r="AB942" s="5">
        <v>0</v>
      </c>
      <c r="AC942" s="5">
        <v>0</v>
      </c>
      <c r="AD942" s="5">
        <v>0</v>
      </c>
      <c r="AE942" s="10" t="s">
        <v>73</v>
      </c>
      <c r="AF942" s="10"/>
      <c r="AG942" s="10" t="s">
        <v>114</v>
      </c>
      <c r="AH942" s="10">
        <v>40441</v>
      </c>
      <c r="AI942" s="5">
        <v>0</v>
      </c>
      <c r="AJ942" s="10" t="s">
        <v>5304</v>
      </c>
      <c r="AK942" s="10" t="s">
        <v>5305</v>
      </c>
    </row>
    <row r="943" spans="1:37" ht="36.75" customHeight="1" x14ac:dyDescent="0.35">
      <c r="A943" s="5"/>
      <c r="B943" s="5" t="s">
        <v>37</v>
      </c>
      <c r="C943" s="73" t="str">
        <f t="shared" si="14"/>
        <v>Closed</v>
      </c>
      <c r="D943" s="45" t="s">
        <v>5306</v>
      </c>
      <c r="E943" s="54" t="s">
        <v>5307</v>
      </c>
      <c r="F943" s="5" t="s">
        <v>105</v>
      </c>
      <c r="G943" s="10">
        <f>DATE(2010,9,19)</f>
        <v>40440</v>
      </c>
      <c r="H943" s="35">
        <v>1.46875</v>
      </c>
      <c r="I943" s="5" t="s">
        <v>468</v>
      </c>
      <c r="J943" s="10" t="s">
        <v>5308</v>
      </c>
      <c r="K943" s="5" t="s">
        <v>108</v>
      </c>
      <c r="L943" s="5" t="s">
        <v>5309</v>
      </c>
      <c r="M943" s="5" t="s">
        <v>110</v>
      </c>
      <c r="N943" s="5" t="s">
        <v>123</v>
      </c>
      <c r="O943" s="5" t="s">
        <v>67</v>
      </c>
      <c r="P943" s="10" t="s">
        <v>282</v>
      </c>
      <c r="Q943" s="10" t="s">
        <v>111</v>
      </c>
      <c r="R943" s="10" t="s">
        <v>112</v>
      </c>
      <c r="S943" s="5">
        <v>0</v>
      </c>
      <c r="T943" s="37">
        <v>0</v>
      </c>
      <c r="U943" s="5">
        <v>0</v>
      </c>
      <c r="V943" s="37">
        <v>0</v>
      </c>
      <c r="W943" s="5">
        <v>0</v>
      </c>
      <c r="X943" s="5">
        <v>0</v>
      </c>
      <c r="Y943" s="5">
        <v>0</v>
      </c>
      <c r="Z943" s="37">
        <v>0</v>
      </c>
      <c r="AA943" s="5">
        <v>0</v>
      </c>
      <c r="AB943" s="5">
        <v>0</v>
      </c>
      <c r="AC943" s="5">
        <v>0</v>
      </c>
      <c r="AD943" s="5">
        <v>0</v>
      </c>
      <c r="AE943" s="10" t="s">
        <v>73</v>
      </c>
      <c r="AF943" s="10"/>
      <c r="AG943" s="10" t="s">
        <v>348</v>
      </c>
      <c r="AH943" s="10">
        <v>40455</v>
      </c>
      <c r="AI943" s="5">
        <v>1</v>
      </c>
      <c r="AJ943" s="10" t="s">
        <v>5310</v>
      </c>
      <c r="AK943" s="10" t="s">
        <v>5311</v>
      </c>
    </row>
    <row r="944" spans="1:37" ht="36.75" customHeight="1" x14ac:dyDescent="0.35">
      <c r="A944" s="5"/>
      <c r="B944" s="5" t="s">
        <v>37</v>
      </c>
      <c r="C944" s="73" t="str">
        <f t="shared" si="14"/>
        <v>Closed</v>
      </c>
      <c r="D944" s="45" t="s">
        <v>5312</v>
      </c>
      <c r="E944" s="54" t="s">
        <v>5313</v>
      </c>
      <c r="F944" s="5" t="s">
        <v>96</v>
      </c>
      <c r="G944" s="10">
        <f>DATE(2010,9,27)</f>
        <v>40448</v>
      </c>
      <c r="H944" s="35">
        <v>1.3645833333333333</v>
      </c>
      <c r="I944" s="5" t="s">
        <v>97</v>
      </c>
      <c r="J944" s="10" t="s">
        <v>5314</v>
      </c>
      <c r="K944" s="5" t="s">
        <v>99</v>
      </c>
      <c r="L944" s="5" t="s">
        <v>5315</v>
      </c>
      <c r="M944" s="5" t="s">
        <v>45</v>
      </c>
      <c r="N944" s="5">
        <v>0</v>
      </c>
      <c r="O944" s="5" t="s">
        <v>46</v>
      </c>
      <c r="P944" s="10" t="s">
        <v>146</v>
      </c>
      <c r="Q944" s="10" t="s">
        <v>101</v>
      </c>
      <c r="R944" s="10" t="s">
        <v>102</v>
      </c>
      <c r="S944" s="5">
        <v>0</v>
      </c>
      <c r="T944" s="37">
        <v>0</v>
      </c>
      <c r="U944" s="5">
        <v>0</v>
      </c>
      <c r="V944" s="37">
        <v>0</v>
      </c>
      <c r="W944" s="5">
        <v>0</v>
      </c>
      <c r="X944" s="5">
        <v>0</v>
      </c>
      <c r="Y944" s="5">
        <v>2</v>
      </c>
      <c r="Z944" s="37">
        <v>1</v>
      </c>
      <c r="AA944" s="5">
        <v>1</v>
      </c>
      <c r="AB944" s="5">
        <v>0</v>
      </c>
      <c r="AC944" s="5">
        <v>0</v>
      </c>
      <c r="AD944" s="5">
        <v>4</v>
      </c>
      <c r="AE944" s="10" t="s">
        <v>50</v>
      </c>
      <c r="AF944" s="10"/>
      <c r="AG944" s="10" t="s">
        <v>333</v>
      </c>
      <c r="AH944" s="10" t="s">
        <v>50</v>
      </c>
      <c r="AI944" s="5">
        <v>3</v>
      </c>
      <c r="AJ944" s="10" t="s">
        <v>5316</v>
      </c>
      <c r="AK944" s="10" t="s">
        <v>5317</v>
      </c>
    </row>
    <row r="945" spans="1:37" ht="36.75" customHeight="1" x14ac:dyDescent="0.35">
      <c r="A945" s="5"/>
      <c r="B945" s="5" t="s">
        <v>37</v>
      </c>
      <c r="C945" s="73" t="str">
        <f t="shared" si="14"/>
        <v>Closed</v>
      </c>
      <c r="D945" s="45" t="s">
        <v>5318</v>
      </c>
      <c r="E945" s="54" t="s">
        <v>5319</v>
      </c>
      <c r="F945" s="5" t="s">
        <v>816</v>
      </c>
      <c r="G945" s="10">
        <f>DATE(2010,9,27)</f>
        <v>40448</v>
      </c>
      <c r="H945" s="35">
        <v>1.1541666666666668</v>
      </c>
      <c r="I945" s="5" t="s">
        <v>55</v>
      </c>
      <c r="J945" s="10" t="s">
        <v>5320</v>
      </c>
      <c r="K945" s="5" t="s">
        <v>818</v>
      </c>
      <c r="L945" s="5" t="s">
        <v>5321</v>
      </c>
      <c r="M945" s="5" t="s">
        <v>45</v>
      </c>
      <c r="N945" s="5">
        <v>0</v>
      </c>
      <c r="O945" s="5" t="s">
        <v>59</v>
      </c>
      <c r="P945" s="10" t="s">
        <v>60</v>
      </c>
      <c r="Q945" s="10" t="s">
        <v>4688</v>
      </c>
      <c r="R945" s="10" t="s">
        <v>821</v>
      </c>
      <c r="S945" s="5">
        <v>0</v>
      </c>
      <c r="T945" s="37">
        <v>0</v>
      </c>
      <c r="U945" s="5">
        <v>0</v>
      </c>
      <c r="V945" s="37">
        <v>0</v>
      </c>
      <c r="W945" s="5">
        <v>0</v>
      </c>
      <c r="X945" s="5">
        <v>0</v>
      </c>
      <c r="Y945" s="5">
        <v>0</v>
      </c>
      <c r="Z945" s="37">
        <v>0</v>
      </c>
      <c r="AA945" s="5">
        <v>0</v>
      </c>
      <c r="AB945" s="5">
        <v>0</v>
      </c>
      <c r="AC945" s="5">
        <v>0</v>
      </c>
      <c r="AD945" s="5">
        <v>0</v>
      </c>
      <c r="AE945" s="10" t="s">
        <v>50</v>
      </c>
      <c r="AF945" s="10"/>
      <c r="AG945" s="10" t="s">
        <v>333</v>
      </c>
      <c r="AH945" s="10" t="s">
        <v>50</v>
      </c>
      <c r="AI945" s="5">
        <v>0</v>
      </c>
      <c r="AJ945" s="10" t="s">
        <v>50</v>
      </c>
      <c r="AK945" s="10" t="s">
        <v>50</v>
      </c>
    </row>
    <row r="946" spans="1:37" ht="36.75" customHeight="1" x14ac:dyDescent="0.35">
      <c r="A946" s="5"/>
      <c r="B946" s="5" t="s">
        <v>37</v>
      </c>
      <c r="C946" s="73" t="str">
        <f t="shared" si="14"/>
        <v>Closed</v>
      </c>
      <c r="D946" s="45" t="s">
        <v>5322</v>
      </c>
      <c r="E946" s="54" t="s">
        <v>5323</v>
      </c>
      <c r="F946" s="5" t="s">
        <v>1553</v>
      </c>
      <c r="G946" s="10">
        <f>DATE(2010,9,27)</f>
        <v>40448</v>
      </c>
      <c r="H946" s="35">
        <v>1.3263888888888888</v>
      </c>
      <c r="I946" s="5" t="s">
        <v>179</v>
      </c>
      <c r="J946" s="10" t="s">
        <v>5324</v>
      </c>
      <c r="K946" s="5" t="s">
        <v>1555</v>
      </c>
      <c r="L946" s="5" t="s">
        <v>5325</v>
      </c>
      <c r="M946" s="5" t="s">
        <v>45</v>
      </c>
      <c r="N946" s="5">
        <v>0</v>
      </c>
      <c r="O946" s="5" t="s">
        <v>46</v>
      </c>
      <c r="P946" s="10" t="s">
        <v>146</v>
      </c>
      <c r="Q946" s="10" t="s">
        <v>2393</v>
      </c>
      <c r="R946" s="10">
        <v>0</v>
      </c>
      <c r="S946" s="5">
        <v>0</v>
      </c>
      <c r="T946" s="37" t="s">
        <v>50</v>
      </c>
      <c r="U946" s="5">
        <v>0</v>
      </c>
      <c r="V946" s="37" t="s">
        <v>50</v>
      </c>
      <c r="W946" s="5">
        <v>0</v>
      </c>
      <c r="X946" s="5">
        <v>0</v>
      </c>
      <c r="Y946" s="5">
        <v>0</v>
      </c>
      <c r="Z946" s="37" t="s">
        <v>50</v>
      </c>
      <c r="AA946" s="5">
        <v>0</v>
      </c>
      <c r="AB946" s="5">
        <v>0</v>
      </c>
      <c r="AC946" s="5">
        <v>0</v>
      </c>
      <c r="AD946" s="5">
        <v>0</v>
      </c>
      <c r="AE946" s="10" t="s">
        <v>50</v>
      </c>
      <c r="AF946" s="10"/>
      <c r="AG946" s="10" t="s">
        <v>114</v>
      </c>
      <c r="AH946" s="10" t="s">
        <v>50</v>
      </c>
      <c r="AI946" s="5">
        <v>0</v>
      </c>
      <c r="AJ946" s="10" t="s">
        <v>5326</v>
      </c>
      <c r="AK946" s="10" t="s">
        <v>5327</v>
      </c>
    </row>
    <row r="947" spans="1:37" ht="36.75" customHeight="1" x14ac:dyDescent="0.35">
      <c r="A947" s="5"/>
      <c r="B947" s="5" t="s">
        <v>37</v>
      </c>
      <c r="C947" s="73" t="str">
        <f t="shared" si="14"/>
        <v>Closed</v>
      </c>
      <c r="D947" s="45" t="s">
        <v>5328</v>
      </c>
      <c r="E947" s="54" t="s">
        <v>5329</v>
      </c>
      <c r="F947" s="5" t="s">
        <v>619</v>
      </c>
      <c r="G947" s="10">
        <f>DATE(2010,9,30)</f>
        <v>40451</v>
      </c>
      <c r="H947" s="35">
        <v>1.3395833333333333</v>
      </c>
      <c r="I947" s="5" t="s">
        <v>85</v>
      </c>
      <c r="J947" s="10" t="s">
        <v>5330</v>
      </c>
      <c r="K947" s="5" t="s">
        <v>621</v>
      </c>
      <c r="L947" s="5" t="s">
        <v>5331</v>
      </c>
      <c r="M947" s="5" t="s">
        <v>45</v>
      </c>
      <c r="N947" s="5">
        <v>0</v>
      </c>
      <c r="O947" s="5" t="s">
        <v>59</v>
      </c>
      <c r="P947" s="10" t="s">
        <v>47</v>
      </c>
      <c r="Q947" s="10" t="s">
        <v>623</v>
      </c>
      <c r="R947" s="10" t="s">
        <v>624</v>
      </c>
      <c r="S947" s="5">
        <v>0</v>
      </c>
      <c r="T947" s="37" t="s">
        <v>50</v>
      </c>
      <c r="U947" s="5">
        <v>0</v>
      </c>
      <c r="V947" s="37" t="s">
        <v>50</v>
      </c>
      <c r="W947" s="5">
        <v>0</v>
      </c>
      <c r="X947" s="5">
        <v>0</v>
      </c>
      <c r="Y947" s="5">
        <v>0</v>
      </c>
      <c r="Z947" s="37" t="s">
        <v>50</v>
      </c>
      <c r="AA947" s="5">
        <v>0</v>
      </c>
      <c r="AB947" s="5">
        <v>0</v>
      </c>
      <c r="AC947" s="5">
        <v>0</v>
      </c>
      <c r="AD947" s="5">
        <v>0</v>
      </c>
      <c r="AE947" s="10" t="s">
        <v>50</v>
      </c>
      <c r="AF947" s="10"/>
      <c r="AG947" s="10" t="s">
        <v>333</v>
      </c>
      <c r="AH947" s="10" t="s">
        <v>50</v>
      </c>
      <c r="AI947" s="5">
        <v>1</v>
      </c>
      <c r="AJ947" s="10" t="s">
        <v>5332</v>
      </c>
      <c r="AK947" s="10" t="s">
        <v>50</v>
      </c>
    </row>
    <row r="948" spans="1:37" ht="36.75" customHeight="1" x14ac:dyDescent="0.35">
      <c r="A948" s="5"/>
      <c r="B948" s="5" t="s">
        <v>37</v>
      </c>
      <c r="C948" s="73" t="str">
        <f t="shared" si="14"/>
        <v>Closed</v>
      </c>
      <c r="D948" s="45" t="s">
        <v>5333</v>
      </c>
      <c r="E948" s="54" t="s">
        <v>5334</v>
      </c>
      <c r="F948" s="5" t="s">
        <v>1553</v>
      </c>
      <c r="G948" s="10">
        <f>DATE(2010,9,30)</f>
        <v>40451</v>
      </c>
      <c r="H948" s="35">
        <v>1.588888888888889</v>
      </c>
      <c r="I948" s="5" t="s">
        <v>106</v>
      </c>
      <c r="J948" s="10" t="s">
        <v>5335</v>
      </c>
      <c r="K948" s="5" t="s">
        <v>1555</v>
      </c>
      <c r="L948" s="5" t="s">
        <v>5336</v>
      </c>
      <c r="M948" s="5" t="s">
        <v>45</v>
      </c>
      <c r="N948" s="5">
        <v>0</v>
      </c>
      <c r="O948" s="5" t="s">
        <v>46</v>
      </c>
      <c r="P948" s="10" t="s">
        <v>60</v>
      </c>
      <c r="Q948" s="10" t="s">
        <v>2635</v>
      </c>
      <c r="R948" s="10">
        <v>0</v>
      </c>
      <c r="S948" s="5">
        <v>0</v>
      </c>
      <c r="T948" s="37" t="s">
        <v>50</v>
      </c>
      <c r="U948" s="5">
        <v>0</v>
      </c>
      <c r="V948" s="37" t="s">
        <v>50</v>
      </c>
      <c r="W948" s="5">
        <v>0</v>
      </c>
      <c r="X948" s="5">
        <v>0</v>
      </c>
      <c r="Y948" s="5">
        <v>0</v>
      </c>
      <c r="Z948" s="37" t="s">
        <v>50</v>
      </c>
      <c r="AA948" s="5">
        <v>0</v>
      </c>
      <c r="AB948" s="5">
        <v>0</v>
      </c>
      <c r="AC948" s="5">
        <v>0</v>
      </c>
      <c r="AD948" s="5">
        <v>0</v>
      </c>
      <c r="AE948" s="10" t="s">
        <v>50</v>
      </c>
      <c r="AF948" s="10"/>
      <c r="AG948" s="10" t="s">
        <v>114</v>
      </c>
      <c r="AH948" s="10" t="s">
        <v>50</v>
      </c>
      <c r="AI948" s="5">
        <v>4</v>
      </c>
      <c r="AJ948" s="10" t="s">
        <v>5337</v>
      </c>
      <c r="AK948" s="10" t="s">
        <v>5338</v>
      </c>
    </row>
    <row r="949" spans="1:37" ht="36.75" customHeight="1" x14ac:dyDescent="0.35">
      <c r="A949" s="5"/>
      <c r="B949" s="5" t="s">
        <v>37</v>
      </c>
      <c r="C949" s="73" t="str">
        <f t="shared" si="14"/>
        <v>Closed</v>
      </c>
      <c r="D949" s="45" t="s">
        <v>5339</v>
      </c>
      <c r="E949" s="54" t="s">
        <v>5340</v>
      </c>
      <c r="F949" s="5" t="s">
        <v>816</v>
      </c>
      <c r="G949" s="10">
        <f>DATE(2010,10,1)</f>
        <v>40452</v>
      </c>
      <c r="H949" s="35">
        <v>1.8027777777777776</v>
      </c>
      <c r="I949" s="5" t="s">
        <v>85</v>
      </c>
      <c r="J949" s="10" t="s">
        <v>5341</v>
      </c>
      <c r="K949" s="5" t="s">
        <v>818</v>
      </c>
      <c r="L949" s="5" t="s">
        <v>5342</v>
      </c>
      <c r="M949" s="5" t="s">
        <v>45</v>
      </c>
      <c r="N949" s="5">
        <v>0</v>
      </c>
      <c r="O949" s="5" t="s">
        <v>59</v>
      </c>
      <c r="P949" s="10" t="s">
        <v>60</v>
      </c>
      <c r="Q949" s="10" t="s">
        <v>4688</v>
      </c>
      <c r="R949" s="10" t="s">
        <v>821</v>
      </c>
      <c r="S949" s="5">
        <v>0</v>
      </c>
      <c r="T949" s="37" t="s">
        <v>50</v>
      </c>
      <c r="U949" s="5">
        <v>0</v>
      </c>
      <c r="V949" s="37" t="s">
        <v>50</v>
      </c>
      <c r="W949" s="5">
        <v>0</v>
      </c>
      <c r="X949" s="5">
        <v>0</v>
      </c>
      <c r="Y949" s="5">
        <v>0</v>
      </c>
      <c r="Z949" s="37" t="s">
        <v>50</v>
      </c>
      <c r="AA949" s="5">
        <v>0</v>
      </c>
      <c r="AB949" s="5">
        <v>0</v>
      </c>
      <c r="AC949" s="5">
        <v>0</v>
      </c>
      <c r="AD949" s="5">
        <v>0</v>
      </c>
      <c r="AE949" s="10" t="s">
        <v>50</v>
      </c>
      <c r="AF949" s="10"/>
      <c r="AG949" s="10" t="s">
        <v>333</v>
      </c>
      <c r="AH949" s="10" t="s">
        <v>50</v>
      </c>
      <c r="AI949" s="5">
        <v>0</v>
      </c>
      <c r="AJ949" s="10" t="s">
        <v>50</v>
      </c>
      <c r="AK949" s="10" t="s">
        <v>50</v>
      </c>
    </row>
    <row r="950" spans="1:37" ht="36.75" customHeight="1" x14ac:dyDescent="0.35">
      <c r="A950" s="5"/>
      <c r="B950" s="5" t="s">
        <v>37</v>
      </c>
      <c r="C950" s="73" t="str">
        <f t="shared" si="14"/>
        <v>Closed</v>
      </c>
      <c r="D950" s="45" t="s">
        <v>5343</v>
      </c>
      <c r="E950" s="54" t="s">
        <v>5344</v>
      </c>
      <c r="F950" s="5" t="s">
        <v>105</v>
      </c>
      <c r="G950" s="10">
        <f>DATE(2010,10,1)</f>
        <v>40452</v>
      </c>
      <c r="H950" s="35">
        <v>1.7430555555555554</v>
      </c>
      <c r="I950" s="5" t="s">
        <v>55</v>
      </c>
      <c r="J950" s="10" t="s">
        <v>5345</v>
      </c>
      <c r="K950" s="5" t="s">
        <v>108</v>
      </c>
      <c r="L950" s="5" t="s">
        <v>5346</v>
      </c>
      <c r="M950" s="5" t="s">
        <v>45</v>
      </c>
      <c r="N950" s="5">
        <v>0</v>
      </c>
      <c r="O950" s="5" t="s">
        <v>59</v>
      </c>
      <c r="P950" s="10" t="s">
        <v>47</v>
      </c>
      <c r="Q950" s="10" t="s">
        <v>210</v>
      </c>
      <c r="R950" s="10" t="s">
        <v>148</v>
      </c>
      <c r="S950" s="5">
        <v>0</v>
      </c>
      <c r="T950" s="37">
        <v>0</v>
      </c>
      <c r="U950" s="5">
        <v>0</v>
      </c>
      <c r="V950" s="37">
        <v>0</v>
      </c>
      <c r="W950" s="5">
        <v>0</v>
      </c>
      <c r="X950" s="5">
        <v>0</v>
      </c>
      <c r="Y950" s="5">
        <v>1</v>
      </c>
      <c r="Z950" s="37">
        <v>0</v>
      </c>
      <c r="AA950" s="5">
        <v>0</v>
      </c>
      <c r="AB950" s="5">
        <v>0</v>
      </c>
      <c r="AC950" s="5">
        <v>0</v>
      </c>
      <c r="AD950" s="5">
        <v>1</v>
      </c>
      <c r="AE950" s="10" t="s">
        <v>50</v>
      </c>
      <c r="AF950" s="10"/>
      <c r="AG950" s="10" t="s">
        <v>64</v>
      </c>
      <c r="AH950" s="10" t="s">
        <v>50</v>
      </c>
      <c r="AI950" s="5">
        <v>2</v>
      </c>
      <c r="AJ950" s="10" t="s">
        <v>5347</v>
      </c>
      <c r="AK950" s="10" t="s">
        <v>50</v>
      </c>
    </row>
    <row r="951" spans="1:37" ht="36.75" customHeight="1" x14ac:dyDescent="0.35">
      <c r="A951" s="5"/>
      <c r="B951" s="5" t="s">
        <v>37</v>
      </c>
      <c r="C951" s="73" t="str">
        <f t="shared" si="14"/>
        <v>Closed</v>
      </c>
      <c r="D951" s="45" t="s">
        <v>5348</v>
      </c>
      <c r="E951" s="54" t="s">
        <v>5349</v>
      </c>
      <c r="F951" s="5" t="s">
        <v>2581</v>
      </c>
      <c r="G951" s="10">
        <f>DATE(2010,10,4)</f>
        <v>40455</v>
      </c>
      <c r="H951" s="35">
        <v>1.3298611111111112</v>
      </c>
      <c r="I951" s="5" t="s">
        <v>179</v>
      </c>
      <c r="J951" s="10" t="s">
        <v>5350</v>
      </c>
      <c r="K951" s="5" t="s">
        <v>2583</v>
      </c>
      <c r="L951" s="5" t="s">
        <v>5351</v>
      </c>
      <c r="M951" s="5" t="s">
        <v>45</v>
      </c>
      <c r="N951" s="5">
        <v>0</v>
      </c>
      <c r="O951" s="5" t="s">
        <v>46</v>
      </c>
      <c r="P951" s="10" t="s">
        <v>47</v>
      </c>
      <c r="Q951" s="10" t="s">
        <v>2585</v>
      </c>
      <c r="R951" s="10" t="s">
        <v>2586</v>
      </c>
      <c r="S951" s="5">
        <v>0</v>
      </c>
      <c r="T951" s="37" t="s">
        <v>50</v>
      </c>
      <c r="U951" s="5">
        <v>0</v>
      </c>
      <c r="V951" s="37" t="s">
        <v>50</v>
      </c>
      <c r="W951" s="5">
        <v>0</v>
      </c>
      <c r="X951" s="5">
        <v>0</v>
      </c>
      <c r="Y951" s="5">
        <v>0</v>
      </c>
      <c r="Z951" s="37" t="s">
        <v>50</v>
      </c>
      <c r="AA951" s="5">
        <v>0</v>
      </c>
      <c r="AB951" s="5">
        <v>0</v>
      </c>
      <c r="AC951" s="5">
        <v>0</v>
      </c>
      <c r="AD951" s="5">
        <v>0</v>
      </c>
      <c r="AE951" s="10" t="s">
        <v>50</v>
      </c>
      <c r="AF951" s="10"/>
      <c r="AG951" s="10" t="s">
        <v>64</v>
      </c>
      <c r="AH951" s="10" t="s">
        <v>50</v>
      </c>
      <c r="AI951" s="5">
        <v>7</v>
      </c>
      <c r="AJ951" s="10" t="s">
        <v>5352</v>
      </c>
      <c r="AK951" s="10" t="s">
        <v>50</v>
      </c>
    </row>
    <row r="952" spans="1:37" ht="36.75" customHeight="1" x14ac:dyDescent="0.35">
      <c r="A952" s="5"/>
      <c r="B952" s="5" t="s">
        <v>37</v>
      </c>
      <c r="C952" s="73" t="str">
        <f t="shared" si="14"/>
        <v>Closed</v>
      </c>
      <c r="D952" s="45" t="s">
        <v>5353</v>
      </c>
      <c r="E952" s="54" t="s">
        <v>5354</v>
      </c>
      <c r="F952" s="5" t="s">
        <v>816</v>
      </c>
      <c r="G952" s="10">
        <f>DATE(2010,10,5)</f>
        <v>40456</v>
      </c>
      <c r="H952" s="35">
        <v>1.4583333333333333</v>
      </c>
      <c r="I952" s="5" t="s">
        <v>97</v>
      </c>
      <c r="J952" s="10" t="s">
        <v>5355</v>
      </c>
      <c r="K952" s="5" t="s">
        <v>818</v>
      </c>
      <c r="L952" s="5" t="s">
        <v>5356</v>
      </c>
      <c r="M952" s="5" t="s">
        <v>45</v>
      </c>
      <c r="N952" s="5">
        <v>0</v>
      </c>
      <c r="O952" s="5" t="s">
        <v>46</v>
      </c>
      <c r="P952" s="10" t="s">
        <v>362</v>
      </c>
      <c r="Q952" s="10" t="s">
        <v>3041</v>
      </c>
      <c r="R952" s="10" t="s">
        <v>821</v>
      </c>
      <c r="S952" s="5">
        <v>0</v>
      </c>
      <c r="T952" s="37">
        <v>0</v>
      </c>
      <c r="U952" s="5">
        <v>0</v>
      </c>
      <c r="V952" s="37">
        <v>0</v>
      </c>
      <c r="W952" s="5">
        <v>0</v>
      </c>
      <c r="X952" s="5">
        <v>0</v>
      </c>
      <c r="Y952" s="5">
        <v>0</v>
      </c>
      <c r="Z952" s="37">
        <v>0</v>
      </c>
      <c r="AA952" s="5">
        <v>1</v>
      </c>
      <c r="AB952" s="5">
        <v>0</v>
      </c>
      <c r="AC952" s="5">
        <v>0</v>
      </c>
      <c r="AD952" s="5">
        <v>1</v>
      </c>
      <c r="AE952" s="10" t="s">
        <v>50</v>
      </c>
      <c r="AF952" s="10"/>
      <c r="AG952" s="10" t="s">
        <v>333</v>
      </c>
      <c r="AH952" s="10" t="s">
        <v>50</v>
      </c>
      <c r="AI952" s="5">
        <v>1</v>
      </c>
      <c r="AJ952" s="10" t="s">
        <v>50</v>
      </c>
      <c r="AK952" s="10" t="s">
        <v>50</v>
      </c>
    </row>
    <row r="953" spans="1:37" ht="36.75" customHeight="1" x14ac:dyDescent="0.35">
      <c r="A953" s="5"/>
      <c r="B953" s="5" t="s">
        <v>37</v>
      </c>
      <c r="C953" s="73" t="str">
        <f t="shared" si="14"/>
        <v>Closed</v>
      </c>
      <c r="D953" s="45" t="s">
        <v>5357</v>
      </c>
      <c r="E953" s="54" t="s">
        <v>5358</v>
      </c>
      <c r="F953" s="5" t="s">
        <v>816</v>
      </c>
      <c r="G953" s="10">
        <f>DATE(2010,10,7)</f>
        <v>40458</v>
      </c>
      <c r="H953" s="35">
        <v>1.2465277777777777</v>
      </c>
      <c r="I953" s="5" t="s">
        <v>85</v>
      </c>
      <c r="J953" s="10" t="s">
        <v>5359</v>
      </c>
      <c r="K953" s="5" t="s">
        <v>818</v>
      </c>
      <c r="L953" s="5" t="s">
        <v>5360</v>
      </c>
      <c r="M953" s="5" t="s">
        <v>45</v>
      </c>
      <c r="N953" s="5">
        <v>0</v>
      </c>
      <c r="O953" s="5" t="s">
        <v>59</v>
      </c>
      <c r="P953" s="10" t="s">
        <v>60</v>
      </c>
      <c r="Q953" s="10" t="s">
        <v>4688</v>
      </c>
      <c r="R953" s="10" t="s">
        <v>821</v>
      </c>
      <c r="S953" s="5">
        <v>0</v>
      </c>
      <c r="T953" s="37" t="s">
        <v>50</v>
      </c>
      <c r="U953" s="5">
        <v>0</v>
      </c>
      <c r="V953" s="37" t="s">
        <v>50</v>
      </c>
      <c r="W953" s="5">
        <v>0</v>
      </c>
      <c r="X953" s="5">
        <v>0</v>
      </c>
      <c r="Y953" s="5">
        <v>0</v>
      </c>
      <c r="Z953" s="37" t="s">
        <v>50</v>
      </c>
      <c r="AA953" s="5">
        <v>0</v>
      </c>
      <c r="AB953" s="5">
        <v>0</v>
      </c>
      <c r="AC953" s="5">
        <v>0</v>
      </c>
      <c r="AD953" s="5">
        <v>0</v>
      </c>
      <c r="AE953" s="10" t="s">
        <v>50</v>
      </c>
      <c r="AF953" s="10"/>
      <c r="AG953" s="10" t="s">
        <v>333</v>
      </c>
      <c r="AH953" s="10" t="s">
        <v>50</v>
      </c>
      <c r="AI953" s="5">
        <v>1</v>
      </c>
      <c r="AJ953" s="10" t="s">
        <v>50</v>
      </c>
      <c r="AK953" s="10" t="s">
        <v>50</v>
      </c>
    </row>
    <row r="954" spans="1:37" ht="36.75" customHeight="1" x14ac:dyDescent="0.35">
      <c r="A954" s="5"/>
      <c r="B954" s="5" t="s">
        <v>37</v>
      </c>
      <c r="C954" s="73" t="str">
        <f t="shared" si="14"/>
        <v>Closed</v>
      </c>
      <c r="D954" s="45" t="s">
        <v>5361</v>
      </c>
      <c r="E954" s="54" t="s">
        <v>5362</v>
      </c>
      <c r="F954" s="5" t="s">
        <v>816</v>
      </c>
      <c r="G954" s="10">
        <f>DATE(2010,10,10)</f>
        <v>40461</v>
      </c>
      <c r="H954" s="35">
        <v>1.3743055555555554</v>
      </c>
      <c r="I954" s="5" t="s">
        <v>179</v>
      </c>
      <c r="J954" s="10" t="s">
        <v>5363</v>
      </c>
      <c r="K954" s="5" t="s">
        <v>818</v>
      </c>
      <c r="L954" s="5" t="s">
        <v>5364</v>
      </c>
      <c r="M954" s="5" t="s">
        <v>45</v>
      </c>
      <c r="N954" s="5">
        <v>0</v>
      </c>
      <c r="O954" s="5" t="s">
        <v>59</v>
      </c>
      <c r="P954" s="10" t="s">
        <v>146</v>
      </c>
      <c r="Q954" s="10" t="s">
        <v>5365</v>
      </c>
      <c r="R954" s="10" t="s">
        <v>5365</v>
      </c>
      <c r="S954" s="5">
        <v>0</v>
      </c>
      <c r="T954" s="37">
        <v>0</v>
      </c>
      <c r="U954" s="5">
        <v>0</v>
      </c>
      <c r="V954" s="37">
        <v>0</v>
      </c>
      <c r="W954" s="5">
        <v>0</v>
      </c>
      <c r="X954" s="5">
        <v>0</v>
      </c>
      <c r="Y954" s="5">
        <v>2</v>
      </c>
      <c r="Z954" s="37">
        <v>0</v>
      </c>
      <c r="AA954" s="5">
        <v>0</v>
      </c>
      <c r="AB954" s="5">
        <v>0</v>
      </c>
      <c r="AC954" s="5">
        <v>0</v>
      </c>
      <c r="AD954" s="5">
        <v>2</v>
      </c>
      <c r="AE954" s="10" t="s">
        <v>50</v>
      </c>
      <c r="AF954" s="10"/>
      <c r="AG954" s="10" t="s">
        <v>333</v>
      </c>
      <c r="AH954" s="10" t="s">
        <v>50</v>
      </c>
      <c r="AI954" s="5">
        <v>1</v>
      </c>
      <c r="AJ954" s="10" t="s">
        <v>50</v>
      </c>
      <c r="AK954" s="10" t="s">
        <v>50</v>
      </c>
    </row>
    <row r="955" spans="1:37" ht="36.75" customHeight="1" x14ac:dyDescent="0.35">
      <c r="A955" s="5"/>
      <c r="B955" s="5" t="s">
        <v>37</v>
      </c>
      <c r="C955" s="73" t="str">
        <f t="shared" si="14"/>
        <v>Closed</v>
      </c>
      <c r="D955" s="45" t="s">
        <v>5366</v>
      </c>
      <c r="E955" s="54" t="s">
        <v>5367</v>
      </c>
      <c r="F955" s="5" t="s">
        <v>816</v>
      </c>
      <c r="G955" s="10">
        <f>DATE(2010,10,13)</f>
        <v>40464</v>
      </c>
      <c r="H955" s="35">
        <v>1.5173611111111112</v>
      </c>
      <c r="I955" s="5" t="s">
        <v>97</v>
      </c>
      <c r="J955" s="10" t="s">
        <v>5368</v>
      </c>
      <c r="K955" s="5" t="s">
        <v>818</v>
      </c>
      <c r="L955" s="5" t="s">
        <v>5369</v>
      </c>
      <c r="M955" s="5" t="s">
        <v>45</v>
      </c>
      <c r="N955" s="5">
        <v>0</v>
      </c>
      <c r="O955" s="5" t="s">
        <v>46</v>
      </c>
      <c r="P955" s="10" t="s">
        <v>47</v>
      </c>
      <c r="Q955" s="10" t="s">
        <v>2142</v>
      </c>
      <c r="R955" s="10" t="s">
        <v>821</v>
      </c>
      <c r="S955" s="5">
        <v>0</v>
      </c>
      <c r="T955" s="37">
        <v>0</v>
      </c>
      <c r="U955" s="5">
        <v>1</v>
      </c>
      <c r="V955" s="37">
        <v>0</v>
      </c>
      <c r="W955" s="5">
        <v>0</v>
      </c>
      <c r="X955" s="5">
        <v>1</v>
      </c>
      <c r="Y955" s="5">
        <v>0</v>
      </c>
      <c r="Z955" s="37">
        <v>0</v>
      </c>
      <c r="AA955" s="5">
        <v>0</v>
      </c>
      <c r="AB955" s="5">
        <v>0</v>
      </c>
      <c r="AC955" s="5">
        <v>0</v>
      </c>
      <c r="AD955" s="5">
        <v>0</v>
      </c>
      <c r="AE955" s="10" t="s">
        <v>50</v>
      </c>
      <c r="AF955" s="10"/>
      <c r="AG955" s="10" t="s">
        <v>333</v>
      </c>
      <c r="AH955" s="10" t="s">
        <v>50</v>
      </c>
      <c r="AI955" s="5">
        <v>0</v>
      </c>
      <c r="AJ955" s="10" t="s">
        <v>50</v>
      </c>
      <c r="AK955" s="10" t="s">
        <v>50</v>
      </c>
    </row>
    <row r="956" spans="1:37" ht="36.75" customHeight="1" x14ac:dyDescent="0.35">
      <c r="A956" s="5"/>
      <c r="B956" s="5" t="s">
        <v>37</v>
      </c>
      <c r="C956" s="73" t="str">
        <f t="shared" si="14"/>
        <v>Closed</v>
      </c>
      <c r="D956" s="45" t="s">
        <v>5370</v>
      </c>
      <c r="E956" s="54" t="s">
        <v>5371</v>
      </c>
      <c r="F956" s="5" t="s">
        <v>816</v>
      </c>
      <c r="G956" s="10">
        <f>DATE(2010,10,15)</f>
        <v>40466</v>
      </c>
      <c r="H956" s="35">
        <v>1.8541666666666665</v>
      </c>
      <c r="I956" s="5" t="s">
        <v>259</v>
      </c>
      <c r="J956" s="10" t="s">
        <v>5372</v>
      </c>
      <c r="K956" s="5" t="s">
        <v>818</v>
      </c>
      <c r="L956" s="5" t="s">
        <v>5373</v>
      </c>
      <c r="M956" s="5" t="s">
        <v>45</v>
      </c>
      <c r="N956" s="5">
        <v>0</v>
      </c>
      <c r="O956" s="5" t="s">
        <v>59</v>
      </c>
      <c r="P956" s="10" t="s">
        <v>72</v>
      </c>
      <c r="Q956" s="10" t="s">
        <v>3041</v>
      </c>
      <c r="R956" s="10" t="s">
        <v>821</v>
      </c>
      <c r="S956" s="5">
        <v>0</v>
      </c>
      <c r="T956" s="37">
        <v>1</v>
      </c>
      <c r="U956" s="5">
        <v>0</v>
      </c>
      <c r="V956" s="37">
        <v>0</v>
      </c>
      <c r="W956" s="5">
        <v>0</v>
      </c>
      <c r="X956" s="5">
        <v>1</v>
      </c>
      <c r="Y956" s="5">
        <v>0</v>
      </c>
      <c r="Z956" s="37">
        <v>0</v>
      </c>
      <c r="AA956" s="5">
        <v>0</v>
      </c>
      <c r="AB956" s="5">
        <v>0</v>
      </c>
      <c r="AC956" s="5">
        <v>0</v>
      </c>
      <c r="AD956" s="5">
        <v>0</v>
      </c>
      <c r="AE956" s="10" t="s">
        <v>50</v>
      </c>
      <c r="AF956" s="10"/>
      <c r="AG956" s="10" t="s">
        <v>333</v>
      </c>
      <c r="AH956" s="10" t="s">
        <v>50</v>
      </c>
      <c r="AI956" s="5">
        <v>0</v>
      </c>
      <c r="AJ956" s="10" t="s">
        <v>50</v>
      </c>
      <c r="AK956" s="10" t="s">
        <v>50</v>
      </c>
    </row>
    <row r="957" spans="1:37" ht="36.75" customHeight="1" x14ac:dyDescent="0.35">
      <c r="A957" s="5"/>
      <c r="B957" s="5" t="s">
        <v>37</v>
      </c>
      <c r="C957" s="73" t="str">
        <f t="shared" si="14"/>
        <v>Closed</v>
      </c>
      <c r="D957" s="45" t="s">
        <v>5374</v>
      </c>
      <c r="E957" s="54" t="s">
        <v>5375</v>
      </c>
      <c r="F957" s="5" t="s">
        <v>619</v>
      </c>
      <c r="G957" s="10">
        <f>DATE(2010,10,19)</f>
        <v>40470</v>
      </c>
      <c r="H957" s="35">
        <v>1.6458333333333335</v>
      </c>
      <c r="I957" s="5" t="s">
        <v>67</v>
      </c>
      <c r="J957" s="10" t="s">
        <v>5376</v>
      </c>
      <c r="K957" s="5" t="s">
        <v>621</v>
      </c>
      <c r="L957" s="5" t="s">
        <v>5377</v>
      </c>
      <c r="M957" s="5" t="s">
        <v>45</v>
      </c>
      <c r="N957" s="5">
        <v>0</v>
      </c>
      <c r="O957" s="5" t="s">
        <v>67</v>
      </c>
      <c r="P957" s="10" t="s">
        <v>146</v>
      </c>
      <c r="Q957" s="10" t="s">
        <v>3226</v>
      </c>
      <c r="R957" s="10" t="s">
        <v>3226</v>
      </c>
      <c r="S957" s="5">
        <v>0</v>
      </c>
      <c r="T957" s="37" t="s">
        <v>50</v>
      </c>
      <c r="U957" s="5">
        <v>0</v>
      </c>
      <c r="V957" s="37" t="s">
        <v>50</v>
      </c>
      <c r="W957" s="5">
        <v>0</v>
      </c>
      <c r="X957" s="5">
        <v>0</v>
      </c>
      <c r="Y957" s="5">
        <v>0</v>
      </c>
      <c r="Z957" s="37" t="s">
        <v>50</v>
      </c>
      <c r="AA957" s="5">
        <v>0</v>
      </c>
      <c r="AB957" s="5">
        <v>0</v>
      </c>
      <c r="AC957" s="5">
        <v>0</v>
      </c>
      <c r="AD957" s="5">
        <v>0</v>
      </c>
      <c r="AE957" s="10" t="s">
        <v>50</v>
      </c>
      <c r="AF957" s="10"/>
      <c r="AG957" s="10" t="s">
        <v>333</v>
      </c>
      <c r="AH957" s="10" t="s">
        <v>50</v>
      </c>
      <c r="AI957" s="5">
        <v>2</v>
      </c>
      <c r="AJ957" s="10" t="s">
        <v>50</v>
      </c>
      <c r="AK957" s="10" t="s">
        <v>50</v>
      </c>
    </row>
    <row r="958" spans="1:37" ht="36.75" customHeight="1" x14ac:dyDescent="0.35">
      <c r="A958" s="5"/>
      <c r="B958" s="5" t="s">
        <v>37</v>
      </c>
      <c r="C958" s="73" t="str">
        <f t="shared" si="14"/>
        <v>Closed</v>
      </c>
      <c r="D958" s="45" t="s">
        <v>5378</v>
      </c>
      <c r="E958" s="54" t="s">
        <v>5379</v>
      </c>
      <c r="F958" s="5" t="s">
        <v>404</v>
      </c>
      <c r="G958" s="10">
        <f>DATE(2010,10,20)</f>
        <v>40471</v>
      </c>
      <c r="H958" s="35">
        <v>1.6034722222222222</v>
      </c>
      <c r="I958" s="5" t="s">
        <v>259</v>
      </c>
      <c r="J958" s="10" t="s">
        <v>5380</v>
      </c>
      <c r="K958" s="5" t="s">
        <v>406</v>
      </c>
      <c r="L958" s="5" t="s">
        <v>5381</v>
      </c>
      <c r="M958" s="5" t="s">
        <v>45</v>
      </c>
      <c r="N958" s="5" t="s">
        <v>123</v>
      </c>
      <c r="O958" s="5" t="s">
        <v>46</v>
      </c>
      <c r="P958" s="10" t="s">
        <v>47</v>
      </c>
      <c r="Q958" s="10" t="s">
        <v>408</v>
      </c>
      <c r="R958" s="10" t="s">
        <v>3083</v>
      </c>
      <c r="S958" s="5">
        <v>0</v>
      </c>
      <c r="T958" s="37">
        <v>2</v>
      </c>
      <c r="U958" s="5">
        <v>0</v>
      </c>
      <c r="V958" s="37">
        <v>0</v>
      </c>
      <c r="W958" s="5">
        <v>0</v>
      </c>
      <c r="X958" s="5">
        <v>2</v>
      </c>
      <c r="Y958" s="5">
        <v>0</v>
      </c>
      <c r="Z958" s="37">
        <v>0</v>
      </c>
      <c r="AA958" s="5">
        <v>0</v>
      </c>
      <c r="AB958" s="5">
        <v>0</v>
      </c>
      <c r="AC958" s="5">
        <v>0</v>
      </c>
      <c r="AD958" s="5">
        <v>0</v>
      </c>
      <c r="AE958" s="10" t="s">
        <v>50</v>
      </c>
      <c r="AF958" s="10"/>
      <c r="AG958" s="10" t="s">
        <v>114</v>
      </c>
      <c r="AH958" s="10" t="s">
        <v>50</v>
      </c>
      <c r="AI958" s="5">
        <v>3</v>
      </c>
      <c r="AJ958" s="10" t="s">
        <v>5382</v>
      </c>
      <c r="AK958" s="10" t="s">
        <v>5383</v>
      </c>
    </row>
    <row r="959" spans="1:37" ht="36.75" customHeight="1" x14ac:dyDescent="0.35">
      <c r="A959" s="5"/>
      <c r="B959" s="5" t="s">
        <v>37</v>
      </c>
      <c r="C959" s="73" t="str">
        <f t="shared" si="14"/>
        <v>Closed</v>
      </c>
      <c r="D959" s="45" t="s">
        <v>5384</v>
      </c>
      <c r="E959" s="54" t="s">
        <v>5385</v>
      </c>
      <c r="F959" s="5" t="s">
        <v>816</v>
      </c>
      <c r="G959" s="10">
        <f>DATE(2010,10,20)</f>
        <v>40471</v>
      </c>
      <c r="H959" s="35">
        <v>1.4618055555555556</v>
      </c>
      <c r="I959" s="5" t="s">
        <v>97</v>
      </c>
      <c r="J959" s="10" t="s">
        <v>5386</v>
      </c>
      <c r="K959" s="5" t="s">
        <v>818</v>
      </c>
      <c r="L959" s="5" t="s">
        <v>5387</v>
      </c>
      <c r="M959" s="5" t="s">
        <v>45</v>
      </c>
      <c r="N959" s="5">
        <v>0</v>
      </c>
      <c r="O959" s="5" t="s">
        <v>46</v>
      </c>
      <c r="P959" s="10" t="s">
        <v>60</v>
      </c>
      <c r="Q959" s="10" t="s">
        <v>1331</v>
      </c>
      <c r="R959" s="10" t="s">
        <v>821</v>
      </c>
      <c r="S959" s="5">
        <v>0</v>
      </c>
      <c r="T959" s="37">
        <v>1</v>
      </c>
      <c r="U959" s="5">
        <v>0</v>
      </c>
      <c r="V959" s="37">
        <v>0</v>
      </c>
      <c r="W959" s="5">
        <v>0</v>
      </c>
      <c r="X959" s="5">
        <v>1</v>
      </c>
      <c r="Y959" s="5">
        <v>0</v>
      </c>
      <c r="Z959" s="37">
        <v>0</v>
      </c>
      <c r="AA959" s="5">
        <v>1</v>
      </c>
      <c r="AB959" s="5">
        <v>0</v>
      </c>
      <c r="AC959" s="5">
        <v>0</v>
      </c>
      <c r="AD959" s="5">
        <v>1</v>
      </c>
      <c r="AE959" s="10" t="s">
        <v>50</v>
      </c>
      <c r="AF959" s="10"/>
      <c r="AG959" s="10" t="s">
        <v>333</v>
      </c>
      <c r="AH959" s="10" t="s">
        <v>50</v>
      </c>
      <c r="AI959" s="5">
        <v>2</v>
      </c>
      <c r="AJ959" s="10" t="s">
        <v>50</v>
      </c>
      <c r="AK959" s="10" t="s">
        <v>50</v>
      </c>
    </row>
    <row r="960" spans="1:37" ht="36.75" customHeight="1" x14ac:dyDescent="0.35">
      <c r="A960" s="5"/>
      <c r="B960" s="5" t="s">
        <v>37</v>
      </c>
      <c r="C960" s="73" t="str">
        <f t="shared" si="14"/>
        <v>Closed</v>
      </c>
      <c r="D960" s="45" t="s">
        <v>5388</v>
      </c>
      <c r="E960" s="54" t="s">
        <v>5389</v>
      </c>
      <c r="F960" s="5" t="s">
        <v>816</v>
      </c>
      <c r="G960" s="10">
        <f>DATE(2010,10,22)</f>
        <v>40473</v>
      </c>
      <c r="H960" s="35">
        <v>1.2256944444444444</v>
      </c>
      <c r="I960" s="5" t="s">
        <v>55</v>
      </c>
      <c r="J960" s="10" t="s">
        <v>5390</v>
      </c>
      <c r="K960" s="5" t="s">
        <v>818</v>
      </c>
      <c r="L960" s="5" t="s">
        <v>5391</v>
      </c>
      <c r="M960" s="5" t="s">
        <v>45</v>
      </c>
      <c r="N960" s="5">
        <v>0</v>
      </c>
      <c r="O960" s="5" t="s">
        <v>59</v>
      </c>
      <c r="P960" s="10" t="s">
        <v>60</v>
      </c>
      <c r="Q960" s="10" t="s">
        <v>4688</v>
      </c>
      <c r="R960" s="10" t="s">
        <v>821</v>
      </c>
      <c r="S960" s="5">
        <v>0</v>
      </c>
      <c r="T960" s="37" t="s">
        <v>50</v>
      </c>
      <c r="U960" s="5">
        <v>0</v>
      </c>
      <c r="V960" s="37" t="s">
        <v>50</v>
      </c>
      <c r="W960" s="5">
        <v>0</v>
      </c>
      <c r="X960" s="5">
        <v>0</v>
      </c>
      <c r="Y960" s="5">
        <v>0</v>
      </c>
      <c r="Z960" s="37" t="s">
        <v>50</v>
      </c>
      <c r="AA960" s="5">
        <v>0</v>
      </c>
      <c r="AB960" s="5">
        <v>0</v>
      </c>
      <c r="AC960" s="5">
        <v>0</v>
      </c>
      <c r="AD960" s="5">
        <v>0</v>
      </c>
      <c r="AE960" s="10" t="s">
        <v>50</v>
      </c>
      <c r="AF960" s="10"/>
      <c r="AG960" s="10" t="s">
        <v>333</v>
      </c>
      <c r="AH960" s="10" t="s">
        <v>50</v>
      </c>
      <c r="AI960" s="5">
        <v>0</v>
      </c>
      <c r="AJ960" s="10" t="s">
        <v>50</v>
      </c>
      <c r="AK960" s="10" t="s">
        <v>50</v>
      </c>
    </row>
    <row r="961" spans="1:37" ht="36.75" customHeight="1" x14ac:dyDescent="0.35">
      <c r="A961" s="5"/>
      <c r="B961" s="5" t="s">
        <v>37</v>
      </c>
      <c r="C961" s="73" t="str">
        <f t="shared" si="14"/>
        <v>Closed</v>
      </c>
      <c r="D961" s="45" t="s">
        <v>5392</v>
      </c>
      <c r="E961" s="54" t="s">
        <v>5393</v>
      </c>
      <c r="F961" s="5" t="s">
        <v>1919</v>
      </c>
      <c r="G961" s="10">
        <f>DATE(2010,10,24)</f>
        <v>40475</v>
      </c>
      <c r="H961" s="35">
        <v>1.46875</v>
      </c>
      <c r="I961" s="5" t="s">
        <v>97</v>
      </c>
      <c r="J961" s="10" t="s">
        <v>5394</v>
      </c>
      <c r="K961" s="5" t="s">
        <v>1921</v>
      </c>
      <c r="L961" s="5" t="s">
        <v>5395</v>
      </c>
      <c r="M961" s="5" t="s">
        <v>45</v>
      </c>
      <c r="N961" s="5">
        <v>0</v>
      </c>
      <c r="O961" s="5" t="s">
        <v>46</v>
      </c>
      <c r="P961" s="10" t="s">
        <v>146</v>
      </c>
      <c r="Q961" s="10" t="s">
        <v>1923</v>
      </c>
      <c r="R961" s="10" t="s">
        <v>1923</v>
      </c>
      <c r="S961" s="5">
        <v>0</v>
      </c>
      <c r="T961" s="37" t="s">
        <v>50</v>
      </c>
      <c r="U961" s="5">
        <v>0</v>
      </c>
      <c r="V961" s="37" t="s">
        <v>50</v>
      </c>
      <c r="W961" s="5">
        <v>0</v>
      </c>
      <c r="X961" s="5">
        <v>0</v>
      </c>
      <c r="Y961" s="5">
        <v>0</v>
      </c>
      <c r="Z961" s="37" t="s">
        <v>50</v>
      </c>
      <c r="AA961" s="5">
        <v>0</v>
      </c>
      <c r="AB961" s="5">
        <v>0</v>
      </c>
      <c r="AC961" s="5">
        <v>0</v>
      </c>
      <c r="AD961" s="5">
        <v>0</v>
      </c>
      <c r="AE961" s="10" t="s">
        <v>50</v>
      </c>
      <c r="AF961" s="10"/>
      <c r="AG961" s="10" t="s">
        <v>64</v>
      </c>
      <c r="AH961" s="10" t="s">
        <v>50</v>
      </c>
      <c r="AI961" s="5">
        <v>1</v>
      </c>
      <c r="AJ961" s="10" t="s">
        <v>5396</v>
      </c>
      <c r="AK961" s="10" t="s">
        <v>5397</v>
      </c>
    </row>
    <row r="962" spans="1:37" ht="36.75" customHeight="1" x14ac:dyDescent="0.35">
      <c r="A962" s="5"/>
      <c r="B962" s="5" t="s">
        <v>37</v>
      </c>
      <c r="C962" s="73" t="str">
        <f t="shared" ref="C962:C1025" si="15">IF(B962="Notification","Open",IF(B962="Interim Statement","In progress","Closed"))</f>
        <v>Closed</v>
      </c>
      <c r="D962" s="45" t="s">
        <v>5398</v>
      </c>
      <c r="E962" s="54" t="s">
        <v>5399</v>
      </c>
      <c r="F962" s="5" t="s">
        <v>1553</v>
      </c>
      <c r="G962" s="10">
        <f>DATE(2010,10,25)</f>
        <v>40476</v>
      </c>
      <c r="H962" s="35">
        <v>1.7118055555555554</v>
      </c>
      <c r="I962" s="5" t="s">
        <v>4260</v>
      </c>
      <c r="J962" s="10" t="s">
        <v>5400</v>
      </c>
      <c r="K962" s="5" t="s">
        <v>1555</v>
      </c>
      <c r="L962" s="5" t="s">
        <v>5401</v>
      </c>
      <c r="M962" s="5" t="s">
        <v>45</v>
      </c>
      <c r="N962" s="5">
        <v>0</v>
      </c>
      <c r="O962" s="5" t="s">
        <v>46</v>
      </c>
      <c r="P962" s="10" t="s">
        <v>60</v>
      </c>
      <c r="Q962" s="10" t="s">
        <v>2635</v>
      </c>
      <c r="R962" s="10">
        <v>0</v>
      </c>
      <c r="S962" s="5">
        <v>0</v>
      </c>
      <c r="T962" s="37" t="s">
        <v>50</v>
      </c>
      <c r="U962" s="5">
        <v>0</v>
      </c>
      <c r="V962" s="37" t="s">
        <v>50</v>
      </c>
      <c r="W962" s="5">
        <v>0</v>
      </c>
      <c r="X962" s="5">
        <v>0</v>
      </c>
      <c r="Y962" s="5">
        <v>0</v>
      </c>
      <c r="Z962" s="37" t="s">
        <v>50</v>
      </c>
      <c r="AA962" s="5">
        <v>0</v>
      </c>
      <c r="AB962" s="5">
        <v>0</v>
      </c>
      <c r="AC962" s="5">
        <v>0</v>
      </c>
      <c r="AD962" s="5">
        <v>0</v>
      </c>
      <c r="AE962" s="10" t="s">
        <v>50</v>
      </c>
      <c r="AF962" s="10"/>
      <c r="AG962" s="10" t="s">
        <v>1489</v>
      </c>
      <c r="AH962" s="10" t="s">
        <v>50</v>
      </c>
      <c r="AI962" s="5">
        <v>2</v>
      </c>
      <c r="AJ962" s="10" t="s">
        <v>5402</v>
      </c>
      <c r="AK962" s="10" t="s">
        <v>5403</v>
      </c>
    </row>
    <row r="963" spans="1:37" ht="36.75" customHeight="1" x14ac:dyDescent="0.35">
      <c r="A963" s="5"/>
      <c r="B963" s="5" t="s">
        <v>887</v>
      </c>
      <c r="C963" s="73" t="str">
        <f t="shared" si="15"/>
        <v>Open</v>
      </c>
      <c r="D963" s="45" t="s">
        <v>5404</v>
      </c>
      <c r="E963" s="54" t="s">
        <v>5405</v>
      </c>
      <c r="F963" s="5" t="s">
        <v>5406</v>
      </c>
      <c r="G963" s="10">
        <f>DATE(2010,10,26)</f>
        <v>40477</v>
      </c>
      <c r="H963" s="35">
        <v>1.5520833333333335</v>
      </c>
      <c r="I963" s="5" t="s">
        <v>55</v>
      </c>
      <c r="J963" s="10" t="s">
        <v>5407</v>
      </c>
      <c r="K963" s="5" t="s">
        <v>577</v>
      </c>
      <c r="L963" s="5" t="s">
        <v>5408</v>
      </c>
      <c r="M963" s="5" t="s">
        <v>45</v>
      </c>
      <c r="N963" s="5" t="s">
        <v>80</v>
      </c>
      <c r="O963" s="5" t="s">
        <v>46</v>
      </c>
      <c r="P963" s="10" t="s">
        <v>60</v>
      </c>
      <c r="Q963" s="10" t="s">
        <v>5100</v>
      </c>
      <c r="R963" s="10" t="s">
        <v>580</v>
      </c>
      <c r="S963" s="5">
        <v>0</v>
      </c>
      <c r="T963" s="37">
        <v>0</v>
      </c>
      <c r="U963" s="5">
        <v>0</v>
      </c>
      <c r="V963" s="37">
        <v>0</v>
      </c>
      <c r="W963" s="5">
        <v>0</v>
      </c>
      <c r="X963" s="5">
        <v>0</v>
      </c>
      <c r="Y963" s="5">
        <v>0</v>
      </c>
      <c r="Z963" s="37">
        <v>0</v>
      </c>
      <c r="AA963" s="5">
        <v>0</v>
      </c>
      <c r="AB963" s="5">
        <v>0</v>
      </c>
      <c r="AC963" s="5">
        <v>0</v>
      </c>
      <c r="AD963" s="5">
        <v>0</v>
      </c>
      <c r="AE963" s="10" t="s">
        <v>73</v>
      </c>
      <c r="AF963" s="10"/>
      <c r="AG963" s="10" t="s">
        <v>64</v>
      </c>
      <c r="AH963" s="10">
        <v>40480</v>
      </c>
      <c r="AI963" s="5">
        <v>0</v>
      </c>
      <c r="AJ963" s="10" t="s">
        <v>50</v>
      </c>
      <c r="AK963" s="10" t="s">
        <v>50</v>
      </c>
    </row>
    <row r="964" spans="1:37" ht="36.75" customHeight="1" x14ac:dyDescent="0.35">
      <c r="A964" s="5"/>
      <c r="B964" s="5" t="s">
        <v>37</v>
      </c>
      <c r="C964" s="73" t="str">
        <f t="shared" si="15"/>
        <v>Closed</v>
      </c>
      <c r="D964" s="45" t="s">
        <v>5409</v>
      </c>
      <c r="E964" s="54" t="s">
        <v>5410</v>
      </c>
      <c r="F964" s="5" t="s">
        <v>1553</v>
      </c>
      <c r="G964" s="10">
        <f>DATE(2010,11,2)</f>
        <v>40484</v>
      </c>
      <c r="H964" s="35">
        <v>1.7222222222222223</v>
      </c>
      <c r="I964" s="5" t="s">
        <v>106</v>
      </c>
      <c r="J964" s="10" t="s">
        <v>5411</v>
      </c>
      <c r="K964" s="5" t="s">
        <v>1555</v>
      </c>
      <c r="L964" s="5" t="s">
        <v>5412</v>
      </c>
      <c r="M964" s="5" t="s">
        <v>45</v>
      </c>
      <c r="N964" s="5">
        <v>0</v>
      </c>
      <c r="O964" s="5" t="s">
        <v>46</v>
      </c>
      <c r="P964" s="10" t="s">
        <v>47</v>
      </c>
      <c r="Q964" s="10" t="s">
        <v>2393</v>
      </c>
      <c r="R964" s="10">
        <v>0</v>
      </c>
      <c r="S964" s="5">
        <v>0</v>
      </c>
      <c r="T964" s="37" t="s">
        <v>50</v>
      </c>
      <c r="U964" s="5">
        <v>0</v>
      </c>
      <c r="V964" s="37" t="s">
        <v>50</v>
      </c>
      <c r="W964" s="5">
        <v>0</v>
      </c>
      <c r="X964" s="5">
        <v>0</v>
      </c>
      <c r="Y964" s="5">
        <v>0</v>
      </c>
      <c r="Z964" s="37" t="s">
        <v>50</v>
      </c>
      <c r="AA964" s="5">
        <v>0</v>
      </c>
      <c r="AB964" s="5">
        <v>0</v>
      </c>
      <c r="AC964" s="5">
        <v>0</v>
      </c>
      <c r="AD964" s="5">
        <v>0</v>
      </c>
      <c r="AE964" s="10" t="s">
        <v>50</v>
      </c>
      <c r="AF964" s="10"/>
      <c r="AG964" s="10" t="s">
        <v>114</v>
      </c>
      <c r="AH964" s="10" t="s">
        <v>50</v>
      </c>
      <c r="AI964" s="5">
        <v>2</v>
      </c>
      <c r="AJ964" s="10" t="s">
        <v>5413</v>
      </c>
      <c r="AK964" s="10" t="s">
        <v>5414</v>
      </c>
    </row>
    <row r="965" spans="1:37" ht="36.75" customHeight="1" x14ac:dyDescent="0.35">
      <c r="A965" s="5"/>
      <c r="B965" s="5" t="s">
        <v>37</v>
      </c>
      <c r="C965" s="73" t="str">
        <f t="shared" si="15"/>
        <v>Closed</v>
      </c>
      <c r="D965" s="45" t="s">
        <v>5415</v>
      </c>
      <c r="E965" s="54" t="s">
        <v>5416</v>
      </c>
      <c r="F965" s="5" t="s">
        <v>816</v>
      </c>
      <c r="G965" s="10">
        <f>DATE(2010,11,4)</f>
        <v>40486</v>
      </c>
      <c r="H965" s="35">
        <v>1.4694444444444446</v>
      </c>
      <c r="I965" s="5" t="s">
        <v>85</v>
      </c>
      <c r="J965" s="10" t="s">
        <v>5417</v>
      </c>
      <c r="K965" s="5" t="s">
        <v>818</v>
      </c>
      <c r="L965" s="5" t="s">
        <v>5418</v>
      </c>
      <c r="M965" s="5" t="s">
        <v>45</v>
      </c>
      <c r="N965" s="5">
        <v>0</v>
      </c>
      <c r="O965" s="5" t="s">
        <v>59</v>
      </c>
      <c r="P965" s="10" t="s">
        <v>282</v>
      </c>
      <c r="Q965" s="10" t="s">
        <v>5419</v>
      </c>
      <c r="R965" s="10" t="s">
        <v>821</v>
      </c>
      <c r="S965" s="5">
        <v>0</v>
      </c>
      <c r="T965" s="37">
        <v>0</v>
      </c>
      <c r="U965" s="5">
        <v>0</v>
      </c>
      <c r="V965" s="37">
        <v>0</v>
      </c>
      <c r="W965" s="5">
        <v>0</v>
      </c>
      <c r="X965" s="5">
        <v>0</v>
      </c>
      <c r="Y965" s="5">
        <v>0</v>
      </c>
      <c r="Z965" s="37">
        <v>0</v>
      </c>
      <c r="AA965" s="5">
        <v>0</v>
      </c>
      <c r="AB965" s="5">
        <v>0</v>
      </c>
      <c r="AC965" s="5">
        <v>0</v>
      </c>
      <c r="AD965" s="5">
        <v>0</v>
      </c>
      <c r="AE965" s="10" t="s">
        <v>50</v>
      </c>
      <c r="AF965" s="10"/>
      <c r="AG965" s="10" t="s">
        <v>333</v>
      </c>
      <c r="AH965" s="10" t="s">
        <v>50</v>
      </c>
      <c r="AI965" s="5">
        <v>0</v>
      </c>
      <c r="AJ965" s="10" t="s">
        <v>50</v>
      </c>
      <c r="AK965" s="10" t="s">
        <v>50</v>
      </c>
    </row>
    <row r="966" spans="1:37" ht="36.75" customHeight="1" x14ac:dyDescent="0.35">
      <c r="A966" s="5"/>
      <c r="B966" s="5" t="s">
        <v>37</v>
      </c>
      <c r="C966" s="73" t="str">
        <f t="shared" si="15"/>
        <v>Closed</v>
      </c>
      <c r="D966" s="45" t="s">
        <v>5420</v>
      </c>
      <c r="E966" s="54" t="s">
        <v>5421</v>
      </c>
      <c r="F966" s="5" t="s">
        <v>358</v>
      </c>
      <c r="G966" s="10">
        <f>DATE(2010,11,4)</f>
        <v>40486</v>
      </c>
      <c r="H966" s="35">
        <v>1.9249999999999998</v>
      </c>
      <c r="I966" s="5" t="s">
        <v>67</v>
      </c>
      <c r="J966" s="10" t="s">
        <v>5422</v>
      </c>
      <c r="K966" s="5" t="s">
        <v>360</v>
      </c>
      <c r="L966" s="5" t="s">
        <v>5423</v>
      </c>
      <c r="M966" s="5" t="s">
        <v>45</v>
      </c>
      <c r="N966" s="5">
        <v>0</v>
      </c>
      <c r="O966" s="5" t="s">
        <v>46</v>
      </c>
      <c r="P966" s="10" t="s">
        <v>60</v>
      </c>
      <c r="Q966" s="10" t="s">
        <v>5424</v>
      </c>
      <c r="R966" s="10" t="s">
        <v>363</v>
      </c>
      <c r="S966" s="5">
        <v>0</v>
      </c>
      <c r="T966" s="37">
        <v>0</v>
      </c>
      <c r="U966" s="5">
        <v>0</v>
      </c>
      <c r="V966" s="37">
        <v>0</v>
      </c>
      <c r="W966" s="5">
        <v>0</v>
      </c>
      <c r="X966" s="5">
        <v>0</v>
      </c>
      <c r="Y966" s="5">
        <v>0</v>
      </c>
      <c r="Z966" s="37">
        <v>0</v>
      </c>
      <c r="AA966" s="5">
        <v>0</v>
      </c>
      <c r="AB966" s="5">
        <v>0</v>
      </c>
      <c r="AC966" s="5">
        <v>0</v>
      </c>
      <c r="AD966" s="5">
        <v>0</v>
      </c>
      <c r="AE966" s="10" t="s">
        <v>73</v>
      </c>
      <c r="AF966" s="10"/>
      <c r="AG966" s="10" t="s">
        <v>1489</v>
      </c>
      <c r="AH966" s="10" t="s">
        <v>50</v>
      </c>
      <c r="AI966" s="5">
        <v>2</v>
      </c>
      <c r="AJ966" s="10" t="s">
        <v>5425</v>
      </c>
      <c r="AK966" s="10" t="s">
        <v>50</v>
      </c>
    </row>
    <row r="967" spans="1:37" ht="36.75" customHeight="1" x14ac:dyDescent="0.35">
      <c r="A967" s="5"/>
      <c r="B967" s="5" t="s">
        <v>37</v>
      </c>
      <c r="C967" s="73" t="str">
        <f t="shared" si="15"/>
        <v>Closed</v>
      </c>
      <c r="D967" s="45" t="s">
        <v>5426</v>
      </c>
      <c r="E967" s="54" t="s">
        <v>5427</v>
      </c>
      <c r="F967" s="5" t="s">
        <v>214</v>
      </c>
      <c r="G967" s="10">
        <f>DATE(2010,11,5)</f>
        <v>40487</v>
      </c>
      <c r="H967" s="35">
        <v>1.6465277777777778</v>
      </c>
      <c r="I967" s="5" t="s">
        <v>137</v>
      </c>
      <c r="J967" s="10" t="s">
        <v>5428</v>
      </c>
      <c r="K967" s="5" t="s">
        <v>216</v>
      </c>
      <c r="L967" s="5" t="s">
        <v>5429</v>
      </c>
      <c r="M967" s="5" t="s">
        <v>45</v>
      </c>
      <c r="N967" s="5">
        <v>0</v>
      </c>
      <c r="O967" s="5" t="s">
        <v>46</v>
      </c>
      <c r="P967" s="10" t="s">
        <v>146</v>
      </c>
      <c r="Q967" s="10" t="s">
        <v>1063</v>
      </c>
      <c r="R967" s="10" t="s">
        <v>219</v>
      </c>
      <c r="S967" s="5">
        <v>0</v>
      </c>
      <c r="T967" s="37">
        <v>0</v>
      </c>
      <c r="U967" s="5">
        <v>0</v>
      </c>
      <c r="V967" s="37">
        <v>0</v>
      </c>
      <c r="W967" s="5">
        <v>0</v>
      </c>
      <c r="X967" s="5">
        <v>0</v>
      </c>
      <c r="Y967" s="5">
        <v>1</v>
      </c>
      <c r="Z967" s="37">
        <v>1</v>
      </c>
      <c r="AA967" s="5">
        <v>0</v>
      </c>
      <c r="AB967" s="5">
        <v>0</v>
      </c>
      <c r="AC967" s="5">
        <v>0</v>
      </c>
      <c r="AD967" s="5">
        <v>2</v>
      </c>
      <c r="AE967" s="10" t="s">
        <v>50</v>
      </c>
      <c r="AF967" s="10"/>
      <c r="AG967" s="10" t="s">
        <v>114</v>
      </c>
      <c r="AH967" s="10" t="s">
        <v>50</v>
      </c>
      <c r="AI967" s="5">
        <v>5</v>
      </c>
      <c r="AJ967" s="10" t="s">
        <v>5430</v>
      </c>
      <c r="AK967" s="10" t="s">
        <v>5431</v>
      </c>
    </row>
    <row r="968" spans="1:37" ht="36.75" customHeight="1" x14ac:dyDescent="0.35">
      <c r="A968" s="5"/>
      <c r="B968" s="5" t="s">
        <v>37</v>
      </c>
      <c r="C968" s="73" t="str">
        <f t="shared" si="15"/>
        <v>Closed</v>
      </c>
      <c r="D968" s="45" t="s">
        <v>5432</v>
      </c>
      <c r="E968" s="54" t="s">
        <v>5433</v>
      </c>
      <c r="F968" s="5" t="s">
        <v>2316</v>
      </c>
      <c r="G968" s="10">
        <f>DATE(2010,11,8)</f>
        <v>40490</v>
      </c>
      <c r="H968" s="35">
        <v>1.2291666666666667</v>
      </c>
      <c r="I968" s="5" t="s">
        <v>179</v>
      </c>
      <c r="J968" s="10" t="s">
        <v>5434</v>
      </c>
      <c r="K968" s="5" t="s">
        <v>2318</v>
      </c>
      <c r="L968" s="5" t="s">
        <v>5435</v>
      </c>
      <c r="M968" s="5" t="s">
        <v>45</v>
      </c>
      <c r="N968" s="5">
        <v>0</v>
      </c>
      <c r="O968" s="5" t="s">
        <v>59</v>
      </c>
      <c r="P968" s="10" t="s">
        <v>60</v>
      </c>
      <c r="Q968" s="10" t="s">
        <v>5436</v>
      </c>
      <c r="R968" s="10" t="s">
        <v>2321</v>
      </c>
      <c r="S968" s="5">
        <v>0</v>
      </c>
      <c r="T968" s="37" t="s">
        <v>50</v>
      </c>
      <c r="U968" s="5">
        <v>0</v>
      </c>
      <c r="V968" s="37" t="s">
        <v>50</v>
      </c>
      <c r="W968" s="5">
        <v>0</v>
      </c>
      <c r="X968" s="5">
        <v>0</v>
      </c>
      <c r="Y968" s="5">
        <v>0</v>
      </c>
      <c r="Z968" s="37" t="s">
        <v>50</v>
      </c>
      <c r="AA968" s="5">
        <v>0</v>
      </c>
      <c r="AB968" s="5">
        <v>0</v>
      </c>
      <c r="AC968" s="5">
        <v>0</v>
      </c>
      <c r="AD968" s="5">
        <v>0</v>
      </c>
      <c r="AE968" s="10" t="s">
        <v>50</v>
      </c>
      <c r="AF968" s="10"/>
      <c r="AG968" s="10" t="s">
        <v>64</v>
      </c>
      <c r="AH968" s="10" t="s">
        <v>50</v>
      </c>
      <c r="AI968" s="5">
        <v>10</v>
      </c>
      <c r="AJ968" s="10" t="s">
        <v>5437</v>
      </c>
      <c r="AK968" s="10" t="s">
        <v>5438</v>
      </c>
    </row>
    <row r="969" spans="1:37" ht="36.75" customHeight="1" x14ac:dyDescent="0.35">
      <c r="A969" s="5"/>
      <c r="B969" s="5" t="s">
        <v>37</v>
      </c>
      <c r="C969" s="73" t="str">
        <f t="shared" si="15"/>
        <v>Closed</v>
      </c>
      <c r="D969" s="45" t="s">
        <v>5439</v>
      </c>
      <c r="E969" s="54" t="s">
        <v>5440</v>
      </c>
      <c r="F969" s="5" t="s">
        <v>214</v>
      </c>
      <c r="G969" s="10">
        <f>DATE(2010,11,8)</f>
        <v>40490</v>
      </c>
      <c r="H969" s="35">
        <v>1.3402777777777777</v>
      </c>
      <c r="I969" s="5" t="s">
        <v>67</v>
      </c>
      <c r="J969" s="10" t="s">
        <v>5441</v>
      </c>
      <c r="K969" s="5" t="s">
        <v>216</v>
      </c>
      <c r="L969" s="5" t="s">
        <v>5442</v>
      </c>
      <c r="M969" s="5" t="s">
        <v>45</v>
      </c>
      <c r="N969" s="5">
        <v>0</v>
      </c>
      <c r="O969" s="5" t="s">
        <v>46</v>
      </c>
      <c r="P969" s="10" t="s">
        <v>146</v>
      </c>
      <c r="Q969" s="10" t="s">
        <v>1503</v>
      </c>
      <c r="R969" s="10" t="s">
        <v>219</v>
      </c>
      <c r="S969" s="5">
        <v>0</v>
      </c>
      <c r="T969" s="37" t="s">
        <v>50</v>
      </c>
      <c r="U969" s="5">
        <v>0</v>
      </c>
      <c r="V969" s="37" t="s">
        <v>50</v>
      </c>
      <c r="W969" s="5">
        <v>0</v>
      </c>
      <c r="X969" s="5">
        <v>0</v>
      </c>
      <c r="Y969" s="5">
        <v>0</v>
      </c>
      <c r="Z969" s="37" t="s">
        <v>50</v>
      </c>
      <c r="AA969" s="5">
        <v>0</v>
      </c>
      <c r="AB969" s="5">
        <v>0</v>
      </c>
      <c r="AC969" s="5">
        <v>0</v>
      </c>
      <c r="AD969" s="5">
        <v>0</v>
      </c>
      <c r="AE969" s="10" t="s">
        <v>50</v>
      </c>
      <c r="AF969" s="10"/>
      <c r="AG969" s="10" t="s">
        <v>114</v>
      </c>
      <c r="AH969" s="10" t="s">
        <v>50</v>
      </c>
      <c r="AI969" s="5">
        <v>3</v>
      </c>
      <c r="AJ969" s="10" t="s">
        <v>5443</v>
      </c>
      <c r="AK969" s="10" t="s">
        <v>5444</v>
      </c>
    </row>
    <row r="970" spans="1:37" ht="36.75" customHeight="1" x14ac:dyDescent="0.35">
      <c r="A970" s="5"/>
      <c r="B970" s="5" t="s">
        <v>37</v>
      </c>
      <c r="C970" s="73" t="str">
        <f t="shared" si="15"/>
        <v>Closed</v>
      </c>
      <c r="D970" s="45" t="s">
        <v>5445</v>
      </c>
      <c r="E970" s="54" t="s">
        <v>5446</v>
      </c>
      <c r="F970" s="5" t="s">
        <v>619</v>
      </c>
      <c r="G970" s="10">
        <f>DATE(2010,11,10)</f>
        <v>40492</v>
      </c>
      <c r="H970" s="35">
        <v>1.7638888888888888</v>
      </c>
      <c r="I970" s="5" t="s">
        <v>55</v>
      </c>
      <c r="J970" s="10" t="s">
        <v>5447</v>
      </c>
      <c r="K970" s="5" t="s">
        <v>621</v>
      </c>
      <c r="L970" s="5" t="s">
        <v>5448</v>
      </c>
      <c r="M970" s="5" t="s">
        <v>45</v>
      </c>
      <c r="N970" s="5">
        <v>0</v>
      </c>
      <c r="O970" s="5" t="s">
        <v>59</v>
      </c>
      <c r="P970" s="10" t="s">
        <v>60</v>
      </c>
      <c r="Q970" s="10" t="s">
        <v>623</v>
      </c>
      <c r="R970" s="10" t="s">
        <v>624</v>
      </c>
      <c r="S970" s="5">
        <v>0</v>
      </c>
      <c r="T970" s="37" t="s">
        <v>50</v>
      </c>
      <c r="U970" s="5">
        <v>0</v>
      </c>
      <c r="V970" s="37" t="s">
        <v>50</v>
      </c>
      <c r="W970" s="5">
        <v>0</v>
      </c>
      <c r="X970" s="5">
        <v>0</v>
      </c>
      <c r="Y970" s="5">
        <v>0</v>
      </c>
      <c r="Z970" s="37" t="s">
        <v>50</v>
      </c>
      <c r="AA970" s="5">
        <v>0</v>
      </c>
      <c r="AB970" s="5">
        <v>0</v>
      </c>
      <c r="AC970" s="5">
        <v>0</v>
      </c>
      <c r="AD970" s="5">
        <v>0</v>
      </c>
      <c r="AE970" s="10" t="s">
        <v>50</v>
      </c>
      <c r="AF970" s="10"/>
      <c r="AG970" s="10" t="s">
        <v>333</v>
      </c>
      <c r="AH970" s="10" t="s">
        <v>50</v>
      </c>
      <c r="AI970" s="5">
        <v>2</v>
      </c>
      <c r="AJ970" s="10" t="s">
        <v>5449</v>
      </c>
      <c r="AK970" s="10" t="s">
        <v>50</v>
      </c>
    </row>
    <row r="971" spans="1:37" ht="36.75" customHeight="1" x14ac:dyDescent="0.35">
      <c r="A971" s="5"/>
      <c r="B971" s="5" t="s">
        <v>37</v>
      </c>
      <c r="C971" s="73" t="str">
        <f t="shared" si="15"/>
        <v>Closed</v>
      </c>
      <c r="D971" s="45" t="s">
        <v>5450</v>
      </c>
      <c r="E971" s="54" t="s">
        <v>5451</v>
      </c>
      <c r="F971" s="5" t="s">
        <v>619</v>
      </c>
      <c r="G971" s="10">
        <f>DATE(2010,11,11)</f>
        <v>40493</v>
      </c>
      <c r="H971" s="35">
        <v>1.0659722222222223</v>
      </c>
      <c r="I971" s="5" t="s">
        <v>55</v>
      </c>
      <c r="J971" s="10" t="s">
        <v>5452</v>
      </c>
      <c r="K971" s="5" t="s">
        <v>621</v>
      </c>
      <c r="L971" s="5" t="s">
        <v>5453</v>
      </c>
      <c r="M971" s="5" t="s">
        <v>45</v>
      </c>
      <c r="N971" s="5">
        <v>0</v>
      </c>
      <c r="O971" s="5" t="s">
        <v>46</v>
      </c>
      <c r="P971" s="10" t="s">
        <v>60</v>
      </c>
      <c r="Q971" s="10" t="s">
        <v>623</v>
      </c>
      <c r="R971" s="10" t="s">
        <v>624</v>
      </c>
      <c r="S971" s="5">
        <v>0</v>
      </c>
      <c r="T971" s="37" t="s">
        <v>50</v>
      </c>
      <c r="U971" s="5">
        <v>0</v>
      </c>
      <c r="V971" s="37" t="s">
        <v>50</v>
      </c>
      <c r="W971" s="5">
        <v>0</v>
      </c>
      <c r="X971" s="5">
        <v>0</v>
      </c>
      <c r="Y971" s="5">
        <v>0</v>
      </c>
      <c r="Z971" s="37" t="s">
        <v>50</v>
      </c>
      <c r="AA971" s="5">
        <v>0</v>
      </c>
      <c r="AB971" s="5">
        <v>0</v>
      </c>
      <c r="AC971" s="5">
        <v>0</v>
      </c>
      <c r="AD971" s="5">
        <v>0</v>
      </c>
      <c r="AE971" s="10" t="s">
        <v>50</v>
      </c>
      <c r="AF971" s="10"/>
      <c r="AG971" s="10" t="s">
        <v>333</v>
      </c>
      <c r="AH971" s="10" t="s">
        <v>50</v>
      </c>
      <c r="AI971" s="5">
        <v>5</v>
      </c>
      <c r="AJ971" s="10" t="s">
        <v>5454</v>
      </c>
      <c r="AK971" s="10" t="s">
        <v>50</v>
      </c>
    </row>
    <row r="972" spans="1:37" ht="36.75" customHeight="1" x14ac:dyDescent="0.35">
      <c r="A972" s="5"/>
      <c r="B972" s="5" t="s">
        <v>37</v>
      </c>
      <c r="C972" s="73" t="str">
        <f t="shared" si="15"/>
        <v>Closed</v>
      </c>
      <c r="D972" s="45" t="s">
        <v>5455</v>
      </c>
      <c r="E972" s="54" t="s">
        <v>5456</v>
      </c>
      <c r="F972" s="5" t="s">
        <v>816</v>
      </c>
      <c r="G972" s="10">
        <f>DATE(2010,11,15)</f>
        <v>40497</v>
      </c>
      <c r="H972" s="35">
        <v>1.4597222222222221</v>
      </c>
      <c r="I972" s="5" t="s">
        <v>97</v>
      </c>
      <c r="J972" s="10" t="s">
        <v>5457</v>
      </c>
      <c r="K972" s="5" t="s">
        <v>818</v>
      </c>
      <c r="L972" s="5" t="s">
        <v>5458</v>
      </c>
      <c r="M972" s="5" t="s">
        <v>45</v>
      </c>
      <c r="N972" s="5">
        <v>0</v>
      </c>
      <c r="O972" s="5" t="s">
        <v>46</v>
      </c>
      <c r="P972" s="10" t="s">
        <v>47</v>
      </c>
      <c r="Q972" s="10" t="s">
        <v>2142</v>
      </c>
      <c r="R972" s="10" t="s">
        <v>821</v>
      </c>
      <c r="S972" s="5">
        <v>0</v>
      </c>
      <c r="T972" s="37">
        <v>0</v>
      </c>
      <c r="U972" s="5">
        <v>1</v>
      </c>
      <c r="V972" s="37">
        <v>0</v>
      </c>
      <c r="W972" s="5">
        <v>0</v>
      </c>
      <c r="X972" s="5">
        <v>1</v>
      </c>
      <c r="Y972" s="5">
        <v>0</v>
      </c>
      <c r="Z972" s="37">
        <v>0</v>
      </c>
      <c r="AA972" s="5">
        <v>0</v>
      </c>
      <c r="AB972" s="5">
        <v>0</v>
      </c>
      <c r="AC972" s="5">
        <v>0</v>
      </c>
      <c r="AD972" s="5">
        <v>0</v>
      </c>
      <c r="AE972" s="10" t="s">
        <v>50</v>
      </c>
      <c r="AF972" s="10"/>
      <c r="AG972" s="10" t="s">
        <v>333</v>
      </c>
      <c r="AH972" s="10" t="s">
        <v>50</v>
      </c>
      <c r="AI972" s="5">
        <v>0</v>
      </c>
      <c r="AJ972" s="10" t="s">
        <v>50</v>
      </c>
      <c r="AK972" s="10" t="s">
        <v>50</v>
      </c>
    </row>
    <row r="973" spans="1:37" ht="36.75" customHeight="1" x14ac:dyDescent="0.35">
      <c r="A973" s="5"/>
      <c r="B973" s="5" t="s">
        <v>37</v>
      </c>
      <c r="C973" s="73" t="str">
        <f t="shared" si="15"/>
        <v>Closed</v>
      </c>
      <c r="D973" s="45" t="s">
        <v>5459</v>
      </c>
      <c r="E973" s="54" t="s">
        <v>5460</v>
      </c>
      <c r="F973" s="5" t="s">
        <v>1553</v>
      </c>
      <c r="G973" s="10">
        <f>DATE(2010,11,15)</f>
        <v>40497</v>
      </c>
      <c r="H973" s="35">
        <v>1.1840277777777777</v>
      </c>
      <c r="I973" s="5" t="s">
        <v>55</v>
      </c>
      <c r="J973" s="10" t="s">
        <v>5461</v>
      </c>
      <c r="K973" s="5" t="s">
        <v>1555</v>
      </c>
      <c r="L973" s="5" t="s">
        <v>5462</v>
      </c>
      <c r="M973" s="5" t="s">
        <v>45</v>
      </c>
      <c r="N973" s="5">
        <v>0</v>
      </c>
      <c r="O973" s="5" t="s">
        <v>59</v>
      </c>
      <c r="P973" s="10" t="s">
        <v>60</v>
      </c>
      <c r="Q973" s="10" t="s">
        <v>5107</v>
      </c>
      <c r="R973" s="10">
        <v>0</v>
      </c>
      <c r="S973" s="5">
        <v>0</v>
      </c>
      <c r="T973" s="37" t="s">
        <v>50</v>
      </c>
      <c r="U973" s="5">
        <v>0</v>
      </c>
      <c r="V973" s="37" t="s">
        <v>50</v>
      </c>
      <c r="W973" s="5">
        <v>0</v>
      </c>
      <c r="X973" s="5">
        <v>0</v>
      </c>
      <c r="Y973" s="5">
        <v>0</v>
      </c>
      <c r="Z973" s="37" t="s">
        <v>50</v>
      </c>
      <c r="AA973" s="5">
        <v>0</v>
      </c>
      <c r="AB973" s="5">
        <v>0</v>
      </c>
      <c r="AC973" s="5">
        <v>0</v>
      </c>
      <c r="AD973" s="5">
        <v>0</v>
      </c>
      <c r="AE973" s="10" t="s">
        <v>50</v>
      </c>
      <c r="AF973" s="10"/>
      <c r="AG973" s="10" t="s">
        <v>114</v>
      </c>
      <c r="AH973" s="10" t="s">
        <v>50</v>
      </c>
      <c r="AI973" s="5">
        <v>3</v>
      </c>
      <c r="AJ973" s="10" t="s">
        <v>5463</v>
      </c>
      <c r="AK973" s="10" t="s">
        <v>5464</v>
      </c>
    </row>
    <row r="974" spans="1:37" ht="36.75" customHeight="1" x14ac:dyDescent="0.35">
      <c r="A974" s="5"/>
      <c r="B974" s="5" t="s">
        <v>37</v>
      </c>
      <c r="C974" s="73" t="str">
        <f t="shared" si="15"/>
        <v>Closed</v>
      </c>
      <c r="D974" s="45" t="s">
        <v>5465</v>
      </c>
      <c r="E974" s="54" t="s">
        <v>5466</v>
      </c>
      <c r="F974" s="5" t="s">
        <v>1553</v>
      </c>
      <c r="G974" s="10">
        <f>DATE(2010,11,17)</f>
        <v>40499</v>
      </c>
      <c r="H974" s="35">
        <v>1.8527777777777779</v>
      </c>
      <c r="I974" s="5" t="s">
        <v>55</v>
      </c>
      <c r="J974" s="10" t="s">
        <v>5467</v>
      </c>
      <c r="K974" s="5" t="s">
        <v>1555</v>
      </c>
      <c r="L974" s="5" t="s">
        <v>5468</v>
      </c>
      <c r="M974" s="5" t="s">
        <v>110</v>
      </c>
      <c r="N974" s="5">
        <v>0</v>
      </c>
      <c r="O974" s="5" t="s">
        <v>46</v>
      </c>
      <c r="P974" s="10" t="s">
        <v>67</v>
      </c>
      <c r="Q974" s="10" t="s">
        <v>5469</v>
      </c>
      <c r="R974" s="10" t="s">
        <v>5469</v>
      </c>
      <c r="S974" s="5">
        <v>0</v>
      </c>
      <c r="T974" s="37" t="s">
        <v>50</v>
      </c>
      <c r="U974" s="5">
        <v>0</v>
      </c>
      <c r="V974" s="37" t="s">
        <v>50</v>
      </c>
      <c r="W974" s="5">
        <v>0</v>
      </c>
      <c r="X974" s="5">
        <v>0</v>
      </c>
      <c r="Y974" s="5">
        <v>0</v>
      </c>
      <c r="Z974" s="37" t="s">
        <v>50</v>
      </c>
      <c r="AA974" s="5">
        <v>0</v>
      </c>
      <c r="AB974" s="5">
        <v>0</v>
      </c>
      <c r="AC974" s="5">
        <v>0</v>
      </c>
      <c r="AD974" s="5">
        <v>0</v>
      </c>
      <c r="AE974" s="10" t="s">
        <v>50</v>
      </c>
      <c r="AF974" s="10"/>
      <c r="AG974" s="10" t="s">
        <v>348</v>
      </c>
      <c r="AH974" s="10" t="s">
        <v>50</v>
      </c>
      <c r="AI974" s="5">
        <v>0</v>
      </c>
      <c r="AJ974" s="10" t="s">
        <v>5470</v>
      </c>
      <c r="AK974" s="10" t="s">
        <v>50</v>
      </c>
    </row>
    <row r="975" spans="1:37" ht="36.75" customHeight="1" x14ac:dyDescent="0.35">
      <c r="A975" s="5"/>
      <c r="B975" s="5" t="s">
        <v>37</v>
      </c>
      <c r="C975" s="73" t="str">
        <f t="shared" si="15"/>
        <v>Closed</v>
      </c>
      <c r="D975" s="45" t="s">
        <v>5471</v>
      </c>
      <c r="E975" s="54" t="s">
        <v>5472</v>
      </c>
      <c r="F975" s="5" t="s">
        <v>119</v>
      </c>
      <c r="G975" s="10">
        <f>DATE(2010,11,17)</f>
        <v>40499</v>
      </c>
      <c r="H975" s="35">
        <v>1.1409722222222223</v>
      </c>
      <c r="I975" s="5" t="s">
        <v>5473</v>
      </c>
      <c r="J975" s="10" t="s">
        <v>5474</v>
      </c>
      <c r="K975" s="5" t="s">
        <v>121</v>
      </c>
      <c r="L975" s="5" t="s">
        <v>5475</v>
      </c>
      <c r="M975" s="5" t="s">
        <v>45</v>
      </c>
      <c r="N975" s="5" t="s">
        <v>70</v>
      </c>
      <c r="O975" s="5" t="s">
        <v>59</v>
      </c>
      <c r="P975" s="10" t="s">
        <v>47</v>
      </c>
      <c r="Q975" s="10" t="s">
        <v>2015</v>
      </c>
      <c r="R975" s="10" t="s">
        <v>4913</v>
      </c>
      <c r="S975" s="5">
        <v>0</v>
      </c>
      <c r="T975" s="37">
        <v>0</v>
      </c>
      <c r="U975" s="5">
        <v>0</v>
      </c>
      <c r="V975" s="37">
        <v>0</v>
      </c>
      <c r="W975" s="5">
        <v>0</v>
      </c>
      <c r="X975" s="5">
        <v>0</v>
      </c>
      <c r="Y975" s="5">
        <v>0</v>
      </c>
      <c r="Z975" s="37">
        <v>0</v>
      </c>
      <c r="AA975" s="5">
        <v>0</v>
      </c>
      <c r="AB975" s="5">
        <v>0</v>
      </c>
      <c r="AC975" s="5">
        <v>0</v>
      </c>
      <c r="AD975" s="5">
        <v>0</v>
      </c>
      <c r="AE975" s="10" t="s">
        <v>50</v>
      </c>
      <c r="AF975" s="10"/>
      <c r="AG975" s="10" t="s">
        <v>114</v>
      </c>
      <c r="AH975" s="10">
        <v>40499</v>
      </c>
      <c r="AI975" s="5">
        <v>1</v>
      </c>
      <c r="AJ975" s="10" t="s">
        <v>5476</v>
      </c>
      <c r="AK975" s="10" t="s">
        <v>5477</v>
      </c>
    </row>
    <row r="976" spans="1:37" ht="36.75" customHeight="1" x14ac:dyDescent="0.35">
      <c r="A976" s="5"/>
      <c r="B976" s="5" t="s">
        <v>37</v>
      </c>
      <c r="C976" s="73" t="str">
        <f t="shared" si="15"/>
        <v>Closed</v>
      </c>
      <c r="D976" s="45" t="s">
        <v>5478</v>
      </c>
      <c r="E976" s="54" t="s">
        <v>5479</v>
      </c>
      <c r="F976" s="5" t="s">
        <v>816</v>
      </c>
      <c r="G976" s="10">
        <f>DATE(2010,11,19)</f>
        <v>40501</v>
      </c>
      <c r="H976" s="35">
        <v>1.8958333333333335</v>
      </c>
      <c r="I976" s="5" t="s">
        <v>106</v>
      </c>
      <c r="J976" s="10" t="s">
        <v>5480</v>
      </c>
      <c r="K976" s="5" t="s">
        <v>818</v>
      </c>
      <c r="L976" s="5" t="s">
        <v>5481</v>
      </c>
      <c r="M976" s="5" t="s">
        <v>45</v>
      </c>
      <c r="N976" s="5">
        <v>0</v>
      </c>
      <c r="O976" s="5" t="s">
        <v>46</v>
      </c>
      <c r="P976" s="10" t="s">
        <v>146</v>
      </c>
      <c r="Q976" s="10" t="s">
        <v>4190</v>
      </c>
      <c r="R976" s="10" t="s">
        <v>4190</v>
      </c>
      <c r="S976" s="5">
        <v>0</v>
      </c>
      <c r="T976" s="37" t="s">
        <v>50</v>
      </c>
      <c r="U976" s="5">
        <v>0</v>
      </c>
      <c r="V976" s="37" t="s">
        <v>50</v>
      </c>
      <c r="W976" s="5">
        <v>0</v>
      </c>
      <c r="X976" s="5">
        <v>0</v>
      </c>
      <c r="Y976" s="5">
        <v>0</v>
      </c>
      <c r="Z976" s="37" t="s">
        <v>50</v>
      </c>
      <c r="AA976" s="5">
        <v>0</v>
      </c>
      <c r="AB976" s="5">
        <v>0</v>
      </c>
      <c r="AC976" s="5">
        <v>0</v>
      </c>
      <c r="AD976" s="5">
        <v>0</v>
      </c>
      <c r="AE976" s="10" t="s">
        <v>50</v>
      </c>
      <c r="AF976" s="10"/>
      <c r="AG976" s="10" t="s">
        <v>333</v>
      </c>
      <c r="AH976" s="10" t="s">
        <v>50</v>
      </c>
      <c r="AI976" s="5">
        <v>0</v>
      </c>
      <c r="AJ976" s="10" t="s">
        <v>50</v>
      </c>
      <c r="AK976" s="10" t="s">
        <v>50</v>
      </c>
    </row>
    <row r="977" spans="1:37" ht="36.75" customHeight="1" x14ac:dyDescent="0.35">
      <c r="A977" s="5"/>
      <c r="B977" s="5" t="s">
        <v>37</v>
      </c>
      <c r="C977" s="73" t="str">
        <f t="shared" si="15"/>
        <v>Closed</v>
      </c>
      <c r="D977" s="45" t="s">
        <v>5482</v>
      </c>
      <c r="E977" s="54" t="s">
        <v>5483</v>
      </c>
      <c r="F977" s="5" t="s">
        <v>816</v>
      </c>
      <c r="G977" s="10">
        <f>DATE(2010,11,23)</f>
        <v>40505</v>
      </c>
      <c r="H977" s="35">
        <v>1.6930555555555555</v>
      </c>
      <c r="I977" s="5" t="s">
        <v>97</v>
      </c>
      <c r="J977" s="10" t="s">
        <v>5484</v>
      </c>
      <c r="K977" s="5" t="s">
        <v>818</v>
      </c>
      <c r="L977" s="5" t="s">
        <v>5485</v>
      </c>
      <c r="M977" s="5" t="s">
        <v>45</v>
      </c>
      <c r="N977" s="5">
        <v>0</v>
      </c>
      <c r="O977" s="5" t="s">
        <v>46</v>
      </c>
      <c r="P977" s="10" t="s">
        <v>146</v>
      </c>
      <c r="Q977" s="10" t="s">
        <v>2142</v>
      </c>
      <c r="R977" s="10" t="s">
        <v>821</v>
      </c>
      <c r="S977" s="5">
        <v>0</v>
      </c>
      <c r="T977" s="37">
        <v>0</v>
      </c>
      <c r="U977" s="5">
        <v>0</v>
      </c>
      <c r="V977" s="37">
        <v>0</v>
      </c>
      <c r="W977" s="5">
        <v>0</v>
      </c>
      <c r="X977" s="5">
        <v>0</v>
      </c>
      <c r="Y977" s="5">
        <v>0</v>
      </c>
      <c r="Z977" s="37">
        <v>0</v>
      </c>
      <c r="AA977" s="5">
        <v>2</v>
      </c>
      <c r="AB977" s="5">
        <v>0</v>
      </c>
      <c r="AC977" s="5">
        <v>0</v>
      </c>
      <c r="AD977" s="5">
        <v>2</v>
      </c>
      <c r="AE977" s="10" t="s">
        <v>50</v>
      </c>
      <c r="AF977" s="10"/>
      <c r="AG977" s="10" t="s">
        <v>333</v>
      </c>
      <c r="AH977" s="10" t="s">
        <v>50</v>
      </c>
      <c r="AI977" s="5">
        <v>0</v>
      </c>
      <c r="AJ977" s="10" t="s">
        <v>50</v>
      </c>
      <c r="AK977" s="10" t="s">
        <v>50</v>
      </c>
    </row>
    <row r="978" spans="1:37" ht="36.75" customHeight="1" x14ac:dyDescent="0.35">
      <c r="A978" s="5"/>
      <c r="B978" s="5" t="s">
        <v>37</v>
      </c>
      <c r="C978" s="73" t="str">
        <f t="shared" si="15"/>
        <v>Closed</v>
      </c>
      <c r="D978" s="45" t="s">
        <v>5486</v>
      </c>
      <c r="E978" s="54" t="s">
        <v>5487</v>
      </c>
      <c r="F978" s="5" t="s">
        <v>1553</v>
      </c>
      <c r="G978" s="10">
        <f>DATE(2010,11,25)</f>
        <v>40507</v>
      </c>
      <c r="H978" s="35">
        <v>1.5833333333333335</v>
      </c>
      <c r="I978" s="5" t="s">
        <v>55</v>
      </c>
      <c r="J978" s="10" t="s">
        <v>5488</v>
      </c>
      <c r="K978" s="5" t="s">
        <v>1555</v>
      </c>
      <c r="L978" s="5" t="s">
        <v>5489</v>
      </c>
      <c r="M978" s="5" t="s">
        <v>45</v>
      </c>
      <c r="N978" s="5">
        <v>0</v>
      </c>
      <c r="O978" s="5" t="s">
        <v>46</v>
      </c>
      <c r="P978" s="10" t="s">
        <v>60</v>
      </c>
      <c r="Q978" s="10" t="s">
        <v>5245</v>
      </c>
      <c r="R978" s="10">
        <v>0</v>
      </c>
      <c r="S978" s="5">
        <v>0</v>
      </c>
      <c r="T978" s="37" t="s">
        <v>50</v>
      </c>
      <c r="U978" s="5">
        <v>0</v>
      </c>
      <c r="V978" s="37" t="s">
        <v>50</v>
      </c>
      <c r="W978" s="5">
        <v>0</v>
      </c>
      <c r="X978" s="5">
        <v>0</v>
      </c>
      <c r="Y978" s="5">
        <v>0</v>
      </c>
      <c r="Z978" s="37" t="s">
        <v>50</v>
      </c>
      <c r="AA978" s="5">
        <v>0</v>
      </c>
      <c r="AB978" s="5">
        <v>0</v>
      </c>
      <c r="AC978" s="5">
        <v>0</v>
      </c>
      <c r="AD978" s="5">
        <v>0</v>
      </c>
      <c r="AE978" s="10" t="s">
        <v>50</v>
      </c>
      <c r="AF978" s="10"/>
      <c r="AG978" s="10" t="s">
        <v>114</v>
      </c>
      <c r="AH978" s="10" t="s">
        <v>50</v>
      </c>
      <c r="AI978" s="5">
        <v>0</v>
      </c>
      <c r="AJ978" s="10" t="s">
        <v>5490</v>
      </c>
      <c r="AK978" s="10" t="s">
        <v>5491</v>
      </c>
    </row>
    <row r="979" spans="1:37" ht="36.75" customHeight="1" x14ac:dyDescent="0.35">
      <c r="A979" s="5"/>
      <c r="B979" s="5" t="s">
        <v>37</v>
      </c>
      <c r="C979" s="73" t="str">
        <f t="shared" si="15"/>
        <v>Closed</v>
      </c>
      <c r="D979" s="45" t="s">
        <v>5492</v>
      </c>
      <c r="E979" s="54" t="s">
        <v>5493</v>
      </c>
      <c r="F979" s="5" t="s">
        <v>563</v>
      </c>
      <c r="G979" s="10">
        <f>DATE(2010,11,28)</f>
        <v>40510</v>
      </c>
      <c r="H979" s="35">
        <v>1.1194444444444445</v>
      </c>
      <c r="I979" s="5" t="s">
        <v>67</v>
      </c>
      <c r="J979" s="10" t="s">
        <v>5494</v>
      </c>
      <c r="K979" s="5" t="s">
        <v>565</v>
      </c>
      <c r="L979" s="5" t="s">
        <v>5495</v>
      </c>
      <c r="M979" s="5" t="s">
        <v>45</v>
      </c>
      <c r="N979" s="5">
        <v>0</v>
      </c>
      <c r="O979" s="5" t="s">
        <v>46</v>
      </c>
      <c r="P979" s="10" t="s">
        <v>72</v>
      </c>
      <c r="Q979" s="10" t="s">
        <v>5131</v>
      </c>
      <c r="R979" s="10" t="s">
        <v>568</v>
      </c>
      <c r="S979" s="5">
        <v>0</v>
      </c>
      <c r="T979" s="37" t="s">
        <v>50</v>
      </c>
      <c r="U979" s="5">
        <v>0</v>
      </c>
      <c r="V979" s="37" t="s">
        <v>50</v>
      </c>
      <c r="W979" s="5">
        <v>0</v>
      </c>
      <c r="X979" s="5">
        <v>0</v>
      </c>
      <c r="Y979" s="5">
        <v>0</v>
      </c>
      <c r="Z979" s="37" t="s">
        <v>50</v>
      </c>
      <c r="AA979" s="5">
        <v>0</v>
      </c>
      <c r="AB979" s="5">
        <v>0</v>
      </c>
      <c r="AC979" s="5">
        <v>0</v>
      </c>
      <c r="AD979" s="5">
        <v>0</v>
      </c>
      <c r="AE979" s="10" t="s">
        <v>50</v>
      </c>
      <c r="AF979" s="10"/>
      <c r="AG979" s="10" t="s">
        <v>64</v>
      </c>
      <c r="AH979" s="10" t="s">
        <v>50</v>
      </c>
      <c r="AI979" s="5">
        <v>0</v>
      </c>
      <c r="AJ979" s="10" t="s">
        <v>5496</v>
      </c>
      <c r="AK979" s="10" t="s">
        <v>50</v>
      </c>
    </row>
    <row r="980" spans="1:37" ht="36.75" customHeight="1" x14ac:dyDescent="0.35">
      <c r="A980" s="5"/>
      <c r="B980" s="5" t="s">
        <v>37</v>
      </c>
      <c r="C980" s="73" t="str">
        <f t="shared" si="15"/>
        <v>Closed</v>
      </c>
      <c r="D980" s="45" t="s">
        <v>5497</v>
      </c>
      <c r="E980" s="54" t="s">
        <v>5498</v>
      </c>
      <c r="F980" s="5" t="s">
        <v>105</v>
      </c>
      <c r="G980" s="10">
        <f>DATE(2010,12,1)</f>
        <v>40513</v>
      </c>
      <c r="H980" s="35">
        <v>1.2479166666666668</v>
      </c>
      <c r="I980" s="5" t="s">
        <v>55</v>
      </c>
      <c r="J980" s="10" t="s">
        <v>5499</v>
      </c>
      <c r="K980" s="5" t="s">
        <v>108</v>
      </c>
      <c r="L980" s="5" t="s">
        <v>5500</v>
      </c>
      <c r="M980" s="5" t="s">
        <v>110</v>
      </c>
      <c r="N980" s="5">
        <v>0</v>
      </c>
      <c r="O980" s="5" t="s">
        <v>59</v>
      </c>
      <c r="P980" s="10" t="s">
        <v>67</v>
      </c>
      <c r="Q980" s="10" t="s">
        <v>111</v>
      </c>
      <c r="R980" s="10" t="s">
        <v>112</v>
      </c>
      <c r="S980" s="5">
        <v>0</v>
      </c>
      <c r="T980" s="37" t="s">
        <v>50</v>
      </c>
      <c r="U980" s="5">
        <v>0</v>
      </c>
      <c r="V980" s="37" t="s">
        <v>50</v>
      </c>
      <c r="W980" s="5">
        <v>0</v>
      </c>
      <c r="X980" s="5">
        <v>0</v>
      </c>
      <c r="Y980" s="5">
        <v>0</v>
      </c>
      <c r="Z980" s="37" t="s">
        <v>50</v>
      </c>
      <c r="AA980" s="5">
        <v>0</v>
      </c>
      <c r="AB980" s="5">
        <v>0</v>
      </c>
      <c r="AC980" s="5">
        <v>0</v>
      </c>
      <c r="AD980" s="5">
        <v>0</v>
      </c>
      <c r="AE980" s="10" t="s">
        <v>50</v>
      </c>
      <c r="AF980" s="10"/>
      <c r="AG980" s="10" t="s">
        <v>348</v>
      </c>
      <c r="AH980" s="10" t="s">
        <v>50</v>
      </c>
      <c r="AI980" s="5">
        <v>1</v>
      </c>
      <c r="AJ980" s="10" t="s">
        <v>50</v>
      </c>
      <c r="AK980" s="10" t="s">
        <v>50</v>
      </c>
    </row>
    <row r="981" spans="1:37" ht="36.75" customHeight="1" x14ac:dyDescent="0.35">
      <c r="A981" s="5"/>
      <c r="B981" s="5" t="s">
        <v>37</v>
      </c>
      <c r="C981" s="73" t="str">
        <f t="shared" si="15"/>
        <v>Closed</v>
      </c>
      <c r="D981" s="45" t="s">
        <v>5501</v>
      </c>
      <c r="E981" s="54" t="s">
        <v>5502</v>
      </c>
      <c r="F981" s="5" t="s">
        <v>432</v>
      </c>
      <c r="G981" s="10">
        <f>DATE(2010,12,3)</f>
        <v>40515</v>
      </c>
      <c r="H981" s="35">
        <v>1.3208333333333333</v>
      </c>
      <c r="I981" s="5" t="s">
        <v>97</v>
      </c>
      <c r="J981" s="10" t="s">
        <v>5503</v>
      </c>
      <c r="K981" s="5" t="s">
        <v>434</v>
      </c>
      <c r="L981" s="5" t="s">
        <v>5504</v>
      </c>
      <c r="M981" s="5" t="s">
        <v>45</v>
      </c>
      <c r="N981" s="5" t="s">
        <v>80</v>
      </c>
      <c r="O981" s="5" t="s">
        <v>59</v>
      </c>
      <c r="P981" s="10" t="s">
        <v>146</v>
      </c>
      <c r="Q981" s="10" t="s">
        <v>552</v>
      </c>
      <c r="R981" s="10" t="s">
        <v>553</v>
      </c>
      <c r="S981" s="5">
        <v>0</v>
      </c>
      <c r="T981" s="37">
        <v>0</v>
      </c>
      <c r="U981" s="5">
        <v>1</v>
      </c>
      <c r="V981" s="37">
        <v>0</v>
      </c>
      <c r="W981" s="5">
        <v>0</v>
      </c>
      <c r="X981" s="5">
        <v>1</v>
      </c>
      <c r="Y981" s="5">
        <v>0</v>
      </c>
      <c r="Z981" s="37">
        <v>0</v>
      </c>
      <c r="AA981" s="5">
        <v>0</v>
      </c>
      <c r="AB981" s="5">
        <v>0</v>
      </c>
      <c r="AC981" s="5">
        <v>0</v>
      </c>
      <c r="AD981" s="5">
        <v>0</v>
      </c>
      <c r="AE981" s="10" t="s">
        <v>73</v>
      </c>
      <c r="AF981" s="10"/>
      <c r="AG981" s="10" t="s">
        <v>64</v>
      </c>
      <c r="AH981" s="10">
        <v>40547</v>
      </c>
      <c r="AI981" s="5">
        <v>0</v>
      </c>
      <c r="AJ981" s="10" t="s">
        <v>5505</v>
      </c>
      <c r="AK981" s="10" t="s">
        <v>50</v>
      </c>
    </row>
    <row r="982" spans="1:37" ht="36.75" customHeight="1" x14ac:dyDescent="0.35">
      <c r="A982" s="5"/>
      <c r="B982" s="5" t="s">
        <v>37</v>
      </c>
      <c r="C982" s="73" t="str">
        <f t="shared" si="15"/>
        <v>Closed</v>
      </c>
      <c r="D982" s="45" t="s">
        <v>5506</v>
      </c>
      <c r="E982" s="54" t="s">
        <v>5507</v>
      </c>
      <c r="F982" s="5" t="s">
        <v>619</v>
      </c>
      <c r="G982" s="10">
        <f>DATE(2010,12,3)</f>
        <v>40515</v>
      </c>
      <c r="H982" s="35">
        <v>1.4409722222222223</v>
      </c>
      <c r="I982" s="5" t="s">
        <v>97</v>
      </c>
      <c r="J982" s="10" t="s">
        <v>5508</v>
      </c>
      <c r="K982" s="5" t="s">
        <v>621</v>
      </c>
      <c r="L982" s="5" t="s">
        <v>5509</v>
      </c>
      <c r="M982" s="5" t="s">
        <v>45</v>
      </c>
      <c r="N982" s="5">
        <v>0</v>
      </c>
      <c r="O982" s="5" t="s">
        <v>46</v>
      </c>
      <c r="P982" s="10" t="s">
        <v>60</v>
      </c>
      <c r="Q982" s="10" t="s">
        <v>623</v>
      </c>
      <c r="R982" s="10" t="s">
        <v>624</v>
      </c>
      <c r="S982" s="5">
        <v>0</v>
      </c>
      <c r="T982" s="37">
        <v>0</v>
      </c>
      <c r="U982" s="5">
        <v>1</v>
      </c>
      <c r="V982" s="37">
        <v>0</v>
      </c>
      <c r="W982" s="5">
        <v>0</v>
      </c>
      <c r="X982" s="5">
        <v>1</v>
      </c>
      <c r="Y982" s="5">
        <v>0</v>
      </c>
      <c r="Z982" s="37">
        <v>0</v>
      </c>
      <c r="AA982" s="5">
        <v>0</v>
      </c>
      <c r="AB982" s="5">
        <v>0</v>
      </c>
      <c r="AC982" s="5">
        <v>0</v>
      </c>
      <c r="AD982" s="5">
        <v>0</v>
      </c>
      <c r="AE982" s="10" t="s">
        <v>50</v>
      </c>
      <c r="AF982" s="10"/>
      <c r="AG982" s="10" t="s">
        <v>229</v>
      </c>
      <c r="AH982" s="10" t="s">
        <v>50</v>
      </c>
      <c r="AI982" s="5">
        <v>1</v>
      </c>
      <c r="AJ982" s="10" t="s">
        <v>50</v>
      </c>
      <c r="AK982" s="10" t="s">
        <v>50</v>
      </c>
    </row>
    <row r="983" spans="1:37" ht="36.75" customHeight="1" x14ac:dyDescent="0.35">
      <c r="A983" s="5"/>
      <c r="B983" s="5" t="s">
        <v>37</v>
      </c>
      <c r="C983" s="73" t="str">
        <f t="shared" si="15"/>
        <v>Closed</v>
      </c>
      <c r="D983" s="45" t="s">
        <v>5510</v>
      </c>
      <c r="E983" s="54" t="s">
        <v>5511</v>
      </c>
      <c r="F983" s="5" t="s">
        <v>816</v>
      </c>
      <c r="G983" s="10">
        <f>DATE(2010,12,6)</f>
        <v>40518</v>
      </c>
      <c r="H983" s="35">
        <v>1.2847222222222223</v>
      </c>
      <c r="I983" s="5" t="s">
        <v>55</v>
      </c>
      <c r="J983" s="10" t="s">
        <v>5512</v>
      </c>
      <c r="K983" s="5" t="s">
        <v>818</v>
      </c>
      <c r="L983" s="5" t="s">
        <v>5513</v>
      </c>
      <c r="M983" s="5" t="s">
        <v>45</v>
      </c>
      <c r="N983" s="5" t="s">
        <v>80</v>
      </c>
      <c r="O983" s="5" t="s">
        <v>59</v>
      </c>
      <c r="P983" s="10" t="s">
        <v>60</v>
      </c>
      <c r="Q983" s="10" t="s">
        <v>4688</v>
      </c>
      <c r="R983" s="10" t="s">
        <v>821</v>
      </c>
      <c r="S983" s="5">
        <v>0</v>
      </c>
      <c r="T983" s="37">
        <v>0</v>
      </c>
      <c r="U983" s="5">
        <v>0</v>
      </c>
      <c r="V983" s="37">
        <v>0</v>
      </c>
      <c r="W983" s="5">
        <v>0</v>
      </c>
      <c r="X983" s="5">
        <v>0</v>
      </c>
      <c r="Y983" s="5">
        <v>0</v>
      </c>
      <c r="Z983" s="37">
        <v>0</v>
      </c>
      <c r="AA983" s="5">
        <v>0</v>
      </c>
      <c r="AB983" s="5">
        <v>0</v>
      </c>
      <c r="AC983" s="5">
        <v>0</v>
      </c>
      <c r="AD983" s="5">
        <v>0</v>
      </c>
      <c r="AE983" s="10" t="s">
        <v>73</v>
      </c>
      <c r="AF983" s="10"/>
      <c r="AG983" s="10" t="s">
        <v>333</v>
      </c>
      <c r="AH983" s="10">
        <v>40519</v>
      </c>
      <c r="AI983" s="5">
        <v>0</v>
      </c>
      <c r="AJ983" s="10" t="s">
        <v>5514</v>
      </c>
      <c r="AK983" s="10" t="s">
        <v>50</v>
      </c>
    </row>
    <row r="984" spans="1:37" ht="36.75" customHeight="1" x14ac:dyDescent="0.35">
      <c r="A984" s="5"/>
      <c r="B984" s="5" t="s">
        <v>37</v>
      </c>
      <c r="C984" s="73" t="str">
        <f t="shared" si="15"/>
        <v>Closed</v>
      </c>
      <c r="D984" s="45" t="s">
        <v>5515</v>
      </c>
      <c r="E984" s="54" t="s">
        <v>5516</v>
      </c>
      <c r="F984" s="5" t="s">
        <v>404</v>
      </c>
      <c r="G984" s="10">
        <f>DATE(2010,12,7)</f>
        <v>40519</v>
      </c>
      <c r="H984" s="35">
        <v>1.2826388888888889</v>
      </c>
      <c r="I984" s="5" t="s">
        <v>55</v>
      </c>
      <c r="J984" s="10" t="s">
        <v>5517</v>
      </c>
      <c r="K984" s="5" t="s">
        <v>406</v>
      </c>
      <c r="L984" s="5" t="s">
        <v>5518</v>
      </c>
      <c r="M984" s="5" t="s">
        <v>45</v>
      </c>
      <c r="N984" s="5">
        <v>0</v>
      </c>
      <c r="O984" s="5" t="s">
        <v>46</v>
      </c>
      <c r="P984" s="10" t="s">
        <v>47</v>
      </c>
      <c r="Q984" s="10" t="s">
        <v>408</v>
      </c>
      <c r="R984" s="10" t="s">
        <v>3083</v>
      </c>
      <c r="S984" s="5">
        <v>0</v>
      </c>
      <c r="T984" s="37" t="s">
        <v>50</v>
      </c>
      <c r="U984" s="5">
        <v>0</v>
      </c>
      <c r="V984" s="37" t="s">
        <v>50</v>
      </c>
      <c r="W984" s="5">
        <v>0</v>
      </c>
      <c r="X984" s="5">
        <v>0</v>
      </c>
      <c r="Y984" s="5">
        <v>0</v>
      </c>
      <c r="Z984" s="37" t="s">
        <v>50</v>
      </c>
      <c r="AA984" s="5">
        <v>0</v>
      </c>
      <c r="AB984" s="5">
        <v>0</v>
      </c>
      <c r="AC984" s="5">
        <v>0</v>
      </c>
      <c r="AD984" s="5">
        <v>0</v>
      </c>
      <c r="AE984" s="10" t="s">
        <v>50</v>
      </c>
      <c r="AF984" s="10"/>
      <c r="AG984" s="10" t="s">
        <v>114</v>
      </c>
      <c r="AH984" s="10" t="s">
        <v>50</v>
      </c>
      <c r="AI984" s="5">
        <v>2</v>
      </c>
      <c r="AJ984" s="10" t="s">
        <v>5519</v>
      </c>
      <c r="AK984" s="10" t="s">
        <v>5520</v>
      </c>
    </row>
    <row r="985" spans="1:37" ht="36.75" customHeight="1" x14ac:dyDescent="0.35">
      <c r="A985" s="5"/>
      <c r="B985" s="5" t="s">
        <v>37</v>
      </c>
      <c r="C985" s="73" t="str">
        <f t="shared" si="15"/>
        <v>Closed</v>
      </c>
      <c r="D985" s="45" t="s">
        <v>5521</v>
      </c>
      <c r="E985" s="54" t="s">
        <v>5522</v>
      </c>
      <c r="F985" s="5" t="s">
        <v>404</v>
      </c>
      <c r="G985" s="10">
        <f>DATE(2010,12,8)</f>
        <v>40520</v>
      </c>
      <c r="H985" s="35">
        <v>1.4513888888888888</v>
      </c>
      <c r="I985" s="5" t="s">
        <v>55</v>
      </c>
      <c r="J985" s="10" t="s">
        <v>5523</v>
      </c>
      <c r="K985" s="5" t="s">
        <v>406</v>
      </c>
      <c r="L985" s="5" t="s">
        <v>5524</v>
      </c>
      <c r="M985" s="5" t="s">
        <v>45</v>
      </c>
      <c r="N985" s="5">
        <v>0</v>
      </c>
      <c r="O985" s="5" t="s">
        <v>46</v>
      </c>
      <c r="P985" s="10" t="s">
        <v>60</v>
      </c>
      <c r="Q985" s="10" t="s">
        <v>5525</v>
      </c>
      <c r="R985" s="10" t="s">
        <v>3083</v>
      </c>
      <c r="S985" s="5">
        <v>0</v>
      </c>
      <c r="T985" s="37" t="s">
        <v>50</v>
      </c>
      <c r="U985" s="5">
        <v>0</v>
      </c>
      <c r="V985" s="37" t="s">
        <v>50</v>
      </c>
      <c r="W985" s="5">
        <v>0</v>
      </c>
      <c r="X985" s="5">
        <v>0</v>
      </c>
      <c r="Y985" s="5">
        <v>0</v>
      </c>
      <c r="Z985" s="37" t="s">
        <v>50</v>
      </c>
      <c r="AA985" s="5">
        <v>0</v>
      </c>
      <c r="AB985" s="5">
        <v>0</v>
      </c>
      <c r="AC985" s="5">
        <v>0</v>
      </c>
      <c r="AD985" s="5">
        <v>0</v>
      </c>
      <c r="AE985" s="10" t="s">
        <v>50</v>
      </c>
      <c r="AF985" s="10"/>
      <c r="AG985" s="10" t="s">
        <v>333</v>
      </c>
      <c r="AH985" s="10" t="s">
        <v>50</v>
      </c>
      <c r="AI985" s="5">
        <v>0</v>
      </c>
      <c r="AJ985" s="10" t="s">
        <v>5526</v>
      </c>
      <c r="AK985" s="10" t="s">
        <v>5527</v>
      </c>
    </row>
    <row r="986" spans="1:37" ht="36.75" customHeight="1" x14ac:dyDescent="0.35">
      <c r="A986" s="5"/>
      <c r="B986" s="5" t="s">
        <v>37</v>
      </c>
      <c r="C986" s="73" t="str">
        <f t="shared" si="15"/>
        <v>Closed</v>
      </c>
      <c r="D986" s="45" t="s">
        <v>5528</v>
      </c>
      <c r="E986" s="54" t="s">
        <v>5529</v>
      </c>
      <c r="F986" s="5" t="s">
        <v>816</v>
      </c>
      <c r="G986" s="10">
        <f>DATE(2010,12,8)</f>
        <v>40520</v>
      </c>
      <c r="H986" s="35">
        <v>1.9847222222222221</v>
      </c>
      <c r="I986" s="5" t="s">
        <v>67</v>
      </c>
      <c r="J986" s="10" t="s">
        <v>5530</v>
      </c>
      <c r="K986" s="5" t="s">
        <v>818</v>
      </c>
      <c r="L986" s="5" t="s">
        <v>5531</v>
      </c>
      <c r="M986" s="5" t="s">
        <v>45</v>
      </c>
      <c r="N986" s="5">
        <v>0</v>
      </c>
      <c r="O986" s="5" t="s">
        <v>59</v>
      </c>
      <c r="P986" s="10" t="s">
        <v>72</v>
      </c>
      <c r="Q986" s="10" t="s">
        <v>2142</v>
      </c>
      <c r="R986" s="10" t="s">
        <v>821</v>
      </c>
      <c r="S986" s="5">
        <v>0</v>
      </c>
      <c r="T986" s="37" t="s">
        <v>50</v>
      </c>
      <c r="U986" s="5">
        <v>0</v>
      </c>
      <c r="V986" s="37" t="s">
        <v>50</v>
      </c>
      <c r="W986" s="5">
        <v>0</v>
      </c>
      <c r="X986" s="5">
        <v>0</v>
      </c>
      <c r="Y986" s="5">
        <v>0</v>
      </c>
      <c r="Z986" s="37" t="s">
        <v>50</v>
      </c>
      <c r="AA986" s="5">
        <v>0</v>
      </c>
      <c r="AB986" s="5">
        <v>0</v>
      </c>
      <c r="AC986" s="5">
        <v>0</v>
      </c>
      <c r="AD986" s="5">
        <v>0</v>
      </c>
      <c r="AE986" s="10" t="s">
        <v>50</v>
      </c>
      <c r="AF986" s="10"/>
      <c r="AG986" s="10" t="s">
        <v>333</v>
      </c>
      <c r="AH986" s="10" t="s">
        <v>50</v>
      </c>
      <c r="AI986" s="5">
        <v>0</v>
      </c>
      <c r="AJ986" s="10" t="s">
        <v>50</v>
      </c>
      <c r="AK986" s="10" t="s">
        <v>50</v>
      </c>
    </row>
    <row r="987" spans="1:37" ht="36.75" customHeight="1" x14ac:dyDescent="0.35">
      <c r="A987" s="5"/>
      <c r="B987" s="5" t="s">
        <v>37</v>
      </c>
      <c r="C987" s="73" t="str">
        <f t="shared" si="15"/>
        <v>Closed</v>
      </c>
      <c r="D987" s="45" t="s">
        <v>5532</v>
      </c>
      <c r="E987" s="54" t="s">
        <v>5533</v>
      </c>
      <c r="F987" s="5" t="s">
        <v>178</v>
      </c>
      <c r="G987" s="10">
        <f>DATE(2010,12,9)</f>
        <v>40521</v>
      </c>
      <c r="H987" s="35">
        <v>1.7437499999999999</v>
      </c>
      <c r="I987" s="5" t="s">
        <v>1022</v>
      </c>
      <c r="J987" s="10" t="s">
        <v>5534</v>
      </c>
      <c r="K987" s="5" t="s">
        <v>181</v>
      </c>
      <c r="L987" s="5" t="s">
        <v>5535</v>
      </c>
      <c r="M987" s="5" t="s">
        <v>45</v>
      </c>
      <c r="N987" s="5">
        <v>0</v>
      </c>
      <c r="O987" s="5" t="s">
        <v>46</v>
      </c>
      <c r="P987" s="10" t="s">
        <v>60</v>
      </c>
      <c r="Q987" s="10" t="s">
        <v>1697</v>
      </c>
      <c r="R987" s="10" t="s">
        <v>184</v>
      </c>
      <c r="S987" s="5">
        <v>0</v>
      </c>
      <c r="T987" s="37">
        <v>0</v>
      </c>
      <c r="U987" s="5">
        <v>0</v>
      </c>
      <c r="V987" s="37">
        <v>0</v>
      </c>
      <c r="W987" s="5">
        <v>0</v>
      </c>
      <c r="X987" s="5">
        <v>0</v>
      </c>
      <c r="Y987" s="5">
        <v>0</v>
      </c>
      <c r="Z987" s="37">
        <v>0</v>
      </c>
      <c r="AA987" s="5">
        <v>0</v>
      </c>
      <c r="AB987" s="5">
        <v>0</v>
      </c>
      <c r="AC987" s="5">
        <v>0</v>
      </c>
      <c r="AD987" s="5">
        <v>0</v>
      </c>
      <c r="AE987" s="10" t="s">
        <v>50</v>
      </c>
      <c r="AF987" s="10"/>
      <c r="AG987" s="10" t="s">
        <v>5536</v>
      </c>
      <c r="AH987" s="10" t="s">
        <v>50</v>
      </c>
      <c r="AI987" s="5">
        <v>0</v>
      </c>
      <c r="AJ987" s="10" t="s">
        <v>5537</v>
      </c>
      <c r="AK987" s="10" t="s">
        <v>1215</v>
      </c>
    </row>
    <row r="988" spans="1:37" ht="36.75" customHeight="1" x14ac:dyDescent="0.35">
      <c r="A988" s="5"/>
      <c r="B988" s="5" t="s">
        <v>37</v>
      </c>
      <c r="C988" s="73" t="str">
        <f t="shared" si="15"/>
        <v>Closed</v>
      </c>
      <c r="D988" s="45" t="s">
        <v>5538</v>
      </c>
      <c r="E988" s="54" t="s">
        <v>5539</v>
      </c>
      <c r="F988" s="5" t="s">
        <v>816</v>
      </c>
      <c r="G988" s="10">
        <f>DATE(2010,12,9)</f>
        <v>40521</v>
      </c>
      <c r="H988" s="35">
        <v>1.1777777777777778</v>
      </c>
      <c r="I988" s="5" t="s">
        <v>55</v>
      </c>
      <c r="J988" s="10" t="s">
        <v>5540</v>
      </c>
      <c r="K988" s="5" t="s">
        <v>818</v>
      </c>
      <c r="L988" s="5" t="s">
        <v>5541</v>
      </c>
      <c r="M988" s="5" t="s">
        <v>45</v>
      </c>
      <c r="N988" s="5" t="s">
        <v>123</v>
      </c>
      <c r="O988" s="5" t="s">
        <v>59</v>
      </c>
      <c r="P988" s="10" t="s">
        <v>60</v>
      </c>
      <c r="Q988" s="10" t="s">
        <v>4688</v>
      </c>
      <c r="R988" s="10" t="s">
        <v>821</v>
      </c>
      <c r="S988" s="5">
        <v>0</v>
      </c>
      <c r="T988" s="37">
        <v>0</v>
      </c>
      <c r="U988" s="5">
        <v>0</v>
      </c>
      <c r="V988" s="37">
        <v>0</v>
      </c>
      <c r="W988" s="5">
        <v>0</v>
      </c>
      <c r="X988" s="5">
        <v>0</v>
      </c>
      <c r="Y988" s="5">
        <v>0</v>
      </c>
      <c r="Z988" s="37">
        <v>0</v>
      </c>
      <c r="AA988" s="5">
        <v>0</v>
      </c>
      <c r="AB988" s="5">
        <v>0</v>
      </c>
      <c r="AC988" s="5">
        <v>0</v>
      </c>
      <c r="AD988" s="5">
        <v>0</v>
      </c>
      <c r="AE988" s="10" t="s">
        <v>375</v>
      </c>
      <c r="AF988" s="10"/>
      <c r="AG988" s="10" t="s">
        <v>333</v>
      </c>
      <c r="AH988" s="10">
        <v>40556</v>
      </c>
      <c r="AI988" s="5">
        <v>1</v>
      </c>
      <c r="AJ988" s="10" t="s">
        <v>5542</v>
      </c>
      <c r="AK988" s="10" t="s">
        <v>50</v>
      </c>
    </row>
    <row r="989" spans="1:37" ht="36.75" customHeight="1" x14ac:dyDescent="0.35">
      <c r="A989" s="5"/>
      <c r="B989" s="5" t="s">
        <v>37</v>
      </c>
      <c r="C989" s="73" t="str">
        <f t="shared" si="15"/>
        <v>Closed</v>
      </c>
      <c r="D989" s="45" t="s">
        <v>5543</v>
      </c>
      <c r="E989" s="54" t="s">
        <v>5544</v>
      </c>
      <c r="F989" s="5" t="s">
        <v>1553</v>
      </c>
      <c r="G989" s="10">
        <f>DATE(2010,12,9)</f>
        <v>40521</v>
      </c>
      <c r="H989" s="35">
        <v>1.7222222222222223</v>
      </c>
      <c r="I989" s="5" t="s">
        <v>179</v>
      </c>
      <c r="J989" s="10" t="s">
        <v>5545</v>
      </c>
      <c r="K989" s="5" t="s">
        <v>1555</v>
      </c>
      <c r="L989" s="5" t="s">
        <v>5546</v>
      </c>
      <c r="M989" s="5" t="s">
        <v>45</v>
      </c>
      <c r="N989" s="5" t="s">
        <v>123</v>
      </c>
      <c r="O989" s="5" t="s">
        <v>46</v>
      </c>
      <c r="P989" s="10" t="s">
        <v>5547</v>
      </c>
      <c r="Q989" s="10" t="s">
        <v>5548</v>
      </c>
      <c r="R989" s="10">
        <v>0</v>
      </c>
      <c r="S989" s="5">
        <v>0</v>
      </c>
      <c r="T989" s="37">
        <v>0</v>
      </c>
      <c r="U989" s="5">
        <v>0</v>
      </c>
      <c r="V989" s="37">
        <v>0</v>
      </c>
      <c r="W989" s="5">
        <v>0</v>
      </c>
      <c r="X989" s="5">
        <v>0</v>
      </c>
      <c r="Y989" s="5">
        <v>0</v>
      </c>
      <c r="Z989" s="37">
        <v>2</v>
      </c>
      <c r="AA989" s="5">
        <v>0</v>
      </c>
      <c r="AB989" s="5">
        <v>0</v>
      </c>
      <c r="AC989" s="5">
        <v>0</v>
      </c>
      <c r="AD989" s="5">
        <v>2</v>
      </c>
      <c r="AE989" s="10" t="s">
        <v>73</v>
      </c>
      <c r="AF989" s="10"/>
      <c r="AG989" s="10" t="s">
        <v>114</v>
      </c>
      <c r="AH989" s="10">
        <v>40525</v>
      </c>
      <c r="AI989" s="5">
        <v>4</v>
      </c>
      <c r="AJ989" s="10" t="s">
        <v>5549</v>
      </c>
      <c r="AK989" s="10" t="s">
        <v>1215</v>
      </c>
    </row>
    <row r="990" spans="1:37" ht="36.75" customHeight="1" x14ac:dyDescent="0.35">
      <c r="A990" s="5"/>
      <c r="B990" s="5" t="s">
        <v>37</v>
      </c>
      <c r="C990" s="73" t="str">
        <f t="shared" si="15"/>
        <v>Closed</v>
      </c>
      <c r="D990" s="45" t="s">
        <v>5550</v>
      </c>
      <c r="E990" s="54" t="s">
        <v>5551</v>
      </c>
      <c r="F990" s="5" t="s">
        <v>816</v>
      </c>
      <c r="G990" s="10">
        <f>DATE(2010,12,13)</f>
        <v>40525</v>
      </c>
      <c r="H990" s="35">
        <v>1.6458333333333335</v>
      </c>
      <c r="I990" s="5" t="s">
        <v>67</v>
      </c>
      <c r="J990" s="10" t="s">
        <v>5552</v>
      </c>
      <c r="K990" s="5" t="s">
        <v>818</v>
      </c>
      <c r="L990" s="5" t="s">
        <v>5553</v>
      </c>
      <c r="M990" s="5" t="s">
        <v>45</v>
      </c>
      <c r="N990" s="5" t="s">
        <v>80</v>
      </c>
      <c r="O990" s="5" t="s">
        <v>59</v>
      </c>
      <c r="P990" s="10" t="s">
        <v>72</v>
      </c>
      <c r="Q990" s="10" t="s">
        <v>4688</v>
      </c>
      <c r="R990" s="10" t="s">
        <v>821</v>
      </c>
      <c r="S990" s="5">
        <v>0</v>
      </c>
      <c r="T990" s="37">
        <v>0</v>
      </c>
      <c r="U990" s="5">
        <v>0</v>
      </c>
      <c r="V990" s="37">
        <v>0</v>
      </c>
      <c r="W990" s="5">
        <v>0</v>
      </c>
      <c r="X990" s="5">
        <v>0</v>
      </c>
      <c r="Y990" s="5">
        <v>0</v>
      </c>
      <c r="Z990" s="37">
        <v>0</v>
      </c>
      <c r="AA990" s="5">
        <v>0</v>
      </c>
      <c r="AB990" s="5">
        <v>0</v>
      </c>
      <c r="AC990" s="5">
        <v>0</v>
      </c>
      <c r="AD990" s="5">
        <v>0</v>
      </c>
      <c r="AE990" s="10" t="s">
        <v>73</v>
      </c>
      <c r="AF990" s="10"/>
      <c r="AG990" s="10" t="s">
        <v>333</v>
      </c>
      <c r="AH990" s="10">
        <v>40556</v>
      </c>
      <c r="AI990" s="5">
        <v>1</v>
      </c>
      <c r="AJ990" s="10" t="s">
        <v>5554</v>
      </c>
      <c r="AK990" s="10" t="s">
        <v>50</v>
      </c>
    </row>
    <row r="991" spans="1:37" ht="36.75" customHeight="1" x14ac:dyDescent="0.35">
      <c r="A991" s="5"/>
      <c r="B991" s="5" t="s">
        <v>37</v>
      </c>
      <c r="C991" s="73" t="str">
        <f t="shared" si="15"/>
        <v>Closed</v>
      </c>
      <c r="D991" s="45" t="s">
        <v>5555</v>
      </c>
      <c r="E991" s="54" t="s">
        <v>5556</v>
      </c>
      <c r="F991" s="5" t="s">
        <v>96</v>
      </c>
      <c r="G991" s="10">
        <f>DATE(2010,12,14)</f>
        <v>40526</v>
      </c>
      <c r="H991" s="35">
        <v>1.7666666666666666</v>
      </c>
      <c r="I991" s="5" t="s">
        <v>97</v>
      </c>
      <c r="J991" s="10" t="s">
        <v>5557</v>
      </c>
      <c r="K991" s="5" t="s">
        <v>99</v>
      </c>
      <c r="L991" s="5" t="s">
        <v>5558</v>
      </c>
      <c r="M991" s="5" t="s">
        <v>45</v>
      </c>
      <c r="N991" s="5">
        <v>0</v>
      </c>
      <c r="O991" s="5" t="s">
        <v>46</v>
      </c>
      <c r="P991" s="10" t="s">
        <v>146</v>
      </c>
      <c r="Q991" s="10" t="s">
        <v>101</v>
      </c>
      <c r="R991" s="10" t="s">
        <v>102</v>
      </c>
      <c r="S991" s="5">
        <v>0</v>
      </c>
      <c r="T991" s="37">
        <v>0</v>
      </c>
      <c r="U991" s="5">
        <v>0</v>
      </c>
      <c r="V991" s="37">
        <v>0</v>
      </c>
      <c r="W991" s="5">
        <v>0</v>
      </c>
      <c r="X991" s="5">
        <v>0</v>
      </c>
      <c r="Y991" s="5">
        <v>0</v>
      </c>
      <c r="Z991" s="37">
        <v>0</v>
      </c>
      <c r="AA991" s="5">
        <v>1</v>
      </c>
      <c r="AB991" s="5">
        <v>0</v>
      </c>
      <c r="AC991" s="5">
        <v>0</v>
      </c>
      <c r="AD991" s="5">
        <v>1</v>
      </c>
      <c r="AE991" s="10" t="s">
        <v>50</v>
      </c>
      <c r="AF991" s="10"/>
      <c r="AG991" s="10" t="s">
        <v>229</v>
      </c>
      <c r="AH991" s="10" t="s">
        <v>50</v>
      </c>
      <c r="AI991" s="5">
        <v>2</v>
      </c>
      <c r="AJ991" s="10" t="s">
        <v>5559</v>
      </c>
      <c r="AK991" s="10" t="s">
        <v>50</v>
      </c>
    </row>
    <row r="992" spans="1:37" ht="36.75" customHeight="1" x14ac:dyDescent="0.35">
      <c r="A992" s="5"/>
      <c r="B992" s="5" t="s">
        <v>37</v>
      </c>
      <c r="C992" s="73" t="str">
        <f t="shared" si="15"/>
        <v>Closed</v>
      </c>
      <c r="D992" s="45" t="s">
        <v>5560</v>
      </c>
      <c r="E992" s="54" t="s">
        <v>5561</v>
      </c>
      <c r="F992" s="5" t="s">
        <v>816</v>
      </c>
      <c r="G992" s="10">
        <f>DATE(2010,12,19)</f>
        <v>40531</v>
      </c>
      <c r="H992" s="35">
        <v>1.5034722222222223</v>
      </c>
      <c r="I992" s="5" t="s">
        <v>97</v>
      </c>
      <c r="J992" s="10" t="s">
        <v>5562</v>
      </c>
      <c r="K992" s="5" t="s">
        <v>818</v>
      </c>
      <c r="L992" s="5" t="s">
        <v>5563</v>
      </c>
      <c r="M992" s="5" t="s">
        <v>45</v>
      </c>
      <c r="N992" s="5">
        <v>0</v>
      </c>
      <c r="O992" s="5" t="s">
        <v>46</v>
      </c>
      <c r="P992" s="10" t="s">
        <v>146</v>
      </c>
      <c r="Q992" s="10" t="s">
        <v>2142</v>
      </c>
      <c r="R992" s="10" t="s">
        <v>821</v>
      </c>
      <c r="S992" s="5">
        <v>0</v>
      </c>
      <c r="T992" s="37">
        <v>0</v>
      </c>
      <c r="U992" s="5">
        <v>0</v>
      </c>
      <c r="V992" s="37">
        <v>0</v>
      </c>
      <c r="W992" s="5">
        <v>0</v>
      </c>
      <c r="X992" s="5">
        <v>0</v>
      </c>
      <c r="Y992" s="5">
        <v>0</v>
      </c>
      <c r="Z992" s="37">
        <v>0</v>
      </c>
      <c r="AA992" s="5">
        <v>1</v>
      </c>
      <c r="AB992" s="5">
        <v>0</v>
      </c>
      <c r="AC992" s="5">
        <v>0</v>
      </c>
      <c r="AD992" s="5">
        <v>1</v>
      </c>
      <c r="AE992" s="10" t="s">
        <v>50</v>
      </c>
      <c r="AF992" s="10"/>
      <c r="AG992" s="10" t="s">
        <v>333</v>
      </c>
      <c r="AH992" s="10" t="s">
        <v>50</v>
      </c>
      <c r="AI992" s="5">
        <v>0</v>
      </c>
      <c r="AJ992" s="10" t="s">
        <v>50</v>
      </c>
      <c r="AK992" s="10" t="s">
        <v>50</v>
      </c>
    </row>
    <row r="993" spans="1:37" ht="36.75" customHeight="1" x14ac:dyDescent="0.35">
      <c r="A993" s="5"/>
      <c r="B993" s="5" t="s">
        <v>37</v>
      </c>
      <c r="C993" s="73" t="str">
        <f t="shared" si="15"/>
        <v>Closed</v>
      </c>
      <c r="D993" s="45" t="s">
        <v>5564</v>
      </c>
      <c r="E993" s="54" t="s">
        <v>5565</v>
      </c>
      <c r="F993" s="5" t="s">
        <v>404</v>
      </c>
      <c r="G993" s="10">
        <f>DATE(2010,12,20)</f>
        <v>40532</v>
      </c>
      <c r="H993" s="35">
        <v>1.3722222222222222</v>
      </c>
      <c r="I993" s="5" t="s">
        <v>179</v>
      </c>
      <c r="J993" s="10" t="s">
        <v>5566</v>
      </c>
      <c r="K993" s="5" t="s">
        <v>406</v>
      </c>
      <c r="L993" s="5" t="s">
        <v>5567</v>
      </c>
      <c r="M993" s="5" t="s">
        <v>45</v>
      </c>
      <c r="N993" s="5">
        <v>0</v>
      </c>
      <c r="O993" s="5" t="s">
        <v>59</v>
      </c>
      <c r="P993" s="10" t="s">
        <v>1893</v>
      </c>
      <c r="Q993" s="10" t="s">
        <v>5031</v>
      </c>
      <c r="R993" s="10" t="s">
        <v>3083</v>
      </c>
      <c r="S993" s="5">
        <v>0</v>
      </c>
      <c r="T993" s="37">
        <v>0</v>
      </c>
      <c r="U993" s="5">
        <v>0</v>
      </c>
      <c r="V993" s="37">
        <v>0</v>
      </c>
      <c r="W993" s="5">
        <v>0</v>
      </c>
      <c r="X993" s="5">
        <v>0</v>
      </c>
      <c r="Y993" s="5">
        <v>1</v>
      </c>
      <c r="Z993" s="37">
        <v>0</v>
      </c>
      <c r="AA993" s="5">
        <v>0</v>
      </c>
      <c r="AB993" s="5">
        <v>0</v>
      </c>
      <c r="AC993" s="5">
        <v>0</v>
      </c>
      <c r="AD993" s="5">
        <v>1</v>
      </c>
      <c r="AE993" s="10" t="s">
        <v>50</v>
      </c>
      <c r="AF993" s="10"/>
      <c r="AG993" s="10" t="s">
        <v>114</v>
      </c>
      <c r="AH993" s="10" t="s">
        <v>50</v>
      </c>
      <c r="AI993" s="5">
        <v>4</v>
      </c>
      <c r="AJ993" s="10" t="s">
        <v>5568</v>
      </c>
      <c r="AK993" s="10" t="s">
        <v>5569</v>
      </c>
    </row>
    <row r="994" spans="1:37" ht="36.75" customHeight="1" x14ac:dyDescent="0.35">
      <c r="A994" s="5"/>
      <c r="B994" s="5" t="s">
        <v>37</v>
      </c>
      <c r="C994" s="73" t="str">
        <f t="shared" si="15"/>
        <v>Closed</v>
      </c>
      <c r="D994" s="45" t="s">
        <v>5570</v>
      </c>
      <c r="E994" s="54" t="s">
        <v>5571</v>
      </c>
      <c r="F994" s="5" t="s">
        <v>816</v>
      </c>
      <c r="G994" s="10">
        <f>DATE(2010,12,22)</f>
        <v>40534</v>
      </c>
      <c r="H994" s="35">
        <v>1.4027777777777777</v>
      </c>
      <c r="I994" s="5" t="s">
        <v>97</v>
      </c>
      <c r="J994" s="10" t="s">
        <v>5572</v>
      </c>
      <c r="K994" s="5" t="s">
        <v>818</v>
      </c>
      <c r="L994" s="5" t="s">
        <v>5573</v>
      </c>
      <c r="M994" s="5" t="s">
        <v>45</v>
      </c>
      <c r="N994" s="5">
        <v>0</v>
      </c>
      <c r="O994" s="5" t="s">
        <v>46</v>
      </c>
      <c r="P994" s="10" t="s">
        <v>146</v>
      </c>
      <c r="Q994" s="10" t="s">
        <v>2142</v>
      </c>
      <c r="R994" s="10" t="s">
        <v>821</v>
      </c>
      <c r="S994" s="5">
        <v>0</v>
      </c>
      <c r="T994" s="37">
        <v>0</v>
      </c>
      <c r="U994" s="5">
        <v>1</v>
      </c>
      <c r="V994" s="37">
        <v>0</v>
      </c>
      <c r="W994" s="5">
        <v>0</v>
      </c>
      <c r="X994" s="5">
        <v>1</v>
      </c>
      <c r="Y994" s="5">
        <v>0</v>
      </c>
      <c r="Z994" s="37">
        <v>0</v>
      </c>
      <c r="AA994" s="5">
        <v>0</v>
      </c>
      <c r="AB994" s="5">
        <v>0</v>
      </c>
      <c r="AC994" s="5">
        <v>0</v>
      </c>
      <c r="AD994" s="5">
        <v>0</v>
      </c>
      <c r="AE994" s="10" t="s">
        <v>50</v>
      </c>
      <c r="AF994" s="10"/>
      <c r="AG994" s="10" t="s">
        <v>333</v>
      </c>
      <c r="AH994" s="10" t="s">
        <v>50</v>
      </c>
      <c r="AI994" s="5">
        <v>0</v>
      </c>
      <c r="AJ994" s="10" t="s">
        <v>50</v>
      </c>
      <c r="AK994" s="10" t="s">
        <v>50</v>
      </c>
    </row>
    <row r="995" spans="1:37" ht="36.75" customHeight="1" x14ac:dyDescent="0.35">
      <c r="A995" s="5"/>
      <c r="B995" s="5" t="s">
        <v>37</v>
      </c>
      <c r="C995" s="73" t="str">
        <f t="shared" si="15"/>
        <v>Closed</v>
      </c>
      <c r="D995" s="45" t="s">
        <v>5574</v>
      </c>
      <c r="E995" s="54" t="s">
        <v>5575</v>
      </c>
      <c r="F995" s="5" t="s">
        <v>1730</v>
      </c>
      <c r="G995" s="10">
        <f>DATE(2010,12,23)</f>
        <v>40535</v>
      </c>
      <c r="H995" s="35">
        <v>1.1118055555555555</v>
      </c>
      <c r="I995" s="5" t="s">
        <v>179</v>
      </c>
      <c r="J995" s="10" t="s">
        <v>5576</v>
      </c>
      <c r="K995" s="5" t="s">
        <v>1732</v>
      </c>
      <c r="L995" s="5" t="s">
        <v>5577</v>
      </c>
      <c r="M995" s="5" t="s">
        <v>45</v>
      </c>
      <c r="N995" s="5" t="s">
        <v>123</v>
      </c>
      <c r="O995" s="5" t="s">
        <v>46</v>
      </c>
      <c r="P995" s="10" t="s">
        <v>5578</v>
      </c>
      <c r="Q995" s="10" t="s">
        <v>5579</v>
      </c>
      <c r="R995" s="10" t="s">
        <v>3599</v>
      </c>
      <c r="S995" s="5">
        <v>0</v>
      </c>
      <c r="T995" s="37">
        <v>1</v>
      </c>
      <c r="U995" s="5">
        <v>0</v>
      </c>
      <c r="V995" s="37">
        <v>0</v>
      </c>
      <c r="W995" s="5">
        <v>0</v>
      </c>
      <c r="X995" s="5">
        <v>1</v>
      </c>
      <c r="Y995" s="5">
        <v>0</v>
      </c>
      <c r="Z995" s="37">
        <v>0</v>
      </c>
      <c r="AA995" s="5">
        <v>0</v>
      </c>
      <c r="AB995" s="5">
        <v>0</v>
      </c>
      <c r="AC995" s="5">
        <v>0</v>
      </c>
      <c r="AD995" s="5">
        <v>0</v>
      </c>
      <c r="AE995" s="10" t="s">
        <v>375</v>
      </c>
      <c r="AF995" s="10"/>
      <c r="AG995" s="10" t="s">
        <v>64</v>
      </c>
      <c r="AH995" s="10">
        <v>40535</v>
      </c>
      <c r="AI995" s="5">
        <v>18</v>
      </c>
      <c r="AJ995" s="10" t="s">
        <v>5580</v>
      </c>
      <c r="AK995" s="10" t="s">
        <v>50</v>
      </c>
    </row>
    <row r="996" spans="1:37" ht="36.75" customHeight="1" x14ac:dyDescent="0.35">
      <c r="A996" s="5"/>
      <c r="B996" s="5" t="s">
        <v>37</v>
      </c>
      <c r="C996" s="73" t="str">
        <f t="shared" si="15"/>
        <v>Closed</v>
      </c>
      <c r="D996" s="45" t="s">
        <v>5581</v>
      </c>
      <c r="E996" s="54" t="s">
        <v>5582</v>
      </c>
      <c r="F996" s="5" t="s">
        <v>1553</v>
      </c>
      <c r="G996" s="10">
        <f>DATE(2010,12,24)</f>
        <v>40536</v>
      </c>
      <c r="H996" s="35">
        <v>1.8819444444444446</v>
      </c>
      <c r="I996" s="5" t="s">
        <v>106</v>
      </c>
      <c r="J996" s="10" t="s">
        <v>5583</v>
      </c>
      <c r="K996" s="5" t="s">
        <v>1555</v>
      </c>
      <c r="L996" s="5" t="s">
        <v>5584</v>
      </c>
      <c r="M996" s="5" t="s">
        <v>45</v>
      </c>
      <c r="N996" s="5">
        <v>0</v>
      </c>
      <c r="O996" s="5" t="s">
        <v>46</v>
      </c>
      <c r="P996" s="10" t="s">
        <v>146</v>
      </c>
      <c r="Q996" s="10" t="s">
        <v>2393</v>
      </c>
      <c r="R996" s="10">
        <v>0</v>
      </c>
      <c r="S996" s="5">
        <v>0</v>
      </c>
      <c r="T996" s="37" t="s">
        <v>50</v>
      </c>
      <c r="U996" s="5">
        <v>0</v>
      </c>
      <c r="V996" s="37" t="s">
        <v>50</v>
      </c>
      <c r="W996" s="5">
        <v>0</v>
      </c>
      <c r="X996" s="5">
        <v>0</v>
      </c>
      <c r="Y996" s="5">
        <v>0</v>
      </c>
      <c r="Z996" s="37" t="s">
        <v>50</v>
      </c>
      <c r="AA996" s="5">
        <v>0</v>
      </c>
      <c r="AB996" s="5">
        <v>0</v>
      </c>
      <c r="AC996" s="5">
        <v>0</v>
      </c>
      <c r="AD996" s="5">
        <v>0</v>
      </c>
      <c r="AE996" s="10" t="s">
        <v>50</v>
      </c>
      <c r="AF996" s="10"/>
      <c r="AG996" s="10" t="s">
        <v>114</v>
      </c>
      <c r="AH996" s="10" t="s">
        <v>50</v>
      </c>
      <c r="AI996" s="5">
        <v>1</v>
      </c>
      <c r="AJ996" s="10" t="s">
        <v>5585</v>
      </c>
      <c r="AK996" s="10" t="s">
        <v>5586</v>
      </c>
    </row>
    <row r="997" spans="1:37" ht="36.75" customHeight="1" x14ac:dyDescent="0.35">
      <c r="A997" s="5"/>
      <c r="B997" s="5" t="s">
        <v>37</v>
      </c>
      <c r="C997" s="73" t="str">
        <f t="shared" si="15"/>
        <v>Closed</v>
      </c>
      <c r="D997" s="45" t="s">
        <v>5587</v>
      </c>
      <c r="E997" s="54" t="s">
        <v>5588</v>
      </c>
      <c r="F997" s="5" t="s">
        <v>214</v>
      </c>
      <c r="G997" s="10">
        <f>DATE(2010,12,28)</f>
        <v>40540</v>
      </c>
      <c r="H997" s="35">
        <v>1.054861111111111</v>
      </c>
      <c r="I997" s="5" t="s">
        <v>137</v>
      </c>
      <c r="J997" s="10" t="s">
        <v>5589</v>
      </c>
      <c r="K997" s="5" t="s">
        <v>216</v>
      </c>
      <c r="L997" s="5" t="s">
        <v>5590</v>
      </c>
      <c r="M997" s="5" t="s">
        <v>45</v>
      </c>
      <c r="N997" s="5">
        <v>0</v>
      </c>
      <c r="O997" s="5" t="s">
        <v>46</v>
      </c>
      <c r="P997" s="10" t="s">
        <v>146</v>
      </c>
      <c r="Q997" s="10" t="s">
        <v>5591</v>
      </c>
      <c r="R997" s="10" t="s">
        <v>219</v>
      </c>
      <c r="S997" s="5">
        <v>0</v>
      </c>
      <c r="T997" s="37" t="s">
        <v>50</v>
      </c>
      <c r="U997" s="5">
        <v>0</v>
      </c>
      <c r="V997" s="37" t="s">
        <v>50</v>
      </c>
      <c r="W997" s="5">
        <v>0</v>
      </c>
      <c r="X997" s="5">
        <v>0</v>
      </c>
      <c r="Y997" s="5">
        <v>0</v>
      </c>
      <c r="Z997" s="37" t="s">
        <v>50</v>
      </c>
      <c r="AA997" s="5">
        <v>0</v>
      </c>
      <c r="AB997" s="5">
        <v>0</v>
      </c>
      <c r="AC997" s="5">
        <v>0</v>
      </c>
      <c r="AD997" s="5">
        <v>0</v>
      </c>
      <c r="AE997" s="10" t="s">
        <v>50</v>
      </c>
      <c r="AF997" s="10"/>
      <c r="AG997" s="10" t="s">
        <v>333</v>
      </c>
      <c r="AH997" s="10" t="s">
        <v>50</v>
      </c>
      <c r="AI997" s="5">
        <v>5</v>
      </c>
      <c r="AJ997" s="10" t="s">
        <v>5592</v>
      </c>
      <c r="AK997" s="10" t="s">
        <v>5593</v>
      </c>
    </row>
    <row r="998" spans="1:37" ht="36.75" customHeight="1" x14ac:dyDescent="0.35">
      <c r="A998" s="5"/>
      <c r="B998" s="5" t="s">
        <v>37</v>
      </c>
      <c r="C998" s="73" t="str">
        <f t="shared" si="15"/>
        <v>Closed</v>
      </c>
      <c r="D998" s="45" t="s">
        <v>5594</v>
      </c>
      <c r="E998" s="54" t="s">
        <v>5595</v>
      </c>
      <c r="F998" s="5" t="s">
        <v>1553</v>
      </c>
      <c r="G998" s="10">
        <f>DATE(2010,12,31)</f>
        <v>40543</v>
      </c>
      <c r="H998" s="35">
        <v>1.2256944444444444</v>
      </c>
      <c r="I998" s="5" t="s">
        <v>55</v>
      </c>
      <c r="J998" s="10" t="s">
        <v>5596</v>
      </c>
      <c r="K998" s="5" t="s">
        <v>1555</v>
      </c>
      <c r="L998" s="5" t="s">
        <v>5597</v>
      </c>
      <c r="M998" s="5" t="s">
        <v>45</v>
      </c>
      <c r="N998" s="5">
        <v>0</v>
      </c>
      <c r="O998" s="5" t="s">
        <v>59</v>
      </c>
      <c r="P998" s="10" t="s">
        <v>60</v>
      </c>
      <c r="Q998" s="10" t="s">
        <v>5598</v>
      </c>
      <c r="R998" s="10">
        <v>0</v>
      </c>
      <c r="S998" s="5">
        <v>0</v>
      </c>
      <c r="T998" s="37">
        <v>0</v>
      </c>
      <c r="U998" s="5">
        <v>0</v>
      </c>
      <c r="V998" s="37">
        <v>0</v>
      </c>
      <c r="W998" s="5">
        <v>0</v>
      </c>
      <c r="X998" s="5">
        <v>0</v>
      </c>
      <c r="Y998" s="5">
        <v>0</v>
      </c>
      <c r="Z998" s="37">
        <v>0</v>
      </c>
      <c r="AA998" s="5">
        <v>0</v>
      </c>
      <c r="AB998" s="5">
        <v>0</v>
      </c>
      <c r="AC998" s="5">
        <v>0</v>
      </c>
      <c r="AD998" s="5">
        <v>0</v>
      </c>
      <c r="AE998" s="10" t="s">
        <v>73</v>
      </c>
      <c r="AF998" s="10"/>
      <c r="AG998" s="10" t="s">
        <v>114</v>
      </c>
      <c r="AH998" s="10">
        <v>40911</v>
      </c>
      <c r="AI998" s="5">
        <v>0</v>
      </c>
      <c r="AJ998" s="10" t="s">
        <v>5599</v>
      </c>
      <c r="AK998" s="10" t="s">
        <v>50</v>
      </c>
    </row>
    <row r="999" spans="1:37" ht="36.75" customHeight="1" x14ac:dyDescent="0.35">
      <c r="A999" s="5"/>
      <c r="B999" s="5" t="s">
        <v>37</v>
      </c>
      <c r="C999" s="73" t="str">
        <f t="shared" si="15"/>
        <v>Closed</v>
      </c>
      <c r="D999" s="45" t="s">
        <v>5600</v>
      </c>
      <c r="E999" s="54" t="s">
        <v>5601</v>
      </c>
      <c r="F999" s="5" t="s">
        <v>40</v>
      </c>
      <c r="G999" s="10">
        <f>DATE(2011,1,1)</f>
        <v>40544</v>
      </c>
      <c r="H999" s="35">
        <v>0</v>
      </c>
      <c r="I999" s="5" t="s">
        <v>97</v>
      </c>
      <c r="J999" s="10" t="s">
        <v>5602</v>
      </c>
      <c r="K999" s="5" t="s">
        <v>43</v>
      </c>
      <c r="L999" s="5" t="s">
        <v>374</v>
      </c>
      <c r="M999" s="5" t="s">
        <v>45</v>
      </c>
      <c r="N999" s="5" t="s">
        <v>80</v>
      </c>
      <c r="O999" s="5" t="s">
        <v>46</v>
      </c>
      <c r="P999" s="10" t="s">
        <v>67</v>
      </c>
      <c r="Q999" s="10" t="s">
        <v>48</v>
      </c>
      <c r="R999" s="10" t="s">
        <v>49</v>
      </c>
      <c r="S999" s="5">
        <v>0</v>
      </c>
      <c r="T999" s="37">
        <v>0</v>
      </c>
      <c r="U999" s="5">
        <v>2</v>
      </c>
      <c r="V999" s="37">
        <v>0</v>
      </c>
      <c r="W999" s="5">
        <v>0</v>
      </c>
      <c r="X999" s="5">
        <v>2</v>
      </c>
      <c r="Y999" s="5">
        <v>0</v>
      </c>
      <c r="Z999" s="37">
        <v>0</v>
      </c>
      <c r="AA999" s="5">
        <v>3</v>
      </c>
      <c r="AB999" s="5">
        <v>0</v>
      </c>
      <c r="AC999" s="5">
        <v>0</v>
      </c>
      <c r="AD999" s="5">
        <v>3</v>
      </c>
      <c r="AE999" s="10" t="s">
        <v>375</v>
      </c>
      <c r="AF999" s="10"/>
      <c r="AG999" s="10" t="s">
        <v>333</v>
      </c>
      <c r="AH999" s="10">
        <v>40544</v>
      </c>
      <c r="AI999" s="5">
        <v>0</v>
      </c>
      <c r="AJ999" s="10" t="s">
        <v>377</v>
      </c>
      <c r="AK999" s="10" t="s">
        <v>50</v>
      </c>
    </row>
    <row r="1000" spans="1:37" ht="36.75" customHeight="1" x14ac:dyDescent="0.35">
      <c r="A1000" s="5"/>
      <c r="B1000" s="5" t="s">
        <v>37</v>
      </c>
      <c r="C1000" s="73" t="str">
        <f t="shared" si="15"/>
        <v>Closed</v>
      </c>
      <c r="D1000" s="45" t="s">
        <v>5603</v>
      </c>
      <c r="E1000" s="54" t="s">
        <v>5604</v>
      </c>
      <c r="F1000" s="5" t="s">
        <v>619</v>
      </c>
      <c r="G1000" s="10">
        <f>DATE(2011,1,4)</f>
        <v>40547</v>
      </c>
      <c r="H1000" s="35">
        <v>1.8055555555555554</v>
      </c>
      <c r="I1000" s="5" t="s">
        <v>55</v>
      </c>
      <c r="J1000" s="10" t="s">
        <v>5605</v>
      </c>
      <c r="K1000" s="5" t="s">
        <v>621</v>
      </c>
      <c r="L1000" s="5" t="s">
        <v>5606</v>
      </c>
      <c r="M1000" s="5" t="s">
        <v>45</v>
      </c>
      <c r="N1000" s="5" t="s">
        <v>80</v>
      </c>
      <c r="O1000" s="5" t="s">
        <v>59</v>
      </c>
      <c r="P1000" s="10" t="s">
        <v>47</v>
      </c>
      <c r="Q1000" s="10" t="s">
        <v>623</v>
      </c>
      <c r="R1000" s="10" t="s">
        <v>624</v>
      </c>
      <c r="S1000" s="5">
        <v>0</v>
      </c>
      <c r="T1000" s="37">
        <v>0</v>
      </c>
      <c r="U1000" s="5">
        <v>0</v>
      </c>
      <c r="V1000" s="37">
        <v>0</v>
      </c>
      <c r="W1000" s="5">
        <v>0</v>
      </c>
      <c r="X1000" s="5">
        <v>0</v>
      </c>
      <c r="Y1000" s="5">
        <v>0</v>
      </c>
      <c r="Z1000" s="37">
        <v>0</v>
      </c>
      <c r="AA1000" s="5">
        <v>0</v>
      </c>
      <c r="AB1000" s="5">
        <v>0</v>
      </c>
      <c r="AC1000" s="5">
        <v>0</v>
      </c>
      <c r="AD1000" s="5">
        <v>0</v>
      </c>
      <c r="AE1000" s="10" t="s">
        <v>50</v>
      </c>
      <c r="AF1000" s="10"/>
      <c r="AG1000" s="10" t="s">
        <v>333</v>
      </c>
      <c r="AH1000" s="10" t="s">
        <v>50</v>
      </c>
      <c r="AI1000" s="5">
        <v>2</v>
      </c>
      <c r="AJ1000" s="10" t="s">
        <v>5607</v>
      </c>
      <c r="AK1000" s="10" t="s">
        <v>50</v>
      </c>
    </row>
    <row r="1001" spans="1:37" ht="36.75" customHeight="1" x14ac:dyDescent="0.35">
      <c r="A1001" s="5"/>
      <c r="B1001" s="5" t="s">
        <v>37</v>
      </c>
      <c r="C1001" s="73" t="str">
        <f t="shared" si="15"/>
        <v>Closed</v>
      </c>
      <c r="D1001" s="45" t="s">
        <v>5608</v>
      </c>
      <c r="E1001" s="54" t="s">
        <v>5609</v>
      </c>
      <c r="F1001" s="5" t="s">
        <v>404</v>
      </c>
      <c r="G1001" s="10">
        <f>DATE(2011,1,6)</f>
        <v>40549</v>
      </c>
      <c r="H1001" s="35">
        <v>1.4618055555555556</v>
      </c>
      <c r="I1001" s="5" t="s">
        <v>137</v>
      </c>
      <c r="J1001" s="10" t="s">
        <v>5610</v>
      </c>
      <c r="K1001" s="5" t="s">
        <v>406</v>
      </c>
      <c r="L1001" s="5" t="s">
        <v>5611</v>
      </c>
      <c r="M1001" s="5" t="s">
        <v>45</v>
      </c>
      <c r="N1001" s="5">
        <v>0</v>
      </c>
      <c r="O1001" s="5" t="s">
        <v>46</v>
      </c>
      <c r="P1001" s="10" t="s">
        <v>146</v>
      </c>
      <c r="Q1001" s="10" t="s">
        <v>4531</v>
      </c>
      <c r="R1001" s="10" t="s">
        <v>3083</v>
      </c>
      <c r="S1001" s="5">
        <v>0</v>
      </c>
      <c r="T1001" s="37" t="s">
        <v>50</v>
      </c>
      <c r="U1001" s="5">
        <v>0</v>
      </c>
      <c r="V1001" s="37" t="s">
        <v>50</v>
      </c>
      <c r="W1001" s="5">
        <v>0</v>
      </c>
      <c r="X1001" s="5">
        <v>0</v>
      </c>
      <c r="Y1001" s="5">
        <v>0</v>
      </c>
      <c r="Z1001" s="37" t="s">
        <v>50</v>
      </c>
      <c r="AA1001" s="5">
        <v>0</v>
      </c>
      <c r="AB1001" s="5">
        <v>0</v>
      </c>
      <c r="AC1001" s="5">
        <v>0</v>
      </c>
      <c r="AD1001" s="5">
        <v>0</v>
      </c>
      <c r="AE1001" s="10" t="s">
        <v>50</v>
      </c>
      <c r="AF1001" s="10"/>
      <c r="AG1001" s="10" t="s">
        <v>114</v>
      </c>
      <c r="AH1001" s="10" t="s">
        <v>50</v>
      </c>
      <c r="AI1001" s="5">
        <v>5</v>
      </c>
      <c r="AJ1001" s="10" t="s">
        <v>5612</v>
      </c>
      <c r="AK1001" s="10" t="s">
        <v>5613</v>
      </c>
    </row>
    <row r="1002" spans="1:37" ht="36.75" customHeight="1" x14ac:dyDescent="0.35">
      <c r="A1002" s="5"/>
      <c r="B1002" s="5" t="s">
        <v>37</v>
      </c>
      <c r="C1002" s="73" t="str">
        <f t="shared" si="15"/>
        <v>Closed</v>
      </c>
      <c r="D1002" s="45" t="s">
        <v>5614</v>
      </c>
      <c r="E1002" s="54" t="s">
        <v>5615</v>
      </c>
      <c r="F1002" s="5" t="s">
        <v>1553</v>
      </c>
      <c r="G1002" s="10">
        <f>DATE(2011,1,7)</f>
        <v>40550</v>
      </c>
      <c r="H1002" s="35">
        <v>1.2638888888888888</v>
      </c>
      <c r="I1002" s="5" t="s">
        <v>55</v>
      </c>
      <c r="J1002" s="10" t="s">
        <v>5616</v>
      </c>
      <c r="K1002" s="5" t="s">
        <v>1555</v>
      </c>
      <c r="L1002" s="5" t="s">
        <v>5617</v>
      </c>
      <c r="M1002" s="5" t="s">
        <v>45</v>
      </c>
      <c r="N1002" s="5" t="s">
        <v>70</v>
      </c>
      <c r="O1002" s="5" t="s">
        <v>59</v>
      </c>
      <c r="P1002" s="10" t="s">
        <v>362</v>
      </c>
      <c r="Q1002" s="10" t="s">
        <v>2635</v>
      </c>
      <c r="R1002" s="10">
        <v>0</v>
      </c>
      <c r="S1002" s="5">
        <v>0</v>
      </c>
      <c r="T1002" s="37">
        <v>0</v>
      </c>
      <c r="U1002" s="5">
        <v>0</v>
      </c>
      <c r="V1002" s="37">
        <v>0</v>
      </c>
      <c r="W1002" s="5">
        <v>0</v>
      </c>
      <c r="X1002" s="5">
        <v>0</v>
      </c>
      <c r="Y1002" s="5">
        <v>0</v>
      </c>
      <c r="Z1002" s="37">
        <v>0</v>
      </c>
      <c r="AA1002" s="5">
        <v>0</v>
      </c>
      <c r="AB1002" s="5">
        <v>0</v>
      </c>
      <c r="AC1002" s="5">
        <v>0</v>
      </c>
      <c r="AD1002" s="5">
        <v>0</v>
      </c>
      <c r="AE1002" s="10" t="s">
        <v>73</v>
      </c>
      <c r="AF1002" s="10"/>
      <c r="AG1002" s="10" t="s">
        <v>333</v>
      </c>
      <c r="AH1002" s="10">
        <v>40551</v>
      </c>
      <c r="AI1002" s="5">
        <v>0</v>
      </c>
      <c r="AJ1002" s="10" t="s">
        <v>5618</v>
      </c>
      <c r="AK1002" s="10" t="s">
        <v>50</v>
      </c>
    </row>
    <row r="1003" spans="1:37" ht="36.75" customHeight="1" x14ac:dyDescent="0.35">
      <c r="A1003" s="5"/>
      <c r="B1003" s="5" t="s">
        <v>37</v>
      </c>
      <c r="C1003" s="73" t="str">
        <f t="shared" si="15"/>
        <v>Closed</v>
      </c>
      <c r="D1003" s="45" t="s">
        <v>5619</v>
      </c>
      <c r="E1003" s="54" t="s">
        <v>5620</v>
      </c>
      <c r="F1003" s="5" t="s">
        <v>214</v>
      </c>
      <c r="G1003" s="10">
        <f>DATE(2011,1,8)</f>
        <v>40551</v>
      </c>
      <c r="H1003" s="35">
        <v>1.9965277777777777</v>
      </c>
      <c r="I1003" s="5" t="s">
        <v>259</v>
      </c>
      <c r="J1003" s="10" t="s">
        <v>5621</v>
      </c>
      <c r="K1003" s="5" t="s">
        <v>216</v>
      </c>
      <c r="L1003" s="5" t="s">
        <v>5622</v>
      </c>
      <c r="M1003" s="5" t="s">
        <v>45</v>
      </c>
      <c r="N1003" s="5">
        <v>0</v>
      </c>
      <c r="O1003" s="5" t="s">
        <v>46</v>
      </c>
      <c r="P1003" s="10" t="s">
        <v>443</v>
      </c>
      <c r="Q1003" s="10" t="s">
        <v>5623</v>
      </c>
      <c r="R1003" s="10" t="s">
        <v>219</v>
      </c>
      <c r="S1003" s="5">
        <v>0</v>
      </c>
      <c r="T1003" s="37" t="s">
        <v>50</v>
      </c>
      <c r="U1003" s="5">
        <v>0</v>
      </c>
      <c r="V1003" s="37" t="s">
        <v>50</v>
      </c>
      <c r="W1003" s="5">
        <v>0</v>
      </c>
      <c r="X1003" s="5">
        <v>0</v>
      </c>
      <c r="Y1003" s="5">
        <v>0</v>
      </c>
      <c r="Z1003" s="37" t="s">
        <v>50</v>
      </c>
      <c r="AA1003" s="5">
        <v>0</v>
      </c>
      <c r="AB1003" s="5">
        <v>0</v>
      </c>
      <c r="AC1003" s="5">
        <v>0</v>
      </c>
      <c r="AD1003" s="5">
        <v>0</v>
      </c>
      <c r="AE1003" s="10" t="s">
        <v>50</v>
      </c>
      <c r="AF1003" s="10"/>
      <c r="AG1003" s="10" t="s">
        <v>114</v>
      </c>
      <c r="AH1003" s="10" t="s">
        <v>50</v>
      </c>
      <c r="AI1003" s="5">
        <v>1</v>
      </c>
      <c r="AJ1003" s="10" t="s">
        <v>5624</v>
      </c>
      <c r="AK1003" s="10" t="s">
        <v>5625</v>
      </c>
    </row>
    <row r="1004" spans="1:37" ht="36.75" customHeight="1" x14ac:dyDescent="0.35">
      <c r="A1004" s="5"/>
      <c r="B1004" s="5" t="s">
        <v>37</v>
      </c>
      <c r="C1004" s="73" t="str">
        <f t="shared" si="15"/>
        <v>Closed</v>
      </c>
      <c r="D1004" s="45" t="s">
        <v>5626</v>
      </c>
      <c r="E1004" s="54" t="s">
        <v>5627</v>
      </c>
      <c r="F1004" s="5" t="s">
        <v>816</v>
      </c>
      <c r="G1004" s="10">
        <f>DATE(2011,1,9)</f>
        <v>40552</v>
      </c>
      <c r="H1004" s="35">
        <v>1.7041666666666666</v>
      </c>
      <c r="I1004" s="5" t="s">
        <v>97</v>
      </c>
      <c r="J1004" s="10" t="s">
        <v>5628</v>
      </c>
      <c r="K1004" s="5" t="s">
        <v>818</v>
      </c>
      <c r="L1004" s="5" t="s">
        <v>5629</v>
      </c>
      <c r="M1004" s="5" t="s">
        <v>45</v>
      </c>
      <c r="N1004" s="5" t="s">
        <v>80</v>
      </c>
      <c r="O1004" s="5" t="s">
        <v>46</v>
      </c>
      <c r="P1004" s="10" t="s">
        <v>146</v>
      </c>
      <c r="Q1004" s="10" t="s">
        <v>2142</v>
      </c>
      <c r="R1004" s="10" t="s">
        <v>821</v>
      </c>
      <c r="S1004" s="5">
        <v>0</v>
      </c>
      <c r="T1004" s="37">
        <v>0</v>
      </c>
      <c r="U1004" s="5">
        <v>1</v>
      </c>
      <c r="V1004" s="37">
        <v>0</v>
      </c>
      <c r="W1004" s="5">
        <v>0</v>
      </c>
      <c r="X1004" s="5">
        <v>1</v>
      </c>
      <c r="Y1004" s="5">
        <v>0</v>
      </c>
      <c r="Z1004" s="37">
        <v>0</v>
      </c>
      <c r="AA1004" s="5">
        <v>2</v>
      </c>
      <c r="AB1004" s="5">
        <v>0</v>
      </c>
      <c r="AC1004" s="5">
        <v>0</v>
      </c>
      <c r="AD1004" s="5">
        <v>2</v>
      </c>
      <c r="AE1004" s="10" t="s">
        <v>73</v>
      </c>
      <c r="AF1004" s="10"/>
      <c r="AG1004" s="10" t="s">
        <v>333</v>
      </c>
      <c r="AH1004" s="10">
        <v>40552</v>
      </c>
      <c r="AI1004" s="5">
        <v>1</v>
      </c>
      <c r="AJ1004" s="10" t="s">
        <v>5630</v>
      </c>
      <c r="AK1004" s="10" t="s">
        <v>50</v>
      </c>
    </row>
    <row r="1005" spans="1:37" ht="36.75" customHeight="1" x14ac:dyDescent="0.35">
      <c r="A1005" s="5"/>
      <c r="B1005" s="5" t="s">
        <v>37</v>
      </c>
      <c r="C1005" s="73" t="str">
        <f t="shared" si="15"/>
        <v>Closed</v>
      </c>
      <c r="D1005" s="45" t="s">
        <v>5631</v>
      </c>
      <c r="E1005" s="54" t="s">
        <v>5632</v>
      </c>
      <c r="F1005" s="5" t="s">
        <v>40</v>
      </c>
      <c r="G1005" s="10">
        <f>DATE(2011,1,12)</f>
        <v>40555</v>
      </c>
      <c r="H1005" s="35">
        <v>1</v>
      </c>
      <c r="I1005" s="5" t="s">
        <v>97</v>
      </c>
      <c r="J1005" s="10" t="s">
        <v>5633</v>
      </c>
      <c r="K1005" s="5" t="s">
        <v>43</v>
      </c>
      <c r="L1005" s="5" t="s">
        <v>5634</v>
      </c>
      <c r="M1005" s="5" t="s">
        <v>45</v>
      </c>
      <c r="N1005" s="5" t="s">
        <v>80</v>
      </c>
      <c r="O1005" s="5" t="s">
        <v>46</v>
      </c>
      <c r="P1005" s="10" t="s">
        <v>67</v>
      </c>
      <c r="Q1005" s="10" t="s">
        <v>48</v>
      </c>
      <c r="R1005" s="10" t="s">
        <v>49</v>
      </c>
      <c r="S1005" s="5">
        <v>1</v>
      </c>
      <c r="T1005" s="37">
        <v>0</v>
      </c>
      <c r="U1005" s="5">
        <v>190</v>
      </c>
      <c r="V1005" s="37">
        <v>0</v>
      </c>
      <c r="W1005" s="5">
        <v>0</v>
      </c>
      <c r="X1005" s="5">
        <v>191</v>
      </c>
      <c r="Y1005" s="5">
        <v>0</v>
      </c>
      <c r="Z1005" s="37">
        <v>0</v>
      </c>
      <c r="AA1005" s="5">
        <v>97</v>
      </c>
      <c r="AB1005" s="5">
        <v>0</v>
      </c>
      <c r="AC1005" s="5">
        <v>0</v>
      </c>
      <c r="AD1005" s="5">
        <v>97</v>
      </c>
      <c r="AE1005" s="10" t="s">
        <v>126</v>
      </c>
      <c r="AF1005" s="10"/>
      <c r="AG1005" s="10" t="s">
        <v>333</v>
      </c>
      <c r="AH1005" s="10">
        <v>40555</v>
      </c>
      <c r="AI1005" s="5">
        <v>12</v>
      </c>
      <c r="AJ1005" s="10" t="s">
        <v>377</v>
      </c>
      <c r="AK1005" s="10" t="s">
        <v>50</v>
      </c>
    </row>
    <row r="1006" spans="1:37" ht="36.75" customHeight="1" x14ac:dyDescent="0.35">
      <c r="A1006" s="5"/>
      <c r="B1006" s="5" t="s">
        <v>37</v>
      </c>
      <c r="C1006" s="73" t="str">
        <f t="shared" si="15"/>
        <v>Closed</v>
      </c>
      <c r="D1006" s="45" t="s">
        <v>5635</v>
      </c>
      <c r="E1006" s="54" t="s">
        <v>5636</v>
      </c>
      <c r="F1006" s="5" t="s">
        <v>1553</v>
      </c>
      <c r="G1006" s="10">
        <f>DATE(2011,1,13)</f>
        <v>40556</v>
      </c>
      <c r="H1006" s="35">
        <v>1.7395833333333335</v>
      </c>
      <c r="I1006" s="5" t="s">
        <v>55</v>
      </c>
      <c r="J1006" s="10" t="s">
        <v>5637</v>
      </c>
      <c r="K1006" s="5" t="s">
        <v>1555</v>
      </c>
      <c r="L1006" s="5" t="s">
        <v>5638</v>
      </c>
      <c r="M1006" s="5" t="s">
        <v>45</v>
      </c>
      <c r="N1006" s="5">
        <v>0</v>
      </c>
      <c r="O1006" s="5" t="s">
        <v>71</v>
      </c>
      <c r="P1006" s="10" t="s">
        <v>60</v>
      </c>
      <c r="Q1006" s="10" t="s">
        <v>2635</v>
      </c>
      <c r="R1006" s="10">
        <v>0</v>
      </c>
      <c r="S1006" s="5">
        <v>0</v>
      </c>
      <c r="T1006" s="37" t="s">
        <v>50</v>
      </c>
      <c r="U1006" s="5">
        <v>0</v>
      </c>
      <c r="V1006" s="37" t="s">
        <v>50</v>
      </c>
      <c r="W1006" s="5">
        <v>0</v>
      </c>
      <c r="X1006" s="5">
        <v>0</v>
      </c>
      <c r="Y1006" s="5">
        <v>0</v>
      </c>
      <c r="Z1006" s="37" t="s">
        <v>50</v>
      </c>
      <c r="AA1006" s="5">
        <v>0</v>
      </c>
      <c r="AB1006" s="5">
        <v>0</v>
      </c>
      <c r="AC1006" s="5">
        <v>0</v>
      </c>
      <c r="AD1006" s="5">
        <v>0</v>
      </c>
      <c r="AE1006" s="10" t="s">
        <v>50</v>
      </c>
      <c r="AF1006" s="10"/>
      <c r="AG1006" s="10" t="s">
        <v>114</v>
      </c>
      <c r="AH1006" s="10" t="s">
        <v>50</v>
      </c>
      <c r="AI1006" s="5">
        <v>0</v>
      </c>
      <c r="AJ1006" s="10" t="s">
        <v>5639</v>
      </c>
      <c r="AK1006" s="10" t="s">
        <v>5640</v>
      </c>
    </row>
    <row r="1007" spans="1:37" ht="36.75" customHeight="1" x14ac:dyDescent="0.35">
      <c r="A1007" s="5"/>
      <c r="B1007" s="5" t="s">
        <v>37</v>
      </c>
      <c r="C1007" s="73" t="str">
        <f t="shared" si="15"/>
        <v>Closed</v>
      </c>
      <c r="D1007" s="45" t="s">
        <v>5641</v>
      </c>
      <c r="E1007" s="54" t="s">
        <v>5642</v>
      </c>
      <c r="F1007" s="5" t="s">
        <v>358</v>
      </c>
      <c r="G1007" s="10">
        <f>DATE(2011,1,15)</f>
        <v>40558</v>
      </c>
      <c r="H1007" s="35">
        <v>1.0625</v>
      </c>
      <c r="I1007" s="5" t="s">
        <v>55</v>
      </c>
      <c r="J1007" s="10" t="s">
        <v>5643</v>
      </c>
      <c r="K1007" s="5" t="s">
        <v>360</v>
      </c>
      <c r="L1007" s="5" t="s">
        <v>5644</v>
      </c>
      <c r="M1007" s="5" t="s">
        <v>45</v>
      </c>
      <c r="N1007" s="5">
        <v>0</v>
      </c>
      <c r="O1007" s="5" t="s">
        <v>59</v>
      </c>
      <c r="P1007" s="10" t="s">
        <v>60</v>
      </c>
      <c r="Q1007" s="10" t="s">
        <v>2886</v>
      </c>
      <c r="R1007" s="10" t="s">
        <v>363</v>
      </c>
      <c r="S1007" s="5">
        <v>0</v>
      </c>
      <c r="T1007" s="37" t="s">
        <v>50</v>
      </c>
      <c r="U1007" s="5">
        <v>0</v>
      </c>
      <c r="V1007" s="37" t="s">
        <v>50</v>
      </c>
      <c r="W1007" s="5">
        <v>0</v>
      </c>
      <c r="X1007" s="5">
        <v>0</v>
      </c>
      <c r="Y1007" s="5">
        <v>0</v>
      </c>
      <c r="Z1007" s="37" t="s">
        <v>50</v>
      </c>
      <c r="AA1007" s="5">
        <v>0</v>
      </c>
      <c r="AB1007" s="5">
        <v>0</v>
      </c>
      <c r="AC1007" s="5">
        <v>0</v>
      </c>
      <c r="AD1007" s="5">
        <v>0</v>
      </c>
      <c r="AE1007" s="10" t="s">
        <v>50</v>
      </c>
      <c r="AF1007" s="10"/>
      <c r="AG1007" s="10" t="s">
        <v>333</v>
      </c>
      <c r="AH1007" s="10" t="s">
        <v>50</v>
      </c>
      <c r="AI1007" s="5">
        <v>3</v>
      </c>
      <c r="AJ1007" s="10" t="s">
        <v>50</v>
      </c>
      <c r="AK1007" s="10" t="s">
        <v>50</v>
      </c>
    </row>
    <row r="1008" spans="1:37" ht="36.75" customHeight="1" x14ac:dyDescent="0.35">
      <c r="A1008" s="5"/>
      <c r="B1008" s="5" t="s">
        <v>37</v>
      </c>
      <c r="C1008" s="73" t="str">
        <f t="shared" si="15"/>
        <v>Closed</v>
      </c>
      <c r="D1008" s="45" t="s">
        <v>5645</v>
      </c>
      <c r="E1008" s="54" t="s">
        <v>5646</v>
      </c>
      <c r="F1008" s="5" t="s">
        <v>619</v>
      </c>
      <c r="G1008" s="10">
        <f>DATE(2011,1,16)</f>
        <v>40559</v>
      </c>
      <c r="H1008" s="35">
        <v>1.5541666666666667</v>
      </c>
      <c r="I1008" s="5" t="s">
        <v>97</v>
      </c>
      <c r="J1008" s="10" t="s">
        <v>5647</v>
      </c>
      <c r="K1008" s="5" t="s">
        <v>621</v>
      </c>
      <c r="L1008" s="5" t="s">
        <v>5648</v>
      </c>
      <c r="M1008" s="5" t="s">
        <v>45</v>
      </c>
      <c r="N1008" s="5">
        <v>0</v>
      </c>
      <c r="O1008" s="5" t="s">
        <v>46</v>
      </c>
      <c r="P1008" s="10" t="s">
        <v>146</v>
      </c>
      <c r="Q1008" s="10" t="s">
        <v>623</v>
      </c>
      <c r="R1008" s="10" t="s">
        <v>624</v>
      </c>
      <c r="S1008" s="5">
        <v>0</v>
      </c>
      <c r="T1008" s="37" t="s">
        <v>50</v>
      </c>
      <c r="U1008" s="5">
        <v>0</v>
      </c>
      <c r="V1008" s="37" t="s">
        <v>50</v>
      </c>
      <c r="W1008" s="5">
        <v>0</v>
      </c>
      <c r="X1008" s="5">
        <v>0</v>
      </c>
      <c r="Y1008" s="5">
        <v>0</v>
      </c>
      <c r="Z1008" s="37" t="s">
        <v>50</v>
      </c>
      <c r="AA1008" s="5">
        <v>0</v>
      </c>
      <c r="AB1008" s="5">
        <v>0</v>
      </c>
      <c r="AC1008" s="5">
        <v>0</v>
      </c>
      <c r="AD1008" s="5">
        <v>0</v>
      </c>
      <c r="AE1008" s="10" t="s">
        <v>50</v>
      </c>
      <c r="AF1008" s="10"/>
      <c r="AG1008" s="10" t="s">
        <v>333</v>
      </c>
      <c r="AH1008" s="10" t="s">
        <v>50</v>
      </c>
      <c r="AI1008" s="5">
        <v>1</v>
      </c>
      <c r="AJ1008" s="10" t="s">
        <v>5649</v>
      </c>
      <c r="AK1008" s="10" t="s">
        <v>50</v>
      </c>
    </row>
    <row r="1009" spans="1:37" ht="36.75" customHeight="1" x14ac:dyDescent="0.35">
      <c r="A1009" s="5"/>
      <c r="B1009" s="5" t="s">
        <v>37</v>
      </c>
      <c r="C1009" s="73" t="str">
        <f t="shared" si="15"/>
        <v>Closed</v>
      </c>
      <c r="D1009" s="45" t="s">
        <v>5650</v>
      </c>
      <c r="E1009" s="54" t="s">
        <v>5651</v>
      </c>
      <c r="F1009" s="5" t="s">
        <v>1553</v>
      </c>
      <c r="G1009" s="10">
        <f>DATE(2011,1,19)</f>
        <v>40562</v>
      </c>
      <c r="H1009" s="35">
        <v>1.0173611111111112</v>
      </c>
      <c r="I1009" s="5" t="s">
        <v>55</v>
      </c>
      <c r="J1009" s="10" t="s">
        <v>5652</v>
      </c>
      <c r="K1009" s="5" t="s">
        <v>1555</v>
      </c>
      <c r="L1009" s="5" t="s">
        <v>5653</v>
      </c>
      <c r="M1009" s="5" t="s">
        <v>45</v>
      </c>
      <c r="N1009" s="5">
        <v>0</v>
      </c>
      <c r="O1009" s="5" t="s">
        <v>59</v>
      </c>
      <c r="P1009" s="10" t="s">
        <v>60</v>
      </c>
      <c r="Q1009" s="10" t="s">
        <v>2635</v>
      </c>
      <c r="R1009" s="10">
        <v>0</v>
      </c>
      <c r="S1009" s="5">
        <v>0</v>
      </c>
      <c r="T1009" s="37">
        <v>0</v>
      </c>
      <c r="U1009" s="5">
        <v>0</v>
      </c>
      <c r="V1009" s="37">
        <v>0</v>
      </c>
      <c r="W1009" s="5">
        <v>0</v>
      </c>
      <c r="X1009" s="5">
        <v>0</v>
      </c>
      <c r="Y1009" s="5">
        <v>0</v>
      </c>
      <c r="Z1009" s="37">
        <v>0</v>
      </c>
      <c r="AA1009" s="5">
        <v>0</v>
      </c>
      <c r="AB1009" s="5">
        <v>0</v>
      </c>
      <c r="AC1009" s="5">
        <v>0</v>
      </c>
      <c r="AD1009" s="5">
        <v>0</v>
      </c>
      <c r="AE1009" s="10" t="s">
        <v>73</v>
      </c>
      <c r="AF1009" s="10"/>
      <c r="AG1009" s="10" t="s">
        <v>114</v>
      </c>
      <c r="AH1009" s="10">
        <v>40563</v>
      </c>
      <c r="AI1009" s="5">
        <v>0</v>
      </c>
      <c r="AJ1009" s="10" t="s">
        <v>5654</v>
      </c>
      <c r="AK1009" s="10" t="s">
        <v>50</v>
      </c>
    </row>
    <row r="1010" spans="1:37" ht="36.75" customHeight="1" x14ac:dyDescent="0.35">
      <c r="A1010" s="5"/>
      <c r="B1010" s="5" t="s">
        <v>37</v>
      </c>
      <c r="C1010" s="73" t="str">
        <f t="shared" si="15"/>
        <v>Closed</v>
      </c>
      <c r="D1010" s="45" t="s">
        <v>5655</v>
      </c>
      <c r="E1010" s="54" t="s">
        <v>5656</v>
      </c>
      <c r="F1010" s="5" t="s">
        <v>404</v>
      </c>
      <c r="G1010" s="10">
        <f>DATE(2011,1,22)</f>
        <v>40565</v>
      </c>
      <c r="H1010" s="35">
        <v>1.9180555555555556</v>
      </c>
      <c r="I1010" s="5" t="s">
        <v>55</v>
      </c>
      <c r="J1010" s="10" t="s">
        <v>5657</v>
      </c>
      <c r="K1010" s="5" t="s">
        <v>406</v>
      </c>
      <c r="L1010" s="5" t="s">
        <v>5658</v>
      </c>
      <c r="M1010" s="5" t="s">
        <v>45</v>
      </c>
      <c r="N1010" s="5">
        <v>0</v>
      </c>
      <c r="O1010" s="5" t="s">
        <v>59</v>
      </c>
      <c r="P1010" s="10" t="s">
        <v>197</v>
      </c>
      <c r="Q1010" s="10" t="s">
        <v>2463</v>
      </c>
      <c r="R1010" s="10" t="s">
        <v>3083</v>
      </c>
      <c r="S1010" s="5">
        <v>0</v>
      </c>
      <c r="T1010" s="37" t="s">
        <v>50</v>
      </c>
      <c r="U1010" s="5">
        <v>0</v>
      </c>
      <c r="V1010" s="37" t="s">
        <v>50</v>
      </c>
      <c r="W1010" s="5">
        <v>0</v>
      </c>
      <c r="X1010" s="5">
        <v>0</v>
      </c>
      <c r="Y1010" s="5">
        <v>0</v>
      </c>
      <c r="Z1010" s="37" t="s">
        <v>50</v>
      </c>
      <c r="AA1010" s="5">
        <v>0</v>
      </c>
      <c r="AB1010" s="5">
        <v>0</v>
      </c>
      <c r="AC1010" s="5">
        <v>0</v>
      </c>
      <c r="AD1010" s="5">
        <v>0</v>
      </c>
      <c r="AE1010" s="10" t="s">
        <v>50</v>
      </c>
      <c r="AF1010" s="10"/>
      <c r="AG1010" s="10" t="s">
        <v>114</v>
      </c>
      <c r="AH1010" s="10" t="s">
        <v>50</v>
      </c>
      <c r="AI1010" s="5">
        <v>4</v>
      </c>
      <c r="AJ1010" s="10" t="s">
        <v>5659</v>
      </c>
      <c r="AK1010" s="10" t="s">
        <v>50</v>
      </c>
    </row>
    <row r="1011" spans="1:37" ht="36.75" customHeight="1" x14ac:dyDescent="0.35">
      <c r="A1011" s="5"/>
      <c r="B1011" s="5" t="s">
        <v>887</v>
      </c>
      <c r="C1011" s="73" t="str">
        <f t="shared" si="15"/>
        <v>Open</v>
      </c>
      <c r="D1011" s="45" t="s">
        <v>5660</v>
      </c>
      <c r="E1011" s="54" t="s">
        <v>5661</v>
      </c>
      <c r="F1011" s="5" t="s">
        <v>5662</v>
      </c>
      <c r="G1011" s="10">
        <f>DATE(2011,1,24)</f>
        <v>40567</v>
      </c>
      <c r="H1011" s="35">
        <v>1.870138888888889</v>
      </c>
      <c r="I1011" s="5" t="s">
        <v>97</v>
      </c>
      <c r="J1011" s="10" t="s">
        <v>5663</v>
      </c>
      <c r="K1011" s="5" t="s">
        <v>5664</v>
      </c>
      <c r="L1011" s="5" t="s">
        <v>5665</v>
      </c>
      <c r="M1011" s="5" t="s">
        <v>45</v>
      </c>
      <c r="N1011" s="5">
        <v>0</v>
      </c>
      <c r="O1011" s="5" t="s">
        <v>46</v>
      </c>
      <c r="P1011" s="10" t="s">
        <v>362</v>
      </c>
      <c r="Q1011" s="10" t="s">
        <v>5666</v>
      </c>
      <c r="R1011" s="10" t="s">
        <v>5667</v>
      </c>
      <c r="S1011" s="5">
        <v>0</v>
      </c>
      <c r="T1011" s="37">
        <v>0</v>
      </c>
      <c r="U1011" s="5">
        <v>1</v>
      </c>
      <c r="V1011" s="37">
        <v>0</v>
      </c>
      <c r="W1011" s="5">
        <v>0</v>
      </c>
      <c r="X1011" s="5">
        <v>1</v>
      </c>
      <c r="Y1011" s="5">
        <v>0</v>
      </c>
      <c r="Z1011" s="37">
        <v>0</v>
      </c>
      <c r="AA1011" s="5">
        <v>0</v>
      </c>
      <c r="AB1011" s="5">
        <v>0</v>
      </c>
      <c r="AC1011" s="5">
        <v>0</v>
      </c>
      <c r="AD1011" s="5">
        <v>0</v>
      </c>
      <c r="AE1011" s="10" t="s">
        <v>50</v>
      </c>
      <c r="AF1011" s="10"/>
      <c r="AG1011" s="10" t="s">
        <v>64</v>
      </c>
      <c r="AH1011" s="10" t="s">
        <v>50</v>
      </c>
      <c r="AI1011" s="5">
        <v>0</v>
      </c>
      <c r="AJ1011" s="10" t="s">
        <v>50</v>
      </c>
      <c r="AK1011" s="10" t="s">
        <v>50</v>
      </c>
    </row>
    <row r="1012" spans="1:37" ht="36.75" customHeight="1" x14ac:dyDescent="0.35">
      <c r="A1012" s="5"/>
      <c r="B1012" s="5" t="s">
        <v>37</v>
      </c>
      <c r="C1012" s="73" t="str">
        <f t="shared" si="15"/>
        <v>Closed</v>
      </c>
      <c r="D1012" s="45" t="s">
        <v>5668</v>
      </c>
      <c r="E1012" s="54" t="s">
        <v>5669</v>
      </c>
      <c r="F1012" s="5" t="s">
        <v>96</v>
      </c>
      <c r="G1012" s="10">
        <f>DATE(2011,1,25)</f>
        <v>40568</v>
      </c>
      <c r="H1012" s="35">
        <v>1.351388888888889</v>
      </c>
      <c r="I1012" s="5" t="s">
        <v>97</v>
      </c>
      <c r="J1012" s="10" t="s">
        <v>5670</v>
      </c>
      <c r="K1012" s="5" t="s">
        <v>99</v>
      </c>
      <c r="L1012" s="5" t="s">
        <v>5671</v>
      </c>
      <c r="M1012" s="5" t="s">
        <v>45</v>
      </c>
      <c r="N1012" s="5" t="s">
        <v>123</v>
      </c>
      <c r="O1012" s="5" t="s">
        <v>46</v>
      </c>
      <c r="P1012" s="10" t="s">
        <v>60</v>
      </c>
      <c r="Q1012" s="10" t="s">
        <v>101</v>
      </c>
      <c r="R1012" s="10" t="s">
        <v>102</v>
      </c>
      <c r="S1012" s="5">
        <v>0</v>
      </c>
      <c r="T1012" s="37">
        <v>0</v>
      </c>
      <c r="U1012" s="5">
        <v>0</v>
      </c>
      <c r="V1012" s="37">
        <v>0</v>
      </c>
      <c r="W1012" s="5">
        <v>0</v>
      </c>
      <c r="X1012" s="5">
        <v>0</v>
      </c>
      <c r="Y1012" s="5">
        <v>0</v>
      </c>
      <c r="Z1012" s="37">
        <v>0</v>
      </c>
      <c r="AA1012" s="5">
        <v>0</v>
      </c>
      <c r="AB1012" s="5">
        <v>0</v>
      </c>
      <c r="AC1012" s="5">
        <v>0</v>
      </c>
      <c r="AD1012" s="5">
        <v>0</v>
      </c>
      <c r="AE1012" s="10" t="s">
        <v>375</v>
      </c>
      <c r="AF1012" s="10"/>
      <c r="AG1012" s="10" t="s">
        <v>229</v>
      </c>
      <c r="AH1012" s="10">
        <v>40569</v>
      </c>
      <c r="AI1012" s="5">
        <v>3</v>
      </c>
      <c r="AJ1012" s="10" t="s">
        <v>5672</v>
      </c>
      <c r="AK1012" s="10" t="s">
        <v>5673</v>
      </c>
    </row>
    <row r="1013" spans="1:37" ht="36.75" customHeight="1" x14ac:dyDescent="0.35">
      <c r="A1013" s="5"/>
      <c r="B1013" s="5" t="s">
        <v>37</v>
      </c>
      <c r="C1013" s="73" t="str">
        <f t="shared" si="15"/>
        <v>Closed</v>
      </c>
      <c r="D1013" s="45" t="s">
        <v>5674</v>
      </c>
      <c r="E1013" s="54" t="s">
        <v>5675</v>
      </c>
      <c r="F1013" s="5" t="s">
        <v>358</v>
      </c>
      <c r="G1013" s="10">
        <f>DATE(2011,1,27)</f>
        <v>40570</v>
      </c>
      <c r="H1013" s="35">
        <v>1.03125</v>
      </c>
      <c r="I1013" s="5" t="s">
        <v>67</v>
      </c>
      <c r="J1013" s="10" t="s">
        <v>5676</v>
      </c>
      <c r="K1013" s="5" t="s">
        <v>360</v>
      </c>
      <c r="L1013" s="5" t="s">
        <v>5677</v>
      </c>
      <c r="M1013" s="5" t="s">
        <v>45</v>
      </c>
      <c r="N1013" s="5">
        <v>0</v>
      </c>
      <c r="O1013" s="5" t="s">
        <v>46</v>
      </c>
      <c r="P1013" s="10" t="s">
        <v>282</v>
      </c>
      <c r="Q1013" s="10" t="s">
        <v>363</v>
      </c>
      <c r="R1013" s="10" t="s">
        <v>363</v>
      </c>
      <c r="S1013" s="5">
        <v>0</v>
      </c>
      <c r="T1013" s="37">
        <v>1</v>
      </c>
      <c r="U1013" s="5">
        <v>0</v>
      </c>
      <c r="V1013" s="37">
        <v>0</v>
      </c>
      <c r="W1013" s="5">
        <v>0</v>
      </c>
      <c r="X1013" s="5">
        <v>1</v>
      </c>
      <c r="Y1013" s="5">
        <v>0</v>
      </c>
      <c r="Z1013" s="37">
        <v>0</v>
      </c>
      <c r="AA1013" s="5">
        <v>0</v>
      </c>
      <c r="AB1013" s="5">
        <v>0</v>
      </c>
      <c r="AC1013" s="5">
        <v>0</v>
      </c>
      <c r="AD1013" s="5">
        <v>0</v>
      </c>
      <c r="AE1013" s="10" t="s">
        <v>50</v>
      </c>
      <c r="AF1013" s="10"/>
      <c r="AG1013" s="10" t="s">
        <v>114</v>
      </c>
      <c r="AH1013" s="10" t="s">
        <v>50</v>
      </c>
      <c r="AI1013" s="5">
        <v>3</v>
      </c>
      <c r="AJ1013" s="10" t="s">
        <v>50</v>
      </c>
      <c r="AK1013" s="10" t="s">
        <v>50</v>
      </c>
    </row>
    <row r="1014" spans="1:37" ht="36.75" customHeight="1" x14ac:dyDescent="0.35">
      <c r="A1014" s="5"/>
      <c r="B1014" s="5" t="s">
        <v>37</v>
      </c>
      <c r="C1014" s="73" t="str">
        <f t="shared" si="15"/>
        <v>Closed</v>
      </c>
      <c r="D1014" s="45" t="s">
        <v>5678</v>
      </c>
      <c r="E1014" s="54" t="s">
        <v>5679</v>
      </c>
      <c r="F1014" s="5" t="s">
        <v>1553</v>
      </c>
      <c r="G1014" s="10">
        <f>DATE(2011,1,27)</f>
        <v>40570</v>
      </c>
      <c r="H1014" s="35">
        <v>1.7798611111111109</v>
      </c>
      <c r="I1014" s="5" t="s">
        <v>55</v>
      </c>
      <c r="J1014" s="10" t="s">
        <v>5680</v>
      </c>
      <c r="K1014" s="5" t="s">
        <v>1555</v>
      </c>
      <c r="L1014" s="5" t="s">
        <v>5681</v>
      </c>
      <c r="M1014" s="5" t="s">
        <v>45</v>
      </c>
      <c r="N1014" s="5">
        <v>0</v>
      </c>
      <c r="O1014" s="5" t="s">
        <v>59</v>
      </c>
      <c r="P1014" s="10" t="s">
        <v>60</v>
      </c>
      <c r="Q1014" s="10" t="s">
        <v>2635</v>
      </c>
      <c r="R1014" s="10">
        <v>0</v>
      </c>
      <c r="S1014" s="5">
        <v>0</v>
      </c>
      <c r="T1014" s="37">
        <v>0</v>
      </c>
      <c r="U1014" s="5">
        <v>0</v>
      </c>
      <c r="V1014" s="37">
        <v>0</v>
      </c>
      <c r="W1014" s="5">
        <v>0</v>
      </c>
      <c r="X1014" s="5">
        <v>0</v>
      </c>
      <c r="Y1014" s="5">
        <v>0</v>
      </c>
      <c r="Z1014" s="37">
        <v>0</v>
      </c>
      <c r="AA1014" s="5">
        <v>0</v>
      </c>
      <c r="AB1014" s="5">
        <v>0</v>
      </c>
      <c r="AC1014" s="5">
        <v>0</v>
      </c>
      <c r="AD1014" s="5">
        <v>0</v>
      </c>
      <c r="AE1014" s="10" t="s">
        <v>50</v>
      </c>
      <c r="AF1014" s="10"/>
      <c r="AG1014" s="10" t="s">
        <v>114</v>
      </c>
      <c r="AH1014" s="10">
        <v>40571</v>
      </c>
      <c r="AI1014" s="5">
        <v>0</v>
      </c>
      <c r="AJ1014" s="10" t="s">
        <v>5682</v>
      </c>
      <c r="AK1014" s="10" t="s">
        <v>5683</v>
      </c>
    </row>
    <row r="1015" spans="1:37" ht="36.75" customHeight="1" x14ac:dyDescent="0.35">
      <c r="A1015" s="5"/>
      <c r="B1015" s="5" t="s">
        <v>37</v>
      </c>
      <c r="C1015" s="73" t="str">
        <f t="shared" si="15"/>
        <v>Closed</v>
      </c>
      <c r="D1015" s="45" t="s">
        <v>5684</v>
      </c>
      <c r="E1015" s="54" t="s">
        <v>5685</v>
      </c>
      <c r="F1015" s="5" t="s">
        <v>119</v>
      </c>
      <c r="G1015" s="10">
        <f>DATE(2011,1,27)</f>
        <v>40570</v>
      </c>
      <c r="H1015" s="35">
        <v>1.8611111111111112</v>
      </c>
      <c r="I1015" s="5" t="s">
        <v>137</v>
      </c>
      <c r="J1015" s="10" t="s">
        <v>5686</v>
      </c>
      <c r="K1015" s="5" t="s">
        <v>121</v>
      </c>
      <c r="L1015" s="5" t="s">
        <v>5687</v>
      </c>
      <c r="M1015" s="5" t="s">
        <v>45</v>
      </c>
      <c r="N1015" s="5" t="s">
        <v>70</v>
      </c>
      <c r="O1015" s="5" t="s">
        <v>59</v>
      </c>
      <c r="P1015" s="10"/>
      <c r="Q1015" s="10" t="s">
        <v>124</v>
      </c>
      <c r="R1015" s="10" t="s">
        <v>5688</v>
      </c>
      <c r="S1015" s="5">
        <v>0</v>
      </c>
      <c r="T1015" s="37">
        <v>0</v>
      </c>
      <c r="U1015" s="5">
        <v>0</v>
      </c>
      <c r="V1015" s="37">
        <v>0</v>
      </c>
      <c r="W1015" s="5">
        <v>0</v>
      </c>
      <c r="X1015" s="5">
        <v>0</v>
      </c>
      <c r="Y1015" s="5">
        <v>0</v>
      </c>
      <c r="Z1015" s="37">
        <v>0</v>
      </c>
      <c r="AA1015" s="5">
        <v>0</v>
      </c>
      <c r="AB1015" s="5">
        <v>0</v>
      </c>
      <c r="AC1015" s="5">
        <v>0</v>
      </c>
      <c r="AD1015" s="5">
        <v>0</v>
      </c>
      <c r="AE1015" s="10" t="s">
        <v>375</v>
      </c>
      <c r="AF1015" s="10"/>
      <c r="AG1015" s="10" t="s">
        <v>114</v>
      </c>
      <c r="AH1015" s="10">
        <v>40581</v>
      </c>
      <c r="AI1015" s="5">
        <v>4</v>
      </c>
      <c r="AJ1015" s="10" t="s">
        <v>5689</v>
      </c>
      <c r="AK1015" s="10" t="s">
        <v>5690</v>
      </c>
    </row>
    <row r="1016" spans="1:37" ht="36.75" customHeight="1" x14ac:dyDescent="0.35">
      <c r="A1016" s="5"/>
      <c r="B1016" s="5" t="s">
        <v>37</v>
      </c>
      <c r="C1016" s="73" t="str">
        <f t="shared" si="15"/>
        <v>Closed</v>
      </c>
      <c r="D1016" s="45" t="s">
        <v>5691</v>
      </c>
      <c r="E1016" s="54" t="s">
        <v>5692</v>
      </c>
      <c r="F1016" s="5" t="s">
        <v>1751</v>
      </c>
      <c r="G1016" s="10">
        <f>DATE(2011,1,28)</f>
        <v>40571</v>
      </c>
      <c r="H1016" s="35">
        <v>1.4361111111111111</v>
      </c>
      <c r="I1016" s="5" t="s">
        <v>55</v>
      </c>
      <c r="J1016" s="10" t="s">
        <v>5693</v>
      </c>
      <c r="K1016" s="5" t="s">
        <v>1753</v>
      </c>
      <c r="L1016" s="5" t="s">
        <v>5694</v>
      </c>
      <c r="M1016" s="5" t="s">
        <v>45</v>
      </c>
      <c r="N1016" s="5" t="s">
        <v>70</v>
      </c>
      <c r="O1016" s="5" t="s">
        <v>59</v>
      </c>
      <c r="P1016" s="10" t="s">
        <v>146</v>
      </c>
      <c r="Q1016" s="10" t="s">
        <v>1755</v>
      </c>
      <c r="R1016" s="10" t="s">
        <v>1756</v>
      </c>
      <c r="S1016" s="5">
        <v>0</v>
      </c>
      <c r="T1016" s="37">
        <v>0</v>
      </c>
      <c r="U1016" s="5">
        <v>0</v>
      </c>
      <c r="V1016" s="37">
        <v>0</v>
      </c>
      <c r="W1016" s="5">
        <v>0</v>
      </c>
      <c r="X1016" s="5">
        <v>0</v>
      </c>
      <c r="Y1016" s="5">
        <v>0</v>
      </c>
      <c r="Z1016" s="37">
        <v>0</v>
      </c>
      <c r="AA1016" s="5">
        <v>0</v>
      </c>
      <c r="AB1016" s="5">
        <v>0</v>
      </c>
      <c r="AC1016" s="5">
        <v>0</v>
      </c>
      <c r="AD1016" s="5">
        <v>0</v>
      </c>
      <c r="AE1016" s="10" t="s">
        <v>375</v>
      </c>
      <c r="AF1016" s="10"/>
      <c r="AG1016" s="10" t="s">
        <v>114</v>
      </c>
      <c r="AH1016" s="10">
        <v>40571</v>
      </c>
      <c r="AI1016" s="5">
        <v>3</v>
      </c>
      <c r="AJ1016" s="10" t="s">
        <v>5695</v>
      </c>
      <c r="AK1016" s="10" t="s">
        <v>5695</v>
      </c>
    </row>
    <row r="1017" spans="1:37" ht="36.75" customHeight="1" x14ac:dyDescent="0.35">
      <c r="A1017" s="5"/>
      <c r="B1017" s="5" t="s">
        <v>37</v>
      </c>
      <c r="C1017" s="73" t="str">
        <f t="shared" si="15"/>
        <v>Closed</v>
      </c>
      <c r="D1017" s="45" t="s">
        <v>5696</v>
      </c>
      <c r="E1017" s="54" t="s">
        <v>5697</v>
      </c>
      <c r="F1017" s="5" t="s">
        <v>816</v>
      </c>
      <c r="G1017" s="10">
        <f>DATE(2011,1,28)</f>
        <v>40571</v>
      </c>
      <c r="H1017" s="35">
        <v>1.367361111111111</v>
      </c>
      <c r="I1017" s="5" t="s">
        <v>97</v>
      </c>
      <c r="J1017" s="10" t="s">
        <v>5698</v>
      </c>
      <c r="K1017" s="5" t="s">
        <v>818</v>
      </c>
      <c r="L1017" s="5" t="s">
        <v>5699</v>
      </c>
      <c r="M1017" s="5" t="s">
        <v>45</v>
      </c>
      <c r="N1017" s="5">
        <v>0</v>
      </c>
      <c r="O1017" s="5" t="s">
        <v>59</v>
      </c>
      <c r="P1017" s="10" t="s">
        <v>47</v>
      </c>
      <c r="Q1017" s="10" t="s">
        <v>2142</v>
      </c>
      <c r="R1017" s="10" t="s">
        <v>821</v>
      </c>
      <c r="S1017" s="5">
        <v>0</v>
      </c>
      <c r="T1017" s="37">
        <v>0</v>
      </c>
      <c r="U1017" s="5">
        <v>0</v>
      </c>
      <c r="V1017" s="37">
        <v>0</v>
      </c>
      <c r="W1017" s="5">
        <v>0</v>
      </c>
      <c r="X1017" s="5">
        <v>0</v>
      </c>
      <c r="Y1017" s="5">
        <v>0</v>
      </c>
      <c r="Z1017" s="37">
        <v>0</v>
      </c>
      <c r="AA1017" s="5">
        <v>2</v>
      </c>
      <c r="AB1017" s="5">
        <v>0</v>
      </c>
      <c r="AC1017" s="5">
        <v>0</v>
      </c>
      <c r="AD1017" s="5">
        <v>2</v>
      </c>
      <c r="AE1017" s="10" t="s">
        <v>50</v>
      </c>
      <c r="AF1017" s="10"/>
      <c r="AG1017" s="10" t="s">
        <v>333</v>
      </c>
      <c r="AH1017" s="10" t="s">
        <v>50</v>
      </c>
      <c r="AI1017" s="5">
        <v>0</v>
      </c>
      <c r="AJ1017" s="10" t="s">
        <v>50</v>
      </c>
      <c r="AK1017" s="10" t="s">
        <v>50</v>
      </c>
    </row>
    <row r="1018" spans="1:37" ht="36.75" customHeight="1" x14ac:dyDescent="0.35">
      <c r="A1018" s="5"/>
      <c r="B1018" s="5" t="s">
        <v>37</v>
      </c>
      <c r="C1018" s="73" t="str">
        <f t="shared" si="15"/>
        <v>Closed</v>
      </c>
      <c r="D1018" s="45" t="s">
        <v>5700</v>
      </c>
      <c r="E1018" s="54" t="s">
        <v>5701</v>
      </c>
      <c r="F1018" s="5" t="s">
        <v>214</v>
      </c>
      <c r="G1018" s="10">
        <f>DATE(2011,1,28)</f>
        <v>40571</v>
      </c>
      <c r="H1018" s="35">
        <v>1.9881944444444444</v>
      </c>
      <c r="I1018" s="5" t="s">
        <v>259</v>
      </c>
      <c r="J1018" s="10" t="s">
        <v>5702</v>
      </c>
      <c r="K1018" s="5" t="s">
        <v>216</v>
      </c>
      <c r="L1018" s="5" t="s">
        <v>5703</v>
      </c>
      <c r="M1018" s="5" t="s">
        <v>45</v>
      </c>
      <c r="N1018" s="5">
        <v>0</v>
      </c>
      <c r="O1018" s="5" t="s">
        <v>59</v>
      </c>
      <c r="P1018" s="10" t="s">
        <v>146</v>
      </c>
      <c r="Q1018" s="10" t="s">
        <v>2856</v>
      </c>
      <c r="R1018" s="10" t="s">
        <v>219</v>
      </c>
      <c r="S1018" s="5">
        <v>0</v>
      </c>
      <c r="T1018" s="37" t="s">
        <v>50</v>
      </c>
      <c r="U1018" s="5">
        <v>0</v>
      </c>
      <c r="V1018" s="37" t="s">
        <v>50</v>
      </c>
      <c r="W1018" s="5">
        <v>0</v>
      </c>
      <c r="X1018" s="5">
        <v>0</v>
      </c>
      <c r="Y1018" s="5">
        <v>0</v>
      </c>
      <c r="Z1018" s="37" t="s">
        <v>50</v>
      </c>
      <c r="AA1018" s="5">
        <v>0</v>
      </c>
      <c r="AB1018" s="5">
        <v>0</v>
      </c>
      <c r="AC1018" s="5">
        <v>0</v>
      </c>
      <c r="AD1018" s="5">
        <v>0</v>
      </c>
      <c r="AE1018" s="10" t="s">
        <v>50</v>
      </c>
      <c r="AF1018" s="10"/>
      <c r="AG1018" s="10" t="s">
        <v>114</v>
      </c>
      <c r="AH1018" s="10" t="s">
        <v>50</v>
      </c>
      <c r="AI1018" s="5">
        <v>5</v>
      </c>
      <c r="AJ1018" s="10" t="s">
        <v>5704</v>
      </c>
      <c r="AK1018" s="10" t="s">
        <v>5705</v>
      </c>
    </row>
    <row r="1019" spans="1:37" ht="36.75" customHeight="1" x14ac:dyDescent="0.35">
      <c r="A1019" s="5"/>
      <c r="B1019" s="5" t="s">
        <v>37</v>
      </c>
      <c r="C1019" s="73" t="str">
        <f t="shared" si="15"/>
        <v>Closed</v>
      </c>
      <c r="D1019" s="45" t="s">
        <v>5706</v>
      </c>
      <c r="E1019" s="54" t="s">
        <v>5707</v>
      </c>
      <c r="F1019" s="5" t="s">
        <v>563</v>
      </c>
      <c r="G1019" s="10">
        <f>DATE(2011,1,29)</f>
        <v>40572</v>
      </c>
      <c r="H1019" s="35">
        <v>1.9375</v>
      </c>
      <c r="I1019" s="5" t="s">
        <v>179</v>
      </c>
      <c r="J1019" s="10" t="s">
        <v>5708</v>
      </c>
      <c r="K1019" s="5" t="s">
        <v>565</v>
      </c>
      <c r="L1019" s="5" t="s">
        <v>5709</v>
      </c>
      <c r="M1019" s="5" t="s">
        <v>45</v>
      </c>
      <c r="N1019" s="5" t="s">
        <v>80</v>
      </c>
      <c r="O1019" s="5" t="s">
        <v>46</v>
      </c>
      <c r="P1019" s="10" t="s">
        <v>197</v>
      </c>
      <c r="Q1019" s="10" t="s">
        <v>5710</v>
      </c>
      <c r="R1019" s="10" t="s">
        <v>568</v>
      </c>
      <c r="S1019" s="5">
        <v>8</v>
      </c>
      <c r="T1019" s="37">
        <v>2</v>
      </c>
      <c r="U1019" s="5">
        <v>0</v>
      </c>
      <c r="V1019" s="37">
        <v>0</v>
      </c>
      <c r="W1019" s="5">
        <v>0</v>
      </c>
      <c r="X1019" s="5">
        <v>10</v>
      </c>
      <c r="Y1019" s="5">
        <v>8</v>
      </c>
      <c r="Z1019" s="37">
        <v>0</v>
      </c>
      <c r="AA1019" s="5">
        <v>0</v>
      </c>
      <c r="AB1019" s="5">
        <v>0</v>
      </c>
      <c r="AC1019" s="5">
        <v>0</v>
      </c>
      <c r="AD1019" s="5">
        <v>8</v>
      </c>
      <c r="AE1019" s="10" t="s">
        <v>126</v>
      </c>
      <c r="AF1019" s="10"/>
      <c r="AG1019" s="10" t="s">
        <v>64</v>
      </c>
      <c r="AH1019" s="10">
        <v>40575</v>
      </c>
      <c r="AI1019" s="5">
        <v>2</v>
      </c>
      <c r="AJ1019" s="10" t="s">
        <v>5711</v>
      </c>
      <c r="AK1019" s="10" t="s">
        <v>1215</v>
      </c>
    </row>
    <row r="1020" spans="1:37" ht="36.75" customHeight="1" x14ac:dyDescent="0.35">
      <c r="A1020" s="5"/>
      <c r="B1020" s="5" t="s">
        <v>37</v>
      </c>
      <c r="C1020" s="73" t="str">
        <f t="shared" si="15"/>
        <v>Closed</v>
      </c>
      <c r="D1020" s="45" t="s">
        <v>5712</v>
      </c>
      <c r="E1020" s="54" t="s">
        <v>5713</v>
      </c>
      <c r="F1020" s="5" t="s">
        <v>404</v>
      </c>
      <c r="G1020" s="10">
        <f>DATE(2011,2,2)</f>
        <v>40576</v>
      </c>
      <c r="H1020" s="35">
        <v>1.3486111111111112</v>
      </c>
      <c r="I1020" s="5" t="s">
        <v>179</v>
      </c>
      <c r="J1020" s="10" t="s">
        <v>5714</v>
      </c>
      <c r="K1020" s="5" t="s">
        <v>406</v>
      </c>
      <c r="L1020" s="5" t="s">
        <v>5715</v>
      </c>
      <c r="M1020" s="5" t="s">
        <v>45</v>
      </c>
      <c r="N1020" s="5">
        <v>0</v>
      </c>
      <c r="O1020" s="5" t="s">
        <v>46</v>
      </c>
      <c r="P1020" s="10" t="s">
        <v>197</v>
      </c>
      <c r="Q1020" s="10" t="s">
        <v>2463</v>
      </c>
      <c r="R1020" s="10" t="s">
        <v>3083</v>
      </c>
      <c r="S1020" s="5">
        <v>1</v>
      </c>
      <c r="T1020" s="37">
        <v>0</v>
      </c>
      <c r="U1020" s="5">
        <v>0</v>
      </c>
      <c r="V1020" s="37">
        <v>0</v>
      </c>
      <c r="W1020" s="5">
        <v>0</v>
      </c>
      <c r="X1020" s="5">
        <v>1</v>
      </c>
      <c r="Y1020" s="5">
        <v>6</v>
      </c>
      <c r="Z1020" s="37">
        <v>1</v>
      </c>
      <c r="AA1020" s="5">
        <v>0</v>
      </c>
      <c r="AB1020" s="5">
        <v>0</v>
      </c>
      <c r="AC1020" s="5">
        <v>0</v>
      </c>
      <c r="AD1020" s="5">
        <v>7</v>
      </c>
      <c r="AE1020" s="10" t="s">
        <v>50</v>
      </c>
      <c r="AF1020" s="10"/>
      <c r="AG1020" s="10" t="s">
        <v>64</v>
      </c>
      <c r="AH1020" s="10" t="s">
        <v>50</v>
      </c>
      <c r="AI1020" s="5">
        <v>8</v>
      </c>
      <c r="AJ1020" s="10" t="s">
        <v>50</v>
      </c>
      <c r="AK1020" s="10" t="s">
        <v>5716</v>
      </c>
    </row>
    <row r="1021" spans="1:37" ht="36.75" customHeight="1" x14ac:dyDescent="0.35">
      <c r="A1021" s="5"/>
      <c r="B1021" s="5" t="s">
        <v>37</v>
      </c>
      <c r="C1021" s="73" t="str">
        <f t="shared" si="15"/>
        <v>Closed</v>
      </c>
      <c r="D1021" s="45" t="s">
        <v>5717</v>
      </c>
      <c r="E1021" s="54" t="s">
        <v>5718</v>
      </c>
      <c r="F1021" s="5" t="s">
        <v>40</v>
      </c>
      <c r="G1021" s="10">
        <f>DATE(2011,2,2)</f>
        <v>40576</v>
      </c>
      <c r="H1021" s="35">
        <v>1.4965277777777777</v>
      </c>
      <c r="I1021" s="5" t="s">
        <v>179</v>
      </c>
      <c r="J1021" s="10" t="s">
        <v>5719</v>
      </c>
      <c r="K1021" s="5" t="s">
        <v>43</v>
      </c>
      <c r="L1021" s="5" t="s">
        <v>5720</v>
      </c>
      <c r="M1021" s="5" t="s">
        <v>45</v>
      </c>
      <c r="N1021" s="5" t="s">
        <v>80</v>
      </c>
      <c r="O1021" s="5" t="s">
        <v>46</v>
      </c>
      <c r="P1021" s="10" t="s">
        <v>60</v>
      </c>
      <c r="Q1021" s="10" t="s">
        <v>48</v>
      </c>
      <c r="R1021" s="10" t="s">
        <v>49</v>
      </c>
      <c r="S1021" s="5">
        <v>0</v>
      </c>
      <c r="T1021" s="37">
        <v>0</v>
      </c>
      <c r="U1021" s="5">
        <v>0</v>
      </c>
      <c r="V1021" s="37">
        <v>0</v>
      </c>
      <c r="W1021" s="5">
        <v>0</v>
      </c>
      <c r="X1021" s="5">
        <v>0</v>
      </c>
      <c r="Y1021" s="5">
        <v>0</v>
      </c>
      <c r="Z1021" s="37">
        <v>0</v>
      </c>
      <c r="AA1021" s="5">
        <v>0</v>
      </c>
      <c r="AB1021" s="5">
        <v>0</v>
      </c>
      <c r="AC1021" s="5">
        <v>0</v>
      </c>
      <c r="AD1021" s="5">
        <v>0</v>
      </c>
      <c r="AE1021" s="10" t="s">
        <v>375</v>
      </c>
      <c r="AF1021" s="10"/>
      <c r="AG1021" s="10" t="s">
        <v>114</v>
      </c>
      <c r="AH1021" s="10">
        <v>40584</v>
      </c>
      <c r="AI1021" s="5">
        <v>3</v>
      </c>
      <c r="AJ1021" s="10" t="s">
        <v>5721</v>
      </c>
      <c r="AK1021" s="10" t="s">
        <v>5722</v>
      </c>
    </row>
    <row r="1022" spans="1:37" ht="36.75" customHeight="1" x14ac:dyDescent="0.35">
      <c r="A1022" s="5"/>
      <c r="B1022" s="5" t="s">
        <v>37</v>
      </c>
      <c r="C1022" s="73" t="str">
        <f t="shared" si="15"/>
        <v>Closed</v>
      </c>
      <c r="D1022" s="45" t="s">
        <v>5723</v>
      </c>
      <c r="E1022" s="54" t="s">
        <v>5724</v>
      </c>
      <c r="F1022" s="5" t="s">
        <v>214</v>
      </c>
      <c r="G1022" s="10">
        <f>DATE(2011,2,5)</f>
        <v>40579</v>
      </c>
      <c r="H1022" s="35">
        <v>1.254861111111111</v>
      </c>
      <c r="I1022" s="5" t="s">
        <v>137</v>
      </c>
      <c r="J1022" s="10" t="s">
        <v>5725</v>
      </c>
      <c r="K1022" s="5" t="s">
        <v>216</v>
      </c>
      <c r="L1022" s="5" t="s">
        <v>5726</v>
      </c>
      <c r="M1022" s="5" t="s">
        <v>45</v>
      </c>
      <c r="N1022" s="5">
        <v>0</v>
      </c>
      <c r="O1022" s="5" t="s">
        <v>46</v>
      </c>
      <c r="P1022" s="10" t="s">
        <v>146</v>
      </c>
      <c r="Q1022" s="10" t="s">
        <v>3332</v>
      </c>
      <c r="R1022" s="10" t="s">
        <v>219</v>
      </c>
      <c r="S1022" s="5">
        <v>0</v>
      </c>
      <c r="T1022" s="37" t="s">
        <v>50</v>
      </c>
      <c r="U1022" s="5">
        <v>0</v>
      </c>
      <c r="V1022" s="37" t="s">
        <v>50</v>
      </c>
      <c r="W1022" s="5">
        <v>0</v>
      </c>
      <c r="X1022" s="5">
        <v>0</v>
      </c>
      <c r="Y1022" s="5">
        <v>0</v>
      </c>
      <c r="Z1022" s="37" t="s">
        <v>50</v>
      </c>
      <c r="AA1022" s="5">
        <v>0</v>
      </c>
      <c r="AB1022" s="5">
        <v>0</v>
      </c>
      <c r="AC1022" s="5">
        <v>0</v>
      </c>
      <c r="AD1022" s="5">
        <v>0</v>
      </c>
      <c r="AE1022" s="10" t="s">
        <v>50</v>
      </c>
      <c r="AF1022" s="10"/>
      <c r="AG1022" s="10" t="s">
        <v>114</v>
      </c>
      <c r="AH1022" s="10" t="s">
        <v>50</v>
      </c>
      <c r="AI1022" s="5">
        <v>5</v>
      </c>
      <c r="AJ1022" s="10" t="s">
        <v>5727</v>
      </c>
      <c r="AK1022" s="10" t="s">
        <v>5728</v>
      </c>
    </row>
    <row r="1023" spans="1:37" ht="36.75" customHeight="1" x14ac:dyDescent="0.35">
      <c r="A1023" s="5"/>
      <c r="B1023" s="5" t="s">
        <v>37</v>
      </c>
      <c r="C1023" s="73" t="str">
        <f t="shared" si="15"/>
        <v>Closed</v>
      </c>
      <c r="D1023" s="45" t="s">
        <v>5729</v>
      </c>
      <c r="E1023" s="54" t="s">
        <v>5730</v>
      </c>
      <c r="F1023" s="5" t="s">
        <v>178</v>
      </c>
      <c r="G1023" s="10">
        <f>DATE(2011,2,8)</f>
        <v>40582</v>
      </c>
      <c r="H1023" s="35">
        <v>1.3875</v>
      </c>
      <c r="I1023" s="5" t="s">
        <v>97</v>
      </c>
      <c r="J1023" s="10" t="s">
        <v>5731</v>
      </c>
      <c r="K1023" s="5" t="s">
        <v>181</v>
      </c>
      <c r="L1023" s="5" t="s">
        <v>5732</v>
      </c>
      <c r="M1023" s="5" t="s">
        <v>45</v>
      </c>
      <c r="N1023" s="5">
        <v>0</v>
      </c>
      <c r="O1023" s="5" t="s">
        <v>46</v>
      </c>
      <c r="P1023" s="10" t="s">
        <v>146</v>
      </c>
      <c r="Q1023" s="10" t="s">
        <v>183</v>
      </c>
      <c r="R1023" s="10" t="s">
        <v>184</v>
      </c>
      <c r="S1023" s="5">
        <v>0</v>
      </c>
      <c r="T1023" s="37">
        <v>0</v>
      </c>
      <c r="U1023" s="5">
        <v>1</v>
      </c>
      <c r="V1023" s="37">
        <v>0</v>
      </c>
      <c r="W1023" s="5">
        <v>0</v>
      </c>
      <c r="X1023" s="5">
        <v>1</v>
      </c>
      <c r="Y1023" s="5">
        <v>0</v>
      </c>
      <c r="Z1023" s="37">
        <v>0</v>
      </c>
      <c r="AA1023" s="5">
        <v>0</v>
      </c>
      <c r="AB1023" s="5">
        <v>0</v>
      </c>
      <c r="AC1023" s="5">
        <v>0</v>
      </c>
      <c r="AD1023" s="5">
        <v>0</v>
      </c>
      <c r="AE1023" s="10" t="s">
        <v>50</v>
      </c>
      <c r="AF1023" s="10"/>
      <c r="AG1023" s="10" t="s">
        <v>114</v>
      </c>
      <c r="AH1023" s="10" t="s">
        <v>50</v>
      </c>
      <c r="AI1023" s="5">
        <v>0</v>
      </c>
      <c r="AJ1023" s="10" t="s">
        <v>50</v>
      </c>
      <c r="AK1023" s="10" t="s">
        <v>50</v>
      </c>
    </row>
    <row r="1024" spans="1:37" ht="36.75" customHeight="1" x14ac:dyDescent="0.35">
      <c r="A1024" s="5"/>
      <c r="B1024" s="5" t="s">
        <v>37</v>
      </c>
      <c r="C1024" s="73" t="str">
        <f t="shared" si="15"/>
        <v>Closed</v>
      </c>
      <c r="D1024" s="45" t="s">
        <v>5733</v>
      </c>
      <c r="E1024" s="54" t="s">
        <v>5734</v>
      </c>
      <c r="F1024" s="5" t="s">
        <v>1553</v>
      </c>
      <c r="G1024" s="10">
        <f>DATE(2011,2,8)</f>
        <v>40582</v>
      </c>
      <c r="H1024" s="35">
        <v>1.71875</v>
      </c>
      <c r="I1024" s="5" t="s">
        <v>55</v>
      </c>
      <c r="J1024" s="10" t="s">
        <v>5735</v>
      </c>
      <c r="K1024" s="5" t="s">
        <v>1555</v>
      </c>
      <c r="L1024" s="5" t="s">
        <v>5736</v>
      </c>
      <c r="M1024" s="5" t="s">
        <v>45</v>
      </c>
      <c r="N1024" s="5">
        <v>0</v>
      </c>
      <c r="O1024" s="5" t="s">
        <v>59</v>
      </c>
      <c r="P1024" s="10" t="s">
        <v>60</v>
      </c>
      <c r="Q1024" s="10" t="s">
        <v>2635</v>
      </c>
      <c r="R1024" s="10" t="s">
        <v>5737</v>
      </c>
      <c r="S1024" s="5">
        <v>0</v>
      </c>
      <c r="T1024" s="37" t="s">
        <v>50</v>
      </c>
      <c r="U1024" s="5">
        <v>0</v>
      </c>
      <c r="V1024" s="37" t="s">
        <v>50</v>
      </c>
      <c r="W1024" s="5">
        <v>0</v>
      </c>
      <c r="X1024" s="5">
        <v>0</v>
      </c>
      <c r="Y1024" s="5">
        <v>0</v>
      </c>
      <c r="Z1024" s="37" t="s">
        <v>50</v>
      </c>
      <c r="AA1024" s="5">
        <v>0</v>
      </c>
      <c r="AB1024" s="5">
        <v>0</v>
      </c>
      <c r="AC1024" s="5">
        <v>0</v>
      </c>
      <c r="AD1024" s="5">
        <v>0</v>
      </c>
      <c r="AE1024" s="10" t="s">
        <v>50</v>
      </c>
      <c r="AF1024" s="10"/>
      <c r="AG1024" s="10" t="s">
        <v>114</v>
      </c>
      <c r="AH1024" s="10" t="s">
        <v>50</v>
      </c>
      <c r="AI1024" s="5">
        <v>0</v>
      </c>
      <c r="AJ1024" s="10" t="s">
        <v>5738</v>
      </c>
      <c r="AK1024" s="10" t="s">
        <v>50</v>
      </c>
    </row>
    <row r="1025" spans="1:37" ht="36.75" customHeight="1" x14ac:dyDescent="0.35">
      <c r="A1025" s="5"/>
      <c r="B1025" s="5" t="s">
        <v>37</v>
      </c>
      <c r="C1025" s="73" t="str">
        <f t="shared" si="15"/>
        <v>Closed</v>
      </c>
      <c r="D1025" s="45" t="s">
        <v>5739</v>
      </c>
      <c r="E1025" s="54" t="s">
        <v>5740</v>
      </c>
      <c r="F1025" s="5" t="s">
        <v>816</v>
      </c>
      <c r="G1025" s="10">
        <f>DATE(2011,2,9)</f>
        <v>40583</v>
      </c>
      <c r="H1025" s="35">
        <v>1.2395833333333333</v>
      </c>
      <c r="I1025" s="5" t="s">
        <v>412</v>
      </c>
      <c r="J1025" s="10" t="s">
        <v>5741</v>
      </c>
      <c r="K1025" s="5" t="s">
        <v>818</v>
      </c>
      <c r="L1025" s="5" t="s">
        <v>5742</v>
      </c>
      <c r="M1025" s="5" t="s">
        <v>45</v>
      </c>
      <c r="N1025" s="5">
        <v>0</v>
      </c>
      <c r="O1025" s="5" t="s">
        <v>59</v>
      </c>
      <c r="P1025" s="10" t="s">
        <v>72</v>
      </c>
      <c r="Q1025" s="10" t="s">
        <v>3041</v>
      </c>
      <c r="R1025" s="10" t="s">
        <v>2777</v>
      </c>
      <c r="S1025" s="5">
        <v>0</v>
      </c>
      <c r="T1025" s="37">
        <v>0</v>
      </c>
      <c r="U1025" s="5">
        <v>0</v>
      </c>
      <c r="V1025" s="37">
        <v>0</v>
      </c>
      <c r="W1025" s="5">
        <v>0</v>
      </c>
      <c r="X1025" s="5">
        <v>0</v>
      </c>
      <c r="Y1025" s="5">
        <v>0</v>
      </c>
      <c r="Z1025" s="37">
        <v>0</v>
      </c>
      <c r="AA1025" s="5">
        <v>0</v>
      </c>
      <c r="AB1025" s="5">
        <v>0</v>
      </c>
      <c r="AC1025" s="5">
        <v>0</v>
      </c>
      <c r="AD1025" s="5">
        <v>0</v>
      </c>
      <c r="AE1025" s="10" t="s">
        <v>73</v>
      </c>
      <c r="AF1025" s="10"/>
      <c r="AG1025" s="10" t="s">
        <v>333</v>
      </c>
      <c r="AH1025" s="10" t="s">
        <v>50</v>
      </c>
      <c r="AI1025" s="5">
        <v>0</v>
      </c>
      <c r="AJ1025" s="10" t="s">
        <v>5514</v>
      </c>
      <c r="AK1025" s="10" t="s">
        <v>50</v>
      </c>
    </row>
    <row r="1026" spans="1:37" ht="36.75" customHeight="1" x14ac:dyDescent="0.35">
      <c r="A1026" s="5"/>
      <c r="B1026" s="5" t="s">
        <v>37</v>
      </c>
      <c r="C1026" s="73" t="str">
        <f t="shared" ref="C1026:C1089" si="16">IF(B1026="Notification","Open",IF(B1026="Interim Statement","In progress","Closed"))</f>
        <v>Closed</v>
      </c>
      <c r="D1026" s="45" t="s">
        <v>5743</v>
      </c>
      <c r="E1026" s="54" t="s">
        <v>5744</v>
      </c>
      <c r="F1026" s="5" t="s">
        <v>178</v>
      </c>
      <c r="G1026" s="10">
        <f>DATE(2011,2,10)</f>
        <v>40584</v>
      </c>
      <c r="H1026" s="35">
        <v>1.3347222222222221</v>
      </c>
      <c r="I1026" s="5" t="s">
        <v>97</v>
      </c>
      <c r="J1026" s="10" t="s">
        <v>5745</v>
      </c>
      <c r="K1026" s="5" t="s">
        <v>181</v>
      </c>
      <c r="L1026" s="5" t="s">
        <v>5746</v>
      </c>
      <c r="M1026" s="5" t="s">
        <v>45</v>
      </c>
      <c r="N1026" s="5">
        <v>0</v>
      </c>
      <c r="O1026" s="5" t="s">
        <v>46</v>
      </c>
      <c r="P1026" s="10" t="s">
        <v>146</v>
      </c>
      <c r="Q1026" s="10" t="s">
        <v>5747</v>
      </c>
      <c r="R1026" s="10" t="s">
        <v>184</v>
      </c>
      <c r="S1026" s="5">
        <v>0</v>
      </c>
      <c r="T1026" s="37">
        <v>0</v>
      </c>
      <c r="U1026" s="5">
        <v>0</v>
      </c>
      <c r="V1026" s="37">
        <v>0</v>
      </c>
      <c r="W1026" s="5">
        <v>0</v>
      </c>
      <c r="X1026" s="5">
        <v>0</v>
      </c>
      <c r="Y1026" s="5">
        <v>0</v>
      </c>
      <c r="Z1026" s="37">
        <v>0</v>
      </c>
      <c r="AA1026" s="5">
        <v>0</v>
      </c>
      <c r="AB1026" s="5">
        <v>0</v>
      </c>
      <c r="AC1026" s="5">
        <v>0</v>
      </c>
      <c r="AD1026" s="5">
        <v>0</v>
      </c>
      <c r="AE1026" s="10" t="s">
        <v>50</v>
      </c>
      <c r="AF1026" s="10"/>
      <c r="AG1026" s="10" t="s">
        <v>855</v>
      </c>
      <c r="AH1026" s="10" t="s">
        <v>50</v>
      </c>
      <c r="AI1026" s="5">
        <v>0</v>
      </c>
      <c r="AJ1026" s="10" t="s">
        <v>5748</v>
      </c>
      <c r="AK1026" s="10" t="s">
        <v>1215</v>
      </c>
    </row>
    <row r="1027" spans="1:37" ht="36.75" customHeight="1" x14ac:dyDescent="0.35">
      <c r="A1027" s="5"/>
      <c r="B1027" s="5" t="s">
        <v>37</v>
      </c>
      <c r="C1027" s="73" t="str">
        <f t="shared" si="16"/>
        <v>Closed</v>
      </c>
      <c r="D1027" s="45" t="s">
        <v>5749</v>
      </c>
      <c r="E1027" s="54" t="s">
        <v>5750</v>
      </c>
      <c r="F1027" s="5" t="s">
        <v>563</v>
      </c>
      <c r="G1027" s="10">
        <f>DATE(2011,2,11)</f>
        <v>40585</v>
      </c>
      <c r="H1027" s="35">
        <v>1.6604166666666667</v>
      </c>
      <c r="I1027" s="5" t="s">
        <v>55</v>
      </c>
      <c r="J1027" s="10" t="s">
        <v>5751</v>
      </c>
      <c r="K1027" s="5" t="s">
        <v>565</v>
      </c>
      <c r="L1027" s="5" t="s">
        <v>5752</v>
      </c>
      <c r="M1027" s="5" t="s">
        <v>45</v>
      </c>
      <c r="N1027" s="5" t="s">
        <v>123</v>
      </c>
      <c r="O1027" s="5" t="s">
        <v>46</v>
      </c>
      <c r="P1027" s="10" t="s">
        <v>60</v>
      </c>
      <c r="Q1027" s="10" t="s">
        <v>567</v>
      </c>
      <c r="R1027" s="10" t="s">
        <v>568</v>
      </c>
      <c r="S1027" s="5">
        <v>0</v>
      </c>
      <c r="T1027" s="37">
        <v>0</v>
      </c>
      <c r="U1027" s="5">
        <v>0</v>
      </c>
      <c r="V1027" s="37">
        <v>0</v>
      </c>
      <c r="W1027" s="5">
        <v>0</v>
      </c>
      <c r="X1027" s="5">
        <v>0</v>
      </c>
      <c r="Y1027" s="5">
        <v>0</v>
      </c>
      <c r="Z1027" s="37">
        <v>0</v>
      </c>
      <c r="AA1027" s="5">
        <v>0</v>
      </c>
      <c r="AB1027" s="5">
        <v>0</v>
      </c>
      <c r="AC1027" s="5">
        <v>0</v>
      </c>
      <c r="AD1027" s="5">
        <v>0</v>
      </c>
      <c r="AE1027" s="10" t="s">
        <v>375</v>
      </c>
      <c r="AF1027" s="10"/>
      <c r="AG1027" s="10" t="s">
        <v>64</v>
      </c>
      <c r="AH1027" s="10">
        <v>40590</v>
      </c>
      <c r="AI1027" s="5">
        <v>0</v>
      </c>
      <c r="AJ1027" s="10" t="s">
        <v>5753</v>
      </c>
      <c r="AK1027" s="10" t="s">
        <v>1215</v>
      </c>
    </row>
    <row r="1028" spans="1:37" ht="36.75" customHeight="1" x14ac:dyDescent="0.35">
      <c r="A1028" s="5"/>
      <c r="B1028" s="5" t="s">
        <v>37</v>
      </c>
      <c r="C1028" s="73" t="str">
        <f t="shared" si="16"/>
        <v>Closed</v>
      </c>
      <c r="D1028" s="45" t="s">
        <v>5754</v>
      </c>
      <c r="E1028" s="54" t="s">
        <v>5755</v>
      </c>
      <c r="F1028" s="5" t="s">
        <v>178</v>
      </c>
      <c r="G1028" s="10">
        <f>DATE(2011,2,14)</f>
        <v>40588</v>
      </c>
      <c r="H1028" s="35">
        <v>1.2034722222222223</v>
      </c>
      <c r="I1028" s="5" t="s">
        <v>179</v>
      </c>
      <c r="J1028" s="10" t="s">
        <v>5756</v>
      </c>
      <c r="K1028" s="5" t="s">
        <v>181</v>
      </c>
      <c r="L1028" s="5" t="s">
        <v>5757</v>
      </c>
      <c r="M1028" s="5" t="s">
        <v>45</v>
      </c>
      <c r="N1028" s="5">
        <v>0</v>
      </c>
      <c r="O1028" s="5" t="s">
        <v>71</v>
      </c>
      <c r="P1028" s="10" t="s">
        <v>2531</v>
      </c>
      <c r="Q1028" s="10" t="s">
        <v>5758</v>
      </c>
      <c r="R1028" s="10" t="s">
        <v>184</v>
      </c>
      <c r="S1028" s="5">
        <v>0</v>
      </c>
      <c r="T1028" s="37">
        <v>0</v>
      </c>
      <c r="U1028" s="5">
        <v>0</v>
      </c>
      <c r="V1028" s="37">
        <v>0</v>
      </c>
      <c r="W1028" s="5">
        <v>0</v>
      </c>
      <c r="X1028" s="5">
        <v>0</v>
      </c>
      <c r="Y1028" s="5">
        <v>0</v>
      </c>
      <c r="Z1028" s="37">
        <v>1</v>
      </c>
      <c r="AA1028" s="5">
        <v>0</v>
      </c>
      <c r="AB1028" s="5">
        <v>0</v>
      </c>
      <c r="AC1028" s="5">
        <v>0</v>
      </c>
      <c r="AD1028" s="5">
        <v>1</v>
      </c>
      <c r="AE1028" s="10" t="s">
        <v>50</v>
      </c>
      <c r="AF1028" s="10"/>
      <c r="AG1028" s="10" t="s">
        <v>114</v>
      </c>
      <c r="AH1028" s="10" t="s">
        <v>50</v>
      </c>
      <c r="AI1028" s="5">
        <v>0</v>
      </c>
      <c r="AJ1028" s="10" t="s">
        <v>5759</v>
      </c>
      <c r="AK1028" s="10" t="s">
        <v>50</v>
      </c>
    </row>
    <row r="1029" spans="1:37" ht="36.75" customHeight="1" x14ac:dyDescent="0.35">
      <c r="A1029" s="5"/>
      <c r="B1029" s="5" t="s">
        <v>37</v>
      </c>
      <c r="C1029" s="73" t="str">
        <f t="shared" si="16"/>
        <v>Closed</v>
      </c>
      <c r="D1029" s="45" t="s">
        <v>5760</v>
      </c>
      <c r="E1029" s="54" t="s">
        <v>5761</v>
      </c>
      <c r="F1029" s="5" t="s">
        <v>1919</v>
      </c>
      <c r="G1029" s="10">
        <f>DATE(2011,2,14)</f>
        <v>40588</v>
      </c>
      <c r="H1029" s="35">
        <v>1.5138888888888888</v>
      </c>
      <c r="I1029" s="5" t="s">
        <v>97</v>
      </c>
      <c r="J1029" s="10" t="s">
        <v>5762</v>
      </c>
      <c r="K1029" s="5" t="s">
        <v>1921</v>
      </c>
      <c r="L1029" s="5" t="s">
        <v>5763</v>
      </c>
      <c r="M1029" s="5" t="s">
        <v>45</v>
      </c>
      <c r="N1029" s="5">
        <v>0</v>
      </c>
      <c r="O1029" s="5" t="s">
        <v>46</v>
      </c>
      <c r="P1029" s="10" t="s">
        <v>146</v>
      </c>
      <c r="Q1029" s="10" t="s">
        <v>1923</v>
      </c>
      <c r="R1029" s="10" t="s">
        <v>1923</v>
      </c>
      <c r="S1029" s="5">
        <v>0</v>
      </c>
      <c r="T1029" s="37" t="s">
        <v>50</v>
      </c>
      <c r="U1029" s="5">
        <v>0</v>
      </c>
      <c r="V1029" s="37" t="s">
        <v>50</v>
      </c>
      <c r="W1029" s="5">
        <v>0</v>
      </c>
      <c r="X1029" s="5">
        <v>0</v>
      </c>
      <c r="Y1029" s="5">
        <v>0</v>
      </c>
      <c r="Z1029" s="37" t="s">
        <v>50</v>
      </c>
      <c r="AA1029" s="5">
        <v>0</v>
      </c>
      <c r="AB1029" s="5">
        <v>0</v>
      </c>
      <c r="AC1029" s="5">
        <v>0</v>
      </c>
      <c r="AD1029" s="5">
        <v>0</v>
      </c>
      <c r="AE1029" s="10" t="s">
        <v>50</v>
      </c>
      <c r="AF1029" s="10"/>
      <c r="AG1029" s="10" t="s">
        <v>114</v>
      </c>
      <c r="AH1029" s="10" t="s">
        <v>50</v>
      </c>
      <c r="AI1029" s="5">
        <v>4</v>
      </c>
      <c r="AJ1029" s="10" t="s">
        <v>5764</v>
      </c>
      <c r="AK1029" s="10" t="s">
        <v>5765</v>
      </c>
    </row>
    <row r="1030" spans="1:37" ht="36.75" customHeight="1" x14ac:dyDescent="0.35">
      <c r="A1030" s="5"/>
      <c r="B1030" s="5" t="s">
        <v>37</v>
      </c>
      <c r="C1030" s="73" t="str">
        <f t="shared" si="16"/>
        <v>Closed</v>
      </c>
      <c r="D1030" s="45" t="s">
        <v>5766</v>
      </c>
      <c r="E1030" s="54" t="s">
        <v>5767</v>
      </c>
      <c r="F1030" s="5" t="s">
        <v>1553</v>
      </c>
      <c r="G1030" s="10">
        <f>DATE(2011,2,15)</f>
        <v>40589</v>
      </c>
      <c r="H1030" s="35">
        <v>1.2326388888888888</v>
      </c>
      <c r="I1030" s="5" t="s">
        <v>55</v>
      </c>
      <c r="J1030" s="10" t="s">
        <v>5768</v>
      </c>
      <c r="K1030" s="5" t="s">
        <v>1555</v>
      </c>
      <c r="L1030" s="5" t="s">
        <v>5769</v>
      </c>
      <c r="M1030" s="5" t="s">
        <v>45</v>
      </c>
      <c r="N1030" s="5">
        <v>0</v>
      </c>
      <c r="O1030" s="5" t="s">
        <v>59</v>
      </c>
      <c r="P1030" s="10" t="s">
        <v>60</v>
      </c>
      <c r="Q1030" s="10" t="s">
        <v>2635</v>
      </c>
      <c r="R1030" s="10">
        <v>0</v>
      </c>
      <c r="S1030" s="5">
        <v>0</v>
      </c>
      <c r="T1030" s="37">
        <v>0</v>
      </c>
      <c r="U1030" s="5">
        <v>0</v>
      </c>
      <c r="V1030" s="37">
        <v>0</v>
      </c>
      <c r="W1030" s="5">
        <v>0</v>
      </c>
      <c r="X1030" s="5">
        <v>0</v>
      </c>
      <c r="Y1030" s="5">
        <v>0</v>
      </c>
      <c r="Z1030" s="37">
        <v>0</v>
      </c>
      <c r="AA1030" s="5">
        <v>0</v>
      </c>
      <c r="AB1030" s="5">
        <v>0</v>
      </c>
      <c r="AC1030" s="5">
        <v>0</v>
      </c>
      <c r="AD1030" s="5">
        <v>0</v>
      </c>
      <c r="AE1030" s="10" t="s">
        <v>73</v>
      </c>
      <c r="AF1030" s="10"/>
      <c r="AG1030" s="10" t="s">
        <v>114</v>
      </c>
      <c r="AH1030" s="10">
        <v>40589</v>
      </c>
      <c r="AI1030" s="5">
        <v>0</v>
      </c>
      <c r="AJ1030" s="10" t="s">
        <v>5770</v>
      </c>
      <c r="AK1030" s="10" t="s">
        <v>5771</v>
      </c>
    </row>
    <row r="1031" spans="1:37" ht="36.75" customHeight="1" x14ac:dyDescent="0.35">
      <c r="A1031" s="5"/>
      <c r="B1031" s="5" t="s">
        <v>887</v>
      </c>
      <c r="C1031" s="73" t="str">
        <f t="shared" si="16"/>
        <v>Open</v>
      </c>
      <c r="D1031" s="45" t="s">
        <v>5772</v>
      </c>
      <c r="E1031" s="54" t="s">
        <v>5773</v>
      </c>
      <c r="F1031" s="5" t="s">
        <v>3128</v>
      </c>
      <c r="G1031" s="10">
        <f>DATE(2011,2,20)</f>
        <v>40594</v>
      </c>
      <c r="H1031" s="35">
        <v>1.1118055555555555</v>
      </c>
      <c r="I1031" s="5" t="s">
        <v>259</v>
      </c>
      <c r="J1031" s="10" t="s">
        <v>5774</v>
      </c>
      <c r="K1031" s="5" t="s">
        <v>3130</v>
      </c>
      <c r="L1031" s="5" t="s">
        <v>5775</v>
      </c>
      <c r="M1031" s="5" t="s">
        <v>45</v>
      </c>
      <c r="N1031" s="5">
        <v>0</v>
      </c>
      <c r="O1031" s="5" t="s">
        <v>59</v>
      </c>
      <c r="P1031" s="10" t="s">
        <v>72</v>
      </c>
      <c r="Q1031" s="10" t="s">
        <v>4509</v>
      </c>
      <c r="R1031" s="10" t="s">
        <v>3133</v>
      </c>
      <c r="S1031" s="5">
        <v>0</v>
      </c>
      <c r="T1031" s="37">
        <v>0</v>
      </c>
      <c r="U1031" s="5">
        <v>0</v>
      </c>
      <c r="V1031" s="37" t="s">
        <v>50</v>
      </c>
      <c r="W1031" s="5">
        <v>0</v>
      </c>
      <c r="X1031" s="5">
        <v>0</v>
      </c>
      <c r="Y1031" s="5">
        <v>0</v>
      </c>
      <c r="Z1031" s="37">
        <v>2</v>
      </c>
      <c r="AA1031" s="5">
        <v>0</v>
      </c>
      <c r="AB1031" s="5">
        <v>0</v>
      </c>
      <c r="AC1031" s="5">
        <v>0</v>
      </c>
      <c r="AD1031" s="5">
        <v>2</v>
      </c>
      <c r="AE1031" s="10" t="s">
        <v>50</v>
      </c>
      <c r="AF1031" s="10"/>
      <c r="AG1031" s="10" t="s">
        <v>114</v>
      </c>
      <c r="AH1031" s="10" t="s">
        <v>50</v>
      </c>
      <c r="AI1031" s="5">
        <v>0</v>
      </c>
      <c r="AJ1031" s="10" t="s">
        <v>50</v>
      </c>
      <c r="AK1031" s="10" t="s">
        <v>50</v>
      </c>
    </row>
    <row r="1032" spans="1:37" ht="36.75" customHeight="1" x14ac:dyDescent="0.35">
      <c r="A1032" s="5"/>
      <c r="B1032" s="5" t="s">
        <v>37</v>
      </c>
      <c r="C1032" s="73" t="str">
        <f t="shared" si="16"/>
        <v>Closed</v>
      </c>
      <c r="D1032" s="45" t="s">
        <v>5776</v>
      </c>
      <c r="E1032" s="54" t="s">
        <v>5777</v>
      </c>
      <c r="F1032" s="5" t="s">
        <v>40</v>
      </c>
      <c r="G1032" s="10">
        <f>DATE(2011,2,21)</f>
        <v>40595</v>
      </c>
      <c r="H1032" s="35">
        <v>1.1701388888888888</v>
      </c>
      <c r="I1032" s="5" t="s">
        <v>179</v>
      </c>
      <c r="J1032" s="10" t="s">
        <v>5778</v>
      </c>
      <c r="K1032" s="5" t="s">
        <v>43</v>
      </c>
      <c r="L1032" s="5" t="s">
        <v>5779</v>
      </c>
      <c r="M1032" s="5" t="s">
        <v>45</v>
      </c>
      <c r="N1032" s="5" t="s">
        <v>80</v>
      </c>
      <c r="O1032" s="5" t="s">
        <v>46</v>
      </c>
      <c r="P1032" s="10" t="s">
        <v>60</v>
      </c>
      <c r="Q1032" s="10" t="s">
        <v>48</v>
      </c>
      <c r="R1032" s="10" t="s">
        <v>49</v>
      </c>
      <c r="S1032" s="5">
        <v>0</v>
      </c>
      <c r="T1032" s="37">
        <v>1</v>
      </c>
      <c r="U1032" s="5">
        <v>0</v>
      </c>
      <c r="V1032" s="37">
        <v>0</v>
      </c>
      <c r="W1032" s="5">
        <v>0</v>
      </c>
      <c r="X1032" s="5">
        <v>1</v>
      </c>
      <c r="Y1032" s="5">
        <v>0</v>
      </c>
      <c r="Z1032" s="37">
        <v>0</v>
      </c>
      <c r="AA1032" s="5">
        <v>0</v>
      </c>
      <c r="AB1032" s="5">
        <v>0</v>
      </c>
      <c r="AC1032" s="5">
        <v>0</v>
      </c>
      <c r="AD1032" s="5">
        <v>0</v>
      </c>
      <c r="AE1032" s="10" t="s">
        <v>126</v>
      </c>
      <c r="AF1032" s="10"/>
      <c r="AG1032" s="10" t="s">
        <v>64</v>
      </c>
      <c r="AH1032" s="10">
        <v>40598</v>
      </c>
      <c r="AI1032" s="5">
        <v>5</v>
      </c>
      <c r="AJ1032" s="10" t="s">
        <v>5780</v>
      </c>
      <c r="AK1032" s="10" t="s">
        <v>5781</v>
      </c>
    </row>
    <row r="1033" spans="1:37" ht="36.75" customHeight="1" x14ac:dyDescent="0.35">
      <c r="A1033" s="5"/>
      <c r="B1033" s="5" t="s">
        <v>37</v>
      </c>
      <c r="C1033" s="73" t="str">
        <f t="shared" si="16"/>
        <v>Closed</v>
      </c>
      <c r="D1033" s="45" t="s">
        <v>5782</v>
      </c>
      <c r="E1033" s="54" t="s">
        <v>5783</v>
      </c>
      <c r="F1033" s="5" t="s">
        <v>1553</v>
      </c>
      <c r="G1033" s="10">
        <f>DATE(2011,2,21)</f>
        <v>40595</v>
      </c>
      <c r="H1033" s="35">
        <v>1.8090277777777777</v>
      </c>
      <c r="I1033" s="5" t="s">
        <v>55</v>
      </c>
      <c r="J1033" s="10" t="s">
        <v>5784</v>
      </c>
      <c r="K1033" s="5" t="s">
        <v>1555</v>
      </c>
      <c r="L1033" s="5" t="s">
        <v>5785</v>
      </c>
      <c r="M1033" s="5" t="s">
        <v>45</v>
      </c>
      <c r="N1033" s="5" t="s">
        <v>80</v>
      </c>
      <c r="O1033" s="5" t="s">
        <v>59</v>
      </c>
      <c r="P1033" s="10" t="s">
        <v>146</v>
      </c>
      <c r="Q1033" s="10" t="s">
        <v>5149</v>
      </c>
      <c r="R1033" s="10" t="s">
        <v>2541</v>
      </c>
      <c r="S1033" s="5">
        <v>0</v>
      </c>
      <c r="T1033" s="37">
        <v>0</v>
      </c>
      <c r="U1033" s="5">
        <v>0</v>
      </c>
      <c r="V1033" s="37">
        <v>0</v>
      </c>
      <c r="W1033" s="5">
        <v>0</v>
      </c>
      <c r="X1033" s="5">
        <v>0</v>
      </c>
      <c r="Y1033" s="5">
        <v>0</v>
      </c>
      <c r="Z1033" s="37">
        <v>0</v>
      </c>
      <c r="AA1033" s="5">
        <v>0</v>
      </c>
      <c r="AB1033" s="5">
        <v>0</v>
      </c>
      <c r="AC1033" s="5">
        <v>0</v>
      </c>
      <c r="AD1033" s="5">
        <v>0</v>
      </c>
      <c r="AE1033" s="10" t="s">
        <v>73</v>
      </c>
      <c r="AF1033" s="10"/>
      <c r="AG1033" s="10" t="s">
        <v>114</v>
      </c>
      <c r="AH1033" s="10">
        <v>41692</v>
      </c>
      <c r="AI1033" s="5">
        <v>0</v>
      </c>
      <c r="AJ1033" s="10" t="s">
        <v>5786</v>
      </c>
      <c r="AK1033" s="10" t="s">
        <v>5787</v>
      </c>
    </row>
    <row r="1034" spans="1:37" ht="36.75" customHeight="1" x14ac:dyDescent="0.35">
      <c r="A1034" s="5"/>
      <c r="B1034" s="5" t="s">
        <v>37</v>
      </c>
      <c r="C1034" s="73" t="str">
        <f t="shared" si="16"/>
        <v>Closed</v>
      </c>
      <c r="D1034" s="45" t="s">
        <v>5788</v>
      </c>
      <c r="E1034" s="54" t="s">
        <v>5789</v>
      </c>
      <c r="F1034" s="5" t="s">
        <v>40</v>
      </c>
      <c r="G1034" s="10">
        <f>DATE(2011,2,24)</f>
        <v>40598</v>
      </c>
      <c r="H1034" s="35">
        <v>1.2048611111111112</v>
      </c>
      <c r="I1034" s="5" t="s">
        <v>55</v>
      </c>
      <c r="J1034" s="10" t="s">
        <v>5790</v>
      </c>
      <c r="K1034" s="5" t="s">
        <v>43</v>
      </c>
      <c r="L1034" s="5" t="s">
        <v>5791</v>
      </c>
      <c r="M1034" s="5" t="s">
        <v>45</v>
      </c>
      <c r="N1034" s="5" t="s">
        <v>80</v>
      </c>
      <c r="O1034" s="5" t="s">
        <v>59</v>
      </c>
      <c r="P1034" s="10" t="s">
        <v>60</v>
      </c>
      <c r="Q1034" s="10" t="s">
        <v>48</v>
      </c>
      <c r="R1034" s="10" t="s">
        <v>49</v>
      </c>
      <c r="S1034" s="5">
        <v>0</v>
      </c>
      <c r="T1034" s="37">
        <v>0</v>
      </c>
      <c r="U1034" s="5">
        <v>0</v>
      </c>
      <c r="V1034" s="37">
        <v>0</v>
      </c>
      <c r="W1034" s="5">
        <v>0</v>
      </c>
      <c r="X1034" s="5">
        <v>0</v>
      </c>
      <c r="Y1034" s="5">
        <v>0</v>
      </c>
      <c r="Z1034" s="37">
        <v>0</v>
      </c>
      <c r="AA1034" s="5">
        <v>0</v>
      </c>
      <c r="AB1034" s="5">
        <v>0</v>
      </c>
      <c r="AC1034" s="5">
        <v>0</v>
      </c>
      <c r="AD1034" s="5">
        <v>0</v>
      </c>
      <c r="AE1034" s="10" t="s">
        <v>73</v>
      </c>
      <c r="AF1034" s="10"/>
      <c r="AG1034" s="10" t="s">
        <v>51</v>
      </c>
      <c r="AH1034" s="10">
        <v>40598</v>
      </c>
      <c r="AI1034" s="5">
        <v>2</v>
      </c>
      <c r="AJ1034" s="10" t="s">
        <v>5792</v>
      </c>
      <c r="AK1034" s="10" t="s">
        <v>5793</v>
      </c>
    </row>
    <row r="1035" spans="1:37" ht="36.75" customHeight="1" x14ac:dyDescent="0.35">
      <c r="A1035" s="5"/>
      <c r="B1035" s="5" t="s">
        <v>887</v>
      </c>
      <c r="C1035" s="73" t="str">
        <f t="shared" si="16"/>
        <v>Open</v>
      </c>
      <c r="D1035" s="45" t="s">
        <v>5794</v>
      </c>
      <c r="E1035" s="54" t="s">
        <v>5795</v>
      </c>
      <c r="F1035" s="5" t="s">
        <v>5662</v>
      </c>
      <c r="G1035" s="10">
        <f>DATE(2011,2,28)</f>
        <v>40602</v>
      </c>
      <c r="H1035" s="35">
        <v>1.7569444444444446</v>
      </c>
      <c r="I1035" s="5" t="s">
        <v>97</v>
      </c>
      <c r="J1035" s="10" t="s">
        <v>5796</v>
      </c>
      <c r="K1035" s="5" t="s">
        <v>5664</v>
      </c>
      <c r="L1035" s="5" t="s">
        <v>5797</v>
      </c>
      <c r="M1035" s="5" t="s">
        <v>45</v>
      </c>
      <c r="N1035" s="5">
        <v>0</v>
      </c>
      <c r="O1035" s="5" t="s">
        <v>46</v>
      </c>
      <c r="P1035" s="10" t="s">
        <v>47</v>
      </c>
      <c r="Q1035" s="10" t="s">
        <v>5666</v>
      </c>
      <c r="R1035" s="10" t="s">
        <v>5667</v>
      </c>
      <c r="S1035" s="5">
        <v>0</v>
      </c>
      <c r="T1035" s="37">
        <v>0</v>
      </c>
      <c r="U1035" s="5">
        <v>1</v>
      </c>
      <c r="V1035" s="37">
        <v>0</v>
      </c>
      <c r="W1035" s="5">
        <v>0</v>
      </c>
      <c r="X1035" s="5">
        <v>1</v>
      </c>
      <c r="Y1035" s="5">
        <v>0</v>
      </c>
      <c r="Z1035" s="37">
        <v>0</v>
      </c>
      <c r="AA1035" s="5">
        <v>0</v>
      </c>
      <c r="AB1035" s="5">
        <v>0</v>
      </c>
      <c r="AC1035" s="5">
        <v>0</v>
      </c>
      <c r="AD1035" s="5">
        <v>0</v>
      </c>
      <c r="AE1035" s="10" t="s">
        <v>50</v>
      </c>
      <c r="AF1035" s="10"/>
      <c r="AG1035" s="10" t="s">
        <v>64</v>
      </c>
      <c r="AH1035" s="10" t="s">
        <v>50</v>
      </c>
      <c r="AI1035" s="5">
        <v>0</v>
      </c>
      <c r="AJ1035" s="10" t="s">
        <v>50</v>
      </c>
      <c r="AK1035" s="10" t="s">
        <v>50</v>
      </c>
    </row>
    <row r="1036" spans="1:37" ht="36.75" customHeight="1" x14ac:dyDescent="0.35">
      <c r="A1036" s="5"/>
      <c r="B1036" s="5" t="s">
        <v>37</v>
      </c>
      <c r="C1036" s="73" t="str">
        <f t="shared" si="16"/>
        <v>Closed</v>
      </c>
      <c r="D1036" s="45" t="s">
        <v>5798</v>
      </c>
      <c r="E1036" s="54" t="s">
        <v>5799</v>
      </c>
      <c r="F1036" s="5" t="s">
        <v>816</v>
      </c>
      <c r="G1036" s="10">
        <f>DATE(2011,3,1)</f>
        <v>40603</v>
      </c>
      <c r="H1036" s="35">
        <v>1.3888888888888888</v>
      </c>
      <c r="I1036" s="5" t="s">
        <v>67</v>
      </c>
      <c r="J1036" s="10" t="s">
        <v>5800</v>
      </c>
      <c r="K1036" s="5" t="s">
        <v>818</v>
      </c>
      <c r="L1036" s="5" t="s">
        <v>5801</v>
      </c>
      <c r="M1036" s="5" t="s">
        <v>45</v>
      </c>
      <c r="N1036" s="5">
        <v>0</v>
      </c>
      <c r="O1036" s="5" t="s">
        <v>59</v>
      </c>
      <c r="P1036" s="10" t="s">
        <v>47</v>
      </c>
      <c r="Q1036" s="10" t="s">
        <v>2142</v>
      </c>
      <c r="R1036" s="10" t="s">
        <v>821</v>
      </c>
      <c r="S1036" s="5">
        <v>0</v>
      </c>
      <c r="T1036" s="37">
        <v>0</v>
      </c>
      <c r="U1036" s="5">
        <v>0</v>
      </c>
      <c r="V1036" s="37">
        <v>0</v>
      </c>
      <c r="W1036" s="5">
        <v>0</v>
      </c>
      <c r="X1036" s="5">
        <v>0</v>
      </c>
      <c r="Y1036" s="5">
        <v>0</v>
      </c>
      <c r="Z1036" s="37">
        <v>0</v>
      </c>
      <c r="AA1036" s="5">
        <v>0</v>
      </c>
      <c r="AB1036" s="5">
        <v>0</v>
      </c>
      <c r="AC1036" s="5">
        <v>0</v>
      </c>
      <c r="AD1036" s="5">
        <v>0</v>
      </c>
      <c r="AE1036" s="10" t="s">
        <v>73</v>
      </c>
      <c r="AF1036" s="10"/>
      <c r="AG1036" s="10" t="s">
        <v>333</v>
      </c>
      <c r="AH1036" s="10" t="s">
        <v>50</v>
      </c>
      <c r="AI1036" s="5">
        <v>0</v>
      </c>
      <c r="AJ1036" s="10" t="s">
        <v>5802</v>
      </c>
      <c r="AK1036" s="10" t="s">
        <v>5803</v>
      </c>
    </row>
    <row r="1037" spans="1:37" ht="36.75" customHeight="1" x14ac:dyDescent="0.35">
      <c r="A1037" s="5"/>
      <c r="B1037" s="5" t="s">
        <v>37</v>
      </c>
      <c r="C1037" s="73" t="str">
        <f t="shared" si="16"/>
        <v>Closed</v>
      </c>
      <c r="D1037" s="45" t="s">
        <v>5804</v>
      </c>
      <c r="E1037" s="54" t="s">
        <v>5805</v>
      </c>
      <c r="F1037" s="5" t="s">
        <v>1553</v>
      </c>
      <c r="G1037" s="10">
        <f>DATE(2011,3,3)</f>
        <v>40605</v>
      </c>
      <c r="H1037" s="35">
        <v>1.3541666666666667</v>
      </c>
      <c r="I1037" s="5" t="s">
        <v>412</v>
      </c>
      <c r="J1037" s="10" t="s">
        <v>5806</v>
      </c>
      <c r="K1037" s="5" t="s">
        <v>1555</v>
      </c>
      <c r="L1037" s="5" t="s">
        <v>5807</v>
      </c>
      <c r="M1037" s="5" t="s">
        <v>45</v>
      </c>
      <c r="N1037" s="5">
        <v>0</v>
      </c>
      <c r="O1037" s="5" t="s">
        <v>46</v>
      </c>
      <c r="P1037" s="10" t="s">
        <v>47</v>
      </c>
      <c r="Q1037" s="10" t="s">
        <v>2393</v>
      </c>
      <c r="R1037" s="10">
        <v>0</v>
      </c>
      <c r="S1037" s="5">
        <v>0</v>
      </c>
      <c r="T1037" s="37" t="s">
        <v>50</v>
      </c>
      <c r="U1037" s="5">
        <v>0</v>
      </c>
      <c r="V1037" s="37" t="s">
        <v>50</v>
      </c>
      <c r="W1037" s="5">
        <v>0</v>
      </c>
      <c r="X1037" s="5">
        <v>0</v>
      </c>
      <c r="Y1037" s="5">
        <v>0</v>
      </c>
      <c r="Z1037" s="37" t="s">
        <v>50</v>
      </c>
      <c r="AA1037" s="5">
        <v>0</v>
      </c>
      <c r="AB1037" s="5">
        <v>0</v>
      </c>
      <c r="AC1037" s="5">
        <v>0</v>
      </c>
      <c r="AD1037" s="5">
        <v>0</v>
      </c>
      <c r="AE1037" s="10" t="s">
        <v>50</v>
      </c>
      <c r="AF1037" s="10"/>
      <c r="AG1037" s="10" t="s">
        <v>333</v>
      </c>
      <c r="AH1037" s="10" t="s">
        <v>50</v>
      </c>
      <c r="AI1037" s="5">
        <v>4</v>
      </c>
      <c r="AJ1037" s="10" t="s">
        <v>5808</v>
      </c>
      <c r="AK1037" s="10" t="s">
        <v>5809</v>
      </c>
    </row>
    <row r="1038" spans="1:37" ht="36.75" customHeight="1" x14ac:dyDescent="0.35">
      <c r="A1038" s="5"/>
      <c r="B1038" s="5" t="s">
        <v>37</v>
      </c>
      <c r="C1038" s="73" t="str">
        <f t="shared" si="16"/>
        <v>Closed</v>
      </c>
      <c r="D1038" s="45" t="s">
        <v>5810</v>
      </c>
      <c r="E1038" s="54" t="s">
        <v>5811</v>
      </c>
      <c r="F1038" s="5" t="s">
        <v>178</v>
      </c>
      <c r="G1038" s="10">
        <f>DATE(2011,3,5)</f>
        <v>40607</v>
      </c>
      <c r="H1038" s="35">
        <v>1.0395833333333333</v>
      </c>
      <c r="I1038" s="5" t="s">
        <v>179</v>
      </c>
      <c r="J1038" s="10" t="s">
        <v>5812</v>
      </c>
      <c r="K1038" s="5" t="s">
        <v>181</v>
      </c>
      <c r="L1038" s="5" t="s">
        <v>5813</v>
      </c>
      <c r="M1038" s="5" t="s">
        <v>45</v>
      </c>
      <c r="N1038" s="5">
        <v>0</v>
      </c>
      <c r="O1038" s="5" t="s">
        <v>59</v>
      </c>
      <c r="P1038" s="10" t="s">
        <v>60</v>
      </c>
      <c r="Q1038" s="10" t="s">
        <v>1697</v>
      </c>
      <c r="R1038" s="10" t="s">
        <v>184</v>
      </c>
      <c r="S1038" s="5">
        <v>0</v>
      </c>
      <c r="T1038" s="37" t="s">
        <v>50</v>
      </c>
      <c r="U1038" s="5">
        <v>0</v>
      </c>
      <c r="V1038" s="37" t="s">
        <v>50</v>
      </c>
      <c r="W1038" s="5">
        <v>0</v>
      </c>
      <c r="X1038" s="5">
        <v>0</v>
      </c>
      <c r="Y1038" s="5">
        <v>0</v>
      </c>
      <c r="Z1038" s="37" t="s">
        <v>50</v>
      </c>
      <c r="AA1038" s="5">
        <v>0</v>
      </c>
      <c r="AB1038" s="5">
        <v>0</v>
      </c>
      <c r="AC1038" s="5">
        <v>0</v>
      </c>
      <c r="AD1038" s="5">
        <v>0</v>
      </c>
      <c r="AE1038" s="10" t="s">
        <v>50</v>
      </c>
      <c r="AF1038" s="10"/>
      <c r="AG1038" s="10" t="s">
        <v>333</v>
      </c>
      <c r="AH1038" s="10" t="s">
        <v>50</v>
      </c>
      <c r="AI1038" s="5">
        <v>0</v>
      </c>
      <c r="AJ1038" s="10" t="s">
        <v>5814</v>
      </c>
      <c r="AK1038" s="10" t="s">
        <v>50</v>
      </c>
    </row>
    <row r="1039" spans="1:37" ht="36.75" customHeight="1" x14ac:dyDescent="0.35">
      <c r="A1039" s="5"/>
      <c r="B1039" s="5" t="s">
        <v>37</v>
      </c>
      <c r="C1039" s="73" t="str">
        <f t="shared" si="16"/>
        <v>Closed</v>
      </c>
      <c r="D1039" s="45" t="s">
        <v>5815</v>
      </c>
      <c r="E1039" s="54" t="s">
        <v>5816</v>
      </c>
      <c r="F1039" s="5" t="s">
        <v>816</v>
      </c>
      <c r="G1039" s="10">
        <f>DATE(2011,3,6)</f>
        <v>40608</v>
      </c>
      <c r="H1039" s="35">
        <v>1.5506944444444444</v>
      </c>
      <c r="I1039" s="5" t="s">
        <v>85</v>
      </c>
      <c r="J1039" s="10" t="s">
        <v>5817</v>
      </c>
      <c r="K1039" s="5" t="s">
        <v>818</v>
      </c>
      <c r="L1039" s="5" t="s">
        <v>5818</v>
      </c>
      <c r="M1039" s="5" t="s">
        <v>45</v>
      </c>
      <c r="N1039" s="5">
        <v>0</v>
      </c>
      <c r="O1039" s="5" t="s">
        <v>67</v>
      </c>
      <c r="P1039" s="10" t="s">
        <v>197</v>
      </c>
      <c r="Q1039" s="10" t="s">
        <v>5819</v>
      </c>
      <c r="R1039" s="10" t="s">
        <v>821</v>
      </c>
      <c r="S1039" s="5">
        <v>0</v>
      </c>
      <c r="T1039" s="37" t="s">
        <v>50</v>
      </c>
      <c r="U1039" s="5">
        <v>0</v>
      </c>
      <c r="V1039" s="37" t="s">
        <v>50</v>
      </c>
      <c r="W1039" s="5">
        <v>0</v>
      </c>
      <c r="X1039" s="5">
        <v>0</v>
      </c>
      <c r="Y1039" s="5">
        <v>0</v>
      </c>
      <c r="Z1039" s="37" t="s">
        <v>50</v>
      </c>
      <c r="AA1039" s="5">
        <v>0</v>
      </c>
      <c r="AB1039" s="5">
        <v>0</v>
      </c>
      <c r="AC1039" s="5">
        <v>0</v>
      </c>
      <c r="AD1039" s="5">
        <v>0</v>
      </c>
      <c r="AE1039" s="10" t="s">
        <v>50</v>
      </c>
      <c r="AF1039" s="10"/>
      <c r="AG1039" s="10" t="s">
        <v>333</v>
      </c>
      <c r="AH1039" s="10" t="s">
        <v>50</v>
      </c>
      <c r="AI1039" s="5">
        <v>2</v>
      </c>
      <c r="AJ1039" s="10" t="s">
        <v>50</v>
      </c>
      <c r="AK1039" s="10" t="s">
        <v>50</v>
      </c>
    </row>
    <row r="1040" spans="1:37" ht="36.75" customHeight="1" x14ac:dyDescent="0.35">
      <c r="A1040" s="5"/>
      <c r="B1040" s="5" t="s">
        <v>37</v>
      </c>
      <c r="C1040" s="73" t="str">
        <f t="shared" si="16"/>
        <v>Closed</v>
      </c>
      <c r="D1040" s="45" t="s">
        <v>5820</v>
      </c>
      <c r="E1040" s="54" t="s">
        <v>5821</v>
      </c>
      <c r="F1040" s="5" t="s">
        <v>619</v>
      </c>
      <c r="G1040" s="10">
        <f>DATE(2011,3,7)</f>
        <v>40609</v>
      </c>
      <c r="H1040" s="35">
        <v>1.8902777777777779</v>
      </c>
      <c r="I1040" s="5" t="s">
        <v>2059</v>
      </c>
      <c r="J1040" s="10" t="s">
        <v>5822</v>
      </c>
      <c r="K1040" s="5" t="s">
        <v>621</v>
      </c>
      <c r="L1040" s="5" t="s">
        <v>5823</v>
      </c>
      <c r="M1040" s="5" t="s">
        <v>45</v>
      </c>
      <c r="N1040" s="5" t="s">
        <v>123</v>
      </c>
      <c r="O1040" s="5" t="s">
        <v>59</v>
      </c>
      <c r="P1040" s="10" t="s">
        <v>5824</v>
      </c>
      <c r="Q1040" s="10" t="s">
        <v>5825</v>
      </c>
      <c r="R1040" s="10" t="s">
        <v>624</v>
      </c>
      <c r="S1040" s="5">
        <v>0</v>
      </c>
      <c r="T1040" s="37">
        <v>0</v>
      </c>
      <c r="U1040" s="5">
        <v>0</v>
      </c>
      <c r="V1040" s="37">
        <v>0</v>
      </c>
      <c r="W1040" s="5">
        <v>0</v>
      </c>
      <c r="X1040" s="5">
        <v>0</v>
      </c>
      <c r="Y1040" s="5">
        <v>0</v>
      </c>
      <c r="Z1040" s="37">
        <v>0</v>
      </c>
      <c r="AA1040" s="5">
        <v>0</v>
      </c>
      <c r="AB1040" s="5">
        <v>0</v>
      </c>
      <c r="AC1040" s="5">
        <v>0</v>
      </c>
      <c r="AD1040" s="5">
        <v>0</v>
      </c>
      <c r="AE1040" s="10" t="s">
        <v>50</v>
      </c>
      <c r="AF1040" s="10"/>
      <c r="AG1040" s="10" t="s">
        <v>333</v>
      </c>
      <c r="AH1040" s="10" t="s">
        <v>50</v>
      </c>
      <c r="AI1040" s="5">
        <v>2</v>
      </c>
      <c r="AJ1040" s="10" t="s">
        <v>5826</v>
      </c>
      <c r="AK1040" s="10" t="s">
        <v>5827</v>
      </c>
    </row>
    <row r="1041" spans="1:37" ht="36.75" customHeight="1" x14ac:dyDescent="0.35">
      <c r="A1041" s="5"/>
      <c r="B1041" s="5" t="s">
        <v>37</v>
      </c>
      <c r="C1041" s="73" t="str">
        <f t="shared" si="16"/>
        <v>Closed</v>
      </c>
      <c r="D1041" s="45" t="s">
        <v>5828</v>
      </c>
      <c r="E1041" s="54" t="s">
        <v>5829</v>
      </c>
      <c r="F1041" s="5" t="s">
        <v>214</v>
      </c>
      <c r="G1041" s="10">
        <f>DATE(2011,3,8)</f>
        <v>40610</v>
      </c>
      <c r="H1041" s="35">
        <v>1.2555555555555555</v>
      </c>
      <c r="I1041" s="5" t="s">
        <v>67</v>
      </c>
      <c r="J1041" s="10" t="s">
        <v>5830</v>
      </c>
      <c r="K1041" s="5" t="s">
        <v>216</v>
      </c>
      <c r="L1041" s="5" t="s">
        <v>5831</v>
      </c>
      <c r="M1041" s="5" t="s">
        <v>45</v>
      </c>
      <c r="N1041" s="5">
        <v>0</v>
      </c>
      <c r="O1041" s="5" t="s">
        <v>46</v>
      </c>
      <c r="P1041" s="10" t="s">
        <v>146</v>
      </c>
      <c r="Q1041" s="10" t="s">
        <v>1063</v>
      </c>
      <c r="R1041" s="10" t="s">
        <v>219</v>
      </c>
      <c r="S1041" s="5">
        <v>0</v>
      </c>
      <c r="T1041" s="37" t="s">
        <v>50</v>
      </c>
      <c r="U1041" s="5">
        <v>0</v>
      </c>
      <c r="V1041" s="37" t="s">
        <v>50</v>
      </c>
      <c r="W1041" s="5">
        <v>0</v>
      </c>
      <c r="X1041" s="5">
        <v>0</v>
      </c>
      <c r="Y1041" s="5">
        <v>0</v>
      </c>
      <c r="Z1041" s="37" t="s">
        <v>50</v>
      </c>
      <c r="AA1041" s="5">
        <v>0</v>
      </c>
      <c r="AB1041" s="5">
        <v>0</v>
      </c>
      <c r="AC1041" s="5">
        <v>0</v>
      </c>
      <c r="AD1041" s="5">
        <v>0</v>
      </c>
      <c r="AE1041" s="10" t="s">
        <v>50</v>
      </c>
      <c r="AF1041" s="10"/>
      <c r="AG1041" s="10" t="s">
        <v>333</v>
      </c>
      <c r="AH1041" s="10" t="s">
        <v>50</v>
      </c>
      <c r="AI1041" s="5">
        <v>5</v>
      </c>
      <c r="AJ1041" s="10" t="s">
        <v>5832</v>
      </c>
      <c r="AK1041" s="10" t="s">
        <v>5833</v>
      </c>
    </row>
    <row r="1042" spans="1:37" ht="36.75" customHeight="1" x14ac:dyDescent="0.35">
      <c r="A1042" s="5"/>
      <c r="B1042" s="5" t="s">
        <v>37</v>
      </c>
      <c r="C1042" s="73" t="str">
        <f t="shared" si="16"/>
        <v>Closed</v>
      </c>
      <c r="D1042" s="45" t="s">
        <v>5834</v>
      </c>
      <c r="E1042" s="54" t="s">
        <v>5835</v>
      </c>
      <c r="F1042" s="5" t="s">
        <v>96</v>
      </c>
      <c r="G1042" s="10">
        <f>DATE(2011,3,9)</f>
        <v>40611</v>
      </c>
      <c r="H1042" s="35">
        <v>1.0347222222222223</v>
      </c>
      <c r="I1042" s="5" t="s">
        <v>55</v>
      </c>
      <c r="J1042" s="10" t="s">
        <v>5836</v>
      </c>
      <c r="K1042" s="5" t="s">
        <v>99</v>
      </c>
      <c r="L1042" s="5" t="s">
        <v>5837</v>
      </c>
      <c r="M1042" s="5" t="s">
        <v>45</v>
      </c>
      <c r="N1042" s="5" t="s">
        <v>70</v>
      </c>
      <c r="O1042" s="5" t="s">
        <v>46</v>
      </c>
      <c r="P1042" s="10" t="s">
        <v>60</v>
      </c>
      <c r="Q1042" s="10" t="s">
        <v>5838</v>
      </c>
      <c r="R1042" s="10" t="s">
        <v>102</v>
      </c>
      <c r="S1042" s="5">
        <v>0</v>
      </c>
      <c r="T1042" s="37">
        <v>0</v>
      </c>
      <c r="U1042" s="5">
        <v>0</v>
      </c>
      <c r="V1042" s="37">
        <v>0</v>
      </c>
      <c r="W1042" s="5">
        <v>0</v>
      </c>
      <c r="X1042" s="5">
        <v>0</v>
      </c>
      <c r="Y1042" s="5">
        <v>0</v>
      </c>
      <c r="Z1042" s="37">
        <v>0</v>
      </c>
      <c r="AA1042" s="5">
        <v>0</v>
      </c>
      <c r="AB1042" s="5">
        <v>0</v>
      </c>
      <c r="AC1042" s="5">
        <v>0</v>
      </c>
      <c r="AD1042" s="5">
        <v>0</v>
      </c>
      <c r="AE1042" s="10" t="s">
        <v>126</v>
      </c>
      <c r="AF1042" s="10"/>
      <c r="AG1042" s="10" t="s">
        <v>64</v>
      </c>
      <c r="AH1042" s="10">
        <v>40613</v>
      </c>
      <c r="AI1042" s="5">
        <v>3</v>
      </c>
      <c r="AJ1042" s="10" t="s">
        <v>5839</v>
      </c>
      <c r="AK1042" s="10" t="s">
        <v>5840</v>
      </c>
    </row>
    <row r="1043" spans="1:37" ht="36.75" customHeight="1" x14ac:dyDescent="0.35">
      <c r="A1043" s="5"/>
      <c r="B1043" s="5" t="s">
        <v>37</v>
      </c>
      <c r="C1043" s="73" t="str">
        <f t="shared" si="16"/>
        <v>Closed</v>
      </c>
      <c r="D1043" s="45" t="s">
        <v>5841</v>
      </c>
      <c r="E1043" s="54" t="s">
        <v>5842</v>
      </c>
      <c r="F1043" s="5" t="s">
        <v>816</v>
      </c>
      <c r="G1043" s="10">
        <f>DATE(2011,3,9)</f>
        <v>40611</v>
      </c>
      <c r="H1043" s="35">
        <v>1.3506944444444444</v>
      </c>
      <c r="I1043" s="5" t="s">
        <v>97</v>
      </c>
      <c r="J1043" s="10" t="s">
        <v>5843</v>
      </c>
      <c r="K1043" s="5" t="s">
        <v>818</v>
      </c>
      <c r="L1043" s="5" t="s">
        <v>5844</v>
      </c>
      <c r="M1043" s="5" t="s">
        <v>45</v>
      </c>
      <c r="N1043" s="5">
        <v>0</v>
      </c>
      <c r="O1043" s="5" t="s">
        <v>46</v>
      </c>
      <c r="P1043" s="10" t="s">
        <v>146</v>
      </c>
      <c r="Q1043" s="10" t="s">
        <v>2142</v>
      </c>
      <c r="R1043" s="10" t="s">
        <v>821</v>
      </c>
      <c r="S1043" s="5">
        <v>0</v>
      </c>
      <c r="T1043" s="37">
        <v>0</v>
      </c>
      <c r="U1043" s="5">
        <v>3</v>
      </c>
      <c r="V1043" s="37">
        <v>0</v>
      </c>
      <c r="W1043" s="5">
        <v>0</v>
      </c>
      <c r="X1043" s="5">
        <v>3</v>
      </c>
      <c r="Y1043" s="5">
        <v>0</v>
      </c>
      <c r="Z1043" s="37">
        <v>0</v>
      </c>
      <c r="AA1043" s="5">
        <v>0</v>
      </c>
      <c r="AB1043" s="5">
        <v>0</v>
      </c>
      <c r="AC1043" s="5">
        <v>0</v>
      </c>
      <c r="AD1043" s="5">
        <v>0</v>
      </c>
      <c r="AE1043" s="10" t="s">
        <v>73</v>
      </c>
      <c r="AF1043" s="10"/>
      <c r="AG1043" s="10" t="s">
        <v>333</v>
      </c>
      <c r="AH1043" s="10">
        <v>40704</v>
      </c>
      <c r="AI1043" s="5">
        <v>0</v>
      </c>
      <c r="AJ1043" s="10" t="s">
        <v>5845</v>
      </c>
      <c r="AK1043" s="10" t="s">
        <v>50</v>
      </c>
    </row>
    <row r="1044" spans="1:37" ht="36.75" customHeight="1" x14ac:dyDescent="0.35">
      <c r="A1044" s="5"/>
      <c r="B1044" s="5" t="s">
        <v>37</v>
      </c>
      <c r="C1044" s="73" t="str">
        <f t="shared" si="16"/>
        <v>Closed</v>
      </c>
      <c r="D1044" s="45" t="s">
        <v>5846</v>
      </c>
      <c r="E1044" s="54" t="s">
        <v>5847</v>
      </c>
      <c r="F1044" s="5" t="s">
        <v>404</v>
      </c>
      <c r="G1044" s="10">
        <f>DATE(2011,3,14)</f>
        <v>40616</v>
      </c>
      <c r="H1044" s="35">
        <v>1.3875</v>
      </c>
      <c r="I1044" s="5" t="s">
        <v>1022</v>
      </c>
      <c r="J1044" s="10" t="s">
        <v>5848</v>
      </c>
      <c r="K1044" s="5" t="s">
        <v>406</v>
      </c>
      <c r="L1044" s="5" t="s">
        <v>5849</v>
      </c>
      <c r="M1044" s="5" t="s">
        <v>45</v>
      </c>
      <c r="N1044" s="5">
        <v>0</v>
      </c>
      <c r="O1044" s="5" t="s">
        <v>59</v>
      </c>
      <c r="P1044" s="10" t="s">
        <v>47</v>
      </c>
      <c r="Q1044" s="10" t="s">
        <v>408</v>
      </c>
      <c r="R1044" s="10" t="s">
        <v>3083</v>
      </c>
      <c r="S1044" s="5">
        <v>0</v>
      </c>
      <c r="T1044" s="37" t="s">
        <v>50</v>
      </c>
      <c r="U1044" s="5">
        <v>0</v>
      </c>
      <c r="V1044" s="37" t="s">
        <v>50</v>
      </c>
      <c r="W1044" s="5">
        <v>0</v>
      </c>
      <c r="X1044" s="5">
        <v>0</v>
      </c>
      <c r="Y1044" s="5">
        <v>0</v>
      </c>
      <c r="Z1044" s="37" t="s">
        <v>50</v>
      </c>
      <c r="AA1044" s="5">
        <v>0</v>
      </c>
      <c r="AB1044" s="5">
        <v>0</v>
      </c>
      <c r="AC1044" s="5">
        <v>0</v>
      </c>
      <c r="AD1044" s="5">
        <v>0</v>
      </c>
      <c r="AE1044" s="10" t="s">
        <v>50</v>
      </c>
      <c r="AF1044" s="10"/>
      <c r="AG1044" s="10" t="s">
        <v>114</v>
      </c>
      <c r="AH1044" s="10" t="s">
        <v>50</v>
      </c>
      <c r="AI1044" s="5">
        <v>4</v>
      </c>
      <c r="AJ1044" s="10" t="s">
        <v>5850</v>
      </c>
      <c r="AK1044" s="10" t="s">
        <v>693</v>
      </c>
    </row>
    <row r="1045" spans="1:37" ht="36.75" customHeight="1" x14ac:dyDescent="0.35">
      <c r="A1045" s="5"/>
      <c r="B1045" s="5" t="s">
        <v>37</v>
      </c>
      <c r="C1045" s="73" t="str">
        <f t="shared" si="16"/>
        <v>Closed</v>
      </c>
      <c r="D1045" s="45" t="s">
        <v>5851</v>
      </c>
      <c r="E1045" s="54" t="s">
        <v>5852</v>
      </c>
      <c r="F1045" s="5" t="s">
        <v>619</v>
      </c>
      <c r="G1045" s="10">
        <f>DATE(2011,3,16)</f>
        <v>40618</v>
      </c>
      <c r="H1045" s="35">
        <v>1.8465277777777778</v>
      </c>
      <c r="I1045" s="5" t="s">
        <v>137</v>
      </c>
      <c r="J1045" s="10" t="s">
        <v>5853</v>
      </c>
      <c r="K1045" s="5" t="s">
        <v>621</v>
      </c>
      <c r="L1045" s="5" t="s">
        <v>5854</v>
      </c>
      <c r="M1045" s="5" t="s">
        <v>45</v>
      </c>
      <c r="N1045" s="5">
        <v>0</v>
      </c>
      <c r="O1045" s="5" t="s">
        <v>46</v>
      </c>
      <c r="P1045" s="10" t="s">
        <v>146</v>
      </c>
      <c r="Q1045" s="10" t="s">
        <v>623</v>
      </c>
      <c r="R1045" s="10" t="s">
        <v>624</v>
      </c>
      <c r="S1045" s="5">
        <v>0</v>
      </c>
      <c r="T1045" s="37" t="s">
        <v>50</v>
      </c>
      <c r="U1045" s="5">
        <v>0</v>
      </c>
      <c r="V1045" s="37" t="s">
        <v>50</v>
      </c>
      <c r="W1045" s="5">
        <v>0</v>
      </c>
      <c r="X1045" s="5">
        <v>0</v>
      </c>
      <c r="Y1045" s="5">
        <v>0</v>
      </c>
      <c r="Z1045" s="37" t="s">
        <v>50</v>
      </c>
      <c r="AA1045" s="5">
        <v>0</v>
      </c>
      <c r="AB1045" s="5">
        <v>0</v>
      </c>
      <c r="AC1045" s="5">
        <v>0</v>
      </c>
      <c r="AD1045" s="5">
        <v>0</v>
      </c>
      <c r="AE1045" s="10" t="s">
        <v>50</v>
      </c>
      <c r="AF1045" s="10"/>
      <c r="AG1045" s="10" t="s">
        <v>333</v>
      </c>
      <c r="AH1045" s="10" t="s">
        <v>50</v>
      </c>
      <c r="AI1045" s="5">
        <v>0</v>
      </c>
      <c r="AJ1045" s="10" t="s">
        <v>50</v>
      </c>
      <c r="AK1045" s="10" t="s">
        <v>50</v>
      </c>
    </row>
    <row r="1046" spans="1:37" ht="36.75" customHeight="1" x14ac:dyDescent="0.35">
      <c r="A1046" s="5"/>
      <c r="B1046" s="5" t="s">
        <v>887</v>
      </c>
      <c r="C1046" s="73" t="str">
        <f t="shared" si="16"/>
        <v>Open</v>
      </c>
      <c r="D1046" s="45" t="s">
        <v>5855</v>
      </c>
      <c r="E1046" s="54" t="s">
        <v>5856</v>
      </c>
      <c r="F1046" s="5" t="s">
        <v>5662</v>
      </c>
      <c r="G1046" s="10">
        <f>DATE(2011,3,17)</f>
        <v>40619</v>
      </c>
      <c r="H1046" s="35">
        <v>1.8229166666666665</v>
      </c>
      <c r="I1046" s="5" t="s">
        <v>97</v>
      </c>
      <c r="J1046" s="10" t="s">
        <v>5857</v>
      </c>
      <c r="K1046" s="5" t="s">
        <v>5664</v>
      </c>
      <c r="L1046" s="5" t="s">
        <v>5858</v>
      </c>
      <c r="M1046" s="5" t="s">
        <v>45</v>
      </c>
      <c r="N1046" s="5">
        <v>0</v>
      </c>
      <c r="O1046" s="5" t="s">
        <v>46</v>
      </c>
      <c r="P1046" s="10" t="s">
        <v>60</v>
      </c>
      <c r="Q1046" s="10" t="s">
        <v>5666</v>
      </c>
      <c r="R1046" s="10" t="s">
        <v>5667</v>
      </c>
      <c r="S1046" s="5">
        <v>0</v>
      </c>
      <c r="T1046" s="37">
        <v>0</v>
      </c>
      <c r="U1046" s="5">
        <v>1</v>
      </c>
      <c r="V1046" s="37">
        <v>0</v>
      </c>
      <c r="W1046" s="5">
        <v>0</v>
      </c>
      <c r="X1046" s="5">
        <v>1</v>
      </c>
      <c r="Y1046" s="5">
        <v>0</v>
      </c>
      <c r="Z1046" s="37">
        <v>0</v>
      </c>
      <c r="AA1046" s="5">
        <v>1</v>
      </c>
      <c r="AB1046" s="5">
        <v>0</v>
      </c>
      <c r="AC1046" s="5">
        <v>0</v>
      </c>
      <c r="AD1046" s="5">
        <v>1</v>
      </c>
      <c r="AE1046" s="10" t="s">
        <v>50</v>
      </c>
      <c r="AF1046" s="10"/>
      <c r="AG1046" s="10" t="s">
        <v>64</v>
      </c>
      <c r="AH1046" s="10" t="s">
        <v>50</v>
      </c>
      <c r="AI1046" s="5">
        <v>0</v>
      </c>
      <c r="AJ1046" s="10" t="s">
        <v>50</v>
      </c>
      <c r="AK1046" s="10" t="s">
        <v>50</v>
      </c>
    </row>
    <row r="1047" spans="1:37" ht="36.75" customHeight="1" x14ac:dyDescent="0.35">
      <c r="A1047" s="5"/>
      <c r="B1047" s="5" t="s">
        <v>37</v>
      </c>
      <c r="C1047" s="73" t="str">
        <f t="shared" si="16"/>
        <v>Closed</v>
      </c>
      <c r="D1047" s="45" t="s">
        <v>5859</v>
      </c>
      <c r="E1047" s="54" t="s">
        <v>5860</v>
      </c>
      <c r="F1047" s="5" t="s">
        <v>816</v>
      </c>
      <c r="G1047" s="10">
        <f>DATE(2011,3,20)</f>
        <v>40622</v>
      </c>
      <c r="H1047" s="35">
        <v>1.6291666666666667</v>
      </c>
      <c r="I1047" s="5" t="s">
        <v>97</v>
      </c>
      <c r="J1047" s="10" t="s">
        <v>5861</v>
      </c>
      <c r="K1047" s="5" t="s">
        <v>818</v>
      </c>
      <c r="L1047" s="5" t="s">
        <v>5862</v>
      </c>
      <c r="M1047" s="5" t="s">
        <v>45</v>
      </c>
      <c r="N1047" s="5" t="s">
        <v>123</v>
      </c>
      <c r="O1047" s="5" t="s">
        <v>46</v>
      </c>
      <c r="P1047" s="10" t="s">
        <v>146</v>
      </c>
      <c r="Q1047" s="10" t="s">
        <v>2142</v>
      </c>
      <c r="R1047" s="10" t="s">
        <v>821</v>
      </c>
      <c r="S1047" s="5">
        <v>0</v>
      </c>
      <c r="T1047" s="37">
        <v>0</v>
      </c>
      <c r="U1047" s="5">
        <v>1</v>
      </c>
      <c r="V1047" s="37">
        <v>0</v>
      </c>
      <c r="W1047" s="5">
        <v>0</v>
      </c>
      <c r="X1047" s="5">
        <v>1</v>
      </c>
      <c r="Y1047" s="5">
        <v>0</v>
      </c>
      <c r="Z1047" s="37">
        <v>0</v>
      </c>
      <c r="AA1047" s="5">
        <v>0</v>
      </c>
      <c r="AB1047" s="5">
        <v>0</v>
      </c>
      <c r="AC1047" s="5">
        <v>0</v>
      </c>
      <c r="AD1047" s="5">
        <v>0</v>
      </c>
      <c r="AE1047" s="10" t="s">
        <v>50</v>
      </c>
      <c r="AF1047" s="10"/>
      <c r="AG1047" s="10" t="s">
        <v>333</v>
      </c>
      <c r="AH1047" s="10">
        <v>40697</v>
      </c>
      <c r="AI1047" s="5">
        <v>1</v>
      </c>
      <c r="AJ1047" s="10" t="s">
        <v>5863</v>
      </c>
      <c r="AK1047" s="10" t="s">
        <v>50</v>
      </c>
    </row>
    <row r="1048" spans="1:37" ht="36.75" customHeight="1" x14ac:dyDescent="0.35">
      <c r="A1048" s="5"/>
      <c r="B1048" s="5" t="s">
        <v>37</v>
      </c>
      <c r="C1048" s="73" t="str">
        <f t="shared" si="16"/>
        <v>Closed</v>
      </c>
      <c r="D1048" s="45" t="s">
        <v>5864</v>
      </c>
      <c r="E1048" s="54" t="s">
        <v>5865</v>
      </c>
      <c r="F1048" s="5" t="s">
        <v>816</v>
      </c>
      <c r="G1048" s="10">
        <f>DATE(2011,3,21)</f>
        <v>40623</v>
      </c>
      <c r="H1048" s="35">
        <v>1.9861111111111112</v>
      </c>
      <c r="I1048" s="5" t="s">
        <v>259</v>
      </c>
      <c r="J1048" s="10" t="s">
        <v>5866</v>
      </c>
      <c r="K1048" s="5" t="s">
        <v>818</v>
      </c>
      <c r="L1048" s="5" t="s">
        <v>5867</v>
      </c>
      <c r="M1048" s="5" t="s">
        <v>45</v>
      </c>
      <c r="N1048" s="5" t="s">
        <v>80</v>
      </c>
      <c r="O1048" s="5" t="s">
        <v>59</v>
      </c>
      <c r="P1048" s="10" t="s">
        <v>72</v>
      </c>
      <c r="Q1048" s="10" t="s">
        <v>5868</v>
      </c>
      <c r="R1048" s="10" t="s">
        <v>821</v>
      </c>
      <c r="S1048" s="5">
        <v>0</v>
      </c>
      <c r="T1048" s="37">
        <v>0</v>
      </c>
      <c r="U1048" s="5">
        <v>0</v>
      </c>
      <c r="V1048" s="37">
        <v>0</v>
      </c>
      <c r="W1048" s="5">
        <v>0</v>
      </c>
      <c r="X1048" s="5">
        <v>0</v>
      </c>
      <c r="Y1048" s="5">
        <v>0</v>
      </c>
      <c r="Z1048" s="37">
        <v>1</v>
      </c>
      <c r="AA1048" s="5">
        <v>0</v>
      </c>
      <c r="AB1048" s="5">
        <v>0</v>
      </c>
      <c r="AC1048" s="5">
        <v>0</v>
      </c>
      <c r="AD1048" s="5">
        <v>1</v>
      </c>
      <c r="AE1048" s="10" t="s">
        <v>73</v>
      </c>
      <c r="AF1048" s="10"/>
      <c r="AG1048" s="10" t="s">
        <v>333</v>
      </c>
      <c r="AH1048" s="10">
        <v>40623</v>
      </c>
      <c r="AI1048" s="5">
        <v>1</v>
      </c>
      <c r="AJ1048" s="10" t="s">
        <v>5869</v>
      </c>
      <c r="AK1048" s="10" t="s">
        <v>1215</v>
      </c>
    </row>
    <row r="1049" spans="1:37" ht="36.75" customHeight="1" x14ac:dyDescent="0.35">
      <c r="A1049" s="5"/>
      <c r="B1049" s="5" t="s">
        <v>37</v>
      </c>
      <c r="C1049" s="73" t="str">
        <f t="shared" si="16"/>
        <v>Closed</v>
      </c>
      <c r="D1049" s="45" t="s">
        <v>5870</v>
      </c>
      <c r="E1049" s="54" t="s">
        <v>5871</v>
      </c>
      <c r="F1049" s="5" t="s">
        <v>214</v>
      </c>
      <c r="G1049" s="10">
        <f>DATE(2011,3,23)</f>
        <v>40625</v>
      </c>
      <c r="H1049" s="35">
        <v>1.6</v>
      </c>
      <c r="I1049" s="5" t="s">
        <v>67</v>
      </c>
      <c r="J1049" s="10" t="s">
        <v>5872</v>
      </c>
      <c r="K1049" s="5" t="s">
        <v>216</v>
      </c>
      <c r="L1049" s="5" t="s">
        <v>5873</v>
      </c>
      <c r="M1049" s="5" t="s">
        <v>45</v>
      </c>
      <c r="N1049" s="5">
        <v>0</v>
      </c>
      <c r="O1049" s="5" t="s">
        <v>46</v>
      </c>
      <c r="P1049" s="10" t="s">
        <v>146</v>
      </c>
      <c r="Q1049" s="10" t="s">
        <v>4639</v>
      </c>
      <c r="R1049" s="10" t="s">
        <v>219</v>
      </c>
      <c r="S1049" s="5">
        <v>0</v>
      </c>
      <c r="T1049" s="37" t="s">
        <v>50</v>
      </c>
      <c r="U1049" s="5">
        <v>0</v>
      </c>
      <c r="V1049" s="37" t="s">
        <v>50</v>
      </c>
      <c r="W1049" s="5">
        <v>0</v>
      </c>
      <c r="X1049" s="5">
        <v>0</v>
      </c>
      <c r="Y1049" s="5">
        <v>0</v>
      </c>
      <c r="Z1049" s="37" t="s">
        <v>50</v>
      </c>
      <c r="AA1049" s="5">
        <v>0</v>
      </c>
      <c r="AB1049" s="5">
        <v>0</v>
      </c>
      <c r="AC1049" s="5">
        <v>0</v>
      </c>
      <c r="AD1049" s="5">
        <v>0</v>
      </c>
      <c r="AE1049" s="10" t="s">
        <v>50</v>
      </c>
      <c r="AF1049" s="10"/>
      <c r="AG1049" s="10" t="s">
        <v>333</v>
      </c>
      <c r="AH1049" s="10" t="s">
        <v>50</v>
      </c>
      <c r="AI1049" s="5">
        <v>3</v>
      </c>
      <c r="AJ1049" s="10" t="s">
        <v>5874</v>
      </c>
      <c r="AK1049" s="10" t="s">
        <v>5875</v>
      </c>
    </row>
    <row r="1050" spans="1:37" ht="36.75" customHeight="1" x14ac:dyDescent="0.35">
      <c r="A1050" s="5"/>
      <c r="B1050" s="5" t="s">
        <v>37</v>
      </c>
      <c r="C1050" s="73" t="str">
        <f t="shared" si="16"/>
        <v>Closed</v>
      </c>
      <c r="D1050" s="45" t="s">
        <v>5876</v>
      </c>
      <c r="E1050" s="54" t="s">
        <v>5877</v>
      </c>
      <c r="F1050" s="5" t="s">
        <v>816</v>
      </c>
      <c r="G1050" s="10">
        <f>DATE(2011,3,29)</f>
        <v>40631</v>
      </c>
      <c r="H1050" s="35">
        <v>1.71875</v>
      </c>
      <c r="I1050" s="5" t="s">
        <v>97</v>
      </c>
      <c r="J1050" s="10" t="s">
        <v>5878</v>
      </c>
      <c r="K1050" s="5" t="s">
        <v>818</v>
      </c>
      <c r="L1050" s="5" t="s">
        <v>5879</v>
      </c>
      <c r="M1050" s="5" t="s">
        <v>45</v>
      </c>
      <c r="N1050" s="5">
        <v>0</v>
      </c>
      <c r="O1050" s="5" t="s">
        <v>46</v>
      </c>
      <c r="P1050" s="10" t="s">
        <v>146</v>
      </c>
      <c r="Q1050" s="10" t="s">
        <v>2142</v>
      </c>
      <c r="R1050" s="10" t="s">
        <v>821</v>
      </c>
      <c r="S1050" s="5">
        <v>0</v>
      </c>
      <c r="T1050" s="37">
        <v>0</v>
      </c>
      <c r="U1050" s="5">
        <v>1</v>
      </c>
      <c r="V1050" s="37">
        <v>0</v>
      </c>
      <c r="W1050" s="5">
        <v>0</v>
      </c>
      <c r="X1050" s="5">
        <v>1</v>
      </c>
      <c r="Y1050" s="5">
        <v>0</v>
      </c>
      <c r="Z1050" s="37">
        <v>0</v>
      </c>
      <c r="AA1050" s="5">
        <v>0</v>
      </c>
      <c r="AB1050" s="5">
        <v>0</v>
      </c>
      <c r="AC1050" s="5">
        <v>0</v>
      </c>
      <c r="AD1050" s="5">
        <v>0</v>
      </c>
      <c r="AE1050" s="10" t="s">
        <v>50</v>
      </c>
      <c r="AF1050" s="10"/>
      <c r="AG1050" s="10" t="s">
        <v>333</v>
      </c>
      <c r="AH1050" s="10" t="s">
        <v>50</v>
      </c>
      <c r="AI1050" s="5">
        <v>0</v>
      </c>
      <c r="AJ1050" s="10" t="s">
        <v>50</v>
      </c>
      <c r="AK1050" s="10" t="s">
        <v>50</v>
      </c>
    </row>
    <row r="1051" spans="1:37" ht="36.75" customHeight="1" x14ac:dyDescent="0.35">
      <c r="A1051" s="5"/>
      <c r="B1051" s="5" t="s">
        <v>37</v>
      </c>
      <c r="C1051" s="73" t="str">
        <f t="shared" si="16"/>
        <v>Closed</v>
      </c>
      <c r="D1051" s="45" t="s">
        <v>5880</v>
      </c>
      <c r="E1051" s="54" t="s">
        <v>5881</v>
      </c>
      <c r="F1051" s="5" t="s">
        <v>404</v>
      </c>
      <c r="G1051" s="10">
        <f>DATE(2011,3,31)</f>
        <v>40633</v>
      </c>
      <c r="H1051" s="35">
        <v>1.3916666666666666</v>
      </c>
      <c r="I1051" s="5" t="s">
        <v>259</v>
      </c>
      <c r="J1051" s="10" t="s">
        <v>5882</v>
      </c>
      <c r="K1051" s="5" t="s">
        <v>406</v>
      </c>
      <c r="L1051" s="5" t="s">
        <v>5883</v>
      </c>
      <c r="M1051" s="5" t="s">
        <v>45</v>
      </c>
      <c r="N1051" s="5">
        <v>0</v>
      </c>
      <c r="O1051" s="5" t="s">
        <v>59</v>
      </c>
      <c r="P1051" s="10" t="s">
        <v>146</v>
      </c>
      <c r="Q1051" s="10" t="s">
        <v>408</v>
      </c>
      <c r="R1051" s="10" t="s">
        <v>3083</v>
      </c>
      <c r="S1051" s="5">
        <v>0</v>
      </c>
      <c r="T1051" s="37">
        <v>0</v>
      </c>
      <c r="U1051" s="5">
        <v>0</v>
      </c>
      <c r="V1051" s="37">
        <v>0</v>
      </c>
      <c r="W1051" s="5">
        <v>0</v>
      </c>
      <c r="X1051" s="5">
        <v>0</v>
      </c>
      <c r="Y1051" s="5">
        <v>1</v>
      </c>
      <c r="Z1051" s="37">
        <v>0</v>
      </c>
      <c r="AA1051" s="5">
        <v>0</v>
      </c>
      <c r="AB1051" s="5">
        <v>0</v>
      </c>
      <c r="AC1051" s="5">
        <v>0</v>
      </c>
      <c r="AD1051" s="5">
        <v>1</v>
      </c>
      <c r="AE1051" s="10" t="s">
        <v>50</v>
      </c>
      <c r="AF1051" s="10"/>
      <c r="AG1051" s="10" t="s">
        <v>333</v>
      </c>
      <c r="AH1051" s="10" t="s">
        <v>50</v>
      </c>
      <c r="AI1051" s="5">
        <v>7</v>
      </c>
      <c r="AJ1051" s="10" t="s">
        <v>5884</v>
      </c>
      <c r="AK1051" s="10" t="s">
        <v>860</v>
      </c>
    </row>
    <row r="1052" spans="1:37" ht="36.75" customHeight="1" x14ac:dyDescent="0.35">
      <c r="A1052" s="5"/>
      <c r="B1052" s="5" t="s">
        <v>37</v>
      </c>
      <c r="C1052" s="73" t="str">
        <f t="shared" si="16"/>
        <v>Closed</v>
      </c>
      <c r="D1052" s="45" t="s">
        <v>5885</v>
      </c>
      <c r="E1052" s="54" t="s">
        <v>5886</v>
      </c>
      <c r="F1052" s="5" t="s">
        <v>1553</v>
      </c>
      <c r="G1052" s="10">
        <f>DATE(2011,4,1)</f>
        <v>40634</v>
      </c>
      <c r="H1052" s="35">
        <v>1.0791666666666666</v>
      </c>
      <c r="I1052" s="5" t="s">
        <v>55</v>
      </c>
      <c r="J1052" s="10" t="s">
        <v>5887</v>
      </c>
      <c r="K1052" s="5" t="s">
        <v>1555</v>
      </c>
      <c r="L1052" s="5" t="s">
        <v>5888</v>
      </c>
      <c r="M1052" s="5" t="s">
        <v>45</v>
      </c>
      <c r="N1052" s="5">
        <v>0</v>
      </c>
      <c r="O1052" s="5" t="s">
        <v>59</v>
      </c>
      <c r="P1052" s="10" t="s">
        <v>60</v>
      </c>
      <c r="Q1052" s="10" t="s">
        <v>2417</v>
      </c>
      <c r="R1052" s="10">
        <v>0</v>
      </c>
      <c r="S1052" s="5">
        <v>0</v>
      </c>
      <c r="T1052" s="37" t="s">
        <v>50</v>
      </c>
      <c r="U1052" s="5">
        <v>0</v>
      </c>
      <c r="V1052" s="37" t="s">
        <v>50</v>
      </c>
      <c r="W1052" s="5">
        <v>0</v>
      </c>
      <c r="X1052" s="5">
        <v>0</v>
      </c>
      <c r="Y1052" s="5">
        <v>0</v>
      </c>
      <c r="Z1052" s="37" t="s">
        <v>50</v>
      </c>
      <c r="AA1052" s="5">
        <v>0</v>
      </c>
      <c r="AB1052" s="5">
        <v>0</v>
      </c>
      <c r="AC1052" s="5">
        <v>0</v>
      </c>
      <c r="AD1052" s="5">
        <v>0</v>
      </c>
      <c r="AE1052" s="10" t="s">
        <v>50</v>
      </c>
      <c r="AF1052" s="10"/>
      <c r="AG1052" s="10" t="s">
        <v>114</v>
      </c>
      <c r="AH1052" s="10" t="s">
        <v>50</v>
      </c>
      <c r="AI1052" s="5">
        <v>3</v>
      </c>
      <c r="AJ1052" s="10" t="s">
        <v>5889</v>
      </c>
      <c r="AK1052" s="10" t="s">
        <v>50</v>
      </c>
    </row>
    <row r="1053" spans="1:37" ht="36.75" customHeight="1" x14ac:dyDescent="0.35">
      <c r="A1053" s="5"/>
      <c r="B1053" s="5" t="s">
        <v>37</v>
      </c>
      <c r="C1053" s="73" t="str">
        <f t="shared" si="16"/>
        <v>Closed</v>
      </c>
      <c r="D1053" s="45" t="s">
        <v>5890</v>
      </c>
      <c r="E1053" s="54" t="s">
        <v>5891</v>
      </c>
      <c r="F1053" s="5" t="s">
        <v>816</v>
      </c>
      <c r="G1053" s="10">
        <f>DATE(2011,4,3)</f>
        <v>40636</v>
      </c>
      <c r="H1053" s="35">
        <v>1.6124999999999998</v>
      </c>
      <c r="I1053" s="5" t="s">
        <v>97</v>
      </c>
      <c r="J1053" s="10" t="s">
        <v>5892</v>
      </c>
      <c r="K1053" s="5" t="s">
        <v>818</v>
      </c>
      <c r="L1053" s="5" t="s">
        <v>5893</v>
      </c>
      <c r="M1053" s="5" t="s">
        <v>45</v>
      </c>
      <c r="N1053" s="5">
        <v>0</v>
      </c>
      <c r="O1053" s="5" t="s">
        <v>46</v>
      </c>
      <c r="P1053" s="10" t="s">
        <v>146</v>
      </c>
      <c r="Q1053" s="10" t="s">
        <v>2142</v>
      </c>
      <c r="R1053" s="10" t="s">
        <v>821</v>
      </c>
      <c r="S1053" s="5">
        <v>0</v>
      </c>
      <c r="T1053" s="37">
        <v>0</v>
      </c>
      <c r="U1053" s="5">
        <v>0</v>
      </c>
      <c r="V1053" s="37">
        <v>0</v>
      </c>
      <c r="W1053" s="5">
        <v>0</v>
      </c>
      <c r="X1053" s="5">
        <v>0</v>
      </c>
      <c r="Y1053" s="5">
        <v>0</v>
      </c>
      <c r="Z1053" s="37">
        <v>0</v>
      </c>
      <c r="AA1053" s="5">
        <v>2</v>
      </c>
      <c r="AB1053" s="5">
        <v>0</v>
      </c>
      <c r="AC1053" s="5">
        <v>0</v>
      </c>
      <c r="AD1053" s="5">
        <v>2</v>
      </c>
      <c r="AE1053" s="10" t="s">
        <v>50</v>
      </c>
      <c r="AF1053" s="10"/>
      <c r="AG1053" s="10" t="s">
        <v>333</v>
      </c>
      <c r="AH1053" s="10" t="s">
        <v>50</v>
      </c>
      <c r="AI1053" s="5">
        <v>1</v>
      </c>
      <c r="AJ1053" s="10" t="s">
        <v>50</v>
      </c>
      <c r="AK1053" s="10" t="s">
        <v>50</v>
      </c>
    </row>
    <row r="1054" spans="1:37" ht="36.75" customHeight="1" x14ac:dyDescent="0.35">
      <c r="A1054" s="5"/>
      <c r="B1054" s="5" t="s">
        <v>37</v>
      </c>
      <c r="C1054" s="73" t="str">
        <f t="shared" si="16"/>
        <v>Closed</v>
      </c>
      <c r="D1054" s="45" t="s">
        <v>5894</v>
      </c>
      <c r="E1054" s="54" t="s">
        <v>5895</v>
      </c>
      <c r="F1054" s="5" t="s">
        <v>105</v>
      </c>
      <c r="G1054" s="10">
        <f>DATE(2011,4,4)</f>
        <v>40637</v>
      </c>
      <c r="H1054" s="35">
        <v>1.8430555555555554</v>
      </c>
      <c r="I1054" s="5" t="s">
        <v>106</v>
      </c>
      <c r="J1054" s="10" t="s">
        <v>5896</v>
      </c>
      <c r="K1054" s="5" t="s">
        <v>108</v>
      </c>
      <c r="L1054" s="5" t="s">
        <v>5897</v>
      </c>
      <c r="M1054" s="5" t="s">
        <v>45</v>
      </c>
      <c r="N1054" s="5">
        <v>0</v>
      </c>
      <c r="O1054" s="5" t="s">
        <v>59</v>
      </c>
      <c r="P1054" s="10" t="s">
        <v>60</v>
      </c>
      <c r="Q1054" s="10" t="s">
        <v>382</v>
      </c>
      <c r="R1054" s="10" t="s">
        <v>148</v>
      </c>
      <c r="S1054" s="5">
        <v>0</v>
      </c>
      <c r="T1054" s="37" t="s">
        <v>50</v>
      </c>
      <c r="U1054" s="5">
        <v>0</v>
      </c>
      <c r="V1054" s="37" t="s">
        <v>50</v>
      </c>
      <c r="W1054" s="5">
        <v>0</v>
      </c>
      <c r="X1054" s="5">
        <v>0</v>
      </c>
      <c r="Y1054" s="5">
        <v>0</v>
      </c>
      <c r="Z1054" s="37" t="s">
        <v>50</v>
      </c>
      <c r="AA1054" s="5">
        <v>0</v>
      </c>
      <c r="AB1054" s="5">
        <v>0</v>
      </c>
      <c r="AC1054" s="5">
        <v>0</v>
      </c>
      <c r="AD1054" s="5">
        <v>0</v>
      </c>
      <c r="AE1054" s="10" t="s">
        <v>50</v>
      </c>
      <c r="AF1054" s="10"/>
      <c r="AG1054" s="10" t="s">
        <v>114</v>
      </c>
      <c r="AH1054" s="10" t="s">
        <v>50</v>
      </c>
      <c r="AI1054" s="5">
        <v>1</v>
      </c>
      <c r="AJ1054" s="10" t="s">
        <v>50</v>
      </c>
      <c r="AK1054" s="10" t="s">
        <v>50</v>
      </c>
    </row>
    <row r="1055" spans="1:37" ht="36.75" customHeight="1" x14ac:dyDescent="0.35">
      <c r="A1055" s="5"/>
      <c r="B1055" s="5" t="s">
        <v>37</v>
      </c>
      <c r="C1055" s="73" t="str">
        <f t="shared" si="16"/>
        <v>Closed</v>
      </c>
      <c r="D1055" s="45" t="s">
        <v>5898</v>
      </c>
      <c r="E1055" s="54" t="s">
        <v>5899</v>
      </c>
      <c r="F1055" s="5" t="s">
        <v>619</v>
      </c>
      <c r="G1055" s="10">
        <f>DATE(2011,4,5)</f>
        <v>40638</v>
      </c>
      <c r="H1055" s="35">
        <v>1.6458333333333335</v>
      </c>
      <c r="I1055" s="5" t="s">
        <v>55</v>
      </c>
      <c r="J1055" s="10" t="s">
        <v>5900</v>
      </c>
      <c r="K1055" s="5" t="s">
        <v>621</v>
      </c>
      <c r="L1055" s="5" t="s">
        <v>5901</v>
      </c>
      <c r="M1055" s="5" t="s">
        <v>45</v>
      </c>
      <c r="N1055" s="5">
        <v>0</v>
      </c>
      <c r="O1055" s="5" t="s">
        <v>59</v>
      </c>
      <c r="P1055" s="10" t="s">
        <v>60</v>
      </c>
      <c r="Q1055" s="10" t="s">
        <v>623</v>
      </c>
      <c r="R1055" s="10" t="s">
        <v>624</v>
      </c>
      <c r="S1055" s="5">
        <v>0</v>
      </c>
      <c r="T1055" s="37" t="s">
        <v>50</v>
      </c>
      <c r="U1055" s="5">
        <v>0</v>
      </c>
      <c r="V1055" s="37" t="s">
        <v>50</v>
      </c>
      <c r="W1055" s="5">
        <v>0</v>
      </c>
      <c r="X1055" s="5">
        <v>0</v>
      </c>
      <c r="Y1055" s="5">
        <v>0</v>
      </c>
      <c r="Z1055" s="37" t="s">
        <v>50</v>
      </c>
      <c r="AA1055" s="5">
        <v>0</v>
      </c>
      <c r="AB1055" s="5">
        <v>0</v>
      </c>
      <c r="AC1055" s="5">
        <v>0</v>
      </c>
      <c r="AD1055" s="5">
        <v>0</v>
      </c>
      <c r="AE1055" s="10" t="s">
        <v>50</v>
      </c>
      <c r="AF1055" s="10"/>
      <c r="AG1055" s="10" t="s">
        <v>333</v>
      </c>
      <c r="AH1055" s="10" t="s">
        <v>50</v>
      </c>
      <c r="AI1055" s="5">
        <v>2</v>
      </c>
      <c r="AJ1055" s="10" t="s">
        <v>5902</v>
      </c>
      <c r="AK1055" s="10" t="s">
        <v>50</v>
      </c>
    </row>
    <row r="1056" spans="1:37" ht="36.75" customHeight="1" x14ac:dyDescent="0.35">
      <c r="A1056" s="5"/>
      <c r="B1056" s="5" t="s">
        <v>37</v>
      </c>
      <c r="C1056" s="73" t="str">
        <f t="shared" si="16"/>
        <v>Closed</v>
      </c>
      <c r="D1056" s="45" t="s">
        <v>5903</v>
      </c>
      <c r="E1056" s="54" t="s">
        <v>5904</v>
      </c>
      <c r="F1056" s="5" t="s">
        <v>214</v>
      </c>
      <c r="G1056" s="10">
        <f>DATE(2011,4,6)</f>
        <v>40639</v>
      </c>
      <c r="H1056" s="35">
        <v>1.3868055555555556</v>
      </c>
      <c r="I1056" s="5" t="s">
        <v>67</v>
      </c>
      <c r="J1056" s="10" t="s">
        <v>5905</v>
      </c>
      <c r="K1056" s="5" t="s">
        <v>216</v>
      </c>
      <c r="L1056" s="5" t="s">
        <v>5906</v>
      </c>
      <c r="M1056" s="5" t="s">
        <v>45</v>
      </c>
      <c r="N1056" s="5">
        <v>0</v>
      </c>
      <c r="O1056" s="5" t="s">
        <v>46</v>
      </c>
      <c r="P1056" s="10" t="s">
        <v>67</v>
      </c>
      <c r="Q1056" s="10" t="s">
        <v>699</v>
      </c>
      <c r="R1056" s="10" t="s">
        <v>219</v>
      </c>
      <c r="S1056" s="5">
        <v>0</v>
      </c>
      <c r="T1056" s="37" t="s">
        <v>50</v>
      </c>
      <c r="U1056" s="5">
        <v>0</v>
      </c>
      <c r="V1056" s="37" t="s">
        <v>50</v>
      </c>
      <c r="W1056" s="5">
        <v>0</v>
      </c>
      <c r="X1056" s="5">
        <v>0</v>
      </c>
      <c r="Y1056" s="5">
        <v>0</v>
      </c>
      <c r="Z1056" s="37" t="s">
        <v>50</v>
      </c>
      <c r="AA1056" s="5">
        <v>0</v>
      </c>
      <c r="AB1056" s="5">
        <v>0</v>
      </c>
      <c r="AC1056" s="5">
        <v>0</v>
      </c>
      <c r="AD1056" s="5">
        <v>0</v>
      </c>
      <c r="AE1056" s="10" t="s">
        <v>50</v>
      </c>
      <c r="AF1056" s="10"/>
      <c r="AG1056" s="10" t="s">
        <v>114</v>
      </c>
      <c r="AH1056" s="10" t="s">
        <v>50</v>
      </c>
      <c r="AI1056" s="5">
        <v>3</v>
      </c>
      <c r="AJ1056" s="10" t="s">
        <v>5907</v>
      </c>
      <c r="AK1056" s="10" t="s">
        <v>5908</v>
      </c>
    </row>
    <row r="1057" spans="1:37" ht="36.75" customHeight="1" x14ac:dyDescent="0.35">
      <c r="A1057" s="5"/>
      <c r="B1057" s="5" t="s">
        <v>37</v>
      </c>
      <c r="C1057" s="73" t="str">
        <f t="shared" si="16"/>
        <v>Closed</v>
      </c>
      <c r="D1057" s="45" t="s">
        <v>5909</v>
      </c>
      <c r="E1057" s="54" t="s">
        <v>5910</v>
      </c>
      <c r="F1057" s="5" t="s">
        <v>563</v>
      </c>
      <c r="G1057" s="10">
        <f>DATE(2011,4,8)</f>
        <v>40641</v>
      </c>
      <c r="H1057" s="35">
        <v>1.0173611111111112</v>
      </c>
      <c r="I1057" s="5" t="s">
        <v>55</v>
      </c>
      <c r="J1057" s="10" t="s">
        <v>5911</v>
      </c>
      <c r="K1057" s="5" t="s">
        <v>565</v>
      </c>
      <c r="L1057" s="5" t="s">
        <v>5912</v>
      </c>
      <c r="M1057" s="5" t="s">
        <v>45</v>
      </c>
      <c r="N1057" s="5">
        <v>0</v>
      </c>
      <c r="O1057" s="5" t="s">
        <v>46</v>
      </c>
      <c r="P1057" s="10" t="s">
        <v>60</v>
      </c>
      <c r="Q1057" s="10" t="s">
        <v>5913</v>
      </c>
      <c r="R1057" s="10" t="s">
        <v>568</v>
      </c>
      <c r="S1057" s="5">
        <v>0</v>
      </c>
      <c r="T1057" s="37" t="s">
        <v>50</v>
      </c>
      <c r="U1057" s="5">
        <v>0</v>
      </c>
      <c r="V1057" s="37" t="s">
        <v>50</v>
      </c>
      <c r="W1057" s="5">
        <v>0</v>
      </c>
      <c r="X1057" s="5">
        <v>0</v>
      </c>
      <c r="Y1057" s="5">
        <v>0</v>
      </c>
      <c r="Z1057" s="37" t="s">
        <v>50</v>
      </c>
      <c r="AA1057" s="5">
        <v>0</v>
      </c>
      <c r="AB1057" s="5">
        <v>0</v>
      </c>
      <c r="AC1057" s="5">
        <v>0</v>
      </c>
      <c r="AD1057" s="5">
        <v>0</v>
      </c>
      <c r="AE1057" s="10" t="s">
        <v>50</v>
      </c>
      <c r="AF1057" s="10"/>
      <c r="AG1057" s="10" t="s">
        <v>114</v>
      </c>
      <c r="AH1057" s="10" t="s">
        <v>50</v>
      </c>
      <c r="AI1057" s="5">
        <v>0</v>
      </c>
      <c r="AJ1057" s="10" t="s">
        <v>50</v>
      </c>
      <c r="AK1057" s="10" t="s">
        <v>50</v>
      </c>
    </row>
    <row r="1058" spans="1:37" ht="36.75" customHeight="1" x14ac:dyDescent="0.35">
      <c r="A1058" s="5"/>
      <c r="B1058" s="5" t="s">
        <v>37</v>
      </c>
      <c r="C1058" s="73" t="str">
        <f t="shared" si="16"/>
        <v>Closed</v>
      </c>
      <c r="D1058" s="45" t="s">
        <v>5914</v>
      </c>
      <c r="E1058" s="54" t="s">
        <v>5915</v>
      </c>
      <c r="F1058" s="5" t="s">
        <v>563</v>
      </c>
      <c r="G1058" s="10">
        <f>DATE(2011,4,8)</f>
        <v>40641</v>
      </c>
      <c r="H1058" s="35">
        <v>1.3569444444444445</v>
      </c>
      <c r="I1058" s="5" t="s">
        <v>55</v>
      </c>
      <c r="J1058" s="10" t="s">
        <v>5916</v>
      </c>
      <c r="K1058" s="5" t="s">
        <v>565</v>
      </c>
      <c r="L1058" s="5" t="s">
        <v>5917</v>
      </c>
      <c r="M1058" s="5" t="s">
        <v>45</v>
      </c>
      <c r="N1058" s="5" t="s">
        <v>123</v>
      </c>
      <c r="O1058" s="5" t="s">
        <v>59</v>
      </c>
      <c r="P1058" s="10" t="s">
        <v>60</v>
      </c>
      <c r="Q1058" s="10" t="s">
        <v>567</v>
      </c>
      <c r="R1058" s="10" t="s">
        <v>568</v>
      </c>
      <c r="S1058" s="5">
        <v>0</v>
      </c>
      <c r="T1058" s="37">
        <v>0</v>
      </c>
      <c r="U1058" s="5">
        <v>0</v>
      </c>
      <c r="V1058" s="37">
        <v>0</v>
      </c>
      <c r="W1058" s="5">
        <v>0</v>
      </c>
      <c r="X1058" s="5">
        <v>0</v>
      </c>
      <c r="Y1058" s="5">
        <v>0</v>
      </c>
      <c r="Z1058" s="37">
        <v>0</v>
      </c>
      <c r="AA1058" s="5">
        <v>0</v>
      </c>
      <c r="AB1058" s="5">
        <v>0</v>
      </c>
      <c r="AC1058" s="5">
        <v>0</v>
      </c>
      <c r="AD1058" s="5">
        <v>0</v>
      </c>
      <c r="AE1058" s="10" t="s">
        <v>375</v>
      </c>
      <c r="AF1058" s="10"/>
      <c r="AG1058" s="10" t="s">
        <v>114</v>
      </c>
      <c r="AH1058" s="10">
        <v>40647</v>
      </c>
      <c r="AI1058" s="5">
        <v>0</v>
      </c>
      <c r="AJ1058" s="10" t="s">
        <v>5918</v>
      </c>
      <c r="AK1058" s="10" t="s">
        <v>1215</v>
      </c>
    </row>
    <row r="1059" spans="1:37" ht="36.75" customHeight="1" x14ac:dyDescent="0.35">
      <c r="A1059" s="5"/>
      <c r="B1059" s="5" t="s">
        <v>37</v>
      </c>
      <c r="C1059" s="73" t="str">
        <f t="shared" si="16"/>
        <v>Closed</v>
      </c>
      <c r="D1059" s="45" t="s">
        <v>5919</v>
      </c>
      <c r="E1059" s="54" t="s">
        <v>5920</v>
      </c>
      <c r="F1059" s="5" t="s">
        <v>404</v>
      </c>
      <c r="G1059" s="10">
        <f>DATE(2011,4,10)</f>
        <v>40643</v>
      </c>
      <c r="H1059" s="35">
        <v>1.6819444444444445</v>
      </c>
      <c r="I1059" s="5" t="s">
        <v>55</v>
      </c>
      <c r="J1059" s="10" t="s">
        <v>5921</v>
      </c>
      <c r="K1059" s="5" t="s">
        <v>406</v>
      </c>
      <c r="L1059" s="5" t="s">
        <v>5922</v>
      </c>
      <c r="M1059" s="5" t="s">
        <v>45</v>
      </c>
      <c r="N1059" s="5" t="s">
        <v>70</v>
      </c>
      <c r="O1059" s="5" t="s">
        <v>59</v>
      </c>
      <c r="P1059" s="10" t="s">
        <v>72</v>
      </c>
      <c r="Q1059" s="10" t="s">
        <v>2562</v>
      </c>
      <c r="R1059" s="10" t="s">
        <v>3083</v>
      </c>
      <c r="S1059" s="5">
        <v>0</v>
      </c>
      <c r="T1059" s="37">
        <v>0</v>
      </c>
      <c r="U1059" s="5">
        <v>0</v>
      </c>
      <c r="V1059" s="37">
        <v>0</v>
      </c>
      <c r="W1059" s="5">
        <v>0</v>
      </c>
      <c r="X1059" s="5">
        <v>0</v>
      </c>
      <c r="Y1059" s="5">
        <v>0</v>
      </c>
      <c r="Z1059" s="37">
        <v>0</v>
      </c>
      <c r="AA1059" s="5">
        <v>0</v>
      </c>
      <c r="AB1059" s="5">
        <v>0</v>
      </c>
      <c r="AC1059" s="5">
        <v>0</v>
      </c>
      <c r="AD1059" s="5">
        <v>0</v>
      </c>
      <c r="AE1059" s="10" t="s">
        <v>375</v>
      </c>
      <c r="AF1059" s="10"/>
      <c r="AG1059" s="10" t="s">
        <v>114</v>
      </c>
      <c r="AH1059" s="10">
        <v>40711</v>
      </c>
      <c r="AI1059" s="5">
        <v>0</v>
      </c>
      <c r="AJ1059" s="10" t="s">
        <v>5923</v>
      </c>
      <c r="AK1059" s="10" t="s">
        <v>5924</v>
      </c>
    </row>
    <row r="1060" spans="1:37" ht="36.75" customHeight="1" x14ac:dyDescent="0.35">
      <c r="A1060" s="5"/>
      <c r="B1060" s="5" t="s">
        <v>37</v>
      </c>
      <c r="C1060" s="73" t="str">
        <f t="shared" si="16"/>
        <v>Closed</v>
      </c>
      <c r="D1060" s="45" t="s">
        <v>5925</v>
      </c>
      <c r="E1060" s="54" t="s">
        <v>5926</v>
      </c>
      <c r="F1060" s="5" t="s">
        <v>214</v>
      </c>
      <c r="G1060" s="10">
        <f>DATE(2011,4,10)</f>
        <v>40643</v>
      </c>
      <c r="H1060" s="35">
        <v>1.5965277777777778</v>
      </c>
      <c r="I1060" s="5" t="s">
        <v>67</v>
      </c>
      <c r="J1060" s="10" t="s">
        <v>5927</v>
      </c>
      <c r="K1060" s="5" t="s">
        <v>216</v>
      </c>
      <c r="L1060" s="5" t="s">
        <v>5928</v>
      </c>
      <c r="M1060" s="5" t="s">
        <v>45</v>
      </c>
      <c r="N1060" s="5">
        <v>0</v>
      </c>
      <c r="O1060" s="5" t="s">
        <v>59</v>
      </c>
      <c r="P1060" s="10" t="s">
        <v>146</v>
      </c>
      <c r="Q1060" s="10" t="s">
        <v>3332</v>
      </c>
      <c r="R1060" s="10" t="s">
        <v>219</v>
      </c>
      <c r="S1060" s="5">
        <v>0</v>
      </c>
      <c r="T1060" s="37">
        <v>0</v>
      </c>
      <c r="U1060" s="5">
        <v>0</v>
      </c>
      <c r="V1060" s="37">
        <v>0</v>
      </c>
      <c r="W1060" s="5">
        <v>0</v>
      </c>
      <c r="X1060" s="5">
        <v>0</v>
      </c>
      <c r="Y1060" s="5">
        <v>0</v>
      </c>
      <c r="Z1060" s="37">
        <v>0</v>
      </c>
      <c r="AA1060" s="5">
        <v>0</v>
      </c>
      <c r="AB1060" s="5">
        <v>0</v>
      </c>
      <c r="AC1060" s="5">
        <v>0</v>
      </c>
      <c r="AD1060" s="5">
        <v>0</v>
      </c>
      <c r="AE1060" s="10" t="s">
        <v>50</v>
      </c>
      <c r="AF1060" s="10"/>
      <c r="AG1060" s="10" t="s">
        <v>333</v>
      </c>
      <c r="AH1060" s="10" t="s">
        <v>50</v>
      </c>
      <c r="AI1060" s="5">
        <v>6</v>
      </c>
      <c r="AJ1060" s="10" t="s">
        <v>5929</v>
      </c>
      <c r="AK1060" s="10" t="s">
        <v>5930</v>
      </c>
    </row>
    <row r="1061" spans="1:37" ht="36.75" customHeight="1" x14ac:dyDescent="0.35">
      <c r="A1061" s="5"/>
      <c r="B1061" s="5" t="s">
        <v>37</v>
      </c>
      <c r="C1061" s="73" t="str">
        <f t="shared" si="16"/>
        <v>Closed</v>
      </c>
      <c r="D1061" s="45" t="s">
        <v>5931</v>
      </c>
      <c r="E1061" s="54" t="s">
        <v>5932</v>
      </c>
      <c r="F1061" s="5" t="s">
        <v>1553</v>
      </c>
      <c r="G1061" s="10">
        <f>DATE(2011,4,18)</f>
        <v>40651</v>
      </c>
      <c r="H1061" s="35">
        <v>1.9770833333333333</v>
      </c>
      <c r="I1061" s="5" t="s">
        <v>55</v>
      </c>
      <c r="J1061" s="10" t="s">
        <v>5933</v>
      </c>
      <c r="K1061" s="5" t="s">
        <v>1555</v>
      </c>
      <c r="L1061" s="5" t="s">
        <v>5934</v>
      </c>
      <c r="M1061" s="5" t="s">
        <v>45</v>
      </c>
      <c r="N1061" s="5" t="s">
        <v>123</v>
      </c>
      <c r="O1061" s="5" t="s">
        <v>59</v>
      </c>
      <c r="P1061" s="10" t="s">
        <v>47</v>
      </c>
      <c r="Q1061" s="10" t="s">
        <v>2393</v>
      </c>
      <c r="R1061" s="10">
        <v>0</v>
      </c>
      <c r="S1061" s="5">
        <v>0</v>
      </c>
      <c r="T1061" s="37">
        <v>0</v>
      </c>
      <c r="U1061" s="5">
        <v>0</v>
      </c>
      <c r="V1061" s="37">
        <v>0</v>
      </c>
      <c r="W1061" s="5">
        <v>0</v>
      </c>
      <c r="X1061" s="5">
        <v>0</v>
      </c>
      <c r="Y1061" s="5">
        <v>0</v>
      </c>
      <c r="Z1061" s="37">
        <v>0</v>
      </c>
      <c r="AA1061" s="5">
        <v>0</v>
      </c>
      <c r="AB1061" s="5">
        <v>0</v>
      </c>
      <c r="AC1061" s="5">
        <v>0</v>
      </c>
      <c r="AD1061" s="5">
        <v>0</v>
      </c>
      <c r="AE1061" s="10" t="s">
        <v>73</v>
      </c>
      <c r="AF1061" s="10"/>
      <c r="AG1061" s="10" t="s">
        <v>114</v>
      </c>
      <c r="AH1061" s="10" t="s">
        <v>50</v>
      </c>
      <c r="AI1061" s="5">
        <v>1</v>
      </c>
      <c r="AJ1061" s="10" t="s">
        <v>5935</v>
      </c>
      <c r="AK1061" s="10" t="s">
        <v>5936</v>
      </c>
    </row>
    <row r="1062" spans="1:37" ht="36.75" customHeight="1" x14ac:dyDescent="0.35">
      <c r="A1062" s="5"/>
      <c r="B1062" s="5" t="s">
        <v>887</v>
      </c>
      <c r="C1062" s="73" t="str">
        <f t="shared" si="16"/>
        <v>Open</v>
      </c>
      <c r="D1062" s="45" t="s">
        <v>5937</v>
      </c>
      <c r="E1062" s="54" t="s">
        <v>5938</v>
      </c>
      <c r="F1062" s="5" t="s">
        <v>5662</v>
      </c>
      <c r="G1062" s="10">
        <f>DATE(2011,4,19)</f>
        <v>40652</v>
      </c>
      <c r="H1062" s="35">
        <v>1.5868055555555556</v>
      </c>
      <c r="I1062" s="5" t="s">
        <v>259</v>
      </c>
      <c r="J1062" s="10" t="s">
        <v>5939</v>
      </c>
      <c r="K1062" s="5" t="s">
        <v>5664</v>
      </c>
      <c r="L1062" s="5" t="s">
        <v>5940</v>
      </c>
      <c r="M1062" s="5" t="s">
        <v>45</v>
      </c>
      <c r="N1062" s="5">
        <v>0</v>
      </c>
      <c r="O1062" s="5" t="s">
        <v>71</v>
      </c>
      <c r="P1062" s="10" t="s">
        <v>60</v>
      </c>
      <c r="Q1062" s="10" t="s">
        <v>5666</v>
      </c>
      <c r="R1062" s="10" t="s">
        <v>5667</v>
      </c>
      <c r="S1062" s="5">
        <v>0</v>
      </c>
      <c r="T1062" s="37">
        <v>0</v>
      </c>
      <c r="U1062" s="5">
        <v>0</v>
      </c>
      <c r="V1062" s="37">
        <v>1</v>
      </c>
      <c r="W1062" s="5">
        <v>0</v>
      </c>
      <c r="X1062" s="5">
        <v>1</v>
      </c>
      <c r="Y1062" s="5">
        <v>0</v>
      </c>
      <c r="Z1062" s="37">
        <v>0</v>
      </c>
      <c r="AA1062" s="5">
        <v>0</v>
      </c>
      <c r="AB1062" s="5">
        <v>0</v>
      </c>
      <c r="AC1062" s="5">
        <v>0</v>
      </c>
      <c r="AD1062" s="5">
        <v>0</v>
      </c>
      <c r="AE1062" s="10" t="s">
        <v>50</v>
      </c>
      <c r="AF1062" s="10"/>
      <c r="AG1062" s="10" t="s">
        <v>64</v>
      </c>
      <c r="AH1062" s="10" t="s">
        <v>50</v>
      </c>
      <c r="AI1062" s="5">
        <v>0</v>
      </c>
      <c r="AJ1062" s="10" t="s">
        <v>50</v>
      </c>
      <c r="AK1062" s="10" t="s">
        <v>50</v>
      </c>
    </row>
    <row r="1063" spans="1:37" ht="36.75" customHeight="1" x14ac:dyDescent="0.35">
      <c r="A1063" s="5"/>
      <c r="B1063" s="5" t="s">
        <v>37</v>
      </c>
      <c r="C1063" s="73" t="str">
        <f t="shared" si="16"/>
        <v>Closed</v>
      </c>
      <c r="D1063" s="45" t="s">
        <v>5941</v>
      </c>
      <c r="E1063" s="54" t="s">
        <v>5942</v>
      </c>
      <c r="F1063" s="5" t="s">
        <v>816</v>
      </c>
      <c r="G1063" s="10">
        <f>DATE(2011,4,20)</f>
        <v>40653</v>
      </c>
      <c r="H1063" s="35">
        <v>1.8729166666666668</v>
      </c>
      <c r="I1063" s="5" t="s">
        <v>259</v>
      </c>
      <c r="J1063" s="10" t="s">
        <v>5943</v>
      </c>
      <c r="K1063" s="5" t="s">
        <v>818</v>
      </c>
      <c r="L1063" s="5" t="s">
        <v>5944</v>
      </c>
      <c r="M1063" s="5" t="s">
        <v>45</v>
      </c>
      <c r="N1063" s="5" t="s">
        <v>123</v>
      </c>
      <c r="O1063" s="5" t="s">
        <v>59</v>
      </c>
      <c r="P1063" s="10" t="s">
        <v>146</v>
      </c>
      <c r="Q1063" s="10" t="s">
        <v>2142</v>
      </c>
      <c r="R1063" s="10" t="s">
        <v>821</v>
      </c>
      <c r="S1063" s="5">
        <v>0</v>
      </c>
      <c r="T1063" s="37">
        <v>0</v>
      </c>
      <c r="U1063" s="5">
        <v>0</v>
      </c>
      <c r="V1063" s="37">
        <v>0</v>
      </c>
      <c r="W1063" s="5">
        <v>0</v>
      </c>
      <c r="X1063" s="5">
        <v>0</v>
      </c>
      <c r="Y1063" s="5">
        <v>1</v>
      </c>
      <c r="Z1063" s="37">
        <v>0</v>
      </c>
      <c r="AA1063" s="5">
        <v>0</v>
      </c>
      <c r="AB1063" s="5">
        <v>0</v>
      </c>
      <c r="AC1063" s="5">
        <v>0</v>
      </c>
      <c r="AD1063" s="5">
        <v>1</v>
      </c>
      <c r="AE1063" s="10" t="s">
        <v>73</v>
      </c>
      <c r="AF1063" s="10"/>
      <c r="AG1063" s="10" t="s">
        <v>333</v>
      </c>
      <c r="AH1063" s="10" t="s">
        <v>50</v>
      </c>
      <c r="AI1063" s="5">
        <v>0</v>
      </c>
      <c r="AJ1063" s="10" t="s">
        <v>5945</v>
      </c>
      <c r="AK1063" s="10" t="s">
        <v>50</v>
      </c>
    </row>
    <row r="1064" spans="1:37" ht="36.75" customHeight="1" x14ac:dyDescent="0.35">
      <c r="A1064" s="5"/>
      <c r="B1064" s="5" t="s">
        <v>37</v>
      </c>
      <c r="C1064" s="73" t="str">
        <f t="shared" si="16"/>
        <v>Closed</v>
      </c>
      <c r="D1064" s="45" t="s">
        <v>5946</v>
      </c>
      <c r="E1064" s="54" t="s">
        <v>5947</v>
      </c>
      <c r="F1064" s="5" t="s">
        <v>214</v>
      </c>
      <c r="G1064" s="10">
        <f>DATE(2011,4,20)</f>
        <v>40653</v>
      </c>
      <c r="H1064" s="35">
        <v>1.5625</v>
      </c>
      <c r="I1064" s="5" t="s">
        <v>137</v>
      </c>
      <c r="J1064" s="10" t="s">
        <v>5948</v>
      </c>
      <c r="K1064" s="5" t="s">
        <v>216</v>
      </c>
      <c r="L1064" s="5" t="s">
        <v>5949</v>
      </c>
      <c r="M1064" s="5" t="s">
        <v>236</v>
      </c>
      <c r="N1064" s="5">
        <v>0</v>
      </c>
      <c r="O1064" s="5" t="s">
        <v>46</v>
      </c>
      <c r="P1064" s="10" t="s">
        <v>67</v>
      </c>
      <c r="Q1064" s="10" t="s">
        <v>769</v>
      </c>
      <c r="R1064" s="10" t="s">
        <v>769</v>
      </c>
      <c r="S1064" s="5">
        <v>0</v>
      </c>
      <c r="T1064" s="37">
        <v>0</v>
      </c>
      <c r="U1064" s="5">
        <v>0</v>
      </c>
      <c r="V1064" s="37">
        <v>0</v>
      </c>
      <c r="W1064" s="5">
        <v>0</v>
      </c>
      <c r="X1064" s="5">
        <v>0</v>
      </c>
      <c r="Y1064" s="5">
        <v>0</v>
      </c>
      <c r="Z1064" s="37">
        <v>0</v>
      </c>
      <c r="AA1064" s="5">
        <v>0</v>
      </c>
      <c r="AB1064" s="5">
        <v>0</v>
      </c>
      <c r="AC1064" s="5">
        <v>0</v>
      </c>
      <c r="AD1064" s="5">
        <v>0</v>
      </c>
      <c r="AE1064" s="10" t="s">
        <v>50</v>
      </c>
      <c r="AF1064" s="10"/>
      <c r="AG1064" s="10" t="s">
        <v>114</v>
      </c>
      <c r="AH1064" s="10" t="s">
        <v>50</v>
      </c>
      <c r="AI1064" s="5">
        <v>7</v>
      </c>
      <c r="AJ1064" s="10" t="s">
        <v>5950</v>
      </c>
      <c r="AK1064" s="10" t="s">
        <v>5951</v>
      </c>
    </row>
    <row r="1065" spans="1:37" ht="36.75" customHeight="1" x14ac:dyDescent="0.35">
      <c r="A1065" s="5"/>
      <c r="B1065" s="5" t="s">
        <v>37</v>
      </c>
      <c r="C1065" s="73" t="str">
        <f t="shared" si="16"/>
        <v>Closed</v>
      </c>
      <c r="D1065" s="45" t="s">
        <v>5952</v>
      </c>
      <c r="E1065" s="54" t="s">
        <v>5953</v>
      </c>
      <c r="F1065" s="5" t="s">
        <v>404</v>
      </c>
      <c r="G1065" s="10">
        <f>DATE(2011,4,21)</f>
        <v>40654</v>
      </c>
      <c r="H1065" s="35">
        <v>1.5173611111111112</v>
      </c>
      <c r="I1065" s="5" t="s">
        <v>259</v>
      </c>
      <c r="J1065" s="10" t="s">
        <v>5954</v>
      </c>
      <c r="K1065" s="5" t="s">
        <v>406</v>
      </c>
      <c r="L1065" s="5" t="s">
        <v>5955</v>
      </c>
      <c r="M1065" s="5" t="s">
        <v>236</v>
      </c>
      <c r="N1065" s="5">
        <v>0</v>
      </c>
      <c r="O1065" s="5" t="s">
        <v>67</v>
      </c>
      <c r="P1065" s="10" t="s">
        <v>67</v>
      </c>
      <c r="Q1065" s="10" t="s">
        <v>1325</v>
      </c>
      <c r="R1065" s="10" t="s">
        <v>1325</v>
      </c>
      <c r="S1065" s="5">
        <v>1</v>
      </c>
      <c r="T1065" s="37">
        <v>0</v>
      </c>
      <c r="U1065" s="5">
        <v>0</v>
      </c>
      <c r="V1065" s="37">
        <v>0</v>
      </c>
      <c r="W1065" s="5">
        <v>0</v>
      </c>
      <c r="X1065" s="5">
        <v>1</v>
      </c>
      <c r="Y1065" s="5">
        <v>0</v>
      </c>
      <c r="Z1065" s="37">
        <v>0</v>
      </c>
      <c r="AA1065" s="5">
        <v>0</v>
      </c>
      <c r="AB1065" s="5">
        <v>0</v>
      </c>
      <c r="AC1065" s="5">
        <v>0</v>
      </c>
      <c r="AD1065" s="5">
        <v>0</v>
      </c>
      <c r="AE1065" s="10" t="s">
        <v>50</v>
      </c>
      <c r="AF1065" s="10"/>
      <c r="AG1065" s="10" t="s">
        <v>348</v>
      </c>
      <c r="AH1065" s="10" t="s">
        <v>50</v>
      </c>
      <c r="AI1065" s="5">
        <v>3</v>
      </c>
      <c r="AJ1065" s="10" t="s">
        <v>4754</v>
      </c>
      <c r="AK1065" s="10" t="s">
        <v>860</v>
      </c>
    </row>
    <row r="1066" spans="1:37" ht="36.75" customHeight="1" x14ac:dyDescent="0.35">
      <c r="A1066" s="5"/>
      <c r="B1066" s="5" t="s">
        <v>887</v>
      </c>
      <c r="C1066" s="73" t="str">
        <f t="shared" si="16"/>
        <v>Open</v>
      </c>
      <c r="D1066" s="45" t="s">
        <v>5956</v>
      </c>
      <c r="E1066" s="54" t="s">
        <v>5957</v>
      </c>
      <c r="F1066" s="5" t="s">
        <v>5662</v>
      </c>
      <c r="G1066" s="10">
        <f>DATE(2011,4,21)</f>
        <v>40654</v>
      </c>
      <c r="H1066" s="35">
        <v>1.3263888888888888</v>
      </c>
      <c r="I1066" s="5" t="s">
        <v>97</v>
      </c>
      <c r="J1066" s="10" t="s">
        <v>5958</v>
      </c>
      <c r="K1066" s="5" t="s">
        <v>5664</v>
      </c>
      <c r="L1066" s="5" t="s">
        <v>5959</v>
      </c>
      <c r="M1066" s="5" t="s">
        <v>45</v>
      </c>
      <c r="N1066" s="5">
        <v>0</v>
      </c>
      <c r="O1066" s="5" t="s">
        <v>46</v>
      </c>
      <c r="P1066" s="10" t="s">
        <v>146</v>
      </c>
      <c r="Q1066" s="10" t="s">
        <v>5666</v>
      </c>
      <c r="R1066" s="10" t="s">
        <v>5667</v>
      </c>
      <c r="S1066" s="5">
        <v>0</v>
      </c>
      <c r="T1066" s="37">
        <v>0</v>
      </c>
      <c r="U1066" s="5">
        <v>1</v>
      </c>
      <c r="V1066" s="37">
        <v>0</v>
      </c>
      <c r="W1066" s="5">
        <v>0</v>
      </c>
      <c r="X1066" s="5">
        <v>1</v>
      </c>
      <c r="Y1066" s="5">
        <v>0</v>
      </c>
      <c r="Z1066" s="37">
        <v>0</v>
      </c>
      <c r="AA1066" s="5">
        <v>0</v>
      </c>
      <c r="AB1066" s="5">
        <v>0</v>
      </c>
      <c r="AC1066" s="5">
        <v>0</v>
      </c>
      <c r="AD1066" s="5">
        <v>0</v>
      </c>
      <c r="AE1066" s="10" t="s">
        <v>50</v>
      </c>
      <c r="AF1066" s="10"/>
      <c r="AG1066" s="10" t="s">
        <v>64</v>
      </c>
      <c r="AH1066" s="10" t="s">
        <v>50</v>
      </c>
      <c r="AI1066" s="5">
        <v>0</v>
      </c>
      <c r="AJ1066" s="10" t="s">
        <v>50</v>
      </c>
      <c r="AK1066" s="10" t="s">
        <v>50</v>
      </c>
    </row>
    <row r="1067" spans="1:37" ht="36.75" customHeight="1" x14ac:dyDescent="0.35">
      <c r="A1067" s="5"/>
      <c r="B1067" s="5" t="s">
        <v>37</v>
      </c>
      <c r="C1067" s="73" t="str">
        <f t="shared" si="16"/>
        <v>Closed</v>
      </c>
      <c r="D1067" s="45" t="s">
        <v>5960</v>
      </c>
      <c r="E1067" s="54" t="s">
        <v>5961</v>
      </c>
      <c r="F1067" s="5" t="s">
        <v>619</v>
      </c>
      <c r="G1067" s="10">
        <f>DATE(2011,4,23)</f>
        <v>40656</v>
      </c>
      <c r="H1067" s="35">
        <v>1.3944444444444444</v>
      </c>
      <c r="I1067" s="5" t="s">
        <v>55</v>
      </c>
      <c r="J1067" s="10" t="s">
        <v>5962</v>
      </c>
      <c r="K1067" s="5" t="s">
        <v>621</v>
      </c>
      <c r="L1067" s="5" t="s">
        <v>5963</v>
      </c>
      <c r="M1067" s="5" t="s">
        <v>45</v>
      </c>
      <c r="N1067" s="5">
        <v>0</v>
      </c>
      <c r="O1067" s="5" t="s">
        <v>46</v>
      </c>
      <c r="P1067" s="10" t="s">
        <v>146</v>
      </c>
      <c r="Q1067" s="10" t="s">
        <v>623</v>
      </c>
      <c r="R1067" s="10" t="s">
        <v>624</v>
      </c>
      <c r="S1067" s="5">
        <v>0</v>
      </c>
      <c r="T1067" s="37" t="s">
        <v>50</v>
      </c>
      <c r="U1067" s="5">
        <v>0</v>
      </c>
      <c r="V1067" s="37" t="s">
        <v>50</v>
      </c>
      <c r="W1067" s="5">
        <v>0</v>
      </c>
      <c r="X1067" s="5">
        <v>0</v>
      </c>
      <c r="Y1067" s="5">
        <v>0</v>
      </c>
      <c r="Z1067" s="37" t="s">
        <v>50</v>
      </c>
      <c r="AA1067" s="5">
        <v>0</v>
      </c>
      <c r="AB1067" s="5">
        <v>0</v>
      </c>
      <c r="AC1067" s="5">
        <v>0</v>
      </c>
      <c r="AD1067" s="5">
        <v>0</v>
      </c>
      <c r="AE1067" s="10" t="s">
        <v>50</v>
      </c>
      <c r="AF1067" s="10"/>
      <c r="AG1067" s="10" t="s">
        <v>333</v>
      </c>
      <c r="AH1067" s="10" t="s">
        <v>50</v>
      </c>
      <c r="AI1067" s="5">
        <v>3</v>
      </c>
      <c r="AJ1067" s="10" t="s">
        <v>5964</v>
      </c>
      <c r="AK1067" s="10" t="s">
        <v>50</v>
      </c>
    </row>
    <row r="1068" spans="1:37" ht="36.75" customHeight="1" x14ac:dyDescent="0.35">
      <c r="A1068" s="5"/>
      <c r="B1068" s="5" t="s">
        <v>37</v>
      </c>
      <c r="C1068" s="73" t="str">
        <f t="shared" si="16"/>
        <v>Closed</v>
      </c>
      <c r="D1068" s="45" t="s">
        <v>5965</v>
      </c>
      <c r="E1068" s="54" t="s">
        <v>5966</v>
      </c>
      <c r="F1068" s="5" t="s">
        <v>619</v>
      </c>
      <c r="G1068" s="10">
        <f>DATE(2011,4,28)</f>
        <v>40661</v>
      </c>
      <c r="H1068" s="35">
        <v>1.4090277777777778</v>
      </c>
      <c r="I1068" s="5" t="s">
        <v>179</v>
      </c>
      <c r="J1068" s="10" t="s">
        <v>5967</v>
      </c>
      <c r="K1068" s="5" t="s">
        <v>621</v>
      </c>
      <c r="L1068" s="5" t="s">
        <v>5968</v>
      </c>
      <c r="M1068" s="5" t="s">
        <v>45</v>
      </c>
      <c r="N1068" s="5">
        <v>0</v>
      </c>
      <c r="O1068" s="5" t="s">
        <v>59</v>
      </c>
      <c r="P1068" s="10" t="s">
        <v>67</v>
      </c>
      <c r="Q1068" s="10" t="s">
        <v>623</v>
      </c>
      <c r="R1068" s="10" t="s">
        <v>624</v>
      </c>
      <c r="S1068" s="5">
        <v>0</v>
      </c>
      <c r="T1068" s="37" t="s">
        <v>50</v>
      </c>
      <c r="U1068" s="5">
        <v>0</v>
      </c>
      <c r="V1068" s="37" t="s">
        <v>50</v>
      </c>
      <c r="W1068" s="5">
        <v>0</v>
      </c>
      <c r="X1068" s="5">
        <v>0</v>
      </c>
      <c r="Y1068" s="5">
        <v>0</v>
      </c>
      <c r="Z1068" s="37" t="s">
        <v>50</v>
      </c>
      <c r="AA1068" s="5">
        <v>0</v>
      </c>
      <c r="AB1068" s="5">
        <v>0</v>
      </c>
      <c r="AC1068" s="5">
        <v>0</v>
      </c>
      <c r="AD1068" s="5">
        <v>0</v>
      </c>
      <c r="AE1068" s="10" t="s">
        <v>50</v>
      </c>
      <c r="AF1068" s="10"/>
      <c r="AG1068" s="10" t="s">
        <v>333</v>
      </c>
      <c r="AH1068" s="10" t="s">
        <v>50</v>
      </c>
      <c r="AI1068" s="5">
        <v>0</v>
      </c>
      <c r="AJ1068" s="10" t="s">
        <v>5969</v>
      </c>
      <c r="AK1068" s="10" t="s">
        <v>50</v>
      </c>
    </row>
    <row r="1069" spans="1:37" ht="36.75" customHeight="1" x14ac:dyDescent="0.35">
      <c r="A1069" s="5"/>
      <c r="B1069" s="5" t="s">
        <v>37</v>
      </c>
      <c r="C1069" s="73" t="str">
        <f t="shared" si="16"/>
        <v>Closed</v>
      </c>
      <c r="D1069" s="45" t="s">
        <v>5970</v>
      </c>
      <c r="E1069" s="54" t="s">
        <v>5971</v>
      </c>
      <c r="F1069" s="5" t="s">
        <v>2316</v>
      </c>
      <c r="G1069" s="10">
        <f>DATE(2011,4,28)</f>
        <v>40661</v>
      </c>
      <c r="H1069" s="35">
        <v>1.7270833333333333</v>
      </c>
      <c r="I1069" s="5" t="s">
        <v>97</v>
      </c>
      <c r="J1069" s="10" t="s">
        <v>5972</v>
      </c>
      <c r="K1069" s="5" t="s">
        <v>2318</v>
      </c>
      <c r="L1069" s="5" t="s">
        <v>5973</v>
      </c>
      <c r="M1069" s="5" t="s">
        <v>45</v>
      </c>
      <c r="N1069" s="5">
        <v>0</v>
      </c>
      <c r="O1069" s="5" t="s">
        <v>46</v>
      </c>
      <c r="P1069" s="10" t="s">
        <v>47</v>
      </c>
      <c r="Q1069" s="10" t="s">
        <v>2925</v>
      </c>
      <c r="R1069" s="10" t="s">
        <v>2321</v>
      </c>
      <c r="S1069" s="5">
        <v>2</v>
      </c>
      <c r="T1069" s="37">
        <v>0</v>
      </c>
      <c r="U1069" s="5">
        <v>0</v>
      </c>
      <c r="V1069" s="37">
        <v>0</v>
      </c>
      <c r="W1069" s="5">
        <v>0</v>
      </c>
      <c r="X1069" s="5">
        <v>2</v>
      </c>
      <c r="Y1069" s="5">
        <v>12</v>
      </c>
      <c r="Z1069" s="37">
        <v>2</v>
      </c>
      <c r="AA1069" s="5">
        <v>1</v>
      </c>
      <c r="AB1069" s="5">
        <v>0</v>
      </c>
      <c r="AC1069" s="5">
        <v>0</v>
      </c>
      <c r="AD1069" s="5">
        <v>15</v>
      </c>
      <c r="AE1069" s="10" t="s">
        <v>50</v>
      </c>
      <c r="AF1069" s="10"/>
      <c r="AG1069" s="10" t="s">
        <v>114</v>
      </c>
      <c r="AH1069" s="10" t="s">
        <v>50</v>
      </c>
      <c r="AI1069" s="5">
        <v>2</v>
      </c>
      <c r="AJ1069" s="10" t="s">
        <v>5974</v>
      </c>
      <c r="AK1069" s="10" t="s">
        <v>5975</v>
      </c>
    </row>
    <row r="1070" spans="1:37" ht="36.75" customHeight="1" x14ac:dyDescent="0.35">
      <c r="A1070" s="5"/>
      <c r="B1070" s="5" t="s">
        <v>887</v>
      </c>
      <c r="C1070" s="73" t="str">
        <f t="shared" si="16"/>
        <v>Open</v>
      </c>
      <c r="D1070" s="45" t="s">
        <v>5976</v>
      </c>
      <c r="E1070" s="54" t="s">
        <v>5977</v>
      </c>
      <c r="F1070" s="5" t="s">
        <v>5662</v>
      </c>
      <c r="G1070" s="10">
        <f>DATE(2011,4,29)</f>
        <v>40662</v>
      </c>
      <c r="H1070" s="35">
        <v>1.8944444444444444</v>
      </c>
      <c r="I1070" s="5" t="s">
        <v>97</v>
      </c>
      <c r="J1070" s="10" t="s">
        <v>5978</v>
      </c>
      <c r="K1070" s="5" t="s">
        <v>5664</v>
      </c>
      <c r="L1070" s="5" t="s">
        <v>5979</v>
      </c>
      <c r="M1070" s="5" t="s">
        <v>45</v>
      </c>
      <c r="N1070" s="5">
        <v>0</v>
      </c>
      <c r="O1070" s="5" t="s">
        <v>46</v>
      </c>
      <c r="P1070" s="10" t="s">
        <v>47</v>
      </c>
      <c r="Q1070" s="10" t="s">
        <v>5666</v>
      </c>
      <c r="R1070" s="10" t="s">
        <v>5667</v>
      </c>
      <c r="S1070" s="5">
        <v>0</v>
      </c>
      <c r="T1070" s="37">
        <v>0</v>
      </c>
      <c r="U1070" s="5">
        <v>1</v>
      </c>
      <c r="V1070" s="37">
        <v>0</v>
      </c>
      <c r="W1070" s="5">
        <v>0</v>
      </c>
      <c r="X1070" s="5">
        <v>1</v>
      </c>
      <c r="Y1070" s="5">
        <v>0</v>
      </c>
      <c r="Z1070" s="37">
        <v>0</v>
      </c>
      <c r="AA1070" s="5">
        <v>0</v>
      </c>
      <c r="AB1070" s="5">
        <v>0</v>
      </c>
      <c r="AC1070" s="5">
        <v>0</v>
      </c>
      <c r="AD1070" s="5">
        <v>0</v>
      </c>
      <c r="AE1070" s="10" t="s">
        <v>50</v>
      </c>
      <c r="AF1070" s="10"/>
      <c r="AG1070" s="10" t="s">
        <v>64</v>
      </c>
      <c r="AH1070" s="10" t="s">
        <v>50</v>
      </c>
      <c r="AI1070" s="5">
        <v>0</v>
      </c>
      <c r="AJ1070" s="10" t="s">
        <v>50</v>
      </c>
      <c r="AK1070" s="10" t="s">
        <v>50</v>
      </c>
    </row>
    <row r="1071" spans="1:37" ht="36.75" customHeight="1" x14ac:dyDescent="0.35">
      <c r="A1071" s="5"/>
      <c r="B1071" s="5" t="s">
        <v>37</v>
      </c>
      <c r="C1071" s="73" t="str">
        <f t="shared" si="16"/>
        <v>Closed</v>
      </c>
      <c r="D1071" s="45" t="s">
        <v>5980</v>
      </c>
      <c r="E1071" s="54" t="s">
        <v>5981</v>
      </c>
      <c r="F1071" s="5" t="s">
        <v>358</v>
      </c>
      <c r="G1071" s="10">
        <f>DATE(2011,5,8)</f>
        <v>40671</v>
      </c>
      <c r="H1071" s="35">
        <v>1.4305555555555556</v>
      </c>
      <c r="I1071" s="5" t="s">
        <v>412</v>
      </c>
      <c r="J1071" s="10" t="s">
        <v>5982</v>
      </c>
      <c r="K1071" s="5" t="s">
        <v>360</v>
      </c>
      <c r="L1071" s="5" t="s">
        <v>5983</v>
      </c>
      <c r="M1071" s="5" t="s">
        <v>45</v>
      </c>
      <c r="N1071" s="5" t="s">
        <v>80</v>
      </c>
      <c r="O1071" s="5" t="s">
        <v>46</v>
      </c>
      <c r="P1071" s="10" t="s">
        <v>67</v>
      </c>
      <c r="Q1071" s="10" t="s">
        <v>363</v>
      </c>
      <c r="R1071" s="10" t="s">
        <v>363</v>
      </c>
      <c r="S1071" s="5">
        <v>0</v>
      </c>
      <c r="T1071" s="37">
        <v>0</v>
      </c>
      <c r="U1071" s="5">
        <v>0</v>
      </c>
      <c r="V1071" s="37">
        <v>0</v>
      </c>
      <c r="W1071" s="5">
        <v>0</v>
      </c>
      <c r="X1071" s="5">
        <v>0</v>
      </c>
      <c r="Y1071" s="5">
        <v>0</v>
      </c>
      <c r="Z1071" s="37">
        <v>0</v>
      </c>
      <c r="AA1071" s="5">
        <v>0</v>
      </c>
      <c r="AB1071" s="5">
        <v>0</v>
      </c>
      <c r="AC1071" s="5">
        <v>0</v>
      </c>
      <c r="AD1071" s="5">
        <v>0</v>
      </c>
      <c r="AE1071" s="10" t="s">
        <v>50</v>
      </c>
      <c r="AF1071" s="10"/>
      <c r="AG1071" s="10" t="s">
        <v>1489</v>
      </c>
      <c r="AH1071" s="10">
        <v>40672</v>
      </c>
      <c r="AI1071" s="5">
        <v>2</v>
      </c>
      <c r="AJ1071" s="10" t="s">
        <v>5984</v>
      </c>
      <c r="AK1071" s="10" t="s">
        <v>5985</v>
      </c>
    </row>
    <row r="1072" spans="1:37" ht="36.75" customHeight="1" x14ac:dyDescent="0.35">
      <c r="A1072" s="5"/>
      <c r="B1072" s="5" t="s">
        <v>37</v>
      </c>
      <c r="C1072" s="73" t="str">
        <f t="shared" si="16"/>
        <v>Closed</v>
      </c>
      <c r="D1072" s="45" t="s">
        <v>5986</v>
      </c>
      <c r="E1072" s="54" t="s">
        <v>5987</v>
      </c>
      <c r="F1072" s="5" t="s">
        <v>178</v>
      </c>
      <c r="G1072" s="10">
        <f>DATE(2011,5,10)</f>
        <v>40673</v>
      </c>
      <c r="H1072" s="35">
        <v>1.4375</v>
      </c>
      <c r="I1072" s="5" t="s">
        <v>55</v>
      </c>
      <c r="J1072" s="10" t="s">
        <v>5988</v>
      </c>
      <c r="K1072" s="5" t="s">
        <v>181</v>
      </c>
      <c r="L1072" s="5" t="s">
        <v>5989</v>
      </c>
      <c r="M1072" s="5" t="s">
        <v>45</v>
      </c>
      <c r="N1072" s="5" t="s">
        <v>80</v>
      </c>
      <c r="O1072" s="5" t="s">
        <v>59</v>
      </c>
      <c r="P1072" s="10" t="s">
        <v>146</v>
      </c>
      <c r="Q1072" s="10" t="s">
        <v>5990</v>
      </c>
      <c r="R1072" s="10" t="s">
        <v>5990</v>
      </c>
      <c r="S1072" s="5">
        <v>0</v>
      </c>
      <c r="T1072" s="37">
        <v>0</v>
      </c>
      <c r="U1072" s="5">
        <v>0</v>
      </c>
      <c r="V1072" s="37">
        <v>0</v>
      </c>
      <c r="W1072" s="5">
        <v>0</v>
      </c>
      <c r="X1072" s="5">
        <v>0</v>
      </c>
      <c r="Y1072" s="5">
        <v>0</v>
      </c>
      <c r="Z1072" s="37">
        <v>0</v>
      </c>
      <c r="AA1072" s="5">
        <v>0</v>
      </c>
      <c r="AB1072" s="5">
        <v>0</v>
      </c>
      <c r="AC1072" s="5">
        <v>0</v>
      </c>
      <c r="AD1072" s="5">
        <v>0</v>
      </c>
      <c r="AE1072" s="10" t="s">
        <v>50</v>
      </c>
      <c r="AF1072" s="10"/>
      <c r="AG1072" s="10" t="s">
        <v>114</v>
      </c>
      <c r="AH1072" s="10">
        <v>40691</v>
      </c>
      <c r="AI1072" s="5">
        <v>0</v>
      </c>
      <c r="AJ1072" s="10" t="s">
        <v>5991</v>
      </c>
      <c r="AK1072" s="10" t="s">
        <v>1215</v>
      </c>
    </row>
    <row r="1073" spans="1:37" ht="36.75" customHeight="1" x14ac:dyDescent="0.35">
      <c r="A1073" s="5"/>
      <c r="B1073" s="5" t="s">
        <v>37</v>
      </c>
      <c r="C1073" s="73" t="str">
        <f t="shared" si="16"/>
        <v>Closed</v>
      </c>
      <c r="D1073" s="45" t="s">
        <v>5992</v>
      </c>
      <c r="E1073" s="54" t="s">
        <v>5993</v>
      </c>
      <c r="F1073" s="5" t="s">
        <v>816</v>
      </c>
      <c r="G1073" s="10">
        <f>DATE(2011,5,11)</f>
        <v>40674</v>
      </c>
      <c r="H1073" s="35">
        <v>1.0006944444444446</v>
      </c>
      <c r="I1073" s="5" t="s">
        <v>85</v>
      </c>
      <c r="J1073" s="10" t="s">
        <v>5994</v>
      </c>
      <c r="K1073" s="5" t="s">
        <v>818</v>
      </c>
      <c r="L1073" s="5" t="s">
        <v>5995</v>
      </c>
      <c r="M1073" s="5" t="s">
        <v>45</v>
      </c>
      <c r="N1073" s="5" t="s">
        <v>80</v>
      </c>
      <c r="O1073" s="5" t="s">
        <v>59</v>
      </c>
      <c r="P1073" s="10" t="s">
        <v>5996</v>
      </c>
      <c r="Q1073" s="10" t="s">
        <v>5997</v>
      </c>
      <c r="R1073" s="10" t="s">
        <v>821</v>
      </c>
      <c r="S1073" s="5">
        <v>0</v>
      </c>
      <c r="T1073" s="37">
        <v>0</v>
      </c>
      <c r="U1073" s="5">
        <v>0</v>
      </c>
      <c r="V1073" s="37">
        <v>0</v>
      </c>
      <c r="W1073" s="5">
        <v>0</v>
      </c>
      <c r="X1073" s="5">
        <v>0</v>
      </c>
      <c r="Y1073" s="5">
        <v>0</v>
      </c>
      <c r="Z1073" s="37">
        <v>0</v>
      </c>
      <c r="AA1073" s="5">
        <v>0</v>
      </c>
      <c r="AB1073" s="5">
        <v>0</v>
      </c>
      <c r="AC1073" s="5">
        <v>0</v>
      </c>
      <c r="AD1073" s="5">
        <v>0</v>
      </c>
      <c r="AE1073" s="10" t="s">
        <v>73</v>
      </c>
      <c r="AF1073" s="10"/>
      <c r="AG1073" s="10" t="s">
        <v>333</v>
      </c>
      <c r="AH1073" s="10">
        <v>40674</v>
      </c>
      <c r="AI1073" s="5">
        <v>0</v>
      </c>
      <c r="AJ1073" s="10" t="s">
        <v>5998</v>
      </c>
      <c r="AK1073" s="10" t="s">
        <v>50</v>
      </c>
    </row>
    <row r="1074" spans="1:37" ht="36.75" customHeight="1" x14ac:dyDescent="0.35">
      <c r="A1074" s="5"/>
      <c r="B1074" s="5" t="s">
        <v>37</v>
      </c>
      <c r="C1074" s="73" t="str">
        <f t="shared" si="16"/>
        <v>Closed</v>
      </c>
      <c r="D1074" s="45" t="s">
        <v>5999</v>
      </c>
      <c r="E1074" s="54" t="s">
        <v>6000</v>
      </c>
      <c r="F1074" s="5" t="s">
        <v>1553</v>
      </c>
      <c r="G1074" s="10">
        <f>DATE(2011,5,11)</f>
        <v>40674</v>
      </c>
      <c r="H1074" s="35">
        <v>1.9375</v>
      </c>
      <c r="I1074" s="5" t="s">
        <v>106</v>
      </c>
      <c r="J1074" s="10" t="s">
        <v>6001</v>
      </c>
      <c r="K1074" s="5" t="s">
        <v>1555</v>
      </c>
      <c r="L1074" s="5" t="s">
        <v>6002</v>
      </c>
      <c r="M1074" s="5" t="s">
        <v>45</v>
      </c>
      <c r="N1074" s="5" t="s">
        <v>123</v>
      </c>
      <c r="O1074" s="5" t="s">
        <v>46</v>
      </c>
      <c r="P1074" s="10" t="s">
        <v>60</v>
      </c>
      <c r="Q1074" s="10" t="s">
        <v>6003</v>
      </c>
      <c r="R1074" s="10">
        <v>0</v>
      </c>
      <c r="S1074" s="5">
        <v>0</v>
      </c>
      <c r="T1074" s="37">
        <v>0</v>
      </c>
      <c r="U1074" s="5">
        <v>0</v>
      </c>
      <c r="V1074" s="37">
        <v>0</v>
      </c>
      <c r="W1074" s="5">
        <v>0</v>
      </c>
      <c r="X1074" s="5">
        <v>0</v>
      </c>
      <c r="Y1074" s="5">
        <v>0</v>
      </c>
      <c r="Z1074" s="37">
        <v>0</v>
      </c>
      <c r="AA1074" s="5">
        <v>0</v>
      </c>
      <c r="AB1074" s="5">
        <v>0</v>
      </c>
      <c r="AC1074" s="5">
        <v>0</v>
      </c>
      <c r="AD1074" s="5">
        <v>0</v>
      </c>
      <c r="AE1074" s="10" t="s">
        <v>375</v>
      </c>
      <c r="AF1074" s="10"/>
      <c r="AG1074" s="10" t="s">
        <v>114</v>
      </c>
      <c r="AH1074" s="10">
        <v>40675</v>
      </c>
      <c r="AI1074" s="5">
        <v>3</v>
      </c>
      <c r="AJ1074" s="10" t="s">
        <v>6004</v>
      </c>
      <c r="AK1074" s="10" t="s">
        <v>6005</v>
      </c>
    </row>
    <row r="1075" spans="1:37" ht="36.75" customHeight="1" x14ac:dyDescent="0.35">
      <c r="A1075" s="5"/>
      <c r="B1075" s="5" t="s">
        <v>37</v>
      </c>
      <c r="C1075" s="73" t="str">
        <f t="shared" si="16"/>
        <v>Closed</v>
      </c>
      <c r="D1075" s="45" t="s">
        <v>6006</v>
      </c>
      <c r="E1075" s="54" t="s">
        <v>6007</v>
      </c>
      <c r="F1075" s="5" t="s">
        <v>619</v>
      </c>
      <c r="G1075" s="10">
        <f>DATE(2011,5,16)</f>
        <v>40679</v>
      </c>
      <c r="H1075" s="35">
        <v>1.7937500000000002</v>
      </c>
      <c r="I1075" s="5" t="s">
        <v>85</v>
      </c>
      <c r="J1075" s="10" t="s">
        <v>6008</v>
      </c>
      <c r="K1075" s="5" t="s">
        <v>621</v>
      </c>
      <c r="L1075" s="5" t="s">
        <v>6009</v>
      </c>
      <c r="M1075" s="5" t="s">
        <v>45</v>
      </c>
      <c r="N1075" s="5">
        <v>0</v>
      </c>
      <c r="O1075" s="5" t="s">
        <v>59</v>
      </c>
      <c r="P1075" s="10" t="s">
        <v>443</v>
      </c>
      <c r="Q1075" s="10" t="s">
        <v>623</v>
      </c>
      <c r="R1075" s="10" t="s">
        <v>624</v>
      </c>
      <c r="S1075" s="5">
        <v>0</v>
      </c>
      <c r="T1075" s="37" t="s">
        <v>50</v>
      </c>
      <c r="U1075" s="5">
        <v>0</v>
      </c>
      <c r="V1075" s="37" t="s">
        <v>50</v>
      </c>
      <c r="W1075" s="5">
        <v>0</v>
      </c>
      <c r="X1075" s="5">
        <v>0</v>
      </c>
      <c r="Y1075" s="5">
        <v>0</v>
      </c>
      <c r="Z1075" s="37" t="s">
        <v>50</v>
      </c>
      <c r="AA1075" s="5">
        <v>0</v>
      </c>
      <c r="AB1075" s="5">
        <v>0</v>
      </c>
      <c r="AC1075" s="5">
        <v>0</v>
      </c>
      <c r="AD1075" s="5">
        <v>0</v>
      </c>
      <c r="AE1075" s="10" t="s">
        <v>50</v>
      </c>
      <c r="AF1075" s="10"/>
      <c r="AG1075" s="10" t="s">
        <v>333</v>
      </c>
      <c r="AH1075" s="10" t="s">
        <v>50</v>
      </c>
      <c r="AI1075" s="5">
        <v>1</v>
      </c>
      <c r="AJ1075" s="10" t="s">
        <v>6010</v>
      </c>
      <c r="AK1075" s="10" t="s">
        <v>50</v>
      </c>
    </row>
    <row r="1076" spans="1:37" ht="36.75" customHeight="1" x14ac:dyDescent="0.35">
      <c r="A1076" s="5"/>
      <c r="B1076" s="5" t="s">
        <v>37</v>
      </c>
      <c r="C1076" s="73" t="str">
        <f t="shared" si="16"/>
        <v>Closed</v>
      </c>
      <c r="D1076" s="45" t="s">
        <v>6011</v>
      </c>
      <c r="E1076" s="54" t="s">
        <v>6012</v>
      </c>
      <c r="F1076" s="5" t="s">
        <v>816</v>
      </c>
      <c r="G1076" s="10">
        <f>DATE(2011,5,16)</f>
        <v>40679</v>
      </c>
      <c r="H1076" s="35">
        <v>1.7638888888888888</v>
      </c>
      <c r="I1076" s="5" t="s">
        <v>67</v>
      </c>
      <c r="J1076" s="10" t="s">
        <v>6013</v>
      </c>
      <c r="K1076" s="5" t="s">
        <v>818</v>
      </c>
      <c r="L1076" s="5" t="s">
        <v>6014</v>
      </c>
      <c r="M1076" s="5" t="s">
        <v>45</v>
      </c>
      <c r="N1076" s="5" t="s">
        <v>123</v>
      </c>
      <c r="O1076" s="5" t="s">
        <v>46</v>
      </c>
      <c r="P1076" s="10" t="s">
        <v>47</v>
      </c>
      <c r="Q1076" s="10" t="s">
        <v>2142</v>
      </c>
      <c r="R1076" s="10" t="s">
        <v>821</v>
      </c>
      <c r="S1076" s="5">
        <v>0</v>
      </c>
      <c r="T1076" s="37">
        <v>0</v>
      </c>
      <c r="U1076" s="5">
        <v>0</v>
      </c>
      <c r="V1076" s="37">
        <v>0</v>
      </c>
      <c r="W1076" s="5">
        <v>0</v>
      </c>
      <c r="X1076" s="5">
        <v>0</v>
      </c>
      <c r="Y1076" s="5">
        <v>0</v>
      </c>
      <c r="Z1076" s="37">
        <v>0</v>
      </c>
      <c r="AA1076" s="5">
        <v>0</v>
      </c>
      <c r="AB1076" s="5">
        <v>0</v>
      </c>
      <c r="AC1076" s="5">
        <v>0</v>
      </c>
      <c r="AD1076" s="5">
        <v>0</v>
      </c>
      <c r="AE1076" s="10" t="s">
        <v>73</v>
      </c>
      <c r="AF1076" s="10"/>
      <c r="AG1076" s="10" t="s">
        <v>333</v>
      </c>
      <c r="AH1076" s="10">
        <v>40737</v>
      </c>
      <c r="AI1076" s="5">
        <v>6</v>
      </c>
      <c r="AJ1076" s="10" t="s">
        <v>6015</v>
      </c>
      <c r="AK1076" s="10" t="s">
        <v>6016</v>
      </c>
    </row>
    <row r="1077" spans="1:37" ht="36.75" customHeight="1" x14ac:dyDescent="0.35">
      <c r="A1077" s="5"/>
      <c r="B1077" s="5" t="s">
        <v>37</v>
      </c>
      <c r="C1077" s="73" t="str">
        <f t="shared" si="16"/>
        <v>Closed</v>
      </c>
      <c r="D1077" s="45" t="s">
        <v>6017</v>
      </c>
      <c r="E1077" s="54" t="s">
        <v>6018</v>
      </c>
      <c r="F1077" s="5" t="s">
        <v>1553</v>
      </c>
      <c r="G1077" s="10">
        <f>DATE(2011,5,17)</f>
        <v>40680</v>
      </c>
      <c r="H1077" s="35">
        <v>1.3159722222222223</v>
      </c>
      <c r="I1077" s="5" t="s">
        <v>106</v>
      </c>
      <c r="J1077" s="10" t="s">
        <v>6019</v>
      </c>
      <c r="K1077" s="5" t="s">
        <v>1555</v>
      </c>
      <c r="L1077" s="5" t="s">
        <v>6020</v>
      </c>
      <c r="M1077" s="5" t="s">
        <v>45</v>
      </c>
      <c r="N1077" s="5">
        <v>0</v>
      </c>
      <c r="O1077" s="5" t="s">
        <v>46</v>
      </c>
      <c r="P1077" s="10" t="s">
        <v>146</v>
      </c>
      <c r="Q1077" s="10" t="s">
        <v>2393</v>
      </c>
      <c r="R1077" s="10">
        <v>0</v>
      </c>
      <c r="S1077" s="5">
        <v>0</v>
      </c>
      <c r="T1077" s="37" t="s">
        <v>50</v>
      </c>
      <c r="U1077" s="5">
        <v>0</v>
      </c>
      <c r="V1077" s="37" t="s">
        <v>50</v>
      </c>
      <c r="W1077" s="5">
        <v>0</v>
      </c>
      <c r="X1077" s="5">
        <v>0</v>
      </c>
      <c r="Y1077" s="5">
        <v>0</v>
      </c>
      <c r="Z1077" s="37" t="s">
        <v>50</v>
      </c>
      <c r="AA1077" s="5">
        <v>0</v>
      </c>
      <c r="AB1077" s="5">
        <v>0</v>
      </c>
      <c r="AC1077" s="5">
        <v>0</v>
      </c>
      <c r="AD1077" s="5">
        <v>0</v>
      </c>
      <c r="AE1077" s="10" t="s">
        <v>50</v>
      </c>
      <c r="AF1077" s="10"/>
      <c r="AG1077" s="10" t="s">
        <v>114</v>
      </c>
      <c r="AH1077" s="10" t="s">
        <v>50</v>
      </c>
      <c r="AI1077" s="5">
        <v>1</v>
      </c>
      <c r="AJ1077" s="10" t="s">
        <v>6021</v>
      </c>
      <c r="AK1077" s="10" t="s">
        <v>50</v>
      </c>
    </row>
    <row r="1078" spans="1:37" ht="36.75" customHeight="1" x14ac:dyDescent="0.35">
      <c r="A1078" s="5"/>
      <c r="B1078" s="5" t="s">
        <v>37</v>
      </c>
      <c r="C1078" s="73" t="str">
        <f t="shared" si="16"/>
        <v>Closed</v>
      </c>
      <c r="D1078" s="45" t="s">
        <v>6022</v>
      </c>
      <c r="E1078" s="54" t="s">
        <v>6023</v>
      </c>
      <c r="F1078" s="5" t="s">
        <v>816</v>
      </c>
      <c r="G1078" s="10">
        <f>DATE(2011,5,18)</f>
        <v>40681</v>
      </c>
      <c r="H1078" s="35">
        <v>1.3819444444444444</v>
      </c>
      <c r="I1078" s="5" t="s">
        <v>97</v>
      </c>
      <c r="J1078" s="10" t="s">
        <v>6024</v>
      </c>
      <c r="K1078" s="5" t="s">
        <v>818</v>
      </c>
      <c r="L1078" s="5" t="s">
        <v>6025</v>
      </c>
      <c r="M1078" s="5" t="s">
        <v>45</v>
      </c>
      <c r="N1078" s="5" t="s">
        <v>80</v>
      </c>
      <c r="O1078" s="5" t="s">
        <v>46</v>
      </c>
      <c r="P1078" s="10" t="s">
        <v>146</v>
      </c>
      <c r="Q1078" s="10" t="s">
        <v>2142</v>
      </c>
      <c r="R1078" s="10" t="s">
        <v>821</v>
      </c>
      <c r="S1078" s="5">
        <v>0</v>
      </c>
      <c r="T1078" s="37">
        <v>0</v>
      </c>
      <c r="U1078" s="5">
        <v>1</v>
      </c>
      <c r="V1078" s="37">
        <v>0</v>
      </c>
      <c r="W1078" s="5">
        <v>0</v>
      </c>
      <c r="X1078" s="5">
        <v>1</v>
      </c>
      <c r="Y1078" s="5">
        <v>0</v>
      </c>
      <c r="Z1078" s="37">
        <v>0</v>
      </c>
      <c r="AA1078" s="5">
        <v>0</v>
      </c>
      <c r="AB1078" s="5">
        <v>0</v>
      </c>
      <c r="AC1078" s="5">
        <v>0</v>
      </c>
      <c r="AD1078" s="5">
        <v>0</v>
      </c>
      <c r="AE1078" s="10" t="s">
        <v>73</v>
      </c>
      <c r="AF1078" s="10"/>
      <c r="AG1078" s="10" t="s">
        <v>333</v>
      </c>
      <c r="AH1078" s="10">
        <v>40681</v>
      </c>
      <c r="AI1078" s="5">
        <v>1</v>
      </c>
      <c r="AJ1078" s="10" t="s">
        <v>6026</v>
      </c>
      <c r="AK1078" s="10" t="s">
        <v>50</v>
      </c>
    </row>
    <row r="1079" spans="1:37" ht="36.75" customHeight="1" x14ac:dyDescent="0.35">
      <c r="A1079" s="5"/>
      <c r="B1079" s="5" t="s">
        <v>37</v>
      </c>
      <c r="C1079" s="73" t="str">
        <f t="shared" si="16"/>
        <v>Closed</v>
      </c>
      <c r="D1079" s="45" t="s">
        <v>6027</v>
      </c>
      <c r="E1079" s="54" t="s">
        <v>6028</v>
      </c>
      <c r="F1079" s="5" t="s">
        <v>816</v>
      </c>
      <c r="G1079" s="10">
        <f>DATE(2011,5,18)</f>
        <v>40681</v>
      </c>
      <c r="H1079" s="35">
        <v>1.879861111111111</v>
      </c>
      <c r="I1079" s="5" t="s">
        <v>85</v>
      </c>
      <c r="J1079" s="10" t="s">
        <v>6029</v>
      </c>
      <c r="K1079" s="5" t="s">
        <v>818</v>
      </c>
      <c r="L1079" s="5" t="s">
        <v>6030</v>
      </c>
      <c r="M1079" s="5" t="s">
        <v>45</v>
      </c>
      <c r="N1079" s="5" t="s">
        <v>123</v>
      </c>
      <c r="O1079" s="5" t="s">
        <v>59</v>
      </c>
      <c r="P1079" s="10" t="s">
        <v>534</v>
      </c>
      <c r="Q1079" s="10" t="s">
        <v>6031</v>
      </c>
      <c r="R1079" s="10" t="s">
        <v>821</v>
      </c>
      <c r="S1079" s="5">
        <v>0</v>
      </c>
      <c r="T1079" s="37">
        <v>0</v>
      </c>
      <c r="U1079" s="5">
        <v>0</v>
      </c>
      <c r="V1079" s="37">
        <v>0</v>
      </c>
      <c r="W1079" s="5">
        <v>0</v>
      </c>
      <c r="X1079" s="5">
        <v>0</v>
      </c>
      <c r="Y1079" s="5">
        <v>0</v>
      </c>
      <c r="Z1079" s="37">
        <v>0</v>
      </c>
      <c r="AA1079" s="5">
        <v>0</v>
      </c>
      <c r="AB1079" s="5">
        <v>0</v>
      </c>
      <c r="AC1079" s="5">
        <v>0</v>
      </c>
      <c r="AD1079" s="5">
        <v>0</v>
      </c>
      <c r="AE1079" s="10" t="s">
        <v>73</v>
      </c>
      <c r="AF1079" s="10"/>
      <c r="AG1079" s="10" t="s">
        <v>333</v>
      </c>
      <c r="AH1079" s="10">
        <v>40737</v>
      </c>
      <c r="AI1079" s="5">
        <v>0</v>
      </c>
      <c r="AJ1079" s="10" t="s">
        <v>6032</v>
      </c>
      <c r="AK1079" s="10" t="s">
        <v>50</v>
      </c>
    </row>
    <row r="1080" spans="1:37" ht="36.75" customHeight="1" x14ac:dyDescent="0.35">
      <c r="A1080" s="5"/>
      <c r="B1080" s="5" t="s">
        <v>37</v>
      </c>
      <c r="C1080" s="73" t="str">
        <f t="shared" si="16"/>
        <v>Closed</v>
      </c>
      <c r="D1080" s="45" t="s">
        <v>6033</v>
      </c>
      <c r="E1080" s="54" t="s">
        <v>6034</v>
      </c>
      <c r="F1080" s="5" t="s">
        <v>563</v>
      </c>
      <c r="G1080" s="10">
        <f>DATE(2011,5,20)</f>
        <v>40683</v>
      </c>
      <c r="H1080" s="35">
        <v>1.5458333333333334</v>
      </c>
      <c r="I1080" s="5" t="s">
        <v>55</v>
      </c>
      <c r="J1080" s="10" t="s">
        <v>6035</v>
      </c>
      <c r="K1080" s="5" t="s">
        <v>565</v>
      </c>
      <c r="L1080" s="5" t="s">
        <v>6036</v>
      </c>
      <c r="M1080" s="5" t="s">
        <v>45</v>
      </c>
      <c r="N1080" s="5" t="s">
        <v>123</v>
      </c>
      <c r="O1080" s="5" t="s">
        <v>59</v>
      </c>
      <c r="P1080" s="10" t="s">
        <v>60</v>
      </c>
      <c r="Q1080" s="10" t="s">
        <v>567</v>
      </c>
      <c r="R1080" s="10" t="s">
        <v>568</v>
      </c>
      <c r="S1080" s="5">
        <v>0</v>
      </c>
      <c r="T1080" s="37">
        <v>0</v>
      </c>
      <c r="U1080" s="5">
        <v>0</v>
      </c>
      <c r="V1080" s="37">
        <v>0</v>
      </c>
      <c r="W1080" s="5">
        <v>0</v>
      </c>
      <c r="X1080" s="5">
        <v>0</v>
      </c>
      <c r="Y1080" s="5">
        <v>0</v>
      </c>
      <c r="Z1080" s="37">
        <v>0</v>
      </c>
      <c r="AA1080" s="5">
        <v>0</v>
      </c>
      <c r="AB1080" s="5">
        <v>0</v>
      </c>
      <c r="AC1080" s="5">
        <v>0</v>
      </c>
      <c r="AD1080" s="5">
        <v>0</v>
      </c>
      <c r="AE1080" s="10" t="s">
        <v>126</v>
      </c>
      <c r="AF1080" s="10"/>
      <c r="AG1080" s="10" t="s">
        <v>64</v>
      </c>
      <c r="AH1080" s="10">
        <v>40687</v>
      </c>
      <c r="AI1080" s="5">
        <v>0</v>
      </c>
      <c r="AJ1080" s="10" t="s">
        <v>6037</v>
      </c>
      <c r="AK1080" s="10" t="s">
        <v>1215</v>
      </c>
    </row>
    <row r="1081" spans="1:37" ht="36.75" customHeight="1" x14ac:dyDescent="0.35">
      <c r="A1081" s="5"/>
      <c r="B1081" s="5" t="s">
        <v>37</v>
      </c>
      <c r="C1081" s="73" t="str">
        <f t="shared" si="16"/>
        <v>Closed</v>
      </c>
      <c r="D1081" s="45" t="s">
        <v>6038</v>
      </c>
      <c r="E1081" s="54" t="s">
        <v>6039</v>
      </c>
      <c r="F1081" s="5" t="s">
        <v>816</v>
      </c>
      <c r="G1081" s="10">
        <f>DATE(2011,5,20)</f>
        <v>40683</v>
      </c>
      <c r="H1081" s="35">
        <v>1.526388888888889</v>
      </c>
      <c r="I1081" s="5" t="s">
        <v>97</v>
      </c>
      <c r="J1081" s="10" t="s">
        <v>6040</v>
      </c>
      <c r="K1081" s="5" t="s">
        <v>818</v>
      </c>
      <c r="L1081" s="5" t="s">
        <v>6041</v>
      </c>
      <c r="M1081" s="5" t="s">
        <v>45</v>
      </c>
      <c r="N1081" s="5">
        <v>0</v>
      </c>
      <c r="O1081" s="5" t="s">
        <v>46</v>
      </c>
      <c r="P1081" s="10" t="s">
        <v>146</v>
      </c>
      <c r="Q1081" s="10" t="s">
        <v>2142</v>
      </c>
      <c r="R1081" s="10" t="s">
        <v>821</v>
      </c>
      <c r="S1081" s="5">
        <v>0</v>
      </c>
      <c r="T1081" s="37">
        <v>0</v>
      </c>
      <c r="U1081" s="5">
        <v>0</v>
      </c>
      <c r="V1081" s="37">
        <v>0</v>
      </c>
      <c r="W1081" s="5">
        <v>0</v>
      </c>
      <c r="X1081" s="5">
        <v>0</v>
      </c>
      <c r="Y1081" s="5">
        <v>1</v>
      </c>
      <c r="Z1081" s="37">
        <v>1</v>
      </c>
      <c r="AA1081" s="5">
        <v>0</v>
      </c>
      <c r="AB1081" s="5">
        <v>0</v>
      </c>
      <c r="AC1081" s="5">
        <v>0</v>
      </c>
      <c r="AD1081" s="5">
        <v>2</v>
      </c>
      <c r="AE1081" s="10" t="s">
        <v>50</v>
      </c>
      <c r="AF1081" s="10"/>
      <c r="AG1081" s="10" t="s">
        <v>333</v>
      </c>
      <c r="AH1081" s="10" t="s">
        <v>50</v>
      </c>
      <c r="AI1081" s="5">
        <v>1</v>
      </c>
      <c r="AJ1081" s="10" t="s">
        <v>50</v>
      </c>
      <c r="AK1081" s="10" t="s">
        <v>50</v>
      </c>
    </row>
    <row r="1082" spans="1:37" ht="36.75" customHeight="1" x14ac:dyDescent="0.35">
      <c r="A1082" s="5"/>
      <c r="B1082" s="5" t="s">
        <v>37</v>
      </c>
      <c r="C1082" s="73" t="str">
        <f t="shared" si="16"/>
        <v>Closed</v>
      </c>
      <c r="D1082" s="45" t="s">
        <v>6042</v>
      </c>
      <c r="E1082" s="54" t="s">
        <v>6043</v>
      </c>
      <c r="F1082" s="5" t="s">
        <v>1553</v>
      </c>
      <c r="G1082" s="10">
        <f>DATE(2011,5,20)</f>
        <v>40683</v>
      </c>
      <c r="H1082" s="35">
        <v>1.5625</v>
      </c>
      <c r="I1082" s="5" t="s">
        <v>55</v>
      </c>
      <c r="J1082" s="10" t="s">
        <v>6044</v>
      </c>
      <c r="K1082" s="5" t="s">
        <v>1555</v>
      </c>
      <c r="L1082" s="5" t="s">
        <v>6045</v>
      </c>
      <c r="M1082" s="5" t="s">
        <v>45</v>
      </c>
      <c r="N1082" s="5" t="s">
        <v>80</v>
      </c>
      <c r="O1082" s="5" t="s">
        <v>59</v>
      </c>
      <c r="P1082" s="10" t="s">
        <v>60</v>
      </c>
      <c r="Q1082" s="10" t="s">
        <v>2417</v>
      </c>
      <c r="R1082" s="10">
        <v>0</v>
      </c>
      <c r="S1082" s="5">
        <v>0</v>
      </c>
      <c r="T1082" s="37">
        <v>0</v>
      </c>
      <c r="U1082" s="5">
        <v>0</v>
      </c>
      <c r="V1082" s="37">
        <v>0</v>
      </c>
      <c r="W1082" s="5">
        <v>0</v>
      </c>
      <c r="X1082" s="5">
        <v>0</v>
      </c>
      <c r="Y1082" s="5">
        <v>0</v>
      </c>
      <c r="Z1082" s="37">
        <v>0</v>
      </c>
      <c r="AA1082" s="5">
        <v>0</v>
      </c>
      <c r="AB1082" s="5">
        <v>0</v>
      </c>
      <c r="AC1082" s="5">
        <v>0</v>
      </c>
      <c r="AD1082" s="5">
        <v>0</v>
      </c>
      <c r="AE1082" s="10" t="s">
        <v>73</v>
      </c>
      <c r="AF1082" s="10"/>
      <c r="AG1082" s="10" t="s">
        <v>114</v>
      </c>
      <c r="AH1082" s="10">
        <v>40686</v>
      </c>
      <c r="AI1082" s="5">
        <v>0</v>
      </c>
      <c r="AJ1082" s="10" t="s">
        <v>6046</v>
      </c>
      <c r="AK1082" s="10" t="s">
        <v>1215</v>
      </c>
    </row>
    <row r="1083" spans="1:37" ht="36.75" customHeight="1" x14ac:dyDescent="0.35">
      <c r="A1083" s="5"/>
      <c r="B1083" s="5" t="s">
        <v>37</v>
      </c>
      <c r="C1083" s="73" t="str">
        <f t="shared" si="16"/>
        <v>Closed</v>
      </c>
      <c r="D1083" s="45" t="s">
        <v>6047</v>
      </c>
      <c r="E1083" s="54" t="s">
        <v>6048</v>
      </c>
      <c r="F1083" s="5" t="s">
        <v>178</v>
      </c>
      <c r="G1083" s="10">
        <f>DATE(2011,5,23)</f>
        <v>40686</v>
      </c>
      <c r="H1083" s="35">
        <v>1.1986111111111111</v>
      </c>
      <c r="I1083" s="5" t="s">
        <v>55</v>
      </c>
      <c r="J1083" s="10" t="s">
        <v>6049</v>
      </c>
      <c r="K1083" s="5" t="s">
        <v>181</v>
      </c>
      <c r="L1083" s="5" t="s">
        <v>6050</v>
      </c>
      <c r="M1083" s="5" t="s">
        <v>45</v>
      </c>
      <c r="N1083" s="5">
        <v>0</v>
      </c>
      <c r="O1083" s="5" t="s">
        <v>59</v>
      </c>
      <c r="P1083" s="10" t="s">
        <v>60</v>
      </c>
      <c r="Q1083" s="10" t="s">
        <v>1697</v>
      </c>
      <c r="R1083" s="10" t="s">
        <v>184</v>
      </c>
      <c r="S1083" s="5">
        <v>0</v>
      </c>
      <c r="T1083" s="37">
        <v>0</v>
      </c>
      <c r="U1083" s="5">
        <v>0</v>
      </c>
      <c r="V1083" s="37">
        <v>0</v>
      </c>
      <c r="W1083" s="5">
        <v>0</v>
      </c>
      <c r="X1083" s="5">
        <v>0</v>
      </c>
      <c r="Y1083" s="5">
        <v>0</v>
      </c>
      <c r="Z1083" s="37">
        <v>0</v>
      </c>
      <c r="AA1083" s="5">
        <v>0</v>
      </c>
      <c r="AB1083" s="5">
        <v>0</v>
      </c>
      <c r="AC1083" s="5">
        <v>0</v>
      </c>
      <c r="AD1083" s="5">
        <v>0</v>
      </c>
      <c r="AE1083" s="10" t="s">
        <v>50</v>
      </c>
      <c r="AF1083" s="10"/>
      <c r="AG1083" s="10" t="s">
        <v>64</v>
      </c>
      <c r="AH1083" s="10" t="s">
        <v>50</v>
      </c>
      <c r="AI1083" s="5">
        <v>0</v>
      </c>
      <c r="AJ1083" s="10" t="s">
        <v>6051</v>
      </c>
      <c r="AK1083" s="10" t="s">
        <v>1215</v>
      </c>
    </row>
    <row r="1084" spans="1:37" ht="36.75" customHeight="1" x14ac:dyDescent="0.35">
      <c r="A1084" s="5"/>
      <c r="B1084" s="5" t="s">
        <v>37</v>
      </c>
      <c r="C1084" s="73" t="str">
        <f t="shared" si="16"/>
        <v>Closed</v>
      </c>
      <c r="D1084" s="45" t="s">
        <v>6052</v>
      </c>
      <c r="E1084" s="54" t="s">
        <v>6053</v>
      </c>
      <c r="F1084" s="5" t="s">
        <v>404</v>
      </c>
      <c r="G1084" s="10">
        <f>DATE(2011,5,23)</f>
        <v>40686</v>
      </c>
      <c r="H1084" s="35">
        <v>1.8034722222222221</v>
      </c>
      <c r="I1084" s="5" t="s">
        <v>179</v>
      </c>
      <c r="J1084" s="10" t="s">
        <v>6054</v>
      </c>
      <c r="K1084" s="5" t="s">
        <v>406</v>
      </c>
      <c r="L1084" s="5" t="s">
        <v>6055</v>
      </c>
      <c r="M1084" s="5" t="s">
        <v>236</v>
      </c>
      <c r="N1084" s="5">
        <v>0</v>
      </c>
      <c r="O1084" s="5" t="s">
        <v>46</v>
      </c>
      <c r="P1084" s="10" t="s">
        <v>67</v>
      </c>
      <c r="Q1084" s="10" t="s">
        <v>2695</v>
      </c>
      <c r="R1084" s="10" t="s">
        <v>2695</v>
      </c>
      <c r="S1084" s="5">
        <v>1</v>
      </c>
      <c r="T1084" s="37">
        <v>0</v>
      </c>
      <c r="U1084" s="5">
        <v>0</v>
      </c>
      <c r="V1084" s="37">
        <v>0</v>
      </c>
      <c r="W1084" s="5">
        <v>0</v>
      </c>
      <c r="X1084" s="5">
        <v>1</v>
      </c>
      <c r="Y1084" s="5">
        <v>3</v>
      </c>
      <c r="Z1084" s="37">
        <v>0</v>
      </c>
      <c r="AA1084" s="5">
        <v>0</v>
      </c>
      <c r="AB1084" s="5">
        <v>0</v>
      </c>
      <c r="AC1084" s="5">
        <v>0</v>
      </c>
      <c r="AD1084" s="5">
        <v>3</v>
      </c>
      <c r="AE1084" s="10" t="s">
        <v>50</v>
      </c>
      <c r="AF1084" s="10"/>
      <c r="AG1084" s="10" t="s">
        <v>348</v>
      </c>
      <c r="AH1084" s="10" t="s">
        <v>50</v>
      </c>
      <c r="AI1084" s="5">
        <v>0</v>
      </c>
      <c r="AJ1084" s="10" t="s">
        <v>6056</v>
      </c>
      <c r="AK1084" s="10" t="s">
        <v>2328</v>
      </c>
    </row>
    <row r="1085" spans="1:37" ht="36.75" customHeight="1" x14ac:dyDescent="0.35">
      <c r="A1085" s="5"/>
      <c r="B1085" s="5" t="s">
        <v>37</v>
      </c>
      <c r="C1085" s="73" t="str">
        <f t="shared" si="16"/>
        <v>Closed</v>
      </c>
      <c r="D1085" s="45" t="s">
        <v>6057</v>
      </c>
      <c r="E1085" s="54" t="s">
        <v>6058</v>
      </c>
      <c r="F1085" s="5" t="s">
        <v>178</v>
      </c>
      <c r="G1085" s="10">
        <f>DATE(2011,5,24)</f>
        <v>40687</v>
      </c>
      <c r="H1085" s="35">
        <v>1.8229166666666665</v>
      </c>
      <c r="I1085" s="5" t="s">
        <v>55</v>
      </c>
      <c r="J1085" s="10" t="s">
        <v>6059</v>
      </c>
      <c r="K1085" s="5" t="s">
        <v>181</v>
      </c>
      <c r="L1085" s="5" t="s">
        <v>6060</v>
      </c>
      <c r="M1085" s="5" t="s">
        <v>45</v>
      </c>
      <c r="N1085" s="5" t="s">
        <v>123</v>
      </c>
      <c r="O1085" s="5" t="s">
        <v>59</v>
      </c>
      <c r="P1085" s="10" t="s">
        <v>60</v>
      </c>
      <c r="Q1085" s="10" t="s">
        <v>1697</v>
      </c>
      <c r="R1085" s="10" t="s">
        <v>184</v>
      </c>
      <c r="S1085" s="5">
        <v>0</v>
      </c>
      <c r="T1085" s="37">
        <v>0</v>
      </c>
      <c r="U1085" s="5">
        <v>0</v>
      </c>
      <c r="V1085" s="37">
        <v>0</v>
      </c>
      <c r="W1085" s="5">
        <v>0</v>
      </c>
      <c r="X1085" s="5">
        <v>0</v>
      </c>
      <c r="Y1085" s="5">
        <v>0</v>
      </c>
      <c r="Z1085" s="37">
        <v>0</v>
      </c>
      <c r="AA1085" s="5">
        <v>0</v>
      </c>
      <c r="AB1085" s="5">
        <v>0</v>
      </c>
      <c r="AC1085" s="5">
        <v>0</v>
      </c>
      <c r="AD1085" s="5">
        <v>0</v>
      </c>
      <c r="AE1085" s="10" t="s">
        <v>375</v>
      </c>
      <c r="AF1085" s="10"/>
      <c r="AG1085" s="10" t="s">
        <v>333</v>
      </c>
      <c r="AH1085" s="10">
        <v>40688</v>
      </c>
      <c r="AI1085" s="5">
        <v>6</v>
      </c>
      <c r="AJ1085" s="10" t="s">
        <v>6061</v>
      </c>
      <c r="AK1085" s="10" t="s">
        <v>50</v>
      </c>
    </row>
    <row r="1086" spans="1:37" ht="36.75" customHeight="1" x14ac:dyDescent="0.35">
      <c r="A1086" s="5"/>
      <c r="B1086" s="5" t="s">
        <v>37</v>
      </c>
      <c r="C1086" s="73" t="str">
        <f t="shared" si="16"/>
        <v>Closed</v>
      </c>
      <c r="D1086" s="45" t="s">
        <v>6062</v>
      </c>
      <c r="E1086" s="54" t="s">
        <v>6063</v>
      </c>
      <c r="F1086" s="5" t="s">
        <v>619</v>
      </c>
      <c r="G1086" s="10">
        <f>DATE(2011,5,24)</f>
        <v>40687</v>
      </c>
      <c r="H1086" s="35">
        <v>1.6875</v>
      </c>
      <c r="I1086" s="5" t="s">
        <v>55</v>
      </c>
      <c r="J1086" s="10" t="s">
        <v>6064</v>
      </c>
      <c r="K1086" s="5" t="s">
        <v>621</v>
      </c>
      <c r="L1086" s="5" t="s">
        <v>6065</v>
      </c>
      <c r="M1086" s="5" t="s">
        <v>45</v>
      </c>
      <c r="N1086" s="5">
        <v>0</v>
      </c>
      <c r="O1086" s="5" t="s">
        <v>46</v>
      </c>
      <c r="P1086" s="10" t="s">
        <v>60</v>
      </c>
      <c r="Q1086" s="10" t="s">
        <v>623</v>
      </c>
      <c r="R1086" s="10" t="s">
        <v>624</v>
      </c>
      <c r="S1086" s="5">
        <v>0</v>
      </c>
      <c r="T1086" s="37" t="s">
        <v>50</v>
      </c>
      <c r="U1086" s="5">
        <v>0</v>
      </c>
      <c r="V1086" s="37" t="s">
        <v>50</v>
      </c>
      <c r="W1086" s="5">
        <v>0</v>
      </c>
      <c r="X1086" s="5">
        <v>0</v>
      </c>
      <c r="Y1086" s="5">
        <v>0</v>
      </c>
      <c r="Z1086" s="37" t="s">
        <v>50</v>
      </c>
      <c r="AA1086" s="5">
        <v>0</v>
      </c>
      <c r="AB1086" s="5">
        <v>0</v>
      </c>
      <c r="AC1086" s="5">
        <v>0</v>
      </c>
      <c r="AD1086" s="5">
        <v>0</v>
      </c>
      <c r="AE1086" s="10" t="s">
        <v>50</v>
      </c>
      <c r="AF1086" s="10"/>
      <c r="AG1086" s="10" t="s">
        <v>333</v>
      </c>
      <c r="AH1086" s="10" t="s">
        <v>50</v>
      </c>
      <c r="AI1086" s="5">
        <v>1</v>
      </c>
      <c r="AJ1086" s="10" t="s">
        <v>6066</v>
      </c>
      <c r="AK1086" s="10" t="s">
        <v>6067</v>
      </c>
    </row>
    <row r="1087" spans="1:37" ht="36.75" customHeight="1" x14ac:dyDescent="0.35">
      <c r="A1087" s="5"/>
      <c r="B1087" s="5" t="s">
        <v>37</v>
      </c>
      <c r="C1087" s="73" t="str">
        <f t="shared" si="16"/>
        <v>Closed</v>
      </c>
      <c r="D1087" s="45" t="s">
        <v>6068</v>
      </c>
      <c r="E1087" s="54" t="s">
        <v>6069</v>
      </c>
      <c r="F1087" s="5" t="s">
        <v>1553</v>
      </c>
      <c r="G1087" s="10">
        <f>DATE(2011,5,25)</f>
        <v>40688</v>
      </c>
      <c r="H1087" s="35">
        <v>1.1527777777777777</v>
      </c>
      <c r="I1087" s="5" t="s">
        <v>106</v>
      </c>
      <c r="J1087" s="10" t="s">
        <v>6070</v>
      </c>
      <c r="K1087" s="5" t="s">
        <v>1555</v>
      </c>
      <c r="L1087" s="5" t="s">
        <v>6071</v>
      </c>
      <c r="M1087" s="5" t="s">
        <v>45</v>
      </c>
      <c r="N1087" s="5">
        <v>0</v>
      </c>
      <c r="O1087" s="5" t="s">
        <v>46</v>
      </c>
      <c r="P1087" s="10" t="s">
        <v>362</v>
      </c>
      <c r="Q1087" s="10" t="s">
        <v>6072</v>
      </c>
      <c r="R1087" s="10" t="s">
        <v>4899</v>
      </c>
      <c r="S1087" s="5">
        <v>0</v>
      </c>
      <c r="T1087" s="37" t="s">
        <v>50</v>
      </c>
      <c r="U1087" s="5">
        <v>0</v>
      </c>
      <c r="V1087" s="37" t="s">
        <v>50</v>
      </c>
      <c r="W1087" s="5">
        <v>0</v>
      </c>
      <c r="X1087" s="5">
        <v>0</v>
      </c>
      <c r="Y1087" s="5">
        <v>0</v>
      </c>
      <c r="Z1087" s="37" t="s">
        <v>50</v>
      </c>
      <c r="AA1087" s="5">
        <v>0</v>
      </c>
      <c r="AB1087" s="5">
        <v>0</v>
      </c>
      <c r="AC1087" s="5">
        <v>0</v>
      </c>
      <c r="AD1087" s="5">
        <v>0</v>
      </c>
      <c r="AE1087" s="10" t="s">
        <v>50</v>
      </c>
      <c r="AF1087" s="10"/>
      <c r="AG1087" s="10" t="s">
        <v>114</v>
      </c>
      <c r="AH1087" s="10" t="s">
        <v>50</v>
      </c>
      <c r="AI1087" s="5">
        <v>1</v>
      </c>
      <c r="AJ1087" s="10" t="s">
        <v>6073</v>
      </c>
      <c r="AK1087" s="10" t="s">
        <v>50</v>
      </c>
    </row>
    <row r="1088" spans="1:37" ht="36.75" customHeight="1" x14ac:dyDescent="0.35">
      <c r="A1088" s="5"/>
      <c r="B1088" s="5" t="s">
        <v>37</v>
      </c>
      <c r="C1088" s="73" t="str">
        <f t="shared" si="16"/>
        <v>Closed</v>
      </c>
      <c r="D1088" s="45" t="s">
        <v>6074</v>
      </c>
      <c r="E1088" s="54" t="s">
        <v>6075</v>
      </c>
      <c r="F1088" s="5" t="s">
        <v>816</v>
      </c>
      <c r="G1088" s="10">
        <f>DATE(2011,5,26)</f>
        <v>40689</v>
      </c>
      <c r="H1088" s="35">
        <v>1.6638888888888888</v>
      </c>
      <c r="I1088" s="5" t="s">
        <v>97</v>
      </c>
      <c r="J1088" s="10" t="s">
        <v>6076</v>
      </c>
      <c r="K1088" s="5" t="s">
        <v>818</v>
      </c>
      <c r="L1088" s="5" t="s">
        <v>6077</v>
      </c>
      <c r="M1088" s="5" t="s">
        <v>45</v>
      </c>
      <c r="N1088" s="5">
        <v>0</v>
      </c>
      <c r="O1088" s="5" t="s">
        <v>46</v>
      </c>
      <c r="P1088" s="10" t="s">
        <v>146</v>
      </c>
      <c r="Q1088" s="10" t="s">
        <v>2142</v>
      </c>
      <c r="R1088" s="10" t="s">
        <v>821</v>
      </c>
      <c r="S1088" s="5">
        <v>0</v>
      </c>
      <c r="T1088" s="37">
        <v>0</v>
      </c>
      <c r="U1088" s="5">
        <v>0</v>
      </c>
      <c r="V1088" s="37">
        <v>0</v>
      </c>
      <c r="W1088" s="5">
        <v>0</v>
      </c>
      <c r="X1088" s="5">
        <v>0</v>
      </c>
      <c r="Y1088" s="5">
        <v>0</v>
      </c>
      <c r="Z1088" s="37">
        <v>0</v>
      </c>
      <c r="AA1088" s="5">
        <v>1</v>
      </c>
      <c r="AB1088" s="5">
        <v>0</v>
      </c>
      <c r="AC1088" s="5">
        <v>0</v>
      </c>
      <c r="AD1088" s="5">
        <v>1</v>
      </c>
      <c r="AE1088" s="10" t="s">
        <v>50</v>
      </c>
      <c r="AF1088" s="10"/>
      <c r="AG1088" s="10" t="s">
        <v>333</v>
      </c>
      <c r="AH1088" s="10" t="s">
        <v>50</v>
      </c>
      <c r="AI1088" s="5">
        <v>0</v>
      </c>
      <c r="AJ1088" s="10" t="s">
        <v>50</v>
      </c>
      <c r="AK1088" s="10" t="s">
        <v>50</v>
      </c>
    </row>
    <row r="1089" spans="1:37" ht="36.75" customHeight="1" x14ac:dyDescent="0.35">
      <c r="A1089" s="5"/>
      <c r="B1089" s="5" t="s">
        <v>37</v>
      </c>
      <c r="C1089" s="73" t="str">
        <f t="shared" si="16"/>
        <v>Closed</v>
      </c>
      <c r="D1089" s="45" t="s">
        <v>6078</v>
      </c>
      <c r="E1089" s="54" t="s">
        <v>6079</v>
      </c>
      <c r="F1089" s="5" t="s">
        <v>214</v>
      </c>
      <c r="G1089" s="10">
        <f>DATE(2011,5,26)</f>
        <v>40689</v>
      </c>
      <c r="H1089" s="35">
        <v>1.8847222222222224</v>
      </c>
      <c r="I1089" s="5" t="s">
        <v>67</v>
      </c>
      <c r="J1089" s="10" t="s">
        <v>6080</v>
      </c>
      <c r="K1089" s="5" t="s">
        <v>216</v>
      </c>
      <c r="L1089" s="5" t="s">
        <v>6081</v>
      </c>
      <c r="M1089" s="5" t="s">
        <v>45</v>
      </c>
      <c r="N1089" s="5">
        <v>0</v>
      </c>
      <c r="O1089" s="5" t="s">
        <v>46</v>
      </c>
      <c r="P1089" s="10" t="s">
        <v>146</v>
      </c>
      <c r="Q1089" s="10" t="s">
        <v>6082</v>
      </c>
      <c r="R1089" s="10" t="s">
        <v>219</v>
      </c>
      <c r="S1089" s="5">
        <v>0</v>
      </c>
      <c r="T1089" s="37" t="s">
        <v>50</v>
      </c>
      <c r="U1089" s="5">
        <v>0</v>
      </c>
      <c r="V1089" s="37" t="s">
        <v>50</v>
      </c>
      <c r="W1089" s="5">
        <v>0</v>
      </c>
      <c r="X1089" s="5">
        <v>0</v>
      </c>
      <c r="Y1089" s="5">
        <v>0</v>
      </c>
      <c r="Z1089" s="37" t="s">
        <v>50</v>
      </c>
      <c r="AA1089" s="5">
        <v>0</v>
      </c>
      <c r="AB1089" s="5">
        <v>0</v>
      </c>
      <c r="AC1089" s="5">
        <v>0</v>
      </c>
      <c r="AD1089" s="5">
        <v>0</v>
      </c>
      <c r="AE1089" s="10" t="s">
        <v>50</v>
      </c>
      <c r="AF1089" s="10"/>
      <c r="AG1089" s="10" t="s">
        <v>114</v>
      </c>
      <c r="AH1089" s="10" t="s">
        <v>50</v>
      </c>
      <c r="AI1089" s="5">
        <v>3</v>
      </c>
      <c r="AJ1089" s="10" t="s">
        <v>6083</v>
      </c>
      <c r="AK1089" s="10" t="s">
        <v>6084</v>
      </c>
    </row>
    <row r="1090" spans="1:37" ht="36.75" customHeight="1" x14ac:dyDescent="0.35">
      <c r="A1090" s="5"/>
      <c r="B1090" s="5" t="s">
        <v>37</v>
      </c>
      <c r="C1090" s="73" t="str">
        <f t="shared" ref="C1090:C1153" si="17">IF(B1090="Notification","Open",IF(B1090="Interim Statement","In progress","Closed"))</f>
        <v>Closed</v>
      </c>
      <c r="D1090" s="45" t="s">
        <v>6085</v>
      </c>
      <c r="E1090" s="54" t="s">
        <v>6086</v>
      </c>
      <c r="F1090" s="5" t="s">
        <v>619</v>
      </c>
      <c r="G1090" s="10">
        <f>DATE(2011,5,30)</f>
        <v>40693</v>
      </c>
      <c r="H1090" s="35">
        <v>1.3055555555555556</v>
      </c>
      <c r="I1090" s="5" t="s">
        <v>55</v>
      </c>
      <c r="J1090" s="10" t="s">
        <v>6087</v>
      </c>
      <c r="K1090" s="5" t="s">
        <v>621</v>
      </c>
      <c r="L1090" s="5" t="s">
        <v>6088</v>
      </c>
      <c r="M1090" s="5" t="s">
        <v>45</v>
      </c>
      <c r="N1090" s="5">
        <v>0</v>
      </c>
      <c r="O1090" s="5" t="s">
        <v>59</v>
      </c>
      <c r="P1090" s="10" t="s">
        <v>146</v>
      </c>
      <c r="Q1090" s="10" t="s">
        <v>623</v>
      </c>
      <c r="R1090" s="10" t="s">
        <v>624</v>
      </c>
      <c r="S1090" s="5">
        <v>0</v>
      </c>
      <c r="T1090" s="37" t="s">
        <v>50</v>
      </c>
      <c r="U1090" s="5">
        <v>0</v>
      </c>
      <c r="V1090" s="37" t="s">
        <v>50</v>
      </c>
      <c r="W1090" s="5">
        <v>0</v>
      </c>
      <c r="X1090" s="5">
        <v>0</v>
      </c>
      <c r="Y1090" s="5">
        <v>0</v>
      </c>
      <c r="Z1090" s="37" t="s">
        <v>50</v>
      </c>
      <c r="AA1090" s="5">
        <v>0</v>
      </c>
      <c r="AB1090" s="5">
        <v>0</v>
      </c>
      <c r="AC1090" s="5">
        <v>0</v>
      </c>
      <c r="AD1090" s="5">
        <v>0</v>
      </c>
      <c r="AE1090" s="10" t="s">
        <v>50</v>
      </c>
      <c r="AF1090" s="10"/>
      <c r="AG1090" s="10" t="s">
        <v>333</v>
      </c>
      <c r="AH1090" s="10" t="s">
        <v>50</v>
      </c>
      <c r="AI1090" s="5">
        <v>2</v>
      </c>
      <c r="AJ1090" s="10" t="s">
        <v>6089</v>
      </c>
      <c r="AK1090" s="10" t="s">
        <v>50</v>
      </c>
    </row>
    <row r="1091" spans="1:37" ht="36.75" customHeight="1" x14ac:dyDescent="0.35">
      <c r="A1091" s="5"/>
      <c r="B1091" s="5" t="s">
        <v>37</v>
      </c>
      <c r="C1091" s="73" t="str">
        <f t="shared" si="17"/>
        <v>Closed</v>
      </c>
      <c r="D1091" s="45" t="s">
        <v>6090</v>
      </c>
      <c r="E1091" s="54" t="s">
        <v>6091</v>
      </c>
      <c r="F1091" s="5" t="s">
        <v>96</v>
      </c>
      <c r="G1091" s="10">
        <f>DATE(2011,5,31)</f>
        <v>40694</v>
      </c>
      <c r="H1091" s="35">
        <v>1.6388888888888888</v>
      </c>
      <c r="I1091" s="5" t="s">
        <v>97</v>
      </c>
      <c r="J1091" s="10" t="s">
        <v>6092</v>
      </c>
      <c r="K1091" s="5" t="s">
        <v>99</v>
      </c>
      <c r="L1091" s="5" t="s">
        <v>6093</v>
      </c>
      <c r="M1091" s="5" t="s">
        <v>45</v>
      </c>
      <c r="N1091" s="5" t="s">
        <v>123</v>
      </c>
      <c r="O1091" s="5" t="s">
        <v>46</v>
      </c>
      <c r="P1091" s="10" t="s">
        <v>146</v>
      </c>
      <c r="Q1091" s="10" t="s">
        <v>101</v>
      </c>
      <c r="R1091" s="10" t="s">
        <v>102</v>
      </c>
      <c r="S1091" s="5">
        <v>0</v>
      </c>
      <c r="T1091" s="37">
        <v>0</v>
      </c>
      <c r="U1091" s="5">
        <v>0</v>
      </c>
      <c r="V1091" s="37">
        <v>0</v>
      </c>
      <c r="W1091" s="5">
        <v>0</v>
      </c>
      <c r="X1091" s="5">
        <v>0</v>
      </c>
      <c r="Y1091" s="5">
        <v>0</v>
      </c>
      <c r="Z1091" s="37">
        <v>0</v>
      </c>
      <c r="AA1091" s="5">
        <v>0</v>
      </c>
      <c r="AB1091" s="5">
        <v>0</v>
      </c>
      <c r="AC1091" s="5">
        <v>0</v>
      </c>
      <c r="AD1091" s="5">
        <v>0</v>
      </c>
      <c r="AE1091" s="10" t="s">
        <v>375</v>
      </c>
      <c r="AF1091" s="10"/>
      <c r="AG1091" s="10" t="s">
        <v>229</v>
      </c>
      <c r="AH1091" s="10">
        <v>40697</v>
      </c>
      <c r="AI1091" s="5">
        <v>2</v>
      </c>
      <c r="AJ1091" s="10" t="s">
        <v>6094</v>
      </c>
      <c r="AK1091" s="10" t="s">
        <v>6095</v>
      </c>
    </row>
    <row r="1092" spans="1:37" ht="36.75" customHeight="1" x14ac:dyDescent="0.35">
      <c r="A1092" s="5"/>
      <c r="B1092" s="5" t="s">
        <v>37</v>
      </c>
      <c r="C1092" s="73" t="str">
        <f t="shared" si="17"/>
        <v>Closed</v>
      </c>
      <c r="D1092" s="45" t="s">
        <v>6096</v>
      </c>
      <c r="E1092" s="54" t="s">
        <v>6097</v>
      </c>
      <c r="F1092" s="5" t="s">
        <v>619</v>
      </c>
      <c r="G1092" s="10">
        <f>DATE(2011,6,1)</f>
        <v>40695</v>
      </c>
      <c r="H1092" s="35">
        <v>1.6666666666666665</v>
      </c>
      <c r="I1092" s="5" t="s">
        <v>67</v>
      </c>
      <c r="J1092" s="10" t="s">
        <v>6098</v>
      </c>
      <c r="K1092" s="5" t="s">
        <v>621</v>
      </c>
      <c r="L1092" s="5" t="s">
        <v>6099</v>
      </c>
      <c r="M1092" s="5" t="s">
        <v>45</v>
      </c>
      <c r="N1092" s="5">
        <v>0</v>
      </c>
      <c r="O1092" s="5" t="s">
        <v>59</v>
      </c>
      <c r="P1092" s="10" t="s">
        <v>60</v>
      </c>
      <c r="Q1092" s="10" t="s">
        <v>3226</v>
      </c>
      <c r="R1092" s="10" t="s">
        <v>3226</v>
      </c>
      <c r="S1092" s="5">
        <v>0</v>
      </c>
      <c r="T1092" s="37" t="s">
        <v>50</v>
      </c>
      <c r="U1092" s="5">
        <v>0</v>
      </c>
      <c r="V1092" s="37" t="s">
        <v>50</v>
      </c>
      <c r="W1092" s="5">
        <v>0</v>
      </c>
      <c r="X1092" s="5">
        <v>0</v>
      </c>
      <c r="Y1092" s="5">
        <v>0</v>
      </c>
      <c r="Z1092" s="37" t="s">
        <v>50</v>
      </c>
      <c r="AA1092" s="5">
        <v>0</v>
      </c>
      <c r="AB1092" s="5">
        <v>0</v>
      </c>
      <c r="AC1092" s="5">
        <v>0</v>
      </c>
      <c r="AD1092" s="5">
        <v>0</v>
      </c>
      <c r="AE1092" s="10" t="s">
        <v>50</v>
      </c>
      <c r="AF1092" s="10"/>
      <c r="AG1092" s="10" t="s">
        <v>114</v>
      </c>
      <c r="AH1092" s="10" t="s">
        <v>50</v>
      </c>
      <c r="AI1092" s="5">
        <v>3</v>
      </c>
      <c r="AJ1092" s="10" t="s">
        <v>6100</v>
      </c>
      <c r="AK1092" s="10" t="s">
        <v>50</v>
      </c>
    </row>
    <row r="1093" spans="1:37" ht="36.75" customHeight="1" x14ac:dyDescent="0.35">
      <c r="A1093" s="5"/>
      <c r="B1093" s="5" t="s">
        <v>37</v>
      </c>
      <c r="C1093" s="73" t="str">
        <f t="shared" si="17"/>
        <v>Closed</v>
      </c>
      <c r="D1093" s="45" t="s">
        <v>6101</v>
      </c>
      <c r="E1093" s="54" t="s">
        <v>6102</v>
      </c>
      <c r="F1093" s="5" t="s">
        <v>432</v>
      </c>
      <c r="G1093" s="10">
        <f>DATE(2011,6,3)</f>
        <v>40697</v>
      </c>
      <c r="H1093" s="35">
        <v>1.9652777777777777</v>
      </c>
      <c r="I1093" s="5" t="s">
        <v>55</v>
      </c>
      <c r="J1093" s="10" t="s">
        <v>6103</v>
      </c>
      <c r="K1093" s="5" t="s">
        <v>434</v>
      </c>
      <c r="L1093" s="5" t="s">
        <v>6104</v>
      </c>
      <c r="M1093" s="5" t="s">
        <v>45</v>
      </c>
      <c r="N1093" s="5" t="s">
        <v>80</v>
      </c>
      <c r="O1093" s="5" t="s">
        <v>46</v>
      </c>
      <c r="P1093" s="10" t="s">
        <v>146</v>
      </c>
      <c r="Q1093" s="10" t="s">
        <v>646</v>
      </c>
      <c r="R1093" s="10" t="s">
        <v>553</v>
      </c>
      <c r="S1093" s="5">
        <v>0</v>
      </c>
      <c r="T1093" s="37">
        <v>0</v>
      </c>
      <c r="U1093" s="5">
        <v>0</v>
      </c>
      <c r="V1093" s="37">
        <v>0</v>
      </c>
      <c r="W1093" s="5">
        <v>0</v>
      </c>
      <c r="X1093" s="5">
        <v>0</v>
      </c>
      <c r="Y1093" s="5">
        <v>0</v>
      </c>
      <c r="Z1093" s="37">
        <v>0</v>
      </c>
      <c r="AA1093" s="5">
        <v>0</v>
      </c>
      <c r="AB1093" s="5">
        <v>0</v>
      </c>
      <c r="AC1093" s="5">
        <v>0</v>
      </c>
      <c r="AD1093" s="5">
        <v>0</v>
      </c>
      <c r="AE1093" s="10" t="s">
        <v>375</v>
      </c>
      <c r="AF1093" s="10"/>
      <c r="AG1093" s="10" t="s">
        <v>64</v>
      </c>
      <c r="AH1093" s="10">
        <v>41037</v>
      </c>
      <c r="AI1093" s="5">
        <v>0</v>
      </c>
      <c r="AJ1093" s="10" t="s">
        <v>6105</v>
      </c>
      <c r="AK1093" s="10" t="s">
        <v>1070</v>
      </c>
    </row>
    <row r="1094" spans="1:37" ht="36.75" customHeight="1" x14ac:dyDescent="0.35">
      <c r="A1094" s="5"/>
      <c r="B1094" s="5" t="s">
        <v>37</v>
      </c>
      <c r="C1094" s="73" t="str">
        <f t="shared" si="17"/>
        <v>Closed</v>
      </c>
      <c r="D1094" s="45" t="s">
        <v>6106</v>
      </c>
      <c r="E1094" s="54" t="s">
        <v>6107</v>
      </c>
      <c r="F1094" s="5" t="s">
        <v>105</v>
      </c>
      <c r="G1094" s="10">
        <f>DATE(2011,6,3)</f>
        <v>40697</v>
      </c>
      <c r="H1094" s="35">
        <v>1.9097222222222223</v>
      </c>
      <c r="I1094" s="5" t="s">
        <v>97</v>
      </c>
      <c r="J1094" s="10" t="s">
        <v>6108</v>
      </c>
      <c r="K1094" s="5" t="s">
        <v>108</v>
      </c>
      <c r="L1094" s="5" t="s">
        <v>6109</v>
      </c>
      <c r="M1094" s="5" t="s">
        <v>45</v>
      </c>
      <c r="N1094" s="5">
        <v>0</v>
      </c>
      <c r="O1094" s="5" t="s">
        <v>46</v>
      </c>
      <c r="P1094" s="10" t="s">
        <v>60</v>
      </c>
      <c r="Q1094" s="10" t="s">
        <v>6110</v>
      </c>
      <c r="R1094" s="10" t="s">
        <v>148</v>
      </c>
      <c r="S1094" s="5">
        <v>0</v>
      </c>
      <c r="T1094" s="37">
        <v>0</v>
      </c>
      <c r="U1094" s="5">
        <v>1</v>
      </c>
      <c r="V1094" s="37">
        <v>0</v>
      </c>
      <c r="W1094" s="5">
        <v>0</v>
      </c>
      <c r="X1094" s="5">
        <v>1</v>
      </c>
      <c r="Y1094" s="5">
        <v>0</v>
      </c>
      <c r="Z1094" s="37">
        <v>0</v>
      </c>
      <c r="AA1094" s="5">
        <v>0</v>
      </c>
      <c r="AB1094" s="5">
        <v>0</v>
      </c>
      <c r="AC1094" s="5">
        <v>0</v>
      </c>
      <c r="AD1094" s="5">
        <v>0</v>
      </c>
      <c r="AE1094" s="10" t="s">
        <v>50</v>
      </c>
      <c r="AF1094" s="10"/>
      <c r="AG1094" s="10" t="s">
        <v>333</v>
      </c>
      <c r="AH1094" s="10" t="s">
        <v>50</v>
      </c>
      <c r="AI1094" s="5">
        <v>1</v>
      </c>
      <c r="AJ1094" s="10" t="s">
        <v>50</v>
      </c>
      <c r="AK1094" s="10" t="s">
        <v>50</v>
      </c>
    </row>
    <row r="1095" spans="1:37" ht="36.75" customHeight="1" x14ac:dyDescent="0.35">
      <c r="A1095" s="5"/>
      <c r="B1095" s="5" t="s">
        <v>37</v>
      </c>
      <c r="C1095" s="73" t="str">
        <f t="shared" si="17"/>
        <v>Closed</v>
      </c>
      <c r="D1095" s="45" t="s">
        <v>6111</v>
      </c>
      <c r="E1095" s="54" t="s">
        <v>6112</v>
      </c>
      <c r="F1095" s="5" t="s">
        <v>404</v>
      </c>
      <c r="G1095" s="10">
        <f>DATE(2011,6,5)</f>
        <v>40699</v>
      </c>
      <c r="H1095" s="35">
        <v>1.5166666666666666</v>
      </c>
      <c r="I1095" s="5" t="s">
        <v>55</v>
      </c>
      <c r="J1095" s="10" t="s">
        <v>6113</v>
      </c>
      <c r="K1095" s="5" t="s">
        <v>406</v>
      </c>
      <c r="L1095" s="5" t="s">
        <v>6114</v>
      </c>
      <c r="M1095" s="5" t="s">
        <v>45</v>
      </c>
      <c r="N1095" s="5">
        <v>0</v>
      </c>
      <c r="O1095" s="5" t="s">
        <v>46</v>
      </c>
      <c r="P1095" s="10" t="s">
        <v>60</v>
      </c>
      <c r="Q1095" s="10" t="s">
        <v>2562</v>
      </c>
      <c r="R1095" s="10" t="s">
        <v>3083</v>
      </c>
      <c r="S1095" s="5">
        <v>0</v>
      </c>
      <c r="T1095" s="37" t="s">
        <v>50</v>
      </c>
      <c r="U1095" s="5">
        <v>0</v>
      </c>
      <c r="V1095" s="37" t="s">
        <v>50</v>
      </c>
      <c r="W1095" s="5">
        <v>0</v>
      </c>
      <c r="X1095" s="5">
        <v>0</v>
      </c>
      <c r="Y1095" s="5">
        <v>0</v>
      </c>
      <c r="Z1095" s="37" t="s">
        <v>50</v>
      </c>
      <c r="AA1095" s="5">
        <v>0</v>
      </c>
      <c r="AB1095" s="5">
        <v>0</v>
      </c>
      <c r="AC1095" s="5">
        <v>0</v>
      </c>
      <c r="AD1095" s="5">
        <v>0</v>
      </c>
      <c r="AE1095" s="10" t="s">
        <v>50</v>
      </c>
      <c r="AF1095" s="10"/>
      <c r="AG1095" s="10" t="s">
        <v>114</v>
      </c>
      <c r="AH1095" s="10" t="s">
        <v>50</v>
      </c>
      <c r="AI1095" s="5">
        <v>8</v>
      </c>
      <c r="AJ1095" s="10" t="s">
        <v>6115</v>
      </c>
      <c r="AK1095" s="10" t="s">
        <v>50</v>
      </c>
    </row>
    <row r="1096" spans="1:37" ht="36.75" customHeight="1" x14ac:dyDescent="0.35">
      <c r="A1096" s="5"/>
      <c r="B1096" s="5" t="s">
        <v>37</v>
      </c>
      <c r="C1096" s="73" t="str">
        <f t="shared" si="17"/>
        <v>Closed</v>
      </c>
      <c r="D1096" s="45" t="s">
        <v>6116</v>
      </c>
      <c r="E1096" s="54" t="s">
        <v>6117</v>
      </c>
      <c r="F1096" s="5" t="s">
        <v>214</v>
      </c>
      <c r="G1096" s="10">
        <f>DATE(2011,6,5)</f>
        <v>40699</v>
      </c>
      <c r="H1096" s="35">
        <v>1.0138888888888888</v>
      </c>
      <c r="I1096" s="5" t="s">
        <v>259</v>
      </c>
      <c r="J1096" s="10" t="s">
        <v>6118</v>
      </c>
      <c r="K1096" s="5" t="s">
        <v>216</v>
      </c>
      <c r="L1096" s="5" t="s">
        <v>6119</v>
      </c>
      <c r="M1096" s="5" t="s">
        <v>236</v>
      </c>
      <c r="N1096" s="5">
        <v>0</v>
      </c>
      <c r="O1096" s="5" t="s">
        <v>46</v>
      </c>
      <c r="P1096" s="10" t="s">
        <v>67</v>
      </c>
      <c r="Q1096" s="10" t="s">
        <v>297</v>
      </c>
      <c r="R1096" s="10" t="s">
        <v>297</v>
      </c>
      <c r="S1096" s="5">
        <v>0</v>
      </c>
      <c r="T1096" s="37">
        <v>0</v>
      </c>
      <c r="U1096" s="5">
        <v>0</v>
      </c>
      <c r="V1096" s="37">
        <v>0</v>
      </c>
      <c r="W1096" s="5">
        <v>1</v>
      </c>
      <c r="X1096" s="5">
        <v>1</v>
      </c>
      <c r="Y1096" s="5">
        <v>0</v>
      </c>
      <c r="Z1096" s="37">
        <v>0</v>
      </c>
      <c r="AA1096" s="5">
        <v>0</v>
      </c>
      <c r="AB1096" s="5">
        <v>0</v>
      </c>
      <c r="AC1096" s="5">
        <v>0</v>
      </c>
      <c r="AD1096" s="5">
        <v>0</v>
      </c>
      <c r="AE1096" s="10" t="s">
        <v>50</v>
      </c>
      <c r="AF1096" s="10"/>
      <c r="AG1096" s="10" t="s">
        <v>64</v>
      </c>
      <c r="AH1096" s="10" t="s">
        <v>50</v>
      </c>
      <c r="AI1096" s="5">
        <v>2</v>
      </c>
      <c r="AJ1096" s="10" t="s">
        <v>6120</v>
      </c>
      <c r="AK1096" s="10" t="s">
        <v>6121</v>
      </c>
    </row>
    <row r="1097" spans="1:37" ht="36.75" customHeight="1" x14ac:dyDescent="0.35">
      <c r="A1097" s="5"/>
      <c r="B1097" s="5" t="s">
        <v>37</v>
      </c>
      <c r="C1097" s="73" t="str">
        <f t="shared" si="17"/>
        <v>Closed</v>
      </c>
      <c r="D1097" s="45" t="s">
        <v>6122</v>
      </c>
      <c r="E1097" s="54" t="s">
        <v>6123</v>
      </c>
      <c r="F1097" s="5" t="s">
        <v>816</v>
      </c>
      <c r="G1097" s="10">
        <f>DATE(2011,6,6)</f>
        <v>40700</v>
      </c>
      <c r="H1097" s="35">
        <v>1.7361111111111112</v>
      </c>
      <c r="I1097" s="5" t="s">
        <v>97</v>
      </c>
      <c r="J1097" s="10" t="s">
        <v>6124</v>
      </c>
      <c r="K1097" s="5" t="s">
        <v>818</v>
      </c>
      <c r="L1097" s="5" t="s">
        <v>6125</v>
      </c>
      <c r="M1097" s="5" t="s">
        <v>45</v>
      </c>
      <c r="N1097" s="5">
        <v>0</v>
      </c>
      <c r="O1097" s="5" t="s">
        <v>46</v>
      </c>
      <c r="P1097" s="10" t="s">
        <v>146</v>
      </c>
      <c r="Q1097" s="10" t="s">
        <v>4291</v>
      </c>
      <c r="R1097" s="10" t="s">
        <v>2777</v>
      </c>
      <c r="S1097" s="5">
        <v>0</v>
      </c>
      <c r="T1097" s="37">
        <v>0</v>
      </c>
      <c r="U1097" s="5">
        <v>1</v>
      </c>
      <c r="V1097" s="37">
        <v>0</v>
      </c>
      <c r="W1097" s="5">
        <v>0</v>
      </c>
      <c r="X1097" s="5">
        <v>1</v>
      </c>
      <c r="Y1097" s="5">
        <v>0</v>
      </c>
      <c r="Z1097" s="37">
        <v>0</v>
      </c>
      <c r="AA1097" s="5">
        <v>0</v>
      </c>
      <c r="AB1097" s="5">
        <v>0</v>
      </c>
      <c r="AC1097" s="5">
        <v>0</v>
      </c>
      <c r="AD1097" s="5">
        <v>0</v>
      </c>
      <c r="AE1097" s="10" t="s">
        <v>50</v>
      </c>
      <c r="AF1097" s="10"/>
      <c r="AG1097" s="10" t="s">
        <v>333</v>
      </c>
      <c r="AH1097" s="10" t="s">
        <v>50</v>
      </c>
      <c r="AI1097" s="5">
        <v>0</v>
      </c>
      <c r="AJ1097" s="10" t="s">
        <v>50</v>
      </c>
      <c r="AK1097" s="10" t="s">
        <v>50</v>
      </c>
    </row>
    <row r="1098" spans="1:37" ht="36.75" customHeight="1" x14ac:dyDescent="0.35">
      <c r="A1098" s="5"/>
      <c r="B1098" s="5" t="s">
        <v>37</v>
      </c>
      <c r="C1098" s="73" t="str">
        <f t="shared" si="17"/>
        <v>Closed</v>
      </c>
      <c r="D1098" s="45" t="s">
        <v>6126</v>
      </c>
      <c r="E1098" s="54" t="s">
        <v>6127</v>
      </c>
      <c r="F1098" s="5" t="s">
        <v>1553</v>
      </c>
      <c r="G1098" s="10">
        <f>DATE(2011,6,6)</f>
        <v>40700</v>
      </c>
      <c r="H1098" s="35">
        <v>1.8055555555555554</v>
      </c>
      <c r="I1098" s="5" t="s">
        <v>106</v>
      </c>
      <c r="J1098" s="10" t="s">
        <v>6128</v>
      </c>
      <c r="K1098" s="5" t="s">
        <v>1555</v>
      </c>
      <c r="L1098" s="5" t="s">
        <v>6129</v>
      </c>
      <c r="M1098" s="5" t="s">
        <v>45</v>
      </c>
      <c r="N1098" s="5">
        <v>0</v>
      </c>
      <c r="O1098" s="5" t="s">
        <v>46</v>
      </c>
      <c r="P1098" s="10" t="s">
        <v>146</v>
      </c>
      <c r="Q1098" s="10" t="s">
        <v>2393</v>
      </c>
      <c r="R1098" s="10">
        <v>0</v>
      </c>
      <c r="S1098" s="5">
        <v>0</v>
      </c>
      <c r="T1098" s="37" t="s">
        <v>50</v>
      </c>
      <c r="U1098" s="5">
        <v>0</v>
      </c>
      <c r="V1098" s="37" t="s">
        <v>50</v>
      </c>
      <c r="W1098" s="5">
        <v>0</v>
      </c>
      <c r="X1098" s="5">
        <v>0</v>
      </c>
      <c r="Y1098" s="5">
        <v>0</v>
      </c>
      <c r="Z1098" s="37" t="s">
        <v>50</v>
      </c>
      <c r="AA1098" s="5">
        <v>0</v>
      </c>
      <c r="AB1098" s="5">
        <v>0</v>
      </c>
      <c r="AC1098" s="5">
        <v>0</v>
      </c>
      <c r="AD1098" s="5">
        <v>0</v>
      </c>
      <c r="AE1098" s="10" t="s">
        <v>50</v>
      </c>
      <c r="AF1098" s="10"/>
      <c r="AG1098" s="10" t="s">
        <v>114</v>
      </c>
      <c r="AH1098" s="10" t="s">
        <v>50</v>
      </c>
      <c r="AI1098" s="5">
        <v>0</v>
      </c>
      <c r="AJ1098" s="10" t="s">
        <v>6130</v>
      </c>
      <c r="AK1098" s="10" t="s">
        <v>6131</v>
      </c>
    </row>
    <row r="1099" spans="1:37" ht="36.75" customHeight="1" x14ac:dyDescent="0.35">
      <c r="A1099" s="5"/>
      <c r="B1099" s="5" t="s">
        <v>37</v>
      </c>
      <c r="C1099" s="73" t="str">
        <f t="shared" si="17"/>
        <v>Closed</v>
      </c>
      <c r="D1099" s="45" t="s">
        <v>6132</v>
      </c>
      <c r="E1099" s="54" t="s">
        <v>6133</v>
      </c>
      <c r="F1099" s="5" t="s">
        <v>358</v>
      </c>
      <c r="G1099" s="10">
        <f>DATE(2011,6,7)</f>
        <v>40701</v>
      </c>
      <c r="H1099" s="35">
        <v>1.4548611111111112</v>
      </c>
      <c r="I1099" s="5" t="s">
        <v>137</v>
      </c>
      <c r="J1099" s="10" t="s">
        <v>6134</v>
      </c>
      <c r="K1099" s="5" t="s">
        <v>360</v>
      </c>
      <c r="L1099" s="5" t="s">
        <v>6135</v>
      </c>
      <c r="M1099" s="5" t="s">
        <v>45</v>
      </c>
      <c r="N1099" s="5">
        <v>0</v>
      </c>
      <c r="O1099" s="5" t="s">
        <v>46</v>
      </c>
      <c r="P1099" s="10" t="s">
        <v>443</v>
      </c>
      <c r="Q1099" s="10" t="s">
        <v>2886</v>
      </c>
      <c r="R1099" s="10" t="s">
        <v>363</v>
      </c>
      <c r="S1099" s="5">
        <v>0</v>
      </c>
      <c r="T1099" s="37">
        <v>0</v>
      </c>
      <c r="U1099" s="5">
        <v>0</v>
      </c>
      <c r="V1099" s="37">
        <v>0</v>
      </c>
      <c r="W1099" s="5">
        <v>0</v>
      </c>
      <c r="X1099" s="5">
        <v>0</v>
      </c>
      <c r="Y1099" s="5">
        <v>0</v>
      </c>
      <c r="Z1099" s="37">
        <v>0</v>
      </c>
      <c r="AA1099" s="5">
        <v>0</v>
      </c>
      <c r="AB1099" s="5">
        <v>0</v>
      </c>
      <c r="AC1099" s="5">
        <v>0</v>
      </c>
      <c r="AD1099" s="5">
        <v>0</v>
      </c>
      <c r="AE1099" s="10" t="s">
        <v>50</v>
      </c>
      <c r="AF1099" s="10"/>
      <c r="AG1099" s="10" t="s">
        <v>114</v>
      </c>
      <c r="AH1099" s="10" t="s">
        <v>50</v>
      </c>
      <c r="AI1099" s="5">
        <v>4</v>
      </c>
      <c r="AJ1099" s="10" t="s">
        <v>6136</v>
      </c>
      <c r="AK1099" s="10" t="s">
        <v>6137</v>
      </c>
    </row>
    <row r="1100" spans="1:37" ht="36.75" customHeight="1" x14ac:dyDescent="0.35">
      <c r="A1100" s="5"/>
      <c r="B1100" s="5" t="s">
        <v>37</v>
      </c>
      <c r="C1100" s="73" t="str">
        <f t="shared" si="17"/>
        <v>Closed</v>
      </c>
      <c r="D1100" s="45" t="s">
        <v>6138</v>
      </c>
      <c r="E1100" s="54" t="s">
        <v>6139</v>
      </c>
      <c r="F1100" s="5" t="s">
        <v>404</v>
      </c>
      <c r="G1100" s="10">
        <f>DATE(2011,6,8)</f>
        <v>40702</v>
      </c>
      <c r="H1100" s="35">
        <v>1.5034722222222223</v>
      </c>
      <c r="I1100" s="5" t="s">
        <v>97</v>
      </c>
      <c r="J1100" s="10" t="s">
        <v>6140</v>
      </c>
      <c r="K1100" s="5" t="s">
        <v>406</v>
      </c>
      <c r="L1100" s="5" t="s">
        <v>6141</v>
      </c>
      <c r="M1100" s="5" t="s">
        <v>45</v>
      </c>
      <c r="N1100" s="5">
        <v>0</v>
      </c>
      <c r="O1100" s="5" t="s">
        <v>46</v>
      </c>
      <c r="P1100" s="10" t="s">
        <v>47</v>
      </c>
      <c r="Q1100" s="10" t="s">
        <v>4531</v>
      </c>
      <c r="R1100" s="10" t="s">
        <v>3083</v>
      </c>
      <c r="S1100" s="5">
        <v>0</v>
      </c>
      <c r="T1100" s="37" t="s">
        <v>50</v>
      </c>
      <c r="U1100" s="5">
        <v>0</v>
      </c>
      <c r="V1100" s="37" t="s">
        <v>50</v>
      </c>
      <c r="W1100" s="5">
        <v>0</v>
      </c>
      <c r="X1100" s="5">
        <v>0</v>
      </c>
      <c r="Y1100" s="5">
        <v>0</v>
      </c>
      <c r="Z1100" s="37" t="s">
        <v>50</v>
      </c>
      <c r="AA1100" s="5">
        <v>0</v>
      </c>
      <c r="AB1100" s="5">
        <v>0</v>
      </c>
      <c r="AC1100" s="5">
        <v>0</v>
      </c>
      <c r="AD1100" s="5">
        <v>0</v>
      </c>
      <c r="AE1100" s="10" t="s">
        <v>50</v>
      </c>
      <c r="AF1100" s="10"/>
      <c r="AG1100" s="10" t="s">
        <v>114</v>
      </c>
      <c r="AH1100" s="10" t="s">
        <v>50</v>
      </c>
      <c r="AI1100" s="5">
        <v>0</v>
      </c>
      <c r="AJ1100" s="10" t="s">
        <v>50</v>
      </c>
      <c r="AK1100" s="10" t="s">
        <v>2328</v>
      </c>
    </row>
    <row r="1101" spans="1:37" ht="36.75" customHeight="1" x14ac:dyDescent="0.35">
      <c r="A1101" s="5"/>
      <c r="B1101" s="5" t="s">
        <v>37</v>
      </c>
      <c r="C1101" s="73" t="str">
        <f t="shared" si="17"/>
        <v>Closed</v>
      </c>
      <c r="D1101" s="45" t="s">
        <v>6142</v>
      </c>
      <c r="E1101" s="54" t="s">
        <v>6143</v>
      </c>
      <c r="F1101" s="5" t="s">
        <v>358</v>
      </c>
      <c r="G1101" s="10">
        <f>DATE(2011,6,9)</f>
        <v>40703</v>
      </c>
      <c r="H1101" s="35">
        <v>1.2569444444444444</v>
      </c>
      <c r="I1101" s="5" t="s">
        <v>106</v>
      </c>
      <c r="J1101" s="10" t="s">
        <v>6144</v>
      </c>
      <c r="K1101" s="5" t="s">
        <v>360</v>
      </c>
      <c r="L1101" s="5" t="s">
        <v>6145</v>
      </c>
      <c r="M1101" s="5" t="s">
        <v>45</v>
      </c>
      <c r="N1101" s="5" t="s">
        <v>123</v>
      </c>
      <c r="O1101" s="5" t="s">
        <v>46</v>
      </c>
      <c r="P1101" s="10" t="s">
        <v>60</v>
      </c>
      <c r="Q1101" s="10" t="s">
        <v>6146</v>
      </c>
      <c r="R1101" s="10" t="s">
        <v>6147</v>
      </c>
      <c r="S1101" s="5">
        <v>0</v>
      </c>
      <c r="T1101" s="37">
        <v>0</v>
      </c>
      <c r="U1101" s="5">
        <v>0</v>
      </c>
      <c r="V1101" s="37">
        <v>0</v>
      </c>
      <c r="W1101" s="5">
        <v>0</v>
      </c>
      <c r="X1101" s="5">
        <v>0</v>
      </c>
      <c r="Y1101" s="5">
        <v>0</v>
      </c>
      <c r="Z1101" s="37">
        <v>0</v>
      </c>
      <c r="AA1101" s="5">
        <v>0</v>
      </c>
      <c r="AB1101" s="5">
        <v>0</v>
      </c>
      <c r="AC1101" s="5">
        <v>0</v>
      </c>
      <c r="AD1101" s="5">
        <v>0</v>
      </c>
      <c r="AE1101" s="10" t="s">
        <v>50</v>
      </c>
      <c r="AF1101" s="10"/>
      <c r="AG1101" s="10" t="s">
        <v>114</v>
      </c>
      <c r="AH1101" s="10">
        <v>40704</v>
      </c>
      <c r="AI1101" s="5">
        <v>5</v>
      </c>
      <c r="AJ1101" s="10" t="s">
        <v>6148</v>
      </c>
      <c r="AK1101" s="10" t="s">
        <v>6149</v>
      </c>
    </row>
    <row r="1102" spans="1:37" ht="36.75" customHeight="1" x14ac:dyDescent="0.35">
      <c r="A1102" s="5"/>
      <c r="B1102" s="5" t="s">
        <v>37</v>
      </c>
      <c r="C1102" s="73" t="str">
        <f t="shared" si="17"/>
        <v>Closed</v>
      </c>
      <c r="D1102" s="45" t="s">
        <v>6150</v>
      </c>
      <c r="E1102" s="54" t="s">
        <v>6151</v>
      </c>
      <c r="F1102" s="5" t="s">
        <v>119</v>
      </c>
      <c r="G1102" s="10">
        <f>DATE(2011,6,9)</f>
        <v>40703</v>
      </c>
      <c r="H1102" s="35">
        <v>1.4097222222222223</v>
      </c>
      <c r="I1102" s="5" t="s">
        <v>41</v>
      </c>
      <c r="J1102" s="10" t="s">
        <v>6152</v>
      </c>
      <c r="K1102" s="5" t="s">
        <v>121</v>
      </c>
      <c r="L1102" s="5" t="s">
        <v>6153</v>
      </c>
      <c r="M1102" s="5" t="s">
        <v>45</v>
      </c>
      <c r="N1102" s="5" t="s">
        <v>80</v>
      </c>
      <c r="O1102" s="5" t="s">
        <v>46</v>
      </c>
      <c r="P1102" s="10" t="s">
        <v>6154</v>
      </c>
      <c r="Q1102" s="10" t="s">
        <v>6155</v>
      </c>
      <c r="R1102" s="10" t="s">
        <v>5688</v>
      </c>
      <c r="S1102" s="5">
        <v>0</v>
      </c>
      <c r="T1102" s="37">
        <v>0</v>
      </c>
      <c r="U1102" s="5">
        <v>0</v>
      </c>
      <c r="V1102" s="37">
        <v>0</v>
      </c>
      <c r="W1102" s="5">
        <v>0</v>
      </c>
      <c r="X1102" s="5">
        <v>0</v>
      </c>
      <c r="Y1102" s="5">
        <v>0</v>
      </c>
      <c r="Z1102" s="37">
        <v>0</v>
      </c>
      <c r="AA1102" s="5">
        <v>0</v>
      </c>
      <c r="AB1102" s="5">
        <v>0</v>
      </c>
      <c r="AC1102" s="5">
        <v>0</v>
      </c>
      <c r="AD1102" s="5">
        <v>0</v>
      </c>
      <c r="AE1102" s="10" t="s">
        <v>50</v>
      </c>
      <c r="AF1102" s="10"/>
      <c r="AG1102" s="10" t="s">
        <v>114</v>
      </c>
      <c r="AH1102" s="10">
        <v>40708</v>
      </c>
      <c r="AI1102" s="5">
        <v>2</v>
      </c>
      <c r="AJ1102" s="10" t="s">
        <v>6156</v>
      </c>
      <c r="AK1102" s="10" t="s">
        <v>6157</v>
      </c>
    </row>
    <row r="1103" spans="1:37" ht="36.75" customHeight="1" x14ac:dyDescent="0.35">
      <c r="A1103" s="5"/>
      <c r="B1103" s="5" t="s">
        <v>37</v>
      </c>
      <c r="C1103" s="73" t="str">
        <f t="shared" si="17"/>
        <v>Closed</v>
      </c>
      <c r="D1103" s="45" t="s">
        <v>6158</v>
      </c>
      <c r="E1103" s="54" t="s">
        <v>6159</v>
      </c>
      <c r="F1103" s="5" t="s">
        <v>119</v>
      </c>
      <c r="G1103" s="10">
        <f>DATE(2011,6,9)</f>
        <v>40703</v>
      </c>
      <c r="H1103" s="35">
        <v>1.6111111111111112</v>
      </c>
      <c r="I1103" s="5" t="s">
        <v>67</v>
      </c>
      <c r="J1103" s="10" t="s">
        <v>6160</v>
      </c>
      <c r="K1103" s="5" t="s">
        <v>121</v>
      </c>
      <c r="L1103" s="5" t="s">
        <v>6161</v>
      </c>
      <c r="M1103" s="5" t="s">
        <v>110</v>
      </c>
      <c r="N1103" s="5" t="s">
        <v>80</v>
      </c>
      <c r="O1103" s="5" t="s">
        <v>59</v>
      </c>
      <c r="P1103" s="10" t="s">
        <v>146</v>
      </c>
      <c r="Q1103" s="10" t="s">
        <v>6162</v>
      </c>
      <c r="R1103" s="10" t="s">
        <v>166</v>
      </c>
      <c r="S1103" s="5">
        <v>0</v>
      </c>
      <c r="T1103" s="37">
        <v>0</v>
      </c>
      <c r="U1103" s="5">
        <v>0</v>
      </c>
      <c r="V1103" s="37">
        <v>0</v>
      </c>
      <c r="W1103" s="5">
        <v>0</v>
      </c>
      <c r="X1103" s="5">
        <v>0</v>
      </c>
      <c r="Y1103" s="5">
        <v>0</v>
      </c>
      <c r="Z1103" s="37">
        <v>0</v>
      </c>
      <c r="AA1103" s="5">
        <v>0</v>
      </c>
      <c r="AB1103" s="5">
        <v>0</v>
      </c>
      <c r="AC1103" s="5">
        <v>0</v>
      </c>
      <c r="AD1103" s="5">
        <v>0</v>
      </c>
      <c r="AE1103" s="10" t="s">
        <v>73</v>
      </c>
      <c r="AF1103" s="10"/>
      <c r="AG1103" s="10" t="s">
        <v>348</v>
      </c>
      <c r="AH1103" s="10">
        <v>40708</v>
      </c>
      <c r="AI1103" s="5">
        <v>1</v>
      </c>
      <c r="AJ1103" s="10" t="s">
        <v>6163</v>
      </c>
      <c r="AK1103" s="10" t="s">
        <v>6164</v>
      </c>
    </row>
    <row r="1104" spans="1:37" ht="36.75" customHeight="1" x14ac:dyDescent="0.35">
      <c r="A1104" s="5"/>
      <c r="B1104" s="5" t="s">
        <v>37</v>
      </c>
      <c r="C1104" s="73" t="str">
        <f t="shared" si="17"/>
        <v>Closed</v>
      </c>
      <c r="D1104" s="45" t="s">
        <v>6165</v>
      </c>
      <c r="E1104" s="54" t="s">
        <v>6166</v>
      </c>
      <c r="F1104" s="5" t="s">
        <v>619</v>
      </c>
      <c r="G1104" s="10">
        <f>DATE(2011,6,10)</f>
        <v>40704</v>
      </c>
      <c r="H1104" s="35">
        <v>1.4097222222222223</v>
      </c>
      <c r="I1104" s="5" t="s">
        <v>137</v>
      </c>
      <c r="J1104" s="10" t="s">
        <v>6167</v>
      </c>
      <c r="K1104" s="5" t="s">
        <v>621</v>
      </c>
      <c r="L1104" s="5" t="s">
        <v>6168</v>
      </c>
      <c r="M1104" s="5" t="s">
        <v>45</v>
      </c>
      <c r="N1104" s="5">
        <v>0</v>
      </c>
      <c r="O1104" s="5" t="s">
        <v>46</v>
      </c>
      <c r="P1104" s="10" t="s">
        <v>47</v>
      </c>
      <c r="Q1104" s="10" t="s">
        <v>623</v>
      </c>
      <c r="R1104" s="10" t="s">
        <v>624</v>
      </c>
      <c r="S1104" s="5">
        <v>0</v>
      </c>
      <c r="T1104" s="37" t="s">
        <v>50</v>
      </c>
      <c r="U1104" s="5">
        <v>0</v>
      </c>
      <c r="V1104" s="37" t="s">
        <v>50</v>
      </c>
      <c r="W1104" s="5">
        <v>0</v>
      </c>
      <c r="X1104" s="5">
        <v>0</v>
      </c>
      <c r="Y1104" s="5">
        <v>0</v>
      </c>
      <c r="Z1104" s="37" t="s">
        <v>50</v>
      </c>
      <c r="AA1104" s="5">
        <v>0</v>
      </c>
      <c r="AB1104" s="5">
        <v>0</v>
      </c>
      <c r="AC1104" s="5">
        <v>0</v>
      </c>
      <c r="AD1104" s="5">
        <v>0</v>
      </c>
      <c r="AE1104" s="10" t="s">
        <v>50</v>
      </c>
      <c r="AF1104" s="10"/>
      <c r="AG1104" s="10" t="s">
        <v>114</v>
      </c>
      <c r="AH1104" s="10" t="s">
        <v>50</v>
      </c>
      <c r="AI1104" s="5">
        <v>1</v>
      </c>
      <c r="AJ1104" s="10" t="s">
        <v>6169</v>
      </c>
      <c r="AK1104" s="10" t="s">
        <v>50</v>
      </c>
    </row>
    <row r="1105" spans="1:37" ht="36.75" customHeight="1" x14ac:dyDescent="0.35">
      <c r="A1105" s="5"/>
      <c r="B1105" s="5" t="s">
        <v>37</v>
      </c>
      <c r="C1105" s="73" t="str">
        <f t="shared" si="17"/>
        <v>Closed</v>
      </c>
      <c r="D1105" s="45" t="s">
        <v>6170</v>
      </c>
      <c r="E1105" s="54" t="s">
        <v>6171</v>
      </c>
      <c r="F1105" s="5" t="s">
        <v>214</v>
      </c>
      <c r="G1105" s="10">
        <f>DATE(2011,6,12)</f>
        <v>40706</v>
      </c>
      <c r="H1105" s="35">
        <v>1.2298611111111111</v>
      </c>
      <c r="I1105" s="5" t="s">
        <v>259</v>
      </c>
      <c r="J1105" s="10" t="s">
        <v>6172</v>
      </c>
      <c r="K1105" s="5" t="s">
        <v>216</v>
      </c>
      <c r="L1105" s="5" t="s">
        <v>6173</v>
      </c>
      <c r="M1105" s="5" t="s">
        <v>45</v>
      </c>
      <c r="N1105" s="5">
        <v>0</v>
      </c>
      <c r="O1105" s="5" t="s">
        <v>67</v>
      </c>
      <c r="P1105" s="10" t="s">
        <v>146</v>
      </c>
      <c r="Q1105" s="10" t="s">
        <v>1645</v>
      </c>
      <c r="R1105" s="10" t="s">
        <v>219</v>
      </c>
      <c r="S1105" s="5">
        <v>0</v>
      </c>
      <c r="T1105" s="37">
        <v>0</v>
      </c>
      <c r="U1105" s="5">
        <v>0</v>
      </c>
      <c r="V1105" s="37">
        <v>0</v>
      </c>
      <c r="W1105" s="5">
        <v>0</v>
      </c>
      <c r="X1105" s="5">
        <v>0</v>
      </c>
      <c r="Y1105" s="5">
        <v>0</v>
      </c>
      <c r="Z1105" s="37">
        <v>1</v>
      </c>
      <c r="AA1105" s="5">
        <v>0</v>
      </c>
      <c r="AB1105" s="5">
        <v>0</v>
      </c>
      <c r="AC1105" s="5">
        <v>0</v>
      </c>
      <c r="AD1105" s="5">
        <v>1</v>
      </c>
      <c r="AE1105" s="10" t="s">
        <v>50</v>
      </c>
      <c r="AF1105" s="10"/>
      <c r="AG1105" s="10" t="s">
        <v>114</v>
      </c>
      <c r="AH1105" s="10" t="s">
        <v>50</v>
      </c>
      <c r="AI1105" s="5">
        <v>1</v>
      </c>
      <c r="AJ1105" s="10" t="s">
        <v>6174</v>
      </c>
      <c r="AK1105" s="10" t="s">
        <v>6175</v>
      </c>
    </row>
    <row r="1106" spans="1:37" ht="36.75" customHeight="1" x14ac:dyDescent="0.35">
      <c r="A1106" s="5"/>
      <c r="B1106" s="5" t="s">
        <v>37</v>
      </c>
      <c r="C1106" s="73" t="str">
        <f t="shared" si="17"/>
        <v>Closed</v>
      </c>
      <c r="D1106" s="45" t="s">
        <v>6176</v>
      </c>
      <c r="E1106" s="54" t="s">
        <v>6177</v>
      </c>
      <c r="F1106" s="5" t="s">
        <v>178</v>
      </c>
      <c r="G1106" s="10">
        <f>DATE(2011,6,15)</f>
        <v>40709</v>
      </c>
      <c r="H1106" s="35">
        <v>1.4965277777777777</v>
      </c>
      <c r="I1106" s="5" t="s">
        <v>55</v>
      </c>
      <c r="J1106" s="10" t="s">
        <v>6178</v>
      </c>
      <c r="K1106" s="5" t="s">
        <v>181</v>
      </c>
      <c r="L1106" s="5" t="s">
        <v>6179</v>
      </c>
      <c r="M1106" s="5" t="s">
        <v>45</v>
      </c>
      <c r="N1106" s="5" t="s">
        <v>123</v>
      </c>
      <c r="O1106" s="5" t="s">
        <v>59</v>
      </c>
      <c r="P1106" s="10" t="s">
        <v>60</v>
      </c>
      <c r="Q1106" s="10" t="s">
        <v>6180</v>
      </c>
      <c r="R1106" s="10" t="s">
        <v>184</v>
      </c>
      <c r="S1106" s="5">
        <v>0</v>
      </c>
      <c r="T1106" s="37">
        <v>0</v>
      </c>
      <c r="U1106" s="5">
        <v>0</v>
      </c>
      <c r="V1106" s="37">
        <v>0</v>
      </c>
      <c r="W1106" s="5">
        <v>0</v>
      </c>
      <c r="X1106" s="5">
        <v>0</v>
      </c>
      <c r="Y1106" s="5">
        <v>0</v>
      </c>
      <c r="Z1106" s="37">
        <v>0</v>
      </c>
      <c r="AA1106" s="5">
        <v>0</v>
      </c>
      <c r="AB1106" s="5">
        <v>0</v>
      </c>
      <c r="AC1106" s="5">
        <v>0</v>
      </c>
      <c r="AD1106" s="5">
        <v>0</v>
      </c>
      <c r="AE1106" s="10" t="s">
        <v>50</v>
      </c>
      <c r="AF1106" s="10"/>
      <c r="AG1106" s="10" t="s">
        <v>333</v>
      </c>
      <c r="AH1106" s="10">
        <v>40709</v>
      </c>
      <c r="AI1106" s="5">
        <v>4</v>
      </c>
      <c r="AJ1106" s="10" t="s">
        <v>6181</v>
      </c>
      <c r="AK1106" s="10" t="s">
        <v>1215</v>
      </c>
    </row>
    <row r="1107" spans="1:37" ht="36.75" customHeight="1" x14ac:dyDescent="0.35">
      <c r="A1107" s="5"/>
      <c r="B1107" s="5" t="s">
        <v>37</v>
      </c>
      <c r="C1107" s="73" t="str">
        <f t="shared" si="17"/>
        <v>Closed</v>
      </c>
      <c r="D1107" s="45" t="s">
        <v>6182</v>
      </c>
      <c r="E1107" s="54" t="s">
        <v>6183</v>
      </c>
      <c r="F1107" s="5" t="s">
        <v>105</v>
      </c>
      <c r="G1107" s="10">
        <f>DATE(2011,6,16)</f>
        <v>40710</v>
      </c>
      <c r="H1107" s="35">
        <v>1.4215277777777777</v>
      </c>
      <c r="I1107" s="5" t="s">
        <v>106</v>
      </c>
      <c r="J1107" s="10" t="s">
        <v>6184</v>
      </c>
      <c r="K1107" s="5" t="s">
        <v>108</v>
      </c>
      <c r="L1107" s="5" t="s">
        <v>6185</v>
      </c>
      <c r="M1107" s="5" t="s">
        <v>45</v>
      </c>
      <c r="N1107" s="5">
        <v>0</v>
      </c>
      <c r="O1107" s="5" t="s">
        <v>59</v>
      </c>
      <c r="P1107" s="10" t="s">
        <v>47</v>
      </c>
      <c r="Q1107" s="10" t="s">
        <v>210</v>
      </c>
      <c r="R1107" s="10" t="s">
        <v>148</v>
      </c>
      <c r="S1107" s="5">
        <v>0</v>
      </c>
      <c r="T1107" s="37" t="s">
        <v>50</v>
      </c>
      <c r="U1107" s="5">
        <v>0</v>
      </c>
      <c r="V1107" s="37" t="s">
        <v>50</v>
      </c>
      <c r="W1107" s="5">
        <v>0</v>
      </c>
      <c r="X1107" s="5">
        <v>0</v>
      </c>
      <c r="Y1107" s="5">
        <v>0</v>
      </c>
      <c r="Z1107" s="37" t="s">
        <v>50</v>
      </c>
      <c r="AA1107" s="5">
        <v>0</v>
      </c>
      <c r="AB1107" s="5">
        <v>0</v>
      </c>
      <c r="AC1107" s="5">
        <v>0</v>
      </c>
      <c r="AD1107" s="5">
        <v>0</v>
      </c>
      <c r="AE1107" s="10" t="s">
        <v>50</v>
      </c>
      <c r="AF1107" s="10"/>
      <c r="AG1107" s="10" t="s">
        <v>64</v>
      </c>
      <c r="AH1107" s="10" t="s">
        <v>50</v>
      </c>
      <c r="AI1107" s="5">
        <v>2</v>
      </c>
      <c r="AJ1107" s="10" t="s">
        <v>50</v>
      </c>
      <c r="AK1107" s="10" t="s">
        <v>50</v>
      </c>
    </row>
    <row r="1108" spans="1:37" ht="36.75" customHeight="1" x14ac:dyDescent="0.35">
      <c r="A1108" s="5"/>
      <c r="B1108" s="5" t="s">
        <v>37</v>
      </c>
      <c r="C1108" s="73" t="str">
        <f t="shared" si="17"/>
        <v>Closed</v>
      </c>
      <c r="D1108" s="45" t="s">
        <v>6186</v>
      </c>
      <c r="E1108" s="54" t="s">
        <v>6187</v>
      </c>
      <c r="F1108" s="5" t="s">
        <v>178</v>
      </c>
      <c r="G1108" s="10">
        <f>DATE(2011,6,18)</f>
        <v>40712</v>
      </c>
      <c r="H1108" s="35">
        <v>1.776388888888889</v>
      </c>
      <c r="I1108" s="5" t="s">
        <v>137</v>
      </c>
      <c r="J1108" s="10" t="s">
        <v>6188</v>
      </c>
      <c r="K1108" s="5" t="s">
        <v>181</v>
      </c>
      <c r="L1108" s="5" t="s">
        <v>6189</v>
      </c>
      <c r="M1108" s="5" t="s">
        <v>45</v>
      </c>
      <c r="N1108" s="5">
        <v>0</v>
      </c>
      <c r="O1108" s="5" t="s">
        <v>59</v>
      </c>
      <c r="P1108" s="10" t="s">
        <v>47</v>
      </c>
      <c r="Q1108" s="10" t="s">
        <v>183</v>
      </c>
      <c r="R1108" s="10" t="s">
        <v>184</v>
      </c>
      <c r="S1108" s="5">
        <v>0</v>
      </c>
      <c r="T1108" s="37">
        <v>0</v>
      </c>
      <c r="U1108" s="5">
        <v>0</v>
      </c>
      <c r="V1108" s="37">
        <v>0</v>
      </c>
      <c r="W1108" s="5">
        <v>0</v>
      </c>
      <c r="X1108" s="5">
        <v>0</v>
      </c>
      <c r="Y1108" s="5">
        <v>0</v>
      </c>
      <c r="Z1108" s="37">
        <v>0</v>
      </c>
      <c r="AA1108" s="5">
        <v>0</v>
      </c>
      <c r="AB1108" s="5">
        <v>0</v>
      </c>
      <c r="AC1108" s="5">
        <v>0</v>
      </c>
      <c r="AD1108" s="5">
        <v>0</v>
      </c>
      <c r="AE1108" s="10" t="s">
        <v>50</v>
      </c>
      <c r="AF1108" s="10"/>
      <c r="AG1108" s="10" t="s">
        <v>114</v>
      </c>
      <c r="AH1108" s="10" t="s">
        <v>50</v>
      </c>
      <c r="AI1108" s="5">
        <v>2</v>
      </c>
      <c r="AJ1108" s="10" t="s">
        <v>6190</v>
      </c>
      <c r="AK1108" s="10" t="s">
        <v>50</v>
      </c>
    </row>
    <row r="1109" spans="1:37" ht="36.75" customHeight="1" x14ac:dyDescent="0.35">
      <c r="A1109" s="5"/>
      <c r="B1109" s="5" t="s">
        <v>37</v>
      </c>
      <c r="C1109" s="73" t="str">
        <f t="shared" si="17"/>
        <v>Closed</v>
      </c>
      <c r="D1109" s="45" t="s">
        <v>6191</v>
      </c>
      <c r="E1109" s="54" t="s">
        <v>6192</v>
      </c>
      <c r="F1109" s="5" t="s">
        <v>1553</v>
      </c>
      <c r="G1109" s="10">
        <f>DATE(2011,6,19)</f>
        <v>40713</v>
      </c>
      <c r="H1109" s="35">
        <v>1.4694444444444446</v>
      </c>
      <c r="I1109" s="5" t="s">
        <v>55</v>
      </c>
      <c r="J1109" s="10" t="s">
        <v>6193</v>
      </c>
      <c r="K1109" s="5" t="s">
        <v>1555</v>
      </c>
      <c r="L1109" s="5" t="s">
        <v>6194</v>
      </c>
      <c r="M1109" s="5" t="s">
        <v>45</v>
      </c>
      <c r="N1109" s="5" t="s">
        <v>123</v>
      </c>
      <c r="O1109" s="5" t="s">
        <v>46</v>
      </c>
      <c r="P1109" s="10" t="s">
        <v>60</v>
      </c>
      <c r="Q1109" s="10" t="s">
        <v>2635</v>
      </c>
      <c r="R1109" s="10">
        <v>0</v>
      </c>
      <c r="S1109" s="5">
        <v>0</v>
      </c>
      <c r="T1109" s="37">
        <v>0</v>
      </c>
      <c r="U1109" s="5">
        <v>0</v>
      </c>
      <c r="V1109" s="37">
        <v>0</v>
      </c>
      <c r="W1109" s="5">
        <v>0</v>
      </c>
      <c r="X1109" s="5">
        <v>0</v>
      </c>
      <c r="Y1109" s="5">
        <v>0</v>
      </c>
      <c r="Z1109" s="37">
        <v>0</v>
      </c>
      <c r="AA1109" s="5">
        <v>0</v>
      </c>
      <c r="AB1109" s="5">
        <v>0</v>
      </c>
      <c r="AC1109" s="5">
        <v>0</v>
      </c>
      <c r="AD1109" s="5">
        <v>0</v>
      </c>
      <c r="AE1109" s="10" t="s">
        <v>73</v>
      </c>
      <c r="AF1109" s="10"/>
      <c r="AG1109" s="10" t="s">
        <v>114</v>
      </c>
      <c r="AH1109" s="10">
        <v>40714</v>
      </c>
      <c r="AI1109" s="5">
        <v>0</v>
      </c>
      <c r="AJ1109" s="10" t="s">
        <v>6195</v>
      </c>
      <c r="AK1109" s="10" t="s">
        <v>6196</v>
      </c>
    </row>
    <row r="1110" spans="1:37" ht="36.75" customHeight="1" x14ac:dyDescent="0.35">
      <c r="A1110" s="5"/>
      <c r="B1110" s="5" t="s">
        <v>37</v>
      </c>
      <c r="C1110" s="73" t="str">
        <f t="shared" si="17"/>
        <v>Closed</v>
      </c>
      <c r="D1110" s="45" t="s">
        <v>6197</v>
      </c>
      <c r="E1110" s="54" t="s">
        <v>6198</v>
      </c>
      <c r="F1110" s="5" t="s">
        <v>214</v>
      </c>
      <c r="G1110" s="10">
        <f>DATE(2011,6,19)</f>
        <v>40713</v>
      </c>
      <c r="H1110" s="35">
        <v>1.9131944444444446</v>
      </c>
      <c r="I1110" s="5" t="s">
        <v>67</v>
      </c>
      <c r="J1110" s="10" t="s">
        <v>6199</v>
      </c>
      <c r="K1110" s="5" t="s">
        <v>216</v>
      </c>
      <c r="L1110" s="5" t="s">
        <v>6200</v>
      </c>
      <c r="M1110" s="5" t="s">
        <v>45</v>
      </c>
      <c r="N1110" s="5">
        <v>0</v>
      </c>
      <c r="O1110" s="5" t="s">
        <v>46</v>
      </c>
      <c r="P1110" s="10" t="s">
        <v>146</v>
      </c>
      <c r="Q1110" s="10" t="s">
        <v>2154</v>
      </c>
      <c r="R1110" s="10" t="s">
        <v>219</v>
      </c>
      <c r="S1110" s="5">
        <v>0</v>
      </c>
      <c r="T1110" s="37" t="s">
        <v>50</v>
      </c>
      <c r="U1110" s="5">
        <v>0</v>
      </c>
      <c r="V1110" s="37" t="s">
        <v>50</v>
      </c>
      <c r="W1110" s="5">
        <v>0</v>
      </c>
      <c r="X1110" s="5">
        <v>0</v>
      </c>
      <c r="Y1110" s="5">
        <v>0</v>
      </c>
      <c r="Z1110" s="37" t="s">
        <v>50</v>
      </c>
      <c r="AA1110" s="5">
        <v>0</v>
      </c>
      <c r="AB1110" s="5">
        <v>0</v>
      </c>
      <c r="AC1110" s="5">
        <v>0</v>
      </c>
      <c r="AD1110" s="5">
        <v>0</v>
      </c>
      <c r="AE1110" s="10" t="s">
        <v>50</v>
      </c>
      <c r="AF1110" s="10"/>
      <c r="AG1110" s="10" t="s">
        <v>114</v>
      </c>
      <c r="AH1110" s="10" t="s">
        <v>50</v>
      </c>
      <c r="AI1110" s="5">
        <v>6</v>
      </c>
      <c r="AJ1110" s="10" t="s">
        <v>6201</v>
      </c>
      <c r="AK1110" s="10" t="s">
        <v>6202</v>
      </c>
    </row>
    <row r="1111" spans="1:37" ht="36.75" customHeight="1" x14ac:dyDescent="0.35">
      <c r="A1111" s="5"/>
      <c r="B1111" s="5" t="s">
        <v>37</v>
      </c>
      <c r="C1111" s="73" t="str">
        <f t="shared" si="17"/>
        <v>Closed</v>
      </c>
      <c r="D1111" s="45" t="s">
        <v>6203</v>
      </c>
      <c r="E1111" s="54" t="s">
        <v>6204</v>
      </c>
      <c r="F1111" s="5" t="s">
        <v>178</v>
      </c>
      <c r="G1111" s="10">
        <f>DATE(2011,6,20)</f>
        <v>40714</v>
      </c>
      <c r="H1111" s="35">
        <v>1.7430555555555554</v>
      </c>
      <c r="I1111" s="5" t="s">
        <v>55</v>
      </c>
      <c r="J1111" s="10" t="s">
        <v>6205</v>
      </c>
      <c r="K1111" s="5" t="s">
        <v>181</v>
      </c>
      <c r="L1111" s="5" t="s">
        <v>6206</v>
      </c>
      <c r="M1111" s="5" t="s">
        <v>45</v>
      </c>
      <c r="N1111" s="5" t="s">
        <v>123</v>
      </c>
      <c r="O1111" s="5" t="s">
        <v>59</v>
      </c>
      <c r="P1111" s="10" t="s">
        <v>60</v>
      </c>
      <c r="Q1111" s="10" t="s">
        <v>1697</v>
      </c>
      <c r="R1111" s="10" t="s">
        <v>184</v>
      </c>
      <c r="S1111" s="5">
        <v>0</v>
      </c>
      <c r="T1111" s="37">
        <v>0</v>
      </c>
      <c r="U1111" s="5">
        <v>0</v>
      </c>
      <c r="V1111" s="37">
        <v>0</v>
      </c>
      <c r="W1111" s="5">
        <v>0</v>
      </c>
      <c r="X1111" s="5">
        <v>0</v>
      </c>
      <c r="Y1111" s="5">
        <v>0</v>
      </c>
      <c r="Z1111" s="37">
        <v>0</v>
      </c>
      <c r="AA1111" s="5">
        <v>0</v>
      </c>
      <c r="AB1111" s="5">
        <v>0</v>
      </c>
      <c r="AC1111" s="5">
        <v>0</v>
      </c>
      <c r="AD1111" s="5">
        <v>0</v>
      </c>
      <c r="AE1111" s="10" t="s">
        <v>375</v>
      </c>
      <c r="AF1111" s="10"/>
      <c r="AG1111" s="10" t="s">
        <v>1439</v>
      </c>
      <c r="AH1111" s="10">
        <v>40714</v>
      </c>
      <c r="AI1111" s="5">
        <v>7</v>
      </c>
      <c r="AJ1111" s="10" t="s">
        <v>6207</v>
      </c>
      <c r="AK1111" s="10" t="s">
        <v>1215</v>
      </c>
    </row>
    <row r="1112" spans="1:37" ht="36.75" customHeight="1" x14ac:dyDescent="0.35">
      <c r="A1112" s="5"/>
      <c r="B1112" s="5" t="s">
        <v>37</v>
      </c>
      <c r="C1112" s="73" t="str">
        <f t="shared" si="17"/>
        <v>Closed</v>
      </c>
      <c r="D1112" s="45" t="s">
        <v>6208</v>
      </c>
      <c r="E1112" s="54" t="s">
        <v>6209</v>
      </c>
      <c r="F1112" s="5" t="s">
        <v>178</v>
      </c>
      <c r="G1112" s="10">
        <f>DATE(2011,6,20)</f>
        <v>40714</v>
      </c>
      <c r="H1112" s="35">
        <v>1.6291666666666667</v>
      </c>
      <c r="I1112" s="5" t="s">
        <v>259</v>
      </c>
      <c r="J1112" s="10" t="s">
        <v>6210</v>
      </c>
      <c r="K1112" s="5" t="s">
        <v>181</v>
      </c>
      <c r="L1112" s="5" t="s">
        <v>6211</v>
      </c>
      <c r="M1112" s="5" t="s">
        <v>45</v>
      </c>
      <c r="N1112" s="5" t="s">
        <v>123</v>
      </c>
      <c r="O1112" s="5" t="s">
        <v>59</v>
      </c>
      <c r="P1112" s="10" t="s">
        <v>72</v>
      </c>
      <c r="Q1112" s="10" t="s">
        <v>183</v>
      </c>
      <c r="R1112" s="10" t="s">
        <v>184</v>
      </c>
      <c r="S1112" s="5">
        <v>0</v>
      </c>
      <c r="T1112" s="37">
        <v>0</v>
      </c>
      <c r="U1112" s="5">
        <v>0</v>
      </c>
      <c r="V1112" s="37">
        <v>0</v>
      </c>
      <c r="W1112" s="5">
        <v>0</v>
      </c>
      <c r="X1112" s="5">
        <v>0</v>
      </c>
      <c r="Y1112" s="5">
        <v>0</v>
      </c>
      <c r="Z1112" s="37">
        <v>1</v>
      </c>
      <c r="AA1112" s="5">
        <v>0</v>
      </c>
      <c r="AB1112" s="5">
        <v>0</v>
      </c>
      <c r="AC1112" s="5">
        <v>0</v>
      </c>
      <c r="AD1112" s="5">
        <v>1</v>
      </c>
      <c r="AE1112" s="10" t="s">
        <v>50</v>
      </c>
      <c r="AF1112" s="10"/>
      <c r="AG1112" s="10" t="s">
        <v>114</v>
      </c>
      <c r="AH1112" s="10">
        <v>40716</v>
      </c>
      <c r="AI1112" s="5">
        <v>2</v>
      </c>
      <c r="AJ1112" s="10" t="s">
        <v>6212</v>
      </c>
      <c r="AK1112" s="10" t="s">
        <v>1215</v>
      </c>
    </row>
    <row r="1113" spans="1:37" ht="36.75" customHeight="1" x14ac:dyDescent="0.35">
      <c r="A1113" s="5"/>
      <c r="B1113" s="5" t="s">
        <v>37</v>
      </c>
      <c r="C1113" s="73" t="str">
        <f t="shared" si="17"/>
        <v>Closed</v>
      </c>
      <c r="D1113" s="45" t="s">
        <v>6213</v>
      </c>
      <c r="E1113" s="54" t="s">
        <v>6214</v>
      </c>
      <c r="F1113" s="5" t="s">
        <v>816</v>
      </c>
      <c r="G1113" s="10">
        <f>DATE(2011,6,20)</f>
        <v>40714</v>
      </c>
      <c r="H1113" s="35">
        <v>1.7881944444444446</v>
      </c>
      <c r="I1113" s="5" t="s">
        <v>97</v>
      </c>
      <c r="J1113" s="10" t="s">
        <v>6215</v>
      </c>
      <c r="K1113" s="5" t="s">
        <v>818</v>
      </c>
      <c r="L1113" s="5" t="s">
        <v>6216</v>
      </c>
      <c r="M1113" s="5" t="s">
        <v>45</v>
      </c>
      <c r="N1113" s="5">
        <v>0</v>
      </c>
      <c r="O1113" s="5" t="s">
        <v>46</v>
      </c>
      <c r="P1113" s="10" t="s">
        <v>146</v>
      </c>
      <c r="Q1113" s="10" t="s">
        <v>2142</v>
      </c>
      <c r="R1113" s="10" t="s">
        <v>821</v>
      </c>
      <c r="S1113" s="5">
        <v>0</v>
      </c>
      <c r="T1113" s="37">
        <v>0</v>
      </c>
      <c r="U1113" s="5">
        <v>2</v>
      </c>
      <c r="V1113" s="37">
        <v>0</v>
      </c>
      <c r="W1113" s="5">
        <v>0</v>
      </c>
      <c r="X1113" s="5">
        <v>2</v>
      </c>
      <c r="Y1113" s="5">
        <v>0</v>
      </c>
      <c r="Z1113" s="37">
        <v>0</v>
      </c>
      <c r="AA1113" s="5">
        <v>0</v>
      </c>
      <c r="AB1113" s="5">
        <v>0</v>
      </c>
      <c r="AC1113" s="5">
        <v>0</v>
      </c>
      <c r="AD1113" s="5">
        <v>0</v>
      </c>
      <c r="AE1113" s="10" t="s">
        <v>50</v>
      </c>
      <c r="AF1113" s="10"/>
      <c r="AG1113" s="10" t="s">
        <v>333</v>
      </c>
      <c r="AH1113" s="10" t="s">
        <v>50</v>
      </c>
      <c r="AI1113" s="5">
        <v>1</v>
      </c>
      <c r="AJ1113" s="10" t="s">
        <v>50</v>
      </c>
      <c r="AK1113" s="10" t="s">
        <v>50</v>
      </c>
    </row>
    <row r="1114" spans="1:37" ht="36.75" customHeight="1" x14ac:dyDescent="0.35">
      <c r="A1114" s="5"/>
      <c r="B1114" s="5" t="s">
        <v>37</v>
      </c>
      <c r="C1114" s="73" t="str">
        <f t="shared" si="17"/>
        <v>Closed</v>
      </c>
      <c r="D1114" s="45" t="s">
        <v>6217</v>
      </c>
      <c r="E1114" s="54" t="s">
        <v>6218</v>
      </c>
      <c r="F1114" s="5" t="s">
        <v>105</v>
      </c>
      <c r="G1114" s="10">
        <f>DATE(2011,6,20)</f>
        <v>40714</v>
      </c>
      <c r="H1114" s="35">
        <v>1.4027777777777777</v>
      </c>
      <c r="I1114" s="5" t="s">
        <v>179</v>
      </c>
      <c r="J1114" s="10" t="s">
        <v>6219</v>
      </c>
      <c r="K1114" s="5" t="s">
        <v>108</v>
      </c>
      <c r="L1114" s="5" t="s">
        <v>6220</v>
      </c>
      <c r="M1114" s="5" t="s">
        <v>45</v>
      </c>
      <c r="N1114" s="5">
        <v>0</v>
      </c>
      <c r="O1114" s="5" t="s">
        <v>59</v>
      </c>
      <c r="P1114" s="10" t="s">
        <v>282</v>
      </c>
      <c r="Q1114" s="10" t="s">
        <v>6221</v>
      </c>
      <c r="R1114" s="10" t="s">
        <v>148</v>
      </c>
      <c r="S1114" s="5">
        <v>0</v>
      </c>
      <c r="T1114" s="37" t="s">
        <v>50</v>
      </c>
      <c r="U1114" s="5">
        <v>0</v>
      </c>
      <c r="V1114" s="37" t="s">
        <v>50</v>
      </c>
      <c r="W1114" s="5">
        <v>0</v>
      </c>
      <c r="X1114" s="5">
        <v>0</v>
      </c>
      <c r="Y1114" s="5">
        <v>0</v>
      </c>
      <c r="Z1114" s="37" t="s">
        <v>50</v>
      </c>
      <c r="AA1114" s="5">
        <v>0</v>
      </c>
      <c r="AB1114" s="5">
        <v>0</v>
      </c>
      <c r="AC1114" s="5">
        <v>0</v>
      </c>
      <c r="AD1114" s="5">
        <v>0</v>
      </c>
      <c r="AE1114" s="10" t="s">
        <v>50</v>
      </c>
      <c r="AF1114" s="10"/>
      <c r="AG1114" s="10" t="s">
        <v>64</v>
      </c>
      <c r="AH1114" s="10" t="s">
        <v>50</v>
      </c>
      <c r="AI1114" s="5">
        <v>1</v>
      </c>
      <c r="AJ1114" s="10" t="s">
        <v>50</v>
      </c>
      <c r="AK1114" s="10" t="s">
        <v>50</v>
      </c>
    </row>
    <row r="1115" spans="1:37" ht="36.75" customHeight="1" x14ac:dyDescent="0.35">
      <c r="A1115" s="5"/>
      <c r="B1115" s="5" t="s">
        <v>37</v>
      </c>
      <c r="C1115" s="73" t="str">
        <f t="shared" si="17"/>
        <v>Closed</v>
      </c>
      <c r="D1115" s="45" t="s">
        <v>6222</v>
      </c>
      <c r="E1115" s="54" t="s">
        <v>6223</v>
      </c>
      <c r="F1115" s="5" t="s">
        <v>404</v>
      </c>
      <c r="G1115" s="10">
        <f>DATE(2011,6,22)</f>
        <v>40716</v>
      </c>
      <c r="H1115" s="35">
        <v>1.7124999999999999</v>
      </c>
      <c r="I1115" s="5" t="s">
        <v>137</v>
      </c>
      <c r="J1115" s="10" t="s">
        <v>6224</v>
      </c>
      <c r="K1115" s="5" t="s">
        <v>406</v>
      </c>
      <c r="L1115" s="5" t="s">
        <v>6225</v>
      </c>
      <c r="M1115" s="5" t="s">
        <v>45</v>
      </c>
      <c r="N1115" s="5">
        <v>0</v>
      </c>
      <c r="O1115" s="5" t="s">
        <v>59</v>
      </c>
      <c r="P1115" s="10" t="s">
        <v>146</v>
      </c>
      <c r="Q1115" s="10" t="s">
        <v>6226</v>
      </c>
      <c r="R1115" s="10" t="s">
        <v>6227</v>
      </c>
      <c r="S1115" s="5">
        <v>0</v>
      </c>
      <c r="T1115" s="37" t="s">
        <v>50</v>
      </c>
      <c r="U1115" s="5">
        <v>0</v>
      </c>
      <c r="V1115" s="37" t="s">
        <v>50</v>
      </c>
      <c r="W1115" s="5">
        <v>0</v>
      </c>
      <c r="X1115" s="5">
        <v>0</v>
      </c>
      <c r="Y1115" s="5">
        <v>0</v>
      </c>
      <c r="Z1115" s="37" t="s">
        <v>50</v>
      </c>
      <c r="AA1115" s="5">
        <v>0</v>
      </c>
      <c r="AB1115" s="5">
        <v>0</v>
      </c>
      <c r="AC1115" s="5">
        <v>0</v>
      </c>
      <c r="AD1115" s="5">
        <v>0</v>
      </c>
      <c r="AE1115" s="10" t="s">
        <v>50</v>
      </c>
      <c r="AF1115" s="10"/>
      <c r="AG1115" s="10" t="s">
        <v>114</v>
      </c>
      <c r="AH1115" s="10" t="s">
        <v>50</v>
      </c>
      <c r="AI1115" s="5">
        <v>0</v>
      </c>
      <c r="AJ1115" s="10" t="s">
        <v>50</v>
      </c>
      <c r="AK1115" s="10" t="s">
        <v>6228</v>
      </c>
    </row>
    <row r="1116" spans="1:37" ht="36.75" customHeight="1" x14ac:dyDescent="0.35">
      <c r="A1116" s="5"/>
      <c r="B1116" s="5" t="s">
        <v>887</v>
      </c>
      <c r="C1116" s="73" t="str">
        <f t="shared" si="17"/>
        <v>Open</v>
      </c>
      <c r="D1116" s="45" t="s">
        <v>6229</v>
      </c>
      <c r="E1116" s="54" t="s">
        <v>6230</v>
      </c>
      <c r="F1116" s="5" t="s">
        <v>3128</v>
      </c>
      <c r="G1116" s="10">
        <f>DATE(2011,6,24)</f>
        <v>40718</v>
      </c>
      <c r="H1116" s="35">
        <v>1.5506944444444444</v>
      </c>
      <c r="I1116" s="5" t="s">
        <v>97</v>
      </c>
      <c r="J1116" s="10" t="s">
        <v>6231</v>
      </c>
      <c r="K1116" s="5" t="s">
        <v>3130</v>
      </c>
      <c r="L1116" s="5" t="s">
        <v>6232</v>
      </c>
      <c r="M1116" s="5" t="s">
        <v>45</v>
      </c>
      <c r="N1116" s="5">
        <v>0</v>
      </c>
      <c r="O1116" s="5" t="s">
        <v>46</v>
      </c>
      <c r="P1116" s="10" t="s">
        <v>60</v>
      </c>
      <c r="Q1116" s="10" t="s">
        <v>4509</v>
      </c>
      <c r="R1116" s="10" t="s">
        <v>3133</v>
      </c>
      <c r="S1116" s="5">
        <v>0</v>
      </c>
      <c r="T1116" s="37" t="s">
        <v>50</v>
      </c>
      <c r="U1116" s="5">
        <v>1</v>
      </c>
      <c r="V1116" s="37" t="s">
        <v>50</v>
      </c>
      <c r="W1116" s="5">
        <v>0</v>
      </c>
      <c r="X1116" s="5">
        <v>1</v>
      </c>
      <c r="Y1116" s="5">
        <v>0</v>
      </c>
      <c r="Z1116" s="37" t="s">
        <v>50</v>
      </c>
      <c r="AA1116" s="5">
        <v>0</v>
      </c>
      <c r="AB1116" s="5">
        <v>0</v>
      </c>
      <c r="AC1116" s="5">
        <v>0</v>
      </c>
      <c r="AD1116" s="5">
        <v>0</v>
      </c>
      <c r="AE1116" s="10" t="s">
        <v>50</v>
      </c>
      <c r="AF1116" s="10"/>
      <c r="AG1116" s="10" t="s">
        <v>114</v>
      </c>
      <c r="AH1116" s="10" t="s">
        <v>50</v>
      </c>
      <c r="AI1116" s="5">
        <v>0</v>
      </c>
      <c r="AJ1116" s="10" t="s">
        <v>50</v>
      </c>
      <c r="AK1116" s="10" t="s">
        <v>50</v>
      </c>
    </row>
    <row r="1117" spans="1:37" ht="36.75" customHeight="1" x14ac:dyDescent="0.35">
      <c r="A1117" s="5"/>
      <c r="B1117" s="5" t="s">
        <v>37</v>
      </c>
      <c r="C1117" s="73" t="str">
        <f t="shared" si="17"/>
        <v>Closed</v>
      </c>
      <c r="D1117" s="45" t="s">
        <v>6233</v>
      </c>
      <c r="E1117" s="54" t="s">
        <v>6234</v>
      </c>
      <c r="F1117" s="5" t="s">
        <v>1751</v>
      </c>
      <c r="G1117" s="10">
        <f>DATE(2011,6,30)</f>
        <v>40724</v>
      </c>
      <c r="H1117" s="35">
        <v>1.6486111111111112</v>
      </c>
      <c r="I1117" s="5" t="s">
        <v>85</v>
      </c>
      <c r="J1117" s="10" t="s">
        <v>6235</v>
      </c>
      <c r="K1117" s="5" t="s">
        <v>1753</v>
      </c>
      <c r="L1117" s="5" t="s">
        <v>6236</v>
      </c>
      <c r="M1117" s="5" t="s">
        <v>45</v>
      </c>
      <c r="N1117" s="5" t="s">
        <v>70</v>
      </c>
      <c r="O1117" s="5" t="s">
        <v>71</v>
      </c>
      <c r="P1117" s="10" t="s">
        <v>362</v>
      </c>
      <c r="Q1117" s="10" t="s">
        <v>1755</v>
      </c>
      <c r="R1117" s="10" t="s">
        <v>1756</v>
      </c>
      <c r="S1117" s="5">
        <v>0</v>
      </c>
      <c r="T1117" s="37">
        <v>0</v>
      </c>
      <c r="U1117" s="5">
        <v>0</v>
      </c>
      <c r="V1117" s="37">
        <v>0</v>
      </c>
      <c r="W1117" s="5">
        <v>0</v>
      </c>
      <c r="X1117" s="5">
        <v>0</v>
      </c>
      <c r="Y1117" s="5">
        <v>0</v>
      </c>
      <c r="Z1117" s="37">
        <v>0</v>
      </c>
      <c r="AA1117" s="5">
        <v>0</v>
      </c>
      <c r="AB1117" s="5">
        <v>0</v>
      </c>
      <c r="AC1117" s="5">
        <v>0</v>
      </c>
      <c r="AD1117" s="5">
        <v>0</v>
      </c>
      <c r="AE1117" s="10" t="s">
        <v>73</v>
      </c>
      <c r="AF1117" s="10"/>
      <c r="AG1117" s="10" t="s">
        <v>114</v>
      </c>
      <c r="AH1117" s="10">
        <v>40728</v>
      </c>
      <c r="AI1117" s="5">
        <v>3</v>
      </c>
      <c r="AJ1117" s="10" t="s">
        <v>4590</v>
      </c>
      <c r="AK1117" s="10" t="s">
        <v>50</v>
      </c>
    </row>
    <row r="1118" spans="1:37" ht="36.75" customHeight="1" x14ac:dyDescent="0.35">
      <c r="A1118" s="5"/>
      <c r="B1118" s="5" t="s">
        <v>37</v>
      </c>
      <c r="C1118" s="73" t="str">
        <f t="shared" si="17"/>
        <v>Closed</v>
      </c>
      <c r="D1118" s="45" t="s">
        <v>6237</v>
      </c>
      <c r="E1118" s="54" t="s">
        <v>6238</v>
      </c>
      <c r="F1118" s="5" t="s">
        <v>619</v>
      </c>
      <c r="G1118" s="10">
        <f>DATE(2011,6,30)</f>
        <v>40724</v>
      </c>
      <c r="H1118" s="35">
        <v>1.4986111111111111</v>
      </c>
      <c r="I1118" s="5" t="s">
        <v>55</v>
      </c>
      <c r="J1118" s="10" t="s">
        <v>6239</v>
      </c>
      <c r="K1118" s="5" t="s">
        <v>621</v>
      </c>
      <c r="L1118" s="5" t="s">
        <v>6240</v>
      </c>
      <c r="M1118" s="5" t="s">
        <v>45</v>
      </c>
      <c r="N1118" s="5">
        <v>0</v>
      </c>
      <c r="O1118" s="5" t="s">
        <v>46</v>
      </c>
      <c r="P1118" s="10" t="s">
        <v>67</v>
      </c>
      <c r="Q1118" s="10" t="s">
        <v>623</v>
      </c>
      <c r="R1118" s="10" t="s">
        <v>624</v>
      </c>
      <c r="S1118" s="5">
        <v>0</v>
      </c>
      <c r="T1118" s="37" t="s">
        <v>50</v>
      </c>
      <c r="U1118" s="5">
        <v>0</v>
      </c>
      <c r="V1118" s="37" t="s">
        <v>50</v>
      </c>
      <c r="W1118" s="5">
        <v>0</v>
      </c>
      <c r="X1118" s="5">
        <v>0</v>
      </c>
      <c r="Y1118" s="5">
        <v>0</v>
      </c>
      <c r="Z1118" s="37" t="s">
        <v>50</v>
      </c>
      <c r="AA1118" s="5">
        <v>0</v>
      </c>
      <c r="AB1118" s="5">
        <v>0</v>
      </c>
      <c r="AC1118" s="5">
        <v>0</v>
      </c>
      <c r="AD1118" s="5">
        <v>0</v>
      </c>
      <c r="AE1118" s="10" t="s">
        <v>50</v>
      </c>
      <c r="AF1118" s="10"/>
      <c r="AG1118" s="10" t="s">
        <v>333</v>
      </c>
      <c r="AH1118" s="10" t="s">
        <v>50</v>
      </c>
      <c r="AI1118" s="5">
        <v>1</v>
      </c>
      <c r="AJ1118" s="10" t="s">
        <v>6241</v>
      </c>
      <c r="AK1118" s="10" t="s">
        <v>50</v>
      </c>
    </row>
    <row r="1119" spans="1:37" ht="36.75" customHeight="1" x14ac:dyDescent="0.35">
      <c r="A1119" s="5"/>
      <c r="B1119" s="5" t="s">
        <v>37</v>
      </c>
      <c r="C1119" s="73" t="str">
        <f t="shared" si="17"/>
        <v>Closed</v>
      </c>
      <c r="D1119" s="45" t="s">
        <v>6242</v>
      </c>
      <c r="E1119" s="54" t="s">
        <v>6243</v>
      </c>
      <c r="F1119" s="5" t="s">
        <v>214</v>
      </c>
      <c r="G1119" s="10">
        <f>DATE(2011,7,3)</f>
        <v>40727</v>
      </c>
      <c r="H1119" s="35">
        <v>1.5062500000000001</v>
      </c>
      <c r="I1119" s="5" t="s">
        <v>67</v>
      </c>
      <c r="J1119" s="10" t="s">
        <v>6244</v>
      </c>
      <c r="K1119" s="5" t="s">
        <v>216</v>
      </c>
      <c r="L1119" s="5" t="s">
        <v>6245</v>
      </c>
      <c r="M1119" s="5" t="s">
        <v>45</v>
      </c>
      <c r="N1119" s="5">
        <v>0</v>
      </c>
      <c r="O1119" s="5" t="s">
        <v>46</v>
      </c>
      <c r="P1119" s="10" t="s">
        <v>146</v>
      </c>
      <c r="Q1119" s="10" t="s">
        <v>6246</v>
      </c>
      <c r="R1119" s="10" t="s">
        <v>6246</v>
      </c>
      <c r="S1119" s="5">
        <v>0</v>
      </c>
      <c r="T1119" s="37" t="s">
        <v>50</v>
      </c>
      <c r="U1119" s="5">
        <v>0</v>
      </c>
      <c r="V1119" s="37" t="s">
        <v>50</v>
      </c>
      <c r="W1119" s="5">
        <v>0</v>
      </c>
      <c r="X1119" s="5">
        <v>0</v>
      </c>
      <c r="Y1119" s="5">
        <v>0</v>
      </c>
      <c r="Z1119" s="37" t="s">
        <v>50</v>
      </c>
      <c r="AA1119" s="5">
        <v>0</v>
      </c>
      <c r="AB1119" s="5">
        <v>0</v>
      </c>
      <c r="AC1119" s="5">
        <v>0</v>
      </c>
      <c r="AD1119" s="5">
        <v>0</v>
      </c>
      <c r="AE1119" s="10" t="s">
        <v>50</v>
      </c>
      <c r="AF1119" s="10"/>
      <c r="AG1119" s="10" t="s">
        <v>114</v>
      </c>
      <c r="AH1119" s="10" t="s">
        <v>50</v>
      </c>
      <c r="AI1119" s="5">
        <v>2</v>
      </c>
      <c r="AJ1119" s="10" t="s">
        <v>6247</v>
      </c>
      <c r="AK1119" s="10" t="s">
        <v>6248</v>
      </c>
    </row>
    <row r="1120" spans="1:37" ht="36.75" customHeight="1" x14ac:dyDescent="0.35">
      <c r="A1120" s="5"/>
      <c r="B1120" s="5" t="s">
        <v>37</v>
      </c>
      <c r="C1120" s="73" t="str">
        <f t="shared" si="17"/>
        <v>Closed</v>
      </c>
      <c r="D1120" s="45" t="s">
        <v>6249</v>
      </c>
      <c r="E1120" s="54" t="s">
        <v>6250</v>
      </c>
      <c r="F1120" s="5" t="s">
        <v>178</v>
      </c>
      <c r="G1120" s="10">
        <f>DATE(2011,7,6)</f>
        <v>40730</v>
      </c>
      <c r="H1120" s="35">
        <v>1.6715277777777779</v>
      </c>
      <c r="I1120" s="5" t="s">
        <v>67</v>
      </c>
      <c r="J1120" s="10" t="s">
        <v>6251</v>
      </c>
      <c r="K1120" s="5" t="s">
        <v>181</v>
      </c>
      <c r="L1120" s="5" t="s">
        <v>6252</v>
      </c>
      <c r="M1120" s="5" t="s">
        <v>45</v>
      </c>
      <c r="N1120" s="5" t="s">
        <v>80</v>
      </c>
      <c r="O1120" s="5" t="s">
        <v>46</v>
      </c>
      <c r="P1120" s="10" t="s">
        <v>282</v>
      </c>
      <c r="Q1120" s="10" t="s">
        <v>6253</v>
      </c>
      <c r="R1120" s="10" t="s">
        <v>184</v>
      </c>
      <c r="S1120" s="5">
        <v>0</v>
      </c>
      <c r="T1120" s="37">
        <v>0</v>
      </c>
      <c r="U1120" s="5">
        <v>0</v>
      </c>
      <c r="V1120" s="37">
        <v>0</v>
      </c>
      <c r="W1120" s="5">
        <v>0</v>
      </c>
      <c r="X1120" s="5">
        <v>0</v>
      </c>
      <c r="Y1120" s="5">
        <v>0</v>
      </c>
      <c r="Z1120" s="37">
        <v>0</v>
      </c>
      <c r="AA1120" s="5">
        <v>0</v>
      </c>
      <c r="AB1120" s="5">
        <v>0</v>
      </c>
      <c r="AC1120" s="5">
        <v>0</v>
      </c>
      <c r="AD1120" s="5">
        <v>0</v>
      </c>
      <c r="AE1120" s="10" t="s">
        <v>50</v>
      </c>
      <c r="AF1120" s="10"/>
      <c r="AG1120" s="10" t="s">
        <v>114</v>
      </c>
      <c r="AH1120" s="10">
        <v>40730</v>
      </c>
      <c r="AI1120" s="5">
        <v>3</v>
      </c>
      <c r="AJ1120" s="10" t="s">
        <v>6254</v>
      </c>
      <c r="AK1120" s="10" t="s">
        <v>1215</v>
      </c>
    </row>
    <row r="1121" spans="1:37" ht="36.75" customHeight="1" x14ac:dyDescent="0.35">
      <c r="A1121" s="5"/>
      <c r="B1121" s="5" t="s">
        <v>37</v>
      </c>
      <c r="C1121" s="73" t="str">
        <f t="shared" si="17"/>
        <v>Closed</v>
      </c>
      <c r="D1121" s="45" t="s">
        <v>6255</v>
      </c>
      <c r="E1121" s="54" t="s">
        <v>6256</v>
      </c>
      <c r="F1121" s="5" t="s">
        <v>816</v>
      </c>
      <c r="G1121" s="10">
        <f>DATE(2011,7,6)</f>
        <v>40730</v>
      </c>
      <c r="H1121" s="35">
        <v>1.5138888888888888</v>
      </c>
      <c r="I1121" s="5" t="s">
        <v>97</v>
      </c>
      <c r="J1121" s="10" t="s">
        <v>6257</v>
      </c>
      <c r="K1121" s="5" t="s">
        <v>818</v>
      </c>
      <c r="L1121" s="5" t="s">
        <v>6258</v>
      </c>
      <c r="M1121" s="5" t="s">
        <v>45</v>
      </c>
      <c r="N1121" s="5" t="s">
        <v>80</v>
      </c>
      <c r="O1121" s="5" t="s">
        <v>46</v>
      </c>
      <c r="P1121" s="10" t="s">
        <v>362</v>
      </c>
      <c r="Q1121" s="10" t="s">
        <v>6259</v>
      </c>
      <c r="R1121" s="10" t="s">
        <v>821</v>
      </c>
      <c r="S1121" s="5">
        <v>0</v>
      </c>
      <c r="T1121" s="37">
        <v>0</v>
      </c>
      <c r="U1121" s="5">
        <v>1</v>
      </c>
      <c r="V1121" s="37">
        <v>0</v>
      </c>
      <c r="W1121" s="5">
        <v>0</v>
      </c>
      <c r="X1121" s="5">
        <v>1</v>
      </c>
      <c r="Y1121" s="5">
        <v>0</v>
      </c>
      <c r="Z1121" s="37">
        <v>0</v>
      </c>
      <c r="AA1121" s="5">
        <v>2</v>
      </c>
      <c r="AB1121" s="5">
        <v>0</v>
      </c>
      <c r="AC1121" s="5">
        <v>0</v>
      </c>
      <c r="AD1121" s="5">
        <v>2</v>
      </c>
      <c r="AE1121" s="10" t="s">
        <v>73</v>
      </c>
      <c r="AF1121" s="10"/>
      <c r="AG1121" s="10" t="s">
        <v>333</v>
      </c>
      <c r="AH1121" s="10" t="s">
        <v>50</v>
      </c>
      <c r="AI1121" s="5">
        <v>0</v>
      </c>
      <c r="AJ1121" s="10" t="s">
        <v>6260</v>
      </c>
      <c r="AK1121" s="10" t="s">
        <v>50</v>
      </c>
    </row>
    <row r="1122" spans="1:37" ht="36.75" customHeight="1" x14ac:dyDescent="0.35">
      <c r="A1122" s="5"/>
      <c r="B1122" s="5" t="s">
        <v>37</v>
      </c>
      <c r="C1122" s="73" t="str">
        <f t="shared" si="17"/>
        <v>Closed</v>
      </c>
      <c r="D1122" s="45" t="s">
        <v>6261</v>
      </c>
      <c r="E1122" s="54" t="s">
        <v>6262</v>
      </c>
      <c r="F1122" s="5" t="s">
        <v>1553</v>
      </c>
      <c r="G1122" s="10">
        <f>DATE(2011,7,9)</f>
        <v>40733</v>
      </c>
      <c r="H1122" s="35">
        <v>1.7534722222222223</v>
      </c>
      <c r="I1122" s="5" t="s">
        <v>55</v>
      </c>
      <c r="J1122" s="10" t="s">
        <v>6263</v>
      </c>
      <c r="K1122" s="5" t="s">
        <v>1555</v>
      </c>
      <c r="L1122" s="5" t="s">
        <v>6264</v>
      </c>
      <c r="M1122" s="5" t="s">
        <v>45</v>
      </c>
      <c r="N1122" s="5">
        <v>0</v>
      </c>
      <c r="O1122" s="5" t="s">
        <v>46</v>
      </c>
      <c r="P1122" s="10" t="s">
        <v>60</v>
      </c>
      <c r="Q1122" s="10" t="s">
        <v>6072</v>
      </c>
      <c r="R1122" s="10">
        <v>0</v>
      </c>
      <c r="S1122" s="5">
        <v>0</v>
      </c>
      <c r="T1122" s="37" t="s">
        <v>50</v>
      </c>
      <c r="U1122" s="5">
        <v>0</v>
      </c>
      <c r="V1122" s="37" t="s">
        <v>50</v>
      </c>
      <c r="W1122" s="5">
        <v>0</v>
      </c>
      <c r="X1122" s="5">
        <v>0</v>
      </c>
      <c r="Y1122" s="5">
        <v>0</v>
      </c>
      <c r="Z1122" s="37" t="s">
        <v>50</v>
      </c>
      <c r="AA1122" s="5">
        <v>0</v>
      </c>
      <c r="AB1122" s="5">
        <v>0</v>
      </c>
      <c r="AC1122" s="5">
        <v>0</v>
      </c>
      <c r="AD1122" s="5">
        <v>0</v>
      </c>
      <c r="AE1122" s="10" t="s">
        <v>50</v>
      </c>
      <c r="AF1122" s="10"/>
      <c r="AG1122" s="10" t="s">
        <v>114</v>
      </c>
      <c r="AH1122" s="10" t="s">
        <v>50</v>
      </c>
      <c r="AI1122" s="5">
        <v>0</v>
      </c>
      <c r="AJ1122" s="10" t="s">
        <v>6265</v>
      </c>
      <c r="AK1122" s="10" t="s">
        <v>50</v>
      </c>
    </row>
    <row r="1123" spans="1:37" ht="36.75" customHeight="1" x14ac:dyDescent="0.35">
      <c r="A1123" s="5"/>
      <c r="B1123" s="5" t="s">
        <v>37</v>
      </c>
      <c r="C1123" s="73" t="str">
        <f t="shared" si="17"/>
        <v>Closed</v>
      </c>
      <c r="D1123" s="45" t="s">
        <v>6266</v>
      </c>
      <c r="E1123" s="54" t="s">
        <v>6267</v>
      </c>
      <c r="F1123" s="5" t="s">
        <v>404</v>
      </c>
      <c r="G1123" s="10">
        <f>DATE(2011,7,11)</f>
        <v>40735</v>
      </c>
      <c r="H1123" s="35">
        <v>1.367361111111111</v>
      </c>
      <c r="I1123" s="5" t="s">
        <v>137</v>
      </c>
      <c r="J1123" s="10" t="s">
        <v>6268</v>
      </c>
      <c r="K1123" s="5" t="s">
        <v>406</v>
      </c>
      <c r="L1123" s="5" t="s">
        <v>6269</v>
      </c>
      <c r="M1123" s="5" t="s">
        <v>45</v>
      </c>
      <c r="N1123" s="5">
        <v>0</v>
      </c>
      <c r="O1123" s="5" t="s">
        <v>59</v>
      </c>
      <c r="P1123" s="10" t="s">
        <v>60</v>
      </c>
      <c r="Q1123" s="10" t="s">
        <v>2562</v>
      </c>
      <c r="R1123" s="10" t="s">
        <v>3083</v>
      </c>
      <c r="S1123" s="5">
        <v>0</v>
      </c>
      <c r="T1123" s="37" t="s">
        <v>50</v>
      </c>
      <c r="U1123" s="5">
        <v>0</v>
      </c>
      <c r="V1123" s="37" t="s">
        <v>50</v>
      </c>
      <c r="W1123" s="5">
        <v>0</v>
      </c>
      <c r="X1123" s="5">
        <v>0</v>
      </c>
      <c r="Y1123" s="5">
        <v>0</v>
      </c>
      <c r="Z1123" s="37" t="s">
        <v>50</v>
      </c>
      <c r="AA1123" s="5">
        <v>0</v>
      </c>
      <c r="AB1123" s="5">
        <v>0</v>
      </c>
      <c r="AC1123" s="5">
        <v>0</v>
      </c>
      <c r="AD1123" s="5">
        <v>0</v>
      </c>
      <c r="AE1123" s="10" t="s">
        <v>50</v>
      </c>
      <c r="AF1123" s="10"/>
      <c r="AG1123" s="10" t="s">
        <v>114</v>
      </c>
      <c r="AH1123" s="10" t="s">
        <v>50</v>
      </c>
      <c r="AI1123" s="5">
        <v>2</v>
      </c>
      <c r="AJ1123" s="10" t="s">
        <v>50</v>
      </c>
      <c r="AK1123" s="10" t="s">
        <v>50</v>
      </c>
    </row>
    <row r="1124" spans="1:37" ht="36.75" customHeight="1" x14ac:dyDescent="0.35">
      <c r="A1124" s="5"/>
      <c r="B1124" s="5" t="s">
        <v>37</v>
      </c>
      <c r="C1124" s="73" t="str">
        <f t="shared" si="17"/>
        <v>Closed</v>
      </c>
      <c r="D1124" s="45" t="s">
        <v>6270</v>
      </c>
      <c r="E1124" s="54" t="s">
        <v>6271</v>
      </c>
      <c r="F1124" s="5" t="s">
        <v>619</v>
      </c>
      <c r="G1124" s="10">
        <f>DATE(2011,7,11)</f>
        <v>40735</v>
      </c>
      <c r="H1124" s="35">
        <v>1.4965277777777777</v>
      </c>
      <c r="I1124" s="5" t="s">
        <v>55</v>
      </c>
      <c r="J1124" s="10" t="s">
        <v>6272</v>
      </c>
      <c r="K1124" s="5" t="s">
        <v>621</v>
      </c>
      <c r="L1124" s="5" t="s">
        <v>6273</v>
      </c>
      <c r="M1124" s="5" t="s">
        <v>45</v>
      </c>
      <c r="N1124" s="5">
        <v>0</v>
      </c>
      <c r="O1124" s="5" t="s">
        <v>46</v>
      </c>
      <c r="P1124" s="10" t="s">
        <v>60</v>
      </c>
      <c r="Q1124" s="10" t="s">
        <v>623</v>
      </c>
      <c r="R1124" s="10" t="s">
        <v>624</v>
      </c>
      <c r="S1124" s="5">
        <v>0</v>
      </c>
      <c r="T1124" s="37" t="s">
        <v>50</v>
      </c>
      <c r="U1124" s="5">
        <v>0</v>
      </c>
      <c r="V1124" s="37" t="s">
        <v>50</v>
      </c>
      <c r="W1124" s="5">
        <v>0</v>
      </c>
      <c r="X1124" s="5">
        <v>0</v>
      </c>
      <c r="Y1124" s="5">
        <v>0</v>
      </c>
      <c r="Z1124" s="37" t="s">
        <v>50</v>
      </c>
      <c r="AA1124" s="5">
        <v>0</v>
      </c>
      <c r="AB1124" s="5">
        <v>0</v>
      </c>
      <c r="AC1124" s="5">
        <v>0</v>
      </c>
      <c r="AD1124" s="5">
        <v>0</v>
      </c>
      <c r="AE1124" s="10" t="s">
        <v>50</v>
      </c>
      <c r="AF1124" s="10"/>
      <c r="AG1124" s="10" t="s">
        <v>333</v>
      </c>
      <c r="AH1124" s="10" t="s">
        <v>50</v>
      </c>
      <c r="AI1124" s="5">
        <v>0</v>
      </c>
      <c r="AJ1124" s="10" t="s">
        <v>6274</v>
      </c>
      <c r="AK1124" s="10" t="s">
        <v>50</v>
      </c>
    </row>
    <row r="1125" spans="1:37" ht="36.75" customHeight="1" x14ac:dyDescent="0.35">
      <c r="A1125" s="5"/>
      <c r="B1125" s="5" t="s">
        <v>37</v>
      </c>
      <c r="C1125" s="73" t="str">
        <f t="shared" si="17"/>
        <v>Closed</v>
      </c>
      <c r="D1125" s="45" t="s">
        <v>6275</v>
      </c>
      <c r="E1125" s="54" t="s">
        <v>6276</v>
      </c>
      <c r="F1125" s="5" t="s">
        <v>816</v>
      </c>
      <c r="G1125" s="10">
        <f>DATE(2011,7,11)</f>
        <v>40735</v>
      </c>
      <c r="H1125" s="35">
        <v>1.9236111111111112</v>
      </c>
      <c r="I1125" s="5" t="s">
        <v>67</v>
      </c>
      <c r="J1125" s="10" t="s">
        <v>6277</v>
      </c>
      <c r="K1125" s="5" t="s">
        <v>818</v>
      </c>
      <c r="L1125" s="5" t="s">
        <v>6278</v>
      </c>
      <c r="M1125" s="5" t="s">
        <v>45</v>
      </c>
      <c r="N1125" s="5">
        <v>0</v>
      </c>
      <c r="O1125" s="5" t="s">
        <v>59</v>
      </c>
      <c r="P1125" s="10" t="s">
        <v>146</v>
      </c>
      <c r="Q1125" s="10" t="s">
        <v>2142</v>
      </c>
      <c r="R1125" s="10" t="s">
        <v>821</v>
      </c>
      <c r="S1125" s="5">
        <v>0</v>
      </c>
      <c r="T1125" s="37">
        <v>0</v>
      </c>
      <c r="U1125" s="5">
        <v>0</v>
      </c>
      <c r="V1125" s="37">
        <v>0</v>
      </c>
      <c r="W1125" s="5">
        <v>0</v>
      </c>
      <c r="X1125" s="5">
        <v>0</v>
      </c>
      <c r="Y1125" s="5">
        <v>0</v>
      </c>
      <c r="Z1125" s="37">
        <v>0</v>
      </c>
      <c r="AA1125" s="5">
        <v>0</v>
      </c>
      <c r="AB1125" s="5">
        <v>0</v>
      </c>
      <c r="AC1125" s="5">
        <v>0</v>
      </c>
      <c r="AD1125" s="5">
        <v>0</v>
      </c>
      <c r="AE1125" s="10" t="s">
        <v>73</v>
      </c>
      <c r="AF1125" s="10"/>
      <c r="AG1125" s="10" t="s">
        <v>333</v>
      </c>
      <c r="AH1125" s="10" t="s">
        <v>50</v>
      </c>
      <c r="AI1125" s="5">
        <v>0</v>
      </c>
      <c r="AJ1125" s="10" t="s">
        <v>6279</v>
      </c>
      <c r="AK1125" s="10" t="s">
        <v>50</v>
      </c>
    </row>
    <row r="1126" spans="1:37" ht="36.75" customHeight="1" x14ac:dyDescent="0.35">
      <c r="A1126" s="5"/>
      <c r="B1126" s="5" t="s">
        <v>37</v>
      </c>
      <c r="C1126" s="73" t="str">
        <f t="shared" si="17"/>
        <v>Closed</v>
      </c>
      <c r="D1126" s="45" t="s">
        <v>6280</v>
      </c>
      <c r="E1126" s="54" t="s">
        <v>6281</v>
      </c>
      <c r="F1126" s="5" t="s">
        <v>214</v>
      </c>
      <c r="G1126" s="10">
        <f>DATE(2011,7,11)</f>
        <v>40735</v>
      </c>
      <c r="H1126" s="35">
        <v>1.7284722222222224</v>
      </c>
      <c r="I1126" s="5" t="s">
        <v>259</v>
      </c>
      <c r="J1126" s="10" t="s">
        <v>6282</v>
      </c>
      <c r="K1126" s="5" t="s">
        <v>216</v>
      </c>
      <c r="L1126" s="5" t="s">
        <v>6283</v>
      </c>
      <c r="M1126" s="5" t="s">
        <v>110</v>
      </c>
      <c r="N1126" s="5">
        <v>0</v>
      </c>
      <c r="O1126" s="5" t="s">
        <v>59</v>
      </c>
      <c r="P1126" s="10" t="s">
        <v>146</v>
      </c>
      <c r="Q1126" s="10" t="s">
        <v>664</v>
      </c>
      <c r="R1126" s="10" t="s">
        <v>664</v>
      </c>
      <c r="S1126" s="5">
        <v>0</v>
      </c>
      <c r="T1126" s="37">
        <v>0</v>
      </c>
      <c r="U1126" s="5">
        <v>0</v>
      </c>
      <c r="V1126" s="37">
        <v>0</v>
      </c>
      <c r="W1126" s="5">
        <v>0</v>
      </c>
      <c r="X1126" s="5">
        <v>0</v>
      </c>
      <c r="Y1126" s="5">
        <v>0</v>
      </c>
      <c r="Z1126" s="37">
        <v>0</v>
      </c>
      <c r="AA1126" s="5">
        <v>0</v>
      </c>
      <c r="AB1126" s="5">
        <v>0</v>
      </c>
      <c r="AC1126" s="5">
        <v>0</v>
      </c>
      <c r="AD1126" s="5">
        <v>0</v>
      </c>
      <c r="AE1126" s="10" t="s">
        <v>50</v>
      </c>
      <c r="AF1126" s="10"/>
      <c r="AG1126" s="10" t="s">
        <v>114</v>
      </c>
      <c r="AH1126" s="10" t="s">
        <v>50</v>
      </c>
      <c r="AI1126" s="5">
        <v>4</v>
      </c>
      <c r="AJ1126" s="10" t="s">
        <v>6284</v>
      </c>
      <c r="AK1126" s="10" t="s">
        <v>6285</v>
      </c>
    </row>
    <row r="1127" spans="1:37" ht="36.75" customHeight="1" x14ac:dyDescent="0.35">
      <c r="A1127" s="5"/>
      <c r="B1127" s="5" t="s">
        <v>887</v>
      </c>
      <c r="C1127" s="73" t="str">
        <f t="shared" si="17"/>
        <v>Open</v>
      </c>
      <c r="D1127" s="45" t="s">
        <v>6286</v>
      </c>
      <c r="E1127" s="54" t="s">
        <v>6287</v>
      </c>
      <c r="F1127" s="5" t="s">
        <v>5662</v>
      </c>
      <c r="G1127" s="10">
        <f>DATE(2011,7,12)</f>
        <v>40736</v>
      </c>
      <c r="H1127" s="35">
        <v>1.9097222222222223</v>
      </c>
      <c r="I1127" s="5" t="s">
        <v>259</v>
      </c>
      <c r="J1127" s="10" t="s">
        <v>6288</v>
      </c>
      <c r="K1127" s="5" t="s">
        <v>5664</v>
      </c>
      <c r="L1127" s="5" t="s">
        <v>6289</v>
      </c>
      <c r="M1127" s="5" t="s">
        <v>45</v>
      </c>
      <c r="N1127" s="5">
        <v>0</v>
      </c>
      <c r="O1127" s="5" t="s">
        <v>46</v>
      </c>
      <c r="P1127" s="10" t="s">
        <v>47</v>
      </c>
      <c r="Q1127" s="10" t="s">
        <v>5666</v>
      </c>
      <c r="R1127" s="10" t="s">
        <v>5667</v>
      </c>
      <c r="S1127" s="5">
        <v>0</v>
      </c>
      <c r="T1127" s="37">
        <v>0</v>
      </c>
      <c r="U1127" s="5">
        <v>0</v>
      </c>
      <c r="V1127" s="37">
        <v>1</v>
      </c>
      <c r="W1127" s="5">
        <v>0</v>
      </c>
      <c r="X1127" s="5">
        <v>1</v>
      </c>
      <c r="Y1127" s="5">
        <v>0</v>
      </c>
      <c r="Z1127" s="37">
        <v>0</v>
      </c>
      <c r="AA1127" s="5">
        <v>0</v>
      </c>
      <c r="AB1127" s="5">
        <v>0</v>
      </c>
      <c r="AC1127" s="5">
        <v>0</v>
      </c>
      <c r="AD1127" s="5">
        <v>0</v>
      </c>
      <c r="AE1127" s="10" t="s">
        <v>50</v>
      </c>
      <c r="AF1127" s="10"/>
      <c r="AG1127" s="10" t="s">
        <v>64</v>
      </c>
      <c r="AH1127" s="10" t="s">
        <v>50</v>
      </c>
      <c r="AI1127" s="5">
        <v>0</v>
      </c>
      <c r="AJ1127" s="10" t="s">
        <v>50</v>
      </c>
      <c r="AK1127" s="10" t="s">
        <v>50</v>
      </c>
    </row>
    <row r="1128" spans="1:37" ht="36.75" customHeight="1" x14ac:dyDescent="0.35">
      <c r="A1128" s="5"/>
      <c r="B1128" s="5" t="s">
        <v>37</v>
      </c>
      <c r="C1128" s="73" t="str">
        <f t="shared" si="17"/>
        <v>Closed</v>
      </c>
      <c r="D1128" s="45" t="s">
        <v>6290</v>
      </c>
      <c r="E1128" s="54" t="s">
        <v>6291</v>
      </c>
      <c r="F1128" s="5" t="s">
        <v>96</v>
      </c>
      <c r="G1128" s="10">
        <f>DATE(2011,7,12)</f>
        <v>40736</v>
      </c>
      <c r="H1128" s="35">
        <v>1.7465277777777777</v>
      </c>
      <c r="I1128" s="5" t="s">
        <v>67</v>
      </c>
      <c r="J1128" s="10" t="s">
        <v>6292</v>
      </c>
      <c r="K1128" s="5" t="s">
        <v>99</v>
      </c>
      <c r="L1128" s="5" t="s">
        <v>6293</v>
      </c>
      <c r="M1128" s="5" t="s">
        <v>45</v>
      </c>
      <c r="N1128" s="5" t="s">
        <v>123</v>
      </c>
      <c r="O1128" s="5" t="s">
        <v>59</v>
      </c>
      <c r="P1128" s="10" t="s">
        <v>146</v>
      </c>
      <c r="Q1128" s="10" t="s">
        <v>2339</v>
      </c>
      <c r="R1128" s="10" t="s">
        <v>2339</v>
      </c>
      <c r="S1128" s="5">
        <v>0</v>
      </c>
      <c r="T1128" s="37">
        <v>0</v>
      </c>
      <c r="U1128" s="5">
        <v>0</v>
      </c>
      <c r="V1128" s="37">
        <v>0</v>
      </c>
      <c r="W1128" s="5">
        <v>0</v>
      </c>
      <c r="X1128" s="5">
        <v>0</v>
      </c>
      <c r="Y1128" s="5">
        <v>0</v>
      </c>
      <c r="Z1128" s="37">
        <v>0</v>
      </c>
      <c r="AA1128" s="5">
        <v>0</v>
      </c>
      <c r="AB1128" s="5">
        <v>0</v>
      </c>
      <c r="AC1128" s="5">
        <v>0</v>
      </c>
      <c r="AD1128" s="5">
        <v>0</v>
      </c>
      <c r="AE1128" s="10" t="s">
        <v>73</v>
      </c>
      <c r="AF1128" s="10"/>
      <c r="AG1128" s="10" t="s">
        <v>2064</v>
      </c>
      <c r="AH1128" s="10">
        <v>40750</v>
      </c>
      <c r="AI1128" s="5">
        <v>4</v>
      </c>
      <c r="AJ1128" s="10" t="s">
        <v>6294</v>
      </c>
      <c r="AK1128" s="10" t="s">
        <v>6295</v>
      </c>
    </row>
    <row r="1129" spans="1:37" ht="36.75" customHeight="1" x14ac:dyDescent="0.35">
      <c r="A1129" s="5"/>
      <c r="B1129" s="5" t="s">
        <v>37</v>
      </c>
      <c r="C1129" s="73" t="str">
        <f t="shared" si="17"/>
        <v>Closed</v>
      </c>
      <c r="D1129" s="45" t="s">
        <v>6296</v>
      </c>
      <c r="E1129" s="54" t="s">
        <v>6297</v>
      </c>
      <c r="F1129" s="5" t="s">
        <v>358</v>
      </c>
      <c r="G1129" s="10">
        <f>DATE(2011,7,12)</f>
        <v>40736</v>
      </c>
      <c r="H1129" s="35">
        <v>1.3576388888888888</v>
      </c>
      <c r="I1129" s="5" t="s">
        <v>97</v>
      </c>
      <c r="J1129" s="10" t="s">
        <v>6298</v>
      </c>
      <c r="K1129" s="5" t="s">
        <v>360</v>
      </c>
      <c r="L1129" s="5" t="s">
        <v>6299</v>
      </c>
      <c r="M1129" s="5" t="s">
        <v>45</v>
      </c>
      <c r="N1129" s="5" t="s">
        <v>80</v>
      </c>
      <c r="O1129" s="5" t="s">
        <v>46</v>
      </c>
      <c r="P1129" s="10" t="s">
        <v>146</v>
      </c>
      <c r="Q1129" s="10" t="s">
        <v>2886</v>
      </c>
      <c r="R1129" s="10" t="s">
        <v>363</v>
      </c>
      <c r="S1129" s="5">
        <v>0</v>
      </c>
      <c r="T1129" s="37">
        <v>0</v>
      </c>
      <c r="U1129" s="5">
        <v>0</v>
      </c>
      <c r="V1129" s="37">
        <v>0</v>
      </c>
      <c r="W1129" s="5">
        <v>0</v>
      </c>
      <c r="X1129" s="5">
        <v>0</v>
      </c>
      <c r="Y1129" s="5">
        <v>2</v>
      </c>
      <c r="Z1129" s="37">
        <v>0</v>
      </c>
      <c r="AA1129" s="5">
        <v>0</v>
      </c>
      <c r="AB1129" s="5">
        <v>0</v>
      </c>
      <c r="AC1129" s="5">
        <v>0</v>
      </c>
      <c r="AD1129" s="5">
        <v>2</v>
      </c>
      <c r="AE1129" s="10" t="s">
        <v>73</v>
      </c>
      <c r="AF1129" s="10"/>
      <c r="AG1129" s="10" t="s">
        <v>114</v>
      </c>
      <c r="AH1129" s="10">
        <v>40737</v>
      </c>
      <c r="AI1129" s="5">
        <v>10</v>
      </c>
      <c r="AJ1129" s="10" t="s">
        <v>6300</v>
      </c>
      <c r="AK1129" s="10" t="s">
        <v>6301</v>
      </c>
    </row>
    <row r="1130" spans="1:37" ht="36.75" customHeight="1" x14ac:dyDescent="0.35">
      <c r="A1130" s="5"/>
      <c r="B1130" s="5" t="s">
        <v>37</v>
      </c>
      <c r="C1130" s="73" t="str">
        <f t="shared" si="17"/>
        <v>Closed</v>
      </c>
      <c r="D1130" s="45" t="s">
        <v>6302</v>
      </c>
      <c r="E1130" s="54" t="s">
        <v>6303</v>
      </c>
      <c r="F1130" s="5" t="s">
        <v>619</v>
      </c>
      <c r="G1130" s="10">
        <f>DATE(2011,7,13)</f>
        <v>40737</v>
      </c>
      <c r="H1130" s="35">
        <v>1.90625</v>
      </c>
      <c r="I1130" s="5" t="s">
        <v>55</v>
      </c>
      <c r="J1130" s="10" t="s">
        <v>6304</v>
      </c>
      <c r="K1130" s="5" t="s">
        <v>621</v>
      </c>
      <c r="L1130" s="5" t="s">
        <v>6305</v>
      </c>
      <c r="M1130" s="5" t="s">
        <v>45</v>
      </c>
      <c r="N1130" s="5" t="s">
        <v>80</v>
      </c>
      <c r="O1130" s="5" t="s">
        <v>46</v>
      </c>
      <c r="P1130" s="10" t="s">
        <v>60</v>
      </c>
      <c r="Q1130" s="10" t="s">
        <v>6306</v>
      </c>
      <c r="R1130" s="10" t="s">
        <v>624</v>
      </c>
      <c r="S1130" s="5">
        <v>0</v>
      </c>
      <c r="T1130" s="37">
        <v>0</v>
      </c>
      <c r="U1130" s="5">
        <v>0</v>
      </c>
      <c r="V1130" s="37">
        <v>0</v>
      </c>
      <c r="W1130" s="5">
        <v>0</v>
      </c>
      <c r="X1130" s="5">
        <v>0</v>
      </c>
      <c r="Y1130" s="5">
        <v>0</v>
      </c>
      <c r="Z1130" s="37">
        <v>0</v>
      </c>
      <c r="AA1130" s="5">
        <v>0</v>
      </c>
      <c r="AB1130" s="5">
        <v>0</v>
      </c>
      <c r="AC1130" s="5">
        <v>0</v>
      </c>
      <c r="AD1130" s="5">
        <v>0</v>
      </c>
      <c r="AE1130" s="10" t="s">
        <v>50</v>
      </c>
      <c r="AF1130" s="10"/>
      <c r="AG1130" s="10" t="s">
        <v>333</v>
      </c>
      <c r="AH1130" s="10">
        <v>40806</v>
      </c>
      <c r="AI1130" s="5">
        <v>1</v>
      </c>
      <c r="AJ1130" s="10" t="s">
        <v>6307</v>
      </c>
      <c r="AK1130" s="10" t="s">
        <v>50</v>
      </c>
    </row>
    <row r="1131" spans="1:37" ht="36.75" customHeight="1" x14ac:dyDescent="0.35">
      <c r="A1131" s="5"/>
      <c r="B1131" s="5" t="s">
        <v>887</v>
      </c>
      <c r="C1131" s="73" t="str">
        <f t="shared" si="17"/>
        <v>Open</v>
      </c>
      <c r="D1131" s="45" t="s">
        <v>6308</v>
      </c>
      <c r="E1131" s="54" t="s">
        <v>6309</v>
      </c>
      <c r="F1131" s="5" t="s">
        <v>5662</v>
      </c>
      <c r="G1131" s="10">
        <f>DATE(2011,7,17)</f>
        <v>40741</v>
      </c>
      <c r="H1131" s="35">
        <v>1.4722222222222223</v>
      </c>
      <c r="I1131" s="5" t="s">
        <v>259</v>
      </c>
      <c r="J1131" s="10" t="s">
        <v>6288</v>
      </c>
      <c r="K1131" s="5" t="s">
        <v>5664</v>
      </c>
      <c r="L1131" s="5" t="s">
        <v>6310</v>
      </c>
      <c r="M1131" s="5" t="s">
        <v>45</v>
      </c>
      <c r="N1131" s="5">
        <v>0</v>
      </c>
      <c r="O1131" s="5" t="s">
        <v>46</v>
      </c>
      <c r="P1131" s="10" t="s">
        <v>60</v>
      </c>
      <c r="Q1131" s="10" t="s">
        <v>5666</v>
      </c>
      <c r="R1131" s="10" t="s">
        <v>5667</v>
      </c>
      <c r="S1131" s="5">
        <v>0</v>
      </c>
      <c r="T1131" s="37">
        <v>0</v>
      </c>
      <c r="U1131" s="5">
        <v>0</v>
      </c>
      <c r="V1131" s="37">
        <v>1</v>
      </c>
      <c r="W1131" s="5">
        <v>0</v>
      </c>
      <c r="X1131" s="5">
        <v>1</v>
      </c>
      <c r="Y1131" s="5">
        <v>0</v>
      </c>
      <c r="Z1131" s="37">
        <v>0</v>
      </c>
      <c r="AA1131" s="5">
        <v>0</v>
      </c>
      <c r="AB1131" s="5">
        <v>0</v>
      </c>
      <c r="AC1131" s="5">
        <v>0</v>
      </c>
      <c r="AD1131" s="5">
        <v>0</v>
      </c>
      <c r="AE1131" s="10" t="s">
        <v>50</v>
      </c>
      <c r="AF1131" s="10"/>
      <c r="AG1131" s="10" t="s">
        <v>64</v>
      </c>
      <c r="AH1131" s="10" t="s">
        <v>50</v>
      </c>
      <c r="AI1131" s="5">
        <v>0</v>
      </c>
      <c r="AJ1131" s="10" t="s">
        <v>50</v>
      </c>
      <c r="AK1131" s="10" t="s">
        <v>50</v>
      </c>
    </row>
    <row r="1132" spans="1:37" ht="36.75" customHeight="1" x14ac:dyDescent="0.35">
      <c r="A1132" s="5"/>
      <c r="B1132" s="5" t="s">
        <v>37</v>
      </c>
      <c r="C1132" s="73" t="str">
        <f t="shared" si="17"/>
        <v>Closed</v>
      </c>
      <c r="D1132" s="45" t="s">
        <v>6311</v>
      </c>
      <c r="E1132" s="54" t="s">
        <v>6312</v>
      </c>
      <c r="F1132" s="5" t="s">
        <v>214</v>
      </c>
      <c r="G1132" s="10">
        <f>DATE(2011,7,18)</f>
        <v>40742</v>
      </c>
      <c r="H1132" s="35">
        <v>1.4965277777777777</v>
      </c>
      <c r="I1132" s="5" t="s">
        <v>137</v>
      </c>
      <c r="J1132" s="10" t="s">
        <v>6313</v>
      </c>
      <c r="K1132" s="5" t="s">
        <v>216</v>
      </c>
      <c r="L1132" s="5" t="s">
        <v>6314</v>
      </c>
      <c r="M1132" s="5" t="s">
        <v>45</v>
      </c>
      <c r="N1132" s="5">
        <v>0</v>
      </c>
      <c r="O1132" s="5" t="s">
        <v>46</v>
      </c>
      <c r="P1132" s="10" t="s">
        <v>60</v>
      </c>
      <c r="Q1132" s="10" t="s">
        <v>415</v>
      </c>
      <c r="R1132" s="10" t="s">
        <v>219</v>
      </c>
      <c r="S1132" s="5">
        <v>0</v>
      </c>
      <c r="T1132" s="37">
        <v>0</v>
      </c>
      <c r="U1132" s="5">
        <v>0</v>
      </c>
      <c r="V1132" s="37">
        <v>0</v>
      </c>
      <c r="W1132" s="5">
        <v>0</v>
      </c>
      <c r="X1132" s="5">
        <v>0</v>
      </c>
      <c r="Y1132" s="5">
        <v>0</v>
      </c>
      <c r="Z1132" s="37">
        <v>0</v>
      </c>
      <c r="AA1132" s="5">
        <v>0</v>
      </c>
      <c r="AB1132" s="5">
        <v>0</v>
      </c>
      <c r="AC1132" s="5">
        <v>0</v>
      </c>
      <c r="AD1132" s="5">
        <v>0</v>
      </c>
      <c r="AE1132" s="10" t="s">
        <v>50</v>
      </c>
      <c r="AF1132" s="10"/>
      <c r="AG1132" s="10" t="s">
        <v>114</v>
      </c>
      <c r="AH1132" s="10" t="s">
        <v>50</v>
      </c>
      <c r="AI1132" s="5">
        <v>4</v>
      </c>
      <c r="AJ1132" s="10" t="s">
        <v>6315</v>
      </c>
      <c r="AK1132" s="10" t="s">
        <v>6316</v>
      </c>
    </row>
    <row r="1133" spans="1:37" ht="36.75" customHeight="1" x14ac:dyDescent="0.35">
      <c r="A1133" s="5"/>
      <c r="B1133" s="5" t="s">
        <v>37</v>
      </c>
      <c r="C1133" s="73" t="str">
        <f t="shared" si="17"/>
        <v>Closed</v>
      </c>
      <c r="D1133" s="45" t="s">
        <v>6317</v>
      </c>
      <c r="E1133" s="54" t="s">
        <v>6318</v>
      </c>
      <c r="F1133" s="5" t="s">
        <v>2581</v>
      </c>
      <c r="G1133" s="10">
        <f>DATE(2011,7,20)</f>
        <v>40744</v>
      </c>
      <c r="H1133" s="35">
        <v>1.7243055555555555</v>
      </c>
      <c r="I1133" s="5" t="s">
        <v>106</v>
      </c>
      <c r="J1133" s="10" t="s">
        <v>6319</v>
      </c>
      <c r="K1133" s="5" t="s">
        <v>2583</v>
      </c>
      <c r="L1133" s="5" t="s">
        <v>6320</v>
      </c>
      <c r="M1133" s="5" t="s">
        <v>45</v>
      </c>
      <c r="N1133" s="5">
        <v>0</v>
      </c>
      <c r="O1133" s="5" t="s">
        <v>46</v>
      </c>
      <c r="P1133" s="10" t="s">
        <v>47</v>
      </c>
      <c r="Q1133" s="10" t="s">
        <v>6321</v>
      </c>
      <c r="R1133" s="10" t="s">
        <v>2586</v>
      </c>
      <c r="S1133" s="5">
        <v>0</v>
      </c>
      <c r="T1133" s="37" t="s">
        <v>50</v>
      </c>
      <c r="U1133" s="5">
        <v>0</v>
      </c>
      <c r="V1133" s="37" t="s">
        <v>50</v>
      </c>
      <c r="W1133" s="5">
        <v>0</v>
      </c>
      <c r="X1133" s="5">
        <v>0</v>
      </c>
      <c r="Y1133" s="5">
        <v>0</v>
      </c>
      <c r="Z1133" s="37" t="s">
        <v>50</v>
      </c>
      <c r="AA1133" s="5">
        <v>0</v>
      </c>
      <c r="AB1133" s="5">
        <v>0</v>
      </c>
      <c r="AC1133" s="5">
        <v>0</v>
      </c>
      <c r="AD1133" s="5">
        <v>0</v>
      </c>
      <c r="AE1133" s="10" t="s">
        <v>50</v>
      </c>
      <c r="AF1133" s="10"/>
      <c r="AG1133" s="10" t="s">
        <v>333</v>
      </c>
      <c r="AH1133" s="10" t="s">
        <v>50</v>
      </c>
      <c r="AI1133" s="5">
        <v>2</v>
      </c>
      <c r="AJ1133" s="10" t="s">
        <v>50</v>
      </c>
      <c r="AK1133" s="10" t="s">
        <v>50</v>
      </c>
    </row>
    <row r="1134" spans="1:37" ht="36.75" customHeight="1" x14ac:dyDescent="0.35">
      <c r="A1134" s="5"/>
      <c r="B1134" s="5" t="s">
        <v>37</v>
      </c>
      <c r="C1134" s="73" t="str">
        <f t="shared" si="17"/>
        <v>Closed</v>
      </c>
      <c r="D1134" s="45" t="s">
        <v>6322</v>
      </c>
      <c r="E1134" s="54" t="s">
        <v>6323</v>
      </c>
      <c r="F1134" s="5" t="s">
        <v>619</v>
      </c>
      <c r="G1134" s="10">
        <f>DATE(2011,7,20)</f>
        <v>40744</v>
      </c>
      <c r="H1134" s="35">
        <v>1.6840277777777777</v>
      </c>
      <c r="I1134" s="5" t="s">
        <v>259</v>
      </c>
      <c r="J1134" s="10" t="s">
        <v>6324</v>
      </c>
      <c r="K1134" s="5" t="s">
        <v>621</v>
      </c>
      <c r="L1134" s="5" t="s">
        <v>6325</v>
      </c>
      <c r="M1134" s="5" t="s">
        <v>45</v>
      </c>
      <c r="N1134" s="5" t="s">
        <v>80</v>
      </c>
      <c r="O1134" s="5" t="s">
        <v>46</v>
      </c>
      <c r="P1134" s="10" t="s">
        <v>146</v>
      </c>
      <c r="Q1134" s="10" t="s">
        <v>623</v>
      </c>
      <c r="R1134" s="10" t="s">
        <v>624</v>
      </c>
      <c r="S1134" s="5">
        <v>0</v>
      </c>
      <c r="T1134" s="37">
        <v>1</v>
      </c>
      <c r="U1134" s="5">
        <v>0</v>
      </c>
      <c r="V1134" s="37">
        <v>0</v>
      </c>
      <c r="W1134" s="5">
        <v>0</v>
      </c>
      <c r="X1134" s="5">
        <v>1</v>
      </c>
      <c r="Y1134" s="5">
        <v>0</v>
      </c>
      <c r="Z1134" s="37">
        <v>0</v>
      </c>
      <c r="AA1134" s="5">
        <v>0</v>
      </c>
      <c r="AB1134" s="5">
        <v>0</v>
      </c>
      <c r="AC1134" s="5">
        <v>0</v>
      </c>
      <c r="AD1134" s="5">
        <v>0</v>
      </c>
      <c r="AE1134" s="10" t="s">
        <v>50</v>
      </c>
      <c r="AF1134" s="10"/>
      <c r="AG1134" s="10" t="s">
        <v>333</v>
      </c>
      <c r="AH1134" s="10">
        <v>40753</v>
      </c>
      <c r="AI1134" s="5">
        <v>3</v>
      </c>
      <c r="AJ1134" s="10" t="s">
        <v>6326</v>
      </c>
      <c r="AK1134" s="10" t="s">
        <v>1215</v>
      </c>
    </row>
    <row r="1135" spans="1:37" ht="36.75" customHeight="1" x14ac:dyDescent="0.35">
      <c r="A1135" s="5"/>
      <c r="B1135" s="5" t="s">
        <v>37</v>
      </c>
      <c r="C1135" s="73" t="str">
        <f t="shared" si="17"/>
        <v>Closed</v>
      </c>
      <c r="D1135" s="45" t="s">
        <v>6327</v>
      </c>
      <c r="E1135" s="54" t="s">
        <v>6328</v>
      </c>
      <c r="F1135" s="5" t="s">
        <v>404</v>
      </c>
      <c r="G1135" s="10">
        <f>DATE(2011,7,21)</f>
        <v>40745</v>
      </c>
      <c r="H1135" s="35">
        <v>1.4902777777777778</v>
      </c>
      <c r="I1135" s="5" t="s">
        <v>137</v>
      </c>
      <c r="J1135" s="10" t="s">
        <v>6329</v>
      </c>
      <c r="K1135" s="5" t="s">
        <v>406</v>
      </c>
      <c r="L1135" s="5" t="s">
        <v>6330</v>
      </c>
      <c r="M1135" s="5" t="s">
        <v>45</v>
      </c>
      <c r="N1135" s="5" t="s">
        <v>80</v>
      </c>
      <c r="O1135" s="5" t="s">
        <v>46</v>
      </c>
      <c r="P1135" s="10" t="s">
        <v>146</v>
      </c>
      <c r="Q1135" s="10" t="s">
        <v>4531</v>
      </c>
      <c r="R1135" s="10" t="s">
        <v>3083</v>
      </c>
      <c r="S1135" s="5">
        <v>0</v>
      </c>
      <c r="T1135" s="37">
        <v>0</v>
      </c>
      <c r="U1135" s="5">
        <v>0</v>
      </c>
      <c r="V1135" s="37">
        <v>0</v>
      </c>
      <c r="W1135" s="5">
        <v>0</v>
      </c>
      <c r="X1135" s="5">
        <v>0</v>
      </c>
      <c r="Y1135" s="5">
        <v>1</v>
      </c>
      <c r="Z1135" s="37">
        <v>0</v>
      </c>
      <c r="AA1135" s="5">
        <v>0</v>
      </c>
      <c r="AB1135" s="5">
        <v>0</v>
      </c>
      <c r="AC1135" s="5">
        <v>0</v>
      </c>
      <c r="AD1135" s="5">
        <v>1</v>
      </c>
      <c r="AE1135" s="10" t="s">
        <v>73</v>
      </c>
      <c r="AF1135" s="10"/>
      <c r="AG1135" s="10" t="s">
        <v>333</v>
      </c>
      <c r="AH1135" s="10">
        <v>40750</v>
      </c>
      <c r="AI1135" s="5">
        <v>6</v>
      </c>
      <c r="AJ1135" s="10" t="s">
        <v>6331</v>
      </c>
      <c r="AK1135" s="10" t="s">
        <v>6332</v>
      </c>
    </row>
    <row r="1136" spans="1:37" ht="36.75" customHeight="1" x14ac:dyDescent="0.35">
      <c r="A1136" s="5"/>
      <c r="B1136" s="5" t="s">
        <v>37</v>
      </c>
      <c r="C1136" s="73" t="str">
        <f t="shared" si="17"/>
        <v>Closed</v>
      </c>
      <c r="D1136" s="45" t="s">
        <v>6333</v>
      </c>
      <c r="E1136" s="54" t="s">
        <v>6334</v>
      </c>
      <c r="F1136" s="5" t="s">
        <v>1553</v>
      </c>
      <c r="G1136" s="10">
        <f>DATE(2011,7,21)</f>
        <v>40745</v>
      </c>
      <c r="H1136" s="35">
        <v>1.2743055555555556</v>
      </c>
      <c r="I1136" s="5" t="s">
        <v>106</v>
      </c>
      <c r="J1136" s="10" t="s">
        <v>6335</v>
      </c>
      <c r="K1136" s="5" t="s">
        <v>1555</v>
      </c>
      <c r="L1136" s="5" t="s">
        <v>6336</v>
      </c>
      <c r="M1136" s="5" t="s">
        <v>45</v>
      </c>
      <c r="N1136" s="5">
        <v>0</v>
      </c>
      <c r="O1136" s="5" t="s">
        <v>46</v>
      </c>
      <c r="P1136" s="10" t="s">
        <v>60</v>
      </c>
      <c r="Q1136" s="10" t="s">
        <v>4899</v>
      </c>
      <c r="R1136" s="10">
        <v>0</v>
      </c>
      <c r="S1136" s="5">
        <v>0</v>
      </c>
      <c r="T1136" s="37">
        <v>0</v>
      </c>
      <c r="U1136" s="5">
        <v>0</v>
      </c>
      <c r="V1136" s="37">
        <v>0</v>
      </c>
      <c r="W1136" s="5">
        <v>0</v>
      </c>
      <c r="X1136" s="5">
        <v>0</v>
      </c>
      <c r="Y1136" s="5">
        <v>0</v>
      </c>
      <c r="Z1136" s="37">
        <v>0</v>
      </c>
      <c r="AA1136" s="5">
        <v>0</v>
      </c>
      <c r="AB1136" s="5">
        <v>0</v>
      </c>
      <c r="AC1136" s="5">
        <v>0</v>
      </c>
      <c r="AD1136" s="5">
        <v>0</v>
      </c>
      <c r="AE1136" s="10" t="s">
        <v>50</v>
      </c>
      <c r="AF1136" s="10"/>
      <c r="AG1136" s="10" t="s">
        <v>114</v>
      </c>
      <c r="AH1136" s="10" t="s">
        <v>50</v>
      </c>
      <c r="AI1136" s="5">
        <v>0</v>
      </c>
      <c r="AJ1136" s="10" t="s">
        <v>6337</v>
      </c>
      <c r="AK1136" s="10" t="s">
        <v>50</v>
      </c>
    </row>
    <row r="1137" spans="1:37" ht="36.75" customHeight="1" x14ac:dyDescent="0.35">
      <c r="A1137" s="5"/>
      <c r="B1137" s="5" t="s">
        <v>37</v>
      </c>
      <c r="C1137" s="73" t="str">
        <f t="shared" si="17"/>
        <v>Closed</v>
      </c>
      <c r="D1137" s="45" t="s">
        <v>6338</v>
      </c>
      <c r="E1137" s="54" t="s">
        <v>6339</v>
      </c>
      <c r="F1137" s="5" t="s">
        <v>816</v>
      </c>
      <c r="G1137" s="10">
        <f>DATE(2011,7,22)</f>
        <v>40746</v>
      </c>
      <c r="H1137" s="35">
        <v>1.1548611111111111</v>
      </c>
      <c r="I1137" s="5" t="s">
        <v>67</v>
      </c>
      <c r="J1137" s="10" t="s">
        <v>6340</v>
      </c>
      <c r="K1137" s="5" t="s">
        <v>818</v>
      </c>
      <c r="L1137" s="5" t="s">
        <v>6341</v>
      </c>
      <c r="M1137" s="5" t="s">
        <v>45</v>
      </c>
      <c r="N1137" s="5" t="s">
        <v>123</v>
      </c>
      <c r="O1137" s="5" t="s">
        <v>46</v>
      </c>
      <c r="P1137" s="10" t="s">
        <v>146</v>
      </c>
      <c r="Q1137" s="10" t="s">
        <v>2142</v>
      </c>
      <c r="R1137" s="10" t="s">
        <v>821</v>
      </c>
      <c r="S1137" s="5">
        <v>0</v>
      </c>
      <c r="T1137" s="37">
        <v>0</v>
      </c>
      <c r="U1137" s="5">
        <v>0</v>
      </c>
      <c r="V1137" s="37">
        <v>0</v>
      </c>
      <c r="W1137" s="5">
        <v>0</v>
      </c>
      <c r="X1137" s="5">
        <v>0</v>
      </c>
      <c r="Y1137" s="5">
        <v>0</v>
      </c>
      <c r="Z1137" s="37">
        <v>0</v>
      </c>
      <c r="AA1137" s="5">
        <v>0</v>
      </c>
      <c r="AB1137" s="5">
        <v>0</v>
      </c>
      <c r="AC1137" s="5">
        <v>0</v>
      </c>
      <c r="AD1137" s="5">
        <v>0</v>
      </c>
      <c r="AE1137" s="10" t="s">
        <v>73</v>
      </c>
      <c r="AF1137" s="10"/>
      <c r="AG1137" s="10" t="s">
        <v>333</v>
      </c>
      <c r="AH1137" s="10" t="s">
        <v>50</v>
      </c>
      <c r="AI1137" s="5">
        <v>0</v>
      </c>
      <c r="AJ1137" s="10" t="s">
        <v>6342</v>
      </c>
      <c r="AK1137" s="10" t="s">
        <v>50</v>
      </c>
    </row>
    <row r="1138" spans="1:37" ht="36.75" customHeight="1" x14ac:dyDescent="0.35">
      <c r="A1138" s="5"/>
      <c r="B1138" s="5" t="s">
        <v>37</v>
      </c>
      <c r="C1138" s="73" t="str">
        <f t="shared" si="17"/>
        <v>Closed</v>
      </c>
      <c r="D1138" s="45" t="s">
        <v>6343</v>
      </c>
      <c r="E1138" s="54" t="s">
        <v>6344</v>
      </c>
      <c r="F1138" s="5" t="s">
        <v>358</v>
      </c>
      <c r="G1138" s="10">
        <f>DATE(2011,7,23)</f>
        <v>40747</v>
      </c>
      <c r="H1138" s="35">
        <v>1.9041666666666668</v>
      </c>
      <c r="I1138" s="5" t="s">
        <v>97</v>
      </c>
      <c r="J1138" s="10" t="s">
        <v>6345</v>
      </c>
      <c r="K1138" s="5" t="s">
        <v>360</v>
      </c>
      <c r="L1138" s="5" t="s">
        <v>6346</v>
      </c>
      <c r="M1138" s="5" t="s">
        <v>45</v>
      </c>
      <c r="N1138" s="5" t="s">
        <v>70</v>
      </c>
      <c r="O1138" s="5" t="s">
        <v>46</v>
      </c>
      <c r="P1138" s="10" t="s">
        <v>146</v>
      </c>
      <c r="Q1138" s="10" t="s">
        <v>6347</v>
      </c>
      <c r="R1138" s="10" t="s">
        <v>363</v>
      </c>
      <c r="S1138" s="5">
        <v>0</v>
      </c>
      <c r="T1138" s="37">
        <v>0</v>
      </c>
      <c r="U1138" s="5">
        <v>3</v>
      </c>
      <c r="V1138" s="37">
        <v>0</v>
      </c>
      <c r="W1138" s="5">
        <v>0</v>
      </c>
      <c r="X1138" s="5">
        <v>3</v>
      </c>
      <c r="Y1138" s="5">
        <v>0</v>
      </c>
      <c r="Z1138" s="37">
        <v>0</v>
      </c>
      <c r="AA1138" s="5">
        <v>0</v>
      </c>
      <c r="AB1138" s="5">
        <v>0</v>
      </c>
      <c r="AC1138" s="5">
        <v>0</v>
      </c>
      <c r="AD1138" s="5">
        <v>0</v>
      </c>
      <c r="AE1138" s="10" t="s">
        <v>73</v>
      </c>
      <c r="AF1138" s="10"/>
      <c r="AG1138" s="10" t="s">
        <v>333</v>
      </c>
      <c r="AH1138" s="10">
        <v>40751</v>
      </c>
      <c r="AI1138" s="5">
        <v>10</v>
      </c>
      <c r="AJ1138" s="10" t="s">
        <v>6348</v>
      </c>
      <c r="AK1138" s="10" t="s">
        <v>50</v>
      </c>
    </row>
    <row r="1139" spans="1:37" ht="36.75" customHeight="1" x14ac:dyDescent="0.35">
      <c r="A1139" s="5"/>
      <c r="B1139" s="5" t="s">
        <v>37</v>
      </c>
      <c r="C1139" s="73" t="str">
        <f t="shared" si="17"/>
        <v>Closed</v>
      </c>
      <c r="D1139" s="45" t="s">
        <v>6349</v>
      </c>
      <c r="E1139" s="54" t="s">
        <v>6350</v>
      </c>
      <c r="F1139" s="5" t="s">
        <v>563</v>
      </c>
      <c r="G1139" s="10">
        <f>DATE(2011,7,26)</f>
        <v>40750</v>
      </c>
      <c r="H1139" s="35">
        <v>1.65</v>
      </c>
      <c r="I1139" s="5" t="s">
        <v>106</v>
      </c>
      <c r="J1139" s="10" t="s">
        <v>6351</v>
      </c>
      <c r="K1139" s="5" t="s">
        <v>565</v>
      </c>
      <c r="L1139" s="5" t="s">
        <v>6352</v>
      </c>
      <c r="M1139" s="5" t="s">
        <v>45</v>
      </c>
      <c r="N1139" s="5" t="s">
        <v>123</v>
      </c>
      <c r="O1139" s="5" t="s">
        <v>59</v>
      </c>
      <c r="P1139" s="10" t="s">
        <v>146</v>
      </c>
      <c r="Q1139" s="10" t="s">
        <v>4467</v>
      </c>
      <c r="R1139" s="10" t="s">
        <v>568</v>
      </c>
      <c r="S1139" s="5">
        <v>0</v>
      </c>
      <c r="T1139" s="37">
        <v>0</v>
      </c>
      <c r="U1139" s="5">
        <v>0</v>
      </c>
      <c r="V1139" s="37">
        <v>0</v>
      </c>
      <c r="W1139" s="5">
        <v>0</v>
      </c>
      <c r="X1139" s="5">
        <v>0</v>
      </c>
      <c r="Y1139" s="5">
        <v>0</v>
      </c>
      <c r="Z1139" s="37">
        <v>0</v>
      </c>
      <c r="AA1139" s="5">
        <v>0</v>
      </c>
      <c r="AB1139" s="5">
        <v>0</v>
      </c>
      <c r="AC1139" s="5">
        <v>0</v>
      </c>
      <c r="AD1139" s="5">
        <v>0</v>
      </c>
      <c r="AE1139" s="10" t="s">
        <v>375</v>
      </c>
      <c r="AF1139" s="10"/>
      <c r="AG1139" s="10" t="s">
        <v>114</v>
      </c>
      <c r="AH1139" s="10">
        <v>40765</v>
      </c>
      <c r="AI1139" s="5">
        <v>1</v>
      </c>
      <c r="AJ1139" s="10" t="s">
        <v>6353</v>
      </c>
      <c r="AK1139" s="10" t="s">
        <v>1215</v>
      </c>
    </row>
    <row r="1140" spans="1:37" ht="36.75" customHeight="1" x14ac:dyDescent="0.35">
      <c r="A1140" s="5"/>
      <c r="B1140" s="5" t="s">
        <v>37</v>
      </c>
      <c r="C1140" s="73" t="str">
        <f t="shared" si="17"/>
        <v>Closed</v>
      </c>
      <c r="D1140" s="45" t="s">
        <v>6354</v>
      </c>
      <c r="E1140" s="54" t="s">
        <v>6355</v>
      </c>
      <c r="F1140" s="5" t="s">
        <v>2316</v>
      </c>
      <c r="G1140" s="10">
        <f>DATE(2011,7,26)</f>
        <v>40750</v>
      </c>
      <c r="H1140" s="35">
        <v>1.9236111111111112</v>
      </c>
      <c r="I1140" s="5" t="s">
        <v>137</v>
      </c>
      <c r="J1140" s="10" t="s">
        <v>6356</v>
      </c>
      <c r="K1140" s="5" t="s">
        <v>2318</v>
      </c>
      <c r="L1140" s="5" t="s">
        <v>6357</v>
      </c>
      <c r="M1140" s="5" t="s">
        <v>45</v>
      </c>
      <c r="N1140" s="5">
        <v>0</v>
      </c>
      <c r="O1140" s="5" t="s">
        <v>46</v>
      </c>
      <c r="P1140" s="10" t="s">
        <v>60</v>
      </c>
      <c r="Q1140" s="10" t="s">
        <v>6358</v>
      </c>
      <c r="R1140" s="10" t="s">
        <v>2321</v>
      </c>
      <c r="S1140" s="5">
        <v>0</v>
      </c>
      <c r="T1140" s="37">
        <v>0</v>
      </c>
      <c r="U1140" s="5">
        <v>0</v>
      </c>
      <c r="V1140" s="37">
        <v>1</v>
      </c>
      <c r="W1140" s="5">
        <v>2</v>
      </c>
      <c r="X1140" s="5">
        <v>3</v>
      </c>
      <c r="Y1140" s="5">
        <v>0</v>
      </c>
      <c r="Z1140" s="37">
        <v>0</v>
      </c>
      <c r="AA1140" s="5">
        <v>0</v>
      </c>
      <c r="AB1140" s="5">
        <v>0</v>
      </c>
      <c r="AC1140" s="5">
        <v>0</v>
      </c>
      <c r="AD1140" s="5">
        <v>0</v>
      </c>
      <c r="AE1140" s="10" t="s">
        <v>50</v>
      </c>
      <c r="AF1140" s="10"/>
      <c r="AG1140" s="10" t="s">
        <v>64</v>
      </c>
      <c r="AH1140" s="10" t="s">
        <v>50</v>
      </c>
      <c r="AI1140" s="5">
        <v>2</v>
      </c>
      <c r="AJ1140" s="10" t="s">
        <v>6359</v>
      </c>
      <c r="AK1140" s="10" t="s">
        <v>6360</v>
      </c>
    </row>
    <row r="1141" spans="1:37" ht="36.75" customHeight="1" x14ac:dyDescent="0.35">
      <c r="A1141" s="5"/>
      <c r="B1141" s="5" t="s">
        <v>37</v>
      </c>
      <c r="C1141" s="73" t="str">
        <f t="shared" si="17"/>
        <v>Closed</v>
      </c>
      <c r="D1141" s="45" t="s">
        <v>6361</v>
      </c>
      <c r="E1141" s="54" t="s">
        <v>6362</v>
      </c>
      <c r="F1141" s="5" t="s">
        <v>1553</v>
      </c>
      <c r="G1141" s="10">
        <f>DATE(2011,7,27)</f>
        <v>40751</v>
      </c>
      <c r="H1141" s="35">
        <v>1.1097222222222223</v>
      </c>
      <c r="I1141" s="5" t="s">
        <v>55</v>
      </c>
      <c r="J1141" s="10" t="s">
        <v>6363</v>
      </c>
      <c r="K1141" s="5" t="s">
        <v>1555</v>
      </c>
      <c r="L1141" s="5" t="s">
        <v>6364</v>
      </c>
      <c r="M1141" s="5" t="s">
        <v>45</v>
      </c>
      <c r="N1141" s="5">
        <v>0</v>
      </c>
      <c r="O1141" s="5" t="s">
        <v>59</v>
      </c>
      <c r="P1141" s="10" t="s">
        <v>60</v>
      </c>
      <c r="Q1141" s="10" t="s">
        <v>2635</v>
      </c>
      <c r="R1141" s="10">
        <v>0</v>
      </c>
      <c r="S1141" s="5">
        <v>0</v>
      </c>
      <c r="T1141" s="37">
        <v>0</v>
      </c>
      <c r="U1141" s="5">
        <v>0</v>
      </c>
      <c r="V1141" s="37">
        <v>0</v>
      </c>
      <c r="W1141" s="5">
        <v>0</v>
      </c>
      <c r="X1141" s="5">
        <v>0</v>
      </c>
      <c r="Y1141" s="5">
        <v>0</v>
      </c>
      <c r="Z1141" s="37">
        <v>0</v>
      </c>
      <c r="AA1141" s="5">
        <v>0</v>
      </c>
      <c r="AB1141" s="5">
        <v>0</v>
      </c>
      <c r="AC1141" s="5">
        <v>0</v>
      </c>
      <c r="AD1141" s="5">
        <v>0</v>
      </c>
      <c r="AE1141" s="10" t="s">
        <v>50</v>
      </c>
      <c r="AF1141" s="10"/>
      <c r="AG1141" s="10" t="s">
        <v>114</v>
      </c>
      <c r="AH1141" s="10">
        <v>40751</v>
      </c>
      <c r="AI1141" s="5">
        <v>0</v>
      </c>
      <c r="AJ1141" s="10" t="s">
        <v>6365</v>
      </c>
      <c r="AK1141" s="10" t="s">
        <v>6366</v>
      </c>
    </row>
    <row r="1142" spans="1:37" ht="36.75" customHeight="1" x14ac:dyDescent="0.35">
      <c r="A1142" s="5"/>
      <c r="B1142" s="5" t="s">
        <v>37</v>
      </c>
      <c r="C1142" s="73" t="str">
        <f t="shared" si="17"/>
        <v>Closed</v>
      </c>
      <c r="D1142" s="45" t="s">
        <v>6367</v>
      </c>
      <c r="E1142" s="54" t="s">
        <v>6368</v>
      </c>
      <c r="F1142" s="5" t="s">
        <v>214</v>
      </c>
      <c r="G1142" s="10">
        <f>DATE(2011,7,27)</f>
        <v>40751</v>
      </c>
      <c r="H1142" s="35">
        <v>1.7465277777777777</v>
      </c>
      <c r="I1142" s="5" t="s">
        <v>55</v>
      </c>
      <c r="J1142" s="10" t="s">
        <v>6369</v>
      </c>
      <c r="K1142" s="5" t="s">
        <v>216</v>
      </c>
      <c r="L1142" s="5" t="s">
        <v>6370</v>
      </c>
      <c r="M1142" s="5" t="s">
        <v>45</v>
      </c>
      <c r="N1142" s="5">
        <v>0</v>
      </c>
      <c r="O1142" s="5" t="s">
        <v>46</v>
      </c>
      <c r="P1142" s="10" t="s">
        <v>146</v>
      </c>
      <c r="Q1142" s="10" t="s">
        <v>340</v>
      </c>
      <c r="R1142" s="10" t="s">
        <v>219</v>
      </c>
      <c r="S1142" s="5">
        <v>0</v>
      </c>
      <c r="T1142" s="37">
        <v>0</v>
      </c>
      <c r="U1142" s="5">
        <v>0</v>
      </c>
      <c r="V1142" s="37">
        <v>0</v>
      </c>
      <c r="W1142" s="5">
        <v>0</v>
      </c>
      <c r="X1142" s="5">
        <v>0</v>
      </c>
      <c r="Y1142" s="5">
        <v>0</v>
      </c>
      <c r="Z1142" s="37">
        <v>0</v>
      </c>
      <c r="AA1142" s="5">
        <v>0</v>
      </c>
      <c r="AB1142" s="5">
        <v>0</v>
      </c>
      <c r="AC1142" s="5">
        <v>0</v>
      </c>
      <c r="AD1142" s="5">
        <v>0</v>
      </c>
      <c r="AE1142" s="10" t="s">
        <v>50</v>
      </c>
      <c r="AF1142" s="10"/>
      <c r="AG1142" s="10" t="s">
        <v>114</v>
      </c>
      <c r="AH1142" s="10" t="s">
        <v>50</v>
      </c>
      <c r="AI1142" s="5">
        <v>5</v>
      </c>
      <c r="AJ1142" s="10" t="s">
        <v>6371</v>
      </c>
      <c r="AK1142" s="10" t="s">
        <v>6372</v>
      </c>
    </row>
    <row r="1143" spans="1:37" ht="36.75" customHeight="1" x14ac:dyDescent="0.35">
      <c r="A1143" s="5"/>
      <c r="B1143" s="5" t="s">
        <v>37</v>
      </c>
      <c r="C1143" s="73" t="str">
        <f t="shared" si="17"/>
        <v>Closed</v>
      </c>
      <c r="D1143" s="45" t="s">
        <v>6373</v>
      </c>
      <c r="E1143" s="54" t="s">
        <v>6374</v>
      </c>
      <c r="F1143" s="5" t="s">
        <v>404</v>
      </c>
      <c r="G1143" s="10">
        <f>DATE(2011,7,29)</f>
        <v>40753</v>
      </c>
      <c r="H1143" s="35">
        <v>1.4270833333333333</v>
      </c>
      <c r="I1143" s="5" t="s">
        <v>55</v>
      </c>
      <c r="J1143" s="10" t="s">
        <v>6375</v>
      </c>
      <c r="K1143" s="5" t="s">
        <v>406</v>
      </c>
      <c r="L1143" s="5" t="s">
        <v>6376</v>
      </c>
      <c r="M1143" s="5" t="s">
        <v>45</v>
      </c>
      <c r="N1143" s="5">
        <v>0</v>
      </c>
      <c r="O1143" s="5" t="s">
        <v>59</v>
      </c>
      <c r="P1143" s="10" t="s">
        <v>67</v>
      </c>
      <c r="Q1143" s="10" t="s">
        <v>408</v>
      </c>
      <c r="R1143" s="10" t="s">
        <v>3083</v>
      </c>
      <c r="S1143" s="5">
        <v>0</v>
      </c>
      <c r="T1143" s="37" t="s">
        <v>50</v>
      </c>
      <c r="U1143" s="5">
        <v>0</v>
      </c>
      <c r="V1143" s="37" t="s">
        <v>50</v>
      </c>
      <c r="W1143" s="5">
        <v>0</v>
      </c>
      <c r="X1143" s="5">
        <v>0</v>
      </c>
      <c r="Y1143" s="5">
        <v>0</v>
      </c>
      <c r="Z1143" s="37" t="s">
        <v>50</v>
      </c>
      <c r="AA1143" s="5">
        <v>0</v>
      </c>
      <c r="AB1143" s="5">
        <v>0</v>
      </c>
      <c r="AC1143" s="5">
        <v>0</v>
      </c>
      <c r="AD1143" s="5">
        <v>0</v>
      </c>
      <c r="AE1143" s="10" t="s">
        <v>50</v>
      </c>
      <c r="AF1143" s="10"/>
      <c r="AG1143" s="10" t="s">
        <v>114</v>
      </c>
      <c r="AH1143" s="10" t="s">
        <v>50</v>
      </c>
      <c r="AI1143" s="5">
        <v>2</v>
      </c>
      <c r="AJ1143" s="10" t="s">
        <v>50</v>
      </c>
      <c r="AK1143" s="10" t="s">
        <v>2328</v>
      </c>
    </row>
    <row r="1144" spans="1:37" ht="36.75" customHeight="1" x14ac:dyDescent="0.35">
      <c r="A1144" s="5"/>
      <c r="B1144" s="5" t="s">
        <v>37</v>
      </c>
      <c r="C1144" s="73" t="str">
        <f t="shared" si="17"/>
        <v>Closed</v>
      </c>
      <c r="D1144" s="45" t="s">
        <v>6377</v>
      </c>
      <c r="E1144" s="54" t="s">
        <v>6378</v>
      </c>
      <c r="F1144" s="5" t="s">
        <v>404</v>
      </c>
      <c r="G1144" s="10">
        <f>DATE(2011,7,29)</f>
        <v>40753</v>
      </c>
      <c r="H1144" s="35">
        <v>1.6333333333333333</v>
      </c>
      <c r="I1144" s="5" t="s">
        <v>259</v>
      </c>
      <c r="J1144" s="10" t="s">
        <v>6379</v>
      </c>
      <c r="K1144" s="5" t="s">
        <v>406</v>
      </c>
      <c r="L1144" s="5" t="s">
        <v>6380</v>
      </c>
      <c r="M1144" s="5" t="s">
        <v>45</v>
      </c>
      <c r="N1144" s="5" t="s">
        <v>70</v>
      </c>
      <c r="O1144" s="5" t="s">
        <v>59</v>
      </c>
      <c r="P1144" s="10" t="s">
        <v>146</v>
      </c>
      <c r="Q1144" s="10" t="s">
        <v>6381</v>
      </c>
      <c r="R1144" s="10" t="s">
        <v>3083</v>
      </c>
      <c r="S1144" s="5">
        <v>0</v>
      </c>
      <c r="T1144" s="37">
        <v>0</v>
      </c>
      <c r="U1144" s="5">
        <v>0</v>
      </c>
      <c r="V1144" s="37">
        <v>0</v>
      </c>
      <c r="W1144" s="5">
        <v>0</v>
      </c>
      <c r="X1144" s="5">
        <v>0</v>
      </c>
      <c r="Y1144" s="5">
        <v>0</v>
      </c>
      <c r="Z1144" s="37">
        <v>0</v>
      </c>
      <c r="AA1144" s="5">
        <v>0</v>
      </c>
      <c r="AB1144" s="5">
        <v>0</v>
      </c>
      <c r="AC1144" s="5">
        <v>0</v>
      </c>
      <c r="AD1144" s="5">
        <v>0</v>
      </c>
      <c r="AE1144" s="10" t="s">
        <v>50</v>
      </c>
      <c r="AF1144" s="10"/>
      <c r="AG1144" s="10" t="s">
        <v>114</v>
      </c>
      <c r="AH1144" s="10">
        <v>41186</v>
      </c>
      <c r="AI1144" s="5">
        <v>4</v>
      </c>
      <c r="AJ1144" s="10" t="s">
        <v>6382</v>
      </c>
      <c r="AK1144" s="10" t="s">
        <v>6383</v>
      </c>
    </row>
    <row r="1145" spans="1:37" ht="36.75" customHeight="1" x14ac:dyDescent="0.35">
      <c r="A1145" s="5"/>
      <c r="B1145" s="5" t="s">
        <v>887</v>
      </c>
      <c r="C1145" s="73" t="str">
        <f t="shared" si="17"/>
        <v>Open</v>
      </c>
      <c r="D1145" s="45" t="s">
        <v>6384</v>
      </c>
      <c r="E1145" s="54" t="s">
        <v>6385</v>
      </c>
      <c r="F1145" s="5" t="s">
        <v>5662</v>
      </c>
      <c r="G1145" s="10">
        <f>DATE(2011,7,31)</f>
        <v>40755</v>
      </c>
      <c r="H1145" s="35">
        <v>1.7465277777777777</v>
      </c>
      <c r="I1145" s="5" t="s">
        <v>97</v>
      </c>
      <c r="J1145" s="10" t="s">
        <v>6386</v>
      </c>
      <c r="K1145" s="5" t="s">
        <v>5664</v>
      </c>
      <c r="L1145" s="5" t="s">
        <v>6387</v>
      </c>
      <c r="M1145" s="5" t="s">
        <v>45</v>
      </c>
      <c r="N1145" s="5">
        <v>0</v>
      </c>
      <c r="O1145" s="5" t="s">
        <v>46</v>
      </c>
      <c r="P1145" s="10" t="s">
        <v>47</v>
      </c>
      <c r="Q1145" s="10" t="s">
        <v>5666</v>
      </c>
      <c r="R1145" s="10" t="s">
        <v>5667</v>
      </c>
      <c r="S1145" s="5">
        <v>0</v>
      </c>
      <c r="T1145" s="37">
        <v>0</v>
      </c>
      <c r="U1145" s="5">
        <v>1</v>
      </c>
      <c r="V1145" s="37">
        <v>0</v>
      </c>
      <c r="W1145" s="5">
        <v>0</v>
      </c>
      <c r="X1145" s="5">
        <v>1</v>
      </c>
      <c r="Y1145" s="5">
        <v>0</v>
      </c>
      <c r="Z1145" s="37">
        <v>0</v>
      </c>
      <c r="AA1145" s="5">
        <v>0</v>
      </c>
      <c r="AB1145" s="5">
        <v>0</v>
      </c>
      <c r="AC1145" s="5">
        <v>0</v>
      </c>
      <c r="AD1145" s="5">
        <v>0</v>
      </c>
      <c r="AE1145" s="10" t="s">
        <v>50</v>
      </c>
      <c r="AF1145" s="10"/>
      <c r="AG1145" s="10" t="s">
        <v>64</v>
      </c>
      <c r="AH1145" s="10" t="s">
        <v>50</v>
      </c>
      <c r="AI1145" s="5">
        <v>0</v>
      </c>
      <c r="AJ1145" s="10" t="s">
        <v>50</v>
      </c>
      <c r="AK1145" s="10" t="s">
        <v>50</v>
      </c>
    </row>
    <row r="1146" spans="1:37" ht="36.75" customHeight="1" x14ac:dyDescent="0.35">
      <c r="A1146" s="5"/>
      <c r="B1146" s="5" t="s">
        <v>37</v>
      </c>
      <c r="C1146" s="73" t="str">
        <f t="shared" si="17"/>
        <v>Closed</v>
      </c>
      <c r="D1146" s="45" t="s">
        <v>6388</v>
      </c>
      <c r="E1146" s="54" t="s">
        <v>6389</v>
      </c>
      <c r="F1146" s="5" t="s">
        <v>358</v>
      </c>
      <c r="G1146" s="10">
        <f>DATE(2011,7,31)</f>
        <v>40755</v>
      </c>
      <c r="H1146" s="35">
        <v>1.6680555555555556</v>
      </c>
      <c r="I1146" s="5" t="s">
        <v>55</v>
      </c>
      <c r="J1146" s="10" t="s">
        <v>6390</v>
      </c>
      <c r="K1146" s="5" t="s">
        <v>360</v>
      </c>
      <c r="L1146" s="5" t="s">
        <v>6391</v>
      </c>
      <c r="M1146" s="5" t="s">
        <v>45</v>
      </c>
      <c r="N1146" s="5">
        <v>0</v>
      </c>
      <c r="O1146" s="5" t="s">
        <v>59</v>
      </c>
      <c r="P1146" s="10" t="s">
        <v>72</v>
      </c>
      <c r="Q1146" s="10" t="s">
        <v>2886</v>
      </c>
      <c r="R1146" s="10" t="s">
        <v>363</v>
      </c>
      <c r="S1146" s="5">
        <v>0</v>
      </c>
      <c r="T1146" s="37" t="s">
        <v>50</v>
      </c>
      <c r="U1146" s="5">
        <v>0</v>
      </c>
      <c r="V1146" s="37" t="s">
        <v>50</v>
      </c>
      <c r="W1146" s="5">
        <v>0</v>
      </c>
      <c r="X1146" s="5">
        <v>0</v>
      </c>
      <c r="Y1146" s="5">
        <v>0</v>
      </c>
      <c r="Z1146" s="37" t="s">
        <v>50</v>
      </c>
      <c r="AA1146" s="5">
        <v>0</v>
      </c>
      <c r="AB1146" s="5">
        <v>0</v>
      </c>
      <c r="AC1146" s="5">
        <v>0</v>
      </c>
      <c r="AD1146" s="5">
        <v>0</v>
      </c>
      <c r="AE1146" s="10" t="s">
        <v>50</v>
      </c>
      <c r="AF1146" s="10"/>
      <c r="AG1146" s="10" t="s">
        <v>114</v>
      </c>
      <c r="AH1146" s="10" t="s">
        <v>50</v>
      </c>
      <c r="AI1146" s="5">
        <v>4</v>
      </c>
      <c r="AJ1146" s="10" t="s">
        <v>50</v>
      </c>
      <c r="AK1146" s="10" t="s">
        <v>50</v>
      </c>
    </row>
    <row r="1147" spans="1:37" ht="36.75" customHeight="1" x14ac:dyDescent="0.35">
      <c r="A1147" s="5"/>
      <c r="B1147" s="5" t="s">
        <v>37</v>
      </c>
      <c r="C1147" s="73" t="str">
        <f t="shared" si="17"/>
        <v>Closed</v>
      </c>
      <c r="D1147" s="45" t="s">
        <v>6392</v>
      </c>
      <c r="E1147" s="54" t="s">
        <v>6393</v>
      </c>
      <c r="F1147" s="5" t="s">
        <v>816</v>
      </c>
      <c r="G1147" s="10">
        <f>DATE(2011,8,3)</f>
        <v>40758</v>
      </c>
      <c r="H1147" s="35">
        <v>1.4895833333333333</v>
      </c>
      <c r="I1147" s="5" t="s">
        <v>97</v>
      </c>
      <c r="J1147" s="10" t="s">
        <v>6394</v>
      </c>
      <c r="K1147" s="5" t="s">
        <v>818</v>
      </c>
      <c r="L1147" s="5" t="s">
        <v>6395</v>
      </c>
      <c r="M1147" s="5" t="s">
        <v>45</v>
      </c>
      <c r="N1147" s="5" t="s">
        <v>80</v>
      </c>
      <c r="O1147" s="5" t="s">
        <v>46</v>
      </c>
      <c r="P1147" s="10" t="s">
        <v>47</v>
      </c>
      <c r="Q1147" s="10" t="s">
        <v>2142</v>
      </c>
      <c r="R1147" s="10" t="s">
        <v>821</v>
      </c>
      <c r="S1147" s="5">
        <v>0</v>
      </c>
      <c r="T1147" s="37">
        <v>0</v>
      </c>
      <c r="U1147" s="5">
        <v>2</v>
      </c>
      <c r="V1147" s="37">
        <v>0</v>
      </c>
      <c r="W1147" s="5">
        <v>0</v>
      </c>
      <c r="X1147" s="5">
        <v>2</v>
      </c>
      <c r="Y1147" s="5">
        <v>0</v>
      </c>
      <c r="Z1147" s="37">
        <v>0</v>
      </c>
      <c r="AA1147" s="5">
        <v>0</v>
      </c>
      <c r="AB1147" s="5">
        <v>0</v>
      </c>
      <c r="AC1147" s="5">
        <v>0</v>
      </c>
      <c r="AD1147" s="5">
        <v>0</v>
      </c>
      <c r="AE1147" s="10" t="s">
        <v>73</v>
      </c>
      <c r="AF1147" s="10"/>
      <c r="AG1147" s="10" t="s">
        <v>333</v>
      </c>
      <c r="AH1147" s="10">
        <v>40785</v>
      </c>
      <c r="AI1147" s="5">
        <v>1</v>
      </c>
      <c r="AJ1147" s="10" t="s">
        <v>6396</v>
      </c>
      <c r="AK1147" s="10" t="s">
        <v>50</v>
      </c>
    </row>
    <row r="1148" spans="1:37" ht="36.75" customHeight="1" x14ac:dyDescent="0.35">
      <c r="A1148" s="5"/>
      <c r="B1148" s="5" t="s">
        <v>37</v>
      </c>
      <c r="C1148" s="73" t="str">
        <f t="shared" si="17"/>
        <v>Closed</v>
      </c>
      <c r="D1148" s="45" t="s">
        <v>6397</v>
      </c>
      <c r="E1148" s="54" t="s">
        <v>6398</v>
      </c>
      <c r="F1148" s="5" t="s">
        <v>816</v>
      </c>
      <c r="G1148" s="10">
        <f>DATE(2011,8,8)</f>
        <v>40763</v>
      </c>
      <c r="H1148" s="35">
        <v>1.4854166666666666</v>
      </c>
      <c r="I1148" s="5" t="s">
        <v>259</v>
      </c>
      <c r="J1148" s="10" t="s">
        <v>6399</v>
      </c>
      <c r="K1148" s="5" t="s">
        <v>818</v>
      </c>
      <c r="L1148" s="5" t="s">
        <v>6400</v>
      </c>
      <c r="M1148" s="5" t="s">
        <v>45</v>
      </c>
      <c r="N1148" s="5" t="s">
        <v>123</v>
      </c>
      <c r="O1148" s="5" t="s">
        <v>46</v>
      </c>
      <c r="P1148" s="10" t="s">
        <v>47</v>
      </c>
      <c r="Q1148" s="10" t="s">
        <v>2142</v>
      </c>
      <c r="R1148" s="10" t="s">
        <v>821</v>
      </c>
      <c r="S1148" s="5">
        <v>1</v>
      </c>
      <c r="T1148" s="37">
        <v>0</v>
      </c>
      <c r="U1148" s="5">
        <v>0</v>
      </c>
      <c r="V1148" s="37">
        <v>0</v>
      </c>
      <c r="W1148" s="5">
        <v>0</v>
      </c>
      <c r="X1148" s="5">
        <v>1</v>
      </c>
      <c r="Y1148" s="5">
        <v>0</v>
      </c>
      <c r="Z1148" s="37">
        <v>0</v>
      </c>
      <c r="AA1148" s="5">
        <v>0</v>
      </c>
      <c r="AB1148" s="5">
        <v>0</v>
      </c>
      <c r="AC1148" s="5">
        <v>0</v>
      </c>
      <c r="AD1148" s="5">
        <v>0</v>
      </c>
      <c r="AE1148" s="10" t="s">
        <v>73</v>
      </c>
      <c r="AF1148" s="10"/>
      <c r="AG1148" s="10" t="s">
        <v>333</v>
      </c>
      <c r="AH1148" s="10">
        <v>40792</v>
      </c>
      <c r="AI1148" s="5">
        <v>0</v>
      </c>
      <c r="AJ1148" s="10" t="s">
        <v>6401</v>
      </c>
      <c r="AK1148" s="10" t="s">
        <v>6402</v>
      </c>
    </row>
    <row r="1149" spans="1:37" ht="36.75" customHeight="1" x14ac:dyDescent="0.35">
      <c r="A1149" s="5"/>
      <c r="B1149" s="5" t="s">
        <v>37</v>
      </c>
      <c r="C1149" s="73" t="str">
        <f t="shared" si="17"/>
        <v>Closed</v>
      </c>
      <c r="D1149" s="45" t="s">
        <v>6403</v>
      </c>
      <c r="E1149" s="54" t="s">
        <v>6404</v>
      </c>
      <c r="F1149" s="5" t="s">
        <v>2316</v>
      </c>
      <c r="G1149" s="10">
        <f>DATE(2011,8,12)</f>
        <v>40767</v>
      </c>
      <c r="H1149" s="35">
        <v>1.6770833333333335</v>
      </c>
      <c r="I1149" s="5" t="s">
        <v>55</v>
      </c>
      <c r="J1149" s="10" t="s">
        <v>6405</v>
      </c>
      <c r="K1149" s="5" t="s">
        <v>2318</v>
      </c>
      <c r="L1149" s="5" t="s">
        <v>6406</v>
      </c>
      <c r="M1149" s="5" t="s">
        <v>45</v>
      </c>
      <c r="N1149" s="5" t="s">
        <v>123</v>
      </c>
      <c r="O1149" s="5" t="s">
        <v>59</v>
      </c>
      <c r="P1149" s="10" t="s">
        <v>47</v>
      </c>
      <c r="Q1149" s="10" t="s">
        <v>2925</v>
      </c>
      <c r="R1149" s="10" t="s">
        <v>2321</v>
      </c>
      <c r="S1149" s="5">
        <v>2</v>
      </c>
      <c r="T1149" s="37">
        <v>0</v>
      </c>
      <c r="U1149" s="5">
        <v>0</v>
      </c>
      <c r="V1149" s="37">
        <v>0</v>
      </c>
      <c r="W1149" s="5">
        <v>0</v>
      </c>
      <c r="X1149" s="5">
        <v>2</v>
      </c>
      <c r="Y1149" s="5">
        <v>33</v>
      </c>
      <c r="Z1149" s="37">
        <v>1</v>
      </c>
      <c r="AA1149" s="5">
        <v>0</v>
      </c>
      <c r="AB1149" s="5">
        <v>0</v>
      </c>
      <c r="AC1149" s="5">
        <v>0</v>
      </c>
      <c r="AD1149" s="5">
        <v>34</v>
      </c>
      <c r="AE1149" s="10" t="s">
        <v>375</v>
      </c>
      <c r="AF1149" s="10"/>
      <c r="AG1149" s="10" t="s">
        <v>64</v>
      </c>
      <c r="AH1149" s="10">
        <v>40774</v>
      </c>
      <c r="AI1149" s="5">
        <v>11</v>
      </c>
      <c r="AJ1149" s="10" t="s">
        <v>6407</v>
      </c>
      <c r="AK1149" s="10" t="s">
        <v>6408</v>
      </c>
    </row>
    <row r="1150" spans="1:37" ht="36.75" customHeight="1" x14ac:dyDescent="0.35">
      <c r="A1150" s="5"/>
      <c r="B1150" s="5" t="s">
        <v>37</v>
      </c>
      <c r="C1150" s="73" t="str">
        <f t="shared" si="17"/>
        <v>Closed</v>
      </c>
      <c r="D1150" s="45" t="s">
        <v>6409</v>
      </c>
      <c r="E1150" s="54" t="s">
        <v>6410</v>
      </c>
      <c r="F1150" s="5" t="s">
        <v>1553</v>
      </c>
      <c r="G1150" s="10">
        <f>DATE(2011,8,16)</f>
        <v>40771</v>
      </c>
      <c r="H1150" s="35">
        <v>1.5625</v>
      </c>
      <c r="I1150" s="5" t="s">
        <v>55</v>
      </c>
      <c r="J1150" s="10" t="s">
        <v>6411</v>
      </c>
      <c r="K1150" s="5" t="s">
        <v>1555</v>
      </c>
      <c r="L1150" s="5" t="s">
        <v>6412</v>
      </c>
      <c r="M1150" s="5" t="s">
        <v>45</v>
      </c>
      <c r="N1150" s="5">
        <v>0</v>
      </c>
      <c r="O1150" s="5" t="s">
        <v>46</v>
      </c>
      <c r="P1150" s="10" t="s">
        <v>282</v>
      </c>
      <c r="Q1150" s="10" t="s">
        <v>6413</v>
      </c>
      <c r="R1150" s="10">
        <v>0</v>
      </c>
      <c r="S1150" s="5">
        <v>0</v>
      </c>
      <c r="T1150" s="37">
        <v>0</v>
      </c>
      <c r="U1150" s="5">
        <v>0</v>
      </c>
      <c r="V1150" s="37">
        <v>0</v>
      </c>
      <c r="W1150" s="5">
        <v>0</v>
      </c>
      <c r="X1150" s="5">
        <v>0</v>
      </c>
      <c r="Y1150" s="5">
        <v>0</v>
      </c>
      <c r="Z1150" s="37">
        <v>0</v>
      </c>
      <c r="AA1150" s="5">
        <v>0</v>
      </c>
      <c r="AB1150" s="5">
        <v>0</v>
      </c>
      <c r="AC1150" s="5">
        <v>0</v>
      </c>
      <c r="AD1150" s="5">
        <v>0</v>
      </c>
      <c r="AE1150" s="10" t="s">
        <v>73</v>
      </c>
      <c r="AF1150" s="10"/>
      <c r="AG1150" s="10" t="s">
        <v>114</v>
      </c>
      <c r="AH1150" s="10" t="s">
        <v>50</v>
      </c>
      <c r="AI1150" s="5">
        <v>0</v>
      </c>
      <c r="AJ1150" s="10" t="s">
        <v>6414</v>
      </c>
      <c r="AK1150" s="10" t="s">
        <v>1215</v>
      </c>
    </row>
    <row r="1151" spans="1:37" ht="36.75" customHeight="1" x14ac:dyDescent="0.35">
      <c r="A1151" s="5"/>
      <c r="B1151" s="5" t="s">
        <v>37</v>
      </c>
      <c r="C1151" s="73" t="str">
        <f t="shared" si="17"/>
        <v>Closed</v>
      </c>
      <c r="D1151" s="45" t="s">
        <v>6415</v>
      </c>
      <c r="E1151" s="54" t="s">
        <v>6416</v>
      </c>
      <c r="F1151" s="5" t="s">
        <v>1553</v>
      </c>
      <c r="G1151" s="10">
        <f>DATE(2011,8,17)</f>
        <v>40772</v>
      </c>
      <c r="H1151" s="35">
        <v>1.8194444444444446</v>
      </c>
      <c r="I1151" s="5" t="s">
        <v>55</v>
      </c>
      <c r="J1151" s="10" t="s">
        <v>6417</v>
      </c>
      <c r="K1151" s="5" t="s">
        <v>1555</v>
      </c>
      <c r="L1151" s="5" t="s">
        <v>6418</v>
      </c>
      <c r="M1151" s="5" t="s">
        <v>45</v>
      </c>
      <c r="N1151" s="5">
        <v>0</v>
      </c>
      <c r="O1151" s="5" t="s">
        <v>59</v>
      </c>
      <c r="P1151" s="10" t="s">
        <v>60</v>
      </c>
      <c r="Q1151" s="10" t="s">
        <v>2417</v>
      </c>
      <c r="R1151" s="10">
        <v>0</v>
      </c>
      <c r="S1151" s="5">
        <v>0</v>
      </c>
      <c r="T1151" s="37">
        <v>0</v>
      </c>
      <c r="U1151" s="5">
        <v>0</v>
      </c>
      <c r="V1151" s="37">
        <v>0</v>
      </c>
      <c r="W1151" s="5">
        <v>0</v>
      </c>
      <c r="X1151" s="5">
        <v>0</v>
      </c>
      <c r="Y1151" s="5">
        <v>0</v>
      </c>
      <c r="Z1151" s="37">
        <v>0</v>
      </c>
      <c r="AA1151" s="5">
        <v>0</v>
      </c>
      <c r="AB1151" s="5">
        <v>0</v>
      </c>
      <c r="AC1151" s="5">
        <v>0</v>
      </c>
      <c r="AD1151" s="5">
        <v>0</v>
      </c>
      <c r="AE1151" s="10" t="s">
        <v>73</v>
      </c>
      <c r="AF1151" s="10"/>
      <c r="AG1151" s="10" t="s">
        <v>114</v>
      </c>
      <c r="AH1151" s="10" t="s">
        <v>50</v>
      </c>
      <c r="AI1151" s="5">
        <v>0</v>
      </c>
      <c r="AJ1151" s="10" t="s">
        <v>6419</v>
      </c>
      <c r="AK1151" s="10" t="s">
        <v>1215</v>
      </c>
    </row>
    <row r="1152" spans="1:37" ht="36.75" customHeight="1" x14ac:dyDescent="0.35">
      <c r="A1152" s="5"/>
      <c r="B1152" s="5" t="s">
        <v>37</v>
      </c>
      <c r="C1152" s="73" t="str">
        <f t="shared" si="17"/>
        <v>Closed</v>
      </c>
      <c r="D1152" s="45" t="s">
        <v>6420</v>
      </c>
      <c r="E1152" s="54" t="s">
        <v>6421</v>
      </c>
      <c r="F1152" s="5" t="s">
        <v>1553</v>
      </c>
      <c r="G1152" s="10">
        <f>DATE(2011,8,22)</f>
        <v>40777</v>
      </c>
      <c r="H1152" s="35">
        <v>1.2430555555555556</v>
      </c>
      <c r="I1152" s="5" t="s">
        <v>106</v>
      </c>
      <c r="J1152" s="10" t="s">
        <v>6422</v>
      </c>
      <c r="K1152" s="5" t="s">
        <v>1555</v>
      </c>
      <c r="L1152" s="5" t="s">
        <v>6423</v>
      </c>
      <c r="M1152" s="5" t="s">
        <v>45</v>
      </c>
      <c r="N1152" s="5">
        <v>0</v>
      </c>
      <c r="O1152" s="5" t="s">
        <v>59</v>
      </c>
      <c r="P1152" s="10" t="s">
        <v>60</v>
      </c>
      <c r="Q1152" s="10" t="s">
        <v>2635</v>
      </c>
      <c r="R1152" s="10">
        <v>0</v>
      </c>
      <c r="S1152" s="5">
        <v>0</v>
      </c>
      <c r="T1152" s="37">
        <v>0</v>
      </c>
      <c r="U1152" s="5">
        <v>0</v>
      </c>
      <c r="V1152" s="37">
        <v>0</v>
      </c>
      <c r="W1152" s="5">
        <v>0</v>
      </c>
      <c r="X1152" s="5">
        <v>0</v>
      </c>
      <c r="Y1152" s="5">
        <v>0</v>
      </c>
      <c r="Z1152" s="37">
        <v>0</v>
      </c>
      <c r="AA1152" s="5">
        <v>0</v>
      </c>
      <c r="AB1152" s="5">
        <v>0</v>
      </c>
      <c r="AC1152" s="5">
        <v>0</v>
      </c>
      <c r="AD1152" s="5">
        <v>0</v>
      </c>
      <c r="AE1152" s="10" t="s">
        <v>73</v>
      </c>
      <c r="AF1152" s="10"/>
      <c r="AG1152" s="10" t="s">
        <v>114</v>
      </c>
      <c r="AH1152" s="10">
        <v>40778</v>
      </c>
      <c r="AI1152" s="5">
        <v>0</v>
      </c>
      <c r="AJ1152" s="10" t="s">
        <v>6424</v>
      </c>
      <c r="AK1152" s="10" t="s">
        <v>6425</v>
      </c>
    </row>
    <row r="1153" spans="1:37" ht="36.75" customHeight="1" x14ac:dyDescent="0.35">
      <c r="A1153" s="5"/>
      <c r="B1153" s="5" t="s">
        <v>37</v>
      </c>
      <c r="C1153" s="73" t="str">
        <f t="shared" si="17"/>
        <v>Closed</v>
      </c>
      <c r="D1153" s="45" t="s">
        <v>6426</v>
      </c>
      <c r="E1153" s="54" t="s">
        <v>6427</v>
      </c>
      <c r="F1153" s="5" t="s">
        <v>404</v>
      </c>
      <c r="G1153" s="10">
        <f>DATE(2011,8,23)</f>
        <v>40778</v>
      </c>
      <c r="H1153" s="35">
        <v>1.9090277777777778</v>
      </c>
      <c r="I1153" s="5" t="s">
        <v>179</v>
      </c>
      <c r="J1153" s="10" t="s">
        <v>6428</v>
      </c>
      <c r="K1153" s="5" t="s">
        <v>406</v>
      </c>
      <c r="L1153" s="5" t="s">
        <v>6429</v>
      </c>
      <c r="M1153" s="5" t="s">
        <v>45</v>
      </c>
      <c r="N1153" s="5" t="s">
        <v>70</v>
      </c>
      <c r="O1153" s="5" t="s">
        <v>59</v>
      </c>
      <c r="P1153" s="10" t="s">
        <v>1893</v>
      </c>
      <c r="Q1153" s="10" t="s">
        <v>3441</v>
      </c>
      <c r="R1153" s="10" t="s">
        <v>3083</v>
      </c>
      <c r="S1153" s="5">
        <v>0</v>
      </c>
      <c r="T1153" s="37">
        <v>0</v>
      </c>
      <c r="U1153" s="5">
        <v>0</v>
      </c>
      <c r="V1153" s="37">
        <v>0</v>
      </c>
      <c r="W1153" s="5">
        <v>0</v>
      </c>
      <c r="X1153" s="5">
        <v>0</v>
      </c>
      <c r="Y1153" s="5">
        <v>0</v>
      </c>
      <c r="Z1153" s="37">
        <v>1</v>
      </c>
      <c r="AA1153" s="5">
        <v>0</v>
      </c>
      <c r="AB1153" s="5">
        <v>0</v>
      </c>
      <c r="AC1153" s="5">
        <v>0</v>
      </c>
      <c r="AD1153" s="5">
        <v>1</v>
      </c>
      <c r="AE1153" s="10" t="s">
        <v>375</v>
      </c>
      <c r="AF1153" s="10"/>
      <c r="AG1153" s="10" t="s">
        <v>114</v>
      </c>
      <c r="AH1153" s="10">
        <v>40780</v>
      </c>
      <c r="AI1153" s="5">
        <v>6</v>
      </c>
      <c r="AJ1153" s="10" t="s">
        <v>6430</v>
      </c>
      <c r="AK1153" s="10" t="s">
        <v>6431</v>
      </c>
    </row>
    <row r="1154" spans="1:37" ht="36.75" customHeight="1" x14ac:dyDescent="0.35">
      <c r="A1154" s="5"/>
      <c r="B1154" s="5" t="s">
        <v>37</v>
      </c>
      <c r="C1154" s="73" t="str">
        <f t="shared" ref="C1154:C1217" si="18">IF(B1154="Notification","Open",IF(B1154="Interim Statement","In progress","Closed"))</f>
        <v>Closed</v>
      </c>
      <c r="D1154" s="45" t="s">
        <v>6432</v>
      </c>
      <c r="E1154" s="54" t="s">
        <v>6433</v>
      </c>
      <c r="F1154" s="5" t="s">
        <v>6434</v>
      </c>
      <c r="G1154" s="10">
        <f>DATE(2011,8,23)</f>
        <v>40778</v>
      </c>
      <c r="H1154" s="35">
        <v>1.4375</v>
      </c>
      <c r="I1154" s="5" t="s">
        <v>55</v>
      </c>
      <c r="J1154" s="10" t="s">
        <v>6435</v>
      </c>
      <c r="K1154" s="5" t="s">
        <v>565</v>
      </c>
      <c r="L1154" s="5" t="s">
        <v>6436</v>
      </c>
      <c r="M1154" s="5" t="s">
        <v>45</v>
      </c>
      <c r="N1154" s="5" t="s">
        <v>123</v>
      </c>
      <c r="O1154" s="5" t="s">
        <v>46</v>
      </c>
      <c r="P1154" s="10" t="s">
        <v>60</v>
      </c>
      <c r="Q1154" s="10" t="s">
        <v>567</v>
      </c>
      <c r="R1154" s="10" t="s">
        <v>568</v>
      </c>
      <c r="S1154" s="5">
        <v>0</v>
      </c>
      <c r="T1154" s="37">
        <v>0</v>
      </c>
      <c r="U1154" s="5">
        <v>0</v>
      </c>
      <c r="V1154" s="37">
        <v>0</v>
      </c>
      <c r="W1154" s="5">
        <v>0</v>
      </c>
      <c r="X1154" s="5">
        <v>0</v>
      </c>
      <c r="Y1154" s="5">
        <v>0</v>
      </c>
      <c r="Z1154" s="37">
        <v>0</v>
      </c>
      <c r="AA1154" s="5">
        <v>0</v>
      </c>
      <c r="AB1154" s="5">
        <v>0</v>
      </c>
      <c r="AC1154" s="5">
        <v>0</v>
      </c>
      <c r="AD1154" s="5">
        <v>0</v>
      </c>
      <c r="AE1154" s="10" t="s">
        <v>126</v>
      </c>
      <c r="AF1154" s="10" t="s">
        <v>6437</v>
      </c>
      <c r="AG1154" s="10" t="s">
        <v>6438</v>
      </c>
      <c r="AH1154" s="10">
        <v>40779</v>
      </c>
      <c r="AI1154" s="5">
        <v>0</v>
      </c>
      <c r="AJ1154" s="10" t="s">
        <v>6439</v>
      </c>
      <c r="AK1154" s="10" t="s">
        <v>50</v>
      </c>
    </row>
    <row r="1155" spans="1:37" ht="36.75" customHeight="1" x14ac:dyDescent="0.35">
      <c r="A1155" s="5"/>
      <c r="B1155" s="5" t="s">
        <v>37</v>
      </c>
      <c r="C1155" s="73" t="str">
        <f t="shared" si="18"/>
        <v>Closed</v>
      </c>
      <c r="D1155" s="45" t="s">
        <v>6440</v>
      </c>
      <c r="E1155" s="54" t="s">
        <v>6441</v>
      </c>
      <c r="F1155" s="5" t="s">
        <v>214</v>
      </c>
      <c r="G1155" s="10">
        <f>DATE(2011,8,24)</f>
        <v>40779</v>
      </c>
      <c r="H1155" s="35">
        <v>1.5791666666666666</v>
      </c>
      <c r="I1155" s="5" t="s">
        <v>97</v>
      </c>
      <c r="J1155" s="10" t="s">
        <v>6442</v>
      </c>
      <c r="K1155" s="5" t="s">
        <v>216</v>
      </c>
      <c r="L1155" s="5" t="s">
        <v>6443</v>
      </c>
      <c r="M1155" s="5" t="s">
        <v>45</v>
      </c>
      <c r="N1155" s="5">
        <v>0</v>
      </c>
      <c r="O1155" s="5" t="s">
        <v>46</v>
      </c>
      <c r="P1155" s="10" t="s">
        <v>146</v>
      </c>
      <c r="Q1155" s="10" t="s">
        <v>2856</v>
      </c>
      <c r="R1155" s="10" t="s">
        <v>219</v>
      </c>
      <c r="S1155" s="5">
        <v>0</v>
      </c>
      <c r="T1155" s="37">
        <v>0</v>
      </c>
      <c r="U1155" s="5">
        <v>1</v>
      </c>
      <c r="V1155" s="37">
        <v>0</v>
      </c>
      <c r="W1155" s="5">
        <v>0</v>
      </c>
      <c r="X1155" s="5">
        <v>1</v>
      </c>
      <c r="Y1155" s="5">
        <v>0</v>
      </c>
      <c r="Z1155" s="37">
        <v>0</v>
      </c>
      <c r="AA1155" s="5">
        <v>0</v>
      </c>
      <c r="AB1155" s="5">
        <v>0</v>
      </c>
      <c r="AC1155" s="5">
        <v>0</v>
      </c>
      <c r="AD1155" s="5">
        <v>0</v>
      </c>
      <c r="AE1155" s="10" t="s">
        <v>50</v>
      </c>
      <c r="AF1155" s="10"/>
      <c r="AG1155" s="10" t="s">
        <v>64</v>
      </c>
      <c r="AH1155" s="10" t="s">
        <v>50</v>
      </c>
      <c r="AI1155" s="5">
        <v>4</v>
      </c>
      <c r="AJ1155" s="10" t="s">
        <v>6444</v>
      </c>
      <c r="AK1155" s="10" t="s">
        <v>6445</v>
      </c>
    </row>
    <row r="1156" spans="1:37" ht="36.75" customHeight="1" x14ac:dyDescent="0.35">
      <c r="A1156" s="5"/>
      <c r="B1156" s="5" t="s">
        <v>37</v>
      </c>
      <c r="C1156" s="73" t="str">
        <f t="shared" si="18"/>
        <v>Closed</v>
      </c>
      <c r="D1156" s="45" t="s">
        <v>6446</v>
      </c>
      <c r="E1156" s="54" t="s">
        <v>6447</v>
      </c>
      <c r="F1156" s="5" t="s">
        <v>105</v>
      </c>
      <c r="G1156" s="10">
        <f>DATE(2011,8,25)</f>
        <v>40780</v>
      </c>
      <c r="H1156" s="35">
        <v>1.6666666666666665</v>
      </c>
      <c r="I1156" s="5" t="s">
        <v>67</v>
      </c>
      <c r="J1156" s="10" t="s">
        <v>6448</v>
      </c>
      <c r="K1156" s="5" t="s">
        <v>108</v>
      </c>
      <c r="L1156" s="5" t="s">
        <v>6449</v>
      </c>
      <c r="M1156" s="5" t="s">
        <v>45</v>
      </c>
      <c r="N1156" s="5">
        <v>0</v>
      </c>
      <c r="O1156" s="5" t="s">
        <v>59</v>
      </c>
      <c r="P1156" s="10" t="s">
        <v>146</v>
      </c>
      <c r="Q1156" s="10" t="s">
        <v>3578</v>
      </c>
      <c r="R1156" s="10" t="s">
        <v>148</v>
      </c>
      <c r="S1156" s="5">
        <v>0</v>
      </c>
      <c r="T1156" s="37" t="s">
        <v>50</v>
      </c>
      <c r="U1156" s="5">
        <v>0</v>
      </c>
      <c r="V1156" s="37" t="s">
        <v>50</v>
      </c>
      <c r="W1156" s="5">
        <v>0</v>
      </c>
      <c r="X1156" s="5">
        <v>0</v>
      </c>
      <c r="Y1156" s="5">
        <v>0</v>
      </c>
      <c r="Z1156" s="37" t="s">
        <v>50</v>
      </c>
      <c r="AA1156" s="5">
        <v>0</v>
      </c>
      <c r="AB1156" s="5">
        <v>0</v>
      </c>
      <c r="AC1156" s="5">
        <v>0</v>
      </c>
      <c r="AD1156" s="5">
        <v>0</v>
      </c>
      <c r="AE1156" s="10" t="s">
        <v>50</v>
      </c>
      <c r="AF1156" s="10"/>
      <c r="AG1156" s="10" t="s">
        <v>114</v>
      </c>
      <c r="AH1156" s="10" t="s">
        <v>50</v>
      </c>
      <c r="AI1156" s="5">
        <v>1</v>
      </c>
      <c r="AJ1156" s="10" t="s">
        <v>6450</v>
      </c>
      <c r="AK1156" s="10" t="s">
        <v>50</v>
      </c>
    </row>
    <row r="1157" spans="1:37" ht="36.75" customHeight="1" x14ac:dyDescent="0.35">
      <c r="A1157" s="5"/>
      <c r="B1157" s="5" t="s">
        <v>887</v>
      </c>
      <c r="C1157" s="73" t="str">
        <f t="shared" si="18"/>
        <v>Open</v>
      </c>
      <c r="D1157" s="45" t="s">
        <v>6451</v>
      </c>
      <c r="E1157" s="54" t="s">
        <v>6452</v>
      </c>
      <c r="F1157" s="5" t="s">
        <v>3128</v>
      </c>
      <c r="G1157" s="10">
        <f>DATE(2011,8,26)</f>
        <v>40781</v>
      </c>
      <c r="H1157" s="35">
        <v>1.6069444444444443</v>
      </c>
      <c r="I1157" s="5" t="s">
        <v>179</v>
      </c>
      <c r="J1157" s="10" t="s">
        <v>6453</v>
      </c>
      <c r="K1157" s="5" t="s">
        <v>3130</v>
      </c>
      <c r="L1157" s="5" t="s">
        <v>6454</v>
      </c>
      <c r="M1157" s="5" t="s">
        <v>45</v>
      </c>
      <c r="N1157" s="5">
        <v>0</v>
      </c>
      <c r="O1157" s="5" t="s">
        <v>59</v>
      </c>
      <c r="P1157" s="10" t="s">
        <v>197</v>
      </c>
      <c r="Q1157" s="10" t="s">
        <v>6455</v>
      </c>
      <c r="R1157" s="10" t="s">
        <v>3133</v>
      </c>
      <c r="S1157" s="5">
        <v>0</v>
      </c>
      <c r="T1157" s="37">
        <v>0</v>
      </c>
      <c r="U1157" s="5">
        <v>0</v>
      </c>
      <c r="V1157" s="37" t="s">
        <v>50</v>
      </c>
      <c r="W1157" s="5">
        <v>0</v>
      </c>
      <c r="X1157" s="5">
        <v>0</v>
      </c>
      <c r="Y1157" s="5">
        <v>9</v>
      </c>
      <c r="Z1157" s="37">
        <v>1</v>
      </c>
      <c r="AA1157" s="5">
        <v>0</v>
      </c>
      <c r="AB1157" s="5">
        <v>0</v>
      </c>
      <c r="AC1157" s="5">
        <v>0</v>
      </c>
      <c r="AD1157" s="5">
        <v>10</v>
      </c>
      <c r="AE1157" s="10" t="s">
        <v>50</v>
      </c>
      <c r="AF1157" s="10"/>
      <c r="AG1157" s="10" t="s">
        <v>64</v>
      </c>
      <c r="AH1157" s="10" t="s">
        <v>50</v>
      </c>
      <c r="AI1157" s="5">
        <v>0</v>
      </c>
      <c r="AJ1157" s="10" t="s">
        <v>50</v>
      </c>
      <c r="AK1157" s="10" t="s">
        <v>50</v>
      </c>
    </row>
    <row r="1158" spans="1:37" ht="36.75" customHeight="1" x14ac:dyDescent="0.35">
      <c r="A1158" s="5"/>
      <c r="B1158" s="5" t="s">
        <v>37</v>
      </c>
      <c r="C1158" s="73" t="str">
        <f t="shared" si="18"/>
        <v>Closed</v>
      </c>
      <c r="D1158" s="45" t="s">
        <v>6456</v>
      </c>
      <c r="E1158" s="54" t="s">
        <v>6457</v>
      </c>
      <c r="F1158" s="5" t="s">
        <v>214</v>
      </c>
      <c r="G1158" s="10">
        <f>DATE(2011,8,26)</f>
        <v>40781</v>
      </c>
      <c r="H1158" s="35">
        <v>1.03125</v>
      </c>
      <c r="I1158" s="5" t="s">
        <v>55</v>
      </c>
      <c r="J1158" s="10" t="s">
        <v>6458</v>
      </c>
      <c r="K1158" s="5" t="s">
        <v>216</v>
      </c>
      <c r="L1158" s="5" t="s">
        <v>6459</v>
      </c>
      <c r="M1158" s="5" t="s">
        <v>45</v>
      </c>
      <c r="N1158" s="5">
        <v>0</v>
      </c>
      <c r="O1158" s="5" t="s">
        <v>46</v>
      </c>
      <c r="P1158" s="10" t="s">
        <v>60</v>
      </c>
      <c r="Q1158" s="10" t="s">
        <v>4022</v>
      </c>
      <c r="R1158" s="10" t="s">
        <v>219</v>
      </c>
      <c r="S1158" s="5">
        <v>0</v>
      </c>
      <c r="T1158" s="37">
        <v>0</v>
      </c>
      <c r="U1158" s="5">
        <v>0</v>
      </c>
      <c r="V1158" s="37">
        <v>0</v>
      </c>
      <c r="W1158" s="5">
        <v>0</v>
      </c>
      <c r="X1158" s="5">
        <v>0</v>
      </c>
      <c r="Y1158" s="5">
        <v>0</v>
      </c>
      <c r="Z1158" s="37">
        <v>0</v>
      </c>
      <c r="AA1158" s="5">
        <v>0</v>
      </c>
      <c r="AB1158" s="5">
        <v>0</v>
      </c>
      <c r="AC1158" s="5">
        <v>0</v>
      </c>
      <c r="AD1158" s="5">
        <v>0</v>
      </c>
      <c r="AE1158" s="10" t="s">
        <v>50</v>
      </c>
      <c r="AF1158" s="10"/>
      <c r="AG1158" s="10" t="s">
        <v>114</v>
      </c>
      <c r="AH1158" s="10" t="s">
        <v>50</v>
      </c>
      <c r="AI1158" s="5">
        <v>4</v>
      </c>
      <c r="AJ1158" s="10" t="s">
        <v>6460</v>
      </c>
      <c r="AK1158" s="10" t="s">
        <v>6461</v>
      </c>
    </row>
    <row r="1159" spans="1:37" ht="36.75" customHeight="1" x14ac:dyDescent="0.35">
      <c r="A1159" s="5"/>
      <c r="B1159" s="5" t="s">
        <v>37</v>
      </c>
      <c r="C1159" s="73" t="str">
        <f t="shared" si="18"/>
        <v>Closed</v>
      </c>
      <c r="D1159" s="45" t="s">
        <v>6462</v>
      </c>
      <c r="E1159" s="54" t="s">
        <v>6463</v>
      </c>
      <c r="F1159" s="5" t="s">
        <v>619</v>
      </c>
      <c r="G1159" s="10">
        <f>DATE(2011,8,27)</f>
        <v>40782</v>
      </c>
      <c r="H1159" s="35">
        <v>1.8937499999999998</v>
      </c>
      <c r="I1159" s="5" t="s">
        <v>55</v>
      </c>
      <c r="J1159" s="10" t="s">
        <v>6464</v>
      </c>
      <c r="K1159" s="5" t="s">
        <v>621</v>
      </c>
      <c r="L1159" s="5" t="s">
        <v>6465</v>
      </c>
      <c r="M1159" s="5" t="s">
        <v>45</v>
      </c>
      <c r="N1159" s="5" t="s">
        <v>123</v>
      </c>
      <c r="O1159" s="5" t="s">
        <v>59</v>
      </c>
      <c r="P1159" s="10" t="s">
        <v>67</v>
      </c>
      <c r="Q1159" s="10" t="s">
        <v>623</v>
      </c>
      <c r="R1159" s="10" t="s">
        <v>624</v>
      </c>
      <c r="S1159" s="5">
        <v>0</v>
      </c>
      <c r="T1159" s="37">
        <v>0</v>
      </c>
      <c r="U1159" s="5">
        <v>0</v>
      </c>
      <c r="V1159" s="37">
        <v>0</v>
      </c>
      <c r="W1159" s="5">
        <v>0</v>
      </c>
      <c r="X1159" s="5">
        <v>0</v>
      </c>
      <c r="Y1159" s="5">
        <v>0</v>
      </c>
      <c r="Z1159" s="37">
        <v>0</v>
      </c>
      <c r="AA1159" s="5">
        <v>0</v>
      </c>
      <c r="AB1159" s="5">
        <v>0</v>
      </c>
      <c r="AC1159" s="5">
        <v>0</v>
      </c>
      <c r="AD1159" s="5">
        <v>0</v>
      </c>
      <c r="AE1159" s="10" t="s">
        <v>50</v>
      </c>
      <c r="AF1159" s="10"/>
      <c r="AG1159" s="10" t="s">
        <v>333</v>
      </c>
      <c r="AH1159" s="10">
        <v>40806</v>
      </c>
      <c r="AI1159" s="5">
        <v>1</v>
      </c>
      <c r="AJ1159" s="10" t="s">
        <v>6466</v>
      </c>
      <c r="AK1159" s="10" t="s">
        <v>50</v>
      </c>
    </row>
    <row r="1160" spans="1:37" ht="36.75" customHeight="1" x14ac:dyDescent="0.35">
      <c r="A1160" s="5"/>
      <c r="B1160" s="5" t="s">
        <v>37</v>
      </c>
      <c r="C1160" s="73" t="str">
        <f t="shared" si="18"/>
        <v>Closed</v>
      </c>
      <c r="D1160" s="45" t="s">
        <v>6467</v>
      </c>
      <c r="E1160" s="54" t="s">
        <v>6468</v>
      </c>
      <c r="F1160" s="5" t="s">
        <v>816</v>
      </c>
      <c r="G1160" s="10">
        <f>DATE(2011,8,29)</f>
        <v>40784</v>
      </c>
      <c r="H1160" s="35">
        <v>1.4013888888888888</v>
      </c>
      <c r="I1160" s="5" t="s">
        <v>55</v>
      </c>
      <c r="J1160" s="10" t="s">
        <v>6469</v>
      </c>
      <c r="K1160" s="5" t="s">
        <v>818</v>
      </c>
      <c r="L1160" s="5" t="s">
        <v>6470</v>
      </c>
      <c r="M1160" s="5" t="s">
        <v>45</v>
      </c>
      <c r="N1160" s="5" t="s">
        <v>80</v>
      </c>
      <c r="O1160" s="5" t="s">
        <v>59</v>
      </c>
      <c r="P1160" s="10" t="s">
        <v>60</v>
      </c>
      <c r="Q1160" s="10" t="s">
        <v>4688</v>
      </c>
      <c r="R1160" s="10" t="s">
        <v>821</v>
      </c>
      <c r="S1160" s="5">
        <v>0</v>
      </c>
      <c r="T1160" s="37">
        <v>0</v>
      </c>
      <c r="U1160" s="5">
        <v>0</v>
      </c>
      <c r="V1160" s="37">
        <v>0</v>
      </c>
      <c r="W1160" s="5">
        <v>0</v>
      </c>
      <c r="X1160" s="5">
        <v>0</v>
      </c>
      <c r="Y1160" s="5">
        <v>0</v>
      </c>
      <c r="Z1160" s="37">
        <v>0</v>
      </c>
      <c r="AA1160" s="5">
        <v>0</v>
      </c>
      <c r="AB1160" s="5">
        <v>0</v>
      </c>
      <c r="AC1160" s="5">
        <v>0</v>
      </c>
      <c r="AD1160" s="5">
        <v>0</v>
      </c>
      <c r="AE1160" s="10" t="s">
        <v>73</v>
      </c>
      <c r="AF1160" s="10"/>
      <c r="AG1160" s="10" t="s">
        <v>333</v>
      </c>
      <c r="AH1160" s="10">
        <v>40784</v>
      </c>
      <c r="AI1160" s="5">
        <v>1</v>
      </c>
      <c r="AJ1160" s="10" t="s">
        <v>6471</v>
      </c>
      <c r="AK1160" s="10" t="s">
        <v>50</v>
      </c>
    </row>
    <row r="1161" spans="1:37" ht="36.75" customHeight="1" x14ac:dyDescent="0.35">
      <c r="A1161" s="5"/>
      <c r="B1161" s="5" t="s">
        <v>37</v>
      </c>
      <c r="C1161" s="73" t="str">
        <f t="shared" si="18"/>
        <v>Closed</v>
      </c>
      <c r="D1161" s="45" t="s">
        <v>6472</v>
      </c>
      <c r="E1161" s="54" t="s">
        <v>6473</v>
      </c>
      <c r="F1161" s="5" t="s">
        <v>404</v>
      </c>
      <c r="G1161" s="10">
        <f>DATE(2011,8,31)</f>
        <v>40786</v>
      </c>
      <c r="H1161" s="35">
        <v>1.2145833333333333</v>
      </c>
      <c r="I1161" s="5" t="s">
        <v>179</v>
      </c>
      <c r="J1161" s="10" t="s">
        <v>6474</v>
      </c>
      <c r="K1161" s="5" t="s">
        <v>406</v>
      </c>
      <c r="L1161" s="5" t="s">
        <v>6475</v>
      </c>
      <c r="M1161" s="5" t="s">
        <v>45</v>
      </c>
      <c r="N1161" s="5">
        <v>0</v>
      </c>
      <c r="O1161" s="5" t="s">
        <v>46</v>
      </c>
      <c r="P1161" s="10" t="s">
        <v>197</v>
      </c>
      <c r="Q1161" s="10" t="s">
        <v>3441</v>
      </c>
      <c r="R1161" s="10" t="s">
        <v>3083</v>
      </c>
      <c r="S1161" s="5">
        <v>0</v>
      </c>
      <c r="T1161" s="37" t="s">
        <v>50</v>
      </c>
      <c r="U1161" s="5">
        <v>0</v>
      </c>
      <c r="V1161" s="37" t="s">
        <v>50</v>
      </c>
      <c r="W1161" s="5">
        <v>0</v>
      </c>
      <c r="X1161" s="5">
        <v>0</v>
      </c>
      <c r="Y1161" s="5">
        <v>0</v>
      </c>
      <c r="Z1161" s="37" t="s">
        <v>50</v>
      </c>
      <c r="AA1161" s="5">
        <v>0</v>
      </c>
      <c r="AB1161" s="5">
        <v>0</v>
      </c>
      <c r="AC1161" s="5">
        <v>0</v>
      </c>
      <c r="AD1161" s="5">
        <v>0</v>
      </c>
      <c r="AE1161" s="10" t="s">
        <v>50</v>
      </c>
      <c r="AF1161" s="10"/>
      <c r="AG1161" s="10" t="s">
        <v>114</v>
      </c>
      <c r="AH1161" s="10" t="s">
        <v>50</v>
      </c>
      <c r="AI1161" s="5">
        <v>0</v>
      </c>
      <c r="AJ1161" s="10" t="s">
        <v>50</v>
      </c>
      <c r="AK1161" s="10" t="s">
        <v>50</v>
      </c>
    </row>
    <row r="1162" spans="1:37" ht="36.75" customHeight="1" x14ac:dyDescent="0.35">
      <c r="A1162" s="5"/>
      <c r="B1162" s="5" t="s">
        <v>37</v>
      </c>
      <c r="C1162" s="73" t="str">
        <f t="shared" si="18"/>
        <v>Closed</v>
      </c>
      <c r="D1162" s="45" t="s">
        <v>6476</v>
      </c>
      <c r="E1162" s="54" t="s">
        <v>6477</v>
      </c>
      <c r="F1162" s="5" t="s">
        <v>1751</v>
      </c>
      <c r="G1162" s="10">
        <f>DATE(2011,9,2)</f>
        <v>40788</v>
      </c>
      <c r="H1162" s="35">
        <v>1.4583333333333333</v>
      </c>
      <c r="I1162" s="5" t="s">
        <v>55</v>
      </c>
      <c r="J1162" s="10" t="s">
        <v>6478</v>
      </c>
      <c r="K1162" s="5" t="s">
        <v>1753</v>
      </c>
      <c r="L1162" s="5" t="s">
        <v>6479</v>
      </c>
      <c r="M1162" s="5" t="s">
        <v>45</v>
      </c>
      <c r="N1162" s="5" t="s">
        <v>80</v>
      </c>
      <c r="O1162" s="5" t="s">
        <v>67</v>
      </c>
      <c r="P1162" s="10" t="s">
        <v>72</v>
      </c>
      <c r="Q1162" s="10" t="s">
        <v>6480</v>
      </c>
      <c r="R1162" s="10" t="s">
        <v>1756</v>
      </c>
      <c r="S1162" s="5">
        <v>0</v>
      </c>
      <c r="T1162" s="37">
        <v>0</v>
      </c>
      <c r="U1162" s="5">
        <v>0</v>
      </c>
      <c r="V1162" s="37">
        <v>0</v>
      </c>
      <c r="W1162" s="5">
        <v>0</v>
      </c>
      <c r="X1162" s="5">
        <v>0</v>
      </c>
      <c r="Y1162" s="5">
        <v>0</v>
      </c>
      <c r="Z1162" s="37">
        <v>0</v>
      </c>
      <c r="AA1162" s="5">
        <v>0</v>
      </c>
      <c r="AB1162" s="5">
        <v>0</v>
      </c>
      <c r="AC1162" s="5">
        <v>0</v>
      </c>
      <c r="AD1162" s="5">
        <v>0</v>
      </c>
      <c r="AE1162" s="10" t="s">
        <v>73</v>
      </c>
      <c r="AF1162" s="10"/>
      <c r="AG1162" s="10" t="s">
        <v>114</v>
      </c>
      <c r="AH1162" s="10">
        <v>40808</v>
      </c>
      <c r="AI1162" s="5">
        <v>2</v>
      </c>
      <c r="AJ1162" s="10" t="s">
        <v>6481</v>
      </c>
      <c r="AK1162" s="10" t="s">
        <v>6482</v>
      </c>
    </row>
    <row r="1163" spans="1:37" ht="36.75" customHeight="1" x14ac:dyDescent="0.35">
      <c r="A1163" s="5"/>
      <c r="B1163" s="5" t="s">
        <v>37</v>
      </c>
      <c r="C1163" s="73" t="str">
        <f t="shared" si="18"/>
        <v>Closed</v>
      </c>
      <c r="D1163" s="45" t="s">
        <v>6483</v>
      </c>
      <c r="E1163" s="54" t="s">
        <v>6484</v>
      </c>
      <c r="F1163" s="5" t="s">
        <v>214</v>
      </c>
      <c r="G1163" s="10">
        <f>DATE(2011,9,4)</f>
        <v>40790</v>
      </c>
      <c r="H1163" s="35">
        <v>1.5229166666666667</v>
      </c>
      <c r="I1163" s="5" t="s">
        <v>67</v>
      </c>
      <c r="J1163" s="10" t="s">
        <v>6485</v>
      </c>
      <c r="K1163" s="5" t="s">
        <v>216</v>
      </c>
      <c r="L1163" s="5" t="s">
        <v>6486</v>
      </c>
      <c r="M1163" s="5" t="s">
        <v>45</v>
      </c>
      <c r="N1163" s="5" t="s">
        <v>123</v>
      </c>
      <c r="O1163" s="5" t="s">
        <v>46</v>
      </c>
      <c r="P1163" s="10" t="s">
        <v>146</v>
      </c>
      <c r="Q1163" s="10" t="s">
        <v>1410</v>
      </c>
      <c r="R1163" s="10" t="s">
        <v>219</v>
      </c>
      <c r="S1163" s="5">
        <v>0</v>
      </c>
      <c r="T1163" s="37">
        <v>0</v>
      </c>
      <c r="U1163" s="5">
        <v>0</v>
      </c>
      <c r="V1163" s="37">
        <v>0</v>
      </c>
      <c r="W1163" s="5">
        <v>0</v>
      </c>
      <c r="X1163" s="5">
        <v>0</v>
      </c>
      <c r="Y1163" s="5">
        <v>0</v>
      </c>
      <c r="Z1163" s="37">
        <v>0</v>
      </c>
      <c r="AA1163" s="5">
        <v>0</v>
      </c>
      <c r="AB1163" s="5">
        <v>0</v>
      </c>
      <c r="AC1163" s="5">
        <v>0</v>
      </c>
      <c r="AD1163" s="5">
        <v>0</v>
      </c>
      <c r="AE1163" s="10" t="s">
        <v>50</v>
      </c>
      <c r="AF1163" s="10"/>
      <c r="AG1163" s="10" t="s">
        <v>114</v>
      </c>
      <c r="AH1163" s="10" t="s">
        <v>50</v>
      </c>
      <c r="AI1163" s="5">
        <v>7</v>
      </c>
      <c r="AJ1163" s="10" t="s">
        <v>6487</v>
      </c>
      <c r="AK1163" s="10" t="s">
        <v>6488</v>
      </c>
    </row>
    <row r="1164" spans="1:37" ht="36.75" customHeight="1" x14ac:dyDescent="0.35">
      <c r="A1164" s="5"/>
      <c r="B1164" s="5" t="s">
        <v>37</v>
      </c>
      <c r="C1164" s="73" t="str">
        <f t="shared" si="18"/>
        <v>Closed</v>
      </c>
      <c r="D1164" s="45" t="s">
        <v>6489</v>
      </c>
      <c r="E1164" s="54" t="s">
        <v>6490</v>
      </c>
      <c r="F1164" s="5" t="s">
        <v>105</v>
      </c>
      <c r="G1164" s="10">
        <f>DATE(2011,9,5)</f>
        <v>40791</v>
      </c>
      <c r="H1164" s="35">
        <v>1.2805555555555554</v>
      </c>
      <c r="I1164" s="5" t="s">
        <v>55</v>
      </c>
      <c r="J1164" s="10" t="s">
        <v>6491</v>
      </c>
      <c r="K1164" s="5" t="s">
        <v>108</v>
      </c>
      <c r="L1164" s="5" t="s">
        <v>6492</v>
      </c>
      <c r="M1164" s="5" t="s">
        <v>45</v>
      </c>
      <c r="N1164" s="5" t="s">
        <v>80</v>
      </c>
      <c r="O1164" s="5" t="s">
        <v>46</v>
      </c>
      <c r="P1164" s="10" t="s">
        <v>146</v>
      </c>
      <c r="Q1164" s="10" t="s">
        <v>210</v>
      </c>
      <c r="R1164" s="10" t="s">
        <v>148</v>
      </c>
      <c r="S1164" s="5">
        <v>0</v>
      </c>
      <c r="T1164" s="37">
        <v>0</v>
      </c>
      <c r="U1164" s="5">
        <v>0</v>
      </c>
      <c r="V1164" s="37">
        <v>0</v>
      </c>
      <c r="W1164" s="5">
        <v>0</v>
      </c>
      <c r="X1164" s="5">
        <v>0</v>
      </c>
      <c r="Y1164" s="5">
        <v>0</v>
      </c>
      <c r="Z1164" s="37">
        <v>2</v>
      </c>
      <c r="AA1164" s="5">
        <v>0</v>
      </c>
      <c r="AB1164" s="5">
        <v>0</v>
      </c>
      <c r="AC1164" s="5">
        <v>0</v>
      </c>
      <c r="AD1164" s="5">
        <v>2</v>
      </c>
      <c r="AE1164" s="10" t="s">
        <v>50</v>
      </c>
      <c r="AF1164" s="10"/>
      <c r="AG1164" s="10" t="s">
        <v>114</v>
      </c>
      <c r="AH1164" s="10">
        <v>40791</v>
      </c>
      <c r="AI1164" s="5">
        <v>2</v>
      </c>
      <c r="AJ1164" s="10" t="s">
        <v>6493</v>
      </c>
      <c r="AK1164" s="10" t="s">
        <v>50</v>
      </c>
    </row>
    <row r="1165" spans="1:37" ht="36.75" customHeight="1" x14ac:dyDescent="0.35">
      <c r="A1165" s="5"/>
      <c r="B1165" s="5" t="s">
        <v>37</v>
      </c>
      <c r="C1165" s="73" t="str">
        <f t="shared" si="18"/>
        <v>Closed</v>
      </c>
      <c r="D1165" s="45" t="s">
        <v>6494</v>
      </c>
      <c r="E1165" s="54" t="s">
        <v>6495</v>
      </c>
      <c r="F1165" s="5" t="s">
        <v>404</v>
      </c>
      <c r="G1165" s="10">
        <f>DATE(2011,9,7)</f>
        <v>40793</v>
      </c>
      <c r="H1165" s="35">
        <v>1.5979166666666667</v>
      </c>
      <c r="I1165" s="5" t="s">
        <v>55</v>
      </c>
      <c r="J1165" s="10" t="s">
        <v>6496</v>
      </c>
      <c r="K1165" s="5" t="s">
        <v>406</v>
      </c>
      <c r="L1165" s="5" t="s">
        <v>6497</v>
      </c>
      <c r="M1165" s="5" t="s">
        <v>45</v>
      </c>
      <c r="N1165" s="5" t="s">
        <v>70</v>
      </c>
      <c r="O1165" s="5" t="s">
        <v>59</v>
      </c>
      <c r="P1165" s="10" t="s">
        <v>60</v>
      </c>
      <c r="Q1165" s="10" t="s">
        <v>2562</v>
      </c>
      <c r="R1165" s="10" t="s">
        <v>3083</v>
      </c>
      <c r="S1165" s="5">
        <v>0</v>
      </c>
      <c r="T1165" s="37">
        <v>0</v>
      </c>
      <c r="U1165" s="5">
        <v>0</v>
      </c>
      <c r="V1165" s="37">
        <v>0</v>
      </c>
      <c r="W1165" s="5">
        <v>0</v>
      </c>
      <c r="X1165" s="5">
        <v>0</v>
      </c>
      <c r="Y1165" s="5">
        <v>0</v>
      </c>
      <c r="Z1165" s="37">
        <v>0</v>
      </c>
      <c r="AA1165" s="5">
        <v>0</v>
      </c>
      <c r="AB1165" s="5">
        <v>0</v>
      </c>
      <c r="AC1165" s="5">
        <v>0</v>
      </c>
      <c r="AD1165" s="5">
        <v>0</v>
      </c>
      <c r="AE1165" s="10" t="s">
        <v>73</v>
      </c>
      <c r="AF1165" s="10"/>
      <c r="AG1165" s="10" t="s">
        <v>114</v>
      </c>
      <c r="AH1165" s="10">
        <v>40799</v>
      </c>
      <c r="AI1165" s="5">
        <v>3</v>
      </c>
      <c r="AJ1165" s="10" t="s">
        <v>6498</v>
      </c>
      <c r="AK1165" s="10" t="s">
        <v>6499</v>
      </c>
    </row>
    <row r="1166" spans="1:37" ht="36.75" customHeight="1" x14ac:dyDescent="0.35">
      <c r="A1166" s="5"/>
      <c r="B1166" s="5" t="s">
        <v>37</v>
      </c>
      <c r="C1166" s="73" t="str">
        <f t="shared" si="18"/>
        <v>Closed</v>
      </c>
      <c r="D1166" s="45" t="s">
        <v>6500</v>
      </c>
      <c r="E1166" s="54" t="s">
        <v>6501</v>
      </c>
      <c r="F1166" s="5" t="s">
        <v>214</v>
      </c>
      <c r="G1166" s="10">
        <f>DATE(2011,9,10)</f>
        <v>40796</v>
      </c>
      <c r="H1166" s="35">
        <v>1.125</v>
      </c>
      <c r="I1166" s="5" t="s">
        <v>67</v>
      </c>
      <c r="J1166" s="10" t="s">
        <v>6502</v>
      </c>
      <c r="K1166" s="5" t="s">
        <v>216</v>
      </c>
      <c r="L1166" s="5" t="s">
        <v>6503</v>
      </c>
      <c r="M1166" s="5" t="s">
        <v>45</v>
      </c>
      <c r="N1166" s="5">
        <v>0</v>
      </c>
      <c r="O1166" s="5" t="s">
        <v>67</v>
      </c>
      <c r="P1166" s="10" t="s">
        <v>67</v>
      </c>
      <c r="Q1166" s="10" t="s">
        <v>699</v>
      </c>
      <c r="R1166" s="10" t="s">
        <v>219</v>
      </c>
      <c r="S1166" s="5">
        <v>0</v>
      </c>
      <c r="T1166" s="37">
        <v>0</v>
      </c>
      <c r="U1166" s="5">
        <v>0</v>
      </c>
      <c r="V1166" s="37">
        <v>0</v>
      </c>
      <c r="W1166" s="5">
        <v>0</v>
      </c>
      <c r="X1166" s="5">
        <v>0</v>
      </c>
      <c r="Y1166" s="5">
        <v>0</v>
      </c>
      <c r="Z1166" s="37">
        <v>0</v>
      </c>
      <c r="AA1166" s="5">
        <v>0</v>
      </c>
      <c r="AB1166" s="5">
        <v>0</v>
      </c>
      <c r="AC1166" s="5">
        <v>0</v>
      </c>
      <c r="AD1166" s="5">
        <v>0</v>
      </c>
      <c r="AE1166" s="10" t="s">
        <v>50</v>
      </c>
      <c r="AF1166" s="10"/>
      <c r="AG1166" s="10" t="s">
        <v>114</v>
      </c>
      <c r="AH1166" s="10" t="s">
        <v>50</v>
      </c>
      <c r="AI1166" s="5">
        <v>6</v>
      </c>
      <c r="AJ1166" s="10" t="s">
        <v>6504</v>
      </c>
      <c r="AK1166" s="10" t="s">
        <v>6505</v>
      </c>
    </row>
    <row r="1167" spans="1:37" ht="36.75" customHeight="1" x14ac:dyDescent="0.35">
      <c r="A1167" s="5"/>
      <c r="B1167" s="5" t="s">
        <v>37</v>
      </c>
      <c r="C1167" s="73" t="str">
        <f t="shared" si="18"/>
        <v>Closed</v>
      </c>
      <c r="D1167" s="45" t="s">
        <v>6506</v>
      </c>
      <c r="E1167" s="54" t="s">
        <v>6507</v>
      </c>
      <c r="F1167" s="5" t="s">
        <v>563</v>
      </c>
      <c r="G1167" s="10">
        <f>DATE(2011,9,11)</f>
        <v>40797</v>
      </c>
      <c r="H1167" s="35">
        <v>1.5874999999999999</v>
      </c>
      <c r="I1167" s="5" t="s">
        <v>137</v>
      </c>
      <c r="J1167" s="10" t="s">
        <v>6508</v>
      </c>
      <c r="K1167" s="5" t="s">
        <v>565</v>
      </c>
      <c r="L1167" s="5" t="s">
        <v>6509</v>
      </c>
      <c r="M1167" s="5" t="s">
        <v>45</v>
      </c>
      <c r="N1167" s="5" t="s">
        <v>123</v>
      </c>
      <c r="O1167" s="5" t="s">
        <v>46</v>
      </c>
      <c r="P1167" s="10" t="s">
        <v>47</v>
      </c>
      <c r="Q1167" s="10" t="s">
        <v>4810</v>
      </c>
      <c r="R1167" s="10" t="s">
        <v>568</v>
      </c>
      <c r="S1167" s="5">
        <v>0</v>
      </c>
      <c r="T1167" s="37">
        <v>0</v>
      </c>
      <c r="U1167" s="5">
        <v>0</v>
      </c>
      <c r="V1167" s="37">
        <v>0</v>
      </c>
      <c r="W1167" s="5">
        <v>0</v>
      </c>
      <c r="X1167" s="5">
        <v>0</v>
      </c>
      <c r="Y1167" s="5">
        <v>0</v>
      </c>
      <c r="Z1167" s="37">
        <v>0</v>
      </c>
      <c r="AA1167" s="5">
        <v>0</v>
      </c>
      <c r="AB1167" s="5">
        <v>0</v>
      </c>
      <c r="AC1167" s="5">
        <v>0</v>
      </c>
      <c r="AD1167" s="5">
        <v>0</v>
      </c>
      <c r="AE1167" s="10" t="s">
        <v>50</v>
      </c>
      <c r="AF1167" s="10"/>
      <c r="AG1167" s="10" t="s">
        <v>114</v>
      </c>
      <c r="AH1167" s="10">
        <v>40859</v>
      </c>
      <c r="AI1167" s="5">
        <v>2</v>
      </c>
      <c r="AJ1167" s="10" t="s">
        <v>6510</v>
      </c>
      <c r="AK1167" s="10" t="s">
        <v>1215</v>
      </c>
    </row>
    <row r="1168" spans="1:37" ht="36.75" customHeight="1" x14ac:dyDescent="0.35">
      <c r="A1168" s="5"/>
      <c r="B1168" s="5" t="s">
        <v>37</v>
      </c>
      <c r="C1168" s="73" t="str">
        <f t="shared" si="18"/>
        <v>Closed</v>
      </c>
      <c r="D1168" s="45" t="s">
        <v>6511</v>
      </c>
      <c r="E1168" s="54" t="s">
        <v>6512</v>
      </c>
      <c r="F1168" s="5" t="s">
        <v>404</v>
      </c>
      <c r="G1168" s="10">
        <f>DATE(2011,9,12)</f>
        <v>40798</v>
      </c>
      <c r="H1168" s="35">
        <v>1.3284722222222223</v>
      </c>
      <c r="I1168" s="5" t="s">
        <v>55</v>
      </c>
      <c r="J1168" s="10" t="s">
        <v>6513</v>
      </c>
      <c r="K1168" s="5" t="s">
        <v>406</v>
      </c>
      <c r="L1168" s="5" t="s">
        <v>6514</v>
      </c>
      <c r="M1168" s="5" t="s">
        <v>45</v>
      </c>
      <c r="N1168" s="5" t="s">
        <v>70</v>
      </c>
      <c r="O1168" s="5" t="s">
        <v>59</v>
      </c>
      <c r="P1168" s="10" t="s">
        <v>72</v>
      </c>
      <c r="Q1168" s="10" t="s">
        <v>2562</v>
      </c>
      <c r="R1168" s="10" t="s">
        <v>3083</v>
      </c>
      <c r="S1168" s="5">
        <v>0</v>
      </c>
      <c r="T1168" s="37">
        <v>1</v>
      </c>
      <c r="U1168" s="5">
        <v>0</v>
      </c>
      <c r="V1168" s="37">
        <v>0</v>
      </c>
      <c r="W1168" s="5">
        <v>0</v>
      </c>
      <c r="X1168" s="5">
        <v>1</v>
      </c>
      <c r="Y1168" s="5">
        <v>0</v>
      </c>
      <c r="Z1168" s="37">
        <v>0</v>
      </c>
      <c r="AA1168" s="5">
        <v>0</v>
      </c>
      <c r="AB1168" s="5">
        <v>0</v>
      </c>
      <c r="AC1168" s="5">
        <v>0</v>
      </c>
      <c r="AD1168" s="5">
        <v>0</v>
      </c>
      <c r="AE1168" s="10" t="s">
        <v>73</v>
      </c>
      <c r="AF1168" s="10"/>
      <c r="AG1168" s="10" t="s">
        <v>114</v>
      </c>
      <c r="AH1168" s="10">
        <v>40800</v>
      </c>
      <c r="AI1168" s="5">
        <v>3</v>
      </c>
      <c r="AJ1168" s="10" t="s">
        <v>6515</v>
      </c>
      <c r="AK1168" s="10" t="s">
        <v>6516</v>
      </c>
    </row>
    <row r="1169" spans="1:37" ht="36.75" customHeight="1" x14ac:dyDescent="0.35">
      <c r="A1169" s="5"/>
      <c r="B1169" s="5" t="s">
        <v>37</v>
      </c>
      <c r="C1169" s="73" t="str">
        <f t="shared" si="18"/>
        <v>Closed</v>
      </c>
      <c r="D1169" s="45" t="s">
        <v>6517</v>
      </c>
      <c r="E1169" s="54" t="s">
        <v>6518</v>
      </c>
      <c r="F1169" s="5" t="s">
        <v>816</v>
      </c>
      <c r="G1169" s="10">
        <f>DATE(2011,9,16)</f>
        <v>40802</v>
      </c>
      <c r="H1169" s="35">
        <v>1.6180555555555556</v>
      </c>
      <c r="I1169" s="5" t="s">
        <v>67</v>
      </c>
      <c r="J1169" s="10" t="s">
        <v>6519</v>
      </c>
      <c r="K1169" s="5" t="s">
        <v>818</v>
      </c>
      <c r="L1169" s="5" t="s">
        <v>6520</v>
      </c>
      <c r="M1169" s="5" t="s">
        <v>45</v>
      </c>
      <c r="N1169" s="5">
        <v>0</v>
      </c>
      <c r="O1169" s="5" t="s">
        <v>59</v>
      </c>
      <c r="P1169" s="10" t="s">
        <v>72</v>
      </c>
      <c r="Q1169" s="10" t="s">
        <v>2142</v>
      </c>
      <c r="R1169" s="10" t="s">
        <v>821</v>
      </c>
      <c r="S1169" s="5">
        <v>0</v>
      </c>
      <c r="T1169" s="37">
        <v>0</v>
      </c>
      <c r="U1169" s="5">
        <v>0</v>
      </c>
      <c r="V1169" s="37">
        <v>0</v>
      </c>
      <c r="W1169" s="5">
        <v>0</v>
      </c>
      <c r="X1169" s="5">
        <v>0</v>
      </c>
      <c r="Y1169" s="5">
        <v>0</v>
      </c>
      <c r="Z1169" s="37">
        <v>0</v>
      </c>
      <c r="AA1169" s="5">
        <v>0</v>
      </c>
      <c r="AB1169" s="5">
        <v>0</v>
      </c>
      <c r="AC1169" s="5">
        <v>0</v>
      </c>
      <c r="AD1169" s="5">
        <v>0</v>
      </c>
      <c r="AE1169" s="10" t="s">
        <v>73</v>
      </c>
      <c r="AF1169" s="10"/>
      <c r="AG1169" s="10" t="s">
        <v>333</v>
      </c>
      <c r="AH1169" s="10" t="s">
        <v>50</v>
      </c>
      <c r="AI1169" s="5">
        <v>0</v>
      </c>
      <c r="AJ1169" s="10" t="s">
        <v>6521</v>
      </c>
      <c r="AK1169" s="10" t="s">
        <v>50</v>
      </c>
    </row>
    <row r="1170" spans="1:37" ht="36.75" customHeight="1" x14ac:dyDescent="0.35">
      <c r="A1170" s="5"/>
      <c r="B1170" s="5" t="s">
        <v>37</v>
      </c>
      <c r="C1170" s="73" t="str">
        <f t="shared" si="18"/>
        <v>Closed</v>
      </c>
      <c r="D1170" s="45" t="s">
        <v>6522</v>
      </c>
      <c r="E1170" s="54" t="s">
        <v>6523</v>
      </c>
      <c r="F1170" s="5" t="s">
        <v>816</v>
      </c>
      <c r="G1170" s="10">
        <f>DATE(2011,9,18)</f>
        <v>40804</v>
      </c>
      <c r="H1170" s="35">
        <v>1.9548611111111112</v>
      </c>
      <c r="I1170" s="5" t="s">
        <v>85</v>
      </c>
      <c r="J1170" s="10" t="s">
        <v>6524</v>
      </c>
      <c r="K1170" s="5" t="s">
        <v>818</v>
      </c>
      <c r="L1170" s="5" t="s">
        <v>6525</v>
      </c>
      <c r="M1170" s="5" t="s">
        <v>45</v>
      </c>
      <c r="N1170" s="5" t="s">
        <v>80</v>
      </c>
      <c r="O1170" s="5" t="s">
        <v>59</v>
      </c>
      <c r="P1170" s="10" t="s">
        <v>793</v>
      </c>
      <c r="Q1170" s="10" t="s">
        <v>4291</v>
      </c>
      <c r="R1170" s="10" t="s">
        <v>2777</v>
      </c>
      <c r="S1170" s="5">
        <v>0</v>
      </c>
      <c r="T1170" s="37">
        <v>0</v>
      </c>
      <c r="U1170" s="5">
        <v>0</v>
      </c>
      <c r="V1170" s="37">
        <v>0</v>
      </c>
      <c r="W1170" s="5">
        <v>0</v>
      </c>
      <c r="X1170" s="5">
        <v>0</v>
      </c>
      <c r="Y1170" s="5">
        <v>0</v>
      </c>
      <c r="Z1170" s="37">
        <v>0</v>
      </c>
      <c r="AA1170" s="5">
        <v>0</v>
      </c>
      <c r="AB1170" s="5">
        <v>0</v>
      </c>
      <c r="AC1170" s="5">
        <v>0</v>
      </c>
      <c r="AD1170" s="5">
        <v>0</v>
      </c>
      <c r="AE1170" s="10" t="s">
        <v>73</v>
      </c>
      <c r="AF1170" s="10"/>
      <c r="AG1170" s="10" t="s">
        <v>333</v>
      </c>
      <c r="AH1170" s="10">
        <v>40805</v>
      </c>
      <c r="AI1170" s="5">
        <v>2</v>
      </c>
      <c r="AJ1170" s="10" t="s">
        <v>6032</v>
      </c>
      <c r="AK1170" s="10" t="s">
        <v>6526</v>
      </c>
    </row>
    <row r="1171" spans="1:37" ht="36.75" customHeight="1" x14ac:dyDescent="0.35">
      <c r="A1171" s="5"/>
      <c r="B1171" s="5" t="s">
        <v>37</v>
      </c>
      <c r="C1171" s="73" t="str">
        <f t="shared" si="18"/>
        <v>Closed</v>
      </c>
      <c r="D1171" s="45" t="s">
        <v>6527</v>
      </c>
      <c r="E1171" s="54" t="s">
        <v>6528</v>
      </c>
      <c r="F1171" s="5" t="s">
        <v>404</v>
      </c>
      <c r="G1171" s="10">
        <f>DATE(2011,9,19)</f>
        <v>40805</v>
      </c>
      <c r="H1171" s="35">
        <v>1.2583333333333333</v>
      </c>
      <c r="I1171" s="5" t="s">
        <v>179</v>
      </c>
      <c r="J1171" s="10" t="s">
        <v>6529</v>
      </c>
      <c r="K1171" s="5" t="s">
        <v>406</v>
      </c>
      <c r="L1171" s="5" t="s">
        <v>6530</v>
      </c>
      <c r="M1171" s="5" t="s">
        <v>236</v>
      </c>
      <c r="N1171" s="5" t="s">
        <v>123</v>
      </c>
      <c r="O1171" s="5" t="s">
        <v>59</v>
      </c>
      <c r="P1171" s="10" t="s">
        <v>6531</v>
      </c>
      <c r="Q1171" s="10" t="s">
        <v>6532</v>
      </c>
      <c r="R1171" s="10" t="s">
        <v>6533</v>
      </c>
      <c r="S1171" s="5">
        <v>0</v>
      </c>
      <c r="T1171" s="37">
        <v>0</v>
      </c>
      <c r="U1171" s="5">
        <v>0</v>
      </c>
      <c r="V1171" s="37">
        <v>0</v>
      </c>
      <c r="W1171" s="5">
        <v>0</v>
      </c>
      <c r="X1171" s="5">
        <v>0</v>
      </c>
      <c r="Y1171" s="5">
        <v>0</v>
      </c>
      <c r="Z1171" s="37">
        <v>0</v>
      </c>
      <c r="AA1171" s="5">
        <v>0</v>
      </c>
      <c r="AB1171" s="5">
        <v>0</v>
      </c>
      <c r="AC1171" s="5">
        <v>0</v>
      </c>
      <c r="AD1171" s="5">
        <v>0</v>
      </c>
      <c r="AE1171" s="10" t="s">
        <v>126</v>
      </c>
      <c r="AF1171" s="10"/>
      <c r="AG1171" s="10" t="s">
        <v>348</v>
      </c>
      <c r="AH1171" s="10">
        <v>40812</v>
      </c>
      <c r="AI1171" s="5">
        <v>3</v>
      </c>
      <c r="AJ1171" s="10" t="s">
        <v>6534</v>
      </c>
      <c r="AK1171" s="10" t="s">
        <v>693</v>
      </c>
    </row>
    <row r="1172" spans="1:37" ht="36.75" customHeight="1" x14ac:dyDescent="0.35">
      <c r="A1172" s="5"/>
      <c r="B1172" s="5" t="s">
        <v>37</v>
      </c>
      <c r="C1172" s="73" t="str">
        <f t="shared" si="18"/>
        <v>Closed</v>
      </c>
      <c r="D1172" s="45" t="s">
        <v>6535</v>
      </c>
      <c r="E1172" s="54" t="s">
        <v>6536</v>
      </c>
      <c r="F1172" s="5" t="s">
        <v>816</v>
      </c>
      <c r="G1172" s="10">
        <f>DATE(2011,9,19)</f>
        <v>40805</v>
      </c>
      <c r="H1172" s="35">
        <v>1.8680555555555554</v>
      </c>
      <c r="I1172" s="5" t="s">
        <v>67</v>
      </c>
      <c r="J1172" s="10" t="s">
        <v>6537</v>
      </c>
      <c r="K1172" s="5" t="s">
        <v>818</v>
      </c>
      <c r="L1172" s="5" t="s">
        <v>6538</v>
      </c>
      <c r="M1172" s="5" t="s">
        <v>45</v>
      </c>
      <c r="N1172" s="5" t="s">
        <v>123</v>
      </c>
      <c r="O1172" s="5" t="s">
        <v>59</v>
      </c>
      <c r="P1172" s="10" t="s">
        <v>60</v>
      </c>
      <c r="Q1172" s="10" t="s">
        <v>6539</v>
      </c>
      <c r="R1172" s="10" t="s">
        <v>821</v>
      </c>
      <c r="S1172" s="5">
        <v>0</v>
      </c>
      <c r="T1172" s="37">
        <v>0</v>
      </c>
      <c r="U1172" s="5">
        <v>0</v>
      </c>
      <c r="V1172" s="37">
        <v>0</v>
      </c>
      <c r="W1172" s="5">
        <v>0</v>
      </c>
      <c r="X1172" s="5">
        <v>0</v>
      </c>
      <c r="Y1172" s="5">
        <v>0</v>
      </c>
      <c r="Z1172" s="37">
        <v>1</v>
      </c>
      <c r="AA1172" s="5">
        <v>0</v>
      </c>
      <c r="AB1172" s="5">
        <v>0</v>
      </c>
      <c r="AC1172" s="5">
        <v>0</v>
      </c>
      <c r="AD1172" s="5">
        <v>1</v>
      </c>
      <c r="AE1172" s="10" t="s">
        <v>50</v>
      </c>
      <c r="AF1172" s="10"/>
      <c r="AG1172" s="10" t="s">
        <v>333</v>
      </c>
      <c r="AH1172" s="10">
        <v>40806</v>
      </c>
      <c r="AI1172" s="5">
        <v>0</v>
      </c>
      <c r="AJ1172" s="10" t="s">
        <v>6540</v>
      </c>
      <c r="AK1172" s="10" t="s">
        <v>50</v>
      </c>
    </row>
    <row r="1173" spans="1:37" ht="36.75" customHeight="1" x14ac:dyDescent="0.35">
      <c r="A1173" s="5"/>
      <c r="B1173" s="5" t="s">
        <v>37</v>
      </c>
      <c r="C1173" s="73" t="str">
        <f t="shared" si="18"/>
        <v>Closed</v>
      </c>
      <c r="D1173" s="45" t="s">
        <v>6541</v>
      </c>
      <c r="E1173" s="54" t="s">
        <v>6542</v>
      </c>
      <c r="F1173" s="5" t="s">
        <v>563</v>
      </c>
      <c r="G1173" s="10">
        <f>DATE(2011,9,20)</f>
        <v>40806</v>
      </c>
      <c r="H1173" s="35">
        <v>1.5499999999999998</v>
      </c>
      <c r="I1173" s="5" t="s">
        <v>97</v>
      </c>
      <c r="J1173" s="10" t="s">
        <v>6543</v>
      </c>
      <c r="K1173" s="5" t="s">
        <v>565</v>
      </c>
      <c r="L1173" s="5" t="s">
        <v>6544</v>
      </c>
      <c r="M1173" s="5" t="s">
        <v>45</v>
      </c>
      <c r="N1173" s="5" t="s">
        <v>123</v>
      </c>
      <c r="O1173" s="5" t="s">
        <v>46</v>
      </c>
      <c r="P1173" s="10" t="s">
        <v>146</v>
      </c>
      <c r="Q1173" s="10" t="s">
        <v>4467</v>
      </c>
      <c r="R1173" s="10" t="s">
        <v>568</v>
      </c>
      <c r="S1173" s="5">
        <v>0</v>
      </c>
      <c r="T1173" s="37">
        <v>0</v>
      </c>
      <c r="U1173" s="5">
        <v>0</v>
      </c>
      <c r="V1173" s="37">
        <v>0</v>
      </c>
      <c r="W1173" s="5">
        <v>0</v>
      </c>
      <c r="X1173" s="5">
        <v>0</v>
      </c>
      <c r="Y1173" s="5">
        <v>6</v>
      </c>
      <c r="Z1173" s="37">
        <v>0</v>
      </c>
      <c r="AA1173" s="5">
        <v>0</v>
      </c>
      <c r="AB1173" s="5">
        <v>0</v>
      </c>
      <c r="AC1173" s="5">
        <v>0</v>
      </c>
      <c r="AD1173" s="5">
        <v>6</v>
      </c>
      <c r="AE1173" s="10" t="s">
        <v>50</v>
      </c>
      <c r="AF1173" s="10"/>
      <c r="AG1173" s="10" t="s">
        <v>114</v>
      </c>
      <c r="AH1173" s="10">
        <v>40807</v>
      </c>
      <c r="AI1173" s="5">
        <v>0</v>
      </c>
      <c r="AJ1173" s="10" t="s">
        <v>6545</v>
      </c>
      <c r="AK1173" s="10" t="s">
        <v>1215</v>
      </c>
    </row>
    <row r="1174" spans="1:37" ht="36.75" customHeight="1" x14ac:dyDescent="0.35">
      <c r="A1174" s="5"/>
      <c r="B1174" s="5" t="s">
        <v>37</v>
      </c>
      <c r="C1174" s="73" t="str">
        <f t="shared" si="18"/>
        <v>Closed</v>
      </c>
      <c r="D1174" s="45" t="s">
        <v>6546</v>
      </c>
      <c r="E1174" s="54" t="s">
        <v>6547</v>
      </c>
      <c r="F1174" s="5" t="s">
        <v>563</v>
      </c>
      <c r="G1174" s="10">
        <f>DATE(2011,9,21)</f>
        <v>40807</v>
      </c>
      <c r="H1174" s="35">
        <v>1.85</v>
      </c>
      <c r="I1174" s="5" t="s">
        <v>179</v>
      </c>
      <c r="J1174" s="10" t="s">
        <v>6548</v>
      </c>
      <c r="K1174" s="5" t="s">
        <v>565</v>
      </c>
      <c r="L1174" s="5" t="s">
        <v>6549</v>
      </c>
      <c r="M1174" s="5" t="s">
        <v>45</v>
      </c>
      <c r="N1174" s="5" t="s">
        <v>123</v>
      </c>
      <c r="O1174" s="5" t="s">
        <v>59</v>
      </c>
      <c r="P1174" s="10" t="s">
        <v>60</v>
      </c>
      <c r="Q1174" s="10" t="s">
        <v>6550</v>
      </c>
      <c r="R1174" s="10" t="s">
        <v>568</v>
      </c>
      <c r="S1174" s="5">
        <v>0</v>
      </c>
      <c r="T1174" s="37">
        <v>0</v>
      </c>
      <c r="U1174" s="5">
        <v>0</v>
      </c>
      <c r="V1174" s="37">
        <v>0</v>
      </c>
      <c r="W1174" s="5">
        <v>0</v>
      </c>
      <c r="X1174" s="5">
        <v>0</v>
      </c>
      <c r="Y1174" s="5">
        <v>0</v>
      </c>
      <c r="Z1174" s="37">
        <v>1</v>
      </c>
      <c r="AA1174" s="5">
        <v>0</v>
      </c>
      <c r="AB1174" s="5">
        <v>0</v>
      </c>
      <c r="AC1174" s="5">
        <v>0</v>
      </c>
      <c r="AD1174" s="5">
        <v>1</v>
      </c>
      <c r="AE1174" s="10" t="s">
        <v>50</v>
      </c>
      <c r="AF1174" s="10"/>
      <c r="AG1174" s="10" t="s">
        <v>64</v>
      </c>
      <c r="AH1174" s="10">
        <v>41539</v>
      </c>
      <c r="AI1174" s="5">
        <v>1</v>
      </c>
      <c r="AJ1174" s="10" t="s">
        <v>6551</v>
      </c>
      <c r="AK1174" s="10" t="s">
        <v>1215</v>
      </c>
    </row>
    <row r="1175" spans="1:37" ht="36.75" customHeight="1" x14ac:dyDescent="0.35">
      <c r="A1175" s="5"/>
      <c r="B1175" s="5" t="s">
        <v>37</v>
      </c>
      <c r="C1175" s="73" t="str">
        <f t="shared" si="18"/>
        <v>Closed</v>
      </c>
      <c r="D1175" s="45" t="s">
        <v>6552</v>
      </c>
      <c r="E1175" s="54" t="s">
        <v>6553</v>
      </c>
      <c r="F1175" s="5" t="s">
        <v>816</v>
      </c>
      <c r="G1175" s="10">
        <f>DATE(2011,9,21)</f>
        <v>40807</v>
      </c>
      <c r="H1175" s="35">
        <v>1.2270833333333333</v>
      </c>
      <c r="I1175" s="5" t="s">
        <v>85</v>
      </c>
      <c r="J1175" s="10" t="s">
        <v>6554</v>
      </c>
      <c r="K1175" s="5" t="s">
        <v>818</v>
      </c>
      <c r="L1175" s="5" t="s">
        <v>5801</v>
      </c>
      <c r="M1175" s="5" t="s">
        <v>45</v>
      </c>
      <c r="N1175" s="5" t="s">
        <v>123</v>
      </c>
      <c r="O1175" s="5" t="s">
        <v>59</v>
      </c>
      <c r="P1175" s="10" t="s">
        <v>282</v>
      </c>
      <c r="Q1175" s="10" t="s">
        <v>6555</v>
      </c>
      <c r="R1175" s="10" t="s">
        <v>821</v>
      </c>
      <c r="S1175" s="5">
        <v>0</v>
      </c>
      <c r="T1175" s="37">
        <v>0</v>
      </c>
      <c r="U1175" s="5">
        <v>0</v>
      </c>
      <c r="V1175" s="37">
        <v>0</v>
      </c>
      <c r="W1175" s="5">
        <v>0</v>
      </c>
      <c r="X1175" s="5">
        <v>0</v>
      </c>
      <c r="Y1175" s="5">
        <v>0</v>
      </c>
      <c r="Z1175" s="37">
        <v>0</v>
      </c>
      <c r="AA1175" s="5">
        <v>0</v>
      </c>
      <c r="AB1175" s="5">
        <v>0</v>
      </c>
      <c r="AC1175" s="5">
        <v>0</v>
      </c>
      <c r="AD1175" s="5">
        <v>0</v>
      </c>
      <c r="AE1175" s="10" t="s">
        <v>73</v>
      </c>
      <c r="AF1175" s="10"/>
      <c r="AG1175" s="10" t="s">
        <v>333</v>
      </c>
      <c r="AH1175" s="10" t="s">
        <v>50</v>
      </c>
      <c r="AI1175" s="5">
        <v>0</v>
      </c>
      <c r="AJ1175" s="10" t="s">
        <v>6556</v>
      </c>
      <c r="AK1175" s="10" t="s">
        <v>50</v>
      </c>
    </row>
    <row r="1176" spans="1:37" ht="36.75" customHeight="1" x14ac:dyDescent="0.35">
      <c r="A1176" s="5"/>
      <c r="B1176" s="5" t="s">
        <v>37</v>
      </c>
      <c r="C1176" s="73" t="str">
        <f t="shared" si="18"/>
        <v>Closed</v>
      </c>
      <c r="D1176" s="45" t="s">
        <v>6557</v>
      </c>
      <c r="E1176" s="54" t="s">
        <v>6558</v>
      </c>
      <c r="F1176" s="5" t="s">
        <v>816</v>
      </c>
      <c r="G1176" s="10">
        <f>DATE(2011,9,22)</f>
        <v>40808</v>
      </c>
      <c r="H1176" s="35">
        <v>1.2083333333333333</v>
      </c>
      <c r="I1176" s="5" t="s">
        <v>55</v>
      </c>
      <c r="J1176" s="10" t="s">
        <v>6559</v>
      </c>
      <c r="K1176" s="5" t="s">
        <v>818</v>
      </c>
      <c r="L1176" s="5" t="s">
        <v>6278</v>
      </c>
      <c r="M1176" s="5" t="s">
        <v>45</v>
      </c>
      <c r="N1176" s="5" t="s">
        <v>123</v>
      </c>
      <c r="O1176" s="5" t="s">
        <v>59</v>
      </c>
      <c r="P1176" s="10" t="s">
        <v>60</v>
      </c>
      <c r="Q1176" s="10" t="s">
        <v>6560</v>
      </c>
      <c r="R1176" s="10" t="s">
        <v>821</v>
      </c>
      <c r="S1176" s="5">
        <v>0</v>
      </c>
      <c r="T1176" s="37">
        <v>0</v>
      </c>
      <c r="U1176" s="5">
        <v>0</v>
      </c>
      <c r="V1176" s="37">
        <v>0</v>
      </c>
      <c r="W1176" s="5">
        <v>0</v>
      </c>
      <c r="X1176" s="5">
        <v>0</v>
      </c>
      <c r="Y1176" s="5">
        <v>0</v>
      </c>
      <c r="Z1176" s="37">
        <v>0</v>
      </c>
      <c r="AA1176" s="5">
        <v>0</v>
      </c>
      <c r="AB1176" s="5">
        <v>0</v>
      </c>
      <c r="AC1176" s="5">
        <v>0</v>
      </c>
      <c r="AD1176" s="5">
        <v>0</v>
      </c>
      <c r="AE1176" s="10" t="s">
        <v>73</v>
      </c>
      <c r="AF1176" s="10"/>
      <c r="AG1176" s="10" t="s">
        <v>333</v>
      </c>
      <c r="AH1176" s="10">
        <v>40814</v>
      </c>
      <c r="AI1176" s="5">
        <v>0</v>
      </c>
      <c r="AJ1176" s="10" t="s">
        <v>6561</v>
      </c>
      <c r="AK1176" s="10" t="s">
        <v>50</v>
      </c>
    </row>
    <row r="1177" spans="1:37" ht="36.75" customHeight="1" x14ac:dyDescent="0.35">
      <c r="A1177" s="5"/>
      <c r="B1177" s="5" t="s">
        <v>37</v>
      </c>
      <c r="C1177" s="73" t="str">
        <f t="shared" si="18"/>
        <v>Closed</v>
      </c>
      <c r="D1177" s="45" t="s">
        <v>6562</v>
      </c>
      <c r="E1177" s="54" t="s">
        <v>6563</v>
      </c>
      <c r="F1177" s="5" t="s">
        <v>1553</v>
      </c>
      <c r="G1177" s="10">
        <f>DATE(2011,9,22)</f>
        <v>40808</v>
      </c>
      <c r="H1177" s="35">
        <v>1.3319444444444444</v>
      </c>
      <c r="I1177" s="5" t="s">
        <v>106</v>
      </c>
      <c r="J1177" s="10" t="s">
        <v>6564</v>
      </c>
      <c r="K1177" s="5" t="s">
        <v>1555</v>
      </c>
      <c r="L1177" s="5" t="s">
        <v>6565</v>
      </c>
      <c r="M1177" s="5" t="s">
        <v>45</v>
      </c>
      <c r="N1177" s="5" t="s">
        <v>123</v>
      </c>
      <c r="O1177" s="5" t="s">
        <v>46</v>
      </c>
      <c r="P1177" s="10" t="s">
        <v>47</v>
      </c>
      <c r="Q1177" s="10" t="s">
        <v>2393</v>
      </c>
      <c r="R1177" s="10">
        <v>0</v>
      </c>
      <c r="S1177" s="5">
        <v>0</v>
      </c>
      <c r="T1177" s="37">
        <v>0</v>
      </c>
      <c r="U1177" s="5">
        <v>0</v>
      </c>
      <c r="V1177" s="37">
        <v>0</v>
      </c>
      <c r="W1177" s="5">
        <v>0</v>
      </c>
      <c r="X1177" s="5">
        <v>0</v>
      </c>
      <c r="Y1177" s="5">
        <v>0</v>
      </c>
      <c r="Z1177" s="37">
        <v>0</v>
      </c>
      <c r="AA1177" s="5">
        <v>0</v>
      </c>
      <c r="AB1177" s="5">
        <v>0</v>
      </c>
      <c r="AC1177" s="5">
        <v>0</v>
      </c>
      <c r="AD1177" s="5">
        <v>0</v>
      </c>
      <c r="AE1177" s="10" t="s">
        <v>73</v>
      </c>
      <c r="AF1177" s="10"/>
      <c r="AG1177" s="10" t="s">
        <v>114</v>
      </c>
      <c r="AH1177" s="10">
        <v>40808</v>
      </c>
      <c r="AI1177" s="5">
        <v>0</v>
      </c>
      <c r="AJ1177" s="10" t="s">
        <v>6566</v>
      </c>
      <c r="AK1177" s="10" t="s">
        <v>1215</v>
      </c>
    </row>
    <row r="1178" spans="1:37" ht="36.75" customHeight="1" x14ac:dyDescent="0.35">
      <c r="A1178" s="5"/>
      <c r="B1178" s="5" t="s">
        <v>887</v>
      </c>
      <c r="C1178" s="73" t="str">
        <f t="shared" si="18"/>
        <v>Open</v>
      </c>
      <c r="D1178" s="45" t="s">
        <v>6567</v>
      </c>
      <c r="E1178" s="54" t="s">
        <v>6568</v>
      </c>
      <c r="F1178" s="5" t="s">
        <v>3128</v>
      </c>
      <c r="G1178" s="10">
        <f>DATE(2011,9,23)</f>
        <v>40809</v>
      </c>
      <c r="H1178" s="35">
        <v>1.4458333333333333</v>
      </c>
      <c r="I1178" s="5" t="s">
        <v>259</v>
      </c>
      <c r="J1178" s="10" t="s">
        <v>6569</v>
      </c>
      <c r="K1178" s="5" t="s">
        <v>3130</v>
      </c>
      <c r="L1178" s="5" t="s">
        <v>6570</v>
      </c>
      <c r="M1178" s="5" t="s">
        <v>45</v>
      </c>
      <c r="N1178" s="5">
        <v>0</v>
      </c>
      <c r="O1178" s="5" t="s">
        <v>59</v>
      </c>
      <c r="P1178" s="10" t="s">
        <v>60</v>
      </c>
      <c r="Q1178" s="10" t="s">
        <v>4509</v>
      </c>
      <c r="R1178" s="10" t="s">
        <v>3133</v>
      </c>
      <c r="S1178" s="5">
        <v>1</v>
      </c>
      <c r="T1178" s="37">
        <v>0</v>
      </c>
      <c r="U1178" s="5">
        <v>0</v>
      </c>
      <c r="V1178" s="37">
        <v>0</v>
      </c>
      <c r="W1178" s="5">
        <v>0</v>
      </c>
      <c r="X1178" s="5">
        <v>1</v>
      </c>
      <c r="Y1178" s="5">
        <v>0</v>
      </c>
      <c r="Z1178" s="37">
        <v>0</v>
      </c>
      <c r="AA1178" s="5">
        <v>0</v>
      </c>
      <c r="AB1178" s="5">
        <v>0</v>
      </c>
      <c r="AC1178" s="5">
        <v>0</v>
      </c>
      <c r="AD1178" s="5">
        <v>0</v>
      </c>
      <c r="AE1178" s="10" t="s">
        <v>50</v>
      </c>
      <c r="AF1178" s="10"/>
      <c r="AG1178" s="10" t="s">
        <v>114</v>
      </c>
      <c r="AH1178" s="10" t="s">
        <v>50</v>
      </c>
      <c r="AI1178" s="5">
        <v>0</v>
      </c>
      <c r="AJ1178" s="10" t="s">
        <v>50</v>
      </c>
      <c r="AK1178" s="10" t="s">
        <v>50</v>
      </c>
    </row>
    <row r="1179" spans="1:37" ht="36.75" customHeight="1" x14ac:dyDescent="0.35">
      <c r="A1179" s="5"/>
      <c r="B1179" s="5" t="s">
        <v>37</v>
      </c>
      <c r="C1179" s="73" t="str">
        <f t="shared" si="18"/>
        <v>Closed</v>
      </c>
      <c r="D1179" s="45" t="s">
        <v>6571</v>
      </c>
      <c r="E1179" s="54" t="s">
        <v>6572</v>
      </c>
      <c r="F1179" s="5" t="s">
        <v>214</v>
      </c>
      <c r="G1179" s="10">
        <f>DATE(2011,9,23)</f>
        <v>40809</v>
      </c>
      <c r="H1179" s="35">
        <v>1.2250000000000001</v>
      </c>
      <c r="I1179" s="5" t="s">
        <v>67</v>
      </c>
      <c r="J1179" s="10" t="s">
        <v>6573</v>
      </c>
      <c r="K1179" s="5" t="s">
        <v>216</v>
      </c>
      <c r="L1179" s="5" t="s">
        <v>6574</v>
      </c>
      <c r="M1179" s="5" t="s">
        <v>45</v>
      </c>
      <c r="N1179" s="5" t="s">
        <v>123</v>
      </c>
      <c r="O1179" s="5" t="s">
        <v>46</v>
      </c>
      <c r="P1179" s="10" t="s">
        <v>282</v>
      </c>
      <c r="Q1179" s="10" t="s">
        <v>1645</v>
      </c>
      <c r="R1179" s="10" t="s">
        <v>219</v>
      </c>
      <c r="S1179" s="5">
        <v>0</v>
      </c>
      <c r="T1179" s="37">
        <v>0</v>
      </c>
      <c r="U1179" s="5">
        <v>0</v>
      </c>
      <c r="V1179" s="37">
        <v>0</v>
      </c>
      <c r="W1179" s="5">
        <v>0</v>
      </c>
      <c r="X1179" s="5">
        <v>0</v>
      </c>
      <c r="Y1179" s="5">
        <v>0</v>
      </c>
      <c r="Z1179" s="37">
        <v>0</v>
      </c>
      <c r="AA1179" s="5">
        <v>0</v>
      </c>
      <c r="AB1179" s="5">
        <v>0</v>
      </c>
      <c r="AC1179" s="5">
        <v>0</v>
      </c>
      <c r="AD1179" s="5">
        <v>0</v>
      </c>
      <c r="AE1179" s="10" t="s">
        <v>73</v>
      </c>
      <c r="AF1179" s="10"/>
      <c r="AG1179" s="10" t="s">
        <v>114</v>
      </c>
      <c r="AH1179" s="10" t="s">
        <v>50</v>
      </c>
      <c r="AI1179" s="5">
        <v>9</v>
      </c>
      <c r="AJ1179" s="10" t="s">
        <v>6575</v>
      </c>
      <c r="AK1179" s="10" t="s">
        <v>6576</v>
      </c>
    </row>
    <row r="1180" spans="1:37" ht="36.75" customHeight="1" x14ac:dyDescent="0.35">
      <c r="A1180" s="5"/>
      <c r="B1180" s="5" t="s">
        <v>37</v>
      </c>
      <c r="C1180" s="73" t="str">
        <f t="shared" si="18"/>
        <v>Closed</v>
      </c>
      <c r="D1180" s="45" t="s">
        <v>6577</v>
      </c>
      <c r="E1180" s="54" t="s">
        <v>6578</v>
      </c>
      <c r="F1180" s="5" t="s">
        <v>358</v>
      </c>
      <c r="G1180" s="10">
        <f>DATE(2011,9,24)</f>
        <v>40810</v>
      </c>
      <c r="H1180" s="35">
        <v>1.5513888888888889</v>
      </c>
      <c r="I1180" s="5" t="s">
        <v>6579</v>
      </c>
      <c r="J1180" s="10" t="s">
        <v>6580</v>
      </c>
      <c r="K1180" s="5" t="s">
        <v>360</v>
      </c>
      <c r="L1180" s="5" t="s">
        <v>6581</v>
      </c>
      <c r="M1180" s="5" t="s">
        <v>45</v>
      </c>
      <c r="N1180" s="5" t="s">
        <v>123</v>
      </c>
      <c r="O1180" s="5" t="s">
        <v>46</v>
      </c>
      <c r="P1180" s="10" t="s">
        <v>47</v>
      </c>
      <c r="Q1180" s="10" t="s">
        <v>2886</v>
      </c>
      <c r="R1180" s="10" t="s">
        <v>363</v>
      </c>
      <c r="S1180" s="5">
        <v>0</v>
      </c>
      <c r="T1180" s="37">
        <v>0</v>
      </c>
      <c r="U1180" s="5">
        <v>0</v>
      </c>
      <c r="V1180" s="37">
        <v>0</v>
      </c>
      <c r="W1180" s="5">
        <v>0</v>
      </c>
      <c r="X1180" s="5">
        <v>0</v>
      </c>
      <c r="Y1180" s="5">
        <v>0</v>
      </c>
      <c r="Z1180" s="37">
        <v>0</v>
      </c>
      <c r="AA1180" s="5">
        <v>0</v>
      </c>
      <c r="AB1180" s="5">
        <v>0</v>
      </c>
      <c r="AC1180" s="5">
        <v>0</v>
      </c>
      <c r="AD1180" s="5">
        <v>0</v>
      </c>
      <c r="AE1180" s="10" t="s">
        <v>73</v>
      </c>
      <c r="AF1180" s="10"/>
      <c r="AG1180" s="10" t="s">
        <v>114</v>
      </c>
      <c r="AH1180" s="10">
        <v>41178</v>
      </c>
      <c r="AI1180" s="5">
        <v>1</v>
      </c>
      <c r="AJ1180" s="10" t="s">
        <v>6582</v>
      </c>
      <c r="AK1180" s="10" t="s">
        <v>6583</v>
      </c>
    </row>
    <row r="1181" spans="1:37" ht="36.75" customHeight="1" x14ac:dyDescent="0.35">
      <c r="A1181" s="5"/>
      <c r="B1181" s="5" t="s">
        <v>37</v>
      </c>
      <c r="C1181" s="73" t="str">
        <f t="shared" si="18"/>
        <v>Closed</v>
      </c>
      <c r="D1181" s="45" t="s">
        <v>6584</v>
      </c>
      <c r="E1181" s="54" t="s">
        <v>6585</v>
      </c>
      <c r="F1181" s="5" t="s">
        <v>214</v>
      </c>
      <c r="G1181" s="10">
        <f>DATE(2011,9,25)</f>
        <v>40811</v>
      </c>
      <c r="H1181" s="35">
        <v>1.4340277777777777</v>
      </c>
      <c r="I1181" s="5" t="s">
        <v>137</v>
      </c>
      <c r="J1181" s="10" t="s">
        <v>6586</v>
      </c>
      <c r="K1181" s="5" t="s">
        <v>216</v>
      </c>
      <c r="L1181" s="5" t="s">
        <v>6587</v>
      </c>
      <c r="M1181" s="5" t="s">
        <v>45</v>
      </c>
      <c r="N1181" s="5">
        <v>0</v>
      </c>
      <c r="O1181" s="5" t="s">
        <v>46</v>
      </c>
      <c r="P1181" s="10" t="s">
        <v>146</v>
      </c>
      <c r="Q1181" s="10" t="s">
        <v>6082</v>
      </c>
      <c r="R1181" s="10" t="s">
        <v>219</v>
      </c>
      <c r="S1181" s="5">
        <v>0</v>
      </c>
      <c r="T1181" s="37">
        <v>0</v>
      </c>
      <c r="U1181" s="5">
        <v>0</v>
      </c>
      <c r="V1181" s="37">
        <v>0</v>
      </c>
      <c r="W1181" s="5">
        <v>0</v>
      </c>
      <c r="X1181" s="5">
        <v>0</v>
      </c>
      <c r="Y1181" s="5">
        <v>0</v>
      </c>
      <c r="Z1181" s="37">
        <v>1</v>
      </c>
      <c r="AA1181" s="5">
        <v>1</v>
      </c>
      <c r="AB1181" s="5">
        <v>0</v>
      </c>
      <c r="AC1181" s="5">
        <v>0</v>
      </c>
      <c r="AD1181" s="5">
        <v>2</v>
      </c>
      <c r="AE1181" s="10" t="s">
        <v>50</v>
      </c>
      <c r="AF1181" s="10"/>
      <c r="AG1181" s="10" t="s">
        <v>114</v>
      </c>
      <c r="AH1181" s="10" t="s">
        <v>50</v>
      </c>
      <c r="AI1181" s="5">
        <v>0</v>
      </c>
      <c r="AJ1181" s="10" t="s">
        <v>6588</v>
      </c>
      <c r="AK1181" s="10" t="s">
        <v>50</v>
      </c>
    </row>
    <row r="1182" spans="1:37" ht="36.75" customHeight="1" x14ac:dyDescent="0.35">
      <c r="A1182" s="5"/>
      <c r="B1182" s="5" t="s">
        <v>37</v>
      </c>
      <c r="C1182" s="73" t="str">
        <f t="shared" si="18"/>
        <v>Closed</v>
      </c>
      <c r="D1182" s="45" t="s">
        <v>6589</v>
      </c>
      <c r="E1182" s="54" t="s">
        <v>6590</v>
      </c>
      <c r="F1182" s="5" t="s">
        <v>178</v>
      </c>
      <c r="G1182" s="10">
        <f>DATE(2011,9,29)</f>
        <v>40815</v>
      </c>
      <c r="H1182" s="35">
        <v>1.6034722222222222</v>
      </c>
      <c r="I1182" s="5" t="s">
        <v>55</v>
      </c>
      <c r="J1182" s="10" t="s">
        <v>6591</v>
      </c>
      <c r="K1182" s="5" t="s">
        <v>181</v>
      </c>
      <c r="L1182" s="5" t="s">
        <v>6592</v>
      </c>
      <c r="M1182" s="5" t="s">
        <v>45</v>
      </c>
      <c r="N1182" s="5" t="s">
        <v>80</v>
      </c>
      <c r="O1182" s="5" t="s">
        <v>46</v>
      </c>
      <c r="P1182" s="10" t="s">
        <v>60</v>
      </c>
      <c r="Q1182" s="10" t="s">
        <v>1697</v>
      </c>
      <c r="R1182" s="10" t="s">
        <v>184</v>
      </c>
      <c r="S1182" s="5">
        <v>0</v>
      </c>
      <c r="T1182" s="37">
        <v>0</v>
      </c>
      <c r="U1182" s="5">
        <v>0</v>
      </c>
      <c r="V1182" s="37">
        <v>0</v>
      </c>
      <c r="W1182" s="5">
        <v>0</v>
      </c>
      <c r="X1182" s="5">
        <v>0</v>
      </c>
      <c r="Y1182" s="5">
        <v>0</v>
      </c>
      <c r="Z1182" s="37">
        <v>0</v>
      </c>
      <c r="AA1182" s="5">
        <v>0</v>
      </c>
      <c r="AB1182" s="5">
        <v>0</v>
      </c>
      <c r="AC1182" s="5">
        <v>0</v>
      </c>
      <c r="AD1182" s="5">
        <v>0</v>
      </c>
      <c r="AE1182" s="10" t="s">
        <v>375</v>
      </c>
      <c r="AF1182" s="10"/>
      <c r="AG1182" s="10" t="s">
        <v>114</v>
      </c>
      <c r="AH1182" s="10">
        <v>40815</v>
      </c>
      <c r="AI1182" s="5">
        <v>4</v>
      </c>
      <c r="AJ1182" s="10" t="s">
        <v>6593</v>
      </c>
      <c r="AK1182" s="10" t="s">
        <v>50</v>
      </c>
    </row>
    <row r="1183" spans="1:37" ht="36.75" customHeight="1" x14ac:dyDescent="0.35">
      <c r="A1183" s="5"/>
      <c r="B1183" s="5" t="s">
        <v>37</v>
      </c>
      <c r="C1183" s="73" t="str">
        <f t="shared" si="18"/>
        <v>Closed</v>
      </c>
      <c r="D1183" s="45" t="s">
        <v>6594</v>
      </c>
      <c r="E1183" s="54" t="s">
        <v>6595</v>
      </c>
      <c r="F1183" s="5" t="s">
        <v>404</v>
      </c>
      <c r="G1183" s="10">
        <f>DATE(2011,9,29)</f>
        <v>40815</v>
      </c>
      <c r="H1183" s="35">
        <v>1.6041666666666665</v>
      </c>
      <c r="I1183" s="5" t="s">
        <v>137</v>
      </c>
      <c r="J1183" s="10" t="s">
        <v>6596</v>
      </c>
      <c r="K1183" s="5" t="s">
        <v>406</v>
      </c>
      <c r="L1183" s="5" t="s">
        <v>6597</v>
      </c>
      <c r="M1183" s="5" t="s">
        <v>45</v>
      </c>
      <c r="N1183" s="5">
        <v>0</v>
      </c>
      <c r="O1183" s="5" t="s">
        <v>67</v>
      </c>
      <c r="P1183" s="10" t="s">
        <v>72</v>
      </c>
      <c r="Q1183" s="10" t="s">
        <v>6598</v>
      </c>
      <c r="R1183" s="10">
        <v>0</v>
      </c>
      <c r="S1183" s="5">
        <v>0</v>
      </c>
      <c r="T1183" s="37">
        <v>1</v>
      </c>
      <c r="U1183" s="5">
        <v>0</v>
      </c>
      <c r="V1183" s="37">
        <v>0</v>
      </c>
      <c r="W1183" s="5">
        <v>0</v>
      </c>
      <c r="X1183" s="5">
        <v>1</v>
      </c>
      <c r="Y1183" s="5">
        <v>0</v>
      </c>
      <c r="Z1183" s="37">
        <v>0</v>
      </c>
      <c r="AA1183" s="5">
        <v>0</v>
      </c>
      <c r="AB1183" s="5">
        <v>0</v>
      </c>
      <c r="AC1183" s="5">
        <v>0</v>
      </c>
      <c r="AD1183" s="5">
        <v>0</v>
      </c>
      <c r="AE1183" s="10" t="s">
        <v>50</v>
      </c>
      <c r="AF1183" s="10"/>
      <c r="AG1183" s="10" t="s">
        <v>1399</v>
      </c>
      <c r="AH1183" s="10" t="s">
        <v>50</v>
      </c>
      <c r="AI1183" s="5">
        <v>0</v>
      </c>
      <c r="AJ1183" s="10" t="s">
        <v>50</v>
      </c>
      <c r="AK1183" s="10" t="s">
        <v>693</v>
      </c>
    </row>
    <row r="1184" spans="1:37" ht="36.75" customHeight="1" x14ac:dyDescent="0.35">
      <c r="A1184" s="5"/>
      <c r="B1184" s="5" t="s">
        <v>37</v>
      </c>
      <c r="C1184" s="73" t="str">
        <f t="shared" si="18"/>
        <v>Closed</v>
      </c>
      <c r="D1184" s="45" t="s">
        <v>6599</v>
      </c>
      <c r="E1184" s="54" t="s">
        <v>6600</v>
      </c>
      <c r="F1184" s="5" t="s">
        <v>1919</v>
      </c>
      <c r="G1184" s="10">
        <f>DATE(2011,9,29)</f>
        <v>40815</v>
      </c>
      <c r="H1184" s="35">
        <v>1.4583333333333333</v>
      </c>
      <c r="I1184" s="5" t="s">
        <v>67</v>
      </c>
      <c r="J1184" s="10" t="s">
        <v>6601</v>
      </c>
      <c r="K1184" s="5" t="s">
        <v>1921</v>
      </c>
      <c r="L1184" s="5" t="s">
        <v>6602</v>
      </c>
      <c r="M1184" s="5" t="s">
        <v>45</v>
      </c>
      <c r="N1184" s="5">
        <v>0</v>
      </c>
      <c r="O1184" s="5" t="s">
        <v>59</v>
      </c>
      <c r="P1184" s="10" t="s">
        <v>362</v>
      </c>
      <c r="Q1184" s="10" t="s">
        <v>1923</v>
      </c>
      <c r="R1184" s="10" t="s">
        <v>1923</v>
      </c>
      <c r="S1184" s="5">
        <v>0</v>
      </c>
      <c r="T1184" s="37">
        <v>0</v>
      </c>
      <c r="U1184" s="5">
        <v>0</v>
      </c>
      <c r="V1184" s="37">
        <v>0</v>
      </c>
      <c r="W1184" s="5">
        <v>0</v>
      </c>
      <c r="X1184" s="5">
        <v>0</v>
      </c>
      <c r="Y1184" s="5">
        <v>0</v>
      </c>
      <c r="Z1184" s="37">
        <v>0</v>
      </c>
      <c r="AA1184" s="5">
        <v>0</v>
      </c>
      <c r="AB1184" s="5">
        <v>0</v>
      </c>
      <c r="AC1184" s="5">
        <v>0</v>
      </c>
      <c r="AD1184" s="5">
        <v>0</v>
      </c>
      <c r="AE1184" s="10" t="s">
        <v>50</v>
      </c>
      <c r="AF1184" s="10"/>
      <c r="AG1184" s="10" t="s">
        <v>114</v>
      </c>
      <c r="AH1184" s="10" t="s">
        <v>50</v>
      </c>
      <c r="AI1184" s="5">
        <v>4</v>
      </c>
      <c r="AJ1184" s="10" t="s">
        <v>6603</v>
      </c>
      <c r="AK1184" s="10" t="s">
        <v>6604</v>
      </c>
    </row>
    <row r="1185" spans="1:37" ht="36.75" customHeight="1" x14ac:dyDescent="0.35">
      <c r="A1185" s="5"/>
      <c r="B1185" s="5" t="s">
        <v>37</v>
      </c>
      <c r="C1185" s="73" t="str">
        <f t="shared" si="18"/>
        <v>Closed</v>
      </c>
      <c r="D1185" s="45" t="s">
        <v>6605</v>
      </c>
      <c r="E1185" s="54" t="s">
        <v>6606</v>
      </c>
      <c r="F1185" s="5" t="s">
        <v>1553</v>
      </c>
      <c r="G1185" s="10">
        <f>DATE(2011,9,29)</f>
        <v>40815</v>
      </c>
      <c r="H1185" s="35">
        <v>1.20625</v>
      </c>
      <c r="I1185" s="5" t="s">
        <v>106</v>
      </c>
      <c r="J1185" s="10" t="s">
        <v>6607</v>
      </c>
      <c r="K1185" s="5" t="s">
        <v>1555</v>
      </c>
      <c r="L1185" s="5" t="s">
        <v>6608</v>
      </c>
      <c r="M1185" s="5" t="s">
        <v>45</v>
      </c>
      <c r="N1185" s="5">
        <v>0</v>
      </c>
      <c r="O1185" s="5" t="s">
        <v>46</v>
      </c>
      <c r="P1185" s="10" t="s">
        <v>60</v>
      </c>
      <c r="Q1185" s="10" t="s">
        <v>2635</v>
      </c>
      <c r="R1185" s="10">
        <v>0</v>
      </c>
      <c r="S1185" s="5">
        <v>0</v>
      </c>
      <c r="T1185" s="37">
        <v>0</v>
      </c>
      <c r="U1185" s="5">
        <v>0</v>
      </c>
      <c r="V1185" s="37">
        <v>0</v>
      </c>
      <c r="W1185" s="5">
        <v>0</v>
      </c>
      <c r="X1185" s="5">
        <v>0</v>
      </c>
      <c r="Y1185" s="5">
        <v>0</v>
      </c>
      <c r="Z1185" s="37">
        <v>0</v>
      </c>
      <c r="AA1185" s="5">
        <v>0</v>
      </c>
      <c r="AB1185" s="5">
        <v>0</v>
      </c>
      <c r="AC1185" s="5">
        <v>0</v>
      </c>
      <c r="AD1185" s="5">
        <v>0</v>
      </c>
      <c r="AE1185" s="10" t="s">
        <v>73</v>
      </c>
      <c r="AF1185" s="10"/>
      <c r="AG1185" s="10" t="s">
        <v>114</v>
      </c>
      <c r="AH1185" s="10">
        <v>40816</v>
      </c>
      <c r="AI1185" s="5">
        <v>0</v>
      </c>
      <c r="AJ1185" s="10" t="s">
        <v>6609</v>
      </c>
      <c r="AK1185" s="10" t="s">
        <v>1215</v>
      </c>
    </row>
    <row r="1186" spans="1:37" ht="36.75" customHeight="1" x14ac:dyDescent="0.35">
      <c r="A1186" s="5"/>
      <c r="B1186" s="5" t="s">
        <v>37</v>
      </c>
      <c r="C1186" s="73" t="str">
        <f t="shared" si="18"/>
        <v>Closed</v>
      </c>
      <c r="D1186" s="45" t="s">
        <v>6610</v>
      </c>
      <c r="E1186" s="54" t="s">
        <v>6611</v>
      </c>
      <c r="F1186" s="5" t="s">
        <v>178</v>
      </c>
      <c r="G1186" s="10">
        <f>DATE(2011,10,1)</f>
        <v>40817</v>
      </c>
      <c r="H1186" s="35">
        <v>1.7083333333333335</v>
      </c>
      <c r="I1186" s="5" t="s">
        <v>97</v>
      </c>
      <c r="J1186" s="10" t="s">
        <v>6612</v>
      </c>
      <c r="K1186" s="5" t="s">
        <v>181</v>
      </c>
      <c r="L1186" s="5" t="s">
        <v>6613</v>
      </c>
      <c r="M1186" s="5" t="s">
        <v>45</v>
      </c>
      <c r="N1186" s="5" t="s">
        <v>123</v>
      </c>
      <c r="O1186" s="5" t="s">
        <v>59</v>
      </c>
      <c r="P1186" s="10" t="s">
        <v>47</v>
      </c>
      <c r="Q1186" s="10" t="s">
        <v>183</v>
      </c>
      <c r="R1186" s="10" t="s">
        <v>184</v>
      </c>
      <c r="S1186" s="5">
        <v>0</v>
      </c>
      <c r="T1186" s="37">
        <v>0</v>
      </c>
      <c r="U1186" s="5">
        <v>1</v>
      </c>
      <c r="V1186" s="37">
        <v>0</v>
      </c>
      <c r="W1186" s="5">
        <v>0</v>
      </c>
      <c r="X1186" s="5">
        <v>1</v>
      </c>
      <c r="Y1186" s="5">
        <v>0</v>
      </c>
      <c r="Z1186" s="37">
        <v>0</v>
      </c>
      <c r="AA1186" s="5">
        <v>0</v>
      </c>
      <c r="AB1186" s="5">
        <v>0</v>
      </c>
      <c r="AC1186" s="5">
        <v>0</v>
      </c>
      <c r="AD1186" s="5">
        <v>0</v>
      </c>
      <c r="AE1186" s="10" t="s">
        <v>50</v>
      </c>
      <c r="AF1186" s="10"/>
      <c r="AG1186" s="10" t="s">
        <v>64</v>
      </c>
      <c r="AH1186" s="10">
        <v>40820</v>
      </c>
      <c r="AI1186" s="5">
        <v>0</v>
      </c>
      <c r="AJ1186" s="10" t="s">
        <v>6614</v>
      </c>
      <c r="AK1186" s="10" t="s">
        <v>50</v>
      </c>
    </row>
    <row r="1187" spans="1:37" ht="36.75" customHeight="1" x14ac:dyDescent="0.35">
      <c r="A1187" s="5"/>
      <c r="B1187" s="5" t="s">
        <v>37</v>
      </c>
      <c r="C1187" s="73" t="str">
        <f t="shared" si="18"/>
        <v>Closed</v>
      </c>
      <c r="D1187" s="45" t="s">
        <v>6615</v>
      </c>
      <c r="E1187" s="54" t="s">
        <v>6616</v>
      </c>
      <c r="F1187" s="5" t="s">
        <v>1553</v>
      </c>
      <c r="G1187" s="10">
        <f>DATE(2011,10,2)</f>
        <v>40818</v>
      </c>
      <c r="H1187" s="35">
        <v>1.7888888888888888</v>
      </c>
      <c r="I1187" s="5" t="s">
        <v>55</v>
      </c>
      <c r="J1187" s="10" t="s">
        <v>6617</v>
      </c>
      <c r="K1187" s="5" t="s">
        <v>1555</v>
      </c>
      <c r="L1187" s="5" t="s">
        <v>6618</v>
      </c>
      <c r="M1187" s="5" t="s">
        <v>45</v>
      </c>
      <c r="N1187" s="5">
        <v>0</v>
      </c>
      <c r="O1187" s="5" t="s">
        <v>59</v>
      </c>
      <c r="P1187" s="10" t="s">
        <v>60</v>
      </c>
      <c r="Q1187" s="10" t="s">
        <v>4899</v>
      </c>
      <c r="R1187" s="10">
        <v>0</v>
      </c>
      <c r="S1187" s="5">
        <v>0</v>
      </c>
      <c r="T1187" s="37">
        <v>0</v>
      </c>
      <c r="U1187" s="5">
        <v>0</v>
      </c>
      <c r="V1187" s="37">
        <v>0</v>
      </c>
      <c r="W1187" s="5">
        <v>0</v>
      </c>
      <c r="X1187" s="5">
        <v>0</v>
      </c>
      <c r="Y1187" s="5">
        <v>0</v>
      </c>
      <c r="Z1187" s="37">
        <v>0</v>
      </c>
      <c r="AA1187" s="5">
        <v>0</v>
      </c>
      <c r="AB1187" s="5">
        <v>0</v>
      </c>
      <c r="AC1187" s="5">
        <v>0</v>
      </c>
      <c r="AD1187" s="5">
        <v>0</v>
      </c>
      <c r="AE1187" s="10" t="s">
        <v>50</v>
      </c>
      <c r="AF1187" s="10"/>
      <c r="AG1187" s="10" t="s">
        <v>114</v>
      </c>
      <c r="AH1187" s="10">
        <v>40820</v>
      </c>
      <c r="AI1187" s="5">
        <v>0</v>
      </c>
      <c r="AJ1187" s="10" t="s">
        <v>6619</v>
      </c>
      <c r="AK1187" s="10" t="s">
        <v>5771</v>
      </c>
    </row>
    <row r="1188" spans="1:37" ht="36.75" customHeight="1" x14ac:dyDescent="0.35">
      <c r="A1188" s="5"/>
      <c r="B1188" s="5" t="s">
        <v>37</v>
      </c>
      <c r="C1188" s="73" t="str">
        <f t="shared" si="18"/>
        <v>Closed</v>
      </c>
      <c r="D1188" s="45" t="s">
        <v>6620</v>
      </c>
      <c r="E1188" s="54" t="s">
        <v>6621</v>
      </c>
      <c r="F1188" s="5" t="s">
        <v>178</v>
      </c>
      <c r="G1188" s="10">
        <f>DATE(2011,10,3)</f>
        <v>40819</v>
      </c>
      <c r="H1188" s="35">
        <v>1.6062500000000002</v>
      </c>
      <c r="I1188" s="5" t="s">
        <v>97</v>
      </c>
      <c r="J1188" s="10" t="s">
        <v>6622</v>
      </c>
      <c r="K1188" s="5" t="s">
        <v>181</v>
      </c>
      <c r="L1188" s="5" t="s">
        <v>6623</v>
      </c>
      <c r="M1188" s="5" t="s">
        <v>45</v>
      </c>
      <c r="N1188" s="5" t="s">
        <v>80</v>
      </c>
      <c r="O1188" s="5" t="s">
        <v>46</v>
      </c>
      <c r="P1188" s="10" t="s">
        <v>146</v>
      </c>
      <c r="Q1188" s="10" t="s">
        <v>183</v>
      </c>
      <c r="R1188" s="10" t="s">
        <v>184</v>
      </c>
      <c r="S1188" s="5">
        <v>0</v>
      </c>
      <c r="T1188" s="37">
        <v>0</v>
      </c>
      <c r="U1188" s="5">
        <v>1</v>
      </c>
      <c r="V1188" s="37">
        <v>0</v>
      </c>
      <c r="W1188" s="5">
        <v>0</v>
      </c>
      <c r="X1188" s="5">
        <v>1</v>
      </c>
      <c r="Y1188" s="5">
        <v>0</v>
      </c>
      <c r="Z1188" s="37">
        <v>0</v>
      </c>
      <c r="AA1188" s="5">
        <v>0</v>
      </c>
      <c r="AB1188" s="5">
        <v>0</v>
      </c>
      <c r="AC1188" s="5">
        <v>0</v>
      </c>
      <c r="AD1188" s="5">
        <v>0</v>
      </c>
      <c r="AE1188" s="10" t="s">
        <v>73</v>
      </c>
      <c r="AF1188" s="10"/>
      <c r="AG1188" s="10" t="s">
        <v>64</v>
      </c>
      <c r="AH1188" s="10">
        <v>40822</v>
      </c>
      <c r="AI1188" s="5">
        <v>2</v>
      </c>
      <c r="AJ1188" s="10" t="s">
        <v>6624</v>
      </c>
      <c r="AK1188" s="10" t="s">
        <v>1215</v>
      </c>
    </row>
    <row r="1189" spans="1:37" ht="36.75" customHeight="1" x14ac:dyDescent="0.35">
      <c r="A1189" s="5"/>
      <c r="B1189" s="5" t="s">
        <v>37</v>
      </c>
      <c r="C1189" s="73" t="str">
        <f t="shared" si="18"/>
        <v>Closed</v>
      </c>
      <c r="D1189" s="45" t="s">
        <v>6625</v>
      </c>
      <c r="E1189" s="54" t="s">
        <v>6626</v>
      </c>
      <c r="F1189" s="5" t="s">
        <v>214</v>
      </c>
      <c r="G1189" s="10">
        <f>DATE(2011,10,3)</f>
        <v>40819</v>
      </c>
      <c r="H1189" s="35">
        <v>1.6631944444444444</v>
      </c>
      <c r="I1189" s="5" t="s">
        <v>97</v>
      </c>
      <c r="J1189" s="10" t="s">
        <v>6627</v>
      </c>
      <c r="K1189" s="5" t="s">
        <v>216</v>
      </c>
      <c r="L1189" s="5" t="s">
        <v>6628</v>
      </c>
      <c r="M1189" s="5" t="s">
        <v>45</v>
      </c>
      <c r="N1189" s="5">
        <v>0</v>
      </c>
      <c r="O1189" s="5" t="s">
        <v>46</v>
      </c>
      <c r="P1189" s="10" t="s">
        <v>146</v>
      </c>
      <c r="Q1189" s="10" t="s">
        <v>1410</v>
      </c>
      <c r="R1189" s="10" t="s">
        <v>219</v>
      </c>
      <c r="S1189" s="5">
        <v>0</v>
      </c>
      <c r="T1189" s="37">
        <v>0</v>
      </c>
      <c r="U1189" s="5">
        <v>1</v>
      </c>
      <c r="V1189" s="37">
        <v>0</v>
      </c>
      <c r="W1189" s="5">
        <v>0</v>
      </c>
      <c r="X1189" s="5">
        <v>1</v>
      </c>
      <c r="Y1189" s="5">
        <v>0</v>
      </c>
      <c r="Z1189" s="37">
        <v>0</v>
      </c>
      <c r="AA1189" s="5">
        <v>0</v>
      </c>
      <c r="AB1189" s="5">
        <v>0</v>
      </c>
      <c r="AC1189" s="5">
        <v>0</v>
      </c>
      <c r="AD1189" s="5">
        <v>0</v>
      </c>
      <c r="AE1189" s="10" t="s">
        <v>50</v>
      </c>
      <c r="AF1189" s="10"/>
      <c r="AG1189" s="10" t="s">
        <v>64</v>
      </c>
      <c r="AH1189" s="10" t="s">
        <v>50</v>
      </c>
      <c r="AI1189" s="5">
        <v>5</v>
      </c>
      <c r="AJ1189" s="10" t="s">
        <v>6629</v>
      </c>
      <c r="AK1189" s="10" t="s">
        <v>6630</v>
      </c>
    </row>
    <row r="1190" spans="1:37" ht="36.75" customHeight="1" x14ac:dyDescent="0.35">
      <c r="A1190" s="5"/>
      <c r="B1190" s="5" t="s">
        <v>37</v>
      </c>
      <c r="C1190" s="73" t="str">
        <f t="shared" si="18"/>
        <v>Closed</v>
      </c>
      <c r="D1190" s="45" t="s">
        <v>6631</v>
      </c>
      <c r="E1190" s="54" t="s">
        <v>6632</v>
      </c>
      <c r="F1190" s="5" t="s">
        <v>563</v>
      </c>
      <c r="G1190" s="10">
        <f>DATE(2011,10,4)</f>
        <v>40820</v>
      </c>
      <c r="H1190" s="35">
        <v>1.3416666666666666</v>
      </c>
      <c r="I1190" s="5" t="s">
        <v>55</v>
      </c>
      <c r="J1190" s="10" t="s">
        <v>6633</v>
      </c>
      <c r="K1190" s="5" t="s">
        <v>565</v>
      </c>
      <c r="L1190" s="5" t="s">
        <v>6634</v>
      </c>
      <c r="M1190" s="5" t="s">
        <v>45</v>
      </c>
      <c r="N1190" s="5" t="s">
        <v>123</v>
      </c>
      <c r="O1190" s="5" t="s">
        <v>59</v>
      </c>
      <c r="P1190" s="10" t="s">
        <v>60</v>
      </c>
      <c r="Q1190" s="10" t="s">
        <v>6635</v>
      </c>
      <c r="R1190" s="10" t="s">
        <v>568</v>
      </c>
      <c r="S1190" s="5">
        <v>0</v>
      </c>
      <c r="T1190" s="37">
        <v>0</v>
      </c>
      <c r="U1190" s="5">
        <v>0</v>
      </c>
      <c r="V1190" s="37">
        <v>0</v>
      </c>
      <c r="W1190" s="5">
        <v>0</v>
      </c>
      <c r="X1190" s="5">
        <v>0</v>
      </c>
      <c r="Y1190" s="5">
        <v>0</v>
      </c>
      <c r="Z1190" s="37">
        <v>0</v>
      </c>
      <c r="AA1190" s="5">
        <v>0</v>
      </c>
      <c r="AB1190" s="5">
        <v>0</v>
      </c>
      <c r="AC1190" s="5">
        <v>0</v>
      </c>
      <c r="AD1190" s="5">
        <v>0</v>
      </c>
      <c r="AE1190" s="10" t="s">
        <v>375</v>
      </c>
      <c r="AF1190" s="10"/>
      <c r="AG1190" s="10" t="s">
        <v>64</v>
      </c>
      <c r="AH1190" s="10">
        <v>40823</v>
      </c>
      <c r="AI1190" s="5">
        <v>0</v>
      </c>
      <c r="AJ1190" s="10" t="s">
        <v>6636</v>
      </c>
      <c r="AK1190" s="10" t="s">
        <v>1215</v>
      </c>
    </row>
    <row r="1191" spans="1:37" ht="36.75" customHeight="1" x14ac:dyDescent="0.35">
      <c r="A1191" s="5"/>
      <c r="B1191" s="5" t="s">
        <v>37</v>
      </c>
      <c r="C1191" s="73" t="str">
        <f t="shared" si="18"/>
        <v>Closed</v>
      </c>
      <c r="D1191" s="45" t="s">
        <v>6637</v>
      </c>
      <c r="E1191" s="54" t="s">
        <v>6638</v>
      </c>
      <c r="F1191" s="5" t="s">
        <v>404</v>
      </c>
      <c r="G1191" s="10">
        <f>DATE(2011,10,6)</f>
        <v>40822</v>
      </c>
      <c r="H1191" s="35">
        <v>1.0263888888888888</v>
      </c>
      <c r="I1191" s="5" t="s">
        <v>179</v>
      </c>
      <c r="J1191" s="10" t="s">
        <v>6639</v>
      </c>
      <c r="K1191" s="5" t="s">
        <v>406</v>
      </c>
      <c r="L1191" s="5" t="s">
        <v>6640</v>
      </c>
      <c r="M1191" s="5" t="s">
        <v>45</v>
      </c>
      <c r="N1191" s="5" t="s">
        <v>123</v>
      </c>
      <c r="O1191" s="5" t="s">
        <v>46</v>
      </c>
      <c r="P1191" s="10" t="s">
        <v>60</v>
      </c>
      <c r="Q1191" s="10" t="s">
        <v>2562</v>
      </c>
      <c r="R1191" s="10" t="s">
        <v>3083</v>
      </c>
      <c r="S1191" s="5">
        <v>0</v>
      </c>
      <c r="T1191" s="37">
        <v>0</v>
      </c>
      <c r="U1191" s="5">
        <v>0</v>
      </c>
      <c r="V1191" s="37">
        <v>0</v>
      </c>
      <c r="W1191" s="5">
        <v>0</v>
      </c>
      <c r="X1191" s="5">
        <v>0</v>
      </c>
      <c r="Y1191" s="5">
        <v>0</v>
      </c>
      <c r="Z1191" s="37">
        <v>0</v>
      </c>
      <c r="AA1191" s="5">
        <v>0</v>
      </c>
      <c r="AB1191" s="5">
        <v>0</v>
      </c>
      <c r="AC1191" s="5">
        <v>0</v>
      </c>
      <c r="AD1191" s="5">
        <v>0</v>
      </c>
      <c r="AE1191" s="10" t="s">
        <v>375</v>
      </c>
      <c r="AF1191" s="10"/>
      <c r="AG1191" s="10" t="s">
        <v>114</v>
      </c>
      <c r="AH1191" s="10">
        <v>40857</v>
      </c>
      <c r="AI1191" s="5">
        <v>0</v>
      </c>
      <c r="AJ1191" s="10" t="s">
        <v>6641</v>
      </c>
      <c r="AK1191" s="10" t="s">
        <v>6642</v>
      </c>
    </row>
    <row r="1192" spans="1:37" ht="36.75" customHeight="1" x14ac:dyDescent="0.35">
      <c r="A1192" s="5"/>
      <c r="B1192" s="5" t="s">
        <v>37</v>
      </c>
      <c r="C1192" s="73" t="str">
        <f t="shared" si="18"/>
        <v>Closed</v>
      </c>
      <c r="D1192" s="45" t="s">
        <v>6643</v>
      </c>
      <c r="E1192" s="54" t="s">
        <v>6644</v>
      </c>
      <c r="F1192" s="5" t="s">
        <v>1553</v>
      </c>
      <c r="G1192" s="10">
        <f>DATE(2011,10,10)</f>
        <v>40826</v>
      </c>
      <c r="H1192" s="35">
        <v>1.40625</v>
      </c>
      <c r="I1192" s="5" t="s">
        <v>106</v>
      </c>
      <c r="J1192" s="10" t="s">
        <v>6645</v>
      </c>
      <c r="K1192" s="5" t="s">
        <v>1555</v>
      </c>
      <c r="L1192" s="5" t="s">
        <v>6646</v>
      </c>
      <c r="M1192" s="5" t="s">
        <v>45</v>
      </c>
      <c r="N1192" s="5" t="s">
        <v>123</v>
      </c>
      <c r="O1192" s="5" t="s">
        <v>46</v>
      </c>
      <c r="P1192" s="10" t="s">
        <v>60</v>
      </c>
      <c r="Q1192" s="10" t="s">
        <v>2635</v>
      </c>
      <c r="R1192" s="10">
        <v>0</v>
      </c>
      <c r="S1192" s="5">
        <v>0</v>
      </c>
      <c r="T1192" s="37">
        <v>0</v>
      </c>
      <c r="U1192" s="5">
        <v>0</v>
      </c>
      <c r="V1192" s="37">
        <v>0</v>
      </c>
      <c r="W1192" s="5">
        <v>0</v>
      </c>
      <c r="X1192" s="5">
        <v>0</v>
      </c>
      <c r="Y1192" s="5">
        <v>0</v>
      </c>
      <c r="Z1192" s="37">
        <v>0</v>
      </c>
      <c r="AA1192" s="5">
        <v>0</v>
      </c>
      <c r="AB1192" s="5">
        <v>0</v>
      </c>
      <c r="AC1192" s="5">
        <v>0</v>
      </c>
      <c r="AD1192" s="5">
        <v>0</v>
      </c>
      <c r="AE1192" s="10" t="s">
        <v>73</v>
      </c>
      <c r="AF1192" s="10"/>
      <c r="AG1192" s="10" t="s">
        <v>114</v>
      </c>
      <c r="AH1192" s="10">
        <v>40827</v>
      </c>
      <c r="AI1192" s="5">
        <v>0</v>
      </c>
      <c r="AJ1192" s="10" t="s">
        <v>6647</v>
      </c>
      <c r="AK1192" s="10" t="s">
        <v>1215</v>
      </c>
    </row>
    <row r="1193" spans="1:37" ht="36.75" customHeight="1" x14ac:dyDescent="0.35">
      <c r="A1193" s="5"/>
      <c r="B1193" s="5" t="s">
        <v>887</v>
      </c>
      <c r="C1193" s="73" t="str">
        <f t="shared" si="18"/>
        <v>Open</v>
      </c>
      <c r="D1193" s="45" t="s">
        <v>6648</v>
      </c>
      <c r="E1193" s="54" t="s">
        <v>6649</v>
      </c>
      <c r="F1193" s="5" t="s">
        <v>3128</v>
      </c>
      <c r="G1193" s="10">
        <f>DATE(2011,10,10)</f>
        <v>40826</v>
      </c>
      <c r="H1193" s="35">
        <v>1.0874999999999999</v>
      </c>
      <c r="I1193" s="5" t="s">
        <v>55</v>
      </c>
      <c r="J1193" s="10" t="s">
        <v>6650</v>
      </c>
      <c r="K1193" s="5" t="s">
        <v>3130</v>
      </c>
      <c r="L1193" s="5" t="s">
        <v>6651</v>
      </c>
      <c r="M1193" s="5" t="s">
        <v>45</v>
      </c>
      <c r="N1193" s="5">
        <v>0</v>
      </c>
      <c r="O1193" s="5" t="s">
        <v>59</v>
      </c>
      <c r="P1193" s="10" t="s">
        <v>60</v>
      </c>
      <c r="Q1193" s="10" t="s">
        <v>3132</v>
      </c>
      <c r="R1193" s="10" t="s">
        <v>3133</v>
      </c>
      <c r="S1193" s="5">
        <v>0</v>
      </c>
      <c r="T1193" s="37" t="s">
        <v>50</v>
      </c>
      <c r="U1193" s="5">
        <v>0</v>
      </c>
      <c r="V1193" s="37" t="s">
        <v>50</v>
      </c>
      <c r="W1193" s="5">
        <v>0</v>
      </c>
      <c r="X1193" s="5">
        <v>0</v>
      </c>
      <c r="Y1193" s="5">
        <v>0</v>
      </c>
      <c r="Z1193" s="37" t="s">
        <v>50</v>
      </c>
      <c r="AA1193" s="5">
        <v>0</v>
      </c>
      <c r="AB1193" s="5">
        <v>0</v>
      </c>
      <c r="AC1193" s="5">
        <v>0</v>
      </c>
      <c r="AD1193" s="5">
        <v>0</v>
      </c>
      <c r="AE1193" s="10" t="s">
        <v>50</v>
      </c>
      <c r="AF1193" s="10"/>
      <c r="AG1193" s="10" t="s">
        <v>333</v>
      </c>
      <c r="AH1193" s="10" t="s">
        <v>50</v>
      </c>
      <c r="AI1193" s="5">
        <v>0</v>
      </c>
      <c r="AJ1193" s="10" t="s">
        <v>50</v>
      </c>
      <c r="AK1193" s="10" t="s">
        <v>50</v>
      </c>
    </row>
    <row r="1194" spans="1:37" ht="36.75" customHeight="1" x14ac:dyDescent="0.35">
      <c r="A1194" s="5"/>
      <c r="B1194" s="5" t="s">
        <v>887</v>
      </c>
      <c r="C1194" s="73" t="str">
        <f t="shared" si="18"/>
        <v>Open</v>
      </c>
      <c r="D1194" s="45" t="s">
        <v>6652</v>
      </c>
      <c r="E1194" s="54" t="s">
        <v>6653</v>
      </c>
      <c r="F1194" s="5" t="s">
        <v>3128</v>
      </c>
      <c r="G1194" s="10">
        <f>DATE(2011,10,10)</f>
        <v>40826</v>
      </c>
      <c r="H1194" s="35">
        <v>1.6215277777777777</v>
      </c>
      <c r="I1194" s="5" t="s">
        <v>97</v>
      </c>
      <c r="J1194" s="10" t="s">
        <v>6654</v>
      </c>
      <c r="K1194" s="5" t="s">
        <v>3130</v>
      </c>
      <c r="L1194" s="5" t="s">
        <v>6655</v>
      </c>
      <c r="M1194" s="5" t="s">
        <v>45</v>
      </c>
      <c r="N1194" s="5">
        <v>0</v>
      </c>
      <c r="O1194" s="5" t="s">
        <v>46</v>
      </c>
      <c r="P1194" s="10" t="s">
        <v>146</v>
      </c>
      <c r="Q1194" s="10" t="s">
        <v>3132</v>
      </c>
      <c r="R1194" s="10" t="s">
        <v>3133</v>
      </c>
      <c r="S1194" s="5">
        <v>0</v>
      </c>
      <c r="T1194" s="37" t="s">
        <v>50</v>
      </c>
      <c r="U1194" s="5">
        <v>0</v>
      </c>
      <c r="V1194" s="37" t="s">
        <v>50</v>
      </c>
      <c r="W1194" s="5">
        <v>0</v>
      </c>
      <c r="X1194" s="5">
        <v>0</v>
      </c>
      <c r="Y1194" s="5">
        <v>0</v>
      </c>
      <c r="Z1194" s="37" t="s">
        <v>50</v>
      </c>
      <c r="AA1194" s="5">
        <v>0</v>
      </c>
      <c r="AB1194" s="5">
        <v>0</v>
      </c>
      <c r="AC1194" s="5">
        <v>0</v>
      </c>
      <c r="AD1194" s="5">
        <v>0</v>
      </c>
      <c r="AE1194" s="10" t="s">
        <v>50</v>
      </c>
      <c r="AF1194" s="10"/>
      <c r="AG1194" s="10" t="s">
        <v>114</v>
      </c>
      <c r="AH1194" s="10" t="s">
        <v>50</v>
      </c>
      <c r="AI1194" s="5">
        <v>0</v>
      </c>
      <c r="AJ1194" s="10" t="s">
        <v>50</v>
      </c>
      <c r="AK1194" s="10" t="s">
        <v>50</v>
      </c>
    </row>
    <row r="1195" spans="1:37" ht="36.75" customHeight="1" x14ac:dyDescent="0.35">
      <c r="A1195" s="5"/>
      <c r="B1195" s="5" t="s">
        <v>37</v>
      </c>
      <c r="C1195" s="73" t="str">
        <f t="shared" si="18"/>
        <v>Closed</v>
      </c>
      <c r="D1195" s="45" t="s">
        <v>6656</v>
      </c>
      <c r="E1195" s="54" t="s">
        <v>6657</v>
      </c>
      <c r="F1195" s="5" t="s">
        <v>214</v>
      </c>
      <c r="G1195" s="10">
        <f>DATE(2011,10,10)</f>
        <v>40826</v>
      </c>
      <c r="H1195" s="35">
        <v>1.745138888888889</v>
      </c>
      <c r="I1195" s="5" t="s">
        <v>259</v>
      </c>
      <c r="J1195" s="10" t="s">
        <v>6658</v>
      </c>
      <c r="K1195" s="5" t="s">
        <v>216</v>
      </c>
      <c r="L1195" s="5" t="s">
        <v>6659</v>
      </c>
      <c r="M1195" s="5" t="s">
        <v>45</v>
      </c>
      <c r="N1195" s="5">
        <v>0</v>
      </c>
      <c r="O1195" s="5" t="s">
        <v>59</v>
      </c>
      <c r="P1195" s="10" t="s">
        <v>146</v>
      </c>
      <c r="Q1195" s="10" t="s">
        <v>6082</v>
      </c>
      <c r="R1195" s="10" t="s">
        <v>219</v>
      </c>
      <c r="S1195" s="5">
        <v>0</v>
      </c>
      <c r="T1195" s="37" t="s">
        <v>50</v>
      </c>
      <c r="U1195" s="5">
        <v>0</v>
      </c>
      <c r="V1195" s="37" t="s">
        <v>50</v>
      </c>
      <c r="W1195" s="5">
        <v>0</v>
      </c>
      <c r="X1195" s="5">
        <v>0</v>
      </c>
      <c r="Y1195" s="5">
        <v>0</v>
      </c>
      <c r="Z1195" s="37" t="s">
        <v>50</v>
      </c>
      <c r="AA1195" s="5">
        <v>0</v>
      </c>
      <c r="AB1195" s="5">
        <v>0</v>
      </c>
      <c r="AC1195" s="5">
        <v>0</v>
      </c>
      <c r="AD1195" s="5">
        <v>0</v>
      </c>
      <c r="AE1195" s="10" t="s">
        <v>50</v>
      </c>
      <c r="AF1195" s="10"/>
      <c r="AG1195" s="10" t="s">
        <v>114</v>
      </c>
      <c r="AH1195" s="10" t="s">
        <v>50</v>
      </c>
      <c r="AI1195" s="5">
        <v>1</v>
      </c>
      <c r="AJ1195" s="10" t="s">
        <v>6660</v>
      </c>
      <c r="AK1195" s="10" t="s">
        <v>6661</v>
      </c>
    </row>
    <row r="1196" spans="1:37" ht="36.75" customHeight="1" x14ac:dyDescent="0.35">
      <c r="A1196" s="5"/>
      <c r="B1196" s="5" t="s">
        <v>37</v>
      </c>
      <c r="C1196" s="73" t="str">
        <f t="shared" si="18"/>
        <v>Closed</v>
      </c>
      <c r="D1196" s="45" t="s">
        <v>6662</v>
      </c>
      <c r="E1196" s="54" t="s">
        <v>6663</v>
      </c>
      <c r="F1196" s="5" t="s">
        <v>619</v>
      </c>
      <c r="G1196" s="10">
        <f>DATE(2011,10,12)</f>
        <v>40828</v>
      </c>
      <c r="H1196" s="35">
        <v>1.7361111111111112</v>
      </c>
      <c r="I1196" s="5" t="s">
        <v>55</v>
      </c>
      <c r="J1196" s="10" t="s">
        <v>6664</v>
      </c>
      <c r="K1196" s="5" t="s">
        <v>621</v>
      </c>
      <c r="L1196" s="5" t="s">
        <v>6665</v>
      </c>
      <c r="M1196" s="5" t="s">
        <v>45</v>
      </c>
      <c r="N1196" s="5" t="s">
        <v>123</v>
      </c>
      <c r="O1196" s="5" t="s">
        <v>59</v>
      </c>
      <c r="P1196" s="10" t="s">
        <v>146</v>
      </c>
      <c r="Q1196" s="10" t="s">
        <v>623</v>
      </c>
      <c r="R1196" s="10" t="s">
        <v>624</v>
      </c>
      <c r="S1196" s="5">
        <v>0</v>
      </c>
      <c r="T1196" s="37">
        <v>0</v>
      </c>
      <c r="U1196" s="5">
        <v>0</v>
      </c>
      <c r="V1196" s="37">
        <v>0</v>
      </c>
      <c r="W1196" s="5">
        <v>0</v>
      </c>
      <c r="X1196" s="5">
        <v>0</v>
      </c>
      <c r="Y1196" s="5">
        <v>0</v>
      </c>
      <c r="Z1196" s="37">
        <v>0</v>
      </c>
      <c r="AA1196" s="5">
        <v>0</v>
      </c>
      <c r="AB1196" s="5">
        <v>0</v>
      </c>
      <c r="AC1196" s="5">
        <v>0</v>
      </c>
      <c r="AD1196" s="5">
        <v>0</v>
      </c>
      <c r="AE1196" s="10" t="s">
        <v>50</v>
      </c>
      <c r="AF1196" s="10"/>
      <c r="AG1196" s="10" t="s">
        <v>333</v>
      </c>
      <c r="AH1196" s="10" t="s">
        <v>50</v>
      </c>
      <c r="AI1196" s="5">
        <v>3</v>
      </c>
      <c r="AJ1196" s="10" t="s">
        <v>6666</v>
      </c>
      <c r="AK1196" s="10" t="s">
        <v>1215</v>
      </c>
    </row>
    <row r="1197" spans="1:37" ht="36.75" customHeight="1" x14ac:dyDescent="0.35">
      <c r="A1197" s="5"/>
      <c r="B1197" s="5" t="s">
        <v>37</v>
      </c>
      <c r="C1197" s="73" t="str">
        <f t="shared" si="18"/>
        <v>Closed</v>
      </c>
      <c r="D1197" s="45" t="s">
        <v>6667</v>
      </c>
      <c r="E1197" s="54" t="s">
        <v>6668</v>
      </c>
      <c r="F1197" s="5" t="s">
        <v>96</v>
      </c>
      <c r="G1197" s="10">
        <f>DATE(2011,10,12)</f>
        <v>40828</v>
      </c>
      <c r="H1197" s="35">
        <v>1.7194444444444446</v>
      </c>
      <c r="I1197" s="5" t="s">
        <v>97</v>
      </c>
      <c r="J1197" s="10" t="s">
        <v>6669</v>
      </c>
      <c r="K1197" s="5" t="s">
        <v>99</v>
      </c>
      <c r="L1197" s="5" t="s">
        <v>6670</v>
      </c>
      <c r="M1197" s="5" t="s">
        <v>45</v>
      </c>
      <c r="N1197" s="5" t="s">
        <v>123</v>
      </c>
      <c r="O1197" s="5" t="s">
        <v>46</v>
      </c>
      <c r="P1197" s="10" t="s">
        <v>146</v>
      </c>
      <c r="Q1197" s="10" t="s">
        <v>101</v>
      </c>
      <c r="R1197" s="10" t="s">
        <v>102</v>
      </c>
      <c r="S1197" s="5">
        <v>2</v>
      </c>
      <c r="T1197" s="37">
        <v>0</v>
      </c>
      <c r="U1197" s="5">
        <v>0</v>
      </c>
      <c r="V1197" s="37">
        <v>0</v>
      </c>
      <c r="W1197" s="5">
        <v>0</v>
      </c>
      <c r="X1197" s="5">
        <v>2</v>
      </c>
      <c r="Y1197" s="5">
        <v>9</v>
      </c>
      <c r="Z1197" s="37">
        <v>0</v>
      </c>
      <c r="AA1197" s="5">
        <v>0</v>
      </c>
      <c r="AB1197" s="5">
        <v>0</v>
      </c>
      <c r="AC1197" s="5">
        <v>0</v>
      </c>
      <c r="AD1197" s="5">
        <v>9</v>
      </c>
      <c r="AE1197" s="10" t="s">
        <v>126</v>
      </c>
      <c r="AF1197" s="10"/>
      <c r="AG1197" s="10" t="s">
        <v>64</v>
      </c>
      <c r="AH1197" s="10">
        <v>40829</v>
      </c>
      <c r="AI1197" s="5">
        <v>2</v>
      </c>
      <c r="AJ1197" s="10" t="s">
        <v>6671</v>
      </c>
      <c r="AK1197" s="10" t="s">
        <v>6672</v>
      </c>
    </row>
    <row r="1198" spans="1:37" ht="36.75" customHeight="1" x14ac:dyDescent="0.35">
      <c r="A1198" s="5"/>
      <c r="B1198" s="5" t="s">
        <v>37</v>
      </c>
      <c r="C1198" s="73" t="str">
        <f t="shared" si="18"/>
        <v>Closed</v>
      </c>
      <c r="D1198" s="45" t="s">
        <v>6673</v>
      </c>
      <c r="E1198" s="54" t="s">
        <v>6674</v>
      </c>
      <c r="F1198" s="5" t="s">
        <v>404</v>
      </c>
      <c r="G1198" s="10">
        <f>DATE(2011,10,17)</f>
        <v>40833</v>
      </c>
      <c r="H1198" s="35">
        <v>1.1701388888888888</v>
      </c>
      <c r="I1198" s="5" t="s">
        <v>137</v>
      </c>
      <c r="J1198" s="10" t="s">
        <v>6675</v>
      </c>
      <c r="K1198" s="5" t="s">
        <v>406</v>
      </c>
      <c r="L1198" s="5" t="s">
        <v>6676</v>
      </c>
      <c r="M1198" s="5" t="s">
        <v>45</v>
      </c>
      <c r="N1198" s="5">
        <v>0</v>
      </c>
      <c r="O1198" s="5" t="s">
        <v>46</v>
      </c>
      <c r="P1198" s="10" t="s">
        <v>146</v>
      </c>
      <c r="Q1198" s="10" t="s">
        <v>408</v>
      </c>
      <c r="R1198" s="10" t="s">
        <v>3083</v>
      </c>
      <c r="S1198" s="5">
        <v>0</v>
      </c>
      <c r="T1198" s="37" t="s">
        <v>50</v>
      </c>
      <c r="U1198" s="5">
        <v>0</v>
      </c>
      <c r="V1198" s="37" t="s">
        <v>50</v>
      </c>
      <c r="W1198" s="5">
        <v>0</v>
      </c>
      <c r="X1198" s="5">
        <v>0</v>
      </c>
      <c r="Y1198" s="5">
        <v>0</v>
      </c>
      <c r="Z1198" s="37" t="s">
        <v>50</v>
      </c>
      <c r="AA1198" s="5">
        <v>0</v>
      </c>
      <c r="AB1198" s="5">
        <v>0</v>
      </c>
      <c r="AC1198" s="5">
        <v>0</v>
      </c>
      <c r="AD1198" s="5">
        <v>0</v>
      </c>
      <c r="AE1198" s="10" t="s">
        <v>50</v>
      </c>
      <c r="AF1198" s="10"/>
      <c r="AG1198" s="10" t="s">
        <v>114</v>
      </c>
      <c r="AH1198" s="10" t="s">
        <v>50</v>
      </c>
      <c r="AI1198" s="5">
        <v>4</v>
      </c>
      <c r="AJ1198" s="10" t="s">
        <v>50</v>
      </c>
      <c r="AK1198" s="10" t="s">
        <v>693</v>
      </c>
    </row>
    <row r="1199" spans="1:37" ht="36.75" customHeight="1" x14ac:dyDescent="0.35">
      <c r="A1199" s="5"/>
      <c r="B1199" s="5" t="s">
        <v>37</v>
      </c>
      <c r="C1199" s="73" t="str">
        <f t="shared" si="18"/>
        <v>Closed</v>
      </c>
      <c r="D1199" s="45" t="s">
        <v>6677</v>
      </c>
      <c r="E1199" s="54" t="s">
        <v>6678</v>
      </c>
      <c r="F1199" s="5" t="s">
        <v>1919</v>
      </c>
      <c r="G1199" s="10">
        <f>DATE(2011,10,18)</f>
        <v>40834</v>
      </c>
      <c r="H1199" s="35">
        <v>1.6736111111111112</v>
      </c>
      <c r="I1199" s="5" t="s">
        <v>67</v>
      </c>
      <c r="J1199" s="10" t="s">
        <v>6679</v>
      </c>
      <c r="K1199" s="5" t="s">
        <v>1921</v>
      </c>
      <c r="L1199" s="5" t="s">
        <v>6680</v>
      </c>
      <c r="M1199" s="5" t="s">
        <v>45</v>
      </c>
      <c r="N1199" s="5" t="s">
        <v>123</v>
      </c>
      <c r="O1199" s="5" t="s">
        <v>59</v>
      </c>
      <c r="P1199" s="10" t="s">
        <v>47</v>
      </c>
      <c r="Q1199" s="10" t="s">
        <v>1923</v>
      </c>
      <c r="R1199" s="10" t="s">
        <v>1923</v>
      </c>
      <c r="S1199" s="5">
        <v>0</v>
      </c>
      <c r="T1199" s="37">
        <v>0</v>
      </c>
      <c r="U1199" s="5">
        <v>0</v>
      </c>
      <c r="V1199" s="37">
        <v>0</v>
      </c>
      <c r="W1199" s="5">
        <v>0</v>
      </c>
      <c r="X1199" s="5">
        <v>0</v>
      </c>
      <c r="Y1199" s="5">
        <v>0</v>
      </c>
      <c r="Z1199" s="37">
        <v>0</v>
      </c>
      <c r="AA1199" s="5">
        <v>0</v>
      </c>
      <c r="AB1199" s="5">
        <v>0</v>
      </c>
      <c r="AC1199" s="5">
        <v>0</v>
      </c>
      <c r="AD1199" s="5">
        <v>0</v>
      </c>
      <c r="AE1199" s="10" t="s">
        <v>50</v>
      </c>
      <c r="AF1199" s="10"/>
      <c r="AG1199" s="10" t="s">
        <v>114</v>
      </c>
      <c r="AH1199" s="10" t="s">
        <v>50</v>
      </c>
      <c r="AI1199" s="5">
        <v>3</v>
      </c>
      <c r="AJ1199" s="10" t="s">
        <v>6681</v>
      </c>
      <c r="AK1199" s="10" t="s">
        <v>6682</v>
      </c>
    </row>
    <row r="1200" spans="1:37" ht="36.75" customHeight="1" x14ac:dyDescent="0.35">
      <c r="A1200" s="5"/>
      <c r="B1200" s="5" t="s">
        <v>37</v>
      </c>
      <c r="C1200" s="73" t="str">
        <f t="shared" si="18"/>
        <v>Closed</v>
      </c>
      <c r="D1200" s="45" t="s">
        <v>6683</v>
      </c>
      <c r="E1200" s="54" t="s">
        <v>6684</v>
      </c>
      <c r="F1200" s="5" t="s">
        <v>178</v>
      </c>
      <c r="G1200" s="10">
        <f>DATE(2011,10,19)</f>
        <v>40835</v>
      </c>
      <c r="H1200" s="35">
        <v>1.5618055555555554</v>
      </c>
      <c r="I1200" s="5" t="s">
        <v>97</v>
      </c>
      <c r="J1200" s="10" t="s">
        <v>6685</v>
      </c>
      <c r="K1200" s="5" t="s">
        <v>181</v>
      </c>
      <c r="L1200" s="5" t="s">
        <v>6686</v>
      </c>
      <c r="M1200" s="5" t="s">
        <v>45</v>
      </c>
      <c r="N1200" s="5" t="s">
        <v>80</v>
      </c>
      <c r="O1200" s="5" t="s">
        <v>46</v>
      </c>
      <c r="P1200" s="10" t="s">
        <v>146</v>
      </c>
      <c r="Q1200" s="10" t="s">
        <v>183</v>
      </c>
      <c r="R1200" s="10" t="s">
        <v>184</v>
      </c>
      <c r="S1200" s="5">
        <v>0</v>
      </c>
      <c r="T1200" s="37">
        <v>0</v>
      </c>
      <c r="U1200" s="5">
        <v>1</v>
      </c>
      <c r="V1200" s="37">
        <v>0</v>
      </c>
      <c r="W1200" s="5">
        <v>0</v>
      </c>
      <c r="X1200" s="5">
        <v>1</v>
      </c>
      <c r="Y1200" s="5">
        <v>0</v>
      </c>
      <c r="Z1200" s="37">
        <v>0</v>
      </c>
      <c r="AA1200" s="5">
        <v>0</v>
      </c>
      <c r="AB1200" s="5">
        <v>0</v>
      </c>
      <c r="AC1200" s="5">
        <v>0</v>
      </c>
      <c r="AD1200" s="5">
        <v>0</v>
      </c>
      <c r="AE1200" s="10" t="s">
        <v>375</v>
      </c>
      <c r="AF1200" s="10"/>
      <c r="AG1200" s="10" t="s">
        <v>64</v>
      </c>
      <c r="AH1200" s="10">
        <v>40846</v>
      </c>
      <c r="AI1200" s="5">
        <v>1</v>
      </c>
      <c r="AJ1200" s="10" t="s">
        <v>6687</v>
      </c>
      <c r="AK1200" s="10" t="s">
        <v>50</v>
      </c>
    </row>
    <row r="1201" spans="1:37" ht="36.75" customHeight="1" x14ac:dyDescent="0.35">
      <c r="A1201" s="5"/>
      <c r="B1201" s="5" t="s">
        <v>37</v>
      </c>
      <c r="C1201" s="73" t="str">
        <f t="shared" si="18"/>
        <v>Closed</v>
      </c>
      <c r="D1201" s="45" t="s">
        <v>6688</v>
      </c>
      <c r="E1201" s="54" t="s">
        <v>6689</v>
      </c>
      <c r="F1201" s="5" t="s">
        <v>96</v>
      </c>
      <c r="G1201" s="10">
        <f>DATE(2011,10,20)</f>
        <v>40836</v>
      </c>
      <c r="H1201" s="35">
        <v>1.7291666666666665</v>
      </c>
      <c r="I1201" s="5" t="s">
        <v>55</v>
      </c>
      <c r="J1201" s="10" t="s">
        <v>6690</v>
      </c>
      <c r="K1201" s="5" t="s">
        <v>99</v>
      </c>
      <c r="L1201" s="5" t="s">
        <v>6691</v>
      </c>
      <c r="M1201" s="5" t="s">
        <v>45</v>
      </c>
      <c r="N1201" s="5" t="s">
        <v>123</v>
      </c>
      <c r="O1201" s="5" t="s">
        <v>46</v>
      </c>
      <c r="P1201" s="10" t="s">
        <v>60</v>
      </c>
      <c r="Q1201" s="10" t="s">
        <v>101</v>
      </c>
      <c r="R1201" s="10" t="s">
        <v>102</v>
      </c>
      <c r="S1201" s="5">
        <v>0</v>
      </c>
      <c r="T1201" s="37">
        <v>0</v>
      </c>
      <c r="U1201" s="5">
        <v>0</v>
      </c>
      <c r="V1201" s="37">
        <v>0</v>
      </c>
      <c r="W1201" s="5">
        <v>0</v>
      </c>
      <c r="X1201" s="5">
        <v>0</v>
      </c>
      <c r="Y1201" s="5">
        <v>0</v>
      </c>
      <c r="Z1201" s="37">
        <v>0</v>
      </c>
      <c r="AA1201" s="5">
        <v>0</v>
      </c>
      <c r="AB1201" s="5">
        <v>0</v>
      </c>
      <c r="AC1201" s="5">
        <v>0</v>
      </c>
      <c r="AD1201" s="5">
        <v>0</v>
      </c>
      <c r="AE1201" s="10" t="s">
        <v>375</v>
      </c>
      <c r="AF1201" s="10"/>
      <c r="AG1201" s="10" t="s">
        <v>64</v>
      </c>
      <c r="AH1201" s="10">
        <v>40840</v>
      </c>
      <c r="AI1201" s="5">
        <v>1</v>
      </c>
      <c r="AJ1201" s="10" t="s">
        <v>6692</v>
      </c>
      <c r="AK1201" s="10" t="s">
        <v>6693</v>
      </c>
    </row>
    <row r="1202" spans="1:37" ht="36.75" customHeight="1" x14ac:dyDescent="0.35">
      <c r="A1202" s="5"/>
      <c r="B1202" s="5" t="s">
        <v>37</v>
      </c>
      <c r="C1202" s="73" t="str">
        <f t="shared" si="18"/>
        <v>Closed</v>
      </c>
      <c r="D1202" s="45" t="s">
        <v>6694</v>
      </c>
      <c r="E1202" s="54" t="s">
        <v>6695</v>
      </c>
      <c r="F1202" s="5" t="s">
        <v>1553</v>
      </c>
      <c r="G1202" s="10">
        <f>DATE(2011,10,20)</f>
        <v>40836</v>
      </c>
      <c r="H1202" s="35">
        <v>1.5666666666666667</v>
      </c>
      <c r="I1202" s="5" t="s">
        <v>55</v>
      </c>
      <c r="J1202" s="10" t="s">
        <v>6696</v>
      </c>
      <c r="K1202" s="5" t="s">
        <v>1555</v>
      </c>
      <c r="L1202" s="5" t="s">
        <v>6697</v>
      </c>
      <c r="M1202" s="5" t="s">
        <v>45</v>
      </c>
      <c r="N1202" s="5">
        <v>0</v>
      </c>
      <c r="O1202" s="5" t="s">
        <v>59</v>
      </c>
      <c r="P1202" s="10" t="s">
        <v>60</v>
      </c>
      <c r="Q1202" s="10" t="s">
        <v>2635</v>
      </c>
      <c r="R1202" s="10">
        <v>0</v>
      </c>
      <c r="S1202" s="5">
        <v>0</v>
      </c>
      <c r="T1202" s="37">
        <v>0</v>
      </c>
      <c r="U1202" s="5">
        <v>0</v>
      </c>
      <c r="V1202" s="37">
        <v>0</v>
      </c>
      <c r="W1202" s="5">
        <v>0</v>
      </c>
      <c r="X1202" s="5">
        <v>0</v>
      </c>
      <c r="Y1202" s="5">
        <v>0</v>
      </c>
      <c r="Z1202" s="37">
        <v>0</v>
      </c>
      <c r="AA1202" s="5">
        <v>0</v>
      </c>
      <c r="AB1202" s="5">
        <v>0</v>
      </c>
      <c r="AC1202" s="5">
        <v>0</v>
      </c>
      <c r="AD1202" s="5">
        <v>0</v>
      </c>
      <c r="AE1202" s="10" t="s">
        <v>73</v>
      </c>
      <c r="AF1202" s="10"/>
      <c r="AG1202" s="10" t="s">
        <v>114</v>
      </c>
      <c r="AH1202" s="10" t="s">
        <v>50</v>
      </c>
      <c r="AI1202" s="5">
        <v>0</v>
      </c>
      <c r="AJ1202" s="10" t="s">
        <v>6698</v>
      </c>
      <c r="AK1202" s="10" t="s">
        <v>1215</v>
      </c>
    </row>
    <row r="1203" spans="1:37" ht="36.75" customHeight="1" x14ac:dyDescent="0.35">
      <c r="A1203" s="5"/>
      <c r="B1203" s="5" t="s">
        <v>37</v>
      </c>
      <c r="C1203" s="73" t="str">
        <f t="shared" si="18"/>
        <v>Closed</v>
      </c>
      <c r="D1203" s="45" t="s">
        <v>6699</v>
      </c>
      <c r="E1203" s="54" t="s">
        <v>6700</v>
      </c>
      <c r="F1203" s="5" t="s">
        <v>404</v>
      </c>
      <c r="G1203" s="10">
        <f>DATE(2011,10,22)</f>
        <v>40838</v>
      </c>
      <c r="H1203" s="35">
        <v>1.8097222222222222</v>
      </c>
      <c r="I1203" s="5" t="s">
        <v>55</v>
      </c>
      <c r="J1203" s="10" t="s">
        <v>6701</v>
      </c>
      <c r="K1203" s="5" t="s">
        <v>406</v>
      </c>
      <c r="L1203" s="5" t="s">
        <v>6702</v>
      </c>
      <c r="M1203" s="5" t="s">
        <v>45</v>
      </c>
      <c r="N1203" s="5">
        <v>0</v>
      </c>
      <c r="O1203" s="5" t="s">
        <v>46</v>
      </c>
      <c r="P1203" s="10" t="s">
        <v>146</v>
      </c>
      <c r="Q1203" s="10" t="s">
        <v>408</v>
      </c>
      <c r="R1203" s="10" t="s">
        <v>3083</v>
      </c>
      <c r="S1203" s="5">
        <v>0</v>
      </c>
      <c r="T1203" s="37">
        <v>0</v>
      </c>
      <c r="U1203" s="5">
        <v>0</v>
      </c>
      <c r="V1203" s="37">
        <v>0</v>
      </c>
      <c r="W1203" s="5">
        <v>0</v>
      </c>
      <c r="X1203" s="5">
        <v>0</v>
      </c>
      <c r="Y1203" s="5">
        <v>6</v>
      </c>
      <c r="Z1203" s="37">
        <v>1</v>
      </c>
      <c r="AA1203" s="5">
        <v>0</v>
      </c>
      <c r="AB1203" s="5">
        <v>0</v>
      </c>
      <c r="AC1203" s="5">
        <v>0</v>
      </c>
      <c r="AD1203" s="5">
        <v>7</v>
      </c>
      <c r="AE1203" s="10" t="s">
        <v>50</v>
      </c>
      <c r="AF1203" s="10"/>
      <c r="AG1203" s="10" t="s">
        <v>64</v>
      </c>
      <c r="AH1203" s="10" t="s">
        <v>50</v>
      </c>
      <c r="AI1203" s="5">
        <v>4</v>
      </c>
      <c r="AJ1203" s="10" t="s">
        <v>50</v>
      </c>
      <c r="AK1203" s="10" t="s">
        <v>693</v>
      </c>
    </row>
    <row r="1204" spans="1:37" ht="36.75" customHeight="1" x14ac:dyDescent="0.35">
      <c r="A1204" s="5"/>
      <c r="B1204" s="5" t="s">
        <v>37</v>
      </c>
      <c r="C1204" s="73" t="str">
        <f t="shared" si="18"/>
        <v>Closed</v>
      </c>
      <c r="D1204" s="45" t="s">
        <v>6703</v>
      </c>
      <c r="E1204" s="54" t="s">
        <v>6704</v>
      </c>
      <c r="F1204" s="5" t="s">
        <v>105</v>
      </c>
      <c r="G1204" s="10">
        <f>DATE(2011,10,22)</f>
        <v>40838</v>
      </c>
      <c r="H1204" s="35">
        <v>1.4166666666666667</v>
      </c>
      <c r="I1204" s="5" t="s">
        <v>106</v>
      </c>
      <c r="J1204" s="10" t="s">
        <v>6705</v>
      </c>
      <c r="K1204" s="5" t="s">
        <v>108</v>
      </c>
      <c r="L1204" s="5" t="s">
        <v>6706</v>
      </c>
      <c r="M1204" s="5" t="s">
        <v>45</v>
      </c>
      <c r="N1204" s="5" t="s">
        <v>80</v>
      </c>
      <c r="O1204" s="5" t="s">
        <v>46</v>
      </c>
      <c r="P1204" s="10" t="s">
        <v>146</v>
      </c>
      <c r="Q1204" s="10" t="s">
        <v>3578</v>
      </c>
      <c r="R1204" s="10" t="s">
        <v>148</v>
      </c>
      <c r="S1204" s="5">
        <v>0</v>
      </c>
      <c r="T1204" s="37">
        <v>0</v>
      </c>
      <c r="U1204" s="5">
        <v>0</v>
      </c>
      <c r="V1204" s="37">
        <v>0</v>
      </c>
      <c r="W1204" s="5">
        <v>0</v>
      </c>
      <c r="X1204" s="5">
        <v>0</v>
      </c>
      <c r="Y1204" s="5">
        <v>0</v>
      </c>
      <c r="Z1204" s="37">
        <v>0</v>
      </c>
      <c r="AA1204" s="5">
        <v>0</v>
      </c>
      <c r="AB1204" s="5">
        <v>0</v>
      </c>
      <c r="AC1204" s="5">
        <v>0</v>
      </c>
      <c r="AD1204" s="5">
        <v>0</v>
      </c>
      <c r="AE1204" s="10" t="s">
        <v>73</v>
      </c>
      <c r="AF1204" s="10"/>
      <c r="AG1204" s="10" t="s">
        <v>333</v>
      </c>
      <c r="AH1204" s="10">
        <v>40854</v>
      </c>
      <c r="AI1204" s="5">
        <v>0</v>
      </c>
      <c r="AJ1204" s="10" t="s">
        <v>6707</v>
      </c>
      <c r="AK1204" s="10" t="s">
        <v>50</v>
      </c>
    </row>
    <row r="1205" spans="1:37" ht="36.75" customHeight="1" x14ac:dyDescent="0.35">
      <c r="A1205" s="5"/>
      <c r="B1205" s="5" t="s">
        <v>37</v>
      </c>
      <c r="C1205" s="73" t="str">
        <f t="shared" si="18"/>
        <v>Closed</v>
      </c>
      <c r="D1205" s="45" t="s">
        <v>6708</v>
      </c>
      <c r="E1205" s="54" t="s">
        <v>6709</v>
      </c>
      <c r="F1205" s="5" t="s">
        <v>214</v>
      </c>
      <c r="G1205" s="10">
        <f>DATE(2011,10,22)</f>
        <v>40838</v>
      </c>
      <c r="H1205" s="35">
        <v>1.9777777777777779</v>
      </c>
      <c r="I1205" s="5" t="s">
        <v>259</v>
      </c>
      <c r="J1205" s="10" t="s">
        <v>6710</v>
      </c>
      <c r="K1205" s="5" t="s">
        <v>216</v>
      </c>
      <c r="L1205" s="5" t="s">
        <v>6711</v>
      </c>
      <c r="M1205" s="5" t="s">
        <v>45</v>
      </c>
      <c r="N1205" s="5">
        <v>0</v>
      </c>
      <c r="O1205" s="5" t="s">
        <v>59</v>
      </c>
      <c r="P1205" s="10" t="s">
        <v>146</v>
      </c>
      <c r="Q1205" s="10" t="s">
        <v>246</v>
      </c>
      <c r="R1205" s="10" t="s">
        <v>219</v>
      </c>
      <c r="S1205" s="5">
        <v>1</v>
      </c>
      <c r="T1205" s="37">
        <v>0</v>
      </c>
      <c r="U1205" s="5">
        <v>0</v>
      </c>
      <c r="V1205" s="37">
        <v>0</v>
      </c>
      <c r="W1205" s="5">
        <v>0</v>
      </c>
      <c r="X1205" s="5">
        <v>1</v>
      </c>
      <c r="Y1205" s="5">
        <v>0</v>
      </c>
      <c r="Z1205" s="37">
        <v>0</v>
      </c>
      <c r="AA1205" s="5">
        <v>0</v>
      </c>
      <c r="AB1205" s="5">
        <v>0</v>
      </c>
      <c r="AC1205" s="5">
        <v>0</v>
      </c>
      <c r="AD1205" s="5">
        <v>0</v>
      </c>
      <c r="AE1205" s="10" t="s">
        <v>50</v>
      </c>
      <c r="AF1205" s="10"/>
      <c r="AG1205" s="10" t="s">
        <v>64</v>
      </c>
      <c r="AH1205" s="10" t="s">
        <v>50</v>
      </c>
      <c r="AI1205" s="5">
        <v>3</v>
      </c>
      <c r="AJ1205" s="10" t="s">
        <v>6712</v>
      </c>
      <c r="AK1205" s="10" t="s">
        <v>6713</v>
      </c>
    </row>
    <row r="1206" spans="1:37" ht="36.75" customHeight="1" x14ac:dyDescent="0.35">
      <c r="A1206" s="5"/>
      <c r="B1206" s="5" t="s">
        <v>37</v>
      </c>
      <c r="C1206" s="73" t="str">
        <f t="shared" si="18"/>
        <v>Closed</v>
      </c>
      <c r="D1206" s="45" t="s">
        <v>6714</v>
      </c>
      <c r="E1206" s="54" t="s">
        <v>6715</v>
      </c>
      <c r="F1206" s="5" t="s">
        <v>619</v>
      </c>
      <c r="G1206" s="10">
        <f>DATE(2011,10,26)</f>
        <v>40842</v>
      </c>
      <c r="H1206" s="35">
        <v>1.6833333333333331</v>
      </c>
      <c r="I1206" s="5" t="s">
        <v>55</v>
      </c>
      <c r="J1206" s="10" t="s">
        <v>6716</v>
      </c>
      <c r="K1206" s="5" t="s">
        <v>621</v>
      </c>
      <c r="L1206" s="5" t="s">
        <v>6717</v>
      </c>
      <c r="M1206" s="5" t="s">
        <v>45</v>
      </c>
      <c r="N1206" s="5" t="s">
        <v>80</v>
      </c>
      <c r="O1206" s="5" t="s">
        <v>59</v>
      </c>
      <c r="P1206" s="10" t="s">
        <v>67</v>
      </c>
      <c r="Q1206" s="10" t="s">
        <v>623</v>
      </c>
      <c r="R1206" s="10" t="s">
        <v>624</v>
      </c>
      <c r="S1206" s="5">
        <v>0</v>
      </c>
      <c r="T1206" s="37">
        <v>0</v>
      </c>
      <c r="U1206" s="5">
        <v>0</v>
      </c>
      <c r="V1206" s="37">
        <v>0</v>
      </c>
      <c r="W1206" s="5">
        <v>0</v>
      </c>
      <c r="X1206" s="5">
        <v>0</v>
      </c>
      <c r="Y1206" s="5">
        <v>0</v>
      </c>
      <c r="Z1206" s="37">
        <v>0</v>
      </c>
      <c r="AA1206" s="5">
        <v>0</v>
      </c>
      <c r="AB1206" s="5">
        <v>0</v>
      </c>
      <c r="AC1206" s="5">
        <v>0</v>
      </c>
      <c r="AD1206" s="5">
        <v>0</v>
      </c>
      <c r="AE1206" s="10" t="s">
        <v>50</v>
      </c>
      <c r="AF1206" s="10"/>
      <c r="AG1206" s="10" t="s">
        <v>333</v>
      </c>
      <c r="AH1206" s="10">
        <v>40876</v>
      </c>
      <c r="AI1206" s="5">
        <v>0</v>
      </c>
      <c r="AJ1206" s="10" t="s">
        <v>6718</v>
      </c>
      <c r="AK1206" s="10" t="s">
        <v>50</v>
      </c>
    </row>
    <row r="1207" spans="1:37" ht="36.75" customHeight="1" x14ac:dyDescent="0.35">
      <c r="A1207" s="5"/>
      <c r="B1207" s="5" t="s">
        <v>37</v>
      </c>
      <c r="C1207" s="73" t="str">
        <f t="shared" si="18"/>
        <v>Closed</v>
      </c>
      <c r="D1207" s="45" t="s">
        <v>6719</v>
      </c>
      <c r="E1207" s="54" t="s">
        <v>6720</v>
      </c>
      <c r="F1207" s="5" t="s">
        <v>816</v>
      </c>
      <c r="G1207" s="10">
        <f>DATE(2011,10,26)</f>
        <v>40842</v>
      </c>
      <c r="H1207" s="35">
        <v>1.7326388888888888</v>
      </c>
      <c r="I1207" s="5" t="s">
        <v>55</v>
      </c>
      <c r="J1207" s="10" t="s">
        <v>6721</v>
      </c>
      <c r="K1207" s="5" t="s">
        <v>818</v>
      </c>
      <c r="L1207" s="5" t="s">
        <v>6722</v>
      </c>
      <c r="M1207" s="5" t="s">
        <v>45</v>
      </c>
      <c r="N1207" s="5" t="s">
        <v>80</v>
      </c>
      <c r="O1207" s="5" t="s">
        <v>46</v>
      </c>
      <c r="P1207" s="10" t="s">
        <v>47</v>
      </c>
      <c r="Q1207" s="10" t="s">
        <v>2142</v>
      </c>
      <c r="R1207" s="10" t="s">
        <v>821</v>
      </c>
      <c r="S1207" s="5">
        <v>0</v>
      </c>
      <c r="T1207" s="37">
        <v>0</v>
      </c>
      <c r="U1207" s="5">
        <v>0</v>
      </c>
      <c r="V1207" s="37">
        <v>0</v>
      </c>
      <c r="W1207" s="5">
        <v>0</v>
      </c>
      <c r="X1207" s="5">
        <v>0</v>
      </c>
      <c r="Y1207" s="5">
        <v>0</v>
      </c>
      <c r="Z1207" s="37">
        <v>0</v>
      </c>
      <c r="AA1207" s="5">
        <v>0</v>
      </c>
      <c r="AB1207" s="5">
        <v>0</v>
      </c>
      <c r="AC1207" s="5">
        <v>0</v>
      </c>
      <c r="AD1207" s="5">
        <v>0</v>
      </c>
      <c r="AE1207" s="10" t="s">
        <v>73</v>
      </c>
      <c r="AF1207" s="10"/>
      <c r="AG1207" s="10" t="s">
        <v>333</v>
      </c>
      <c r="AH1207" s="10">
        <v>40842</v>
      </c>
      <c r="AI1207" s="5">
        <v>0</v>
      </c>
      <c r="AJ1207" s="10" t="s">
        <v>6723</v>
      </c>
      <c r="AK1207" s="10" t="s">
        <v>6724</v>
      </c>
    </row>
    <row r="1208" spans="1:37" ht="36.75" customHeight="1" x14ac:dyDescent="0.35">
      <c r="A1208" s="5"/>
      <c r="B1208" s="5" t="s">
        <v>37</v>
      </c>
      <c r="C1208" s="73" t="str">
        <f t="shared" si="18"/>
        <v>Closed</v>
      </c>
      <c r="D1208" s="45" t="s">
        <v>6725</v>
      </c>
      <c r="E1208" s="54" t="s">
        <v>6726</v>
      </c>
      <c r="F1208" s="5" t="s">
        <v>619</v>
      </c>
      <c r="G1208" s="10">
        <f>DATE(2011,10,27)</f>
        <v>40843</v>
      </c>
      <c r="H1208" s="35">
        <v>1.6006944444444444</v>
      </c>
      <c r="I1208" s="5" t="s">
        <v>55</v>
      </c>
      <c r="J1208" s="10" t="s">
        <v>6727</v>
      </c>
      <c r="K1208" s="5" t="s">
        <v>621</v>
      </c>
      <c r="L1208" s="5" t="s">
        <v>6728</v>
      </c>
      <c r="M1208" s="5" t="s">
        <v>45</v>
      </c>
      <c r="N1208" s="5" t="s">
        <v>80</v>
      </c>
      <c r="O1208" s="5" t="s">
        <v>59</v>
      </c>
      <c r="P1208" s="10" t="s">
        <v>146</v>
      </c>
      <c r="Q1208" s="10" t="s">
        <v>3226</v>
      </c>
      <c r="R1208" s="10" t="s">
        <v>3226</v>
      </c>
      <c r="S1208" s="5">
        <v>0</v>
      </c>
      <c r="T1208" s="37">
        <v>0</v>
      </c>
      <c r="U1208" s="5">
        <v>0</v>
      </c>
      <c r="V1208" s="37">
        <v>0</v>
      </c>
      <c r="W1208" s="5">
        <v>0</v>
      </c>
      <c r="X1208" s="5">
        <v>0</v>
      </c>
      <c r="Y1208" s="5">
        <v>0</v>
      </c>
      <c r="Z1208" s="37">
        <v>0</v>
      </c>
      <c r="AA1208" s="5">
        <v>0</v>
      </c>
      <c r="AB1208" s="5">
        <v>0</v>
      </c>
      <c r="AC1208" s="5">
        <v>0</v>
      </c>
      <c r="AD1208" s="5">
        <v>0</v>
      </c>
      <c r="AE1208" s="10" t="s">
        <v>50</v>
      </c>
      <c r="AF1208" s="10"/>
      <c r="AG1208" s="10" t="s">
        <v>333</v>
      </c>
      <c r="AH1208" s="10">
        <v>40876</v>
      </c>
      <c r="AI1208" s="5">
        <v>1</v>
      </c>
      <c r="AJ1208" s="10" t="s">
        <v>6729</v>
      </c>
      <c r="AK1208" s="10" t="s">
        <v>50</v>
      </c>
    </row>
    <row r="1209" spans="1:37" ht="36.75" customHeight="1" x14ac:dyDescent="0.35">
      <c r="A1209" s="5"/>
      <c r="B1209" s="5" t="s">
        <v>37</v>
      </c>
      <c r="C1209" s="73" t="str">
        <f t="shared" si="18"/>
        <v>Closed</v>
      </c>
      <c r="D1209" s="45" t="s">
        <v>6730</v>
      </c>
      <c r="E1209" s="54" t="s">
        <v>6731</v>
      </c>
      <c r="F1209" s="5" t="s">
        <v>816</v>
      </c>
      <c r="G1209" s="10">
        <f>DATE(2011,10,27)</f>
        <v>40843</v>
      </c>
      <c r="H1209" s="35">
        <v>1.1979166666666667</v>
      </c>
      <c r="I1209" s="5" t="s">
        <v>85</v>
      </c>
      <c r="J1209" s="10" t="s">
        <v>6732</v>
      </c>
      <c r="K1209" s="5" t="s">
        <v>818</v>
      </c>
      <c r="L1209" s="5" t="s">
        <v>6733</v>
      </c>
      <c r="M1209" s="5" t="s">
        <v>45</v>
      </c>
      <c r="N1209" s="5" t="s">
        <v>80</v>
      </c>
      <c r="O1209" s="5" t="s">
        <v>59</v>
      </c>
      <c r="P1209" s="10" t="s">
        <v>197</v>
      </c>
      <c r="Q1209" s="10" t="s">
        <v>5819</v>
      </c>
      <c r="R1209" s="10" t="s">
        <v>821</v>
      </c>
      <c r="S1209" s="5">
        <v>0</v>
      </c>
      <c r="T1209" s="37">
        <v>0</v>
      </c>
      <c r="U1209" s="5">
        <v>0</v>
      </c>
      <c r="V1209" s="37">
        <v>0</v>
      </c>
      <c r="W1209" s="5">
        <v>0</v>
      </c>
      <c r="X1209" s="5">
        <v>0</v>
      </c>
      <c r="Y1209" s="5">
        <v>0</v>
      </c>
      <c r="Z1209" s="37">
        <v>0</v>
      </c>
      <c r="AA1209" s="5">
        <v>0</v>
      </c>
      <c r="AB1209" s="5">
        <v>0</v>
      </c>
      <c r="AC1209" s="5">
        <v>0</v>
      </c>
      <c r="AD1209" s="5">
        <v>0</v>
      </c>
      <c r="AE1209" s="10" t="s">
        <v>73</v>
      </c>
      <c r="AF1209" s="10"/>
      <c r="AG1209" s="10" t="s">
        <v>333</v>
      </c>
      <c r="AH1209" s="10">
        <v>40843</v>
      </c>
      <c r="AI1209" s="5">
        <v>0</v>
      </c>
      <c r="AJ1209" s="10" t="s">
        <v>6734</v>
      </c>
      <c r="AK1209" s="10" t="s">
        <v>50</v>
      </c>
    </row>
    <row r="1210" spans="1:37" ht="36.75" customHeight="1" x14ac:dyDescent="0.35">
      <c r="A1210" s="5"/>
      <c r="B1210" s="5" t="s">
        <v>37</v>
      </c>
      <c r="C1210" s="73" t="str">
        <f t="shared" si="18"/>
        <v>Closed</v>
      </c>
      <c r="D1210" s="45" t="s">
        <v>6735</v>
      </c>
      <c r="E1210" s="54" t="s">
        <v>6736</v>
      </c>
      <c r="F1210" s="5" t="s">
        <v>105</v>
      </c>
      <c r="G1210" s="10">
        <f>DATE(2011,10,28)</f>
        <v>40844</v>
      </c>
      <c r="H1210" s="35">
        <v>1.0756944444444445</v>
      </c>
      <c r="I1210" s="5" t="s">
        <v>55</v>
      </c>
      <c r="J1210" s="10" t="s">
        <v>6737</v>
      </c>
      <c r="K1210" s="5" t="s">
        <v>108</v>
      </c>
      <c r="L1210" s="5" t="s">
        <v>6738</v>
      </c>
      <c r="M1210" s="5" t="s">
        <v>45</v>
      </c>
      <c r="N1210" s="5" t="s">
        <v>123</v>
      </c>
      <c r="O1210" s="5" t="s">
        <v>59</v>
      </c>
      <c r="P1210" s="10" t="s">
        <v>60</v>
      </c>
      <c r="Q1210" s="10" t="s">
        <v>124</v>
      </c>
      <c r="R1210" s="10" t="s">
        <v>148</v>
      </c>
      <c r="S1210" s="5">
        <v>0</v>
      </c>
      <c r="T1210" s="37">
        <v>0</v>
      </c>
      <c r="U1210" s="5">
        <v>0</v>
      </c>
      <c r="V1210" s="37">
        <v>0</v>
      </c>
      <c r="W1210" s="5">
        <v>0</v>
      </c>
      <c r="X1210" s="5">
        <v>0</v>
      </c>
      <c r="Y1210" s="5">
        <v>0</v>
      </c>
      <c r="Z1210" s="37">
        <v>0</v>
      </c>
      <c r="AA1210" s="5">
        <v>0</v>
      </c>
      <c r="AB1210" s="5">
        <v>0</v>
      </c>
      <c r="AC1210" s="5">
        <v>0</v>
      </c>
      <c r="AD1210" s="5">
        <v>0</v>
      </c>
      <c r="AE1210" s="10" t="s">
        <v>50</v>
      </c>
      <c r="AF1210" s="10"/>
      <c r="AG1210" s="10" t="s">
        <v>114</v>
      </c>
      <c r="AH1210" s="10">
        <v>40602</v>
      </c>
      <c r="AI1210" s="5">
        <v>0</v>
      </c>
      <c r="AJ1210" s="10" t="s">
        <v>6739</v>
      </c>
      <c r="AK1210" s="10" t="s">
        <v>50</v>
      </c>
    </row>
    <row r="1211" spans="1:37" ht="36.75" customHeight="1" x14ac:dyDescent="0.35">
      <c r="A1211" s="5"/>
      <c r="B1211" s="5" t="s">
        <v>37</v>
      </c>
      <c r="C1211" s="73" t="str">
        <f t="shared" si="18"/>
        <v>Closed</v>
      </c>
      <c r="D1211" s="45" t="s">
        <v>6740</v>
      </c>
      <c r="E1211" s="54" t="s">
        <v>6741</v>
      </c>
      <c r="F1211" s="5" t="s">
        <v>178</v>
      </c>
      <c r="G1211" s="10">
        <f>DATE(2011,10,31)</f>
        <v>40847</v>
      </c>
      <c r="H1211" s="35">
        <v>1.3548611111111111</v>
      </c>
      <c r="I1211" s="5" t="s">
        <v>97</v>
      </c>
      <c r="J1211" s="10" t="s">
        <v>6742</v>
      </c>
      <c r="K1211" s="5" t="s">
        <v>181</v>
      </c>
      <c r="L1211" s="5" t="s">
        <v>6743</v>
      </c>
      <c r="M1211" s="5" t="s">
        <v>45</v>
      </c>
      <c r="N1211" s="5" t="s">
        <v>80</v>
      </c>
      <c r="O1211" s="5" t="s">
        <v>59</v>
      </c>
      <c r="P1211" s="10" t="s">
        <v>146</v>
      </c>
      <c r="Q1211" s="10" t="s">
        <v>183</v>
      </c>
      <c r="R1211" s="10">
        <v>0</v>
      </c>
      <c r="S1211" s="5">
        <v>0</v>
      </c>
      <c r="T1211" s="37">
        <v>0</v>
      </c>
      <c r="U1211" s="5">
        <v>1</v>
      </c>
      <c r="V1211" s="37">
        <v>0</v>
      </c>
      <c r="W1211" s="5">
        <v>0</v>
      </c>
      <c r="X1211" s="5">
        <v>1</v>
      </c>
      <c r="Y1211" s="5">
        <v>0</v>
      </c>
      <c r="Z1211" s="37">
        <v>0</v>
      </c>
      <c r="AA1211" s="5">
        <v>0</v>
      </c>
      <c r="AB1211" s="5">
        <v>0</v>
      </c>
      <c r="AC1211" s="5">
        <v>0</v>
      </c>
      <c r="AD1211" s="5">
        <v>0</v>
      </c>
      <c r="AE1211" s="10" t="s">
        <v>50</v>
      </c>
      <c r="AF1211" s="10"/>
      <c r="AG1211" s="10" t="s">
        <v>64</v>
      </c>
      <c r="AH1211" s="10">
        <v>40847</v>
      </c>
      <c r="AI1211" s="5">
        <v>0</v>
      </c>
      <c r="AJ1211" s="10" t="s">
        <v>6744</v>
      </c>
      <c r="AK1211" s="10" t="s">
        <v>50</v>
      </c>
    </row>
    <row r="1212" spans="1:37" ht="36.75" customHeight="1" x14ac:dyDescent="0.35">
      <c r="A1212" s="5"/>
      <c r="B1212" s="5" t="s">
        <v>37</v>
      </c>
      <c r="C1212" s="73" t="str">
        <f t="shared" si="18"/>
        <v>Closed</v>
      </c>
      <c r="D1212" s="45" t="s">
        <v>6745</v>
      </c>
      <c r="E1212" s="54" t="s">
        <v>6746</v>
      </c>
      <c r="F1212" s="5" t="s">
        <v>119</v>
      </c>
      <c r="G1212" s="10">
        <f>DATE(2011,11,1)</f>
        <v>40848</v>
      </c>
      <c r="H1212" s="35">
        <v>1.5520833333333335</v>
      </c>
      <c r="I1212" s="5" t="s">
        <v>2244</v>
      </c>
      <c r="J1212" s="10" t="s">
        <v>6747</v>
      </c>
      <c r="K1212" s="5" t="s">
        <v>121</v>
      </c>
      <c r="L1212" s="5" t="s">
        <v>6748</v>
      </c>
      <c r="M1212" s="5" t="s">
        <v>45</v>
      </c>
      <c r="N1212" s="5" t="s">
        <v>80</v>
      </c>
      <c r="O1212" s="5" t="s">
        <v>46</v>
      </c>
      <c r="P1212" s="10" t="s">
        <v>282</v>
      </c>
      <c r="Q1212" s="10" t="s">
        <v>6749</v>
      </c>
      <c r="R1212" s="10">
        <v>0</v>
      </c>
      <c r="S1212" s="5">
        <v>0</v>
      </c>
      <c r="T1212" s="37">
        <v>0</v>
      </c>
      <c r="U1212" s="5">
        <v>0</v>
      </c>
      <c r="V1212" s="37">
        <v>0</v>
      </c>
      <c r="W1212" s="5">
        <v>0</v>
      </c>
      <c r="X1212" s="5">
        <v>0</v>
      </c>
      <c r="Y1212" s="5">
        <v>0</v>
      </c>
      <c r="Z1212" s="37">
        <v>0</v>
      </c>
      <c r="AA1212" s="5">
        <v>0</v>
      </c>
      <c r="AB1212" s="5">
        <v>0</v>
      </c>
      <c r="AC1212" s="5">
        <v>0</v>
      </c>
      <c r="AD1212" s="5">
        <v>0</v>
      </c>
      <c r="AE1212" s="10" t="s">
        <v>50</v>
      </c>
      <c r="AF1212" s="10"/>
      <c r="AG1212" s="10" t="s">
        <v>114</v>
      </c>
      <c r="AH1212" s="10">
        <v>40855</v>
      </c>
      <c r="AI1212" s="5">
        <v>3</v>
      </c>
      <c r="AJ1212" s="10" t="s">
        <v>6750</v>
      </c>
      <c r="AK1212" s="10" t="s">
        <v>6751</v>
      </c>
    </row>
    <row r="1213" spans="1:37" ht="36.75" customHeight="1" x14ac:dyDescent="0.35">
      <c r="A1213" s="5"/>
      <c r="B1213" s="5" t="s">
        <v>37</v>
      </c>
      <c r="C1213" s="73" t="str">
        <f t="shared" si="18"/>
        <v>Closed</v>
      </c>
      <c r="D1213" s="45" t="s">
        <v>6752</v>
      </c>
      <c r="E1213" s="54" t="s">
        <v>6753</v>
      </c>
      <c r="F1213" s="5" t="s">
        <v>119</v>
      </c>
      <c r="G1213" s="10">
        <f>DATE(2011,11,2)</f>
        <v>40849</v>
      </c>
      <c r="H1213" s="35">
        <v>1.817361111111111</v>
      </c>
      <c r="I1213" s="5" t="s">
        <v>6754</v>
      </c>
      <c r="J1213" s="10" t="s">
        <v>6755</v>
      </c>
      <c r="K1213" s="5" t="s">
        <v>121</v>
      </c>
      <c r="L1213" s="5" t="s">
        <v>6756</v>
      </c>
      <c r="M1213" s="5" t="s">
        <v>45</v>
      </c>
      <c r="N1213" s="5" t="s">
        <v>123</v>
      </c>
      <c r="O1213" s="5" t="s">
        <v>59</v>
      </c>
      <c r="P1213" s="10" t="s">
        <v>67</v>
      </c>
      <c r="Q1213" s="10" t="s">
        <v>6757</v>
      </c>
      <c r="R1213" s="10" t="s">
        <v>4913</v>
      </c>
      <c r="S1213" s="5">
        <v>0</v>
      </c>
      <c r="T1213" s="37">
        <v>0</v>
      </c>
      <c r="U1213" s="5">
        <v>0</v>
      </c>
      <c r="V1213" s="37">
        <v>0</v>
      </c>
      <c r="W1213" s="5">
        <v>0</v>
      </c>
      <c r="X1213" s="5">
        <v>0</v>
      </c>
      <c r="Y1213" s="5">
        <v>0</v>
      </c>
      <c r="Z1213" s="37">
        <v>0</v>
      </c>
      <c r="AA1213" s="5">
        <v>0</v>
      </c>
      <c r="AB1213" s="5">
        <v>0</v>
      </c>
      <c r="AC1213" s="5">
        <v>0</v>
      </c>
      <c r="AD1213" s="5">
        <v>0</v>
      </c>
      <c r="AE1213" s="10" t="s">
        <v>73</v>
      </c>
      <c r="AF1213" s="10"/>
      <c r="AG1213" s="10" t="s">
        <v>114</v>
      </c>
      <c r="AH1213" s="10">
        <v>40850</v>
      </c>
      <c r="AI1213" s="5">
        <v>2</v>
      </c>
      <c r="AJ1213" s="10" t="s">
        <v>6758</v>
      </c>
      <c r="AK1213" s="10" t="s">
        <v>6759</v>
      </c>
    </row>
    <row r="1214" spans="1:37" ht="36.75" customHeight="1" x14ac:dyDescent="0.35">
      <c r="A1214" s="5"/>
      <c r="B1214" s="5" t="s">
        <v>37</v>
      </c>
      <c r="C1214" s="73" t="str">
        <f t="shared" si="18"/>
        <v>Closed</v>
      </c>
      <c r="D1214" s="45" t="s">
        <v>6760</v>
      </c>
      <c r="E1214" s="54" t="s">
        <v>6761</v>
      </c>
      <c r="F1214" s="5" t="s">
        <v>619</v>
      </c>
      <c r="G1214" s="10">
        <f>DATE(2011,11,5)</f>
        <v>40852</v>
      </c>
      <c r="H1214" s="35">
        <v>1.4465277777777779</v>
      </c>
      <c r="I1214" s="5" t="s">
        <v>85</v>
      </c>
      <c r="J1214" s="10" t="s">
        <v>6762</v>
      </c>
      <c r="K1214" s="5" t="s">
        <v>621</v>
      </c>
      <c r="L1214" s="5" t="s">
        <v>6763</v>
      </c>
      <c r="M1214" s="5" t="s">
        <v>45</v>
      </c>
      <c r="N1214" s="5" t="s">
        <v>123</v>
      </c>
      <c r="O1214" s="5" t="s">
        <v>59</v>
      </c>
      <c r="P1214" s="10" t="s">
        <v>67</v>
      </c>
      <c r="Q1214" s="10" t="s">
        <v>623</v>
      </c>
      <c r="R1214" s="10" t="s">
        <v>624</v>
      </c>
      <c r="S1214" s="5">
        <v>0</v>
      </c>
      <c r="T1214" s="37">
        <v>0</v>
      </c>
      <c r="U1214" s="5">
        <v>0</v>
      </c>
      <c r="V1214" s="37">
        <v>0</v>
      </c>
      <c r="W1214" s="5">
        <v>0</v>
      </c>
      <c r="X1214" s="5">
        <v>0</v>
      </c>
      <c r="Y1214" s="5">
        <v>0</v>
      </c>
      <c r="Z1214" s="37">
        <v>0</v>
      </c>
      <c r="AA1214" s="5">
        <v>0</v>
      </c>
      <c r="AB1214" s="5">
        <v>0</v>
      </c>
      <c r="AC1214" s="5">
        <v>0</v>
      </c>
      <c r="AD1214" s="5">
        <v>0</v>
      </c>
      <c r="AE1214" s="10" t="s">
        <v>50</v>
      </c>
      <c r="AF1214" s="10"/>
      <c r="AG1214" s="10" t="s">
        <v>333</v>
      </c>
      <c r="AH1214" s="10">
        <v>40876</v>
      </c>
      <c r="AI1214" s="5">
        <v>0</v>
      </c>
      <c r="AJ1214" s="10" t="s">
        <v>6764</v>
      </c>
      <c r="AK1214" s="10" t="s">
        <v>1215</v>
      </c>
    </row>
    <row r="1215" spans="1:37" ht="36.75" customHeight="1" x14ac:dyDescent="0.35">
      <c r="A1215" s="5"/>
      <c r="B1215" s="5" t="s">
        <v>37</v>
      </c>
      <c r="C1215" s="73" t="str">
        <f t="shared" si="18"/>
        <v>Closed</v>
      </c>
      <c r="D1215" s="45" t="s">
        <v>6765</v>
      </c>
      <c r="E1215" s="54" t="s">
        <v>6766</v>
      </c>
      <c r="F1215" s="5" t="s">
        <v>432</v>
      </c>
      <c r="G1215" s="10">
        <f>DATE(2011,11,7)</f>
        <v>40854</v>
      </c>
      <c r="H1215" s="35">
        <v>1.6368055555555556</v>
      </c>
      <c r="I1215" s="5" t="s">
        <v>85</v>
      </c>
      <c r="J1215" s="10" t="s">
        <v>6767</v>
      </c>
      <c r="K1215" s="5" t="s">
        <v>434</v>
      </c>
      <c r="L1215" s="5" t="s">
        <v>6768</v>
      </c>
      <c r="M1215" s="5" t="s">
        <v>45</v>
      </c>
      <c r="N1215" s="5" t="s">
        <v>123</v>
      </c>
      <c r="O1215" s="5" t="s">
        <v>46</v>
      </c>
      <c r="P1215" s="10" t="s">
        <v>47</v>
      </c>
      <c r="Q1215" s="10" t="s">
        <v>552</v>
      </c>
      <c r="R1215" s="10" t="s">
        <v>553</v>
      </c>
      <c r="S1215" s="5">
        <v>0</v>
      </c>
      <c r="T1215" s="37">
        <v>0</v>
      </c>
      <c r="U1215" s="5">
        <v>0</v>
      </c>
      <c r="V1215" s="37">
        <v>0</v>
      </c>
      <c r="W1215" s="5">
        <v>0</v>
      </c>
      <c r="X1215" s="5">
        <v>0</v>
      </c>
      <c r="Y1215" s="5">
        <v>0</v>
      </c>
      <c r="Z1215" s="37">
        <v>0</v>
      </c>
      <c r="AA1215" s="5">
        <v>0</v>
      </c>
      <c r="AB1215" s="5">
        <v>0</v>
      </c>
      <c r="AC1215" s="5">
        <v>0</v>
      </c>
      <c r="AD1215" s="5">
        <v>0</v>
      </c>
      <c r="AE1215" s="10" t="s">
        <v>73</v>
      </c>
      <c r="AF1215" s="10"/>
      <c r="AG1215" s="10" t="s">
        <v>114</v>
      </c>
      <c r="AH1215" s="10">
        <v>40855</v>
      </c>
      <c r="AI1215" s="5">
        <v>3</v>
      </c>
      <c r="AJ1215" s="10" t="s">
        <v>6769</v>
      </c>
      <c r="AK1215" s="10" t="s">
        <v>6770</v>
      </c>
    </row>
    <row r="1216" spans="1:37" ht="36.75" customHeight="1" x14ac:dyDescent="0.35">
      <c r="A1216" s="5"/>
      <c r="B1216" s="5" t="s">
        <v>37</v>
      </c>
      <c r="C1216" s="73" t="str">
        <f t="shared" si="18"/>
        <v>Closed</v>
      </c>
      <c r="D1216" s="45" t="s">
        <v>6771</v>
      </c>
      <c r="E1216" s="54" t="s">
        <v>6772</v>
      </c>
      <c r="F1216" s="5" t="s">
        <v>816</v>
      </c>
      <c r="G1216" s="10">
        <f>DATE(2011,11,7)</f>
        <v>40854</v>
      </c>
      <c r="H1216" s="35">
        <v>1.4444444444444444</v>
      </c>
      <c r="I1216" s="5" t="s">
        <v>97</v>
      </c>
      <c r="J1216" s="10" t="s">
        <v>6773</v>
      </c>
      <c r="K1216" s="5" t="s">
        <v>818</v>
      </c>
      <c r="L1216" s="5" t="s">
        <v>6774</v>
      </c>
      <c r="M1216" s="5" t="s">
        <v>45</v>
      </c>
      <c r="N1216" s="5" t="s">
        <v>123</v>
      </c>
      <c r="O1216" s="5" t="s">
        <v>46</v>
      </c>
      <c r="P1216" s="10" t="s">
        <v>47</v>
      </c>
      <c r="Q1216" s="10" t="s">
        <v>2142</v>
      </c>
      <c r="R1216" s="10" t="s">
        <v>821</v>
      </c>
      <c r="S1216" s="5">
        <v>0</v>
      </c>
      <c r="T1216" s="37">
        <v>0</v>
      </c>
      <c r="U1216" s="5">
        <v>1</v>
      </c>
      <c r="V1216" s="37">
        <v>0</v>
      </c>
      <c r="W1216" s="5">
        <v>0</v>
      </c>
      <c r="X1216" s="5">
        <v>1</v>
      </c>
      <c r="Y1216" s="5">
        <v>0</v>
      </c>
      <c r="Z1216" s="37">
        <v>0</v>
      </c>
      <c r="AA1216" s="5">
        <v>0</v>
      </c>
      <c r="AB1216" s="5">
        <v>0</v>
      </c>
      <c r="AC1216" s="5">
        <v>0</v>
      </c>
      <c r="AD1216" s="5">
        <v>0</v>
      </c>
      <c r="AE1216" s="10" t="s">
        <v>73</v>
      </c>
      <c r="AF1216" s="10"/>
      <c r="AG1216" s="10" t="s">
        <v>333</v>
      </c>
      <c r="AH1216" s="10">
        <v>40855</v>
      </c>
      <c r="AI1216" s="5">
        <v>0</v>
      </c>
      <c r="AJ1216" s="10" t="s">
        <v>6775</v>
      </c>
      <c r="AK1216" s="10" t="s">
        <v>50</v>
      </c>
    </row>
    <row r="1217" spans="1:37" ht="36.75" customHeight="1" x14ac:dyDescent="0.35">
      <c r="A1217" s="5"/>
      <c r="B1217" s="5" t="s">
        <v>37</v>
      </c>
      <c r="C1217" s="73" t="str">
        <f t="shared" si="18"/>
        <v>Closed</v>
      </c>
      <c r="D1217" s="45" t="s">
        <v>6776</v>
      </c>
      <c r="E1217" s="54" t="s">
        <v>6777</v>
      </c>
      <c r="F1217" s="5" t="s">
        <v>1553</v>
      </c>
      <c r="G1217" s="10">
        <f>DATE(2011,11,15)</f>
        <v>40862</v>
      </c>
      <c r="H1217" s="35">
        <v>1.3159722222222223</v>
      </c>
      <c r="I1217" s="5" t="s">
        <v>55</v>
      </c>
      <c r="J1217" s="10" t="s">
        <v>6778</v>
      </c>
      <c r="K1217" s="5" t="s">
        <v>1555</v>
      </c>
      <c r="L1217" s="5" t="s">
        <v>6779</v>
      </c>
      <c r="M1217" s="5" t="s">
        <v>45</v>
      </c>
      <c r="N1217" s="5">
        <v>0</v>
      </c>
      <c r="O1217" s="5" t="s">
        <v>46</v>
      </c>
      <c r="P1217" s="10" t="s">
        <v>60</v>
      </c>
      <c r="Q1217" s="10" t="s">
        <v>2635</v>
      </c>
      <c r="R1217" s="10">
        <v>0</v>
      </c>
      <c r="S1217" s="5">
        <v>0</v>
      </c>
      <c r="T1217" s="37">
        <v>0</v>
      </c>
      <c r="U1217" s="5">
        <v>0</v>
      </c>
      <c r="V1217" s="37">
        <v>0</v>
      </c>
      <c r="W1217" s="5">
        <v>0</v>
      </c>
      <c r="X1217" s="5">
        <v>0</v>
      </c>
      <c r="Y1217" s="5">
        <v>0</v>
      </c>
      <c r="Z1217" s="37">
        <v>0</v>
      </c>
      <c r="AA1217" s="5">
        <v>0</v>
      </c>
      <c r="AB1217" s="5">
        <v>0</v>
      </c>
      <c r="AC1217" s="5">
        <v>0</v>
      </c>
      <c r="AD1217" s="5">
        <v>0</v>
      </c>
      <c r="AE1217" s="10" t="s">
        <v>73</v>
      </c>
      <c r="AF1217" s="10"/>
      <c r="AG1217" s="10" t="s">
        <v>114</v>
      </c>
      <c r="AH1217" s="10" t="s">
        <v>50</v>
      </c>
      <c r="AI1217" s="5">
        <v>0</v>
      </c>
      <c r="AJ1217" s="10" t="s">
        <v>6780</v>
      </c>
      <c r="AK1217" s="10" t="s">
        <v>1215</v>
      </c>
    </row>
    <row r="1218" spans="1:37" ht="36.75" customHeight="1" x14ac:dyDescent="0.35">
      <c r="A1218" s="5"/>
      <c r="B1218" s="5" t="s">
        <v>37</v>
      </c>
      <c r="C1218" s="73" t="str">
        <f t="shared" ref="C1218:C1281" si="19">IF(B1218="Notification","Open",IF(B1218="Interim Statement","In progress","Closed"))</f>
        <v>Closed</v>
      </c>
      <c r="D1218" s="45" t="s">
        <v>6781</v>
      </c>
      <c r="E1218" s="54" t="s">
        <v>6782</v>
      </c>
      <c r="F1218" s="5" t="s">
        <v>404</v>
      </c>
      <c r="G1218" s="10">
        <f>DATE(2011,11,17)</f>
        <v>40864</v>
      </c>
      <c r="H1218" s="35">
        <v>1.9500000000000002</v>
      </c>
      <c r="I1218" s="5" t="s">
        <v>55</v>
      </c>
      <c r="J1218" s="10" t="s">
        <v>6783</v>
      </c>
      <c r="K1218" s="5" t="s">
        <v>406</v>
      </c>
      <c r="L1218" s="5" t="s">
        <v>6784</v>
      </c>
      <c r="M1218" s="5" t="s">
        <v>45</v>
      </c>
      <c r="N1218" s="5" t="s">
        <v>80</v>
      </c>
      <c r="O1218" s="5" t="s">
        <v>46</v>
      </c>
      <c r="P1218" s="10" t="s">
        <v>146</v>
      </c>
      <c r="Q1218" s="10" t="s">
        <v>408</v>
      </c>
      <c r="R1218" s="10" t="s">
        <v>3083</v>
      </c>
      <c r="S1218" s="5">
        <v>0</v>
      </c>
      <c r="T1218" s="37">
        <v>0</v>
      </c>
      <c r="U1218" s="5">
        <v>0</v>
      </c>
      <c r="V1218" s="37">
        <v>0</v>
      </c>
      <c r="W1218" s="5">
        <v>0</v>
      </c>
      <c r="X1218" s="5">
        <v>0</v>
      </c>
      <c r="Y1218" s="5">
        <v>0</v>
      </c>
      <c r="Z1218" s="37">
        <v>0</v>
      </c>
      <c r="AA1218" s="5">
        <v>0</v>
      </c>
      <c r="AB1218" s="5">
        <v>0</v>
      </c>
      <c r="AC1218" s="5">
        <v>0</v>
      </c>
      <c r="AD1218" s="5">
        <v>0</v>
      </c>
      <c r="AE1218" s="10" t="s">
        <v>73</v>
      </c>
      <c r="AF1218" s="10"/>
      <c r="AG1218" s="10" t="s">
        <v>114</v>
      </c>
      <c r="AH1218" s="10">
        <v>40870</v>
      </c>
      <c r="AI1218" s="5">
        <v>3</v>
      </c>
      <c r="AJ1218" s="10" t="s">
        <v>6785</v>
      </c>
      <c r="AK1218" s="10" t="s">
        <v>6786</v>
      </c>
    </row>
    <row r="1219" spans="1:37" ht="36.75" customHeight="1" x14ac:dyDescent="0.35">
      <c r="A1219" s="5"/>
      <c r="B1219" s="5" t="s">
        <v>37</v>
      </c>
      <c r="C1219" s="73" t="str">
        <f t="shared" si="19"/>
        <v>Closed</v>
      </c>
      <c r="D1219" s="45" t="s">
        <v>6787</v>
      </c>
      <c r="E1219" s="54" t="s">
        <v>6788</v>
      </c>
      <c r="F1219" s="5" t="s">
        <v>816</v>
      </c>
      <c r="G1219" s="10">
        <f>DATE(2011,11,17)</f>
        <v>40864</v>
      </c>
      <c r="H1219" s="35">
        <v>1.7048611111111112</v>
      </c>
      <c r="I1219" s="5" t="s">
        <v>97</v>
      </c>
      <c r="J1219" s="10" t="s">
        <v>6789</v>
      </c>
      <c r="K1219" s="5" t="s">
        <v>818</v>
      </c>
      <c r="L1219" s="5" t="s">
        <v>6790</v>
      </c>
      <c r="M1219" s="5" t="s">
        <v>45</v>
      </c>
      <c r="N1219" s="5" t="s">
        <v>80</v>
      </c>
      <c r="O1219" s="5" t="s">
        <v>46</v>
      </c>
      <c r="P1219" s="10" t="s">
        <v>146</v>
      </c>
      <c r="Q1219" s="10" t="s">
        <v>2142</v>
      </c>
      <c r="R1219" s="10" t="s">
        <v>821</v>
      </c>
      <c r="S1219" s="5">
        <v>0</v>
      </c>
      <c r="T1219" s="37">
        <v>0</v>
      </c>
      <c r="U1219" s="5">
        <v>0</v>
      </c>
      <c r="V1219" s="37">
        <v>0</v>
      </c>
      <c r="W1219" s="5">
        <v>0</v>
      </c>
      <c r="X1219" s="5">
        <v>0</v>
      </c>
      <c r="Y1219" s="5">
        <v>0</v>
      </c>
      <c r="Z1219" s="37">
        <v>0</v>
      </c>
      <c r="AA1219" s="5">
        <v>1</v>
      </c>
      <c r="AB1219" s="5">
        <v>0</v>
      </c>
      <c r="AC1219" s="5">
        <v>0</v>
      </c>
      <c r="AD1219" s="5">
        <v>1</v>
      </c>
      <c r="AE1219" s="10" t="s">
        <v>50</v>
      </c>
      <c r="AF1219" s="10"/>
      <c r="AG1219" s="10" t="s">
        <v>333</v>
      </c>
      <c r="AH1219" s="10">
        <v>40864</v>
      </c>
      <c r="AI1219" s="5">
        <v>0</v>
      </c>
      <c r="AJ1219" s="10" t="s">
        <v>6791</v>
      </c>
      <c r="AK1219" s="10" t="s">
        <v>50</v>
      </c>
    </row>
    <row r="1220" spans="1:37" ht="36.75" customHeight="1" x14ac:dyDescent="0.35">
      <c r="A1220" s="5"/>
      <c r="B1220" s="5" t="s">
        <v>37</v>
      </c>
      <c r="C1220" s="73" t="str">
        <f t="shared" si="19"/>
        <v>Closed</v>
      </c>
      <c r="D1220" s="45" t="s">
        <v>6792</v>
      </c>
      <c r="E1220" s="54" t="s">
        <v>6793</v>
      </c>
      <c r="F1220" s="5" t="s">
        <v>816</v>
      </c>
      <c r="G1220" s="10">
        <f>DATE(2011,11,20)</f>
        <v>40867</v>
      </c>
      <c r="H1220" s="35">
        <v>1.4375</v>
      </c>
      <c r="I1220" s="5" t="s">
        <v>97</v>
      </c>
      <c r="J1220" s="10" t="s">
        <v>6794</v>
      </c>
      <c r="K1220" s="5" t="s">
        <v>818</v>
      </c>
      <c r="L1220" s="5" t="s">
        <v>6795</v>
      </c>
      <c r="M1220" s="5" t="s">
        <v>45</v>
      </c>
      <c r="N1220" s="5" t="s">
        <v>123</v>
      </c>
      <c r="O1220" s="5" t="s">
        <v>46</v>
      </c>
      <c r="P1220" s="10" t="s">
        <v>146</v>
      </c>
      <c r="Q1220" s="10" t="s">
        <v>4190</v>
      </c>
      <c r="R1220" s="10" t="s">
        <v>4190</v>
      </c>
      <c r="S1220" s="5">
        <v>0</v>
      </c>
      <c r="T1220" s="37">
        <v>0</v>
      </c>
      <c r="U1220" s="5">
        <v>0</v>
      </c>
      <c r="V1220" s="37">
        <v>0</v>
      </c>
      <c r="W1220" s="5">
        <v>0</v>
      </c>
      <c r="X1220" s="5">
        <v>0</v>
      </c>
      <c r="Y1220" s="5">
        <v>0</v>
      </c>
      <c r="Z1220" s="37">
        <v>0</v>
      </c>
      <c r="AA1220" s="5">
        <v>1</v>
      </c>
      <c r="AB1220" s="5">
        <v>0</v>
      </c>
      <c r="AC1220" s="5">
        <v>0</v>
      </c>
      <c r="AD1220" s="5">
        <v>1</v>
      </c>
      <c r="AE1220" s="10" t="s">
        <v>73</v>
      </c>
      <c r="AF1220" s="10"/>
      <c r="AG1220" s="10" t="s">
        <v>333</v>
      </c>
      <c r="AH1220" s="10">
        <v>40877</v>
      </c>
      <c r="AI1220" s="5">
        <v>0</v>
      </c>
      <c r="AJ1220" s="10" t="s">
        <v>6796</v>
      </c>
      <c r="AK1220" s="10" t="s">
        <v>50</v>
      </c>
    </row>
    <row r="1221" spans="1:37" ht="36.75" customHeight="1" x14ac:dyDescent="0.35">
      <c r="A1221" s="5"/>
      <c r="B1221" s="5" t="s">
        <v>37</v>
      </c>
      <c r="C1221" s="73" t="str">
        <f t="shared" si="19"/>
        <v>Closed</v>
      </c>
      <c r="D1221" s="45" t="s">
        <v>6797</v>
      </c>
      <c r="E1221" s="54" t="s">
        <v>6798</v>
      </c>
      <c r="F1221" s="5" t="s">
        <v>404</v>
      </c>
      <c r="G1221" s="10">
        <f>DATE(2011,11,22)</f>
        <v>40869</v>
      </c>
      <c r="H1221" s="35">
        <v>1.96875</v>
      </c>
      <c r="I1221" s="5" t="s">
        <v>137</v>
      </c>
      <c r="J1221" s="10" t="s">
        <v>6799</v>
      </c>
      <c r="K1221" s="5" t="s">
        <v>406</v>
      </c>
      <c r="L1221" s="5" t="s">
        <v>6800</v>
      </c>
      <c r="M1221" s="5" t="s">
        <v>45</v>
      </c>
      <c r="N1221" s="5" t="s">
        <v>123</v>
      </c>
      <c r="O1221" s="5" t="s">
        <v>59</v>
      </c>
      <c r="P1221" s="10" t="s">
        <v>60</v>
      </c>
      <c r="Q1221" s="10" t="s">
        <v>2562</v>
      </c>
      <c r="R1221" s="10" t="s">
        <v>3083</v>
      </c>
      <c r="S1221" s="5">
        <v>0</v>
      </c>
      <c r="T1221" s="37">
        <v>0</v>
      </c>
      <c r="U1221" s="5">
        <v>0</v>
      </c>
      <c r="V1221" s="37">
        <v>0</v>
      </c>
      <c r="W1221" s="5">
        <v>0</v>
      </c>
      <c r="X1221" s="5">
        <v>0</v>
      </c>
      <c r="Y1221" s="5">
        <v>0</v>
      </c>
      <c r="Z1221" s="37">
        <v>0</v>
      </c>
      <c r="AA1221" s="5">
        <v>0</v>
      </c>
      <c r="AB1221" s="5">
        <v>0</v>
      </c>
      <c r="AC1221" s="5">
        <v>0</v>
      </c>
      <c r="AD1221" s="5">
        <v>0</v>
      </c>
      <c r="AE1221" s="10" t="s">
        <v>73</v>
      </c>
      <c r="AF1221" s="10"/>
      <c r="AG1221" s="10" t="s">
        <v>51</v>
      </c>
      <c r="AH1221" s="10">
        <v>40932</v>
      </c>
      <c r="AI1221" s="5">
        <v>3</v>
      </c>
      <c r="AJ1221" s="10" t="s">
        <v>6801</v>
      </c>
      <c r="AK1221" s="10" t="s">
        <v>6802</v>
      </c>
    </row>
    <row r="1222" spans="1:37" ht="36.75" customHeight="1" x14ac:dyDescent="0.35">
      <c r="A1222" s="5"/>
      <c r="B1222" s="5" t="s">
        <v>37</v>
      </c>
      <c r="C1222" s="73" t="str">
        <f t="shared" si="19"/>
        <v>Closed</v>
      </c>
      <c r="D1222" s="45" t="s">
        <v>6803</v>
      </c>
      <c r="E1222" s="54" t="s">
        <v>6804</v>
      </c>
      <c r="F1222" s="5" t="s">
        <v>358</v>
      </c>
      <c r="G1222" s="10">
        <f>DATE(2011,11,22)</f>
        <v>40869</v>
      </c>
      <c r="H1222" s="35">
        <v>1.78125</v>
      </c>
      <c r="I1222" s="5" t="s">
        <v>55</v>
      </c>
      <c r="J1222" s="10" t="s">
        <v>6805</v>
      </c>
      <c r="K1222" s="5" t="s">
        <v>360</v>
      </c>
      <c r="L1222" s="5" t="s">
        <v>6806</v>
      </c>
      <c r="M1222" s="5" t="s">
        <v>45</v>
      </c>
      <c r="N1222" s="5" t="s">
        <v>80</v>
      </c>
      <c r="O1222" s="5" t="s">
        <v>46</v>
      </c>
      <c r="P1222" s="10" t="s">
        <v>146</v>
      </c>
      <c r="Q1222" s="10" t="s">
        <v>2886</v>
      </c>
      <c r="R1222" s="10" t="s">
        <v>363</v>
      </c>
      <c r="S1222" s="5">
        <v>0</v>
      </c>
      <c r="T1222" s="37">
        <v>0</v>
      </c>
      <c r="U1222" s="5">
        <v>0</v>
      </c>
      <c r="V1222" s="37">
        <v>0</v>
      </c>
      <c r="W1222" s="5">
        <v>0</v>
      </c>
      <c r="X1222" s="5">
        <v>0</v>
      </c>
      <c r="Y1222" s="5">
        <v>0</v>
      </c>
      <c r="Z1222" s="37">
        <v>0</v>
      </c>
      <c r="AA1222" s="5">
        <v>0</v>
      </c>
      <c r="AB1222" s="5">
        <v>0</v>
      </c>
      <c r="AC1222" s="5">
        <v>0</v>
      </c>
      <c r="AD1222" s="5">
        <v>0</v>
      </c>
      <c r="AE1222" s="10" t="s">
        <v>375</v>
      </c>
      <c r="AF1222" s="10"/>
      <c r="AG1222" s="10" t="s">
        <v>64</v>
      </c>
      <c r="AH1222" s="10">
        <v>40869</v>
      </c>
      <c r="AI1222" s="5">
        <v>2</v>
      </c>
      <c r="AJ1222" s="10" t="s">
        <v>6807</v>
      </c>
      <c r="AK1222" s="10" t="s">
        <v>6808</v>
      </c>
    </row>
    <row r="1223" spans="1:37" ht="36.75" customHeight="1" x14ac:dyDescent="0.35">
      <c r="A1223" s="5"/>
      <c r="B1223" s="5" t="s">
        <v>37</v>
      </c>
      <c r="C1223" s="73" t="str">
        <f t="shared" si="19"/>
        <v>Closed</v>
      </c>
      <c r="D1223" s="45" t="s">
        <v>6809</v>
      </c>
      <c r="E1223" s="54" t="s">
        <v>6810</v>
      </c>
      <c r="F1223" s="5" t="s">
        <v>214</v>
      </c>
      <c r="G1223" s="10">
        <f>DATE(2011,11,30)</f>
        <v>40877</v>
      </c>
      <c r="H1223" s="35">
        <v>1.8159722222222223</v>
      </c>
      <c r="I1223" s="5" t="s">
        <v>137</v>
      </c>
      <c r="J1223" s="10" t="s">
        <v>6811</v>
      </c>
      <c r="K1223" s="5" t="s">
        <v>216</v>
      </c>
      <c r="L1223" s="5" t="s">
        <v>6812</v>
      </c>
      <c r="M1223" s="5" t="s">
        <v>45</v>
      </c>
      <c r="N1223" s="5" t="s">
        <v>123</v>
      </c>
      <c r="O1223" s="5" t="s">
        <v>46</v>
      </c>
      <c r="P1223" s="10" t="s">
        <v>146</v>
      </c>
      <c r="Q1223" s="10" t="s">
        <v>2856</v>
      </c>
      <c r="R1223" s="10" t="s">
        <v>219</v>
      </c>
      <c r="S1223" s="5">
        <v>0</v>
      </c>
      <c r="T1223" s="37">
        <v>0</v>
      </c>
      <c r="U1223" s="5">
        <v>0</v>
      </c>
      <c r="V1223" s="37">
        <v>0</v>
      </c>
      <c r="W1223" s="5">
        <v>0</v>
      </c>
      <c r="X1223" s="5">
        <v>0</v>
      </c>
      <c r="Y1223" s="5">
        <v>0</v>
      </c>
      <c r="Z1223" s="37">
        <v>0</v>
      </c>
      <c r="AA1223" s="5">
        <v>0</v>
      </c>
      <c r="AB1223" s="5">
        <v>0</v>
      </c>
      <c r="AC1223" s="5">
        <v>0</v>
      </c>
      <c r="AD1223" s="5">
        <v>0</v>
      </c>
      <c r="AE1223" s="10" t="s">
        <v>50</v>
      </c>
      <c r="AF1223" s="10"/>
      <c r="AG1223" s="10" t="s">
        <v>114</v>
      </c>
      <c r="AH1223" s="10" t="s">
        <v>50</v>
      </c>
      <c r="AI1223" s="5">
        <v>9</v>
      </c>
      <c r="AJ1223" s="10" t="s">
        <v>6813</v>
      </c>
      <c r="AK1223" s="10" t="s">
        <v>6814</v>
      </c>
    </row>
    <row r="1224" spans="1:37" ht="36.75" customHeight="1" x14ac:dyDescent="0.35">
      <c r="A1224" s="5"/>
      <c r="B1224" s="5" t="s">
        <v>37</v>
      </c>
      <c r="C1224" s="73" t="str">
        <f t="shared" si="19"/>
        <v>Closed</v>
      </c>
      <c r="D1224" s="45" t="s">
        <v>6815</v>
      </c>
      <c r="E1224" s="54" t="s">
        <v>6816</v>
      </c>
      <c r="F1224" s="5" t="s">
        <v>1553</v>
      </c>
      <c r="G1224" s="10">
        <f>DATE(2011,12,2)</f>
        <v>40879</v>
      </c>
      <c r="H1224" s="35">
        <v>1.8013888888888889</v>
      </c>
      <c r="I1224" s="5" t="s">
        <v>55</v>
      </c>
      <c r="J1224" s="10" t="s">
        <v>6817</v>
      </c>
      <c r="K1224" s="5" t="s">
        <v>1555</v>
      </c>
      <c r="L1224" s="5" t="s">
        <v>6818</v>
      </c>
      <c r="M1224" s="5" t="s">
        <v>45</v>
      </c>
      <c r="N1224" s="5">
        <v>0</v>
      </c>
      <c r="O1224" s="5" t="s">
        <v>46</v>
      </c>
      <c r="P1224" s="10" t="s">
        <v>60</v>
      </c>
      <c r="Q1224" s="10" t="s">
        <v>2635</v>
      </c>
      <c r="R1224" s="10">
        <v>0</v>
      </c>
      <c r="S1224" s="5">
        <v>0</v>
      </c>
      <c r="T1224" s="37">
        <v>0</v>
      </c>
      <c r="U1224" s="5">
        <v>0</v>
      </c>
      <c r="V1224" s="37">
        <v>0</v>
      </c>
      <c r="W1224" s="5">
        <v>0</v>
      </c>
      <c r="X1224" s="5">
        <v>0</v>
      </c>
      <c r="Y1224" s="5">
        <v>0</v>
      </c>
      <c r="Z1224" s="37">
        <v>0</v>
      </c>
      <c r="AA1224" s="5">
        <v>0</v>
      </c>
      <c r="AB1224" s="5">
        <v>0</v>
      </c>
      <c r="AC1224" s="5">
        <v>0</v>
      </c>
      <c r="AD1224" s="5">
        <v>0</v>
      </c>
      <c r="AE1224" s="10" t="s">
        <v>73</v>
      </c>
      <c r="AF1224" s="10"/>
      <c r="AG1224" s="10" t="s">
        <v>114</v>
      </c>
      <c r="AH1224" s="10" t="s">
        <v>50</v>
      </c>
      <c r="AI1224" s="5">
        <v>0</v>
      </c>
      <c r="AJ1224" s="10" t="s">
        <v>6819</v>
      </c>
      <c r="AK1224" s="10" t="s">
        <v>1215</v>
      </c>
    </row>
    <row r="1225" spans="1:37" ht="36.75" customHeight="1" x14ac:dyDescent="0.35">
      <c r="A1225" s="5"/>
      <c r="B1225" s="5" t="s">
        <v>37</v>
      </c>
      <c r="C1225" s="73" t="str">
        <f t="shared" si="19"/>
        <v>Closed</v>
      </c>
      <c r="D1225" s="45" t="s">
        <v>6820</v>
      </c>
      <c r="E1225" s="54" t="s">
        <v>6821</v>
      </c>
      <c r="F1225" s="5" t="s">
        <v>96</v>
      </c>
      <c r="G1225" s="10">
        <f>DATE(2011,12,4)</f>
        <v>40881</v>
      </c>
      <c r="H1225" s="35">
        <v>1.7222222222222223</v>
      </c>
      <c r="I1225" s="5" t="s">
        <v>97</v>
      </c>
      <c r="J1225" s="10" t="s">
        <v>6822</v>
      </c>
      <c r="K1225" s="5" t="s">
        <v>99</v>
      </c>
      <c r="L1225" s="5" t="s">
        <v>6823</v>
      </c>
      <c r="M1225" s="5" t="s">
        <v>45</v>
      </c>
      <c r="N1225" s="5" t="s">
        <v>80</v>
      </c>
      <c r="O1225" s="5" t="s">
        <v>46</v>
      </c>
      <c r="P1225" s="10" t="s">
        <v>146</v>
      </c>
      <c r="Q1225" s="10" t="s">
        <v>101</v>
      </c>
      <c r="R1225" s="10" t="s">
        <v>102</v>
      </c>
      <c r="S1225" s="5">
        <v>0</v>
      </c>
      <c r="T1225" s="37">
        <v>0</v>
      </c>
      <c r="U1225" s="5">
        <v>4</v>
      </c>
      <c r="V1225" s="37">
        <v>0</v>
      </c>
      <c r="W1225" s="5">
        <v>0</v>
      </c>
      <c r="X1225" s="5">
        <v>4</v>
      </c>
      <c r="Y1225" s="5">
        <v>0</v>
      </c>
      <c r="Z1225" s="37">
        <v>0</v>
      </c>
      <c r="AA1225" s="5">
        <v>1</v>
      </c>
      <c r="AB1225" s="5">
        <v>0</v>
      </c>
      <c r="AC1225" s="5">
        <v>0</v>
      </c>
      <c r="AD1225" s="5">
        <v>1</v>
      </c>
      <c r="AE1225" s="10" t="s">
        <v>73</v>
      </c>
      <c r="AF1225" s="10"/>
      <c r="AG1225" s="10" t="s">
        <v>64</v>
      </c>
      <c r="AH1225" s="10">
        <v>40882</v>
      </c>
      <c r="AI1225" s="5">
        <v>2</v>
      </c>
      <c r="AJ1225" s="10" t="s">
        <v>6824</v>
      </c>
      <c r="AK1225" s="10" t="s">
        <v>6825</v>
      </c>
    </row>
    <row r="1226" spans="1:37" ht="36.75" customHeight="1" x14ac:dyDescent="0.35">
      <c r="A1226" s="5"/>
      <c r="B1226" s="5" t="s">
        <v>37</v>
      </c>
      <c r="C1226" s="73" t="str">
        <f t="shared" si="19"/>
        <v>Closed</v>
      </c>
      <c r="D1226" s="45" t="s">
        <v>6826</v>
      </c>
      <c r="E1226" s="54" t="s">
        <v>6827</v>
      </c>
      <c r="F1226" s="5" t="s">
        <v>404</v>
      </c>
      <c r="G1226" s="10">
        <f>DATE(2011,12,5)</f>
        <v>40882</v>
      </c>
      <c r="H1226" s="35">
        <v>1.6236111111111111</v>
      </c>
      <c r="I1226" s="5" t="s">
        <v>85</v>
      </c>
      <c r="J1226" s="10" t="s">
        <v>6828</v>
      </c>
      <c r="K1226" s="5" t="s">
        <v>406</v>
      </c>
      <c r="L1226" s="5" t="s">
        <v>6829</v>
      </c>
      <c r="M1226" s="5" t="s">
        <v>45</v>
      </c>
      <c r="N1226" s="5" t="s">
        <v>80</v>
      </c>
      <c r="O1226" s="5" t="s">
        <v>59</v>
      </c>
      <c r="P1226" s="10" t="s">
        <v>146</v>
      </c>
      <c r="Q1226" s="10" t="s">
        <v>408</v>
      </c>
      <c r="R1226" s="10" t="s">
        <v>3083</v>
      </c>
      <c r="S1226" s="5">
        <v>0</v>
      </c>
      <c r="T1226" s="37">
        <v>0</v>
      </c>
      <c r="U1226" s="5">
        <v>0</v>
      </c>
      <c r="V1226" s="37">
        <v>0</v>
      </c>
      <c r="W1226" s="5">
        <v>0</v>
      </c>
      <c r="X1226" s="5">
        <v>0</v>
      </c>
      <c r="Y1226" s="5">
        <v>0</v>
      </c>
      <c r="Z1226" s="37">
        <v>0</v>
      </c>
      <c r="AA1226" s="5">
        <v>0</v>
      </c>
      <c r="AB1226" s="5">
        <v>0</v>
      </c>
      <c r="AC1226" s="5">
        <v>0</v>
      </c>
      <c r="AD1226" s="5">
        <v>0</v>
      </c>
      <c r="AE1226" s="10" t="s">
        <v>50</v>
      </c>
      <c r="AF1226" s="10"/>
      <c r="AG1226" s="10" t="s">
        <v>114</v>
      </c>
      <c r="AH1226" s="10">
        <v>41244</v>
      </c>
      <c r="AI1226" s="5">
        <v>6</v>
      </c>
      <c r="AJ1226" s="10" t="s">
        <v>6830</v>
      </c>
      <c r="AK1226" s="10" t="s">
        <v>6831</v>
      </c>
    </row>
    <row r="1227" spans="1:37" ht="36.75" customHeight="1" x14ac:dyDescent="0.35">
      <c r="A1227" s="5"/>
      <c r="B1227" s="5" t="s">
        <v>37</v>
      </c>
      <c r="C1227" s="73" t="str">
        <f t="shared" si="19"/>
        <v>Closed</v>
      </c>
      <c r="D1227" s="45" t="s">
        <v>6832</v>
      </c>
      <c r="E1227" s="54" t="s">
        <v>6833</v>
      </c>
      <c r="F1227" s="5" t="s">
        <v>816</v>
      </c>
      <c r="G1227" s="10">
        <f>DATE(2011,12,5)</f>
        <v>40882</v>
      </c>
      <c r="H1227" s="35">
        <v>1.8125</v>
      </c>
      <c r="I1227" s="5" t="s">
        <v>55</v>
      </c>
      <c r="J1227" s="10" t="s">
        <v>6834</v>
      </c>
      <c r="K1227" s="5" t="s">
        <v>818</v>
      </c>
      <c r="L1227" s="5" t="s">
        <v>6835</v>
      </c>
      <c r="M1227" s="5" t="s">
        <v>236</v>
      </c>
      <c r="N1227" s="5" t="s">
        <v>123</v>
      </c>
      <c r="O1227" s="5" t="s">
        <v>46</v>
      </c>
      <c r="P1227" s="10" t="s">
        <v>67</v>
      </c>
      <c r="Q1227" s="10" t="s">
        <v>4190</v>
      </c>
      <c r="R1227" s="10" t="s">
        <v>4190</v>
      </c>
      <c r="S1227" s="5">
        <v>0</v>
      </c>
      <c r="T1227" s="37">
        <v>0</v>
      </c>
      <c r="U1227" s="5">
        <v>0</v>
      </c>
      <c r="V1227" s="37">
        <v>0</v>
      </c>
      <c r="W1227" s="5">
        <v>0</v>
      </c>
      <c r="X1227" s="5">
        <v>0</v>
      </c>
      <c r="Y1227" s="5">
        <v>0</v>
      </c>
      <c r="Z1227" s="37">
        <v>0</v>
      </c>
      <c r="AA1227" s="5">
        <v>0</v>
      </c>
      <c r="AB1227" s="5">
        <v>0</v>
      </c>
      <c r="AC1227" s="5">
        <v>0</v>
      </c>
      <c r="AD1227" s="5">
        <v>0</v>
      </c>
      <c r="AE1227" s="10" t="s">
        <v>73</v>
      </c>
      <c r="AF1227" s="10"/>
      <c r="AG1227" s="10" t="s">
        <v>348</v>
      </c>
      <c r="AH1227" s="10">
        <v>40881</v>
      </c>
      <c r="AI1227" s="5">
        <v>1</v>
      </c>
      <c r="AJ1227" s="10" t="s">
        <v>6836</v>
      </c>
      <c r="AK1227" s="10" t="s">
        <v>50</v>
      </c>
    </row>
    <row r="1228" spans="1:37" ht="36.75" customHeight="1" x14ac:dyDescent="0.35">
      <c r="A1228" s="5"/>
      <c r="B1228" s="5" t="s">
        <v>37</v>
      </c>
      <c r="C1228" s="73" t="str">
        <f t="shared" si="19"/>
        <v>Closed</v>
      </c>
      <c r="D1228" s="45" t="s">
        <v>6837</v>
      </c>
      <c r="E1228" s="54" t="s">
        <v>6838</v>
      </c>
      <c r="F1228" s="5" t="s">
        <v>1553</v>
      </c>
      <c r="G1228" s="10">
        <f>DATE(2011,12,5)</f>
        <v>40882</v>
      </c>
      <c r="H1228" s="35">
        <v>1.8312499999999998</v>
      </c>
      <c r="I1228" s="5" t="s">
        <v>55</v>
      </c>
      <c r="J1228" s="10" t="s">
        <v>6839</v>
      </c>
      <c r="K1228" s="5" t="s">
        <v>1555</v>
      </c>
      <c r="L1228" s="5" t="s">
        <v>6840</v>
      </c>
      <c r="M1228" s="5" t="s">
        <v>45</v>
      </c>
      <c r="N1228" s="5" t="s">
        <v>80</v>
      </c>
      <c r="O1228" s="5" t="s">
        <v>46</v>
      </c>
      <c r="P1228" s="10" t="s">
        <v>146</v>
      </c>
      <c r="Q1228" s="10" t="s">
        <v>2393</v>
      </c>
      <c r="R1228" s="10">
        <v>0</v>
      </c>
      <c r="S1228" s="5">
        <v>0</v>
      </c>
      <c r="T1228" s="37">
        <v>0</v>
      </c>
      <c r="U1228" s="5">
        <v>0</v>
      </c>
      <c r="V1228" s="37">
        <v>0</v>
      </c>
      <c r="W1228" s="5">
        <v>0</v>
      </c>
      <c r="X1228" s="5">
        <v>0</v>
      </c>
      <c r="Y1228" s="5">
        <v>0</v>
      </c>
      <c r="Z1228" s="37">
        <v>0</v>
      </c>
      <c r="AA1228" s="5">
        <v>0</v>
      </c>
      <c r="AB1228" s="5">
        <v>0</v>
      </c>
      <c r="AC1228" s="5">
        <v>0</v>
      </c>
      <c r="AD1228" s="5">
        <v>0</v>
      </c>
      <c r="AE1228" s="10" t="s">
        <v>73</v>
      </c>
      <c r="AF1228" s="10"/>
      <c r="AG1228" s="10" t="s">
        <v>114</v>
      </c>
      <c r="AH1228" s="10">
        <v>40883</v>
      </c>
      <c r="AI1228" s="5">
        <v>0</v>
      </c>
      <c r="AJ1228" s="10" t="s">
        <v>6841</v>
      </c>
      <c r="AK1228" s="10" t="s">
        <v>6842</v>
      </c>
    </row>
    <row r="1229" spans="1:37" ht="36.75" customHeight="1" x14ac:dyDescent="0.35">
      <c r="A1229" s="5"/>
      <c r="B1229" s="5" t="s">
        <v>37</v>
      </c>
      <c r="C1229" s="73" t="str">
        <f t="shared" si="19"/>
        <v>Closed</v>
      </c>
      <c r="D1229" s="45" t="s">
        <v>6843</v>
      </c>
      <c r="E1229" s="54" t="s">
        <v>6844</v>
      </c>
      <c r="F1229" s="5" t="s">
        <v>816</v>
      </c>
      <c r="G1229" s="10">
        <f>DATE(2011,12,7)</f>
        <v>40884</v>
      </c>
      <c r="H1229" s="35">
        <v>1.2868055555555555</v>
      </c>
      <c r="I1229" s="5" t="s">
        <v>179</v>
      </c>
      <c r="J1229" s="10" t="s">
        <v>6845</v>
      </c>
      <c r="K1229" s="5" t="s">
        <v>818</v>
      </c>
      <c r="L1229" s="5" t="s">
        <v>6846</v>
      </c>
      <c r="M1229" s="5" t="s">
        <v>45</v>
      </c>
      <c r="N1229" s="5" t="s">
        <v>123</v>
      </c>
      <c r="O1229" s="5" t="s">
        <v>59</v>
      </c>
      <c r="P1229" s="10" t="s">
        <v>197</v>
      </c>
      <c r="Q1229" s="10" t="s">
        <v>6847</v>
      </c>
      <c r="R1229" s="10" t="s">
        <v>821</v>
      </c>
      <c r="S1229" s="5">
        <v>0</v>
      </c>
      <c r="T1229" s="37">
        <v>0</v>
      </c>
      <c r="U1229" s="5">
        <v>0</v>
      </c>
      <c r="V1229" s="37">
        <v>0</v>
      </c>
      <c r="W1229" s="5">
        <v>0</v>
      </c>
      <c r="X1229" s="5">
        <v>0</v>
      </c>
      <c r="Y1229" s="5">
        <v>0</v>
      </c>
      <c r="Z1229" s="37">
        <v>0</v>
      </c>
      <c r="AA1229" s="5">
        <v>0</v>
      </c>
      <c r="AB1229" s="5">
        <v>0</v>
      </c>
      <c r="AC1229" s="5">
        <v>0</v>
      </c>
      <c r="AD1229" s="5">
        <v>0</v>
      </c>
      <c r="AE1229" s="10" t="s">
        <v>50</v>
      </c>
      <c r="AF1229" s="10"/>
      <c r="AG1229" s="10" t="s">
        <v>333</v>
      </c>
      <c r="AH1229" s="10">
        <v>40884</v>
      </c>
      <c r="AI1229" s="5">
        <v>0</v>
      </c>
      <c r="AJ1229" s="10" t="s">
        <v>6848</v>
      </c>
      <c r="AK1229" s="10" t="s">
        <v>50</v>
      </c>
    </row>
    <row r="1230" spans="1:37" ht="36.75" customHeight="1" x14ac:dyDescent="0.35">
      <c r="A1230" s="5"/>
      <c r="B1230" s="5" t="s">
        <v>37</v>
      </c>
      <c r="C1230" s="73" t="str">
        <f t="shared" si="19"/>
        <v>Closed</v>
      </c>
      <c r="D1230" s="45" t="s">
        <v>6849</v>
      </c>
      <c r="E1230" s="54" t="s">
        <v>6850</v>
      </c>
      <c r="F1230" s="5" t="s">
        <v>404</v>
      </c>
      <c r="G1230" s="10">
        <f>DATE(2011,12,8)</f>
        <v>40885</v>
      </c>
      <c r="H1230" s="35">
        <v>1.2833333333333332</v>
      </c>
      <c r="I1230" s="5" t="s">
        <v>6851</v>
      </c>
      <c r="J1230" s="10" t="s">
        <v>6852</v>
      </c>
      <c r="K1230" s="5" t="s">
        <v>406</v>
      </c>
      <c r="L1230" s="5" t="s">
        <v>6853</v>
      </c>
      <c r="M1230" s="5" t="s">
        <v>45</v>
      </c>
      <c r="N1230" s="5" t="s">
        <v>70</v>
      </c>
      <c r="O1230" s="5" t="s">
        <v>6854</v>
      </c>
      <c r="P1230" s="10" t="s">
        <v>72</v>
      </c>
      <c r="Q1230" s="10" t="s">
        <v>5178</v>
      </c>
      <c r="R1230" s="10" t="s">
        <v>5179</v>
      </c>
      <c r="S1230" s="5">
        <v>0</v>
      </c>
      <c r="T1230" s="37">
        <v>0</v>
      </c>
      <c r="U1230" s="5">
        <v>0</v>
      </c>
      <c r="V1230" s="37">
        <v>0</v>
      </c>
      <c r="W1230" s="5">
        <v>0</v>
      </c>
      <c r="X1230" s="5">
        <v>0</v>
      </c>
      <c r="Y1230" s="5">
        <v>0</v>
      </c>
      <c r="Z1230" s="37">
        <v>0</v>
      </c>
      <c r="AA1230" s="5">
        <v>0</v>
      </c>
      <c r="AB1230" s="5">
        <v>0</v>
      </c>
      <c r="AC1230" s="5">
        <v>0</v>
      </c>
      <c r="AD1230" s="5">
        <v>0</v>
      </c>
      <c r="AE1230" s="10" t="s">
        <v>73</v>
      </c>
      <c r="AF1230" s="10"/>
      <c r="AG1230" s="10" t="s">
        <v>1399</v>
      </c>
      <c r="AH1230" s="10">
        <v>40920</v>
      </c>
      <c r="AI1230" s="5">
        <v>2</v>
      </c>
      <c r="AJ1230" s="10" t="s">
        <v>6855</v>
      </c>
      <c r="AK1230" s="10" t="s">
        <v>6856</v>
      </c>
    </row>
    <row r="1231" spans="1:37" ht="36.75" customHeight="1" x14ac:dyDescent="0.35">
      <c r="A1231" s="5"/>
      <c r="B1231" s="5" t="s">
        <v>37</v>
      </c>
      <c r="C1231" s="73" t="str">
        <f t="shared" si="19"/>
        <v>Closed</v>
      </c>
      <c r="D1231" s="45" t="s">
        <v>6857</v>
      </c>
      <c r="E1231" s="54" t="s">
        <v>6858</v>
      </c>
      <c r="F1231" s="5" t="s">
        <v>816</v>
      </c>
      <c r="G1231" s="10">
        <f>DATE(2011,12,9)</f>
        <v>40886</v>
      </c>
      <c r="H1231" s="35">
        <v>1.6756944444444444</v>
      </c>
      <c r="I1231" s="5" t="s">
        <v>85</v>
      </c>
      <c r="J1231" s="10" t="s">
        <v>6859</v>
      </c>
      <c r="K1231" s="5" t="s">
        <v>818</v>
      </c>
      <c r="L1231" s="5" t="s">
        <v>6860</v>
      </c>
      <c r="M1231" s="5" t="s">
        <v>45</v>
      </c>
      <c r="N1231" s="5">
        <v>0</v>
      </c>
      <c r="O1231" s="5" t="s">
        <v>59</v>
      </c>
      <c r="P1231" s="10" t="s">
        <v>1198</v>
      </c>
      <c r="Q1231" s="10" t="s">
        <v>2142</v>
      </c>
      <c r="R1231" s="10" t="s">
        <v>821</v>
      </c>
      <c r="S1231" s="5">
        <v>0</v>
      </c>
      <c r="T1231" s="37">
        <v>0</v>
      </c>
      <c r="U1231" s="5">
        <v>0</v>
      </c>
      <c r="V1231" s="37">
        <v>0</v>
      </c>
      <c r="W1231" s="5">
        <v>0</v>
      </c>
      <c r="X1231" s="5">
        <v>0</v>
      </c>
      <c r="Y1231" s="5">
        <v>0</v>
      </c>
      <c r="Z1231" s="37">
        <v>0</v>
      </c>
      <c r="AA1231" s="5">
        <v>0</v>
      </c>
      <c r="AB1231" s="5">
        <v>0</v>
      </c>
      <c r="AC1231" s="5">
        <v>0</v>
      </c>
      <c r="AD1231" s="5">
        <v>0</v>
      </c>
      <c r="AE1231" s="10" t="s">
        <v>73</v>
      </c>
      <c r="AF1231" s="10"/>
      <c r="AG1231" s="10" t="s">
        <v>333</v>
      </c>
      <c r="AH1231" s="10" t="s">
        <v>50</v>
      </c>
      <c r="AI1231" s="5">
        <v>0</v>
      </c>
      <c r="AJ1231" s="10" t="s">
        <v>6861</v>
      </c>
      <c r="AK1231" s="10" t="s">
        <v>50</v>
      </c>
    </row>
    <row r="1232" spans="1:37" ht="36.75" customHeight="1" x14ac:dyDescent="0.35">
      <c r="A1232" s="5"/>
      <c r="B1232" s="5" t="s">
        <v>37</v>
      </c>
      <c r="C1232" s="73" t="str">
        <f t="shared" si="19"/>
        <v>Closed</v>
      </c>
      <c r="D1232" s="45" t="s">
        <v>6862</v>
      </c>
      <c r="E1232" s="54" t="s">
        <v>6863</v>
      </c>
      <c r="F1232" s="5" t="s">
        <v>178</v>
      </c>
      <c r="G1232" s="10">
        <f>DATE(2011,12,11)</f>
        <v>40888</v>
      </c>
      <c r="H1232" s="35">
        <v>1.7118055555555554</v>
      </c>
      <c r="I1232" s="5" t="s">
        <v>179</v>
      </c>
      <c r="J1232" s="10" t="s">
        <v>6864</v>
      </c>
      <c r="K1232" s="5" t="s">
        <v>181</v>
      </c>
      <c r="L1232" s="5" t="s">
        <v>6865</v>
      </c>
      <c r="M1232" s="5" t="s">
        <v>45</v>
      </c>
      <c r="N1232" s="5" t="s">
        <v>123</v>
      </c>
      <c r="O1232" s="5" t="s">
        <v>59</v>
      </c>
      <c r="P1232" s="10" t="s">
        <v>146</v>
      </c>
      <c r="Q1232" s="10" t="s">
        <v>183</v>
      </c>
      <c r="R1232" s="10" t="s">
        <v>184</v>
      </c>
      <c r="S1232" s="5">
        <v>0</v>
      </c>
      <c r="T1232" s="37">
        <v>0</v>
      </c>
      <c r="U1232" s="5">
        <v>0</v>
      </c>
      <c r="V1232" s="37">
        <v>0</v>
      </c>
      <c r="W1232" s="5">
        <v>0</v>
      </c>
      <c r="X1232" s="5">
        <v>0</v>
      </c>
      <c r="Y1232" s="5">
        <v>0</v>
      </c>
      <c r="Z1232" s="37">
        <v>0</v>
      </c>
      <c r="AA1232" s="5">
        <v>0</v>
      </c>
      <c r="AB1232" s="5">
        <v>0</v>
      </c>
      <c r="AC1232" s="5">
        <v>0</v>
      </c>
      <c r="AD1232" s="5">
        <v>0</v>
      </c>
      <c r="AE1232" s="10" t="s">
        <v>375</v>
      </c>
      <c r="AF1232" s="10"/>
      <c r="AG1232" s="10" t="s">
        <v>114</v>
      </c>
      <c r="AH1232" s="10"/>
      <c r="AI1232" s="5">
        <v>5</v>
      </c>
      <c r="AJ1232" s="10" t="s">
        <v>6866</v>
      </c>
      <c r="AK1232" s="10" t="s">
        <v>1215</v>
      </c>
    </row>
    <row r="1233" spans="1:37" ht="36.75" customHeight="1" x14ac:dyDescent="0.35">
      <c r="A1233" s="5"/>
      <c r="B1233" s="5" t="s">
        <v>37</v>
      </c>
      <c r="C1233" s="73" t="str">
        <f t="shared" si="19"/>
        <v>Closed</v>
      </c>
      <c r="D1233" s="45" t="s">
        <v>6867</v>
      </c>
      <c r="E1233" s="54" t="s">
        <v>6868</v>
      </c>
      <c r="F1233" s="5" t="s">
        <v>816</v>
      </c>
      <c r="G1233" s="10">
        <f>DATE(2011,12,13)</f>
        <v>40890</v>
      </c>
      <c r="H1233" s="35">
        <v>1.4618055555555556</v>
      </c>
      <c r="I1233" s="5" t="s">
        <v>85</v>
      </c>
      <c r="J1233" s="10" t="s">
        <v>6869</v>
      </c>
      <c r="K1233" s="5" t="s">
        <v>818</v>
      </c>
      <c r="L1233" s="5" t="s">
        <v>6870</v>
      </c>
      <c r="M1233" s="5" t="s">
        <v>45</v>
      </c>
      <c r="N1233" s="5">
        <v>0</v>
      </c>
      <c r="O1233" s="5" t="s">
        <v>59</v>
      </c>
      <c r="P1233" s="10" t="s">
        <v>2911</v>
      </c>
      <c r="Q1233" s="10" t="s">
        <v>5997</v>
      </c>
      <c r="R1233" s="10" t="s">
        <v>821</v>
      </c>
      <c r="S1233" s="5">
        <v>0</v>
      </c>
      <c r="T1233" s="37">
        <v>0</v>
      </c>
      <c r="U1233" s="5">
        <v>0</v>
      </c>
      <c r="V1233" s="37">
        <v>0</v>
      </c>
      <c r="W1233" s="5">
        <v>0</v>
      </c>
      <c r="X1233" s="5">
        <v>0</v>
      </c>
      <c r="Y1233" s="5">
        <v>0</v>
      </c>
      <c r="Z1233" s="37">
        <v>0</v>
      </c>
      <c r="AA1233" s="5">
        <v>0</v>
      </c>
      <c r="AB1233" s="5">
        <v>0</v>
      </c>
      <c r="AC1233" s="5">
        <v>0</v>
      </c>
      <c r="AD1233" s="5">
        <v>0</v>
      </c>
      <c r="AE1233" s="10" t="s">
        <v>73</v>
      </c>
      <c r="AF1233" s="10"/>
      <c r="AG1233" s="10" t="s">
        <v>333</v>
      </c>
      <c r="AH1233" s="10" t="s">
        <v>50</v>
      </c>
      <c r="AI1233" s="5">
        <v>0</v>
      </c>
      <c r="AJ1233" s="10" t="s">
        <v>6871</v>
      </c>
      <c r="AK1233" s="10" t="s">
        <v>6872</v>
      </c>
    </row>
    <row r="1234" spans="1:37" ht="36.75" customHeight="1" x14ac:dyDescent="0.35">
      <c r="A1234" s="5"/>
      <c r="B1234" s="5" t="s">
        <v>887</v>
      </c>
      <c r="C1234" s="73" t="str">
        <f t="shared" si="19"/>
        <v>Open</v>
      </c>
      <c r="D1234" s="45" t="s">
        <v>6873</v>
      </c>
      <c r="E1234" s="54" t="s">
        <v>6874</v>
      </c>
      <c r="F1234" s="5" t="s">
        <v>5662</v>
      </c>
      <c r="G1234" s="10">
        <f>DATE(2011,12,15)</f>
        <v>40892</v>
      </c>
      <c r="H1234" s="35">
        <v>1.7361111111111112</v>
      </c>
      <c r="I1234" s="5" t="s">
        <v>259</v>
      </c>
      <c r="J1234" s="10" t="s">
        <v>6875</v>
      </c>
      <c r="K1234" s="5" t="s">
        <v>5664</v>
      </c>
      <c r="L1234" s="5" t="s">
        <v>6876</v>
      </c>
      <c r="M1234" s="5" t="s">
        <v>45</v>
      </c>
      <c r="N1234" s="5">
        <v>0</v>
      </c>
      <c r="O1234" s="5" t="s">
        <v>46</v>
      </c>
      <c r="P1234" s="10" t="s">
        <v>47</v>
      </c>
      <c r="Q1234" s="10" t="s">
        <v>5666</v>
      </c>
      <c r="R1234" s="10" t="s">
        <v>5667</v>
      </c>
      <c r="S1234" s="5">
        <v>0</v>
      </c>
      <c r="T1234" s="37">
        <v>0</v>
      </c>
      <c r="U1234" s="5">
        <v>0</v>
      </c>
      <c r="V1234" s="37">
        <v>1</v>
      </c>
      <c r="W1234" s="5">
        <v>0</v>
      </c>
      <c r="X1234" s="5">
        <v>1</v>
      </c>
      <c r="Y1234" s="5">
        <v>0</v>
      </c>
      <c r="Z1234" s="37">
        <v>0</v>
      </c>
      <c r="AA1234" s="5">
        <v>0</v>
      </c>
      <c r="AB1234" s="5">
        <v>0</v>
      </c>
      <c r="AC1234" s="5">
        <v>0</v>
      </c>
      <c r="AD1234" s="5">
        <v>0</v>
      </c>
      <c r="AE1234" s="10" t="s">
        <v>50</v>
      </c>
      <c r="AF1234" s="10"/>
      <c r="AG1234" s="10" t="s">
        <v>64</v>
      </c>
      <c r="AH1234" s="10" t="s">
        <v>50</v>
      </c>
      <c r="AI1234" s="5">
        <v>0</v>
      </c>
      <c r="AJ1234" s="10" t="s">
        <v>50</v>
      </c>
      <c r="AK1234" s="10" t="s">
        <v>50</v>
      </c>
    </row>
    <row r="1235" spans="1:37" ht="36.75" customHeight="1" x14ac:dyDescent="0.35">
      <c r="A1235" s="5"/>
      <c r="B1235" s="5" t="s">
        <v>37</v>
      </c>
      <c r="C1235" s="73" t="str">
        <f t="shared" si="19"/>
        <v>Closed</v>
      </c>
      <c r="D1235" s="45" t="s">
        <v>6877</v>
      </c>
      <c r="E1235" s="54" t="s">
        <v>6878</v>
      </c>
      <c r="F1235" s="5" t="s">
        <v>619</v>
      </c>
      <c r="G1235" s="10">
        <f>DATE(2011,12,15)</f>
        <v>40892</v>
      </c>
      <c r="H1235" s="35">
        <v>1.3277777777777777</v>
      </c>
      <c r="I1235" s="5" t="s">
        <v>55</v>
      </c>
      <c r="J1235" s="10" t="s">
        <v>6879</v>
      </c>
      <c r="K1235" s="5" t="s">
        <v>621</v>
      </c>
      <c r="L1235" s="5" t="s">
        <v>6880</v>
      </c>
      <c r="M1235" s="5" t="s">
        <v>45</v>
      </c>
      <c r="N1235" s="5" t="s">
        <v>80</v>
      </c>
      <c r="O1235" s="5" t="s">
        <v>59</v>
      </c>
      <c r="P1235" s="10" t="s">
        <v>6881</v>
      </c>
      <c r="Q1235" s="10" t="s">
        <v>623</v>
      </c>
      <c r="R1235" s="10" t="s">
        <v>624</v>
      </c>
      <c r="S1235" s="5">
        <v>0</v>
      </c>
      <c r="T1235" s="37">
        <v>0</v>
      </c>
      <c r="U1235" s="5">
        <v>0</v>
      </c>
      <c r="V1235" s="37">
        <v>0</v>
      </c>
      <c r="W1235" s="5">
        <v>0</v>
      </c>
      <c r="X1235" s="5">
        <v>0</v>
      </c>
      <c r="Y1235" s="5">
        <v>0</v>
      </c>
      <c r="Z1235" s="37">
        <v>0</v>
      </c>
      <c r="AA1235" s="5">
        <v>0</v>
      </c>
      <c r="AB1235" s="5">
        <v>0</v>
      </c>
      <c r="AC1235" s="5">
        <v>0</v>
      </c>
      <c r="AD1235" s="5">
        <v>0</v>
      </c>
      <c r="AE1235" s="10" t="s">
        <v>50</v>
      </c>
      <c r="AF1235" s="10"/>
      <c r="AG1235" s="10" t="s">
        <v>333</v>
      </c>
      <c r="AH1235" s="10" t="s">
        <v>50</v>
      </c>
      <c r="AI1235" s="5">
        <v>0</v>
      </c>
      <c r="AJ1235" s="10" t="s">
        <v>6882</v>
      </c>
      <c r="AK1235" s="10" t="s">
        <v>1215</v>
      </c>
    </row>
    <row r="1236" spans="1:37" ht="36.75" customHeight="1" x14ac:dyDescent="0.35">
      <c r="A1236" s="5"/>
      <c r="B1236" s="5" t="s">
        <v>37</v>
      </c>
      <c r="C1236" s="73" t="str">
        <f t="shared" si="19"/>
        <v>Closed</v>
      </c>
      <c r="D1236" s="45" t="s">
        <v>6883</v>
      </c>
      <c r="E1236" s="54" t="s">
        <v>6884</v>
      </c>
      <c r="F1236" s="5" t="s">
        <v>605</v>
      </c>
      <c r="G1236" s="10">
        <f>DATE(2011,12,17)</f>
        <v>40894</v>
      </c>
      <c r="H1236" s="35">
        <v>1.7993055555555557</v>
      </c>
      <c r="I1236" s="5" t="s">
        <v>259</v>
      </c>
      <c r="J1236" s="10" t="s">
        <v>6885</v>
      </c>
      <c r="K1236" s="5" t="s">
        <v>607</v>
      </c>
      <c r="L1236" s="5" t="s">
        <v>6886</v>
      </c>
      <c r="M1236" s="5" t="s">
        <v>45</v>
      </c>
      <c r="N1236" s="5">
        <v>0</v>
      </c>
      <c r="O1236" s="5" t="s">
        <v>59</v>
      </c>
      <c r="P1236" s="10" t="s">
        <v>443</v>
      </c>
      <c r="Q1236" s="10" t="s">
        <v>609</v>
      </c>
      <c r="R1236" s="10" t="s">
        <v>610</v>
      </c>
      <c r="S1236" s="5">
        <v>1</v>
      </c>
      <c r="T1236" s="37">
        <v>0</v>
      </c>
      <c r="U1236" s="5">
        <v>0</v>
      </c>
      <c r="V1236" s="37">
        <v>0</v>
      </c>
      <c r="W1236" s="5">
        <v>0</v>
      </c>
      <c r="X1236" s="5">
        <v>1</v>
      </c>
      <c r="Y1236" s="5">
        <v>0</v>
      </c>
      <c r="Z1236" s="37">
        <v>0</v>
      </c>
      <c r="AA1236" s="5">
        <v>0</v>
      </c>
      <c r="AB1236" s="5">
        <v>0</v>
      </c>
      <c r="AC1236" s="5">
        <v>0</v>
      </c>
      <c r="AD1236" s="5">
        <v>0</v>
      </c>
      <c r="AE1236" s="10" t="s">
        <v>50</v>
      </c>
      <c r="AF1236" s="10"/>
      <c r="AG1236" s="10" t="s">
        <v>64</v>
      </c>
      <c r="AH1236" s="10" t="s">
        <v>50</v>
      </c>
      <c r="AI1236" s="5">
        <v>2</v>
      </c>
      <c r="AJ1236" s="10" t="s">
        <v>6887</v>
      </c>
      <c r="AK1236" s="10" t="s">
        <v>50</v>
      </c>
    </row>
    <row r="1237" spans="1:37" ht="36.75" customHeight="1" x14ac:dyDescent="0.35">
      <c r="A1237" s="5"/>
      <c r="B1237" s="5" t="s">
        <v>37</v>
      </c>
      <c r="C1237" s="73" t="str">
        <f t="shared" si="19"/>
        <v>Closed</v>
      </c>
      <c r="D1237" s="45" t="s">
        <v>6888</v>
      </c>
      <c r="E1237" s="54" t="s">
        <v>6889</v>
      </c>
      <c r="F1237" s="5" t="s">
        <v>1553</v>
      </c>
      <c r="G1237" s="10">
        <f>DATE(2011,12,18)</f>
        <v>40895</v>
      </c>
      <c r="H1237" s="35">
        <v>1.7638888888888888</v>
      </c>
      <c r="I1237" s="5" t="s">
        <v>55</v>
      </c>
      <c r="J1237" s="10" t="s">
        <v>6890</v>
      </c>
      <c r="K1237" s="5" t="s">
        <v>1555</v>
      </c>
      <c r="L1237" s="5" t="s">
        <v>6891</v>
      </c>
      <c r="M1237" s="5" t="s">
        <v>45</v>
      </c>
      <c r="N1237" s="5" t="s">
        <v>123</v>
      </c>
      <c r="O1237" s="5" t="s">
        <v>59</v>
      </c>
      <c r="P1237" s="10" t="s">
        <v>60</v>
      </c>
      <c r="Q1237" s="10" t="s">
        <v>2635</v>
      </c>
      <c r="R1237" s="10">
        <v>0</v>
      </c>
      <c r="S1237" s="5">
        <v>0</v>
      </c>
      <c r="T1237" s="37">
        <v>0</v>
      </c>
      <c r="U1237" s="5">
        <v>0</v>
      </c>
      <c r="V1237" s="37">
        <v>0</v>
      </c>
      <c r="W1237" s="5">
        <v>0</v>
      </c>
      <c r="X1237" s="5">
        <v>0</v>
      </c>
      <c r="Y1237" s="5">
        <v>0</v>
      </c>
      <c r="Z1237" s="37">
        <v>0</v>
      </c>
      <c r="AA1237" s="5">
        <v>0</v>
      </c>
      <c r="AB1237" s="5">
        <v>0</v>
      </c>
      <c r="AC1237" s="5">
        <v>0</v>
      </c>
      <c r="AD1237" s="5">
        <v>0</v>
      </c>
      <c r="AE1237" s="10" t="s">
        <v>73</v>
      </c>
      <c r="AF1237" s="10"/>
      <c r="AG1237" s="10" t="s">
        <v>333</v>
      </c>
      <c r="AH1237" s="10">
        <v>40897</v>
      </c>
      <c r="AI1237" s="5">
        <v>0</v>
      </c>
      <c r="AJ1237" s="10" t="s">
        <v>6892</v>
      </c>
      <c r="AK1237" s="10" t="s">
        <v>6893</v>
      </c>
    </row>
    <row r="1238" spans="1:37" ht="36.75" customHeight="1" x14ac:dyDescent="0.35">
      <c r="A1238" s="5"/>
      <c r="B1238" s="5" t="s">
        <v>37</v>
      </c>
      <c r="C1238" s="73" t="str">
        <f t="shared" si="19"/>
        <v>Closed</v>
      </c>
      <c r="D1238" s="45" t="s">
        <v>6894</v>
      </c>
      <c r="E1238" s="54" t="s">
        <v>6895</v>
      </c>
      <c r="F1238" s="5" t="s">
        <v>619</v>
      </c>
      <c r="G1238" s="10">
        <f>DATE(2011,12,19)</f>
        <v>40896</v>
      </c>
      <c r="H1238" s="35">
        <v>1.2284722222222222</v>
      </c>
      <c r="I1238" s="5" t="s">
        <v>67</v>
      </c>
      <c r="J1238" s="10" t="s">
        <v>6896</v>
      </c>
      <c r="K1238" s="5" t="s">
        <v>621</v>
      </c>
      <c r="L1238" s="5" t="s">
        <v>6897</v>
      </c>
      <c r="M1238" s="5" t="s">
        <v>45</v>
      </c>
      <c r="N1238" s="5" t="s">
        <v>123</v>
      </c>
      <c r="O1238" s="5" t="s">
        <v>59</v>
      </c>
      <c r="P1238" s="10" t="s">
        <v>6881</v>
      </c>
      <c r="Q1238" s="10" t="s">
        <v>623</v>
      </c>
      <c r="R1238" s="10" t="s">
        <v>624</v>
      </c>
      <c r="S1238" s="5">
        <v>0</v>
      </c>
      <c r="T1238" s="37">
        <v>0</v>
      </c>
      <c r="U1238" s="5">
        <v>0</v>
      </c>
      <c r="V1238" s="37">
        <v>0</v>
      </c>
      <c r="W1238" s="5">
        <v>0</v>
      </c>
      <c r="X1238" s="5">
        <v>0</v>
      </c>
      <c r="Y1238" s="5">
        <v>0</v>
      </c>
      <c r="Z1238" s="37">
        <v>0</v>
      </c>
      <c r="AA1238" s="5">
        <v>0</v>
      </c>
      <c r="AB1238" s="5">
        <v>0</v>
      </c>
      <c r="AC1238" s="5">
        <v>0</v>
      </c>
      <c r="AD1238" s="5">
        <v>0</v>
      </c>
      <c r="AE1238" s="10" t="s">
        <v>50</v>
      </c>
      <c r="AF1238" s="10"/>
      <c r="AG1238" s="10" t="s">
        <v>333</v>
      </c>
      <c r="AH1238" s="10">
        <v>40904</v>
      </c>
      <c r="AI1238" s="5">
        <v>1</v>
      </c>
      <c r="AJ1238" s="10" t="s">
        <v>6898</v>
      </c>
      <c r="AK1238" s="10" t="s">
        <v>6899</v>
      </c>
    </row>
    <row r="1239" spans="1:37" ht="36.75" customHeight="1" x14ac:dyDescent="0.35">
      <c r="A1239" s="5"/>
      <c r="B1239" s="5" t="s">
        <v>37</v>
      </c>
      <c r="C1239" s="73" t="str">
        <f t="shared" si="19"/>
        <v>Closed</v>
      </c>
      <c r="D1239" s="45" t="s">
        <v>6900</v>
      </c>
      <c r="E1239" s="54" t="s">
        <v>6901</v>
      </c>
      <c r="F1239" s="5" t="s">
        <v>214</v>
      </c>
      <c r="G1239" s="10">
        <f>DATE(2011,12,19)</f>
        <v>40896</v>
      </c>
      <c r="H1239" s="35">
        <v>1.4097222222222223</v>
      </c>
      <c r="I1239" s="5" t="s">
        <v>97</v>
      </c>
      <c r="J1239" s="10" t="s">
        <v>6902</v>
      </c>
      <c r="K1239" s="5" t="s">
        <v>216</v>
      </c>
      <c r="L1239" s="5" t="s">
        <v>6903</v>
      </c>
      <c r="M1239" s="5" t="s">
        <v>45</v>
      </c>
      <c r="N1239" s="5">
        <v>0</v>
      </c>
      <c r="O1239" s="5" t="s">
        <v>46</v>
      </c>
      <c r="P1239" s="10" t="s">
        <v>146</v>
      </c>
      <c r="Q1239" s="10" t="s">
        <v>2154</v>
      </c>
      <c r="R1239" s="10" t="s">
        <v>219</v>
      </c>
      <c r="S1239" s="5">
        <v>0</v>
      </c>
      <c r="T1239" s="37">
        <v>0</v>
      </c>
      <c r="U1239" s="5">
        <v>0</v>
      </c>
      <c r="V1239" s="37">
        <v>0</v>
      </c>
      <c r="W1239" s="5">
        <v>0</v>
      </c>
      <c r="X1239" s="5">
        <v>0</v>
      </c>
      <c r="Y1239" s="5">
        <v>1</v>
      </c>
      <c r="Z1239" s="37">
        <v>0</v>
      </c>
      <c r="AA1239" s="5">
        <v>0</v>
      </c>
      <c r="AB1239" s="5">
        <v>0</v>
      </c>
      <c r="AC1239" s="5">
        <v>0</v>
      </c>
      <c r="AD1239" s="5">
        <v>1</v>
      </c>
      <c r="AE1239" s="10" t="s">
        <v>50</v>
      </c>
      <c r="AF1239" s="10"/>
      <c r="AG1239" s="10" t="s">
        <v>114</v>
      </c>
      <c r="AH1239" s="10" t="s">
        <v>50</v>
      </c>
      <c r="AI1239" s="5">
        <v>6</v>
      </c>
      <c r="AJ1239" s="10" t="s">
        <v>6904</v>
      </c>
      <c r="AK1239" s="10" t="s">
        <v>6905</v>
      </c>
    </row>
    <row r="1240" spans="1:37" ht="36.75" customHeight="1" x14ac:dyDescent="0.35">
      <c r="A1240" s="5"/>
      <c r="B1240" s="5" t="s">
        <v>37</v>
      </c>
      <c r="C1240" s="73" t="str">
        <f t="shared" si="19"/>
        <v>Closed</v>
      </c>
      <c r="D1240" s="45" t="s">
        <v>6906</v>
      </c>
      <c r="E1240" s="54" t="s">
        <v>6907</v>
      </c>
      <c r="F1240" s="5" t="s">
        <v>619</v>
      </c>
      <c r="G1240" s="10">
        <f>DATE(2011,12,27)</f>
        <v>40904</v>
      </c>
      <c r="H1240" s="35">
        <v>1.4847222222222223</v>
      </c>
      <c r="I1240" s="5" t="s">
        <v>55</v>
      </c>
      <c r="J1240" s="10" t="s">
        <v>6908</v>
      </c>
      <c r="K1240" s="5" t="s">
        <v>621</v>
      </c>
      <c r="L1240" s="5" t="s">
        <v>6909</v>
      </c>
      <c r="M1240" s="5" t="s">
        <v>45</v>
      </c>
      <c r="N1240" s="5" t="s">
        <v>80</v>
      </c>
      <c r="O1240" s="5" t="s">
        <v>59</v>
      </c>
      <c r="P1240" s="10" t="s">
        <v>47</v>
      </c>
      <c r="Q1240" s="10" t="s">
        <v>623</v>
      </c>
      <c r="R1240" s="10" t="s">
        <v>624</v>
      </c>
      <c r="S1240" s="5">
        <v>0</v>
      </c>
      <c r="T1240" s="37">
        <v>0</v>
      </c>
      <c r="U1240" s="5">
        <v>0</v>
      </c>
      <c r="V1240" s="37">
        <v>0</v>
      </c>
      <c r="W1240" s="5">
        <v>0</v>
      </c>
      <c r="X1240" s="5">
        <v>0</v>
      </c>
      <c r="Y1240" s="5">
        <v>0</v>
      </c>
      <c r="Z1240" s="37">
        <v>0</v>
      </c>
      <c r="AA1240" s="5">
        <v>0</v>
      </c>
      <c r="AB1240" s="5">
        <v>0</v>
      </c>
      <c r="AC1240" s="5">
        <v>0</v>
      </c>
      <c r="AD1240" s="5">
        <v>0</v>
      </c>
      <c r="AE1240" s="10" t="s">
        <v>50</v>
      </c>
      <c r="AF1240" s="10"/>
      <c r="AG1240" s="10" t="s">
        <v>333</v>
      </c>
      <c r="AH1240" s="10">
        <v>40967</v>
      </c>
      <c r="AI1240" s="5">
        <v>1</v>
      </c>
      <c r="AJ1240" s="10" t="s">
        <v>6910</v>
      </c>
      <c r="AK1240" s="10" t="s">
        <v>50</v>
      </c>
    </row>
    <row r="1241" spans="1:37" ht="36.75" customHeight="1" x14ac:dyDescent="0.35">
      <c r="A1241" s="5"/>
      <c r="B1241" s="5" t="s">
        <v>37</v>
      </c>
      <c r="C1241" s="73" t="str">
        <f t="shared" si="19"/>
        <v>Closed</v>
      </c>
      <c r="D1241" s="45" t="s">
        <v>6911</v>
      </c>
      <c r="E1241" s="54" t="s">
        <v>6912</v>
      </c>
      <c r="F1241" s="5" t="s">
        <v>178</v>
      </c>
      <c r="G1241" s="10">
        <f>DATE(2011,12,28)</f>
        <v>40905</v>
      </c>
      <c r="H1241" s="35">
        <v>1.4284722222222221</v>
      </c>
      <c r="I1241" s="5" t="s">
        <v>97</v>
      </c>
      <c r="J1241" s="10" t="s">
        <v>6913</v>
      </c>
      <c r="K1241" s="5" t="s">
        <v>181</v>
      </c>
      <c r="L1241" s="5" t="s">
        <v>6914</v>
      </c>
      <c r="M1241" s="5" t="s">
        <v>45</v>
      </c>
      <c r="N1241" s="5" t="s">
        <v>80</v>
      </c>
      <c r="O1241" s="5" t="s">
        <v>46</v>
      </c>
      <c r="P1241" s="10" t="s">
        <v>60</v>
      </c>
      <c r="Q1241" s="10" t="s">
        <v>1697</v>
      </c>
      <c r="R1241" s="10" t="s">
        <v>184</v>
      </c>
      <c r="S1241" s="5">
        <v>0</v>
      </c>
      <c r="T1241" s="37">
        <v>0</v>
      </c>
      <c r="U1241" s="5">
        <v>0</v>
      </c>
      <c r="V1241" s="37">
        <v>0</v>
      </c>
      <c r="W1241" s="5">
        <v>0</v>
      </c>
      <c r="X1241" s="5">
        <v>0</v>
      </c>
      <c r="Y1241" s="5">
        <v>0</v>
      </c>
      <c r="Z1241" s="37">
        <v>0</v>
      </c>
      <c r="AA1241" s="5">
        <v>1</v>
      </c>
      <c r="AB1241" s="5">
        <v>0</v>
      </c>
      <c r="AC1241" s="5">
        <v>0</v>
      </c>
      <c r="AD1241" s="5">
        <v>1</v>
      </c>
      <c r="AE1241" s="10" t="s">
        <v>73</v>
      </c>
      <c r="AF1241" s="10"/>
      <c r="AG1241" s="10" t="s">
        <v>333</v>
      </c>
      <c r="AH1241" s="10">
        <v>40905</v>
      </c>
      <c r="AI1241" s="5">
        <v>2</v>
      </c>
      <c r="AJ1241" s="10" t="s">
        <v>6915</v>
      </c>
      <c r="AK1241" s="10" t="s">
        <v>50</v>
      </c>
    </row>
    <row r="1242" spans="1:37" ht="36.75" customHeight="1" x14ac:dyDescent="0.35">
      <c r="A1242" s="5"/>
      <c r="B1242" s="5" t="s">
        <v>37</v>
      </c>
      <c r="C1242" s="73" t="str">
        <f t="shared" si="19"/>
        <v>Closed</v>
      </c>
      <c r="D1242" s="45" t="s">
        <v>6916</v>
      </c>
      <c r="E1242" s="54" t="s">
        <v>6917</v>
      </c>
      <c r="F1242" s="5" t="s">
        <v>40</v>
      </c>
      <c r="G1242" s="10">
        <f>DATE(2012,1,1)</f>
        <v>40909</v>
      </c>
      <c r="H1242" s="35">
        <v>1.0006944444444446</v>
      </c>
      <c r="I1242" s="5" t="s">
        <v>97</v>
      </c>
      <c r="J1242" s="10" t="s">
        <v>6918</v>
      </c>
      <c r="K1242" s="5" t="s">
        <v>43</v>
      </c>
      <c r="L1242" s="5" t="s">
        <v>6919</v>
      </c>
      <c r="M1242" s="5" t="s">
        <v>45</v>
      </c>
      <c r="N1242" s="5" t="s">
        <v>80</v>
      </c>
      <c r="O1242" s="5" t="s">
        <v>46</v>
      </c>
      <c r="P1242" s="10" t="s">
        <v>6920</v>
      </c>
      <c r="Q1242" s="10" t="s">
        <v>4183</v>
      </c>
      <c r="R1242" s="10">
        <v>0</v>
      </c>
      <c r="S1242" s="5">
        <v>0</v>
      </c>
      <c r="T1242" s="37">
        <v>0</v>
      </c>
      <c r="U1242" s="5">
        <v>6</v>
      </c>
      <c r="V1242" s="37">
        <v>0</v>
      </c>
      <c r="W1242" s="5">
        <v>0</v>
      </c>
      <c r="X1242" s="5">
        <v>6</v>
      </c>
      <c r="Y1242" s="5">
        <v>0</v>
      </c>
      <c r="Z1242" s="37">
        <v>0</v>
      </c>
      <c r="AA1242" s="5">
        <v>6</v>
      </c>
      <c r="AB1242" s="5">
        <v>0</v>
      </c>
      <c r="AC1242" s="5">
        <v>0</v>
      </c>
      <c r="AD1242" s="5">
        <v>6</v>
      </c>
      <c r="AE1242" s="10" t="s">
        <v>126</v>
      </c>
      <c r="AF1242" s="10"/>
      <c r="AG1242" s="10" t="s">
        <v>333</v>
      </c>
      <c r="AH1242" s="10">
        <v>40938</v>
      </c>
      <c r="AI1242" s="5">
        <v>1</v>
      </c>
      <c r="AJ1242" s="10" t="s">
        <v>6921</v>
      </c>
      <c r="AK1242" s="10" t="s">
        <v>50</v>
      </c>
    </row>
    <row r="1243" spans="1:37" ht="36.75" customHeight="1" x14ac:dyDescent="0.35">
      <c r="A1243" s="5"/>
      <c r="B1243" s="5" t="s">
        <v>37</v>
      </c>
      <c r="C1243" s="73" t="str">
        <f t="shared" si="19"/>
        <v>Closed</v>
      </c>
      <c r="D1243" s="45" t="s">
        <v>6922</v>
      </c>
      <c r="E1243" s="54" t="s">
        <v>6923</v>
      </c>
      <c r="F1243" s="5" t="s">
        <v>178</v>
      </c>
      <c r="G1243" s="10">
        <f>DATE(2012,1,2)</f>
        <v>40910</v>
      </c>
      <c r="H1243" s="35">
        <v>1.3611111111111112</v>
      </c>
      <c r="I1243" s="5" t="s">
        <v>97</v>
      </c>
      <c r="J1243" s="10" t="s">
        <v>6924</v>
      </c>
      <c r="K1243" s="5" t="s">
        <v>181</v>
      </c>
      <c r="L1243" s="5" t="s">
        <v>6925</v>
      </c>
      <c r="M1243" s="5" t="s">
        <v>45</v>
      </c>
      <c r="N1243" s="5" t="s">
        <v>80</v>
      </c>
      <c r="O1243" s="5" t="s">
        <v>46</v>
      </c>
      <c r="P1243" s="10" t="s">
        <v>146</v>
      </c>
      <c r="Q1243" s="10" t="s">
        <v>183</v>
      </c>
      <c r="R1243" s="10" t="s">
        <v>184</v>
      </c>
      <c r="S1243" s="5">
        <v>0</v>
      </c>
      <c r="T1243" s="37">
        <v>0</v>
      </c>
      <c r="U1243" s="5">
        <v>1</v>
      </c>
      <c r="V1243" s="37">
        <v>0</v>
      </c>
      <c r="W1243" s="5">
        <v>0</v>
      </c>
      <c r="X1243" s="5">
        <v>1</v>
      </c>
      <c r="Y1243" s="5">
        <v>0</v>
      </c>
      <c r="Z1243" s="37">
        <v>0</v>
      </c>
      <c r="AA1243" s="5">
        <v>0</v>
      </c>
      <c r="AB1243" s="5">
        <v>0</v>
      </c>
      <c r="AC1243" s="5">
        <v>0</v>
      </c>
      <c r="AD1243" s="5">
        <v>0</v>
      </c>
      <c r="AE1243" s="10" t="s">
        <v>73</v>
      </c>
      <c r="AF1243" s="10"/>
      <c r="AG1243" s="10" t="s">
        <v>64</v>
      </c>
      <c r="AH1243" s="10">
        <v>40926</v>
      </c>
      <c r="AI1243" s="5">
        <v>0</v>
      </c>
      <c r="AJ1243" s="10" t="s">
        <v>6926</v>
      </c>
      <c r="AK1243" s="10" t="s">
        <v>50</v>
      </c>
    </row>
    <row r="1244" spans="1:37" ht="36.75" customHeight="1" x14ac:dyDescent="0.35">
      <c r="A1244" s="5"/>
      <c r="B1244" s="5" t="s">
        <v>37</v>
      </c>
      <c r="C1244" s="73" t="str">
        <f t="shared" si="19"/>
        <v>Closed</v>
      </c>
      <c r="D1244" s="45" t="s">
        <v>6927</v>
      </c>
      <c r="E1244" s="54" t="s">
        <v>6928</v>
      </c>
      <c r="F1244" s="5" t="s">
        <v>214</v>
      </c>
      <c r="G1244" s="10">
        <f>DATE(2012,1,5)</f>
        <v>40913</v>
      </c>
      <c r="H1244" s="35">
        <v>1.304861111111111</v>
      </c>
      <c r="I1244" s="5" t="s">
        <v>67</v>
      </c>
      <c r="J1244" s="10" t="s">
        <v>6929</v>
      </c>
      <c r="K1244" s="5" t="s">
        <v>216</v>
      </c>
      <c r="L1244" s="5" t="s">
        <v>6930</v>
      </c>
      <c r="M1244" s="5" t="s">
        <v>45</v>
      </c>
      <c r="N1244" s="5" t="s">
        <v>123</v>
      </c>
      <c r="O1244" s="5" t="s">
        <v>46</v>
      </c>
      <c r="P1244" s="10" t="s">
        <v>146</v>
      </c>
      <c r="Q1244" s="10" t="s">
        <v>6082</v>
      </c>
      <c r="R1244" s="10" t="s">
        <v>219</v>
      </c>
      <c r="S1244" s="5">
        <v>0</v>
      </c>
      <c r="T1244" s="37">
        <v>0</v>
      </c>
      <c r="U1244" s="5">
        <v>0</v>
      </c>
      <c r="V1244" s="37">
        <v>0</v>
      </c>
      <c r="W1244" s="5">
        <v>0</v>
      </c>
      <c r="X1244" s="5">
        <v>0</v>
      </c>
      <c r="Y1244" s="5">
        <v>0</v>
      </c>
      <c r="Z1244" s="37">
        <v>0</v>
      </c>
      <c r="AA1244" s="5">
        <v>0</v>
      </c>
      <c r="AB1244" s="5">
        <v>0</v>
      </c>
      <c r="AC1244" s="5">
        <v>0</v>
      </c>
      <c r="AD1244" s="5">
        <v>0</v>
      </c>
      <c r="AE1244" s="10" t="s">
        <v>50</v>
      </c>
      <c r="AF1244" s="10"/>
      <c r="AG1244" s="10" t="s">
        <v>114</v>
      </c>
      <c r="AH1244" s="10" t="s">
        <v>50</v>
      </c>
      <c r="AI1244" s="5">
        <v>2</v>
      </c>
      <c r="AJ1244" s="10" t="s">
        <v>6931</v>
      </c>
      <c r="AK1244" s="10" t="s">
        <v>6932</v>
      </c>
    </row>
    <row r="1245" spans="1:37" ht="36.75" customHeight="1" x14ac:dyDescent="0.35">
      <c r="A1245" s="5"/>
      <c r="B1245" s="5" t="s">
        <v>37</v>
      </c>
      <c r="C1245" s="73" t="str">
        <f t="shared" si="19"/>
        <v>Closed</v>
      </c>
      <c r="D1245" s="45" t="s">
        <v>6933</v>
      </c>
      <c r="E1245" s="54" t="s">
        <v>6934</v>
      </c>
      <c r="F1245" s="5" t="s">
        <v>2527</v>
      </c>
      <c r="G1245" s="10">
        <f>DATE(2012,1,8)</f>
        <v>40916</v>
      </c>
      <c r="H1245" s="35">
        <v>1.9236111111111112</v>
      </c>
      <c r="I1245" s="5" t="s">
        <v>55</v>
      </c>
      <c r="J1245" s="10" t="s">
        <v>6935</v>
      </c>
      <c r="K1245" s="5" t="s">
        <v>2529</v>
      </c>
      <c r="L1245" s="5" t="s">
        <v>6936</v>
      </c>
      <c r="M1245" s="5" t="s">
        <v>45</v>
      </c>
      <c r="N1245" s="5" t="s">
        <v>80</v>
      </c>
      <c r="O1245" s="5" t="s">
        <v>46</v>
      </c>
      <c r="P1245" s="10" t="s">
        <v>60</v>
      </c>
      <c r="Q1245" s="10" t="s">
        <v>3484</v>
      </c>
      <c r="R1245" s="10">
        <v>0</v>
      </c>
      <c r="S1245" s="5">
        <v>0</v>
      </c>
      <c r="T1245" s="37">
        <v>0</v>
      </c>
      <c r="U1245" s="5">
        <v>0</v>
      </c>
      <c r="V1245" s="37">
        <v>0</v>
      </c>
      <c r="W1245" s="5">
        <v>0</v>
      </c>
      <c r="X1245" s="5">
        <v>0</v>
      </c>
      <c r="Y1245" s="5">
        <v>0</v>
      </c>
      <c r="Z1245" s="37">
        <v>0</v>
      </c>
      <c r="AA1245" s="5">
        <v>0</v>
      </c>
      <c r="AB1245" s="5">
        <v>0</v>
      </c>
      <c r="AC1245" s="5">
        <v>0</v>
      </c>
      <c r="AD1245" s="5">
        <v>0</v>
      </c>
      <c r="AE1245" s="10" t="s">
        <v>375</v>
      </c>
      <c r="AF1245" s="10"/>
      <c r="AG1245" s="10" t="s">
        <v>114</v>
      </c>
      <c r="AH1245" s="10">
        <v>40917</v>
      </c>
      <c r="AI1245" s="5">
        <v>3</v>
      </c>
      <c r="AJ1245" s="10" t="s">
        <v>6937</v>
      </c>
      <c r="AK1245" s="10" t="s">
        <v>6938</v>
      </c>
    </row>
    <row r="1246" spans="1:37" ht="36.75" customHeight="1" x14ac:dyDescent="0.35">
      <c r="A1246" s="5"/>
      <c r="B1246" s="5" t="s">
        <v>887</v>
      </c>
      <c r="C1246" s="73" t="str">
        <f t="shared" si="19"/>
        <v>Open</v>
      </c>
      <c r="D1246" s="45" t="s">
        <v>6939</v>
      </c>
      <c r="E1246" s="54" t="s">
        <v>6940</v>
      </c>
      <c r="F1246" s="5" t="s">
        <v>3128</v>
      </c>
      <c r="G1246" s="10">
        <f>DATE(2012,1,10)</f>
        <v>40918</v>
      </c>
      <c r="H1246" s="35">
        <v>1.4624999999999999</v>
      </c>
      <c r="I1246" s="5" t="s">
        <v>97</v>
      </c>
      <c r="J1246" s="10" t="s">
        <v>6941</v>
      </c>
      <c r="K1246" s="5" t="s">
        <v>3130</v>
      </c>
      <c r="L1246" s="5" t="s">
        <v>6942</v>
      </c>
      <c r="M1246" s="5" t="s">
        <v>45</v>
      </c>
      <c r="N1246" s="5">
        <v>0</v>
      </c>
      <c r="O1246" s="5" t="s">
        <v>46</v>
      </c>
      <c r="P1246" s="10" t="s">
        <v>146</v>
      </c>
      <c r="Q1246" s="10" t="s">
        <v>4509</v>
      </c>
      <c r="R1246" s="10" t="s">
        <v>3133</v>
      </c>
      <c r="S1246" s="5">
        <v>0</v>
      </c>
      <c r="T1246" s="37">
        <v>0</v>
      </c>
      <c r="U1246" s="5">
        <v>1</v>
      </c>
      <c r="V1246" s="37">
        <v>0</v>
      </c>
      <c r="W1246" s="5">
        <v>0</v>
      </c>
      <c r="X1246" s="5">
        <v>1</v>
      </c>
      <c r="Y1246" s="5">
        <v>0</v>
      </c>
      <c r="Z1246" s="37">
        <v>0</v>
      </c>
      <c r="AA1246" s="5">
        <v>0</v>
      </c>
      <c r="AB1246" s="5">
        <v>0</v>
      </c>
      <c r="AC1246" s="5">
        <v>0</v>
      </c>
      <c r="AD1246" s="5">
        <v>0</v>
      </c>
      <c r="AE1246" s="10" t="s">
        <v>50</v>
      </c>
      <c r="AF1246" s="10"/>
      <c r="AG1246" s="10" t="s">
        <v>114</v>
      </c>
      <c r="AH1246" s="10" t="s">
        <v>50</v>
      </c>
      <c r="AI1246" s="5">
        <v>0</v>
      </c>
      <c r="AJ1246" s="10" t="s">
        <v>50</v>
      </c>
      <c r="AK1246" s="10" t="s">
        <v>50</v>
      </c>
    </row>
    <row r="1247" spans="1:37" ht="36.75" customHeight="1" x14ac:dyDescent="0.35">
      <c r="A1247" s="5"/>
      <c r="B1247" s="5" t="s">
        <v>37</v>
      </c>
      <c r="C1247" s="73" t="str">
        <f t="shared" si="19"/>
        <v>Closed</v>
      </c>
      <c r="D1247" s="45" t="s">
        <v>6943</v>
      </c>
      <c r="E1247" s="54" t="s">
        <v>6944</v>
      </c>
      <c r="F1247" s="5" t="s">
        <v>178</v>
      </c>
      <c r="G1247" s="10">
        <f>DATE(2012,1,12)</f>
        <v>40920</v>
      </c>
      <c r="H1247" s="35">
        <v>1.6409722222222221</v>
      </c>
      <c r="I1247" s="5" t="s">
        <v>97</v>
      </c>
      <c r="J1247" s="10" t="s">
        <v>6945</v>
      </c>
      <c r="K1247" s="5" t="s">
        <v>181</v>
      </c>
      <c r="L1247" s="5" t="s">
        <v>6946</v>
      </c>
      <c r="M1247" s="5" t="s">
        <v>45</v>
      </c>
      <c r="N1247" s="5" t="s">
        <v>80</v>
      </c>
      <c r="O1247" s="5" t="s">
        <v>59</v>
      </c>
      <c r="P1247" s="10" t="s">
        <v>146</v>
      </c>
      <c r="Q1247" s="10" t="s">
        <v>183</v>
      </c>
      <c r="R1247" s="10" t="s">
        <v>184</v>
      </c>
      <c r="S1247" s="5">
        <v>0</v>
      </c>
      <c r="T1247" s="37">
        <v>0</v>
      </c>
      <c r="U1247" s="5">
        <v>0</v>
      </c>
      <c r="V1247" s="37">
        <v>0</v>
      </c>
      <c r="W1247" s="5">
        <v>0</v>
      </c>
      <c r="X1247" s="5">
        <v>0</v>
      </c>
      <c r="Y1247" s="5">
        <v>0</v>
      </c>
      <c r="Z1247" s="37">
        <v>0</v>
      </c>
      <c r="AA1247" s="5">
        <v>1</v>
      </c>
      <c r="AB1247" s="5">
        <v>0</v>
      </c>
      <c r="AC1247" s="5">
        <v>0</v>
      </c>
      <c r="AD1247" s="5">
        <v>1</v>
      </c>
      <c r="AE1247" s="10" t="s">
        <v>73</v>
      </c>
      <c r="AF1247" s="10"/>
      <c r="AG1247" s="10" t="s">
        <v>333</v>
      </c>
      <c r="AH1247" s="10">
        <v>40920</v>
      </c>
      <c r="AI1247" s="5">
        <v>3</v>
      </c>
      <c r="AJ1247" s="10" t="s">
        <v>6947</v>
      </c>
      <c r="AK1247" s="10" t="s">
        <v>50</v>
      </c>
    </row>
    <row r="1248" spans="1:37" ht="36.75" customHeight="1" x14ac:dyDescent="0.35">
      <c r="A1248" s="5"/>
      <c r="B1248" s="5" t="s">
        <v>37</v>
      </c>
      <c r="C1248" s="73" t="str">
        <f t="shared" si="19"/>
        <v>Closed</v>
      </c>
      <c r="D1248" s="45" t="s">
        <v>6948</v>
      </c>
      <c r="E1248" s="54" t="s">
        <v>6949</v>
      </c>
      <c r="F1248" s="5" t="s">
        <v>619</v>
      </c>
      <c r="G1248" s="10">
        <f>DATE(2012,1,12)</f>
        <v>40920</v>
      </c>
      <c r="H1248" s="35">
        <v>1.5965277777777778</v>
      </c>
      <c r="I1248" s="5" t="s">
        <v>179</v>
      </c>
      <c r="J1248" s="10" t="s">
        <v>6950</v>
      </c>
      <c r="K1248" s="5" t="s">
        <v>621</v>
      </c>
      <c r="L1248" s="5" t="s">
        <v>6951</v>
      </c>
      <c r="M1248" s="5" t="s">
        <v>45</v>
      </c>
      <c r="N1248" s="5" t="s">
        <v>80</v>
      </c>
      <c r="O1248" s="5" t="s">
        <v>59</v>
      </c>
      <c r="P1248" s="10" t="s">
        <v>6952</v>
      </c>
      <c r="Q1248" s="10" t="s">
        <v>3226</v>
      </c>
      <c r="R1248" s="10" t="s">
        <v>3226</v>
      </c>
      <c r="S1248" s="5">
        <v>0</v>
      </c>
      <c r="T1248" s="37">
        <v>0</v>
      </c>
      <c r="U1248" s="5">
        <v>0</v>
      </c>
      <c r="V1248" s="37">
        <v>0</v>
      </c>
      <c r="W1248" s="5">
        <v>0</v>
      </c>
      <c r="X1248" s="5">
        <v>0</v>
      </c>
      <c r="Y1248" s="5">
        <v>0</v>
      </c>
      <c r="Z1248" s="37">
        <v>0</v>
      </c>
      <c r="AA1248" s="5">
        <v>0</v>
      </c>
      <c r="AB1248" s="5">
        <v>0</v>
      </c>
      <c r="AC1248" s="5">
        <v>0</v>
      </c>
      <c r="AD1248" s="5">
        <v>0</v>
      </c>
      <c r="AE1248" s="10" t="s">
        <v>73</v>
      </c>
      <c r="AF1248" s="10"/>
      <c r="AG1248" s="10" t="s">
        <v>333</v>
      </c>
      <c r="AH1248" s="10">
        <v>40939</v>
      </c>
      <c r="AI1248" s="5">
        <v>1</v>
      </c>
      <c r="AJ1248" s="10" t="s">
        <v>6953</v>
      </c>
      <c r="AK1248" s="10" t="s">
        <v>50</v>
      </c>
    </row>
    <row r="1249" spans="1:37" ht="36.75" customHeight="1" x14ac:dyDescent="0.35">
      <c r="A1249" s="5"/>
      <c r="B1249" s="5" t="s">
        <v>37</v>
      </c>
      <c r="C1249" s="73" t="str">
        <f t="shared" si="19"/>
        <v>Closed</v>
      </c>
      <c r="D1249" s="45" t="s">
        <v>6954</v>
      </c>
      <c r="E1249" s="54" t="s">
        <v>6955</v>
      </c>
      <c r="F1249" s="5" t="s">
        <v>563</v>
      </c>
      <c r="G1249" s="10">
        <f>DATE(2012,1,13)</f>
        <v>40921</v>
      </c>
      <c r="H1249" s="35">
        <v>1.7374999999999998</v>
      </c>
      <c r="I1249" s="5" t="s">
        <v>137</v>
      </c>
      <c r="J1249" s="10" t="s">
        <v>6956</v>
      </c>
      <c r="K1249" s="5" t="s">
        <v>565</v>
      </c>
      <c r="L1249" s="5" t="s">
        <v>6957</v>
      </c>
      <c r="M1249" s="5" t="s">
        <v>45</v>
      </c>
      <c r="N1249" s="5" t="s">
        <v>123</v>
      </c>
      <c r="O1249" s="5" t="s">
        <v>46</v>
      </c>
      <c r="P1249" s="10" t="s">
        <v>146</v>
      </c>
      <c r="Q1249" s="10" t="s">
        <v>6958</v>
      </c>
      <c r="R1249" s="10" t="s">
        <v>568</v>
      </c>
      <c r="S1249" s="5">
        <v>1</v>
      </c>
      <c r="T1249" s="37">
        <v>0</v>
      </c>
      <c r="U1249" s="5">
        <v>0</v>
      </c>
      <c r="V1249" s="37">
        <v>0</v>
      </c>
      <c r="W1249" s="5">
        <v>0</v>
      </c>
      <c r="X1249" s="5">
        <v>1</v>
      </c>
      <c r="Y1249" s="5">
        <v>2</v>
      </c>
      <c r="Z1249" s="37">
        <v>0</v>
      </c>
      <c r="AA1249" s="5">
        <v>0</v>
      </c>
      <c r="AB1249" s="5">
        <v>0</v>
      </c>
      <c r="AC1249" s="5">
        <v>0</v>
      </c>
      <c r="AD1249" s="5">
        <v>2</v>
      </c>
      <c r="AE1249" s="10" t="s">
        <v>375</v>
      </c>
      <c r="AF1249" s="10"/>
      <c r="AG1249" s="10" t="s">
        <v>64</v>
      </c>
      <c r="AH1249" s="10">
        <v>40926</v>
      </c>
      <c r="AI1249" s="5">
        <v>0</v>
      </c>
      <c r="AJ1249" s="10" t="s">
        <v>6959</v>
      </c>
      <c r="AK1249" s="10" t="s">
        <v>1215</v>
      </c>
    </row>
    <row r="1250" spans="1:37" ht="36.75" customHeight="1" x14ac:dyDescent="0.35">
      <c r="A1250" s="5"/>
      <c r="B1250" s="5" t="s">
        <v>37</v>
      </c>
      <c r="C1250" s="73" t="str">
        <f t="shared" si="19"/>
        <v>Closed</v>
      </c>
      <c r="D1250" s="45" t="s">
        <v>6960</v>
      </c>
      <c r="E1250" s="54" t="s">
        <v>6961</v>
      </c>
      <c r="F1250" s="5" t="s">
        <v>105</v>
      </c>
      <c r="G1250" s="10">
        <f>DATE(2012,1,13)</f>
        <v>40921</v>
      </c>
      <c r="H1250" s="35">
        <v>1.9479166666666665</v>
      </c>
      <c r="I1250" s="5" t="s">
        <v>55</v>
      </c>
      <c r="J1250" s="10" t="s">
        <v>6962</v>
      </c>
      <c r="K1250" s="5" t="s">
        <v>108</v>
      </c>
      <c r="L1250" s="5" t="s">
        <v>6963</v>
      </c>
      <c r="M1250" s="5" t="s">
        <v>45</v>
      </c>
      <c r="N1250" s="5" t="s">
        <v>80</v>
      </c>
      <c r="O1250" s="5" t="s">
        <v>59</v>
      </c>
      <c r="P1250" s="10" t="s">
        <v>60</v>
      </c>
      <c r="Q1250" s="10" t="s">
        <v>382</v>
      </c>
      <c r="R1250" s="10" t="s">
        <v>148</v>
      </c>
      <c r="S1250" s="5">
        <v>0</v>
      </c>
      <c r="T1250" s="37">
        <v>0</v>
      </c>
      <c r="U1250" s="5">
        <v>0</v>
      </c>
      <c r="V1250" s="37">
        <v>0</v>
      </c>
      <c r="W1250" s="5">
        <v>0</v>
      </c>
      <c r="X1250" s="5">
        <v>0</v>
      </c>
      <c r="Y1250" s="5">
        <v>0</v>
      </c>
      <c r="Z1250" s="37">
        <v>0</v>
      </c>
      <c r="AA1250" s="5">
        <v>0</v>
      </c>
      <c r="AB1250" s="5">
        <v>0</v>
      </c>
      <c r="AC1250" s="5">
        <v>0</v>
      </c>
      <c r="AD1250" s="5">
        <v>0</v>
      </c>
      <c r="AE1250" s="10" t="s">
        <v>50</v>
      </c>
      <c r="AF1250" s="10"/>
      <c r="AG1250" s="10" t="s">
        <v>64</v>
      </c>
      <c r="AH1250" s="10">
        <v>40933</v>
      </c>
      <c r="AI1250" s="5">
        <v>1</v>
      </c>
      <c r="AJ1250" s="10" t="s">
        <v>6964</v>
      </c>
      <c r="AK1250" s="10" t="s">
        <v>50</v>
      </c>
    </row>
    <row r="1251" spans="1:37" ht="36.75" customHeight="1" x14ac:dyDescent="0.35">
      <c r="A1251" s="5"/>
      <c r="B1251" s="5" t="s">
        <v>37</v>
      </c>
      <c r="C1251" s="73" t="str">
        <f t="shared" si="19"/>
        <v>Closed</v>
      </c>
      <c r="D1251" s="45" t="s">
        <v>6965</v>
      </c>
      <c r="E1251" s="54" t="s">
        <v>6966</v>
      </c>
      <c r="F1251" s="5" t="s">
        <v>40</v>
      </c>
      <c r="G1251" s="10">
        <f>DATE(2012,1,14)</f>
        <v>40922</v>
      </c>
      <c r="H1251" s="35">
        <v>1.0069444444444444</v>
      </c>
      <c r="I1251" s="5" t="s">
        <v>55</v>
      </c>
      <c r="J1251" s="10" t="s">
        <v>6967</v>
      </c>
      <c r="K1251" s="5" t="s">
        <v>43</v>
      </c>
      <c r="L1251" s="5" t="s">
        <v>6968</v>
      </c>
      <c r="M1251" s="5" t="s">
        <v>45</v>
      </c>
      <c r="N1251" s="5" t="s">
        <v>70</v>
      </c>
      <c r="O1251" s="5" t="s">
        <v>71</v>
      </c>
      <c r="P1251" s="10" t="s">
        <v>60</v>
      </c>
      <c r="Q1251" s="10" t="s">
        <v>48</v>
      </c>
      <c r="R1251" s="10" t="s">
        <v>49</v>
      </c>
      <c r="S1251" s="5">
        <v>0</v>
      </c>
      <c r="T1251" s="37">
        <v>0</v>
      </c>
      <c r="U1251" s="5">
        <v>0</v>
      </c>
      <c r="V1251" s="37">
        <v>0</v>
      </c>
      <c r="W1251" s="5">
        <v>0</v>
      </c>
      <c r="X1251" s="5">
        <v>0</v>
      </c>
      <c r="Y1251" s="5">
        <v>0</v>
      </c>
      <c r="Z1251" s="37">
        <v>0</v>
      </c>
      <c r="AA1251" s="5">
        <v>0</v>
      </c>
      <c r="AB1251" s="5">
        <v>0</v>
      </c>
      <c r="AC1251" s="5">
        <v>0</v>
      </c>
      <c r="AD1251" s="5">
        <v>0</v>
      </c>
      <c r="AE1251" s="10" t="s">
        <v>375</v>
      </c>
      <c r="AF1251" s="10"/>
      <c r="AG1251" s="10" t="s">
        <v>114</v>
      </c>
      <c r="AH1251" s="10">
        <v>40940</v>
      </c>
      <c r="AI1251" s="5">
        <v>2</v>
      </c>
      <c r="AJ1251" s="10" t="s">
        <v>6969</v>
      </c>
      <c r="AK1251" s="10" t="s">
        <v>6970</v>
      </c>
    </row>
    <row r="1252" spans="1:37" ht="36.75" customHeight="1" x14ac:dyDescent="0.35">
      <c r="A1252" s="5"/>
      <c r="B1252" s="5" t="s">
        <v>37</v>
      </c>
      <c r="C1252" s="73" t="str">
        <f t="shared" si="19"/>
        <v>Closed</v>
      </c>
      <c r="D1252" s="45" t="s">
        <v>6971</v>
      </c>
      <c r="E1252" s="54" t="s">
        <v>6972</v>
      </c>
      <c r="F1252" s="5" t="s">
        <v>619</v>
      </c>
      <c r="G1252" s="10">
        <f>DATE(2012,1,15)</f>
        <v>40923</v>
      </c>
      <c r="H1252" s="35">
        <v>1.3416666666666666</v>
      </c>
      <c r="I1252" s="5" t="s">
        <v>55</v>
      </c>
      <c r="J1252" s="10" t="s">
        <v>6973</v>
      </c>
      <c r="K1252" s="5" t="s">
        <v>621</v>
      </c>
      <c r="L1252" s="5" t="s">
        <v>6974</v>
      </c>
      <c r="M1252" s="5" t="s">
        <v>45</v>
      </c>
      <c r="N1252" s="5" t="s">
        <v>80</v>
      </c>
      <c r="O1252" s="5" t="s">
        <v>59</v>
      </c>
      <c r="P1252" s="10" t="s">
        <v>60</v>
      </c>
      <c r="Q1252" s="10" t="s">
        <v>3226</v>
      </c>
      <c r="R1252" s="10" t="s">
        <v>3226</v>
      </c>
      <c r="S1252" s="5">
        <v>0</v>
      </c>
      <c r="T1252" s="37">
        <v>0</v>
      </c>
      <c r="U1252" s="5">
        <v>0</v>
      </c>
      <c r="V1252" s="37">
        <v>0</v>
      </c>
      <c r="W1252" s="5">
        <v>0</v>
      </c>
      <c r="X1252" s="5">
        <v>0</v>
      </c>
      <c r="Y1252" s="5">
        <v>0</v>
      </c>
      <c r="Z1252" s="37">
        <v>0</v>
      </c>
      <c r="AA1252" s="5">
        <v>0</v>
      </c>
      <c r="AB1252" s="5">
        <v>0</v>
      </c>
      <c r="AC1252" s="5">
        <v>0</v>
      </c>
      <c r="AD1252" s="5">
        <v>0</v>
      </c>
      <c r="AE1252" s="10" t="s">
        <v>50</v>
      </c>
      <c r="AF1252" s="10"/>
      <c r="AG1252" s="10" t="s">
        <v>333</v>
      </c>
      <c r="AH1252" s="10">
        <v>40939</v>
      </c>
      <c r="AI1252" s="5">
        <v>3</v>
      </c>
      <c r="AJ1252" s="10" t="s">
        <v>6975</v>
      </c>
      <c r="AK1252" s="10" t="s">
        <v>50</v>
      </c>
    </row>
    <row r="1253" spans="1:37" ht="36.75" customHeight="1" x14ac:dyDescent="0.35">
      <c r="A1253" s="5"/>
      <c r="B1253" s="5" t="s">
        <v>37</v>
      </c>
      <c r="C1253" s="73" t="str">
        <f t="shared" si="19"/>
        <v>Closed</v>
      </c>
      <c r="D1253" s="45" t="s">
        <v>6976</v>
      </c>
      <c r="E1253" s="54" t="s">
        <v>6977</v>
      </c>
      <c r="F1253" s="5" t="s">
        <v>1553</v>
      </c>
      <c r="G1253" s="10">
        <f>DATE(2012,1,16)</f>
        <v>40924</v>
      </c>
      <c r="H1253" s="35">
        <v>1.5833333333333335</v>
      </c>
      <c r="I1253" s="5" t="s">
        <v>55</v>
      </c>
      <c r="J1253" s="10" t="s">
        <v>6978</v>
      </c>
      <c r="K1253" s="5" t="s">
        <v>1555</v>
      </c>
      <c r="L1253" s="5" t="s">
        <v>6979</v>
      </c>
      <c r="M1253" s="5" t="s">
        <v>45</v>
      </c>
      <c r="N1253" s="5" t="s">
        <v>80</v>
      </c>
      <c r="O1253" s="5" t="s">
        <v>59</v>
      </c>
      <c r="P1253" s="10" t="s">
        <v>362</v>
      </c>
      <c r="Q1253" s="10" t="s">
        <v>2417</v>
      </c>
      <c r="R1253" s="10">
        <v>0</v>
      </c>
      <c r="S1253" s="5">
        <v>0</v>
      </c>
      <c r="T1253" s="37">
        <v>0</v>
      </c>
      <c r="U1253" s="5">
        <v>0</v>
      </c>
      <c r="V1253" s="37">
        <v>0</v>
      </c>
      <c r="W1253" s="5">
        <v>0</v>
      </c>
      <c r="X1253" s="5">
        <v>0</v>
      </c>
      <c r="Y1253" s="5">
        <v>0</v>
      </c>
      <c r="Z1253" s="37">
        <v>0</v>
      </c>
      <c r="AA1253" s="5">
        <v>0</v>
      </c>
      <c r="AB1253" s="5">
        <v>0</v>
      </c>
      <c r="AC1253" s="5">
        <v>0</v>
      </c>
      <c r="AD1253" s="5">
        <v>0</v>
      </c>
      <c r="AE1253" s="10" t="s">
        <v>73</v>
      </c>
      <c r="AF1253" s="10"/>
      <c r="AG1253" s="10" t="s">
        <v>114</v>
      </c>
      <c r="AH1253" s="10" t="s">
        <v>50</v>
      </c>
      <c r="AI1253" s="5">
        <v>0</v>
      </c>
      <c r="AJ1253" s="10" t="s">
        <v>6980</v>
      </c>
      <c r="AK1253" s="10" t="s">
        <v>6981</v>
      </c>
    </row>
    <row r="1254" spans="1:37" ht="36.75" customHeight="1" x14ac:dyDescent="0.35">
      <c r="A1254" s="5"/>
      <c r="B1254" s="5" t="s">
        <v>37</v>
      </c>
      <c r="C1254" s="73" t="str">
        <f t="shared" si="19"/>
        <v>Closed</v>
      </c>
      <c r="D1254" s="45" t="s">
        <v>6982</v>
      </c>
      <c r="E1254" s="54" t="s">
        <v>6983</v>
      </c>
      <c r="F1254" s="5" t="s">
        <v>619</v>
      </c>
      <c r="G1254" s="10">
        <f>DATE(2012,1,19)</f>
        <v>40927</v>
      </c>
      <c r="H1254" s="35">
        <v>1.29375</v>
      </c>
      <c r="I1254" s="5" t="s">
        <v>55</v>
      </c>
      <c r="J1254" s="10" t="s">
        <v>6984</v>
      </c>
      <c r="K1254" s="5" t="s">
        <v>621</v>
      </c>
      <c r="L1254" s="5" t="s">
        <v>6985</v>
      </c>
      <c r="M1254" s="5" t="s">
        <v>45</v>
      </c>
      <c r="N1254" s="5" t="s">
        <v>80</v>
      </c>
      <c r="O1254" s="5" t="s">
        <v>46</v>
      </c>
      <c r="P1254" s="10" t="s">
        <v>60</v>
      </c>
      <c r="Q1254" s="10" t="s">
        <v>3226</v>
      </c>
      <c r="R1254" s="10" t="s">
        <v>3226</v>
      </c>
      <c r="S1254" s="5">
        <v>0</v>
      </c>
      <c r="T1254" s="37">
        <v>0</v>
      </c>
      <c r="U1254" s="5">
        <v>0</v>
      </c>
      <c r="V1254" s="37">
        <v>0</v>
      </c>
      <c r="W1254" s="5">
        <v>0</v>
      </c>
      <c r="X1254" s="5">
        <v>0</v>
      </c>
      <c r="Y1254" s="5">
        <v>0</v>
      </c>
      <c r="Z1254" s="37">
        <v>0</v>
      </c>
      <c r="AA1254" s="5">
        <v>0</v>
      </c>
      <c r="AB1254" s="5">
        <v>0</v>
      </c>
      <c r="AC1254" s="5">
        <v>0</v>
      </c>
      <c r="AD1254" s="5">
        <v>0</v>
      </c>
      <c r="AE1254" s="10" t="s">
        <v>50</v>
      </c>
      <c r="AF1254" s="10"/>
      <c r="AG1254" s="10" t="s">
        <v>333</v>
      </c>
      <c r="AH1254" s="10">
        <v>40939</v>
      </c>
      <c r="AI1254" s="5">
        <v>0</v>
      </c>
      <c r="AJ1254" s="10" t="s">
        <v>6986</v>
      </c>
      <c r="AK1254" s="10" t="s">
        <v>50</v>
      </c>
    </row>
    <row r="1255" spans="1:37" ht="36.75" customHeight="1" x14ac:dyDescent="0.35">
      <c r="A1255" s="5"/>
      <c r="B1255" s="5" t="s">
        <v>37</v>
      </c>
      <c r="C1255" s="73" t="str">
        <f t="shared" si="19"/>
        <v>Closed</v>
      </c>
      <c r="D1255" s="45" t="s">
        <v>6987</v>
      </c>
      <c r="E1255" s="54" t="s">
        <v>6988</v>
      </c>
      <c r="F1255" s="5" t="s">
        <v>619</v>
      </c>
      <c r="G1255" s="10">
        <f>DATE(2012,1,19)</f>
        <v>40927</v>
      </c>
      <c r="H1255" s="35">
        <v>1.7708333333333335</v>
      </c>
      <c r="I1255" s="5" t="s">
        <v>179</v>
      </c>
      <c r="J1255" s="10" t="s">
        <v>6989</v>
      </c>
      <c r="K1255" s="5" t="s">
        <v>621</v>
      </c>
      <c r="L1255" s="5" t="s">
        <v>6990</v>
      </c>
      <c r="M1255" s="5" t="s">
        <v>45</v>
      </c>
      <c r="N1255" s="5" t="s">
        <v>123</v>
      </c>
      <c r="O1255" s="5" t="s">
        <v>46</v>
      </c>
      <c r="P1255" s="10" t="s">
        <v>6991</v>
      </c>
      <c r="Q1255" s="10" t="s">
        <v>623</v>
      </c>
      <c r="R1255" s="10" t="s">
        <v>624</v>
      </c>
      <c r="S1255" s="5">
        <v>0</v>
      </c>
      <c r="T1255" s="37">
        <v>0</v>
      </c>
      <c r="U1255" s="5">
        <v>0</v>
      </c>
      <c r="V1255" s="37">
        <v>0</v>
      </c>
      <c r="W1255" s="5">
        <v>0</v>
      </c>
      <c r="X1255" s="5">
        <v>0</v>
      </c>
      <c r="Y1255" s="5">
        <v>0</v>
      </c>
      <c r="Z1255" s="37">
        <v>0</v>
      </c>
      <c r="AA1255" s="5">
        <v>0</v>
      </c>
      <c r="AB1255" s="5">
        <v>0</v>
      </c>
      <c r="AC1255" s="5">
        <v>0</v>
      </c>
      <c r="AD1255" s="5">
        <v>0</v>
      </c>
      <c r="AE1255" s="10" t="s">
        <v>50</v>
      </c>
      <c r="AF1255" s="10"/>
      <c r="AG1255" s="10" t="s">
        <v>333</v>
      </c>
      <c r="AH1255" s="10">
        <v>40939</v>
      </c>
      <c r="AI1255" s="5">
        <v>2</v>
      </c>
      <c r="AJ1255" s="10" t="s">
        <v>6992</v>
      </c>
      <c r="AK1255" s="10" t="s">
        <v>50</v>
      </c>
    </row>
    <row r="1256" spans="1:37" ht="36.75" customHeight="1" x14ac:dyDescent="0.35">
      <c r="A1256" s="5"/>
      <c r="B1256" s="5" t="s">
        <v>37</v>
      </c>
      <c r="C1256" s="73" t="str">
        <f t="shared" si="19"/>
        <v>Closed</v>
      </c>
      <c r="D1256" s="45" t="s">
        <v>6993</v>
      </c>
      <c r="E1256" s="54" t="s">
        <v>6994</v>
      </c>
      <c r="F1256" s="5" t="s">
        <v>404</v>
      </c>
      <c r="G1256" s="10">
        <f>DATE(2012,1,20)</f>
        <v>40928</v>
      </c>
      <c r="H1256" s="35">
        <v>1.4895833333333333</v>
      </c>
      <c r="I1256" s="5" t="s">
        <v>97</v>
      </c>
      <c r="J1256" s="10" t="s">
        <v>6995</v>
      </c>
      <c r="K1256" s="5" t="s">
        <v>406</v>
      </c>
      <c r="L1256" s="5" t="s">
        <v>6996</v>
      </c>
      <c r="M1256" s="5" t="s">
        <v>45</v>
      </c>
      <c r="N1256" s="5" t="s">
        <v>123</v>
      </c>
      <c r="O1256" s="5" t="s">
        <v>59</v>
      </c>
      <c r="P1256" s="10" t="s">
        <v>146</v>
      </c>
      <c r="Q1256" s="10" t="s">
        <v>408</v>
      </c>
      <c r="R1256" s="10" t="s">
        <v>3083</v>
      </c>
      <c r="S1256" s="5">
        <v>0</v>
      </c>
      <c r="T1256" s="37">
        <v>0</v>
      </c>
      <c r="U1256" s="5">
        <v>1</v>
      </c>
      <c r="V1256" s="37">
        <v>0</v>
      </c>
      <c r="W1256" s="5">
        <v>0</v>
      </c>
      <c r="X1256" s="5">
        <v>1</v>
      </c>
      <c r="Y1256" s="5">
        <v>0</v>
      </c>
      <c r="Z1256" s="37">
        <v>0</v>
      </c>
      <c r="AA1256" s="5">
        <v>0</v>
      </c>
      <c r="AB1256" s="5">
        <v>0</v>
      </c>
      <c r="AC1256" s="5">
        <v>0</v>
      </c>
      <c r="AD1256" s="5">
        <v>0</v>
      </c>
      <c r="AE1256" s="10" t="s">
        <v>50</v>
      </c>
      <c r="AF1256" s="10"/>
      <c r="AG1256" s="10" t="s">
        <v>114</v>
      </c>
      <c r="AH1256" s="10">
        <v>40968</v>
      </c>
      <c r="AI1256" s="5">
        <v>2</v>
      </c>
      <c r="AJ1256" s="10" t="s">
        <v>6997</v>
      </c>
      <c r="AK1256" s="10" t="s">
        <v>6998</v>
      </c>
    </row>
    <row r="1257" spans="1:37" ht="36.75" customHeight="1" x14ac:dyDescent="0.35">
      <c r="A1257" s="5"/>
      <c r="B1257" s="5" t="s">
        <v>37</v>
      </c>
      <c r="C1257" s="73" t="str">
        <f t="shared" si="19"/>
        <v>Closed</v>
      </c>
      <c r="D1257" s="45" t="s">
        <v>6999</v>
      </c>
      <c r="E1257" s="54" t="s">
        <v>7000</v>
      </c>
      <c r="F1257" s="5" t="s">
        <v>563</v>
      </c>
      <c r="G1257" s="10">
        <f>DATE(2012,1,21)</f>
        <v>40929</v>
      </c>
      <c r="H1257" s="35">
        <v>1.6805555555555554</v>
      </c>
      <c r="I1257" s="5" t="s">
        <v>55</v>
      </c>
      <c r="J1257" s="10" t="s">
        <v>7001</v>
      </c>
      <c r="K1257" s="5" t="s">
        <v>565</v>
      </c>
      <c r="L1257" s="5" t="s">
        <v>7002</v>
      </c>
      <c r="M1257" s="5" t="s">
        <v>45</v>
      </c>
      <c r="N1257" s="5" t="s">
        <v>123</v>
      </c>
      <c r="O1257" s="5" t="s">
        <v>46</v>
      </c>
      <c r="P1257" s="10" t="s">
        <v>60</v>
      </c>
      <c r="Q1257" s="10" t="s">
        <v>567</v>
      </c>
      <c r="R1257" s="10" t="s">
        <v>568</v>
      </c>
      <c r="S1257" s="5">
        <v>0</v>
      </c>
      <c r="T1257" s="37">
        <v>0</v>
      </c>
      <c r="U1257" s="5">
        <v>0</v>
      </c>
      <c r="V1257" s="37">
        <v>0</v>
      </c>
      <c r="W1257" s="5">
        <v>0</v>
      </c>
      <c r="X1257" s="5">
        <v>0</v>
      </c>
      <c r="Y1257" s="5">
        <v>0</v>
      </c>
      <c r="Z1257" s="37">
        <v>0</v>
      </c>
      <c r="AA1257" s="5">
        <v>0</v>
      </c>
      <c r="AB1257" s="5">
        <v>0</v>
      </c>
      <c r="AC1257" s="5">
        <v>0</v>
      </c>
      <c r="AD1257" s="5">
        <v>0</v>
      </c>
      <c r="AE1257" s="10" t="s">
        <v>126</v>
      </c>
      <c r="AF1257" s="10"/>
      <c r="AG1257" s="10" t="s">
        <v>114</v>
      </c>
      <c r="AH1257" s="10">
        <v>40932</v>
      </c>
      <c r="AI1257" s="5">
        <v>0</v>
      </c>
      <c r="AJ1257" s="10" t="s">
        <v>7003</v>
      </c>
      <c r="AK1257" s="10" t="s">
        <v>1215</v>
      </c>
    </row>
    <row r="1258" spans="1:37" ht="36.75" customHeight="1" x14ac:dyDescent="0.35">
      <c r="A1258" s="5"/>
      <c r="B1258" s="5" t="s">
        <v>887</v>
      </c>
      <c r="C1258" s="73" t="str">
        <f t="shared" si="19"/>
        <v>Open</v>
      </c>
      <c r="D1258" s="45" t="s">
        <v>7004</v>
      </c>
      <c r="E1258" s="54" t="s">
        <v>7005</v>
      </c>
      <c r="F1258" s="5" t="s">
        <v>5662</v>
      </c>
      <c r="G1258" s="10">
        <f>DATE(2012,1,21)</f>
        <v>40929</v>
      </c>
      <c r="H1258" s="35">
        <v>1.3965277777777778</v>
      </c>
      <c r="I1258" s="5" t="s">
        <v>55</v>
      </c>
      <c r="J1258" s="10" t="s">
        <v>7006</v>
      </c>
      <c r="K1258" s="5" t="s">
        <v>5664</v>
      </c>
      <c r="L1258" s="5" t="s">
        <v>7007</v>
      </c>
      <c r="M1258" s="5" t="s">
        <v>45</v>
      </c>
      <c r="N1258" s="5">
        <v>0</v>
      </c>
      <c r="O1258" s="5" t="s">
        <v>59</v>
      </c>
      <c r="P1258" s="10" t="s">
        <v>146</v>
      </c>
      <c r="Q1258" s="10" t="s">
        <v>5666</v>
      </c>
      <c r="R1258" s="10" t="s">
        <v>5667</v>
      </c>
      <c r="S1258" s="5">
        <v>0</v>
      </c>
      <c r="T1258" s="37" t="s">
        <v>50</v>
      </c>
      <c r="U1258" s="5">
        <v>0</v>
      </c>
      <c r="V1258" s="37" t="s">
        <v>50</v>
      </c>
      <c r="W1258" s="5">
        <v>0</v>
      </c>
      <c r="X1258" s="5">
        <v>0</v>
      </c>
      <c r="Y1258" s="5">
        <v>0</v>
      </c>
      <c r="Z1258" s="37" t="s">
        <v>50</v>
      </c>
      <c r="AA1258" s="5">
        <v>0</v>
      </c>
      <c r="AB1258" s="5">
        <v>0</v>
      </c>
      <c r="AC1258" s="5">
        <v>0</v>
      </c>
      <c r="AD1258" s="5">
        <v>0</v>
      </c>
      <c r="AE1258" s="10" t="s">
        <v>50</v>
      </c>
      <c r="AF1258" s="10"/>
      <c r="AG1258" s="10" t="s">
        <v>333</v>
      </c>
      <c r="AH1258" s="10" t="s">
        <v>50</v>
      </c>
      <c r="AI1258" s="5">
        <v>0</v>
      </c>
      <c r="AJ1258" s="10" t="s">
        <v>50</v>
      </c>
      <c r="AK1258" s="10" t="s">
        <v>50</v>
      </c>
    </row>
    <row r="1259" spans="1:37" ht="36.75" customHeight="1" x14ac:dyDescent="0.35">
      <c r="A1259" s="5"/>
      <c r="B1259" s="5" t="s">
        <v>37</v>
      </c>
      <c r="C1259" s="73" t="str">
        <f t="shared" si="19"/>
        <v>Closed</v>
      </c>
      <c r="D1259" s="45" t="s">
        <v>7008</v>
      </c>
      <c r="E1259" s="54" t="s">
        <v>7009</v>
      </c>
      <c r="F1259" s="5" t="s">
        <v>404</v>
      </c>
      <c r="G1259" s="10">
        <f>DATE(2012,1,24)</f>
        <v>40932</v>
      </c>
      <c r="H1259" s="35">
        <v>1.5750000000000002</v>
      </c>
      <c r="I1259" s="5" t="s">
        <v>259</v>
      </c>
      <c r="J1259" s="10" t="s">
        <v>7010</v>
      </c>
      <c r="K1259" s="5" t="s">
        <v>406</v>
      </c>
      <c r="L1259" s="5" t="s">
        <v>7011</v>
      </c>
      <c r="M1259" s="5" t="s">
        <v>45</v>
      </c>
      <c r="N1259" s="5" t="s">
        <v>80</v>
      </c>
      <c r="O1259" s="5" t="s">
        <v>6854</v>
      </c>
      <c r="P1259" s="10" t="s">
        <v>72</v>
      </c>
      <c r="Q1259" s="10" t="s">
        <v>2562</v>
      </c>
      <c r="R1259" s="10">
        <v>0</v>
      </c>
      <c r="S1259" s="5">
        <v>0</v>
      </c>
      <c r="T1259" s="37">
        <v>0</v>
      </c>
      <c r="U1259" s="5">
        <v>0</v>
      </c>
      <c r="V1259" s="37">
        <v>0</v>
      </c>
      <c r="W1259" s="5">
        <v>0</v>
      </c>
      <c r="X1259" s="5">
        <v>0</v>
      </c>
      <c r="Y1259" s="5">
        <v>0</v>
      </c>
      <c r="Z1259" s="37">
        <v>1</v>
      </c>
      <c r="AA1259" s="5">
        <v>0</v>
      </c>
      <c r="AB1259" s="5">
        <v>0</v>
      </c>
      <c r="AC1259" s="5">
        <v>0</v>
      </c>
      <c r="AD1259" s="5">
        <v>1</v>
      </c>
      <c r="AE1259" s="10" t="s">
        <v>73</v>
      </c>
      <c r="AF1259" s="10"/>
      <c r="AG1259" s="10" t="s">
        <v>1399</v>
      </c>
      <c r="AH1259" s="10">
        <v>41062</v>
      </c>
      <c r="AI1259" s="5">
        <v>3</v>
      </c>
      <c r="AJ1259" s="10" t="s">
        <v>7012</v>
      </c>
      <c r="AK1259" s="10" t="s">
        <v>7013</v>
      </c>
    </row>
    <row r="1260" spans="1:37" ht="36.75" customHeight="1" x14ac:dyDescent="0.35">
      <c r="A1260" s="5"/>
      <c r="B1260" s="5" t="s">
        <v>37</v>
      </c>
      <c r="C1260" s="73" t="str">
        <f t="shared" si="19"/>
        <v>Closed</v>
      </c>
      <c r="D1260" s="45" t="s">
        <v>7014</v>
      </c>
      <c r="E1260" s="54" t="s">
        <v>7015</v>
      </c>
      <c r="F1260" s="5" t="s">
        <v>1751</v>
      </c>
      <c r="G1260" s="10">
        <f>DATE(2012,1,25)</f>
        <v>40933</v>
      </c>
      <c r="H1260" s="35">
        <v>1.8652777777777776</v>
      </c>
      <c r="I1260" s="5" t="s">
        <v>55</v>
      </c>
      <c r="J1260" s="10" t="s">
        <v>7016</v>
      </c>
      <c r="K1260" s="5" t="s">
        <v>1753</v>
      </c>
      <c r="L1260" s="5" t="s">
        <v>7017</v>
      </c>
      <c r="M1260" s="5" t="s">
        <v>45</v>
      </c>
      <c r="N1260" s="5" t="s">
        <v>123</v>
      </c>
      <c r="O1260" s="5" t="s">
        <v>46</v>
      </c>
      <c r="P1260" s="10" t="s">
        <v>60</v>
      </c>
      <c r="Q1260" s="10" t="s">
        <v>6480</v>
      </c>
      <c r="R1260" s="10" t="s">
        <v>1756</v>
      </c>
      <c r="S1260" s="5">
        <v>0</v>
      </c>
      <c r="T1260" s="37">
        <v>0</v>
      </c>
      <c r="U1260" s="5">
        <v>0</v>
      </c>
      <c r="V1260" s="37">
        <v>0</v>
      </c>
      <c r="W1260" s="5">
        <v>0</v>
      </c>
      <c r="X1260" s="5">
        <v>0</v>
      </c>
      <c r="Y1260" s="5">
        <v>0</v>
      </c>
      <c r="Z1260" s="37">
        <v>0</v>
      </c>
      <c r="AA1260" s="5">
        <v>0</v>
      </c>
      <c r="AB1260" s="5">
        <v>0</v>
      </c>
      <c r="AC1260" s="5">
        <v>0</v>
      </c>
      <c r="AD1260" s="5">
        <v>0</v>
      </c>
      <c r="AE1260" s="10" t="s">
        <v>73</v>
      </c>
      <c r="AF1260" s="10"/>
      <c r="AG1260" s="10" t="s">
        <v>114</v>
      </c>
      <c r="AH1260" s="10">
        <v>40940</v>
      </c>
      <c r="AI1260" s="5">
        <v>0</v>
      </c>
      <c r="AJ1260" s="10" t="s">
        <v>7018</v>
      </c>
      <c r="AK1260" s="10" t="s">
        <v>7019</v>
      </c>
    </row>
    <row r="1261" spans="1:37" ht="36.75" customHeight="1" x14ac:dyDescent="0.35">
      <c r="A1261" s="5"/>
      <c r="B1261" s="5" t="s">
        <v>37</v>
      </c>
      <c r="C1261" s="73" t="str">
        <f t="shared" si="19"/>
        <v>Closed</v>
      </c>
      <c r="D1261" s="45" t="s">
        <v>7020</v>
      </c>
      <c r="E1261" s="54" t="s">
        <v>7021</v>
      </c>
      <c r="F1261" s="5" t="s">
        <v>816</v>
      </c>
      <c r="G1261" s="10">
        <f>DATE(2012,1,25)</f>
        <v>40933</v>
      </c>
      <c r="H1261" s="35">
        <v>1.4159722222222222</v>
      </c>
      <c r="I1261" s="5" t="s">
        <v>85</v>
      </c>
      <c r="J1261" s="10" t="s">
        <v>7022</v>
      </c>
      <c r="K1261" s="5" t="s">
        <v>818</v>
      </c>
      <c r="L1261" s="5" t="s">
        <v>7023</v>
      </c>
      <c r="M1261" s="5" t="s">
        <v>45</v>
      </c>
      <c r="N1261" s="5">
        <v>0</v>
      </c>
      <c r="O1261" s="5" t="s">
        <v>59</v>
      </c>
      <c r="P1261" s="10" t="s">
        <v>47</v>
      </c>
      <c r="Q1261" s="10" t="s">
        <v>2142</v>
      </c>
      <c r="R1261" s="10" t="s">
        <v>821</v>
      </c>
      <c r="S1261" s="5">
        <v>0</v>
      </c>
      <c r="T1261" s="37">
        <v>0</v>
      </c>
      <c r="U1261" s="5">
        <v>0</v>
      </c>
      <c r="V1261" s="37">
        <v>0</v>
      </c>
      <c r="W1261" s="5">
        <v>0</v>
      </c>
      <c r="X1261" s="5">
        <v>0</v>
      </c>
      <c r="Y1261" s="5">
        <v>0</v>
      </c>
      <c r="Z1261" s="37">
        <v>0</v>
      </c>
      <c r="AA1261" s="5">
        <v>0</v>
      </c>
      <c r="AB1261" s="5">
        <v>0</v>
      </c>
      <c r="AC1261" s="5">
        <v>0</v>
      </c>
      <c r="AD1261" s="5">
        <v>0</v>
      </c>
      <c r="AE1261" s="10" t="s">
        <v>73</v>
      </c>
      <c r="AF1261" s="10"/>
      <c r="AG1261" s="10" t="s">
        <v>333</v>
      </c>
      <c r="AH1261" s="10">
        <v>40975</v>
      </c>
      <c r="AI1261" s="5">
        <v>0</v>
      </c>
      <c r="AJ1261" s="10" t="s">
        <v>7024</v>
      </c>
      <c r="AK1261" s="10" t="s">
        <v>7025</v>
      </c>
    </row>
    <row r="1262" spans="1:37" ht="36.75" customHeight="1" x14ac:dyDescent="0.35">
      <c r="A1262" s="5"/>
      <c r="B1262" s="5" t="s">
        <v>37</v>
      </c>
      <c r="C1262" s="73" t="str">
        <f t="shared" si="19"/>
        <v>Closed</v>
      </c>
      <c r="D1262" s="45" t="s">
        <v>7026</v>
      </c>
      <c r="E1262" s="54" t="s">
        <v>7027</v>
      </c>
      <c r="F1262" s="5" t="s">
        <v>816</v>
      </c>
      <c r="G1262" s="10">
        <f>DATE(2012,1,25)</f>
        <v>40933</v>
      </c>
      <c r="H1262" s="35">
        <v>1.567361111111111</v>
      </c>
      <c r="I1262" s="5" t="s">
        <v>97</v>
      </c>
      <c r="J1262" s="10" t="s">
        <v>7028</v>
      </c>
      <c r="K1262" s="5" t="s">
        <v>818</v>
      </c>
      <c r="L1262" s="5" t="s">
        <v>7029</v>
      </c>
      <c r="M1262" s="5" t="s">
        <v>45</v>
      </c>
      <c r="N1262" s="5" t="s">
        <v>80</v>
      </c>
      <c r="O1262" s="5" t="s">
        <v>46</v>
      </c>
      <c r="P1262" s="10" t="s">
        <v>146</v>
      </c>
      <c r="Q1262" s="10" t="s">
        <v>4291</v>
      </c>
      <c r="R1262" s="10" t="s">
        <v>2777</v>
      </c>
      <c r="S1262" s="5">
        <v>0</v>
      </c>
      <c r="T1262" s="37">
        <v>0</v>
      </c>
      <c r="U1262" s="5">
        <v>2</v>
      </c>
      <c r="V1262" s="37">
        <v>0</v>
      </c>
      <c r="W1262" s="5">
        <v>0</v>
      </c>
      <c r="X1262" s="5">
        <v>2</v>
      </c>
      <c r="Y1262" s="5">
        <v>0</v>
      </c>
      <c r="Z1262" s="37">
        <v>0</v>
      </c>
      <c r="AA1262" s="5">
        <v>1</v>
      </c>
      <c r="AB1262" s="5">
        <v>0</v>
      </c>
      <c r="AC1262" s="5">
        <v>0</v>
      </c>
      <c r="AD1262" s="5">
        <v>1</v>
      </c>
      <c r="AE1262" s="10" t="s">
        <v>73</v>
      </c>
      <c r="AF1262" s="10"/>
      <c r="AG1262" s="10" t="s">
        <v>333</v>
      </c>
      <c r="AH1262" s="10" t="s">
        <v>50</v>
      </c>
      <c r="AI1262" s="5">
        <v>0</v>
      </c>
      <c r="AJ1262" s="10" t="s">
        <v>7030</v>
      </c>
      <c r="AK1262" s="10" t="s">
        <v>50</v>
      </c>
    </row>
    <row r="1263" spans="1:37" ht="36.75" customHeight="1" x14ac:dyDescent="0.35">
      <c r="A1263" s="5"/>
      <c r="B1263" s="5" t="s">
        <v>37</v>
      </c>
      <c r="C1263" s="73" t="str">
        <f t="shared" si="19"/>
        <v>Closed</v>
      </c>
      <c r="D1263" s="45" t="s">
        <v>7031</v>
      </c>
      <c r="E1263" s="54" t="s">
        <v>7032</v>
      </c>
      <c r="F1263" s="5" t="s">
        <v>178</v>
      </c>
      <c r="G1263" s="10">
        <f>DATE(2012,1,27)</f>
        <v>40935</v>
      </c>
      <c r="H1263" s="35">
        <v>1.6215277777777777</v>
      </c>
      <c r="I1263" s="5" t="s">
        <v>259</v>
      </c>
      <c r="J1263" s="10" t="s">
        <v>7033</v>
      </c>
      <c r="K1263" s="5" t="s">
        <v>181</v>
      </c>
      <c r="L1263" s="5" t="s">
        <v>7034</v>
      </c>
      <c r="M1263" s="5" t="s">
        <v>45</v>
      </c>
      <c r="N1263" s="5" t="s">
        <v>123</v>
      </c>
      <c r="O1263" s="5" t="s">
        <v>59</v>
      </c>
      <c r="P1263" s="10" t="s">
        <v>72</v>
      </c>
      <c r="Q1263" s="10" t="s">
        <v>6253</v>
      </c>
      <c r="R1263" s="10" t="s">
        <v>184</v>
      </c>
      <c r="S1263" s="5">
        <v>0</v>
      </c>
      <c r="T1263" s="37">
        <v>0</v>
      </c>
      <c r="U1263" s="5">
        <v>0</v>
      </c>
      <c r="V1263" s="37">
        <v>0</v>
      </c>
      <c r="W1263" s="5">
        <v>0</v>
      </c>
      <c r="X1263" s="5">
        <v>0</v>
      </c>
      <c r="Y1263" s="5">
        <v>0</v>
      </c>
      <c r="Z1263" s="37">
        <v>0</v>
      </c>
      <c r="AA1263" s="5">
        <v>0</v>
      </c>
      <c r="AB1263" s="5">
        <v>0</v>
      </c>
      <c r="AC1263" s="5">
        <v>0</v>
      </c>
      <c r="AD1263" s="5">
        <v>0</v>
      </c>
      <c r="AE1263" s="10" t="s">
        <v>126</v>
      </c>
      <c r="AF1263" s="10"/>
      <c r="AG1263" s="10" t="s">
        <v>64</v>
      </c>
      <c r="AH1263" s="10">
        <v>41150</v>
      </c>
      <c r="AI1263" s="5">
        <v>1</v>
      </c>
      <c r="AJ1263" s="10" t="s">
        <v>7035</v>
      </c>
      <c r="AK1263" s="10" t="s">
        <v>1215</v>
      </c>
    </row>
    <row r="1264" spans="1:37" ht="36.75" customHeight="1" x14ac:dyDescent="0.35">
      <c r="A1264" s="5"/>
      <c r="B1264" s="5" t="s">
        <v>37</v>
      </c>
      <c r="C1264" s="73" t="str">
        <f t="shared" si="19"/>
        <v>Closed</v>
      </c>
      <c r="D1264" s="45" t="s">
        <v>7036</v>
      </c>
      <c r="E1264" s="54" t="s">
        <v>7037</v>
      </c>
      <c r="F1264" s="5" t="s">
        <v>214</v>
      </c>
      <c r="G1264" s="10">
        <f>DATE(2012,1,28)</f>
        <v>40936</v>
      </c>
      <c r="H1264" s="35">
        <v>1.5729166666666665</v>
      </c>
      <c r="I1264" s="5" t="s">
        <v>55</v>
      </c>
      <c r="J1264" s="10" t="s">
        <v>7038</v>
      </c>
      <c r="K1264" s="5" t="s">
        <v>216</v>
      </c>
      <c r="L1264" s="5" t="s">
        <v>7039</v>
      </c>
      <c r="M1264" s="5" t="s">
        <v>45</v>
      </c>
      <c r="N1264" s="5" t="s">
        <v>70</v>
      </c>
      <c r="O1264" s="5" t="s">
        <v>46</v>
      </c>
      <c r="P1264" s="10" t="s">
        <v>60</v>
      </c>
      <c r="Q1264" s="10" t="s">
        <v>415</v>
      </c>
      <c r="R1264" s="10" t="s">
        <v>219</v>
      </c>
      <c r="S1264" s="5">
        <v>0</v>
      </c>
      <c r="T1264" s="37">
        <v>0</v>
      </c>
      <c r="U1264" s="5">
        <v>0</v>
      </c>
      <c r="V1264" s="37">
        <v>0</v>
      </c>
      <c r="W1264" s="5">
        <v>0</v>
      </c>
      <c r="X1264" s="5">
        <v>0</v>
      </c>
      <c r="Y1264" s="5">
        <v>0</v>
      </c>
      <c r="Z1264" s="37">
        <v>0</v>
      </c>
      <c r="AA1264" s="5">
        <v>0</v>
      </c>
      <c r="AB1264" s="5">
        <v>0</v>
      </c>
      <c r="AC1264" s="5">
        <v>0</v>
      </c>
      <c r="AD1264" s="5">
        <v>0</v>
      </c>
      <c r="AE1264" s="10" t="s">
        <v>50</v>
      </c>
      <c r="AF1264" s="10"/>
      <c r="AG1264" s="10" t="s">
        <v>114</v>
      </c>
      <c r="AH1264" s="10" t="s">
        <v>50</v>
      </c>
      <c r="AI1264" s="5">
        <v>5</v>
      </c>
      <c r="AJ1264" s="10" t="s">
        <v>7040</v>
      </c>
      <c r="AK1264" s="10" t="s">
        <v>7041</v>
      </c>
    </row>
    <row r="1265" spans="1:37" ht="36.75" customHeight="1" x14ac:dyDescent="0.35">
      <c r="A1265" s="5"/>
      <c r="B1265" s="5" t="s">
        <v>37</v>
      </c>
      <c r="C1265" s="73" t="str">
        <f t="shared" si="19"/>
        <v>Closed</v>
      </c>
      <c r="D1265" s="45" t="s">
        <v>7042</v>
      </c>
      <c r="E1265" s="54" t="s">
        <v>7043</v>
      </c>
      <c r="F1265" s="5" t="s">
        <v>214</v>
      </c>
      <c r="G1265" s="10">
        <f>DATE(2012,1,28)</f>
        <v>40936</v>
      </c>
      <c r="H1265" s="35">
        <v>1.4854166666666666</v>
      </c>
      <c r="I1265" s="5" t="s">
        <v>97</v>
      </c>
      <c r="J1265" s="10" t="s">
        <v>7044</v>
      </c>
      <c r="K1265" s="5" t="s">
        <v>216</v>
      </c>
      <c r="L1265" s="5" t="s">
        <v>7045</v>
      </c>
      <c r="M1265" s="5" t="s">
        <v>45</v>
      </c>
      <c r="N1265" s="5" t="s">
        <v>123</v>
      </c>
      <c r="O1265" s="5" t="s">
        <v>46</v>
      </c>
      <c r="P1265" s="10" t="s">
        <v>146</v>
      </c>
      <c r="Q1265" s="10" t="s">
        <v>2856</v>
      </c>
      <c r="R1265" s="10" t="s">
        <v>219</v>
      </c>
      <c r="S1265" s="5">
        <v>0</v>
      </c>
      <c r="T1265" s="37">
        <v>0</v>
      </c>
      <c r="U1265" s="5">
        <v>1</v>
      </c>
      <c r="V1265" s="37">
        <v>0</v>
      </c>
      <c r="W1265" s="5">
        <v>0</v>
      </c>
      <c r="X1265" s="5">
        <v>1</v>
      </c>
      <c r="Y1265" s="5">
        <v>0</v>
      </c>
      <c r="Z1265" s="37">
        <v>0</v>
      </c>
      <c r="AA1265" s="5">
        <v>0</v>
      </c>
      <c r="AB1265" s="5">
        <v>0</v>
      </c>
      <c r="AC1265" s="5">
        <v>0</v>
      </c>
      <c r="AD1265" s="5">
        <v>0</v>
      </c>
      <c r="AE1265" s="10" t="s">
        <v>50</v>
      </c>
      <c r="AF1265" s="10"/>
      <c r="AG1265" s="10" t="s">
        <v>114</v>
      </c>
      <c r="AH1265" s="10" t="s">
        <v>50</v>
      </c>
      <c r="AI1265" s="5">
        <v>3</v>
      </c>
      <c r="AJ1265" s="10" t="s">
        <v>7046</v>
      </c>
      <c r="AK1265" s="10" t="s">
        <v>7047</v>
      </c>
    </row>
    <row r="1266" spans="1:37" ht="36.75" customHeight="1" x14ac:dyDescent="0.35">
      <c r="A1266" s="5"/>
      <c r="B1266" s="5" t="s">
        <v>37</v>
      </c>
      <c r="C1266" s="73" t="str">
        <f t="shared" si="19"/>
        <v>Closed</v>
      </c>
      <c r="D1266" s="45" t="s">
        <v>7048</v>
      </c>
      <c r="E1266" s="54" t="s">
        <v>7049</v>
      </c>
      <c r="F1266" s="5" t="s">
        <v>119</v>
      </c>
      <c r="G1266" s="10">
        <f>DATE(2012,1,30)</f>
        <v>40938</v>
      </c>
      <c r="H1266" s="35">
        <v>1.5833333333333335</v>
      </c>
      <c r="I1266" s="5" t="s">
        <v>85</v>
      </c>
      <c r="J1266" s="10" t="s">
        <v>7050</v>
      </c>
      <c r="K1266" s="5" t="s">
        <v>121</v>
      </c>
      <c r="L1266" s="5" t="s">
        <v>7051</v>
      </c>
      <c r="M1266" s="5" t="s">
        <v>45</v>
      </c>
      <c r="N1266" s="5" t="s">
        <v>70</v>
      </c>
      <c r="O1266" s="5" t="s">
        <v>59</v>
      </c>
      <c r="P1266" s="10" t="s">
        <v>2531</v>
      </c>
      <c r="Q1266" s="10" t="s">
        <v>124</v>
      </c>
      <c r="R1266" s="10" t="s">
        <v>4913</v>
      </c>
      <c r="S1266" s="5">
        <v>0</v>
      </c>
      <c r="T1266" s="37">
        <v>0</v>
      </c>
      <c r="U1266" s="5">
        <v>0</v>
      </c>
      <c r="V1266" s="37">
        <v>0</v>
      </c>
      <c r="W1266" s="5">
        <v>0</v>
      </c>
      <c r="X1266" s="5">
        <v>0</v>
      </c>
      <c r="Y1266" s="5">
        <v>0</v>
      </c>
      <c r="Z1266" s="37">
        <v>0</v>
      </c>
      <c r="AA1266" s="5">
        <v>0</v>
      </c>
      <c r="AB1266" s="5">
        <v>0</v>
      </c>
      <c r="AC1266" s="5">
        <v>0</v>
      </c>
      <c r="AD1266" s="5">
        <v>0</v>
      </c>
      <c r="AE1266" s="10" t="s">
        <v>73</v>
      </c>
      <c r="AF1266" s="10"/>
      <c r="AG1266" s="10" t="s">
        <v>114</v>
      </c>
      <c r="AH1266" s="10">
        <v>40938</v>
      </c>
      <c r="AI1266" s="5">
        <v>4</v>
      </c>
      <c r="AJ1266" s="10" t="s">
        <v>7052</v>
      </c>
      <c r="AK1266" s="10" t="s">
        <v>7053</v>
      </c>
    </row>
    <row r="1267" spans="1:37" ht="36.75" customHeight="1" x14ac:dyDescent="0.35">
      <c r="A1267" s="5"/>
      <c r="B1267" s="5" t="s">
        <v>37</v>
      </c>
      <c r="C1267" s="73" t="str">
        <f t="shared" si="19"/>
        <v>Closed</v>
      </c>
      <c r="D1267" s="45" t="s">
        <v>7054</v>
      </c>
      <c r="E1267" s="54" t="s">
        <v>7055</v>
      </c>
      <c r="F1267" s="5" t="s">
        <v>432</v>
      </c>
      <c r="G1267" s="10">
        <f>DATE(2012,1,31)</f>
        <v>40939</v>
      </c>
      <c r="H1267" s="35">
        <v>1.5326388888888889</v>
      </c>
      <c r="I1267" s="5" t="s">
        <v>97</v>
      </c>
      <c r="J1267" s="10" t="s">
        <v>7056</v>
      </c>
      <c r="K1267" s="5" t="s">
        <v>434</v>
      </c>
      <c r="L1267" s="5" t="s">
        <v>7057</v>
      </c>
      <c r="M1267" s="5" t="s">
        <v>45</v>
      </c>
      <c r="N1267" s="5" t="s">
        <v>80</v>
      </c>
      <c r="O1267" s="5" t="s">
        <v>46</v>
      </c>
      <c r="P1267" s="10" t="s">
        <v>146</v>
      </c>
      <c r="Q1267" s="10" t="s">
        <v>646</v>
      </c>
      <c r="R1267" s="10" t="s">
        <v>553</v>
      </c>
      <c r="S1267" s="5">
        <v>0</v>
      </c>
      <c r="T1267" s="37">
        <v>0</v>
      </c>
      <c r="U1267" s="5">
        <v>1</v>
      </c>
      <c r="V1267" s="37">
        <v>0</v>
      </c>
      <c r="W1267" s="5">
        <v>0</v>
      </c>
      <c r="X1267" s="5">
        <v>1</v>
      </c>
      <c r="Y1267" s="5">
        <v>0</v>
      </c>
      <c r="Z1267" s="37">
        <v>0</v>
      </c>
      <c r="AA1267" s="5">
        <v>0</v>
      </c>
      <c r="AB1267" s="5">
        <v>0</v>
      </c>
      <c r="AC1267" s="5">
        <v>0</v>
      </c>
      <c r="AD1267" s="5">
        <v>0</v>
      </c>
      <c r="AE1267" s="10" t="s">
        <v>73</v>
      </c>
      <c r="AF1267" s="10"/>
      <c r="AG1267" s="10" t="s">
        <v>64</v>
      </c>
      <c r="AH1267" s="10">
        <v>40939</v>
      </c>
      <c r="AI1267" s="5">
        <v>0</v>
      </c>
      <c r="AJ1267" s="10" t="s">
        <v>7058</v>
      </c>
      <c r="AK1267" s="10" t="s">
        <v>1215</v>
      </c>
    </row>
    <row r="1268" spans="1:37" ht="36.75" customHeight="1" x14ac:dyDescent="0.35">
      <c r="A1268" s="5"/>
      <c r="B1268" s="5" t="s">
        <v>37</v>
      </c>
      <c r="C1268" s="73" t="str">
        <f t="shared" si="19"/>
        <v>Closed</v>
      </c>
      <c r="D1268" s="45" t="s">
        <v>7059</v>
      </c>
      <c r="E1268" s="54" t="s">
        <v>7060</v>
      </c>
      <c r="F1268" s="5" t="s">
        <v>1553</v>
      </c>
      <c r="G1268" s="10">
        <f>DATE(2012,1,31)</f>
        <v>40939</v>
      </c>
      <c r="H1268" s="35">
        <v>1.6493055555555556</v>
      </c>
      <c r="I1268" s="5" t="s">
        <v>55</v>
      </c>
      <c r="J1268" s="10" t="s">
        <v>7061</v>
      </c>
      <c r="K1268" s="5" t="s">
        <v>1555</v>
      </c>
      <c r="L1268" s="5" t="s">
        <v>7062</v>
      </c>
      <c r="M1268" s="5" t="s">
        <v>45</v>
      </c>
      <c r="N1268" s="5" t="s">
        <v>80</v>
      </c>
      <c r="O1268" s="5" t="s">
        <v>46</v>
      </c>
      <c r="P1268" s="10" t="s">
        <v>60</v>
      </c>
      <c r="Q1268" s="10" t="s">
        <v>2635</v>
      </c>
      <c r="R1268" s="10">
        <v>0</v>
      </c>
      <c r="S1268" s="5">
        <v>0</v>
      </c>
      <c r="T1268" s="37">
        <v>0</v>
      </c>
      <c r="U1268" s="5">
        <v>0</v>
      </c>
      <c r="V1268" s="37">
        <v>0</v>
      </c>
      <c r="W1268" s="5">
        <v>0</v>
      </c>
      <c r="X1268" s="5">
        <v>0</v>
      </c>
      <c r="Y1268" s="5">
        <v>0</v>
      </c>
      <c r="Z1268" s="37">
        <v>0</v>
      </c>
      <c r="AA1268" s="5">
        <v>0</v>
      </c>
      <c r="AB1268" s="5">
        <v>0</v>
      </c>
      <c r="AC1268" s="5">
        <v>0</v>
      </c>
      <c r="AD1268" s="5">
        <v>0</v>
      </c>
      <c r="AE1268" s="10" t="s">
        <v>73</v>
      </c>
      <c r="AF1268" s="10"/>
      <c r="AG1268" s="10" t="s">
        <v>114</v>
      </c>
      <c r="AH1268" s="10">
        <v>40941</v>
      </c>
      <c r="AI1268" s="5">
        <v>0</v>
      </c>
      <c r="AJ1268" s="10" t="s">
        <v>7063</v>
      </c>
      <c r="AK1268" s="10" t="s">
        <v>50</v>
      </c>
    </row>
    <row r="1269" spans="1:37" ht="36.75" customHeight="1" x14ac:dyDescent="0.35">
      <c r="A1269" s="5"/>
      <c r="B1269" s="5" t="s">
        <v>37</v>
      </c>
      <c r="C1269" s="73" t="str">
        <f t="shared" si="19"/>
        <v>Closed</v>
      </c>
      <c r="D1269" s="45" t="s">
        <v>7064</v>
      </c>
      <c r="E1269" s="54" t="s">
        <v>7065</v>
      </c>
      <c r="F1269" s="5" t="s">
        <v>96</v>
      </c>
      <c r="G1269" s="10">
        <f>DATE(2012,2,1)</f>
        <v>40940</v>
      </c>
      <c r="H1269" s="35">
        <v>1.2569444444444444</v>
      </c>
      <c r="I1269" s="5" t="s">
        <v>137</v>
      </c>
      <c r="J1269" s="10" t="s">
        <v>7066</v>
      </c>
      <c r="K1269" s="5" t="s">
        <v>99</v>
      </c>
      <c r="L1269" s="5" t="s">
        <v>7067</v>
      </c>
      <c r="M1269" s="5" t="s">
        <v>45</v>
      </c>
      <c r="N1269" s="5" t="s">
        <v>70</v>
      </c>
      <c r="O1269" s="5" t="s">
        <v>46</v>
      </c>
      <c r="P1269" s="10" t="s">
        <v>146</v>
      </c>
      <c r="Q1269" s="10" t="s">
        <v>101</v>
      </c>
      <c r="R1269" s="10" t="s">
        <v>102</v>
      </c>
      <c r="S1269" s="5">
        <v>0</v>
      </c>
      <c r="T1269" s="37">
        <v>0</v>
      </c>
      <c r="U1269" s="5">
        <v>0</v>
      </c>
      <c r="V1269" s="37">
        <v>0</v>
      </c>
      <c r="W1269" s="5">
        <v>0</v>
      </c>
      <c r="X1269" s="5">
        <v>0</v>
      </c>
      <c r="Y1269" s="5">
        <v>0</v>
      </c>
      <c r="Z1269" s="37">
        <v>1</v>
      </c>
      <c r="AA1269" s="5">
        <v>0</v>
      </c>
      <c r="AB1269" s="5">
        <v>0</v>
      </c>
      <c r="AC1269" s="5">
        <v>0</v>
      </c>
      <c r="AD1269" s="5">
        <v>1</v>
      </c>
      <c r="AE1269" s="10" t="s">
        <v>50</v>
      </c>
      <c r="AF1269" s="10"/>
      <c r="AG1269" s="10" t="s">
        <v>64</v>
      </c>
      <c r="AH1269" s="10">
        <v>40950</v>
      </c>
      <c r="AI1269" s="5">
        <v>3</v>
      </c>
      <c r="AJ1269" s="10" t="s">
        <v>7068</v>
      </c>
      <c r="AK1269" s="10" t="s">
        <v>50</v>
      </c>
    </row>
    <row r="1270" spans="1:37" ht="36.75" customHeight="1" x14ac:dyDescent="0.35">
      <c r="A1270" s="5"/>
      <c r="B1270" s="5" t="s">
        <v>37</v>
      </c>
      <c r="C1270" s="73" t="str">
        <f t="shared" si="19"/>
        <v>Closed</v>
      </c>
      <c r="D1270" s="45" t="s">
        <v>7069</v>
      </c>
      <c r="E1270" s="54" t="s">
        <v>7070</v>
      </c>
      <c r="F1270" s="5" t="s">
        <v>816</v>
      </c>
      <c r="G1270" s="10">
        <f>DATE(2012,2,1)</f>
        <v>40940</v>
      </c>
      <c r="H1270" s="35">
        <v>1.2395833333333333</v>
      </c>
      <c r="I1270" s="5" t="s">
        <v>55</v>
      </c>
      <c r="J1270" s="10" t="s">
        <v>7071</v>
      </c>
      <c r="K1270" s="5" t="s">
        <v>818</v>
      </c>
      <c r="L1270" s="5" t="s">
        <v>7072</v>
      </c>
      <c r="M1270" s="5" t="s">
        <v>236</v>
      </c>
      <c r="N1270" s="5" t="s">
        <v>123</v>
      </c>
      <c r="O1270" s="5" t="s">
        <v>46</v>
      </c>
      <c r="P1270" s="10" t="s">
        <v>6531</v>
      </c>
      <c r="Q1270" s="10" t="s">
        <v>4190</v>
      </c>
      <c r="R1270" s="10" t="s">
        <v>4190</v>
      </c>
      <c r="S1270" s="5">
        <v>0</v>
      </c>
      <c r="T1270" s="37">
        <v>0</v>
      </c>
      <c r="U1270" s="5">
        <v>0</v>
      </c>
      <c r="V1270" s="37">
        <v>0</v>
      </c>
      <c r="W1270" s="5">
        <v>0</v>
      </c>
      <c r="X1270" s="5">
        <v>0</v>
      </c>
      <c r="Y1270" s="5">
        <v>0</v>
      </c>
      <c r="Z1270" s="37">
        <v>0</v>
      </c>
      <c r="AA1270" s="5">
        <v>0</v>
      </c>
      <c r="AB1270" s="5">
        <v>0</v>
      </c>
      <c r="AC1270" s="5">
        <v>0</v>
      </c>
      <c r="AD1270" s="5">
        <v>0</v>
      </c>
      <c r="AE1270" s="10" t="s">
        <v>73</v>
      </c>
      <c r="AF1270" s="10"/>
      <c r="AG1270" s="10" t="s">
        <v>348</v>
      </c>
      <c r="AH1270" s="10">
        <v>41309</v>
      </c>
      <c r="AI1270" s="5">
        <v>0</v>
      </c>
      <c r="AJ1270" s="10" t="s">
        <v>7073</v>
      </c>
      <c r="AK1270" s="10" t="s">
        <v>50</v>
      </c>
    </row>
    <row r="1271" spans="1:37" ht="36.75" customHeight="1" x14ac:dyDescent="0.35">
      <c r="A1271" s="5"/>
      <c r="B1271" s="5" t="s">
        <v>37</v>
      </c>
      <c r="C1271" s="73" t="str">
        <f t="shared" si="19"/>
        <v>Closed</v>
      </c>
      <c r="D1271" s="45" t="s">
        <v>7074</v>
      </c>
      <c r="E1271" s="54" t="s">
        <v>7075</v>
      </c>
      <c r="F1271" s="5" t="s">
        <v>178</v>
      </c>
      <c r="G1271" s="10">
        <f>DATE(2012,2,2)</f>
        <v>40941</v>
      </c>
      <c r="H1271" s="35">
        <v>1.8812500000000001</v>
      </c>
      <c r="I1271" s="5" t="s">
        <v>137</v>
      </c>
      <c r="J1271" s="10" t="s">
        <v>7076</v>
      </c>
      <c r="K1271" s="5" t="s">
        <v>181</v>
      </c>
      <c r="L1271" s="5" t="s">
        <v>7077</v>
      </c>
      <c r="M1271" s="5" t="s">
        <v>45</v>
      </c>
      <c r="N1271" s="5" t="s">
        <v>123</v>
      </c>
      <c r="O1271" s="5" t="s">
        <v>46</v>
      </c>
      <c r="P1271" s="10" t="s">
        <v>534</v>
      </c>
      <c r="Q1271" s="10" t="s">
        <v>7078</v>
      </c>
      <c r="R1271" s="10" t="s">
        <v>184</v>
      </c>
      <c r="S1271" s="5">
        <v>0</v>
      </c>
      <c r="T1271" s="37">
        <v>0</v>
      </c>
      <c r="U1271" s="5">
        <v>0</v>
      </c>
      <c r="V1271" s="37">
        <v>0</v>
      </c>
      <c r="W1271" s="5">
        <v>0</v>
      </c>
      <c r="X1271" s="5">
        <v>0</v>
      </c>
      <c r="Y1271" s="5">
        <v>0</v>
      </c>
      <c r="Z1271" s="37">
        <v>0</v>
      </c>
      <c r="AA1271" s="5">
        <v>0</v>
      </c>
      <c r="AB1271" s="5">
        <v>0</v>
      </c>
      <c r="AC1271" s="5">
        <v>0</v>
      </c>
      <c r="AD1271" s="5">
        <v>0</v>
      </c>
      <c r="AE1271" s="10" t="s">
        <v>375</v>
      </c>
      <c r="AF1271" s="10"/>
      <c r="AG1271" s="10" t="s">
        <v>64</v>
      </c>
      <c r="AH1271" s="10">
        <v>40942</v>
      </c>
      <c r="AI1271" s="5">
        <v>2</v>
      </c>
      <c r="AJ1271" s="10" t="s">
        <v>7079</v>
      </c>
      <c r="AK1271" s="10" t="s">
        <v>50</v>
      </c>
    </row>
    <row r="1272" spans="1:37" ht="36.75" customHeight="1" x14ac:dyDescent="0.35">
      <c r="A1272" s="5"/>
      <c r="B1272" s="5" t="s">
        <v>37</v>
      </c>
      <c r="C1272" s="73" t="str">
        <f t="shared" si="19"/>
        <v>Closed</v>
      </c>
      <c r="D1272" s="45" t="s">
        <v>7080</v>
      </c>
      <c r="E1272" s="54" t="s">
        <v>7081</v>
      </c>
      <c r="F1272" s="5" t="s">
        <v>96</v>
      </c>
      <c r="G1272" s="10">
        <f>DATE(2012,2,2)</f>
        <v>40941</v>
      </c>
      <c r="H1272" s="35">
        <v>1.0090277777777779</v>
      </c>
      <c r="I1272" s="5" t="s">
        <v>179</v>
      </c>
      <c r="J1272" s="10" t="s">
        <v>7082</v>
      </c>
      <c r="K1272" s="5" t="s">
        <v>99</v>
      </c>
      <c r="L1272" s="5" t="s">
        <v>7083</v>
      </c>
      <c r="M1272" s="5" t="s">
        <v>45</v>
      </c>
      <c r="N1272" s="5" t="s">
        <v>123</v>
      </c>
      <c r="O1272" s="5" t="s">
        <v>46</v>
      </c>
      <c r="P1272" s="10" t="s">
        <v>6154</v>
      </c>
      <c r="Q1272" s="10" t="s">
        <v>7084</v>
      </c>
      <c r="R1272" s="10" t="s">
        <v>102</v>
      </c>
      <c r="S1272" s="5">
        <v>0</v>
      </c>
      <c r="T1272" s="37">
        <v>0</v>
      </c>
      <c r="U1272" s="5">
        <v>0</v>
      </c>
      <c r="V1272" s="37">
        <v>0</v>
      </c>
      <c r="W1272" s="5">
        <v>0</v>
      </c>
      <c r="X1272" s="5">
        <v>0</v>
      </c>
      <c r="Y1272" s="5">
        <v>0</v>
      </c>
      <c r="Z1272" s="37">
        <v>0</v>
      </c>
      <c r="AA1272" s="5">
        <v>0</v>
      </c>
      <c r="AB1272" s="5">
        <v>0</v>
      </c>
      <c r="AC1272" s="5">
        <v>0</v>
      </c>
      <c r="AD1272" s="5">
        <v>0</v>
      </c>
      <c r="AE1272" s="10" t="s">
        <v>375</v>
      </c>
      <c r="AF1272" s="10"/>
      <c r="AG1272" s="10" t="s">
        <v>64</v>
      </c>
      <c r="AH1272" s="10">
        <v>40942</v>
      </c>
      <c r="AI1272" s="5">
        <v>1</v>
      </c>
      <c r="AJ1272" s="10" t="s">
        <v>7085</v>
      </c>
      <c r="AK1272" s="10" t="s">
        <v>7086</v>
      </c>
    </row>
    <row r="1273" spans="1:37" ht="36.75" customHeight="1" x14ac:dyDescent="0.35">
      <c r="A1273" s="5"/>
      <c r="B1273" s="5" t="s">
        <v>37</v>
      </c>
      <c r="C1273" s="73" t="str">
        <f t="shared" si="19"/>
        <v>Closed</v>
      </c>
      <c r="D1273" s="45" t="s">
        <v>7087</v>
      </c>
      <c r="E1273" s="54" t="s">
        <v>7088</v>
      </c>
      <c r="F1273" s="5" t="s">
        <v>178</v>
      </c>
      <c r="G1273" s="10">
        <f>DATE(2012,2,3)</f>
        <v>40942</v>
      </c>
      <c r="H1273" s="35">
        <v>1.5659722222222223</v>
      </c>
      <c r="I1273" s="5" t="s">
        <v>97</v>
      </c>
      <c r="J1273" s="10" t="s">
        <v>7089</v>
      </c>
      <c r="K1273" s="5" t="s">
        <v>181</v>
      </c>
      <c r="L1273" s="5" t="s">
        <v>7090</v>
      </c>
      <c r="M1273" s="5" t="s">
        <v>45</v>
      </c>
      <c r="N1273" s="5" t="s">
        <v>80</v>
      </c>
      <c r="O1273" s="5" t="s">
        <v>46</v>
      </c>
      <c r="P1273" s="10" t="s">
        <v>60</v>
      </c>
      <c r="Q1273" s="10" t="s">
        <v>3124</v>
      </c>
      <c r="R1273" s="10" t="s">
        <v>184</v>
      </c>
      <c r="S1273" s="5">
        <v>0</v>
      </c>
      <c r="T1273" s="37">
        <v>0</v>
      </c>
      <c r="U1273" s="5">
        <v>1</v>
      </c>
      <c r="V1273" s="37">
        <v>0</v>
      </c>
      <c r="W1273" s="5">
        <v>0</v>
      </c>
      <c r="X1273" s="5">
        <v>1</v>
      </c>
      <c r="Y1273" s="5">
        <v>0</v>
      </c>
      <c r="Z1273" s="37">
        <v>0</v>
      </c>
      <c r="AA1273" s="5">
        <v>0</v>
      </c>
      <c r="AB1273" s="5">
        <v>0</v>
      </c>
      <c r="AC1273" s="5">
        <v>0</v>
      </c>
      <c r="AD1273" s="5">
        <v>0</v>
      </c>
      <c r="AE1273" s="10" t="s">
        <v>73</v>
      </c>
      <c r="AF1273" s="10"/>
      <c r="AG1273" s="10" t="s">
        <v>64</v>
      </c>
      <c r="AH1273" s="10">
        <v>40942</v>
      </c>
      <c r="AI1273" s="5">
        <v>1</v>
      </c>
      <c r="AJ1273" s="10" t="s">
        <v>7091</v>
      </c>
      <c r="AK1273" s="10" t="s">
        <v>1215</v>
      </c>
    </row>
    <row r="1274" spans="1:37" ht="36.75" customHeight="1" x14ac:dyDescent="0.35">
      <c r="A1274" s="5"/>
      <c r="B1274" s="5" t="s">
        <v>37</v>
      </c>
      <c r="C1274" s="73" t="str">
        <f t="shared" si="19"/>
        <v>Closed</v>
      </c>
      <c r="D1274" s="45" t="s">
        <v>7092</v>
      </c>
      <c r="E1274" s="54" t="s">
        <v>7093</v>
      </c>
      <c r="F1274" s="5" t="s">
        <v>214</v>
      </c>
      <c r="G1274" s="10">
        <f>DATE(2012,2,3)</f>
        <v>40942</v>
      </c>
      <c r="H1274" s="35">
        <v>1.1027777777777779</v>
      </c>
      <c r="I1274" s="5" t="s">
        <v>55</v>
      </c>
      <c r="J1274" s="10" t="s">
        <v>7094</v>
      </c>
      <c r="K1274" s="5" t="s">
        <v>216</v>
      </c>
      <c r="L1274" s="5" t="s">
        <v>7095</v>
      </c>
      <c r="M1274" s="5" t="s">
        <v>45</v>
      </c>
      <c r="N1274" s="5" t="s">
        <v>70</v>
      </c>
      <c r="O1274" s="5" t="s">
        <v>46</v>
      </c>
      <c r="P1274" s="10" t="s">
        <v>362</v>
      </c>
      <c r="Q1274" s="10" t="s">
        <v>7096</v>
      </c>
      <c r="R1274" s="10" t="s">
        <v>219</v>
      </c>
      <c r="S1274" s="5">
        <v>0</v>
      </c>
      <c r="T1274" s="37">
        <v>0</v>
      </c>
      <c r="U1274" s="5">
        <v>0</v>
      </c>
      <c r="V1274" s="37">
        <v>0</v>
      </c>
      <c r="W1274" s="5">
        <v>0</v>
      </c>
      <c r="X1274" s="5">
        <v>0</v>
      </c>
      <c r="Y1274" s="5">
        <v>0</v>
      </c>
      <c r="Z1274" s="37">
        <v>0</v>
      </c>
      <c r="AA1274" s="5">
        <v>0</v>
      </c>
      <c r="AB1274" s="5">
        <v>0</v>
      </c>
      <c r="AC1274" s="5">
        <v>0</v>
      </c>
      <c r="AD1274" s="5">
        <v>0</v>
      </c>
      <c r="AE1274" s="10" t="s">
        <v>50</v>
      </c>
      <c r="AF1274" s="10"/>
      <c r="AG1274" s="10" t="s">
        <v>114</v>
      </c>
      <c r="AH1274" s="10" t="s">
        <v>50</v>
      </c>
      <c r="AI1274" s="5">
        <v>3</v>
      </c>
      <c r="AJ1274" s="10" t="s">
        <v>7097</v>
      </c>
      <c r="AK1274" s="10" t="s">
        <v>7098</v>
      </c>
    </row>
    <row r="1275" spans="1:37" ht="36.75" customHeight="1" x14ac:dyDescent="0.35">
      <c r="A1275" s="5"/>
      <c r="B1275" s="5" t="s">
        <v>37</v>
      </c>
      <c r="C1275" s="73" t="str">
        <f t="shared" si="19"/>
        <v>Closed</v>
      </c>
      <c r="D1275" s="45" t="s">
        <v>7099</v>
      </c>
      <c r="E1275" s="54" t="s">
        <v>7100</v>
      </c>
      <c r="F1275" s="5" t="s">
        <v>619</v>
      </c>
      <c r="G1275" s="10">
        <f>DATE(2012,2,9)</f>
        <v>40948</v>
      </c>
      <c r="H1275" s="35">
        <v>1.4048611111111111</v>
      </c>
      <c r="I1275" s="5" t="s">
        <v>137</v>
      </c>
      <c r="J1275" s="10" t="s">
        <v>7101</v>
      </c>
      <c r="K1275" s="5" t="s">
        <v>621</v>
      </c>
      <c r="L1275" s="5" t="s">
        <v>7102</v>
      </c>
      <c r="M1275" s="5" t="s">
        <v>45</v>
      </c>
      <c r="N1275" s="5" t="s">
        <v>123</v>
      </c>
      <c r="O1275" s="5" t="s">
        <v>59</v>
      </c>
      <c r="P1275" s="10" t="s">
        <v>6881</v>
      </c>
      <c r="Q1275" s="10" t="s">
        <v>623</v>
      </c>
      <c r="R1275" s="10" t="s">
        <v>624</v>
      </c>
      <c r="S1275" s="5">
        <v>0</v>
      </c>
      <c r="T1275" s="37">
        <v>0</v>
      </c>
      <c r="U1275" s="5">
        <v>0</v>
      </c>
      <c r="V1275" s="37">
        <v>0</v>
      </c>
      <c r="W1275" s="5">
        <v>0</v>
      </c>
      <c r="X1275" s="5">
        <v>0</v>
      </c>
      <c r="Y1275" s="5">
        <v>0</v>
      </c>
      <c r="Z1275" s="37">
        <v>1</v>
      </c>
      <c r="AA1275" s="5">
        <v>0</v>
      </c>
      <c r="AB1275" s="5">
        <v>0</v>
      </c>
      <c r="AC1275" s="5">
        <v>0</v>
      </c>
      <c r="AD1275" s="5">
        <v>1</v>
      </c>
      <c r="AE1275" s="10" t="s">
        <v>50</v>
      </c>
      <c r="AF1275" s="10"/>
      <c r="AG1275" s="10" t="s">
        <v>333</v>
      </c>
      <c r="AH1275" s="10">
        <v>40967</v>
      </c>
      <c r="AI1275" s="5">
        <v>2</v>
      </c>
      <c r="AJ1275" s="10" t="s">
        <v>7103</v>
      </c>
      <c r="AK1275" s="10" t="s">
        <v>50</v>
      </c>
    </row>
    <row r="1276" spans="1:37" ht="36.75" customHeight="1" x14ac:dyDescent="0.35">
      <c r="A1276" s="5"/>
      <c r="B1276" s="5" t="s">
        <v>37</v>
      </c>
      <c r="C1276" s="73" t="str">
        <f t="shared" si="19"/>
        <v>Closed</v>
      </c>
      <c r="D1276" s="45" t="s">
        <v>7104</v>
      </c>
      <c r="E1276" s="54" t="s">
        <v>7105</v>
      </c>
      <c r="F1276" s="5" t="s">
        <v>816</v>
      </c>
      <c r="G1276" s="10">
        <f>DATE(2012,2,9)</f>
        <v>40948</v>
      </c>
      <c r="H1276" s="35">
        <v>1.7229166666666669</v>
      </c>
      <c r="I1276" s="5" t="s">
        <v>85</v>
      </c>
      <c r="J1276" s="10" t="s">
        <v>7106</v>
      </c>
      <c r="K1276" s="5" t="s">
        <v>818</v>
      </c>
      <c r="L1276" s="5" t="s">
        <v>7107</v>
      </c>
      <c r="M1276" s="5" t="s">
        <v>45</v>
      </c>
      <c r="N1276" s="5" t="s">
        <v>123</v>
      </c>
      <c r="O1276" s="5" t="s">
        <v>59</v>
      </c>
      <c r="P1276" s="10" t="s">
        <v>1893</v>
      </c>
      <c r="Q1276" s="10" t="s">
        <v>7108</v>
      </c>
      <c r="R1276" s="10" t="s">
        <v>821</v>
      </c>
      <c r="S1276" s="5">
        <v>0</v>
      </c>
      <c r="T1276" s="37">
        <v>0</v>
      </c>
      <c r="U1276" s="5">
        <v>0</v>
      </c>
      <c r="V1276" s="37">
        <v>0</v>
      </c>
      <c r="W1276" s="5">
        <v>0</v>
      </c>
      <c r="X1276" s="5">
        <v>0</v>
      </c>
      <c r="Y1276" s="5">
        <v>0</v>
      </c>
      <c r="Z1276" s="37">
        <v>0</v>
      </c>
      <c r="AA1276" s="5">
        <v>0</v>
      </c>
      <c r="AB1276" s="5">
        <v>0</v>
      </c>
      <c r="AC1276" s="5">
        <v>0</v>
      </c>
      <c r="AD1276" s="5">
        <v>0</v>
      </c>
      <c r="AE1276" s="10" t="s">
        <v>73</v>
      </c>
      <c r="AF1276" s="10"/>
      <c r="AG1276" s="10" t="s">
        <v>333</v>
      </c>
      <c r="AH1276" s="10">
        <v>40949</v>
      </c>
      <c r="AI1276" s="5">
        <v>1</v>
      </c>
      <c r="AJ1276" s="10" t="s">
        <v>7109</v>
      </c>
      <c r="AK1276" s="10" t="s">
        <v>7110</v>
      </c>
    </row>
    <row r="1277" spans="1:37" ht="36.75" customHeight="1" x14ac:dyDescent="0.35">
      <c r="A1277" s="5"/>
      <c r="B1277" s="5" t="s">
        <v>37</v>
      </c>
      <c r="C1277" s="73" t="str">
        <f t="shared" si="19"/>
        <v>Closed</v>
      </c>
      <c r="D1277" s="45" t="s">
        <v>7111</v>
      </c>
      <c r="E1277" s="54" t="s">
        <v>7112</v>
      </c>
      <c r="F1277" s="5" t="s">
        <v>119</v>
      </c>
      <c r="G1277" s="10">
        <f>DATE(2012,2,9)</f>
        <v>40948</v>
      </c>
      <c r="H1277" s="35">
        <v>1.2895833333333333</v>
      </c>
      <c r="I1277" s="5" t="s">
        <v>97</v>
      </c>
      <c r="J1277" s="10" t="s">
        <v>7113</v>
      </c>
      <c r="K1277" s="5" t="s">
        <v>121</v>
      </c>
      <c r="L1277" s="5" t="s">
        <v>7114</v>
      </c>
      <c r="M1277" s="5" t="s">
        <v>45</v>
      </c>
      <c r="N1277" s="5" t="s">
        <v>80</v>
      </c>
      <c r="O1277" s="5" t="s">
        <v>46</v>
      </c>
      <c r="P1277" s="10" t="s">
        <v>146</v>
      </c>
      <c r="Q1277" s="10" t="s">
        <v>2062</v>
      </c>
      <c r="R1277" s="10" t="s">
        <v>166</v>
      </c>
      <c r="S1277" s="5">
        <v>0</v>
      </c>
      <c r="T1277" s="37">
        <v>0</v>
      </c>
      <c r="U1277" s="5">
        <v>0</v>
      </c>
      <c r="V1277" s="37">
        <v>0</v>
      </c>
      <c r="W1277" s="5">
        <v>0</v>
      </c>
      <c r="X1277" s="5">
        <v>0</v>
      </c>
      <c r="Y1277" s="5">
        <v>0</v>
      </c>
      <c r="Z1277" s="37">
        <v>1</v>
      </c>
      <c r="AA1277" s="5">
        <v>0</v>
      </c>
      <c r="AB1277" s="5">
        <v>0</v>
      </c>
      <c r="AC1277" s="5">
        <v>0</v>
      </c>
      <c r="AD1277" s="5">
        <v>1</v>
      </c>
      <c r="AE1277" s="10" t="s">
        <v>126</v>
      </c>
      <c r="AF1277" s="10"/>
      <c r="AG1277" s="10" t="s">
        <v>114</v>
      </c>
      <c r="AH1277" s="10">
        <v>40948</v>
      </c>
      <c r="AI1277" s="5">
        <v>2</v>
      </c>
      <c r="AJ1277" s="10" t="s">
        <v>7115</v>
      </c>
      <c r="AK1277" s="10" t="s">
        <v>7116</v>
      </c>
    </row>
    <row r="1278" spans="1:37" ht="36.75" customHeight="1" x14ac:dyDescent="0.35">
      <c r="A1278" s="5"/>
      <c r="B1278" s="5" t="s">
        <v>37</v>
      </c>
      <c r="C1278" s="73" t="str">
        <f t="shared" si="19"/>
        <v>Closed</v>
      </c>
      <c r="D1278" s="45" t="s">
        <v>7117</v>
      </c>
      <c r="E1278" s="54" t="s">
        <v>7118</v>
      </c>
      <c r="F1278" s="5" t="s">
        <v>432</v>
      </c>
      <c r="G1278" s="10">
        <f>DATE(2012,2,13)</f>
        <v>40952</v>
      </c>
      <c r="H1278" s="35">
        <v>1.5076388888888888</v>
      </c>
      <c r="I1278" s="5" t="s">
        <v>97</v>
      </c>
      <c r="J1278" s="10" t="s">
        <v>7119</v>
      </c>
      <c r="K1278" s="5" t="s">
        <v>434</v>
      </c>
      <c r="L1278" s="5" t="s">
        <v>7120</v>
      </c>
      <c r="M1278" s="5" t="s">
        <v>45</v>
      </c>
      <c r="N1278" s="5" t="s">
        <v>80</v>
      </c>
      <c r="O1278" s="5" t="s">
        <v>59</v>
      </c>
      <c r="P1278" s="10" t="s">
        <v>146</v>
      </c>
      <c r="Q1278" s="10" t="s">
        <v>552</v>
      </c>
      <c r="R1278" s="10" t="s">
        <v>553</v>
      </c>
      <c r="S1278" s="5">
        <v>0</v>
      </c>
      <c r="T1278" s="37">
        <v>0</v>
      </c>
      <c r="U1278" s="5">
        <v>1</v>
      </c>
      <c r="V1278" s="37">
        <v>0</v>
      </c>
      <c r="W1278" s="5">
        <v>0</v>
      </c>
      <c r="X1278" s="5">
        <v>1</v>
      </c>
      <c r="Y1278" s="5">
        <v>0</v>
      </c>
      <c r="Z1278" s="37">
        <v>0</v>
      </c>
      <c r="AA1278" s="5">
        <v>0</v>
      </c>
      <c r="AB1278" s="5">
        <v>0</v>
      </c>
      <c r="AC1278" s="5">
        <v>0</v>
      </c>
      <c r="AD1278" s="5">
        <v>0</v>
      </c>
      <c r="AE1278" s="10" t="s">
        <v>73</v>
      </c>
      <c r="AF1278" s="10"/>
      <c r="AG1278" s="10" t="s">
        <v>64</v>
      </c>
      <c r="AH1278" s="10">
        <v>40952</v>
      </c>
      <c r="AI1278" s="5">
        <v>2</v>
      </c>
      <c r="AJ1278" s="10" t="s">
        <v>7121</v>
      </c>
      <c r="AK1278" s="10" t="s">
        <v>7122</v>
      </c>
    </row>
    <row r="1279" spans="1:37" ht="36.75" customHeight="1" x14ac:dyDescent="0.35">
      <c r="A1279" s="5"/>
      <c r="B1279" s="5" t="s">
        <v>37</v>
      </c>
      <c r="C1279" s="73" t="str">
        <f t="shared" si="19"/>
        <v>Closed</v>
      </c>
      <c r="D1279" s="45" t="s">
        <v>7123</v>
      </c>
      <c r="E1279" s="54" t="s">
        <v>7124</v>
      </c>
      <c r="F1279" s="5" t="s">
        <v>105</v>
      </c>
      <c r="G1279" s="10">
        <f>DATE(2012,2,14)</f>
        <v>40953</v>
      </c>
      <c r="H1279" s="35">
        <v>1.5833333333333335</v>
      </c>
      <c r="I1279" s="5" t="s">
        <v>179</v>
      </c>
      <c r="J1279" s="10" t="s">
        <v>7125</v>
      </c>
      <c r="K1279" s="5" t="s">
        <v>108</v>
      </c>
      <c r="L1279" s="5" t="s">
        <v>7126</v>
      </c>
      <c r="M1279" s="5" t="s">
        <v>45</v>
      </c>
      <c r="N1279" s="5" t="s">
        <v>80</v>
      </c>
      <c r="O1279" s="5" t="s">
        <v>59</v>
      </c>
      <c r="P1279" s="10" t="s">
        <v>2911</v>
      </c>
      <c r="Q1279" s="10" t="s">
        <v>7127</v>
      </c>
      <c r="R1279" s="10" t="s">
        <v>148</v>
      </c>
      <c r="S1279" s="5">
        <v>0</v>
      </c>
      <c r="T1279" s="37">
        <v>0</v>
      </c>
      <c r="U1279" s="5">
        <v>0</v>
      </c>
      <c r="V1279" s="37">
        <v>0</v>
      </c>
      <c r="W1279" s="5">
        <v>0</v>
      </c>
      <c r="X1279" s="5">
        <v>0</v>
      </c>
      <c r="Y1279" s="5">
        <v>0</v>
      </c>
      <c r="Z1279" s="37">
        <v>0</v>
      </c>
      <c r="AA1279" s="5">
        <v>0</v>
      </c>
      <c r="AB1279" s="5">
        <v>0</v>
      </c>
      <c r="AC1279" s="5">
        <v>0</v>
      </c>
      <c r="AD1279" s="5">
        <v>0</v>
      </c>
      <c r="AE1279" s="10" t="s">
        <v>73</v>
      </c>
      <c r="AF1279" s="10"/>
      <c r="AG1279" s="10" t="s">
        <v>855</v>
      </c>
      <c r="AH1279" s="10">
        <v>40954</v>
      </c>
      <c r="AI1279" s="5">
        <v>1</v>
      </c>
      <c r="AJ1279" s="10" t="s">
        <v>7128</v>
      </c>
      <c r="AK1279" s="10" t="s">
        <v>50</v>
      </c>
    </row>
    <row r="1280" spans="1:37" ht="36.75" customHeight="1" x14ac:dyDescent="0.35">
      <c r="A1280" s="5"/>
      <c r="B1280" s="5" t="s">
        <v>37</v>
      </c>
      <c r="C1280" s="73" t="str">
        <f t="shared" si="19"/>
        <v>Closed</v>
      </c>
      <c r="D1280" s="45" t="s">
        <v>7129</v>
      </c>
      <c r="E1280" s="54" t="s">
        <v>7130</v>
      </c>
      <c r="F1280" s="5" t="s">
        <v>105</v>
      </c>
      <c r="G1280" s="10">
        <f>DATE(2012,2,15)</f>
        <v>40954</v>
      </c>
      <c r="H1280" s="35">
        <v>1.4375</v>
      </c>
      <c r="I1280" s="5" t="s">
        <v>55</v>
      </c>
      <c r="J1280" s="10" t="s">
        <v>7131</v>
      </c>
      <c r="K1280" s="5" t="s">
        <v>108</v>
      </c>
      <c r="L1280" s="5" t="s">
        <v>7132</v>
      </c>
      <c r="M1280" s="5" t="s">
        <v>45</v>
      </c>
      <c r="N1280" s="5" t="s">
        <v>80</v>
      </c>
      <c r="O1280" s="5" t="s">
        <v>46</v>
      </c>
      <c r="P1280" s="10" t="s">
        <v>67</v>
      </c>
      <c r="Q1280" s="10" t="s">
        <v>210</v>
      </c>
      <c r="R1280" s="10" t="s">
        <v>148</v>
      </c>
      <c r="S1280" s="5">
        <v>0</v>
      </c>
      <c r="T1280" s="37">
        <v>0</v>
      </c>
      <c r="U1280" s="5">
        <v>0</v>
      </c>
      <c r="V1280" s="37">
        <v>0</v>
      </c>
      <c r="W1280" s="5">
        <v>0</v>
      </c>
      <c r="X1280" s="5">
        <v>0</v>
      </c>
      <c r="Y1280" s="5">
        <v>2</v>
      </c>
      <c r="Z1280" s="37">
        <v>3</v>
      </c>
      <c r="AA1280" s="5">
        <v>0</v>
      </c>
      <c r="AB1280" s="5">
        <v>0</v>
      </c>
      <c r="AC1280" s="5">
        <v>0</v>
      </c>
      <c r="AD1280" s="5">
        <v>5</v>
      </c>
      <c r="AE1280" s="10" t="s">
        <v>50</v>
      </c>
      <c r="AF1280" s="10"/>
      <c r="AG1280" s="10" t="s">
        <v>64</v>
      </c>
      <c r="AH1280" s="10">
        <v>40954</v>
      </c>
      <c r="AI1280" s="5">
        <v>1</v>
      </c>
      <c r="AJ1280" s="10" t="s">
        <v>7133</v>
      </c>
      <c r="AK1280" s="10" t="s">
        <v>50</v>
      </c>
    </row>
    <row r="1281" spans="1:37" ht="36.75" customHeight="1" x14ac:dyDescent="0.35">
      <c r="A1281" s="5"/>
      <c r="B1281" s="5" t="s">
        <v>37</v>
      </c>
      <c r="C1281" s="73" t="str">
        <f t="shared" si="19"/>
        <v>Closed</v>
      </c>
      <c r="D1281" s="45" t="s">
        <v>7134</v>
      </c>
      <c r="E1281" s="54" t="s">
        <v>7135</v>
      </c>
      <c r="F1281" s="5" t="s">
        <v>404</v>
      </c>
      <c r="G1281" s="10">
        <f>DATE(2012,2,16)</f>
        <v>40955</v>
      </c>
      <c r="H1281" s="35">
        <v>1.7173611111111109</v>
      </c>
      <c r="I1281" s="5" t="s">
        <v>85</v>
      </c>
      <c r="J1281" s="10" t="s">
        <v>7136</v>
      </c>
      <c r="K1281" s="5" t="s">
        <v>406</v>
      </c>
      <c r="L1281" s="5" t="s">
        <v>7137</v>
      </c>
      <c r="M1281" s="5" t="s">
        <v>45</v>
      </c>
      <c r="N1281" s="5" t="s">
        <v>80</v>
      </c>
      <c r="O1281" s="5" t="s">
        <v>46</v>
      </c>
      <c r="P1281" s="10" t="s">
        <v>146</v>
      </c>
      <c r="Q1281" s="10" t="s">
        <v>408</v>
      </c>
      <c r="R1281" s="10" t="s">
        <v>3083</v>
      </c>
      <c r="S1281" s="5">
        <v>0</v>
      </c>
      <c r="T1281" s="37">
        <v>0</v>
      </c>
      <c r="U1281" s="5">
        <v>0</v>
      </c>
      <c r="V1281" s="37">
        <v>0</v>
      </c>
      <c r="W1281" s="5">
        <v>0</v>
      </c>
      <c r="X1281" s="5">
        <v>0</v>
      </c>
      <c r="Y1281" s="5">
        <v>0</v>
      </c>
      <c r="Z1281" s="37">
        <v>0</v>
      </c>
      <c r="AA1281" s="5">
        <v>0</v>
      </c>
      <c r="AB1281" s="5">
        <v>0</v>
      </c>
      <c r="AC1281" s="5">
        <v>0</v>
      </c>
      <c r="AD1281" s="5">
        <v>0</v>
      </c>
      <c r="AE1281" s="10" t="s">
        <v>73</v>
      </c>
      <c r="AF1281" s="10"/>
      <c r="AG1281" s="10" t="s">
        <v>855</v>
      </c>
      <c r="AH1281" s="10">
        <v>41023</v>
      </c>
      <c r="AI1281" s="5">
        <v>6</v>
      </c>
      <c r="AJ1281" s="10" t="s">
        <v>7138</v>
      </c>
      <c r="AK1281" s="10" t="s">
        <v>7139</v>
      </c>
    </row>
    <row r="1282" spans="1:37" ht="36.75" customHeight="1" x14ac:dyDescent="0.35">
      <c r="A1282" s="5"/>
      <c r="B1282" s="5" t="s">
        <v>37</v>
      </c>
      <c r="C1282" s="73" t="str">
        <f t="shared" ref="C1282:C1345" si="20">IF(B1282="Notification","Open",IF(B1282="Interim Statement","In progress","Closed"))</f>
        <v>Closed</v>
      </c>
      <c r="D1282" s="45" t="s">
        <v>7140</v>
      </c>
      <c r="E1282" s="54" t="s">
        <v>7141</v>
      </c>
      <c r="F1282" s="5" t="s">
        <v>214</v>
      </c>
      <c r="G1282" s="10">
        <f>DATE(2012,2,17)</f>
        <v>40956</v>
      </c>
      <c r="H1282" s="35">
        <v>1.2673611111111112</v>
      </c>
      <c r="I1282" s="5" t="s">
        <v>55</v>
      </c>
      <c r="J1282" s="10" t="s">
        <v>7142</v>
      </c>
      <c r="K1282" s="5" t="s">
        <v>216</v>
      </c>
      <c r="L1282" s="5" t="s">
        <v>7143</v>
      </c>
      <c r="M1282" s="5" t="s">
        <v>236</v>
      </c>
      <c r="N1282" s="5" t="s">
        <v>123</v>
      </c>
      <c r="O1282" s="5" t="s">
        <v>46</v>
      </c>
      <c r="P1282" s="10" t="s">
        <v>6531</v>
      </c>
      <c r="Q1282" s="10" t="s">
        <v>1874</v>
      </c>
      <c r="R1282" s="10" t="s">
        <v>219</v>
      </c>
      <c r="S1282" s="5">
        <v>0</v>
      </c>
      <c r="T1282" s="37">
        <v>0</v>
      </c>
      <c r="U1282" s="5">
        <v>0</v>
      </c>
      <c r="V1282" s="37">
        <v>0</v>
      </c>
      <c r="W1282" s="5">
        <v>0</v>
      </c>
      <c r="X1282" s="5">
        <v>0</v>
      </c>
      <c r="Y1282" s="5">
        <v>0</v>
      </c>
      <c r="Z1282" s="37">
        <v>0</v>
      </c>
      <c r="AA1282" s="5">
        <v>0</v>
      </c>
      <c r="AB1282" s="5">
        <v>0</v>
      </c>
      <c r="AC1282" s="5">
        <v>0</v>
      </c>
      <c r="AD1282" s="5">
        <v>0</v>
      </c>
      <c r="AE1282" s="10" t="s">
        <v>50</v>
      </c>
      <c r="AF1282" s="10"/>
      <c r="AG1282" s="10" t="s">
        <v>114</v>
      </c>
      <c r="AH1282" s="10" t="s">
        <v>50</v>
      </c>
      <c r="AI1282" s="5">
        <v>3</v>
      </c>
      <c r="AJ1282" s="10" t="s">
        <v>7144</v>
      </c>
      <c r="AK1282" s="10" t="s">
        <v>7145</v>
      </c>
    </row>
    <row r="1283" spans="1:37" ht="36.75" customHeight="1" x14ac:dyDescent="0.35">
      <c r="A1283" s="5"/>
      <c r="B1283" s="5" t="s">
        <v>37</v>
      </c>
      <c r="C1283" s="73" t="str">
        <f t="shared" si="20"/>
        <v>Closed</v>
      </c>
      <c r="D1283" s="45" t="s">
        <v>7146</v>
      </c>
      <c r="E1283" s="54" t="s">
        <v>7147</v>
      </c>
      <c r="F1283" s="5" t="s">
        <v>1919</v>
      </c>
      <c r="G1283" s="10">
        <f>DATE(2012,2,18)</f>
        <v>40957</v>
      </c>
      <c r="H1283" s="35">
        <v>0</v>
      </c>
      <c r="I1283" s="5" t="s">
        <v>2059</v>
      </c>
      <c r="J1283" s="10" t="s">
        <v>7148</v>
      </c>
      <c r="K1283" s="5" t="s">
        <v>1921</v>
      </c>
      <c r="L1283" s="5" t="s">
        <v>7149</v>
      </c>
      <c r="M1283" s="5" t="s">
        <v>45</v>
      </c>
      <c r="N1283" s="5" t="s">
        <v>123</v>
      </c>
      <c r="O1283" s="5" t="s">
        <v>46</v>
      </c>
      <c r="P1283" s="10" t="s">
        <v>47</v>
      </c>
      <c r="Q1283" s="10" t="s">
        <v>1923</v>
      </c>
      <c r="R1283" s="10" t="s">
        <v>1923</v>
      </c>
      <c r="S1283" s="5">
        <v>0</v>
      </c>
      <c r="T1283" s="37">
        <v>0</v>
      </c>
      <c r="U1283" s="5">
        <v>0</v>
      </c>
      <c r="V1283" s="37">
        <v>0</v>
      </c>
      <c r="W1283" s="5">
        <v>0</v>
      </c>
      <c r="X1283" s="5">
        <v>0</v>
      </c>
      <c r="Y1283" s="5">
        <v>0</v>
      </c>
      <c r="Z1283" s="37">
        <v>0</v>
      </c>
      <c r="AA1283" s="5">
        <v>0</v>
      </c>
      <c r="AB1283" s="5">
        <v>0</v>
      </c>
      <c r="AC1283" s="5">
        <v>0</v>
      </c>
      <c r="AD1283" s="5">
        <v>0</v>
      </c>
      <c r="AE1283" s="10" t="s">
        <v>73</v>
      </c>
      <c r="AF1283" s="10"/>
      <c r="AG1283" s="10" t="s">
        <v>333</v>
      </c>
      <c r="AH1283" s="10">
        <v>40962</v>
      </c>
      <c r="AI1283" s="5">
        <v>6</v>
      </c>
      <c r="AJ1283" s="10" t="s">
        <v>7150</v>
      </c>
      <c r="AK1283" s="10" t="s">
        <v>7151</v>
      </c>
    </row>
    <row r="1284" spans="1:37" ht="36.75" customHeight="1" x14ac:dyDescent="0.35">
      <c r="A1284" s="5"/>
      <c r="B1284" s="5" t="s">
        <v>37</v>
      </c>
      <c r="C1284" s="73" t="str">
        <f t="shared" si="20"/>
        <v>Closed</v>
      </c>
      <c r="D1284" s="45" t="s">
        <v>7152</v>
      </c>
      <c r="E1284" s="54" t="s">
        <v>7153</v>
      </c>
      <c r="F1284" s="5" t="s">
        <v>816</v>
      </c>
      <c r="G1284" s="10">
        <f>DATE(2012,2,19)</f>
        <v>40958</v>
      </c>
      <c r="H1284" s="35">
        <v>1.4145833333333333</v>
      </c>
      <c r="I1284" s="5" t="s">
        <v>67</v>
      </c>
      <c r="J1284" s="10" t="s">
        <v>7154</v>
      </c>
      <c r="K1284" s="5" t="s">
        <v>818</v>
      </c>
      <c r="L1284" s="5" t="s">
        <v>7155</v>
      </c>
      <c r="M1284" s="5" t="s">
        <v>45</v>
      </c>
      <c r="N1284" s="5" t="s">
        <v>80</v>
      </c>
      <c r="O1284" s="5" t="s">
        <v>59</v>
      </c>
      <c r="P1284" s="10" t="s">
        <v>72</v>
      </c>
      <c r="Q1284" s="10" t="s">
        <v>4291</v>
      </c>
      <c r="R1284" s="10" t="s">
        <v>2777</v>
      </c>
      <c r="S1284" s="5">
        <v>0</v>
      </c>
      <c r="T1284" s="37">
        <v>0</v>
      </c>
      <c r="U1284" s="5">
        <v>0</v>
      </c>
      <c r="V1284" s="37">
        <v>0</v>
      </c>
      <c r="W1284" s="5">
        <v>0</v>
      </c>
      <c r="X1284" s="5">
        <v>0</v>
      </c>
      <c r="Y1284" s="5">
        <v>0</v>
      </c>
      <c r="Z1284" s="37">
        <v>0</v>
      </c>
      <c r="AA1284" s="5">
        <v>0</v>
      </c>
      <c r="AB1284" s="5">
        <v>0</v>
      </c>
      <c r="AC1284" s="5">
        <v>0</v>
      </c>
      <c r="AD1284" s="5">
        <v>0</v>
      </c>
      <c r="AE1284" s="10" t="s">
        <v>73</v>
      </c>
      <c r="AF1284" s="10"/>
      <c r="AG1284" s="10" t="s">
        <v>333</v>
      </c>
      <c r="AH1284" s="10">
        <v>40958</v>
      </c>
      <c r="AI1284" s="5">
        <v>1</v>
      </c>
      <c r="AJ1284" s="10" t="s">
        <v>7156</v>
      </c>
      <c r="AK1284" s="10" t="s">
        <v>50</v>
      </c>
    </row>
    <row r="1285" spans="1:37" ht="36.75" customHeight="1" x14ac:dyDescent="0.35">
      <c r="A1285" s="5"/>
      <c r="B1285" s="5" t="s">
        <v>37</v>
      </c>
      <c r="C1285" s="73" t="str">
        <f t="shared" si="20"/>
        <v>Closed</v>
      </c>
      <c r="D1285" s="45" t="s">
        <v>7157</v>
      </c>
      <c r="E1285" s="54" t="s">
        <v>7158</v>
      </c>
      <c r="F1285" s="5" t="s">
        <v>605</v>
      </c>
      <c r="G1285" s="10">
        <f>DATE(2012,2,20)</f>
        <v>40959</v>
      </c>
      <c r="H1285" s="35">
        <v>1.879861111111111</v>
      </c>
      <c r="I1285" s="5" t="s">
        <v>259</v>
      </c>
      <c r="J1285" s="10" t="s">
        <v>6885</v>
      </c>
      <c r="K1285" s="5" t="s">
        <v>607</v>
      </c>
      <c r="L1285" s="5" t="s">
        <v>7159</v>
      </c>
      <c r="M1285" s="5" t="s">
        <v>45</v>
      </c>
      <c r="N1285" s="5">
        <v>0</v>
      </c>
      <c r="O1285" s="5" t="s">
        <v>59</v>
      </c>
      <c r="P1285" s="10" t="s">
        <v>146</v>
      </c>
      <c r="Q1285" s="10" t="s">
        <v>7160</v>
      </c>
      <c r="R1285" s="10" t="s">
        <v>610</v>
      </c>
      <c r="S1285" s="5">
        <v>1</v>
      </c>
      <c r="T1285" s="37">
        <v>0</v>
      </c>
      <c r="U1285" s="5">
        <v>0</v>
      </c>
      <c r="V1285" s="37">
        <v>0</v>
      </c>
      <c r="W1285" s="5">
        <v>0</v>
      </c>
      <c r="X1285" s="5">
        <v>1</v>
      </c>
      <c r="Y1285" s="5">
        <v>0</v>
      </c>
      <c r="Z1285" s="37">
        <v>0</v>
      </c>
      <c r="AA1285" s="5">
        <v>0</v>
      </c>
      <c r="AB1285" s="5">
        <v>0</v>
      </c>
      <c r="AC1285" s="5">
        <v>0</v>
      </c>
      <c r="AD1285" s="5">
        <v>0</v>
      </c>
      <c r="AE1285" s="10" t="s">
        <v>50</v>
      </c>
      <c r="AF1285" s="10"/>
      <c r="AG1285" s="10" t="s">
        <v>64</v>
      </c>
      <c r="AH1285" s="10" t="s">
        <v>50</v>
      </c>
      <c r="AI1285" s="5">
        <v>1</v>
      </c>
      <c r="AJ1285" s="10" t="s">
        <v>6887</v>
      </c>
      <c r="AK1285" s="10" t="s">
        <v>50</v>
      </c>
    </row>
    <row r="1286" spans="1:37" ht="36.75" customHeight="1" x14ac:dyDescent="0.35">
      <c r="A1286" s="5"/>
      <c r="B1286" s="5" t="s">
        <v>37</v>
      </c>
      <c r="C1286" s="73" t="str">
        <f t="shared" si="20"/>
        <v>Closed</v>
      </c>
      <c r="D1286" s="45" t="s">
        <v>7161</v>
      </c>
      <c r="E1286" s="54" t="s">
        <v>7162</v>
      </c>
      <c r="F1286" s="5" t="s">
        <v>178</v>
      </c>
      <c r="G1286" s="10">
        <f>DATE(2012,2,21)</f>
        <v>40960</v>
      </c>
      <c r="H1286" s="35">
        <v>0</v>
      </c>
      <c r="I1286" s="5" t="s">
        <v>55</v>
      </c>
      <c r="J1286" s="10" t="s">
        <v>7163</v>
      </c>
      <c r="K1286" s="5" t="s">
        <v>181</v>
      </c>
      <c r="L1286" s="5" t="s">
        <v>7164</v>
      </c>
      <c r="M1286" s="5" t="s">
        <v>45</v>
      </c>
      <c r="N1286" s="5" t="s">
        <v>80</v>
      </c>
      <c r="O1286" s="5" t="s">
        <v>46</v>
      </c>
      <c r="P1286" s="10" t="s">
        <v>47</v>
      </c>
      <c r="Q1286" s="10" t="s">
        <v>181</v>
      </c>
      <c r="R1286" s="10" t="s">
        <v>181</v>
      </c>
      <c r="S1286" s="5">
        <v>0</v>
      </c>
      <c r="T1286" s="37">
        <v>0</v>
      </c>
      <c r="U1286" s="5">
        <v>0</v>
      </c>
      <c r="V1286" s="37">
        <v>0</v>
      </c>
      <c r="W1286" s="5">
        <v>0</v>
      </c>
      <c r="X1286" s="5">
        <v>0</v>
      </c>
      <c r="Y1286" s="5">
        <v>0</v>
      </c>
      <c r="Z1286" s="37">
        <v>0</v>
      </c>
      <c r="AA1286" s="5">
        <v>0</v>
      </c>
      <c r="AB1286" s="5">
        <v>0</v>
      </c>
      <c r="AC1286" s="5">
        <v>0</v>
      </c>
      <c r="AD1286" s="5">
        <v>0</v>
      </c>
      <c r="AE1286" s="10" t="s">
        <v>375</v>
      </c>
      <c r="AF1286" s="10"/>
      <c r="AG1286" s="10" t="s">
        <v>114</v>
      </c>
      <c r="AH1286" s="10">
        <v>40960</v>
      </c>
      <c r="AI1286" s="5">
        <v>3</v>
      </c>
      <c r="AJ1286" s="10" t="s">
        <v>7165</v>
      </c>
      <c r="AK1286" s="10" t="s">
        <v>1215</v>
      </c>
    </row>
    <row r="1287" spans="1:37" ht="36.75" customHeight="1" x14ac:dyDescent="0.35">
      <c r="A1287" s="5"/>
      <c r="B1287" s="5" t="s">
        <v>37</v>
      </c>
      <c r="C1287" s="73" t="str">
        <f t="shared" si="20"/>
        <v>Closed</v>
      </c>
      <c r="D1287" s="45" t="s">
        <v>7166</v>
      </c>
      <c r="E1287" s="54" t="s">
        <v>7167</v>
      </c>
      <c r="F1287" s="5" t="s">
        <v>1553</v>
      </c>
      <c r="G1287" s="10">
        <f>DATE(2012,2,21)</f>
        <v>40960</v>
      </c>
      <c r="H1287" s="35">
        <v>1.7444444444444445</v>
      </c>
      <c r="I1287" s="5" t="s">
        <v>55</v>
      </c>
      <c r="J1287" s="10" t="s">
        <v>7168</v>
      </c>
      <c r="K1287" s="5" t="s">
        <v>1555</v>
      </c>
      <c r="L1287" s="5" t="s">
        <v>7169</v>
      </c>
      <c r="M1287" s="5" t="s">
        <v>45</v>
      </c>
      <c r="N1287" s="5" t="s">
        <v>80</v>
      </c>
      <c r="O1287" s="5" t="s">
        <v>46</v>
      </c>
      <c r="P1287" s="10" t="s">
        <v>146</v>
      </c>
      <c r="Q1287" s="10" t="s">
        <v>7170</v>
      </c>
      <c r="R1287" s="10">
        <v>0</v>
      </c>
      <c r="S1287" s="5">
        <v>0</v>
      </c>
      <c r="T1287" s="37">
        <v>0</v>
      </c>
      <c r="U1287" s="5">
        <v>0</v>
      </c>
      <c r="V1287" s="37">
        <v>0</v>
      </c>
      <c r="W1287" s="5">
        <v>0</v>
      </c>
      <c r="X1287" s="5">
        <v>0</v>
      </c>
      <c r="Y1287" s="5">
        <v>0</v>
      </c>
      <c r="Z1287" s="37">
        <v>0</v>
      </c>
      <c r="AA1287" s="5">
        <v>0</v>
      </c>
      <c r="AB1287" s="5">
        <v>0</v>
      </c>
      <c r="AC1287" s="5">
        <v>0</v>
      </c>
      <c r="AD1287" s="5">
        <v>0</v>
      </c>
      <c r="AE1287" s="10" t="s">
        <v>73</v>
      </c>
      <c r="AF1287" s="10"/>
      <c r="AG1287" s="10" t="s">
        <v>114</v>
      </c>
      <c r="AH1287" s="10">
        <v>40961</v>
      </c>
      <c r="AI1287" s="5">
        <v>0</v>
      </c>
      <c r="AJ1287" s="10" t="s">
        <v>7171</v>
      </c>
      <c r="AK1287" s="10" t="s">
        <v>7172</v>
      </c>
    </row>
    <row r="1288" spans="1:37" ht="36.75" customHeight="1" x14ac:dyDescent="0.35">
      <c r="A1288" s="5"/>
      <c r="B1288" s="5" t="s">
        <v>37</v>
      </c>
      <c r="C1288" s="73" t="str">
        <f t="shared" si="20"/>
        <v>Closed</v>
      </c>
      <c r="D1288" s="45" t="s">
        <v>7173</v>
      </c>
      <c r="E1288" s="54" t="s">
        <v>7174</v>
      </c>
      <c r="F1288" s="5" t="s">
        <v>816</v>
      </c>
      <c r="G1288" s="10">
        <f>DATE(2012,2,24)</f>
        <v>40963</v>
      </c>
      <c r="H1288" s="35">
        <v>1.6694444444444443</v>
      </c>
      <c r="I1288" s="5" t="s">
        <v>67</v>
      </c>
      <c r="J1288" s="10" t="s">
        <v>7175</v>
      </c>
      <c r="K1288" s="5" t="s">
        <v>818</v>
      </c>
      <c r="L1288" s="5" t="s">
        <v>7176</v>
      </c>
      <c r="M1288" s="5" t="s">
        <v>45</v>
      </c>
      <c r="N1288" s="5" t="s">
        <v>123</v>
      </c>
      <c r="O1288" s="5" t="s">
        <v>46</v>
      </c>
      <c r="P1288" s="10" t="s">
        <v>146</v>
      </c>
      <c r="Q1288" s="10" t="s">
        <v>2142</v>
      </c>
      <c r="R1288" s="10" t="s">
        <v>821</v>
      </c>
      <c r="S1288" s="5">
        <v>0</v>
      </c>
      <c r="T1288" s="37">
        <v>0</v>
      </c>
      <c r="U1288" s="5">
        <v>0</v>
      </c>
      <c r="V1288" s="37">
        <v>0</v>
      </c>
      <c r="W1288" s="5">
        <v>0</v>
      </c>
      <c r="X1288" s="5">
        <v>0</v>
      </c>
      <c r="Y1288" s="5">
        <v>0</v>
      </c>
      <c r="Z1288" s="37">
        <v>0</v>
      </c>
      <c r="AA1288" s="5">
        <v>0</v>
      </c>
      <c r="AB1288" s="5">
        <v>0</v>
      </c>
      <c r="AC1288" s="5">
        <v>0</v>
      </c>
      <c r="AD1288" s="5">
        <v>0</v>
      </c>
      <c r="AE1288" s="10" t="s">
        <v>73</v>
      </c>
      <c r="AF1288" s="10"/>
      <c r="AG1288" s="10" t="s">
        <v>333</v>
      </c>
      <c r="AH1288" s="10">
        <v>40963</v>
      </c>
      <c r="AI1288" s="5">
        <v>0</v>
      </c>
      <c r="AJ1288" s="10" t="s">
        <v>7177</v>
      </c>
      <c r="AK1288" s="10" t="s">
        <v>50</v>
      </c>
    </row>
    <row r="1289" spans="1:37" ht="36.75" customHeight="1" x14ac:dyDescent="0.35">
      <c r="A1289" s="5"/>
      <c r="B1289" s="5" t="s">
        <v>37</v>
      </c>
      <c r="C1289" s="73" t="str">
        <f t="shared" si="20"/>
        <v>Closed</v>
      </c>
      <c r="D1289" s="45" t="s">
        <v>7178</v>
      </c>
      <c r="E1289" s="54" t="s">
        <v>7179</v>
      </c>
      <c r="F1289" s="5" t="s">
        <v>816</v>
      </c>
      <c r="G1289" s="10">
        <f>DATE(2012,2,25)</f>
        <v>40964</v>
      </c>
      <c r="H1289" s="35">
        <v>1.4243055555555555</v>
      </c>
      <c r="I1289" s="5" t="s">
        <v>55</v>
      </c>
      <c r="J1289" s="10" t="s">
        <v>7180</v>
      </c>
      <c r="K1289" s="5" t="s">
        <v>818</v>
      </c>
      <c r="L1289" s="5" t="s">
        <v>7181</v>
      </c>
      <c r="M1289" s="5" t="s">
        <v>45</v>
      </c>
      <c r="N1289" s="5" t="s">
        <v>80</v>
      </c>
      <c r="O1289" s="5" t="s">
        <v>59</v>
      </c>
      <c r="P1289" s="10" t="s">
        <v>60</v>
      </c>
      <c r="Q1289" s="10" t="s">
        <v>4688</v>
      </c>
      <c r="R1289" s="10" t="s">
        <v>821</v>
      </c>
      <c r="S1289" s="5">
        <v>0</v>
      </c>
      <c r="T1289" s="37">
        <v>0</v>
      </c>
      <c r="U1289" s="5">
        <v>0</v>
      </c>
      <c r="V1289" s="37">
        <v>0</v>
      </c>
      <c r="W1289" s="5">
        <v>0</v>
      </c>
      <c r="X1289" s="5">
        <v>0</v>
      </c>
      <c r="Y1289" s="5">
        <v>0</v>
      </c>
      <c r="Z1289" s="37">
        <v>0</v>
      </c>
      <c r="AA1289" s="5">
        <v>0</v>
      </c>
      <c r="AB1289" s="5">
        <v>0</v>
      </c>
      <c r="AC1289" s="5">
        <v>0</v>
      </c>
      <c r="AD1289" s="5">
        <v>0</v>
      </c>
      <c r="AE1289" s="10" t="s">
        <v>375</v>
      </c>
      <c r="AF1289" s="10"/>
      <c r="AG1289" s="10" t="s">
        <v>333</v>
      </c>
      <c r="AH1289" s="10">
        <v>40964</v>
      </c>
      <c r="AI1289" s="5">
        <v>2</v>
      </c>
      <c r="AJ1289" s="10" t="s">
        <v>7182</v>
      </c>
      <c r="AK1289" s="10" t="s">
        <v>50</v>
      </c>
    </row>
    <row r="1290" spans="1:37" ht="36.75" customHeight="1" x14ac:dyDescent="0.35">
      <c r="A1290" s="5"/>
      <c r="B1290" s="5" t="s">
        <v>37</v>
      </c>
      <c r="C1290" s="73" t="str">
        <f t="shared" si="20"/>
        <v>Closed</v>
      </c>
      <c r="D1290" s="45" t="s">
        <v>7183</v>
      </c>
      <c r="E1290" s="54" t="s">
        <v>7184</v>
      </c>
      <c r="F1290" s="5" t="s">
        <v>404</v>
      </c>
      <c r="G1290" s="10">
        <f>DATE(2012,2,27)</f>
        <v>40966</v>
      </c>
      <c r="H1290" s="35">
        <v>1.3333333333333333</v>
      </c>
      <c r="I1290" s="5" t="s">
        <v>97</v>
      </c>
      <c r="J1290" s="10" t="s">
        <v>7185</v>
      </c>
      <c r="K1290" s="5" t="s">
        <v>406</v>
      </c>
      <c r="L1290" s="5" t="s">
        <v>7186</v>
      </c>
      <c r="M1290" s="5" t="s">
        <v>45</v>
      </c>
      <c r="N1290" s="5" t="s">
        <v>80</v>
      </c>
      <c r="O1290" s="5" t="s">
        <v>46</v>
      </c>
      <c r="P1290" s="10" t="s">
        <v>67</v>
      </c>
      <c r="Q1290" s="10" t="s">
        <v>408</v>
      </c>
      <c r="R1290" s="10" t="s">
        <v>3083</v>
      </c>
      <c r="S1290" s="5">
        <v>0</v>
      </c>
      <c r="T1290" s="37">
        <v>0</v>
      </c>
      <c r="U1290" s="5">
        <v>1</v>
      </c>
      <c r="V1290" s="37">
        <v>0</v>
      </c>
      <c r="W1290" s="5">
        <v>0</v>
      </c>
      <c r="X1290" s="5">
        <v>1</v>
      </c>
      <c r="Y1290" s="5">
        <v>0</v>
      </c>
      <c r="Z1290" s="37">
        <v>0</v>
      </c>
      <c r="AA1290" s="5">
        <v>0</v>
      </c>
      <c r="AB1290" s="5">
        <v>0</v>
      </c>
      <c r="AC1290" s="5">
        <v>0</v>
      </c>
      <c r="AD1290" s="5">
        <v>0</v>
      </c>
      <c r="AE1290" s="10" t="s">
        <v>73</v>
      </c>
      <c r="AF1290" s="10"/>
      <c r="AG1290" s="10" t="s">
        <v>114</v>
      </c>
      <c r="AH1290" s="10">
        <v>40968</v>
      </c>
      <c r="AI1290" s="5">
        <v>1</v>
      </c>
      <c r="AJ1290" s="10" t="s">
        <v>7187</v>
      </c>
      <c r="AK1290" s="10" t="s">
        <v>7188</v>
      </c>
    </row>
    <row r="1291" spans="1:37" ht="36.75" customHeight="1" x14ac:dyDescent="0.35">
      <c r="A1291" s="5"/>
      <c r="B1291" s="5" t="s">
        <v>887</v>
      </c>
      <c r="C1291" s="73" t="str">
        <f t="shared" si="20"/>
        <v>Open</v>
      </c>
      <c r="D1291" s="45" t="s">
        <v>7189</v>
      </c>
      <c r="E1291" s="54" t="s">
        <v>7190</v>
      </c>
      <c r="F1291" s="5" t="s">
        <v>5662</v>
      </c>
      <c r="G1291" s="10">
        <f>DATE(2012,2,27)</f>
        <v>40966</v>
      </c>
      <c r="H1291" s="35">
        <v>1.6368055555555556</v>
      </c>
      <c r="I1291" s="5" t="s">
        <v>412</v>
      </c>
      <c r="J1291" s="10" t="s">
        <v>7191</v>
      </c>
      <c r="K1291" s="5" t="s">
        <v>5664</v>
      </c>
      <c r="L1291" s="5" t="s">
        <v>7192</v>
      </c>
      <c r="M1291" s="5" t="s">
        <v>45</v>
      </c>
      <c r="N1291" s="5">
        <v>0</v>
      </c>
      <c r="O1291" s="5" t="s">
        <v>46</v>
      </c>
      <c r="P1291" s="10" t="s">
        <v>146</v>
      </c>
      <c r="Q1291" s="10" t="s">
        <v>5666</v>
      </c>
      <c r="R1291" s="10" t="s">
        <v>5667</v>
      </c>
      <c r="S1291" s="5">
        <v>0</v>
      </c>
      <c r="T1291" s="37" t="s">
        <v>50</v>
      </c>
      <c r="U1291" s="5">
        <v>0</v>
      </c>
      <c r="V1291" s="37" t="s">
        <v>50</v>
      </c>
      <c r="W1291" s="5">
        <v>0</v>
      </c>
      <c r="X1291" s="5">
        <v>0</v>
      </c>
      <c r="Y1291" s="5">
        <v>0</v>
      </c>
      <c r="Z1291" s="37" t="s">
        <v>50</v>
      </c>
      <c r="AA1291" s="5">
        <v>0</v>
      </c>
      <c r="AB1291" s="5">
        <v>0</v>
      </c>
      <c r="AC1291" s="5">
        <v>0</v>
      </c>
      <c r="AD1291" s="5">
        <v>0</v>
      </c>
      <c r="AE1291" s="10" t="s">
        <v>50</v>
      </c>
      <c r="AF1291" s="10"/>
      <c r="AG1291" s="10" t="s">
        <v>7193</v>
      </c>
      <c r="AH1291" s="10" t="s">
        <v>50</v>
      </c>
      <c r="AI1291" s="5">
        <v>0</v>
      </c>
      <c r="AJ1291" s="10" t="s">
        <v>50</v>
      </c>
      <c r="AK1291" s="10" t="s">
        <v>50</v>
      </c>
    </row>
    <row r="1292" spans="1:37" ht="36.75" customHeight="1" x14ac:dyDescent="0.35">
      <c r="A1292" s="5"/>
      <c r="B1292" s="5" t="s">
        <v>37</v>
      </c>
      <c r="C1292" s="73" t="str">
        <f t="shared" si="20"/>
        <v>Closed</v>
      </c>
      <c r="D1292" s="45" t="s">
        <v>7194</v>
      </c>
      <c r="E1292" s="54" t="s">
        <v>7195</v>
      </c>
      <c r="F1292" s="5" t="s">
        <v>358</v>
      </c>
      <c r="G1292" s="10">
        <f>DATE(2012,2,27)</f>
        <v>40966</v>
      </c>
      <c r="H1292" s="35">
        <v>1.8069444444444445</v>
      </c>
      <c r="I1292" s="5" t="s">
        <v>67</v>
      </c>
      <c r="J1292" s="10" t="s">
        <v>7196</v>
      </c>
      <c r="K1292" s="5" t="s">
        <v>360</v>
      </c>
      <c r="L1292" s="5" t="s">
        <v>7197</v>
      </c>
      <c r="M1292" s="5" t="s">
        <v>45</v>
      </c>
      <c r="N1292" s="5" t="s">
        <v>123</v>
      </c>
      <c r="O1292" s="5" t="s">
        <v>46</v>
      </c>
      <c r="P1292" s="10" t="s">
        <v>443</v>
      </c>
      <c r="Q1292" s="10" t="s">
        <v>2886</v>
      </c>
      <c r="R1292" s="10" t="s">
        <v>363</v>
      </c>
      <c r="S1292" s="5">
        <v>0</v>
      </c>
      <c r="T1292" s="37">
        <v>0</v>
      </c>
      <c r="U1292" s="5">
        <v>0</v>
      </c>
      <c r="V1292" s="37">
        <v>0</v>
      </c>
      <c r="W1292" s="5">
        <v>0</v>
      </c>
      <c r="X1292" s="5">
        <v>0</v>
      </c>
      <c r="Y1292" s="5">
        <v>0</v>
      </c>
      <c r="Z1292" s="37">
        <v>0</v>
      </c>
      <c r="AA1292" s="5">
        <v>0</v>
      </c>
      <c r="AB1292" s="5">
        <v>0</v>
      </c>
      <c r="AC1292" s="5">
        <v>0</v>
      </c>
      <c r="AD1292" s="5">
        <v>0</v>
      </c>
      <c r="AE1292" s="10" t="s">
        <v>50</v>
      </c>
      <c r="AF1292" s="10"/>
      <c r="AG1292" s="10" t="s">
        <v>114</v>
      </c>
      <c r="AH1292" s="10">
        <v>40966</v>
      </c>
      <c r="AI1292" s="5">
        <v>7</v>
      </c>
      <c r="AJ1292" s="10" t="s">
        <v>7198</v>
      </c>
      <c r="AK1292" s="10" t="s">
        <v>7199</v>
      </c>
    </row>
    <row r="1293" spans="1:37" ht="36.75" customHeight="1" x14ac:dyDescent="0.35">
      <c r="A1293" s="5"/>
      <c r="B1293" s="5" t="s">
        <v>37</v>
      </c>
      <c r="C1293" s="73" t="str">
        <f t="shared" si="20"/>
        <v>Closed</v>
      </c>
      <c r="D1293" s="45" t="s">
        <v>7200</v>
      </c>
      <c r="E1293" s="54" t="s">
        <v>7201</v>
      </c>
      <c r="F1293" s="5" t="s">
        <v>404</v>
      </c>
      <c r="G1293" s="10">
        <f>DATE(2012,2,29)</f>
        <v>40968</v>
      </c>
      <c r="H1293" s="35">
        <v>1.5923611111111111</v>
      </c>
      <c r="I1293" s="5" t="s">
        <v>97</v>
      </c>
      <c r="J1293" s="10" t="s">
        <v>7202</v>
      </c>
      <c r="K1293" s="5" t="s">
        <v>406</v>
      </c>
      <c r="L1293" s="5" t="s">
        <v>7203</v>
      </c>
      <c r="M1293" s="5" t="s">
        <v>45</v>
      </c>
      <c r="N1293" s="5" t="s">
        <v>123</v>
      </c>
      <c r="O1293" s="5" t="s">
        <v>59</v>
      </c>
      <c r="P1293" s="10" t="s">
        <v>47</v>
      </c>
      <c r="Q1293" s="10" t="s">
        <v>408</v>
      </c>
      <c r="R1293" s="10" t="s">
        <v>3083</v>
      </c>
      <c r="S1293" s="5">
        <v>0</v>
      </c>
      <c r="T1293" s="37">
        <v>0</v>
      </c>
      <c r="U1293" s="5">
        <v>0</v>
      </c>
      <c r="V1293" s="37">
        <v>0</v>
      </c>
      <c r="W1293" s="5">
        <v>0</v>
      </c>
      <c r="X1293" s="5">
        <v>0</v>
      </c>
      <c r="Y1293" s="5">
        <v>0</v>
      </c>
      <c r="Z1293" s="37">
        <v>0</v>
      </c>
      <c r="AA1293" s="5">
        <v>0</v>
      </c>
      <c r="AB1293" s="5">
        <v>0</v>
      </c>
      <c r="AC1293" s="5">
        <v>0</v>
      </c>
      <c r="AD1293" s="5">
        <v>0</v>
      </c>
      <c r="AE1293" s="10" t="s">
        <v>375</v>
      </c>
      <c r="AF1293" s="10"/>
      <c r="AG1293" s="10" t="s">
        <v>114</v>
      </c>
      <c r="AH1293" s="10">
        <v>41124</v>
      </c>
      <c r="AI1293" s="5">
        <v>2</v>
      </c>
      <c r="AJ1293" s="10" t="s">
        <v>7204</v>
      </c>
      <c r="AK1293" s="10" t="s">
        <v>693</v>
      </c>
    </row>
    <row r="1294" spans="1:37" ht="36.75" customHeight="1" x14ac:dyDescent="0.35">
      <c r="A1294" s="5"/>
      <c r="B1294" s="5" t="s">
        <v>37</v>
      </c>
      <c r="C1294" s="73" t="str">
        <f t="shared" si="20"/>
        <v>Closed</v>
      </c>
      <c r="D1294" s="45" t="s">
        <v>7205</v>
      </c>
      <c r="E1294" s="54" t="s">
        <v>7206</v>
      </c>
      <c r="F1294" s="5" t="s">
        <v>358</v>
      </c>
      <c r="G1294" s="10">
        <f>DATE(2012,2,29)</f>
        <v>40968</v>
      </c>
      <c r="H1294" s="35">
        <v>1.9166666666666665</v>
      </c>
      <c r="I1294" s="5" t="s">
        <v>97</v>
      </c>
      <c r="J1294" s="10" t="s">
        <v>7207</v>
      </c>
      <c r="K1294" s="5" t="s">
        <v>360</v>
      </c>
      <c r="L1294" s="5" t="s">
        <v>7208</v>
      </c>
      <c r="M1294" s="5" t="s">
        <v>45</v>
      </c>
      <c r="N1294" s="5" t="s">
        <v>80</v>
      </c>
      <c r="O1294" s="5" t="s">
        <v>46</v>
      </c>
      <c r="P1294" s="10" t="s">
        <v>146</v>
      </c>
      <c r="Q1294" s="10" t="s">
        <v>2886</v>
      </c>
      <c r="R1294" s="10" t="s">
        <v>363</v>
      </c>
      <c r="S1294" s="5">
        <v>0</v>
      </c>
      <c r="T1294" s="37">
        <v>0</v>
      </c>
      <c r="U1294" s="5">
        <v>1</v>
      </c>
      <c r="V1294" s="37">
        <v>0</v>
      </c>
      <c r="W1294" s="5">
        <v>0</v>
      </c>
      <c r="X1294" s="5">
        <v>1</v>
      </c>
      <c r="Y1294" s="5">
        <v>0</v>
      </c>
      <c r="Z1294" s="37">
        <v>0</v>
      </c>
      <c r="AA1294" s="5">
        <v>1</v>
      </c>
      <c r="AB1294" s="5">
        <v>0</v>
      </c>
      <c r="AC1294" s="5">
        <v>0</v>
      </c>
      <c r="AD1294" s="5">
        <v>1</v>
      </c>
      <c r="AE1294" s="10" t="s">
        <v>73</v>
      </c>
      <c r="AF1294" s="10"/>
      <c r="AG1294" s="10" t="s">
        <v>855</v>
      </c>
      <c r="AH1294" s="10">
        <v>40969</v>
      </c>
      <c r="AI1294" s="5">
        <v>2</v>
      </c>
      <c r="AJ1294" s="10" t="s">
        <v>7209</v>
      </c>
      <c r="AK1294" s="10" t="s">
        <v>50</v>
      </c>
    </row>
    <row r="1295" spans="1:37" ht="36.75" customHeight="1" x14ac:dyDescent="0.35">
      <c r="A1295" s="5"/>
      <c r="B1295" s="5" t="s">
        <v>37</v>
      </c>
      <c r="C1295" s="73" t="str">
        <f t="shared" si="20"/>
        <v>Closed</v>
      </c>
      <c r="D1295" s="45" t="s">
        <v>7210</v>
      </c>
      <c r="E1295" s="54" t="s">
        <v>7211</v>
      </c>
      <c r="F1295" s="5" t="s">
        <v>1553</v>
      </c>
      <c r="G1295" s="10">
        <f>DATE(2012,3,1)</f>
        <v>40969</v>
      </c>
      <c r="H1295" s="35">
        <v>1.6284722222222223</v>
      </c>
      <c r="I1295" s="5" t="s">
        <v>55</v>
      </c>
      <c r="J1295" s="10" t="s">
        <v>7212</v>
      </c>
      <c r="K1295" s="5" t="s">
        <v>1555</v>
      </c>
      <c r="L1295" s="5" t="s">
        <v>7213</v>
      </c>
      <c r="M1295" s="5" t="s">
        <v>45</v>
      </c>
      <c r="N1295" s="5" t="s">
        <v>123</v>
      </c>
      <c r="O1295" s="5" t="s">
        <v>59</v>
      </c>
      <c r="P1295" s="10" t="s">
        <v>60</v>
      </c>
      <c r="Q1295" s="10" t="s">
        <v>2635</v>
      </c>
      <c r="R1295" s="10">
        <v>0</v>
      </c>
      <c r="S1295" s="5">
        <v>0</v>
      </c>
      <c r="T1295" s="37">
        <v>0</v>
      </c>
      <c r="U1295" s="5">
        <v>0</v>
      </c>
      <c r="V1295" s="37">
        <v>0</v>
      </c>
      <c r="W1295" s="5">
        <v>0</v>
      </c>
      <c r="X1295" s="5">
        <v>0</v>
      </c>
      <c r="Y1295" s="5">
        <v>0</v>
      </c>
      <c r="Z1295" s="37">
        <v>0</v>
      </c>
      <c r="AA1295" s="5">
        <v>0</v>
      </c>
      <c r="AB1295" s="5">
        <v>0</v>
      </c>
      <c r="AC1295" s="5">
        <v>0</v>
      </c>
      <c r="AD1295" s="5">
        <v>0</v>
      </c>
      <c r="AE1295" s="10" t="s">
        <v>73</v>
      </c>
      <c r="AF1295" s="10"/>
      <c r="AG1295" s="10" t="s">
        <v>114</v>
      </c>
      <c r="AH1295" s="10">
        <v>40970</v>
      </c>
      <c r="AI1295" s="5">
        <v>0</v>
      </c>
      <c r="AJ1295" s="10" t="s">
        <v>7214</v>
      </c>
      <c r="AK1295" s="10" t="s">
        <v>7215</v>
      </c>
    </row>
    <row r="1296" spans="1:37" ht="36.75" customHeight="1" x14ac:dyDescent="0.35">
      <c r="A1296" s="5"/>
      <c r="B1296" s="5" t="s">
        <v>37</v>
      </c>
      <c r="C1296" s="73" t="str">
        <f t="shared" si="20"/>
        <v>Closed</v>
      </c>
      <c r="D1296" s="45" t="s">
        <v>7216</v>
      </c>
      <c r="E1296" s="54" t="s">
        <v>7217</v>
      </c>
      <c r="F1296" s="5" t="s">
        <v>178</v>
      </c>
      <c r="G1296" s="10">
        <f>DATE(2012,3,2)</f>
        <v>40970</v>
      </c>
      <c r="H1296" s="35">
        <v>1.4909722222222221</v>
      </c>
      <c r="I1296" s="5" t="s">
        <v>97</v>
      </c>
      <c r="J1296" s="10" t="s">
        <v>7218</v>
      </c>
      <c r="K1296" s="5" t="s">
        <v>181</v>
      </c>
      <c r="L1296" s="5" t="s">
        <v>7219</v>
      </c>
      <c r="M1296" s="5" t="s">
        <v>45</v>
      </c>
      <c r="N1296" s="5" t="s">
        <v>123</v>
      </c>
      <c r="O1296" s="5" t="s">
        <v>46</v>
      </c>
      <c r="P1296" s="10" t="s">
        <v>146</v>
      </c>
      <c r="Q1296" s="10" t="s">
        <v>183</v>
      </c>
      <c r="R1296" s="10" t="s">
        <v>184</v>
      </c>
      <c r="S1296" s="5">
        <v>0</v>
      </c>
      <c r="T1296" s="37">
        <v>0</v>
      </c>
      <c r="U1296" s="5">
        <v>1</v>
      </c>
      <c r="V1296" s="37">
        <v>0</v>
      </c>
      <c r="W1296" s="5">
        <v>0</v>
      </c>
      <c r="X1296" s="5">
        <v>1</v>
      </c>
      <c r="Y1296" s="5">
        <v>0</v>
      </c>
      <c r="Z1296" s="37">
        <v>0</v>
      </c>
      <c r="AA1296" s="5">
        <v>0</v>
      </c>
      <c r="AB1296" s="5">
        <v>0</v>
      </c>
      <c r="AC1296" s="5">
        <v>0</v>
      </c>
      <c r="AD1296" s="5">
        <v>0</v>
      </c>
      <c r="AE1296" s="10" t="s">
        <v>73</v>
      </c>
      <c r="AF1296" s="10"/>
      <c r="AG1296" s="10" t="s">
        <v>64</v>
      </c>
      <c r="AH1296" s="10">
        <v>40970</v>
      </c>
      <c r="AI1296" s="5">
        <v>1</v>
      </c>
      <c r="AJ1296" s="10" t="s">
        <v>7220</v>
      </c>
      <c r="AK1296" s="10" t="s">
        <v>50</v>
      </c>
    </row>
    <row r="1297" spans="1:37" ht="36.75" customHeight="1" x14ac:dyDescent="0.35">
      <c r="A1297" s="5"/>
      <c r="B1297" s="5" t="s">
        <v>37</v>
      </c>
      <c r="C1297" s="73" t="str">
        <f t="shared" si="20"/>
        <v>Closed</v>
      </c>
      <c r="D1297" s="45" t="s">
        <v>7221</v>
      </c>
      <c r="E1297" s="54" t="s">
        <v>7222</v>
      </c>
      <c r="F1297" s="5" t="s">
        <v>2316</v>
      </c>
      <c r="G1297" s="10">
        <f>DATE(2012,3,3)</f>
        <v>40971</v>
      </c>
      <c r="H1297" s="35">
        <v>1.8715277777777777</v>
      </c>
      <c r="I1297" s="5" t="s">
        <v>179</v>
      </c>
      <c r="J1297" s="10" t="s">
        <v>7223</v>
      </c>
      <c r="K1297" s="5" t="s">
        <v>2318</v>
      </c>
      <c r="L1297" s="5" t="s">
        <v>7224</v>
      </c>
      <c r="M1297" s="5" t="s">
        <v>45</v>
      </c>
      <c r="N1297" s="5" t="s">
        <v>123</v>
      </c>
      <c r="O1297" s="5" t="s">
        <v>46</v>
      </c>
      <c r="P1297" s="10" t="s">
        <v>47</v>
      </c>
      <c r="Q1297" s="10" t="s">
        <v>7225</v>
      </c>
      <c r="R1297" s="10" t="s">
        <v>2321</v>
      </c>
      <c r="S1297" s="5">
        <v>11</v>
      </c>
      <c r="T1297" s="37">
        <v>5</v>
      </c>
      <c r="U1297" s="5">
        <v>0</v>
      </c>
      <c r="V1297" s="37">
        <v>0</v>
      </c>
      <c r="W1297" s="5">
        <v>0</v>
      </c>
      <c r="X1297" s="5">
        <v>16</v>
      </c>
      <c r="Y1297" s="5">
        <v>59</v>
      </c>
      <c r="Z1297" s="37">
        <v>2</v>
      </c>
      <c r="AA1297" s="5">
        <v>0</v>
      </c>
      <c r="AB1297" s="5">
        <v>0</v>
      </c>
      <c r="AC1297" s="5">
        <v>0</v>
      </c>
      <c r="AD1297" s="5">
        <v>61</v>
      </c>
      <c r="AE1297" s="10" t="s">
        <v>126</v>
      </c>
      <c r="AF1297" s="10"/>
      <c r="AG1297" s="10" t="s">
        <v>64</v>
      </c>
      <c r="AH1297" s="10">
        <v>40988</v>
      </c>
      <c r="AI1297" s="5">
        <v>19</v>
      </c>
      <c r="AJ1297" s="10" t="s">
        <v>7226</v>
      </c>
      <c r="AK1297" s="10" t="s">
        <v>7227</v>
      </c>
    </row>
    <row r="1298" spans="1:37" ht="36.75" customHeight="1" x14ac:dyDescent="0.35">
      <c r="A1298" s="5"/>
      <c r="B1298" s="5" t="s">
        <v>37</v>
      </c>
      <c r="C1298" s="73" t="str">
        <f t="shared" si="20"/>
        <v>Closed</v>
      </c>
      <c r="D1298" s="45" t="s">
        <v>7228</v>
      </c>
      <c r="E1298" s="54" t="s">
        <v>7229</v>
      </c>
      <c r="F1298" s="5" t="s">
        <v>404</v>
      </c>
      <c r="G1298" s="10">
        <f>DATE(2012,3,5)</f>
        <v>40973</v>
      </c>
      <c r="H1298" s="35">
        <v>1.320138888888889</v>
      </c>
      <c r="I1298" s="5" t="s">
        <v>97</v>
      </c>
      <c r="J1298" s="10" t="s">
        <v>7230</v>
      </c>
      <c r="K1298" s="5" t="s">
        <v>406</v>
      </c>
      <c r="L1298" s="5" t="s">
        <v>7231</v>
      </c>
      <c r="M1298" s="5" t="s">
        <v>45</v>
      </c>
      <c r="N1298" s="5" t="s">
        <v>80</v>
      </c>
      <c r="O1298" s="5" t="s">
        <v>46</v>
      </c>
      <c r="P1298" s="10" t="s">
        <v>146</v>
      </c>
      <c r="Q1298" s="10" t="s">
        <v>408</v>
      </c>
      <c r="R1298" s="10" t="s">
        <v>3083</v>
      </c>
      <c r="S1298" s="5">
        <v>0</v>
      </c>
      <c r="T1298" s="37">
        <v>0</v>
      </c>
      <c r="U1298" s="5">
        <v>0</v>
      </c>
      <c r="V1298" s="37">
        <v>0</v>
      </c>
      <c r="W1298" s="5">
        <v>0</v>
      </c>
      <c r="X1298" s="5">
        <v>0</v>
      </c>
      <c r="Y1298" s="5">
        <v>0</v>
      </c>
      <c r="Z1298" s="37">
        <v>0</v>
      </c>
      <c r="AA1298" s="5">
        <v>0</v>
      </c>
      <c r="AB1298" s="5">
        <v>0</v>
      </c>
      <c r="AC1298" s="5">
        <v>0</v>
      </c>
      <c r="AD1298" s="5">
        <v>0</v>
      </c>
      <c r="AE1298" s="10" t="s">
        <v>73</v>
      </c>
      <c r="AF1298" s="10"/>
      <c r="AG1298" s="10" t="s">
        <v>114</v>
      </c>
      <c r="AH1298" s="10">
        <v>41124</v>
      </c>
      <c r="AI1298" s="5">
        <v>2</v>
      </c>
      <c r="AJ1298" s="10" t="s">
        <v>7187</v>
      </c>
      <c r="AK1298" s="10" t="s">
        <v>6998</v>
      </c>
    </row>
    <row r="1299" spans="1:37" ht="36.75" customHeight="1" x14ac:dyDescent="0.35">
      <c r="A1299" s="5"/>
      <c r="B1299" s="5" t="s">
        <v>37</v>
      </c>
      <c r="C1299" s="73" t="str">
        <f t="shared" si="20"/>
        <v>Closed</v>
      </c>
      <c r="D1299" s="45" t="s">
        <v>7232</v>
      </c>
      <c r="E1299" s="54" t="s">
        <v>7233</v>
      </c>
      <c r="F1299" s="5" t="s">
        <v>178</v>
      </c>
      <c r="G1299" s="10">
        <f>DATE(2012,3,6)</f>
        <v>40974</v>
      </c>
      <c r="H1299" s="35">
        <v>1.3479166666666667</v>
      </c>
      <c r="I1299" s="5" t="s">
        <v>97</v>
      </c>
      <c r="J1299" s="10" t="s">
        <v>7234</v>
      </c>
      <c r="K1299" s="5" t="s">
        <v>181</v>
      </c>
      <c r="L1299" s="5" t="s">
        <v>7235</v>
      </c>
      <c r="M1299" s="5" t="s">
        <v>45</v>
      </c>
      <c r="N1299" s="5" t="s">
        <v>80</v>
      </c>
      <c r="O1299" s="5" t="s">
        <v>59</v>
      </c>
      <c r="P1299" s="10" t="s">
        <v>60</v>
      </c>
      <c r="Q1299" s="10">
        <v>0</v>
      </c>
      <c r="R1299" s="10">
        <v>0</v>
      </c>
      <c r="S1299" s="5">
        <v>0</v>
      </c>
      <c r="T1299" s="37">
        <v>0</v>
      </c>
      <c r="U1299" s="5">
        <v>0</v>
      </c>
      <c r="V1299" s="37">
        <v>0</v>
      </c>
      <c r="W1299" s="5">
        <v>0</v>
      </c>
      <c r="X1299" s="5">
        <v>0</v>
      </c>
      <c r="Y1299" s="5">
        <v>0</v>
      </c>
      <c r="Z1299" s="37">
        <v>0</v>
      </c>
      <c r="AA1299" s="5">
        <v>1</v>
      </c>
      <c r="AB1299" s="5">
        <v>0</v>
      </c>
      <c r="AC1299" s="5">
        <v>0</v>
      </c>
      <c r="AD1299" s="5">
        <v>1</v>
      </c>
      <c r="AE1299" s="10" t="s">
        <v>73</v>
      </c>
      <c r="AF1299" s="10"/>
      <c r="AG1299" s="10" t="s">
        <v>114</v>
      </c>
      <c r="AH1299" s="10">
        <v>40975</v>
      </c>
      <c r="AI1299" s="5">
        <v>1</v>
      </c>
      <c r="AJ1299" s="10" t="s">
        <v>7236</v>
      </c>
      <c r="AK1299" s="10" t="s">
        <v>1215</v>
      </c>
    </row>
    <row r="1300" spans="1:37" ht="36.75" customHeight="1" x14ac:dyDescent="0.35">
      <c r="A1300" s="5"/>
      <c r="B1300" s="5" t="s">
        <v>37</v>
      </c>
      <c r="C1300" s="73" t="str">
        <f t="shared" si="20"/>
        <v>Closed</v>
      </c>
      <c r="D1300" s="45" t="s">
        <v>7237</v>
      </c>
      <c r="E1300" s="54" t="s">
        <v>7238</v>
      </c>
      <c r="F1300" s="5" t="s">
        <v>816</v>
      </c>
      <c r="G1300" s="10">
        <f>DATE(2012,3,6)</f>
        <v>40974</v>
      </c>
      <c r="H1300" s="35">
        <v>1.8861111111111111</v>
      </c>
      <c r="I1300" s="5" t="s">
        <v>67</v>
      </c>
      <c r="J1300" s="10" t="s">
        <v>7239</v>
      </c>
      <c r="K1300" s="5" t="s">
        <v>818</v>
      </c>
      <c r="L1300" s="5" t="s">
        <v>7240</v>
      </c>
      <c r="M1300" s="5" t="s">
        <v>45</v>
      </c>
      <c r="N1300" s="5" t="s">
        <v>80</v>
      </c>
      <c r="O1300" s="5" t="s">
        <v>46</v>
      </c>
      <c r="P1300" s="10" t="s">
        <v>47</v>
      </c>
      <c r="Q1300" s="10" t="s">
        <v>2142</v>
      </c>
      <c r="R1300" s="10" t="s">
        <v>821</v>
      </c>
      <c r="S1300" s="5">
        <v>0</v>
      </c>
      <c r="T1300" s="37">
        <v>0</v>
      </c>
      <c r="U1300" s="5">
        <v>0</v>
      </c>
      <c r="V1300" s="37">
        <v>0</v>
      </c>
      <c r="W1300" s="5">
        <v>0</v>
      </c>
      <c r="X1300" s="5">
        <v>0</v>
      </c>
      <c r="Y1300" s="5">
        <v>0</v>
      </c>
      <c r="Z1300" s="37">
        <v>0</v>
      </c>
      <c r="AA1300" s="5">
        <v>0</v>
      </c>
      <c r="AB1300" s="5">
        <v>0</v>
      </c>
      <c r="AC1300" s="5">
        <v>0</v>
      </c>
      <c r="AD1300" s="5">
        <v>0</v>
      </c>
      <c r="AE1300" s="10" t="s">
        <v>73</v>
      </c>
      <c r="AF1300" s="10"/>
      <c r="AG1300" s="10" t="s">
        <v>333</v>
      </c>
      <c r="AH1300" s="10" t="s">
        <v>50</v>
      </c>
      <c r="AI1300" s="5">
        <v>0</v>
      </c>
      <c r="AJ1300" s="10" t="s">
        <v>7241</v>
      </c>
      <c r="AK1300" s="10" t="s">
        <v>50</v>
      </c>
    </row>
    <row r="1301" spans="1:37" ht="36.75" customHeight="1" x14ac:dyDescent="0.35">
      <c r="A1301" s="5"/>
      <c r="B1301" s="5" t="s">
        <v>37</v>
      </c>
      <c r="C1301" s="73" t="str">
        <f t="shared" si="20"/>
        <v>Closed</v>
      </c>
      <c r="D1301" s="45" t="s">
        <v>7242</v>
      </c>
      <c r="E1301" s="54" t="s">
        <v>7243</v>
      </c>
      <c r="F1301" s="5" t="s">
        <v>1919</v>
      </c>
      <c r="G1301" s="10">
        <f>DATE(2012,3,6)</f>
        <v>40974</v>
      </c>
      <c r="H1301" s="35">
        <v>1.625</v>
      </c>
      <c r="I1301" s="5" t="s">
        <v>67</v>
      </c>
      <c r="J1301" s="10" t="s">
        <v>7244</v>
      </c>
      <c r="K1301" s="5" t="s">
        <v>1921</v>
      </c>
      <c r="L1301" s="5" t="s">
        <v>7245</v>
      </c>
      <c r="M1301" s="5" t="s">
        <v>45</v>
      </c>
      <c r="N1301" s="5" t="s">
        <v>70</v>
      </c>
      <c r="O1301" s="5" t="s">
        <v>46</v>
      </c>
      <c r="P1301" s="10" t="s">
        <v>282</v>
      </c>
      <c r="Q1301" s="10" t="s">
        <v>1923</v>
      </c>
      <c r="R1301" s="10" t="s">
        <v>1923</v>
      </c>
      <c r="S1301" s="5">
        <v>0</v>
      </c>
      <c r="T1301" s="37">
        <v>0</v>
      </c>
      <c r="U1301" s="5">
        <v>0</v>
      </c>
      <c r="V1301" s="37">
        <v>0</v>
      </c>
      <c r="W1301" s="5">
        <v>0</v>
      </c>
      <c r="X1301" s="5">
        <v>0</v>
      </c>
      <c r="Y1301" s="5">
        <v>0</v>
      </c>
      <c r="Z1301" s="37">
        <v>0</v>
      </c>
      <c r="AA1301" s="5">
        <v>0</v>
      </c>
      <c r="AB1301" s="5">
        <v>0</v>
      </c>
      <c r="AC1301" s="5">
        <v>0</v>
      </c>
      <c r="AD1301" s="5">
        <v>0</v>
      </c>
      <c r="AE1301" s="10" t="s">
        <v>73</v>
      </c>
      <c r="AF1301" s="10"/>
      <c r="AG1301" s="10" t="s">
        <v>333</v>
      </c>
      <c r="AH1301" s="10">
        <v>40981</v>
      </c>
      <c r="AI1301" s="5">
        <v>6</v>
      </c>
      <c r="AJ1301" s="10" t="s">
        <v>7246</v>
      </c>
      <c r="AK1301" s="10" t="s">
        <v>50</v>
      </c>
    </row>
    <row r="1302" spans="1:37" ht="36.75" customHeight="1" x14ac:dyDescent="0.35">
      <c r="A1302" s="5"/>
      <c r="B1302" s="5" t="s">
        <v>37</v>
      </c>
      <c r="C1302" s="73" t="str">
        <f t="shared" si="20"/>
        <v>Closed</v>
      </c>
      <c r="D1302" s="45" t="s">
        <v>7247</v>
      </c>
      <c r="E1302" s="54" t="s">
        <v>7248</v>
      </c>
      <c r="F1302" s="5" t="s">
        <v>1919</v>
      </c>
      <c r="G1302" s="10">
        <f>DATE(2012,3,6)</f>
        <v>40974</v>
      </c>
      <c r="H1302" s="35">
        <v>1.3333333333333333</v>
      </c>
      <c r="I1302" s="5" t="s">
        <v>67</v>
      </c>
      <c r="J1302" s="10" t="s">
        <v>7249</v>
      </c>
      <c r="K1302" s="5" t="s">
        <v>1921</v>
      </c>
      <c r="L1302" s="5" t="s">
        <v>7250</v>
      </c>
      <c r="M1302" s="5" t="s">
        <v>45</v>
      </c>
      <c r="N1302" s="5" t="s">
        <v>123</v>
      </c>
      <c r="O1302" s="5" t="s">
        <v>59</v>
      </c>
      <c r="P1302" s="10" t="s">
        <v>146</v>
      </c>
      <c r="Q1302" s="10" t="s">
        <v>1923</v>
      </c>
      <c r="R1302" s="10" t="s">
        <v>1923</v>
      </c>
      <c r="S1302" s="5">
        <v>0</v>
      </c>
      <c r="T1302" s="37">
        <v>0</v>
      </c>
      <c r="U1302" s="5">
        <v>0</v>
      </c>
      <c r="V1302" s="37">
        <v>0</v>
      </c>
      <c r="W1302" s="5">
        <v>0</v>
      </c>
      <c r="X1302" s="5">
        <v>0</v>
      </c>
      <c r="Y1302" s="5">
        <v>0</v>
      </c>
      <c r="Z1302" s="37">
        <v>0</v>
      </c>
      <c r="AA1302" s="5">
        <v>0</v>
      </c>
      <c r="AB1302" s="5">
        <v>0</v>
      </c>
      <c r="AC1302" s="5">
        <v>0</v>
      </c>
      <c r="AD1302" s="5">
        <v>0</v>
      </c>
      <c r="AE1302" s="10" t="s">
        <v>73</v>
      </c>
      <c r="AF1302" s="10"/>
      <c r="AG1302" s="10" t="s">
        <v>114</v>
      </c>
      <c r="AH1302" s="10">
        <v>40980</v>
      </c>
      <c r="AI1302" s="5">
        <v>3</v>
      </c>
      <c r="AJ1302" s="10" t="s">
        <v>7251</v>
      </c>
      <c r="AK1302" s="10" t="s">
        <v>7252</v>
      </c>
    </row>
    <row r="1303" spans="1:37" ht="36.75" customHeight="1" x14ac:dyDescent="0.35">
      <c r="A1303" s="5"/>
      <c r="B1303" s="5" t="s">
        <v>37</v>
      </c>
      <c r="C1303" s="73" t="str">
        <f t="shared" si="20"/>
        <v>Closed</v>
      </c>
      <c r="D1303" s="45" t="s">
        <v>7253</v>
      </c>
      <c r="E1303" s="54" t="s">
        <v>7254</v>
      </c>
      <c r="F1303" s="5" t="s">
        <v>619</v>
      </c>
      <c r="G1303" s="10">
        <f>DATE(2012,3,12)</f>
        <v>40980</v>
      </c>
      <c r="H1303" s="35">
        <v>1.4791666666666667</v>
      </c>
      <c r="I1303" s="5" t="s">
        <v>137</v>
      </c>
      <c r="J1303" s="10" t="s">
        <v>7255</v>
      </c>
      <c r="K1303" s="5" t="s">
        <v>621</v>
      </c>
      <c r="L1303" s="5" t="s">
        <v>7256</v>
      </c>
      <c r="M1303" s="5" t="s">
        <v>45</v>
      </c>
      <c r="N1303" s="5" t="s">
        <v>123</v>
      </c>
      <c r="O1303" s="5" t="s">
        <v>59</v>
      </c>
      <c r="P1303" s="10" t="s">
        <v>47</v>
      </c>
      <c r="Q1303" s="10" t="s">
        <v>623</v>
      </c>
      <c r="R1303" s="10" t="s">
        <v>624</v>
      </c>
      <c r="S1303" s="5">
        <v>0</v>
      </c>
      <c r="T1303" s="37">
        <v>0</v>
      </c>
      <c r="U1303" s="5">
        <v>0</v>
      </c>
      <c r="V1303" s="37">
        <v>0</v>
      </c>
      <c r="W1303" s="5">
        <v>0</v>
      </c>
      <c r="X1303" s="5">
        <v>0</v>
      </c>
      <c r="Y1303" s="5">
        <v>0</v>
      </c>
      <c r="Z1303" s="37">
        <v>0</v>
      </c>
      <c r="AA1303" s="5">
        <v>0</v>
      </c>
      <c r="AB1303" s="5">
        <v>0</v>
      </c>
      <c r="AC1303" s="5">
        <v>0</v>
      </c>
      <c r="AD1303" s="5">
        <v>0</v>
      </c>
      <c r="AE1303" s="10" t="s">
        <v>50</v>
      </c>
      <c r="AF1303" s="10"/>
      <c r="AG1303" s="10" t="s">
        <v>333</v>
      </c>
      <c r="AH1303" s="10">
        <v>40995</v>
      </c>
      <c r="AI1303" s="5">
        <v>2</v>
      </c>
      <c r="AJ1303" s="10" t="s">
        <v>7257</v>
      </c>
      <c r="AK1303" s="10" t="s">
        <v>50</v>
      </c>
    </row>
    <row r="1304" spans="1:37" ht="36.75" customHeight="1" x14ac:dyDescent="0.35">
      <c r="A1304" s="5"/>
      <c r="B1304" s="5" t="s">
        <v>37</v>
      </c>
      <c r="C1304" s="73" t="str">
        <f t="shared" si="20"/>
        <v>Closed</v>
      </c>
      <c r="D1304" s="45" t="s">
        <v>7258</v>
      </c>
      <c r="E1304" s="54" t="s">
        <v>7259</v>
      </c>
      <c r="F1304" s="5" t="s">
        <v>119</v>
      </c>
      <c r="G1304" s="10">
        <f>DATE(2012,3,12)</f>
        <v>40980</v>
      </c>
      <c r="H1304" s="35">
        <v>0</v>
      </c>
      <c r="I1304" s="5" t="s">
        <v>259</v>
      </c>
      <c r="J1304" s="10" t="s">
        <v>7260</v>
      </c>
      <c r="K1304" s="5" t="s">
        <v>121</v>
      </c>
      <c r="L1304" s="5" t="s">
        <v>121</v>
      </c>
      <c r="M1304" s="5" t="s">
        <v>45</v>
      </c>
      <c r="N1304" s="5" t="s">
        <v>123</v>
      </c>
      <c r="O1304" s="5" t="s">
        <v>46</v>
      </c>
      <c r="P1304" s="10" t="s">
        <v>67</v>
      </c>
      <c r="Q1304" s="10" t="s">
        <v>121</v>
      </c>
      <c r="R1304" s="10" t="s">
        <v>4913</v>
      </c>
      <c r="S1304" s="5">
        <v>0</v>
      </c>
      <c r="T1304" s="37">
        <v>0</v>
      </c>
      <c r="U1304" s="5">
        <v>0</v>
      </c>
      <c r="V1304" s="37">
        <v>0</v>
      </c>
      <c r="W1304" s="5">
        <v>0</v>
      </c>
      <c r="X1304" s="5">
        <v>0</v>
      </c>
      <c r="Y1304" s="5">
        <v>0</v>
      </c>
      <c r="Z1304" s="37">
        <v>0</v>
      </c>
      <c r="AA1304" s="5">
        <v>0</v>
      </c>
      <c r="AB1304" s="5">
        <v>0</v>
      </c>
      <c r="AC1304" s="5">
        <v>0</v>
      </c>
      <c r="AD1304" s="5">
        <v>0</v>
      </c>
      <c r="AE1304" s="10" t="s">
        <v>375</v>
      </c>
      <c r="AF1304" s="10"/>
      <c r="AG1304" s="10" t="s">
        <v>333</v>
      </c>
      <c r="AH1304" s="10">
        <v>41233</v>
      </c>
      <c r="AI1304" s="5">
        <v>6</v>
      </c>
      <c r="AJ1304" s="10" t="s">
        <v>7261</v>
      </c>
      <c r="AK1304" s="10" t="s">
        <v>7262</v>
      </c>
    </row>
    <row r="1305" spans="1:37" ht="36.75" customHeight="1" x14ac:dyDescent="0.35">
      <c r="A1305" s="5"/>
      <c r="B1305" s="5" t="s">
        <v>887</v>
      </c>
      <c r="C1305" s="73" t="str">
        <f t="shared" si="20"/>
        <v>Open</v>
      </c>
      <c r="D1305" s="45" t="s">
        <v>7263</v>
      </c>
      <c r="E1305" s="54" t="s">
        <v>7264</v>
      </c>
      <c r="F1305" s="5" t="s">
        <v>5662</v>
      </c>
      <c r="G1305" s="10">
        <f>DATE(2012,3,14)</f>
        <v>40982</v>
      </c>
      <c r="H1305" s="35">
        <v>1.6354166666666665</v>
      </c>
      <c r="I1305" s="5" t="s">
        <v>259</v>
      </c>
      <c r="J1305" s="10" t="s">
        <v>7265</v>
      </c>
      <c r="K1305" s="5" t="s">
        <v>5664</v>
      </c>
      <c r="L1305" s="5" t="s">
        <v>7266</v>
      </c>
      <c r="M1305" s="5" t="s">
        <v>45</v>
      </c>
      <c r="N1305" s="5">
        <v>0</v>
      </c>
      <c r="O1305" s="5" t="s">
        <v>46</v>
      </c>
      <c r="P1305" s="10" t="s">
        <v>60</v>
      </c>
      <c r="Q1305" s="10" t="s">
        <v>5666</v>
      </c>
      <c r="R1305" s="10" t="s">
        <v>5667</v>
      </c>
      <c r="S1305" s="5">
        <v>0</v>
      </c>
      <c r="T1305" s="37">
        <v>0</v>
      </c>
      <c r="U1305" s="5">
        <v>0</v>
      </c>
      <c r="V1305" s="37">
        <v>1</v>
      </c>
      <c r="W1305" s="5">
        <v>0</v>
      </c>
      <c r="X1305" s="5">
        <v>1</v>
      </c>
      <c r="Y1305" s="5">
        <v>0</v>
      </c>
      <c r="Z1305" s="37">
        <v>0</v>
      </c>
      <c r="AA1305" s="5">
        <v>0</v>
      </c>
      <c r="AB1305" s="5">
        <v>0</v>
      </c>
      <c r="AC1305" s="5">
        <v>0</v>
      </c>
      <c r="AD1305" s="5">
        <v>0</v>
      </c>
      <c r="AE1305" s="10" t="s">
        <v>50</v>
      </c>
      <c r="AF1305" s="10"/>
      <c r="AG1305" s="10" t="s">
        <v>64</v>
      </c>
      <c r="AH1305" s="10" t="s">
        <v>50</v>
      </c>
      <c r="AI1305" s="5">
        <v>0</v>
      </c>
      <c r="AJ1305" s="10" t="s">
        <v>50</v>
      </c>
      <c r="AK1305" s="10" t="s">
        <v>50</v>
      </c>
    </row>
    <row r="1306" spans="1:37" ht="36.75" customHeight="1" x14ac:dyDescent="0.35">
      <c r="A1306" s="5"/>
      <c r="B1306" s="5" t="s">
        <v>37</v>
      </c>
      <c r="C1306" s="73" t="str">
        <f t="shared" si="20"/>
        <v>Closed</v>
      </c>
      <c r="D1306" s="45" t="s">
        <v>7267</v>
      </c>
      <c r="E1306" s="54" t="s">
        <v>7268</v>
      </c>
      <c r="F1306" s="5" t="s">
        <v>816</v>
      </c>
      <c r="G1306" s="10">
        <f>DATE(2012,3,14)</f>
        <v>40982</v>
      </c>
      <c r="H1306" s="35">
        <v>1.78125</v>
      </c>
      <c r="I1306" s="5" t="s">
        <v>179</v>
      </c>
      <c r="J1306" s="10" t="s">
        <v>7269</v>
      </c>
      <c r="K1306" s="5" t="s">
        <v>818</v>
      </c>
      <c r="L1306" s="5" t="s">
        <v>7270</v>
      </c>
      <c r="M1306" s="5" t="s">
        <v>45</v>
      </c>
      <c r="N1306" s="5" t="s">
        <v>123</v>
      </c>
      <c r="O1306" s="5" t="s">
        <v>59</v>
      </c>
      <c r="P1306" s="10" t="s">
        <v>197</v>
      </c>
      <c r="Q1306" s="10" t="s">
        <v>5819</v>
      </c>
      <c r="R1306" s="10" t="s">
        <v>821</v>
      </c>
      <c r="S1306" s="5">
        <v>0</v>
      </c>
      <c r="T1306" s="37">
        <v>0</v>
      </c>
      <c r="U1306" s="5">
        <v>0</v>
      </c>
      <c r="V1306" s="37">
        <v>0</v>
      </c>
      <c r="W1306" s="5">
        <v>0</v>
      </c>
      <c r="X1306" s="5">
        <v>0</v>
      </c>
      <c r="Y1306" s="5">
        <v>0</v>
      </c>
      <c r="Z1306" s="37">
        <v>0</v>
      </c>
      <c r="AA1306" s="5">
        <v>0</v>
      </c>
      <c r="AB1306" s="5">
        <v>0</v>
      </c>
      <c r="AC1306" s="5">
        <v>0</v>
      </c>
      <c r="AD1306" s="5">
        <v>0</v>
      </c>
      <c r="AE1306" s="10" t="s">
        <v>73</v>
      </c>
      <c r="AF1306" s="10"/>
      <c r="AG1306" s="10" t="s">
        <v>333</v>
      </c>
      <c r="AH1306" s="10">
        <v>40983</v>
      </c>
      <c r="AI1306" s="5">
        <v>5</v>
      </c>
      <c r="AJ1306" s="10" t="s">
        <v>7271</v>
      </c>
      <c r="AK1306" s="10" t="s">
        <v>7272</v>
      </c>
    </row>
    <row r="1307" spans="1:37" ht="36.75" customHeight="1" x14ac:dyDescent="0.35">
      <c r="A1307" s="5"/>
      <c r="B1307" s="5" t="s">
        <v>37</v>
      </c>
      <c r="C1307" s="73" t="str">
        <f t="shared" si="20"/>
        <v>Closed</v>
      </c>
      <c r="D1307" s="45" t="s">
        <v>7273</v>
      </c>
      <c r="E1307" s="54" t="s">
        <v>7274</v>
      </c>
      <c r="F1307" s="5" t="s">
        <v>816</v>
      </c>
      <c r="G1307" s="10">
        <f>DATE(2012,3,15)</f>
        <v>40983</v>
      </c>
      <c r="H1307" s="35">
        <v>1.2972222222222223</v>
      </c>
      <c r="I1307" s="5" t="s">
        <v>85</v>
      </c>
      <c r="J1307" s="10" t="s">
        <v>7275</v>
      </c>
      <c r="K1307" s="5" t="s">
        <v>818</v>
      </c>
      <c r="L1307" s="5" t="s">
        <v>7276</v>
      </c>
      <c r="M1307" s="5" t="s">
        <v>45</v>
      </c>
      <c r="N1307" s="5" t="s">
        <v>123</v>
      </c>
      <c r="O1307" s="5" t="s">
        <v>59</v>
      </c>
      <c r="P1307" s="10" t="s">
        <v>146</v>
      </c>
      <c r="Q1307" s="10" t="s">
        <v>2142</v>
      </c>
      <c r="R1307" s="10" t="s">
        <v>821</v>
      </c>
      <c r="S1307" s="5">
        <v>0</v>
      </c>
      <c r="T1307" s="37">
        <v>0</v>
      </c>
      <c r="U1307" s="5">
        <v>0</v>
      </c>
      <c r="V1307" s="37">
        <v>0</v>
      </c>
      <c r="W1307" s="5">
        <v>0</v>
      </c>
      <c r="X1307" s="5">
        <v>0</v>
      </c>
      <c r="Y1307" s="5">
        <v>0</v>
      </c>
      <c r="Z1307" s="37">
        <v>0</v>
      </c>
      <c r="AA1307" s="5">
        <v>0</v>
      </c>
      <c r="AB1307" s="5">
        <v>0</v>
      </c>
      <c r="AC1307" s="5">
        <v>0</v>
      </c>
      <c r="AD1307" s="5">
        <v>0</v>
      </c>
      <c r="AE1307" s="10" t="s">
        <v>73</v>
      </c>
      <c r="AF1307" s="10"/>
      <c r="AG1307" s="10" t="s">
        <v>333</v>
      </c>
      <c r="AH1307" s="10" t="s">
        <v>50</v>
      </c>
      <c r="AI1307" s="5">
        <v>0</v>
      </c>
      <c r="AJ1307" s="10" t="s">
        <v>7277</v>
      </c>
      <c r="AK1307" s="10" t="s">
        <v>50</v>
      </c>
    </row>
    <row r="1308" spans="1:37" ht="36.75" customHeight="1" x14ac:dyDescent="0.35">
      <c r="A1308" s="5"/>
      <c r="B1308" s="5" t="s">
        <v>37</v>
      </c>
      <c r="C1308" s="73" t="str">
        <f t="shared" si="20"/>
        <v>Closed</v>
      </c>
      <c r="D1308" s="45" t="s">
        <v>7278</v>
      </c>
      <c r="E1308" s="54" t="s">
        <v>7279</v>
      </c>
      <c r="F1308" s="5" t="s">
        <v>1553</v>
      </c>
      <c r="G1308" s="10">
        <f>DATE(2012,3,15)</f>
        <v>40983</v>
      </c>
      <c r="H1308" s="35">
        <v>1.9368055555555554</v>
      </c>
      <c r="I1308" s="5" t="s">
        <v>55</v>
      </c>
      <c r="J1308" s="10" t="s">
        <v>7280</v>
      </c>
      <c r="K1308" s="5" t="s">
        <v>1555</v>
      </c>
      <c r="L1308" s="5" t="s">
        <v>7281</v>
      </c>
      <c r="M1308" s="5" t="s">
        <v>45</v>
      </c>
      <c r="N1308" s="5">
        <v>0</v>
      </c>
      <c r="O1308" s="5" t="s">
        <v>59</v>
      </c>
      <c r="P1308" s="10" t="s">
        <v>60</v>
      </c>
      <c r="Q1308" s="10" t="s">
        <v>2635</v>
      </c>
      <c r="R1308" s="10">
        <v>0</v>
      </c>
      <c r="S1308" s="5">
        <v>0</v>
      </c>
      <c r="T1308" s="37">
        <v>0</v>
      </c>
      <c r="U1308" s="5">
        <v>0</v>
      </c>
      <c r="V1308" s="37">
        <v>0</v>
      </c>
      <c r="W1308" s="5">
        <v>0</v>
      </c>
      <c r="X1308" s="5">
        <v>0</v>
      </c>
      <c r="Y1308" s="5">
        <v>0</v>
      </c>
      <c r="Z1308" s="37">
        <v>0</v>
      </c>
      <c r="AA1308" s="5">
        <v>0</v>
      </c>
      <c r="AB1308" s="5">
        <v>0</v>
      </c>
      <c r="AC1308" s="5">
        <v>0</v>
      </c>
      <c r="AD1308" s="5">
        <v>0</v>
      </c>
      <c r="AE1308" s="10" t="s">
        <v>73</v>
      </c>
      <c r="AF1308" s="10"/>
      <c r="AG1308" s="10" t="s">
        <v>333</v>
      </c>
      <c r="AH1308" s="10">
        <v>40987</v>
      </c>
      <c r="AI1308" s="5">
        <v>0</v>
      </c>
      <c r="AJ1308" s="10" t="s">
        <v>7282</v>
      </c>
      <c r="AK1308" s="10" t="s">
        <v>6893</v>
      </c>
    </row>
    <row r="1309" spans="1:37" ht="36.75" customHeight="1" x14ac:dyDescent="0.35">
      <c r="A1309" s="5"/>
      <c r="B1309" s="5" t="s">
        <v>37</v>
      </c>
      <c r="C1309" s="73" t="str">
        <f t="shared" si="20"/>
        <v>Closed</v>
      </c>
      <c r="D1309" s="45" t="s">
        <v>7283</v>
      </c>
      <c r="E1309" s="54" t="s">
        <v>7284</v>
      </c>
      <c r="F1309" s="5" t="s">
        <v>214</v>
      </c>
      <c r="G1309" s="10">
        <f>DATE(2012,3,19)</f>
        <v>40987</v>
      </c>
      <c r="H1309" s="35">
        <v>1.8104166666666668</v>
      </c>
      <c r="I1309" s="5" t="s">
        <v>67</v>
      </c>
      <c r="J1309" s="10" t="s">
        <v>7285</v>
      </c>
      <c r="K1309" s="5" t="s">
        <v>216</v>
      </c>
      <c r="L1309" s="5" t="s">
        <v>7286</v>
      </c>
      <c r="M1309" s="5" t="s">
        <v>45</v>
      </c>
      <c r="N1309" s="5">
        <v>0</v>
      </c>
      <c r="O1309" s="5" t="s">
        <v>46</v>
      </c>
      <c r="P1309" s="10" t="s">
        <v>282</v>
      </c>
      <c r="Q1309" s="10" t="s">
        <v>7287</v>
      </c>
      <c r="R1309" s="10" t="s">
        <v>219</v>
      </c>
      <c r="S1309" s="5">
        <v>0</v>
      </c>
      <c r="T1309" s="37">
        <v>0</v>
      </c>
      <c r="U1309" s="5">
        <v>0</v>
      </c>
      <c r="V1309" s="37">
        <v>0</v>
      </c>
      <c r="W1309" s="5">
        <v>0</v>
      </c>
      <c r="X1309" s="5">
        <v>0</v>
      </c>
      <c r="Y1309" s="5">
        <v>0</v>
      </c>
      <c r="Z1309" s="37">
        <v>0</v>
      </c>
      <c r="AA1309" s="5">
        <v>0</v>
      </c>
      <c r="AB1309" s="5">
        <v>0</v>
      </c>
      <c r="AC1309" s="5">
        <v>0</v>
      </c>
      <c r="AD1309" s="5">
        <v>0</v>
      </c>
      <c r="AE1309" s="10" t="s">
        <v>73</v>
      </c>
      <c r="AF1309" s="10"/>
      <c r="AG1309" s="10" t="s">
        <v>114</v>
      </c>
      <c r="AH1309" s="10" t="s">
        <v>50</v>
      </c>
      <c r="AI1309" s="5">
        <v>7</v>
      </c>
      <c r="AJ1309" s="10" t="s">
        <v>7288</v>
      </c>
      <c r="AK1309" s="10" t="s">
        <v>7289</v>
      </c>
    </row>
    <row r="1310" spans="1:37" ht="36.75" customHeight="1" x14ac:dyDescent="0.35">
      <c r="A1310" s="5"/>
      <c r="B1310" s="5" t="s">
        <v>37</v>
      </c>
      <c r="C1310" s="73" t="str">
        <f t="shared" si="20"/>
        <v>Closed</v>
      </c>
      <c r="D1310" s="45" t="s">
        <v>7290</v>
      </c>
      <c r="E1310" s="54" t="s">
        <v>7291</v>
      </c>
      <c r="F1310" s="5" t="s">
        <v>178</v>
      </c>
      <c r="G1310" s="10">
        <f>DATE(2012,3,20)</f>
        <v>40988</v>
      </c>
      <c r="H1310" s="35">
        <v>0</v>
      </c>
      <c r="I1310" s="5" t="s">
        <v>97</v>
      </c>
      <c r="J1310" s="10" t="s">
        <v>7292</v>
      </c>
      <c r="K1310" s="5" t="s">
        <v>181</v>
      </c>
      <c r="L1310" s="5" t="s">
        <v>7293</v>
      </c>
      <c r="M1310" s="5" t="s">
        <v>45</v>
      </c>
      <c r="N1310" s="5" t="s">
        <v>123</v>
      </c>
      <c r="O1310" s="5" t="s">
        <v>67</v>
      </c>
      <c r="P1310" s="10" t="s">
        <v>47</v>
      </c>
      <c r="Q1310" s="10" t="s">
        <v>181</v>
      </c>
      <c r="R1310" s="10" t="s">
        <v>181</v>
      </c>
      <c r="S1310" s="5">
        <v>0</v>
      </c>
      <c r="T1310" s="37">
        <v>0</v>
      </c>
      <c r="U1310" s="5">
        <v>0</v>
      </c>
      <c r="V1310" s="37">
        <v>0</v>
      </c>
      <c r="W1310" s="5">
        <v>0</v>
      </c>
      <c r="X1310" s="5">
        <v>0</v>
      </c>
      <c r="Y1310" s="5">
        <v>0</v>
      </c>
      <c r="Z1310" s="37">
        <v>0</v>
      </c>
      <c r="AA1310" s="5">
        <v>1</v>
      </c>
      <c r="AB1310" s="5">
        <v>0</v>
      </c>
      <c r="AC1310" s="5">
        <v>0</v>
      </c>
      <c r="AD1310" s="5">
        <v>1</v>
      </c>
      <c r="AE1310" s="10" t="s">
        <v>375</v>
      </c>
      <c r="AF1310" s="10"/>
      <c r="AG1310" s="10" t="s">
        <v>114</v>
      </c>
      <c r="AH1310" s="10">
        <v>40988</v>
      </c>
      <c r="AI1310" s="5">
        <v>2</v>
      </c>
      <c r="AJ1310" s="10" t="s">
        <v>7294</v>
      </c>
      <c r="AK1310" s="10" t="s">
        <v>7295</v>
      </c>
    </row>
    <row r="1311" spans="1:37" ht="36.75" customHeight="1" x14ac:dyDescent="0.35">
      <c r="A1311" s="5"/>
      <c r="B1311" s="5" t="s">
        <v>37</v>
      </c>
      <c r="C1311" s="73" t="str">
        <f t="shared" si="20"/>
        <v>Closed</v>
      </c>
      <c r="D1311" s="45" t="s">
        <v>7296</v>
      </c>
      <c r="E1311" s="54" t="s">
        <v>7297</v>
      </c>
      <c r="F1311" s="5" t="s">
        <v>178</v>
      </c>
      <c r="G1311" s="10">
        <f>DATE(2012,3,20)</f>
        <v>40988</v>
      </c>
      <c r="H1311" s="35">
        <v>1.8687499999999999</v>
      </c>
      <c r="I1311" s="5" t="s">
        <v>97</v>
      </c>
      <c r="J1311" s="10" t="s">
        <v>7298</v>
      </c>
      <c r="K1311" s="5" t="s">
        <v>181</v>
      </c>
      <c r="L1311" s="5" t="s">
        <v>7299</v>
      </c>
      <c r="M1311" s="5" t="s">
        <v>45</v>
      </c>
      <c r="N1311" s="5" t="s">
        <v>123</v>
      </c>
      <c r="O1311" s="5" t="s">
        <v>46</v>
      </c>
      <c r="P1311" s="10" t="s">
        <v>146</v>
      </c>
      <c r="Q1311" s="10">
        <v>0</v>
      </c>
      <c r="R1311" s="10">
        <v>0</v>
      </c>
      <c r="S1311" s="5">
        <v>0</v>
      </c>
      <c r="T1311" s="37">
        <v>0</v>
      </c>
      <c r="U1311" s="5">
        <v>0</v>
      </c>
      <c r="V1311" s="37">
        <v>0</v>
      </c>
      <c r="W1311" s="5">
        <v>0</v>
      </c>
      <c r="X1311" s="5">
        <v>0</v>
      </c>
      <c r="Y1311" s="5">
        <v>0</v>
      </c>
      <c r="Z1311" s="37">
        <v>0</v>
      </c>
      <c r="AA1311" s="5">
        <v>1</v>
      </c>
      <c r="AB1311" s="5">
        <v>0</v>
      </c>
      <c r="AC1311" s="5">
        <v>0</v>
      </c>
      <c r="AD1311" s="5">
        <v>1</v>
      </c>
      <c r="AE1311" s="10" t="s">
        <v>73</v>
      </c>
      <c r="AF1311" s="10"/>
      <c r="AG1311" s="10" t="s">
        <v>114</v>
      </c>
      <c r="AH1311" s="10">
        <v>40995</v>
      </c>
      <c r="AI1311" s="5">
        <v>0</v>
      </c>
      <c r="AJ1311" s="10" t="s">
        <v>7300</v>
      </c>
      <c r="AK1311" s="10" t="s">
        <v>1215</v>
      </c>
    </row>
    <row r="1312" spans="1:37" ht="36.75" customHeight="1" x14ac:dyDescent="0.35">
      <c r="A1312" s="5"/>
      <c r="B1312" s="5" t="s">
        <v>37</v>
      </c>
      <c r="C1312" s="73" t="str">
        <f t="shared" si="20"/>
        <v>Closed</v>
      </c>
      <c r="D1312" s="45" t="s">
        <v>7301</v>
      </c>
      <c r="E1312" s="54" t="s">
        <v>7302</v>
      </c>
      <c r="F1312" s="5" t="s">
        <v>178</v>
      </c>
      <c r="G1312" s="10">
        <f>DATE(2012,3,21)</f>
        <v>40989</v>
      </c>
      <c r="H1312" s="35">
        <v>0</v>
      </c>
      <c r="I1312" s="5" t="s">
        <v>97</v>
      </c>
      <c r="J1312" s="10" t="s">
        <v>7303</v>
      </c>
      <c r="K1312" s="5" t="s">
        <v>181</v>
      </c>
      <c r="L1312" s="5" t="s">
        <v>7304</v>
      </c>
      <c r="M1312" s="5" t="s">
        <v>45</v>
      </c>
      <c r="N1312" s="5" t="s">
        <v>80</v>
      </c>
      <c r="O1312" s="5" t="s">
        <v>46</v>
      </c>
      <c r="P1312" s="10" t="s">
        <v>60</v>
      </c>
      <c r="Q1312" s="10" t="s">
        <v>1697</v>
      </c>
      <c r="R1312" s="10" t="s">
        <v>184</v>
      </c>
      <c r="S1312" s="5">
        <v>0</v>
      </c>
      <c r="T1312" s="37">
        <v>0</v>
      </c>
      <c r="U1312" s="5">
        <v>1</v>
      </c>
      <c r="V1312" s="37">
        <v>0</v>
      </c>
      <c r="W1312" s="5">
        <v>0</v>
      </c>
      <c r="X1312" s="5">
        <v>1</v>
      </c>
      <c r="Y1312" s="5">
        <v>0</v>
      </c>
      <c r="Z1312" s="37">
        <v>0</v>
      </c>
      <c r="AA1312" s="5">
        <v>0</v>
      </c>
      <c r="AB1312" s="5">
        <v>0</v>
      </c>
      <c r="AC1312" s="5">
        <v>0</v>
      </c>
      <c r="AD1312" s="5">
        <v>0</v>
      </c>
      <c r="AE1312" s="10" t="s">
        <v>73</v>
      </c>
      <c r="AF1312" s="10"/>
      <c r="AG1312" s="10" t="s">
        <v>64</v>
      </c>
      <c r="AH1312" s="10">
        <v>40989</v>
      </c>
      <c r="AI1312" s="5">
        <v>1</v>
      </c>
      <c r="AJ1312" s="10" t="s">
        <v>7220</v>
      </c>
      <c r="AK1312" s="10" t="s">
        <v>50</v>
      </c>
    </row>
    <row r="1313" spans="1:37" ht="36.75" customHeight="1" x14ac:dyDescent="0.35">
      <c r="A1313" s="5"/>
      <c r="B1313" s="5" t="s">
        <v>37</v>
      </c>
      <c r="C1313" s="73" t="str">
        <f t="shared" si="20"/>
        <v>Closed</v>
      </c>
      <c r="D1313" s="45" t="s">
        <v>7305</v>
      </c>
      <c r="E1313" s="54" t="s">
        <v>7306</v>
      </c>
      <c r="F1313" s="5" t="s">
        <v>214</v>
      </c>
      <c r="G1313" s="10">
        <f>DATE(2012,3,22)</f>
        <v>40990</v>
      </c>
      <c r="H1313" s="35">
        <v>1.4</v>
      </c>
      <c r="I1313" s="5" t="s">
        <v>2398</v>
      </c>
      <c r="J1313" s="10" t="s">
        <v>7307</v>
      </c>
      <c r="K1313" s="5" t="s">
        <v>216</v>
      </c>
      <c r="L1313" s="5" t="s">
        <v>7308</v>
      </c>
      <c r="M1313" s="5" t="s">
        <v>45</v>
      </c>
      <c r="N1313" s="5" t="s">
        <v>80</v>
      </c>
      <c r="O1313" s="5" t="s">
        <v>46</v>
      </c>
      <c r="P1313" s="10" t="s">
        <v>60</v>
      </c>
      <c r="Q1313" s="10" t="s">
        <v>699</v>
      </c>
      <c r="R1313" s="10" t="s">
        <v>219</v>
      </c>
      <c r="S1313" s="5">
        <v>0</v>
      </c>
      <c r="T1313" s="37">
        <v>0</v>
      </c>
      <c r="U1313" s="5">
        <v>0</v>
      </c>
      <c r="V1313" s="37">
        <v>0</v>
      </c>
      <c r="W1313" s="5">
        <v>0</v>
      </c>
      <c r="X1313" s="5">
        <v>0</v>
      </c>
      <c r="Y1313" s="5">
        <v>0</v>
      </c>
      <c r="Z1313" s="37">
        <v>0</v>
      </c>
      <c r="AA1313" s="5">
        <v>0</v>
      </c>
      <c r="AB1313" s="5">
        <v>0</v>
      </c>
      <c r="AC1313" s="5">
        <v>0</v>
      </c>
      <c r="AD1313" s="5">
        <v>0</v>
      </c>
      <c r="AE1313" s="10" t="s">
        <v>73</v>
      </c>
      <c r="AF1313" s="10"/>
      <c r="AG1313" s="10" t="s">
        <v>333</v>
      </c>
      <c r="AH1313" s="10">
        <v>41022</v>
      </c>
      <c r="AI1313" s="5">
        <v>5</v>
      </c>
      <c r="AJ1313" s="10" t="s">
        <v>7309</v>
      </c>
      <c r="AK1313" s="10" t="s">
        <v>7310</v>
      </c>
    </row>
    <row r="1314" spans="1:37" ht="36.75" customHeight="1" x14ac:dyDescent="0.35">
      <c r="A1314" s="5"/>
      <c r="B1314" s="5" t="s">
        <v>887</v>
      </c>
      <c r="C1314" s="73" t="str">
        <f t="shared" si="20"/>
        <v>Open</v>
      </c>
      <c r="D1314" s="45" t="s">
        <v>7311</v>
      </c>
      <c r="E1314" s="54" t="s">
        <v>7312</v>
      </c>
      <c r="F1314" s="5" t="s">
        <v>5662</v>
      </c>
      <c r="G1314" s="10">
        <f>DATE(2012,3,24)</f>
        <v>40992</v>
      </c>
      <c r="H1314" s="35">
        <v>1.3541666666666667</v>
      </c>
      <c r="I1314" s="5" t="s">
        <v>97</v>
      </c>
      <c r="J1314" s="10" t="s">
        <v>7313</v>
      </c>
      <c r="K1314" s="5" t="s">
        <v>5664</v>
      </c>
      <c r="L1314" s="5" t="s">
        <v>7314</v>
      </c>
      <c r="M1314" s="5" t="s">
        <v>45</v>
      </c>
      <c r="N1314" s="5">
        <v>0</v>
      </c>
      <c r="O1314" s="5" t="s">
        <v>46</v>
      </c>
      <c r="P1314" s="10" t="s">
        <v>47</v>
      </c>
      <c r="Q1314" s="10" t="s">
        <v>5666</v>
      </c>
      <c r="R1314" s="10" t="s">
        <v>5667</v>
      </c>
      <c r="S1314" s="5">
        <v>0</v>
      </c>
      <c r="T1314" s="37">
        <v>0</v>
      </c>
      <c r="U1314" s="5">
        <v>0</v>
      </c>
      <c r="V1314" s="37">
        <v>0</v>
      </c>
      <c r="W1314" s="5">
        <v>0</v>
      </c>
      <c r="X1314" s="5">
        <v>0</v>
      </c>
      <c r="Y1314" s="5">
        <v>0</v>
      </c>
      <c r="Z1314" s="37">
        <v>0</v>
      </c>
      <c r="AA1314" s="5">
        <v>1</v>
      </c>
      <c r="AB1314" s="5">
        <v>0</v>
      </c>
      <c r="AC1314" s="5">
        <v>0</v>
      </c>
      <c r="AD1314" s="5">
        <v>1</v>
      </c>
      <c r="AE1314" s="10" t="s">
        <v>73</v>
      </c>
      <c r="AF1314" s="10"/>
      <c r="AG1314" s="10" t="s">
        <v>114</v>
      </c>
      <c r="AH1314" s="10" t="s">
        <v>50</v>
      </c>
      <c r="AI1314" s="5">
        <v>0</v>
      </c>
      <c r="AJ1314" s="10" t="s">
        <v>50</v>
      </c>
      <c r="AK1314" s="10" t="s">
        <v>50</v>
      </c>
    </row>
    <row r="1315" spans="1:37" ht="36.75" customHeight="1" x14ac:dyDescent="0.35">
      <c r="A1315" s="5"/>
      <c r="B1315" s="5" t="s">
        <v>37</v>
      </c>
      <c r="C1315" s="73" t="str">
        <f t="shared" si="20"/>
        <v>Closed</v>
      </c>
      <c r="D1315" s="45" t="s">
        <v>7315</v>
      </c>
      <c r="E1315" s="54" t="s">
        <v>7316</v>
      </c>
      <c r="F1315" s="5" t="s">
        <v>1553</v>
      </c>
      <c r="G1315" s="10">
        <f>DATE(2012,3,24)</f>
        <v>40992</v>
      </c>
      <c r="H1315" s="35">
        <v>1.5416666666666665</v>
      </c>
      <c r="I1315" s="5" t="s">
        <v>55</v>
      </c>
      <c r="J1315" s="10" t="s">
        <v>7317</v>
      </c>
      <c r="K1315" s="5" t="s">
        <v>1555</v>
      </c>
      <c r="L1315" s="5" t="s">
        <v>7318</v>
      </c>
      <c r="M1315" s="5" t="s">
        <v>45</v>
      </c>
      <c r="N1315" s="5" t="s">
        <v>70</v>
      </c>
      <c r="O1315" s="5" t="s">
        <v>59</v>
      </c>
      <c r="P1315" s="10" t="s">
        <v>60</v>
      </c>
      <c r="Q1315" s="10" t="s">
        <v>2635</v>
      </c>
      <c r="R1315" s="10">
        <v>0</v>
      </c>
      <c r="S1315" s="5">
        <v>0</v>
      </c>
      <c r="T1315" s="37">
        <v>0</v>
      </c>
      <c r="U1315" s="5">
        <v>0</v>
      </c>
      <c r="V1315" s="37">
        <v>0</v>
      </c>
      <c r="W1315" s="5">
        <v>0</v>
      </c>
      <c r="X1315" s="5">
        <v>0</v>
      </c>
      <c r="Y1315" s="5">
        <v>0</v>
      </c>
      <c r="Z1315" s="37">
        <v>0</v>
      </c>
      <c r="AA1315" s="5">
        <v>0</v>
      </c>
      <c r="AB1315" s="5">
        <v>0</v>
      </c>
      <c r="AC1315" s="5">
        <v>0</v>
      </c>
      <c r="AD1315" s="5">
        <v>0</v>
      </c>
      <c r="AE1315" s="10" t="s">
        <v>73</v>
      </c>
      <c r="AF1315" s="10"/>
      <c r="AG1315" s="10" t="s">
        <v>333</v>
      </c>
      <c r="AH1315" s="10">
        <v>41209</v>
      </c>
      <c r="AI1315" s="5">
        <v>0</v>
      </c>
      <c r="AJ1315" s="10" t="s">
        <v>7319</v>
      </c>
      <c r="AK1315" s="10" t="s">
        <v>5771</v>
      </c>
    </row>
    <row r="1316" spans="1:37" ht="36.75" customHeight="1" x14ac:dyDescent="0.35">
      <c r="A1316" s="5"/>
      <c r="B1316" s="5" t="s">
        <v>37</v>
      </c>
      <c r="C1316" s="73" t="str">
        <f t="shared" si="20"/>
        <v>Closed</v>
      </c>
      <c r="D1316" s="45" t="s">
        <v>7320</v>
      </c>
      <c r="E1316" s="54" t="s">
        <v>7321</v>
      </c>
      <c r="F1316" s="5" t="s">
        <v>1553</v>
      </c>
      <c r="G1316" s="10">
        <f>DATE(2012,3,24)</f>
        <v>40992</v>
      </c>
      <c r="H1316" s="35">
        <v>1.6875</v>
      </c>
      <c r="I1316" s="5" t="s">
        <v>55</v>
      </c>
      <c r="J1316" s="10" t="s">
        <v>7322</v>
      </c>
      <c r="K1316" s="5" t="s">
        <v>1555</v>
      </c>
      <c r="L1316" s="5" t="s">
        <v>7323</v>
      </c>
      <c r="M1316" s="5" t="s">
        <v>45</v>
      </c>
      <c r="N1316" s="5" t="s">
        <v>80</v>
      </c>
      <c r="O1316" s="5" t="s">
        <v>59</v>
      </c>
      <c r="P1316" s="10" t="s">
        <v>146</v>
      </c>
      <c r="Q1316" s="10" t="s">
        <v>2393</v>
      </c>
      <c r="R1316" s="10">
        <v>0</v>
      </c>
      <c r="S1316" s="5">
        <v>0</v>
      </c>
      <c r="T1316" s="37">
        <v>0</v>
      </c>
      <c r="U1316" s="5">
        <v>0</v>
      </c>
      <c r="V1316" s="37">
        <v>0</v>
      </c>
      <c r="W1316" s="5">
        <v>0</v>
      </c>
      <c r="X1316" s="5">
        <v>0</v>
      </c>
      <c r="Y1316" s="5">
        <v>0</v>
      </c>
      <c r="Z1316" s="37">
        <v>0</v>
      </c>
      <c r="AA1316" s="5">
        <v>0</v>
      </c>
      <c r="AB1316" s="5">
        <v>0</v>
      </c>
      <c r="AC1316" s="5">
        <v>0</v>
      </c>
      <c r="AD1316" s="5">
        <v>0</v>
      </c>
      <c r="AE1316" s="10" t="s">
        <v>73</v>
      </c>
      <c r="AF1316" s="10"/>
      <c r="AG1316" s="10" t="s">
        <v>333</v>
      </c>
      <c r="AH1316" s="10">
        <v>40995</v>
      </c>
      <c r="AI1316" s="5">
        <v>0</v>
      </c>
      <c r="AJ1316" s="10" t="s">
        <v>7324</v>
      </c>
      <c r="AK1316" s="10" t="s">
        <v>7325</v>
      </c>
    </row>
    <row r="1317" spans="1:37" ht="36.75" customHeight="1" x14ac:dyDescent="0.35">
      <c r="A1317" s="5"/>
      <c r="B1317" s="5" t="s">
        <v>37</v>
      </c>
      <c r="C1317" s="73" t="str">
        <f t="shared" si="20"/>
        <v>Closed</v>
      </c>
      <c r="D1317" s="45" t="s">
        <v>7326</v>
      </c>
      <c r="E1317" s="54" t="s">
        <v>7327</v>
      </c>
      <c r="F1317" s="5" t="s">
        <v>214</v>
      </c>
      <c r="G1317" s="10">
        <f>DATE(2012,3,25)</f>
        <v>40993</v>
      </c>
      <c r="H1317" s="35">
        <v>1.2854166666666667</v>
      </c>
      <c r="I1317" s="5" t="s">
        <v>137</v>
      </c>
      <c r="J1317" s="10" t="s">
        <v>7328</v>
      </c>
      <c r="K1317" s="5" t="s">
        <v>216</v>
      </c>
      <c r="L1317" s="5" t="s">
        <v>7329</v>
      </c>
      <c r="M1317" s="5" t="s">
        <v>45</v>
      </c>
      <c r="N1317" s="5">
        <v>0</v>
      </c>
      <c r="O1317" s="5" t="s">
        <v>59</v>
      </c>
      <c r="P1317" s="10" t="s">
        <v>67</v>
      </c>
      <c r="Q1317" s="10" t="s">
        <v>699</v>
      </c>
      <c r="R1317" s="10" t="s">
        <v>219</v>
      </c>
      <c r="S1317" s="5">
        <v>0</v>
      </c>
      <c r="T1317" s="37">
        <v>0</v>
      </c>
      <c r="U1317" s="5">
        <v>0</v>
      </c>
      <c r="V1317" s="37">
        <v>0</v>
      </c>
      <c r="W1317" s="5">
        <v>0</v>
      </c>
      <c r="X1317" s="5">
        <v>0</v>
      </c>
      <c r="Y1317" s="5">
        <v>0</v>
      </c>
      <c r="Z1317" s="37">
        <v>0</v>
      </c>
      <c r="AA1317" s="5">
        <v>0</v>
      </c>
      <c r="AB1317" s="5">
        <v>0</v>
      </c>
      <c r="AC1317" s="5">
        <v>0</v>
      </c>
      <c r="AD1317" s="5">
        <v>0</v>
      </c>
      <c r="AE1317" s="10" t="s">
        <v>73</v>
      </c>
      <c r="AF1317" s="10"/>
      <c r="AG1317" s="10" t="s">
        <v>114</v>
      </c>
      <c r="AH1317" s="10" t="s">
        <v>50</v>
      </c>
      <c r="AI1317" s="5">
        <v>5</v>
      </c>
      <c r="AJ1317" s="10" t="s">
        <v>7330</v>
      </c>
      <c r="AK1317" s="10" t="s">
        <v>7331</v>
      </c>
    </row>
    <row r="1318" spans="1:37" ht="36.75" customHeight="1" x14ac:dyDescent="0.35">
      <c r="A1318" s="5"/>
      <c r="B1318" s="5" t="s">
        <v>37</v>
      </c>
      <c r="C1318" s="73" t="str">
        <f t="shared" si="20"/>
        <v>Closed</v>
      </c>
      <c r="D1318" s="45" t="s">
        <v>7332</v>
      </c>
      <c r="E1318" s="54" t="s">
        <v>7333</v>
      </c>
      <c r="F1318" s="5" t="s">
        <v>404</v>
      </c>
      <c r="G1318" s="10">
        <f>DATE(2012,3,29)</f>
        <v>40997</v>
      </c>
      <c r="H1318" s="35">
        <v>1.6319444444444444</v>
      </c>
      <c r="I1318" s="5" t="s">
        <v>6851</v>
      </c>
      <c r="J1318" s="10" t="s">
        <v>7334</v>
      </c>
      <c r="K1318" s="5" t="s">
        <v>406</v>
      </c>
      <c r="L1318" s="5" t="s">
        <v>7335</v>
      </c>
      <c r="M1318" s="5" t="s">
        <v>45</v>
      </c>
      <c r="N1318" s="5" t="s">
        <v>70</v>
      </c>
      <c r="O1318" s="5" t="s">
        <v>59</v>
      </c>
      <c r="P1318" s="10" t="s">
        <v>47</v>
      </c>
      <c r="Q1318" s="10" t="s">
        <v>408</v>
      </c>
      <c r="R1318" s="10" t="s">
        <v>3083</v>
      </c>
      <c r="S1318" s="5">
        <v>0</v>
      </c>
      <c r="T1318" s="37">
        <v>0</v>
      </c>
      <c r="U1318" s="5">
        <v>0</v>
      </c>
      <c r="V1318" s="37">
        <v>0</v>
      </c>
      <c r="W1318" s="5">
        <v>0</v>
      </c>
      <c r="X1318" s="5">
        <v>0</v>
      </c>
      <c r="Y1318" s="5">
        <v>0</v>
      </c>
      <c r="Z1318" s="37">
        <v>0</v>
      </c>
      <c r="AA1318" s="5">
        <v>0</v>
      </c>
      <c r="AB1318" s="5">
        <v>0</v>
      </c>
      <c r="AC1318" s="5">
        <v>0</v>
      </c>
      <c r="AD1318" s="5">
        <v>0</v>
      </c>
      <c r="AE1318" s="10" t="s">
        <v>73</v>
      </c>
      <c r="AF1318" s="10"/>
      <c r="AG1318" s="10" t="s">
        <v>114</v>
      </c>
      <c r="AH1318" s="10">
        <v>41141</v>
      </c>
      <c r="AI1318" s="5">
        <v>8</v>
      </c>
      <c r="AJ1318" s="10" t="s">
        <v>6830</v>
      </c>
      <c r="AK1318" s="10" t="s">
        <v>7336</v>
      </c>
    </row>
    <row r="1319" spans="1:37" ht="36.75" customHeight="1" x14ac:dyDescent="0.35">
      <c r="A1319" s="5"/>
      <c r="B1319" s="5" t="s">
        <v>37</v>
      </c>
      <c r="C1319" s="73" t="str">
        <f t="shared" si="20"/>
        <v>Closed</v>
      </c>
      <c r="D1319" s="45" t="s">
        <v>7337</v>
      </c>
      <c r="E1319" s="54" t="s">
        <v>7338</v>
      </c>
      <c r="F1319" s="5" t="s">
        <v>404</v>
      </c>
      <c r="G1319" s="10">
        <f>DATE(2012,3,31)</f>
        <v>40999</v>
      </c>
      <c r="H1319" s="35">
        <v>1.6437499999999998</v>
      </c>
      <c r="I1319" s="5" t="s">
        <v>179</v>
      </c>
      <c r="J1319" s="10" t="s">
        <v>7339</v>
      </c>
      <c r="K1319" s="5" t="s">
        <v>406</v>
      </c>
      <c r="L1319" s="5" t="s">
        <v>7340</v>
      </c>
      <c r="M1319" s="5" t="s">
        <v>45</v>
      </c>
      <c r="N1319" s="5" t="s">
        <v>80</v>
      </c>
      <c r="O1319" s="5" t="s">
        <v>46</v>
      </c>
      <c r="P1319" s="10" t="s">
        <v>7341</v>
      </c>
      <c r="Q1319" s="10" t="s">
        <v>408</v>
      </c>
      <c r="R1319" s="10" t="s">
        <v>3083</v>
      </c>
      <c r="S1319" s="5">
        <v>0</v>
      </c>
      <c r="T1319" s="37">
        <v>0</v>
      </c>
      <c r="U1319" s="5">
        <v>0</v>
      </c>
      <c r="V1319" s="37">
        <v>0</v>
      </c>
      <c r="W1319" s="5">
        <v>0</v>
      </c>
      <c r="X1319" s="5">
        <v>0</v>
      </c>
      <c r="Y1319" s="5">
        <v>0</v>
      </c>
      <c r="Z1319" s="37">
        <v>0</v>
      </c>
      <c r="AA1319" s="5">
        <v>0</v>
      </c>
      <c r="AB1319" s="5">
        <v>0</v>
      </c>
      <c r="AC1319" s="5">
        <v>0</v>
      </c>
      <c r="AD1319" s="5">
        <v>0</v>
      </c>
      <c r="AE1319" s="10" t="s">
        <v>73</v>
      </c>
      <c r="AF1319" s="10"/>
      <c r="AG1319" s="10" t="s">
        <v>114</v>
      </c>
      <c r="AH1319" s="10">
        <v>41099</v>
      </c>
      <c r="AI1319" s="5">
        <v>3</v>
      </c>
      <c r="AJ1319" s="10" t="s">
        <v>7342</v>
      </c>
      <c r="AK1319" s="10" t="s">
        <v>7343</v>
      </c>
    </row>
    <row r="1320" spans="1:37" ht="36.75" customHeight="1" x14ac:dyDescent="0.35">
      <c r="A1320" s="5"/>
      <c r="B1320" s="5" t="s">
        <v>37</v>
      </c>
      <c r="C1320" s="73" t="str">
        <f t="shared" si="20"/>
        <v>Closed</v>
      </c>
      <c r="D1320" s="45" t="s">
        <v>7344</v>
      </c>
      <c r="E1320" s="54" t="s">
        <v>7345</v>
      </c>
      <c r="F1320" s="5" t="s">
        <v>358</v>
      </c>
      <c r="G1320" s="10">
        <f>DATE(2012,3,31)</f>
        <v>40999</v>
      </c>
      <c r="H1320" s="35">
        <v>1.0944444444444446</v>
      </c>
      <c r="I1320" s="5" t="s">
        <v>55</v>
      </c>
      <c r="J1320" s="10" t="s">
        <v>7346</v>
      </c>
      <c r="K1320" s="5" t="s">
        <v>360</v>
      </c>
      <c r="L1320" s="5" t="s">
        <v>7347</v>
      </c>
      <c r="M1320" s="5" t="s">
        <v>45</v>
      </c>
      <c r="N1320" s="5" t="s">
        <v>123</v>
      </c>
      <c r="O1320" s="5" t="s">
        <v>59</v>
      </c>
      <c r="P1320" s="10" t="s">
        <v>60</v>
      </c>
      <c r="Q1320" s="10" t="s">
        <v>2886</v>
      </c>
      <c r="R1320" s="10" t="s">
        <v>363</v>
      </c>
      <c r="S1320" s="5">
        <v>0</v>
      </c>
      <c r="T1320" s="37">
        <v>0</v>
      </c>
      <c r="U1320" s="5">
        <v>0</v>
      </c>
      <c r="V1320" s="37">
        <v>0</v>
      </c>
      <c r="W1320" s="5">
        <v>0</v>
      </c>
      <c r="X1320" s="5">
        <v>0</v>
      </c>
      <c r="Y1320" s="5">
        <v>0</v>
      </c>
      <c r="Z1320" s="37">
        <v>0</v>
      </c>
      <c r="AA1320" s="5">
        <v>0</v>
      </c>
      <c r="AB1320" s="5">
        <v>0</v>
      </c>
      <c r="AC1320" s="5">
        <v>0</v>
      </c>
      <c r="AD1320" s="5">
        <v>0</v>
      </c>
      <c r="AE1320" s="10" t="s">
        <v>73</v>
      </c>
      <c r="AF1320" s="10"/>
      <c r="AG1320" s="10" t="s">
        <v>114</v>
      </c>
      <c r="AH1320" s="10">
        <v>41003</v>
      </c>
      <c r="AI1320" s="5">
        <v>5</v>
      </c>
      <c r="AJ1320" s="10" t="s">
        <v>7348</v>
      </c>
      <c r="AK1320" s="10" t="s">
        <v>7349</v>
      </c>
    </row>
    <row r="1321" spans="1:37" ht="36.75" customHeight="1" x14ac:dyDescent="0.35">
      <c r="A1321" s="5"/>
      <c r="B1321" s="5" t="s">
        <v>37</v>
      </c>
      <c r="C1321" s="73" t="str">
        <f t="shared" si="20"/>
        <v>Closed</v>
      </c>
      <c r="D1321" s="45" t="s">
        <v>7350</v>
      </c>
      <c r="E1321" s="54" t="s">
        <v>7351</v>
      </c>
      <c r="F1321" s="5" t="s">
        <v>1553</v>
      </c>
      <c r="G1321" s="10">
        <f>DATE(2012,4,3)</f>
        <v>41002</v>
      </c>
      <c r="H1321" s="35">
        <v>1.78125</v>
      </c>
      <c r="I1321" s="5" t="s">
        <v>55</v>
      </c>
      <c r="J1321" s="10" t="s">
        <v>7352</v>
      </c>
      <c r="K1321" s="5" t="s">
        <v>1555</v>
      </c>
      <c r="L1321" s="5" t="s">
        <v>7353</v>
      </c>
      <c r="M1321" s="5" t="s">
        <v>45</v>
      </c>
      <c r="N1321" s="5" t="s">
        <v>123</v>
      </c>
      <c r="O1321" s="5" t="s">
        <v>46</v>
      </c>
      <c r="P1321" s="10" t="s">
        <v>60</v>
      </c>
      <c r="Q1321" s="10" t="s">
        <v>5245</v>
      </c>
      <c r="R1321" s="10">
        <v>0</v>
      </c>
      <c r="S1321" s="5">
        <v>0</v>
      </c>
      <c r="T1321" s="37">
        <v>0</v>
      </c>
      <c r="U1321" s="5">
        <v>0</v>
      </c>
      <c r="V1321" s="37">
        <v>0</v>
      </c>
      <c r="W1321" s="5">
        <v>0</v>
      </c>
      <c r="X1321" s="5">
        <v>0</v>
      </c>
      <c r="Y1321" s="5">
        <v>0</v>
      </c>
      <c r="Z1321" s="37">
        <v>0</v>
      </c>
      <c r="AA1321" s="5">
        <v>0</v>
      </c>
      <c r="AB1321" s="5">
        <v>0</v>
      </c>
      <c r="AC1321" s="5">
        <v>0</v>
      </c>
      <c r="AD1321" s="5">
        <v>0</v>
      </c>
      <c r="AE1321" s="10" t="s">
        <v>73</v>
      </c>
      <c r="AF1321" s="10"/>
      <c r="AG1321" s="10" t="s">
        <v>114</v>
      </c>
      <c r="AH1321" s="10">
        <v>41004</v>
      </c>
      <c r="AI1321" s="5">
        <v>0</v>
      </c>
      <c r="AJ1321" s="10" t="s">
        <v>7354</v>
      </c>
      <c r="AK1321" s="10" t="s">
        <v>7355</v>
      </c>
    </row>
    <row r="1322" spans="1:37" ht="36.75" customHeight="1" x14ac:dyDescent="0.35">
      <c r="A1322" s="5"/>
      <c r="B1322" s="5" t="s">
        <v>887</v>
      </c>
      <c r="C1322" s="73" t="str">
        <f t="shared" si="20"/>
        <v>Open</v>
      </c>
      <c r="D1322" s="45" t="s">
        <v>7356</v>
      </c>
      <c r="E1322" s="54" t="s">
        <v>7357</v>
      </c>
      <c r="F1322" s="5" t="s">
        <v>5662</v>
      </c>
      <c r="G1322" s="10">
        <f>DATE(2012,4,4)</f>
        <v>41003</v>
      </c>
      <c r="H1322" s="35">
        <v>1.6875</v>
      </c>
      <c r="I1322" s="5" t="s">
        <v>97</v>
      </c>
      <c r="J1322" s="10" t="s">
        <v>7358</v>
      </c>
      <c r="K1322" s="5" t="s">
        <v>5664</v>
      </c>
      <c r="L1322" s="5" t="s">
        <v>7359</v>
      </c>
      <c r="M1322" s="5" t="s">
        <v>45</v>
      </c>
      <c r="N1322" s="5">
        <v>0</v>
      </c>
      <c r="O1322" s="5" t="s">
        <v>46</v>
      </c>
      <c r="P1322" s="10" t="s">
        <v>47</v>
      </c>
      <c r="Q1322" s="10" t="s">
        <v>5666</v>
      </c>
      <c r="R1322" s="10" t="s">
        <v>5667</v>
      </c>
      <c r="S1322" s="5">
        <v>0</v>
      </c>
      <c r="T1322" s="37">
        <v>0</v>
      </c>
      <c r="U1322" s="5">
        <v>3</v>
      </c>
      <c r="V1322" s="37">
        <v>0</v>
      </c>
      <c r="W1322" s="5">
        <v>0</v>
      </c>
      <c r="X1322" s="5">
        <v>3</v>
      </c>
      <c r="Y1322" s="5">
        <v>0</v>
      </c>
      <c r="Z1322" s="37">
        <v>0</v>
      </c>
      <c r="AA1322" s="5">
        <v>0</v>
      </c>
      <c r="AB1322" s="5">
        <v>0</v>
      </c>
      <c r="AC1322" s="5">
        <v>0</v>
      </c>
      <c r="AD1322" s="5">
        <v>0</v>
      </c>
      <c r="AE1322" s="10" t="s">
        <v>50</v>
      </c>
      <c r="AF1322" s="10"/>
      <c r="AG1322" s="10" t="s">
        <v>64</v>
      </c>
      <c r="AH1322" s="10" t="s">
        <v>50</v>
      </c>
      <c r="AI1322" s="5">
        <v>0</v>
      </c>
      <c r="AJ1322" s="10" t="s">
        <v>50</v>
      </c>
      <c r="AK1322" s="10" t="s">
        <v>50</v>
      </c>
    </row>
    <row r="1323" spans="1:37" ht="36.75" customHeight="1" x14ac:dyDescent="0.35">
      <c r="A1323" s="5"/>
      <c r="B1323" s="5" t="s">
        <v>37</v>
      </c>
      <c r="C1323" s="73" t="str">
        <f t="shared" si="20"/>
        <v>Closed</v>
      </c>
      <c r="D1323" s="45" t="s">
        <v>7360</v>
      </c>
      <c r="E1323" s="54" t="s">
        <v>7361</v>
      </c>
      <c r="F1323" s="5" t="s">
        <v>816</v>
      </c>
      <c r="G1323" s="10">
        <f>DATE(2012,4,4)</f>
        <v>41003</v>
      </c>
      <c r="H1323" s="35">
        <v>1.2250000000000001</v>
      </c>
      <c r="I1323" s="5" t="s">
        <v>179</v>
      </c>
      <c r="J1323" s="10" t="s">
        <v>7362</v>
      </c>
      <c r="K1323" s="5" t="s">
        <v>818</v>
      </c>
      <c r="L1323" s="5" t="s">
        <v>7363</v>
      </c>
      <c r="M1323" s="5" t="s">
        <v>45</v>
      </c>
      <c r="N1323" s="5" t="s">
        <v>123</v>
      </c>
      <c r="O1323" s="5" t="s">
        <v>59</v>
      </c>
      <c r="P1323" s="10" t="s">
        <v>146</v>
      </c>
      <c r="Q1323" s="10" t="s">
        <v>2142</v>
      </c>
      <c r="R1323" s="10" t="s">
        <v>821</v>
      </c>
      <c r="S1323" s="5">
        <v>0</v>
      </c>
      <c r="T1323" s="37">
        <v>0</v>
      </c>
      <c r="U1323" s="5">
        <v>0</v>
      </c>
      <c r="V1323" s="37">
        <v>0</v>
      </c>
      <c r="W1323" s="5">
        <v>0</v>
      </c>
      <c r="X1323" s="5">
        <v>0</v>
      </c>
      <c r="Y1323" s="5">
        <v>0</v>
      </c>
      <c r="Z1323" s="37">
        <v>0</v>
      </c>
      <c r="AA1323" s="5">
        <v>0</v>
      </c>
      <c r="AB1323" s="5">
        <v>0</v>
      </c>
      <c r="AC1323" s="5">
        <v>0</v>
      </c>
      <c r="AD1323" s="5">
        <v>0</v>
      </c>
      <c r="AE1323" s="10" t="s">
        <v>73</v>
      </c>
      <c r="AF1323" s="10"/>
      <c r="AG1323" s="10" t="s">
        <v>333</v>
      </c>
      <c r="AH1323" s="10">
        <v>41025</v>
      </c>
      <c r="AI1323" s="5">
        <v>0</v>
      </c>
      <c r="AJ1323" s="10" t="s">
        <v>7364</v>
      </c>
      <c r="AK1323" s="10" t="s">
        <v>50</v>
      </c>
    </row>
    <row r="1324" spans="1:37" ht="36.75" customHeight="1" x14ac:dyDescent="0.35">
      <c r="A1324" s="5"/>
      <c r="B1324" s="5" t="s">
        <v>887</v>
      </c>
      <c r="C1324" s="73" t="str">
        <f t="shared" si="20"/>
        <v>Open</v>
      </c>
      <c r="D1324" s="45" t="s">
        <v>7365</v>
      </c>
      <c r="E1324" s="54" t="s">
        <v>7366</v>
      </c>
      <c r="F1324" s="5" t="s">
        <v>5662</v>
      </c>
      <c r="G1324" s="10">
        <f>DATE(2012,4,6)</f>
        <v>41005</v>
      </c>
      <c r="H1324" s="35">
        <v>1.5229166666666667</v>
      </c>
      <c r="I1324" s="5" t="s">
        <v>137</v>
      </c>
      <c r="J1324" s="10" t="s">
        <v>7367</v>
      </c>
      <c r="K1324" s="5" t="s">
        <v>5664</v>
      </c>
      <c r="L1324" s="5" t="s">
        <v>7368</v>
      </c>
      <c r="M1324" s="5" t="s">
        <v>45</v>
      </c>
      <c r="N1324" s="5">
        <v>0</v>
      </c>
      <c r="O1324" s="5" t="s">
        <v>46</v>
      </c>
      <c r="P1324" s="10" t="s">
        <v>47</v>
      </c>
      <c r="Q1324" s="10" t="s">
        <v>5666</v>
      </c>
      <c r="R1324" s="10" t="s">
        <v>5667</v>
      </c>
      <c r="S1324" s="5">
        <v>0</v>
      </c>
      <c r="T1324" s="37">
        <v>0</v>
      </c>
      <c r="U1324" s="5">
        <v>0</v>
      </c>
      <c r="V1324" s="37">
        <v>0</v>
      </c>
      <c r="W1324" s="5">
        <v>4</v>
      </c>
      <c r="X1324" s="5">
        <v>4</v>
      </c>
      <c r="Y1324" s="5">
        <v>0</v>
      </c>
      <c r="Z1324" s="37">
        <v>0</v>
      </c>
      <c r="AA1324" s="5">
        <v>0</v>
      </c>
      <c r="AB1324" s="5">
        <v>0</v>
      </c>
      <c r="AC1324" s="5">
        <v>0</v>
      </c>
      <c r="AD1324" s="5">
        <v>0</v>
      </c>
      <c r="AE1324" s="10" t="s">
        <v>50</v>
      </c>
      <c r="AF1324" s="10"/>
      <c r="AG1324" s="10" t="s">
        <v>64</v>
      </c>
      <c r="AH1324" s="10" t="s">
        <v>50</v>
      </c>
      <c r="AI1324" s="5">
        <v>0</v>
      </c>
      <c r="AJ1324" s="10" t="s">
        <v>50</v>
      </c>
      <c r="AK1324" s="10" t="s">
        <v>50</v>
      </c>
    </row>
    <row r="1325" spans="1:37" ht="36.75" customHeight="1" x14ac:dyDescent="0.35">
      <c r="A1325" s="5"/>
      <c r="B1325" s="5" t="s">
        <v>37</v>
      </c>
      <c r="C1325" s="73" t="str">
        <f t="shared" si="20"/>
        <v>Closed</v>
      </c>
      <c r="D1325" s="45" t="s">
        <v>7369</v>
      </c>
      <c r="E1325" s="54" t="s">
        <v>7370</v>
      </c>
      <c r="F1325" s="5" t="s">
        <v>1751</v>
      </c>
      <c r="G1325" s="10">
        <f>DATE(2012,4,12)</f>
        <v>41011</v>
      </c>
      <c r="H1325" s="35">
        <v>1.7583333333333333</v>
      </c>
      <c r="I1325" s="5" t="s">
        <v>55</v>
      </c>
      <c r="J1325" s="10" t="s">
        <v>7371</v>
      </c>
      <c r="K1325" s="5" t="s">
        <v>1753</v>
      </c>
      <c r="L1325" s="5" t="s">
        <v>7372</v>
      </c>
      <c r="M1325" s="5" t="s">
        <v>45</v>
      </c>
      <c r="N1325" s="5" t="s">
        <v>123</v>
      </c>
      <c r="O1325" s="5" t="s">
        <v>46</v>
      </c>
      <c r="P1325" s="10" t="s">
        <v>60</v>
      </c>
      <c r="Q1325" s="10" t="s">
        <v>6480</v>
      </c>
      <c r="R1325" s="10" t="s">
        <v>1756</v>
      </c>
      <c r="S1325" s="5">
        <v>0</v>
      </c>
      <c r="T1325" s="37">
        <v>0</v>
      </c>
      <c r="U1325" s="5">
        <v>0</v>
      </c>
      <c r="V1325" s="37">
        <v>0</v>
      </c>
      <c r="W1325" s="5">
        <v>0</v>
      </c>
      <c r="X1325" s="5">
        <v>0</v>
      </c>
      <c r="Y1325" s="5">
        <v>0</v>
      </c>
      <c r="Z1325" s="37">
        <v>0</v>
      </c>
      <c r="AA1325" s="5">
        <v>0</v>
      </c>
      <c r="AB1325" s="5">
        <v>0</v>
      </c>
      <c r="AC1325" s="5">
        <v>0</v>
      </c>
      <c r="AD1325" s="5">
        <v>0</v>
      </c>
      <c r="AE1325" s="10" t="s">
        <v>375</v>
      </c>
      <c r="AF1325" s="10"/>
      <c r="AG1325" s="10" t="s">
        <v>114</v>
      </c>
      <c r="AH1325" s="10">
        <v>41011</v>
      </c>
      <c r="AI1325" s="5">
        <v>0</v>
      </c>
      <c r="AJ1325" s="10" t="s">
        <v>7373</v>
      </c>
      <c r="AK1325" s="10" t="s">
        <v>50</v>
      </c>
    </row>
    <row r="1326" spans="1:37" ht="36.75" customHeight="1" x14ac:dyDescent="0.35">
      <c r="A1326" s="5"/>
      <c r="B1326" s="5" t="s">
        <v>37</v>
      </c>
      <c r="C1326" s="73" t="str">
        <f t="shared" si="20"/>
        <v>Closed</v>
      </c>
      <c r="D1326" s="45" t="s">
        <v>7374</v>
      </c>
      <c r="E1326" s="54" t="s">
        <v>7375</v>
      </c>
      <c r="F1326" s="5" t="s">
        <v>214</v>
      </c>
      <c r="G1326" s="10">
        <f>DATE(2012,4,12)</f>
        <v>41011</v>
      </c>
      <c r="H1326" s="35">
        <v>1.4152777777777779</v>
      </c>
      <c r="I1326" s="5" t="s">
        <v>259</v>
      </c>
      <c r="J1326" s="10" t="s">
        <v>7376</v>
      </c>
      <c r="K1326" s="5" t="s">
        <v>216</v>
      </c>
      <c r="L1326" s="5" t="s">
        <v>7377</v>
      </c>
      <c r="M1326" s="5" t="s">
        <v>110</v>
      </c>
      <c r="N1326" s="5" t="s">
        <v>123</v>
      </c>
      <c r="O1326" s="5" t="s">
        <v>59</v>
      </c>
      <c r="P1326" s="10" t="s">
        <v>146</v>
      </c>
      <c r="Q1326" s="10" t="s">
        <v>7378</v>
      </c>
      <c r="R1326" s="10">
        <v>0</v>
      </c>
      <c r="S1326" s="5">
        <v>0</v>
      </c>
      <c r="T1326" s="37">
        <v>0</v>
      </c>
      <c r="U1326" s="5">
        <v>0</v>
      </c>
      <c r="V1326" s="37">
        <v>0</v>
      </c>
      <c r="W1326" s="5">
        <v>0</v>
      </c>
      <c r="X1326" s="5">
        <v>0</v>
      </c>
      <c r="Y1326" s="5">
        <v>0</v>
      </c>
      <c r="Z1326" s="37">
        <v>0</v>
      </c>
      <c r="AA1326" s="5">
        <v>0</v>
      </c>
      <c r="AB1326" s="5">
        <v>0</v>
      </c>
      <c r="AC1326" s="5">
        <v>0</v>
      </c>
      <c r="AD1326" s="5">
        <v>0</v>
      </c>
      <c r="AE1326" s="10" t="s">
        <v>73</v>
      </c>
      <c r="AF1326" s="10"/>
      <c r="AG1326" s="10" t="s">
        <v>114</v>
      </c>
      <c r="AH1326" s="10">
        <v>41015</v>
      </c>
      <c r="AI1326" s="5">
        <v>5</v>
      </c>
      <c r="AJ1326" s="10" t="s">
        <v>7379</v>
      </c>
      <c r="AK1326" s="10" t="s">
        <v>7380</v>
      </c>
    </row>
    <row r="1327" spans="1:37" ht="36.75" customHeight="1" x14ac:dyDescent="0.35">
      <c r="A1327" s="5"/>
      <c r="B1327" s="5" t="s">
        <v>37</v>
      </c>
      <c r="C1327" s="73" t="str">
        <f t="shared" si="20"/>
        <v>Closed</v>
      </c>
      <c r="D1327" s="45" t="s">
        <v>7381</v>
      </c>
      <c r="E1327" s="54" t="s">
        <v>7382</v>
      </c>
      <c r="F1327" s="5" t="s">
        <v>563</v>
      </c>
      <c r="G1327" s="10">
        <f>DATE(2012,4,13)</f>
        <v>41012</v>
      </c>
      <c r="H1327" s="35">
        <v>1.0402777777777779</v>
      </c>
      <c r="I1327" s="5" t="s">
        <v>179</v>
      </c>
      <c r="J1327" s="10" t="s">
        <v>7383</v>
      </c>
      <c r="K1327" s="5" t="s">
        <v>565</v>
      </c>
      <c r="L1327" s="5" t="s">
        <v>7384</v>
      </c>
      <c r="M1327" s="5" t="s">
        <v>45</v>
      </c>
      <c r="N1327" s="5" t="s">
        <v>123</v>
      </c>
      <c r="O1327" s="5" t="s">
        <v>46</v>
      </c>
      <c r="P1327" s="10" t="s">
        <v>2911</v>
      </c>
      <c r="Q1327" s="10" t="s">
        <v>7385</v>
      </c>
      <c r="R1327" s="10" t="s">
        <v>568</v>
      </c>
      <c r="S1327" s="5">
        <v>0</v>
      </c>
      <c r="T1327" s="37">
        <v>3</v>
      </c>
      <c r="U1327" s="5">
        <v>0</v>
      </c>
      <c r="V1327" s="37">
        <v>0</v>
      </c>
      <c r="W1327" s="5">
        <v>0</v>
      </c>
      <c r="X1327" s="5">
        <v>3</v>
      </c>
      <c r="Y1327" s="5">
        <v>0</v>
      </c>
      <c r="Z1327" s="37">
        <v>0</v>
      </c>
      <c r="AA1327" s="5">
        <v>0</v>
      </c>
      <c r="AB1327" s="5">
        <v>0</v>
      </c>
      <c r="AC1327" s="5">
        <v>0</v>
      </c>
      <c r="AD1327" s="5">
        <v>0</v>
      </c>
      <c r="AE1327" s="10" t="s">
        <v>375</v>
      </c>
      <c r="AF1327" s="10"/>
      <c r="AG1327" s="10" t="s">
        <v>64</v>
      </c>
      <c r="AH1327" s="10">
        <v>41012</v>
      </c>
      <c r="AI1327" s="5">
        <v>1</v>
      </c>
      <c r="AJ1327" s="10" t="s">
        <v>7386</v>
      </c>
      <c r="AK1327" s="10" t="s">
        <v>1215</v>
      </c>
    </row>
    <row r="1328" spans="1:37" ht="36.75" customHeight="1" x14ac:dyDescent="0.35">
      <c r="A1328" s="5"/>
      <c r="B1328" s="5" t="s">
        <v>37</v>
      </c>
      <c r="C1328" s="73" t="str">
        <f t="shared" si="20"/>
        <v>Closed</v>
      </c>
      <c r="D1328" s="45" t="s">
        <v>7387</v>
      </c>
      <c r="E1328" s="54" t="s">
        <v>7388</v>
      </c>
      <c r="F1328" s="5" t="s">
        <v>816</v>
      </c>
      <c r="G1328" s="10">
        <f>DATE(2012,4,13)</f>
        <v>41012</v>
      </c>
      <c r="H1328" s="35">
        <v>1.5173611111111112</v>
      </c>
      <c r="I1328" s="5" t="s">
        <v>97</v>
      </c>
      <c r="J1328" s="10" t="s">
        <v>7389</v>
      </c>
      <c r="K1328" s="5" t="s">
        <v>818</v>
      </c>
      <c r="L1328" s="5" t="s">
        <v>7390</v>
      </c>
      <c r="M1328" s="5" t="s">
        <v>45</v>
      </c>
      <c r="N1328" s="5" t="s">
        <v>80</v>
      </c>
      <c r="O1328" s="5" t="s">
        <v>46</v>
      </c>
      <c r="P1328" s="10" t="s">
        <v>146</v>
      </c>
      <c r="Q1328" s="10" t="s">
        <v>4291</v>
      </c>
      <c r="R1328" s="10" t="s">
        <v>2777</v>
      </c>
      <c r="S1328" s="5">
        <v>0</v>
      </c>
      <c r="T1328" s="37">
        <v>0</v>
      </c>
      <c r="U1328" s="5">
        <v>3</v>
      </c>
      <c r="V1328" s="37">
        <v>0</v>
      </c>
      <c r="W1328" s="5">
        <v>0</v>
      </c>
      <c r="X1328" s="5">
        <v>3</v>
      </c>
      <c r="Y1328" s="5">
        <v>0</v>
      </c>
      <c r="Z1328" s="37">
        <v>0</v>
      </c>
      <c r="AA1328" s="5">
        <v>3</v>
      </c>
      <c r="AB1328" s="5">
        <v>0</v>
      </c>
      <c r="AC1328" s="5">
        <v>0</v>
      </c>
      <c r="AD1328" s="5">
        <v>3</v>
      </c>
      <c r="AE1328" s="10" t="s">
        <v>73</v>
      </c>
      <c r="AF1328" s="10"/>
      <c r="AG1328" s="10" t="s">
        <v>333</v>
      </c>
      <c r="AH1328" s="10" t="s">
        <v>50</v>
      </c>
      <c r="AI1328" s="5">
        <v>0</v>
      </c>
      <c r="AJ1328" s="10" t="s">
        <v>7391</v>
      </c>
      <c r="AK1328" s="10" t="s">
        <v>50</v>
      </c>
    </row>
    <row r="1329" spans="1:37" ht="36.75" customHeight="1" x14ac:dyDescent="0.35">
      <c r="A1329" s="5"/>
      <c r="B1329" s="5" t="s">
        <v>37</v>
      </c>
      <c r="C1329" s="73" t="str">
        <f t="shared" si="20"/>
        <v>Closed</v>
      </c>
      <c r="D1329" s="45" t="s">
        <v>7392</v>
      </c>
      <c r="E1329" s="54" t="s">
        <v>7393</v>
      </c>
      <c r="F1329" s="5" t="s">
        <v>54</v>
      </c>
      <c r="G1329" s="10">
        <f>DATE(2012,4,13)</f>
        <v>41012</v>
      </c>
      <c r="H1329" s="35">
        <v>1.4375</v>
      </c>
      <c r="I1329" s="5" t="s">
        <v>179</v>
      </c>
      <c r="J1329" s="10" t="s">
        <v>7394</v>
      </c>
      <c r="K1329" s="5" t="s">
        <v>57</v>
      </c>
      <c r="L1329" s="5" t="s">
        <v>7395</v>
      </c>
      <c r="M1329" s="5" t="s">
        <v>45</v>
      </c>
      <c r="N1329" s="5" t="s">
        <v>123</v>
      </c>
      <c r="O1329" s="5" t="s">
        <v>46</v>
      </c>
      <c r="P1329" s="10" t="s">
        <v>60</v>
      </c>
      <c r="Q1329" s="10" t="s">
        <v>7396</v>
      </c>
      <c r="R1329" s="10" t="s">
        <v>7397</v>
      </c>
      <c r="S1329" s="5">
        <v>0</v>
      </c>
      <c r="T1329" s="37">
        <v>0</v>
      </c>
      <c r="U1329" s="5">
        <v>0</v>
      </c>
      <c r="V1329" s="37">
        <v>0</v>
      </c>
      <c r="W1329" s="5">
        <v>0</v>
      </c>
      <c r="X1329" s="5">
        <v>0</v>
      </c>
      <c r="Y1329" s="5">
        <v>0</v>
      </c>
      <c r="Z1329" s="37">
        <v>0</v>
      </c>
      <c r="AA1329" s="5">
        <v>0</v>
      </c>
      <c r="AB1329" s="5">
        <v>0</v>
      </c>
      <c r="AC1329" s="5">
        <v>0</v>
      </c>
      <c r="AD1329" s="5">
        <v>0</v>
      </c>
      <c r="AE1329" s="10" t="s">
        <v>126</v>
      </c>
      <c r="AF1329" s="10"/>
      <c r="AG1329" s="10" t="s">
        <v>64</v>
      </c>
      <c r="AH1329" s="10">
        <v>41019</v>
      </c>
      <c r="AI1329" s="5">
        <v>0</v>
      </c>
      <c r="AJ1329" s="10" t="s">
        <v>7398</v>
      </c>
      <c r="AK1329" s="10" t="s">
        <v>7399</v>
      </c>
    </row>
    <row r="1330" spans="1:37" ht="36.75" customHeight="1" x14ac:dyDescent="0.35">
      <c r="A1330" s="5"/>
      <c r="B1330" s="5" t="s">
        <v>37</v>
      </c>
      <c r="C1330" s="73" t="str">
        <f t="shared" si="20"/>
        <v>Closed</v>
      </c>
      <c r="D1330" s="45" t="s">
        <v>7400</v>
      </c>
      <c r="E1330" s="54" t="s">
        <v>7401</v>
      </c>
      <c r="F1330" s="5" t="s">
        <v>178</v>
      </c>
      <c r="G1330" s="10">
        <f>DATE(2012,4,14)</f>
        <v>41013</v>
      </c>
      <c r="H1330" s="35">
        <v>1.1458333333333333</v>
      </c>
      <c r="I1330" s="5" t="s">
        <v>179</v>
      </c>
      <c r="J1330" s="10" t="s">
        <v>7402</v>
      </c>
      <c r="K1330" s="5" t="s">
        <v>181</v>
      </c>
      <c r="L1330" s="5" t="s">
        <v>7403</v>
      </c>
      <c r="M1330" s="5" t="s">
        <v>45</v>
      </c>
      <c r="N1330" s="5" t="s">
        <v>123</v>
      </c>
      <c r="O1330" s="5" t="s">
        <v>59</v>
      </c>
      <c r="P1330" s="10" t="s">
        <v>2531</v>
      </c>
      <c r="Q1330" s="10">
        <v>0</v>
      </c>
      <c r="R1330" s="10">
        <v>0</v>
      </c>
      <c r="S1330" s="5">
        <v>0</v>
      </c>
      <c r="T1330" s="36">
        <v>0</v>
      </c>
      <c r="U1330" s="5">
        <v>0</v>
      </c>
      <c r="V1330" s="36">
        <v>0</v>
      </c>
      <c r="W1330" s="5">
        <v>0</v>
      </c>
      <c r="X1330" s="5">
        <v>0</v>
      </c>
      <c r="Y1330" s="5">
        <v>0</v>
      </c>
      <c r="Z1330" s="36">
        <v>0</v>
      </c>
      <c r="AA1330" s="5">
        <v>0</v>
      </c>
      <c r="AB1330" s="5">
        <v>0</v>
      </c>
      <c r="AC1330" s="5">
        <v>0</v>
      </c>
      <c r="AD1330" s="5">
        <v>0</v>
      </c>
      <c r="AE1330" s="10" t="s">
        <v>375</v>
      </c>
      <c r="AF1330" s="10"/>
      <c r="AG1330" s="10" t="s">
        <v>114</v>
      </c>
      <c r="AH1330" s="10">
        <v>41013</v>
      </c>
      <c r="AI1330" s="5">
        <v>1</v>
      </c>
      <c r="AJ1330" s="10" t="s">
        <v>7404</v>
      </c>
      <c r="AK1330" s="10" t="s">
        <v>1215</v>
      </c>
    </row>
    <row r="1331" spans="1:37" ht="36.75" customHeight="1" x14ac:dyDescent="0.35">
      <c r="A1331" s="23" t="s">
        <v>4890</v>
      </c>
      <c r="B1331" s="5" t="s">
        <v>37</v>
      </c>
      <c r="C1331" s="73" t="str">
        <f t="shared" si="20"/>
        <v>Closed</v>
      </c>
      <c r="D1331" s="45" t="s">
        <v>7405</v>
      </c>
      <c r="E1331" s="54" t="s">
        <v>7406</v>
      </c>
      <c r="F1331" s="5" t="s">
        <v>563</v>
      </c>
      <c r="G1331" s="10">
        <f>DATE(2012,4,16)</f>
        <v>41015</v>
      </c>
      <c r="H1331" s="35">
        <v>1.8909722222222221</v>
      </c>
      <c r="I1331" s="5" t="s">
        <v>55</v>
      </c>
      <c r="J1331" s="10" t="s">
        <v>7407</v>
      </c>
      <c r="K1331" s="5" t="s">
        <v>565</v>
      </c>
      <c r="L1331" s="5" t="s">
        <v>7408</v>
      </c>
      <c r="M1331" s="5" t="s">
        <v>45</v>
      </c>
      <c r="N1331" s="5">
        <v>0</v>
      </c>
      <c r="O1331" s="5" t="s">
        <v>59</v>
      </c>
      <c r="P1331" s="10" t="s">
        <v>60</v>
      </c>
      <c r="Q1331" s="10" t="s">
        <v>7409</v>
      </c>
      <c r="R1331" s="10" t="s">
        <v>568</v>
      </c>
      <c r="S1331" s="5">
        <v>0</v>
      </c>
      <c r="T1331" s="58" t="s">
        <v>50</v>
      </c>
      <c r="U1331" s="5">
        <v>0</v>
      </c>
      <c r="V1331" s="58" t="s">
        <v>50</v>
      </c>
      <c r="W1331" s="5">
        <v>0</v>
      </c>
      <c r="X1331" s="5">
        <v>0</v>
      </c>
      <c r="Y1331" s="5">
        <v>0</v>
      </c>
      <c r="Z1331" s="58" t="s">
        <v>50</v>
      </c>
      <c r="AA1331" s="5">
        <v>0</v>
      </c>
      <c r="AB1331" s="5">
        <v>0</v>
      </c>
      <c r="AC1331" s="5">
        <v>0</v>
      </c>
      <c r="AD1331" s="5">
        <v>0</v>
      </c>
      <c r="AE1331" s="10" t="s">
        <v>50</v>
      </c>
      <c r="AF1331" s="10"/>
      <c r="AG1331" s="10" t="s">
        <v>64</v>
      </c>
      <c r="AH1331" s="10" t="s">
        <v>50</v>
      </c>
      <c r="AI1331" s="5">
        <v>0</v>
      </c>
      <c r="AJ1331" s="10" t="s">
        <v>50</v>
      </c>
      <c r="AK1331" s="10" t="s">
        <v>50</v>
      </c>
    </row>
    <row r="1332" spans="1:37" ht="36.75" customHeight="1" x14ac:dyDescent="0.35">
      <c r="A1332" s="5"/>
      <c r="B1332" s="5" t="s">
        <v>37</v>
      </c>
      <c r="C1332" s="73" t="str">
        <f t="shared" si="20"/>
        <v>Closed</v>
      </c>
      <c r="D1332" s="45" t="s">
        <v>7410</v>
      </c>
      <c r="E1332" s="54" t="s">
        <v>7411</v>
      </c>
      <c r="F1332" s="5" t="s">
        <v>619</v>
      </c>
      <c r="G1332" s="10">
        <f>DATE(2012,4,18)</f>
        <v>41017</v>
      </c>
      <c r="H1332" s="35">
        <v>1.4541666666666666</v>
      </c>
      <c r="I1332" s="5" t="s">
        <v>85</v>
      </c>
      <c r="J1332" s="10" t="s">
        <v>7412</v>
      </c>
      <c r="K1332" s="5" t="s">
        <v>621</v>
      </c>
      <c r="L1332" s="5" t="s">
        <v>7413</v>
      </c>
      <c r="M1332" s="5" t="s">
        <v>45</v>
      </c>
      <c r="N1332" s="5" t="s">
        <v>80</v>
      </c>
      <c r="O1332" s="5" t="s">
        <v>59</v>
      </c>
      <c r="P1332" s="10" t="s">
        <v>60</v>
      </c>
      <c r="Q1332" s="10" t="s">
        <v>3226</v>
      </c>
      <c r="R1332" s="10" t="s">
        <v>3226</v>
      </c>
      <c r="S1332" s="5">
        <v>0</v>
      </c>
      <c r="T1332" s="37">
        <v>0</v>
      </c>
      <c r="U1332" s="5">
        <v>0</v>
      </c>
      <c r="V1332" s="37">
        <v>0</v>
      </c>
      <c r="W1332" s="5">
        <v>0</v>
      </c>
      <c r="X1332" s="5">
        <v>0</v>
      </c>
      <c r="Y1332" s="5">
        <v>0</v>
      </c>
      <c r="Z1332" s="37">
        <v>0</v>
      </c>
      <c r="AA1332" s="5">
        <v>0</v>
      </c>
      <c r="AB1332" s="5">
        <v>0</v>
      </c>
      <c r="AC1332" s="5">
        <v>0</v>
      </c>
      <c r="AD1332" s="5">
        <v>0</v>
      </c>
      <c r="AE1332" s="10" t="s">
        <v>50</v>
      </c>
      <c r="AF1332" s="10"/>
      <c r="AG1332" s="10" t="s">
        <v>333</v>
      </c>
      <c r="AH1332" s="10">
        <v>41023</v>
      </c>
      <c r="AI1332" s="5">
        <v>1</v>
      </c>
      <c r="AJ1332" s="10" t="s">
        <v>7414</v>
      </c>
      <c r="AK1332" s="10" t="s">
        <v>50</v>
      </c>
    </row>
    <row r="1333" spans="1:37" ht="36.75" customHeight="1" x14ac:dyDescent="0.35">
      <c r="A1333" s="5"/>
      <c r="B1333" s="5" t="s">
        <v>37</v>
      </c>
      <c r="C1333" s="73" t="str">
        <f t="shared" si="20"/>
        <v>Closed</v>
      </c>
      <c r="D1333" s="45" t="s">
        <v>7415</v>
      </c>
      <c r="E1333" s="54" t="s">
        <v>7416</v>
      </c>
      <c r="F1333" s="5" t="s">
        <v>1553</v>
      </c>
      <c r="G1333" s="10">
        <f>DATE(2012,4,19)</f>
        <v>41018</v>
      </c>
      <c r="H1333" s="35">
        <v>1.3506944444444444</v>
      </c>
      <c r="I1333" s="5" t="s">
        <v>55</v>
      </c>
      <c r="J1333" s="10" t="s">
        <v>7417</v>
      </c>
      <c r="K1333" s="5" t="s">
        <v>1555</v>
      </c>
      <c r="L1333" s="5" t="s">
        <v>7418</v>
      </c>
      <c r="M1333" s="5" t="s">
        <v>45</v>
      </c>
      <c r="N1333" s="5" t="s">
        <v>123</v>
      </c>
      <c r="O1333" s="5" t="s">
        <v>46</v>
      </c>
      <c r="P1333" s="10" t="s">
        <v>60</v>
      </c>
      <c r="Q1333" s="10" t="s">
        <v>4899</v>
      </c>
      <c r="R1333" s="10">
        <v>0</v>
      </c>
      <c r="S1333" s="5">
        <v>0</v>
      </c>
      <c r="T1333" s="37">
        <v>0</v>
      </c>
      <c r="U1333" s="5">
        <v>0</v>
      </c>
      <c r="V1333" s="37">
        <v>0</v>
      </c>
      <c r="W1333" s="5">
        <v>0</v>
      </c>
      <c r="X1333" s="5">
        <v>0</v>
      </c>
      <c r="Y1333" s="5">
        <v>0</v>
      </c>
      <c r="Z1333" s="37">
        <v>0</v>
      </c>
      <c r="AA1333" s="5">
        <v>0</v>
      </c>
      <c r="AB1333" s="5">
        <v>0</v>
      </c>
      <c r="AC1333" s="5">
        <v>0</v>
      </c>
      <c r="AD1333" s="5">
        <v>0</v>
      </c>
      <c r="AE1333" s="10" t="s">
        <v>50</v>
      </c>
      <c r="AF1333" s="10"/>
      <c r="AG1333" s="10" t="s">
        <v>114</v>
      </c>
      <c r="AH1333" s="10">
        <v>41019</v>
      </c>
      <c r="AI1333" s="5">
        <v>0</v>
      </c>
      <c r="AJ1333" s="10" t="s">
        <v>7419</v>
      </c>
      <c r="AK1333" s="10" t="s">
        <v>1215</v>
      </c>
    </row>
    <row r="1334" spans="1:37" ht="36.75" customHeight="1" x14ac:dyDescent="0.35">
      <c r="A1334" s="5"/>
      <c r="B1334" s="5" t="s">
        <v>37</v>
      </c>
      <c r="C1334" s="73" t="str">
        <f t="shared" si="20"/>
        <v>Closed</v>
      </c>
      <c r="D1334" s="45" t="s">
        <v>7420</v>
      </c>
      <c r="E1334" s="54" t="s">
        <v>7421</v>
      </c>
      <c r="F1334" s="5" t="s">
        <v>54</v>
      </c>
      <c r="G1334" s="10">
        <f>DATE(2012,4,21)</f>
        <v>41020</v>
      </c>
      <c r="H1334" s="35">
        <v>1.7659722222222221</v>
      </c>
      <c r="I1334" s="5" t="s">
        <v>179</v>
      </c>
      <c r="J1334" s="10" t="s">
        <v>7422</v>
      </c>
      <c r="K1334" s="5" t="s">
        <v>57</v>
      </c>
      <c r="L1334" s="5" t="s">
        <v>7423</v>
      </c>
      <c r="M1334" s="5" t="s">
        <v>45</v>
      </c>
      <c r="N1334" s="5" t="s">
        <v>70</v>
      </c>
      <c r="O1334" s="5" t="s">
        <v>59</v>
      </c>
      <c r="P1334" s="10" t="s">
        <v>1198</v>
      </c>
      <c r="Q1334" s="10" t="s">
        <v>7424</v>
      </c>
      <c r="R1334" s="10" t="s">
        <v>62</v>
      </c>
      <c r="S1334" s="5">
        <v>1</v>
      </c>
      <c r="T1334" s="37">
        <v>0</v>
      </c>
      <c r="U1334" s="5">
        <v>0</v>
      </c>
      <c r="V1334" s="37">
        <v>0</v>
      </c>
      <c r="W1334" s="5">
        <v>0</v>
      </c>
      <c r="X1334" s="5">
        <v>1</v>
      </c>
      <c r="Y1334" s="5">
        <v>22</v>
      </c>
      <c r="Z1334" s="37">
        <v>1</v>
      </c>
      <c r="AA1334" s="5">
        <v>0</v>
      </c>
      <c r="AB1334" s="5">
        <v>0</v>
      </c>
      <c r="AC1334" s="5">
        <v>0</v>
      </c>
      <c r="AD1334" s="5">
        <v>23</v>
      </c>
      <c r="AE1334" s="10" t="s">
        <v>126</v>
      </c>
      <c r="AF1334" s="10"/>
      <c r="AG1334" s="10" t="s">
        <v>64</v>
      </c>
      <c r="AH1334" s="10">
        <v>41020</v>
      </c>
      <c r="AI1334" s="5">
        <v>8</v>
      </c>
      <c r="AJ1334" s="10" t="s">
        <v>7425</v>
      </c>
      <c r="AK1334" s="10" t="s">
        <v>7426</v>
      </c>
    </row>
    <row r="1335" spans="1:37" ht="36.75" customHeight="1" x14ac:dyDescent="0.35">
      <c r="A1335" s="5"/>
      <c r="B1335" s="5" t="s">
        <v>887</v>
      </c>
      <c r="C1335" s="73" t="str">
        <f t="shared" si="20"/>
        <v>Open</v>
      </c>
      <c r="D1335" s="45" t="s">
        <v>7427</v>
      </c>
      <c r="E1335" s="54" t="s">
        <v>7428</v>
      </c>
      <c r="F1335" s="5" t="s">
        <v>5662</v>
      </c>
      <c r="G1335" s="10">
        <f>DATE(2012,4,24)</f>
        <v>41023</v>
      </c>
      <c r="H1335" s="35">
        <v>1.3388888888888888</v>
      </c>
      <c r="I1335" s="5" t="s">
        <v>179</v>
      </c>
      <c r="J1335" s="10" t="s">
        <v>7429</v>
      </c>
      <c r="K1335" s="5" t="s">
        <v>5664</v>
      </c>
      <c r="L1335" s="5" t="s">
        <v>7430</v>
      </c>
      <c r="M1335" s="5" t="s">
        <v>45</v>
      </c>
      <c r="N1335" s="5">
        <v>0</v>
      </c>
      <c r="O1335" s="5" t="s">
        <v>59</v>
      </c>
      <c r="P1335" s="10" t="s">
        <v>146</v>
      </c>
      <c r="Q1335" s="10" t="s">
        <v>5666</v>
      </c>
      <c r="R1335" s="10" t="s">
        <v>5667</v>
      </c>
      <c r="S1335" s="5">
        <v>0</v>
      </c>
      <c r="T1335" s="37" t="s">
        <v>50</v>
      </c>
      <c r="U1335" s="5">
        <v>0</v>
      </c>
      <c r="V1335" s="37" t="s">
        <v>50</v>
      </c>
      <c r="W1335" s="5">
        <v>0</v>
      </c>
      <c r="X1335" s="5">
        <v>0</v>
      </c>
      <c r="Y1335" s="5">
        <v>0</v>
      </c>
      <c r="Z1335" s="37" t="s">
        <v>50</v>
      </c>
      <c r="AA1335" s="5">
        <v>0</v>
      </c>
      <c r="AB1335" s="5">
        <v>0</v>
      </c>
      <c r="AC1335" s="5">
        <v>0</v>
      </c>
      <c r="AD1335" s="5">
        <v>0</v>
      </c>
      <c r="AE1335" s="10" t="s">
        <v>50</v>
      </c>
      <c r="AF1335" s="10"/>
      <c r="AG1335" s="10" t="s">
        <v>855</v>
      </c>
      <c r="AH1335" s="10" t="s">
        <v>50</v>
      </c>
      <c r="AI1335" s="5">
        <v>0</v>
      </c>
      <c r="AJ1335" s="10" t="s">
        <v>50</v>
      </c>
      <c r="AK1335" s="10" t="s">
        <v>50</v>
      </c>
    </row>
    <row r="1336" spans="1:37" ht="36.75" customHeight="1" x14ac:dyDescent="0.35">
      <c r="A1336" s="5"/>
      <c r="B1336" s="5" t="s">
        <v>37</v>
      </c>
      <c r="C1336" s="73" t="str">
        <f t="shared" si="20"/>
        <v>Closed</v>
      </c>
      <c r="D1336" s="45" t="s">
        <v>7431</v>
      </c>
      <c r="E1336" s="54" t="s">
        <v>7432</v>
      </c>
      <c r="F1336" s="5" t="s">
        <v>178</v>
      </c>
      <c r="G1336" s="10">
        <f>DATE(2012,4,26)</f>
        <v>41025</v>
      </c>
      <c r="H1336" s="35">
        <v>1.6965277777777779</v>
      </c>
      <c r="I1336" s="5" t="s">
        <v>55</v>
      </c>
      <c r="J1336" s="10" t="s">
        <v>7433</v>
      </c>
      <c r="K1336" s="5" t="s">
        <v>181</v>
      </c>
      <c r="L1336" s="5" t="s">
        <v>7434</v>
      </c>
      <c r="M1336" s="5" t="s">
        <v>45</v>
      </c>
      <c r="N1336" s="5" t="s">
        <v>123</v>
      </c>
      <c r="O1336" s="5" t="s">
        <v>71</v>
      </c>
      <c r="P1336" s="10" t="s">
        <v>60</v>
      </c>
      <c r="Q1336" s="10" t="s">
        <v>1697</v>
      </c>
      <c r="R1336" s="10" t="s">
        <v>184</v>
      </c>
      <c r="S1336" s="5">
        <v>0</v>
      </c>
      <c r="T1336" s="37">
        <v>0</v>
      </c>
      <c r="U1336" s="5">
        <v>0</v>
      </c>
      <c r="V1336" s="37">
        <v>0</v>
      </c>
      <c r="W1336" s="5">
        <v>0</v>
      </c>
      <c r="X1336" s="5">
        <v>0</v>
      </c>
      <c r="Y1336" s="5">
        <v>0</v>
      </c>
      <c r="Z1336" s="37">
        <v>0</v>
      </c>
      <c r="AA1336" s="5">
        <v>0</v>
      </c>
      <c r="AB1336" s="5">
        <v>0</v>
      </c>
      <c r="AC1336" s="5">
        <v>0</v>
      </c>
      <c r="AD1336" s="5">
        <v>0</v>
      </c>
      <c r="AE1336" s="10" t="s">
        <v>375</v>
      </c>
      <c r="AF1336" s="10"/>
      <c r="AG1336" s="10" t="s">
        <v>114</v>
      </c>
      <c r="AH1336" s="10">
        <v>41025</v>
      </c>
      <c r="AI1336" s="5">
        <v>3</v>
      </c>
      <c r="AJ1336" s="10" t="s">
        <v>7435</v>
      </c>
      <c r="AK1336" s="10" t="s">
        <v>1215</v>
      </c>
    </row>
    <row r="1337" spans="1:37" ht="36.75" customHeight="1" x14ac:dyDescent="0.35">
      <c r="A1337" s="5"/>
      <c r="B1337" s="5" t="s">
        <v>37</v>
      </c>
      <c r="C1337" s="73" t="str">
        <f t="shared" si="20"/>
        <v>Closed</v>
      </c>
      <c r="D1337" s="45" t="s">
        <v>7436</v>
      </c>
      <c r="E1337" s="54" t="s">
        <v>7437</v>
      </c>
      <c r="F1337" s="5" t="s">
        <v>619</v>
      </c>
      <c r="G1337" s="10">
        <f>DATE(2012,4,26)</f>
        <v>41025</v>
      </c>
      <c r="H1337" s="35">
        <v>1.9986111111111109</v>
      </c>
      <c r="I1337" s="5" t="s">
        <v>85</v>
      </c>
      <c r="J1337" s="10" t="s">
        <v>7438</v>
      </c>
      <c r="K1337" s="5" t="s">
        <v>621</v>
      </c>
      <c r="L1337" s="5" t="s">
        <v>7439</v>
      </c>
      <c r="M1337" s="5" t="s">
        <v>45</v>
      </c>
      <c r="N1337" s="5" t="s">
        <v>80</v>
      </c>
      <c r="O1337" s="5" t="s">
        <v>6854</v>
      </c>
      <c r="P1337" s="10" t="s">
        <v>60</v>
      </c>
      <c r="Q1337" s="10" t="s">
        <v>7440</v>
      </c>
      <c r="R1337" s="10" t="s">
        <v>624</v>
      </c>
      <c r="S1337" s="5">
        <v>0</v>
      </c>
      <c r="T1337" s="37">
        <v>0</v>
      </c>
      <c r="U1337" s="5">
        <v>0</v>
      </c>
      <c r="V1337" s="37">
        <v>0</v>
      </c>
      <c r="W1337" s="5">
        <v>0</v>
      </c>
      <c r="X1337" s="5">
        <v>0</v>
      </c>
      <c r="Y1337" s="5">
        <v>0</v>
      </c>
      <c r="Z1337" s="37">
        <v>0</v>
      </c>
      <c r="AA1337" s="5">
        <v>0</v>
      </c>
      <c r="AB1337" s="5">
        <v>0</v>
      </c>
      <c r="AC1337" s="5">
        <v>0</v>
      </c>
      <c r="AD1337" s="5">
        <v>0</v>
      </c>
      <c r="AE1337" s="10" t="s">
        <v>50</v>
      </c>
      <c r="AF1337" s="10"/>
      <c r="AG1337" s="10" t="s">
        <v>333</v>
      </c>
      <c r="AH1337" s="10">
        <v>41058</v>
      </c>
      <c r="AI1337" s="5">
        <v>0</v>
      </c>
      <c r="AJ1337" s="10" t="s">
        <v>7441</v>
      </c>
      <c r="AK1337" s="10" t="s">
        <v>50</v>
      </c>
    </row>
    <row r="1338" spans="1:37" ht="36.75" customHeight="1" x14ac:dyDescent="0.35">
      <c r="A1338" s="5"/>
      <c r="B1338" s="5" t="s">
        <v>37</v>
      </c>
      <c r="C1338" s="73" t="str">
        <f t="shared" si="20"/>
        <v>Closed</v>
      </c>
      <c r="D1338" s="45" t="s">
        <v>7442</v>
      </c>
      <c r="E1338" s="54" t="s">
        <v>7443</v>
      </c>
      <c r="F1338" s="5" t="s">
        <v>358</v>
      </c>
      <c r="G1338" s="10">
        <f>DATE(2012,4,26)</f>
        <v>41025</v>
      </c>
      <c r="H1338" s="35">
        <v>1.7902777777777779</v>
      </c>
      <c r="I1338" s="5" t="s">
        <v>55</v>
      </c>
      <c r="J1338" s="10" t="s">
        <v>7444</v>
      </c>
      <c r="K1338" s="5" t="s">
        <v>360</v>
      </c>
      <c r="L1338" s="5" t="s">
        <v>7445</v>
      </c>
      <c r="M1338" s="5" t="s">
        <v>45</v>
      </c>
      <c r="N1338" s="5" t="s">
        <v>70</v>
      </c>
      <c r="O1338" s="5" t="s">
        <v>59</v>
      </c>
      <c r="P1338" s="10" t="s">
        <v>443</v>
      </c>
      <c r="Q1338" s="10" t="s">
        <v>2886</v>
      </c>
      <c r="R1338" s="10" t="s">
        <v>363</v>
      </c>
      <c r="S1338" s="5">
        <v>0</v>
      </c>
      <c r="T1338" s="37">
        <v>0</v>
      </c>
      <c r="U1338" s="5">
        <v>0</v>
      </c>
      <c r="V1338" s="37">
        <v>0</v>
      </c>
      <c r="W1338" s="5">
        <v>0</v>
      </c>
      <c r="X1338" s="5">
        <v>0</v>
      </c>
      <c r="Y1338" s="5">
        <v>0</v>
      </c>
      <c r="Z1338" s="37">
        <v>0</v>
      </c>
      <c r="AA1338" s="5">
        <v>0</v>
      </c>
      <c r="AB1338" s="5">
        <v>0</v>
      </c>
      <c r="AC1338" s="5">
        <v>0</v>
      </c>
      <c r="AD1338" s="5">
        <v>0</v>
      </c>
      <c r="AE1338" s="10" t="s">
        <v>126</v>
      </c>
      <c r="AF1338" s="10"/>
      <c r="AG1338" s="10" t="s">
        <v>64</v>
      </c>
      <c r="AH1338" s="10">
        <v>41025</v>
      </c>
      <c r="AI1338" s="5">
        <v>4</v>
      </c>
      <c r="AJ1338" s="10" t="s">
        <v>7446</v>
      </c>
      <c r="AK1338" s="10" t="s">
        <v>7447</v>
      </c>
    </row>
    <row r="1339" spans="1:37" ht="36.75" customHeight="1" x14ac:dyDescent="0.35">
      <c r="A1339" s="5"/>
      <c r="B1339" s="5" t="s">
        <v>37</v>
      </c>
      <c r="C1339" s="73" t="str">
        <f t="shared" si="20"/>
        <v>Closed</v>
      </c>
      <c r="D1339" s="45" t="s">
        <v>7448</v>
      </c>
      <c r="E1339" s="54" t="s">
        <v>7449</v>
      </c>
      <c r="F1339" s="5" t="s">
        <v>214</v>
      </c>
      <c r="G1339" s="10">
        <f>DATE(2012,4,26)</f>
        <v>41025</v>
      </c>
      <c r="H1339" s="35">
        <v>1.5694444444444444</v>
      </c>
      <c r="I1339" s="5" t="s">
        <v>85</v>
      </c>
      <c r="J1339" s="10" t="s">
        <v>7450</v>
      </c>
      <c r="K1339" s="5" t="s">
        <v>216</v>
      </c>
      <c r="L1339" s="5" t="s">
        <v>7451</v>
      </c>
      <c r="M1339" s="5" t="s">
        <v>45</v>
      </c>
      <c r="N1339" s="5" t="s">
        <v>70</v>
      </c>
      <c r="O1339" s="5" t="s">
        <v>46</v>
      </c>
      <c r="P1339" s="10" t="s">
        <v>362</v>
      </c>
      <c r="Q1339" s="10">
        <v>0</v>
      </c>
      <c r="R1339" s="10" t="s">
        <v>219</v>
      </c>
      <c r="S1339" s="5">
        <v>0</v>
      </c>
      <c r="T1339" s="37">
        <v>0</v>
      </c>
      <c r="U1339" s="5">
        <v>0</v>
      </c>
      <c r="V1339" s="37">
        <v>0</v>
      </c>
      <c r="W1339" s="5">
        <v>0</v>
      </c>
      <c r="X1339" s="5">
        <v>0</v>
      </c>
      <c r="Y1339" s="5">
        <v>0</v>
      </c>
      <c r="Z1339" s="37">
        <v>0</v>
      </c>
      <c r="AA1339" s="5">
        <v>0</v>
      </c>
      <c r="AB1339" s="5">
        <v>0</v>
      </c>
      <c r="AC1339" s="5">
        <v>0</v>
      </c>
      <c r="AD1339" s="5">
        <v>0</v>
      </c>
      <c r="AE1339" s="10" t="s">
        <v>73</v>
      </c>
      <c r="AF1339" s="10"/>
      <c r="AG1339" s="10" t="s">
        <v>114</v>
      </c>
      <c r="AH1339" s="10">
        <v>41218</v>
      </c>
      <c r="AI1339" s="5">
        <v>5</v>
      </c>
      <c r="AJ1339" s="10" t="s">
        <v>7452</v>
      </c>
      <c r="AK1339" s="10" t="s">
        <v>7453</v>
      </c>
    </row>
    <row r="1340" spans="1:37" ht="36.75" customHeight="1" x14ac:dyDescent="0.35">
      <c r="A1340" s="5"/>
      <c r="B1340" s="5" t="s">
        <v>37</v>
      </c>
      <c r="C1340" s="73" t="str">
        <f t="shared" si="20"/>
        <v>Closed</v>
      </c>
      <c r="D1340" s="45" t="s">
        <v>7454</v>
      </c>
      <c r="E1340" s="54" t="s">
        <v>7455</v>
      </c>
      <c r="F1340" s="5" t="s">
        <v>178</v>
      </c>
      <c r="G1340" s="10">
        <f>DATE(2012,4,29)</f>
        <v>41028</v>
      </c>
      <c r="H1340" s="35">
        <v>1.5305555555555554</v>
      </c>
      <c r="I1340" s="5" t="s">
        <v>97</v>
      </c>
      <c r="J1340" s="10" t="s">
        <v>7456</v>
      </c>
      <c r="K1340" s="5" t="s">
        <v>181</v>
      </c>
      <c r="L1340" s="5" t="s">
        <v>7457</v>
      </c>
      <c r="M1340" s="5" t="s">
        <v>45</v>
      </c>
      <c r="N1340" s="5" t="s">
        <v>80</v>
      </c>
      <c r="O1340" s="5" t="s">
        <v>46</v>
      </c>
      <c r="P1340" s="10" t="s">
        <v>60</v>
      </c>
      <c r="Q1340" s="10" t="s">
        <v>1697</v>
      </c>
      <c r="R1340" s="10" t="s">
        <v>184</v>
      </c>
      <c r="S1340" s="5">
        <v>0</v>
      </c>
      <c r="T1340" s="37">
        <v>0</v>
      </c>
      <c r="U1340" s="5">
        <v>1</v>
      </c>
      <c r="V1340" s="37">
        <v>0</v>
      </c>
      <c r="W1340" s="5">
        <v>0</v>
      </c>
      <c r="X1340" s="5">
        <v>1</v>
      </c>
      <c r="Y1340" s="5">
        <v>0</v>
      </c>
      <c r="Z1340" s="37">
        <v>0</v>
      </c>
      <c r="AA1340" s="5">
        <v>1</v>
      </c>
      <c r="AB1340" s="5">
        <v>0</v>
      </c>
      <c r="AC1340" s="5">
        <v>0</v>
      </c>
      <c r="AD1340" s="5">
        <v>1</v>
      </c>
      <c r="AE1340" s="10" t="s">
        <v>73</v>
      </c>
      <c r="AF1340" s="10"/>
      <c r="AG1340" s="10" t="s">
        <v>64</v>
      </c>
      <c r="AH1340" s="10">
        <v>41028</v>
      </c>
      <c r="AI1340" s="5">
        <v>0</v>
      </c>
      <c r="AJ1340" s="10" t="s">
        <v>7458</v>
      </c>
      <c r="AK1340" s="10" t="s">
        <v>50</v>
      </c>
    </row>
    <row r="1341" spans="1:37" ht="36.75" customHeight="1" x14ac:dyDescent="0.35">
      <c r="A1341" s="5"/>
      <c r="B1341" s="5" t="s">
        <v>37</v>
      </c>
      <c r="C1341" s="73" t="str">
        <f t="shared" si="20"/>
        <v>Closed</v>
      </c>
      <c r="D1341" s="45" t="s">
        <v>7459</v>
      </c>
      <c r="E1341" s="54" t="s">
        <v>7460</v>
      </c>
      <c r="F1341" s="5" t="s">
        <v>178</v>
      </c>
      <c r="G1341" s="10">
        <f>DATE(2012,5,2)</f>
        <v>41031</v>
      </c>
      <c r="H1341" s="35">
        <v>1.9201388888888888</v>
      </c>
      <c r="I1341" s="5" t="s">
        <v>7461</v>
      </c>
      <c r="J1341" s="10" t="s">
        <v>7462</v>
      </c>
      <c r="K1341" s="5" t="s">
        <v>181</v>
      </c>
      <c r="L1341" s="5" t="s">
        <v>7164</v>
      </c>
      <c r="M1341" s="5" t="s">
        <v>45</v>
      </c>
      <c r="N1341" s="5" t="s">
        <v>123</v>
      </c>
      <c r="O1341" s="5" t="s">
        <v>71</v>
      </c>
      <c r="P1341" s="10" t="s">
        <v>72</v>
      </c>
      <c r="Q1341" s="10">
        <v>0</v>
      </c>
      <c r="R1341" s="10">
        <v>0</v>
      </c>
      <c r="S1341" s="5">
        <v>0</v>
      </c>
      <c r="T1341" s="37">
        <v>0</v>
      </c>
      <c r="U1341" s="5">
        <v>0</v>
      </c>
      <c r="V1341" s="37">
        <v>0</v>
      </c>
      <c r="W1341" s="5">
        <v>0</v>
      </c>
      <c r="X1341" s="5">
        <v>0</v>
      </c>
      <c r="Y1341" s="5">
        <v>0</v>
      </c>
      <c r="Z1341" s="37">
        <v>0</v>
      </c>
      <c r="AA1341" s="5">
        <v>0</v>
      </c>
      <c r="AB1341" s="5">
        <v>0</v>
      </c>
      <c r="AC1341" s="5">
        <v>0</v>
      </c>
      <c r="AD1341" s="5">
        <v>0</v>
      </c>
      <c r="AE1341" s="10" t="s">
        <v>73</v>
      </c>
      <c r="AF1341" s="10"/>
      <c r="AG1341" s="10" t="s">
        <v>1489</v>
      </c>
      <c r="AH1341" s="10">
        <v>41397</v>
      </c>
      <c r="AI1341" s="5">
        <v>5</v>
      </c>
      <c r="AJ1341" s="10" t="s">
        <v>7463</v>
      </c>
      <c r="AK1341" s="10" t="s">
        <v>1215</v>
      </c>
    </row>
    <row r="1342" spans="1:37" ht="36.75" customHeight="1" x14ac:dyDescent="0.35">
      <c r="A1342" s="5"/>
      <c r="B1342" s="5" t="s">
        <v>37</v>
      </c>
      <c r="C1342" s="73" t="str">
        <f t="shared" si="20"/>
        <v>Closed</v>
      </c>
      <c r="D1342" s="45" t="s">
        <v>7464</v>
      </c>
      <c r="E1342" s="54" t="s">
        <v>7465</v>
      </c>
      <c r="F1342" s="5" t="s">
        <v>214</v>
      </c>
      <c r="G1342" s="10">
        <f>DATE(2012,5,2)</f>
        <v>41031</v>
      </c>
      <c r="H1342" s="35">
        <v>1.6875</v>
      </c>
      <c r="I1342" s="5" t="s">
        <v>97</v>
      </c>
      <c r="J1342" s="10" t="s">
        <v>7466</v>
      </c>
      <c r="K1342" s="5" t="s">
        <v>216</v>
      </c>
      <c r="L1342" s="5" t="s">
        <v>7467</v>
      </c>
      <c r="M1342" s="5" t="s">
        <v>45</v>
      </c>
      <c r="N1342" s="5" t="s">
        <v>123</v>
      </c>
      <c r="O1342" s="5" t="s">
        <v>46</v>
      </c>
      <c r="P1342" s="10" t="s">
        <v>146</v>
      </c>
      <c r="Q1342" s="10" t="s">
        <v>2518</v>
      </c>
      <c r="R1342" s="10" t="s">
        <v>219</v>
      </c>
      <c r="S1342" s="5">
        <v>0</v>
      </c>
      <c r="T1342" s="37">
        <v>0</v>
      </c>
      <c r="U1342" s="5">
        <v>1</v>
      </c>
      <c r="V1342" s="37">
        <v>0</v>
      </c>
      <c r="W1342" s="5">
        <v>0</v>
      </c>
      <c r="X1342" s="5">
        <v>1</v>
      </c>
      <c r="Y1342" s="5">
        <v>0</v>
      </c>
      <c r="Z1342" s="37">
        <v>0</v>
      </c>
      <c r="AA1342" s="5">
        <v>0</v>
      </c>
      <c r="AB1342" s="5">
        <v>0</v>
      </c>
      <c r="AC1342" s="5">
        <v>0</v>
      </c>
      <c r="AD1342" s="5">
        <v>0</v>
      </c>
      <c r="AE1342" s="10" t="s">
        <v>50</v>
      </c>
      <c r="AF1342" s="10"/>
      <c r="AG1342" s="10" t="s">
        <v>114</v>
      </c>
      <c r="AH1342" s="10" t="s">
        <v>50</v>
      </c>
      <c r="AI1342" s="5">
        <v>1</v>
      </c>
      <c r="AJ1342" s="10" t="s">
        <v>7468</v>
      </c>
      <c r="AK1342" s="10" t="s">
        <v>7469</v>
      </c>
    </row>
    <row r="1343" spans="1:37" ht="36.75" customHeight="1" x14ac:dyDescent="0.35">
      <c r="A1343" s="5"/>
      <c r="B1343" s="5" t="s">
        <v>37</v>
      </c>
      <c r="C1343" s="73" t="str">
        <f t="shared" si="20"/>
        <v>Closed</v>
      </c>
      <c r="D1343" s="45" t="s">
        <v>7470</v>
      </c>
      <c r="E1343" s="54" t="s">
        <v>7471</v>
      </c>
      <c r="F1343" s="5" t="s">
        <v>1751</v>
      </c>
      <c r="G1343" s="10">
        <f>DATE(2012,5,4)</f>
        <v>41033</v>
      </c>
      <c r="H1343" s="35">
        <v>1.4125000000000001</v>
      </c>
      <c r="I1343" s="5" t="s">
        <v>179</v>
      </c>
      <c r="J1343" s="10" t="s">
        <v>7472</v>
      </c>
      <c r="K1343" s="5" t="s">
        <v>1753</v>
      </c>
      <c r="L1343" s="5" t="s">
        <v>7473</v>
      </c>
      <c r="M1343" s="5" t="s">
        <v>45</v>
      </c>
      <c r="N1343" s="5" t="s">
        <v>123</v>
      </c>
      <c r="O1343" s="5" t="s">
        <v>46</v>
      </c>
      <c r="P1343" s="10" t="s">
        <v>60</v>
      </c>
      <c r="Q1343" s="10" t="s">
        <v>6480</v>
      </c>
      <c r="R1343" s="10" t="s">
        <v>1756</v>
      </c>
      <c r="S1343" s="5">
        <v>0</v>
      </c>
      <c r="T1343" s="37">
        <v>0</v>
      </c>
      <c r="U1343" s="5">
        <v>0</v>
      </c>
      <c r="V1343" s="37">
        <v>0</v>
      </c>
      <c r="W1343" s="5">
        <v>0</v>
      </c>
      <c r="X1343" s="5">
        <v>0</v>
      </c>
      <c r="Y1343" s="5">
        <v>0</v>
      </c>
      <c r="Z1343" s="37">
        <v>0</v>
      </c>
      <c r="AA1343" s="5">
        <v>0</v>
      </c>
      <c r="AB1343" s="5">
        <v>0</v>
      </c>
      <c r="AC1343" s="5">
        <v>0</v>
      </c>
      <c r="AD1343" s="5">
        <v>0</v>
      </c>
      <c r="AE1343" s="10" t="s">
        <v>375</v>
      </c>
      <c r="AF1343" s="10"/>
      <c r="AG1343" s="10" t="s">
        <v>7474</v>
      </c>
      <c r="AH1343" s="10">
        <v>41040</v>
      </c>
      <c r="AI1343" s="5">
        <v>2</v>
      </c>
      <c r="AJ1343" s="10" t="s">
        <v>7475</v>
      </c>
      <c r="AK1343" s="10" t="s">
        <v>7476</v>
      </c>
    </row>
    <row r="1344" spans="1:37" ht="36.75" customHeight="1" x14ac:dyDescent="0.35">
      <c r="A1344" s="5"/>
      <c r="B1344" s="5" t="s">
        <v>37</v>
      </c>
      <c r="C1344" s="73" t="str">
        <f t="shared" si="20"/>
        <v>Closed</v>
      </c>
      <c r="D1344" s="45" t="s">
        <v>7477</v>
      </c>
      <c r="E1344" s="54" t="s">
        <v>7478</v>
      </c>
      <c r="F1344" s="5" t="s">
        <v>404</v>
      </c>
      <c r="G1344" s="10">
        <f>DATE(2012,5,7)</f>
        <v>41036</v>
      </c>
      <c r="H1344" s="35">
        <v>1.6354166666666665</v>
      </c>
      <c r="I1344" s="5" t="s">
        <v>97</v>
      </c>
      <c r="J1344" s="10" t="s">
        <v>7479</v>
      </c>
      <c r="K1344" s="5" t="s">
        <v>406</v>
      </c>
      <c r="L1344" s="5" t="s">
        <v>7480</v>
      </c>
      <c r="M1344" s="5" t="s">
        <v>45</v>
      </c>
      <c r="N1344" s="5" t="s">
        <v>70</v>
      </c>
      <c r="O1344" s="5" t="s">
        <v>59</v>
      </c>
      <c r="P1344" s="10" t="s">
        <v>47</v>
      </c>
      <c r="Q1344" s="10" t="s">
        <v>408</v>
      </c>
      <c r="R1344" s="10" t="s">
        <v>3083</v>
      </c>
      <c r="S1344" s="5">
        <v>0</v>
      </c>
      <c r="T1344" s="37">
        <v>0</v>
      </c>
      <c r="U1344" s="5">
        <v>0</v>
      </c>
      <c r="V1344" s="37">
        <v>0</v>
      </c>
      <c r="W1344" s="5">
        <v>0</v>
      </c>
      <c r="X1344" s="5">
        <v>0</v>
      </c>
      <c r="Y1344" s="5">
        <v>0</v>
      </c>
      <c r="Z1344" s="37">
        <v>0</v>
      </c>
      <c r="AA1344" s="5">
        <v>0</v>
      </c>
      <c r="AB1344" s="5">
        <v>0</v>
      </c>
      <c r="AC1344" s="5">
        <v>0</v>
      </c>
      <c r="AD1344" s="5">
        <v>0</v>
      </c>
      <c r="AE1344" s="10" t="s">
        <v>73</v>
      </c>
      <c r="AF1344" s="10"/>
      <c r="AG1344" s="10" t="s">
        <v>114</v>
      </c>
      <c r="AH1344" s="10">
        <v>41058</v>
      </c>
      <c r="AI1344" s="5">
        <v>4</v>
      </c>
      <c r="AJ1344" s="10" t="s">
        <v>7481</v>
      </c>
      <c r="AK1344" s="10" t="s">
        <v>6998</v>
      </c>
    </row>
    <row r="1345" spans="1:37" ht="36.75" customHeight="1" x14ac:dyDescent="0.35">
      <c r="A1345" s="5"/>
      <c r="B1345" s="5" t="s">
        <v>37</v>
      </c>
      <c r="C1345" s="73" t="str">
        <f t="shared" si="20"/>
        <v>Closed</v>
      </c>
      <c r="D1345" s="45" t="s">
        <v>7482</v>
      </c>
      <c r="E1345" s="54" t="s">
        <v>7483</v>
      </c>
      <c r="F1345" s="5" t="s">
        <v>178</v>
      </c>
      <c r="G1345" s="10">
        <f>DATE(2012,5,9)</f>
        <v>41038</v>
      </c>
      <c r="H1345" s="35">
        <v>1.59375</v>
      </c>
      <c r="I1345" s="5" t="s">
        <v>97</v>
      </c>
      <c r="J1345" s="10" t="s">
        <v>7484</v>
      </c>
      <c r="K1345" s="5" t="s">
        <v>181</v>
      </c>
      <c r="L1345" s="5" t="s">
        <v>7485</v>
      </c>
      <c r="M1345" s="5" t="s">
        <v>45</v>
      </c>
      <c r="N1345" s="5" t="s">
        <v>80</v>
      </c>
      <c r="O1345" s="5" t="s">
        <v>46</v>
      </c>
      <c r="P1345" s="10" t="s">
        <v>146</v>
      </c>
      <c r="Q1345" s="10" t="s">
        <v>183</v>
      </c>
      <c r="R1345" s="10" t="s">
        <v>184</v>
      </c>
      <c r="S1345" s="5">
        <v>0</v>
      </c>
      <c r="T1345" s="37">
        <v>0</v>
      </c>
      <c r="U1345" s="5">
        <v>1</v>
      </c>
      <c r="V1345" s="37">
        <v>0</v>
      </c>
      <c r="W1345" s="5">
        <v>0</v>
      </c>
      <c r="X1345" s="5">
        <v>1</v>
      </c>
      <c r="Y1345" s="5">
        <v>0</v>
      </c>
      <c r="Z1345" s="37">
        <v>0</v>
      </c>
      <c r="AA1345" s="5">
        <v>0</v>
      </c>
      <c r="AB1345" s="5">
        <v>0</v>
      </c>
      <c r="AC1345" s="5">
        <v>0</v>
      </c>
      <c r="AD1345" s="5">
        <v>0</v>
      </c>
      <c r="AE1345" s="10" t="s">
        <v>73</v>
      </c>
      <c r="AF1345" s="10"/>
      <c r="AG1345" s="10" t="s">
        <v>64</v>
      </c>
      <c r="AH1345" s="10">
        <v>41038</v>
      </c>
      <c r="AI1345" s="5">
        <v>0</v>
      </c>
      <c r="AJ1345" s="10" t="s">
        <v>7486</v>
      </c>
      <c r="AK1345" s="10" t="s">
        <v>1215</v>
      </c>
    </row>
    <row r="1346" spans="1:37" ht="36.75" customHeight="1" x14ac:dyDescent="0.35">
      <c r="A1346" s="5"/>
      <c r="B1346" s="5" t="s">
        <v>37</v>
      </c>
      <c r="C1346" s="73" t="str">
        <f t="shared" ref="C1346:C1409" si="21">IF(B1346="Notification","Open",IF(B1346="Interim Statement","In progress","Closed"))</f>
        <v>Closed</v>
      </c>
      <c r="D1346" s="45" t="s">
        <v>7487</v>
      </c>
      <c r="E1346" s="54" t="s">
        <v>7488</v>
      </c>
      <c r="F1346" s="5" t="s">
        <v>619</v>
      </c>
      <c r="G1346" s="10">
        <f>DATE(2012,5,9)</f>
        <v>41038</v>
      </c>
      <c r="H1346" s="35">
        <v>1.598611111111111</v>
      </c>
      <c r="I1346" s="5" t="s">
        <v>85</v>
      </c>
      <c r="J1346" s="10" t="s">
        <v>7489</v>
      </c>
      <c r="K1346" s="5" t="s">
        <v>621</v>
      </c>
      <c r="L1346" s="5" t="s">
        <v>7490</v>
      </c>
      <c r="M1346" s="5" t="s">
        <v>45</v>
      </c>
      <c r="N1346" s="5" t="s">
        <v>80</v>
      </c>
      <c r="O1346" s="5" t="s">
        <v>59</v>
      </c>
      <c r="P1346" s="10" t="s">
        <v>146</v>
      </c>
      <c r="Q1346" s="10" t="s">
        <v>3226</v>
      </c>
      <c r="R1346" s="10" t="s">
        <v>3226</v>
      </c>
      <c r="S1346" s="5">
        <v>0</v>
      </c>
      <c r="T1346" s="37">
        <v>0</v>
      </c>
      <c r="U1346" s="5">
        <v>0</v>
      </c>
      <c r="V1346" s="37">
        <v>0</v>
      </c>
      <c r="W1346" s="5">
        <v>0</v>
      </c>
      <c r="X1346" s="5">
        <v>0</v>
      </c>
      <c r="Y1346" s="5">
        <v>0</v>
      </c>
      <c r="Z1346" s="37">
        <v>0</v>
      </c>
      <c r="AA1346" s="5">
        <v>0</v>
      </c>
      <c r="AB1346" s="5">
        <v>0</v>
      </c>
      <c r="AC1346" s="5">
        <v>0</v>
      </c>
      <c r="AD1346" s="5">
        <v>0</v>
      </c>
      <c r="AE1346" s="10" t="s">
        <v>50</v>
      </c>
      <c r="AF1346" s="10"/>
      <c r="AG1346" s="10" t="s">
        <v>333</v>
      </c>
      <c r="AH1346" s="10">
        <v>41058</v>
      </c>
      <c r="AI1346" s="5">
        <v>2</v>
      </c>
      <c r="AJ1346" s="10" t="s">
        <v>7491</v>
      </c>
      <c r="AK1346" s="10" t="s">
        <v>50</v>
      </c>
    </row>
    <row r="1347" spans="1:37" ht="36.75" customHeight="1" x14ac:dyDescent="0.35">
      <c r="A1347" s="5"/>
      <c r="B1347" s="5" t="s">
        <v>37</v>
      </c>
      <c r="C1347" s="73" t="str">
        <f t="shared" si="21"/>
        <v>Closed</v>
      </c>
      <c r="D1347" s="45" t="s">
        <v>7492</v>
      </c>
      <c r="E1347" s="54" t="s">
        <v>7493</v>
      </c>
      <c r="F1347" s="5" t="s">
        <v>1553</v>
      </c>
      <c r="G1347" s="10">
        <f>DATE(2012,5,10)</f>
        <v>41039</v>
      </c>
      <c r="H1347" s="35">
        <v>1.46875</v>
      </c>
      <c r="I1347" s="5" t="s">
        <v>55</v>
      </c>
      <c r="J1347" s="10" t="s">
        <v>7494</v>
      </c>
      <c r="K1347" s="5" t="s">
        <v>1555</v>
      </c>
      <c r="L1347" s="5" t="s">
        <v>7495</v>
      </c>
      <c r="M1347" s="5" t="s">
        <v>45</v>
      </c>
      <c r="N1347" s="5" t="s">
        <v>123</v>
      </c>
      <c r="O1347" s="5" t="s">
        <v>59</v>
      </c>
      <c r="P1347" s="10" t="s">
        <v>60</v>
      </c>
      <c r="Q1347" s="10" t="s">
        <v>4899</v>
      </c>
      <c r="R1347" s="10">
        <v>0</v>
      </c>
      <c r="S1347" s="5">
        <v>0</v>
      </c>
      <c r="T1347" s="37">
        <v>0</v>
      </c>
      <c r="U1347" s="5">
        <v>0</v>
      </c>
      <c r="V1347" s="37">
        <v>0</v>
      </c>
      <c r="W1347" s="5">
        <v>0</v>
      </c>
      <c r="X1347" s="5">
        <v>0</v>
      </c>
      <c r="Y1347" s="5">
        <v>0</v>
      </c>
      <c r="Z1347" s="37">
        <v>0</v>
      </c>
      <c r="AA1347" s="5">
        <v>0</v>
      </c>
      <c r="AB1347" s="5">
        <v>0</v>
      </c>
      <c r="AC1347" s="5">
        <v>0</v>
      </c>
      <c r="AD1347" s="5">
        <v>0</v>
      </c>
      <c r="AE1347" s="10" t="s">
        <v>73</v>
      </c>
      <c r="AF1347" s="10"/>
      <c r="AG1347" s="10" t="s">
        <v>114</v>
      </c>
      <c r="AH1347" s="10">
        <v>41040</v>
      </c>
      <c r="AI1347" s="5">
        <v>0</v>
      </c>
      <c r="AJ1347" s="10" t="s">
        <v>7496</v>
      </c>
      <c r="AK1347" s="10" t="s">
        <v>1215</v>
      </c>
    </row>
    <row r="1348" spans="1:37" ht="36.75" customHeight="1" x14ac:dyDescent="0.35">
      <c r="A1348" s="5"/>
      <c r="B1348" s="5" t="s">
        <v>37</v>
      </c>
      <c r="C1348" s="73" t="str">
        <f t="shared" si="21"/>
        <v>Closed</v>
      </c>
      <c r="D1348" s="45" t="s">
        <v>7497</v>
      </c>
      <c r="E1348" s="54" t="s">
        <v>7498</v>
      </c>
      <c r="F1348" s="5" t="s">
        <v>1751</v>
      </c>
      <c r="G1348" s="10">
        <f>DATE(2012,5,11)</f>
        <v>41040</v>
      </c>
      <c r="H1348" s="35">
        <v>1.48125</v>
      </c>
      <c r="I1348" s="5" t="s">
        <v>179</v>
      </c>
      <c r="J1348" s="10" t="s">
        <v>7499</v>
      </c>
      <c r="K1348" s="5" t="s">
        <v>1753</v>
      </c>
      <c r="L1348" s="5" t="s">
        <v>7500</v>
      </c>
      <c r="M1348" s="5" t="s">
        <v>45</v>
      </c>
      <c r="N1348" s="5" t="s">
        <v>123</v>
      </c>
      <c r="O1348" s="5" t="s">
        <v>46</v>
      </c>
      <c r="P1348" s="10" t="s">
        <v>60</v>
      </c>
      <c r="Q1348" s="10" t="s">
        <v>6480</v>
      </c>
      <c r="R1348" s="10" t="s">
        <v>1756</v>
      </c>
      <c r="S1348" s="5">
        <v>0</v>
      </c>
      <c r="T1348" s="37">
        <v>0</v>
      </c>
      <c r="U1348" s="5">
        <v>0</v>
      </c>
      <c r="V1348" s="37">
        <v>0</v>
      </c>
      <c r="W1348" s="5">
        <v>0</v>
      </c>
      <c r="X1348" s="5">
        <v>0</v>
      </c>
      <c r="Y1348" s="5">
        <v>0</v>
      </c>
      <c r="Z1348" s="37">
        <v>0</v>
      </c>
      <c r="AA1348" s="5">
        <v>0</v>
      </c>
      <c r="AB1348" s="5">
        <v>0</v>
      </c>
      <c r="AC1348" s="5">
        <v>0</v>
      </c>
      <c r="AD1348" s="5">
        <v>0</v>
      </c>
      <c r="AE1348" s="10" t="s">
        <v>375</v>
      </c>
      <c r="AF1348" s="10"/>
      <c r="AG1348" s="10" t="s">
        <v>64</v>
      </c>
      <c r="AH1348" s="10">
        <v>41040</v>
      </c>
      <c r="AI1348" s="5">
        <v>8</v>
      </c>
      <c r="AJ1348" s="10" t="s">
        <v>7501</v>
      </c>
      <c r="AK1348" s="10" t="s">
        <v>50</v>
      </c>
    </row>
    <row r="1349" spans="1:37" ht="36.75" customHeight="1" x14ac:dyDescent="0.35">
      <c r="A1349" s="5"/>
      <c r="B1349" s="5" t="s">
        <v>37</v>
      </c>
      <c r="C1349" s="73" t="str">
        <f t="shared" si="21"/>
        <v>Closed</v>
      </c>
      <c r="D1349" s="45" t="s">
        <v>7502</v>
      </c>
      <c r="E1349" s="54" t="s">
        <v>7503</v>
      </c>
      <c r="F1349" s="5" t="s">
        <v>619</v>
      </c>
      <c r="G1349" s="10">
        <f>DATE(2012,5,11)</f>
        <v>41040</v>
      </c>
      <c r="H1349" s="35">
        <v>1.8569444444444443</v>
      </c>
      <c r="I1349" s="5" t="s">
        <v>137</v>
      </c>
      <c r="J1349" s="10" t="s">
        <v>7504</v>
      </c>
      <c r="K1349" s="5" t="s">
        <v>621</v>
      </c>
      <c r="L1349" s="5" t="s">
        <v>7505</v>
      </c>
      <c r="M1349" s="5" t="s">
        <v>45</v>
      </c>
      <c r="N1349" s="5" t="s">
        <v>80</v>
      </c>
      <c r="O1349" s="5" t="s">
        <v>46</v>
      </c>
      <c r="P1349" s="10" t="s">
        <v>6881</v>
      </c>
      <c r="Q1349" s="10" t="s">
        <v>3226</v>
      </c>
      <c r="R1349" s="10" t="s">
        <v>3226</v>
      </c>
      <c r="S1349" s="5">
        <v>0</v>
      </c>
      <c r="T1349" s="37">
        <v>0</v>
      </c>
      <c r="U1349" s="5">
        <v>0</v>
      </c>
      <c r="V1349" s="37">
        <v>0</v>
      </c>
      <c r="W1349" s="5">
        <v>0</v>
      </c>
      <c r="X1349" s="5">
        <v>0</v>
      </c>
      <c r="Y1349" s="5">
        <v>0</v>
      </c>
      <c r="Z1349" s="37">
        <v>0</v>
      </c>
      <c r="AA1349" s="5">
        <v>0</v>
      </c>
      <c r="AB1349" s="5">
        <v>0</v>
      </c>
      <c r="AC1349" s="5">
        <v>0</v>
      </c>
      <c r="AD1349" s="5">
        <v>0</v>
      </c>
      <c r="AE1349" s="10" t="s">
        <v>50</v>
      </c>
      <c r="AF1349" s="10"/>
      <c r="AG1349" s="10" t="s">
        <v>333</v>
      </c>
      <c r="AH1349" s="10">
        <v>41058</v>
      </c>
      <c r="AI1349" s="5">
        <v>0</v>
      </c>
      <c r="AJ1349" s="10" t="s">
        <v>7506</v>
      </c>
      <c r="AK1349" s="10" t="s">
        <v>50</v>
      </c>
    </row>
    <row r="1350" spans="1:37" ht="36.75" customHeight="1" x14ac:dyDescent="0.35">
      <c r="A1350" s="5"/>
      <c r="B1350" s="5" t="s">
        <v>37</v>
      </c>
      <c r="C1350" s="73" t="str">
        <f t="shared" si="21"/>
        <v>Closed</v>
      </c>
      <c r="D1350" s="45" t="s">
        <v>7507</v>
      </c>
      <c r="E1350" s="54" t="s">
        <v>7508</v>
      </c>
      <c r="F1350" s="5" t="s">
        <v>816</v>
      </c>
      <c r="G1350" s="10">
        <f>DATE(2012,5,12)</f>
        <v>41041</v>
      </c>
      <c r="H1350" s="35">
        <v>1.6041666666666665</v>
      </c>
      <c r="I1350" s="5" t="s">
        <v>55</v>
      </c>
      <c r="J1350" s="10" t="s">
        <v>7509</v>
      </c>
      <c r="K1350" s="5" t="s">
        <v>818</v>
      </c>
      <c r="L1350" s="5" t="s">
        <v>7510</v>
      </c>
      <c r="M1350" s="5" t="s">
        <v>45</v>
      </c>
      <c r="N1350" s="5" t="s">
        <v>123</v>
      </c>
      <c r="O1350" s="5" t="s">
        <v>46</v>
      </c>
      <c r="P1350" s="10" t="s">
        <v>60</v>
      </c>
      <c r="Q1350" s="10" t="s">
        <v>4688</v>
      </c>
      <c r="R1350" s="10" t="s">
        <v>821</v>
      </c>
      <c r="S1350" s="5">
        <v>0</v>
      </c>
      <c r="T1350" s="37">
        <v>0</v>
      </c>
      <c r="U1350" s="5">
        <v>0</v>
      </c>
      <c r="V1350" s="37">
        <v>0</v>
      </c>
      <c r="W1350" s="5">
        <v>0</v>
      </c>
      <c r="X1350" s="5">
        <v>0</v>
      </c>
      <c r="Y1350" s="5">
        <v>0</v>
      </c>
      <c r="Z1350" s="37">
        <v>0</v>
      </c>
      <c r="AA1350" s="5">
        <v>0</v>
      </c>
      <c r="AB1350" s="5">
        <v>0</v>
      </c>
      <c r="AC1350" s="5">
        <v>0</v>
      </c>
      <c r="AD1350" s="5">
        <v>0</v>
      </c>
      <c r="AE1350" s="10" t="s">
        <v>375</v>
      </c>
      <c r="AF1350" s="10"/>
      <c r="AG1350" s="10" t="s">
        <v>333</v>
      </c>
      <c r="AH1350" s="10">
        <v>41041</v>
      </c>
      <c r="AI1350" s="5">
        <v>1</v>
      </c>
      <c r="AJ1350" s="10" t="s">
        <v>7511</v>
      </c>
      <c r="AK1350" s="10" t="s">
        <v>7512</v>
      </c>
    </row>
    <row r="1351" spans="1:37" ht="36.75" customHeight="1" x14ac:dyDescent="0.35">
      <c r="A1351" s="5"/>
      <c r="B1351" s="5" t="s">
        <v>37</v>
      </c>
      <c r="C1351" s="73" t="str">
        <f t="shared" si="21"/>
        <v>Closed</v>
      </c>
      <c r="D1351" s="45" t="s">
        <v>7513</v>
      </c>
      <c r="E1351" s="54" t="s">
        <v>7514</v>
      </c>
      <c r="F1351" s="5" t="s">
        <v>214</v>
      </c>
      <c r="G1351" s="10">
        <f>DATE(2012,5,16)</f>
        <v>41045</v>
      </c>
      <c r="H1351" s="35">
        <v>1.4055555555555554</v>
      </c>
      <c r="I1351" s="5" t="s">
        <v>259</v>
      </c>
      <c r="J1351" s="10" t="s">
        <v>7515</v>
      </c>
      <c r="K1351" s="5" t="s">
        <v>216</v>
      </c>
      <c r="L1351" s="5" t="s">
        <v>7516</v>
      </c>
      <c r="M1351" s="5" t="s">
        <v>236</v>
      </c>
      <c r="N1351" s="5" t="s">
        <v>123</v>
      </c>
      <c r="O1351" s="5" t="s">
        <v>59</v>
      </c>
      <c r="P1351" s="10" t="s">
        <v>146</v>
      </c>
      <c r="Q1351" s="10" t="s">
        <v>1874</v>
      </c>
      <c r="R1351" s="10" t="s">
        <v>1875</v>
      </c>
      <c r="S1351" s="5">
        <v>0</v>
      </c>
      <c r="T1351" s="37">
        <v>0</v>
      </c>
      <c r="U1351" s="5">
        <v>0</v>
      </c>
      <c r="V1351" s="37">
        <v>0</v>
      </c>
      <c r="W1351" s="5">
        <v>0</v>
      </c>
      <c r="X1351" s="5">
        <v>0</v>
      </c>
      <c r="Y1351" s="5">
        <v>0</v>
      </c>
      <c r="Z1351" s="37">
        <v>0</v>
      </c>
      <c r="AA1351" s="5">
        <v>1</v>
      </c>
      <c r="AB1351" s="5">
        <v>0</v>
      </c>
      <c r="AC1351" s="5">
        <v>0</v>
      </c>
      <c r="AD1351" s="5">
        <v>1</v>
      </c>
      <c r="AE1351" s="10" t="s">
        <v>50</v>
      </c>
      <c r="AF1351" s="10"/>
      <c r="AG1351" s="10" t="s">
        <v>114</v>
      </c>
      <c r="AH1351" s="10" t="s">
        <v>50</v>
      </c>
      <c r="AI1351" s="5">
        <v>5</v>
      </c>
      <c r="AJ1351" s="10" t="s">
        <v>7517</v>
      </c>
      <c r="AK1351" s="10" t="s">
        <v>7518</v>
      </c>
    </row>
    <row r="1352" spans="1:37" ht="36.75" customHeight="1" x14ac:dyDescent="0.35">
      <c r="A1352" s="5"/>
      <c r="B1352" s="5" t="s">
        <v>37</v>
      </c>
      <c r="C1352" s="73" t="str">
        <f t="shared" si="21"/>
        <v>Closed</v>
      </c>
      <c r="D1352" s="45" t="s">
        <v>7519</v>
      </c>
      <c r="E1352" s="54" t="s">
        <v>7520</v>
      </c>
      <c r="F1352" s="5" t="s">
        <v>404</v>
      </c>
      <c r="G1352" s="10">
        <f>DATE(2012,5,20)</f>
        <v>41049</v>
      </c>
      <c r="H1352" s="35">
        <v>1.9847222222222221</v>
      </c>
      <c r="I1352" s="5" t="s">
        <v>55</v>
      </c>
      <c r="J1352" s="10" t="s">
        <v>7521</v>
      </c>
      <c r="K1352" s="5" t="s">
        <v>406</v>
      </c>
      <c r="L1352" s="5" t="s">
        <v>7522</v>
      </c>
      <c r="M1352" s="5" t="s">
        <v>45</v>
      </c>
      <c r="N1352" s="5" t="s">
        <v>123</v>
      </c>
      <c r="O1352" s="5" t="s">
        <v>46</v>
      </c>
      <c r="P1352" s="10" t="s">
        <v>60</v>
      </c>
      <c r="Q1352" s="10" t="s">
        <v>2562</v>
      </c>
      <c r="R1352" s="10" t="s">
        <v>3083</v>
      </c>
      <c r="S1352" s="5">
        <v>0</v>
      </c>
      <c r="T1352" s="37">
        <v>0</v>
      </c>
      <c r="U1352" s="5">
        <v>0</v>
      </c>
      <c r="V1352" s="37">
        <v>0</v>
      </c>
      <c r="W1352" s="5">
        <v>0</v>
      </c>
      <c r="X1352" s="5">
        <v>0</v>
      </c>
      <c r="Y1352" s="5">
        <v>0</v>
      </c>
      <c r="Z1352" s="37">
        <v>0</v>
      </c>
      <c r="AA1352" s="5">
        <v>0</v>
      </c>
      <c r="AB1352" s="5">
        <v>0</v>
      </c>
      <c r="AC1352" s="5">
        <v>0</v>
      </c>
      <c r="AD1352" s="5">
        <v>0</v>
      </c>
      <c r="AE1352" s="10" t="s">
        <v>375</v>
      </c>
      <c r="AF1352" s="10"/>
      <c r="AG1352" s="10" t="s">
        <v>64</v>
      </c>
      <c r="AH1352" s="10">
        <v>41057</v>
      </c>
      <c r="AI1352" s="5">
        <v>1</v>
      </c>
      <c r="AJ1352" s="10" t="s">
        <v>7523</v>
      </c>
      <c r="AK1352" s="10" t="s">
        <v>7524</v>
      </c>
    </row>
    <row r="1353" spans="1:37" ht="36.75" customHeight="1" x14ac:dyDescent="0.35">
      <c r="A1353" s="5"/>
      <c r="B1353" s="5" t="s">
        <v>37</v>
      </c>
      <c r="C1353" s="73" t="str">
        <f t="shared" si="21"/>
        <v>Closed</v>
      </c>
      <c r="D1353" s="45" t="s">
        <v>7525</v>
      </c>
      <c r="E1353" s="54" t="s">
        <v>7526</v>
      </c>
      <c r="F1353" s="5" t="s">
        <v>178</v>
      </c>
      <c r="G1353" s="10">
        <f>DATE(2012,5,21)</f>
        <v>41050</v>
      </c>
      <c r="H1353" s="35">
        <v>0</v>
      </c>
      <c r="I1353" s="5" t="s">
        <v>259</v>
      </c>
      <c r="J1353" s="10" t="s">
        <v>7527</v>
      </c>
      <c r="K1353" s="5" t="s">
        <v>181</v>
      </c>
      <c r="L1353" s="5" t="s">
        <v>7528</v>
      </c>
      <c r="M1353" s="5" t="s">
        <v>45</v>
      </c>
      <c r="N1353" s="5" t="s">
        <v>123</v>
      </c>
      <c r="O1353" s="5" t="s">
        <v>59</v>
      </c>
      <c r="P1353" s="10" t="s">
        <v>72</v>
      </c>
      <c r="Q1353" s="10" t="s">
        <v>181</v>
      </c>
      <c r="R1353" s="10" t="s">
        <v>181</v>
      </c>
      <c r="S1353" s="5">
        <v>0</v>
      </c>
      <c r="T1353" s="37">
        <v>0</v>
      </c>
      <c r="U1353" s="5">
        <v>0</v>
      </c>
      <c r="V1353" s="37">
        <v>0</v>
      </c>
      <c r="W1353" s="5">
        <v>0</v>
      </c>
      <c r="X1353" s="5">
        <v>0</v>
      </c>
      <c r="Y1353" s="5">
        <v>0</v>
      </c>
      <c r="Z1353" s="37">
        <v>3</v>
      </c>
      <c r="AA1353" s="5">
        <v>0</v>
      </c>
      <c r="AB1353" s="5">
        <v>0</v>
      </c>
      <c r="AC1353" s="5">
        <v>0</v>
      </c>
      <c r="AD1353" s="5">
        <v>3</v>
      </c>
      <c r="AE1353" s="10" t="s">
        <v>375</v>
      </c>
      <c r="AF1353" s="10"/>
      <c r="AG1353" s="10" t="s">
        <v>114</v>
      </c>
      <c r="AH1353" s="10">
        <v>41050</v>
      </c>
      <c r="AI1353" s="5">
        <v>0</v>
      </c>
      <c r="AJ1353" s="10" t="s">
        <v>7529</v>
      </c>
      <c r="AK1353" s="10" t="s">
        <v>1215</v>
      </c>
    </row>
    <row r="1354" spans="1:37" ht="36.75" customHeight="1" x14ac:dyDescent="0.35">
      <c r="A1354" s="5"/>
      <c r="B1354" s="5" t="s">
        <v>37</v>
      </c>
      <c r="C1354" s="73" t="str">
        <f t="shared" si="21"/>
        <v>Closed</v>
      </c>
      <c r="D1354" s="45" t="s">
        <v>7530</v>
      </c>
      <c r="E1354" s="54" t="s">
        <v>7531</v>
      </c>
      <c r="F1354" s="5" t="s">
        <v>214</v>
      </c>
      <c r="G1354" s="10">
        <f>DATE(2012,5,21)</f>
        <v>41050</v>
      </c>
      <c r="H1354" s="35">
        <v>1.5138888888888888</v>
      </c>
      <c r="I1354" s="5" t="s">
        <v>259</v>
      </c>
      <c r="J1354" s="10" t="s">
        <v>7532</v>
      </c>
      <c r="K1354" s="5" t="s">
        <v>216</v>
      </c>
      <c r="L1354" s="5" t="s">
        <v>7533</v>
      </c>
      <c r="M1354" s="5" t="s">
        <v>45</v>
      </c>
      <c r="N1354" s="5">
        <v>0</v>
      </c>
      <c r="O1354" s="5" t="s">
        <v>59</v>
      </c>
      <c r="P1354" s="10" t="s">
        <v>72</v>
      </c>
      <c r="Q1354" s="10" t="s">
        <v>635</v>
      </c>
      <c r="R1354" s="10" t="s">
        <v>635</v>
      </c>
      <c r="S1354" s="5">
        <v>0</v>
      </c>
      <c r="T1354" s="37">
        <v>1</v>
      </c>
      <c r="U1354" s="5">
        <v>0</v>
      </c>
      <c r="V1354" s="37">
        <v>0</v>
      </c>
      <c r="W1354" s="5">
        <v>0</v>
      </c>
      <c r="X1354" s="5">
        <v>1</v>
      </c>
      <c r="Y1354" s="5">
        <v>0</v>
      </c>
      <c r="Z1354" s="37">
        <v>0</v>
      </c>
      <c r="AA1354" s="5">
        <v>0</v>
      </c>
      <c r="AB1354" s="5">
        <v>0</v>
      </c>
      <c r="AC1354" s="5">
        <v>0</v>
      </c>
      <c r="AD1354" s="5">
        <v>0</v>
      </c>
      <c r="AE1354" s="10" t="s">
        <v>50</v>
      </c>
      <c r="AF1354" s="10"/>
      <c r="AG1354" s="10" t="s">
        <v>64</v>
      </c>
      <c r="AH1354" s="10" t="s">
        <v>50</v>
      </c>
      <c r="AI1354" s="5">
        <v>1</v>
      </c>
      <c r="AJ1354" s="10" t="s">
        <v>7534</v>
      </c>
      <c r="AK1354" s="10" t="s">
        <v>7535</v>
      </c>
    </row>
    <row r="1355" spans="1:37" ht="36.75" customHeight="1" x14ac:dyDescent="0.35">
      <c r="A1355" s="5"/>
      <c r="B1355" s="5" t="s">
        <v>37</v>
      </c>
      <c r="C1355" s="73" t="str">
        <f t="shared" si="21"/>
        <v>Closed</v>
      </c>
      <c r="D1355" s="45" t="s">
        <v>7536</v>
      </c>
      <c r="E1355" s="54" t="s">
        <v>7537</v>
      </c>
      <c r="F1355" s="5" t="s">
        <v>178</v>
      </c>
      <c r="G1355" s="10">
        <f>DATE(2012,5,22)</f>
        <v>41051</v>
      </c>
      <c r="H1355" s="35">
        <v>1.3166666666666667</v>
      </c>
      <c r="I1355" s="5" t="s">
        <v>97</v>
      </c>
      <c r="J1355" s="10" t="s">
        <v>7538</v>
      </c>
      <c r="K1355" s="5" t="s">
        <v>181</v>
      </c>
      <c r="L1355" s="5" t="s">
        <v>7539</v>
      </c>
      <c r="M1355" s="5" t="s">
        <v>45</v>
      </c>
      <c r="N1355" s="5" t="s">
        <v>80</v>
      </c>
      <c r="O1355" s="5" t="s">
        <v>46</v>
      </c>
      <c r="P1355" s="10" t="s">
        <v>146</v>
      </c>
      <c r="Q1355" s="10" t="s">
        <v>183</v>
      </c>
      <c r="R1355" s="10" t="s">
        <v>184</v>
      </c>
      <c r="S1355" s="5">
        <v>0</v>
      </c>
      <c r="T1355" s="37">
        <v>0</v>
      </c>
      <c r="U1355" s="5">
        <v>1</v>
      </c>
      <c r="V1355" s="37">
        <v>0</v>
      </c>
      <c r="W1355" s="5">
        <v>0</v>
      </c>
      <c r="X1355" s="5">
        <v>1</v>
      </c>
      <c r="Y1355" s="5">
        <v>0</v>
      </c>
      <c r="Z1355" s="37">
        <v>0</v>
      </c>
      <c r="AA1355" s="5">
        <v>0</v>
      </c>
      <c r="AB1355" s="5">
        <v>0</v>
      </c>
      <c r="AC1355" s="5">
        <v>0</v>
      </c>
      <c r="AD1355" s="5">
        <v>0</v>
      </c>
      <c r="AE1355" s="10" t="s">
        <v>73</v>
      </c>
      <c r="AF1355" s="10"/>
      <c r="AG1355" s="10" t="s">
        <v>64</v>
      </c>
      <c r="AH1355" s="10">
        <v>41057</v>
      </c>
      <c r="AI1355" s="5">
        <v>3</v>
      </c>
      <c r="AJ1355" s="10" t="s">
        <v>7540</v>
      </c>
      <c r="AK1355" s="10" t="s">
        <v>50</v>
      </c>
    </row>
    <row r="1356" spans="1:37" ht="36.75" customHeight="1" x14ac:dyDescent="0.35">
      <c r="A1356" s="5"/>
      <c r="B1356" s="5" t="s">
        <v>37</v>
      </c>
      <c r="C1356" s="73" t="str">
        <f t="shared" si="21"/>
        <v>Closed</v>
      </c>
      <c r="D1356" s="45" t="s">
        <v>7541</v>
      </c>
      <c r="E1356" s="54" t="s">
        <v>7542</v>
      </c>
      <c r="F1356" s="5" t="s">
        <v>40</v>
      </c>
      <c r="G1356" s="10">
        <f>DATE(2012,5,22)</f>
        <v>41051</v>
      </c>
      <c r="H1356" s="35">
        <v>1.1312500000000001</v>
      </c>
      <c r="I1356" s="5" t="s">
        <v>55</v>
      </c>
      <c r="J1356" s="10" t="s">
        <v>7543</v>
      </c>
      <c r="K1356" s="5" t="s">
        <v>43</v>
      </c>
      <c r="L1356" s="5" t="s">
        <v>7544</v>
      </c>
      <c r="M1356" s="5" t="s">
        <v>45</v>
      </c>
      <c r="N1356" s="5" t="s">
        <v>70</v>
      </c>
      <c r="O1356" s="5" t="s">
        <v>71</v>
      </c>
      <c r="P1356" s="10" t="s">
        <v>60</v>
      </c>
      <c r="Q1356" s="10" t="s">
        <v>48</v>
      </c>
      <c r="R1356" s="10">
        <v>0</v>
      </c>
      <c r="S1356" s="5">
        <v>0</v>
      </c>
      <c r="T1356" s="37">
        <v>0</v>
      </c>
      <c r="U1356" s="5">
        <v>0</v>
      </c>
      <c r="V1356" s="37">
        <v>0</v>
      </c>
      <c r="W1356" s="5">
        <v>0</v>
      </c>
      <c r="X1356" s="5">
        <v>0</v>
      </c>
      <c r="Y1356" s="5">
        <v>0</v>
      </c>
      <c r="Z1356" s="37">
        <v>0</v>
      </c>
      <c r="AA1356" s="5">
        <v>0</v>
      </c>
      <c r="AB1356" s="5">
        <v>0</v>
      </c>
      <c r="AC1356" s="5">
        <v>0</v>
      </c>
      <c r="AD1356" s="5">
        <v>0</v>
      </c>
      <c r="AE1356" s="10" t="s">
        <v>375</v>
      </c>
      <c r="AF1356" s="10"/>
      <c r="AG1356" s="10" t="s">
        <v>114</v>
      </c>
      <c r="AH1356" s="10">
        <v>41051</v>
      </c>
      <c r="AI1356" s="5">
        <v>5</v>
      </c>
      <c r="AJ1356" s="10" t="s">
        <v>7545</v>
      </c>
      <c r="AK1356" s="10" t="s">
        <v>7546</v>
      </c>
    </row>
    <row r="1357" spans="1:37" ht="36.75" customHeight="1" x14ac:dyDescent="0.35">
      <c r="A1357" s="5"/>
      <c r="B1357" s="5" t="s">
        <v>37</v>
      </c>
      <c r="C1357" s="73" t="str">
        <f t="shared" si="21"/>
        <v>Closed</v>
      </c>
      <c r="D1357" s="45" t="s">
        <v>7547</v>
      </c>
      <c r="E1357" s="54" t="s">
        <v>7548</v>
      </c>
      <c r="F1357" s="5" t="s">
        <v>96</v>
      </c>
      <c r="G1357" s="10">
        <f>DATE(2012,5,22)</f>
        <v>41051</v>
      </c>
      <c r="H1357" s="35">
        <v>1.6284722222222223</v>
      </c>
      <c r="I1357" s="5" t="s">
        <v>137</v>
      </c>
      <c r="J1357" s="10" t="s">
        <v>7549</v>
      </c>
      <c r="K1357" s="5" t="s">
        <v>99</v>
      </c>
      <c r="L1357" s="5" t="s">
        <v>7550</v>
      </c>
      <c r="M1357" s="5" t="s">
        <v>45</v>
      </c>
      <c r="N1357" s="5" t="s">
        <v>123</v>
      </c>
      <c r="O1357" s="5" t="s">
        <v>46</v>
      </c>
      <c r="P1357" s="10" t="s">
        <v>146</v>
      </c>
      <c r="Q1357" s="10" t="s">
        <v>101</v>
      </c>
      <c r="R1357" s="10" t="s">
        <v>102</v>
      </c>
      <c r="S1357" s="5">
        <v>0</v>
      </c>
      <c r="T1357" s="37">
        <v>0</v>
      </c>
      <c r="U1357" s="5">
        <v>0</v>
      </c>
      <c r="V1357" s="37">
        <v>0</v>
      </c>
      <c r="W1357" s="5">
        <v>0</v>
      </c>
      <c r="X1357" s="5">
        <v>0</v>
      </c>
      <c r="Y1357" s="5">
        <v>0</v>
      </c>
      <c r="Z1357" s="37">
        <v>0</v>
      </c>
      <c r="AA1357" s="5">
        <v>0</v>
      </c>
      <c r="AB1357" s="5">
        <v>0</v>
      </c>
      <c r="AC1357" s="5">
        <v>0</v>
      </c>
      <c r="AD1357" s="5">
        <v>0</v>
      </c>
      <c r="AE1357" s="10" t="s">
        <v>375</v>
      </c>
      <c r="AF1357" s="10"/>
      <c r="AG1357" s="10" t="s">
        <v>114</v>
      </c>
      <c r="AH1357" s="10">
        <v>41058</v>
      </c>
      <c r="AI1357" s="5">
        <v>3</v>
      </c>
      <c r="AJ1357" s="10" t="s">
        <v>7551</v>
      </c>
      <c r="AK1357" s="10" t="s">
        <v>7552</v>
      </c>
    </row>
    <row r="1358" spans="1:37" ht="36.75" customHeight="1" x14ac:dyDescent="0.35">
      <c r="A1358" s="5"/>
      <c r="B1358" s="5" t="s">
        <v>37</v>
      </c>
      <c r="C1358" s="73" t="str">
        <f t="shared" si="21"/>
        <v>Closed</v>
      </c>
      <c r="D1358" s="45" t="s">
        <v>7553</v>
      </c>
      <c r="E1358" s="54" t="s">
        <v>7554</v>
      </c>
      <c r="F1358" s="5" t="s">
        <v>619</v>
      </c>
      <c r="G1358" s="10">
        <f>DATE(2012,5,23)</f>
        <v>41052</v>
      </c>
      <c r="H1358" s="35">
        <v>1.8888888888888888</v>
      </c>
      <c r="I1358" s="5" t="s">
        <v>67</v>
      </c>
      <c r="J1358" s="10" t="s">
        <v>7555</v>
      </c>
      <c r="K1358" s="5" t="s">
        <v>621</v>
      </c>
      <c r="L1358" s="5" t="s">
        <v>7556</v>
      </c>
      <c r="M1358" s="5" t="s">
        <v>45</v>
      </c>
      <c r="N1358" s="5" t="s">
        <v>80</v>
      </c>
      <c r="O1358" s="5" t="s">
        <v>59</v>
      </c>
      <c r="P1358" s="10" t="s">
        <v>146</v>
      </c>
      <c r="Q1358" s="10" t="s">
        <v>623</v>
      </c>
      <c r="R1358" s="10" t="s">
        <v>624</v>
      </c>
      <c r="S1358" s="5">
        <v>0</v>
      </c>
      <c r="T1358" s="37">
        <v>0</v>
      </c>
      <c r="U1358" s="5">
        <v>0</v>
      </c>
      <c r="V1358" s="37">
        <v>0</v>
      </c>
      <c r="W1358" s="5">
        <v>0</v>
      </c>
      <c r="X1358" s="5">
        <v>0</v>
      </c>
      <c r="Y1358" s="5">
        <v>0</v>
      </c>
      <c r="Z1358" s="37">
        <v>0</v>
      </c>
      <c r="AA1358" s="5">
        <v>0</v>
      </c>
      <c r="AB1358" s="5">
        <v>0</v>
      </c>
      <c r="AC1358" s="5">
        <v>0</v>
      </c>
      <c r="AD1358" s="5">
        <v>0</v>
      </c>
      <c r="AE1358" s="10" t="s">
        <v>50</v>
      </c>
      <c r="AF1358" s="10"/>
      <c r="AG1358" s="10" t="s">
        <v>333</v>
      </c>
      <c r="AH1358" s="10">
        <v>41058</v>
      </c>
      <c r="AI1358" s="5">
        <v>1</v>
      </c>
      <c r="AJ1358" s="10" t="s">
        <v>7557</v>
      </c>
      <c r="AK1358" s="10" t="s">
        <v>50</v>
      </c>
    </row>
    <row r="1359" spans="1:37" ht="36.75" customHeight="1" x14ac:dyDescent="0.35">
      <c r="A1359" s="5"/>
      <c r="B1359" s="5" t="s">
        <v>37</v>
      </c>
      <c r="C1359" s="73" t="str">
        <f t="shared" si="21"/>
        <v>Closed</v>
      </c>
      <c r="D1359" s="45" t="s">
        <v>7558</v>
      </c>
      <c r="E1359" s="54" t="s">
        <v>7559</v>
      </c>
      <c r="F1359" s="5" t="s">
        <v>404</v>
      </c>
      <c r="G1359" s="10">
        <f>DATE(2012,5,25)</f>
        <v>41054</v>
      </c>
      <c r="H1359" s="35">
        <v>1.5229166666666667</v>
      </c>
      <c r="I1359" s="5" t="s">
        <v>97</v>
      </c>
      <c r="J1359" s="10" t="s">
        <v>7560</v>
      </c>
      <c r="K1359" s="5" t="s">
        <v>406</v>
      </c>
      <c r="L1359" s="5" t="s">
        <v>7561</v>
      </c>
      <c r="M1359" s="5" t="s">
        <v>45</v>
      </c>
      <c r="N1359" s="5" t="s">
        <v>80</v>
      </c>
      <c r="O1359" s="5" t="s">
        <v>46</v>
      </c>
      <c r="P1359" s="10" t="s">
        <v>282</v>
      </c>
      <c r="Q1359" s="10" t="s">
        <v>7562</v>
      </c>
      <c r="R1359" s="10" t="s">
        <v>3083</v>
      </c>
      <c r="S1359" s="5">
        <v>0</v>
      </c>
      <c r="T1359" s="37">
        <v>0</v>
      </c>
      <c r="U1359" s="5">
        <v>1</v>
      </c>
      <c r="V1359" s="37">
        <v>0</v>
      </c>
      <c r="W1359" s="5">
        <v>0</v>
      </c>
      <c r="X1359" s="5">
        <v>1</v>
      </c>
      <c r="Y1359" s="5">
        <v>0</v>
      </c>
      <c r="Z1359" s="37">
        <v>0</v>
      </c>
      <c r="AA1359" s="5">
        <v>2</v>
      </c>
      <c r="AB1359" s="5">
        <v>0</v>
      </c>
      <c r="AC1359" s="5">
        <v>0</v>
      </c>
      <c r="AD1359" s="5">
        <v>2</v>
      </c>
      <c r="AE1359" s="10" t="s">
        <v>73</v>
      </c>
      <c r="AF1359" s="10"/>
      <c r="AG1359" s="10" t="s">
        <v>114</v>
      </c>
      <c r="AH1359" s="10">
        <v>41057</v>
      </c>
      <c r="AI1359" s="5">
        <v>0</v>
      </c>
      <c r="AJ1359" s="10" t="s">
        <v>7563</v>
      </c>
      <c r="AK1359" s="10" t="s">
        <v>6998</v>
      </c>
    </row>
    <row r="1360" spans="1:37" ht="36.75" customHeight="1" x14ac:dyDescent="0.35">
      <c r="A1360" s="5"/>
      <c r="B1360" s="5" t="s">
        <v>37</v>
      </c>
      <c r="C1360" s="73" t="str">
        <f t="shared" si="21"/>
        <v>Closed</v>
      </c>
      <c r="D1360" s="45" t="s">
        <v>7564</v>
      </c>
      <c r="E1360" s="54" t="s">
        <v>7565</v>
      </c>
      <c r="F1360" s="5" t="s">
        <v>816</v>
      </c>
      <c r="G1360" s="10">
        <f>DATE(2012,5,26)</f>
        <v>41055</v>
      </c>
      <c r="H1360" s="35">
        <v>1.6736111111111112</v>
      </c>
      <c r="I1360" s="5" t="s">
        <v>97</v>
      </c>
      <c r="J1360" s="10" t="s">
        <v>7566</v>
      </c>
      <c r="K1360" s="5" t="s">
        <v>818</v>
      </c>
      <c r="L1360" s="5" t="s">
        <v>7567</v>
      </c>
      <c r="M1360" s="5" t="s">
        <v>45</v>
      </c>
      <c r="N1360" s="5" t="s">
        <v>80</v>
      </c>
      <c r="O1360" s="5" t="s">
        <v>46</v>
      </c>
      <c r="P1360" s="10" t="s">
        <v>146</v>
      </c>
      <c r="Q1360" s="10" t="s">
        <v>2142</v>
      </c>
      <c r="R1360" s="10" t="s">
        <v>821</v>
      </c>
      <c r="S1360" s="5">
        <v>0</v>
      </c>
      <c r="T1360" s="37">
        <v>0</v>
      </c>
      <c r="U1360" s="5">
        <v>2</v>
      </c>
      <c r="V1360" s="37">
        <v>0</v>
      </c>
      <c r="W1360" s="5">
        <v>0</v>
      </c>
      <c r="X1360" s="5">
        <v>2</v>
      </c>
      <c r="Y1360" s="5">
        <v>0</v>
      </c>
      <c r="Z1360" s="37">
        <v>0</v>
      </c>
      <c r="AA1360" s="5">
        <v>0</v>
      </c>
      <c r="AB1360" s="5">
        <v>0</v>
      </c>
      <c r="AC1360" s="5">
        <v>0</v>
      </c>
      <c r="AD1360" s="5">
        <v>0</v>
      </c>
      <c r="AE1360" s="10" t="s">
        <v>73</v>
      </c>
      <c r="AF1360" s="10"/>
      <c r="AG1360" s="10" t="s">
        <v>333</v>
      </c>
      <c r="AH1360" s="10">
        <v>41055</v>
      </c>
      <c r="AI1360" s="5">
        <v>0</v>
      </c>
      <c r="AJ1360" s="10" t="s">
        <v>7568</v>
      </c>
      <c r="AK1360" s="10" t="s">
        <v>7569</v>
      </c>
    </row>
    <row r="1361" spans="1:37" ht="36.75" customHeight="1" x14ac:dyDescent="0.35">
      <c r="A1361" s="5"/>
      <c r="B1361" s="5" t="s">
        <v>37</v>
      </c>
      <c r="C1361" s="73" t="str">
        <f t="shared" si="21"/>
        <v>Closed</v>
      </c>
      <c r="D1361" s="45" t="s">
        <v>7570</v>
      </c>
      <c r="E1361" s="54" t="s">
        <v>7571</v>
      </c>
      <c r="F1361" s="5" t="s">
        <v>178</v>
      </c>
      <c r="G1361" s="10">
        <f>DATE(2012,5,29)</f>
        <v>41058</v>
      </c>
      <c r="H1361" s="35">
        <v>0</v>
      </c>
      <c r="I1361" s="5" t="s">
        <v>55</v>
      </c>
      <c r="J1361" s="10" t="s">
        <v>7572</v>
      </c>
      <c r="K1361" s="5" t="s">
        <v>181</v>
      </c>
      <c r="L1361" s="5" t="s">
        <v>7164</v>
      </c>
      <c r="M1361" s="5" t="s">
        <v>45</v>
      </c>
      <c r="N1361" s="5" t="s">
        <v>80</v>
      </c>
      <c r="O1361" s="5" t="s">
        <v>59</v>
      </c>
      <c r="P1361" s="10" t="s">
        <v>60</v>
      </c>
      <c r="Q1361" s="10" t="s">
        <v>181</v>
      </c>
      <c r="R1361" s="10" t="s">
        <v>181</v>
      </c>
      <c r="S1361" s="5">
        <v>0</v>
      </c>
      <c r="T1361" s="37">
        <v>0</v>
      </c>
      <c r="U1361" s="5">
        <v>0</v>
      </c>
      <c r="V1361" s="37">
        <v>0</v>
      </c>
      <c r="W1361" s="5">
        <v>0</v>
      </c>
      <c r="X1361" s="5">
        <v>0</v>
      </c>
      <c r="Y1361" s="5">
        <v>0</v>
      </c>
      <c r="Z1361" s="37">
        <v>0</v>
      </c>
      <c r="AA1361" s="5">
        <v>0</v>
      </c>
      <c r="AB1361" s="5">
        <v>0</v>
      </c>
      <c r="AC1361" s="5">
        <v>0</v>
      </c>
      <c r="AD1361" s="5">
        <v>0</v>
      </c>
      <c r="AE1361" s="10" t="s">
        <v>73</v>
      </c>
      <c r="AF1361" s="10"/>
      <c r="AG1361" s="10" t="s">
        <v>114</v>
      </c>
      <c r="AH1361" s="10">
        <v>41058</v>
      </c>
      <c r="AI1361" s="5">
        <v>4</v>
      </c>
      <c r="AJ1361" s="10" t="s">
        <v>7573</v>
      </c>
      <c r="AK1361" s="10" t="s">
        <v>7574</v>
      </c>
    </row>
    <row r="1362" spans="1:37" ht="36.75" customHeight="1" x14ac:dyDescent="0.35">
      <c r="A1362" s="5"/>
      <c r="B1362" s="5" t="s">
        <v>37</v>
      </c>
      <c r="C1362" s="73" t="str">
        <f t="shared" si="21"/>
        <v>Closed</v>
      </c>
      <c r="D1362" s="45" t="s">
        <v>7575</v>
      </c>
      <c r="E1362" s="54" t="s">
        <v>7576</v>
      </c>
      <c r="F1362" s="5" t="s">
        <v>816</v>
      </c>
      <c r="G1362" s="10">
        <f>DATE(2012,5,31)</f>
        <v>41060</v>
      </c>
      <c r="H1362" s="35">
        <v>1.3423611111111111</v>
      </c>
      <c r="I1362" s="5" t="s">
        <v>97</v>
      </c>
      <c r="J1362" s="10" t="s">
        <v>7577</v>
      </c>
      <c r="K1362" s="5" t="s">
        <v>818</v>
      </c>
      <c r="L1362" s="5" t="s">
        <v>7578</v>
      </c>
      <c r="M1362" s="5" t="s">
        <v>45</v>
      </c>
      <c r="N1362" s="5" t="s">
        <v>80</v>
      </c>
      <c r="O1362" s="5" t="s">
        <v>46</v>
      </c>
      <c r="P1362" s="10" t="s">
        <v>47</v>
      </c>
      <c r="Q1362" s="10" t="s">
        <v>2142</v>
      </c>
      <c r="R1362" s="10" t="s">
        <v>821</v>
      </c>
      <c r="S1362" s="5">
        <v>0</v>
      </c>
      <c r="T1362" s="37">
        <v>0</v>
      </c>
      <c r="U1362" s="5">
        <v>1</v>
      </c>
      <c r="V1362" s="37">
        <v>0</v>
      </c>
      <c r="W1362" s="5">
        <v>0</v>
      </c>
      <c r="X1362" s="5">
        <v>1</v>
      </c>
      <c r="Y1362" s="5">
        <v>0</v>
      </c>
      <c r="Z1362" s="37">
        <v>0</v>
      </c>
      <c r="AA1362" s="5">
        <v>0</v>
      </c>
      <c r="AB1362" s="5">
        <v>0</v>
      </c>
      <c r="AC1362" s="5">
        <v>0</v>
      </c>
      <c r="AD1362" s="5">
        <v>0</v>
      </c>
      <c r="AE1362" s="10" t="s">
        <v>73</v>
      </c>
      <c r="AF1362" s="10"/>
      <c r="AG1362" s="10" t="s">
        <v>333</v>
      </c>
      <c r="AH1362" s="10">
        <v>41060</v>
      </c>
      <c r="AI1362" s="5">
        <v>1</v>
      </c>
      <c r="AJ1362" s="10" t="s">
        <v>7579</v>
      </c>
      <c r="AK1362" s="10" t="s">
        <v>50</v>
      </c>
    </row>
    <row r="1363" spans="1:37" ht="36.75" customHeight="1" x14ac:dyDescent="0.35">
      <c r="A1363" s="5"/>
      <c r="B1363" s="5" t="s">
        <v>37</v>
      </c>
      <c r="C1363" s="73" t="str">
        <f t="shared" si="21"/>
        <v>Closed</v>
      </c>
      <c r="D1363" s="45" t="s">
        <v>7580</v>
      </c>
      <c r="E1363" s="54" t="s">
        <v>7581</v>
      </c>
      <c r="F1363" s="5" t="s">
        <v>816</v>
      </c>
      <c r="G1363" s="10">
        <f>DATE(2012,5,31)</f>
        <v>41060</v>
      </c>
      <c r="H1363" s="35">
        <v>1.3979166666666667</v>
      </c>
      <c r="I1363" s="5" t="s">
        <v>97</v>
      </c>
      <c r="J1363" s="10" t="s">
        <v>7582</v>
      </c>
      <c r="K1363" s="5" t="s">
        <v>818</v>
      </c>
      <c r="L1363" s="5" t="s">
        <v>7583</v>
      </c>
      <c r="M1363" s="5" t="s">
        <v>45</v>
      </c>
      <c r="N1363" s="5" t="s">
        <v>80</v>
      </c>
      <c r="O1363" s="5" t="s">
        <v>46</v>
      </c>
      <c r="P1363" s="10" t="s">
        <v>60</v>
      </c>
      <c r="Q1363" s="10" t="s">
        <v>7584</v>
      </c>
      <c r="R1363" s="10" t="s">
        <v>821</v>
      </c>
      <c r="S1363" s="5">
        <v>0</v>
      </c>
      <c r="T1363" s="37">
        <v>0</v>
      </c>
      <c r="U1363" s="5">
        <v>1</v>
      </c>
      <c r="V1363" s="37">
        <v>0</v>
      </c>
      <c r="W1363" s="5">
        <v>0</v>
      </c>
      <c r="X1363" s="5">
        <v>1</v>
      </c>
      <c r="Y1363" s="5">
        <v>0</v>
      </c>
      <c r="Z1363" s="37">
        <v>0</v>
      </c>
      <c r="AA1363" s="5">
        <v>0</v>
      </c>
      <c r="AB1363" s="5">
        <v>0</v>
      </c>
      <c r="AC1363" s="5">
        <v>0</v>
      </c>
      <c r="AD1363" s="5">
        <v>0</v>
      </c>
      <c r="AE1363" s="10" t="s">
        <v>73</v>
      </c>
      <c r="AF1363" s="10"/>
      <c r="AG1363" s="10" t="s">
        <v>333</v>
      </c>
      <c r="AH1363" s="10">
        <v>41060</v>
      </c>
      <c r="AI1363" s="5">
        <v>0</v>
      </c>
      <c r="AJ1363" s="10" t="s">
        <v>7585</v>
      </c>
      <c r="AK1363" s="10" t="s">
        <v>50</v>
      </c>
    </row>
    <row r="1364" spans="1:37" ht="36.75" customHeight="1" x14ac:dyDescent="0.35">
      <c r="A1364" s="5"/>
      <c r="B1364" s="5" t="s">
        <v>37</v>
      </c>
      <c r="C1364" s="73" t="str">
        <f t="shared" si="21"/>
        <v>Closed</v>
      </c>
      <c r="D1364" s="45" t="s">
        <v>7586</v>
      </c>
      <c r="E1364" s="54" t="s">
        <v>7587</v>
      </c>
      <c r="F1364" s="5" t="s">
        <v>105</v>
      </c>
      <c r="G1364" s="10">
        <f>DATE(2012,5,31)</f>
        <v>41060</v>
      </c>
      <c r="H1364" s="35">
        <v>1.1090277777777777</v>
      </c>
      <c r="I1364" s="5" t="s">
        <v>67</v>
      </c>
      <c r="J1364" s="10" t="s">
        <v>7588</v>
      </c>
      <c r="K1364" s="5" t="s">
        <v>108</v>
      </c>
      <c r="L1364" s="5" t="s">
        <v>7589</v>
      </c>
      <c r="M1364" s="5" t="s">
        <v>110</v>
      </c>
      <c r="N1364" s="5" t="s">
        <v>123</v>
      </c>
      <c r="O1364" s="5" t="s">
        <v>59</v>
      </c>
      <c r="P1364" s="10" t="s">
        <v>282</v>
      </c>
      <c r="Q1364" s="10" t="s">
        <v>111</v>
      </c>
      <c r="R1364" s="10">
        <v>0</v>
      </c>
      <c r="S1364" s="5">
        <v>0</v>
      </c>
      <c r="T1364" s="37">
        <v>0</v>
      </c>
      <c r="U1364" s="5">
        <v>0</v>
      </c>
      <c r="V1364" s="37">
        <v>0</v>
      </c>
      <c r="W1364" s="5">
        <v>0</v>
      </c>
      <c r="X1364" s="5">
        <v>0</v>
      </c>
      <c r="Y1364" s="5">
        <v>0</v>
      </c>
      <c r="Z1364" s="37">
        <v>0</v>
      </c>
      <c r="AA1364" s="5">
        <v>0</v>
      </c>
      <c r="AB1364" s="5">
        <v>0</v>
      </c>
      <c r="AC1364" s="5">
        <v>0</v>
      </c>
      <c r="AD1364" s="5">
        <v>0</v>
      </c>
      <c r="AE1364" s="10" t="s">
        <v>50</v>
      </c>
      <c r="AF1364" s="10"/>
      <c r="AG1364" s="10" t="s">
        <v>348</v>
      </c>
      <c r="AH1364" s="10">
        <v>41095</v>
      </c>
      <c r="AI1364" s="5">
        <v>1</v>
      </c>
      <c r="AJ1364" s="10" t="s">
        <v>7590</v>
      </c>
      <c r="AK1364" s="10" t="s">
        <v>7591</v>
      </c>
    </row>
    <row r="1365" spans="1:37" ht="36.75" customHeight="1" x14ac:dyDescent="0.35">
      <c r="A1365" s="5"/>
      <c r="B1365" s="5" t="s">
        <v>37</v>
      </c>
      <c r="C1365" s="73" t="str">
        <f t="shared" si="21"/>
        <v>Closed</v>
      </c>
      <c r="D1365" s="45" t="s">
        <v>7592</v>
      </c>
      <c r="E1365" s="54" t="s">
        <v>7593</v>
      </c>
      <c r="F1365" s="5" t="s">
        <v>619</v>
      </c>
      <c r="G1365" s="10">
        <f>DATE(2012,6,1)</f>
        <v>41061</v>
      </c>
      <c r="H1365" s="35">
        <v>1.6055555555555556</v>
      </c>
      <c r="I1365" s="5" t="s">
        <v>55</v>
      </c>
      <c r="J1365" s="10" t="s">
        <v>7594</v>
      </c>
      <c r="K1365" s="5" t="s">
        <v>621</v>
      </c>
      <c r="L1365" s="5" t="s">
        <v>7595</v>
      </c>
      <c r="M1365" s="5" t="s">
        <v>45</v>
      </c>
      <c r="N1365" s="5" t="s">
        <v>80</v>
      </c>
      <c r="O1365" s="5" t="s">
        <v>46</v>
      </c>
      <c r="P1365" s="10" t="s">
        <v>60</v>
      </c>
      <c r="Q1365" s="10" t="s">
        <v>4884</v>
      </c>
      <c r="R1365" s="10" t="s">
        <v>624</v>
      </c>
      <c r="S1365" s="5">
        <v>0</v>
      </c>
      <c r="T1365" s="37">
        <v>0</v>
      </c>
      <c r="U1365" s="5">
        <v>0</v>
      </c>
      <c r="V1365" s="37">
        <v>0</v>
      </c>
      <c r="W1365" s="5">
        <v>0</v>
      </c>
      <c r="X1365" s="5">
        <v>0</v>
      </c>
      <c r="Y1365" s="5">
        <v>0</v>
      </c>
      <c r="Z1365" s="37">
        <v>0</v>
      </c>
      <c r="AA1365" s="5">
        <v>0</v>
      </c>
      <c r="AB1365" s="5">
        <v>0</v>
      </c>
      <c r="AC1365" s="5">
        <v>0</v>
      </c>
      <c r="AD1365" s="5">
        <v>0</v>
      </c>
      <c r="AE1365" s="10" t="s">
        <v>375</v>
      </c>
      <c r="AF1365" s="10"/>
      <c r="AG1365" s="10" t="s">
        <v>333</v>
      </c>
      <c r="AH1365" s="10">
        <v>41086</v>
      </c>
      <c r="AI1365" s="5">
        <v>1</v>
      </c>
      <c r="AJ1365" s="10" t="s">
        <v>7596</v>
      </c>
      <c r="AK1365" s="10" t="s">
        <v>50</v>
      </c>
    </row>
    <row r="1366" spans="1:37" ht="36.75" customHeight="1" x14ac:dyDescent="0.35">
      <c r="A1366" s="5"/>
      <c r="B1366" s="5" t="s">
        <v>37</v>
      </c>
      <c r="C1366" s="73" t="str">
        <f t="shared" si="21"/>
        <v>Closed</v>
      </c>
      <c r="D1366" s="45" t="s">
        <v>7597</v>
      </c>
      <c r="E1366" s="54" t="s">
        <v>7598</v>
      </c>
      <c r="F1366" s="5" t="s">
        <v>178</v>
      </c>
      <c r="G1366" s="10">
        <f>DATE(2012,6,4)</f>
        <v>41064</v>
      </c>
      <c r="H1366" s="35">
        <v>0</v>
      </c>
      <c r="I1366" s="5" t="s">
        <v>2398</v>
      </c>
      <c r="J1366" s="10" t="s">
        <v>7599</v>
      </c>
      <c r="K1366" s="5" t="s">
        <v>181</v>
      </c>
      <c r="L1366" s="5" t="s">
        <v>7600</v>
      </c>
      <c r="M1366" s="5" t="s">
        <v>45</v>
      </c>
      <c r="N1366" s="5" t="s">
        <v>80</v>
      </c>
      <c r="O1366" s="5" t="s">
        <v>59</v>
      </c>
      <c r="P1366" s="10" t="s">
        <v>146</v>
      </c>
      <c r="Q1366" s="10" t="s">
        <v>181</v>
      </c>
      <c r="R1366" s="10" t="s">
        <v>181</v>
      </c>
      <c r="S1366" s="5">
        <v>0</v>
      </c>
      <c r="T1366" s="37">
        <v>0</v>
      </c>
      <c r="U1366" s="5">
        <v>0</v>
      </c>
      <c r="V1366" s="37">
        <v>0</v>
      </c>
      <c r="W1366" s="5">
        <v>0</v>
      </c>
      <c r="X1366" s="5">
        <v>0</v>
      </c>
      <c r="Y1366" s="5">
        <v>0</v>
      </c>
      <c r="Z1366" s="37">
        <v>0</v>
      </c>
      <c r="AA1366" s="5">
        <v>0</v>
      </c>
      <c r="AB1366" s="5">
        <v>0</v>
      </c>
      <c r="AC1366" s="5">
        <v>0</v>
      </c>
      <c r="AD1366" s="5">
        <v>0</v>
      </c>
      <c r="AE1366" s="10" t="s">
        <v>73</v>
      </c>
      <c r="AF1366" s="10"/>
      <c r="AG1366" s="10" t="s">
        <v>114</v>
      </c>
      <c r="AH1366" s="10">
        <v>41064</v>
      </c>
      <c r="AI1366" s="5">
        <v>3</v>
      </c>
      <c r="AJ1366" s="10" t="s">
        <v>7601</v>
      </c>
      <c r="AK1366" s="10" t="s">
        <v>1215</v>
      </c>
    </row>
    <row r="1367" spans="1:37" ht="36.75" customHeight="1" x14ac:dyDescent="0.35">
      <c r="A1367" s="5"/>
      <c r="B1367" s="5" t="s">
        <v>37</v>
      </c>
      <c r="C1367" s="73" t="str">
        <f t="shared" si="21"/>
        <v>Closed</v>
      </c>
      <c r="D1367" s="45" t="s">
        <v>7602</v>
      </c>
      <c r="E1367" s="54" t="s">
        <v>7603</v>
      </c>
      <c r="F1367" s="5" t="s">
        <v>816</v>
      </c>
      <c r="G1367" s="10">
        <f>DATE(2012,6,5)</f>
        <v>41065</v>
      </c>
      <c r="H1367" s="35">
        <v>1.8416666666666668</v>
      </c>
      <c r="I1367" s="5" t="s">
        <v>55</v>
      </c>
      <c r="J1367" s="10" t="s">
        <v>7604</v>
      </c>
      <c r="K1367" s="5" t="s">
        <v>818</v>
      </c>
      <c r="L1367" s="5" t="s">
        <v>7605</v>
      </c>
      <c r="M1367" s="5" t="s">
        <v>45</v>
      </c>
      <c r="N1367" s="5" t="s">
        <v>123</v>
      </c>
      <c r="O1367" s="5" t="s">
        <v>59</v>
      </c>
      <c r="P1367" s="10" t="s">
        <v>362</v>
      </c>
      <c r="Q1367" s="10" t="s">
        <v>3041</v>
      </c>
      <c r="R1367" s="10" t="s">
        <v>821</v>
      </c>
      <c r="S1367" s="5">
        <v>0</v>
      </c>
      <c r="T1367" s="37">
        <v>0</v>
      </c>
      <c r="U1367" s="5">
        <v>0</v>
      </c>
      <c r="V1367" s="37">
        <v>0</v>
      </c>
      <c r="W1367" s="5">
        <v>0</v>
      </c>
      <c r="X1367" s="5">
        <v>0</v>
      </c>
      <c r="Y1367" s="5">
        <v>0</v>
      </c>
      <c r="Z1367" s="37">
        <v>0</v>
      </c>
      <c r="AA1367" s="5">
        <v>0</v>
      </c>
      <c r="AB1367" s="5">
        <v>0</v>
      </c>
      <c r="AC1367" s="5">
        <v>0</v>
      </c>
      <c r="AD1367" s="5">
        <v>0</v>
      </c>
      <c r="AE1367" s="10" t="s">
        <v>73</v>
      </c>
      <c r="AF1367" s="10"/>
      <c r="AG1367" s="10" t="s">
        <v>333</v>
      </c>
      <c r="AH1367" s="10">
        <v>41079</v>
      </c>
      <c r="AI1367" s="5">
        <v>0</v>
      </c>
      <c r="AJ1367" s="10" t="s">
        <v>7606</v>
      </c>
      <c r="AK1367" s="10" t="s">
        <v>50</v>
      </c>
    </row>
    <row r="1368" spans="1:37" ht="36.75" customHeight="1" x14ac:dyDescent="0.35">
      <c r="A1368" s="5"/>
      <c r="B1368" s="5" t="s">
        <v>37</v>
      </c>
      <c r="C1368" s="73" t="str">
        <f t="shared" si="21"/>
        <v>Closed</v>
      </c>
      <c r="D1368" s="45" t="s">
        <v>7607</v>
      </c>
      <c r="E1368" s="54" t="s">
        <v>7608</v>
      </c>
      <c r="F1368" s="5" t="s">
        <v>358</v>
      </c>
      <c r="G1368" s="10">
        <f>DATE(2012,6,6)</f>
        <v>41066</v>
      </c>
      <c r="H1368" s="35">
        <v>1.4965277777777777</v>
      </c>
      <c r="I1368" s="5" t="s">
        <v>55</v>
      </c>
      <c r="J1368" s="10" t="s">
        <v>7609</v>
      </c>
      <c r="K1368" s="5" t="s">
        <v>360</v>
      </c>
      <c r="L1368" s="5" t="s">
        <v>7610</v>
      </c>
      <c r="M1368" s="5" t="s">
        <v>45</v>
      </c>
      <c r="N1368" s="5" t="s">
        <v>123</v>
      </c>
      <c r="O1368" s="5" t="s">
        <v>59</v>
      </c>
      <c r="P1368" s="10" t="s">
        <v>60</v>
      </c>
      <c r="Q1368" s="10" t="s">
        <v>7611</v>
      </c>
      <c r="R1368" s="10" t="s">
        <v>363</v>
      </c>
      <c r="S1368" s="5">
        <v>0</v>
      </c>
      <c r="T1368" s="37">
        <v>0</v>
      </c>
      <c r="U1368" s="5">
        <v>0</v>
      </c>
      <c r="V1368" s="37">
        <v>0</v>
      </c>
      <c r="W1368" s="5">
        <v>0</v>
      </c>
      <c r="X1368" s="5">
        <v>0</v>
      </c>
      <c r="Y1368" s="5">
        <v>0</v>
      </c>
      <c r="Z1368" s="37">
        <v>0</v>
      </c>
      <c r="AA1368" s="5">
        <v>0</v>
      </c>
      <c r="AB1368" s="5">
        <v>0</v>
      </c>
      <c r="AC1368" s="5">
        <v>0</v>
      </c>
      <c r="AD1368" s="5">
        <v>0</v>
      </c>
      <c r="AE1368" s="10" t="s">
        <v>126</v>
      </c>
      <c r="AF1368" s="10"/>
      <c r="AG1368" s="10" t="s">
        <v>64</v>
      </c>
      <c r="AH1368" s="10">
        <v>41067</v>
      </c>
      <c r="AI1368" s="5">
        <v>4</v>
      </c>
      <c r="AJ1368" s="10" t="s">
        <v>7612</v>
      </c>
      <c r="AK1368" s="10" t="s">
        <v>7613</v>
      </c>
    </row>
    <row r="1369" spans="1:37" ht="36.75" customHeight="1" x14ac:dyDescent="0.35">
      <c r="A1369" s="5"/>
      <c r="B1369" s="5" t="s">
        <v>37</v>
      </c>
      <c r="C1369" s="73" t="str">
        <f t="shared" si="21"/>
        <v>Closed</v>
      </c>
      <c r="D1369" s="45" t="s">
        <v>7614</v>
      </c>
      <c r="E1369" s="54" t="s">
        <v>7615</v>
      </c>
      <c r="F1369" s="5" t="s">
        <v>119</v>
      </c>
      <c r="G1369" s="10">
        <f>DATE(2012,6,12)</f>
        <v>41072</v>
      </c>
      <c r="H1369" s="35">
        <v>1.4395833333333334</v>
      </c>
      <c r="I1369" s="5" t="s">
        <v>259</v>
      </c>
      <c r="J1369" s="10" t="s">
        <v>7616</v>
      </c>
      <c r="K1369" s="5" t="s">
        <v>121</v>
      </c>
      <c r="L1369" s="5" t="s">
        <v>7617</v>
      </c>
      <c r="M1369" s="5" t="s">
        <v>45</v>
      </c>
      <c r="N1369" s="5" t="s">
        <v>80</v>
      </c>
      <c r="O1369" s="5" t="s">
        <v>46</v>
      </c>
      <c r="P1369" s="10" t="s">
        <v>146</v>
      </c>
      <c r="Q1369" s="10" t="s">
        <v>7618</v>
      </c>
      <c r="R1369" s="10" t="s">
        <v>4913</v>
      </c>
      <c r="S1369" s="5">
        <v>0</v>
      </c>
      <c r="T1369" s="37">
        <v>0</v>
      </c>
      <c r="U1369" s="5">
        <v>0</v>
      </c>
      <c r="V1369" s="37">
        <v>0</v>
      </c>
      <c r="W1369" s="5">
        <v>0</v>
      </c>
      <c r="X1369" s="5">
        <v>0</v>
      </c>
      <c r="Y1369" s="5">
        <v>0</v>
      </c>
      <c r="Z1369" s="37">
        <v>0</v>
      </c>
      <c r="AA1369" s="5">
        <v>0</v>
      </c>
      <c r="AB1369" s="5">
        <v>0</v>
      </c>
      <c r="AC1369" s="5">
        <v>0</v>
      </c>
      <c r="AD1369" s="5">
        <v>0</v>
      </c>
      <c r="AE1369" s="10" t="s">
        <v>73</v>
      </c>
      <c r="AF1369" s="10"/>
      <c r="AG1369" s="10" t="s">
        <v>114</v>
      </c>
      <c r="AH1369" s="10">
        <v>41122</v>
      </c>
      <c r="AI1369" s="5">
        <v>5</v>
      </c>
      <c r="AJ1369" s="10" t="s">
        <v>7619</v>
      </c>
      <c r="AK1369" s="10" t="s">
        <v>7620</v>
      </c>
    </row>
    <row r="1370" spans="1:37" ht="36.75" customHeight="1" x14ac:dyDescent="0.35">
      <c r="A1370" s="5"/>
      <c r="B1370" s="5" t="s">
        <v>37</v>
      </c>
      <c r="C1370" s="73" t="str">
        <f t="shared" si="21"/>
        <v>Closed</v>
      </c>
      <c r="D1370" s="45" t="s">
        <v>7621</v>
      </c>
      <c r="E1370" s="54" t="s">
        <v>7622</v>
      </c>
      <c r="F1370" s="5" t="s">
        <v>1751</v>
      </c>
      <c r="G1370" s="10">
        <f>DATE(2012,6,14)</f>
        <v>41074</v>
      </c>
      <c r="H1370" s="35">
        <v>1.6166666666666667</v>
      </c>
      <c r="I1370" s="5" t="s">
        <v>137</v>
      </c>
      <c r="J1370" s="10" t="s">
        <v>7623</v>
      </c>
      <c r="K1370" s="5" t="s">
        <v>1753</v>
      </c>
      <c r="L1370" s="5" t="s">
        <v>7624</v>
      </c>
      <c r="M1370" s="5" t="s">
        <v>45</v>
      </c>
      <c r="N1370" s="5" t="s">
        <v>123</v>
      </c>
      <c r="O1370" s="5" t="s">
        <v>46</v>
      </c>
      <c r="P1370" s="10" t="s">
        <v>47</v>
      </c>
      <c r="Q1370" s="10">
        <v>0</v>
      </c>
      <c r="R1370" s="10" t="s">
        <v>1756</v>
      </c>
      <c r="S1370" s="5">
        <v>0</v>
      </c>
      <c r="T1370" s="37">
        <v>0</v>
      </c>
      <c r="U1370" s="5">
        <v>0</v>
      </c>
      <c r="V1370" s="37">
        <v>0</v>
      </c>
      <c r="W1370" s="5">
        <v>1</v>
      </c>
      <c r="X1370" s="5">
        <v>1</v>
      </c>
      <c r="Y1370" s="5">
        <v>0</v>
      </c>
      <c r="Z1370" s="37">
        <v>0</v>
      </c>
      <c r="AA1370" s="5">
        <v>0</v>
      </c>
      <c r="AB1370" s="5">
        <v>0</v>
      </c>
      <c r="AC1370" s="5">
        <v>1</v>
      </c>
      <c r="AD1370" s="5">
        <v>1</v>
      </c>
      <c r="AE1370" s="10" t="s">
        <v>73</v>
      </c>
      <c r="AF1370" s="10"/>
      <c r="AG1370" s="10" t="s">
        <v>64</v>
      </c>
      <c r="AH1370" s="10">
        <v>41080</v>
      </c>
      <c r="AI1370" s="5">
        <v>5</v>
      </c>
      <c r="AJ1370" s="10" t="s">
        <v>7625</v>
      </c>
      <c r="AK1370" s="10" t="s">
        <v>7626</v>
      </c>
    </row>
    <row r="1371" spans="1:37" ht="36.75" customHeight="1" x14ac:dyDescent="0.35">
      <c r="A1371" s="5"/>
      <c r="B1371" s="5" t="s">
        <v>37</v>
      </c>
      <c r="C1371" s="73" t="str">
        <f t="shared" si="21"/>
        <v>Closed</v>
      </c>
      <c r="D1371" s="45" t="s">
        <v>7627</v>
      </c>
      <c r="E1371" s="54" t="s">
        <v>7628</v>
      </c>
      <c r="F1371" s="5" t="s">
        <v>619</v>
      </c>
      <c r="G1371" s="10">
        <f>DATE(2012,6,15)</f>
        <v>41075</v>
      </c>
      <c r="H1371" s="35">
        <v>1.3034722222222221</v>
      </c>
      <c r="I1371" s="5" t="s">
        <v>85</v>
      </c>
      <c r="J1371" s="10" t="s">
        <v>7629</v>
      </c>
      <c r="K1371" s="5" t="s">
        <v>621</v>
      </c>
      <c r="L1371" s="5" t="s">
        <v>7630</v>
      </c>
      <c r="M1371" s="5" t="s">
        <v>45</v>
      </c>
      <c r="N1371" s="5" t="s">
        <v>123</v>
      </c>
      <c r="O1371" s="5" t="s">
        <v>59</v>
      </c>
      <c r="P1371" s="10" t="s">
        <v>60</v>
      </c>
      <c r="Q1371" s="10" t="s">
        <v>4884</v>
      </c>
      <c r="R1371" s="10" t="s">
        <v>624</v>
      </c>
      <c r="S1371" s="5">
        <v>0</v>
      </c>
      <c r="T1371" s="37">
        <v>0</v>
      </c>
      <c r="U1371" s="5">
        <v>0</v>
      </c>
      <c r="V1371" s="37">
        <v>0</v>
      </c>
      <c r="W1371" s="5">
        <v>0</v>
      </c>
      <c r="X1371" s="5">
        <v>0</v>
      </c>
      <c r="Y1371" s="5">
        <v>0</v>
      </c>
      <c r="Z1371" s="37">
        <v>0</v>
      </c>
      <c r="AA1371" s="5">
        <v>0</v>
      </c>
      <c r="AB1371" s="5">
        <v>0</v>
      </c>
      <c r="AC1371" s="5">
        <v>0</v>
      </c>
      <c r="AD1371" s="5">
        <v>0</v>
      </c>
      <c r="AE1371" s="10" t="s">
        <v>73</v>
      </c>
      <c r="AF1371" s="10"/>
      <c r="AG1371" s="10" t="s">
        <v>333</v>
      </c>
      <c r="AH1371" s="10">
        <v>41116</v>
      </c>
      <c r="AI1371" s="5">
        <v>0</v>
      </c>
      <c r="AJ1371" s="10" t="s">
        <v>7631</v>
      </c>
      <c r="AK1371" s="10" t="s">
        <v>50</v>
      </c>
    </row>
    <row r="1372" spans="1:37" ht="36.75" customHeight="1" x14ac:dyDescent="0.35">
      <c r="A1372" s="5"/>
      <c r="B1372" s="5" t="s">
        <v>37</v>
      </c>
      <c r="C1372" s="73" t="str">
        <f t="shared" si="21"/>
        <v>Closed</v>
      </c>
      <c r="D1372" s="45" t="s">
        <v>7632</v>
      </c>
      <c r="E1372" s="54" t="s">
        <v>7633</v>
      </c>
      <c r="F1372" s="5" t="s">
        <v>178</v>
      </c>
      <c r="G1372" s="10">
        <f>DATE(2012,6,17)</f>
        <v>41077</v>
      </c>
      <c r="H1372" s="35">
        <v>1.6305555555555555</v>
      </c>
      <c r="I1372" s="5" t="s">
        <v>97</v>
      </c>
      <c r="J1372" s="10" t="s">
        <v>7634</v>
      </c>
      <c r="K1372" s="5" t="s">
        <v>181</v>
      </c>
      <c r="L1372" s="5" t="s">
        <v>7635</v>
      </c>
      <c r="M1372" s="5" t="s">
        <v>45</v>
      </c>
      <c r="N1372" s="5" t="s">
        <v>80</v>
      </c>
      <c r="O1372" s="5" t="s">
        <v>59</v>
      </c>
      <c r="P1372" s="10" t="s">
        <v>146</v>
      </c>
      <c r="Q1372" s="10" t="s">
        <v>183</v>
      </c>
      <c r="R1372" s="10" t="s">
        <v>184</v>
      </c>
      <c r="S1372" s="5">
        <v>0</v>
      </c>
      <c r="T1372" s="37">
        <v>0</v>
      </c>
      <c r="U1372" s="5">
        <v>1</v>
      </c>
      <c r="V1372" s="37">
        <v>0</v>
      </c>
      <c r="W1372" s="5">
        <v>0</v>
      </c>
      <c r="X1372" s="5">
        <v>1</v>
      </c>
      <c r="Y1372" s="5">
        <v>0</v>
      </c>
      <c r="Z1372" s="37">
        <v>0</v>
      </c>
      <c r="AA1372" s="5">
        <v>0</v>
      </c>
      <c r="AB1372" s="5">
        <v>0</v>
      </c>
      <c r="AC1372" s="5">
        <v>0</v>
      </c>
      <c r="AD1372" s="5">
        <v>0</v>
      </c>
      <c r="AE1372" s="10" t="s">
        <v>73</v>
      </c>
      <c r="AF1372" s="10"/>
      <c r="AG1372" s="10" t="s">
        <v>64</v>
      </c>
      <c r="AH1372" s="10">
        <v>41085</v>
      </c>
      <c r="AI1372" s="5">
        <v>1</v>
      </c>
      <c r="AJ1372" s="10" t="s">
        <v>7636</v>
      </c>
      <c r="AK1372" s="10" t="s">
        <v>50</v>
      </c>
    </row>
    <row r="1373" spans="1:37" ht="36.75" customHeight="1" x14ac:dyDescent="0.35">
      <c r="A1373" s="5"/>
      <c r="B1373" s="5" t="s">
        <v>37</v>
      </c>
      <c r="C1373" s="73" t="str">
        <f t="shared" si="21"/>
        <v>Closed</v>
      </c>
      <c r="D1373" s="45" t="s">
        <v>7637</v>
      </c>
      <c r="E1373" s="54" t="s">
        <v>7638</v>
      </c>
      <c r="F1373" s="5" t="s">
        <v>178</v>
      </c>
      <c r="G1373" s="10">
        <f>DATE(2012,6,17)</f>
        <v>41077</v>
      </c>
      <c r="H1373" s="35">
        <v>1.7888888888888888</v>
      </c>
      <c r="I1373" s="5" t="s">
        <v>137</v>
      </c>
      <c r="J1373" s="10" t="s">
        <v>7639</v>
      </c>
      <c r="K1373" s="5" t="s">
        <v>181</v>
      </c>
      <c r="L1373" s="5" t="s">
        <v>7640</v>
      </c>
      <c r="M1373" s="5" t="s">
        <v>45</v>
      </c>
      <c r="N1373" s="5" t="s">
        <v>123</v>
      </c>
      <c r="O1373" s="5" t="s">
        <v>46</v>
      </c>
      <c r="P1373" s="10" t="s">
        <v>47</v>
      </c>
      <c r="Q1373" s="10" t="s">
        <v>183</v>
      </c>
      <c r="R1373" s="10" t="s">
        <v>184</v>
      </c>
      <c r="S1373" s="5">
        <v>0</v>
      </c>
      <c r="T1373" s="37">
        <v>0</v>
      </c>
      <c r="U1373" s="5">
        <v>0</v>
      </c>
      <c r="V1373" s="37">
        <v>0</v>
      </c>
      <c r="W1373" s="5">
        <v>0</v>
      </c>
      <c r="X1373" s="5">
        <v>0</v>
      </c>
      <c r="Y1373" s="5">
        <v>1</v>
      </c>
      <c r="Z1373" s="37">
        <v>0</v>
      </c>
      <c r="AA1373" s="5">
        <v>0</v>
      </c>
      <c r="AB1373" s="5">
        <v>0</v>
      </c>
      <c r="AC1373" s="5">
        <v>0</v>
      </c>
      <c r="AD1373" s="5">
        <v>1</v>
      </c>
      <c r="AE1373" s="10" t="s">
        <v>126</v>
      </c>
      <c r="AF1373" s="10"/>
      <c r="AG1373" s="10" t="s">
        <v>64</v>
      </c>
      <c r="AH1373" s="10">
        <v>41079</v>
      </c>
      <c r="AI1373" s="5">
        <v>0</v>
      </c>
      <c r="AJ1373" s="10" t="s">
        <v>7641</v>
      </c>
      <c r="AK1373" s="10" t="s">
        <v>1215</v>
      </c>
    </row>
    <row r="1374" spans="1:37" ht="36.75" customHeight="1" x14ac:dyDescent="0.35">
      <c r="A1374" s="5"/>
      <c r="B1374" s="5" t="s">
        <v>37</v>
      </c>
      <c r="C1374" s="73" t="str">
        <f t="shared" si="21"/>
        <v>Closed</v>
      </c>
      <c r="D1374" s="45" t="s">
        <v>7642</v>
      </c>
      <c r="E1374" s="54" t="s">
        <v>7643</v>
      </c>
      <c r="F1374" s="5" t="s">
        <v>1919</v>
      </c>
      <c r="G1374" s="10">
        <f>DATE(2012,6,20)</f>
        <v>41080</v>
      </c>
      <c r="H1374" s="35">
        <v>0</v>
      </c>
      <c r="I1374" s="5" t="s">
        <v>97</v>
      </c>
      <c r="J1374" s="10" t="s">
        <v>7644</v>
      </c>
      <c r="K1374" s="5" t="s">
        <v>1921</v>
      </c>
      <c r="L1374" s="5" t="s">
        <v>7645</v>
      </c>
      <c r="M1374" s="5" t="s">
        <v>45</v>
      </c>
      <c r="N1374" s="5" t="s">
        <v>80</v>
      </c>
      <c r="O1374" s="5" t="s">
        <v>46</v>
      </c>
      <c r="P1374" s="10" t="s">
        <v>6920</v>
      </c>
      <c r="Q1374" s="10" t="s">
        <v>1923</v>
      </c>
      <c r="R1374" s="10" t="s">
        <v>1923</v>
      </c>
      <c r="S1374" s="5">
        <v>0</v>
      </c>
      <c r="T1374" s="37">
        <v>0</v>
      </c>
      <c r="U1374" s="5">
        <v>0</v>
      </c>
      <c r="V1374" s="37">
        <v>0</v>
      </c>
      <c r="W1374" s="5">
        <v>0</v>
      </c>
      <c r="X1374" s="5">
        <v>0</v>
      </c>
      <c r="Y1374" s="5">
        <v>0</v>
      </c>
      <c r="Z1374" s="37">
        <v>0</v>
      </c>
      <c r="AA1374" s="5">
        <v>0</v>
      </c>
      <c r="AB1374" s="5">
        <v>0</v>
      </c>
      <c r="AC1374" s="5">
        <v>0</v>
      </c>
      <c r="AD1374" s="5">
        <v>0</v>
      </c>
      <c r="AE1374" s="10" t="s">
        <v>73</v>
      </c>
      <c r="AF1374" s="10"/>
      <c r="AG1374" s="10" t="s">
        <v>7646</v>
      </c>
      <c r="AH1374" s="10">
        <v>41176</v>
      </c>
      <c r="AI1374" s="5">
        <v>3</v>
      </c>
      <c r="AJ1374" s="10" t="s">
        <v>7647</v>
      </c>
      <c r="AK1374" s="10" t="s">
        <v>7648</v>
      </c>
    </row>
    <row r="1375" spans="1:37" ht="36.75" customHeight="1" x14ac:dyDescent="0.35">
      <c r="A1375" s="5"/>
      <c r="B1375" s="5" t="s">
        <v>37</v>
      </c>
      <c r="C1375" s="73" t="str">
        <f t="shared" si="21"/>
        <v>Closed</v>
      </c>
      <c r="D1375" s="45" t="s">
        <v>7649</v>
      </c>
      <c r="E1375" s="54" t="s">
        <v>7650</v>
      </c>
      <c r="F1375" s="5" t="s">
        <v>619</v>
      </c>
      <c r="G1375" s="10">
        <f>DATE(2012,6,21)</f>
        <v>41081</v>
      </c>
      <c r="H1375" s="35">
        <v>1.3687499999999999</v>
      </c>
      <c r="I1375" s="5" t="s">
        <v>55</v>
      </c>
      <c r="J1375" s="10" t="s">
        <v>7651</v>
      </c>
      <c r="K1375" s="5" t="s">
        <v>621</v>
      </c>
      <c r="L1375" s="5" t="s">
        <v>7652</v>
      </c>
      <c r="M1375" s="5" t="s">
        <v>45</v>
      </c>
      <c r="N1375" s="5" t="s">
        <v>80</v>
      </c>
      <c r="O1375" s="5" t="s">
        <v>59</v>
      </c>
      <c r="P1375" s="10" t="s">
        <v>47</v>
      </c>
      <c r="Q1375" s="10" t="s">
        <v>623</v>
      </c>
      <c r="R1375" s="10" t="s">
        <v>624</v>
      </c>
      <c r="S1375" s="5">
        <v>0</v>
      </c>
      <c r="T1375" s="37">
        <v>0</v>
      </c>
      <c r="U1375" s="5">
        <v>0</v>
      </c>
      <c r="V1375" s="37">
        <v>0</v>
      </c>
      <c r="W1375" s="5">
        <v>0</v>
      </c>
      <c r="X1375" s="5">
        <v>0</v>
      </c>
      <c r="Y1375" s="5">
        <v>0</v>
      </c>
      <c r="Z1375" s="37">
        <v>0</v>
      </c>
      <c r="AA1375" s="5">
        <v>0</v>
      </c>
      <c r="AB1375" s="5">
        <v>0</v>
      </c>
      <c r="AC1375" s="5">
        <v>0</v>
      </c>
      <c r="AD1375" s="5">
        <v>0</v>
      </c>
      <c r="AE1375" s="10" t="s">
        <v>73</v>
      </c>
      <c r="AF1375" s="10"/>
      <c r="AG1375" s="10" t="s">
        <v>333</v>
      </c>
      <c r="AH1375" s="10">
        <v>41114</v>
      </c>
      <c r="AI1375" s="5">
        <v>2</v>
      </c>
      <c r="AJ1375" s="10" t="s">
        <v>7653</v>
      </c>
      <c r="AK1375" s="10" t="s">
        <v>50</v>
      </c>
    </row>
    <row r="1376" spans="1:37" ht="36.75" customHeight="1" x14ac:dyDescent="0.35">
      <c r="A1376" s="5"/>
      <c r="B1376" s="5" t="s">
        <v>37</v>
      </c>
      <c r="C1376" s="73" t="str">
        <f t="shared" si="21"/>
        <v>Closed</v>
      </c>
      <c r="D1376" s="45" t="s">
        <v>7654</v>
      </c>
      <c r="E1376" s="54" t="s">
        <v>7655</v>
      </c>
      <c r="F1376" s="5" t="s">
        <v>816</v>
      </c>
      <c r="G1376" s="10">
        <f>DATE(2012,6,21)</f>
        <v>41081</v>
      </c>
      <c r="H1376" s="35">
        <v>1.4916666666666667</v>
      </c>
      <c r="I1376" s="5" t="s">
        <v>97</v>
      </c>
      <c r="J1376" s="10" t="s">
        <v>7656</v>
      </c>
      <c r="K1376" s="5" t="s">
        <v>818</v>
      </c>
      <c r="L1376" s="5" t="s">
        <v>7657</v>
      </c>
      <c r="M1376" s="5" t="s">
        <v>45</v>
      </c>
      <c r="N1376" s="5" t="s">
        <v>80</v>
      </c>
      <c r="O1376" s="5" t="s">
        <v>46</v>
      </c>
      <c r="P1376" s="10" t="s">
        <v>146</v>
      </c>
      <c r="Q1376" s="10" t="s">
        <v>2142</v>
      </c>
      <c r="R1376" s="10" t="s">
        <v>821</v>
      </c>
      <c r="S1376" s="5">
        <v>0</v>
      </c>
      <c r="T1376" s="37">
        <v>0</v>
      </c>
      <c r="U1376" s="5">
        <v>1</v>
      </c>
      <c r="V1376" s="37">
        <v>0</v>
      </c>
      <c r="W1376" s="5">
        <v>0</v>
      </c>
      <c r="X1376" s="5">
        <v>1</v>
      </c>
      <c r="Y1376" s="5">
        <v>0</v>
      </c>
      <c r="Z1376" s="37">
        <v>0</v>
      </c>
      <c r="AA1376" s="5">
        <v>1</v>
      </c>
      <c r="AB1376" s="5">
        <v>0</v>
      </c>
      <c r="AC1376" s="5">
        <v>0</v>
      </c>
      <c r="AD1376" s="5">
        <v>1</v>
      </c>
      <c r="AE1376" s="10" t="s">
        <v>73</v>
      </c>
      <c r="AF1376" s="10"/>
      <c r="AG1376" s="10" t="s">
        <v>333</v>
      </c>
      <c r="AH1376" s="10">
        <v>41082</v>
      </c>
      <c r="AI1376" s="5">
        <v>1</v>
      </c>
      <c r="AJ1376" s="10" t="s">
        <v>7658</v>
      </c>
      <c r="AK1376" s="10" t="s">
        <v>50</v>
      </c>
    </row>
    <row r="1377" spans="1:37" ht="36.75" customHeight="1" x14ac:dyDescent="0.35">
      <c r="A1377" s="5"/>
      <c r="B1377" s="5" t="s">
        <v>37</v>
      </c>
      <c r="C1377" s="73" t="str">
        <f t="shared" si="21"/>
        <v>Closed</v>
      </c>
      <c r="D1377" s="45" t="s">
        <v>7659</v>
      </c>
      <c r="E1377" s="54" t="s">
        <v>7660</v>
      </c>
      <c r="F1377" s="5" t="s">
        <v>816</v>
      </c>
      <c r="G1377" s="10">
        <f>DATE(2012,6,24)</f>
        <v>41084</v>
      </c>
      <c r="H1377" s="35">
        <v>1.7604166666666665</v>
      </c>
      <c r="I1377" s="5" t="s">
        <v>97</v>
      </c>
      <c r="J1377" s="10" t="s">
        <v>7661</v>
      </c>
      <c r="K1377" s="5" t="s">
        <v>818</v>
      </c>
      <c r="L1377" s="5" t="s">
        <v>7662</v>
      </c>
      <c r="M1377" s="5" t="s">
        <v>45</v>
      </c>
      <c r="N1377" s="5" t="s">
        <v>80</v>
      </c>
      <c r="O1377" s="5" t="s">
        <v>46</v>
      </c>
      <c r="P1377" s="10" t="s">
        <v>146</v>
      </c>
      <c r="Q1377" s="10" t="s">
        <v>2142</v>
      </c>
      <c r="R1377" s="10" t="s">
        <v>821</v>
      </c>
      <c r="S1377" s="5">
        <v>0</v>
      </c>
      <c r="T1377" s="37">
        <v>0</v>
      </c>
      <c r="U1377" s="5">
        <v>2</v>
      </c>
      <c r="V1377" s="37">
        <v>0</v>
      </c>
      <c r="W1377" s="5">
        <v>0</v>
      </c>
      <c r="X1377" s="5">
        <v>2</v>
      </c>
      <c r="Y1377" s="5">
        <v>0</v>
      </c>
      <c r="Z1377" s="37">
        <v>0</v>
      </c>
      <c r="AA1377" s="5">
        <v>0</v>
      </c>
      <c r="AB1377" s="5">
        <v>0</v>
      </c>
      <c r="AC1377" s="5">
        <v>0</v>
      </c>
      <c r="AD1377" s="5">
        <v>0</v>
      </c>
      <c r="AE1377" s="10" t="s">
        <v>73</v>
      </c>
      <c r="AF1377" s="10"/>
      <c r="AG1377" s="10" t="s">
        <v>333</v>
      </c>
      <c r="AH1377" s="10">
        <v>41085</v>
      </c>
      <c r="AI1377" s="5">
        <v>0</v>
      </c>
      <c r="AJ1377" s="10" t="s">
        <v>7663</v>
      </c>
      <c r="AK1377" s="10" t="s">
        <v>50</v>
      </c>
    </row>
    <row r="1378" spans="1:37" ht="36.75" customHeight="1" x14ac:dyDescent="0.35">
      <c r="A1378" s="5"/>
      <c r="B1378" s="5" t="s">
        <v>37</v>
      </c>
      <c r="C1378" s="73" t="str">
        <f t="shared" si="21"/>
        <v>Closed</v>
      </c>
      <c r="D1378" s="45" t="s">
        <v>7664</v>
      </c>
      <c r="E1378" s="54" t="s">
        <v>7665</v>
      </c>
      <c r="F1378" s="5" t="s">
        <v>404</v>
      </c>
      <c r="G1378" s="10">
        <f>DATE(2012,6,25)</f>
        <v>41085</v>
      </c>
      <c r="H1378" s="35">
        <v>1.8368055555555554</v>
      </c>
      <c r="I1378" s="5" t="s">
        <v>85</v>
      </c>
      <c r="J1378" s="10" t="s">
        <v>7666</v>
      </c>
      <c r="K1378" s="5" t="s">
        <v>406</v>
      </c>
      <c r="L1378" s="5" t="s">
        <v>7667</v>
      </c>
      <c r="M1378" s="5" t="s">
        <v>45</v>
      </c>
      <c r="N1378" s="5" t="s">
        <v>70</v>
      </c>
      <c r="O1378" s="5" t="s">
        <v>59</v>
      </c>
      <c r="P1378" s="10" t="s">
        <v>47</v>
      </c>
      <c r="Q1378" s="10" t="s">
        <v>408</v>
      </c>
      <c r="R1378" s="10" t="s">
        <v>3083</v>
      </c>
      <c r="S1378" s="5">
        <v>0</v>
      </c>
      <c r="T1378" s="37">
        <v>0</v>
      </c>
      <c r="U1378" s="5">
        <v>0</v>
      </c>
      <c r="V1378" s="37">
        <v>0</v>
      </c>
      <c r="W1378" s="5">
        <v>0</v>
      </c>
      <c r="X1378" s="5">
        <v>0</v>
      </c>
      <c r="Y1378" s="5">
        <v>0</v>
      </c>
      <c r="Z1378" s="37">
        <v>0</v>
      </c>
      <c r="AA1378" s="5">
        <v>0</v>
      </c>
      <c r="AB1378" s="5">
        <v>0</v>
      </c>
      <c r="AC1378" s="5">
        <v>0</v>
      </c>
      <c r="AD1378" s="5">
        <v>0</v>
      </c>
      <c r="AE1378" s="10" t="s">
        <v>73</v>
      </c>
      <c r="AF1378" s="10"/>
      <c r="AG1378" s="10" t="s">
        <v>114</v>
      </c>
      <c r="AH1378" s="10">
        <v>41256</v>
      </c>
      <c r="AI1378" s="5">
        <v>4</v>
      </c>
      <c r="AJ1378" s="10" t="s">
        <v>7668</v>
      </c>
      <c r="AK1378" s="10" t="s">
        <v>7669</v>
      </c>
    </row>
    <row r="1379" spans="1:37" ht="36.75" customHeight="1" x14ac:dyDescent="0.35">
      <c r="A1379" s="5"/>
      <c r="B1379" s="5" t="s">
        <v>37</v>
      </c>
      <c r="C1379" s="73" t="str">
        <f t="shared" si="21"/>
        <v>Closed</v>
      </c>
      <c r="D1379" s="45" t="s">
        <v>7670</v>
      </c>
      <c r="E1379" s="54" t="s">
        <v>7671</v>
      </c>
      <c r="F1379" s="5" t="s">
        <v>563</v>
      </c>
      <c r="G1379" s="10">
        <f>DATE(2012,6,25)</f>
        <v>41085</v>
      </c>
      <c r="H1379" s="35">
        <v>1.4375</v>
      </c>
      <c r="I1379" s="5" t="s">
        <v>106</v>
      </c>
      <c r="J1379" s="10" t="s">
        <v>7672</v>
      </c>
      <c r="K1379" s="5" t="s">
        <v>565</v>
      </c>
      <c r="L1379" s="5" t="s">
        <v>7673</v>
      </c>
      <c r="M1379" s="5" t="s">
        <v>45</v>
      </c>
      <c r="N1379" s="5" t="s">
        <v>123</v>
      </c>
      <c r="O1379" s="5" t="s">
        <v>46</v>
      </c>
      <c r="P1379" s="10" t="s">
        <v>146</v>
      </c>
      <c r="Q1379" s="10" t="s">
        <v>3883</v>
      </c>
      <c r="R1379" s="10" t="s">
        <v>568</v>
      </c>
      <c r="S1379" s="5">
        <v>0</v>
      </c>
      <c r="T1379" s="37">
        <v>0</v>
      </c>
      <c r="U1379" s="5">
        <v>0</v>
      </c>
      <c r="V1379" s="37">
        <v>0</v>
      </c>
      <c r="W1379" s="5">
        <v>0</v>
      </c>
      <c r="X1379" s="5">
        <v>0</v>
      </c>
      <c r="Y1379" s="5">
        <v>0</v>
      </c>
      <c r="Z1379" s="37">
        <v>0</v>
      </c>
      <c r="AA1379" s="5">
        <v>0</v>
      </c>
      <c r="AB1379" s="5">
        <v>0</v>
      </c>
      <c r="AC1379" s="5">
        <v>0</v>
      </c>
      <c r="AD1379" s="5">
        <v>0</v>
      </c>
      <c r="AE1379" s="10" t="s">
        <v>375</v>
      </c>
      <c r="AF1379" s="10"/>
      <c r="AG1379" s="10" t="s">
        <v>114</v>
      </c>
      <c r="AH1379" s="10">
        <v>41092</v>
      </c>
      <c r="AI1379" s="5">
        <v>0</v>
      </c>
      <c r="AJ1379" s="10" t="s">
        <v>7674</v>
      </c>
      <c r="AK1379" s="10" t="s">
        <v>1215</v>
      </c>
    </row>
    <row r="1380" spans="1:37" ht="36.75" customHeight="1" x14ac:dyDescent="0.35">
      <c r="A1380" s="5"/>
      <c r="B1380" s="5" t="s">
        <v>37</v>
      </c>
      <c r="C1380" s="73" t="str">
        <f t="shared" si="21"/>
        <v>Closed</v>
      </c>
      <c r="D1380" s="45" t="s">
        <v>7675</v>
      </c>
      <c r="E1380" s="54" t="s">
        <v>7676</v>
      </c>
      <c r="F1380" s="5" t="s">
        <v>178</v>
      </c>
      <c r="G1380" s="10">
        <f>DATE(2012,6,26)</f>
        <v>41086</v>
      </c>
      <c r="H1380" s="35">
        <v>1.7465277777777777</v>
      </c>
      <c r="I1380" s="5" t="s">
        <v>97</v>
      </c>
      <c r="J1380" s="10" t="s">
        <v>7677</v>
      </c>
      <c r="K1380" s="5" t="s">
        <v>181</v>
      </c>
      <c r="L1380" s="5" t="s">
        <v>7678</v>
      </c>
      <c r="M1380" s="5" t="s">
        <v>45</v>
      </c>
      <c r="N1380" s="5" t="s">
        <v>80</v>
      </c>
      <c r="O1380" s="5" t="s">
        <v>46</v>
      </c>
      <c r="P1380" s="10" t="s">
        <v>146</v>
      </c>
      <c r="Q1380" s="10" t="s">
        <v>7679</v>
      </c>
      <c r="R1380" s="10">
        <v>0</v>
      </c>
      <c r="S1380" s="5">
        <v>0</v>
      </c>
      <c r="T1380" s="37">
        <v>0</v>
      </c>
      <c r="U1380" s="5">
        <v>0</v>
      </c>
      <c r="V1380" s="37">
        <v>0</v>
      </c>
      <c r="W1380" s="5">
        <v>0</v>
      </c>
      <c r="X1380" s="5">
        <v>0</v>
      </c>
      <c r="Y1380" s="5">
        <v>0</v>
      </c>
      <c r="Z1380" s="37">
        <v>0</v>
      </c>
      <c r="AA1380" s="5">
        <v>0</v>
      </c>
      <c r="AB1380" s="5">
        <v>0</v>
      </c>
      <c r="AC1380" s="5">
        <v>0</v>
      </c>
      <c r="AD1380" s="5">
        <v>0</v>
      </c>
      <c r="AE1380" s="10" t="s">
        <v>73</v>
      </c>
      <c r="AF1380" s="10"/>
      <c r="AG1380" s="10" t="s">
        <v>114</v>
      </c>
      <c r="AH1380" s="10">
        <v>41088</v>
      </c>
      <c r="AI1380" s="5">
        <v>3</v>
      </c>
      <c r="AJ1380" s="10" t="s">
        <v>7680</v>
      </c>
      <c r="AK1380" s="10" t="s">
        <v>1215</v>
      </c>
    </row>
    <row r="1381" spans="1:37" ht="36.75" customHeight="1" x14ac:dyDescent="0.35">
      <c r="A1381" s="5"/>
      <c r="B1381" s="5" t="s">
        <v>37</v>
      </c>
      <c r="C1381" s="73" t="str">
        <f t="shared" si="21"/>
        <v>Closed</v>
      </c>
      <c r="D1381" s="45" t="s">
        <v>7681</v>
      </c>
      <c r="E1381" s="54" t="s">
        <v>7682</v>
      </c>
      <c r="F1381" s="5" t="s">
        <v>816</v>
      </c>
      <c r="G1381" s="10">
        <f>DATE(2012,6,27)</f>
        <v>41087</v>
      </c>
      <c r="H1381" s="35">
        <v>1.8583333333333334</v>
      </c>
      <c r="I1381" s="5" t="s">
        <v>259</v>
      </c>
      <c r="J1381" s="10" t="s">
        <v>7683</v>
      </c>
      <c r="K1381" s="5" t="s">
        <v>818</v>
      </c>
      <c r="L1381" s="5" t="s">
        <v>7684</v>
      </c>
      <c r="M1381" s="5" t="s">
        <v>45</v>
      </c>
      <c r="N1381" s="5" t="s">
        <v>80</v>
      </c>
      <c r="O1381" s="5" t="s">
        <v>46</v>
      </c>
      <c r="P1381" s="10" t="s">
        <v>47</v>
      </c>
      <c r="Q1381" s="10" t="s">
        <v>2142</v>
      </c>
      <c r="R1381" s="10" t="s">
        <v>821</v>
      </c>
      <c r="S1381" s="5">
        <v>0</v>
      </c>
      <c r="T1381" s="37">
        <v>0</v>
      </c>
      <c r="U1381" s="5">
        <v>0</v>
      </c>
      <c r="V1381" s="37">
        <v>0</v>
      </c>
      <c r="W1381" s="5">
        <v>0</v>
      </c>
      <c r="X1381" s="5">
        <v>0</v>
      </c>
      <c r="Y1381" s="5">
        <v>0</v>
      </c>
      <c r="Z1381" s="37">
        <v>0</v>
      </c>
      <c r="AA1381" s="5">
        <v>0</v>
      </c>
      <c r="AB1381" s="5">
        <v>0</v>
      </c>
      <c r="AC1381" s="5">
        <v>0</v>
      </c>
      <c r="AD1381" s="5">
        <v>0</v>
      </c>
      <c r="AE1381" s="10" t="s">
        <v>73</v>
      </c>
      <c r="AF1381" s="10"/>
      <c r="AG1381" s="10" t="s">
        <v>333</v>
      </c>
      <c r="AH1381" s="10">
        <v>41089</v>
      </c>
      <c r="AI1381" s="5">
        <v>0</v>
      </c>
      <c r="AJ1381" s="10" t="s">
        <v>7685</v>
      </c>
      <c r="AK1381" s="10" t="s">
        <v>50</v>
      </c>
    </row>
    <row r="1382" spans="1:37" ht="36.75" customHeight="1" x14ac:dyDescent="0.35">
      <c r="A1382" s="5"/>
      <c r="B1382" s="5" t="s">
        <v>37</v>
      </c>
      <c r="C1382" s="73" t="str">
        <f t="shared" si="21"/>
        <v>Closed</v>
      </c>
      <c r="D1382" s="45" t="s">
        <v>7686</v>
      </c>
      <c r="E1382" s="54" t="s">
        <v>7687</v>
      </c>
      <c r="F1382" s="5" t="s">
        <v>816</v>
      </c>
      <c r="G1382" s="10">
        <f>DATE(2012,6,27)</f>
        <v>41087</v>
      </c>
      <c r="H1382" s="35">
        <v>1.3479166666666667</v>
      </c>
      <c r="I1382" s="5" t="s">
        <v>67</v>
      </c>
      <c r="J1382" s="10" t="s">
        <v>7688</v>
      </c>
      <c r="K1382" s="5" t="s">
        <v>818</v>
      </c>
      <c r="L1382" s="5" t="s">
        <v>7689</v>
      </c>
      <c r="M1382" s="5" t="s">
        <v>45</v>
      </c>
      <c r="N1382" s="5" t="s">
        <v>80</v>
      </c>
      <c r="O1382" s="5" t="s">
        <v>46</v>
      </c>
      <c r="P1382" s="10" t="s">
        <v>47</v>
      </c>
      <c r="Q1382" s="10" t="s">
        <v>2142</v>
      </c>
      <c r="R1382" s="10" t="s">
        <v>821</v>
      </c>
      <c r="S1382" s="5">
        <v>0</v>
      </c>
      <c r="T1382" s="37">
        <v>0</v>
      </c>
      <c r="U1382" s="5">
        <v>0</v>
      </c>
      <c r="V1382" s="37">
        <v>0</v>
      </c>
      <c r="W1382" s="5">
        <v>0</v>
      </c>
      <c r="X1382" s="5">
        <v>0</v>
      </c>
      <c r="Y1382" s="5">
        <v>0</v>
      </c>
      <c r="Z1382" s="37">
        <v>0</v>
      </c>
      <c r="AA1382" s="5">
        <v>0</v>
      </c>
      <c r="AB1382" s="5">
        <v>0</v>
      </c>
      <c r="AC1382" s="5">
        <v>0</v>
      </c>
      <c r="AD1382" s="5">
        <v>0</v>
      </c>
      <c r="AE1382" s="10" t="s">
        <v>73</v>
      </c>
      <c r="AF1382" s="10"/>
      <c r="AG1382" s="10" t="s">
        <v>333</v>
      </c>
      <c r="AH1382" s="10">
        <v>41106</v>
      </c>
      <c r="AI1382" s="5">
        <v>0</v>
      </c>
      <c r="AJ1382" s="10" t="s">
        <v>7690</v>
      </c>
      <c r="AK1382" s="10" t="s">
        <v>7691</v>
      </c>
    </row>
    <row r="1383" spans="1:37" ht="36.75" customHeight="1" x14ac:dyDescent="0.35">
      <c r="A1383" s="5"/>
      <c r="B1383" s="5" t="s">
        <v>37</v>
      </c>
      <c r="C1383" s="73" t="str">
        <f t="shared" si="21"/>
        <v>Closed</v>
      </c>
      <c r="D1383" s="45" t="s">
        <v>7692</v>
      </c>
      <c r="E1383" s="54" t="s">
        <v>7693</v>
      </c>
      <c r="F1383" s="5" t="s">
        <v>214</v>
      </c>
      <c r="G1383" s="10">
        <f>DATE(2012,6,28)</f>
        <v>41088</v>
      </c>
      <c r="H1383" s="35">
        <v>1.2986111111111112</v>
      </c>
      <c r="I1383" s="5" t="s">
        <v>4260</v>
      </c>
      <c r="J1383" s="10" t="s">
        <v>7694</v>
      </c>
      <c r="K1383" s="5" t="s">
        <v>216</v>
      </c>
      <c r="L1383" s="5" t="s">
        <v>7695</v>
      </c>
      <c r="M1383" s="5" t="s">
        <v>45</v>
      </c>
      <c r="N1383" s="5" t="s">
        <v>70</v>
      </c>
      <c r="O1383" s="5" t="s">
        <v>46</v>
      </c>
      <c r="P1383" s="10" t="s">
        <v>6920</v>
      </c>
      <c r="Q1383" s="10" t="s">
        <v>656</v>
      </c>
      <c r="R1383" s="10" t="s">
        <v>656</v>
      </c>
      <c r="S1383" s="5">
        <v>0</v>
      </c>
      <c r="T1383" s="37">
        <v>0</v>
      </c>
      <c r="U1383" s="5">
        <v>0</v>
      </c>
      <c r="V1383" s="37">
        <v>0</v>
      </c>
      <c r="W1383" s="5">
        <v>0</v>
      </c>
      <c r="X1383" s="5">
        <v>0</v>
      </c>
      <c r="Y1383" s="5">
        <v>0</v>
      </c>
      <c r="Z1383" s="37">
        <v>0</v>
      </c>
      <c r="AA1383" s="5">
        <v>0</v>
      </c>
      <c r="AB1383" s="5">
        <v>0</v>
      </c>
      <c r="AC1383" s="5">
        <v>0</v>
      </c>
      <c r="AD1383" s="5">
        <v>0</v>
      </c>
      <c r="AE1383" s="10" t="s">
        <v>375</v>
      </c>
      <c r="AF1383" s="10"/>
      <c r="AG1383" s="10" t="s">
        <v>114</v>
      </c>
      <c r="AH1383" s="10">
        <v>41155</v>
      </c>
      <c r="AI1383" s="5">
        <v>5</v>
      </c>
      <c r="AJ1383" s="10" t="s">
        <v>7696</v>
      </c>
      <c r="AK1383" s="10" t="s">
        <v>7697</v>
      </c>
    </row>
    <row r="1384" spans="1:37" ht="36.75" customHeight="1" x14ac:dyDescent="0.35">
      <c r="A1384" s="5"/>
      <c r="B1384" s="5" t="s">
        <v>37</v>
      </c>
      <c r="C1384" s="73" t="str">
        <f t="shared" si="21"/>
        <v>Closed</v>
      </c>
      <c r="D1384" s="45" t="s">
        <v>7698</v>
      </c>
      <c r="E1384" s="54" t="s">
        <v>7699</v>
      </c>
      <c r="F1384" s="5" t="s">
        <v>214</v>
      </c>
      <c r="G1384" s="10">
        <f>DATE(2012,6,28)</f>
        <v>41088</v>
      </c>
      <c r="H1384" s="35">
        <v>1.7951388888888888</v>
      </c>
      <c r="I1384" s="5" t="s">
        <v>137</v>
      </c>
      <c r="J1384" s="10" t="s">
        <v>7700</v>
      </c>
      <c r="K1384" s="5" t="s">
        <v>216</v>
      </c>
      <c r="L1384" s="5" t="s">
        <v>7701</v>
      </c>
      <c r="M1384" s="5" t="s">
        <v>45</v>
      </c>
      <c r="N1384" s="5" t="s">
        <v>80</v>
      </c>
      <c r="O1384" s="5" t="s">
        <v>46</v>
      </c>
      <c r="P1384" s="10" t="s">
        <v>60</v>
      </c>
      <c r="Q1384" s="10" t="s">
        <v>2739</v>
      </c>
      <c r="R1384" s="10" t="s">
        <v>219</v>
      </c>
      <c r="S1384" s="5">
        <v>0</v>
      </c>
      <c r="T1384" s="37">
        <v>0</v>
      </c>
      <c r="U1384" s="5">
        <v>0</v>
      </c>
      <c r="V1384" s="37">
        <v>0</v>
      </c>
      <c r="W1384" s="5">
        <v>0</v>
      </c>
      <c r="X1384" s="5">
        <v>0</v>
      </c>
      <c r="Y1384" s="5">
        <v>0</v>
      </c>
      <c r="Z1384" s="37">
        <v>0</v>
      </c>
      <c r="AA1384" s="5">
        <v>0</v>
      </c>
      <c r="AB1384" s="5">
        <v>0</v>
      </c>
      <c r="AC1384" s="5">
        <v>0</v>
      </c>
      <c r="AD1384" s="5">
        <v>0</v>
      </c>
      <c r="AE1384" s="10" t="s">
        <v>375</v>
      </c>
      <c r="AF1384" s="10"/>
      <c r="AG1384" s="10" t="s">
        <v>64</v>
      </c>
      <c r="AH1384" s="10">
        <v>41113</v>
      </c>
      <c r="AI1384" s="5">
        <v>5</v>
      </c>
      <c r="AJ1384" s="10" t="s">
        <v>7702</v>
      </c>
      <c r="AK1384" s="10" t="s">
        <v>7702</v>
      </c>
    </row>
    <row r="1385" spans="1:37" ht="36.75" customHeight="1" x14ac:dyDescent="0.35">
      <c r="A1385" s="5"/>
      <c r="B1385" s="5" t="s">
        <v>37</v>
      </c>
      <c r="C1385" s="73" t="str">
        <f t="shared" si="21"/>
        <v>Closed</v>
      </c>
      <c r="D1385" s="45" t="s">
        <v>7703</v>
      </c>
      <c r="E1385" s="54" t="s">
        <v>7704</v>
      </c>
      <c r="F1385" s="5" t="s">
        <v>432</v>
      </c>
      <c r="G1385" s="10">
        <f>DATE(2012,6,29)</f>
        <v>41089</v>
      </c>
      <c r="H1385" s="35">
        <v>1.2902777777777779</v>
      </c>
      <c r="I1385" s="5" t="s">
        <v>97</v>
      </c>
      <c r="J1385" s="10" t="s">
        <v>7705</v>
      </c>
      <c r="K1385" s="5" t="s">
        <v>434</v>
      </c>
      <c r="L1385" s="5" t="s">
        <v>7706</v>
      </c>
      <c r="M1385" s="5" t="s">
        <v>45</v>
      </c>
      <c r="N1385" s="5" t="s">
        <v>80</v>
      </c>
      <c r="O1385" s="5" t="s">
        <v>46</v>
      </c>
      <c r="P1385" s="10" t="s">
        <v>146</v>
      </c>
      <c r="Q1385" s="10" t="s">
        <v>552</v>
      </c>
      <c r="R1385" s="10" t="s">
        <v>553</v>
      </c>
      <c r="S1385" s="5">
        <v>0</v>
      </c>
      <c r="T1385" s="37">
        <v>0</v>
      </c>
      <c r="U1385" s="5">
        <v>1</v>
      </c>
      <c r="V1385" s="37">
        <v>0</v>
      </c>
      <c r="W1385" s="5">
        <v>0</v>
      </c>
      <c r="X1385" s="5">
        <v>1</v>
      </c>
      <c r="Y1385" s="5">
        <v>0</v>
      </c>
      <c r="Z1385" s="37">
        <v>0</v>
      </c>
      <c r="AA1385" s="5">
        <v>0</v>
      </c>
      <c r="AB1385" s="5">
        <v>0</v>
      </c>
      <c r="AC1385" s="5">
        <v>0</v>
      </c>
      <c r="AD1385" s="5">
        <v>0</v>
      </c>
      <c r="AE1385" s="10" t="s">
        <v>73</v>
      </c>
      <c r="AF1385" s="10"/>
      <c r="AG1385" s="10" t="s">
        <v>64</v>
      </c>
      <c r="AH1385" s="10">
        <v>41095</v>
      </c>
      <c r="AI1385" s="5">
        <v>1</v>
      </c>
      <c r="AJ1385" s="10" t="s">
        <v>7707</v>
      </c>
      <c r="AK1385" s="10" t="s">
        <v>50</v>
      </c>
    </row>
    <row r="1386" spans="1:37" ht="36.75" customHeight="1" x14ac:dyDescent="0.35">
      <c r="A1386" s="5"/>
      <c r="B1386" s="5" t="s">
        <v>37</v>
      </c>
      <c r="C1386" s="73" t="str">
        <f t="shared" si="21"/>
        <v>Closed</v>
      </c>
      <c r="D1386" s="45" t="s">
        <v>7708</v>
      </c>
      <c r="E1386" s="54" t="s">
        <v>7709</v>
      </c>
      <c r="F1386" s="5" t="s">
        <v>619</v>
      </c>
      <c r="G1386" s="10">
        <f>DATE(2012,7,1)</f>
        <v>41091</v>
      </c>
      <c r="H1386" s="35">
        <v>1.4041666666666666</v>
      </c>
      <c r="I1386" s="5" t="s">
        <v>55</v>
      </c>
      <c r="J1386" s="10" t="s">
        <v>7710</v>
      </c>
      <c r="K1386" s="5" t="s">
        <v>621</v>
      </c>
      <c r="L1386" s="5" t="s">
        <v>7711</v>
      </c>
      <c r="M1386" s="5" t="s">
        <v>45</v>
      </c>
      <c r="N1386" s="5" t="s">
        <v>80</v>
      </c>
      <c r="O1386" s="5" t="s">
        <v>59</v>
      </c>
      <c r="P1386" s="10" t="s">
        <v>47</v>
      </c>
      <c r="Q1386" s="10" t="s">
        <v>623</v>
      </c>
      <c r="R1386" s="10" t="s">
        <v>624</v>
      </c>
      <c r="S1386" s="5">
        <v>0</v>
      </c>
      <c r="T1386" s="37">
        <v>0</v>
      </c>
      <c r="U1386" s="5">
        <v>0</v>
      </c>
      <c r="V1386" s="37">
        <v>0</v>
      </c>
      <c r="W1386" s="5">
        <v>0</v>
      </c>
      <c r="X1386" s="5">
        <v>0</v>
      </c>
      <c r="Y1386" s="5">
        <v>0</v>
      </c>
      <c r="Z1386" s="37">
        <v>0</v>
      </c>
      <c r="AA1386" s="5">
        <v>0</v>
      </c>
      <c r="AB1386" s="5">
        <v>0</v>
      </c>
      <c r="AC1386" s="5">
        <v>0</v>
      </c>
      <c r="AD1386" s="5">
        <v>0</v>
      </c>
      <c r="AE1386" s="10" t="s">
        <v>73</v>
      </c>
      <c r="AF1386" s="10"/>
      <c r="AG1386" s="10" t="s">
        <v>333</v>
      </c>
      <c r="AH1386" s="10">
        <v>41114</v>
      </c>
      <c r="AI1386" s="5">
        <v>0</v>
      </c>
      <c r="AJ1386" s="10" t="s">
        <v>7712</v>
      </c>
      <c r="AK1386" s="10" t="s">
        <v>50</v>
      </c>
    </row>
    <row r="1387" spans="1:37" ht="36.75" customHeight="1" x14ac:dyDescent="0.35">
      <c r="A1387" s="5"/>
      <c r="B1387" s="5" t="s">
        <v>37</v>
      </c>
      <c r="C1387" s="73" t="str">
        <f t="shared" si="21"/>
        <v>Closed</v>
      </c>
      <c r="D1387" s="45" t="s">
        <v>7713</v>
      </c>
      <c r="E1387" s="54" t="s">
        <v>7714</v>
      </c>
      <c r="F1387" s="5" t="s">
        <v>1553</v>
      </c>
      <c r="G1387" s="10">
        <f>DATE(2012,7,1)</f>
        <v>41091</v>
      </c>
      <c r="H1387" s="35">
        <v>1.320138888888889</v>
      </c>
      <c r="I1387" s="5" t="s">
        <v>55</v>
      </c>
      <c r="J1387" s="10" t="s">
        <v>7715</v>
      </c>
      <c r="K1387" s="5" t="s">
        <v>1555</v>
      </c>
      <c r="L1387" s="5" t="s">
        <v>7716</v>
      </c>
      <c r="M1387" s="5" t="s">
        <v>45</v>
      </c>
      <c r="N1387" s="5" t="s">
        <v>123</v>
      </c>
      <c r="O1387" s="5" t="s">
        <v>59</v>
      </c>
      <c r="P1387" s="10" t="s">
        <v>60</v>
      </c>
      <c r="Q1387" s="10" t="s">
        <v>2635</v>
      </c>
      <c r="R1387" s="10">
        <v>0</v>
      </c>
      <c r="S1387" s="5">
        <v>0</v>
      </c>
      <c r="T1387" s="37">
        <v>0</v>
      </c>
      <c r="U1387" s="5">
        <v>0</v>
      </c>
      <c r="V1387" s="37">
        <v>0</v>
      </c>
      <c r="W1387" s="5">
        <v>0</v>
      </c>
      <c r="X1387" s="5">
        <v>0</v>
      </c>
      <c r="Y1387" s="5">
        <v>0</v>
      </c>
      <c r="Z1387" s="37">
        <v>0</v>
      </c>
      <c r="AA1387" s="5">
        <v>0</v>
      </c>
      <c r="AB1387" s="5">
        <v>0</v>
      </c>
      <c r="AC1387" s="5">
        <v>0</v>
      </c>
      <c r="AD1387" s="5">
        <v>0</v>
      </c>
      <c r="AE1387" s="10" t="s">
        <v>73</v>
      </c>
      <c r="AF1387" s="10"/>
      <c r="AG1387" s="10" t="s">
        <v>333</v>
      </c>
      <c r="AH1387" s="10">
        <v>41092</v>
      </c>
      <c r="AI1387" s="5">
        <v>0</v>
      </c>
      <c r="AJ1387" s="10" t="s">
        <v>7717</v>
      </c>
      <c r="AK1387" s="10" t="s">
        <v>6842</v>
      </c>
    </row>
    <row r="1388" spans="1:37" ht="36.75" customHeight="1" x14ac:dyDescent="0.35">
      <c r="A1388" s="5"/>
      <c r="B1388" s="5" t="s">
        <v>37</v>
      </c>
      <c r="C1388" s="73" t="str">
        <f t="shared" si="21"/>
        <v>Closed</v>
      </c>
      <c r="D1388" s="45" t="s">
        <v>7718</v>
      </c>
      <c r="E1388" s="54" t="s">
        <v>7719</v>
      </c>
      <c r="F1388" s="5" t="s">
        <v>178</v>
      </c>
      <c r="G1388" s="10">
        <f>DATE(2012,7,3)</f>
        <v>41093</v>
      </c>
      <c r="H1388" s="35">
        <v>1.6944444444444446</v>
      </c>
      <c r="I1388" s="5" t="s">
        <v>55</v>
      </c>
      <c r="J1388" s="10" t="s">
        <v>7720</v>
      </c>
      <c r="K1388" s="5" t="s">
        <v>181</v>
      </c>
      <c r="L1388" s="5" t="s">
        <v>7721</v>
      </c>
      <c r="M1388" s="5" t="s">
        <v>45</v>
      </c>
      <c r="N1388" s="5" t="s">
        <v>80</v>
      </c>
      <c r="O1388" s="5" t="s">
        <v>46</v>
      </c>
      <c r="P1388" s="10" t="s">
        <v>60</v>
      </c>
      <c r="Q1388" s="10" t="s">
        <v>1697</v>
      </c>
      <c r="R1388" s="10" t="s">
        <v>184</v>
      </c>
      <c r="S1388" s="5">
        <v>0</v>
      </c>
      <c r="T1388" s="37">
        <v>0</v>
      </c>
      <c r="U1388" s="5">
        <v>0</v>
      </c>
      <c r="V1388" s="37">
        <v>0</v>
      </c>
      <c r="W1388" s="5">
        <v>0</v>
      </c>
      <c r="X1388" s="5">
        <v>0</v>
      </c>
      <c r="Y1388" s="5">
        <v>0</v>
      </c>
      <c r="Z1388" s="37">
        <v>0</v>
      </c>
      <c r="AA1388" s="5">
        <v>0</v>
      </c>
      <c r="AB1388" s="5">
        <v>0</v>
      </c>
      <c r="AC1388" s="5">
        <v>0</v>
      </c>
      <c r="AD1388" s="5">
        <v>0</v>
      </c>
      <c r="AE1388" s="10" t="s">
        <v>375</v>
      </c>
      <c r="AF1388" s="10"/>
      <c r="AG1388" s="10" t="s">
        <v>333</v>
      </c>
      <c r="AH1388" s="10">
        <v>41093</v>
      </c>
      <c r="AI1388" s="5">
        <v>3</v>
      </c>
      <c r="AJ1388" s="10" t="s">
        <v>7722</v>
      </c>
      <c r="AK1388" s="10" t="s">
        <v>50</v>
      </c>
    </row>
    <row r="1389" spans="1:37" ht="36.75" customHeight="1" x14ac:dyDescent="0.35">
      <c r="A1389" s="5"/>
      <c r="B1389" s="5" t="s">
        <v>37</v>
      </c>
      <c r="C1389" s="73" t="str">
        <f t="shared" si="21"/>
        <v>Closed</v>
      </c>
      <c r="D1389" s="45" t="s">
        <v>7723</v>
      </c>
      <c r="E1389" s="54" t="s">
        <v>7724</v>
      </c>
      <c r="F1389" s="5" t="s">
        <v>178</v>
      </c>
      <c r="G1389" s="10">
        <f>DATE(2012,7,4)</f>
        <v>41094</v>
      </c>
      <c r="H1389" s="35">
        <v>1.682638888888889</v>
      </c>
      <c r="I1389" s="5" t="s">
        <v>97</v>
      </c>
      <c r="J1389" s="10" t="s">
        <v>7725</v>
      </c>
      <c r="K1389" s="5" t="s">
        <v>181</v>
      </c>
      <c r="L1389" s="5" t="s">
        <v>7726</v>
      </c>
      <c r="M1389" s="5" t="s">
        <v>45</v>
      </c>
      <c r="N1389" s="5" t="s">
        <v>80</v>
      </c>
      <c r="O1389" s="5" t="s">
        <v>46</v>
      </c>
      <c r="P1389" s="10" t="s">
        <v>146</v>
      </c>
      <c r="Q1389" s="10" t="s">
        <v>183</v>
      </c>
      <c r="R1389" s="10" t="s">
        <v>184</v>
      </c>
      <c r="S1389" s="5">
        <v>0</v>
      </c>
      <c r="T1389" s="37">
        <v>0</v>
      </c>
      <c r="U1389" s="5">
        <v>1</v>
      </c>
      <c r="V1389" s="37">
        <v>0</v>
      </c>
      <c r="W1389" s="5">
        <v>0</v>
      </c>
      <c r="X1389" s="5">
        <v>1</v>
      </c>
      <c r="Y1389" s="5">
        <v>0</v>
      </c>
      <c r="Z1389" s="37">
        <v>0</v>
      </c>
      <c r="AA1389" s="5">
        <v>1</v>
      </c>
      <c r="AB1389" s="5">
        <v>0</v>
      </c>
      <c r="AC1389" s="5">
        <v>0</v>
      </c>
      <c r="AD1389" s="5">
        <v>1</v>
      </c>
      <c r="AE1389" s="10" t="s">
        <v>73</v>
      </c>
      <c r="AF1389" s="10"/>
      <c r="AG1389" s="10" t="s">
        <v>64</v>
      </c>
      <c r="AH1389" s="10">
        <v>41094</v>
      </c>
      <c r="AI1389" s="5">
        <v>1</v>
      </c>
      <c r="AJ1389" s="10" t="s">
        <v>7636</v>
      </c>
      <c r="AK1389" s="10" t="s">
        <v>50</v>
      </c>
    </row>
    <row r="1390" spans="1:37" ht="36.75" customHeight="1" x14ac:dyDescent="0.35">
      <c r="A1390" s="5"/>
      <c r="B1390" s="5" t="s">
        <v>37</v>
      </c>
      <c r="C1390" s="73" t="str">
        <f t="shared" si="21"/>
        <v>Closed</v>
      </c>
      <c r="D1390" s="45" t="s">
        <v>7727</v>
      </c>
      <c r="E1390" s="54" t="s">
        <v>7728</v>
      </c>
      <c r="F1390" s="5" t="s">
        <v>96</v>
      </c>
      <c r="G1390" s="10">
        <f>DATE(2012,7,4)</f>
        <v>41094</v>
      </c>
      <c r="H1390" s="35">
        <v>1.3631944444444444</v>
      </c>
      <c r="I1390" s="5" t="s">
        <v>137</v>
      </c>
      <c r="J1390" s="10" t="s">
        <v>7729</v>
      </c>
      <c r="K1390" s="5" t="s">
        <v>99</v>
      </c>
      <c r="L1390" s="5" t="s">
        <v>7730</v>
      </c>
      <c r="M1390" s="5" t="s">
        <v>45</v>
      </c>
      <c r="N1390" s="5" t="s">
        <v>123</v>
      </c>
      <c r="O1390" s="5" t="s">
        <v>46</v>
      </c>
      <c r="P1390" s="10" t="s">
        <v>146</v>
      </c>
      <c r="Q1390" s="10" t="s">
        <v>101</v>
      </c>
      <c r="R1390" s="10" t="s">
        <v>102</v>
      </c>
      <c r="S1390" s="5">
        <v>0</v>
      </c>
      <c r="T1390" s="37">
        <v>0</v>
      </c>
      <c r="U1390" s="5">
        <v>0</v>
      </c>
      <c r="V1390" s="37">
        <v>0</v>
      </c>
      <c r="W1390" s="5">
        <v>0</v>
      </c>
      <c r="X1390" s="5">
        <v>0</v>
      </c>
      <c r="Y1390" s="5">
        <v>0</v>
      </c>
      <c r="Z1390" s="37">
        <v>0</v>
      </c>
      <c r="AA1390" s="5">
        <v>0</v>
      </c>
      <c r="AB1390" s="5">
        <v>0</v>
      </c>
      <c r="AC1390" s="5">
        <v>0</v>
      </c>
      <c r="AD1390" s="5">
        <v>0</v>
      </c>
      <c r="AE1390" s="10" t="s">
        <v>73</v>
      </c>
      <c r="AF1390" s="10"/>
      <c r="AG1390" s="10" t="s">
        <v>333</v>
      </c>
      <c r="AH1390" s="10">
        <v>41096</v>
      </c>
      <c r="AI1390" s="5">
        <v>3</v>
      </c>
      <c r="AJ1390" s="10" t="s">
        <v>7731</v>
      </c>
      <c r="AK1390" s="10" t="s">
        <v>7732</v>
      </c>
    </row>
    <row r="1391" spans="1:37" ht="36.75" customHeight="1" x14ac:dyDescent="0.35">
      <c r="A1391" s="5"/>
      <c r="B1391" s="5" t="s">
        <v>37</v>
      </c>
      <c r="C1391" s="73" t="str">
        <f t="shared" si="21"/>
        <v>Closed</v>
      </c>
      <c r="D1391" s="45" t="s">
        <v>7733</v>
      </c>
      <c r="E1391" s="54" t="s">
        <v>7734</v>
      </c>
      <c r="F1391" s="5" t="s">
        <v>816</v>
      </c>
      <c r="G1391" s="10">
        <f>DATE(2012,7,5)</f>
        <v>41095</v>
      </c>
      <c r="H1391" s="35">
        <v>1.2722222222222221</v>
      </c>
      <c r="I1391" s="5" t="s">
        <v>179</v>
      </c>
      <c r="J1391" s="10" t="s">
        <v>7735</v>
      </c>
      <c r="K1391" s="5" t="s">
        <v>818</v>
      </c>
      <c r="L1391" s="5" t="s">
        <v>7736</v>
      </c>
      <c r="M1391" s="5" t="s">
        <v>45</v>
      </c>
      <c r="N1391" s="5" t="s">
        <v>123</v>
      </c>
      <c r="O1391" s="5" t="s">
        <v>59</v>
      </c>
      <c r="P1391" s="10" t="s">
        <v>1893</v>
      </c>
      <c r="Q1391" s="10" t="s">
        <v>5114</v>
      </c>
      <c r="R1391" s="10" t="s">
        <v>821</v>
      </c>
      <c r="S1391" s="5">
        <v>0</v>
      </c>
      <c r="T1391" s="37">
        <v>0</v>
      </c>
      <c r="U1391" s="5">
        <v>0</v>
      </c>
      <c r="V1391" s="37">
        <v>0</v>
      </c>
      <c r="W1391" s="5">
        <v>0</v>
      </c>
      <c r="X1391" s="5">
        <v>0</v>
      </c>
      <c r="Y1391" s="5">
        <v>0</v>
      </c>
      <c r="Z1391" s="37">
        <v>0</v>
      </c>
      <c r="AA1391" s="5">
        <v>0</v>
      </c>
      <c r="AB1391" s="5">
        <v>0</v>
      </c>
      <c r="AC1391" s="5">
        <v>0</v>
      </c>
      <c r="AD1391" s="5">
        <v>0</v>
      </c>
      <c r="AE1391" s="10" t="s">
        <v>73</v>
      </c>
      <c r="AF1391" s="10"/>
      <c r="AG1391" s="10" t="s">
        <v>333</v>
      </c>
      <c r="AH1391" s="10">
        <v>41095</v>
      </c>
      <c r="AI1391" s="5">
        <v>1</v>
      </c>
      <c r="AJ1391" s="10" t="s">
        <v>7737</v>
      </c>
      <c r="AK1391" s="10" t="s">
        <v>7738</v>
      </c>
    </row>
    <row r="1392" spans="1:37" ht="36.75" customHeight="1" x14ac:dyDescent="0.35">
      <c r="A1392" s="5"/>
      <c r="B1392" s="5" t="s">
        <v>37</v>
      </c>
      <c r="C1392" s="73" t="str">
        <f t="shared" si="21"/>
        <v>Closed</v>
      </c>
      <c r="D1392" s="45" t="s">
        <v>7739</v>
      </c>
      <c r="E1392" s="54" t="s">
        <v>7740</v>
      </c>
      <c r="F1392" s="5" t="s">
        <v>1553</v>
      </c>
      <c r="G1392" s="10">
        <f>DATE(2012,7,5)</f>
        <v>41095</v>
      </c>
      <c r="H1392" s="35">
        <v>1.7326388888888888</v>
      </c>
      <c r="I1392" s="5" t="s">
        <v>97</v>
      </c>
      <c r="J1392" s="10" t="s">
        <v>7741</v>
      </c>
      <c r="K1392" s="5" t="s">
        <v>1555</v>
      </c>
      <c r="L1392" s="5" t="s">
        <v>7742</v>
      </c>
      <c r="M1392" s="5" t="s">
        <v>45</v>
      </c>
      <c r="N1392" s="5" t="s">
        <v>80</v>
      </c>
      <c r="O1392" s="5" t="s">
        <v>46</v>
      </c>
      <c r="P1392" s="10" t="s">
        <v>72</v>
      </c>
      <c r="Q1392" s="10" t="s">
        <v>2635</v>
      </c>
      <c r="R1392" s="10" t="s">
        <v>6413</v>
      </c>
      <c r="S1392" s="5">
        <v>0</v>
      </c>
      <c r="T1392" s="37">
        <v>0</v>
      </c>
      <c r="U1392" s="5">
        <v>2</v>
      </c>
      <c r="V1392" s="37">
        <v>0</v>
      </c>
      <c r="W1392" s="5">
        <v>0</v>
      </c>
      <c r="X1392" s="5">
        <v>2</v>
      </c>
      <c r="Y1392" s="5">
        <v>0</v>
      </c>
      <c r="Z1392" s="37">
        <v>0</v>
      </c>
      <c r="AA1392" s="5">
        <v>2</v>
      </c>
      <c r="AB1392" s="5">
        <v>0</v>
      </c>
      <c r="AC1392" s="5">
        <v>0</v>
      </c>
      <c r="AD1392" s="5">
        <v>2</v>
      </c>
      <c r="AE1392" s="10" t="s">
        <v>375</v>
      </c>
      <c r="AF1392" s="10"/>
      <c r="AG1392" s="10" t="s">
        <v>333</v>
      </c>
      <c r="AH1392" s="10">
        <v>41099</v>
      </c>
      <c r="AI1392" s="5">
        <v>5</v>
      </c>
      <c r="AJ1392" s="10" t="s">
        <v>7743</v>
      </c>
      <c r="AK1392" s="10" t="s">
        <v>693</v>
      </c>
    </row>
    <row r="1393" spans="1:37" ht="36.75" customHeight="1" x14ac:dyDescent="0.35">
      <c r="A1393" s="5"/>
      <c r="B1393" s="5" t="s">
        <v>37</v>
      </c>
      <c r="C1393" s="73" t="str">
        <f t="shared" si="21"/>
        <v>Closed</v>
      </c>
      <c r="D1393" s="45" t="s">
        <v>7744</v>
      </c>
      <c r="E1393" s="54" t="s">
        <v>7745</v>
      </c>
      <c r="F1393" s="5" t="s">
        <v>178</v>
      </c>
      <c r="G1393" s="10">
        <f>DATE(2012,7,6)</f>
        <v>41096</v>
      </c>
      <c r="H1393" s="35">
        <v>1.4145833333333333</v>
      </c>
      <c r="I1393" s="5" t="s">
        <v>97</v>
      </c>
      <c r="J1393" s="10" t="s">
        <v>7746</v>
      </c>
      <c r="K1393" s="5" t="s">
        <v>181</v>
      </c>
      <c r="L1393" s="5" t="s">
        <v>7747</v>
      </c>
      <c r="M1393" s="5" t="s">
        <v>45</v>
      </c>
      <c r="N1393" s="5" t="s">
        <v>80</v>
      </c>
      <c r="O1393" s="5" t="s">
        <v>46</v>
      </c>
      <c r="P1393" s="10" t="s">
        <v>146</v>
      </c>
      <c r="Q1393" s="10">
        <v>0</v>
      </c>
      <c r="R1393" s="10">
        <v>0</v>
      </c>
      <c r="S1393" s="5">
        <v>0</v>
      </c>
      <c r="T1393" s="37">
        <v>0</v>
      </c>
      <c r="U1393" s="5">
        <v>0</v>
      </c>
      <c r="V1393" s="37">
        <v>0</v>
      </c>
      <c r="W1393" s="5">
        <v>0</v>
      </c>
      <c r="X1393" s="5">
        <v>0</v>
      </c>
      <c r="Y1393" s="5">
        <v>0</v>
      </c>
      <c r="Z1393" s="37">
        <v>0</v>
      </c>
      <c r="AA1393" s="5">
        <v>1</v>
      </c>
      <c r="AB1393" s="5">
        <v>0</v>
      </c>
      <c r="AC1393" s="5">
        <v>0</v>
      </c>
      <c r="AD1393" s="5">
        <v>1</v>
      </c>
      <c r="AE1393" s="10" t="s">
        <v>73</v>
      </c>
      <c r="AF1393" s="10"/>
      <c r="AG1393" s="10" t="s">
        <v>333</v>
      </c>
      <c r="AH1393" s="10">
        <v>41106</v>
      </c>
      <c r="AI1393" s="5">
        <v>0</v>
      </c>
      <c r="AJ1393" s="10" t="s">
        <v>7486</v>
      </c>
      <c r="AK1393" s="10" t="s">
        <v>1215</v>
      </c>
    </row>
    <row r="1394" spans="1:37" ht="36.75" customHeight="1" x14ac:dyDescent="0.35">
      <c r="A1394" s="5"/>
      <c r="B1394" s="5" t="s">
        <v>37</v>
      </c>
      <c r="C1394" s="73" t="str">
        <f t="shared" si="21"/>
        <v>Closed</v>
      </c>
      <c r="D1394" s="45" t="s">
        <v>7748</v>
      </c>
      <c r="E1394" s="54" t="s">
        <v>7749</v>
      </c>
      <c r="F1394" s="5" t="s">
        <v>178</v>
      </c>
      <c r="G1394" s="10">
        <f>DATE(2012,7,6)</f>
        <v>41096</v>
      </c>
      <c r="H1394" s="35">
        <v>0</v>
      </c>
      <c r="I1394" s="5" t="s">
        <v>97</v>
      </c>
      <c r="J1394" s="10" t="s">
        <v>7750</v>
      </c>
      <c r="K1394" s="5" t="s">
        <v>181</v>
      </c>
      <c r="L1394" s="5" t="s">
        <v>7751</v>
      </c>
      <c r="M1394" s="5" t="s">
        <v>45</v>
      </c>
      <c r="N1394" s="5" t="s">
        <v>80</v>
      </c>
      <c r="O1394" s="5" t="s">
        <v>46</v>
      </c>
      <c r="P1394" s="10" t="s">
        <v>146</v>
      </c>
      <c r="Q1394" s="10" t="s">
        <v>181</v>
      </c>
      <c r="R1394" s="10" t="s">
        <v>181</v>
      </c>
      <c r="S1394" s="5">
        <v>0</v>
      </c>
      <c r="T1394" s="37">
        <v>0</v>
      </c>
      <c r="U1394" s="5">
        <v>0</v>
      </c>
      <c r="V1394" s="37">
        <v>0</v>
      </c>
      <c r="W1394" s="5">
        <v>0</v>
      </c>
      <c r="X1394" s="5">
        <v>0</v>
      </c>
      <c r="Y1394" s="5">
        <v>0</v>
      </c>
      <c r="Z1394" s="37">
        <v>0</v>
      </c>
      <c r="AA1394" s="5">
        <v>1</v>
      </c>
      <c r="AB1394" s="5">
        <v>0</v>
      </c>
      <c r="AC1394" s="5">
        <v>0</v>
      </c>
      <c r="AD1394" s="5">
        <v>1</v>
      </c>
      <c r="AE1394" s="10" t="s">
        <v>73</v>
      </c>
      <c r="AF1394" s="10"/>
      <c r="AG1394" s="10" t="s">
        <v>114</v>
      </c>
      <c r="AH1394" s="10">
        <v>41095</v>
      </c>
      <c r="AI1394" s="5">
        <v>2</v>
      </c>
      <c r="AJ1394" s="10" t="s">
        <v>7752</v>
      </c>
      <c r="AK1394" s="10" t="s">
        <v>1215</v>
      </c>
    </row>
    <row r="1395" spans="1:37" ht="36.75" customHeight="1" x14ac:dyDescent="0.35">
      <c r="A1395" s="5"/>
      <c r="B1395" s="5" t="s">
        <v>37</v>
      </c>
      <c r="C1395" s="73" t="str">
        <f t="shared" si="21"/>
        <v>Closed</v>
      </c>
      <c r="D1395" s="45" t="s">
        <v>7753</v>
      </c>
      <c r="E1395" s="54" t="s">
        <v>7754</v>
      </c>
      <c r="F1395" s="5" t="s">
        <v>214</v>
      </c>
      <c r="G1395" s="10">
        <f>DATE(2012,7,7)</f>
        <v>41097</v>
      </c>
      <c r="H1395" s="35">
        <v>1.59375</v>
      </c>
      <c r="I1395" s="5" t="s">
        <v>55</v>
      </c>
      <c r="J1395" s="10" t="s">
        <v>7755</v>
      </c>
      <c r="K1395" s="5" t="s">
        <v>216</v>
      </c>
      <c r="L1395" s="5" t="s">
        <v>7756</v>
      </c>
      <c r="M1395" s="5" t="s">
        <v>45</v>
      </c>
      <c r="N1395" s="5" t="s">
        <v>70</v>
      </c>
      <c r="O1395" s="5" t="s">
        <v>46</v>
      </c>
      <c r="P1395" s="10" t="s">
        <v>60</v>
      </c>
      <c r="Q1395" s="10" t="s">
        <v>7287</v>
      </c>
      <c r="R1395" s="10" t="s">
        <v>219</v>
      </c>
      <c r="S1395" s="5">
        <v>0</v>
      </c>
      <c r="T1395" s="37">
        <v>0</v>
      </c>
      <c r="U1395" s="5">
        <v>0</v>
      </c>
      <c r="V1395" s="37">
        <v>0</v>
      </c>
      <c r="W1395" s="5">
        <v>0</v>
      </c>
      <c r="X1395" s="5">
        <v>0</v>
      </c>
      <c r="Y1395" s="5">
        <v>0</v>
      </c>
      <c r="Z1395" s="37">
        <v>0</v>
      </c>
      <c r="AA1395" s="5">
        <v>0</v>
      </c>
      <c r="AB1395" s="5">
        <v>0</v>
      </c>
      <c r="AC1395" s="5">
        <v>0</v>
      </c>
      <c r="AD1395" s="5">
        <v>0</v>
      </c>
      <c r="AE1395" s="10" t="s">
        <v>73</v>
      </c>
      <c r="AF1395" s="10"/>
      <c r="AG1395" s="10" t="s">
        <v>114</v>
      </c>
      <c r="AH1395" s="10">
        <v>41106</v>
      </c>
      <c r="AI1395" s="5">
        <v>4</v>
      </c>
      <c r="AJ1395" s="10" t="s">
        <v>7757</v>
      </c>
      <c r="AK1395" s="10" t="s">
        <v>7758</v>
      </c>
    </row>
    <row r="1396" spans="1:37" ht="36.75" customHeight="1" x14ac:dyDescent="0.35">
      <c r="A1396" s="5"/>
      <c r="B1396" s="5" t="s">
        <v>37</v>
      </c>
      <c r="C1396" s="73" t="str">
        <f t="shared" si="21"/>
        <v>Closed</v>
      </c>
      <c r="D1396" s="45" t="s">
        <v>7759</v>
      </c>
      <c r="E1396" s="54" t="s">
        <v>7760</v>
      </c>
      <c r="F1396" s="5" t="s">
        <v>358</v>
      </c>
      <c r="G1396" s="10">
        <f>DATE(2012,7,14)</f>
        <v>41104</v>
      </c>
      <c r="H1396" s="35">
        <v>1.3923611111111112</v>
      </c>
      <c r="I1396" s="5" t="s">
        <v>55</v>
      </c>
      <c r="J1396" s="10" t="s">
        <v>7761</v>
      </c>
      <c r="K1396" s="5" t="s">
        <v>360</v>
      </c>
      <c r="L1396" s="5" t="s">
        <v>7762</v>
      </c>
      <c r="M1396" s="5" t="s">
        <v>45</v>
      </c>
      <c r="N1396" s="5" t="s">
        <v>70</v>
      </c>
      <c r="O1396" s="5" t="s">
        <v>46</v>
      </c>
      <c r="P1396" s="10" t="s">
        <v>146</v>
      </c>
      <c r="Q1396" s="10" t="s">
        <v>2886</v>
      </c>
      <c r="R1396" s="10" t="s">
        <v>363</v>
      </c>
      <c r="S1396" s="5">
        <v>0</v>
      </c>
      <c r="T1396" s="37">
        <v>0</v>
      </c>
      <c r="U1396" s="5">
        <v>0</v>
      </c>
      <c r="V1396" s="37">
        <v>0</v>
      </c>
      <c r="W1396" s="5">
        <v>0</v>
      </c>
      <c r="X1396" s="5">
        <v>0</v>
      </c>
      <c r="Y1396" s="5">
        <v>0</v>
      </c>
      <c r="Z1396" s="37">
        <v>0</v>
      </c>
      <c r="AA1396" s="5">
        <v>0</v>
      </c>
      <c r="AB1396" s="5">
        <v>0</v>
      </c>
      <c r="AC1396" s="5">
        <v>0</v>
      </c>
      <c r="AD1396" s="5">
        <v>0</v>
      </c>
      <c r="AE1396" s="10" t="s">
        <v>375</v>
      </c>
      <c r="AF1396" s="10"/>
      <c r="AG1396" s="10" t="s">
        <v>114</v>
      </c>
      <c r="AH1396" s="10">
        <v>41104</v>
      </c>
      <c r="AI1396" s="5">
        <v>2</v>
      </c>
      <c r="AJ1396" s="10" t="s">
        <v>7763</v>
      </c>
      <c r="AK1396" s="10" t="s">
        <v>7764</v>
      </c>
    </row>
    <row r="1397" spans="1:37" ht="36.75" customHeight="1" x14ac:dyDescent="0.35">
      <c r="A1397" s="5"/>
      <c r="B1397" s="5" t="s">
        <v>37</v>
      </c>
      <c r="C1397" s="73" t="str">
        <f t="shared" si="21"/>
        <v>Closed</v>
      </c>
      <c r="D1397" s="45" t="s">
        <v>7765</v>
      </c>
      <c r="E1397" s="54" t="s">
        <v>7766</v>
      </c>
      <c r="F1397" s="5" t="s">
        <v>214</v>
      </c>
      <c r="G1397" s="10">
        <f>DATE(2012,7,16)</f>
        <v>41106</v>
      </c>
      <c r="H1397" s="35">
        <v>1.5729166666666665</v>
      </c>
      <c r="I1397" s="5" t="s">
        <v>259</v>
      </c>
      <c r="J1397" s="10" t="s">
        <v>7767</v>
      </c>
      <c r="K1397" s="5" t="s">
        <v>216</v>
      </c>
      <c r="L1397" s="5" t="s">
        <v>7768</v>
      </c>
      <c r="M1397" s="5" t="s">
        <v>45</v>
      </c>
      <c r="N1397" s="5" t="s">
        <v>123</v>
      </c>
      <c r="O1397" s="5" t="s">
        <v>46</v>
      </c>
      <c r="P1397" s="10" t="s">
        <v>146</v>
      </c>
      <c r="Q1397" s="10">
        <v>0</v>
      </c>
      <c r="R1397" s="10" t="s">
        <v>219</v>
      </c>
      <c r="S1397" s="5">
        <v>0</v>
      </c>
      <c r="T1397" s="37">
        <v>0</v>
      </c>
      <c r="U1397" s="5">
        <v>0</v>
      </c>
      <c r="V1397" s="37">
        <v>0</v>
      </c>
      <c r="W1397" s="5">
        <v>0</v>
      </c>
      <c r="X1397" s="5">
        <v>0</v>
      </c>
      <c r="Y1397" s="5">
        <v>0</v>
      </c>
      <c r="Z1397" s="37">
        <v>0</v>
      </c>
      <c r="AA1397" s="5">
        <v>0</v>
      </c>
      <c r="AB1397" s="5">
        <v>0</v>
      </c>
      <c r="AC1397" s="5">
        <v>0</v>
      </c>
      <c r="AD1397" s="5">
        <v>0</v>
      </c>
      <c r="AE1397" s="10" t="s">
        <v>73</v>
      </c>
      <c r="AF1397" s="10"/>
      <c r="AG1397" s="10" t="s">
        <v>114</v>
      </c>
      <c r="AH1397" s="10">
        <v>41276</v>
      </c>
      <c r="AI1397" s="5">
        <v>2</v>
      </c>
      <c r="AJ1397" s="10" t="s">
        <v>7769</v>
      </c>
      <c r="AK1397" s="10" t="s">
        <v>7770</v>
      </c>
    </row>
    <row r="1398" spans="1:37" ht="36.75" customHeight="1" x14ac:dyDescent="0.35">
      <c r="A1398" s="5"/>
      <c r="B1398" s="5" t="s">
        <v>37</v>
      </c>
      <c r="C1398" s="73" t="str">
        <f t="shared" si="21"/>
        <v>Closed</v>
      </c>
      <c r="D1398" s="45" t="s">
        <v>7771</v>
      </c>
      <c r="E1398" s="54" t="s">
        <v>7772</v>
      </c>
      <c r="F1398" s="5" t="s">
        <v>816</v>
      </c>
      <c r="G1398" s="10">
        <f>DATE(2012,7,17)</f>
        <v>41107</v>
      </c>
      <c r="H1398" s="35">
        <v>1.3715277777777777</v>
      </c>
      <c r="I1398" s="5" t="s">
        <v>55</v>
      </c>
      <c r="J1398" s="10" t="s">
        <v>7773</v>
      </c>
      <c r="K1398" s="5" t="s">
        <v>818</v>
      </c>
      <c r="L1398" s="5" t="s">
        <v>7774</v>
      </c>
      <c r="M1398" s="5" t="s">
        <v>236</v>
      </c>
      <c r="N1398" s="5" t="s">
        <v>123</v>
      </c>
      <c r="O1398" s="5" t="s">
        <v>46</v>
      </c>
      <c r="P1398" s="10" t="s">
        <v>6531</v>
      </c>
      <c r="Q1398" s="10" t="s">
        <v>4190</v>
      </c>
      <c r="R1398" s="10" t="s">
        <v>4190</v>
      </c>
      <c r="S1398" s="5">
        <v>0</v>
      </c>
      <c r="T1398" s="37">
        <v>0</v>
      </c>
      <c r="U1398" s="5">
        <v>0</v>
      </c>
      <c r="V1398" s="37">
        <v>0</v>
      </c>
      <c r="W1398" s="5">
        <v>0</v>
      </c>
      <c r="X1398" s="5">
        <v>0</v>
      </c>
      <c r="Y1398" s="5">
        <v>0</v>
      </c>
      <c r="Z1398" s="37">
        <v>0</v>
      </c>
      <c r="AA1398" s="5">
        <v>0</v>
      </c>
      <c r="AB1398" s="5">
        <v>0</v>
      </c>
      <c r="AC1398" s="5">
        <v>0</v>
      </c>
      <c r="AD1398" s="5">
        <v>0</v>
      </c>
      <c r="AE1398" s="10" t="s">
        <v>73</v>
      </c>
      <c r="AF1398" s="10"/>
      <c r="AG1398" s="10" t="s">
        <v>333</v>
      </c>
      <c r="AH1398" s="10">
        <v>41107</v>
      </c>
      <c r="AI1398" s="5">
        <v>2</v>
      </c>
      <c r="AJ1398" s="10" t="s">
        <v>7775</v>
      </c>
      <c r="AK1398" s="10" t="s">
        <v>50</v>
      </c>
    </row>
    <row r="1399" spans="1:37" ht="36.75" customHeight="1" x14ac:dyDescent="0.35">
      <c r="A1399" s="5"/>
      <c r="B1399" s="5" t="s">
        <v>37</v>
      </c>
      <c r="C1399" s="73" t="str">
        <f t="shared" si="21"/>
        <v>Closed</v>
      </c>
      <c r="D1399" s="45" t="s">
        <v>7776</v>
      </c>
      <c r="E1399" s="54" t="s">
        <v>7777</v>
      </c>
      <c r="F1399" s="5" t="s">
        <v>816</v>
      </c>
      <c r="G1399" s="10">
        <f>DATE(2012,7,18)</f>
        <v>41108</v>
      </c>
      <c r="H1399" s="35">
        <v>1.1993055555555556</v>
      </c>
      <c r="I1399" s="5" t="s">
        <v>55</v>
      </c>
      <c r="J1399" s="10" t="s">
        <v>7778</v>
      </c>
      <c r="K1399" s="5" t="s">
        <v>818</v>
      </c>
      <c r="L1399" s="5" t="s">
        <v>7774</v>
      </c>
      <c r="M1399" s="5" t="s">
        <v>236</v>
      </c>
      <c r="N1399" s="5" t="s">
        <v>123</v>
      </c>
      <c r="O1399" s="5" t="s">
        <v>46</v>
      </c>
      <c r="P1399" s="10" t="s">
        <v>6531</v>
      </c>
      <c r="Q1399" s="10" t="s">
        <v>4190</v>
      </c>
      <c r="R1399" s="10" t="s">
        <v>4190</v>
      </c>
      <c r="S1399" s="5">
        <v>0</v>
      </c>
      <c r="T1399" s="37">
        <v>0</v>
      </c>
      <c r="U1399" s="5">
        <v>0</v>
      </c>
      <c r="V1399" s="37">
        <v>0</v>
      </c>
      <c r="W1399" s="5">
        <v>0</v>
      </c>
      <c r="X1399" s="5">
        <v>0</v>
      </c>
      <c r="Y1399" s="5">
        <v>0</v>
      </c>
      <c r="Z1399" s="37">
        <v>0</v>
      </c>
      <c r="AA1399" s="5">
        <v>0</v>
      </c>
      <c r="AB1399" s="5">
        <v>0</v>
      </c>
      <c r="AC1399" s="5">
        <v>0</v>
      </c>
      <c r="AD1399" s="5">
        <v>0</v>
      </c>
      <c r="AE1399" s="10" t="s">
        <v>73</v>
      </c>
      <c r="AF1399" s="10"/>
      <c r="AG1399" s="10" t="s">
        <v>333</v>
      </c>
      <c r="AH1399" s="10">
        <v>41108</v>
      </c>
      <c r="AI1399" s="5">
        <v>0</v>
      </c>
      <c r="AJ1399" s="10" t="s">
        <v>7779</v>
      </c>
      <c r="AK1399" s="10" t="s">
        <v>50</v>
      </c>
    </row>
    <row r="1400" spans="1:37" ht="36.75" customHeight="1" x14ac:dyDescent="0.35">
      <c r="A1400" s="5"/>
      <c r="B1400" s="5" t="s">
        <v>37</v>
      </c>
      <c r="C1400" s="73" t="str">
        <f t="shared" si="21"/>
        <v>Closed</v>
      </c>
      <c r="D1400" s="45" t="s">
        <v>7780</v>
      </c>
      <c r="E1400" s="54" t="s">
        <v>7781</v>
      </c>
      <c r="F1400" s="5" t="s">
        <v>619</v>
      </c>
      <c r="G1400" s="10">
        <f>DATE(2012,7,19)</f>
        <v>41109</v>
      </c>
      <c r="H1400" s="35">
        <v>1.0048611111111112</v>
      </c>
      <c r="I1400" s="5" t="s">
        <v>55</v>
      </c>
      <c r="J1400" s="10" t="s">
        <v>7782</v>
      </c>
      <c r="K1400" s="5" t="s">
        <v>621</v>
      </c>
      <c r="L1400" s="5" t="s">
        <v>7783</v>
      </c>
      <c r="M1400" s="5" t="s">
        <v>45</v>
      </c>
      <c r="N1400" s="5" t="s">
        <v>80</v>
      </c>
      <c r="O1400" s="5" t="s">
        <v>46</v>
      </c>
      <c r="P1400" s="10" t="s">
        <v>60</v>
      </c>
      <c r="Q1400" s="10" t="s">
        <v>4884</v>
      </c>
      <c r="R1400" s="10" t="s">
        <v>624</v>
      </c>
      <c r="S1400" s="5">
        <v>0</v>
      </c>
      <c r="T1400" s="37">
        <v>0</v>
      </c>
      <c r="U1400" s="5">
        <v>0</v>
      </c>
      <c r="V1400" s="37">
        <v>0</v>
      </c>
      <c r="W1400" s="5">
        <v>0</v>
      </c>
      <c r="X1400" s="5">
        <v>0</v>
      </c>
      <c r="Y1400" s="5">
        <v>0</v>
      </c>
      <c r="Z1400" s="37">
        <v>0</v>
      </c>
      <c r="AA1400" s="5">
        <v>0</v>
      </c>
      <c r="AB1400" s="5">
        <v>0</v>
      </c>
      <c r="AC1400" s="5">
        <v>0</v>
      </c>
      <c r="AD1400" s="5">
        <v>0</v>
      </c>
      <c r="AE1400" s="10" t="s">
        <v>375</v>
      </c>
      <c r="AF1400" s="10"/>
      <c r="AG1400" s="10" t="s">
        <v>333</v>
      </c>
      <c r="AH1400" s="10">
        <v>41114</v>
      </c>
      <c r="AI1400" s="5">
        <v>3</v>
      </c>
      <c r="AJ1400" s="10" t="s">
        <v>7784</v>
      </c>
      <c r="AK1400" s="10" t="s">
        <v>7785</v>
      </c>
    </row>
    <row r="1401" spans="1:37" ht="36.75" customHeight="1" x14ac:dyDescent="0.35">
      <c r="A1401" s="5"/>
      <c r="B1401" s="5" t="s">
        <v>37</v>
      </c>
      <c r="C1401" s="73" t="str">
        <f t="shared" si="21"/>
        <v>Closed</v>
      </c>
      <c r="D1401" s="45" t="s">
        <v>7786</v>
      </c>
      <c r="E1401" s="54" t="s">
        <v>7787</v>
      </c>
      <c r="F1401" s="5" t="s">
        <v>605</v>
      </c>
      <c r="G1401" s="10">
        <f>DATE(2012,7,19)</f>
        <v>41109</v>
      </c>
      <c r="H1401" s="35">
        <v>1.4006944444444445</v>
      </c>
      <c r="I1401" s="5" t="s">
        <v>259</v>
      </c>
      <c r="J1401" s="10" t="s">
        <v>7788</v>
      </c>
      <c r="K1401" s="5" t="s">
        <v>607</v>
      </c>
      <c r="L1401" s="5" t="s">
        <v>7789</v>
      </c>
      <c r="M1401" s="5" t="s">
        <v>45</v>
      </c>
      <c r="N1401" s="5" t="s">
        <v>70</v>
      </c>
      <c r="O1401" s="5" t="s">
        <v>59</v>
      </c>
      <c r="P1401" s="10" t="s">
        <v>72</v>
      </c>
      <c r="Q1401" s="10" t="s">
        <v>730</v>
      </c>
      <c r="R1401" s="10" t="s">
        <v>610</v>
      </c>
      <c r="S1401" s="5">
        <v>0</v>
      </c>
      <c r="T1401" s="37">
        <v>1</v>
      </c>
      <c r="U1401" s="5">
        <v>0</v>
      </c>
      <c r="V1401" s="37">
        <v>0</v>
      </c>
      <c r="W1401" s="5">
        <v>0</v>
      </c>
      <c r="X1401" s="5">
        <v>1</v>
      </c>
      <c r="Y1401" s="5">
        <v>0</v>
      </c>
      <c r="Z1401" s="37">
        <v>0</v>
      </c>
      <c r="AA1401" s="5">
        <v>0</v>
      </c>
      <c r="AB1401" s="5">
        <v>0</v>
      </c>
      <c r="AC1401" s="5">
        <v>0</v>
      </c>
      <c r="AD1401" s="5">
        <v>0</v>
      </c>
      <c r="AE1401" s="10" t="s">
        <v>73</v>
      </c>
      <c r="AF1401" s="10"/>
      <c r="AG1401" s="10" t="s">
        <v>64</v>
      </c>
      <c r="AH1401" s="10">
        <v>41113</v>
      </c>
      <c r="AI1401" s="5">
        <v>1</v>
      </c>
      <c r="AJ1401" s="10" t="s">
        <v>7790</v>
      </c>
      <c r="AK1401" s="10" t="s">
        <v>50</v>
      </c>
    </row>
    <row r="1402" spans="1:37" ht="36.75" customHeight="1" x14ac:dyDescent="0.35">
      <c r="A1402" s="5"/>
      <c r="B1402" s="5" t="s">
        <v>37</v>
      </c>
      <c r="C1402" s="73" t="str">
        <f t="shared" si="21"/>
        <v>Closed</v>
      </c>
      <c r="D1402" s="45" t="s">
        <v>7791</v>
      </c>
      <c r="E1402" s="54" t="s">
        <v>7792</v>
      </c>
      <c r="F1402" s="5" t="s">
        <v>816</v>
      </c>
      <c r="G1402" s="10">
        <f>DATE(2012,7,20)</f>
        <v>41110</v>
      </c>
      <c r="H1402" s="35">
        <v>1.3145833333333332</v>
      </c>
      <c r="I1402" s="5" t="s">
        <v>85</v>
      </c>
      <c r="J1402" s="10" t="s">
        <v>7793</v>
      </c>
      <c r="K1402" s="5" t="s">
        <v>818</v>
      </c>
      <c r="L1402" s="5" t="s">
        <v>7794</v>
      </c>
      <c r="M1402" s="5" t="s">
        <v>45</v>
      </c>
      <c r="N1402" s="5" t="s">
        <v>80</v>
      </c>
      <c r="O1402" s="5" t="s">
        <v>46</v>
      </c>
      <c r="P1402" s="10" t="s">
        <v>146</v>
      </c>
      <c r="Q1402" s="10" t="s">
        <v>2142</v>
      </c>
      <c r="R1402" s="10" t="s">
        <v>821</v>
      </c>
      <c r="S1402" s="5">
        <v>0</v>
      </c>
      <c r="T1402" s="37">
        <v>0</v>
      </c>
      <c r="U1402" s="5">
        <v>0</v>
      </c>
      <c r="V1402" s="37">
        <v>0</v>
      </c>
      <c r="W1402" s="5">
        <v>0</v>
      </c>
      <c r="X1402" s="5">
        <v>0</v>
      </c>
      <c r="Y1402" s="5">
        <v>0</v>
      </c>
      <c r="Z1402" s="37">
        <v>0</v>
      </c>
      <c r="AA1402" s="5">
        <v>0</v>
      </c>
      <c r="AB1402" s="5">
        <v>0</v>
      </c>
      <c r="AC1402" s="5">
        <v>0</v>
      </c>
      <c r="AD1402" s="5">
        <v>0</v>
      </c>
      <c r="AE1402" s="10" t="s">
        <v>73</v>
      </c>
      <c r="AF1402" s="10"/>
      <c r="AG1402" s="10" t="s">
        <v>333</v>
      </c>
      <c r="AH1402" s="10">
        <v>41110</v>
      </c>
      <c r="AI1402" s="5">
        <v>3</v>
      </c>
      <c r="AJ1402" s="10" t="s">
        <v>7795</v>
      </c>
      <c r="AK1402" s="10" t="s">
        <v>1215</v>
      </c>
    </row>
    <row r="1403" spans="1:37" ht="36.75" customHeight="1" x14ac:dyDescent="0.35">
      <c r="A1403" s="5"/>
      <c r="B1403" s="5" t="s">
        <v>37</v>
      </c>
      <c r="C1403" s="73" t="str">
        <f t="shared" si="21"/>
        <v>Closed</v>
      </c>
      <c r="D1403" s="45" t="s">
        <v>7796</v>
      </c>
      <c r="E1403" s="54" t="s">
        <v>7797</v>
      </c>
      <c r="F1403" s="5" t="s">
        <v>404</v>
      </c>
      <c r="G1403" s="10">
        <f>DATE(2012,7,23)</f>
        <v>41113</v>
      </c>
      <c r="H1403" s="35">
        <v>1.3819444444444444</v>
      </c>
      <c r="I1403" s="5" t="s">
        <v>137</v>
      </c>
      <c r="J1403" s="10" t="s">
        <v>7798</v>
      </c>
      <c r="K1403" s="5" t="s">
        <v>406</v>
      </c>
      <c r="L1403" s="5" t="s">
        <v>7799</v>
      </c>
      <c r="M1403" s="5" t="s">
        <v>45</v>
      </c>
      <c r="N1403" s="5" t="s">
        <v>80</v>
      </c>
      <c r="O1403" s="5" t="s">
        <v>46</v>
      </c>
      <c r="P1403" s="10" t="s">
        <v>60</v>
      </c>
      <c r="Q1403" s="10" t="s">
        <v>2562</v>
      </c>
      <c r="R1403" s="10" t="s">
        <v>3083</v>
      </c>
      <c r="S1403" s="5">
        <v>0</v>
      </c>
      <c r="T1403" s="37">
        <v>0</v>
      </c>
      <c r="U1403" s="5">
        <v>0</v>
      </c>
      <c r="V1403" s="37">
        <v>0</v>
      </c>
      <c r="W1403" s="5">
        <v>0</v>
      </c>
      <c r="X1403" s="5">
        <v>0</v>
      </c>
      <c r="Y1403" s="5">
        <v>0</v>
      </c>
      <c r="Z1403" s="37">
        <v>0</v>
      </c>
      <c r="AA1403" s="5">
        <v>0</v>
      </c>
      <c r="AB1403" s="5">
        <v>0</v>
      </c>
      <c r="AC1403" s="5">
        <v>0</v>
      </c>
      <c r="AD1403" s="5">
        <v>0</v>
      </c>
      <c r="AE1403" s="10" t="s">
        <v>73</v>
      </c>
      <c r="AF1403" s="10"/>
      <c r="AG1403" s="10" t="s">
        <v>1489</v>
      </c>
      <c r="AH1403" s="10">
        <v>41038</v>
      </c>
      <c r="AI1403" s="5">
        <v>2</v>
      </c>
      <c r="AJ1403" s="10" t="s">
        <v>7800</v>
      </c>
      <c r="AK1403" s="10" t="s">
        <v>7801</v>
      </c>
    </row>
    <row r="1404" spans="1:37" ht="36.75" customHeight="1" x14ac:dyDescent="0.35">
      <c r="A1404" s="5"/>
      <c r="B1404" s="5" t="s">
        <v>37</v>
      </c>
      <c r="C1404" s="73" t="str">
        <f t="shared" si="21"/>
        <v>Closed</v>
      </c>
      <c r="D1404" s="45" t="s">
        <v>7802</v>
      </c>
      <c r="E1404" s="54" t="s">
        <v>7803</v>
      </c>
      <c r="F1404" s="5" t="s">
        <v>563</v>
      </c>
      <c r="G1404" s="10">
        <f>DATE(2012,7,24)</f>
        <v>41114</v>
      </c>
      <c r="H1404" s="35">
        <v>1.4847222222222223</v>
      </c>
      <c r="I1404" s="5" t="s">
        <v>55</v>
      </c>
      <c r="J1404" s="10" t="s">
        <v>7804</v>
      </c>
      <c r="K1404" s="5" t="s">
        <v>565</v>
      </c>
      <c r="L1404" s="5" t="s">
        <v>7805</v>
      </c>
      <c r="M1404" s="5" t="s">
        <v>45</v>
      </c>
      <c r="N1404" s="5" t="s">
        <v>70</v>
      </c>
      <c r="O1404" s="5" t="s">
        <v>59</v>
      </c>
      <c r="P1404" s="10" t="s">
        <v>47</v>
      </c>
      <c r="Q1404" s="10" t="s">
        <v>2002</v>
      </c>
      <c r="R1404" s="10" t="s">
        <v>568</v>
      </c>
      <c r="S1404" s="5">
        <v>0</v>
      </c>
      <c r="T1404" s="37">
        <v>0</v>
      </c>
      <c r="U1404" s="5">
        <v>0</v>
      </c>
      <c r="V1404" s="37">
        <v>0</v>
      </c>
      <c r="W1404" s="5">
        <v>0</v>
      </c>
      <c r="X1404" s="5">
        <v>0</v>
      </c>
      <c r="Y1404" s="5">
        <v>0</v>
      </c>
      <c r="Z1404" s="37">
        <v>0</v>
      </c>
      <c r="AA1404" s="5">
        <v>0</v>
      </c>
      <c r="AB1404" s="5">
        <v>0</v>
      </c>
      <c r="AC1404" s="5">
        <v>0</v>
      </c>
      <c r="AD1404" s="5">
        <v>0</v>
      </c>
      <c r="AE1404" s="10" t="s">
        <v>375</v>
      </c>
      <c r="AF1404" s="10"/>
      <c r="AG1404" s="10" t="s">
        <v>114</v>
      </c>
      <c r="AH1404" s="10">
        <v>41117</v>
      </c>
      <c r="AI1404" s="5">
        <v>2</v>
      </c>
      <c r="AJ1404" s="10" t="s">
        <v>7806</v>
      </c>
      <c r="AK1404" s="10" t="s">
        <v>1215</v>
      </c>
    </row>
    <row r="1405" spans="1:37" ht="36.75" customHeight="1" x14ac:dyDescent="0.35">
      <c r="A1405" s="5"/>
      <c r="B1405" s="5" t="s">
        <v>37</v>
      </c>
      <c r="C1405" s="73" t="str">
        <f t="shared" si="21"/>
        <v>Closed</v>
      </c>
      <c r="D1405" s="45" t="s">
        <v>7807</v>
      </c>
      <c r="E1405" s="54" t="s">
        <v>7808</v>
      </c>
      <c r="F1405" s="5" t="s">
        <v>563</v>
      </c>
      <c r="G1405" s="10">
        <f>DATE(2012,7,25)</f>
        <v>41115</v>
      </c>
      <c r="H1405" s="35">
        <v>1.3854166666666667</v>
      </c>
      <c r="I1405" s="5" t="s">
        <v>55</v>
      </c>
      <c r="J1405" s="10" t="s">
        <v>7809</v>
      </c>
      <c r="K1405" s="5" t="s">
        <v>565</v>
      </c>
      <c r="L1405" s="5" t="s">
        <v>7810</v>
      </c>
      <c r="M1405" s="5" t="s">
        <v>45</v>
      </c>
      <c r="N1405" s="5" t="s">
        <v>70</v>
      </c>
      <c r="O1405" s="5" t="s">
        <v>59</v>
      </c>
      <c r="P1405" s="10" t="s">
        <v>60</v>
      </c>
      <c r="Q1405" s="10" t="s">
        <v>7409</v>
      </c>
      <c r="R1405" s="10" t="s">
        <v>568</v>
      </c>
      <c r="S1405" s="5">
        <v>0</v>
      </c>
      <c r="T1405" s="37">
        <v>0</v>
      </c>
      <c r="U1405" s="5">
        <v>0</v>
      </c>
      <c r="V1405" s="37">
        <v>0</v>
      </c>
      <c r="W1405" s="5">
        <v>0</v>
      </c>
      <c r="X1405" s="5">
        <v>0</v>
      </c>
      <c r="Y1405" s="5">
        <v>0</v>
      </c>
      <c r="Z1405" s="37">
        <v>0</v>
      </c>
      <c r="AA1405" s="5">
        <v>0</v>
      </c>
      <c r="AB1405" s="5">
        <v>0</v>
      </c>
      <c r="AC1405" s="5">
        <v>0</v>
      </c>
      <c r="AD1405" s="5">
        <v>0</v>
      </c>
      <c r="AE1405" s="10" t="s">
        <v>375</v>
      </c>
      <c r="AF1405" s="10"/>
      <c r="AG1405" s="10" t="s">
        <v>114</v>
      </c>
      <c r="AH1405" s="10">
        <v>41117</v>
      </c>
      <c r="AI1405" s="5">
        <v>0</v>
      </c>
      <c r="AJ1405" s="10" t="s">
        <v>7811</v>
      </c>
      <c r="AK1405" s="10" t="s">
        <v>1215</v>
      </c>
    </row>
    <row r="1406" spans="1:37" ht="36.75" customHeight="1" x14ac:dyDescent="0.35">
      <c r="A1406" s="5"/>
      <c r="B1406" s="5" t="s">
        <v>37</v>
      </c>
      <c r="C1406" s="73" t="str">
        <f t="shared" si="21"/>
        <v>Closed</v>
      </c>
      <c r="D1406" s="45" t="s">
        <v>7812</v>
      </c>
      <c r="E1406" s="54" t="s">
        <v>7813</v>
      </c>
      <c r="F1406" s="5" t="s">
        <v>563</v>
      </c>
      <c r="G1406" s="10">
        <f>DATE(2012,7,26)</f>
        <v>41116</v>
      </c>
      <c r="H1406" s="35">
        <v>1.8458333333333332</v>
      </c>
      <c r="I1406" s="5" t="s">
        <v>179</v>
      </c>
      <c r="J1406" s="10" t="s">
        <v>7814</v>
      </c>
      <c r="K1406" s="5" t="s">
        <v>565</v>
      </c>
      <c r="L1406" s="5" t="s">
        <v>7815</v>
      </c>
      <c r="M1406" s="5" t="s">
        <v>45</v>
      </c>
      <c r="N1406" s="5" t="s">
        <v>123</v>
      </c>
      <c r="O1406" s="5" t="s">
        <v>59</v>
      </c>
      <c r="P1406" s="10" t="s">
        <v>60</v>
      </c>
      <c r="Q1406" s="10" t="s">
        <v>7816</v>
      </c>
      <c r="R1406" s="10" t="s">
        <v>568</v>
      </c>
      <c r="S1406" s="5">
        <v>0</v>
      </c>
      <c r="T1406" s="37">
        <v>1</v>
      </c>
      <c r="U1406" s="5">
        <v>0</v>
      </c>
      <c r="V1406" s="37">
        <v>0</v>
      </c>
      <c r="W1406" s="5">
        <v>0</v>
      </c>
      <c r="X1406" s="5">
        <v>1</v>
      </c>
      <c r="Y1406" s="5">
        <v>0</v>
      </c>
      <c r="Z1406" s="37">
        <v>1</v>
      </c>
      <c r="AA1406" s="5">
        <v>0</v>
      </c>
      <c r="AB1406" s="5">
        <v>0</v>
      </c>
      <c r="AC1406" s="5">
        <v>0</v>
      </c>
      <c r="AD1406" s="5">
        <v>1</v>
      </c>
      <c r="AE1406" s="10" t="s">
        <v>126</v>
      </c>
      <c r="AF1406" s="10"/>
      <c r="AG1406" s="10" t="s">
        <v>64</v>
      </c>
      <c r="AH1406" s="10">
        <v>41117</v>
      </c>
      <c r="AI1406" s="5">
        <v>0</v>
      </c>
      <c r="AJ1406" s="10" t="s">
        <v>7817</v>
      </c>
      <c r="AK1406" s="10" t="s">
        <v>1215</v>
      </c>
    </row>
    <row r="1407" spans="1:37" ht="36.75" customHeight="1" x14ac:dyDescent="0.35">
      <c r="A1407" s="5"/>
      <c r="B1407" s="5" t="s">
        <v>37</v>
      </c>
      <c r="C1407" s="73" t="str">
        <f t="shared" si="21"/>
        <v>Closed</v>
      </c>
      <c r="D1407" s="45" t="s">
        <v>7818</v>
      </c>
      <c r="E1407" s="54" t="s">
        <v>7819</v>
      </c>
      <c r="F1407" s="5" t="s">
        <v>619</v>
      </c>
      <c r="G1407" s="10">
        <f>DATE(2012,7,26)</f>
        <v>41116</v>
      </c>
      <c r="H1407" s="35">
        <v>1.59375</v>
      </c>
      <c r="I1407" s="5" t="s">
        <v>85</v>
      </c>
      <c r="J1407" s="10" t="s">
        <v>7820</v>
      </c>
      <c r="K1407" s="5" t="s">
        <v>621</v>
      </c>
      <c r="L1407" s="5" t="s">
        <v>7821</v>
      </c>
      <c r="M1407" s="5" t="s">
        <v>45</v>
      </c>
      <c r="N1407" s="5" t="s">
        <v>123</v>
      </c>
      <c r="O1407" s="5" t="s">
        <v>59</v>
      </c>
      <c r="P1407" s="10" t="s">
        <v>47</v>
      </c>
      <c r="Q1407" s="10" t="s">
        <v>623</v>
      </c>
      <c r="R1407" s="10" t="s">
        <v>624</v>
      </c>
      <c r="S1407" s="5">
        <v>0</v>
      </c>
      <c r="T1407" s="37">
        <v>0</v>
      </c>
      <c r="U1407" s="5">
        <v>0</v>
      </c>
      <c r="V1407" s="37">
        <v>0</v>
      </c>
      <c r="W1407" s="5">
        <v>0</v>
      </c>
      <c r="X1407" s="5">
        <v>0</v>
      </c>
      <c r="Y1407" s="5">
        <v>0</v>
      </c>
      <c r="Z1407" s="37">
        <v>0</v>
      </c>
      <c r="AA1407" s="5">
        <v>0</v>
      </c>
      <c r="AB1407" s="5">
        <v>0</v>
      </c>
      <c r="AC1407" s="5">
        <v>0</v>
      </c>
      <c r="AD1407" s="5">
        <v>0</v>
      </c>
      <c r="AE1407" s="10" t="s">
        <v>73</v>
      </c>
      <c r="AF1407" s="10"/>
      <c r="AG1407" s="10" t="s">
        <v>333</v>
      </c>
      <c r="AH1407" s="10">
        <v>41177</v>
      </c>
      <c r="AI1407" s="5">
        <v>0</v>
      </c>
      <c r="AJ1407" s="10" t="s">
        <v>7822</v>
      </c>
      <c r="AK1407" s="10" t="s">
        <v>50</v>
      </c>
    </row>
    <row r="1408" spans="1:37" ht="36.75" customHeight="1" x14ac:dyDescent="0.35">
      <c r="A1408" s="5"/>
      <c r="B1408" s="5" t="s">
        <v>37</v>
      </c>
      <c r="C1408" s="73" t="str">
        <f t="shared" si="21"/>
        <v>Closed</v>
      </c>
      <c r="D1408" s="45" t="s">
        <v>7823</v>
      </c>
      <c r="E1408" s="54" t="s">
        <v>7824</v>
      </c>
      <c r="F1408" s="5" t="s">
        <v>404</v>
      </c>
      <c r="G1408" s="10">
        <f>DATE(2012,7,28)</f>
        <v>41118</v>
      </c>
      <c r="H1408" s="35">
        <v>1.2319444444444445</v>
      </c>
      <c r="I1408" s="5" t="s">
        <v>97</v>
      </c>
      <c r="J1408" s="10" t="s">
        <v>7825</v>
      </c>
      <c r="K1408" s="5" t="s">
        <v>406</v>
      </c>
      <c r="L1408" s="5" t="s">
        <v>7826</v>
      </c>
      <c r="M1408" s="5" t="s">
        <v>45</v>
      </c>
      <c r="N1408" s="5" t="s">
        <v>80</v>
      </c>
      <c r="O1408" s="5" t="s">
        <v>6854</v>
      </c>
      <c r="P1408" s="10" t="s">
        <v>60</v>
      </c>
      <c r="Q1408" s="10" t="s">
        <v>2562</v>
      </c>
      <c r="R1408" s="10" t="s">
        <v>7827</v>
      </c>
      <c r="S1408" s="5">
        <v>0</v>
      </c>
      <c r="T1408" s="37">
        <v>0</v>
      </c>
      <c r="U1408" s="5">
        <v>1</v>
      </c>
      <c r="V1408" s="37">
        <v>0</v>
      </c>
      <c r="W1408" s="5">
        <v>0</v>
      </c>
      <c r="X1408" s="5">
        <v>1</v>
      </c>
      <c r="Y1408" s="5">
        <v>0</v>
      </c>
      <c r="Z1408" s="37">
        <v>0</v>
      </c>
      <c r="AA1408" s="5">
        <v>0</v>
      </c>
      <c r="AB1408" s="5">
        <v>0</v>
      </c>
      <c r="AC1408" s="5">
        <v>0</v>
      </c>
      <c r="AD1408" s="5">
        <v>0</v>
      </c>
      <c r="AE1408" s="10" t="s">
        <v>73</v>
      </c>
      <c r="AF1408" s="10"/>
      <c r="AG1408" s="10" t="s">
        <v>114</v>
      </c>
      <c r="AH1408" s="10">
        <v>41141</v>
      </c>
      <c r="AI1408" s="5">
        <v>3</v>
      </c>
      <c r="AJ1408" s="10" t="s">
        <v>7828</v>
      </c>
      <c r="AK1408" s="10" t="s">
        <v>7829</v>
      </c>
    </row>
    <row r="1409" spans="1:37" ht="36.75" customHeight="1" x14ac:dyDescent="0.35">
      <c r="A1409" s="5"/>
      <c r="B1409" s="5" t="s">
        <v>37</v>
      </c>
      <c r="C1409" s="73" t="str">
        <f t="shared" si="21"/>
        <v>Closed</v>
      </c>
      <c r="D1409" s="45" t="s">
        <v>7830</v>
      </c>
      <c r="E1409" s="54" t="s">
        <v>7831</v>
      </c>
      <c r="F1409" s="5" t="s">
        <v>178</v>
      </c>
      <c r="G1409" s="10">
        <f>DATE(2012,7,31)</f>
        <v>41121</v>
      </c>
      <c r="H1409" s="35">
        <v>1.7888888888888888</v>
      </c>
      <c r="I1409" s="5" t="s">
        <v>97</v>
      </c>
      <c r="J1409" s="10" t="s">
        <v>7832</v>
      </c>
      <c r="K1409" s="5" t="s">
        <v>181</v>
      </c>
      <c r="L1409" s="5" t="s">
        <v>7833</v>
      </c>
      <c r="M1409" s="5" t="s">
        <v>45</v>
      </c>
      <c r="N1409" s="5" t="s">
        <v>80</v>
      </c>
      <c r="O1409" s="5" t="s">
        <v>46</v>
      </c>
      <c r="P1409" s="10" t="s">
        <v>146</v>
      </c>
      <c r="Q1409" s="10" t="s">
        <v>183</v>
      </c>
      <c r="R1409" s="10" t="s">
        <v>184</v>
      </c>
      <c r="S1409" s="5">
        <v>0</v>
      </c>
      <c r="T1409" s="37">
        <v>0</v>
      </c>
      <c r="U1409" s="5">
        <v>1</v>
      </c>
      <c r="V1409" s="37">
        <v>0</v>
      </c>
      <c r="W1409" s="5">
        <v>0</v>
      </c>
      <c r="X1409" s="5">
        <v>1</v>
      </c>
      <c r="Y1409" s="5">
        <v>0</v>
      </c>
      <c r="Z1409" s="37">
        <v>0</v>
      </c>
      <c r="AA1409" s="5">
        <v>0</v>
      </c>
      <c r="AB1409" s="5">
        <v>0</v>
      </c>
      <c r="AC1409" s="5">
        <v>0</v>
      </c>
      <c r="AD1409" s="5">
        <v>0</v>
      </c>
      <c r="AE1409" s="10" t="s">
        <v>73</v>
      </c>
      <c r="AF1409" s="10"/>
      <c r="AG1409" s="10" t="s">
        <v>64</v>
      </c>
      <c r="AH1409" s="10">
        <v>41122</v>
      </c>
      <c r="AI1409" s="5">
        <v>3</v>
      </c>
      <c r="AJ1409" s="10" t="s">
        <v>7834</v>
      </c>
      <c r="AK1409" s="10" t="s">
        <v>1215</v>
      </c>
    </row>
    <row r="1410" spans="1:37" ht="36.75" customHeight="1" x14ac:dyDescent="0.35">
      <c r="A1410" s="5"/>
      <c r="B1410" s="5" t="s">
        <v>37</v>
      </c>
      <c r="C1410" s="73" t="str">
        <f t="shared" ref="C1410:C1473" si="22">IF(B1410="Notification","Open",IF(B1410="Interim Statement","In progress","Closed"))</f>
        <v>Closed</v>
      </c>
      <c r="D1410" s="45" t="s">
        <v>7835</v>
      </c>
      <c r="E1410" s="54" t="s">
        <v>7836</v>
      </c>
      <c r="F1410" s="5" t="s">
        <v>1553</v>
      </c>
      <c r="G1410" s="10">
        <f>DATE(2012,8,2)</f>
        <v>41123</v>
      </c>
      <c r="H1410" s="35">
        <v>1.5486111111111112</v>
      </c>
      <c r="I1410" s="5" t="s">
        <v>106</v>
      </c>
      <c r="J1410" s="10" t="s">
        <v>7837</v>
      </c>
      <c r="K1410" s="5" t="s">
        <v>1555</v>
      </c>
      <c r="L1410" s="5" t="s">
        <v>7838</v>
      </c>
      <c r="M1410" s="5" t="s">
        <v>45</v>
      </c>
      <c r="N1410" s="5" t="s">
        <v>80</v>
      </c>
      <c r="O1410" s="5" t="s">
        <v>46</v>
      </c>
      <c r="P1410" s="10" t="s">
        <v>282</v>
      </c>
      <c r="Q1410" s="10" t="s">
        <v>6413</v>
      </c>
      <c r="R1410" s="10">
        <v>0</v>
      </c>
      <c r="S1410" s="5">
        <v>0</v>
      </c>
      <c r="T1410" s="37">
        <v>0</v>
      </c>
      <c r="U1410" s="5">
        <v>0</v>
      </c>
      <c r="V1410" s="37">
        <v>0</v>
      </c>
      <c r="W1410" s="5">
        <v>0</v>
      </c>
      <c r="X1410" s="5">
        <v>0</v>
      </c>
      <c r="Y1410" s="5">
        <v>0</v>
      </c>
      <c r="Z1410" s="37">
        <v>0</v>
      </c>
      <c r="AA1410" s="5">
        <v>0</v>
      </c>
      <c r="AB1410" s="5">
        <v>0</v>
      </c>
      <c r="AC1410" s="5">
        <v>0</v>
      </c>
      <c r="AD1410" s="5">
        <v>0</v>
      </c>
      <c r="AE1410" s="10" t="s">
        <v>73</v>
      </c>
      <c r="AF1410" s="10"/>
      <c r="AG1410" s="10" t="s">
        <v>114</v>
      </c>
      <c r="AH1410" s="10">
        <v>41124</v>
      </c>
      <c r="AI1410" s="5">
        <v>0</v>
      </c>
      <c r="AJ1410" s="10" t="s">
        <v>7839</v>
      </c>
      <c r="AK1410" s="10" t="s">
        <v>7840</v>
      </c>
    </row>
    <row r="1411" spans="1:37" ht="36.75" customHeight="1" x14ac:dyDescent="0.35">
      <c r="A1411" s="5"/>
      <c r="B1411" s="5" t="s">
        <v>37</v>
      </c>
      <c r="C1411" s="73" t="str">
        <f t="shared" si="22"/>
        <v>Closed</v>
      </c>
      <c r="D1411" s="45" t="s">
        <v>7841</v>
      </c>
      <c r="E1411" s="54" t="s">
        <v>7842</v>
      </c>
      <c r="F1411" s="5" t="s">
        <v>214</v>
      </c>
      <c r="G1411" s="10">
        <f>DATE(2012,8,6)</f>
        <v>41127</v>
      </c>
      <c r="H1411" s="35">
        <v>1.3923611111111112</v>
      </c>
      <c r="I1411" s="5" t="s">
        <v>259</v>
      </c>
      <c r="J1411" s="10" t="s">
        <v>7843</v>
      </c>
      <c r="K1411" s="5" t="s">
        <v>216</v>
      </c>
      <c r="L1411" s="5" t="s">
        <v>7844</v>
      </c>
      <c r="M1411" s="5" t="s">
        <v>45</v>
      </c>
      <c r="N1411" s="5" t="s">
        <v>80</v>
      </c>
      <c r="O1411" s="5" t="s">
        <v>46</v>
      </c>
      <c r="P1411" s="10" t="s">
        <v>146</v>
      </c>
      <c r="Q1411" s="10" t="s">
        <v>2518</v>
      </c>
      <c r="R1411" s="10" t="s">
        <v>219</v>
      </c>
      <c r="S1411" s="5">
        <v>0</v>
      </c>
      <c r="T1411" s="37">
        <v>0</v>
      </c>
      <c r="U1411" s="5">
        <v>0</v>
      </c>
      <c r="V1411" s="37">
        <v>0</v>
      </c>
      <c r="W1411" s="5">
        <v>0</v>
      </c>
      <c r="X1411" s="5">
        <v>0</v>
      </c>
      <c r="Y1411" s="5">
        <v>0</v>
      </c>
      <c r="Z1411" s="37">
        <v>1</v>
      </c>
      <c r="AA1411" s="5">
        <v>0</v>
      </c>
      <c r="AB1411" s="5">
        <v>0</v>
      </c>
      <c r="AC1411" s="5">
        <v>0</v>
      </c>
      <c r="AD1411" s="5">
        <v>1</v>
      </c>
      <c r="AE1411" s="10" t="s">
        <v>73</v>
      </c>
      <c r="AF1411" s="10"/>
      <c r="AG1411" s="10" t="s">
        <v>114</v>
      </c>
      <c r="AH1411" s="10">
        <v>41135</v>
      </c>
      <c r="AI1411" s="5">
        <v>5</v>
      </c>
      <c r="AJ1411" s="10" t="s">
        <v>7845</v>
      </c>
      <c r="AK1411" s="10" t="s">
        <v>7846</v>
      </c>
    </row>
    <row r="1412" spans="1:37" ht="36.75" customHeight="1" x14ac:dyDescent="0.35">
      <c r="A1412" s="5"/>
      <c r="B1412" s="5" t="s">
        <v>37</v>
      </c>
      <c r="C1412" s="73" t="str">
        <f t="shared" si="22"/>
        <v>Closed</v>
      </c>
      <c r="D1412" s="45" t="s">
        <v>7847</v>
      </c>
      <c r="E1412" s="54" t="s">
        <v>7848</v>
      </c>
      <c r="F1412" s="5" t="s">
        <v>816</v>
      </c>
      <c r="G1412" s="10">
        <f>DATE(2012,8,7)</f>
        <v>41128</v>
      </c>
      <c r="H1412" s="35">
        <v>1.3194444444444444</v>
      </c>
      <c r="I1412" s="5" t="s">
        <v>97</v>
      </c>
      <c r="J1412" s="10" t="s">
        <v>7849</v>
      </c>
      <c r="K1412" s="5" t="s">
        <v>818</v>
      </c>
      <c r="L1412" s="5" t="s">
        <v>7850</v>
      </c>
      <c r="M1412" s="5" t="s">
        <v>45</v>
      </c>
      <c r="N1412" s="5" t="s">
        <v>80</v>
      </c>
      <c r="O1412" s="5" t="s">
        <v>46</v>
      </c>
      <c r="P1412" s="10" t="s">
        <v>146</v>
      </c>
      <c r="Q1412" s="10" t="s">
        <v>2776</v>
      </c>
      <c r="R1412" s="10" t="s">
        <v>2777</v>
      </c>
      <c r="S1412" s="5">
        <v>0</v>
      </c>
      <c r="T1412" s="37">
        <v>0</v>
      </c>
      <c r="U1412" s="5">
        <v>0</v>
      </c>
      <c r="V1412" s="37">
        <v>0</v>
      </c>
      <c r="W1412" s="5">
        <v>0</v>
      </c>
      <c r="X1412" s="5">
        <v>0</v>
      </c>
      <c r="Y1412" s="5">
        <v>1</v>
      </c>
      <c r="Z1412" s="37">
        <v>0</v>
      </c>
      <c r="AA1412" s="5">
        <v>1</v>
      </c>
      <c r="AB1412" s="5">
        <v>0</v>
      </c>
      <c r="AC1412" s="5">
        <v>0</v>
      </c>
      <c r="AD1412" s="5">
        <v>2</v>
      </c>
      <c r="AE1412" s="10" t="s">
        <v>73</v>
      </c>
      <c r="AF1412" s="10"/>
      <c r="AG1412" s="10" t="s">
        <v>333</v>
      </c>
      <c r="AH1412" s="10">
        <v>41128</v>
      </c>
      <c r="AI1412" s="5">
        <v>1</v>
      </c>
      <c r="AJ1412" s="10" t="s">
        <v>7851</v>
      </c>
      <c r="AK1412" s="10" t="s">
        <v>7852</v>
      </c>
    </row>
    <row r="1413" spans="1:37" ht="36.75" customHeight="1" x14ac:dyDescent="0.35">
      <c r="A1413" s="5"/>
      <c r="B1413" s="5" t="s">
        <v>37</v>
      </c>
      <c r="C1413" s="73" t="str">
        <f t="shared" si="22"/>
        <v>Closed</v>
      </c>
      <c r="D1413" s="45" t="s">
        <v>7853</v>
      </c>
      <c r="E1413" s="54" t="s">
        <v>7854</v>
      </c>
      <c r="F1413" s="5" t="s">
        <v>214</v>
      </c>
      <c r="G1413" s="10">
        <f>DATE(2012,8,10)</f>
        <v>41131</v>
      </c>
      <c r="H1413" s="35">
        <v>1.1979166666666667</v>
      </c>
      <c r="I1413" s="5" t="s">
        <v>179</v>
      </c>
      <c r="J1413" s="10" t="s">
        <v>7855</v>
      </c>
      <c r="K1413" s="5" t="s">
        <v>216</v>
      </c>
      <c r="L1413" s="5" t="s">
        <v>7856</v>
      </c>
      <c r="M1413" s="5" t="s">
        <v>45</v>
      </c>
      <c r="N1413" s="5" t="s">
        <v>123</v>
      </c>
      <c r="O1413" s="5" t="s">
        <v>46</v>
      </c>
      <c r="P1413" s="10" t="s">
        <v>282</v>
      </c>
      <c r="Q1413" s="10" t="s">
        <v>7857</v>
      </c>
      <c r="R1413" s="10" t="s">
        <v>219</v>
      </c>
      <c r="S1413" s="5">
        <v>0</v>
      </c>
      <c r="T1413" s="37">
        <v>0</v>
      </c>
      <c r="U1413" s="5">
        <v>0</v>
      </c>
      <c r="V1413" s="37">
        <v>0</v>
      </c>
      <c r="W1413" s="5">
        <v>0</v>
      </c>
      <c r="X1413" s="5">
        <v>0</v>
      </c>
      <c r="Y1413" s="5">
        <v>0</v>
      </c>
      <c r="Z1413" s="37">
        <v>0</v>
      </c>
      <c r="AA1413" s="5">
        <v>0</v>
      </c>
      <c r="AB1413" s="5">
        <v>0</v>
      </c>
      <c r="AC1413" s="5">
        <v>0</v>
      </c>
      <c r="AD1413" s="5">
        <v>0</v>
      </c>
      <c r="AE1413" s="10" t="s">
        <v>375</v>
      </c>
      <c r="AF1413" s="10"/>
      <c r="AG1413" s="10" t="s">
        <v>114</v>
      </c>
      <c r="AH1413" s="10">
        <v>41135</v>
      </c>
      <c r="AI1413" s="5">
        <v>3</v>
      </c>
      <c r="AJ1413" s="10" t="s">
        <v>7858</v>
      </c>
      <c r="AK1413" s="10" t="s">
        <v>7859</v>
      </c>
    </row>
    <row r="1414" spans="1:37" ht="36.75" customHeight="1" x14ac:dyDescent="0.35">
      <c r="A1414" s="5"/>
      <c r="B1414" s="5" t="s">
        <v>37</v>
      </c>
      <c r="C1414" s="73" t="str">
        <f t="shared" si="22"/>
        <v>Closed</v>
      </c>
      <c r="D1414" s="45" t="s">
        <v>7860</v>
      </c>
      <c r="E1414" s="54" t="s">
        <v>7861</v>
      </c>
      <c r="F1414" s="5" t="s">
        <v>816</v>
      </c>
      <c r="G1414" s="10">
        <f>DATE(2012,8,14)</f>
        <v>41135</v>
      </c>
      <c r="H1414" s="35">
        <v>1.3701388888888888</v>
      </c>
      <c r="I1414" s="5" t="s">
        <v>55</v>
      </c>
      <c r="J1414" s="10" t="s">
        <v>7862</v>
      </c>
      <c r="K1414" s="5" t="s">
        <v>818</v>
      </c>
      <c r="L1414" s="5" t="s">
        <v>7863</v>
      </c>
      <c r="M1414" s="5" t="s">
        <v>45</v>
      </c>
      <c r="N1414" s="5" t="s">
        <v>123</v>
      </c>
      <c r="O1414" s="5" t="s">
        <v>59</v>
      </c>
      <c r="P1414" s="10" t="s">
        <v>60</v>
      </c>
      <c r="Q1414" s="10" t="s">
        <v>7864</v>
      </c>
      <c r="R1414" s="10" t="s">
        <v>821</v>
      </c>
      <c r="S1414" s="5">
        <v>0</v>
      </c>
      <c r="T1414" s="37">
        <v>0</v>
      </c>
      <c r="U1414" s="5">
        <v>0</v>
      </c>
      <c r="V1414" s="37">
        <v>0</v>
      </c>
      <c r="W1414" s="5">
        <v>0</v>
      </c>
      <c r="X1414" s="5">
        <v>0</v>
      </c>
      <c r="Y1414" s="5">
        <v>0</v>
      </c>
      <c r="Z1414" s="37">
        <v>0</v>
      </c>
      <c r="AA1414" s="5">
        <v>0</v>
      </c>
      <c r="AB1414" s="5">
        <v>0</v>
      </c>
      <c r="AC1414" s="5">
        <v>0</v>
      </c>
      <c r="AD1414" s="5">
        <v>0</v>
      </c>
      <c r="AE1414" s="10" t="s">
        <v>73</v>
      </c>
      <c r="AF1414" s="10"/>
      <c r="AG1414" s="10" t="s">
        <v>333</v>
      </c>
      <c r="AH1414" s="10">
        <v>41501</v>
      </c>
      <c r="AI1414" s="5">
        <v>0</v>
      </c>
      <c r="AJ1414" s="10" t="s">
        <v>7865</v>
      </c>
      <c r="AK1414" s="10" t="s">
        <v>1215</v>
      </c>
    </row>
    <row r="1415" spans="1:37" ht="36.75" customHeight="1" x14ac:dyDescent="0.35">
      <c r="A1415" s="5"/>
      <c r="B1415" s="5" t="s">
        <v>37</v>
      </c>
      <c r="C1415" s="73" t="str">
        <f t="shared" si="22"/>
        <v>Closed</v>
      </c>
      <c r="D1415" s="45" t="s">
        <v>7866</v>
      </c>
      <c r="E1415" s="54" t="s">
        <v>7867</v>
      </c>
      <c r="F1415" s="5" t="s">
        <v>1553</v>
      </c>
      <c r="G1415" s="10">
        <f>DATE(2012,8,19)</f>
        <v>41140</v>
      </c>
      <c r="H1415" s="35">
        <v>1.6944444444444446</v>
      </c>
      <c r="I1415" s="5" t="s">
        <v>55</v>
      </c>
      <c r="J1415" s="10" t="s">
        <v>7868</v>
      </c>
      <c r="K1415" s="5" t="s">
        <v>1555</v>
      </c>
      <c r="L1415" s="5" t="s">
        <v>7869</v>
      </c>
      <c r="M1415" s="5" t="s">
        <v>45</v>
      </c>
      <c r="N1415" s="5" t="s">
        <v>80</v>
      </c>
      <c r="O1415" s="5" t="s">
        <v>46</v>
      </c>
      <c r="P1415" s="10"/>
      <c r="Q1415" s="10" t="s">
        <v>5598</v>
      </c>
      <c r="R1415" s="10" t="s">
        <v>7870</v>
      </c>
      <c r="S1415" s="5">
        <v>0</v>
      </c>
      <c r="T1415" s="37">
        <v>0</v>
      </c>
      <c r="U1415" s="5">
        <v>0</v>
      </c>
      <c r="V1415" s="37">
        <v>0</v>
      </c>
      <c r="W1415" s="5">
        <v>0</v>
      </c>
      <c r="X1415" s="5">
        <v>0</v>
      </c>
      <c r="Y1415" s="5">
        <v>0</v>
      </c>
      <c r="Z1415" s="37">
        <v>0</v>
      </c>
      <c r="AA1415" s="5">
        <v>0</v>
      </c>
      <c r="AB1415" s="5">
        <v>0</v>
      </c>
      <c r="AC1415" s="5">
        <v>0</v>
      </c>
      <c r="AD1415" s="5">
        <v>0</v>
      </c>
      <c r="AE1415" s="10" t="s">
        <v>73</v>
      </c>
      <c r="AF1415" s="10"/>
      <c r="AG1415" s="10" t="s">
        <v>114</v>
      </c>
      <c r="AH1415" s="10">
        <v>41141</v>
      </c>
      <c r="AI1415" s="5">
        <v>0</v>
      </c>
      <c r="AJ1415" s="10" t="s">
        <v>7871</v>
      </c>
      <c r="AK1415" s="10" t="s">
        <v>50</v>
      </c>
    </row>
    <row r="1416" spans="1:37" ht="36.75" customHeight="1" x14ac:dyDescent="0.35">
      <c r="A1416" s="5"/>
      <c r="B1416" s="5" t="s">
        <v>37</v>
      </c>
      <c r="C1416" s="73" t="str">
        <f t="shared" si="22"/>
        <v>Closed</v>
      </c>
      <c r="D1416" s="45" t="s">
        <v>7872</v>
      </c>
      <c r="E1416" s="54" t="s">
        <v>7873</v>
      </c>
      <c r="F1416" s="5" t="s">
        <v>563</v>
      </c>
      <c r="G1416" s="10">
        <f>DATE(2012,8,21)</f>
        <v>41142</v>
      </c>
      <c r="H1416" s="35">
        <v>1.4875</v>
      </c>
      <c r="I1416" s="5" t="s">
        <v>55</v>
      </c>
      <c r="J1416" s="10" t="s">
        <v>7874</v>
      </c>
      <c r="K1416" s="5" t="s">
        <v>565</v>
      </c>
      <c r="L1416" s="5" t="s">
        <v>7875</v>
      </c>
      <c r="M1416" s="5" t="s">
        <v>45</v>
      </c>
      <c r="N1416" s="5" t="s">
        <v>123</v>
      </c>
      <c r="O1416" s="5" t="s">
        <v>59</v>
      </c>
      <c r="P1416" s="10" t="s">
        <v>146</v>
      </c>
      <c r="Q1416" s="10" t="s">
        <v>1283</v>
      </c>
      <c r="R1416" s="10" t="s">
        <v>1283</v>
      </c>
      <c r="S1416" s="5">
        <v>0</v>
      </c>
      <c r="T1416" s="37">
        <v>0</v>
      </c>
      <c r="U1416" s="5">
        <v>0</v>
      </c>
      <c r="V1416" s="37">
        <v>0</v>
      </c>
      <c r="W1416" s="5">
        <v>0</v>
      </c>
      <c r="X1416" s="5">
        <v>0</v>
      </c>
      <c r="Y1416" s="5">
        <v>0</v>
      </c>
      <c r="Z1416" s="37">
        <v>0</v>
      </c>
      <c r="AA1416" s="5">
        <v>0</v>
      </c>
      <c r="AB1416" s="5">
        <v>0</v>
      </c>
      <c r="AC1416" s="5">
        <v>0</v>
      </c>
      <c r="AD1416" s="5">
        <v>0</v>
      </c>
      <c r="AE1416" s="10" t="s">
        <v>375</v>
      </c>
      <c r="AF1416" s="10"/>
      <c r="AG1416" s="10" t="s">
        <v>114</v>
      </c>
      <c r="AH1416" s="10">
        <v>41143</v>
      </c>
      <c r="AI1416" s="5">
        <v>0</v>
      </c>
      <c r="AJ1416" s="10" t="s">
        <v>7876</v>
      </c>
      <c r="AK1416" s="10" t="s">
        <v>1215</v>
      </c>
    </row>
    <row r="1417" spans="1:37" ht="36.75" customHeight="1" x14ac:dyDescent="0.35">
      <c r="A1417" s="5"/>
      <c r="B1417" s="5" t="s">
        <v>37</v>
      </c>
      <c r="C1417" s="73" t="str">
        <f t="shared" si="22"/>
        <v>Closed</v>
      </c>
      <c r="D1417" s="45" t="s">
        <v>7877</v>
      </c>
      <c r="E1417" s="54" t="s">
        <v>7878</v>
      </c>
      <c r="F1417" s="5" t="s">
        <v>105</v>
      </c>
      <c r="G1417" s="10">
        <f>DATE(2012,8,21)</f>
        <v>41142</v>
      </c>
      <c r="H1417" s="35">
        <v>1.6277777777777778</v>
      </c>
      <c r="I1417" s="5" t="s">
        <v>2398</v>
      </c>
      <c r="J1417" s="10" t="s">
        <v>7879</v>
      </c>
      <c r="K1417" s="5" t="s">
        <v>108</v>
      </c>
      <c r="L1417" s="5" t="s">
        <v>7880</v>
      </c>
      <c r="M1417" s="5" t="s">
        <v>45</v>
      </c>
      <c r="N1417" s="5" t="s">
        <v>80</v>
      </c>
      <c r="O1417" s="5" t="s">
        <v>46</v>
      </c>
      <c r="P1417" s="10" t="s">
        <v>146</v>
      </c>
      <c r="Q1417" s="10" t="s">
        <v>210</v>
      </c>
      <c r="R1417" s="10" t="s">
        <v>148</v>
      </c>
      <c r="S1417" s="5">
        <v>0</v>
      </c>
      <c r="T1417" s="37">
        <v>0</v>
      </c>
      <c r="U1417" s="5">
        <v>0</v>
      </c>
      <c r="V1417" s="37">
        <v>0</v>
      </c>
      <c r="W1417" s="5">
        <v>0</v>
      </c>
      <c r="X1417" s="5">
        <v>0</v>
      </c>
      <c r="Y1417" s="5">
        <v>0</v>
      </c>
      <c r="Z1417" s="37">
        <v>0</v>
      </c>
      <c r="AA1417" s="5">
        <v>0</v>
      </c>
      <c r="AB1417" s="5">
        <v>0</v>
      </c>
      <c r="AC1417" s="5">
        <v>0</v>
      </c>
      <c r="AD1417" s="5">
        <v>0</v>
      </c>
      <c r="AE1417" s="10" t="s">
        <v>73</v>
      </c>
      <c r="AF1417" s="10"/>
      <c r="AG1417" s="10" t="s">
        <v>114</v>
      </c>
      <c r="AH1417" s="10">
        <v>41149</v>
      </c>
      <c r="AI1417" s="5">
        <v>1</v>
      </c>
      <c r="AJ1417" s="10" t="s">
        <v>7881</v>
      </c>
      <c r="AK1417" s="10" t="s">
        <v>50</v>
      </c>
    </row>
    <row r="1418" spans="1:37" ht="36.75" customHeight="1" x14ac:dyDescent="0.35">
      <c r="A1418" s="5"/>
      <c r="B1418" s="5" t="s">
        <v>37</v>
      </c>
      <c r="C1418" s="73" t="str">
        <f t="shared" si="22"/>
        <v>Closed</v>
      </c>
      <c r="D1418" s="45" t="s">
        <v>7882</v>
      </c>
      <c r="E1418" s="54" t="s">
        <v>7883</v>
      </c>
      <c r="F1418" s="5" t="s">
        <v>178</v>
      </c>
      <c r="G1418" s="10">
        <f>DATE(2012,8,22)</f>
        <v>41143</v>
      </c>
      <c r="H1418" s="35">
        <v>1.8381944444444445</v>
      </c>
      <c r="I1418" s="5" t="s">
        <v>5473</v>
      </c>
      <c r="J1418" s="10" t="s">
        <v>7884</v>
      </c>
      <c r="K1418" s="5" t="s">
        <v>181</v>
      </c>
      <c r="L1418" s="5" t="s">
        <v>7885</v>
      </c>
      <c r="M1418" s="5" t="s">
        <v>45</v>
      </c>
      <c r="N1418" s="5" t="s">
        <v>123</v>
      </c>
      <c r="O1418" s="5" t="s">
        <v>71</v>
      </c>
      <c r="P1418" s="10" t="s">
        <v>72</v>
      </c>
      <c r="Q1418" s="10">
        <v>0</v>
      </c>
      <c r="R1418" s="10">
        <v>0</v>
      </c>
      <c r="S1418" s="5">
        <v>0</v>
      </c>
      <c r="T1418" s="37">
        <v>0</v>
      </c>
      <c r="U1418" s="5">
        <v>0</v>
      </c>
      <c r="V1418" s="37">
        <v>0</v>
      </c>
      <c r="W1418" s="5">
        <v>0</v>
      </c>
      <c r="X1418" s="5">
        <v>0</v>
      </c>
      <c r="Y1418" s="5">
        <v>0</v>
      </c>
      <c r="Z1418" s="37">
        <v>0</v>
      </c>
      <c r="AA1418" s="5">
        <v>0</v>
      </c>
      <c r="AB1418" s="5">
        <v>0</v>
      </c>
      <c r="AC1418" s="5">
        <v>0</v>
      </c>
      <c r="AD1418" s="5">
        <v>0</v>
      </c>
      <c r="AE1418" s="10" t="s">
        <v>73</v>
      </c>
      <c r="AF1418" s="10"/>
      <c r="AG1418" s="10" t="s">
        <v>1489</v>
      </c>
      <c r="AH1418" s="10">
        <v>41288</v>
      </c>
      <c r="AI1418" s="5">
        <v>5</v>
      </c>
      <c r="AJ1418" s="10" t="s">
        <v>7886</v>
      </c>
      <c r="AK1418" s="10" t="s">
        <v>1215</v>
      </c>
    </row>
    <row r="1419" spans="1:37" ht="36.75" customHeight="1" x14ac:dyDescent="0.35">
      <c r="A1419" s="5"/>
      <c r="B1419" s="5" t="s">
        <v>37</v>
      </c>
      <c r="C1419" s="73" t="str">
        <f t="shared" si="22"/>
        <v>Closed</v>
      </c>
      <c r="D1419" s="45" t="s">
        <v>7887</v>
      </c>
      <c r="E1419" s="54" t="s">
        <v>7888</v>
      </c>
      <c r="F1419" s="5" t="s">
        <v>404</v>
      </c>
      <c r="G1419" s="10">
        <f>DATE(2012,8,26)</f>
        <v>41147</v>
      </c>
      <c r="H1419" s="35">
        <v>1.445138888888889</v>
      </c>
      <c r="I1419" s="5" t="s">
        <v>137</v>
      </c>
      <c r="J1419" s="10" t="s">
        <v>7889</v>
      </c>
      <c r="K1419" s="5" t="s">
        <v>406</v>
      </c>
      <c r="L1419" s="5" t="s">
        <v>7890</v>
      </c>
      <c r="M1419" s="5" t="s">
        <v>45</v>
      </c>
      <c r="N1419" s="5" t="s">
        <v>80</v>
      </c>
      <c r="O1419" s="5" t="s">
        <v>46</v>
      </c>
      <c r="P1419" s="10" t="s">
        <v>146</v>
      </c>
      <c r="Q1419" s="10" t="s">
        <v>408</v>
      </c>
      <c r="R1419" s="10" t="s">
        <v>3083</v>
      </c>
      <c r="S1419" s="5">
        <v>0</v>
      </c>
      <c r="T1419" s="37">
        <v>0</v>
      </c>
      <c r="U1419" s="5">
        <v>0</v>
      </c>
      <c r="V1419" s="37">
        <v>0</v>
      </c>
      <c r="W1419" s="5">
        <v>0</v>
      </c>
      <c r="X1419" s="5">
        <v>0</v>
      </c>
      <c r="Y1419" s="5">
        <v>0</v>
      </c>
      <c r="Z1419" s="37">
        <v>0</v>
      </c>
      <c r="AA1419" s="5">
        <v>0</v>
      </c>
      <c r="AB1419" s="5">
        <v>0</v>
      </c>
      <c r="AC1419" s="5">
        <v>0</v>
      </c>
      <c r="AD1419" s="5">
        <v>0</v>
      </c>
      <c r="AE1419" s="10" t="s">
        <v>73</v>
      </c>
      <c r="AF1419" s="10"/>
      <c r="AG1419" s="10" t="s">
        <v>333</v>
      </c>
      <c r="AH1419" s="10">
        <v>41149</v>
      </c>
      <c r="AI1419" s="5">
        <v>7</v>
      </c>
      <c r="AJ1419" s="10" t="s">
        <v>7891</v>
      </c>
      <c r="AK1419" s="10" t="s">
        <v>7892</v>
      </c>
    </row>
    <row r="1420" spans="1:37" ht="36.75" customHeight="1" x14ac:dyDescent="0.35">
      <c r="A1420" s="5"/>
      <c r="B1420" s="5" t="s">
        <v>37</v>
      </c>
      <c r="C1420" s="73" t="str">
        <f t="shared" si="22"/>
        <v>Closed</v>
      </c>
      <c r="D1420" s="45" t="s">
        <v>7893</v>
      </c>
      <c r="E1420" s="54" t="s">
        <v>7894</v>
      </c>
      <c r="F1420" s="5" t="s">
        <v>816</v>
      </c>
      <c r="G1420" s="10">
        <f>DATE(2012,8,27)</f>
        <v>41148</v>
      </c>
      <c r="H1420" s="35">
        <v>1.9097222222222223</v>
      </c>
      <c r="I1420" s="5" t="s">
        <v>468</v>
      </c>
      <c r="J1420" s="10" t="s">
        <v>7895</v>
      </c>
      <c r="K1420" s="5" t="s">
        <v>818</v>
      </c>
      <c r="L1420" s="5" t="s">
        <v>7896</v>
      </c>
      <c r="M1420" s="5" t="s">
        <v>45</v>
      </c>
      <c r="N1420" s="5" t="s">
        <v>123</v>
      </c>
      <c r="O1420" s="5" t="s">
        <v>46</v>
      </c>
      <c r="P1420" s="10" t="s">
        <v>5996</v>
      </c>
      <c r="Q1420" s="10" t="s">
        <v>7897</v>
      </c>
      <c r="R1420" s="10" t="s">
        <v>821</v>
      </c>
      <c r="S1420" s="5">
        <v>0</v>
      </c>
      <c r="T1420" s="37">
        <v>0</v>
      </c>
      <c r="U1420" s="5">
        <v>0</v>
      </c>
      <c r="V1420" s="37">
        <v>0</v>
      </c>
      <c r="W1420" s="5">
        <v>0</v>
      </c>
      <c r="X1420" s="5">
        <v>0</v>
      </c>
      <c r="Y1420" s="5">
        <v>0</v>
      </c>
      <c r="Z1420" s="37">
        <v>0</v>
      </c>
      <c r="AA1420" s="5">
        <v>0</v>
      </c>
      <c r="AB1420" s="5">
        <v>0</v>
      </c>
      <c r="AC1420" s="5">
        <v>0</v>
      </c>
      <c r="AD1420" s="5">
        <v>0</v>
      </c>
      <c r="AE1420" s="10" t="s">
        <v>73</v>
      </c>
      <c r="AF1420" s="10"/>
      <c r="AG1420" s="10" t="s">
        <v>333</v>
      </c>
      <c r="AH1420" s="10">
        <v>41149</v>
      </c>
      <c r="AI1420" s="5">
        <v>0</v>
      </c>
      <c r="AJ1420" s="10" t="s">
        <v>7898</v>
      </c>
      <c r="AK1420" s="10" t="s">
        <v>7899</v>
      </c>
    </row>
    <row r="1421" spans="1:37" ht="36.75" customHeight="1" x14ac:dyDescent="0.35">
      <c r="A1421" s="5"/>
      <c r="B1421" s="5" t="s">
        <v>37</v>
      </c>
      <c r="C1421" s="73" t="str">
        <f t="shared" si="22"/>
        <v>Closed</v>
      </c>
      <c r="D1421" s="45" t="s">
        <v>7900</v>
      </c>
      <c r="E1421" s="54" t="s">
        <v>7901</v>
      </c>
      <c r="F1421" s="5" t="s">
        <v>816</v>
      </c>
      <c r="G1421" s="10">
        <f>DATE(2012,8,28)</f>
        <v>41149</v>
      </c>
      <c r="H1421" s="35">
        <v>1.6965277777777779</v>
      </c>
      <c r="I1421" s="5" t="s">
        <v>106</v>
      </c>
      <c r="J1421" s="10" t="s">
        <v>7902</v>
      </c>
      <c r="K1421" s="5" t="s">
        <v>818</v>
      </c>
      <c r="L1421" s="5" t="s">
        <v>7903</v>
      </c>
      <c r="M1421" s="5" t="s">
        <v>45</v>
      </c>
      <c r="N1421" s="5" t="s">
        <v>80</v>
      </c>
      <c r="O1421" s="5" t="s">
        <v>6854</v>
      </c>
      <c r="P1421" s="10" t="s">
        <v>67</v>
      </c>
      <c r="Q1421" s="10" t="s">
        <v>2142</v>
      </c>
      <c r="R1421" s="10" t="s">
        <v>821</v>
      </c>
      <c r="S1421" s="5">
        <v>0</v>
      </c>
      <c r="T1421" s="37">
        <v>0</v>
      </c>
      <c r="U1421" s="5">
        <v>0</v>
      </c>
      <c r="V1421" s="37">
        <v>0</v>
      </c>
      <c r="W1421" s="5">
        <v>0</v>
      </c>
      <c r="X1421" s="5">
        <v>0</v>
      </c>
      <c r="Y1421" s="5">
        <v>0</v>
      </c>
      <c r="Z1421" s="37">
        <v>0</v>
      </c>
      <c r="AA1421" s="5">
        <v>0</v>
      </c>
      <c r="AB1421" s="5">
        <v>0</v>
      </c>
      <c r="AC1421" s="5">
        <v>0</v>
      </c>
      <c r="AD1421" s="5">
        <v>0</v>
      </c>
      <c r="AE1421" s="10" t="s">
        <v>73</v>
      </c>
      <c r="AF1421" s="10"/>
      <c r="AG1421" s="10" t="s">
        <v>1489</v>
      </c>
      <c r="AH1421" s="10">
        <v>41263</v>
      </c>
      <c r="AI1421" s="5">
        <v>0</v>
      </c>
      <c r="AJ1421" s="10" t="s">
        <v>7904</v>
      </c>
      <c r="AK1421" s="10" t="s">
        <v>7905</v>
      </c>
    </row>
    <row r="1422" spans="1:37" ht="36.75" customHeight="1" x14ac:dyDescent="0.35">
      <c r="A1422" s="5"/>
      <c r="B1422" s="5" t="s">
        <v>37</v>
      </c>
      <c r="C1422" s="73" t="str">
        <f t="shared" si="22"/>
        <v>Closed</v>
      </c>
      <c r="D1422" s="45" t="s">
        <v>7906</v>
      </c>
      <c r="E1422" s="54" t="s">
        <v>7907</v>
      </c>
      <c r="F1422" s="5" t="s">
        <v>1553</v>
      </c>
      <c r="G1422" s="10">
        <f>DATE(2012,8,30)</f>
        <v>41151</v>
      </c>
      <c r="H1422" s="35">
        <v>1.9375</v>
      </c>
      <c r="I1422" s="5" t="s">
        <v>55</v>
      </c>
      <c r="J1422" s="10" t="s">
        <v>7908</v>
      </c>
      <c r="K1422" s="5" t="s">
        <v>1555</v>
      </c>
      <c r="L1422" s="5" t="s">
        <v>7909</v>
      </c>
      <c r="M1422" s="5" t="s">
        <v>45</v>
      </c>
      <c r="N1422" s="5" t="s">
        <v>123</v>
      </c>
      <c r="O1422" s="5" t="s">
        <v>59</v>
      </c>
      <c r="P1422" s="10" t="s">
        <v>60</v>
      </c>
      <c r="Q1422" s="10" t="s">
        <v>7910</v>
      </c>
      <c r="R1422" s="10" t="s">
        <v>6413</v>
      </c>
      <c r="S1422" s="5">
        <v>0</v>
      </c>
      <c r="T1422" s="37">
        <v>0</v>
      </c>
      <c r="U1422" s="5">
        <v>0</v>
      </c>
      <c r="V1422" s="37">
        <v>0</v>
      </c>
      <c r="W1422" s="5">
        <v>0</v>
      </c>
      <c r="X1422" s="5">
        <v>0</v>
      </c>
      <c r="Y1422" s="5">
        <v>0</v>
      </c>
      <c r="Z1422" s="37">
        <v>0</v>
      </c>
      <c r="AA1422" s="5">
        <v>0</v>
      </c>
      <c r="AB1422" s="5">
        <v>0</v>
      </c>
      <c r="AC1422" s="5">
        <v>0</v>
      </c>
      <c r="AD1422" s="5">
        <v>0</v>
      </c>
      <c r="AE1422" s="10" t="s">
        <v>73</v>
      </c>
      <c r="AF1422" s="10"/>
      <c r="AG1422" s="10" t="s">
        <v>114</v>
      </c>
      <c r="AH1422" s="10">
        <v>41156</v>
      </c>
      <c r="AI1422" s="5">
        <v>0</v>
      </c>
      <c r="AJ1422" s="10" t="s">
        <v>7911</v>
      </c>
      <c r="AK1422" s="10" t="s">
        <v>50</v>
      </c>
    </row>
    <row r="1423" spans="1:37" ht="36.75" customHeight="1" x14ac:dyDescent="0.35">
      <c r="A1423" s="5"/>
      <c r="B1423" s="5" t="s">
        <v>37</v>
      </c>
      <c r="C1423" s="73" t="str">
        <f t="shared" si="22"/>
        <v>Closed</v>
      </c>
      <c r="D1423" s="45" t="s">
        <v>7912</v>
      </c>
      <c r="E1423" s="54" t="s">
        <v>7913</v>
      </c>
      <c r="F1423" s="5" t="s">
        <v>1553</v>
      </c>
      <c r="G1423" s="10">
        <f>DATE(2012,9,2)</f>
        <v>41154</v>
      </c>
      <c r="H1423" s="35">
        <v>1.1770833333333333</v>
      </c>
      <c r="I1423" s="5" t="s">
        <v>55</v>
      </c>
      <c r="J1423" s="10" t="s">
        <v>7914</v>
      </c>
      <c r="K1423" s="5" t="s">
        <v>1555</v>
      </c>
      <c r="L1423" s="5" t="s">
        <v>7915</v>
      </c>
      <c r="M1423" s="5" t="s">
        <v>45</v>
      </c>
      <c r="N1423" s="5" t="s">
        <v>70</v>
      </c>
      <c r="O1423" s="5" t="s">
        <v>59</v>
      </c>
      <c r="P1423" s="10" t="s">
        <v>60</v>
      </c>
      <c r="Q1423" s="10" t="s">
        <v>7916</v>
      </c>
      <c r="R1423" s="10" t="s">
        <v>6413</v>
      </c>
      <c r="S1423" s="5">
        <v>0</v>
      </c>
      <c r="T1423" s="37">
        <v>0</v>
      </c>
      <c r="U1423" s="5">
        <v>0</v>
      </c>
      <c r="V1423" s="37">
        <v>0</v>
      </c>
      <c r="W1423" s="5">
        <v>0</v>
      </c>
      <c r="X1423" s="5">
        <v>0</v>
      </c>
      <c r="Y1423" s="5">
        <v>0</v>
      </c>
      <c r="Z1423" s="37">
        <v>0</v>
      </c>
      <c r="AA1423" s="5">
        <v>0</v>
      </c>
      <c r="AB1423" s="5">
        <v>0</v>
      </c>
      <c r="AC1423" s="5">
        <v>0</v>
      </c>
      <c r="AD1423" s="5">
        <v>0</v>
      </c>
      <c r="AE1423" s="10" t="s">
        <v>73</v>
      </c>
      <c r="AF1423" s="10"/>
      <c r="AG1423" s="10" t="s">
        <v>114</v>
      </c>
      <c r="AH1423" s="10">
        <v>41156</v>
      </c>
      <c r="AI1423" s="5">
        <v>1</v>
      </c>
      <c r="AJ1423" s="10" t="s">
        <v>7917</v>
      </c>
      <c r="AK1423" s="10" t="s">
        <v>7918</v>
      </c>
    </row>
    <row r="1424" spans="1:37" ht="36.75" customHeight="1" x14ac:dyDescent="0.35">
      <c r="A1424" s="5"/>
      <c r="B1424" s="5" t="s">
        <v>37</v>
      </c>
      <c r="C1424" s="73" t="str">
        <f t="shared" si="22"/>
        <v>Closed</v>
      </c>
      <c r="D1424" s="45" t="s">
        <v>7919</v>
      </c>
      <c r="E1424" s="54" t="s">
        <v>7920</v>
      </c>
      <c r="F1424" s="5" t="s">
        <v>1553</v>
      </c>
      <c r="G1424" s="10">
        <f>DATE(2012,9,2)</f>
        <v>41154</v>
      </c>
      <c r="H1424" s="35">
        <v>1.8263888888888888</v>
      </c>
      <c r="I1424" s="5" t="s">
        <v>55</v>
      </c>
      <c r="J1424" s="10" t="s">
        <v>7921</v>
      </c>
      <c r="K1424" s="5" t="s">
        <v>1555</v>
      </c>
      <c r="L1424" s="5" t="s">
        <v>7922</v>
      </c>
      <c r="M1424" s="5" t="s">
        <v>45</v>
      </c>
      <c r="N1424" s="5" t="s">
        <v>70</v>
      </c>
      <c r="O1424" s="5" t="s">
        <v>59</v>
      </c>
      <c r="P1424" s="10" t="s">
        <v>60</v>
      </c>
      <c r="Q1424" s="10" t="s">
        <v>7910</v>
      </c>
      <c r="R1424" s="10" t="s">
        <v>6413</v>
      </c>
      <c r="S1424" s="5">
        <v>0</v>
      </c>
      <c r="T1424" s="37">
        <v>0</v>
      </c>
      <c r="U1424" s="5">
        <v>0</v>
      </c>
      <c r="V1424" s="37">
        <v>0</v>
      </c>
      <c r="W1424" s="5">
        <v>0</v>
      </c>
      <c r="X1424" s="5">
        <v>0</v>
      </c>
      <c r="Y1424" s="5">
        <v>0</v>
      </c>
      <c r="Z1424" s="37">
        <v>0</v>
      </c>
      <c r="AA1424" s="5">
        <v>0</v>
      </c>
      <c r="AB1424" s="5">
        <v>0</v>
      </c>
      <c r="AC1424" s="5">
        <v>0</v>
      </c>
      <c r="AD1424" s="5">
        <v>0</v>
      </c>
      <c r="AE1424" s="10" t="s">
        <v>73</v>
      </c>
      <c r="AF1424" s="10"/>
      <c r="AG1424" s="10" t="s">
        <v>114</v>
      </c>
      <c r="AH1424" s="10">
        <v>41156</v>
      </c>
      <c r="AI1424" s="5">
        <v>0</v>
      </c>
      <c r="AJ1424" s="10" t="s">
        <v>7923</v>
      </c>
      <c r="AK1424" s="10" t="s">
        <v>7924</v>
      </c>
    </row>
    <row r="1425" spans="1:37" ht="36.75" customHeight="1" x14ac:dyDescent="0.35">
      <c r="A1425" s="5"/>
      <c r="B1425" s="5" t="s">
        <v>37</v>
      </c>
      <c r="C1425" s="73" t="str">
        <f t="shared" si="22"/>
        <v>Closed</v>
      </c>
      <c r="D1425" s="45" t="s">
        <v>7925</v>
      </c>
      <c r="E1425" s="54" t="s">
        <v>7926</v>
      </c>
      <c r="F1425" s="5" t="s">
        <v>605</v>
      </c>
      <c r="G1425" s="10">
        <f>DATE(2012,9,2)</f>
        <v>41154</v>
      </c>
      <c r="H1425" s="35">
        <v>1.2493055555555554</v>
      </c>
      <c r="I1425" s="5" t="s">
        <v>85</v>
      </c>
      <c r="J1425" s="10" t="s">
        <v>7927</v>
      </c>
      <c r="K1425" s="5" t="s">
        <v>607</v>
      </c>
      <c r="L1425" s="5" t="s">
        <v>7928</v>
      </c>
      <c r="M1425" s="5" t="s">
        <v>45</v>
      </c>
      <c r="N1425" s="5" t="s">
        <v>80</v>
      </c>
      <c r="O1425" s="5" t="s">
        <v>59</v>
      </c>
      <c r="P1425" s="10" t="s">
        <v>146</v>
      </c>
      <c r="Q1425" s="10" t="s">
        <v>7929</v>
      </c>
      <c r="R1425" s="10" t="s">
        <v>610</v>
      </c>
      <c r="S1425" s="5">
        <v>0</v>
      </c>
      <c r="T1425" s="37">
        <v>0</v>
      </c>
      <c r="U1425" s="5">
        <v>0</v>
      </c>
      <c r="V1425" s="37">
        <v>0</v>
      </c>
      <c r="W1425" s="5">
        <v>0</v>
      </c>
      <c r="X1425" s="5">
        <v>0</v>
      </c>
      <c r="Y1425" s="5">
        <v>0</v>
      </c>
      <c r="Z1425" s="37">
        <v>0</v>
      </c>
      <c r="AA1425" s="5">
        <v>0</v>
      </c>
      <c r="AB1425" s="5">
        <v>0</v>
      </c>
      <c r="AC1425" s="5">
        <v>0</v>
      </c>
      <c r="AD1425" s="5">
        <v>0</v>
      </c>
      <c r="AE1425" s="10" t="s">
        <v>73</v>
      </c>
      <c r="AF1425" s="10"/>
      <c r="AG1425" s="10" t="s">
        <v>333</v>
      </c>
      <c r="AH1425" s="10">
        <v>40948</v>
      </c>
      <c r="AI1425" s="5">
        <v>3</v>
      </c>
      <c r="AJ1425" s="10" t="s">
        <v>7930</v>
      </c>
      <c r="AK1425" s="10" t="s">
        <v>50</v>
      </c>
    </row>
    <row r="1426" spans="1:37" ht="36.75" customHeight="1" x14ac:dyDescent="0.35">
      <c r="A1426" s="5"/>
      <c r="B1426" s="5" t="s">
        <v>37</v>
      </c>
      <c r="C1426" s="73" t="str">
        <f t="shared" si="22"/>
        <v>Closed</v>
      </c>
      <c r="D1426" s="45" t="s">
        <v>7931</v>
      </c>
      <c r="E1426" s="54" t="s">
        <v>7932</v>
      </c>
      <c r="F1426" s="5" t="s">
        <v>619</v>
      </c>
      <c r="G1426" s="10">
        <f>DATE(2012,9,6)</f>
        <v>41158</v>
      </c>
      <c r="H1426" s="35">
        <v>1.1298611111111112</v>
      </c>
      <c r="I1426" s="5" t="s">
        <v>55</v>
      </c>
      <c r="J1426" s="10" t="s">
        <v>7933</v>
      </c>
      <c r="K1426" s="5" t="s">
        <v>621</v>
      </c>
      <c r="L1426" s="5" t="s">
        <v>7934</v>
      </c>
      <c r="M1426" s="5" t="s">
        <v>45</v>
      </c>
      <c r="N1426" s="5" t="s">
        <v>80</v>
      </c>
      <c r="O1426" s="5" t="s">
        <v>46</v>
      </c>
      <c r="P1426" s="10" t="s">
        <v>60</v>
      </c>
      <c r="Q1426" s="10" t="s">
        <v>623</v>
      </c>
      <c r="R1426" s="10" t="s">
        <v>624</v>
      </c>
      <c r="S1426" s="5">
        <v>0</v>
      </c>
      <c r="T1426" s="37">
        <v>0</v>
      </c>
      <c r="U1426" s="5">
        <v>0</v>
      </c>
      <c r="V1426" s="37">
        <v>0</v>
      </c>
      <c r="W1426" s="5">
        <v>0</v>
      </c>
      <c r="X1426" s="5">
        <v>0</v>
      </c>
      <c r="Y1426" s="5">
        <v>0</v>
      </c>
      <c r="Z1426" s="37">
        <v>0</v>
      </c>
      <c r="AA1426" s="5">
        <v>0</v>
      </c>
      <c r="AB1426" s="5">
        <v>0</v>
      </c>
      <c r="AC1426" s="5">
        <v>0</v>
      </c>
      <c r="AD1426" s="5">
        <v>0</v>
      </c>
      <c r="AE1426" s="10" t="s">
        <v>73</v>
      </c>
      <c r="AF1426" s="10"/>
      <c r="AG1426" s="10" t="s">
        <v>333</v>
      </c>
      <c r="AH1426" s="10">
        <v>41177</v>
      </c>
      <c r="AI1426" s="5">
        <v>6</v>
      </c>
      <c r="AJ1426" s="10" t="s">
        <v>7935</v>
      </c>
      <c r="AK1426" s="10" t="s">
        <v>50</v>
      </c>
    </row>
    <row r="1427" spans="1:37" ht="36.75" customHeight="1" x14ac:dyDescent="0.35">
      <c r="A1427" s="5"/>
      <c r="B1427" s="5" t="s">
        <v>37</v>
      </c>
      <c r="C1427" s="73" t="str">
        <f t="shared" si="22"/>
        <v>Closed</v>
      </c>
      <c r="D1427" s="45" t="s">
        <v>7936</v>
      </c>
      <c r="E1427" s="54" t="s">
        <v>7937</v>
      </c>
      <c r="F1427" s="5" t="s">
        <v>178</v>
      </c>
      <c r="G1427" s="10">
        <f>DATE(2012,9,7)</f>
        <v>41159</v>
      </c>
      <c r="H1427" s="35">
        <v>1.3194444444444444</v>
      </c>
      <c r="I1427" s="5" t="s">
        <v>97</v>
      </c>
      <c r="J1427" s="10" t="s">
        <v>7938</v>
      </c>
      <c r="K1427" s="5" t="s">
        <v>181</v>
      </c>
      <c r="L1427" s="5" t="s">
        <v>7939</v>
      </c>
      <c r="M1427" s="5" t="s">
        <v>45</v>
      </c>
      <c r="N1427" s="5" t="s">
        <v>80</v>
      </c>
      <c r="O1427" s="5" t="s">
        <v>46</v>
      </c>
      <c r="P1427" s="10" t="s">
        <v>146</v>
      </c>
      <c r="Q1427" s="10">
        <v>0</v>
      </c>
      <c r="R1427" s="10">
        <v>0</v>
      </c>
      <c r="S1427" s="5">
        <v>0</v>
      </c>
      <c r="T1427" s="37">
        <v>0</v>
      </c>
      <c r="U1427" s="5">
        <v>0</v>
      </c>
      <c r="V1427" s="37">
        <v>0</v>
      </c>
      <c r="W1427" s="5">
        <v>0</v>
      </c>
      <c r="X1427" s="5">
        <v>0</v>
      </c>
      <c r="Y1427" s="5">
        <v>0</v>
      </c>
      <c r="Z1427" s="37">
        <v>0</v>
      </c>
      <c r="AA1427" s="5">
        <v>0</v>
      </c>
      <c r="AB1427" s="5">
        <v>0</v>
      </c>
      <c r="AC1427" s="5">
        <v>0</v>
      </c>
      <c r="AD1427" s="5">
        <v>0</v>
      </c>
      <c r="AE1427" s="10" t="s">
        <v>73</v>
      </c>
      <c r="AF1427" s="10"/>
      <c r="AG1427" s="10" t="s">
        <v>333</v>
      </c>
      <c r="AH1427" s="10">
        <v>41172</v>
      </c>
      <c r="AI1427" s="5">
        <v>1</v>
      </c>
      <c r="AJ1427" s="10" t="s">
        <v>7940</v>
      </c>
      <c r="AK1427" s="10" t="s">
        <v>1215</v>
      </c>
    </row>
    <row r="1428" spans="1:37" ht="36.75" customHeight="1" x14ac:dyDescent="0.35">
      <c r="A1428" s="5"/>
      <c r="B1428" s="5" t="s">
        <v>37</v>
      </c>
      <c r="C1428" s="73" t="str">
        <f t="shared" si="22"/>
        <v>Closed</v>
      </c>
      <c r="D1428" s="45" t="s">
        <v>7941</v>
      </c>
      <c r="E1428" s="54" t="s">
        <v>7942</v>
      </c>
      <c r="F1428" s="5" t="s">
        <v>404</v>
      </c>
      <c r="G1428" s="10">
        <f>DATE(2012,9,10)</f>
        <v>41162</v>
      </c>
      <c r="H1428" s="35">
        <v>1.2201388888888889</v>
      </c>
      <c r="I1428" s="5" t="s">
        <v>55</v>
      </c>
      <c r="J1428" s="10" t="s">
        <v>7943</v>
      </c>
      <c r="K1428" s="5" t="s">
        <v>406</v>
      </c>
      <c r="L1428" s="5" t="s">
        <v>7944</v>
      </c>
      <c r="M1428" s="5" t="s">
        <v>45</v>
      </c>
      <c r="N1428" s="5" t="s">
        <v>123</v>
      </c>
      <c r="O1428" s="5" t="s">
        <v>46</v>
      </c>
      <c r="P1428" s="10" t="s">
        <v>60</v>
      </c>
      <c r="Q1428" s="10" t="s">
        <v>5178</v>
      </c>
      <c r="R1428" s="10" t="s">
        <v>3083</v>
      </c>
      <c r="S1428" s="5">
        <v>0</v>
      </c>
      <c r="T1428" s="37">
        <v>0</v>
      </c>
      <c r="U1428" s="5">
        <v>0</v>
      </c>
      <c r="V1428" s="37">
        <v>0</v>
      </c>
      <c r="W1428" s="5">
        <v>0</v>
      </c>
      <c r="X1428" s="5">
        <v>0</v>
      </c>
      <c r="Y1428" s="5">
        <v>0</v>
      </c>
      <c r="Z1428" s="37">
        <v>0</v>
      </c>
      <c r="AA1428" s="5">
        <v>0</v>
      </c>
      <c r="AB1428" s="5">
        <v>0</v>
      </c>
      <c r="AC1428" s="5">
        <v>0</v>
      </c>
      <c r="AD1428" s="5">
        <v>0</v>
      </c>
      <c r="AE1428" s="10" t="s">
        <v>375</v>
      </c>
      <c r="AF1428" s="10"/>
      <c r="AG1428" s="10" t="s">
        <v>114</v>
      </c>
      <c r="AH1428" s="10">
        <v>41191</v>
      </c>
      <c r="AI1428" s="5">
        <v>8</v>
      </c>
      <c r="AJ1428" s="10" t="s">
        <v>7945</v>
      </c>
      <c r="AK1428" s="10" t="s">
        <v>7946</v>
      </c>
    </row>
    <row r="1429" spans="1:37" ht="36.75" customHeight="1" x14ac:dyDescent="0.35">
      <c r="A1429" s="5"/>
      <c r="B1429" s="5" t="s">
        <v>37</v>
      </c>
      <c r="C1429" s="73" t="str">
        <f t="shared" si="22"/>
        <v>Closed</v>
      </c>
      <c r="D1429" s="45" t="s">
        <v>7947</v>
      </c>
      <c r="E1429" s="54" t="s">
        <v>7948</v>
      </c>
      <c r="F1429" s="5" t="s">
        <v>105</v>
      </c>
      <c r="G1429" s="10">
        <f>DATE(2012,9,14)</f>
        <v>41166</v>
      </c>
      <c r="H1429" s="35">
        <v>1.7465277777777777</v>
      </c>
      <c r="I1429" s="5" t="s">
        <v>179</v>
      </c>
      <c r="J1429" s="10" t="s">
        <v>7949</v>
      </c>
      <c r="K1429" s="5" t="s">
        <v>108</v>
      </c>
      <c r="L1429" s="5" t="s">
        <v>7950</v>
      </c>
      <c r="M1429" s="5" t="s">
        <v>45</v>
      </c>
      <c r="N1429" s="5" t="s">
        <v>70</v>
      </c>
      <c r="O1429" s="5" t="s">
        <v>71</v>
      </c>
      <c r="P1429" s="10" t="s">
        <v>72</v>
      </c>
      <c r="Q1429" s="10" t="s">
        <v>4212</v>
      </c>
      <c r="R1429" s="10" t="s">
        <v>148</v>
      </c>
      <c r="S1429" s="5">
        <v>0</v>
      </c>
      <c r="T1429" s="37">
        <v>0</v>
      </c>
      <c r="U1429" s="5">
        <v>0</v>
      </c>
      <c r="V1429" s="37">
        <v>0</v>
      </c>
      <c r="W1429" s="5">
        <v>0</v>
      </c>
      <c r="X1429" s="5">
        <v>0</v>
      </c>
      <c r="Y1429" s="5">
        <v>0</v>
      </c>
      <c r="Z1429" s="37">
        <v>1</v>
      </c>
      <c r="AA1429" s="5">
        <v>0</v>
      </c>
      <c r="AB1429" s="5">
        <v>0</v>
      </c>
      <c r="AC1429" s="5">
        <v>0</v>
      </c>
      <c r="AD1429" s="5">
        <v>1</v>
      </c>
      <c r="AE1429" s="10" t="s">
        <v>73</v>
      </c>
      <c r="AF1429" s="10"/>
      <c r="AG1429" s="10" t="s">
        <v>114</v>
      </c>
      <c r="AH1429" s="10">
        <v>41178</v>
      </c>
      <c r="AI1429" s="5">
        <v>0</v>
      </c>
      <c r="AJ1429" s="10" t="s">
        <v>7951</v>
      </c>
      <c r="AK1429" s="10" t="s">
        <v>1215</v>
      </c>
    </row>
    <row r="1430" spans="1:37" ht="36.75" customHeight="1" x14ac:dyDescent="0.35">
      <c r="A1430" s="5"/>
      <c r="B1430" s="5" t="s">
        <v>37</v>
      </c>
      <c r="C1430" s="73" t="str">
        <f t="shared" si="22"/>
        <v>Closed</v>
      </c>
      <c r="D1430" s="45" t="s">
        <v>7952</v>
      </c>
      <c r="E1430" s="54" t="s">
        <v>7953</v>
      </c>
      <c r="F1430" s="5" t="s">
        <v>214</v>
      </c>
      <c r="G1430" s="10">
        <f>DATE(2012,9,14)</f>
        <v>41166</v>
      </c>
      <c r="H1430" s="35">
        <v>1.5833333333333335</v>
      </c>
      <c r="I1430" s="5" t="s">
        <v>412</v>
      </c>
      <c r="J1430" s="10" t="s">
        <v>7954</v>
      </c>
      <c r="K1430" s="5" t="s">
        <v>216</v>
      </c>
      <c r="L1430" s="5" t="s">
        <v>7955</v>
      </c>
      <c r="M1430" s="5" t="s">
        <v>45</v>
      </c>
      <c r="N1430" s="5" t="s">
        <v>123</v>
      </c>
      <c r="O1430" s="5" t="s">
        <v>46</v>
      </c>
      <c r="P1430" s="10" t="s">
        <v>67</v>
      </c>
      <c r="Q1430" s="10" t="s">
        <v>699</v>
      </c>
      <c r="R1430" s="10" t="s">
        <v>219</v>
      </c>
      <c r="S1430" s="5">
        <v>0</v>
      </c>
      <c r="T1430" s="37">
        <v>0</v>
      </c>
      <c r="U1430" s="5">
        <v>0</v>
      </c>
      <c r="V1430" s="37">
        <v>0</v>
      </c>
      <c r="W1430" s="5">
        <v>0</v>
      </c>
      <c r="X1430" s="5">
        <v>0</v>
      </c>
      <c r="Y1430" s="5">
        <v>0</v>
      </c>
      <c r="Z1430" s="37">
        <v>0</v>
      </c>
      <c r="AA1430" s="5">
        <v>0</v>
      </c>
      <c r="AB1430" s="5">
        <v>0</v>
      </c>
      <c r="AC1430" s="5">
        <v>0</v>
      </c>
      <c r="AD1430" s="5">
        <v>0</v>
      </c>
      <c r="AE1430" s="10" t="s">
        <v>73</v>
      </c>
      <c r="AF1430" s="10"/>
      <c r="AG1430" s="10" t="s">
        <v>333</v>
      </c>
      <c r="AH1430" s="10">
        <v>41253</v>
      </c>
      <c r="AI1430" s="5">
        <v>5</v>
      </c>
      <c r="AJ1430" s="10" t="s">
        <v>7956</v>
      </c>
      <c r="AK1430" s="10" t="s">
        <v>7956</v>
      </c>
    </row>
    <row r="1431" spans="1:37" ht="36.75" customHeight="1" x14ac:dyDescent="0.35">
      <c r="A1431" s="5"/>
      <c r="B1431" s="5" t="s">
        <v>37</v>
      </c>
      <c r="C1431" s="73" t="str">
        <f t="shared" si="22"/>
        <v>Closed</v>
      </c>
      <c r="D1431" s="45" t="s">
        <v>7957</v>
      </c>
      <c r="E1431" s="54" t="s">
        <v>7958</v>
      </c>
      <c r="F1431" s="5" t="s">
        <v>178</v>
      </c>
      <c r="G1431" s="10">
        <f>DATE(2012,9,16)</f>
        <v>41168</v>
      </c>
      <c r="H1431" s="35">
        <v>1.598611111111111</v>
      </c>
      <c r="I1431" s="5" t="s">
        <v>55</v>
      </c>
      <c r="J1431" s="10" t="s">
        <v>7959</v>
      </c>
      <c r="K1431" s="5" t="s">
        <v>181</v>
      </c>
      <c r="L1431" s="5" t="s">
        <v>7939</v>
      </c>
      <c r="M1431" s="5" t="s">
        <v>45</v>
      </c>
      <c r="N1431" s="5" t="s">
        <v>80</v>
      </c>
      <c r="O1431" s="5" t="s">
        <v>46</v>
      </c>
      <c r="P1431" s="10" t="s">
        <v>7960</v>
      </c>
      <c r="Q1431" s="10">
        <v>0</v>
      </c>
      <c r="R1431" s="10">
        <v>0</v>
      </c>
      <c r="S1431" s="5">
        <v>0</v>
      </c>
      <c r="T1431" s="37">
        <v>0</v>
      </c>
      <c r="U1431" s="5">
        <v>0</v>
      </c>
      <c r="V1431" s="37">
        <v>0</v>
      </c>
      <c r="W1431" s="5">
        <v>0</v>
      </c>
      <c r="X1431" s="5">
        <v>0</v>
      </c>
      <c r="Y1431" s="5">
        <v>0</v>
      </c>
      <c r="Z1431" s="37">
        <v>0</v>
      </c>
      <c r="AA1431" s="5">
        <v>0</v>
      </c>
      <c r="AB1431" s="5">
        <v>0</v>
      </c>
      <c r="AC1431" s="5">
        <v>0</v>
      </c>
      <c r="AD1431" s="5">
        <v>0</v>
      </c>
      <c r="AE1431" s="10" t="s">
        <v>73</v>
      </c>
      <c r="AF1431" s="10"/>
      <c r="AG1431" s="10" t="s">
        <v>1489</v>
      </c>
      <c r="AH1431" s="10">
        <v>41169</v>
      </c>
      <c r="AI1431" s="5">
        <v>10</v>
      </c>
      <c r="AJ1431" s="10" t="s">
        <v>7961</v>
      </c>
      <c r="AK1431" s="10" t="s">
        <v>1215</v>
      </c>
    </row>
    <row r="1432" spans="1:37" ht="36.75" customHeight="1" x14ac:dyDescent="0.35">
      <c r="A1432" s="5"/>
      <c r="B1432" s="5" t="s">
        <v>37</v>
      </c>
      <c r="C1432" s="73" t="str">
        <f t="shared" si="22"/>
        <v>Closed</v>
      </c>
      <c r="D1432" s="45" t="s">
        <v>7962</v>
      </c>
      <c r="E1432" s="54" t="s">
        <v>7963</v>
      </c>
      <c r="F1432" s="5" t="s">
        <v>816</v>
      </c>
      <c r="G1432" s="10">
        <f>DATE(2012,9,19)</f>
        <v>41171</v>
      </c>
      <c r="H1432" s="35">
        <v>1.4409722222222223</v>
      </c>
      <c r="I1432" s="5" t="s">
        <v>97</v>
      </c>
      <c r="J1432" s="10" t="s">
        <v>7964</v>
      </c>
      <c r="K1432" s="5" t="s">
        <v>818</v>
      </c>
      <c r="L1432" s="5" t="s">
        <v>7965</v>
      </c>
      <c r="M1432" s="5" t="s">
        <v>45</v>
      </c>
      <c r="N1432" s="5" t="s">
        <v>80</v>
      </c>
      <c r="O1432" s="5" t="s">
        <v>46</v>
      </c>
      <c r="P1432" s="10" t="s">
        <v>146</v>
      </c>
      <c r="Q1432" s="10" t="s">
        <v>2142</v>
      </c>
      <c r="R1432" s="10" t="s">
        <v>821</v>
      </c>
      <c r="S1432" s="5">
        <v>0</v>
      </c>
      <c r="T1432" s="37">
        <v>0</v>
      </c>
      <c r="U1432" s="5">
        <v>0</v>
      </c>
      <c r="V1432" s="37">
        <v>0</v>
      </c>
      <c r="W1432" s="5">
        <v>0</v>
      </c>
      <c r="X1432" s="5">
        <v>0</v>
      </c>
      <c r="Y1432" s="5">
        <v>0</v>
      </c>
      <c r="Z1432" s="37">
        <v>0</v>
      </c>
      <c r="AA1432" s="5">
        <v>0</v>
      </c>
      <c r="AB1432" s="5">
        <v>0</v>
      </c>
      <c r="AC1432" s="5">
        <v>0</v>
      </c>
      <c r="AD1432" s="5">
        <v>0</v>
      </c>
      <c r="AE1432" s="10" t="s">
        <v>73</v>
      </c>
      <c r="AF1432" s="10"/>
      <c r="AG1432" s="10" t="s">
        <v>333</v>
      </c>
      <c r="AH1432" s="10">
        <v>41177</v>
      </c>
      <c r="AI1432" s="5">
        <v>0</v>
      </c>
      <c r="AJ1432" s="10" t="s">
        <v>7966</v>
      </c>
      <c r="AK1432" s="10" t="s">
        <v>50</v>
      </c>
    </row>
    <row r="1433" spans="1:37" ht="36.75" customHeight="1" x14ac:dyDescent="0.35">
      <c r="A1433" s="5"/>
      <c r="B1433" s="5" t="s">
        <v>37</v>
      </c>
      <c r="C1433" s="73" t="str">
        <f t="shared" si="22"/>
        <v>Closed</v>
      </c>
      <c r="D1433" s="45" t="s">
        <v>7967</v>
      </c>
      <c r="E1433" s="54" t="s">
        <v>7968</v>
      </c>
      <c r="F1433" s="5" t="s">
        <v>816</v>
      </c>
      <c r="G1433" s="10">
        <f>DATE(2012,9,19)</f>
        <v>41171</v>
      </c>
      <c r="H1433" s="35">
        <v>1.4256944444444444</v>
      </c>
      <c r="I1433" s="5" t="s">
        <v>259</v>
      </c>
      <c r="J1433" s="10" t="s">
        <v>7969</v>
      </c>
      <c r="K1433" s="5" t="s">
        <v>818</v>
      </c>
      <c r="L1433" s="5" t="s">
        <v>7970</v>
      </c>
      <c r="M1433" s="5" t="s">
        <v>45</v>
      </c>
      <c r="N1433" s="5" t="s">
        <v>123</v>
      </c>
      <c r="O1433" s="5" t="s">
        <v>59</v>
      </c>
      <c r="P1433" s="10" t="s">
        <v>47</v>
      </c>
      <c r="Q1433" s="10" t="s">
        <v>2142</v>
      </c>
      <c r="R1433" s="10" t="s">
        <v>821</v>
      </c>
      <c r="S1433" s="5">
        <v>0</v>
      </c>
      <c r="T1433" s="37">
        <v>0</v>
      </c>
      <c r="U1433" s="5">
        <v>0</v>
      </c>
      <c r="V1433" s="37">
        <v>1</v>
      </c>
      <c r="W1433" s="5">
        <v>0</v>
      </c>
      <c r="X1433" s="5">
        <v>1</v>
      </c>
      <c r="Y1433" s="5">
        <v>0</v>
      </c>
      <c r="Z1433" s="37">
        <v>0</v>
      </c>
      <c r="AA1433" s="5">
        <v>0</v>
      </c>
      <c r="AB1433" s="5">
        <v>0</v>
      </c>
      <c r="AC1433" s="5">
        <v>0</v>
      </c>
      <c r="AD1433" s="5">
        <v>0</v>
      </c>
      <c r="AE1433" s="10" t="s">
        <v>73</v>
      </c>
      <c r="AF1433" s="10"/>
      <c r="AG1433" s="10" t="s">
        <v>333</v>
      </c>
      <c r="AH1433" s="10">
        <v>41171</v>
      </c>
      <c r="AI1433" s="5">
        <v>1</v>
      </c>
      <c r="AJ1433" s="10" t="s">
        <v>7971</v>
      </c>
      <c r="AK1433" s="10" t="s">
        <v>7972</v>
      </c>
    </row>
    <row r="1434" spans="1:37" ht="36.75" customHeight="1" x14ac:dyDescent="0.35">
      <c r="A1434" s="5"/>
      <c r="B1434" s="5" t="s">
        <v>37</v>
      </c>
      <c r="C1434" s="73" t="str">
        <f t="shared" si="22"/>
        <v>Closed</v>
      </c>
      <c r="D1434" s="45" t="s">
        <v>7973</v>
      </c>
      <c r="E1434" s="54" t="s">
        <v>7974</v>
      </c>
      <c r="F1434" s="5" t="s">
        <v>119</v>
      </c>
      <c r="G1434" s="10">
        <f>DATE(2012,9,20)</f>
        <v>41172</v>
      </c>
      <c r="H1434" s="35">
        <v>1.567361111111111</v>
      </c>
      <c r="I1434" s="5" t="s">
        <v>259</v>
      </c>
      <c r="J1434" s="10" t="s">
        <v>7975</v>
      </c>
      <c r="K1434" s="5" t="s">
        <v>121</v>
      </c>
      <c r="L1434" s="5" t="s">
        <v>7976</v>
      </c>
      <c r="M1434" s="5" t="s">
        <v>45</v>
      </c>
      <c r="N1434" s="5" t="s">
        <v>70</v>
      </c>
      <c r="O1434" s="5" t="s">
        <v>71</v>
      </c>
      <c r="P1434" s="10" t="s">
        <v>72</v>
      </c>
      <c r="Q1434" s="10" t="s">
        <v>124</v>
      </c>
      <c r="R1434" s="10" t="s">
        <v>125</v>
      </c>
      <c r="S1434" s="5">
        <v>0</v>
      </c>
      <c r="T1434" s="37">
        <v>1</v>
      </c>
      <c r="U1434" s="5">
        <v>0</v>
      </c>
      <c r="V1434" s="37">
        <v>0</v>
      </c>
      <c r="W1434" s="5">
        <v>0</v>
      </c>
      <c r="X1434" s="5">
        <v>1</v>
      </c>
      <c r="Y1434" s="5">
        <v>0</v>
      </c>
      <c r="Z1434" s="37">
        <v>0</v>
      </c>
      <c r="AA1434" s="5">
        <v>0</v>
      </c>
      <c r="AB1434" s="5">
        <v>0</v>
      </c>
      <c r="AC1434" s="5">
        <v>0</v>
      </c>
      <c r="AD1434" s="5">
        <v>0</v>
      </c>
      <c r="AE1434" s="10" t="s">
        <v>73</v>
      </c>
      <c r="AF1434" s="10"/>
      <c r="AG1434" s="10" t="s">
        <v>114</v>
      </c>
      <c r="AH1434" s="10">
        <v>41176</v>
      </c>
      <c r="AI1434" s="5">
        <v>2</v>
      </c>
      <c r="AJ1434" s="10" t="s">
        <v>7977</v>
      </c>
      <c r="AK1434" s="10" t="s">
        <v>7978</v>
      </c>
    </row>
    <row r="1435" spans="1:37" ht="36.75" customHeight="1" x14ac:dyDescent="0.35">
      <c r="A1435" s="5"/>
      <c r="B1435" s="5" t="s">
        <v>37</v>
      </c>
      <c r="C1435" s="73" t="str">
        <f t="shared" si="22"/>
        <v>Closed</v>
      </c>
      <c r="D1435" s="45" t="s">
        <v>7979</v>
      </c>
      <c r="E1435" s="54" t="s">
        <v>7980</v>
      </c>
      <c r="F1435" s="5" t="s">
        <v>178</v>
      </c>
      <c r="G1435" s="10">
        <f>DATE(2012,9,21)</f>
        <v>41173</v>
      </c>
      <c r="H1435" s="35">
        <v>0</v>
      </c>
      <c r="I1435" s="5" t="s">
        <v>97</v>
      </c>
      <c r="J1435" s="10" t="s">
        <v>7981</v>
      </c>
      <c r="K1435" s="5" t="s">
        <v>181</v>
      </c>
      <c r="L1435" s="5" t="s">
        <v>7982</v>
      </c>
      <c r="M1435" s="5" t="s">
        <v>45</v>
      </c>
      <c r="N1435" s="5" t="s">
        <v>80</v>
      </c>
      <c r="O1435" s="5" t="s">
        <v>46</v>
      </c>
      <c r="P1435" s="10" t="s">
        <v>146</v>
      </c>
      <c r="Q1435" s="10" t="s">
        <v>181</v>
      </c>
      <c r="R1435" s="10" t="s">
        <v>181</v>
      </c>
      <c r="S1435" s="5">
        <v>0</v>
      </c>
      <c r="T1435" s="37">
        <v>0</v>
      </c>
      <c r="U1435" s="5">
        <v>0</v>
      </c>
      <c r="V1435" s="37">
        <v>0</v>
      </c>
      <c r="W1435" s="5">
        <v>0</v>
      </c>
      <c r="X1435" s="5">
        <v>0</v>
      </c>
      <c r="Y1435" s="5">
        <v>0</v>
      </c>
      <c r="Z1435" s="37">
        <v>0</v>
      </c>
      <c r="AA1435" s="5">
        <v>1</v>
      </c>
      <c r="AB1435" s="5">
        <v>0</v>
      </c>
      <c r="AC1435" s="5">
        <v>0</v>
      </c>
      <c r="AD1435" s="5">
        <v>1</v>
      </c>
      <c r="AE1435" s="10" t="s">
        <v>73</v>
      </c>
      <c r="AF1435" s="10"/>
      <c r="AG1435" s="10" t="s">
        <v>114</v>
      </c>
      <c r="AH1435" s="10">
        <v>41173</v>
      </c>
      <c r="AI1435" s="5">
        <v>5</v>
      </c>
      <c r="AJ1435" s="10" t="s">
        <v>7752</v>
      </c>
      <c r="AK1435" s="10" t="s">
        <v>1215</v>
      </c>
    </row>
    <row r="1436" spans="1:37" ht="36.75" customHeight="1" x14ac:dyDescent="0.35">
      <c r="A1436" s="5"/>
      <c r="B1436" s="5" t="s">
        <v>37</v>
      </c>
      <c r="C1436" s="73" t="str">
        <f t="shared" si="22"/>
        <v>Closed</v>
      </c>
      <c r="D1436" s="45" t="s">
        <v>7983</v>
      </c>
      <c r="E1436" s="54" t="s">
        <v>7984</v>
      </c>
      <c r="F1436" s="5" t="s">
        <v>358</v>
      </c>
      <c r="G1436" s="10">
        <f>DATE(2012,9,21)</f>
        <v>41173</v>
      </c>
      <c r="H1436" s="35">
        <v>1.2951388888888888</v>
      </c>
      <c r="I1436" s="5" t="s">
        <v>97</v>
      </c>
      <c r="J1436" s="10" t="s">
        <v>7985</v>
      </c>
      <c r="K1436" s="5" t="s">
        <v>360</v>
      </c>
      <c r="L1436" s="5" t="s">
        <v>7986</v>
      </c>
      <c r="M1436" s="5" t="s">
        <v>45</v>
      </c>
      <c r="N1436" s="5" t="s">
        <v>123</v>
      </c>
      <c r="O1436" s="5" t="s">
        <v>46</v>
      </c>
      <c r="P1436" s="10" t="s">
        <v>362</v>
      </c>
      <c r="Q1436" s="10" t="s">
        <v>2886</v>
      </c>
      <c r="R1436" s="10" t="s">
        <v>363</v>
      </c>
      <c r="S1436" s="5">
        <v>0</v>
      </c>
      <c r="T1436" s="37">
        <v>0</v>
      </c>
      <c r="U1436" s="5">
        <v>0</v>
      </c>
      <c r="V1436" s="37">
        <v>0</v>
      </c>
      <c r="W1436" s="5">
        <v>0</v>
      </c>
      <c r="X1436" s="5">
        <v>0</v>
      </c>
      <c r="Y1436" s="5">
        <v>0</v>
      </c>
      <c r="Z1436" s="37">
        <v>0</v>
      </c>
      <c r="AA1436" s="5">
        <v>0</v>
      </c>
      <c r="AB1436" s="5">
        <v>0</v>
      </c>
      <c r="AC1436" s="5">
        <v>0</v>
      </c>
      <c r="AD1436" s="5">
        <v>0</v>
      </c>
      <c r="AE1436" s="10" t="s">
        <v>375</v>
      </c>
      <c r="AF1436" s="10"/>
      <c r="AG1436" s="10" t="s">
        <v>333</v>
      </c>
      <c r="AH1436" s="10">
        <v>41176</v>
      </c>
      <c r="AI1436" s="5">
        <v>3</v>
      </c>
      <c r="AJ1436" s="10" t="s">
        <v>7987</v>
      </c>
      <c r="AK1436" s="10" t="s">
        <v>7988</v>
      </c>
    </row>
    <row r="1437" spans="1:37" ht="36.75" customHeight="1" x14ac:dyDescent="0.35">
      <c r="A1437" s="5"/>
      <c r="B1437" s="5" t="s">
        <v>37</v>
      </c>
      <c r="C1437" s="73" t="str">
        <f t="shared" si="22"/>
        <v>Closed</v>
      </c>
      <c r="D1437" s="45" t="s">
        <v>7989</v>
      </c>
      <c r="E1437" s="54" t="s">
        <v>7990</v>
      </c>
      <c r="F1437" s="5" t="s">
        <v>178</v>
      </c>
      <c r="G1437" s="10">
        <f>DATE(2012,9,22)</f>
        <v>41174</v>
      </c>
      <c r="H1437" s="35">
        <v>1.2534722222222223</v>
      </c>
      <c r="I1437" s="5" t="s">
        <v>55</v>
      </c>
      <c r="J1437" s="10" t="s">
        <v>7991</v>
      </c>
      <c r="K1437" s="5" t="s">
        <v>181</v>
      </c>
      <c r="L1437" s="5" t="s">
        <v>7992</v>
      </c>
      <c r="M1437" s="5" t="s">
        <v>45</v>
      </c>
      <c r="N1437" s="5" t="s">
        <v>123</v>
      </c>
      <c r="O1437" s="5" t="s">
        <v>59</v>
      </c>
      <c r="P1437" s="10" t="s">
        <v>60</v>
      </c>
      <c r="Q1437" s="10">
        <v>0</v>
      </c>
      <c r="R1437" s="10">
        <v>0</v>
      </c>
      <c r="S1437" s="5">
        <v>0</v>
      </c>
      <c r="T1437" s="37">
        <v>0</v>
      </c>
      <c r="U1437" s="5">
        <v>0</v>
      </c>
      <c r="V1437" s="37">
        <v>0</v>
      </c>
      <c r="W1437" s="5">
        <v>0</v>
      </c>
      <c r="X1437" s="5">
        <v>0</v>
      </c>
      <c r="Y1437" s="5">
        <v>0</v>
      </c>
      <c r="Z1437" s="37">
        <v>0</v>
      </c>
      <c r="AA1437" s="5">
        <v>0</v>
      </c>
      <c r="AB1437" s="5">
        <v>0</v>
      </c>
      <c r="AC1437" s="5">
        <v>0</v>
      </c>
      <c r="AD1437" s="5">
        <v>0</v>
      </c>
      <c r="AE1437" s="10" t="s">
        <v>375</v>
      </c>
      <c r="AF1437" s="10"/>
      <c r="AG1437" s="10" t="s">
        <v>114</v>
      </c>
      <c r="AH1437" s="10">
        <v>41174</v>
      </c>
      <c r="AI1437" s="5">
        <v>8</v>
      </c>
      <c r="AJ1437" s="10" t="s">
        <v>7993</v>
      </c>
      <c r="AK1437" s="10" t="s">
        <v>1215</v>
      </c>
    </row>
    <row r="1438" spans="1:37" ht="36.75" customHeight="1" x14ac:dyDescent="0.35">
      <c r="A1438" s="5"/>
      <c r="B1438" s="5" t="s">
        <v>37</v>
      </c>
      <c r="C1438" s="73" t="str">
        <f t="shared" si="22"/>
        <v>Closed</v>
      </c>
      <c r="D1438" s="45" t="s">
        <v>7994</v>
      </c>
      <c r="E1438" s="54" t="s">
        <v>7995</v>
      </c>
      <c r="F1438" s="5" t="s">
        <v>358</v>
      </c>
      <c r="G1438" s="10">
        <f>DATE(2012,9,24)</f>
        <v>41176</v>
      </c>
      <c r="H1438" s="35">
        <v>1.5659722222222223</v>
      </c>
      <c r="I1438" s="5" t="s">
        <v>97</v>
      </c>
      <c r="J1438" s="10" t="s">
        <v>7996</v>
      </c>
      <c r="K1438" s="5" t="s">
        <v>360</v>
      </c>
      <c r="L1438" s="5" t="s">
        <v>7997</v>
      </c>
      <c r="M1438" s="5" t="s">
        <v>45</v>
      </c>
      <c r="N1438" s="5" t="s">
        <v>123</v>
      </c>
      <c r="O1438" s="5" t="s">
        <v>46</v>
      </c>
      <c r="P1438" s="10" t="s">
        <v>443</v>
      </c>
      <c r="Q1438" s="10" t="s">
        <v>2886</v>
      </c>
      <c r="R1438" s="10" t="s">
        <v>363</v>
      </c>
      <c r="S1438" s="5">
        <v>0</v>
      </c>
      <c r="T1438" s="37">
        <v>1</v>
      </c>
      <c r="U1438" s="5">
        <v>0</v>
      </c>
      <c r="V1438" s="37">
        <v>0</v>
      </c>
      <c r="W1438" s="5">
        <v>0</v>
      </c>
      <c r="X1438" s="5">
        <v>1</v>
      </c>
      <c r="Y1438" s="5">
        <v>0</v>
      </c>
      <c r="Z1438" s="37">
        <v>0</v>
      </c>
      <c r="AA1438" s="5">
        <v>0</v>
      </c>
      <c r="AB1438" s="5">
        <v>0</v>
      </c>
      <c r="AC1438" s="5">
        <v>0</v>
      </c>
      <c r="AD1438" s="5">
        <v>0</v>
      </c>
      <c r="AE1438" s="10" t="s">
        <v>126</v>
      </c>
      <c r="AF1438" s="10"/>
      <c r="AG1438" s="10" t="s">
        <v>64</v>
      </c>
      <c r="AH1438" s="10">
        <v>41176</v>
      </c>
      <c r="AI1438" s="5">
        <v>3</v>
      </c>
      <c r="AJ1438" s="10" t="s">
        <v>7998</v>
      </c>
      <c r="AK1438" s="10" t="s">
        <v>7988</v>
      </c>
    </row>
    <row r="1439" spans="1:37" ht="36.75" customHeight="1" x14ac:dyDescent="0.35">
      <c r="A1439" s="5"/>
      <c r="B1439" s="5" t="s">
        <v>37</v>
      </c>
      <c r="C1439" s="73" t="str">
        <f t="shared" si="22"/>
        <v>Closed</v>
      </c>
      <c r="D1439" s="45" t="s">
        <v>7999</v>
      </c>
      <c r="E1439" s="54" t="s">
        <v>8000</v>
      </c>
      <c r="F1439" s="5" t="s">
        <v>105</v>
      </c>
      <c r="G1439" s="10">
        <f>DATE(2012,9,26)</f>
        <v>41178</v>
      </c>
      <c r="H1439" s="35">
        <v>1.7965277777777779</v>
      </c>
      <c r="I1439" s="5" t="s">
        <v>2244</v>
      </c>
      <c r="J1439" s="10" t="s">
        <v>8001</v>
      </c>
      <c r="K1439" s="5" t="s">
        <v>108</v>
      </c>
      <c r="L1439" s="5" t="s">
        <v>8002</v>
      </c>
      <c r="M1439" s="5" t="s">
        <v>45</v>
      </c>
      <c r="N1439" s="5" t="s">
        <v>70</v>
      </c>
      <c r="O1439" s="5" t="s">
        <v>59</v>
      </c>
      <c r="P1439" s="10" t="s">
        <v>8003</v>
      </c>
      <c r="Q1439" s="10" t="s">
        <v>8004</v>
      </c>
      <c r="R1439" s="10" t="s">
        <v>148</v>
      </c>
      <c r="S1439" s="5">
        <v>0</v>
      </c>
      <c r="T1439" s="37">
        <v>0</v>
      </c>
      <c r="U1439" s="5">
        <v>0</v>
      </c>
      <c r="V1439" s="37">
        <v>0</v>
      </c>
      <c r="W1439" s="5">
        <v>0</v>
      </c>
      <c r="X1439" s="5">
        <v>0</v>
      </c>
      <c r="Y1439" s="5">
        <v>0</v>
      </c>
      <c r="Z1439" s="37">
        <v>0</v>
      </c>
      <c r="AA1439" s="5">
        <v>0</v>
      </c>
      <c r="AB1439" s="5">
        <v>0</v>
      </c>
      <c r="AC1439" s="5">
        <v>0</v>
      </c>
      <c r="AD1439" s="5">
        <v>0</v>
      </c>
      <c r="AE1439" s="10" t="s">
        <v>73</v>
      </c>
      <c r="AF1439" s="10"/>
      <c r="AG1439" s="10" t="s">
        <v>114</v>
      </c>
      <c r="AH1439" s="10">
        <v>41183</v>
      </c>
      <c r="AI1439" s="5">
        <v>1</v>
      </c>
      <c r="AJ1439" s="10" t="s">
        <v>8005</v>
      </c>
      <c r="AK1439" s="10" t="s">
        <v>8006</v>
      </c>
    </row>
    <row r="1440" spans="1:37" ht="36.75" customHeight="1" x14ac:dyDescent="0.35">
      <c r="A1440" s="5"/>
      <c r="B1440" s="5" t="s">
        <v>37</v>
      </c>
      <c r="C1440" s="73" t="str">
        <f t="shared" si="22"/>
        <v>Closed</v>
      </c>
      <c r="D1440" s="45" t="s">
        <v>8007</v>
      </c>
      <c r="E1440" s="54" t="s">
        <v>8008</v>
      </c>
      <c r="F1440" s="5" t="s">
        <v>178</v>
      </c>
      <c r="G1440" s="10">
        <f>DATE(2012,9,28)</f>
        <v>41180</v>
      </c>
      <c r="H1440" s="35">
        <v>1.2402777777777778</v>
      </c>
      <c r="I1440" s="5" t="s">
        <v>55</v>
      </c>
      <c r="J1440" s="10" t="s">
        <v>8009</v>
      </c>
      <c r="K1440" s="5" t="s">
        <v>181</v>
      </c>
      <c r="L1440" s="5" t="s">
        <v>7164</v>
      </c>
      <c r="M1440" s="5" t="s">
        <v>45</v>
      </c>
      <c r="N1440" s="5" t="s">
        <v>123</v>
      </c>
      <c r="O1440" s="5" t="s">
        <v>59</v>
      </c>
      <c r="P1440" s="10" t="s">
        <v>47</v>
      </c>
      <c r="Q1440" s="10">
        <v>0</v>
      </c>
      <c r="R1440" s="10">
        <v>0</v>
      </c>
      <c r="S1440" s="5">
        <v>0</v>
      </c>
      <c r="T1440" s="37">
        <v>0</v>
      </c>
      <c r="U1440" s="5">
        <v>0</v>
      </c>
      <c r="V1440" s="37">
        <v>0</v>
      </c>
      <c r="W1440" s="5">
        <v>0</v>
      </c>
      <c r="X1440" s="5">
        <v>0</v>
      </c>
      <c r="Y1440" s="5">
        <v>0</v>
      </c>
      <c r="Z1440" s="37">
        <v>0</v>
      </c>
      <c r="AA1440" s="5">
        <v>0</v>
      </c>
      <c r="AB1440" s="5">
        <v>0</v>
      </c>
      <c r="AC1440" s="5">
        <v>0</v>
      </c>
      <c r="AD1440" s="5">
        <v>0</v>
      </c>
      <c r="AE1440" s="10" t="s">
        <v>375</v>
      </c>
      <c r="AF1440" s="10"/>
      <c r="AG1440" s="10" t="s">
        <v>114</v>
      </c>
      <c r="AH1440" s="10">
        <v>41180</v>
      </c>
      <c r="AI1440" s="5">
        <v>4</v>
      </c>
      <c r="AJ1440" s="10" t="s">
        <v>8010</v>
      </c>
      <c r="AK1440" s="10" t="s">
        <v>1215</v>
      </c>
    </row>
    <row r="1441" spans="1:37" ht="36.75" customHeight="1" x14ac:dyDescent="0.35">
      <c r="A1441" s="5"/>
      <c r="B1441" s="5" t="s">
        <v>37</v>
      </c>
      <c r="C1441" s="73" t="str">
        <f t="shared" si="22"/>
        <v>Closed</v>
      </c>
      <c r="D1441" s="45" t="s">
        <v>8011</v>
      </c>
      <c r="E1441" s="54" t="s">
        <v>8012</v>
      </c>
      <c r="F1441" s="5" t="s">
        <v>1553</v>
      </c>
      <c r="G1441" s="10">
        <f>DATE(2012,9,28)</f>
        <v>41180</v>
      </c>
      <c r="H1441" s="35">
        <v>1.2333333333333334</v>
      </c>
      <c r="I1441" s="5" t="s">
        <v>55</v>
      </c>
      <c r="J1441" s="10" t="s">
        <v>8013</v>
      </c>
      <c r="K1441" s="5" t="s">
        <v>1555</v>
      </c>
      <c r="L1441" s="5" t="s">
        <v>8014</v>
      </c>
      <c r="M1441" s="5" t="s">
        <v>45</v>
      </c>
      <c r="N1441" s="5" t="s">
        <v>80</v>
      </c>
      <c r="O1441" s="5" t="s">
        <v>59</v>
      </c>
      <c r="P1441" s="10" t="s">
        <v>60</v>
      </c>
      <c r="Q1441" s="10" t="s">
        <v>2635</v>
      </c>
      <c r="R1441" s="10" t="s">
        <v>6413</v>
      </c>
      <c r="S1441" s="5">
        <v>0</v>
      </c>
      <c r="T1441" s="37">
        <v>0</v>
      </c>
      <c r="U1441" s="5">
        <v>0</v>
      </c>
      <c r="V1441" s="37">
        <v>0</v>
      </c>
      <c r="W1441" s="5">
        <v>0</v>
      </c>
      <c r="X1441" s="5">
        <v>0</v>
      </c>
      <c r="Y1441" s="5">
        <v>0</v>
      </c>
      <c r="Z1441" s="37">
        <v>0</v>
      </c>
      <c r="AA1441" s="5">
        <v>0</v>
      </c>
      <c r="AB1441" s="5">
        <v>0</v>
      </c>
      <c r="AC1441" s="5">
        <v>0</v>
      </c>
      <c r="AD1441" s="5">
        <v>0</v>
      </c>
      <c r="AE1441" s="10" t="s">
        <v>73</v>
      </c>
      <c r="AF1441" s="10"/>
      <c r="AG1441" s="10" t="s">
        <v>114</v>
      </c>
      <c r="AH1441" s="10">
        <v>41180</v>
      </c>
      <c r="AI1441" s="5">
        <v>0</v>
      </c>
      <c r="AJ1441" s="10" t="s">
        <v>8015</v>
      </c>
      <c r="AK1441" s="10" t="s">
        <v>8016</v>
      </c>
    </row>
    <row r="1442" spans="1:37" ht="36.75" customHeight="1" x14ac:dyDescent="0.35">
      <c r="A1442" s="5"/>
      <c r="B1442" s="5" t="s">
        <v>37</v>
      </c>
      <c r="C1442" s="73" t="str">
        <f t="shared" si="22"/>
        <v>Closed</v>
      </c>
      <c r="D1442" s="45" t="s">
        <v>8017</v>
      </c>
      <c r="E1442" s="54" t="s">
        <v>8018</v>
      </c>
      <c r="F1442" s="5" t="s">
        <v>563</v>
      </c>
      <c r="G1442" s="10">
        <f>DATE(2012,9,29)</f>
        <v>41181</v>
      </c>
      <c r="H1442" s="35">
        <v>1.4875</v>
      </c>
      <c r="I1442" s="5" t="s">
        <v>55</v>
      </c>
      <c r="J1442" s="10" t="s">
        <v>8019</v>
      </c>
      <c r="K1442" s="5" t="s">
        <v>565</v>
      </c>
      <c r="L1442" s="5" t="s">
        <v>7805</v>
      </c>
      <c r="M1442" s="5" t="s">
        <v>45</v>
      </c>
      <c r="N1442" s="5" t="s">
        <v>70</v>
      </c>
      <c r="O1442" s="5" t="s">
        <v>59</v>
      </c>
      <c r="P1442" s="10" t="s">
        <v>47</v>
      </c>
      <c r="Q1442" s="10" t="s">
        <v>2002</v>
      </c>
      <c r="R1442" s="10" t="s">
        <v>568</v>
      </c>
      <c r="S1442" s="5">
        <v>0</v>
      </c>
      <c r="T1442" s="37">
        <v>0</v>
      </c>
      <c r="U1442" s="5">
        <v>0</v>
      </c>
      <c r="V1442" s="37">
        <v>0</v>
      </c>
      <c r="W1442" s="5">
        <v>0</v>
      </c>
      <c r="X1442" s="5">
        <v>0</v>
      </c>
      <c r="Y1442" s="5">
        <v>0</v>
      </c>
      <c r="Z1442" s="37">
        <v>0</v>
      </c>
      <c r="AA1442" s="5">
        <v>0</v>
      </c>
      <c r="AB1442" s="5">
        <v>0</v>
      </c>
      <c r="AC1442" s="5">
        <v>0</v>
      </c>
      <c r="AD1442" s="5">
        <v>0</v>
      </c>
      <c r="AE1442" s="10" t="s">
        <v>375</v>
      </c>
      <c r="AF1442" s="10"/>
      <c r="AG1442" s="10" t="s">
        <v>570</v>
      </c>
      <c r="AH1442" s="10">
        <v>41183</v>
      </c>
      <c r="AI1442" s="5">
        <v>0</v>
      </c>
      <c r="AJ1442" s="10" t="s">
        <v>8020</v>
      </c>
      <c r="AK1442" s="10" t="s">
        <v>1215</v>
      </c>
    </row>
    <row r="1443" spans="1:37" ht="36.75" customHeight="1" x14ac:dyDescent="0.35">
      <c r="A1443" s="5"/>
      <c r="B1443" s="5" t="s">
        <v>37</v>
      </c>
      <c r="C1443" s="73" t="str">
        <f t="shared" si="22"/>
        <v>Closed</v>
      </c>
      <c r="D1443" s="45" t="s">
        <v>8021</v>
      </c>
      <c r="E1443" s="54" t="s">
        <v>8022</v>
      </c>
      <c r="F1443" s="5" t="s">
        <v>1553</v>
      </c>
      <c r="G1443" s="10">
        <f>DATE(2012,10,2)</f>
        <v>41184</v>
      </c>
      <c r="H1443" s="35">
        <v>1.7986111111111112</v>
      </c>
      <c r="I1443" s="5" t="s">
        <v>55</v>
      </c>
      <c r="J1443" s="10" t="s">
        <v>8023</v>
      </c>
      <c r="K1443" s="5" t="s">
        <v>1555</v>
      </c>
      <c r="L1443" s="5" t="s">
        <v>8024</v>
      </c>
      <c r="M1443" s="5" t="s">
        <v>45</v>
      </c>
      <c r="N1443" s="5" t="s">
        <v>80</v>
      </c>
      <c r="O1443" s="5" t="s">
        <v>46</v>
      </c>
      <c r="P1443" s="10" t="s">
        <v>60</v>
      </c>
      <c r="Q1443" s="10" t="s">
        <v>5245</v>
      </c>
      <c r="R1443" s="10" t="s">
        <v>6413</v>
      </c>
      <c r="S1443" s="5">
        <v>0</v>
      </c>
      <c r="T1443" s="37">
        <v>0</v>
      </c>
      <c r="U1443" s="5">
        <v>0</v>
      </c>
      <c r="V1443" s="37">
        <v>0</v>
      </c>
      <c r="W1443" s="5">
        <v>0</v>
      </c>
      <c r="X1443" s="5">
        <v>0</v>
      </c>
      <c r="Y1443" s="5">
        <v>0</v>
      </c>
      <c r="Z1443" s="37">
        <v>0</v>
      </c>
      <c r="AA1443" s="5">
        <v>0</v>
      </c>
      <c r="AB1443" s="5">
        <v>0</v>
      </c>
      <c r="AC1443" s="5">
        <v>0</v>
      </c>
      <c r="AD1443" s="5">
        <v>0</v>
      </c>
      <c r="AE1443" s="10" t="s">
        <v>73</v>
      </c>
      <c r="AF1443" s="10"/>
      <c r="AG1443" s="10" t="s">
        <v>114</v>
      </c>
      <c r="AH1443" s="10">
        <v>41186</v>
      </c>
      <c r="AI1443" s="5">
        <v>0</v>
      </c>
      <c r="AJ1443" s="10" t="s">
        <v>8025</v>
      </c>
      <c r="AK1443" s="10" t="s">
        <v>8026</v>
      </c>
    </row>
    <row r="1444" spans="1:37" ht="36.75" customHeight="1" x14ac:dyDescent="0.35">
      <c r="A1444" s="5"/>
      <c r="B1444" s="5" t="s">
        <v>37</v>
      </c>
      <c r="C1444" s="73" t="str">
        <f t="shared" si="22"/>
        <v>Closed</v>
      </c>
      <c r="D1444" s="45" t="s">
        <v>8027</v>
      </c>
      <c r="E1444" s="54" t="s">
        <v>8028</v>
      </c>
      <c r="F1444" s="5" t="s">
        <v>605</v>
      </c>
      <c r="G1444" s="10">
        <f>DATE(2012,10,2)</f>
        <v>41184</v>
      </c>
      <c r="H1444" s="35">
        <v>1.5833333333333335</v>
      </c>
      <c r="I1444" s="5" t="s">
        <v>5473</v>
      </c>
      <c r="J1444" s="10" t="s">
        <v>8029</v>
      </c>
      <c r="K1444" s="5" t="s">
        <v>607</v>
      </c>
      <c r="L1444" s="5" t="s">
        <v>8030</v>
      </c>
      <c r="M1444" s="5" t="s">
        <v>45</v>
      </c>
      <c r="N1444" s="5" t="s">
        <v>70</v>
      </c>
      <c r="O1444" s="5" t="s">
        <v>59</v>
      </c>
      <c r="P1444" s="10" t="s">
        <v>362</v>
      </c>
      <c r="Q1444" s="10">
        <v>0</v>
      </c>
      <c r="R1444" s="10" t="s">
        <v>610</v>
      </c>
      <c r="S1444" s="5">
        <v>0</v>
      </c>
      <c r="T1444" s="37">
        <v>0</v>
      </c>
      <c r="U1444" s="5">
        <v>0</v>
      </c>
      <c r="V1444" s="37">
        <v>0</v>
      </c>
      <c r="W1444" s="5">
        <v>0</v>
      </c>
      <c r="X1444" s="5">
        <v>0</v>
      </c>
      <c r="Y1444" s="5">
        <v>0</v>
      </c>
      <c r="Z1444" s="37">
        <v>0</v>
      </c>
      <c r="AA1444" s="5">
        <v>0</v>
      </c>
      <c r="AB1444" s="5">
        <v>0</v>
      </c>
      <c r="AC1444" s="5">
        <v>0</v>
      </c>
      <c r="AD1444" s="5">
        <v>0</v>
      </c>
      <c r="AE1444" s="10" t="s">
        <v>73</v>
      </c>
      <c r="AF1444" s="10"/>
      <c r="AG1444" s="10" t="s">
        <v>1489</v>
      </c>
      <c r="AH1444" s="10">
        <v>41184</v>
      </c>
      <c r="AI1444" s="5">
        <v>1</v>
      </c>
      <c r="AJ1444" s="10" t="s">
        <v>8031</v>
      </c>
      <c r="AK1444" s="10" t="s">
        <v>50</v>
      </c>
    </row>
    <row r="1445" spans="1:37" ht="36.75" customHeight="1" x14ac:dyDescent="0.35">
      <c r="A1445" s="5"/>
      <c r="B1445" s="5" t="s">
        <v>37</v>
      </c>
      <c r="C1445" s="73" t="str">
        <f t="shared" si="22"/>
        <v>Closed</v>
      </c>
      <c r="D1445" s="45" t="s">
        <v>8032</v>
      </c>
      <c r="E1445" s="54" t="s">
        <v>8033</v>
      </c>
      <c r="F1445" s="5" t="s">
        <v>105</v>
      </c>
      <c r="G1445" s="10">
        <f>DATE(2012,10,7)</f>
        <v>41189</v>
      </c>
      <c r="H1445" s="35">
        <v>1.6458333333333335</v>
      </c>
      <c r="I1445" s="5" t="s">
        <v>106</v>
      </c>
      <c r="J1445" s="10" t="s">
        <v>8034</v>
      </c>
      <c r="K1445" s="5" t="s">
        <v>108</v>
      </c>
      <c r="L1445" s="5" t="s">
        <v>8035</v>
      </c>
      <c r="M1445" s="5" t="s">
        <v>45</v>
      </c>
      <c r="N1445" s="5" t="s">
        <v>70</v>
      </c>
      <c r="O1445" s="5" t="s">
        <v>59</v>
      </c>
      <c r="P1445" s="10" t="s">
        <v>146</v>
      </c>
      <c r="Q1445" s="10" t="s">
        <v>3161</v>
      </c>
      <c r="R1445" s="10" t="s">
        <v>148</v>
      </c>
      <c r="S1445" s="5">
        <v>0</v>
      </c>
      <c r="T1445" s="37">
        <v>0</v>
      </c>
      <c r="U1445" s="5">
        <v>0</v>
      </c>
      <c r="V1445" s="37">
        <v>0</v>
      </c>
      <c r="W1445" s="5">
        <v>0</v>
      </c>
      <c r="X1445" s="5">
        <v>0</v>
      </c>
      <c r="Y1445" s="5">
        <v>0</v>
      </c>
      <c r="Z1445" s="37">
        <v>0</v>
      </c>
      <c r="AA1445" s="5">
        <v>0</v>
      </c>
      <c r="AB1445" s="5">
        <v>0</v>
      </c>
      <c r="AC1445" s="5">
        <v>0</v>
      </c>
      <c r="AD1445" s="5">
        <v>0</v>
      </c>
      <c r="AE1445" s="10" t="s">
        <v>73</v>
      </c>
      <c r="AF1445" s="10"/>
      <c r="AG1445" s="10" t="s">
        <v>114</v>
      </c>
      <c r="AH1445" s="10">
        <v>41214</v>
      </c>
      <c r="AI1445" s="5">
        <v>1</v>
      </c>
      <c r="AJ1445" s="10" t="s">
        <v>8036</v>
      </c>
      <c r="AK1445" s="10" t="s">
        <v>50</v>
      </c>
    </row>
    <row r="1446" spans="1:37" ht="36.75" customHeight="1" x14ac:dyDescent="0.35">
      <c r="A1446" s="5"/>
      <c r="B1446" s="5" t="s">
        <v>37</v>
      </c>
      <c r="C1446" s="73" t="str">
        <f t="shared" si="22"/>
        <v>Closed</v>
      </c>
      <c r="D1446" s="45" t="s">
        <v>8037</v>
      </c>
      <c r="E1446" s="54" t="s">
        <v>8038</v>
      </c>
      <c r="F1446" s="5" t="s">
        <v>619</v>
      </c>
      <c r="G1446" s="10">
        <f>DATE(2012,10,8)</f>
        <v>41190</v>
      </c>
      <c r="H1446" s="35">
        <v>1.325</v>
      </c>
      <c r="I1446" s="5" t="s">
        <v>7461</v>
      </c>
      <c r="J1446" s="10" t="s">
        <v>8039</v>
      </c>
      <c r="K1446" s="5" t="s">
        <v>621</v>
      </c>
      <c r="L1446" s="5" t="s">
        <v>8040</v>
      </c>
      <c r="M1446" s="5" t="s">
        <v>45</v>
      </c>
      <c r="N1446" s="5" t="s">
        <v>80</v>
      </c>
      <c r="O1446" s="5" t="s">
        <v>46</v>
      </c>
      <c r="P1446" s="10" t="s">
        <v>146</v>
      </c>
      <c r="Q1446" s="10" t="s">
        <v>623</v>
      </c>
      <c r="R1446" s="10" t="s">
        <v>624</v>
      </c>
      <c r="S1446" s="5">
        <v>0</v>
      </c>
      <c r="T1446" s="37">
        <v>0</v>
      </c>
      <c r="U1446" s="5">
        <v>0</v>
      </c>
      <c r="V1446" s="37">
        <v>0</v>
      </c>
      <c r="W1446" s="5">
        <v>0</v>
      </c>
      <c r="X1446" s="5">
        <v>0</v>
      </c>
      <c r="Y1446" s="5">
        <v>0</v>
      </c>
      <c r="Z1446" s="37">
        <v>0</v>
      </c>
      <c r="AA1446" s="5">
        <v>0</v>
      </c>
      <c r="AB1446" s="5">
        <v>0</v>
      </c>
      <c r="AC1446" s="5">
        <v>0</v>
      </c>
      <c r="AD1446" s="5">
        <v>0</v>
      </c>
      <c r="AE1446" s="10" t="s">
        <v>73</v>
      </c>
      <c r="AF1446" s="10"/>
      <c r="AG1446" s="10" t="s">
        <v>333</v>
      </c>
      <c r="AH1446" s="10">
        <v>41204</v>
      </c>
      <c r="AI1446" s="5">
        <v>1</v>
      </c>
      <c r="AJ1446" s="10" t="s">
        <v>8041</v>
      </c>
      <c r="AK1446" s="10" t="s">
        <v>50</v>
      </c>
    </row>
    <row r="1447" spans="1:37" ht="36.75" customHeight="1" x14ac:dyDescent="0.35">
      <c r="A1447" s="5"/>
      <c r="B1447" s="5" t="s">
        <v>37</v>
      </c>
      <c r="C1447" s="73" t="str">
        <f t="shared" si="22"/>
        <v>Closed</v>
      </c>
      <c r="D1447" s="45" t="s">
        <v>8042</v>
      </c>
      <c r="E1447" s="54" t="s">
        <v>8043</v>
      </c>
      <c r="F1447" s="5" t="s">
        <v>605</v>
      </c>
      <c r="G1447" s="10">
        <f>DATE(2012,10,8)</f>
        <v>41190</v>
      </c>
      <c r="H1447" s="35">
        <v>1.3472222222222223</v>
      </c>
      <c r="I1447" s="5" t="s">
        <v>55</v>
      </c>
      <c r="J1447" s="10" t="s">
        <v>8044</v>
      </c>
      <c r="K1447" s="5" t="s">
        <v>607</v>
      </c>
      <c r="L1447" s="5" t="s">
        <v>8045</v>
      </c>
      <c r="M1447" s="5" t="s">
        <v>45</v>
      </c>
      <c r="N1447" s="5" t="s">
        <v>123</v>
      </c>
      <c r="O1447" s="5" t="s">
        <v>46</v>
      </c>
      <c r="P1447" s="10" t="s">
        <v>60</v>
      </c>
      <c r="Q1447" s="10" t="s">
        <v>730</v>
      </c>
      <c r="R1447" s="10" t="s">
        <v>610</v>
      </c>
      <c r="S1447" s="5">
        <v>0</v>
      </c>
      <c r="T1447" s="37">
        <v>0</v>
      </c>
      <c r="U1447" s="5">
        <v>0</v>
      </c>
      <c r="V1447" s="37">
        <v>0</v>
      </c>
      <c r="W1447" s="5">
        <v>0</v>
      </c>
      <c r="X1447" s="5">
        <v>0</v>
      </c>
      <c r="Y1447" s="5">
        <v>0</v>
      </c>
      <c r="Z1447" s="37">
        <v>0</v>
      </c>
      <c r="AA1447" s="5">
        <v>0</v>
      </c>
      <c r="AB1447" s="5">
        <v>0</v>
      </c>
      <c r="AC1447" s="5">
        <v>0</v>
      </c>
      <c r="AD1447" s="5">
        <v>0</v>
      </c>
      <c r="AE1447" s="10" t="s">
        <v>73</v>
      </c>
      <c r="AF1447" s="10"/>
      <c r="AG1447" s="10" t="s">
        <v>114</v>
      </c>
      <c r="AH1447" s="10">
        <v>41190</v>
      </c>
      <c r="AI1447" s="5">
        <v>2</v>
      </c>
      <c r="AJ1447" s="10" t="s">
        <v>8046</v>
      </c>
      <c r="AK1447" s="10" t="s">
        <v>50</v>
      </c>
    </row>
    <row r="1448" spans="1:37" ht="36.75" customHeight="1" x14ac:dyDescent="0.35">
      <c r="A1448" s="5"/>
      <c r="B1448" s="5" t="s">
        <v>37</v>
      </c>
      <c r="C1448" s="73" t="str">
        <f t="shared" si="22"/>
        <v>Closed</v>
      </c>
      <c r="D1448" s="45" t="s">
        <v>8047</v>
      </c>
      <c r="E1448" s="54" t="s">
        <v>8048</v>
      </c>
      <c r="F1448" s="5" t="s">
        <v>816</v>
      </c>
      <c r="G1448" s="10">
        <f>DATE(2012,10,11)</f>
        <v>41193</v>
      </c>
      <c r="H1448" s="35">
        <v>1.625</v>
      </c>
      <c r="I1448" s="5" t="s">
        <v>2059</v>
      </c>
      <c r="J1448" s="10" t="s">
        <v>8049</v>
      </c>
      <c r="K1448" s="5" t="s">
        <v>818</v>
      </c>
      <c r="L1448" s="5" t="s">
        <v>8050</v>
      </c>
      <c r="M1448" s="5" t="s">
        <v>236</v>
      </c>
      <c r="N1448" s="5" t="s">
        <v>80</v>
      </c>
      <c r="O1448" s="5" t="s">
        <v>59</v>
      </c>
      <c r="P1448" s="10" t="s">
        <v>6531</v>
      </c>
      <c r="Q1448" s="10">
        <v>0</v>
      </c>
      <c r="R1448" s="10">
        <v>0</v>
      </c>
      <c r="S1448" s="5">
        <v>0</v>
      </c>
      <c r="T1448" s="37">
        <v>0</v>
      </c>
      <c r="U1448" s="5">
        <v>0</v>
      </c>
      <c r="V1448" s="37">
        <v>0</v>
      </c>
      <c r="W1448" s="5">
        <v>0</v>
      </c>
      <c r="X1448" s="5">
        <v>0</v>
      </c>
      <c r="Y1448" s="5">
        <v>0</v>
      </c>
      <c r="Z1448" s="37">
        <v>0</v>
      </c>
      <c r="AA1448" s="5">
        <v>0</v>
      </c>
      <c r="AB1448" s="5">
        <v>0</v>
      </c>
      <c r="AC1448" s="5">
        <v>0</v>
      </c>
      <c r="AD1448" s="5">
        <v>0</v>
      </c>
      <c r="AE1448" s="10" t="s">
        <v>73</v>
      </c>
      <c r="AF1448" s="10"/>
      <c r="AG1448" s="10" t="s">
        <v>348</v>
      </c>
      <c r="AH1448" s="10">
        <v>41193</v>
      </c>
      <c r="AI1448" s="5">
        <v>0</v>
      </c>
      <c r="AJ1448" s="10" t="s">
        <v>8051</v>
      </c>
      <c r="AK1448" s="10" t="s">
        <v>50</v>
      </c>
    </row>
    <row r="1449" spans="1:37" ht="36.75" customHeight="1" x14ac:dyDescent="0.35">
      <c r="A1449" s="5"/>
      <c r="B1449" s="5" t="s">
        <v>37</v>
      </c>
      <c r="C1449" s="73" t="str">
        <f t="shared" si="22"/>
        <v>Closed</v>
      </c>
      <c r="D1449" s="45" t="s">
        <v>8052</v>
      </c>
      <c r="E1449" s="54" t="s">
        <v>8053</v>
      </c>
      <c r="F1449" s="5" t="s">
        <v>1553</v>
      </c>
      <c r="G1449" s="10">
        <f>DATE(2012,10,12)</f>
        <v>41194</v>
      </c>
      <c r="H1449" s="35">
        <v>1.0138888888888888</v>
      </c>
      <c r="I1449" s="5" t="s">
        <v>55</v>
      </c>
      <c r="J1449" s="10" t="s">
        <v>8054</v>
      </c>
      <c r="K1449" s="5" t="s">
        <v>1555</v>
      </c>
      <c r="L1449" s="5" t="s">
        <v>8055</v>
      </c>
      <c r="M1449" s="5" t="s">
        <v>45</v>
      </c>
      <c r="N1449" s="5" t="s">
        <v>80</v>
      </c>
      <c r="O1449" s="5" t="s">
        <v>46</v>
      </c>
      <c r="P1449" s="10" t="s">
        <v>60</v>
      </c>
      <c r="Q1449" s="10" t="s">
        <v>8056</v>
      </c>
      <c r="R1449" s="10" t="s">
        <v>2541</v>
      </c>
      <c r="S1449" s="5">
        <v>0</v>
      </c>
      <c r="T1449" s="37">
        <v>0</v>
      </c>
      <c r="U1449" s="5">
        <v>0</v>
      </c>
      <c r="V1449" s="37">
        <v>0</v>
      </c>
      <c r="W1449" s="5">
        <v>0</v>
      </c>
      <c r="X1449" s="5">
        <v>0</v>
      </c>
      <c r="Y1449" s="5">
        <v>0</v>
      </c>
      <c r="Z1449" s="37">
        <v>0</v>
      </c>
      <c r="AA1449" s="5">
        <v>0</v>
      </c>
      <c r="AB1449" s="5">
        <v>0</v>
      </c>
      <c r="AC1449" s="5">
        <v>0</v>
      </c>
      <c r="AD1449" s="5">
        <v>0</v>
      </c>
      <c r="AE1449" s="10" t="s">
        <v>73</v>
      </c>
      <c r="AF1449" s="10"/>
      <c r="AG1449" s="10" t="s">
        <v>114</v>
      </c>
      <c r="AH1449" s="10">
        <v>41197</v>
      </c>
      <c r="AI1449" s="5">
        <v>0</v>
      </c>
      <c r="AJ1449" s="10" t="s">
        <v>8057</v>
      </c>
      <c r="AK1449" s="10" t="s">
        <v>8058</v>
      </c>
    </row>
    <row r="1450" spans="1:37" ht="36.75" customHeight="1" x14ac:dyDescent="0.35">
      <c r="A1450" s="5"/>
      <c r="B1450" s="5" t="s">
        <v>37</v>
      </c>
      <c r="C1450" s="73" t="str">
        <f t="shared" si="22"/>
        <v>Closed</v>
      </c>
      <c r="D1450" s="45" t="s">
        <v>8059</v>
      </c>
      <c r="E1450" s="54" t="s">
        <v>8060</v>
      </c>
      <c r="F1450" s="5" t="s">
        <v>605</v>
      </c>
      <c r="G1450" s="10">
        <f>DATE(2012,10,18)</f>
        <v>41200</v>
      </c>
      <c r="H1450" s="35">
        <v>1.5694444444444444</v>
      </c>
      <c r="I1450" s="5" t="s">
        <v>55</v>
      </c>
      <c r="J1450" s="10" t="s">
        <v>8061</v>
      </c>
      <c r="K1450" s="5" t="s">
        <v>607</v>
      </c>
      <c r="L1450" s="5" t="s">
        <v>8062</v>
      </c>
      <c r="M1450" s="5" t="s">
        <v>45</v>
      </c>
      <c r="N1450" s="5" t="s">
        <v>123</v>
      </c>
      <c r="O1450" s="5" t="s">
        <v>59</v>
      </c>
      <c r="P1450" s="10" t="s">
        <v>60</v>
      </c>
      <c r="Q1450" s="10" t="s">
        <v>730</v>
      </c>
      <c r="R1450" s="10" t="s">
        <v>610</v>
      </c>
      <c r="S1450" s="5">
        <v>0</v>
      </c>
      <c r="T1450" s="37">
        <v>0</v>
      </c>
      <c r="U1450" s="5">
        <v>0</v>
      </c>
      <c r="V1450" s="37">
        <v>0</v>
      </c>
      <c r="W1450" s="5">
        <v>0</v>
      </c>
      <c r="X1450" s="5">
        <v>0</v>
      </c>
      <c r="Y1450" s="5">
        <v>0</v>
      </c>
      <c r="Z1450" s="37">
        <v>0</v>
      </c>
      <c r="AA1450" s="5">
        <v>0</v>
      </c>
      <c r="AB1450" s="5">
        <v>0</v>
      </c>
      <c r="AC1450" s="5">
        <v>0</v>
      </c>
      <c r="AD1450" s="5">
        <v>0</v>
      </c>
      <c r="AE1450" s="10" t="s">
        <v>73</v>
      </c>
      <c r="AF1450" s="10"/>
      <c r="AG1450" s="10" t="s">
        <v>114</v>
      </c>
      <c r="AH1450" s="10">
        <v>41200</v>
      </c>
      <c r="AI1450" s="5">
        <v>2</v>
      </c>
      <c r="AJ1450" s="10" t="s">
        <v>8063</v>
      </c>
      <c r="AK1450" s="10" t="s">
        <v>50</v>
      </c>
    </row>
    <row r="1451" spans="1:37" ht="36.75" customHeight="1" x14ac:dyDescent="0.35">
      <c r="A1451" s="5"/>
      <c r="B1451" s="5" t="s">
        <v>37</v>
      </c>
      <c r="C1451" s="73" t="str">
        <f t="shared" si="22"/>
        <v>Closed</v>
      </c>
      <c r="D1451" s="45" t="s">
        <v>8064</v>
      </c>
      <c r="E1451" s="54" t="s">
        <v>8065</v>
      </c>
      <c r="F1451" s="5" t="s">
        <v>40</v>
      </c>
      <c r="G1451" s="10">
        <f>DATE(2012,10,19)</f>
        <v>41201</v>
      </c>
      <c r="H1451" s="35">
        <v>1.6930555555555555</v>
      </c>
      <c r="I1451" s="5" t="s">
        <v>2244</v>
      </c>
      <c r="J1451" s="10" t="s">
        <v>8066</v>
      </c>
      <c r="K1451" s="5" t="s">
        <v>43</v>
      </c>
      <c r="L1451" s="5" t="s">
        <v>8067</v>
      </c>
      <c r="M1451" s="5" t="s">
        <v>45</v>
      </c>
      <c r="N1451" s="5" t="s">
        <v>80</v>
      </c>
      <c r="O1451" s="5" t="s">
        <v>6854</v>
      </c>
      <c r="P1451" s="10" t="s">
        <v>60</v>
      </c>
      <c r="Q1451" s="10" t="s">
        <v>48</v>
      </c>
      <c r="R1451" s="10" t="s">
        <v>49</v>
      </c>
      <c r="S1451" s="5">
        <v>0</v>
      </c>
      <c r="T1451" s="37">
        <v>0</v>
      </c>
      <c r="U1451" s="5">
        <v>0</v>
      </c>
      <c r="V1451" s="37">
        <v>0</v>
      </c>
      <c r="W1451" s="5">
        <v>0</v>
      </c>
      <c r="X1451" s="5">
        <v>0</v>
      </c>
      <c r="Y1451" s="5">
        <v>0</v>
      </c>
      <c r="Z1451" s="37">
        <v>0</v>
      </c>
      <c r="AA1451" s="5">
        <v>0</v>
      </c>
      <c r="AB1451" s="5">
        <v>0</v>
      </c>
      <c r="AC1451" s="5">
        <v>0</v>
      </c>
      <c r="AD1451" s="5">
        <v>0</v>
      </c>
      <c r="AE1451" s="10" t="s">
        <v>73</v>
      </c>
      <c r="AF1451" s="10"/>
      <c r="AG1451" s="10" t="s">
        <v>51</v>
      </c>
      <c r="AH1451" s="10">
        <v>41207</v>
      </c>
      <c r="AI1451" s="5">
        <v>4</v>
      </c>
      <c r="AJ1451" s="10" t="s">
        <v>8068</v>
      </c>
      <c r="AK1451" s="10" t="s">
        <v>8069</v>
      </c>
    </row>
    <row r="1452" spans="1:37" ht="36.75" customHeight="1" x14ac:dyDescent="0.35">
      <c r="A1452" s="5"/>
      <c r="B1452" s="5" t="s">
        <v>37</v>
      </c>
      <c r="C1452" s="73" t="str">
        <f t="shared" si="22"/>
        <v>Closed</v>
      </c>
      <c r="D1452" s="45" t="s">
        <v>8070</v>
      </c>
      <c r="E1452" s="54" t="s">
        <v>8071</v>
      </c>
      <c r="F1452" s="5" t="s">
        <v>816</v>
      </c>
      <c r="G1452" s="10">
        <f>DATE(2012,10,19)</f>
        <v>41201</v>
      </c>
      <c r="H1452" s="35">
        <v>1.4791666666666667</v>
      </c>
      <c r="I1452" s="5" t="s">
        <v>55</v>
      </c>
      <c r="J1452" s="10" t="s">
        <v>8072</v>
      </c>
      <c r="K1452" s="5" t="s">
        <v>818</v>
      </c>
      <c r="L1452" s="5" t="s">
        <v>8073</v>
      </c>
      <c r="M1452" s="5" t="s">
        <v>45</v>
      </c>
      <c r="N1452" s="5" t="s">
        <v>123</v>
      </c>
      <c r="O1452" s="5" t="s">
        <v>59</v>
      </c>
      <c r="P1452" s="10" t="s">
        <v>60</v>
      </c>
      <c r="Q1452" s="10" t="s">
        <v>4688</v>
      </c>
      <c r="R1452" s="10" t="s">
        <v>821</v>
      </c>
      <c r="S1452" s="5">
        <v>0</v>
      </c>
      <c r="T1452" s="37">
        <v>0</v>
      </c>
      <c r="U1452" s="5">
        <v>0</v>
      </c>
      <c r="V1452" s="37">
        <v>0</v>
      </c>
      <c r="W1452" s="5">
        <v>0</v>
      </c>
      <c r="X1452" s="5">
        <v>0</v>
      </c>
      <c r="Y1452" s="5">
        <v>0</v>
      </c>
      <c r="Z1452" s="37">
        <v>0</v>
      </c>
      <c r="AA1452" s="5">
        <v>0</v>
      </c>
      <c r="AB1452" s="5">
        <v>0</v>
      </c>
      <c r="AC1452" s="5">
        <v>0</v>
      </c>
      <c r="AD1452" s="5">
        <v>0</v>
      </c>
      <c r="AE1452" s="10" t="s">
        <v>73</v>
      </c>
      <c r="AF1452" s="10"/>
      <c r="AG1452" s="10" t="s">
        <v>333</v>
      </c>
      <c r="AH1452" s="10">
        <v>41201</v>
      </c>
      <c r="AI1452" s="5">
        <v>1</v>
      </c>
      <c r="AJ1452" s="10" t="s">
        <v>8074</v>
      </c>
      <c r="AK1452" s="10" t="s">
        <v>8075</v>
      </c>
    </row>
    <row r="1453" spans="1:37" ht="36.75" customHeight="1" x14ac:dyDescent="0.35">
      <c r="A1453" s="5"/>
      <c r="B1453" s="5" t="s">
        <v>37</v>
      </c>
      <c r="C1453" s="73" t="str">
        <f t="shared" si="22"/>
        <v>Closed</v>
      </c>
      <c r="D1453" s="45" t="s">
        <v>8076</v>
      </c>
      <c r="E1453" s="54" t="s">
        <v>8077</v>
      </c>
      <c r="F1453" s="5" t="s">
        <v>178</v>
      </c>
      <c r="G1453" s="10">
        <f>DATE(2012,10,24)</f>
        <v>41206</v>
      </c>
      <c r="H1453" s="35">
        <v>1.0569444444444445</v>
      </c>
      <c r="I1453" s="5" t="s">
        <v>55</v>
      </c>
      <c r="J1453" s="10" t="s">
        <v>8078</v>
      </c>
      <c r="K1453" s="5" t="s">
        <v>181</v>
      </c>
      <c r="L1453" s="5" t="s">
        <v>8079</v>
      </c>
      <c r="M1453" s="5" t="s">
        <v>45</v>
      </c>
      <c r="N1453" s="5" t="s">
        <v>123</v>
      </c>
      <c r="O1453" s="5" t="s">
        <v>46</v>
      </c>
      <c r="P1453" s="10" t="s">
        <v>60</v>
      </c>
      <c r="Q1453" s="10" t="s">
        <v>1697</v>
      </c>
      <c r="R1453" s="10">
        <v>0</v>
      </c>
      <c r="S1453" s="5">
        <v>0</v>
      </c>
      <c r="T1453" s="37">
        <v>0</v>
      </c>
      <c r="U1453" s="5">
        <v>0</v>
      </c>
      <c r="V1453" s="37">
        <v>0</v>
      </c>
      <c r="W1453" s="5">
        <v>0</v>
      </c>
      <c r="X1453" s="5">
        <v>0</v>
      </c>
      <c r="Y1453" s="5">
        <v>0</v>
      </c>
      <c r="Z1453" s="37">
        <v>0</v>
      </c>
      <c r="AA1453" s="5">
        <v>0</v>
      </c>
      <c r="AB1453" s="5">
        <v>0</v>
      </c>
      <c r="AC1453" s="5">
        <v>0</v>
      </c>
      <c r="AD1453" s="5">
        <v>0</v>
      </c>
      <c r="AE1453" s="10" t="s">
        <v>126</v>
      </c>
      <c r="AF1453" s="10"/>
      <c r="AG1453" s="10" t="s">
        <v>64</v>
      </c>
      <c r="AH1453" s="10">
        <v>41225</v>
      </c>
      <c r="AI1453" s="5">
        <v>2</v>
      </c>
      <c r="AJ1453" s="10" t="s">
        <v>8080</v>
      </c>
      <c r="AK1453" s="10" t="s">
        <v>1215</v>
      </c>
    </row>
    <row r="1454" spans="1:37" ht="36.75" customHeight="1" x14ac:dyDescent="0.35">
      <c r="A1454" s="5"/>
      <c r="B1454" s="5" t="s">
        <v>37</v>
      </c>
      <c r="C1454" s="73" t="str">
        <f t="shared" si="22"/>
        <v>Closed</v>
      </c>
      <c r="D1454" s="45" t="s">
        <v>8081</v>
      </c>
      <c r="E1454" s="54" t="s">
        <v>8082</v>
      </c>
      <c r="F1454" s="5" t="s">
        <v>404</v>
      </c>
      <c r="G1454" s="10">
        <f>DATE(2012,10,24)</f>
        <v>41206</v>
      </c>
      <c r="H1454" s="35">
        <v>1.8263888888888888</v>
      </c>
      <c r="I1454" s="5" t="s">
        <v>55</v>
      </c>
      <c r="J1454" s="10" t="s">
        <v>8083</v>
      </c>
      <c r="K1454" s="5" t="s">
        <v>406</v>
      </c>
      <c r="L1454" s="5" t="s">
        <v>8084</v>
      </c>
      <c r="M1454" s="5" t="s">
        <v>45</v>
      </c>
      <c r="N1454" s="5" t="s">
        <v>70</v>
      </c>
      <c r="O1454" s="5" t="s">
        <v>6854</v>
      </c>
      <c r="P1454" s="10" t="s">
        <v>72</v>
      </c>
      <c r="Q1454" s="10" t="s">
        <v>8085</v>
      </c>
      <c r="R1454" s="10" t="s">
        <v>7827</v>
      </c>
      <c r="S1454" s="5">
        <v>0</v>
      </c>
      <c r="T1454" s="37">
        <v>0</v>
      </c>
      <c r="U1454" s="5">
        <v>0</v>
      </c>
      <c r="V1454" s="37">
        <v>0</v>
      </c>
      <c r="W1454" s="5">
        <v>0</v>
      </c>
      <c r="X1454" s="5">
        <v>0</v>
      </c>
      <c r="Y1454" s="5">
        <v>0</v>
      </c>
      <c r="Z1454" s="37">
        <v>0</v>
      </c>
      <c r="AA1454" s="5">
        <v>0</v>
      </c>
      <c r="AB1454" s="5">
        <v>0</v>
      </c>
      <c r="AC1454" s="5">
        <v>0</v>
      </c>
      <c r="AD1454" s="5">
        <v>0</v>
      </c>
      <c r="AE1454" s="10" t="s">
        <v>73</v>
      </c>
      <c r="AF1454" s="10"/>
      <c r="AG1454" s="10" t="s">
        <v>376</v>
      </c>
      <c r="AH1454" s="10">
        <v>41327</v>
      </c>
      <c r="AI1454" s="5">
        <v>0</v>
      </c>
      <c r="AJ1454" s="10" t="s">
        <v>8086</v>
      </c>
      <c r="AK1454" s="10" t="s">
        <v>8087</v>
      </c>
    </row>
    <row r="1455" spans="1:37" ht="36.75" customHeight="1" x14ac:dyDescent="0.35">
      <c r="A1455" s="5"/>
      <c r="B1455" s="5" t="s">
        <v>37</v>
      </c>
      <c r="C1455" s="73" t="str">
        <f t="shared" si="22"/>
        <v>Closed</v>
      </c>
      <c r="D1455" s="45" t="s">
        <v>8088</v>
      </c>
      <c r="E1455" s="54" t="s">
        <v>8089</v>
      </c>
      <c r="F1455" s="5" t="s">
        <v>605</v>
      </c>
      <c r="G1455" s="10">
        <f>DATE(2012,10,26)</f>
        <v>41208</v>
      </c>
      <c r="H1455" s="35">
        <v>1.6416666666666666</v>
      </c>
      <c r="I1455" s="5" t="s">
        <v>179</v>
      </c>
      <c r="J1455" s="10" t="s">
        <v>8090</v>
      </c>
      <c r="K1455" s="5" t="s">
        <v>607</v>
      </c>
      <c r="L1455" s="5" t="s">
        <v>8091</v>
      </c>
      <c r="M1455" s="5" t="s">
        <v>45</v>
      </c>
      <c r="N1455" s="5" t="s">
        <v>123</v>
      </c>
      <c r="O1455" s="5" t="s">
        <v>46</v>
      </c>
      <c r="P1455" s="10" t="s">
        <v>146</v>
      </c>
      <c r="Q1455" s="10" t="s">
        <v>7160</v>
      </c>
      <c r="R1455" s="10" t="s">
        <v>610</v>
      </c>
      <c r="S1455" s="5">
        <v>0</v>
      </c>
      <c r="T1455" s="37">
        <v>0</v>
      </c>
      <c r="U1455" s="5">
        <v>0</v>
      </c>
      <c r="V1455" s="37">
        <v>0</v>
      </c>
      <c r="W1455" s="5">
        <v>0</v>
      </c>
      <c r="X1455" s="5">
        <v>0</v>
      </c>
      <c r="Y1455" s="5">
        <v>0</v>
      </c>
      <c r="Z1455" s="37">
        <v>2</v>
      </c>
      <c r="AA1455" s="5">
        <v>0</v>
      </c>
      <c r="AB1455" s="5">
        <v>0</v>
      </c>
      <c r="AC1455" s="5">
        <v>0</v>
      </c>
      <c r="AD1455" s="5">
        <v>2</v>
      </c>
      <c r="AE1455" s="10" t="s">
        <v>73</v>
      </c>
      <c r="AF1455" s="10"/>
      <c r="AG1455" s="10" t="s">
        <v>64</v>
      </c>
      <c r="AH1455" s="10">
        <v>41208</v>
      </c>
      <c r="AI1455" s="5">
        <v>3</v>
      </c>
      <c r="AJ1455" s="10" t="s">
        <v>8092</v>
      </c>
      <c r="AK1455" s="10" t="s">
        <v>50</v>
      </c>
    </row>
    <row r="1456" spans="1:37" ht="36.75" customHeight="1" x14ac:dyDescent="0.35">
      <c r="A1456" s="5"/>
      <c r="B1456" s="5" t="s">
        <v>37</v>
      </c>
      <c r="C1456" s="73" t="str">
        <f t="shared" si="22"/>
        <v>Closed</v>
      </c>
      <c r="D1456" s="45" t="s">
        <v>8093</v>
      </c>
      <c r="E1456" s="54" t="s">
        <v>8094</v>
      </c>
      <c r="F1456" s="5" t="s">
        <v>96</v>
      </c>
      <c r="G1456" s="10">
        <f>DATE(2012,10,27)</f>
        <v>41209</v>
      </c>
      <c r="H1456" s="35">
        <v>1.3388888888888888</v>
      </c>
      <c r="I1456" s="5" t="s">
        <v>97</v>
      </c>
      <c r="J1456" s="10" t="s">
        <v>8095</v>
      </c>
      <c r="K1456" s="5" t="s">
        <v>99</v>
      </c>
      <c r="L1456" s="5" t="s">
        <v>8096</v>
      </c>
      <c r="M1456" s="5" t="s">
        <v>45</v>
      </c>
      <c r="N1456" s="5" t="s">
        <v>123</v>
      </c>
      <c r="O1456" s="5" t="s">
        <v>46</v>
      </c>
      <c r="P1456" s="10" t="s">
        <v>362</v>
      </c>
      <c r="Q1456" s="10" t="s">
        <v>101</v>
      </c>
      <c r="R1456" s="10" t="s">
        <v>102</v>
      </c>
      <c r="S1456" s="5">
        <v>0</v>
      </c>
      <c r="T1456" s="37">
        <v>0</v>
      </c>
      <c r="U1456" s="5">
        <v>1</v>
      </c>
      <c r="V1456" s="37">
        <v>0</v>
      </c>
      <c r="W1456" s="5">
        <v>0</v>
      </c>
      <c r="X1456" s="5">
        <v>1</v>
      </c>
      <c r="Y1456" s="5">
        <v>0</v>
      </c>
      <c r="Z1456" s="37">
        <v>0</v>
      </c>
      <c r="AA1456" s="5">
        <v>2</v>
      </c>
      <c r="AB1456" s="5">
        <v>0</v>
      </c>
      <c r="AC1456" s="5">
        <v>0</v>
      </c>
      <c r="AD1456" s="5">
        <v>2</v>
      </c>
      <c r="AE1456" s="10" t="s">
        <v>73</v>
      </c>
      <c r="AF1456" s="10"/>
      <c r="AG1456" s="10" t="s">
        <v>64</v>
      </c>
      <c r="AH1456" s="10">
        <v>41212</v>
      </c>
      <c r="AI1456" s="5">
        <v>3</v>
      </c>
      <c r="AJ1456" s="10" t="s">
        <v>8097</v>
      </c>
      <c r="AK1456" s="10" t="s">
        <v>8098</v>
      </c>
    </row>
    <row r="1457" spans="1:37" ht="36.75" customHeight="1" x14ac:dyDescent="0.35">
      <c r="A1457" s="5"/>
      <c r="B1457" s="5" t="s">
        <v>37</v>
      </c>
      <c r="C1457" s="73" t="str">
        <f t="shared" si="22"/>
        <v>Closed</v>
      </c>
      <c r="D1457" s="45" t="s">
        <v>8099</v>
      </c>
      <c r="E1457" s="54" t="s">
        <v>8100</v>
      </c>
      <c r="F1457" s="5" t="s">
        <v>1553</v>
      </c>
      <c r="G1457" s="10">
        <f>DATE(2012,10,28)</f>
        <v>41210</v>
      </c>
      <c r="H1457" s="35">
        <v>1.3791666666666667</v>
      </c>
      <c r="I1457" s="5" t="s">
        <v>55</v>
      </c>
      <c r="J1457" s="10" t="s">
        <v>8101</v>
      </c>
      <c r="K1457" s="5" t="s">
        <v>1555</v>
      </c>
      <c r="L1457" s="5" t="s">
        <v>8102</v>
      </c>
      <c r="M1457" s="5" t="s">
        <v>45</v>
      </c>
      <c r="N1457" s="5" t="s">
        <v>80</v>
      </c>
      <c r="O1457" s="5" t="s">
        <v>59</v>
      </c>
      <c r="P1457" s="10" t="s">
        <v>146</v>
      </c>
      <c r="Q1457" s="10" t="s">
        <v>5149</v>
      </c>
      <c r="R1457" s="10" t="s">
        <v>2541</v>
      </c>
      <c r="S1457" s="5">
        <v>0</v>
      </c>
      <c r="T1457" s="37">
        <v>0</v>
      </c>
      <c r="U1457" s="5">
        <v>0</v>
      </c>
      <c r="V1457" s="37">
        <v>0</v>
      </c>
      <c r="W1457" s="5">
        <v>0</v>
      </c>
      <c r="X1457" s="5">
        <v>0</v>
      </c>
      <c r="Y1457" s="5">
        <v>0</v>
      </c>
      <c r="Z1457" s="37">
        <v>0</v>
      </c>
      <c r="AA1457" s="5">
        <v>0</v>
      </c>
      <c r="AB1457" s="5">
        <v>0</v>
      </c>
      <c r="AC1457" s="5">
        <v>0</v>
      </c>
      <c r="AD1457" s="5">
        <v>0</v>
      </c>
      <c r="AE1457" s="10" t="s">
        <v>73</v>
      </c>
      <c r="AF1457" s="10"/>
      <c r="AG1457" s="10" t="s">
        <v>114</v>
      </c>
      <c r="AH1457" s="10">
        <v>41212</v>
      </c>
      <c r="AI1457" s="5">
        <v>0</v>
      </c>
      <c r="AJ1457" s="10" t="s">
        <v>8103</v>
      </c>
      <c r="AK1457" s="10" t="s">
        <v>8104</v>
      </c>
    </row>
    <row r="1458" spans="1:37" ht="36.75" customHeight="1" x14ac:dyDescent="0.35">
      <c r="A1458" s="5"/>
      <c r="B1458" s="5" t="s">
        <v>37</v>
      </c>
      <c r="C1458" s="73" t="str">
        <f t="shared" si="22"/>
        <v>Closed</v>
      </c>
      <c r="D1458" s="45" t="s">
        <v>8105</v>
      </c>
      <c r="E1458" s="54" t="s">
        <v>8106</v>
      </c>
      <c r="F1458" s="5" t="s">
        <v>214</v>
      </c>
      <c r="G1458" s="10">
        <f>DATE(2012,10,28)</f>
        <v>41210</v>
      </c>
      <c r="H1458" s="35">
        <v>1.34375</v>
      </c>
      <c r="I1458" s="5" t="s">
        <v>5473</v>
      </c>
      <c r="J1458" s="10" t="s">
        <v>8107</v>
      </c>
      <c r="K1458" s="5" t="s">
        <v>216</v>
      </c>
      <c r="L1458" s="5" t="s">
        <v>8108</v>
      </c>
      <c r="M1458" s="5" t="s">
        <v>45</v>
      </c>
      <c r="N1458" s="5" t="s">
        <v>123</v>
      </c>
      <c r="O1458" s="5" t="s">
        <v>46</v>
      </c>
      <c r="P1458" s="10" t="s">
        <v>67</v>
      </c>
      <c r="Q1458" s="10" t="s">
        <v>7857</v>
      </c>
      <c r="R1458" s="10" t="s">
        <v>219</v>
      </c>
      <c r="S1458" s="5">
        <v>0</v>
      </c>
      <c r="T1458" s="37">
        <v>0</v>
      </c>
      <c r="U1458" s="5">
        <v>0</v>
      </c>
      <c r="V1458" s="37">
        <v>0</v>
      </c>
      <c r="W1458" s="5">
        <v>0</v>
      </c>
      <c r="X1458" s="5">
        <v>0</v>
      </c>
      <c r="Y1458" s="5">
        <v>0</v>
      </c>
      <c r="Z1458" s="37">
        <v>0</v>
      </c>
      <c r="AA1458" s="5">
        <v>0</v>
      </c>
      <c r="AB1458" s="5">
        <v>0</v>
      </c>
      <c r="AC1458" s="5">
        <v>0</v>
      </c>
      <c r="AD1458" s="5">
        <v>0</v>
      </c>
      <c r="AE1458" s="10" t="s">
        <v>73</v>
      </c>
      <c r="AF1458" s="10"/>
      <c r="AG1458" s="10" t="s">
        <v>114</v>
      </c>
      <c r="AH1458" s="10">
        <v>41225</v>
      </c>
      <c r="AI1458" s="5">
        <v>0</v>
      </c>
      <c r="AJ1458" s="10" t="s">
        <v>8109</v>
      </c>
      <c r="AK1458" s="10" t="s">
        <v>8110</v>
      </c>
    </row>
    <row r="1459" spans="1:37" ht="36.75" customHeight="1" x14ac:dyDescent="0.35">
      <c r="A1459" s="5"/>
      <c r="B1459" s="5" t="s">
        <v>37</v>
      </c>
      <c r="C1459" s="73" t="str">
        <f t="shared" si="22"/>
        <v>Closed</v>
      </c>
      <c r="D1459" s="45" t="s">
        <v>8111</v>
      </c>
      <c r="E1459" s="54" t="s">
        <v>8112</v>
      </c>
      <c r="F1459" s="5" t="s">
        <v>619</v>
      </c>
      <c r="G1459" s="10">
        <f>DATE(2012,10,29)</f>
        <v>41211</v>
      </c>
      <c r="H1459" s="35">
        <v>1.4111111111111112</v>
      </c>
      <c r="I1459" s="5" t="s">
        <v>97</v>
      </c>
      <c r="J1459" s="10" t="s">
        <v>8113</v>
      </c>
      <c r="K1459" s="5" t="s">
        <v>621</v>
      </c>
      <c r="L1459" s="5" t="s">
        <v>8114</v>
      </c>
      <c r="M1459" s="5" t="s">
        <v>45</v>
      </c>
      <c r="N1459" s="5" t="s">
        <v>80</v>
      </c>
      <c r="O1459" s="5" t="s">
        <v>46</v>
      </c>
      <c r="P1459" s="10" t="s">
        <v>146</v>
      </c>
      <c r="Q1459" s="10" t="s">
        <v>623</v>
      </c>
      <c r="R1459" s="10" t="s">
        <v>624</v>
      </c>
      <c r="S1459" s="5">
        <v>0</v>
      </c>
      <c r="T1459" s="37">
        <v>0</v>
      </c>
      <c r="U1459" s="5">
        <v>0</v>
      </c>
      <c r="V1459" s="37">
        <v>0</v>
      </c>
      <c r="W1459" s="5">
        <v>0</v>
      </c>
      <c r="X1459" s="5">
        <v>0</v>
      </c>
      <c r="Y1459" s="5">
        <v>0</v>
      </c>
      <c r="Z1459" s="37">
        <v>0</v>
      </c>
      <c r="AA1459" s="5">
        <v>0</v>
      </c>
      <c r="AB1459" s="5">
        <v>0</v>
      </c>
      <c r="AC1459" s="5">
        <v>0</v>
      </c>
      <c r="AD1459" s="5">
        <v>0</v>
      </c>
      <c r="AE1459" s="10" t="s">
        <v>73</v>
      </c>
      <c r="AF1459" s="10"/>
      <c r="AG1459" s="10" t="s">
        <v>333</v>
      </c>
      <c r="AH1459" s="10">
        <v>41269</v>
      </c>
      <c r="AI1459" s="5">
        <v>2</v>
      </c>
      <c r="AJ1459" s="10" t="s">
        <v>8115</v>
      </c>
      <c r="AK1459" s="10" t="s">
        <v>50</v>
      </c>
    </row>
    <row r="1460" spans="1:37" ht="36.75" customHeight="1" x14ac:dyDescent="0.35">
      <c r="A1460" s="5"/>
      <c r="B1460" s="5" t="s">
        <v>37</v>
      </c>
      <c r="C1460" s="73" t="str">
        <f t="shared" si="22"/>
        <v>Closed</v>
      </c>
      <c r="D1460" s="45" t="s">
        <v>8116</v>
      </c>
      <c r="E1460" s="54" t="s">
        <v>8117</v>
      </c>
      <c r="F1460" s="5" t="s">
        <v>404</v>
      </c>
      <c r="G1460" s="10">
        <f>DATE(2012,11,1)</f>
        <v>41214</v>
      </c>
      <c r="H1460" s="35">
        <v>1.7319444444444443</v>
      </c>
      <c r="I1460" s="5" t="s">
        <v>7461</v>
      </c>
      <c r="J1460" s="10" t="s">
        <v>8118</v>
      </c>
      <c r="K1460" s="5" t="s">
        <v>406</v>
      </c>
      <c r="L1460" s="5" t="s">
        <v>8119</v>
      </c>
      <c r="M1460" s="5" t="s">
        <v>236</v>
      </c>
      <c r="N1460" s="5" t="s">
        <v>70</v>
      </c>
      <c r="O1460" s="5" t="s">
        <v>71</v>
      </c>
      <c r="P1460" s="10" t="s">
        <v>6531</v>
      </c>
      <c r="Q1460" s="10" t="s">
        <v>1325</v>
      </c>
      <c r="R1460" s="10" t="s">
        <v>1325</v>
      </c>
      <c r="S1460" s="5">
        <v>0</v>
      </c>
      <c r="T1460" s="37">
        <v>0</v>
      </c>
      <c r="U1460" s="5">
        <v>0</v>
      </c>
      <c r="V1460" s="37">
        <v>0</v>
      </c>
      <c r="W1460" s="5">
        <v>0</v>
      </c>
      <c r="X1460" s="5">
        <v>0</v>
      </c>
      <c r="Y1460" s="5">
        <v>0</v>
      </c>
      <c r="Z1460" s="37">
        <v>0</v>
      </c>
      <c r="AA1460" s="5">
        <v>0</v>
      </c>
      <c r="AB1460" s="5">
        <v>0</v>
      </c>
      <c r="AC1460" s="5">
        <v>0</v>
      </c>
      <c r="AD1460" s="5">
        <v>0</v>
      </c>
      <c r="AE1460" s="10" t="s">
        <v>73</v>
      </c>
      <c r="AF1460" s="10"/>
      <c r="AG1460" s="10" t="s">
        <v>348</v>
      </c>
      <c r="AH1460" s="10">
        <v>41229</v>
      </c>
      <c r="AI1460" s="5">
        <v>3</v>
      </c>
      <c r="AJ1460" s="10" t="s">
        <v>8120</v>
      </c>
      <c r="AK1460" s="10" t="s">
        <v>8121</v>
      </c>
    </row>
    <row r="1461" spans="1:37" ht="36.75" customHeight="1" x14ac:dyDescent="0.35">
      <c r="A1461" s="5"/>
      <c r="B1461" s="5" t="s">
        <v>37</v>
      </c>
      <c r="C1461" s="73" t="str">
        <f t="shared" si="22"/>
        <v>Closed</v>
      </c>
      <c r="D1461" s="45" t="s">
        <v>8122</v>
      </c>
      <c r="E1461" s="54" t="s">
        <v>8123</v>
      </c>
      <c r="F1461" s="5" t="s">
        <v>1553</v>
      </c>
      <c r="G1461" s="10">
        <f>DATE(2012,11,12)</f>
        <v>41225</v>
      </c>
      <c r="H1461" s="35">
        <v>1.7083333333333335</v>
      </c>
      <c r="I1461" s="5" t="s">
        <v>55</v>
      </c>
      <c r="J1461" s="10" t="s">
        <v>8124</v>
      </c>
      <c r="K1461" s="5" t="s">
        <v>1555</v>
      </c>
      <c r="L1461" s="5" t="s">
        <v>8125</v>
      </c>
      <c r="M1461" s="5" t="s">
        <v>45</v>
      </c>
      <c r="N1461" s="5" t="s">
        <v>80</v>
      </c>
      <c r="O1461" s="5" t="s">
        <v>46</v>
      </c>
      <c r="P1461" s="10" t="s">
        <v>60</v>
      </c>
      <c r="Q1461" s="10" t="s">
        <v>2635</v>
      </c>
      <c r="R1461" s="10" t="s">
        <v>2541</v>
      </c>
      <c r="S1461" s="5">
        <v>0</v>
      </c>
      <c r="T1461" s="37">
        <v>0</v>
      </c>
      <c r="U1461" s="5">
        <v>0</v>
      </c>
      <c r="V1461" s="37">
        <v>0</v>
      </c>
      <c r="W1461" s="5">
        <v>0</v>
      </c>
      <c r="X1461" s="5">
        <v>0</v>
      </c>
      <c r="Y1461" s="5">
        <v>0</v>
      </c>
      <c r="Z1461" s="37">
        <v>0</v>
      </c>
      <c r="AA1461" s="5">
        <v>0</v>
      </c>
      <c r="AB1461" s="5">
        <v>0</v>
      </c>
      <c r="AC1461" s="5">
        <v>0</v>
      </c>
      <c r="AD1461" s="5">
        <v>0</v>
      </c>
      <c r="AE1461" s="10" t="s">
        <v>375</v>
      </c>
      <c r="AF1461" s="10"/>
      <c r="AG1461" s="10" t="s">
        <v>114</v>
      </c>
      <c r="AH1461" s="10">
        <v>41226</v>
      </c>
      <c r="AI1461" s="5">
        <v>0</v>
      </c>
      <c r="AJ1461" s="10" t="s">
        <v>8126</v>
      </c>
      <c r="AK1461" s="10" t="s">
        <v>8127</v>
      </c>
    </row>
    <row r="1462" spans="1:37" ht="36.75" customHeight="1" x14ac:dyDescent="0.35">
      <c r="A1462" s="5"/>
      <c r="B1462" s="5" t="s">
        <v>37</v>
      </c>
      <c r="C1462" s="73" t="str">
        <f t="shared" si="22"/>
        <v>Closed</v>
      </c>
      <c r="D1462" s="45" t="s">
        <v>8128</v>
      </c>
      <c r="E1462" s="54" t="s">
        <v>8129</v>
      </c>
      <c r="F1462" s="5" t="s">
        <v>404</v>
      </c>
      <c r="G1462" s="10">
        <f>DATE(2012,11,17)</f>
        <v>41230</v>
      </c>
      <c r="H1462" s="35">
        <v>1.4729166666666667</v>
      </c>
      <c r="I1462" s="5" t="s">
        <v>137</v>
      </c>
      <c r="J1462" s="10" t="s">
        <v>8130</v>
      </c>
      <c r="K1462" s="5" t="s">
        <v>406</v>
      </c>
      <c r="L1462" s="5" t="s">
        <v>8131</v>
      </c>
      <c r="M1462" s="5" t="s">
        <v>45</v>
      </c>
      <c r="N1462" s="5" t="s">
        <v>70</v>
      </c>
      <c r="O1462" s="5" t="s">
        <v>59</v>
      </c>
      <c r="P1462" s="10" t="s">
        <v>146</v>
      </c>
      <c r="Q1462" s="10" t="s">
        <v>408</v>
      </c>
      <c r="R1462" s="10" t="s">
        <v>3083</v>
      </c>
      <c r="S1462" s="5">
        <v>0</v>
      </c>
      <c r="T1462" s="37">
        <v>0</v>
      </c>
      <c r="U1462" s="5">
        <v>0</v>
      </c>
      <c r="V1462" s="37">
        <v>0</v>
      </c>
      <c r="W1462" s="5">
        <v>0</v>
      </c>
      <c r="X1462" s="5">
        <v>0</v>
      </c>
      <c r="Y1462" s="5">
        <v>0</v>
      </c>
      <c r="Z1462" s="37">
        <v>0</v>
      </c>
      <c r="AA1462" s="5">
        <v>0</v>
      </c>
      <c r="AB1462" s="5">
        <v>0</v>
      </c>
      <c r="AC1462" s="5">
        <v>0</v>
      </c>
      <c r="AD1462" s="5">
        <v>0</v>
      </c>
      <c r="AE1462" s="10" t="s">
        <v>73</v>
      </c>
      <c r="AF1462" s="10"/>
      <c r="AG1462" s="10" t="s">
        <v>114</v>
      </c>
      <c r="AH1462" s="10">
        <v>41236</v>
      </c>
      <c r="AI1462" s="5">
        <v>0</v>
      </c>
      <c r="AJ1462" s="10" t="s">
        <v>8132</v>
      </c>
      <c r="AK1462" s="10" t="s">
        <v>8133</v>
      </c>
    </row>
    <row r="1463" spans="1:37" ht="36.75" customHeight="1" x14ac:dyDescent="0.35">
      <c r="A1463" s="5"/>
      <c r="B1463" s="5" t="s">
        <v>37</v>
      </c>
      <c r="C1463" s="73" t="str">
        <f t="shared" si="22"/>
        <v>Closed</v>
      </c>
      <c r="D1463" s="45" t="s">
        <v>8134</v>
      </c>
      <c r="E1463" s="54" t="s">
        <v>8135</v>
      </c>
      <c r="F1463" s="5" t="s">
        <v>404</v>
      </c>
      <c r="G1463" s="10">
        <f>DATE(2012,11,18)</f>
        <v>41231</v>
      </c>
      <c r="H1463" s="35">
        <v>1.6236111111111111</v>
      </c>
      <c r="I1463" s="5" t="s">
        <v>55</v>
      </c>
      <c r="J1463" s="10" t="s">
        <v>8136</v>
      </c>
      <c r="K1463" s="5" t="s">
        <v>406</v>
      </c>
      <c r="L1463" s="5" t="s">
        <v>8137</v>
      </c>
      <c r="M1463" s="5" t="s">
        <v>45</v>
      </c>
      <c r="N1463" s="5" t="s">
        <v>70</v>
      </c>
      <c r="O1463" s="5" t="s">
        <v>59</v>
      </c>
      <c r="P1463" s="10" t="s">
        <v>67</v>
      </c>
      <c r="Q1463" s="10" t="s">
        <v>408</v>
      </c>
      <c r="R1463" s="10" t="s">
        <v>3083</v>
      </c>
      <c r="S1463" s="5">
        <v>0</v>
      </c>
      <c r="T1463" s="37">
        <v>0</v>
      </c>
      <c r="U1463" s="5">
        <v>0</v>
      </c>
      <c r="V1463" s="37">
        <v>0</v>
      </c>
      <c r="W1463" s="5">
        <v>0</v>
      </c>
      <c r="X1463" s="5">
        <v>0</v>
      </c>
      <c r="Y1463" s="5">
        <v>0</v>
      </c>
      <c r="Z1463" s="37">
        <v>0</v>
      </c>
      <c r="AA1463" s="5">
        <v>0</v>
      </c>
      <c r="AB1463" s="5">
        <v>0</v>
      </c>
      <c r="AC1463" s="5">
        <v>0</v>
      </c>
      <c r="AD1463" s="5">
        <v>0</v>
      </c>
      <c r="AE1463" s="10" t="s">
        <v>73</v>
      </c>
      <c r="AF1463" s="10"/>
      <c r="AG1463" s="10" t="s">
        <v>114</v>
      </c>
      <c r="AH1463" s="10">
        <v>41241</v>
      </c>
      <c r="AI1463" s="5">
        <v>5</v>
      </c>
      <c r="AJ1463" s="10" t="s">
        <v>8138</v>
      </c>
      <c r="AK1463" s="10" t="s">
        <v>8139</v>
      </c>
    </row>
    <row r="1464" spans="1:37" ht="36.75" customHeight="1" x14ac:dyDescent="0.35">
      <c r="A1464" s="5"/>
      <c r="B1464" s="5" t="s">
        <v>37</v>
      </c>
      <c r="C1464" s="73" t="str">
        <f t="shared" si="22"/>
        <v>Closed</v>
      </c>
      <c r="D1464" s="45" t="s">
        <v>8140</v>
      </c>
      <c r="E1464" s="54" t="s">
        <v>8141</v>
      </c>
      <c r="F1464" s="5" t="s">
        <v>816</v>
      </c>
      <c r="G1464" s="10">
        <f>DATE(2012,11,18)</f>
        <v>41231</v>
      </c>
      <c r="H1464" s="35">
        <v>0</v>
      </c>
      <c r="I1464" s="5" t="s">
        <v>106</v>
      </c>
      <c r="J1464" s="10" t="s">
        <v>8142</v>
      </c>
      <c r="K1464" s="5" t="s">
        <v>818</v>
      </c>
      <c r="L1464" s="5" t="s">
        <v>8143</v>
      </c>
      <c r="M1464" s="5" t="s">
        <v>45</v>
      </c>
      <c r="N1464" s="5" t="s">
        <v>123</v>
      </c>
      <c r="O1464" s="5" t="s">
        <v>59</v>
      </c>
      <c r="P1464" s="10" t="s">
        <v>47</v>
      </c>
      <c r="Q1464" s="10" t="s">
        <v>2142</v>
      </c>
      <c r="R1464" s="10" t="s">
        <v>821</v>
      </c>
      <c r="S1464" s="5">
        <v>0</v>
      </c>
      <c r="T1464" s="37">
        <v>0</v>
      </c>
      <c r="U1464" s="5">
        <v>0</v>
      </c>
      <c r="V1464" s="37">
        <v>0</v>
      </c>
      <c r="W1464" s="5">
        <v>0</v>
      </c>
      <c r="X1464" s="5">
        <v>0</v>
      </c>
      <c r="Y1464" s="5">
        <v>0</v>
      </c>
      <c r="Z1464" s="37">
        <v>0</v>
      </c>
      <c r="AA1464" s="5">
        <v>0</v>
      </c>
      <c r="AB1464" s="5">
        <v>0</v>
      </c>
      <c r="AC1464" s="5">
        <v>0</v>
      </c>
      <c r="AD1464" s="5">
        <v>0</v>
      </c>
      <c r="AE1464" s="10" t="s">
        <v>73</v>
      </c>
      <c r="AF1464" s="10"/>
      <c r="AG1464" s="10" t="s">
        <v>333</v>
      </c>
      <c r="AH1464" s="10">
        <v>41233</v>
      </c>
      <c r="AI1464" s="5">
        <v>0</v>
      </c>
      <c r="AJ1464" s="10" t="s">
        <v>8144</v>
      </c>
      <c r="AK1464" s="10" t="s">
        <v>50</v>
      </c>
    </row>
    <row r="1465" spans="1:37" ht="36.75" customHeight="1" x14ac:dyDescent="0.35">
      <c r="A1465" s="5"/>
      <c r="B1465" s="5" t="s">
        <v>37</v>
      </c>
      <c r="C1465" s="73" t="str">
        <f t="shared" si="22"/>
        <v>Closed</v>
      </c>
      <c r="D1465" s="45" t="s">
        <v>8145</v>
      </c>
      <c r="E1465" s="54" t="s">
        <v>8146</v>
      </c>
      <c r="F1465" s="5" t="s">
        <v>178</v>
      </c>
      <c r="G1465" s="10">
        <f>DATE(2012,11,19)</f>
        <v>41232</v>
      </c>
      <c r="H1465" s="35">
        <v>0</v>
      </c>
      <c r="I1465" s="5" t="s">
        <v>97</v>
      </c>
      <c r="J1465" s="10" t="s">
        <v>8147</v>
      </c>
      <c r="K1465" s="5" t="s">
        <v>181</v>
      </c>
      <c r="L1465" s="5" t="s">
        <v>8148</v>
      </c>
      <c r="M1465" s="5" t="s">
        <v>45</v>
      </c>
      <c r="N1465" s="5" t="s">
        <v>80</v>
      </c>
      <c r="O1465" s="5" t="s">
        <v>46</v>
      </c>
      <c r="P1465" s="10" t="s">
        <v>146</v>
      </c>
      <c r="Q1465" s="10" t="s">
        <v>181</v>
      </c>
      <c r="R1465" s="10" t="s">
        <v>181</v>
      </c>
      <c r="S1465" s="5">
        <v>0</v>
      </c>
      <c r="T1465" s="37">
        <v>0</v>
      </c>
      <c r="U1465" s="5">
        <v>1</v>
      </c>
      <c r="V1465" s="37">
        <v>0</v>
      </c>
      <c r="W1465" s="5">
        <v>0</v>
      </c>
      <c r="X1465" s="5">
        <v>1</v>
      </c>
      <c r="Y1465" s="5">
        <v>0</v>
      </c>
      <c r="Z1465" s="37">
        <v>0</v>
      </c>
      <c r="AA1465" s="5">
        <v>0</v>
      </c>
      <c r="AB1465" s="5">
        <v>0</v>
      </c>
      <c r="AC1465" s="5">
        <v>0</v>
      </c>
      <c r="AD1465" s="5">
        <v>0</v>
      </c>
      <c r="AE1465" s="10" t="s">
        <v>73</v>
      </c>
      <c r="AF1465" s="10"/>
      <c r="AG1465" s="10" t="s">
        <v>64</v>
      </c>
      <c r="AH1465" s="10">
        <v>41232</v>
      </c>
      <c r="AI1465" s="5">
        <v>2</v>
      </c>
      <c r="AJ1465" s="10" t="s">
        <v>7752</v>
      </c>
      <c r="AK1465" s="10" t="s">
        <v>1215</v>
      </c>
    </row>
    <row r="1466" spans="1:37" ht="36.75" customHeight="1" x14ac:dyDescent="0.35">
      <c r="A1466" s="5"/>
      <c r="B1466" s="5" t="s">
        <v>37</v>
      </c>
      <c r="C1466" s="73" t="str">
        <f t="shared" si="22"/>
        <v>Closed</v>
      </c>
      <c r="D1466" s="45" t="s">
        <v>8149</v>
      </c>
      <c r="E1466" s="54" t="s">
        <v>8150</v>
      </c>
      <c r="F1466" s="5" t="s">
        <v>358</v>
      </c>
      <c r="G1466" s="10">
        <f>DATE(2012,11,24)</f>
        <v>41237</v>
      </c>
      <c r="H1466" s="35">
        <v>1.71875</v>
      </c>
      <c r="I1466" s="5" t="s">
        <v>97</v>
      </c>
      <c r="J1466" s="10" t="s">
        <v>8151</v>
      </c>
      <c r="K1466" s="5" t="s">
        <v>360</v>
      </c>
      <c r="L1466" s="5" t="s">
        <v>8152</v>
      </c>
      <c r="M1466" s="5" t="s">
        <v>45</v>
      </c>
      <c r="N1466" s="5" t="s">
        <v>80</v>
      </c>
      <c r="O1466" s="5" t="s">
        <v>46</v>
      </c>
      <c r="P1466" s="10" t="s">
        <v>146</v>
      </c>
      <c r="Q1466" s="10" t="s">
        <v>2886</v>
      </c>
      <c r="R1466" s="10" t="s">
        <v>363</v>
      </c>
      <c r="S1466" s="5">
        <v>0</v>
      </c>
      <c r="T1466" s="37">
        <v>0</v>
      </c>
      <c r="U1466" s="5">
        <v>6</v>
      </c>
      <c r="V1466" s="37">
        <v>0</v>
      </c>
      <c r="W1466" s="5">
        <v>0</v>
      </c>
      <c r="X1466" s="5">
        <v>6</v>
      </c>
      <c r="Y1466" s="5">
        <v>0</v>
      </c>
      <c r="Z1466" s="37">
        <v>0</v>
      </c>
      <c r="AA1466" s="5">
        <v>0</v>
      </c>
      <c r="AB1466" s="5">
        <v>0</v>
      </c>
      <c r="AC1466" s="5">
        <v>0</v>
      </c>
      <c r="AD1466" s="5">
        <v>0</v>
      </c>
      <c r="AE1466" s="10" t="s">
        <v>73</v>
      </c>
      <c r="AF1466" s="10"/>
      <c r="AG1466" s="10" t="s">
        <v>114</v>
      </c>
      <c r="AH1466" s="10">
        <v>41237</v>
      </c>
      <c r="AI1466" s="5">
        <v>2</v>
      </c>
      <c r="AJ1466" s="10" t="s">
        <v>8153</v>
      </c>
      <c r="AK1466" s="10" t="s">
        <v>8154</v>
      </c>
    </row>
    <row r="1467" spans="1:37" ht="36.75" customHeight="1" x14ac:dyDescent="0.35">
      <c r="A1467" s="5"/>
      <c r="B1467" s="5" t="s">
        <v>37</v>
      </c>
      <c r="C1467" s="73" t="str">
        <f t="shared" si="22"/>
        <v>Closed</v>
      </c>
      <c r="D1467" s="45" t="s">
        <v>8155</v>
      </c>
      <c r="E1467" s="54" t="s">
        <v>8156</v>
      </c>
      <c r="F1467" s="5" t="s">
        <v>214</v>
      </c>
      <c r="G1467" s="10">
        <f>DATE(2012,11,24)</f>
        <v>41237</v>
      </c>
      <c r="H1467" s="35">
        <v>1.9347222222222222</v>
      </c>
      <c r="I1467" s="5" t="s">
        <v>259</v>
      </c>
      <c r="J1467" s="10" t="s">
        <v>8157</v>
      </c>
      <c r="K1467" s="5" t="s">
        <v>216</v>
      </c>
      <c r="L1467" s="5" t="s">
        <v>8158</v>
      </c>
      <c r="M1467" s="5" t="s">
        <v>45</v>
      </c>
      <c r="N1467" s="5" t="s">
        <v>70</v>
      </c>
      <c r="O1467" s="5" t="s">
        <v>59</v>
      </c>
      <c r="P1467" s="10" t="s">
        <v>146</v>
      </c>
      <c r="Q1467" s="10" t="s">
        <v>1503</v>
      </c>
      <c r="R1467" s="10" t="s">
        <v>219</v>
      </c>
      <c r="S1467" s="5">
        <v>0</v>
      </c>
      <c r="T1467" s="37">
        <v>0</v>
      </c>
      <c r="U1467" s="5">
        <v>0</v>
      </c>
      <c r="V1467" s="37">
        <v>0</v>
      </c>
      <c r="W1467" s="5">
        <v>0</v>
      </c>
      <c r="X1467" s="5">
        <v>0</v>
      </c>
      <c r="Y1467" s="5">
        <v>1</v>
      </c>
      <c r="Z1467" s="37">
        <v>0</v>
      </c>
      <c r="AA1467" s="5">
        <v>0</v>
      </c>
      <c r="AB1467" s="5">
        <v>0</v>
      </c>
      <c r="AC1467" s="5">
        <v>0</v>
      </c>
      <c r="AD1467" s="5">
        <v>1</v>
      </c>
      <c r="AE1467" s="10" t="s">
        <v>73</v>
      </c>
      <c r="AF1467" s="10"/>
      <c r="AG1467" s="10" t="s">
        <v>114</v>
      </c>
      <c r="AH1467" s="10">
        <v>41253</v>
      </c>
      <c r="AI1467" s="5">
        <v>0</v>
      </c>
      <c r="AJ1467" s="10" t="s">
        <v>8159</v>
      </c>
      <c r="AK1467" s="10" t="s">
        <v>8160</v>
      </c>
    </row>
    <row r="1468" spans="1:37" ht="36.75" customHeight="1" x14ac:dyDescent="0.35">
      <c r="A1468" s="5"/>
      <c r="B1468" s="5" t="s">
        <v>37</v>
      </c>
      <c r="C1468" s="73" t="str">
        <f t="shared" si="22"/>
        <v>Closed</v>
      </c>
      <c r="D1468" s="45" t="s">
        <v>8161</v>
      </c>
      <c r="E1468" s="54" t="s">
        <v>8162</v>
      </c>
      <c r="F1468" s="5" t="s">
        <v>214</v>
      </c>
      <c r="G1468" s="10">
        <f>DATE(2012,11,28)</f>
        <v>41241</v>
      </c>
      <c r="H1468" s="35">
        <v>1.7847222222222223</v>
      </c>
      <c r="I1468" s="5" t="s">
        <v>259</v>
      </c>
      <c r="J1468" s="10" t="s">
        <v>8163</v>
      </c>
      <c r="K1468" s="5" t="s">
        <v>216</v>
      </c>
      <c r="L1468" s="5" t="s">
        <v>8164</v>
      </c>
      <c r="M1468" s="5" t="s">
        <v>236</v>
      </c>
      <c r="N1468" s="5" t="s">
        <v>80</v>
      </c>
      <c r="O1468" s="5" t="s">
        <v>67</v>
      </c>
      <c r="P1468" s="10" t="s">
        <v>6531</v>
      </c>
      <c r="Q1468" s="10">
        <v>0</v>
      </c>
      <c r="R1468" s="10">
        <v>0</v>
      </c>
      <c r="S1468" s="5">
        <v>0</v>
      </c>
      <c r="T1468" s="37">
        <v>0</v>
      </c>
      <c r="U1468" s="5">
        <v>1</v>
      </c>
      <c r="V1468" s="37">
        <v>0</v>
      </c>
      <c r="W1468" s="5">
        <v>0</v>
      </c>
      <c r="X1468" s="5">
        <v>1</v>
      </c>
      <c r="Y1468" s="5">
        <v>0</v>
      </c>
      <c r="Z1468" s="37">
        <v>0</v>
      </c>
      <c r="AA1468" s="5">
        <v>0</v>
      </c>
      <c r="AB1468" s="5">
        <v>0</v>
      </c>
      <c r="AC1468" s="5">
        <v>0</v>
      </c>
      <c r="AD1468" s="5">
        <v>0</v>
      </c>
      <c r="AE1468" s="10" t="s">
        <v>73</v>
      </c>
      <c r="AF1468" s="10"/>
      <c r="AG1468" s="10" t="s">
        <v>64</v>
      </c>
      <c r="AH1468" s="10">
        <v>41253</v>
      </c>
      <c r="AI1468" s="5">
        <v>4</v>
      </c>
      <c r="AJ1468" s="10" t="s">
        <v>8165</v>
      </c>
      <c r="AK1468" s="10" t="s">
        <v>8166</v>
      </c>
    </row>
    <row r="1469" spans="1:37" ht="36.75" customHeight="1" x14ac:dyDescent="0.35">
      <c r="A1469" s="5"/>
      <c r="B1469" s="5" t="s">
        <v>37</v>
      </c>
      <c r="C1469" s="73" t="str">
        <f t="shared" si="22"/>
        <v>Closed</v>
      </c>
      <c r="D1469" s="45" t="s">
        <v>8167</v>
      </c>
      <c r="E1469" s="54" t="s">
        <v>8168</v>
      </c>
      <c r="F1469" s="5" t="s">
        <v>432</v>
      </c>
      <c r="G1469" s="10">
        <f>DATE(2012,11,29)</f>
        <v>41242</v>
      </c>
      <c r="H1469" s="35">
        <v>1.6909722222222223</v>
      </c>
      <c r="I1469" s="5" t="s">
        <v>55</v>
      </c>
      <c r="J1469" s="10" t="s">
        <v>8169</v>
      </c>
      <c r="K1469" s="5" t="s">
        <v>434</v>
      </c>
      <c r="L1469" s="5" t="s">
        <v>8170</v>
      </c>
      <c r="M1469" s="5" t="s">
        <v>45</v>
      </c>
      <c r="N1469" s="5" t="s">
        <v>80</v>
      </c>
      <c r="O1469" s="5" t="s">
        <v>59</v>
      </c>
      <c r="P1469" s="10" t="s">
        <v>60</v>
      </c>
      <c r="Q1469" s="10">
        <v>0</v>
      </c>
      <c r="R1469" s="10" t="s">
        <v>553</v>
      </c>
      <c r="S1469" s="5">
        <v>0</v>
      </c>
      <c r="T1469" s="37">
        <v>0</v>
      </c>
      <c r="U1469" s="5">
        <v>0</v>
      </c>
      <c r="V1469" s="37">
        <v>0</v>
      </c>
      <c r="W1469" s="5">
        <v>0</v>
      </c>
      <c r="X1469" s="5">
        <v>0</v>
      </c>
      <c r="Y1469" s="5">
        <v>0</v>
      </c>
      <c r="Z1469" s="37">
        <v>0</v>
      </c>
      <c r="AA1469" s="5">
        <v>0</v>
      </c>
      <c r="AB1469" s="5">
        <v>0</v>
      </c>
      <c r="AC1469" s="5">
        <v>0</v>
      </c>
      <c r="AD1469" s="5">
        <v>0</v>
      </c>
      <c r="AE1469" s="10" t="s">
        <v>126</v>
      </c>
      <c r="AF1469" s="10"/>
      <c r="AG1469" s="10" t="s">
        <v>64</v>
      </c>
      <c r="AH1469" s="10">
        <v>41242</v>
      </c>
      <c r="AI1469" s="5">
        <v>0</v>
      </c>
      <c r="AJ1469" s="10" t="s">
        <v>8171</v>
      </c>
      <c r="AK1469" s="10" t="s">
        <v>50</v>
      </c>
    </row>
    <row r="1470" spans="1:37" ht="36.75" customHeight="1" x14ac:dyDescent="0.35">
      <c r="A1470" s="5"/>
      <c r="B1470" s="5" t="s">
        <v>37</v>
      </c>
      <c r="C1470" s="73" t="str">
        <f t="shared" si="22"/>
        <v>Closed</v>
      </c>
      <c r="D1470" s="45" t="s">
        <v>8172</v>
      </c>
      <c r="E1470" s="54" t="s">
        <v>8173</v>
      </c>
      <c r="F1470" s="5" t="s">
        <v>563</v>
      </c>
      <c r="G1470" s="10">
        <f>DATE(2012,12,1)</f>
        <v>41244</v>
      </c>
      <c r="H1470" s="35">
        <v>1.1131944444444444</v>
      </c>
      <c r="I1470" s="5" t="s">
        <v>55</v>
      </c>
      <c r="J1470" s="10" t="s">
        <v>8174</v>
      </c>
      <c r="K1470" s="5" t="s">
        <v>565</v>
      </c>
      <c r="L1470" s="5" t="s">
        <v>8175</v>
      </c>
      <c r="M1470" s="5" t="s">
        <v>45</v>
      </c>
      <c r="N1470" s="5" t="s">
        <v>123</v>
      </c>
      <c r="O1470" s="5" t="s">
        <v>59</v>
      </c>
      <c r="P1470" s="10" t="s">
        <v>60</v>
      </c>
      <c r="Q1470" s="10" t="s">
        <v>567</v>
      </c>
      <c r="R1470" s="10" t="s">
        <v>568</v>
      </c>
      <c r="S1470" s="5">
        <v>0</v>
      </c>
      <c r="T1470" s="37">
        <v>0</v>
      </c>
      <c r="U1470" s="5">
        <v>0</v>
      </c>
      <c r="V1470" s="37">
        <v>0</v>
      </c>
      <c r="W1470" s="5">
        <v>0</v>
      </c>
      <c r="X1470" s="5">
        <v>0</v>
      </c>
      <c r="Y1470" s="5">
        <v>0</v>
      </c>
      <c r="Z1470" s="37">
        <v>0</v>
      </c>
      <c r="AA1470" s="5">
        <v>0</v>
      </c>
      <c r="AB1470" s="5">
        <v>0</v>
      </c>
      <c r="AC1470" s="5">
        <v>0</v>
      </c>
      <c r="AD1470" s="5">
        <v>0</v>
      </c>
      <c r="AE1470" s="10" t="s">
        <v>375</v>
      </c>
      <c r="AF1470" s="10"/>
      <c r="AG1470" s="10" t="s">
        <v>64</v>
      </c>
      <c r="AH1470" s="10">
        <v>41246</v>
      </c>
      <c r="AI1470" s="5">
        <v>0</v>
      </c>
      <c r="AJ1470" s="10" t="s">
        <v>8176</v>
      </c>
      <c r="AK1470" s="10" t="s">
        <v>1215</v>
      </c>
    </row>
    <row r="1471" spans="1:37" ht="36.75" customHeight="1" x14ac:dyDescent="0.35">
      <c r="A1471" s="5"/>
      <c r="B1471" s="5" t="s">
        <v>37</v>
      </c>
      <c r="C1471" s="73" t="str">
        <f t="shared" si="22"/>
        <v>Closed</v>
      </c>
      <c r="D1471" s="45" t="s">
        <v>8177</v>
      </c>
      <c r="E1471" s="54" t="s">
        <v>8178</v>
      </c>
      <c r="F1471" s="5" t="s">
        <v>214</v>
      </c>
      <c r="G1471" s="10">
        <f>DATE(2012,12,4)</f>
        <v>41247</v>
      </c>
      <c r="H1471" s="35">
        <v>1.5236111111111112</v>
      </c>
      <c r="I1471" s="5" t="s">
        <v>97</v>
      </c>
      <c r="J1471" s="10" t="s">
        <v>8179</v>
      </c>
      <c r="K1471" s="5" t="s">
        <v>216</v>
      </c>
      <c r="L1471" s="5" t="s">
        <v>8180</v>
      </c>
      <c r="M1471" s="5" t="s">
        <v>45</v>
      </c>
      <c r="N1471" s="5" t="s">
        <v>123</v>
      </c>
      <c r="O1471" s="5" t="s">
        <v>67</v>
      </c>
      <c r="P1471" s="10" t="s">
        <v>146</v>
      </c>
      <c r="Q1471" s="10" t="s">
        <v>2518</v>
      </c>
      <c r="R1471" s="10" t="s">
        <v>219</v>
      </c>
      <c r="S1471" s="5">
        <v>0</v>
      </c>
      <c r="T1471" s="37">
        <v>0</v>
      </c>
      <c r="U1471" s="5">
        <v>1</v>
      </c>
      <c r="V1471" s="37">
        <v>0</v>
      </c>
      <c r="W1471" s="5">
        <v>0</v>
      </c>
      <c r="X1471" s="5">
        <v>1</v>
      </c>
      <c r="Y1471" s="5">
        <v>0</v>
      </c>
      <c r="Z1471" s="37">
        <v>0</v>
      </c>
      <c r="AA1471" s="5">
        <v>1</v>
      </c>
      <c r="AB1471" s="5">
        <v>0</v>
      </c>
      <c r="AC1471" s="5">
        <v>0</v>
      </c>
      <c r="AD1471" s="5">
        <v>1</v>
      </c>
      <c r="AE1471" s="10" t="s">
        <v>375</v>
      </c>
      <c r="AF1471" s="10"/>
      <c r="AG1471" s="10" t="s">
        <v>64</v>
      </c>
      <c r="AH1471" s="10">
        <v>41253</v>
      </c>
      <c r="AI1471" s="5">
        <v>4</v>
      </c>
      <c r="AJ1471" s="10" t="s">
        <v>8181</v>
      </c>
      <c r="AK1471" s="10" t="s">
        <v>8182</v>
      </c>
    </row>
    <row r="1472" spans="1:37" ht="36.75" customHeight="1" x14ac:dyDescent="0.35">
      <c r="A1472" s="5"/>
      <c r="B1472" s="5" t="s">
        <v>37</v>
      </c>
      <c r="C1472" s="73" t="str">
        <f t="shared" si="22"/>
        <v>Closed</v>
      </c>
      <c r="D1472" s="45" t="s">
        <v>8183</v>
      </c>
      <c r="E1472" s="54" t="s">
        <v>8184</v>
      </c>
      <c r="F1472" s="5" t="s">
        <v>214</v>
      </c>
      <c r="G1472" s="10">
        <f>DATE(2012,12,4)</f>
        <v>41247</v>
      </c>
      <c r="H1472" s="35">
        <v>1.5763888888888888</v>
      </c>
      <c r="I1472" s="5" t="s">
        <v>259</v>
      </c>
      <c r="J1472" s="10" t="s">
        <v>8185</v>
      </c>
      <c r="K1472" s="5" t="s">
        <v>216</v>
      </c>
      <c r="L1472" s="5" t="s">
        <v>8186</v>
      </c>
      <c r="M1472" s="5" t="s">
        <v>45</v>
      </c>
      <c r="N1472" s="5" t="s">
        <v>123</v>
      </c>
      <c r="O1472" s="5" t="s">
        <v>46</v>
      </c>
      <c r="P1472" s="10" t="s">
        <v>146</v>
      </c>
      <c r="Q1472" s="10" t="s">
        <v>427</v>
      </c>
      <c r="R1472" s="10" t="s">
        <v>219</v>
      </c>
      <c r="S1472" s="5">
        <v>0</v>
      </c>
      <c r="T1472" s="37">
        <v>1</v>
      </c>
      <c r="U1472" s="5">
        <v>0</v>
      </c>
      <c r="V1472" s="37">
        <v>0</v>
      </c>
      <c r="W1472" s="5">
        <v>0</v>
      </c>
      <c r="X1472" s="5">
        <v>1</v>
      </c>
      <c r="Y1472" s="5">
        <v>0</v>
      </c>
      <c r="Z1472" s="37">
        <v>0</v>
      </c>
      <c r="AA1472" s="5">
        <v>0</v>
      </c>
      <c r="AB1472" s="5">
        <v>0</v>
      </c>
      <c r="AC1472" s="5">
        <v>0</v>
      </c>
      <c r="AD1472" s="5">
        <v>0</v>
      </c>
      <c r="AE1472" s="10" t="s">
        <v>73</v>
      </c>
      <c r="AF1472" s="10"/>
      <c r="AG1472" s="10" t="s">
        <v>64</v>
      </c>
      <c r="AH1472" s="10">
        <v>41253</v>
      </c>
      <c r="AI1472" s="5">
        <v>4</v>
      </c>
      <c r="AJ1472" s="10" t="s">
        <v>8187</v>
      </c>
      <c r="AK1472" s="10" t="s">
        <v>8188</v>
      </c>
    </row>
    <row r="1473" spans="1:37" ht="36.75" customHeight="1" x14ac:dyDescent="0.35">
      <c r="A1473" s="5"/>
      <c r="B1473" s="5" t="s">
        <v>37</v>
      </c>
      <c r="C1473" s="73" t="str">
        <f t="shared" si="22"/>
        <v>Closed</v>
      </c>
      <c r="D1473" s="45" t="s">
        <v>8189</v>
      </c>
      <c r="E1473" s="54" t="s">
        <v>8190</v>
      </c>
      <c r="F1473" s="5" t="s">
        <v>619</v>
      </c>
      <c r="G1473" s="10">
        <f>DATE(2012,12,6)</f>
        <v>41249</v>
      </c>
      <c r="H1473" s="35">
        <v>1.1076388888888888</v>
      </c>
      <c r="I1473" s="5" t="s">
        <v>468</v>
      </c>
      <c r="J1473" s="10" t="s">
        <v>8191</v>
      </c>
      <c r="K1473" s="5" t="s">
        <v>621</v>
      </c>
      <c r="L1473" s="5" t="s">
        <v>8192</v>
      </c>
      <c r="M1473" s="5" t="s">
        <v>45</v>
      </c>
      <c r="N1473" s="5" t="s">
        <v>80</v>
      </c>
      <c r="O1473" s="5" t="s">
        <v>59</v>
      </c>
      <c r="P1473" s="10" t="s">
        <v>67</v>
      </c>
      <c r="Q1473" s="10" t="s">
        <v>3226</v>
      </c>
      <c r="R1473" s="10" t="s">
        <v>3226</v>
      </c>
      <c r="S1473" s="5">
        <v>0</v>
      </c>
      <c r="T1473" s="37">
        <v>0</v>
      </c>
      <c r="U1473" s="5">
        <v>0</v>
      </c>
      <c r="V1473" s="37">
        <v>0</v>
      </c>
      <c r="W1473" s="5">
        <v>0</v>
      </c>
      <c r="X1473" s="5">
        <v>0</v>
      </c>
      <c r="Y1473" s="5">
        <v>0</v>
      </c>
      <c r="Z1473" s="37">
        <v>0</v>
      </c>
      <c r="AA1473" s="5">
        <v>0</v>
      </c>
      <c r="AB1473" s="5">
        <v>0</v>
      </c>
      <c r="AC1473" s="5">
        <v>0</v>
      </c>
      <c r="AD1473" s="5">
        <v>0</v>
      </c>
      <c r="AE1473" s="10" t="s">
        <v>73</v>
      </c>
      <c r="AF1473" s="10"/>
      <c r="AG1473" s="10" t="s">
        <v>376</v>
      </c>
      <c r="AH1473" s="10">
        <v>41269</v>
      </c>
      <c r="AI1473" s="5">
        <v>3</v>
      </c>
      <c r="AJ1473" s="10" t="s">
        <v>8193</v>
      </c>
      <c r="AK1473" s="10" t="s">
        <v>50</v>
      </c>
    </row>
    <row r="1474" spans="1:37" ht="36.75" customHeight="1" x14ac:dyDescent="0.35">
      <c r="A1474" s="5"/>
      <c r="B1474" s="5" t="s">
        <v>37</v>
      </c>
      <c r="C1474" s="73" t="str">
        <f t="shared" ref="C1474:C1537" si="23">IF(B1474="Notification","Open",IF(B1474="Interim Statement","In progress","Closed"))</f>
        <v>Closed</v>
      </c>
      <c r="D1474" s="45" t="s">
        <v>8194</v>
      </c>
      <c r="E1474" s="54" t="s">
        <v>8195</v>
      </c>
      <c r="F1474" s="5" t="s">
        <v>178</v>
      </c>
      <c r="G1474" s="10">
        <f>DATE(2012,12,8)</f>
        <v>41251</v>
      </c>
      <c r="H1474" s="35">
        <v>1.7458333333333331</v>
      </c>
      <c r="I1474" s="5" t="s">
        <v>97</v>
      </c>
      <c r="J1474" s="10" t="s">
        <v>8196</v>
      </c>
      <c r="K1474" s="5" t="s">
        <v>181</v>
      </c>
      <c r="L1474" s="5" t="s">
        <v>7164</v>
      </c>
      <c r="M1474" s="5" t="s">
        <v>45</v>
      </c>
      <c r="N1474" s="5" t="s">
        <v>80</v>
      </c>
      <c r="O1474" s="5" t="s">
        <v>46</v>
      </c>
      <c r="P1474" s="10" t="s">
        <v>146</v>
      </c>
      <c r="Q1474" s="10">
        <v>0</v>
      </c>
      <c r="R1474" s="10">
        <v>0</v>
      </c>
      <c r="S1474" s="5">
        <v>0</v>
      </c>
      <c r="T1474" s="37">
        <v>0</v>
      </c>
      <c r="U1474" s="5">
        <v>0</v>
      </c>
      <c r="V1474" s="37">
        <v>0</v>
      </c>
      <c r="W1474" s="5">
        <v>0</v>
      </c>
      <c r="X1474" s="5">
        <v>0</v>
      </c>
      <c r="Y1474" s="5">
        <v>0</v>
      </c>
      <c r="Z1474" s="37">
        <v>0</v>
      </c>
      <c r="AA1474" s="5">
        <v>0</v>
      </c>
      <c r="AB1474" s="5">
        <v>0</v>
      </c>
      <c r="AC1474" s="5">
        <v>0</v>
      </c>
      <c r="AD1474" s="5">
        <v>0</v>
      </c>
      <c r="AE1474" s="10" t="s">
        <v>73</v>
      </c>
      <c r="AF1474" s="10"/>
      <c r="AG1474" s="10" t="s">
        <v>333</v>
      </c>
      <c r="AH1474" s="10">
        <v>41253</v>
      </c>
      <c r="AI1474" s="5">
        <v>4</v>
      </c>
      <c r="AJ1474" s="10" t="s">
        <v>7940</v>
      </c>
      <c r="AK1474" s="10" t="s">
        <v>1215</v>
      </c>
    </row>
    <row r="1475" spans="1:37" ht="36.75" customHeight="1" x14ac:dyDescent="0.35">
      <c r="A1475" s="5"/>
      <c r="B1475" s="5" t="s">
        <v>37</v>
      </c>
      <c r="C1475" s="73" t="str">
        <f t="shared" si="23"/>
        <v>Closed</v>
      </c>
      <c r="D1475" s="45" t="s">
        <v>8197</v>
      </c>
      <c r="E1475" s="54" t="s">
        <v>8198</v>
      </c>
      <c r="F1475" s="5" t="s">
        <v>178</v>
      </c>
      <c r="G1475" s="10">
        <f>DATE(2012,12,9)</f>
        <v>41252</v>
      </c>
      <c r="H1475" s="35">
        <v>0</v>
      </c>
      <c r="I1475" s="5" t="s">
        <v>5473</v>
      </c>
      <c r="J1475" s="10" t="s">
        <v>8199</v>
      </c>
      <c r="K1475" s="5" t="s">
        <v>181</v>
      </c>
      <c r="L1475" s="5" t="s">
        <v>7939</v>
      </c>
      <c r="M1475" s="5" t="s">
        <v>45</v>
      </c>
      <c r="N1475" s="5" t="s">
        <v>123</v>
      </c>
      <c r="O1475" s="5" t="s">
        <v>46</v>
      </c>
      <c r="P1475" s="10" t="s">
        <v>443</v>
      </c>
      <c r="Q1475" s="10" t="s">
        <v>181</v>
      </c>
      <c r="R1475" s="10" t="s">
        <v>181</v>
      </c>
      <c r="S1475" s="5">
        <v>0</v>
      </c>
      <c r="T1475" s="37">
        <v>0</v>
      </c>
      <c r="U1475" s="5">
        <v>0</v>
      </c>
      <c r="V1475" s="37">
        <v>0</v>
      </c>
      <c r="W1475" s="5">
        <v>0</v>
      </c>
      <c r="X1475" s="5">
        <v>0</v>
      </c>
      <c r="Y1475" s="5">
        <v>0</v>
      </c>
      <c r="Z1475" s="37">
        <v>0</v>
      </c>
      <c r="AA1475" s="5">
        <v>0</v>
      </c>
      <c r="AB1475" s="5">
        <v>0</v>
      </c>
      <c r="AC1475" s="5">
        <v>0</v>
      </c>
      <c r="AD1475" s="5">
        <v>0</v>
      </c>
      <c r="AE1475" s="10" t="s">
        <v>73</v>
      </c>
      <c r="AF1475" s="10"/>
      <c r="AG1475" s="10" t="s">
        <v>333</v>
      </c>
      <c r="AH1475" s="10">
        <v>41255</v>
      </c>
      <c r="AI1475" s="5">
        <v>7</v>
      </c>
      <c r="AJ1475" s="10" t="s">
        <v>8200</v>
      </c>
      <c r="AK1475" s="10" t="s">
        <v>1215</v>
      </c>
    </row>
    <row r="1476" spans="1:37" ht="36.75" customHeight="1" x14ac:dyDescent="0.35">
      <c r="A1476" s="5"/>
      <c r="B1476" s="5" t="s">
        <v>37</v>
      </c>
      <c r="C1476" s="73" t="str">
        <f t="shared" si="23"/>
        <v>Closed</v>
      </c>
      <c r="D1476" s="45" t="s">
        <v>8201</v>
      </c>
      <c r="E1476" s="54" t="s">
        <v>8202</v>
      </c>
      <c r="F1476" s="5" t="s">
        <v>178</v>
      </c>
      <c r="G1476" s="10">
        <f>DATE(2012,12,10)</f>
        <v>41253</v>
      </c>
      <c r="H1476" s="35">
        <v>1.2840277777777778</v>
      </c>
      <c r="I1476" s="5" t="s">
        <v>5473</v>
      </c>
      <c r="J1476" s="10" t="s">
        <v>8203</v>
      </c>
      <c r="K1476" s="5" t="s">
        <v>181</v>
      </c>
      <c r="L1476" s="5" t="s">
        <v>7164</v>
      </c>
      <c r="M1476" s="5" t="s">
        <v>45</v>
      </c>
      <c r="N1476" s="5" t="s">
        <v>123</v>
      </c>
      <c r="O1476" s="5" t="s">
        <v>59</v>
      </c>
      <c r="P1476" s="10" t="s">
        <v>443</v>
      </c>
      <c r="Q1476" s="10">
        <v>0</v>
      </c>
      <c r="R1476" s="10">
        <v>0</v>
      </c>
      <c r="S1476" s="5">
        <v>0</v>
      </c>
      <c r="T1476" s="37">
        <v>0</v>
      </c>
      <c r="U1476" s="5">
        <v>0</v>
      </c>
      <c r="V1476" s="37">
        <v>0</v>
      </c>
      <c r="W1476" s="5">
        <v>0</v>
      </c>
      <c r="X1476" s="5">
        <v>0</v>
      </c>
      <c r="Y1476" s="5">
        <v>0</v>
      </c>
      <c r="Z1476" s="37">
        <v>0</v>
      </c>
      <c r="AA1476" s="5">
        <v>0</v>
      </c>
      <c r="AB1476" s="5">
        <v>0</v>
      </c>
      <c r="AC1476" s="5">
        <v>0</v>
      </c>
      <c r="AD1476" s="5">
        <v>0</v>
      </c>
      <c r="AE1476" s="10" t="s">
        <v>73</v>
      </c>
      <c r="AF1476" s="10"/>
      <c r="AG1476" s="10" t="s">
        <v>1489</v>
      </c>
      <c r="AH1476" s="10">
        <v>41262</v>
      </c>
      <c r="AI1476" s="5">
        <v>3</v>
      </c>
      <c r="AJ1476" s="10" t="s">
        <v>8204</v>
      </c>
      <c r="AK1476" s="10" t="s">
        <v>1215</v>
      </c>
    </row>
    <row r="1477" spans="1:37" ht="36.75" customHeight="1" x14ac:dyDescent="0.35">
      <c r="A1477" s="5"/>
      <c r="B1477" s="5" t="s">
        <v>37</v>
      </c>
      <c r="C1477" s="73" t="str">
        <f t="shared" si="23"/>
        <v>Closed</v>
      </c>
      <c r="D1477" s="45" t="s">
        <v>8205</v>
      </c>
      <c r="E1477" s="54" t="s">
        <v>8206</v>
      </c>
      <c r="F1477" s="5" t="s">
        <v>563</v>
      </c>
      <c r="G1477" s="10">
        <f>DATE(2012,12,13)</f>
        <v>41256</v>
      </c>
      <c r="H1477" s="35">
        <v>1.5222222222222221</v>
      </c>
      <c r="I1477" s="5" t="s">
        <v>55</v>
      </c>
      <c r="J1477" s="10" t="s">
        <v>8207</v>
      </c>
      <c r="K1477" s="5" t="s">
        <v>565</v>
      </c>
      <c r="L1477" s="5" t="s">
        <v>8208</v>
      </c>
      <c r="M1477" s="5" t="s">
        <v>45</v>
      </c>
      <c r="N1477" s="5" t="s">
        <v>123</v>
      </c>
      <c r="O1477" s="5" t="s">
        <v>59</v>
      </c>
      <c r="P1477" s="10" t="s">
        <v>60</v>
      </c>
      <c r="Q1477" s="10" t="s">
        <v>567</v>
      </c>
      <c r="R1477" s="10" t="s">
        <v>568</v>
      </c>
      <c r="S1477" s="5">
        <v>0</v>
      </c>
      <c r="T1477" s="37">
        <v>0</v>
      </c>
      <c r="U1477" s="5">
        <v>0</v>
      </c>
      <c r="V1477" s="37">
        <v>0</v>
      </c>
      <c r="W1477" s="5">
        <v>0</v>
      </c>
      <c r="X1477" s="5">
        <v>0</v>
      </c>
      <c r="Y1477" s="5">
        <v>0</v>
      </c>
      <c r="Z1477" s="37">
        <v>0</v>
      </c>
      <c r="AA1477" s="5">
        <v>0</v>
      </c>
      <c r="AB1477" s="5">
        <v>0</v>
      </c>
      <c r="AC1477" s="5">
        <v>0</v>
      </c>
      <c r="AD1477" s="5">
        <v>0</v>
      </c>
      <c r="AE1477" s="10" t="s">
        <v>375</v>
      </c>
      <c r="AF1477" s="10"/>
      <c r="AG1477" s="10" t="s">
        <v>114</v>
      </c>
      <c r="AH1477" s="10">
        <v>41256</v>
      </c>
      <c r="AI1477" s="5">
        <v>0</v>
      </c>
      <c r="AJ1477" s="10" t="s">
        <v>8209</v>
      </c>
      <c r="AK1477" s="10" t="s">
        <v>1215</v>
      </c>
    </row>
    <row r="1478" spans="1:37" ht="36.75" customHeight="1" x14ac:dyDescent="0.35">
      <c r="A1478" s="5"/>
      <c r="B1478" s="5" t="s">
        <v>37</v>
      </c>
      <c r="C1478" s="73" t="str">
        <f t="shared" si="23"/>
        <v>Closed</v>
      </c>
      <c r="D1478" s="45" t="s">
        <v>8210</v>
      </c>
      <c r="E1478" s="54" t="s">
        <v>8211</v>
      </c>
      <c r="F1478" s="5" t="s">
        <v>404</v>
      </c>
      <c r="G1478" s="10">
        <f>DATE(2012,12,14)</f>
        <v>41257</v>
      </c>
      <c r="H1478" s="35">
        <v>1.8729166666666668</v>
      </c>
      <c r="I1478" s="5" t="s">
        <v>97</v>
      </c>
      <c r="J1478" s="10" t="s">
        <v>8212</v>
      </c>
      <c r="K1478" s="5" t="s">
        <v>406</v>
      </c>
      <c r="L1478" s="5" t="s">
        <v>8213</v>
      </c>
      <c r="M1478" s="5" t="s">
        <v>45</v>
      </c>
      <c r="N1478" s="5" t="s">
        <v>123</v>
      </c>
      <c r="O1478" s="5" t="s">
        <v>46</v>
      </c>
      <c r="P1478" s="10" t="s">
        <v>146</v>
      </c>
      <c r="Q1478" s="10" t="s">
        <v>408</v>
      </c>
      <c r="R1478" s="10" t="s">
        <v>3083</v>
      </c>
      <c r="S1478" s="5">
        <v>0</v>
      </c>
      <c r="T1478" s="37">
        <v>0</v>
      </c>
      <c r="U1478" s="5">
        <v>0</v>
      </c>
      <c r="V1478" s="37">
        <v>0</v>
      </c>
      <c r="W1478" s="5">
        <v>0</v>
      </c>
      <c r="X1478" s="5">
        <v>0</v>
      </c>
      <c r="Y1478" s="5">
        <v>0</v>
      </c>
      <c r="Z1478" s="37">
        <v>0</v>
      </c>
      <c r="AA1478" s="5">
        <v>0</v>
      </c>
      <c r="AB1478" s="5">
        <v>0</v>
      </c>
      <c r="AC1478" s="5">
        <v>0</v>
      </c>
      <c r="AD1478" s="5">
        <v>0</v>
      </c>
      <c r="AE1478" s="10" t="s">
        <v>375</v>
      </c>
      <c r="AF1478" s="10"/>
      <c r="AG1478" s="10" t="s">
        <v>114</v>
      </c>
      <c r="AH1478" s="10">
        <v>41396</v>
      </c>
      <c r="AI1478" s="5">
        <v>5</v>
      </c>
      <c r="AJ1478" s="10" t="s">
        <v>8214</v>
      </c>
      <c r="AK1478" s="10" t="s">
        <v>8215</v>
      </c>
    </row>
    <row r="1479" spans="1:37" ht="36.75" customHeight="1" x14ac:dyDescent="0.35">
      <c r="A1479" s="5"/>
      <c r="B1479" s="5" t="s">
        <v>37</v>
      </c>
      <c r="C1479" s="73" t="str">
        <f t="shared" si="23"/>
        <v>Closed</v>
      </c>
      <c r="D1479" s="45" t="s">
        <v>8216</v>
      </c>
      <c r="E1479" s="54" t="s">
        <v>8217</v>
      </c>
      <c r="F1479" s="5" t="s">
        <v>816</v>
      </c>
      <c r="G1479" s="10">
        <f>DATE(2012,12,14)</f>
        <v>41257</v>
      </c>
      <c r="H1479" s="35">
        <v>1.4944444444444445</v>
      </c>
      <c r="I1479" s="5" t="s">
        <v>55</v>
      </c>
      <c r="J1479" s="10" t="s">
        <v>8218</v>
      </c>
      <c r="K1479" s="5" t="s">
        <v>818</v>
      </c>
      <c r="L1479" s="5" t="s">
        <v>8219</v>
      </c>
      <c r="M1479" s="5" t="s">
        <v>45</v>
      </c>
      <c r="N1479" s="5" t="s">
        <v>80</v>
      </c>
      <c r="O1479" s="5" t="s">
        <v>59</v>
      </c>
      <c r="P1479" s="10" t="s">
        <v>60</v>
      </c>
      <c r="Q1479" s="10" t="s">
        <v>4688</v>
      </c>
      <c r="R1479" s="10" t="s">
        <v>821</v>
      </c>
      <c r="S1479" s="5">
        <v>0</v>
      </c>
      <c r="T1479" s="37">
        <v>0</v>
      </c>
      <c r="U1479" s="5">
        <v>0</v>
      </c>
      <c r="V1479" s="37">
        <v>0</v>
      </c>
      <c r="W1479" s="5">
        <v>0</v>
      </c>
      <c r="X1479" s="5">
        <v>0</v>
      </c>
      <c r="Y1479" s="5">
        <v>0</v>
      </c>
      <c r="Z1479" s="37">
        <v>0</v>
      </c>
      <c r="AA1479" s="5">
        <v>0</v>
      </c>
      <c r="AB1479" s="5">
        <v>0</v>
      </c>
      <c r="AC1479" s="5">
        <v>0</v>
      </c>
      <c r="AD1479" s="5">
        <v>0</v>
      </c>
      <c r="AE1479" s="10" t="s">
        <v>73</v>
      </c>
      <c r="AF1479" s="10"/>
      <c r="AG1479" s="10" t="s">
        <v>114</v>
      </c>
      <c r="AH1479" s="10">
        <v>43083</v>
      </c>
      <c r="AI1479" s="5">
        <v>1</v>
      </c>
      <c r="AJ1479" s="10" t="s">
        <v>8220</v>
      </c>
      <c r="AK1479" s="10" t="s">
        <v>50</v>
      </c>
    </row>
    <row r="1480" spans="1:37" ht="36.75" customHeight="1" x14ac:dyDescent="0.35">
      <c r="A1480" s="5"/>
      <c r="B1480" s="5" t="s">
        <v>37</v>
      </c>
      <c r="C1480" s="73" t="str">
        <f t="shared" si="23"/>
        <v>Closed</v>
      </c>
      <c r="D1480" s="45" t="s">
        <v>8221</v>
      </c>
      <c r="E1480" s="54" t="s">
        <v>8222</v>
      </c>
      <c r="F1480" s="5" t="s">
        <v>2581</v>
      </c>
      <c r="G1480" s="10">
        <f>DATE(2012,12,19)</f>
        <v>41262</v>
      </c>
      <c r="H1480" s="35">
        <v>1.4826388888888888</v>
      </c>
      <c r="I1480" s="5" t="s">
        <v>106</v>
      </c>
      <c r="J1480" s="10" t="s">
        <v>8223</v>
      </c>
      <c r="K1480" s="5" t="s">
        <v>2583</v>
      </c>
      <c r="L1480" s="5" t="s">
        <v>8224</v>
      </c>
      <c r="M1480" s="5" t="s">
        <v>45</v>
      </c>
      <c r="N1480" s="5" t="s">
        <v>70</v>
      </c>
      <c r="O1480" s="5" t="s">
        <v>59</v>
      </c>
      <c r="P1480" s="10" t="s">
        <v>146</v>
      </c>
      <c r="Q1480" s="10" t="s">
        <v>6321</v>
      </c>
      <c r="R1480" s="10" t="s">
        <v>2586</v>
      </c>
      <c r="S1480" s="5">
        <v>0</v>
      </c>
      <c r="T1480" s="37">
        <v>0</v>
      </c>
      <c r="U1480" s="5">
        <v>0</v>
      </c>
      <c r="V1480" s="37">
        <v>0</v>
      </c>
      <c r="W1480" s="5">
        <v>0</v>
      </c>
      <c r="X1480" s="5">
        <v>0</v>
      </c>
      <c r="Y1480" s="5">
        <v>0</v>
      </c>
      <c r="Z1480" s="37">
        <v>0</v>
      </c>
      <c r="AA1480" s="5">
        <v>0</v>
      </c>
      <c r="AB1480" s="5">
        <v>0</v>
      </c>
      <c r="AC1480" s="5">
        <v>0</v>
      </c>
      <c r="AD1480" s="5">
        <v>0</v>
      </c>
      <c r="AE1480" s="10" t="s">
        <v>73</v>
      </c>
      <c r="AF1480" s="10"/>
      <c r="AG1480" s="10" t="s">
        <v>114</v>
      </c>
      <c r="AH1480" s="10">
        <v>41263</v>
      </c>
      <c r="AI1480" s="5">
        <v>6</v>
      </c>
      <c r="AJ1480" s="10" t="s">
        <v>8225</v>
      </c>
      <c r="AK1480" s="10" t="s">
        <v>8226</v>
      </c>
    </row>
    <row r="1481" spans="1:37" ht="36.75" customHeight="1" x14ac:dyDescent="0.35">
      <c r="A1481" s="5"/>
      <c r="B1481" s="5" t="s">
        <v>37</v>
      </c>
      <c r="C1481" s="73" t="str">
        <f t="shared" si="23"/>
        <v>Closed</v>
      </c>
      <c r="D1481" s="45" t="s">
        <v>8227</v>
      </c>
      <c r="E1481" s="54" t="s">
        <v>8228</v>
      </c>
      <c r="F1481" s="5" t="s">
        <v>563</v>
      </c>
      <c r="G1481" s="10">
        <f>DATE(2012,12,19)</f>
        <v>41262</v>
      </c>
      <c r="H1481" s="35">
        <v>1.84375</v>
      </c>
      <c r="I1481" s="5" t="s">
        <v>97</v>
      </c>
      <c r="J1481" s="10" t="s">
        <v>8229</v>
      </c>
      <c r="K1481" s="5" t="s">
        <v>565</v>
      </c>
      <c r="L1481" s="5" t="s">
        <v>8230</v>
      </c>
      <c r="M1481" s="5" t="s">
        <v>45</v>
      </c>
      <c r="N1481" s="5" t="s">
        <v>123</v>
      </c>
      <c r="O1481" s="5" t="s">
        <v>46</v>
      </c>
      <c r="P1481" s="10" t="s">
        <v>60</v>
      </c>
      <c r="Q1481" s="10" t="s">
        <v>567</v>
      </c>
      <c r="R1481" s="10" t="s">
        <v>568</v>
      </c>
      <c r="S1481" s="5">
        <v>0</v>
      </c>
      <c r="T1481" s="37">
        <v>0</v>
      </c>
      <c r="U1481" s="5">
        <v>0</v>
      </c>
      <c r="V1481" s="37">
        <v>0</v>
      </c>
      <c r="W1481" s="5">
        <v>0</v>
      </c>
      <c r="X1481" s="5">
        <v>0</v>
      </c>
      <c r="Y1481" s="5">
        <v>0</v>
      </c>
      <c r="Z1481" s="37">
        <v>1</v>
      </c>
      <c r="AA1481" s="5">
        <v>0</v>
      </c>
      <c r="AB1481" s="5">
        <v>0</v>
      </c>
      <c r="AC1481" s="5">
        <v>0</v>
      </c>
      <c r="AD1481" s="5">
        <v>1</v>
      </c>
      <c r="AE1481" s="10" t="s">
        <v>126</v>
      </c>
      <c r="AF1481" s="10"/>
      <c r="AG1481" s="10" t="s">
        <v>114</v>
      </c>
      <c r="AH1481" s="10">
        <v>41262</v>
      </c>
      <c r="AI1481" s="5">
        <v>1</v>
      </c>
      <c r="AJ1481" s="10" t="s">
        <v>8231</v>
      </c>
      <c r="AK1481" s="10" t="s">
        <v>1215</v>
      </c>
    </row>
    <row r="1482" spans="1:37" ht="36.75" customHeight="1" x14ac:dyDescent="0.35">
      <c r="A1482" s="5"/>
      <c r="B1482" s="5" t="s">
        <v>37</v>
      </c>
      <c r="C1482" s="73" t="str">
        <f t="shared" si="23"/>
        <v>Closed</v>
      </c>
      <c r="D1482" s="45" t="s">
        <v>8232</v>
      </c>
      <c r="E1482" s="54" t="s">
        <v>8233</v>
      </c>
      <c r="F1482" s="5" t="s">
        <v>619</v>
      </c>
      <c r="G1482" s="10">
        <f>DATE(2012,12,21)</f>
        <v>41264</v>
      </c>
      <c r="H1482" s="35">
        <v>1.46875</v>
      </c>
      <c r="I1482" s="5" t="s">
        <v>85</v>
      </c>
      <c r="J1482" s="10" t="s">
        <v>8234</v>
      </c>
      <c r="K1482" s="5" t="s">
        <v>621</v>
      </c>
      <c r="L1482" s="5" t="s">
        <v>8235</v>
      </c>
      <c r="M1482" s="5" t="s">
        <v>45</v>
      </c>
      <c r="N1482" s="5" t="s">
        <v>123</v>
      </c>
      <c r="O1482" s="5" t="s">
        <v>59</v>
      </c>
      <c r="P1482" s="10" t="s">
        <v>47</v>
      </c>
      <c r="Q1482" s="10" t="s">
        <v>623</v>
      </c>
      <c r="R1482" s="10" t="s">
        <v>624</v>
      </c>
      <c r="S1482" s="5">
        <v>0</v>
      </c>
      <c r="T1482" s="37">
        <v>0</v>
      </c>
      <c r="U1482" s="5">
        <v>0</v>
      </c>
      <c r="V1482" s="37">
        <v>0</v>
      </c>
      <c r="W1482" s="5">
        <v>0</v>
      </c>
      <c r="X1482" s="5">
        <v>0</v>
      </c>
      <c r="Y1482" s="5">
        <v>0</v>
      </c>
      <c r="Z1482" s="37">
        <v>0</v>
      </c>
      <c r="AA1482" s="5">
        <v>0</v>
      </c>
      <c r="AB1482" s="5">
        <v>0</v>
      </c>
      <c r="AC1482" s="5">
        <v>0</v>
      </c>
      <c r="AD1482" s="5">
        <v>0</v>
      </c>
      <c r="AE1482" s="10" t="s">
        <v>73</v>
      </c>
      <c r="AF1482" s="10"/>
      <c r="AG1482" s="10" t="s">
        <v>333</v>
      </c>
      <c r="AH1482" s="10">
        <v>41269</v>
      </c>
      <c r="AI1482" s="5">
        <v>0</v>
      </c>
      <c r="AJ1482" s="10" t="s">
        <v>8236</v>
      </c>
      <c r="AK1482" s="10" t="s">
        <v>50</v>
      </c>
    </row>
    <row r="1483" spans="1:37" ht="36.75" customHeight="1" x14ac:dyDescent="0.35">
      <c r="A1483" s="5"/>
      <c r="B1483" s="5" t="s">
        <v>37</v>
      </c>
      <c r="C1483" s="73" t="str">
        <f t="shared" si="23"/>
        <v>Closed</v>
      </c>
      <c r="D1483" s="45" t="s">
        <v>8237</v>
      </c>
      <c r="E1483" s="54" t="s">
        <v>8238</v>
      </c>
      <c r="F1483" s="5" t="s">
        <v>1553</v>
      </c>
      <c r="G1483" s="10">
        <f>DATE(2012,12,22)</f>
        <v>41265</v>
      </c>
      <c r="H1483" s="35">
        <v>1.5243055555555556</v>
      </c>
      <c r="I1483" s="5" t="s">
        <v>55</v>
      </c>
      <c r="J1483" s="10" t="s">
        <v>8239</v>
      </c>
      <c r="K1483" s="5" t="s">
        <v>1555</v>
      </c>
      <c r="L1483" s="5" t="s">
        <v>8240</v>
      </c>
      <c r="M1483" s="5" t="s">
        <v>45</v>
      </c>
      <c r="N1483" s="5" t="s">
        <v>123</v>
      </c>
      <c r="O1483" s="5" t="s">
        <v>59</v>
      </c>
      <c r="P1483" s="10" t="s">
        <v>60</v>
      </c>
      <c r="Q1483" s="10" t="s">
        <v>2417</v>
      </c>
      <c r="R1483" s="10" t="s">
        <v>6413</v>
      </c>
      <c r="S1483" s="5">
        <v>0</v>
      </c>
      <c r="T1483" s="37">
        <v>0</v>
      </c>
      <c r="U1483" s="5">
        <v>0</v>
      </c>
      <c r="V1483" s="37">
        <v>0</v>
      </c>
      <c r="W1483" s="5">
        <v>0</v>
      </c>
      <c r="X1483" s="5">
        <v>0</v>
      </c>
      <c r="Y1483" s="5">
        <v>0</v>
      </c>
      <c r="Z1483" s="37">
        <v>0</v>
      </c>
      <c r="AA1483" s="5">
        <v>0</v>
      </c>
      <c r="AB1483" s="5">
        <v>0</v>
      </c>
      <c r="AC1483" s="5">
        <v>0</v>
      </c>
      <c r="AD1483" s="5">
        <v>0</v>
      </c>
      <c r="AE1483" s="10" t="s">
        <v>73</v>
      </c>
      <c r="AF1483" s="10"/>
      <c r="AG1483" s="10" t="s">
        <v>114</v>
      </c>
      <c r="AH1483" s="10">
        <v>41270</v>
      </c>
      <c r="AI1483" s="5">
        <v>0</v>
      </c>
      <c r="AJ1483" s="10" t="s">
        <v>8241</v>
      </c>
      <c r="AK1483" s="10" t="s">
        <v>8242</v>
      </c>
    </row>
    <row r="1484" spans="1:37" ht="36.75" customHeight="1" x14ac:dyDescent="0.35">
      <c r="A1484" s="5"/>
      <c r="B1484" s="5" t="s">
        <v>37</v>
      </c>
      <c r="C1484" s="73" t="str">
        <f t="shared" si="23"/>
        <v>Closed</v>
      </c>
      <c r="D1484" s="45" t="s">
        <v>8243</v>
      </c>
      <c r="E1484" s="54" t="s">
        <v>8244</v>
      </c>
      <c r="F1484" s="5" t="s">
        <v>619</v>
      </c>
      <c r="G1484" s="10">
        <f>DATE(2012,12,24)</f>
        <v>41267</v>
      </c>
      <c r="H1484" s="35">
        <v>1.0416666666666667</v>
      </c>
      <c r="I1484" s="5" t="s">
        <v>55</v>
      </c>
      <c r="J1484" s="10" t="s">
        <v>8245</v>
      </c>
      <c r="K1484" s="5" t="s">
        <v>621</v>
      </c>
      <c r="L1484" s="5" t="s">
        <v>8246</v>
      </c>
      <c r="M1484" s="5" t="s">
        <v>45</v>
      </c>
      <c r="N1484" s="5" t="s">
        <v>80</v>
      </c>
      <c r="O1484" s="5" t="s">
        <v>59</v>
      </c>
      <c r="P1484" s="10" t="s">
        <v>60</v>
      </c>
      <c r="Q1484" s="10" t="s">
        <v>8247</v>
      </c>
      <c r="R1484" s="10" t="s">
        <v>624</v>
      </c>
      <c r="S1484" s="5">
        <v>0</v>
      </c>
      <c r="T1484" s="37">
        <v>0</v>
      </c>
      <c r="U1484" s="5">
        <v>0</v>
      </c>
      <c r="V1484" s="37">
        <v>0</v>
      </c>
      <c r="W1484" s="5">
        <v>0</v>
      </c>
      <c r="X1484" s="5">
        <v>0</v>
      </c>
      <c r="Y1484" s="5">
        <v>0</v>
      </c>
      <c r="Z1484" s="37">
        <v>0</v>
      </c>
      <c r="AA1484" s="5">
        <v>0</v>
      </c>
      <c r="AB1484" s="5">
        <v>0</v>
      </c>
      <c r="AC1484" s="5">
        <v>0</v>
      </c>
      <c r="AD1484" s="5">
        <v>0</v>
      </c>
      <c r="AE1484" s="10" t="s">
        <v>73</v>
      </c>
      <c r="AF1484" s="10"/>
      <c r="AG1484" s="10" t="s">
        <v>333</v>
      </c>
      <c r="AH1484" s="10">
        <v>41303</v>
      </c>
      <c r="AI1484" s="5">
        <v>1</v>
      </c>
      <c r="AJ1484" s="10" t="s">
        <v>8248</v>
      </c>
      <c r="AK1484" s="10" t="s">
        <v>50</v>
      </c>
    </row>
    <row r="1485" spans="1:37" ht="36.75" customHeight="1" x14ac:dyDescent="0.35">
      <c r="A1485" s="5"/>
      <c r="B1485" s="5" t="s">
        <v>37</v>
      </c>
      <c r="C1485" s="73" t="str">
        <f t="shared" si="23"/>
        <v>Closed</v>
      </c>
      <c r="D1485" s="45" t="s">
        <v>8249</v>
      </c>
      <c r="E1485" s="54" t="s">
        <v>8250</v>
      </c>
      <c r="F1485" s="5" t="s">
        <v>214</v>
      </c>
      <c r="G1485" s="10">
        <f>DATE(2012,12,27)</f>
        <v>41270</v>
      </c>
      <c r="H1485" s="35">
        <v>1.2048611111111112</v>
      </c>
      <c r="I1485" s="5" t="s">
        <v>55</v>
      </c>
      <c r="J1485" s="10" t="s">
        <v>8251</v>
      </c>
      <c r="K1485" s="5" t="s">
        <v>216</v>
      </c>
      <c r="L1485" s="5" t="s">
        <v>8252</v>
      </c>
      <c r="M1485" s="5" t="s">
        <v>45</v>
      </c>
      <c r="N1485" s="5" t="s">
        <v>70</v>
      </c>
      <c r="O1485" s="5" t="s">
        <v>46</v>
      </c>
      <c r="P1485" s="10" t="s">
        <v>60</v>
      </c>
      <c r="Q1485" s="10" t="s">
        <v>4022</v>
      </c>
      <c r="R1485" s="10" t="s">
        <v>219</v>
      </c>
      <c r="S1485" s="5">
        <v>0</v>
      </c>
      <c r="T1485" s="37">
        <v>0</v>
      </c>
      <c r="U1485" s="5">
        <v>0</v>
      </c>
      <c r="V1485" s="37">
        <v>0</v>
      </c>
      <c r="W1485" s="5">
        <v>0</v>
      </c>
      <c r="X1485" s="5">
        <v>0</v>
      </c>
      <c r="Y1485" s="5">
        <v>0</v>
      </c>
      <c r="Z1485" s="37">
        <v>0</v>
      </c>
      <c r="AA1485" s="5">
        <v>0</v>
      </c>
      <c r="AB1485" s="5">
        <v>0</v>
      </c>
      <c r="AC1485" s="5">
        <v>0</v>
      </c>
      <c r="AD1485" s="5">
        <v>0</v>
      </c>
      <c r="AE1485" s="10" t="s">
        <v>73</v>
      </c>
      <c r="AF1485" s="10"/>
      <c r="AG1485" s="10" t="s">
        <v>333</v>
      </c>
      <c r="AH1485" s="10">
        <v>41281</v>
      </c>
      <c r="AI1485" s="5">
        <v>3</v>
      </c>
      <c r="AJ1485" s="10" t="s">
        <v>8253</v>
      </c>
      <c r="AK1485" s="10" t="s">
        <v>8254</v>
      </c>
    </row>
    <row r="1486" spans="1:37" ht="36.75" customHeight="1" x14ac:dyDescent="0.35">
      <c r="A1486" s="5"/>
      <c r="B1486" s="5" t="s">
        <v>37</v>
      </c>
      <c r="C1486" s="73" t="str">
        <f t="shared" si="23"/>
        <v>Closed</v>
      </c>
      <c r="D1486" s="45" t="s">
        <v>8255</v>
      </c>
      <c r="E1486" s="54" t="s">
        <v>8256</v>
      </c>
      <c r="F1486" s="5" t="s">
        <v>1553</v>
      </c>
      <c r="G1486" s="10">
        <f>DATE(2012,12,30)</f>
        <v>41273</v>
      </c>
      <c r="H1486" s="35">
        <v>1.7847222222222223</v>
      </c>
      <c r="I1486" s="5" t="s">
        <v>55</v>
      </c>
      <c r="J1486" s="10" t="s">
        <v>8257</v>
      </c>
      <c r="K1486" s="5" t="s">
        <v>1555</v>
      </c>
      <c r="L1486" s="5" t="s">
        <v>8258</v>
      </c>
      <c r="M1486" s="5" t="s">
        <v>45</v>
      </c>
      <c r="N1486" s="5" t="s">
        <v>123</v>
      </c>
      <c r="O1486" s="5" t="s">
        <v>59</v>
      </c>
      <c r="P1486" s="10" t="s">
        <v>60</v>
      </c>
      <c r="Q1486" s="10" t="s">
        <v>6003</v>
      </c>
      <c r="R1486" s="10" t="s">
        <v>6413</v>
      </c>
      <c r="S1486" s="5">
        <v>0</v>
      </c>
      <c r="T1486" s="37">
        <v>0</v>
      </c>
      <c r="U1486" s="5">
        <v>0</v>
      </c>
      <c r="V1486" s="37">
        <v>0</v>
      </c>
      <c r="W1486" s="5">
        <v>0</v>
      </c>
      <c r="X1486" s="5">
        <v>0</v>
      </c>
      <c r="Y1486" s="5">
        <v>0</v>
      </c>
      <c r="Z1486" s="37">
        <v>0</v>
      </c>
      <c r="AA1486" s="5">
        <v>0</v>
      </c>
      <c r="AB1486" s="5">
        <v>0</v>
      </c>
      <c r="AC1486" s="5">
        <v>0</v>
      </c>
      <c r="AD1486" s="5">
        <v>0</v>
      </c>
      <c r="AE1486" s="10" t="s">
        <v>73</v>
      </c>
      <c r="AF1486" s="10"/>
      <c r="AG1486" s="10" t="s">
        <v>114</v>
      </c>
      <c r="AH1486" s="10">
        <v>41277</v>
      </c>
      <c r="AI1486" s="5">
        <v>0</v>
      </c>
      <c r="AJ1486" s="10" t="s">
        <v>8259</v>
      </c>
      <c r="AK1486" s="10" t="s">
        <v>6893</v>
      </c>
    </row>
    <row r="1487" spans="1:37" ht="36.75" customHeight="1" x14ac:dyDescent="0.35">
      <c r="A1487" s="5"/>
      <c r="B1487" s="5" t="s">
        <v>37</v>
      </c>
      <c r="C1487" s="73" t="str">
        <f t="shared" si="23"/>
        <v>Closed</v>
      </c>
      <c r="D1487" s="45" t="s">
        <v>8260</v>
      </c>
      <c r="E1487" s="54" t="s">
        <v>8261</v>
      </c>
      <c r="F1487" s="5" t="s">
        <v>563</v>
      </c>
      <c r="G1487" s="10">
        <f>DATE(2013,1,5)</f>
        <v>41279</v>
      </c>
      <c r="H1487" s="35">
        <v>1.6888888888888891</v>
      </c>
      <c r="I1487" s="5" t="s">
        <v>55</v>
      </c>
      <c r="J1487" s="10" t="s">
        <v>8262</v>
      </c>
      <c r="K1487" s="5" t="s">
        <v>565</v>
      </c>
      <c r="L1487" s="5" t="s">
        <v>8263</v>
      </c>
      <c r="M1487" s="5" t="s">
        <v>45</v>
      </c>
      <c r="N1487" s="5" t="s">
        <v>123</v>
      </c>
      <c r="O1487" s="5" t="s">
        <v>59</v>
      </c>
      <c r="P1487" s="10" t="s">
        <v>60</v>
      </c>
      <c r="Q1487" s="10" t="s">
        <v>8264</v>
      </c>
      <c r="R1487" s="10" t="s">
        <v>568</v>
      </c>
      <c r="S1487" s="5">
        <v>0</v>
      </c>
      <c r="T1487" s="37">
        <v>0</v>
      </c>
      <c r="U1487" s="5">
        <v>0</v>
      </c>
      <c r="V1487" s="37">
        <v>0</v>
      </c>
      <c r="W1487" s="5">
        <v>0</v>
      </c>
      <c r="X1487" s="5">
        <v>0</v>
      </c>
      <c r="Y1487" s="5">
        <v>0</v>
      </c>
      <c r="Z1487" s="37">
        <v>0</v>
      </c>
      <c r="AA1487" s="5">
        <v>0</v>
      </c>
      <c r="AB1487" s="5">
        <v>0</v>
      </c>
      <c r="AC1487" s="5">
        <v>0</v>
      </c>
      <c r="AD1487" s="5">
        <v>0</v>
      </c>
      <c r="AE1487" s="10" t="s">
        <v>375</v>
      </c>
      <c r="AF1487" s="10"/>
      <c r="AG1487" s="10" t="s">
        <v>114</v>
      </c>
      <c r="AH1487" s="10">
        <v>41281</v>
      </c>
      <c r="AI1487" s="5">
        <v>0</v>
      </c>
      <c r="AJ1487" s="10" t="s">
        <v>8265</v>
      </c>
      <c r="AK1487" s="10" t="s">
        <v>1215</v>
      </c>
    </row>
    <row r="1488" spans="1:37" ht="36.75" customHeight="1" x14ac:dyDescent="0.35">
      <c r="A1488" s="5"/>
      <c r="B1488" s="5" t="s">
        <v>37</v>
      </c>
      <c r="C1488" s="73" t="str">
        <f t="shared" si="23"/>
        <v>Closed</v>
      </c>
      <c r="D1488" s="45" t="s">
        <v>8266</v>
      </c>
      <c r="E1488" s="54" t="s">
        <v>8267</v>
      </c>
      <c r="F1488" s="5" t="s">
        <v>178</v>
      </c>
      <c r="G1488" s="10">
        <f>DATE(2013,1,6)</f>
        <v>41280</v>
      </c>
      <c r="H1488" s="35">
        <v>1.9083333333333332</v>
      </c>
      <c r="I1488" s="5" t="s">
        <v>106</v>
      </c>
      <c r="J1488" s="10" t="s">
        <v>8268</v>
      </c>
      <c r="K1488" s="5" t="s">
        <v>181</v>
      </c>
      <c r="L1488" s="5" t="s">
        <v>7164</v>
      </c>
      <c r="M1488" s="5" t="s">
        <v>45</v>
      </c>
      <c r="N1488" s="5" t="s">
        <v>123</v>
      </c>
      <c r="O1488" s="5" t="s">
        <v>46</v>
      </c>
      <c r="P1488" s="10" t="s">
        <v>60</v>
      </c>
      <c r="Q1488" s="10">
        <v>0</v>
      </c>
      <c r="R1488" s="10">
        <v>0</v>
      </c>
      <c r="S1488" s="5">
        <v>0</v>
      </c>
      <c r="T1488" s="37">
        <v>0</v>
      </c>
      <c r="U1488" s="5">
        <v>0</v>
      </c>
      <c r="V1488" s="37">
        <v>0</v>
      </c>
      <c r="W1488" s="5">
        <v>0</v>
      </c>
      <c r="X1488" s="5">
        <v>0</v>
      </c>
      <c r="Y1488" s="5">
        <v>0</v>
      </c>
      <c r="Z1488" s="37">
        <v>0</v>
      </c>
      <c r="AA1488" s="5">
        <v>0</v>
      </c>
      <c r="AB1488" s="5">
        <v>0</v>
      </c>
      <c r="AC1488" s="5">
        <v>0</v>
      </c>
      <c r="AD1488" s="5">
        <v>0</v>
      </c>
      <c r="AE1488" s="10" t="s">
        <v>73</v>
      </c>
      <c r="AF1488" s="10"/>
      <c r="AG1488" s="10" t="s">
        <v>114</v>
      </c>
      <c r="AH1488" s="10">
        <v>41285</v>
      </c>
      <c r="AI1488" s="5">
        <v>2</v>
      </c>
      <c r="AJ1488" s="10" t="s">
        <v>8269</v>
      </c>
      <c r="AK1488" s="10" t="s">
        <v>1215</v>
      </c>
    </row>
    <row r="1489" spans="1:37" ht="36.75" customHeight="1" x14ac:dyDescent="0.35">
      <c r="A1489" s="5"/>
      <c r="B1489" s="5" t="s">
        <v>37</v>
      </c>
      <c r="C1489" s="73" t="str">
        <f t="shared" si="23"/>
        <v>Closed</v>
      </c>
      <c r="D1489" s="45" t="s">
        <v>8270</v>
      </c>
      <c r="E1489" s="54" t="s">
        <v>8271</v>
      </c>
      <c r="F1489" s="5" t="s">
        <v>358</v>
      </c>
      <c r="G1489" s="10">
        <f>DATE(2013,1,7)</f>
        <v>41281</v>
      </c>
      <c r="H1489" s="35">
        <v>1.7430555555555554</v>
      </c>
      <c r="I1489" s="5" t="s">
        <v>259</v>
      </c>
      <c r="J1489" s="10" t="s">
        <v>8272</v>
      </c>
      <c r="K1489" s="5" t="s">
        <v>360</v>
      </c>
      <c r="L1489" s="5" t="s">
        <v>8273</v>
      </c>
      <c r="M1489" s="5" t="s">
        <v>45</v>
      </c>
      <c r="N1489" s="5" t="s">
        <v>123</v>
      </c>
      <c r="O1489" s="5" t="s">
        <v>46</v>
      </c>
      <c r="P1489" s="10" t="s">
        <v>1198</v>
      </c>
      <c r="Q1489" s="10" t="s">
        <v>2886</v>
      </c>
      <c r="R1489" s="10" t="s">
        <v>363</v>
      </c>
      <c r="S1489" s="5">
        <v>1</v>
      </c>
      <c r="T1489" s="37">
        <v>0</v>
      </c>
      <c r="U1489" s="5">
        <v>0</v>
      </c>
      <c r="V1489" s="37">
        <v>0</v>
      </c>
      <c r="W1489" s="5">
        <v>0</v>
      </c>
      <c r="X1489" s="5">
        <v>1</v>
      </c>
      <c r="Y1489" s="5">
        <v>0</v>
      </c>
      <c r="Z1489" s="37">
        <v>0</v>
      </c>
      <c r="AA1489" s="5">
        <v>0</v>
      </c>
      <c r="AB1489" s="5">
        <v>0</v>
      </c>
      <c r="AC1489" s="5">
        <v>0</v>
      </c>
      <c r="AD1489" s="5">
        <v>0</v>
      </c>
      <c r="AE1489" s="10" t="s">
        <v>73</v>
      </c>
      <c r="AF1489" s="10"/>
      <c r="AG1489" s="10" t="s">
        <v>114</v>
      </c>
      <c r="AH1489" s="10">
        <v>41283</v>
      </c>
      <c r="AI1489" s="5">
        <v>5</v>
      </c>
      <c r="AJ1489" s="10" t="s">
        <v>8274</v>
      </c>
      <c r="AK1489" s="10" t="s">
        <v>8275</v>
      </c>
    </row>
    <row r="1490" spans="1:37" ht="36.75" customHeight="1" x14ac:dyDescent="0.35">
      <c r="A1490" s="5"/>
      <c r="B1490" s="5" t="s">
        <v>37</v>
      </c>
      <c r="C1490" s="73" t="str">
        <f t="shared" si="23"/>
        <v>Closed</v>
      </c>
      <c r="D1490" s="45" t="s">
        <v>8276</v>
      </c>
      <c r="E1490" s="54" t="s">
        <v>8277</v>
      </c>
      <c r="F1490" s="5" t="s">
        <v>214</v>
      </c>
      <c r="G1490" s="10">
        <f>DATE(2013,1,8)</f>
        <v>41282</v>
      </c>
      <c r="H1490" s="35">
        <v>1.5902777777777777</v>
      </c>
      <c r="I1490" s="5" t="s">
        <v>106</v>
      </c>
      <c r="J1490" s="10" t="s">
        <v>8278</v>
      </c>
      <c r="K1490" s="5" t="s">
        <v>216</v>
      </c>
      <c r="L1490" s="5" t="s">
        <v>8279</v>
      </c>
      <c r="M1490" s="5" t="s">
        <v>110</v>
      </c>
      <c r="N1490" s="5" t="s">
        <v>123</v>
      </c>
      <c r="O1490" s="5" t="s">
        <v>46</v>
      </c>
      <c r="P1490" s="10" t="s">
        <v>110</v>
      </c>
      <c r="Q1490" s="10" t="s">
        <v>7378</v>
      </c>
      <c r="R1490" s="10">
        <v>0</v>
      </c>
      <c r="S1490" s="5">
        <v>0</v>
      </c>
      <c r="T1490" s="37">
        <v>0</v>
      </c>
      <c r="U1490" s="5">
        <v>0</v>
      </c>
      <c r="V1490" s="37">
        <v>0</v>
      </c>
      <c r="W1490" s="5">
        <v>0</v>
      </c>
      <c r="X1490" s="5">
        <v>0</v>
      </c>
      <c r="Y1490" s="5">
        <v>0</v>
      </c>
      <c r="Z1490" s="37">
        <v>0</v>
      </c>
      <c r="AA1490" s="5">
        <v>0</v>
      </c>
      <c r="AB1490" s="5">
        <v>0</v>
      </c>
      <c r="AC1490" s="5">
        <v>0</v>
      </c>
      <c r="AD1490" s="5">
        <v>0</v>
      </c>
      <c r="AE1490" s="10" t="s">
        <v>73</v>
      </c>
      <c r="AF1490" s="10"/>
      <c r="AG1490" s="10" t="s">
        <v>114</v>
      </c>
      <c r="AH1490" s="10">
        <v>41316</v>
      </c>
      <c r="AI1490" s="5">
        <v>3</v>
      </c>
      <c r="AJ1490" s="10" t="s">
        <v>8280</v>
      </c>
      <c r="AK1490" s="10" t="s">
        <v>8281</v>
      </c>
    </row>
    <row r="1491" spans="1:37" ht="36.75" customHeight="1" x14ac:dyDescent="0.35">
      <c r="A1491" s="5"/>
      <c r="B1491" s="5" t="s">
        <v>37</v>
      </c>
      <c r="C1491" s="73" t="str">
        <f t="shared" si="23"/>
        <v>Closed</v>
      </c>
      <c r="D1491" s="45" t="s">
        <v>8282</v>
      </c>
      <c r="E1491" s="54" t="s">
        <v>8283</v>
      </c>
      <c r="F1491" s="5" t="s">
        <v>563</v>
      </c>
      <c r="G1491" s="10">
        <f>DATE(2013,1,9)</f>
        <v>41283</v>
      </c>
      <c r="H1491" s="35">
        <v>1.71875</v>
      </c>
      <c r="I1491" s="5" t="s">
        <v>97</v>
      </c>
      <c r="J1491" s="10" t="s">
        <v>8284</v>
      </c>
      <c r="K1491" s="5" t="s">
        <v>565</v>
      </c>
      <c r="L1491" s="5" t="s">
        <v>8285</v>
      </c>
      <c r="M1491" s="5" t="s">
        <v>45</v>
      </c>
      <c r="N1491" s="5" t="s">
        <v>80</v>
      </c>
      <c r="O1491" s="5" t="s">
        <v>46</v>
      </c>
      <c r="P1491" s="10" t="s">
        <v>6920</v>
      </c>
      <c r="Q1491" s="10" t="s">
        <v>8286</v>
      </c>
      <c r="R1491" s="10" t="s">
        <v>568</v>
      </c>
      <c r="S1491" s="5">
        <v>0</v>
      </c>
      <c r="T1491" s="37">
        <v>0</v>
      </c>
      <c r="U1491" s="5">
        <v>1</v>
      </c>
      <c r="V1491" s="37">
        <v>0</v>
      </c>
      <c r="W1491" s="5">
        <v>0</v>
      </c>
      <c r="X1491" s="5">
        <v>1</v>
      </c>
      <c r="Y1491" s="5">
        <v>0</v>
      </c>
      <c r="Z1491" s="37">
        <v>0</v>
      </c>
      <c r="AA1491" s="5">
        <v>2</v>
      </c>
      <c r="AB1491" s="5">
        <v>0</v>
      </c>
      <c r="AC1491" s="5">
        <v>0</v>
      </c>
      <c r="AD1491" s="5">
        <v>2</v>
      </c>
      <c r="AE1491" s="10" t="s">
        <v>375</v>
      </c>
      <c r="AF1491" s="10"/>
      <c r="AG1491" s="10" t="s">
        <v>64</v>
      </c>
      <c r="AH1491" s="10">
        <v>41290</v>
      </c>
      <c r="AI1491" s="5">
        <v>7</v>
      </c>
      <c r="AJ1491" s="10" t="s">
        <v>8287</v>
      </c>
      <c r="AK1491" s="10" t="s">
        <v>1215</v>
      </c>
    </row>
    <row r="1492" spans="1:37" ht="36.75" customHeight="1" x14ac:dyDescent="0.35">
      <c r="A1492" s="5"/>
      <c r="B1492" s="5" t="s">
        <v>37</v>
      </c>
      <c r="C1492" s="73" t="str">
        <f t="shared" si="23"/>
        <v>Closed</v>
      </c>
      <c r="D1492" s="45" t="s">
        <v>8288</v>
      </c>
      <c r="E1492" s="54" t="s">
        <v>8289</v>
      </c>
      <c r="F1492" s="5" t="s">
        <v>619</v>
      </c>
      <c r="G1492" s="10">
        <f>DATE(2013,1,9)</f>
        <v>41283</v>
      </c>
      <c r="H1492" s="35">
        <v>1.4736111111111112</v>
      </c>
      <c r="I1492" s="5" t="s">
        <v>55</v>
      </c>
      <c r="J1492" s="10" t="s">
        <v>8290</v>
      </c>
      <c r="K1492" s="5" t="s">
        <v>621</v>
      </c>
      <c r="L1492" s="5" t="s">
        <v>8291</v>
      </c>
      <c r="M1492" s="5" t="s">
        <v>45</v>
      </c>
      <c r="N1492" s="5" t="s">
        <v>80</v>
      </c>
      <c r="O1492" s="5" t="s">
        <v>59</v>
      </c>
      <c r="P1492" s="10" t="s">
        <v>146</v>
      </c>
      <c r="Q1492" s="10" t="s">
        <v>623</v>
      </c>
      <c r="R1492" s="10" t="s">
        <v>624</v>
      </c>
      <c r="S1492" s="5">
        <v>0</v>
      </c>
      <c r="T1492" s="37">
        <v>0</v>
      </c>
      <c r="U1492" s="5">
        <v>0</v>
      </c>
      <c r="V1492" s="37">
        <v>0</v>
      </c>
      <c r="W1492" s="5">
        <v>0</v>
      </c>
      <c r="X1492" s="5">
        <v>0</v>
      </c>
      <c r="Y1492" s="5">
        <v>0</v>
      </c>
      <c r="Z1492" s="37">
        <v>0</v>
      </c>
      <c r="AA1492" s="5">
        <v>0</v>
      </c>
      <c r="AB1492" s="5">
        <v>0</v>
      </c>
      <c r="AC1492" s="5">
        <v>0</v>
      </c>
      <c r="AD1492" s="5">
        <v>0</v>
      </c>
      <c r="AE1492" s="10" t="s">
        <v>73</v>
      </c>
      <c r="AF1492" s="10"/>
      <c r="AG1492" s="10" t="s">
        <v>333</v>
      </c>
      <c r="AH1492" s="10">
        <v>41303</v>
      </c>
      <c r="AI1492" s="5">
        <v>1</v>
      </c>
      <c r="AJ1492" s="10" t="s">
        <v>8292</v>
      </c>
      <c r="AK1492" s="10" t="s">
        <v>50</v>
      </c>
    </row>
    <row r="1493" spans="1:37" ht="36.75" customHeight="1" x14ac:dyDescent="0.35">
      <c r="A1493" s="5"/>
      <c r="B1493" s="5" t="s">
        <v>37</v>
      </c>
      <c r="C1493" s="73" t="str">
        <f t="shared" si="23"/>
        <v>Closed</v>
      </c>
      <c r="D1493" s="45" t="s">
        <v>8293</v>
      </c>
      <c r="E1493" s="54" t="s">
        <v>8294</v>
      </c>
      <c r="F1493" s="5" t="s">
        <v>105</v>
      </c>
      <c r="G1493" s="10">
        <f>DATE(2013,1,9)</f>
        <v>41283</v>
      </c>
      <c r="H1493" s="35">
        <v>1.7916666666666665</v>
      </c>
      <c r="I1493" s="5" t="s">
        <v>179</v>
      </c>
      <c r="J1493" s="10" t="s">
        <v>8295</v>
      </c>
      <c r="K1493" s="5" t="s">
        <v>108</v>
      </c>
      <c r="L1493" s="5" t="s">
        <v>7950</v>
      </c>
      <c r="M1493" s="5" t="s">
        <v>45</v>
      </c>
      <c r="N1493" s="5" t="s">
        <v>70</v>
      </c>
      <c r="O1493" s="5" t="s">
        <v>71</v>
      </c>
      <c r="P1493" s="10" t="s">
        <v>72</v>
      </c>
      <c r="Q1493" s="10" t="s">
        <v>382</v>
      </c>
      <c r="R1493" s="10" t="s">
        <v>148</v>
      </c>
      <c r="S1493" s="5">
        <v>0</v>
      </c>
      <c r="T1493" s="37">
        <v>0</v>
      </c>
      <c r="U1493" s="5">
        <v>0</v>
      </c>
      <c r="V1493" s="37">
        <v>0</v>
      </c>
      <c r="W1493" s="5">
        <v>0</v>
      </c>
      <c r="X1493" s="5">
        <v>0</v>
      </c>
      <c r="Y1493" s="5">
        <v>0</v>
      </c>
      <c r="Z1493" s="37">
        <v>1</v>
      </c>
      <c r="AA1493" s="5">
        <v>0</v>
      </c>
      <c r="AB1493" s="5">
        <v>0</v>
      </c>
      <c r="AC1493" s="5">
        <v>0</v>
      </c>
      <c r="AD1493" s="5">
        <v>1</v>
      </c>
      <c r="AE1493" s="10" t="s">
        <v>375</v>
      </c>
      <c r="AF1493" s="10"/>
      <c r="AG1493" s="10" t="s">
        <v>114</v>
      </c>
      <c r="AH1493" s="10">
        <v>41296</v>
      </c>
      <c r="AI1493" s="5">
        <v>2</v>
      </c>
      <c r="AJ1493" s="10" t="s">
        <v>8296</v>
      </c>
      <c r="AK1493" s="10" t="s">
        <v>50</v>
      </c>
    </row>
    <row r="1494" spans="1:37" ht="36.75" customHeight="1" x14ac:dyDescent="0.35">
      <c r="A1494" s="5"/>
      <c r="B1494" s="5" t="s">
        <v>37</v>
      </c>
      <c r="C1494" s="73" t="str">
        <f t="shared" si="23"/>
        <v>Closed</v>
      </c>
      <c r="D1494" s="45" t="s">
        <v>8297</v>
      </c>
      <c r="E1494" s="54" t="s">
        <v>8298</v>
      </c>
      <c r="F1494" s="5" t="s">
        <v>404</v>
      </c>
      <c r="G1494" s="10">
        <f>DATE(2013,1,13)</f>
        <v>41287</v>
      </c>
      <c r="H1494" s="35">
        <v>1.7854166666666669</v>
      </c>
      <c r="I1494" s="5" t="s">
        <v>55</v>
      </c>
      <c r="J1494" s="10" t="s">
        <v>8299</v>
      </c>
      <c r="K1494" s="5" t="s">
        <v>406</v>
      </c>
      <c r="L1494" s="5" t="s">
        <v>8300</v>
      </c>
      <c r="M1494" s="5" t="s">
        <v>45</v>
      </c>
      <c r="N1494" s="5" t="s">
        <v>80</v>
      </c>
      <c r="O1494" s="5" t="s">
        <v>59</v>
      </c>
      <c r="P1494" s="10" t="s">
        <v>146</v>
      </c>
      <c r="Q1494" s="10" t="s">
        <v>408</v>
      </c>
      <c r="R1494" s="10" t="s">
        <v>3083</v>
      </c>
      <c r="S1494" s="5">
        <v>0</v>
      </c>
      <c r="T1494" s="37">
        <v>0</v>
      </c>
      <c r="U1494" s="5">
        <v>0</v>
      </c>
      <c r="V1494" s="37">
        <v>0</v>
      </c>
      <c r="W1494" s="5">
        <v>0</v>
      </c>
      <c r="X1494" s="5">
        <v>0</v>
      </c>
      <c r="Y1494" s="5">
        <v>0</v>
      </c>
      <c r="Z1494" s="37">
        <v>0</v>
      </c>
      <c r="AA1494" s="5">
        <v>0</v>
      </c>
      <c r="AB1494" s="5">
        <v>0</v>
      </c>
      <c r="AC1494" s="5">
        <v>0</v>
      </c>
      <c r="AD1494" s="5">
        <v>0</v>
      </c>
      <c r="AE1494" s="10" t="s">
        <v>73</v>
      </c>
      <c r="AF1494" s="10"/>
      <c r="AG1494" s="10" t="s">
        <v>114</v>
      </c>
      <c r="AH1494" s="10">
        <v>41296</v>
      </c>
      <c r="AI1494" s="5">
        <v>3</v>
      </c>
      <c r="AJ1494" s="10" t="s">
        <v>8301</v>
      </c>
      <c r="AK1494" s="10" t="s">
        <v>8302</v>
      </c>
    </row>
    <row r="1495" spans="1:37" ht="36.75" customHeight="1" x14ac:dyDescent="0.35">
      <c r="A1495" s="5"/>
      <c r="B1495" s="5" t="s">
        <v>37</v>
      </c>
      <c r="C1495" s="73" t="str">
        <f t="shared" si="23"/>
        <v>Closed</v>
      </c>
      <c r="D1495" s="45" t="s">
        <v>8303</v>
      </c>
      <c r="E1495" s="54" t="s">
        <v>8304</v>
      </c>
      <c r="F1495" s="5" t="s">
        <v>404</v>
      </c>
      <c r="G1495" s="10">
        <f>DATE(2013,1,14)</f>
        <v>41288</v>
      </c>
      <c r="H1495" s="35">
        <v>1.7756944444444445</v>
      </c>
      <c r="I1495" s="5" t="s">
        <v>259</v>
      </c>
      <c r="J1495" s="10" t="s">
        <v>8305</v>
      </c>
      <c r="K1495" s="5" t="s">
        <v>406</v>
      </c>
      <c r="L1495" s="5" t="s">
        <v>8306</v>
      </c>
      <c r="M1495" s="5" t="s">
        <v>45</v>
      </c>
      <c r="N1495" s="5" t="s">
        <v>123</v>
      </c>
      <c r="O1495" s="5" t="s">
        <v>59</v>
      </c>
      <c r="P1495" s="10" t="s">
        <v>146</v>
      </c>
      <c r="Q1495" s="10" t="s">
        <v>408</v>
      </c>
      <c r="R1495" s="10" t="s">
        <v>3083</v>
      </c>
      <c r="S1495" s="5">
        <v>0</v>
      </c>
      <c r="T1495" s="37">
        <v>0</v>
      </c>
      <c r="U1495" s="5">
        <v>0</v>
      </c>
      <c r="V1495" s="37">
        <v>0</v>
      </c>
      <c r="W1495" s="5">
        <v>0</v>
      </c>
      <c r="X1495" s="5">
        <v>0</v>
      </c>
      <c r="Y1495" s="5">
        <v>1</v>
      </c>
      <c r="Z1495" s="37">
        <v>0</v>
      </c>
      <c r="AA1495" s="5">
        <v>0</v>
      </c>
      <c r="AB1495" s="5">
        <v>0</v>
      </c>
      <c r="AC1495" s="5">
        <v>0</v>
      </c>
      <c r="AD1495" s="5">
        <v>1</v>
      </c>
      <c r="AE1495" s="10" t="s">
        <v>73</v>
      </c>
      <c r="AF1495" s="10"/>
      <c r="AG1495" s="10" t="s">
        <v>114</v>
      </c>
      <c r="AH1495" s="10">
        <v>41291</v>
      </c>
      <c r="AI1495" s="5">
        <v>5</v>
      </c>
      <c r="AJ1495" s="10" t="s">
        <v>8307</v>
      </c>
      <c r="AK1495" s="10" t="s">
        <v>8308</v>
      </c>
    </row>
    <row r="1496" spans="1:37" ht="36.75" customHeight="1" x14ac:dyDescent="0.35">
      <c r="A1496" s="5"/>
      <c r="B1496" s="5" t="s">
        <v>37</v>
      </c>
      <c r="C1496" s="73" t="str">
        <f t="shared" si="23"/>
        <v>Closed</v>
      </c>
      <c r="D1496" s="45" t="s">
        <v>8309</v>
      </c>
      <c r="E1496" s="54" t="s">
        <v>8310</v>
      </c>
      <c r="F1496" s="5" t="s">
        <v>119</v>
      </c>
      <c r="G1496" s="10">
        <f>DATE(2013,1,15)</f>
        <v>41289</v>
      </c>
      <c r="H1496" s="35">
        <v>1.1000000000000001</v>
      </c>
      <c r="I1496" s="5" t="s">
        <v>55</v>
      </c>
      <c r="J1496" s="10" t="s">
        <v>8311</v>
      </c>
      <c r="K1496" s="5" t="s">
        <v>121</v>
      </c>
      <c r="L1496" s="5" t="s">
        <v>8312</v>
      </c>
      <c r="M1496" s="5" t="s">
        <v>45</v>
      </c>
      <c r="N1496" s="5" t="s">
        <v>123</v>
      </c>
      <c r="O1496" s="5" t="s">
        <v>46</v>
      </c>
      <c r="P1496" s="10" t="s">
        <v>67</v>
      </c>
      <c r="Q1496" s="10">
        <v>0</v>
      </c>
      <c r="R1496" s="10">
        <v>0</v>
      </c>
      <c r="S1496" s="5">
        <v>0</v>
      </c>
      <c r="T1496" s="37">
        <v>0</v>
      </c>
      <c r="U1496" s="5">
        <v>0</v>
      </c>
      <c r="V1496" s="37">
        <v>0</v>
      </c>
      <c r="W1496" s="5">
        <v>0</v>
      </c>
      <c r="X1496" s="5">
        <v>0</v>
      </c>
      <c r="Y1496" s="5">
        <v>0</v>
      </c>
      <c r="Z1496" s="37">
        <v>0</v>
      </c>
      <c r="AA1496" s="5">
        <v>0</v>
      </c>
      <c r="AB1496" s="5">
        <v>0</v>
      </c>
      <c r="AC1496" s="5">
        <v>1</v>
      </c>
      <c r="AD1496" s="5">
        <v>1</v>
      </c>
      <c r="AE1496" s="10" t="s">
        <v>375</v>
      </c>
      <c r="AF1496" s="10"/>
      <c r="AG1496" s="10" t="s">
        <v>64</v>
      </c>
      <c r="AH1496" s="10">
        <v>41289</v>
      </c>
      <c r="AI1496" s="5">
        <v>0</v>
      </c>
      <c r="AJ1496" s="10" t="s">
        <v>8313</v>
      </c>
      <c r="AK1496" s="10" t="s">
        <v>8314</v>
      </c>
    </row>
    <row r="1497" spans="1:37" ht="36.75" customHeight="1" x14ac:dyDescent="0.35">
      <c r="A1497" s="5"/>
      <c r="B1497" s="5" t="s">
        <v>37</v>
      </c>
      <c r="C1497" s="73" t="str">
        <f t="shared" si="23"/>
        <v>Closed</v>
      </c>
      <c r="D1497" s="45" t="s">
        <v>8315</v>
      </c>
      <c r="E1497" s="54" t="s">
        <v>8316</v>
      </c>
      <c r="F1497" s="5" t="s">
        <v>178</v>
      </c>
      <c r="G1497" s="10">
        <f>DATE(2013,1,16)</f>
        <v>41290</v>
      </c>
      <c r="H1497" s="35">
        <v>1.2437499999999999</v>
      </c>
      <c r="I1497" s="5" t="s">
        <v>179</v>
      </c>
      <c r="J1497" s="10" t="s">
        <v>8317</v>
      </c>
      <c r="K1497" s="5" t="s">
        <v>181</v>
      </c>
      <c r="L1497" s="5" t="s">
        <v>8318</v>
      </c>
      <c r="M1497" s="5" t="s">
        <v>45</v>
      </c>
      <c r="N1497" s="5" t="s">
        <v>123</v>
      </c>
      <c r="O1497" s="5" t="s">
        <v>59</v>
      </c>
      <c r="P1497" s="10" t="s">
        <v>1198</v>
      </c>
      <c r="Q1497" s="10" t="s">
        <v>183</v>
      </c>
      <c r="R1497" s="10" t="s">
        <v>184</v>
      </c>
      <c r="S1497" s="5">
        <v>0</v>
      </c>
      <c r="T1497" s="37">
        <v>0</v>
      </c>
      <c r="U1497" s="5">
        <v>0</v>
      </c>
      <c r="V1497" s="37">
        <v>0</v>
      </c>
      <c r="W1497" s="5">
        <v>0</v>
      </c>
      <c r="X1497" s="5">
        <v>0</v>
      </c>
      <c r="Y1497" s="5">
        <v>0</v>
      </c>
      <c r="Z1497" s="37">
        <v>0</v>
      </c>
      <c r="AA1497" s="5">
        <v>0</v>
      </c>
      <c r="AB1497" s="5">
        <v>0</v>
      </c>
      <c r="AC1497" s="5">
        <v>0</v>
      </c>
      <c r="AD1497" s="5">
        <v>0</v>
      </c>
      <c r="AE1497" s="10" t="s">
        <v>375</v>
      </c>
      <c r="AF1497" s="10"/>
      <c r="AG1497" s="10" t="s">
        <v>114</v>
      </c>
      <c r="AH1497" s="10">
        <v>41290</v>
      </c>
      <c r="AI1497" s="5">
        <v>9</v>
      </c>
      <c r="AJ1497" s="10" t="s">
        <v>8319</v>
      </c>
      <c r="AK1497" s="10" t="s">
        <v>1215</v>
      </c>
    </row>
    <row r="1498" spans="1:37" ht="36.75" customHeight="1" x14ac:dyDescent="0.35">
      <c r="A1498" s="5"/>
      <c r="B1498" s="5" t="s">
        <v>37</v>
      </c>
      <c r="C1498" s="73" t="str">
        <f t="shared" si="23"/>
        <v>Closed</v>
      </c>
      <c r="D1498" s="45" t="s">
        <v>8320</v>
      </c>
      <c r="E1498" s="54" t="s">
        <v>8321</v>
      </c>
      <c r="F1498" s="5" t="s">
        <v>178</v>
      </c>
      <c r="G1498" s="10">
        <f>DATE(2013,1,21)</f>
        <v>41295</v>
      </c>
      <c r="H1498" s="35">
        <v>1.3631944444444444</v>
      </c>
      <c r="I1498" s="5" t="s">
        <v>179</v>
      </c>
      <c r="J1498" s="10" t="s">
        <v>8322</v>
      </c>
      <c r="K1498" s="5" t="s">
        <v>181</v>
      </c>
      <c r="L1498" s="5" t="s">
        <v>8323</v>
      </c>
      <c r="M1498" s="5" t="s">
        <v>45</v>
      </c>
      <c r="N1498" s="5" t="s">
        <v>80</v>
      </c>
      <c r="O1498" s="5" t="s">
        <v>46</v>
      </c>
      <c r="P1498" s="10" t="s">
        <v>146</v>
      </c>
      <c r="Q1498" s="10" t="s">
        <v>183</v>
      </c>
      <c r="R1498" s="10" t="s">
        <v>184</v>
      </c>
      <c r="S1498" s="5">
        <v>0</v>
      </c>
      <c r="T1498" s="37">
        <v>0</v>
      </c>
      <c r="U1498" s="5">
        <v>0</v>
      </c>
      <c r="V1498" s="37">
        <v>0</v>
      </c>
      <c r="W1498" s="5">
        <v>0</v>
      </c>
      <c r="X1498" s="5">
        <v>0</v>
      </c>
      <c r="Y1498" s="5">
        <v>8</v>
      </c>
      <c r="Z1498" s="37">
        <v>1</v>
      </c>
      <c r="AA1498" s="5">
        <v>0</v>
      </c>
      <c r="AB1498" s="5">
        <v>0</v>
      </c>
      <c r="AC1498" s="5">
        <v>0</v>
      </c>
      <c r="AD1498" s="5">
        <v>9</v>
      </c>
      <c r="AE1498" s="10" t="s">
        <v>126</v>
      </c>
      <c r="AF1498" s="10"/>
      <c r="AG1498" s="10" t="s">
        <v>64</v>
      </c>
      <c r="AH1498" s="10">
        <v>41295</v>
      </c>
      <c r="AI1498" s="5">
        <v>7</v>
      </c>
      <c r="AJ1498" s="10" t="s">
        <v>8324</v>
      </c>
      <c r="AK1498" s="10" t="s">
        <v>1215</v>
      </c>
    </row>
    <row r="1499" spans="1:37" ht="36.75" customHeight="1" x14ac:dyDescent="0.35">
      <c r="A1499" s="5"/>
      <c r="B1499" s="5" t="s">
        <v>37</v>
      </c>
      <c r="C1499" s="73" t="str">
        <f t="shared" si="23"/>
        <v>Closed</v>
      </c>
      <c r="D1499" s="45" t="s">
        <v>8325</v>
      </c>
      <c r="E1499" s="54" t="s">
        <v>8326</v>
      </c>
      <c r="F1499" s="5" t="s">
        <v>214</v>
      </c>
      <c r="G1499" s="10">
        <f>DATE(2013,1,21)</f>
        <v>41295</v>
      </c>
      <c r="H1499" s="35">
        <v>1.8458333333333332</v>
      </c>
      <c r="I1499" s="5" t="s">
        <v>55</v>
      </c>
      <c r="J1499" s="10" t="s">
        <v>8327</v>
      </c>
      <c r="K1499" s="5" t="s">
        <v>216</v>
      </c>
      <c r="L1499" s="5" t="s">
        <v>8328</v>
      </c>
      <c r="M1499" s="5" t="s">
        <v>45</v>
      </c>
      <c r="N1499" s="5" t="s">
        <v>123</v>
      </c>
      <c r="O1499" s="5" t="s">
        <v>46</v>
      </c>
      <c r="P1499" s="10" t="s">
        <v>60</v>
      </c>
      <c r="Q1499" s="10" t="s">
        <v>7287</v>
      </c>
      <c r="R1499" s="10" t="s">
        <v>219</v>
      </c>
      <c r="S1499" s="5">
        <v>0</v>
      </c>
      <c r="T1499" s="37">
        <v>0</v>
      </c>
      <c r="U1499" s="5">
        <v>0</v>
      </c>
      <c r="V1499" s="37">
        <v>0</v>
      </c>
      <c r="W1499" s="5">
        <v>0</v>
      </c>
      <c r="X1499" s="5">
        <v>0</v>
      </c>
      <c r="Y1499" s="5">
        <v>0</v>
      </c>
      <c r="Z1499" s="37">
        <v>0</v>
      </c>
      <c r="AA1499" s="5">
        <v>0</v>
      </c>
      <c r="AB1499" s="5">
        <v>0</v>
      </c>
      <c r="AC1499" s="5">
        <v>0</v>
      </c>
      <c r="AD1499" s="5">
        <v>0</v>
      </c>
      <c r="AE1499" s="10" t="s">
        <v>375</v>
      </c>
      <c r="AF1499" s="10"/>
      <c r="AG1499" s="10" t="s">
        <v>114</v>
      </c>
      <c r="AH1499" s="10">
        <v>41302</v>
      </c>
      <c r="AI1499" s="5">
        <v>2</v>
      </c>
      <c r="AJ1499" s="10" t="s">
        <v>8329</v>
      </c>
      <c r="AK1499" s="10" t="s">
        <v>8330</v>
      </c>
    </row>
    <row r="1500" spans="1:37" ht="36.75" customHeight="1" x14ac:dyDescent="0.35">
      <c r="A1500" s="5"/>
      <c r="B1500" s="5" t="s">
        <v>37</v>
      </c>
      <c r="C1500" s="73" t="str">
        <f t="shared" si="23"/>
        <v>Closed</v>
      </c>
      <c r="D1500" s="45" t="s">
        <v>8331</v>
      </c>
      <c r="E1500" s="54" t="s">
        <v>8332</v>
      </c>
      <c r="F1500" s="5" t="s">
        <v>404</v>
      </c>
      <c r="G1500" s="10">
        <f>DATE(2013,1,22)</f>
        <v>41296</v>
      </c>
      <c r="H1500" s="35">
        <v>1.745138888888889</v>
      </c>
      <c r="I1500" s="5" t="s">
        <v>85</v>
      </c>
      <c r="J1500" s="10" t="s">
        <v>8333</v>
      </c>
      <c r="K1500" s="5" t="s">
        <v>406</v>
      </c>
      <c r="L1500" s="5" t="s">
        <v>8334</v>
      </c>
      <c r="M1500" s="5" t="s">
        <v>45</v>
      </c>
      <c r="N1500" s="5" t="s">
        <v>70</v>
      </c>
      <c r="O1500" s="5" t="s">
        <v>59</v>
      </c>
      <c r="P1500" s="10" t="s">
        <v>1198</v>
      </c>
      <c r="Q1500" s="10" t="s">
        <v>8335</v>
      </c>
      <c r="R1500" s="10" t="s">
        <v>3083</v>
      </c>
      <c r="S1500" s="5">
        <v>0</v>
      </c>
      <c r="T1500" s="37">
        <v>0</v>
      </c>
      <c r="U1500" s="5">
        <v>0</v>
      </c>
      <c r="V1500" s="37">
        <v>0</v>
      </c>
      <c r="W1500" s="5">
        <v>0</v>
      </c>
      <c r="X1500" s="5">
        <v>0</v>
      </c>
      <c r="Y1500" s="5">
        <v>0</v>
      </c>
      <c r="Z1500" s="37">
        <v>0</v>
      </c>
      <c r="AA1500" s="5">
        <v>0</v>
      </c>
      <c r="AB1500" s="5">
        <v>0</v>
      </c>
      <c r="AC1500" s="5">
        <v>0</v>
      </c>
      <c r="AD1500" s="5">
        <v>0</v>
      </c>
      <c r="AE1500" s="10" t="s">
        <v>73</v>
      </c>
      <c r="AF1500" s="10"/>
      <c r="AG1500" s="10" t="s">
        <v>114</v>
      </c>
      <c r="AH1500" s="10">
        <v>41396</v>
      </c>
      <c r="AI1500" s="5">
        <v>5</v>
      </c>
      <c r="AJ1500" s="10" t="s">
        <v>8336</v>
      </c>
      <c r="AK1500" s="10" t="s">
        <v>8337</v>
      </c>
    </row>
    <row r="1501" spans="1:37" ht="36.75" customHeight="1" x14ac:dyDescent="0.35">
      <c r="A1501" s="5"/>
      <c r="B1501" s="5" t="s">
        <v>37</v>
      </c>
      <c r="C1501" s="73" t="str">
        <f t="shared" si="23"/>
        <v>Closed</v>
      </c>
      <c r="D1501" s="45" t="s">
        <v>8338</v>
      </c>
      <c r="E1501" s="54" t="s">
        <v>8339</v>
      </c>
      <c r="F1501" s="5" t="s">
        <v>605</v>
      </c>
      <c r="G1501" s="10">
        <f>DATE(2013,1,23)</f>
        <v>41297</v>
      </c>
      <c r="H1501" s="35">
        <v>1.8673611111111112</v>
      </c>
      <c r="I1501" s="5" t="s">
        <v>97</v>
      </c>
      <c r="J1501" s="10" t="s">
        <v>97</v>
      </c>
      <c r="K1501" s="5" t="s">
        <v>607</v>
      </c>
      <c r="L1501" s="5" t="s">
        <v>8340</v>
      </c>
      <c r="M1501" s="5" t="s">
        <v>45</v>
      </c>
      <c r="N1501" s="5" t="s">
        <v>123</v>
      </c>
      <c r="O1501" s="5" t="s">
        <v>46</v>
      </c>
      <c r="P1501" s="10" t="s">
        <v>443</v>
      </c>
      <c r="Q1501" s="10" t="s">
        <v>7160</v>
      </c>
      <c r="R1501" s="10" t="s">
        <v>610</v>
      </c>
      <c r="S1501" s="5">
        <v>0</v>
      </c>
      <c r="T1501" s="37">
        <v>1</v>
      </c>
      <c r="U1501" s="5">
        <v>0</v>
      </c>
      <c r="V1501" s="37">
        <v>0</v>
      </c>
      <c r="W1501" s="5">
        <v>0</v>
      </c>
      <c r="X1501" s="5">
        <v>1</v>
      </c>
      <c r="Y1501" s="5">
        <v>1</v>
      </c>
      <c r="Z1501" s="37">
        <v>0</v>
      </c>
      <c r="AA1501" s="5">
        <v>0</v>
      </c>
      <c r="AB1501" s="5">
        <v>0</v>
      </c>
      <c r="AC1501" s="5">
        <v>0</v>
      </c>
      <c r="AD1501" s="5">
        <v>1</v>
      </c>
      <c r="AE1501" s="10" t="s">
        <v>375</v>
      </c>
      <c r="AF1501" s="10"/>
      <c r="AG1501" s="10" t="s">
        <v>64</v>
      </c>
      <c r="AH1501" s="10">
        <v>41297</v>
      </c>
      <c r="AI1501" s="5">
        <v>1</v>
      </c>
      <c r="AJ1501" s="10" t="s">
        <v>8341</v>
      </c>
      <c r="AK1501" s="10" t="s">
        <v>50</v>
      </c>
    </row>
    <row r="1502" spans="1:37" ht="36.75" customHeight="1" x14ac:dyDescent="0.35">
      <c r="A1502" s="5"/>
      <c r="B1502" s="5" t="s">
        <v>37</v>
      </c>
      <c r="C1502" s="73" t="str">
        <f t="shared" si="23"/>
        <v>Closed</v>
      </c>
      <c r="D1502" s="45" t="s">
        <v>8342</v>
      </c>
      <c r="E1502" s="54" t="s">
        <v>8343</v>
      </c>
      <c r="F1502" s="5" t="s">
        <v>214</v>
      </c>
      <c r="G1502" s="10">
        <f>DATE(2013,1,23)</f>
        <v>41297</v>
      </c>
      <c r="H1502" s="35">
        <v>1.6152777777777778</v>
      </c>
      <c r="I1502" s="5" t="s">
        <v>55</v>
      </c>
      <c r="J1502" s="10" t="s">
        <v>8344</v>
      </c>
      <c r="K1502" s="5" t="s">
        <v>216</v>
      </c>
      <c r="L1502" s="5" t="s">
        <v>8345</v>
      </c>
      <c r="M1502" s="5" t="s">
        <v>45</v>
      </c>
      <c r="N1502" s="5" t="s">
        <v>70</v>
      </c>
      <c r="O1502" s="5" t="s">
        <v>46</v>
      </c>
      <c r="P1502" s="10" t="s">
        <v>6920</v>
      </c>
      <c r="Q1502" s="10" t="s">
        <v>8346</v>
      </c>
      <c r="R1502" s="10" t="s">
        <v>219</v>
      </c>
      <c r="S1502" s="5">
        <v>0</v>
      </c>
      <c r="T1502" s="37">
        <v>0</v>
      </c>
      <c r="U1502" s="5">
        <v>0</v>
      </c>
      <c r="V1502" s="37">
        <v>0</v>
      </c>
      <c r="W1502" s="5">
        <v>0</v>
      </c>
      <c r="X1502" s="5">
        <v>0</v>
      </c>
      <c r="Y1502" s="5">
        <v>0</v>
      </c>
      <c r="Z1502" s="37">
        <v>0</v>
      </c>
      <c r="AA1502" s="5">
        <v>0</v>
      </c>
      <c r="AB1502" s="5">
        <v>0</v>
      </c>
      <c r="AC1502" s="5">
        <v>0</v>
      </c>
      <c r="AD1502" s="5">
        <v>0</v>
      </c>
      <c r="AE1502" s="10" t="s">
        <v>375</v>
      </c>
      <c r="AF1502" s="10"/>
      <c r="AG1502" s="10" t="s">
        <v>114</v>
      </c>
      <c r="AH1502" s="10">
        <v>41302</v>
      </c>
      <c r="AI1502" s="5">
        <v>3</v>
      </c>
      <c r="AJ1502" s="10" t="s">
        <v>8347</v>
      </c>
      <c r="AK1502" s="10" t="s">
        <v>8348</v>
      </c>
    </row>
    <row r="1503" spans="1:37" ht="36.75" customHeight="1" x14ac:dyDescent="0.35">
      <c r="A1503" s="5"/>
      <c r="B1503" s="5" t="s">
        <v>37</v>
      </c>
      <c r="C1503" s="73" t="str">
        <f t="shared" si="23"/>
        <v>Closed</v>
      </c>
      <c r="D1503" s="45" t="s">
        <v>8349</v>
      </c>
      <c r="E1503" s="54" t="s">
        <v>8350</v>
      </c>
      <c r="F1503" s="5" t="s">
        <v>214</v>
      </c>
      <c r="G1503" s="10">
        <f>DATE(2013,1,23)</f>
        <v>41297</v>
      </c>
      <c r="H1503" s="35">
        <v>1.4166666666666667</v>
      </c>
      <c r="I1503" s="5" t="s">
        <v>55</v>
      </c>
      <c r="J1503" s="10" t="s">
        <v>8351</v>
      </c>
      <c r="K1503" s="5" t="s">
        <v>216</v>
      </c>
      <c r="L1503" s="5" t="s">
        <v>8352</v>
      </c>
      <c r="M1503" s="5" t="s">
        <v>45</v>
      </c>
      <c r="N1503" s="5" t="s">
        <v>70</v>
      </c>
      <c r="O1503" s="5" t="s">
        <v>46</v>
      </c>
      <c r="P1503" s="10" t="s">
        <v>47</v>
      </c>
      <c r="Q1503" s="10">
        <v>0</v>
      </c>
      <c r="R1503" s="10" t="s">
        <v>219</v>
      </c>
      <c r="S1503" s="5">
        <v>0</v>
      </c>
      <c r="T1503" s="37">
        <v>0</v>
      </c>
      <c r="U1503" s="5">
        <v>0</v>
      </c>
      <c r="V1503" s="37">
        <v>0</v>
      </c>
      <c r="W1503" s="5">
        <v>0</v>
      </c>
      <c r="X1503" s="5">
        <v>0</v>
      </c>
      <c r="Y1503" s="5">
        <v>0</v>
      </c>
      <c r="Z1503" s="37">
        <v>0</v>
      </c>
      <c r="AA1503" s="5">
        <v>0</v>
      </c>
      <c r="AB1503" s="5">
        <v>0</v>
      </c>
      <c r="AC1503" s="5">
        <v>0</v>
      </c>
      <c r="AD1503" s="5">
        <v>0</v>
      </c>
      <c r="AE1503" s="10" t="s">
        <v>73</v>
      </c>
      <c r="AF1503" s="10"/>
      <c r="AG1503" s="10" t="s">
        <v>114</v>
      </c>
      <c r="AH1503" s="10">
        <v>41309</v>
      </c>
      <c r="AI1503" s="5">
        <v>3</v>
      </c>
      <c r="AJ1503" s="10" t="s">
        <v>8353</v>
      </c>
      <c r="AK1503" s="10" t="s">
        <v>8354</v>
      </c>
    </row>
    <row r="1504" spans="1:37" ht="36.75" customHeight="1" x14ac:dyDescent="0.35">
      <c r="A1504" s="5"/>
      <c r="B1504" s="5" t="s">
        <v>37</v>
      </c>
      <c r="C1504" s="73" t="str">
        <f t="shared" si="23"/>
        <v>Closed</v>
      </c>
      <c r="D1504" s="45" t="s">
        <v>8355</v>
      </c>
      <c r="E1504" s="54" t="s">
        <v>8356</v>
      </c>
      <c r="F1504" s="5" t="s">
        <v>96</v>
      </c>
      <c r="G1504" s="10">
        <f>DATE(2013,1,24)</f>
        <v>41298</v>
      </c>
      <c r="H1504" s="35">
        <v>1.8763888888888891</v>
      </c>
      <c r="I1504" s="5" t="s">
        <v>179</v>
      </c>
      <c r="J1504" s="10" t="s">
        <v>8357</v>
      </c>
      <c r="K1504" s="5" t="s">
        <v>99</v>
      </c>
      <c r="L1504" s="5" t="s">
        <v>8358</v>
      </c>
      <c r="M1504" s="5" t="s">
        <v>45</v>
      </c>
      <c r="N1504" s="5" t="s">
        <v>123</v>
      </c>
      <c r="O1504" s="5" t="s">
        <v>46</v>
      </c>
      <c r="P1504" s="10" t="s">
        <v>60</v>
      </c>
      <c r="Q1504" s="10" t="s">
        <v>101</v>
      </c>
      <c r="R1504" s="10" t="s">
        <v>102</v>
      </c>
      <c r="S1504" s="5">
        <v>0</v>
      </c>
      <c r="T1504" s="37">
        <v>0</v>
      </c>
      <c r="U1504" s="5">
        <v>0</v>
      </c>
      <c r="V1504" s="37">
        <v>0</v>
      </c>
      <c r="W1504" s="5">
        <v>0</v>
      </c>
      <c r="X1504" s="5">
        <v>0</v>
      </c>
      <c r="Y1504" s="5">
        <v>0</v>
      </c>
      <c r="Z1504" s="37">
        <v>0</v>
      </c>
      <c r="AA1504" s="5">
        <v>0</v>
      </c>
      <c r="AB1504" s="5">
        <v>0</v>
      </c>
      <c r="AC1504" s="5">
        <v>0</v>
      </c>
      <c r="AD1504" s="5">
        <v>0</v>
      </c>
      <c r="AE1504" s="10" t="s">
        <v>375</v>
      </c>
      <c r="AF1504" s="10"/>
      <c r="AG1504" s="10" t="s">
        <v>570</v>
      </c>
      <c r="AH1504" s="10">
        <v>41299</v>
      </c>
      <c r="AI1504" s="5">
        <v>3</v>
      </c>
      <c r="AJ1504" s="10" t="s">
        <v>8359</v>
      </c>
      <c r="AK1504" s="10" t="s">
        <v>8360</v>
      </c>
    </row>
    <row r="1505" spans="1:37" ht="36.75" customHeight="1" x14ac:dyDescent="0.35">
      <c r="A1505" s="5"/>
      <c r="B1505" s="5" t="s">
        <v>37</v>
      </c>
      <c r="C1505" s="73" t="str">
        <f t="shared" si="23"/>
        <v>Closed</v>
      </c>
      <c r="D1505" s="45" t="s">
        <v>8361</v>
      </c>
      <c r="E1505" s="54" t="s">
        <v>8362</v>
      </c>
      <c r="F1505" s="5" t="s">
        <v>214</v>
      </c>
      <c r="G1505" s="10">
        <f>DATE(2013,1,24)</f>
        <v>41298</v>
      </c>
      <c r="H1505" s="35">
        <v>1.7340277777777779</v>
      </c>
      <c r="I1505" s="5" t="s">
        <v>97</v>
      </c>
      <c r="J1505" s="10" t="s">
        <v>8363</v>
      </c>
      <c r="K1505" s="5" t="s">
        <v>216</v>
      </c>
      <c r="L1505" s="5" t="s">
        <v>8364</v>
      </c>
      <c r="M1505" s="5" t="s">
        <v>45</v>
      </c>
      <c r="N1505" s="5" t="s">
        <v>70</v>
      </c>
      <c r="O1505" s="5" t="s">
        <v>46</v>
      </c>
      <c r="P1505" s="10" t="s">
        <v>6920</v>
      </c>
      <c r="Q1505" s="10">
        <v>0</v>
      </c>
      <c r="R1505" s="10" t="s">
        <v>219</v>
      </c>
      <c r="S1505" s="5">
        <v>0</v>
      </c>
      <c r="T1505" s="37">
        <v>0</v>
      </c>
      <c r="U1505" s="5">
        <v>1</v>
      </c>
      <c r="V1505" s="37">
        <v>0</v>
      </c>
      <c r="W1505" s="5">
        <v>0</v>
      </c>
      <c r="X1505" s="5">
        <v>1</v>
      </c>
      <c r="Y1505" s="5">
        <v>0</v>
      </c>
      <c r="Z1505" s="37">
        <v>0</v>
      </c>
      <c r="AA1505" s="5">
        <v>0</v>
      </c>
      <c r="AB1505" s="5">
        <v>0</v>
      </c>
      <c r="AC1505" s="5">
        <v>0</v>
      </c>
      <c r="AD1505" s="5">
        <v>0</v>
      </c>
      <c r="AE1505" s="10" t="s">
        <v>73</v>
      </c>
      <c r="AF1505" s="10"/>
      <c r="AG1505" s="10" t="s">
        <v>64</v>
      </c>
      <c r="AH1505" s="10">
        <v>41334</v>
      </c>
      <c r="AI1505" s="5">
        <v>4</v>
      </c>
      <c r="AJ1505" s="10" t="s">
        <v>8365</v>
      </c>
      <c r="AK1505" s="10" t="s">
        <v>8366</v>
      </c>
    </row>
    <row r="1506" spans="1:37" ht="36.75" customHeight="1" x14ac:dyDescent="0.35">
      <c r="A1506" s="5"/>
      <c r="B1506" s="5" t="s">
        <v>37</v>
      </c>
      <c r="C1506" s="73" t="str">
        <f t="shared" si="23"/>
        <v>Closed</v>
      </c>
      <c r="D1506" s="45" t="s">
        <v>8367</v>
      </c>
      <c r="E1506" s="54" t="s">
        <v>8368</v>
      </c>
      <c r="F1506" s="5" t="s">
        <v>432</v>
      </c>
      <c r="G1506" s="10">
        <f>DATE(2013,1,26)</f>
        <v>41300</v>
      </c>
      <c r="H1506" s="35">
        <v>1.4312499999999999</v>
      </c>
      <c r="I1506" s="5" t="s">
        <v>97</v>
      </c>
      <c r="J1506" s="10" t="s">
        <v>8369</v>
      </c>
      <c r="K1506" s="5" t="s">
        <v>434</v>
      </c>
      <c r="L1506" s="5" t="s">
        <v>8370</v>
      </c>
      <c r="M1506" s="5" t="s">
        <v>45</v>
      </c>
      <c r="N1506" s="5" t="s">
        <v>80</v>
      </c>
      <c r="O1506" s="5" t="s">
        <v>46</v>
      </c>
      <c r="P1506" s="10" t="s">
        <v>146</v>
      </c>
      <c r="Q1506" s="10" t="s">
        <v>436</v>
      </c>
      <c r="R1506" s="10" t="s">
        <v>437</v>
      </c>
      <c r="S1506" s="5">
        <v>0</v>
      </c>
      <c r="T1506" s="37">
        <v>0</v>
      </c>
      <c r="U1506" s="5">
        <v>1</v>
      </c>
      <c r="V1506" s="37">
        <v>0</v>
      </c>
      <c r="W1506" s="5">
        <v>0</v>
      </c>
      <c r="X1506" s="5">
        <v>1</v>
      </c>
      <c r="Y1506" s="5">
        <v>0</v>
      </c>
      <c r="Z1506" s="37">
        <v>0</v>
      </c>
      <c r="AA1506" s="5">
        <v>0</v>
      </c>
      <c r="AB1506" s="5">
        <v>0</v>
      </c>
      <c r="AC1506" s="5">
        <v>0</v>
      </c>
      <c r="AD1506" s="5">
        <v>0</v>
      </c>
      <c r="AE1506" s="10" t="s">
        <v>73</v>
      </c>
      <c r="AF1506" s="10"/>
      <c r="AG1506" s="10" t="s">
        <v>64</v>
      </c>
      <c r="AH1506" s="10">
        <v>41300</v>
      </c>
      <c r="AI1506" s="5">
        <v>0</v>
      </c>
      <c r="AJ1506" s="10" t="s">
        <v>8371</v>
      </c>
      <c r="AK1506" s="10" t="s">
        <v>1215</v>
      </c>
    </row>
    <row r="1507" spans="1:37" ht="36.75" customHeight="1" x14ac:dyDescent="0.35">
      <c r="A1507" s="5"/>
      <c r="B1507" s="5" t="s">
        <v>37</v>
      </c>
      <c r="C1507" s="73" t="str">
        <f t="shared" si="23"/>
        <v>Closed</v>
      </c>
      <c r="D1507" s="45" t="s">
        <v>8372</v>
      </c>
      <c r="E1507" s="54" t="s">
        <v>8373</v>
      </c>
      <c r="F1507" s="5" t="s">
        <v>404</v>
      </c>
      <c r="G1507" s="10">
        <f>DATE(2013,1,30)</f>
        <v>41304</v>
      </c>
      <c r="H1507" s="35">
        <v>1.2638888888888888</v>
      </c>
      <c r="I1507" s="5" t="s">
        <v>85</v>
      </c>
      <c r="J1507" s="10" t="s">
        <v>8374</v>
      </c>
      <c r="K1507" s="5" t="s">
        <v>406</v>
      </c>
      <c r="L1507" s="5" t="s">
        <v>8375</v>
      </c>
      <c r="M1507" s="5" t="s">
        <v>45</v>
      </c>
      <c r="N1507" s="5" t="s">
        <v>70</v>
      </c>
      <c r="O1507" s="5" t="s">
        <v>59</v>
      </c>
      <c r="P1507" s="10" t="s">
        <v>146</v>
      </c>
      <c r="Q1507" s="10" t="s">
        <v>408</v>
      </c>
      <c r="R1507" s="10" t="s">
        <v>3083</v>
      </c>
      <c r="S1507" s="5">
        <v>0</v>
      </c>
      <c r="T1507" s="37">
        <v>0</v>
      </c>
      <c r="U1507" s="5">
        <v>0</v>
      </c>
      <c r="V1507" s="37">
        <v>0</v>
      </c>
      <c r="W1507" s="5">
        <v>0</v>
      </c>
      <c r="X1507" s="5">
        <v>0</v>
      </c>
      <c r="Y1507" s="5">
        <v>0</v>
      </c>
      <c r="Z1507" s="37">
        <v>0</v>
      </c>
      <c r="AA1507" s="5">
        <v>0</v>
      </c>
      <c r="AB1507" s="5">
        <v>0</v>
      </c>
      <c r="AC1507" s="5">
        <v>0</v>
      </c>
      <c r="AD1507" s="5">
        <v>0</v>
      </c>
      <c r="AE1507" s="10" t="s">
        <v>73</v>
      </c>
      <c r="AF1507" s="10"/>
      <c r="AG1507" s="10" t="s">
        <v>114</v>
      </c>
      <c r="AH1507" s="10">
        <v>41396</v>
      </c>
      <c r="AI1507" s="5">
        <v>5</v>
      </c>
      <c r="AJ1507" s="10" t="s">
        <v>8376</v>
      </c>
      <c r="AK1507" s="10" t="s">
        <v>8377</v>
      </c>
    </row>
    <row r="1508" spans="1:37" ht="36.75" customHeight="1" x14ac:dyDescent="0.35">
      <c r="A1508" s="5"/>
      <c r="B1508" s="5" t="s">
        <v>37</v>
      </c>
      <c r="C1508" s="73" t="str">
        <f t="shared" si="23"/>
        <v>Closed</v>
      </c>
      <c r="D1508" s="45" t="s">
        <v>8378</v>
      </c>
      <c r="E1508" s="54" t="s">
        <v>8379</v>
      </c>
      <c r="F1508" s="5" t="s">
        <v>619</v>
      </c>
      <c r="G1508" s="10">
        <f>DATE(2013,1,31)</f>
        <v>41305</v>
      </c>
      <c r="H1508" s="35">
        <v>1.65</v>
      </c>
      <c r="I1508" s="5" t="s">
        <v>55</v>
      </c>
      <c r="J1508" s="10" t="s">
        <v>8380</v>
      </c>
      <c r="K1508" s="5" t="s">
        <v>621</v>
      </c>
      <c r="L1508" s="5" t="s">
        <v>8381</v>
      </c>
      <c r="M1508" s="5" t="s">
        <v>45</v>
      </c>
      <c r="N1508" s="5" t="s">
        <v>80</v>
      </c>
      <c r="O1508" s="5" t="s">
        <v>46</v>
      </c>
      <c r="P1508" s="10" t="s">
        <v>60</v>
      </c>
      <c r="Q1508" s="10" t="s">
        <v>4884</v>
      </c>
      <c r="R1508" s="10" t="s">
        <v>624</v>
      </c>
      <c r="S1508" s="5">
        <v>0</v>
      </c>
      <c r="T1508" s="37">
        <v>0</v>
      </c>
      <c r="U1508" s="5">
        <v>0</v>
      </c>
      <c r="V1508" s="37">
        <v>0</v>
      </c>
      <c r="W1508" s="5">
        <v>0</v>
      </c>
      <c r="X1508" s="5">
        <v>0</v>
      </c>
      <c r="Y1508" s="5">
        <v>0</v>
      </c>
      <c r="Z1508" s="37">
        <v>0</v>
      </c>
      <c r="AA1508" s="5">
        <v>0</v>
      </c>
      <c r="AB1508" s="5">
        <v>0</v>
      </c>
      <c r="AC1508" s="5">
        <v>0</v>
      </c>
      <c r="AD1508" s="5">
        <v>0</v>
      </c>
      <c r="AE1508" s="10" t="s">
        <v>73</v>
      </c>
      <c r="AF1508" s="10"/>
      <c r="AG1508" s="10" t="s">
        <v>333</v>
      </c>
      <c r="AH1508" s="10">
        <v>41331</v>
      </c>
      <c r="AI1508" s="5">
        <v>2</v>
      </c>
      <c r="AJ1508" s="10" t="s">
        <v>8382</v>
      </c>
      <c r="AK1508" s="10" t="s">
        <v>50</v>
      </c>
    </row>
    <row r="1509" spans="1:37" ht="36.75" customHeight="1" x14ac:dyDescent="0.35">
      <c r="A1509" s="5"/>
      <c r="B1509" s="5" t="s">
        <v>37</v>
      </c>
      <c r="C1509" s="73" t="str">
        <f t="shared" si="23"/>
        <v>Closed</v>
      </c>
      <c r="D1509" s="45" t="s">
        <v>8383</v>
      </c>
      <c r="E1509" s="54" t="s">
        <v>8384</v>
      </c>
      <c r="F1509" s="5" t="s">
        <v>1553</v>
      </c>
      <c r="G1509" s="10">
        <f>DATE(2013,2,2)</f>
        <v>41307</v>
      </c>
      <c r="H1509" s="35">
        <v>1.0652777777777778</v>
      </c>
      <c r="I1509" s="5" t="s">
        <v>55</v>
      </c>
      <c r="J1509" s="10" t="s">
        <v>8385</v>
      </c>
      <c r="K1509" s="5" t="s">
        <v>1555</v>
      </c>
      <c r="L1509" s="5" t="s">
        <v>8240</v>
      </c>
      <c r="M1509" s="5" t="s">
        <v>45</v>
      </c>
      <c r="N1509" s="5" t="s">
        <v>123</v>
      </c>
      <c r="O1509" s="5" t="s">
        <v>59</v>
      </c>
      <c r="P1509" s="10" t="s">
        <v>60</v>
      </c>
      <c r="Q1509" s="10" t="s">
        <v>7910</v>
      </c>
      <c r="R1509" s="10" t="s">
        <v>6413</v>
      </c>
      <c r="S1509" s="5">
        <v>0</v>
      </c>
      <c r="T1509" s="37">
        <v>0</v>
      </c>
      <c r="U1509" s="5">
        <v>0</v>
      </c>
      <c r="V1509" s="37">
        <v>0</v>
      </c>
      <c r="W1509" s="5">
        <v>0</v>
      </c>
      <c r="X1509" s="5">
        <v>0</v>
      </c>
      <c r="Y1509" s="5">
        <v>0</v>
      </c>
      <c r="Z1509" s="37">
        <v>0</v>
      </c>
      <c r="AA1509" s="5">
        <v>0</v>
      </c>
      <c r="AB1509" s="5">
        <v>0</v>
      </c>
      <c r="AC1509" s="5">
        <v>0</v>
      </c>
      <c r="AD1509" s="5">
        <v>0</v>
      </c>
      <c r="AE1509" s="10" t="s">
        <v>375</v>
      </c>
      <c r="AF1509" s="10"/>
      <c r="AG1509" s="10" t="s">
        <v>114</v>
      </c>
      <c r="AH1509" s="10">
        <v>41309</v>
      </c>
      <c r="AI1509" s="5">
        <v>0</v>
      </c>
      <c r="AJ1509" s="10" t="s">
        <v>8386</v>
      </c>
      <c r="AK1509" s="10" t="s">
        <v>8387</v>
      </c>
    </row>
    <row r="1510" spans="1:37" ht="36.75" customHeight="1" x14ac:dyDescent="0.35">
      <c r="A1510" s="5"/>
      <c r="B1510" s="5" t="s">
        <v>37</v>
      </c>
      <c r="C1510" s="73" t="str">
        <f t="shared" si="23"/>
        <v>Closed</v>
      </c>
      <c r="D1510" s="45" t="s">
        <v>8388</v>
      </c>
      <c r="E1510" s="54" t="s">
        <v>8389</v>
      </c>
      <c r="F1510" s="5" t="s">
        <v>404</v>
      </c>
      <c r="G1510" s="10">
        <f>DATE(2013,2,4)</f>
        <v>41309</v>
      </c>
      <c r="H1510" s="35">
        <v>1.4541666666666666</v>
      </c>
      <c r="I1510" s="5" t="s">
        <v>2059</v>
      </c>
      <c r="J1510" s="10" t="s">
        <v>8390</v>
      </c>
      <c r="K1510" s="5" t="s">
        <v>406</v>
      </c>
      <c r="L1510" s="5" t="s">
        <v>8391</v>
      </c>
      <c r="M1510" s="5" t="s">
        <v>45</v>
      </c>
      <c r="N1510" s="5" t="s">
        <v>70</v>
      </c>
      <c r="O1510" s="5" t="s">
        <v>59</v>
      </c>
      <c r="P1510" s="10" t="s">
        <v>5303</v>
      </c>
      <c r="Q1510" s="10" t="s">
        <v>408</v>
      </c>
      <c r="R1510" s="10" t="s">
        <v>3083</v>
      </c>
      <c r="S1510" s="5">
        <v>0</v>
      </c>
      <c r="T1510" s="37">
        <v>0</v>
      </c>
      <c r="U1510" s="5">
        <v>0</v>
      </c>
      <c r="V1510" s="37">
        <v>0</v>
      </c>
      <c r="W1510" s="5">
        <v>0</v>
      </c>
      <c r="X1510" s="5">
        <v>0</v>
      </c>
      <c r="Y1510" s="5">
        <v>0</v>
      </c>
      <c r="Z1510" s="37">
        <v>0</v>
      </c>
      <c r="AA1510" s="5">
        <v>0</v>
      </c>
      <c r="AB1510" s="5">
        <v>0</v>
      </c>
      <c r="AC1510" s="5">
        <v>0</v>
      </c>
      <c r="AD1510" s="5">
        <v>0</v>
      </c>
      <c r="AE1510" s="10" t="s">
        <v>73</v>
      </c>
      <c r="AF1510" s="10"/>
      <c r="AG1510" s="10" t="s">
        <v>114</v>
      </c>
      <c r="AH1510" s="10">
        <v>41327</v>
      </c>
      <c r="AI1510" s="5">
        <v>2</v>
      </c>
      <c r="AJ1510" s="10" t="s">
        <v>8392</v>
      </c>
      <c r="AK1510" s="10" t="s">
        <v>8393</v>
      </c>
    </row>
    <row r="1511" spans="1:37" ht="36.75" customHeight="1" x14ac:dyDescent="0.35">
      <c r="A1511" s="5"/>
      <c r="B1511" s="5" t="s">
        <v>37</v>
      </c>
      <c r="C1511" s="73" t="str">
        <f t="shared" si="23"/>
        <v>Closed</v>
      </c>
      <c r="D1511" s="45" t="s">
        <v>8394</v>
      </c>
      <c r="E1511" s="54" t="s">
        <v>8395</v>
      </c>
      <c r="F1511" s="5" t="s">
        <v>404</v>
      </c>
      <c r="G1511" s="10">
        <f>DATE(2013,2,5)</f>
        <v>41310</v>
      </c>
      <c r="H1511" s="35">
        <v>1.4666666666666666</v>
      </c>
      <c r="I1511" s="5" t="s">
        <v>179</v>
      </c>
      <c r="J1511" s="10" t="s">
        <v>8396</v>
      </c>
      <c r="K1511" s="5" t="s">
        <v>406</v>
      </c>
      <c r="L1511" s="5" t="s">
        <v>8397</v>
      </c>
      <c r="M1511" s="5" t="s">
        <v>45</v>
      </c>
      <c r="N1511" s="5" t="s">
        <v>70</v>
      </c>
      <c r="O1511" s="5" t="s">
        <v>59</v>
      </c>
      <c r="P1511" s="10" t="s">
        <v>8003</v>
      </c>
      <c r="Q1511" s="10" t="s">
        <v>3441</v>
      </c>
      <c r="R1511" s="10" t="s">
        <v>3083</v>
      </c>
      <c r="S1511" s="5">
        <v>0</v>
      </c>
      <c r="T1511" s="37">
        <v>0</v>
      </c>
      <c r="U1511" s="5">
        <v>0</v>
      </c>
      <c r="V1511" s="37">
        <v>0</v>
      </c>
      <c r="W1511" s="5">
        <v>0</v>
      </c>
      <c r="X1511" s="5">
        <v>0</v>
      </c>
      <c r="Y1511" s="5">
        <v>0</v>
      </c>
      <c r="Z1511" s="37">
        <v>0</v>
      </c>
      <c r="AA1511" s="5">
        <v>0</v>
      </c>
      <c r="AB1511" s="5">
        <v>0</v>
      </c>
      <c r="AC1511" s="5">
        <v>0</v>
      </c>
      <c r="AD1511" s="5">
        <v>0</v>
      </c>
      <c r="AE1511" s="10" t="s">
        <v>73</v>
      </c>
      <c r="AF1511" s="10"/>
      <c r="AG1511" s="10" t="s">
        <v>114</v>
      </c>
      <c r="AH1511" s="10">
        <v>41427</v>
      </c>
      <c r="AI1511" s="5">
        <v>3</v>
      </c>
      <c r="AJ1511" s="10" t="s">
        <v>8398</v>
      </c>
      <c r="AK1511" s="10" t="s">
        <v>8399</v>
      </c>
    </row>
    <row r="1512" spans="1:37" ht="36.75" customHeight="1" x14ac:dyDescent="0.35">
      <c r="A1512" s="5"/>
      <c r="B1512" s="5" t="s">
        <v>37</v>
      </c>
      <c r="C1512" s="73" t="str">
        <f t="shared" si="23"/>
        <v>Closed</v>
      </c>
      <c r="D1512" s="45" t="s">
        <v>8400</v>
      </c>
      <c r="E1512" s="54" t="s">
        <v>8401</v>
      </c>
      <c r="F1512" s="5" t="s">
        <v>1553</v>
      </c>
      <c r="G1512" s="10">
        <f>DATE(2013,2,5)</f>
        <v>41310</v>
      </c>
      <c r="H1512" s="35">
        <v>1.6875</v>
      </c>
      <c r="I1512" s="5" t="s">
        <v>55</v>
      </c>
      <c r="J1512" s="10" t="s">
        <v>8402</v>
      </c>
      <c r="K1512" s="5" t="s">
        <v>1555</v>
      </c>
      <c r="L1512" s="5" t="s">
        <v>8403</v>
      </c>
      <c r="M1512" s="5" t="s">
        <v>45</v>
      </c>
      <c r="N1512" s="5" t="s">
        <v>80</v>
      </c>
      <c r="O1512" s="5" t="s">
        <v>59</v>
      </c>
      <c r="P1512" s="10" t="s">
        <v>60</v>
      </c>
      <c r="Q1512" s="10" t="s">
        <v>2635</v>
      </c>
      <c r="R1512" s="10" t="s">
        <v>2541</v>
      </c>
      <c r="S1512" s="5">
        <v>0</v>
      </c>
      <c r="T1512" s="37">
        <v>0</v>
      </c>
      <c r="U1512" s="5">
        <v>0</v>
      </c>
      <c r="V1512" s="37">
        <v>0</v>
      </c>
      <c r="W1512" s="5">
        <v>0</v>
      </c>
      <c r="X1512" s="5">
        <v>0</v>
      </c>
      <c r="Y1512" s="5">
        <v>0</v>
      </c>
      <c r="Z1512" s="37">
        <v>0</v>
      </c>
      <c r="AA1512" s="5">
        <v>0</v>
      </c>
      <c r="AB1512" s="5">
        <v>0</v>
      </c>
      <c r="AC1512" s="5">
        <v>0</v>
      </c>
      <c r="AD1512" s="5">
        <v>0</v>
      </c>
      <c r="AE1512" s="10" t="s">
        <v>73</v>
      </c>
      <c r="AF1512" s="10"/>
      <c r="AG1512" s="10" t="s">
        <v>114</v>
      </c>
      <c r="AH1512" s="10">
        <v>41312</v>
      </c>
      <c r="AI1512" s="5">
        <v>0</v>
      </c>
      <c r="AJ1512" s="10" t="s">
        <v>8404</v>
      </c>
      <c r="AK1512" s="10" t="s">
        <v>8405</v>
      </c>
    </row>
    <row r="1513" spans="1:37" ht="36.75" customHeight="1" x14ac:dyDescent="0.35">
      <c r="A1513" s="5"/>
      <c r="B1513" s="5" t="s">
        <v>37</v>
      </c>
      <c r="C1513" s="73" t="str">
        <f t="shared" si="23"/>
        <v>Closed</v>
      </c>
      <c r="D1513" s="45" t="s">
        <v>8406</v>
      </c>
      <c r="E1513" s="54" t="s">
        <v>8407</v>
      </c>
      <c r="F1513" s="5" t="s">
        <v>563</v>
      </c>
      <c r="G1513" s="10">
        <f>DATE(2013,2,6)</f>
        <v>41311</v>
      </c>
      <c r="H1513" s="35">
        <v>1.413888888888889</v>
      </c>
      <c r="I1513" s="5" t="s">
        <v>137</v>
      </c>
      <c r="J1513" s="10" t="s">
        <v>8408</v>
      </c>
      <c r="K1513" s="5" t="s">
        <v>565</v>
      </c>
      <c r="L1513" s="5" t="s">
        <v>8409</v>
      </c>
      <c r="M1513" s="5" t="s">
        <v>45</v>
      </c>
      <c r="N1513" s="5" t="s">
        <v>123</v>
      </c>
      <c r="O1513" s="5" t="s">
        <v>46</v>
      </c>
      <c r="P1513" s="10" t="s">
        <v>47</v>
      </c>
      <c r="Q1513" s="10" t="s">
        <v>4810</v>
      </c>
      <c r="R1513" s="10" t="s">
        <v>568</v>
      </c>
      <c r="S1513" s="5">
        <v>0</v>
      </c>
      <c r="T1513" s="37">
        <v>1</v>
      </c>
      <c r="U1513" s="5">
        <v>0</v>
      </c>
      <c r="V1513" s="37">
        <v>0</v>
      </c>
      <c r="W1513" s="5">
        <v>0</v>
      </c>
      <c r="X1513" s="5">
        <v>1</v>
      </c>
      <c r="Y1513" s="5">
        <v>0</v>
      </c>
      <c r="Z1513" s="37">
        <v>0</v>
      </c>
      <c r="AA1513" s="5">
        <v>0</v>
      </c>
      <c r="AB1513" s="5">
        <v>0</v>
      </c>
      <c r="AC1513" s="5">
        <v>0</v>
      </c>
      <c r="AD1513" s="5">
        <v>0</v>
      </c>
      <c r="AE1513" s="10" t="s">
        <v>73</v>
      </c>
      <c r="AF1513" s="10"/>
      <c r="AG1513" s="10" t="s">
        <v>64</v>
      </c>
      <c r="AH1513" s="10">
        <v>41648</v>
      </c>
      <c r="AI1513" s="5">
        <v>0</v>
      </c>
      <c r="AJ1513" s="10" t="s">
        <v>8410</v>
      </c>
      <c r="AK1513" s="10" t="s">
        <v>1215</v>
      </c>
    </row>
    <row r="1514" spans="1:37" ht="36.75" customHeight="1" x14ac:dyDescent="0.35">
      <c r="A1514" s="5"/>
      <c r="B1514" s="5" t="s">
        <v>37</v>
      </c>
      <c r="C1514" s="73" t="str">
        <f t="shared" si="23"/>
        <v>Closed</v>
      </c>
      <c r="D1514" s="45" t="s">
        <v>8411</v>
      </c>
      <c r="E1514" s="54" t="s">
        <v>8412</v>
      </c>
      <c r="F1514" s="5" t="s">
        <v>404</v>
      </c>
      <c r="G1514" s="10">
        <f>DATE(2013,2,10)</f>
        <v>41315</v>
      </c>
      <c r="H1514" s="35">
        <v>1.1965277777777779</v>
      </c>
      <c r="I1514" s="5" t="s">
        <v>179</v>
      </c>
      <c r="J1514" s="10" t="s">
        <v>8413</v>
      </c>
      <c r="K1514" s="5" t="s">
        <v>406</v>
      </c>
      <c r="L1514" s="5" t="s">
        <v>8414</v>
      </c>
      <c r="M1514" s="5" t="s">
        <v>45</v>
      </c>
      <c r="N1514" s="5" t="s">
        <v>70</v>
      </c>
      <c r="O1514" s="5" t="s">
        <v>59</v>
      </c>
      <c r="P1514" s="10" t="s">
        <v>72</v>
      </c>
      <c r="Q1514" s="10" t="s">
        <v>2562</v>
      </c>
      <c r="R1514" s="10" t="s">
        <v>3083</v>
      </c>
      <c r="S1514" s="5">
        <v>0</v>
      </c>
      <c r="T1514" s="37">
        <v>0</v>
      </c>
      <c r="U1514" s="5">
        <v>0</v>
      </c>
      <c r="V1514" s="37">
        <v>0</v>
      </c>
      <c r="W1514" s="5">
        <v>0</v>
      </c>
      <c r="X1514" s="5">
        <v>0</v>
      </c>
      <c r="Y1514" s="5">
        <v>0</v>
      </c>
      <c r="Z1514" s="37">
        <v>0</v>
      </c>
      <c r="AA1514" s="5">
        <v>0</v>
      </c>
      <c r="AB1514" s="5">
        <v>0</v>
      </c>
      <c r="AC1514" s="5">
        <v>0</v>
      </c>
      <c r="AD1514" s="5">
        <v>0</v>
      </c>
      <c r="AE1514" s="10" t="s">
        <v>375</v>
      </c>
      <c r="AF1514" s="10"/>
      <c r="AG1514" s="10" t="s">
        <v>114</v>
      </c>
      <c r="AH1514" s="10">
        <v>41471</v>
      </c>
      <c r="AI1514" s="5">
        <v>0</v>
      </c>
      <c r="AJ1514" s="10" t="s">
        <v>8415</v>
      </c>
      <c r="AK1514" s="10" t="s">
        <v>8416</v>
      </c>
    </row>
    <row r="1515" spans="1:37" ht="36.75" customHeight="1" x14ac:dyDescent="0.35">
      <c r="A1515" s="5"/>
      <c r="B1515" s="5" t="s">
        <v>37</v>
      </c>
      <c r="C1515" s="73" t="str">
        <f t="shared" si="23"/>
        <v>Closed</v>
      </c>
      <c r="D1515" s="45" t="s">
        <v>8417</v>
      </c>
      <c r="E1515" s="54" t="s">
        <v>8418</v>
      </c>
      <c r="F1515" s="5" t="s">
        <v>619</v>
      </c>
      <c r="G1515" s="10">
        <f>DATE(2013,2,10)</f>
        <v>41315</v>
      </c>
      <c r="H1515" s="35">
        <v>1.2381944444444444</v>
      </c>
      <c r="I1515" s="5" t="s">
        <v>55</v>
      </c>
      <c r="J1515" s="10" t="s">
        <v>8419</v>
      </c>
      <c r="K1515" s="5" t="s">
        <v>621</v>
      </c>
      <c r="L1515" s="5" t="s">
        <v>8420</v>
      </c>
      <c r="M1515" s="5" t="s">
        <v>45</v>
      </c>
      <c r="N1515" s="5" t="s">
        <v>80</v>
      </c>
      <c r="O1515" s="5" t="s">
        <v>59</v>
      </c>
      <c r="P1515" s="10" t="s">
        <v>60</v>
      </c>
      <c r="Q1515" s="10" t="s">
        <v>623</v>
      </c>
      <c r="R1515" s="10" t="s">
        <v>624</v>
      </c>
      <c r="S1515" s="5">
        <v>0</v>
      </c>
      <c r="T1515" s="37">
        <v>0</v>
      </c>
      <c r="U1515" s="5">
        <v>0</v>
      </c>
      <c r="V1515" s="37">
        <v>0</v>
      </c>
      <c r="W1515" s="5">
        <v>0</v>
      </c>
      <c r="X1515" s="5">
        <v>0</v>
      </c>
      <c r="Y1515" s="5">
        <v>0</v>
      </c>
      <c r="Z1515" s="37">
        <v>0</v>
      </c>
      <c r="AA1515" s="5">
        <v>0</v>
      </c>
      <c r="AB1515" s="5">
        <v>0</v>
      </c>
      <c r="AC1515" s="5">
        <v>0</v>
      </c>
      <c r="AD1515" s="5">
        <v>0</v>
      </c>
      <c r="AE1515" s="10" t="s">
        <v>73</v>
      </c>
      <c r="AF1515" s="10"/>
      <c r="AG1515" s="10" t="s">
        <v>333</v>
      </c>
      <c r="AH1515" s="10">
        <v>41331</v>
      </c>
      <c r="AI1515" s="5">
        <v>2</v>
      </c>
      <c r="AJ1515" s="10" t="s">
        <v>8421</v>
      </c>
      <c r="AK1515" s="10" t="s">
        <v>50</v>
      </c>
    </row>
    <row r="1516" spans="1:37" ht="36.75" customHeight="1" x14ac:dyDescent="0.35">
      <c r="A1516" s="5"/>
      <c r="B1516" s="5" t="s">
        <v>37</v>
      </c>
      <c r="C1516" s="73" t="str">
        <f t="shared" si="23"/>
        <v>Closed</v>
      </c>
      <c r="D1516" s="45" t="s">
        <v>8422</v>
      </c>
      <c r="E1516" s="54" t="s">
        <v>8423</v>
      </c>
      <c r="F1516" s="5" t="s">
        <v>816</v>
      </c>
      <c r="G1516" s="10">
        <f>DATE(2013,2,11)</f>
        <v>41316</v>
      </c>
      <c r="H1516" s="35">
        <v>1.7909722222222224</v>
      </c>
      <c r="I1516" s="5" t="s">
        <v>2244</v>
      </c>
      <c r="J1516" s="10" t="s">
        <v>8424</v>
      </c>
      <c r="K1516" s="5" t="s">
        <v>818</v>
      </c>
      <c r="L1516" s="5" t="s">
        <v>8425</v>
      </c>
      <c r="M1516" s="5" t="s">
        <v>45</v>
      </c>
      <c r="N1516" s="5" t="s">
        <v>123</v>
      </c>
      <c r="O1516" s="5" t="s">
        <v>59</v>
      </c>
      <c r="P1516" s="10" t="s">
        <v>8426</v>
      </c>
      <c r="Q1516" s="10" t="s">
        <v>4291</v>
      </c>
      <c r="R1516" s="10" t="s">
        <v>2777</v>
      </c>
      <c r="S1516" s="5">
        <v>0</v>
      </c>
      <c r="T1516" s="37">
        <v>0</v>
      </c>
      <c r="U1516" s="5">
        <v>0</v>
      </c>
      <c r="V1516" s="37">
        <v>0</v>
      </c>
      <c r="W1516" s="5">
        <v>0</v>
      </c>
      <c r="X1516" s="5">
        <v>0</v>
      </c>
      <c r="Y1516" s="5">
        <v>0</v>
      </c>
      <c r="Z1516" s="37">
        <v>0</v>
      </c>
      <c r="AA1516" s="5">
        <v>0</v>
      </c>
      <c r="AB1516" s="5">
        <v>0</v>
      </c>
      <c r="AC1516" s="5">
        <v>0</v>
      </c>
      <c r="AD1516" s="5">
        <v>0</v>
      </c>
      <c r="AE1516" s="10" t="s">
        <v>73</v>
      </c>
      <c r="AF1516" s="10"/>
      <c r="AG1516" s="10" t="s">
        <v>333</v>
      </c>
      <c r="AH1516" s="10">
        <v>41318</v>
      </c>
      <c r="AI1516" s="5">
        <v>0</v>
      </c>
      <c r="AJ1516" s="10" t="s">
        <v>8427</v>
      </c>
      <c r="AK1516" s="10" t="s">
        <v>8428</v>
      </c>
    </row>
    <row r="1517" spans="1:37" ht="36.75" customHeight="1" x14ac:dyDescent="0.35">
      <c r="A1517" s="5"/>
      <c r="B1517" s="5" t="s">
        <v>37</v>
      </c>
      <c r="C1517" s="73" t="str">
        <f t="shared" si="23"/>
        <v>Closed</v>
      </c>
      <c r="D1517" s="45" t="s">
        <v>8429</v>
      </c>
      <c r="E1517" s="54" t="s">
        <v>8430</v>
      </c>
      <c r="F1517" s="5" t="s">
        <v>178</v>
      </c>
      <c r="G1517" s="10">
        <f>DATE(2013,2,14)</f>
        <v>41319</v>
      </c>
      <c r="H1517" s="35">
        <v>1.9270833333333335</v>
      </c>
      <c r="I1517" s="5" t="s">
        <v>55</v>
      </c>
      <c r="J1517" s="10" t="s">
        <v>8431</v>
      </c>
      <c r="K1517" s="5" t="s">
        <v>181</v>
      </c>
      <c r="L1517" s="5" t="s">
        <v>8432</v>
      </c>
      <c r="M1517" s="5" t="s">
        <v>45</v>
      </c>
      <c r="N1517" s="5" t="s">
        <v>123</v>
      </c>
      <c r="O1517" s="5" t="s">
        <v>46</v>
      </c>
      <c r="P1517" s="10" t="s">
        <v>60</v>
      </c>
      <c r="Q1517" s="10" t="s">
        <v>1697</v>
      </c>
      <c r="R1517" s="10" t="s">
        <v>184</v>
      </c>
      <c r="S1517" s="5">
        <v>0</v>
      </c>
      <c r="T1517" s="37">
        <v>0</v>
      </c>
      <c r="U1517" s="5">
        <v>0</v>
      </c>
      <c r="V1517" s="37">
        <v>0</v>
      </c>
      <c r="W1517" s="5">
        <v>0</v>
      </c>
      <c r="X1517" s="5">
        <v>0</v>
      </c>
      <c r="Y1517" s="5">
        <v>0</v>
      </c>
      <c r="Z1517" s="37">
        <v>0</v>
      </c>
      <c r="AA1517" s="5">
        <v>0</v>
      </c>
      <c r="AB1517" s="5">
        <v>0</v>
      </c>
      <c r="AC1517" s="5">
        <v>0</v>
      </c>
      <c r="AD1517" s="5">
        <v>0</v>
      </c>
      <c r="AE1517" s="10" t="s">
        <v>126</v>
      </c>
      <c r="AF1517" s="10"/>
      <c r="AG1517" s="10" t="s">
        <v>64</v>
      </c>
      <c r="AH1517" s="10">
        <v>41320</v>
      </c>
      <c r="AI1517" s="5">
        <v>4</v>
      </c>
      <c r="AJ1517" s="10" t="s">
        <v>8433</v>
      </c>
      <c r="AK1517" s="10" t="s">
        <v>1215</v>
      </c>
    </row>
    <row r="1518" spans="1:37" ht="36.75" customHeight="1" x14ac:dyDescent="0.35">
      <c r="A1518" s="5"/>
      <c r="B1518" s="5" t="s">
        <v>37</v>
      </c>
      <c r="C1518" s="73" t="str">
        <f t="shared" si="23"/>
        <v>Closed</v>
      </c>
      <c r="D1518" s="45" t="s">
        <v>8434</v>
      </c>
      <c r="E1518" s="54" t="s">
        <v>8435</v>
      </c>
      <c r="F1518" s="5" t="s">
        <v>563</v>
      </c>
      <c r="G1518" s="10">
        <f>DATE(2013,2,14)</f>
        <v>41319</v>
      </c>
      <c r="H1518" s="35">
        <v>1.5222222222222221</v>
      </c>
      <c r="I1518" s="5" t="s">
        <v>55</v>
      </c>
      <c r="J1518" s="10" t="s">
        <v>8436</v>
      </c>
      <c r="K1518" s="5" t="s">
        <v>565</v>
      </c>
      <c r="L1518" s="5" t="s">
        <v>8437</v>
      </c>
      <c r="M1518" s="5" t="s">
        <v>45</v>
      </c>
      <c r="N1518" s="5" t="s">
        <v>123</v>
      </c>
      <c r="O1518" s="5" t="s">
        <v>46</v>
      </c>
      <c r="P1518" s="10" t="s">
        <v>60</v>
      </c>
      <c r="Q1518" s="10" t="s">
        <v>8438</v>
      </c>
      <c r="R1518" s="10" t="s">
        <v>568</v>
      </c>
      <c r="S1518" s="5">
        <v>0</v>
      </c>
      <c r="T1518" s="37">
        <v>0</v>
      </c>
      <c r="U1518" s="5">
        <v>0</v>
      </c>
      <c r="V1518" s="37">
        <v>0</v>
      </c>
      <c r="W1518" s="5">
        <v>0</v>
      </c>
      <c r="X1518" s="5">
        <v>0</v>
      </c>
      <c r="Y1518" s="5">
        <v>0</v>
      </c>
      <c r="Z1518" s="37">
        <v>0</v>
      </c>
      <c r="AA1518" s="5">
        <v>0</v>
      </c>
      <c r="AB1518" s="5">
        <v>0</v>
      </c>
      <c r="AC1518" s="5">
        <v>0</v>
      </c>
      <c r="AD1518" s="5">
        <v>0</v>
      </c>
      <c r="AE1518" s="10" t="s">
        <v>126</v>
      </c>
      <c r="AF1518" s="10"/>
      <c r="AG1518" s="10" t="s">
        <v>64</v>
      </c>
      <c r="AH1518" s="10">
        <v>41323</v>
      </c>
      <c r="AI1518" s="5">
        <v>0</v>
      </c>
      <c r="AJ1518" s="10" t="s">
        <v>8439</v>
      </c>
      <c r="AK1518" s="10" t="s">
        <v>1215</v>
      </c>
    </row>
    <row r="1519" spans="1:37" ht="36.75" customHeight="1" x14ac:dyDescent="0.35">
      <c r="A1519" s="5"/>
      <c r="B1519" s="5" t="s">
        <v>37</v>
      </c>
      <c r="C1519" s="73" t="str">
        <f t="shared" si="23"/>
        <v>Closed</v>
      </c>
      <c r="D1519" s="45" t="s">
        <v>8440</v>
      </c>
      <c r="E1519" s="54" t="s">
        <v>8441</v>
      </c>
      <c r="F1519" s="5" t="s">
        <v>1553</v>
      </c>
      <c r="G1519" s="10">
        <f>DATE(2013,2,14)</f>
        <v>41319</v>
      </c>
      <c r="H1519" s="35">
        <v>1.9652777777777777</v>
      </c>
      <c r="I1519" s="5" t="s">
        <v>106</v>
      </c>
      <c r="J1519" s="10" t="s">
        <v>8442</v>
      </c>
      <c r="K1519" s="5" t="s">
        <v>1555</v>
      </c>
      <c r="L1519" s="5" t="s">
        <v>8443</v>
      </c>
      <c r="M1519" s="5" t="s">
        <v>45</v>
      </c>
      <c r="N1519" s="5" t="s">
        <v>80</v>
      </c>
      <c r="O1519" s="5" t="s">
        <v>46</v>
      </c>
      <c r="P1519" s="10" t="s">
        <v>60</v>
      </c>
      <c r="Q1519" s="10" t="s">
        <v>2635</v>
      </c>
      <c r="R1519" s="10" t="s">
        <v>6413</v>
      </c>
      <c r="S1519" s="5">
        <v>0</v>
      </c>
      <c r="T1519" s="37">
        <v>0</v>
      </c>
      <c r="U1519" s="5">
        <v>0</v>
      </c>
      <c r="V1519" s="37">
        <v>0</v>
      </c>
      <c r="W1519" s="5">
        <v>0</v>
      </c>
      <c r="X1519" s="5">
        <v>0</v>
      </c>
      <c r="Y1519" s="5">
        <v>0</v>
      </c>
      <c r="Z1519" s="37">
        <v>0</v>
      </c>
      <c r="AA1519" s="5">
        <v>0</v>
      </c>
      <c r="AB1519" s="5">
        <v>0</v>
      </c>
      <c r="AC1519" s="5">
        <v>0</v>
      </c>
      <c r="AD1519" s="5">
        <v>0</v>
      </c>
      <c r="AE1519" s="10" t="s">
        <v>73</v>
      </c>
      <c r="AF1519" s="10"/>
      <c r="AG1519" s="10" t="s">
        <v>114</v>
      </c>
      <c r="AH1519" s="10">
        <v>41320</v>
      </c>
      <c r="AI1519" s="5">
        <v>0</v>
      </c>
      <c r="AJ1519" s="10" t="s">
        <v>8444</v>
      </c>
      <c r="AK1519" s="10" t="s">
        <v>8445</v>
      </c>
    </row>
    <row r="1520" spans="1:37" ht="36.75" customHeight="1" x14ac:dyDescent="0.35">
      <c r="A1520" s="5"/>
      <c r="B1520" s="5" t="s">
        <v>37</v>
      </c>
      <c r="C1520" s="73" t="str">
        <f t="shared" si="23"/>
        <v>Closed</v>
      </c>
      <c r="D1520" s="45" t="s">
        <v>8446</v>
      </c>
      <c r="E1520" s="54" t="s">
        <v>8447</v>
      </c>
      <c r="F1520" s="5" t="s">
        <v>358</v>
      </c>
      <c r="G1520" s="10">
        <f>DATE(2013,2,18)</f>
        <v>41323</v>
      </c>
      <c r="H1520" s="35">
        <v>1.2875000000000001</v>
      </c>
      <c r="I1520" s="5" t="s">
        <v>137</v>
      </c>
      <c r="J1520" s="10" t="s">
        <v>8448</v>
      </c>
      <c r="K1520" s="5" t="s">
        <v>360</v>
      </c>
      <c r="L1520" s="5" t="s">
        <v>8449</v>
      </c>
      <c r="M1520" s="5" t="s">
        <v>45</v>
      </c>
      <c r="N1520" s="5" t="s">
        <v>80</v>
      </c>
      <c r="O1520" s="5" t="s">
        <v>46</v>
      </c>
      <c r="P1520" s="10" t="s">
        <v>146</v>
      </c>
      <c r="Q1520" s="10" t="s">
        <v>8450</v>
      </c>
      <c r="R1520" s="10" t="s">
        <v>363</v>
      </c>
      <c r="S1520" s="5">
        <v>0</v>
      </c>
      <c r="T1520" s="37">
        <v>0</v>
      </c>
      <c r="U1520" s="5">
        <v>0</v>
      </c>
      <c r="V1520" s="37">
        <v>0</v>
      </c>
      <c r="W1520" s="5">
        <v>2</v>
      </c>
      <c r="X1520" s="5">
        <v>2</v>
      </c>
      <c r="Y1520" s="5">
        <v>0</v>
      </c>
      <c r="Z1520" s="37">
        <v>0</v>
      </c>
      <c r="AA1520" s="5">
        <v>0</v>
      </c>
      <c r="AB1520" s="5">
        <v>0</v>
      </c>
      <c r="AC1520" s="5">
        <v>0</v>
      </c>
      <c r="AD1520" s="5">
        <v>0</v>
      </c>
      <c r="AE1520" s="10" t="s">
        <v>375</v>
      </c>
      <c r="AF1520" s="10"/>
      <c r="AG1520" s="10" t="s">
        <v>114</v>
      </c>
      <c r="AH1520" s="10">
        <v>41323</v>
      </c>
      <c r="AI1520" s="5">
        <v>0</v>
      </c>
      <c r="AJ1520" s="10" t="s">
        <v>8451</v>
      </c>
      <c r="AK1520" s="10" t="s">
        <v>693</v>
      </c>
    </row>
    <row r="1521" spans="1:37" ht="36.75" customHeight="1" x14ac:dyDescent="0.35">
      <c r="A1521" s="5"/>
      <c r="B1521" s="5" t="s">
        <v>37</v>
      </c>
      <c r="C1521" s="73" t="str">
        <f t="shared" si="23"/>
        <v>Closed</v>
      </c>
      <c r="D1521" s="45" t="s">
        <v>8452</v>
      </c>
      <c r="E1521" s="54" t="s">
        <v>8453</v>
      </c>
      <c r="F1521" s="5" t="s">
        <v>1553</v>
      </c>
      <c r="G1521" s="10">
        <f>DATE(2013,2,18)</f>
        <v>41323</v>
      </c>
      <c r="H1521" s="35">
        <v>1.5833333333333335</v>
      </c>
      <c r="I1521" s="5" t="s">
        <v>55</v>
      </c>
      <c r="J1521" s="10" t="s">
        <v>8454</v>
      </c>
      <c r="K1521" s="5" t="s">
        <v>1555</v>
      </c>
      <c r="L1521" s="5" t="s">
        <v>8455</v>
      </c>
      <c r="M1521" s="5" t="s">
        <v>45</v>
      </c>
      <c r="N1521" s="5" t="s">
        <v>123</v>
      </c>
      <c r="O1521" s="5" t="s">
        <v>59</v>
      </c>
      <c r="P1521" s="10" t="s">
        <v>60</v>
      </c>
      <c r="Q1521" s="10" t="s">
        <v>6072</v>
      </c>
      <c r="R1521" s="10" t="s">
        <v>4899</v>
      </c>
      <c r="S1521" s="5">
        <v>0</v>
      </c>
      <c r="T1521" s="37">
        <v>0</v>
      </c>
      <c r="U1521" s="5">
        <v>0</v>
      </c>
      <c r="V1521" s="37">
        <v>0</v>
      </c>
      <c r="W1521" s="5">
        <v>0</v>
      </c>
      <c r="X1521" s="5">
        <v>0</v>
      </c>
      <c r="Y1521" s="5">
        <v>0</v>
      </c>
      <c r="Z1521" s="37">
        <v>0</v>
      </c>
      <c r="AA1521" s="5">
        <v>0</v>
      </c>
      <c r="AB1521" s="5">
        <v>0</v>
      </c>
      <c r="AC1521" s="5">
        <v>0</v>
      </c>
      <c r="AD1521" s="5">
        <v>0</v>
      </c>
      <c r="AE1521" s="10" t="s">
        <v>73</v>
      </c>
      <c r="AF1521" s="10"/>
      <c r="AG1521" s="10" t="s">
        <v>114</v>
      </c>
      <c r="AH1521" s="10">
        <v>41325</v>
      </c>
      <c r="AI1521" s="5">
        <v>0</v>
      </c>
      <c r="AJ1521" s="10" t="s">
        <v>8456</v>
      </c>
      <c r="AK1521" s="10" t="s">
        <v>6981</v>
      </c>
    </row>
    <row r="1522" spans="1:37" ht="36.75" customHeight="1" x14ac:dyDescent="0.35">
      <c r="A1522" s="5"/>
      <c r="B1522" s="5" t="s">
        <v>37</v>
      </c>
      <c r="C1522" s="73" t="str">
        <f t="shared" si="23"/>
        <v>Closed</v>
      </c>
      <c r="D1522" s="45" t="s">
        <v>8457</v>
      </c>
      <c r="E1522" s="54" t="s">
        <v>8458</v>
      </c>
      <c r="F1522" s="5" t="s">
        <v>1751</v>
      </c>
      <c r="G1522" s="10">
        <f>DATE(2013,2,19)</f>
        <v>41324</v>
      </c>
      <c r="H1522" s="35">
        <v>1.6965277777777779</v>
      </c>
      <c r="I1522" s="5" t="s">
        <v>55</v>
      </c>
      <c r="J1522" s="10" t="s">
        <v>8459</v>
      </c>
      <c r="K1522" s="5" t="s">
        <v>1753</v>
      </c>
      <c r="L1522" s="5" t="s">
        <v>8460</v>
      </c>
      <c r="M1522" s="5" t="s">
        <v>45</v>
      </c>
      <c r="N1522" s="5" t="s">
        <v>123</v>
      </c>
      <c r="O1522" s="5" t="s">
        <v>46</v>
      </c>
      <c r="P1522" s="10" t="s">
        <v>60</v>
      </c>
      <c r="Q1522" s="10" t="s">
        <v>8461</v>
      </c>
      <c r="R1522" s="10" t="s">
        <v>1756</v>
      </c>
      <c r="S1522" s="5">
        <v>0</v>
      </c>
      <c r="T1522" s="37">
        <v>0</v>
      </c>
      <c r="U1522" s="5">
        <v>0</v>
      </c>
      <c r="V1522" s="37">
        <v>0</v>
      </c>
      <c r="W1522" s="5">
        <v>0</v>
      </c>
      <c r="X1522" s="5">
        <v>0</v>
      </c>
      <c r="Y1522" s="5">
        <v>0</v>
      </c>
      <c r="Z1522" s="37">
        <v>0</v>
      </c>
      <c r="AA1522" s="5">
        <v>0</v>
      </c>
      <c r="AB1522" s="5">
        <v>0</v>
      </c>
      <c r="AC1522" s="5">
        <v>0</v>
      </c>
      <c r="AD1522" s="5">
        <v>0</v>
      </c>
      <c r="AE1522" s="10" t="s">
        <v>375</v>
      </c>
      <c r="AF1522" s="10"/>
      <c r="AG1522" s="10" t="s">
        <v>8462</v>
      </c>
      <c r="AH1522" s="10">
        <v>41330</v>
      </c>
      <c r="AI1522" s="5">
        <v>3</v>
      </c>
      <c r="AJ1522" s="10" t="s">
        <v>8463</v>
      </c>
      <c r="AK1522" s="10" t="s">
        <v>8464</v>
      </c>
    </row>
    <row r="1523" spans="1:37" ht="36.75" customHeight="1" x14ac:dyDescent="0.35">
      <c r="A1523" s="5"/>
      <c r="B1523" s="5" t="s">
        <v>37</v>
      </c>
      <c r="C1523" s="73" t="str">
        <f t="shared" si="23"/>
        <v>Closed</v>
      </c>
      <c r="D1523" s="45" t="s">
        <v>8465</v>
      </c>
      <c r="E1523" s="54" t="s">
        <v>8466</v>
      </c>
      <c r="F1523" s="5" t="s">
        <v>816</v>
      </c>
      <c r="G1523" s="10">
        <f>DATE(2013,2,19)</f>
        <v>41324</v>
      </c>
      <c r="H1523" s="35">
        <v>1.35625</v>
      </c>
      <c r="I1523" s="5" t="s">
        <v>55</v>
      </c>
      <c r="J1523" s="10" t="s">
        <v>8467</v>
      </c>
      <c r="K1523" s="5" t="s">
        <v>818</v>
      </c>
      <c r="L1523" s="5" t="s">
        <v>8468</v>
      </c>
      <c r="M1523" s="5" t="s">
        <v>236</v>
      </c>
      <c r="N1523" s="5" t="s">
        <v>123</v>
      </c>
      <c r="O1523" s="5" t="s">
        <v>46</v>
      </c>
      <c r="P1523" s="10" t="s">
        <v>6531</v>
      </c>
      <c r="Q1523" s="10" t="s">
        <v>4190</v>
      </c>
      <c r="R1523" s="10" t="s">
        <v>4190</v>
      </c>
      <c r="S1523" s="5">
        <v>0</v>
      </c>
      <c r="T1523" s="37">
        <v>0</v>
      </c>
      <c r="U1523" s="5">
        <v>0</v>
      </c>
      <c r="V1523" s="37">
        <v>0</v>
      </c>
      <c r="W1523" s="5">
        <v>0</v>
      </c>
      <c r="X1523" s="5">
        <v>0</v>
      </c>
      <c r="Y1523" s="5">
        <v>0</v>
      </c>
      <c r="Z1523" s="37">
        <v>0</v>
      </c>
      <c r="AA1523" s="5">
        <v>0</v>
      </c>
      <c r="AB1523" s="5">
        <v>0</v>
      </c>
      <c r="AC1523" s="5">
        <v>0</v>
      </c>
      <c r="AD1523" s="5">
        <v>0</v>
      </c>
      <c r="AE1523" s="10" t="s">
        <v>73</v>
      </c>
      <c r="AF1523" s="10"/>
      <c r="AG1523" s="10" t="s">
        <v>348</v>
      </c>
      <c r="AH1523" s="10">
        <v>41324</v>
      </c>
      <c r="AI1523" s="5">
        <v>0</v>
      </c>
      <c r="AJ1523" s="10" t="s">
        <v>8469</v>
      </c>
      <c r="AK1523" s="10" t="s">
        <v>50</v>
      </c>
    </row>
    <row r="1524" spans="1:37" ht="36.75" customHeight="1" x14ac:dyDescent="0.35">
      <c r="A1524" s="5"/>
      <c r="B1524" s="5" t="s">
        <v>37</v>
      </c>
      <c r="C1524" s="73" t="str">
        <f t="shared" si="23"/>
        <v>Closed</v>
      </c>
      <c r="D1524" s="45" t="s">
        <v>8470</v>
      </c>
      <c r="E1524" s="54" t="s">
        <v>8471</v>
      </c>
      <c r="F1524" s="5" t="s">
        <v>178</v>
      </c>
      <c r="G1524" s="10">
        <f>DATE(2013,2,21)</f>
        <v>41326</v>
      </c>
      <c r="H1524" s="35">
        <v>0</v>
      </c>
      <c r="I1524" s="5" t="s">
        <v>137</v>
      </c>
      <c r="J1524" s="10" t="s">
        <v>8472</v>
      </c>
      <c r="K1524" s="5" t="s">
        <v>181</v>
      </c>
      <c r="L1524" s="5" t="s">
        <v>7164</v>
      </c>
      <c r="M1524" s="5" t="s">
        <v>45</v>
      </c>
      <c r="N1524" s="5" t="s">
        <v>123</v>
      </c>
      <c r="O1524" s="5" t="s">
        <v>59</v>
      </c>
      <c r="P1524" s="10" t="s">
        <v>1198</v>
      </c>
      <c r="Q1524" s="10">
        <v>0</v>
      </c>
      <c r="R1524" s="10">
        <v>0</v>
      </c>
      <c r="S1524" s="5">
        <v>0</v>
      </c>
      <c r="T1524" s="37">
        <v>0</v>
      </c>
      <c r="U1524" s="5">
        <v>0</v>
      </c>
      <c r="V1524" s="37">
        <v>0</v>
      </c>
      <c r="W1524" s="5">
        <v>0</v>
      </c>
      <c r="X1524" s="5">
        <v>0</v>
      </c>
      <c r="Y1524" s="5">
        <v>0</v>
      </c>
      <c r="Z1524" s="37">
        <v>0</v>
      </c>
      <c r="AA1524" s="5">
        <v>0</v>
      </c>
      <c r="AB1524" s="5">
        <v>0</v>
      </c>
      <c r="AC1524" s="5">
        <v>0</v>
      </c>
      <c r="AD1524" s="5">
        <v>0</v>
      </c>
      <c r="AE1524" s="10" t="s">
        <v>73</v>
      </c>
      <c r="AF1524" s="10"/>
      <c r="AG1524" s="10" t="s">
        <v>114</v>
      </c>
      <c r="AH1524" s="10">
        <v>41330</v>
      </c>
      <c r="AI1524" s="5">
        <v>8</v>
      </c>
      <c r="AJ1524" s="10" t="s">
        <v>8473</v>
      </c>
      <c r="AK1524" s="10" t="s">
        <v>1215</v>
      </c>
    </row>
    <row r="1525" spans="1:37" ht="36.75" customHeight="1" x14ac:dyDescent="0.35">
      <c r="A1525" s="5"/>
      <c r="B1525" s="5" t="s">
        <v>37</v>
      </c>
      <c r="C1525" s="73" t="str">
        <f t="shared" si="23"/>
        <v>Closed</v>
      </c>
      <c r="D1525" s="45" t="s">
        <v>8474</v>
      </c>
      <c r="E1525" s="54" t="s">
        <v>8475</v>
      </c>
      <c r="F1525" s="5" t="s">
        <v>816</v>
      </c>
      <c r="G1525" s="10">
        <f>DATE(2013,2,21)</f>
        <v>41326</v>
      </c>
      <c r="H1525" s="35">
        <v>1.2104166666666667</v>
      </c>
      <c r="I1525" s="5" t="s">
        <v>137</v>
      </c>
      <c r="J1525" s="10" t="s">
        <v>8476</v>
      </c>
      <c r="K1525" s="5" t="s">
        <v>818</v>
      </c>
      <c r="L1525" s="5" t="s">
        <v>8477</v>
      </c>
      <c r="M1525" s="5" t="s">
        <v>45</v>
      </c>
      <c r="N1525" s="5" t="s">
        <v>70</v>
      </c>
      <c r="O1525" s="5" t="s">
        <v>59</v>
      </c>
      <c r="P1525" s="10" t="s">
        <v>146</v>
      </c>
      <c r="Q1525" s="10" t="s">
        <v>2142</v>
      </c>
      <c r="R1525" s="10" t="s">
        <v>821</v>
      </c>
      <c r="S1525" s="5">
        <v>0</v>
      </c>
      <c r="T1525" s="37">
        <v>0</v>
      </c>
      <c r="U1525" s="5">
        <v>0</v>
      </c>
      <c r="V1525" s="37">
        <v>0</v>
      </c>
      <c r="W1525" s="5">
        <v>0</v>
      </c>
      <c r="X1525" s="5">
        <v>0</v>
      </c>
      <c r="Y1525" s="5">
        <v>0</v>
      </c>
      <c r="Z1525" s="37">
        <v>0</v>
      </c>
      <c r="AA1525" s="5">
        <v>0</v>
      </c>
      <c r="AB1525" s="5">
        <v>0</v>
      </c>
      <c r="AC1525" s="5">
        <v>0</v>
      </c>
      <c r="AD1525" s="5">
        <v>0</v>
      </c>
      <c r="AE1525" s="10" t="s">
        <v>73</v>
      </c>
      <c r="AF1525" s="10"/>
      <c r="AG1525" s="10" t="s">
        <v>333</v>
      </c>
      <c r="AH1525" s="10">
        <v>41326</v>
      </c>
      <c r="AI1525" s="5">
        <v>0</v>
      </c>
      <c r="AJ1525" s="10" t="s">
        <v>8478</v>
      </c>
      <c r="AK1525" s="10" t="s">
        <v>50</v>
      </c>
    </row>
    <row r="1526" spans="1:37" ht="36.75" customHeight="1" x14ac:dyDescent="0.35">
      <c r="A1526" s="5"/>
      <c r="B1526" s="5" t="s">
        <v>37</v>
      </c>
      <c r="C1526" s="73" t="str">
        <f t="shared" si="23"/>
        <v>Closed</v>
      </c>
      <c r="D1526" s="45" t="s">
        <v>8479</v>
      </c>
      <c r="E1526" s="54" t="s">
        <v>8480</v>
      </c>
      <c r="F1526" s="5" t="s">
        <v>404</v>
      </c>
      <c r="G1526" s="10">
        <f>DATE(2013,2,24)</f>
        <v>41329</v>
      </c>
      <c r="H1526" s="35">
        <v>1.6631944444444444</v>
      </c>
      <c r="I1526" s="5" t="s">
        <v>8481</v>
      </c>
      <c r="J1526" s="10" t="s">
        <v>8482</v>
      </c>
      <c r="K1526" s="5" t="s">
        <v>406</v>
      </c>
      <c r="L1526" s="5" t="s">
        <v>8483</v>
      </c>
      <c r="M1526" s="5" t="s">
        <v>45</v>
      </c>
      <c r="N1526" s="5" t="s">
        <v>80</v>
      </c>
      <c r="O1526" s="5" t="s">
        <v>46</v>
      </c>
      <c r="P1526" s="10" t="s">
        <v>282</v>
      </c>
      <c r="Q1526" s="10" t="s">
        <v>7562</v>
      </c>
      <c r="R1526" s="10" t="s">
        <v>3083</v>
      </c>
      <c r="S1526" s="5">
        <v>0</v>
      </c>
      <c r="T1526" s="37">
        <v>0</v>
      </c>
      <c r="U1526" s="5">
        <v>0</v>
      </c>
      <c r="V1526" s="37">
        <v>0</v>
      </c>
      <c r="W1526" s="5">
        <v>0</v>
      </c>
      <c r="X1526" s="5">
        <v>0</v>
      </c>
      <c r="Y1526" s="5">
        <v>0</v>
      </c>
      <c r="Z1526" s="37">
        <v>0</v>
      </c>
      <c r="AA1526" s="5">
        <v>0</v>
      </c>
      <c r="AB1526" s="5">
        <v>0</v>
      </c>
      <c r="AC1526" s="5">
        <v>0</v>
      </c>
      <c r="AD1526" s="5">
        <v>0</v>
      </c>
      <c r="AE1526" s="10" t="s">
        <v>73</v>
      </c>
      <c r="AF1526" s="10"/>
      <c r="AG1526" s="10" t="s">
        <v>114</v>
      </c>
      <c r="AH1526" s="10">
        <v>41521</v>
      </c>
      <c r="AI1526" s="5">
        <v>2</v>
      </c>
      <c r="AJ1526" s="10" t="s">
        <v>8484</v>
      </c>
      <c r="AK1526" s="10" t="s">
        <v>8485</v>
      </c>
    </row>
    <row r="1527" spans="1:37" ht="36.75" customHeight="1" x14ac:dyDescent="0.35">
      <c r="A1527" s="5"/>
      <c r="B1527" s="5" t="s">
        <v>37</v>
      </c>
      <c r="C1527" s="73" t="str">
        <f t="shared" si="23"/>
        <v>Closed</v>
      </c>
      <c r="D1527" s="45" t="s">
        <v>8486</v>
      </c>
      <c r="E1527" s="54" t="s">
        <v>8487</v>
      </c>
      <c r="F1527" s="5" t="s">
        <v>404</v>
      </c>
      <c r="G1527" s="10">
        <f>DATE(2013,2,26)</f>
        <v>41331</v>
      </c>
      <c r="H1527" s="35">
        <v>1.4895833333333333</v>
      </c>
      <c r="I1527" s="5" t="s">
        <v>55</v>
      </c>
      <c r="J1527" s="10" t="s">
        <v>8488</v>
      </c>
      <c r="K1527" s="5" t="s">
        <v>406</v>
      </c>
      <c r="L1527" s="5" t="s">
        <v>8489</v>
      </c>
      <c r="M1527" s="5" t="s">
        <v>45</v>
      </c>
      <c r="N1527" s="5" t="s">
        <v>70</v>
      </c>
      <c r="O1527" s="5" t="s">
        <v>46</v>
      </c>
      <c r="P1527" s="10" t="s">
        <v>60</v>
      </c>
      <c r="Q1527" s="10" t="s">
        <v>2562</v>
      </c>
      <c r="R1527" s="10" t="s">
        <v>3083</v>
      </c>
      <c r="S1527" s="5">
        <v>0</v>
      </c>
      <c r="T1527" s="37">
        <v>0</v>
      </c>
      <c r="U1527" s="5">
        <v>0</v>
      </c>
      <c r="V1527" s="37">
        <v>0</v>
      </c>
      <c r="W1527" s="5">
        <v>0</v>
      </c>
      <c r="X1527" s="5">
        <v>0</v>
      </c>
      <c r="Y1527" s="5">
        <v>0</v>
      </c>
      <c r="Z1527" s="37">
        <v>0</v>
      </c>
      <c r="AA1527" s="5">
        <v>0</v>
      </c>
      <c r="AB1527" s="5">
        <v>0</v>
      </c>
      <c r="AC1527" s="5">
        <v>0</v>
      </c>
      <c r="AD1527" s="5">
        <v>0</v>
      </c>
      <c r="AE1527" s="10" t="s">
        <v>73</v>
      </c>
      <c r="AF1527" s="10"/>
      <c r="AG1527" s="10" t="s">
        <v>114</v>
      </c>
      <c r="AH1527" s="10">
        <v>41331</v>
      </c>
      <c r="AI1527" s="5">
        <v>0</v>
      </c>
      <c r="AJ1527" s="10" t="s">
        <v>8490</v>
      </c>
      <c r="AK1527" s="10" t="s">
        <v>8491</v>
      </c>
    </row>
    <row r="1528" spans="1:37" ht="36.75" customHeight="1" x14ac:dyDescent="0.35">
      <c r="A1528" s="5"/>
      <c r="B1528" s="5" t="s">
        <v>37</v>
      </c>
      <c r="C1528" s="73" t="str">
        <f t="shared" si="23"/>
        <v>Closed</v>
      </c>
      <c r="D1528" s="45" t="s">
        <v>8492</v>
      </c>
      <c r="E1528" s="54" t="s">
        <v>8493</v>
      </c>
      <c r="F1528" s="5" t="s">
        <v>432</v>
      </c>
      <c r="G1528" s="10">
        <f>DATE(2013,2,26)</f>
        <v>41331</v>
      </c>
      <c r="H1528" s="35">
        <v>1.6138888888888889</v>
      </c>
      <c r="I1528" s="5" t="s">
        <v>97</v>
      </c>
      <c r="J1528" s="10" t="s">
        <v>8494</v>
      </c>
      <c r="K1528" s="5" t="s">
        <v>434</v>
      </c>
      <c r="L1528" s="5" t="s">
        <v>8495</v>
      </c>
      <c r="M1528" s="5" t="s">
        <v>45</v>
      </c>
      <c r="N1528" s="5" t="s">
        <v>80</v>
      </c>
      <c r="O1528" s="5" t="s">
        <v>46</v>
      </c>
      <c r="P1528" s="10" t="s">
        <v>146</v>
      </c>
      <c r="Q1528" s="10" t="s">
        <v>436</v>
      </c>
      <c r="R1528" s="10" t="s">
        <v>437</v>
      </c>
      <c r="S1528" s="5">
        <v>0</v>
      </c>
      <c r="T1528" s="37">
        <v>0</v>
      </c>
      <c r="U1528" s="5">
        <v>0</v>
      </c>
      <c r="V1528" s="37">
        <v>0</v>
      </c>
      <c r="W1528" s="5">
        <v>0</v>
      </c>
      <c r="X1528" s="5">
        <v>0</v>
      </c>
      <c r="Y1528" s="5">
        <v>0</v>
      </c>
      <c r="Z1528" s="37">
        <v>0</v>
      </c>
      <c r="AA1528" s="5">
        <v>1</v>
      </c>
      <c r="AB1528" s="5">
        <v>0</v>
      </c>
      <c r="AC1528" s="5">
        <v>0</v>
      </c>
      <c r="AD1528" s="5">
        <v>1</v>
      </c>
      <c r="AE1528" s="10" t="s">
        <v>375</v>
      </c>
      <c r="AF1528" s="10"/>
      <c r="AG1528" s="10" t="s">
        <v>570</v>
      </c>
      <c r="AH1528" s="10">
        <v>41359</v>
      </c>
      <c r="AI1528" s="5">
        <v>0</v>
      </c>
      <c r="AJ1528" s="10" t="s">
        <v>8496</v>
      </c>
      <c r="AK1528" s="10" t="s">
        <v>8497</v>
      </c>
    </row>
    <row r="1529" spans="1:37" ht="36.75" customHeight="1" x14ac:dyDescent="0.35">
      <c r="A1529" s="5"/>
      <c r="B1529" s="5" t="s">
        <v>37</v>
      </c>
      <c r="C1529" s="73" t="str">
        <f t="shared" si="23"/>
        <v>Closed</v>
      </c>
      <c r="D1529" s="45" t="s">
        <v>8498</v>
      </c>
      <c r="E1529" s="54" t="s">
        <v>8499</v>
      </c>
      <c r="F1529" s="5" t="s">
        <v>619</v>
      </c>
      <c r="G1529" s="10">
        <f>DATE(2013,2,26)</f>
        <v>41331</v>
      </c>
      <c r="H1529" s="35">
        <v>1.4236111111111112</v>
      </c>
      <c r="I1529" s="5" t="s">
        <v>5473</v>
      </c>
      <c r="J1529" s="10" t="s">
        <v>8500</v>
      </c>
      <c r="K1529" s="5" t="s">
        <v>621</v>
      </c>
      <c r="L1529" s="5" t="s">
        <v>8501</v>
      </c>
      <c r="M1529" s="5" t="s">
        <v>45</v>
      </c>
      <c r="N1529" s="5" t="s">
        <v>123</v>
      </c>
      <c r="O1529" s="5" t="s">
        <v>46</v>
      </c>
      <c r="P1529" s="10" t="s">
        <v>6881</v>
      </c>
      <c r="Q1529" s="10" t="s">
        <v>623</v>
      </c>
      <c r="R1529" s="10" t="s">
        <v>624</v>
      </c>
      <c r="S1529" s="5">
        <v>0</v>
      </c>
      <c r="T1529" s="37">
        <v>0</v>
      </c>
      <c r="U1529" s="5">
        <v>0</v>
      </c>
      <c r="V1529" s="37">
        <v>0</v>
      </c>
      <c r="W1529" s="5">
        <v>0</v>
      </c>
      <c r="X1529" s="5">
        <v>0</v>
      </c>
      <c r="Y1529" s="5">
        <v>0</v>
      </c>
      <c r="Z1529" s="37">
        <v>0</v>
      </c>
      <c r="AA1529" s="5">
        <v>0</v>
      </c>
      <c r="AB1529" s="5">
        <v>0</v>
      </c>
      <c r="AC1529" s="5">
        <v>0</v>
      </c>
      <c r="AD1529" s="5">
        <v>0</v>
      </c>
      <c r="AE1529" s="10" t="s">
        <v>73</v>
      </c>
      <c r="AF1529" s="10"/>
      <c r="AG1529" s="10" t="s">
        <v>114</v>
      </c>
      <c r="AH1529" s="10">
        <v>41359</v>
      </c>
      <c r="AI1529" s="5">
        <v>2</v>
      </c>
      <c r="AJ1529" s="10" t="s">
        <v>8502</v>
      </c>
      <c r="AK1529" s="10" t="s">
        <v>50</v>
      </c>
    </row>
    <row r="1530" spans="1:37" ht="36.75" customHeight="1" x14ac:dyDescent="0.35">
      <c r="A1530" s="5"/>
      <c r="B1530" s="5" t="s">
        <v>37</v>
      </c>
      <c r="C1530" s="73" t="str">
        <f t="shared" si="23"/>
        <v>Closed</v>
      </c>
      <c r="D1530" s="45" t="s">
        <v>8503</v>
      </c>
      <c r="E1530" s="54" t="s">
        <v>8504</v>
      </c>
      <c r="F1530" s="5" t="s">
        <v>816</v>
      </c>
      <c r="G1530" s="10">
        <f>DATE(2013,2,26)</f>
        <v>41331</v>
      </c>
      <c r="H1530" s="35">
        <v>1.2638888888888888</v>
      </c>
      <c r="I1530" s="5" t="s">
        <v>55</v>
      </c>
      <c r="J1530" s="10" t="s">
        <v>8505</v>
      </c>
      <c r="K1530" s="5" t="s">
        <v>818</v>
      </c>
      <c r="L1530" s="5" t="s">
        <v>8506</v>
      </c>
      <c r="M1530" s="5" t="s">
        <v>236</v>
      </c>
      <c r="N1530" s="5" t="s">
        <v>123</v>
      </c>
      <c r="O1530" s="5" t="s">
        <v>59</v>
      </c>
      <c r="P1530" s="10" t="s">
        <v>6531</v>
      </c>
      <c r="Q1530" s="10">
        <v>0</v>
      </c>
      <c r="R1530" s="10">
        <v>0</v>
      </c>
      <c r="S1530" s="5">
        <v>0</v>
      </c>
      <c r="T1530" s="37">
        <v>0</v>
      </c>
      <c r="U1530" s="5">
        <v>0</v>
      </c>
      <c r="V1530" s="37">
        <v>0</v>
      </c>
      <c r="W1530" s="5">
        <v>0</v>
      </c>
      <c r="X1530" s="5">
        <v>0</v>
      </c>
      <c r="Y1530" s="5">
        <v>0</v>
      </c>
      <c r="Z1530" s="37">
        <v>0</v>
      </c>
      <c r="AA1530" s="5">
        <v>0</v>
      </c>
      <c r="AB1530" s="5">
        <v>0</v>
      </c>
      <c r="AC1530" s="5">
        <v>0</v>
      </c>
      <c r="AD1530" s="5">
        <v>0</v>
      </c>
      <c r="AE1530" s="10" t="s">
        <v>73</v>
      </c>
      <c r="AF1530" s="10"/>
      <c r="AG1530" s="10" t="s">
        <v>348</v>
      </c>
      <c r="AH1530" s="10">
        <v>41331</v>
      </c>
      <c r="AI1530" s="5">
        <v>0</v>
      </c>
      <c r="AJ1530" s="10" t="s">
        <v>8507</v>
      </c>
      <c r="AK1530" s="10" t="s">
        <v>50</v>
      </c>
    </row>
    <row r="1531" spans="1:37" ht="36.75" customHeight="1" x14ac:dyDescent="0.35">
      <c r="A1531" s="5"/>
      <c r="B1531" s="5" t="s">
        <v>37</v>
      </c>
      <c r="C1531" s="73" t="str">
        <f t="shared" si="23"/>
        <v>Closed</v>
      </c>
      <c r="D1531" s="45" t="s">
        <v>8508</v>
      </c>
      <c r="E1531" s="54" t="s">
        <v>8509</v>
      </c>
      <c r="F1531" s="5" t="s">
        <v>619</v>
      </c>
      <c r="G1531" s="10">
        <f>DATE(2013,2,27)</f>
        <v>41332</v>
      </c>
      <c r="H1531" s="35">
        <v>1.1736111111111112</v>
      </c>
      <c r="I1531" s="5" t="s">
        <v>468</v>
      </c>
      <c r="J1531" s="10" t="s">
        <v>8510</v>
      </c>
      <c r="K1531" s="5" t="s">
        <v>621</v>
      </c>
      <c r="L1531" s="5" t="s">
        <v>8511</v>
      </c>
      <c r="M1531" s="5" t="s">
        <v>45</v>
      </c>
      <c r="N1531" s="5" t="s">
        <v>123</v>
      </c>
      <c r="O1531" s="5" t="s">
        <v>46</v>
      </c>
      <c r="P1531" s="10" t="s">
        <v>282</v>
      </c>
      <c r="Q1531" s="10" t="s">
        <v>1997</v>
      </c>
      <c r="R1531" s="10" t="s">
        <v>624</v>
      </c>
      <c r="S1531" s="5">
        <v>0</v>
      </c>
      <c r="T1531" s="36">
        <v>0</v>
      </c>
      <c r="U1531" s="5">
        <v>0</v>
      </c>
      <c r="V1531" s="36">
        <v>0</v>
      </c>
      <c r="W1531" s="5">
        <v>0</v>
      </c>
      <c r="X1531" s="5">
        <v>0</v>
      </c>
      <c r="Y1531" s="5">
        <v>0</v>
      </c>
      <c r="Z1531" s="36">
        <v>0</v>
      </c>
      <c r="AA1531" s="5">
        <v>0</v>
      </c>
      <c r="AB1531" s="5">
        <v>0</v>
      </c>
      <c r="AC1531" s="5">
        <v>0</v>
      </c>
      <c r="AD1531" s="5">
        <v>0</v>
      </c>
      <c r="AE1531" s="10" t="s">
        <v>73</v>
      </c>
      <c r="AF1531" s="10"/>
      <c r="AG1531" s="10" t="s">
        <v>333</v>
      </c>
      <c r="AH1531" s="10">
        <v>41450</v>
      </c>
      <c r="AI1531" s="5">
        <v>1</v>
      </c>
      <c r="AJ1531" s="10" t="s">
        <v>8512</v>
      </c>
      <c r="AK1531" s="10" t="s">
        <v>50</v>
      </c>
    </row>
    <row r="1532" spans="1:37" ht="36.75" customHeight="1" x14ac:dyDescent="0.35">
      <c r="A1532" s="23" t="s">
        <v>4890</v>
      </c>
      <c r="B1532" s="5" t="s">
        <v>37</v>
      </c>
      <c r="C1532" s="73" t="str">
        <f t="shared" si="23"/>
        <v>Closed</v>
      </c>
      <c r="D1532" s="45" t="s">
        <v>8513</v>
      </c>
      <c r="E1532" s="54" t="s">
        <v>8514</v>
      </c>
      <c r="F1532" s="5" t="s">
        <v>563</v>
      </c>
      <c r="G1532" s="10">
        <f>DATE(2013,3,2)</f>
        <v>41335</v>
      </c>
      <c r="H1532" s="35">
        <v>1.0680555555555555</v>
      </c>
      <c r="I1532" s="5" t="s">
        <v>55</v>
      </c>
      <c r="J1532" s="10" t="s">
        <v>8515</v>
      </c>
      <c r="K1532" s="5" t="s">
        <v>565</v>
      </c>
      <c r="L1532" s="5" t="s">
        <v>8516</v>
      </c>
      <c r="M1532" s="5" t="s">
        <v>45</v>
      </c>
      <c r="N1532" s="5" t="s">
        <v>123</v>
      </c>
      <c r="O1532" s="5" t="s">
        <v>59</v>
      </c>
      <c r="P1532" s="10" t="s">
        <v>60</v>
      </c>
      <c r="Q1532" s="10" t="s">
        <v>567</v>
      </c>
      <c r="R1532" s="10" t="s">
        <v>568</v>
      </c>
      <c r="S1532" s="5">
        <v>0</v>
      </c>
      <c r="T1532" s="58">
        <v>0</v>
      </c>
      <c r="U1532" s="5">
        <v>0</v>
      </c>
      <c r="V1532" s="58">
        <v>0</v>
      </c>
      <c r="W1532" s="5">
        <v>0</v>
      </c>
      <c r="X1532" s="5">
        <v>0</v>
      </c>
      <c r="Y1532" s="5">
        <v>0</v>
      </c>
      <c r="Z1532" s="58">
        <v>0</v>
      </c>
      <c r="AA1532" s="5">
        <v>0</v>
      </c>
      <c r="AB1532" s="5">
        <v>0</v>
      </c>
      <c r="AC1532" s="5">
        <v>0</v>
      </c>
      <c r="AD1532" s="5">
        <v>0</v>
      </c>
      <c r="AE1532" s="10" t="s">
        <v>50</v>
      </c>
      <c r="AF1532" s="10"/>
      <c r="AG1532" s="10" t="s">
        <v>114</v>
      </c>
      <c r="AH1532" s="10">
        <v>41421</v>
      </c>
      <c r="AI1532" s="5">
        <v>0</v>
      </c>
      <c r="AJ1532" s="10" t="s">
        <v>50</v>
      </c>
      <c r="AK1532" s="10" t="s">
        <v>50</v>
      </c>
    </row>
    <row r="1533" spans="1:37" ht="36.75" customHeight="1" x14ac:dyDescent="0.35">
      <c r="A1533" s="5"/>
      <c r="B1533" s="5" t="s">
        <v>37</v>
      </c>
      <c r="C1533" s="73" t="str">
        <f t="shared" si="23"/>
        <v>Closed</v>
      </c>
      <c r="D1533" s="45" t="s">
        <v>8517</v>
      </c>
      <c r="E1533" s="54" t="s">
        <v>8518</v>
      </c>
      <c r="F1533" s="5" t="s">
        <v>619</v>
      </c>
      <c r="G1533" s="10">
        <f>DATE(2013,3,7)</f>
        <v>41340</v>
      </c>
      <c r="H1533" s="35">
        <v>1.5520833333333335</v>
      </c>
      <c r="I1533" s="5" t="s">
        <v>85</v>
      </c>
      <c r="J1533" s="10" t="s">
        <v>8519</v>
      </c>
      <c r="K1533" s="5" t="s">
        <v>621</v>
      </c>
      <c r="L1533" s="5" t="s">
        <v>8520</v>
      </c>
      <c r="M1533" s="5" t="s">
        <v>45</v>
      </c>
      <c r="N1533" s="5" t="s">
        <v>123</v>
      </c>
      <c r="O1533" s="5" t="s">
        <v>59</v>
      </c>
      <c r="P1533" s="10" t="s">
        <v>67</v>
      </c>
      <c r="Q1533" s="10" t="s">
        <v>623</v>
      </c>
      <c r="R1533" s="10" t="s">
        <v>624</v>
      </c>
      <c r="S1533" s="5">
        <v>0</v>
      </c>
      <c r="T1533" s="37">
        <v>0</v>
      </c>
      <c r="U1533" s="5">
        <v>0</v>
      </c>
      <c r="V1533" s="37">
        <v>0</v>
      </c>
      <c r="W1533" s="5">
        <v>0</v>
      </c>
      <c r="X1533" s="5">
        <v>0</v>
      </c>
      <c r="Y1533" s="5">
        <v>0</v>
      </c>
      <c r="Z1533" s="37">
        <v>0</v>
      </c>
      <c r="AA1533" s="5">
        <v>0</v>
      </c>
      <c r="AB1533" s="5">
        <v>0</v>
      </c>
      <c r="AC1533" s="5">
        <v>0</v>
      </c>
      <c r="AD1533" s="5">
        <v>0</v>
      </c>
      <c r="AE1533" s="10" t="s">
        <v>73</v>
      </c>
      <c r="AF1533" s="10"/>
      <c r="AG1533" s="10" t="s">
        <v>333</v>
      </c>
      <c r="AH1533" s="10">
        <v>41359</v>
      </c>
      <c r="AI1533" s="5">
        <v>0</v>
      </c>
      <c r="AJ1533" s="10" t="s">
        <v>8521</v>
      </c>
      <c r="AK1533" s="10" t="s">
        <v>50</v>
      </c>
    </row>
    <row r="1534" spans="1:37" ht="36.75" customHeight="1" x14ac:dyDescent="0.35">
      <c r="A1534" s="5"/>
      <c r="B1534" s="5" t="s">
        <v>37</v>
      </c>
      <c r="C1534" s="73" t="str">
        <f t="shared" si="23"/>
        <v>Closed</v>
      </c>
      <c r="D1534" s="45" t="s">
        <v>8522</v>
      </c>
      <c r="E1534" s="54" t="s">
        <v>8523</v>
      </c>
      <c r="F1534" s="5" t="s">
        <v>214</v>
      </c>
      <c r="G1534" s="10">
        <f>DATE(2013,3,8)</f>
        <v>41341</v>
      </c>
      <c r="H1534" s="35">
        <v>1.4229166666666666</v>
      </c>
      <c r="I1534" s="5" t="s">
        <v>5473</v>
      </c>
      <c r="J1534" s="10" t="s">
        <v>8524</v>
      </c>
      <c r="K1534" s="5" t="s">
        <v>216</v>
      </c>
      <c r="L1534" s="5" t="s">
        <v>8525</v>
      </c>
      <c r="M1534" s="5" t="s">
        <v>45</v>
      </c>
      <c r="N1534" s="5" t="s">
        <v>123</v>
      </c>
      <c r="O1534" s="5" t="s">
        <v>46</v>
      </c>
      <c r="P1534" s="10" t="s">
        <v>6920</v>
      </c>
      <c r="Q1534" s="10" t="s">
        <v>699</v>
      </c>
      <c r="R1534" s="10" t="s">
        <v>219</v>
      </c>
      <c r="S1534" s="5">
        <v>0</v>
      </c>
      <c r="T1534" s="37">
        <v>0</v>
      </c>
      <c r="U1534" s="5">
        <v>0</v>
      </c>
      <c r="V1534" s="37">
        <v>0</v>
      </c>
      <c r="W1534" s="5">
        <v>0</v>
      </c>
      <c r="X1534" s="5">
        <v>0</v>
      </c>
      <c r="Y1534" s="5">
        <v>0</v>
      </c>
      <c r="Z1534" s="37">
        <v>0</v>
      </c>
      <c r="AA1534" s="5">
        <v>0</v>
      </c>
      <c r="AB1534" s="5">
        <v>0</v>
      </c>
      <c r="AC1534" s="5">
        <v>0</v>
      </c>
      <c r="AD1534" s="5">
        <v>0</v>
      </c>
      <c r="AE1534" s="10" t="s">
        <v>73</v>
      </c>
      <c r="AF1534" s="10"/>
      <c r="AG1534" s="10" t="s">
        <v>114</v>
      </c>
      <c r="AH1534" s="10">
        <v>41351</v>
      </c>
      <c r="AI1534" s="5">
        <v>5</v>
      </c>
      <c r="AJ1534" s="10" t="s">
        <v>8526</v>
      </c>
      <c r="AK1534" s="10" t="s">
        <v>8527</v>
      </c>
    </row>
    <row r="1535" spans="1:37" ht="36.75" customHeight="1" x14ac:dyDescent="0.35">
      <c r="A1535" s="5"/>
      <c r="B1535" s="5" t="s">
        <v>37</v>
      </c>
      <c r="C1535" s="73" t="str">
        <f t="shared" si="23"/>
        <v>Closed</v>
      </c>
      <c r="D1535" s="45" t="s">
        <v>8528</v>
      </c>
      <c r="E1535" s="54" t="s">
        <v>8529</v>
      </c>
      <c r="F1535" s="5" t="s">
        <v>404</v>
      </c>
      <c r="G1535" s="10">
        <f>DATE(2013,3,12)</f>
        <v>41345</v>
      </c>
      <c r="H1535" s="35">
        <v>1.682638888888889</v>
      </c>
      <c r="I1535" s="5" t="s">
        <v>55</v>
      </c>
      <c r="J1535" s="10" t="s">
        <v>8530</v>
      </c>
      <c r="K1535" s="5" t="s">
        <v>406</v>
      </c>
      <c r="L1535" s="5" t="s">
        <v>8531</v>
      </c>
      <c r="M1535" s="5" t="s">
        <v>45</v>
      </c>
      <c r="N1535" s="5" t="s">
        <v>70</v>
      </c>
      <c r="O1535" s="5" t="s">
        <v>59</v>
      </c>
      <c r="P1535" s="10" t="s">
        <v>60</v>
      </c>
      <c r="Q1535" s="10" t="s">
        <v>2562</v>
      </c>
      <c r="R1535" s="10" t="s">
        <v>3083</v>
      </c>
      <c r="S1535" s="5">
        <v>0</v>
      </c>
      <c r="T1535" s="37">
        <v>0</v>
      </c>
      <c r="U1535" s="5">
        <v>0</v>
      </c>
      <c r="V1535" s="37">
        <v>0</v>
      </c>
      <c r="W1535" s="5">
        <v>0</v>
      </c>
      <c r="X1535" s="5">
        <v>0</v>
      </c>
      <c r="Y1535" s="5">
        <v>0</v>
      </c>
      <c r="Z1535" s="37">
        <v>0</v>
      </c>
      <c r="AA1535" s="5">
        <v>0</v>
      </c>
      <c r="AB1535" s="5">
        <v>0</v>
      </c>
      <c r="AC1535" s="5">
        <v>0</v>
      </c>
      <c r="AD1535" s="5">
        <v>0</v>
      </c>
      <c r="AE1535" s="10" t="s">
        <v>73</v>
      </c>
      <c r="AF1535" s="10"/>
      <c r="AG1535" s="10" t="s">
        <v>114</v>
      </c>
      <c r="AH1535" s="10">
        <v>41354</v>
      </c>
      <c r="AI1535" s="5">
        <v>3</v>
      </c>
      <c r="AJ1535" s="10" t="s">
        <v>8532</v>
      </c>
      <c r="AK1535" s="10" t="s">
        <v>8533</v>
      </c>
    </row>
    <row r="1536" spans="1:37" ht="36.75" customHeight="1" x14ac:dyDescent="0.35">
      <c r="A1536" s="5"/>
      <c r="B1536" s="5" t="s">
        <v>37</v>
      </c>
      <c r="C1536" s="73" t="str">
        <f t="shared" si="23"/>
        <v>Closed</v>
      </c>
      <c r="D1536" s="45" t="s">
        <v>8534</v>
      </c>
      <c r="E1536" s="54" t="s">
        <v>8535</v>
      </c>
      <c r="F1536" s="5" t="s">
        <v>1553</v>
      </c>
      <c r="G1536" s="10">
        <f>DATE(2013,3,12)</f>
        <v>41345</v>
      </c>
      <c r="H1536" s="35">
        <v>1.4826388888888888</v>
      </c>
      <c r="I1536" s="5" t="s">
        <v>55</v>
      </c>
      <c r="J1536" s="10" t="s">
        <v>8536</v>
      </c>
      <c r="K1536" s="5" t="s">
        <v>1555</v>
      </c>
      <c r="L1536" s="5" t="s">
        <v>8537</v>
      </c>
      <c r="M1536" s="5" t="s">
        <v>45</v>
      </c>
      <c r="N1536" s="5" t="s">
        <v>80</v>
      </c>
      <c r="O1536" s="5" t="s">
        <v>59</v>
      </c>
      <c r="P1536" s="10" t="s">
        <v>146</v>
      </c>
      <c r="Q1536" s="10" t="s">
        <v>5149</v>
      </c>
      <c r="R1536" s="10" t="s">
        <v>6413</v>
      </c>
      <c r="S1536" s="5">
        <v>0</v>
      </c>
      <c r="T1536" s="37">
        <v>0</v>
      </c>
      <c r="U1536" s="5">
        <v>0</v>
      </c>
      <c r="V1536" s="37">
        <v>0</v>
      </c>
      <c r="W1536" s="5">
        <v>0</v>
      </c>
      <c r="X1536" s="5">
        <v>0</v>
      </c>
      <c r="Y1536" s="5">
        <v>0</v>
      </c>
      <c r="Z1536" s="37">
        <v>0</v>
      </c>
      <c r="AA1536" s="5">
        <v>0</v>
      </c>
      <c r="AB1536" s="5">
        <v>0</v>
      </c>
      <c r="AC1536" s="5">
        <v>0</v>
      </c>
      <c r="AD1536" s="5">
        <v>0</v>
      </c>
      <c r="AE1536" s="10" t="s">
        <v>73</v>
      </c>
      <c r="AF1536" s="10"/>
      <c r="AG1536" s="10" t="s">
        <v>114</v>
      </c>
      <c r="AH1536" s="10">
        <v>41346</v>
      </c>
      <c r="AI1536" s="5">
        <v>0</v>
      </c>
      <c r="AJ1536" s="10" t="s">
        <v>8538</v>
      </c>
      <c r="AK1536" s="10" t="s">
        <v>8539</v>
      </c>
    </row>
    <row r="1537" spans="1:37" ht="36.75" customHeight="1" x14ac:dyDescent="0.35">
      <c r="A1537" s="5"/>
      <c r="B1537" s="5" t="s">
        <v>37</v>
      </c>
      <c r="C1537" s="73" t="str">
        <f t="shared" si="23"/>
        <v>Closed</v>
      </c>
      <c r="D1537" s="45" t="s">
        <v>8540</v>
      </c>
      <c r="E1537" s="54" t="s">
        <v>8541</v>
      </c>
      <c r="F1537" s="5" t="s">
        <v>1553</v>
      </c>
      <c r="G1537" s="10">
        <f>DATE(2013,3,14)</f>
        <v>41347</v>
      </c>
      <c r="H1537" s="35">
        <v>1.8958333333333335</v>
      </c>
      <c r="I1537" s="5" t="s">
        <v>55</v>
      </c>
      <c r="J1537" s="10" t="s">
        <v>8542</v>
      </c>
      <c r="K1537" s="5" t="s">
        <v>1555</v>
      </c>
      <c r="L1537" s="5" t="s">
        <v>8543</v>
      </c>
      <c r="M1537" s="5" t="s">
        <v>45</v>
      </c>
      <c r="N1537" s="5" t="s">
        <v>123</v>
      </c>
      <c r="O1537" s="5" t="s">
        <v>59</v>
      </c>
      <c r="P1537" s="10" t="s">
        <v>60</v>
      </c>
      <c r="Q1537" s="10" t="s">
        <v>2635</v>
      </c>
      <c r="R1537" s="10" t="s">
        <v>6413</v>
      </c>
      <c r="S1537" s="5">
        <v>0</v>
      </c>
      <c r="T1537" s="37">
        <v>0</v>
      </c>
      <c r="U1537" s="5">
        <v>0</v>
      </c>
      <c r="V1537" s="37">
        <v>0</v>
      </c>
      <c r="W1537" s="5">
        <v>0</v>
      </c>
      <c r="X1537" s="5">
        <v>0</v>
      </c>
      <c r="Y1537" s="5">
        <v>0</v>
      </c>
      <c r="Z1537" s="37">
        <v>0</v>
      </c>
      <c r="AA1537" s="5">
        <v>0</v>
      </c>
      <c r="AB1537" s="5">
        <v>0</v>
      </c>
      <c r="AC1537" s="5">
        <v>0</v>
      </c>
      <c r="AD1537" s="5">
        <v>0</v>
      </c>
      <c r="AE1537" s="10" t="s">
        <v>73</v>
      </c>
      <c r="AF1537" s="10"/>
      <c r="AG1537" s="10" t="s">
        <v>114</v>
      </c>
      <c r="AH1537" s="10">
        <v>41348</v>
      </c>
      <c r="AI1537" s="5">
        <v>0</v>
      </c>
      <c r="AJ1537" s="10" t="s">
        <v>8544</v>
      </c>
      <c r="AK1537" s="10" t="s">
        <v>8545</v>
      </c>
    </row>
    <row r="1538" spans="1:37" ht="36.75" customHeight="1" x14ac:dyDescent="0.35">
      <c r="A1538" s="5"/>
      <c r="B1538" s="5" t="s">
        <v>37</v>
      </c>
      <c r="C1538" s="73" t="str">
        <f t="shared" ref="C1538:C1601" si="24">IF(B1538="Notification","Open",IF(B1538="Interim Statement","In progress","Closed"))</f>
        <v>Closed</v>
      </c>
      <c r="D1538" s="45" t="s">
        <v>8546</v>
      </c>
      <c r="E1538" s="54" t="s">
        <v>8547</v>
      </c>
      <c r="F1538" s="5" t="s">
        <v>214</v>
      </c>
      <c r="G1538" s="10">
        <f>DATE(2013,3,21)</f>
        <v>41354</v>
      </c>
      <c r="H1538" s="35">
        <v>1.2659722222222223</v>
      </c>
      <c r="I1538" s="5" t="s">
        <v>97</v>
      </c>
      <c r="J1538" s="10" t="s">
        <v>8548</v>
      </c>
      <c r="K1538" s="5" t="s">
        <v>216</v>
      </c>
      <c r="L1538" s="5" t="s">
        <v>8549</v>
      </c>
      <c r="M1538" s="5" t="s">
        <v>45</v>
      </c>
      <c r="N1538" s="5" t="s">
        <v>123</v>
      </c>
      <c r="O1538" s="5" t="s">
        <v>46</v>
      </c>
      <c r="P1538" s="10" t="s">
        <v>6920</v>
      </c>
      <c r="Q1538" s="10" t="s">
        <v>1410</v>
      </c>
      <c r="R1538" s="10" t="s">
        <v>219</v>
      </c>
      <c r="S1538" s="5">
        <v>0</v>
      </c>
      <c r="T1538" s="37">
        <v>0</v>
      </c>
      <c r="U1538" s="5">
        <v>1</v>
      </c>
      <c r="V1538" s="37">
        <v>0</v>
      </c>
      <c r="W1538" s="5">
        <v>0</v>
      </c>
      <c r="X1538" s="5">
        <v>1</v>
      </c>
      <c r="Y1538" s="5">
        <v>0</v>
      </c>
      <c r="Z1538" s="37">
        <v>0</v>
      </c>
      <c r="AA1538" s="5">
        <v>0</v>
      </c>
      <c r="AB1538" s="5">
        <v>0</v>
      </c>
      <c r="AC1538" s="5">
        <v>0</v>
      </c>
      <c r="AD1538" s="5">
        <v>0</v>
      </c>
      <c r="AE1538" s="10" t="s">
        <v>73</v>
      </c>
      <c r="AF1538" s="10"/>
      <c r="AG1538" s="10" t="s">
        <v>64</v>
      </c>
      <c r="AH1538" s="10">
        <v>41366</v>
      </c>
      <c r="AI1538" s="5">
        <v>4</v>
      </c>
      <c r="AJ1538" s="10" t="s">
        <v>8550</v>
      </c>
      <c r="AK1538" s="10" t="s">
        <v>8551</v>
      </c>
    </row>
    <row r="1539" spans="1:37" ht="36.75" customHeight="1" x14ac:dyDescent="0.35">
      <c r="A1539" s="5"/>
      <c r="B1539" s="5" t="s">
        <v>37</v>
      </c>
      <c r="C1539" s="73" t="str">
        <f t="shared" si="24"/>
        <v>Closed</v>
      </c>
      <c r="D1539" s="45" t="s">
        <v>8552</v>
      </c>
      <c r="E1539" s="54" t="s">
        <v>8553</v>
      </c>
      <c r="F1539" s="5" t="s">
        <v>1919</v>
      </c>
      <c r="G1539" s="10">
        <f>DATE(2013,3,23)</f>
        <v>41356</v>
      </c>
      <c r="H1539" s="35">
        <v>0</v>
      </c>
      <c r="I1539" s="5" t="s">
        <v>2059</v>
      </c>
      <c r="J1539" s="10" t="s">
        <v>8554</v>
      </c>
      <c r="K1539" s="5" t="s">
        <v>1921</v>
      </c>
      <c r="L1539" s="5" t="s">
        <v>8555</v>
      </c>
      <c r="M1539" s="5" t="s">
        <v>45</v>
      </c>
      <c r="N1539" s="5" t="s">
        <v>80</v>
      </c>
      <c r="O1539" s="5" t="s">
        <v>46</v>
      </c>
      <c r="P1539" s="10" t="s">
        <v>6920</v>
      </c>
      <c r="Q1539" s="10" t="s">
        <v>1923</v>
      </c>
      <c r="R1539" s="10" t="s">
        <v>1923</v>
      </c>
      <c r="S1539" s="5">
        <v>0</v>
      </c>
      <c r="T1539" s="37">
        <v>0</v>
      </c>
      <c r="U1539" s="5">
        <v>0</v>
      </c>
      <c r="V1539" s="37">
        <v>0</v>
      </c>
      <c r="W1539" s="5">
        <v>0</v>
      </c>
      <c r="X1539" s="5">
        <v>0</v>
      </c>
      <c r="Y1539" s="5">
        <v>0</v>
      </c>
      <c r="Z1539" s="37">
        <v>0</v>
      </c>
      <c r="AA1539" s="5">
        <v>0</v>
      </c>
      <c r="AB1539" s="5">
        <v>0</v>
      </c>
      <c r="AC1539" s="5">
        <v>0</v>
      </c>
      <c r="AD1539" s="5">
        <v>0</v>
      </c>
      <c r="AE1539" s="10" t="s">
        <v>73</v>
      </c>
      <c r="AF1539" s="10"/>
      <c r="AG1539" s="10" t="s">
        <v>1489</v>
      </c>
      <c r="AH1539" s="10">
        <v>41358</v>
      </c>
      <c r="AI1539" s="5">
        <v>3</v>
      </c>
      <c r="AJ1539" s="10" t="s">
        <v>8556</v>
      </c>
      <c r="AK1539" s="10" t="s">
        <v>50</v>
      </c>
    </row>
    <row r="1540" spans="1:37" ht="36.75" customHeight="1" x14ac:dyDescent="0.35">
      <c r="A1540" s="5"/>
      <c r="B1540" s="5" t="s">
        <v>37</v>
      </c>
      <c r="C1540" s="73" t="str">
        <f t="shared" si="24"/>
        <v>Closed</v>
      </c>
      <c r="D1540" s="45" t="s">
        <v>8557</v>
      </c>
      <c r="E1540" s="54" t="s">
        <v>8558</v>
      </c>
      <c r="F1540" s="5" t="s">
        <v>404</v>
      </c>
      <c r="G1540" s="10">
        <f>DATE(2013,3,24)</f>
        <v>41357</v>
      </c>
      <c r="H1540" s="35">
        <v>1.6354166666666665</v>
      </c>
      <c r="I1540" s="5" t="s">
        <v>55</v>
      </c>
      <c r="J1540" s="10" t="s">
        <v>8559</v>
      </c>
      <c r="K1540" s="5" t="s">
        <v>406</v>
      </c>
      <c r="L1540" s="5" t="s">
        <v>8560</v>
      </c>
      <c r="M1540" s="5" t="s">
        <v>45</v>
      </c>
      <c r="N1540" s="5" t="s">
        <v>80</v>
      </c>
      <c r="O1540" s="5" t="s">
        <v>46</v>
      </c>
      <c r="P1540" s="10" t="s">
        <v>47</v>
      </c>
      <c r="Q1540" s="10" t="s">
        <v>408</v>
      </c>
      <c r="R1540" s="10" t="s">
        <v>3083</v>
      </c>
      <c r="S1540" s="5">
        <v>0</v>
      </c>
      <c r="T1540" s="37">
        <v>0</v>
      </c>
      <c r="U1540" s="5">
        <v>0</v>
      </c>
      <c r="V1540" s="37">
        <v>0</v>
      </c>
      <c r="W1540" s="5">
        <v>0</v>
      </c>
      <c r="X1540" s="5">
        <v>0</v>
      </c>
      <c r="Y1540" s="5">
        <v>0</v>
      </c>
      <c r="Z1540" s="37">
        <v>0</v>
      </c>
      <c r="AA1540" s="5">
        <v>0</v>
      </c>
      <c r="AB1540" s="5">
        <v>0</v>
      </c>
      <c r="AC1540" s="5">
        <v>0</v>
      </c>
      <c r="AD1540" s="5">
        <v>0</v>
      </c>
      <c r="AE1540" s="10" t="s">
        <v>73</v>
      </c>
      <c r="AF1540" s="10"/>
      <c r="AG1540" s="10" t="s">
        <v>114</v>
      </c>
      <c r="AH1540" s="10">
        <v>41358</v>
      </c>
      <c r="AI1540" s="5">
        <v>3</v>
      </c>
      <c r="AJ1540" s="10" t="s">
        <v>8561</v>
      </c>
      <c r="AK1540" s="10" t="s">
        <v>8562</v>
      </c>
    </row>
    <row r="1541" spans="1:37" ht="36.75" customHeight="1" x14ac:dyDescent="0.35">
      <c r="A1541" s="5"/>
      <c r="B1541" s="5" t="s">
        <v>37</v>
      </c>
      <c r="C1541" s="73" t="str">
        <f t="shared" si="24"/>
        <v>Closed</v>
      </c>
      <c r="D1541" s="45" t="s">
        <v>8563</v>
      </c>
      <c r="E1541" s="54" t="s">
        <v>8564</v>
      </c>
      <c r="F1541" s="5" t="s">
        <v>619</v>
      </c>
      <c r="G1541" s="10">
        <f>DATE(2013,3,26)</f>
        <v>41359</v>
      </c>
      <c r="H1541" s="35">
        <v>1.0416666666666667</v>
      </c>
      <c r="I1541" s="5" t="s">
        <v>55</v>
      </c>
      <c r="J1541" s="10" t="s">
        <v>8565</v>
      </c>
      <c r="K1541" s="5" t="s">
        <v>621</v>
      </c>
      <c r="L1541" s="5" t="s">
        <v>8566</v>
      </c>
      <c r="M1541" s="5" t="s">
        <v>45</v>
      </c>
      <c r="N1541" s="5" t="s">
        <v>123</v>
      </c>
      <c r="O1541" s="5" t="s">
        <v>46</v>
      </c>
      <c r="P1541" s="10" t="s">
        <v>282</v>
      </c>
      <c r="Q1541" s="10">
        <v>0</v>
      </c>
      <c r="R1541" s="10" t="s">
        <v>624</v>
      </c>
      <c r="S1541" s="5">
        <v>0</v>
      </c>
      <c r="T1541" s="37">
        <v>0</v>
      </c>
      <c r="U1541" s="5">
        <v>0</v>
      </c>
      <c r="V1541" s="37">
        <v>0</v>
      </c>
      <c r="W1541" s="5">
        <v>0</v>
      </c>
      <c r="X1541" s="5">
        <v>0</v>
      </c>
      <c r="Y1541" s="5">
        <v>0</v>
      </c>
      <c r="Z1541" s="37">
        <v>0</v>
      </c>
      <c r="AA1541" s="5">
        <v>0</v>
      </c>
      <c r="AB1541" s="5">
        <v>0</v>
      </c>
      <c r="AC1541" s="5">
        <v>0</v>
      </c>
      <c r="AD1541" s="5">
        <v>0</v>
      </c>
      <c r="AE1541" s="10" t="s">
        <v>73</v>
      </c>
      <c r="AF1541" s="10"/>
      <c r="AG1541" s="10" t="s">
        <v>333</v>
      </c>
      <c r="AH1541" s="10">
        <v>41422</v>
      </c>
      <c r="AI1541" s="5">
        <v>1</v>
      </c>
      <c r="AJ1541" s="10" t="s">
        <v>8567</v>
      </c>
      <c r="AK1541" s="10" t="s">
        <v>50</v>
      </c>
    </row>
    <row r="1542" spans="1:37" ht="36.75" customHeight="1" x14ac:dyDescent="0.35">
      <c r="A1542" s="5"/>
      <c r="B1542" s="5" t="s">
        <v>37</v>
      </c>
      <c r="C1542" s="73" t="str">
        <f t="shared" si="24"/>
        <v>Closed</v>
      </c>
      <c r="D1542" s="45" t="s">
        <v>8568</v>
      </c>
      <c r="E1542" s="54" t="s">
        <v>8569</v>
      </c>
      <c r="F1542" s="5" t="s">
        <v>178</v>
      </c>
      <c r="G1542" s="10">
        <f>DATE(2013,3,27)</f>
        <v>41360</v>
      </c>
      <c r="H1542" s="35">
        <v>1.9895833333333335</v>
      </c>
      <c r="I1542" s="5" t="s">
        <v>179</v>
      </c>
      <c r="J1542" s="10" t="s">
        <v>8570</v>
      </c>
      <c r="K1542" s="5" t="s">
        <v>181</v>
      </c>
      <c r="L1542" s="5" t="s">
        <v>8571</v>
      </c>
      <c r="M1542" s="5" t="s">
        <v>45</v>
      </c>
      <c r="N1542" s="5" t="s">
        <v>123</v>
      </c>
      <c r="O1542" s="5" t="s">
        <v>59</v>
      </c>
      <c r="P1542" s="10" t="s">
        <v>1211</v>
      </c>
      <c r="Q1542" s="10" t="s">
        <v>8572</v>
      </c>
      <c r="R1542" s="10" t="s">
        <v>184</v>
      </c>
      <c r="S1542" s="5">
        <v>0</v>
      </c>
      <c r="T1542" s="37">
        <v>2</v>
      </c>
      <c r="U1542" s="5">
        <v>0</v>
      </c>
      <c r="V1542" s="37">
        <v>0</v>
      </c>
      <c r="W1542" s="5">
        <v>0</v>
      </c>
      <c r="X1542" s="5">
        <v>2</v>
      </c>
      <c r="Y1542" s="5">
        <v>0</v>
      </c>
      <c r="Z1542" s="37">
        <v>1</v>
      </c>
      <c r="AA1542" s="5">
        <v>0</v>
      </c>
      <c r="AB1542" s="5">
        <v>0</v>
      </c>
      <c r="AC1542" s="5">
        <v>0</v>
      </c>
      <c r="AD1542" s="5">
        <v>1</v>
      </c>
      <c r="AE1542" s="10" t="s">
        <v>126</v>
      </c>
      <c r="AF1542" s="10"/>
      <c r="AG1542" s="10" t="s">
        <v>64</v>
      </c>
      <c r="AH1542" s="10">
        <v>41361</v>
      </c>
      <c r="AI1542" s="5">
        <v>6</v>
      </c>
      <c r="AJ1542" s="10" t="s">
        <v>8573</v>
      </c>
      <c r="AK1542" s="10" t="s">
        <v>1215</v>
      </c>
    </row>
    <row r="1543" spans="1:37" ht="36.75" customHeight="1" x14ac:dyDescent="0.35">
      <c r="A1543" s="5"/>
      <c r="B1543" s="5" t="s">
        <v>37</v>
      </c>
      <c r="C1543" s="73" t="str">
        <f t="shared" si="24"/>
        <v>Closed</v>
      </c>
      <c r="D1543" s="45" t="s">
        <v>8574</v>
      </c>
      <c r="E1543" s="54" t="s">
        <v>8575</v>
      </c>
      <c r="F1543" s="5" t="s">
        <v>404</v>
      </c>
      <c r="G1543" s="10">
        <f>DATE(2013,3,27)</f>
        <v>41360</v>
      </c>
      <c r="H1543" s="35">
        <v>1.8090277777777777</v>
      </c>
      <c r="I1543" s="5" t="s">
        <v>85</v>
      </c>
      <c r="J1543" s="10" t="s">
        <v>8576</v>
      </c>
      <c r="K1543" s="5" t="s">
        <v>406</v>
      </c>
      <c r="L1543" s="5" t="s">
        <v>8577</v>
      </c>
      <c r="M1543" s="5" t="s">
        <v>45</v>
      </c>
      <c r="N1543" s="5" t="s">
        <v>70</v>
      </c>
      <c r="O1543" s="5" t="s">
        <v>59</v>
      </c>
      <c r="P1543" s="10" t="s">
        <v>1198</v>
      </c>
      <c r="Q1543" s="10" t="s">
        <v>408</v>
      </c>
      <c r="R1543" s="10" t="s">
        <v>3083</v>
      </c>
      <c r="S1543" s="5">
        <v>0</v>
      </c>
      <c r="T1543" s="37">
        <v>0</v>
      </c>
      <c r="U1543" s="5">
        <v>0</v>
      </c>
      <c r="V1543" s="37">
        <v>0</v>
      </c>
      <c r="W1543" s="5">
        <v>0</v>
      </c>
      <c r="X1543" s="5">
        <v>0</v>
      </c>
      <c r="Y1543" s="5">
        <v>0</v>
      </c>
      <c r="Z1543" s="37">
        <v>0</v>
      </c>
      <c r="AA1543" s="5">
        <v>0</v>
      </c>
      <c r="AB1543" s="5">
        <v>0</v>
      </c>
      <c r="AC1543" s="5">
        <v>0</v>
      </c>
      <c r="AD1543" s="5">
        <v>0</v>
      </c>
      <c r="AE1543" s="10" t="s">
        <v>73</v>
      </c>
      <c r="AF1543" s="10"/>
      <c r="AG1543" s="10" t="s">
        <v>114</v>
      </c>
      <c r="AH1543" s="10">
        <v>41408</v>
      </c>
      <c r="AI1543" s="5">
        <v>5</v>
      </c>
      <c r="AJ1543" s="10" t="s">
        <v>8578</v>
      </c>
      <c r="AK1543" s="10" t="s">
        <v>8579</v>
      </c>
    </row>
    <row r="1544" spans="1:37" ht="36.75" customHeight="1" x14ac:dyDescent="0.35">
      <c r="A1544" s="5"/>
      <c r="B1544" s="5" t="s">
        <v>37</v>
      </c>
      <c r="C1544" s="73" t="str">
        <f t="shared" si="24"/>
        <v>Closed</v>
      </c>
      <c r="D1544" s="45" t="s">
        <v>8580</v>
      </c>
      <c r="E1544" s="54" t="s">
        <v>8581</v>
      </c>
      <c r="F1544" s="5" t="s">
        <v>358</v>
      </c>
      <c r="G1544" s="10">
        <f>DATE(2013,3,27)</f>
        <v>41360</v>
      </c>
      <c r="H1544" s="35">
        <v>1.3263888888888888</v>
      </c>
      <c r="I1544" s="5" t="s">
        <v>106</v>
      </c>
      <c r="J1544" s="10" t="s">
        <v>8582</v>
      </c>
      <c r="K1544" s="5" t="s">
        <v>360</v>
      </c>
      <c r="L1544" s="5" t="s">
        <v>8583</v>
      </c>
      <c r="M1544" s="5" t="s">
        <v>45</v>
      </c>
      <c r="N1544" s="5" t="s">
        <v>123</v>
      </c>
      <c r="O1544" s="5" t="s">
        <v>59</v>
      </c>
      <c r="P1544" s="10" t="s">
        <v>146</v>
      </c>
      <c r="Q1544" s="10" t="s">
        <v>2886</v>
      </c>
      <c r="R1544" s="10" t="s">
        <v>363</v>
      </c>
      <c r="S1544" s="5">
        <v>0</v>
      </c>
      <c r="T1544" s="37">
        <v>0</v>
      </c>
      <c r="U1544" s="5">
        <v>0</v>
      </c>
      <c r="V1544" s="37">
        <v>0</v>
      </c>
      <c r="W1544" s="5">
        <v>0</v>
      </c>
      <c r="X1544" s="5">
        <v>0</v>
      </c>
      <c r="Y1544" s="5">
        <v>0</v>
      </c>
      <c r="Z1544" s="37">
        <v>0</v>
      </c>
      <c r="AA1544" s="5">
        <v>0</v>
      </c>
      <c r="AB1544" s="5">
        <v>0</v>
      </c>
      <c r="AC1544" s="5">
        <v>0</v>
      </c>
      <c r="AD1544" s="5">
        <v>0</v>
      </c>
      <c r="AE1544" s="10" t="s">
        <v>375</v>
      </c>
      <c r="AF1544" s="10"/>
      <c r="AG1544" s="10" t="s">
        <v>114</v>
      </c>
      <c r="AH1544" s="10">
        <v>41362</v>
      </c>
      <c r="AI1544" s="5">
        <v>4</v>
      </c>
      <c r="AJ1544" s="10" t="s">
        <v>8584</v>
      </c>
      <c r="AK1544" s="10" t="s">
        <v>8585</v>
      </c>
    </row>
    <row r="1545" spans="1:37" ht="36.75" customHeight="1" x14ac:dyDescent="0.35">
      <c r="A1545" s="5"/>
      <c r="B1545" s="5" t="s">
        <v>37</v>
      </c>
      <c r="C1545" s="73" t="str">
        <f t="shared" si="24"/>
        <v>Closed</v>
      </c>
      <c r="D1545" s="45" t="s">
        <v>8586</v>
      </c>
      <c r="E1545" s="54" t="s">
        <v>8587</v>
      </c>
      <c r="F1545" s="5" t="s">
        <v>404</v>
      </c>
      <c r="G1545" s="10">
        <f>DATE(2013,3,31)</f>
        <v>41364</v>
      </c>
      <c r="H1545" s="35">
        <v>1.6437499999999998</v>
      </c>
      <c r="I1545" s="5" t="s">
        <v>55</v>
      </c>
      <c r="J1545" s="10" t="s">
        <v>8588</v>
      </c>
      <c r="K1545" s="5" t="s">
        <v>406</v>
      </c>
      <c r="L1545" s="5" t="s">
        <v>8589</v>
      </c>
      <c r="M1545" s="5" t="s">
        <v>45</v>
      </c>
      <c r="N1545" s="5" t="s">
        <v>70</v>
      </c>
      <c r="O1545" s="5" t="s">
        <v>59</v>
      </c>
      <c r="P1545" s="10" t="s">
        <v>146</v>
      </c>
      <c r="Q1545" s="10" t="s">
        <v>408</v>
      </c>
      <c r="R1545" s="10" t="s">
        <v>3083</v>
      </c>
      <c r="S1545" s="5">
        <v>0</v>
      </c>
      <c r="T1545" s="37">
        <v>0</v>
      </c>
      <c r="U1545" s="5">
        <v>0</v>
      </c>
      <c r="V1545" s="37">
        <v>0</v>
      </c>
      <c r="W1545" s="5">
        <v>0</v>
      </c>
      <c r="X1545" s="5">
        <v>0</v>
      </c>
      <c r="Y1545" s="5">
        <v>0</v>
      </c>
      <c r="Z1545" s="37">
        <v>0</v>
      </c>
      <c r="AA1545" s="5">
        <v>0</v>
      </c>
      <c r="AB1545" s="5">
        <v>0</v>
      </c>
      <c r="AC1545" s="5">
        <v>0</v>
      </c>
      <c r="AD1545" s="5">
        <v>0</v>
      </c>
      <c r="AE1545" s="10" t="s">
        <v>73</v>
      </c>
      <c r="AF1545" s="10"/>
      <c r="AG1545" s="10" t="s">
        <v>114</v>
      </c>
      <c r="AH1545" s="10">
        <v>41309</v>
      </c>
      <c r="AI1545" s="5">
        <v>3</v>
      </c>
      <c r="AJ1545" s="10" t="s">
        <v>8590</v>
      </c>
      <c r="AK1545" s="10" t="s">
        <v>8591</v>
      </c>
    </row>
    <row r="1546" spans="1:37" ht="36.75" customHeight="1" x14ac:dyDescent="0.35">
      <c r="A1546" s="5"/>
      <c r="B1546" s="5" t="s">
        <v>37</v>
      </c>
      <c r="C1546" s="73" t="str">
        <f t="shared" si="24"/>
        <v>Closed</v>
      </c>
      <c r="D1546" s="45" t="s">
        <v>8592</v>
      </c>
      <c r="E1546" s="54" t="s">
        <v>8593</v>
      </c>
      <c r="F1546" s="5" t="s">
        <v>404</v>
      </c>
      <c r="G1546" s="10">
        <f>DATE(2013,4,1)</f>
        <v>41365</v>
      </c>
      <c r="H1546" s="35">
        <v>1.3722222222222222</v>
      </c>
      <c r="I1546" s="5" t="s">
        <v>97</v>
      </c>
      <c r="J1546" s="10" t="s">
        <v>8594</v>
      </c>
      <c r="K1546" s="5" t="s">
        <v>406</v>
      </c>
      <c r="L1546" s="5" t="s">
        <v>8595</v>
      </c>
      <c r="M1546" s="5" t="s">
        <v>45</v>
      </c>
      <c r="N1546" s="5" t="s">
        <v>80</v>
      </c>
      <c r="O1546" s="5" t="s">
        <v>46</v>
      </c>
      <c r="P1546" s="10" t="s">
        <v>146</v>
      </c>
      <c r="Q1546" s="10" t="s">
        <v>408</v>
      </c>
      <c r="R1546" s="10" t="s">
        <v>3083</v>
      </c>
      <c r="S1546" s="5">
        <v>0</v>
      </c>
      <c r="T1546" s="37">
        <v>0</v>
      </c>
      <c r="U1546" s="5">
        <v>0</v>
      </c>
      <c r="V1546" s="37">
        <v>0</v>
      </c>
      <c r="W1546" s="5">
        <v>0</v>
      </c>
      <c r="X1546" s="5">
        <v>0</v>
      </c>
      <c r="Y1546" s="5">
        <v>0</v>
      </c>
      <c r="Z1546" s="37">
        <v>0</v>
      </c>
      <c r="AA1546" s="5">
        <v>0</v>
      </c>
      <c r="AB1546" s="5">
        <v>0</v>
      </c>
      <c r="AC1546" s="5">
        <v>0</v>
      </c>
      <c r="AD1546" s="5">
        <v>0</v>
      </c>
      <c r="AE1546" s="10" t="s">
        <v>73</v>
      </c>
      <c r="AF1546" s="10"/>
      <c r="AG1546" s="10" t="s">
        <v>114</v>
      </c>
      <c r="AH1546" s="10">
        <v>41387</v>
      </c>
      <c r="AI1546" s="5">
        <v>4</v>
      </c>
      <c r="AJ1546" s="10" t="s">
        <v>8596</v>
      </c>
      <c r="AK1546" s="10" t="s">
        <v>8597</v>
      </c>
    </row>
    <row r="1547" spans="1:37" ht="36.75" customHeight="1" x14ac:dyDescent="0.35">
      <c r="A1547" s="5"/>
      <c r="B1547" s="5" t="s">
        <v>37</v>
      </c>
      <c r="C1547" s="73" t="str">
        <f t="shared" si="24"/>
        <v>Closed</v>
      </c>
      <c r="D1547" s="45" t="s">
        <v>8598</v>
      </c>
      <c r="E1547" s="54" t="s">
        <v>8599</v>
      </c>
      <c r="F1547" s="5" t="s">
        <v>40</v>
      </c>
      <c r="G1547" s="10">
        <f>DATE(2013,4,6)</f>
        <v>41370</v>
      </c>
      <c r="H1547" s="35">
        <v>1.1402777777777777</v>
      </c>
      <c r="I1547" s="5" t="s">
        <v>55</v>
      </c>
      <c r="J1547" s="10" t="s">
        <v>8600</v>
      </c>
      <c r="K1547" s="5" t="s">
        <v>43</v>
      </c>
      <c r="L1547" s="5" t="s">
        <v>8601</v>
      </c>
      <c r="M1547" s="5" t="s">
        <v>45</v>
      </c>
      <c r="N1547" s="5" t="s">
        <v>80</v>
      </c>
      <c r="O1547" s="5" t="s">
        <v>59</v>
      </c>
      <c r="P1547" s="10" t="s">
        <v>60</v>
      </c>
      <c r="Q1547" s="10" t="s">
        <v>48</v>
      </c>
      <c r="R1547" s="10">
        <v>0</v>
      </c>
      <c r="S1547" s="5">
        <v>0</v>
      </c>
      <c r="T1547" s="37">
        <v>0</v>
      </c>
      <c r="U1547" s="5">
        <v>0</v>
      </c>
      <c r="V1547" s="37">
        <v>0</v>
      </c>
      <c r="W1547" s="5">
        <v>0</v>
      </c>
      <c r="X1547" s="5">
        <v>0</v>
      </c>
      <c r="Y1547" s="5">
        <v>0</v>
      </c>
      <c r="Z1547" s="37">
        <v>0</v>
      </c>
      <c r="AA1547" s="5">
        <v>0</v>
      </c>
      <c r="AB1547" s="5">
        <v>0</v>
      </c>
      <c r="AC1547" s="5">
        <v>0</v>
      </c>
      <c r="AD1547" s="5">
        <v>0</v>
      </c>
      <c r="AE1547" s="10" t="s">
        <v>375</v>
      </c>
      <c r="AF1547" s="10"/>
      <c r="AG1547" s="10" t="s">
        <v>64</v>
      </c>
      <c r="AH1547" s="10">
        <v>41373</v>
      </c>
      <c r="AI1547" s="5">
        <v>4</v>
      </c>
      <c r="AJ1547" s="10" t="s">
        <v>8602</v>
      </c>
      <c r="AK1547" s="10" t="s">
        <v>8603</v>
      </c>
    </row>
    <row r="1548" spans="1:37" ht="36.75" customHeight="1" x14ac:dyDescent="0.35">
      <c r="A1548" s="5"/>
      <c r="B1548" s="5" t="s">
        <v>37</v>
      </c>
      <c r="C1548" s="73" t="str">
        <f t="shared" si="24"/>
        <v>Closed</v>
      </c>
      <c r="D1548" s="45" t="s">
        <v>8604</v>
      </c>
      <c r="E1548" s="54" t="s">
        <v>8605</v>
      </c>
      <c r="F1548" s="5" t="s">
        <v>619</v>
      </c>
      <c r="G1548" s="10">
        <f>DATE(2013,4,7)</f>
        <v>41371</v>
      </c>
      <c r="H1548" s="35">
        <v>1.7298611111111111</v>
      </c>
      <c r="I1548" s="5" t="s">
        <v>5473</v>
      </c>
      <c r="J1548" s="10" t="s">
        <v>8606</v>
      </c>
      <c r="K1548" s="5" t="s">
        <v>621</v>
      </c>
      <c r="L1548" s="5" t="s">
        <v>8607</v>
      </c>
      <c r="M1548" s="5" t="s">
        <v>45</v>
      </c>
      <c r="N1548" s="5" t="s">
        <v>123</v>
      </c>
      <c r="O1548" s="5" t="s">
        <v>46</v>
      </c>
      <c r="P1548" s="10" t="s">
        <v>443</v>
      </c>
      <c r="Q1548" s="10" t="s">
        <v>623</v>
      </c>
      <c r="R1548" s="10" t="s">
        <v>624</v>
      </c>
      <c r="S1548" s="5">
        <v>0</v>
      </c>
      <c r="T1548" s="37">
        <v>0</v>
      </c>
      <c r="U1548" s="5">
        <v>0</v>
      </c>
      <c r="V1548" s="37">
        <v>0</v>
      </c>
      <c r="W1548" s="5">
        <v>0</v>
      </c>
      <c r="X1548" s="5">
        <v>0</v>
      </c>
      <c r="Y1548" s="5">
        <v>0</v>
      </c>
      <c r="Z1548" s="37">
        <v>0</v>
      </c>
      <c r="AA1548" s="5">
        <v>0</v>
      </c>
      <c r="AB1548" s="5">
        <v>0</v>
      </c>
      <c r="AC1548" s="5">
        <v>0</v>
      </c>
      <c r="AD1548" s="5">
        <v>0</v>
      </c>
      <c r="AE1548" s="10" t="s">
        <v>73</v>
      </c>
      <c r="AF1548" s="10"/>
      <c r="AG1548" s="10" t="s">
        <v>114</v>
      </c>
      <c r="AH1548" s="10">
        <v>41393</v>
      </c>
      <c r="AI1548" s="5">
        <v>0</v>
      </c>
      <c r="AJ1548" s="10" t="s">
        <v>8608</v>
      </c>
      <c r="AK1548" s="10" t="s">
        <v>50</v>
      </c>
    </row>
    <row r="1549" spans="1:37" ht="36.75" customHeight="1" x14ac:dyDescent="0.35">
      <c r="A1549" s="5"/>
      <c r="B1549" s="5" t="s">
        <v>37</v>
      </c>
      <c r="C1549" s="73" t="str">
        <f t="shared" si="24"/>
        <v>Closed</v>
      </c>
      <c r="D1549" s="45" t="s">
        <v>8609</v>
      </c>
      <c r="E1549" s="54" t="s">
        <v>8610</v>
      </c>
      <c r="F1549" s="5" t="s">
        <v>1553</v>
      </c>
      <c r="G1549" s="10">
        <f>DATE(2013,4,7)</f>
        <v>41371</v>
      </c>
      <c r="H1549" s="35">
        <v>1.5173611111111112</v>
      </c>
      <c r="I1549" s="5" t="s">
        <v>55</v>
      </c>
      <c r="J1549" s="10" t="s">
        <v>8611</v>
      </c>
      <c r="K1549" s="5" t="s">
        <v>1555</v>
      </c>
      <c r="L1549" s="5" t="s">
        <v>8612</v>
      </c>
      <c r="M1549" s="5" t="s">
        <v>45</v>
      </c>
      <c r="N1549" s="5" t="s">
        <v>123</v>
      </c>
      <c r="O1549" s="5" t="s">
        <v>46</v>
      </c>
      <c r="P1549" s="10" t="s">
        <v>60</v>
      </c>
      <c r="Q1549" s="10" t="s">
        <v>5598</v>
      </c>
      <c r="R1549" s="10" t="s">
        <v>6413</v>
      </c>
      <c r="S1549" s="5">
        <v>0</v>
      </c>
      <c r="T1549" s="37">
        <v>0</v>
      </c>
      <c r="U1549" s="5">
        <v>0</v>
      </c>
      <c r="V1549" s="37">
        <v>0</v>
      </c>
      <c r="W1549" s="5">
        <v>0</v>
      </c>
      <c r="X1549" s="5">
        <v>0</v>
      </c>
      <c r="Y1549" s="5">
        <v>0</v>
      </c>
      <c r="Z1549" s="37">
        <v>0</v>
      </c>
      <c r="AA1549" s="5">
        <v>0</v>
      </c>
      <c r="AB1549" s="5">
        <v>0</v>
      </c>
      <c r="AC1549" s="5">
        <v>0</v>
      </c>
      <c r="AD1549" s="5">
        <v>0</v>
      </c>
      <c r="AE1549" s="10" t="s">
        <v>73</v>
      </c>
      <c r="AF1549" s="10"/>
      <c r="AG1549" s="10" t="s">
        <v>114</v>
      </c>
      <c r="AH1549" s="10">
        <v>41372</v>
      </c>
      <c r="AI1549" s="5">
        <v>0</v>
      </c>
      <c r="AJ1549" s="10" t="s">
        <v>8613</v>
      </c>
      <c r="AK1549" s="10" t="s">
        <v>8614</v>
      </c>
    </row>
    <row r="1550" spans="1:37" ht="36.75" customHeight="1" x14ac:dyDescent="0.35">
      <c r="A1550" s="5"/>
      <c r="B1550" s="5" t="s">
        <v>37</v>
      </c>
      <c r="C1550" s="73" t="str">
        <f t="shared" si="24"/>
        <v>Closed</v>
      </c>
      <c r="D1550" s="45" t="s">
        <v>8615</v>
      </c>
      <c r="E1550" s="54" t="s">
        <v>8616</v>
      </c>
      <c r="F1550" s="5" t="s">
        <v>816</v>
      </c>
      <c r="G1550" s="10">
        <f>DATE(2013,4,9)</f>
        <v>41373</v>
      </c>
      <c r="H1550" s="35">
        <v>1.5277777777777777</v>
      </c>
      <c r="I1550" s="5" t="s">
        <v>55</v>
      </c>
      <c r="J1550" s="10" t="s">
        <v>8617</v>
      </c>
      <c r="K1550" s="5" t="s">
        <v>818</v>
      </c>
      <c r="L1550" s="5" t="s">
        <v>8618</v>
      </c>
      <c r="M1550" s="5" t="s">
        <v>236</v>
      </c>
      <c r="N1550" s="5" t="s">
        <v>80</v>
      </c>
      <c r="O1550" s="5" t="s">
        <v>59</v>
      </c>
      <c r="P1550" s="10" t="s">
        <v>6531</v>
      </c>
      <c r="Q1550" s="10">
        <v>0</v>
      </c>
      <c r="R1550" s="10">
        <v>0</v>
      </c>
      <c r="S1550" s="5">
        <v>0</v>
      </c>
      <c r="T1550" s="37">
        <v>0</v>
      </c>
      <c r="U1550" s="5">
        <v>0</v>
      </c>
      <c r="V1550" s="37">
        <v>0</v>
      </c>
      <c r="W1550" s="5">
        <v>0</v>
      </c>
      <c r="X1550" s="5">
        <v>0</v>
      </c>
      <c r="Y1550" s="5">
        <v>0</v>
      </c>
      <c r="Z1550" s="37">
        <v>0</v>
      </c>
      <c r="AA1550" s="5">
        <v>0</v>
      </c>
      <c r="AB1550" s="5">
        <v>0</v>
      </c>
      <c r="AC1550" s="5">
        <v>0</v>
      </c>
      <c r="AD1550" s="5">
        <v>0</v>
      </c>
      <c r="AE1550" s="10" t="s">
        <v>73</v>
      </c>
      <c r="AF1550" s="10"/>
      <c r="AG1550" s="10" t="s">
        <v>333</v>
      </c>
      <c r="AH1550" s="10">
        <v>41373</v>
      </c>
      <c r="AI1550" s="5">
        <v>0</v>
      </c>
      <c r="AJ1550" s="10" t="s">
        <v>8619</v>
      </c>
      <c r="AK1550" s="10" t="s">
        <v>50</v>
      </c>
    </row>
    <row r="1551" spans="1:37" ht="36.75" customHeight="1" x14ac:dyDescent="0.35">
      <c r="A1551" s="5"/>
      <c r="B1551" s="5" t="s">
        <v>37</v>
      </c>
      <c r="C1551" s="73" t="str">
        <f t="shared" si="24"/>
        <v>Closed</v>
      </c>
      <c r="D1551" s="45" t="s">
        <v>8620</v>
      </c>
      <c r="E1551" s="54" t="s">
        <v>8621</v>
      </c>
      <c r="F1551" s="5" t="s">
        <v>816</v>
      </c>
      <c r="G1551" s="10">
        <f>DATE(2013,4,11)</f>
        <v>41375</v>
      </c>
      <c r="H1551" s="35">
        <v>1.5145833333333334</v>
      </c>
      <c r="I1551" s="5" t="s">
        <v>179</v>
      </c>
      <c r="J1551" s="10" t="s">
        <v>8622</v>
      </c>
      <c r="K1551" s="5" t="s">
        <v>818</v>
      </c>
      <c r="L1551" s="5" t="s">
        <v>8623</v>
      </c>
      <c r="M1551" s="5" t="s">
        <v>45</v>
      </c>
      <c r="N1551" s="5" t="s">
        <v>123</v>
      </c>
      <c r="O1551" s="5" t="s">
        <v>59</v>
      </c>
      <c r="P1551" s="10" t="s">
        <v>72</v>
      </c>
      <c r="Q1551" s="10" t="s">
        <v>3041</v>
      </c>
      <c r="R1551" s="10" t="s">
        <v>821</v>
      </c>
      <c r="S1551" s="5">
        <v>0</v>
      </c>
      <c r="T1551" s="37">
        <v>0</v>
      </c>
      <c r="U1551" s="5">
        <v>0</v>
      </c>
      <c r="V1551" s="37">
        <v>0</v>
      </c>
      <c r="W1551" s="5">
        <v>0</v>
      </c>
      <c r="X1551" s="5">
        <v>0</v>
      </c>
      <c r="Y1551" s="5">
        <v>0</v>
      </c>
      <c r="Z1551" s="37">
        <v>0</v>
      </c>
      <c r="AA1551" s="5">
        <v>0</v>
      </c>
      <c r="AB1551" s="5">
        <v>0</v>
      </c>
      <c r="AC1551" s="5">
        <v>0</v>
      </c>
      <c r="AD1551" s="5">
        <v>0</v>
      </c>
      <c r="AE1551" s="10" t="s">
        <v>73</v>
      </c>
      <c r="AF1551" s="10"/>
      <c r="AG1551" s="10" t="s">
        <v>333</v>
      </c>
      <c r="AH1551" s="10">
        <v>41388</v>
      </c>
      <c r="AI1551" s="5">
        <v>0</v>
      </c>
      <c r="AJ1551" s="10" t="s">
        <v>8619</v>
      </c>
      <c r="AK1551" s="10" t="s">
        <v>50</v>
      </c>
    </row>
    <row r="1552" spans="1:37" ht="36.75" customHeight="1" x14ac:dyDescent="0.35">
      <c r="A1552" s="5"/>
      <c r="B1552" s="5" t="s">
        <v>37</v>
      </c>
      <c r="C1552" s="73" t="str">
        <f t="shared" si="24"/>
        <v>Closed</v>
      </c>
      <c r="D1552" s="45" t="s">
        <v>8624</v>
      </c>
      <c r="E1552" s="54" t="s">
        <v>8625</v>
      </c>
      <c r="F1552" s="5" t="s">
        <v>214</v>
      </c>
      <c r="G1552" s="10">
        <f>DATE(2013,4,13)</f>
        <v>41377</v>
      </c>
      <c r="H1552" s="35">
        <v>1.7333333333333334</v>
      </c>
      <c r="I1552" s="5" t="s">
        <v>259</v>
      </c>
      <c r="J1552" s="10" t="s">
        <v>8626</v>
      </c>
      <c r="K1552" s="5" t="s">
        <v>216</v>
      </c>
      <c r="L1552" s="5" t="s">
        <v>8627</v>
      </c>
      <c r="M1552" s="5" t="s">
        <v>236</v>
      </c>
      <c r="N1552" s="5" t="s">
        <v>123</v>
      </c>
      <c r="O1552" s="5" t="s">
        <v>59</v>
      </c>
      <c r="P1552" s="10" t="s">
        <v>6531</v>
      </c>
      <c r="Q1552" s="10" t="s">
        <v>1874</v>
      </c>
      <c r="R1552" s="10" t="s">
        <v>1875</v>
      </c>
      <c r="S1552" s="5">
        <v>0</v>
      </c>
      <c r="T1552" s="37">
        <v>0</v>
      </c>
      <c r="U1552" s="5">
        <v>0</v>
      </c>
      <c r="V1552" s="37">
        <v>0</v>
      </c>
      <c r="W1552" s="5">
        <v>0</v>
      </c>
      <c r="X1552" s="5">
        <v>0</v>
      </c>
      <c r="Y1552" s="5">
        <v>0</v>
      </c>
      <c r="Z1552" s="37">
        <v>0</v>
      </c>
      <c r="AA1552" s="5">
        <v>0</v>
      </c>
      <c r="AB1552" s="5">
        <v>0</v>
      </c>
      <c r="AC1552" s="5">
        <v>0</v>
      </c>
      <c r="AD1552" s="5">
        <v>0</v>
      </c>
      <c r="AE1552" s="10" t="s">
        <v>73</v>
      </c>
      <c r="AF1552" s="10"/>
      <c r="AG1552" s="10" t="s">
        <v>114</v>
      </c>
      <c r="AH1552" s="10">
        <v>41386</v>
      </c>
      <c r="AI1552" s="5">
        <v>8</v>
      </c>
      <c r="AJ1552" s="10" t="s">
        <v>8628</v>
      </c>
      <c r="AK1552" s="10" t="s">
        <v>8629</v>
      </c>
    </row>
    <row r="1553" spans="1:37" ht="36.75" customHeight="1" x14ac:dyDescent="0.35">
      <c r="A1553" s="5"/>
      <c r="B1553" s="5" t="s">
        <v>37</v>
      </c>
      <c r="C1553" s="73" t="str">
        <f t="shared" si="24"/>
        <v>Closed</v>
      </c>
      <c r="D1553" s="45" t="s">
        <v>8630</v>
      </c>
      <c r="E1553" s="54" t="s">
        <v>8631</v>
      </c>
      <c r="F1553" s="5" t="s">
        <v>96</v>
      </c>
      <c r="G1553" s="10">
        <f>DATE(2013,4,16)</f>
        <v>41380</v>
      </c>
      <c r="H1553" s="35">
        <v>1.3631944444444444</v>
      </c>
      <c r="I1553" s="5" t="s">
        <v>97</v>
      </c>
      <c r="J1553" s="10" t="s">
        <v>8632</v>
      </c>
      <c r="K1553" s="5" t="s">
        <v>99</v>
      </c>
      <c r="L1553" s="5" t="s">
        <v>8633</v>
      </c>
      <c r="M1553" s="5" t="s">
        <v>45</v>
      </c>
      <c r="N1553" s="5" t="s">
        <v>123</v>
      </c>
      <c r="O1553" s="5" t="s">
        <v>46</v>
      </c>
      <c r="P1553" s="10" t="s">
        <v>146</v>
      </c>
      <c r="Q1553" s="10" t="s">
        <v>101</v>
      </c>
      <c r="R1553" s="10" t="s">
        <v>102</v>
      </c>
      <c r="S1553" s="5">
        <v>0</v>
      </c>
      <c r="T1553" s="37">
        <v>0</v>
      </c>
      <c r="U1553" s="5">
        <v>0</v>
      </c>
      <c r="V1553" s="37">
        <v>0</v>
      </c>
      <c r="W1553" s="5">
        <v>0</v>
      </c>
      <c r="X1553" s="5">
        <v>0</v>
      </c>
      <c r="Y1553" s="5">
        <v>0</v>
      </c>
      <c r="Z1553" s="37">
        <v>0</v>
      </c>
      <c r="AA1553" s="5">
        <v>0</v>
      </c>
      <c r="AB1553" s="5">
        <v>0</v>
      </c>
      <c r="AC1553" s="5">
        <v>0</v>
      </c>
      <c r="AD1553" s="5">
        <v>0</v>
      </c>
      <c r="AE1553" s="10" t="s">
        <v>375</v>
      </c>
      <c r="AF1553" s="10"/>
      <c r="AG1553" s="10" t="s">
        <v>333</v>
      </c>
      <c r="AH1553" s="10">
        <v>41382</v>
      </c>
      <c r="AI1553" s="5">
        <v>1</v>
      </c>
      <c r="AJ1553" s="10" t="s">
        <v>8634</v>
      </c>
      <c r="AK1553" s="10" t="s">
        <v>8635</v>
      </c>
    </row>
    <row r="1554" spans="1:37" ht="36.75" customHeight="1" x14ac:dyDescent="0.35">
      <c r="A1554" s="5"/>
      <c r="B1554" s="5" t="s">
        <v>37</v>
      </c>
      <c r="C1554" s="73" t="str">
        <f t="shared" si="24"/>
        <v>Closed</v>
      </c>
      <c r="D1554" s="45" t="s">
        <v>8636</v>
      </c>
      <c r="E1554" s="54" t="s">
        <v>8637</v>
      </c>
      <c r="F1554" s="5" t="s">
        <v>1553</v>
      </c>
      <c r="G1554" s="10">
        <f>DATE(2013,4,17)</f>
        <v>41381</v>
      </c>
      <c r="H1554" s="35">
        <v>1.46875</v>
      </c>
      <c r="I1554" s="5" t="s">
        <v>55</v>
      </c>
      <c r="J1554" s="10" t="s">
        <v>8638</v>
      </c>
      <c r="K1554" s="5" t="s">
        <v>1555</v>
      </c>
      <c r="L1554" s="5" t="s">
        <v>8639</v>
      </c>
      <c r="M1554" s="5" t="s">
        <v>45</v>
      </c>
      <c r="N1554" s="5" t="s">
        <v>80</v>
      </c>
      <c r="O1554" s="5" t="s">
        <v>46</v>
      </c>
      <c r="P1554" s="10" t="s">
        <v>60</v>
      </c>
      <c r="Q1554" s="10" t="s">
        <v>2635</v>
      </c>
      <c r="R1554" s="10" t="s">
        <v>6413</v>
      </c>
      <c r="S1554" s="5">
        <v>0</v>
      </c>
      <c r="T1554" s="37">
        <v>0</v>
      </c>
      <c r="U1554" s="5">
        <v>0</v>
      </c>
      <c r="V1554" s="37">
        <v>0</v>
      </c>
      <c r="W1554" s="5">
        <v>0</v>
      </c>
      <c r="X1554" s="5">
        <v>0</v>
      </c>
      <c r="Y1554" s="5">
        <v>0</v>
      </c>
      <c r="Z1554" s="37">
        <v>0</v>
      </c>
      <c r="AA1554" s="5">
        <v>0</v>
      </c>
      <c r="AB1554" s="5">
        <v>0</v>
      </c>
      <c r="AC1554" s="5">
        <v>0</v>
      </c>
      <c r="AD1554" s="5">
        <v>0</v>
      </c>
      <c r="AE1554" s="10" t="s">
        <v>73</v>
      </c>
      <c r="AF1554" s="10"/>
      <c r="AG1554" s="10" t="s">
        <v>333</v>
      </c>
      <c r="AH1554" s="10">
        <v>41383</v>
      </c>
      <c r="AI1554" s="5">
        <v>0</v>
      </c>
      <c r="AJ1554" s="10" t="s">
        <v>8640</v>
      </c>
      <c r="AK1554" s="10" t="s">
        <v>8641</v>
      </c>
    </row>
    <row r="1555" spans="1:37" ht="36.75" customHeight="1" x14ac:dyDescent="0.35">
      <c r="A1555" s="5"/>
      <c r="B1555" s="5" t="s">
        <v>37</v>
      </c>
      <c r="C1555" s="73" t="str">
        <f t="shared" si="24"/>
        <v>Closed</v>
      </c>
      <c r="D1555" s="45" t="s">
        <v>8642</v>
      </c>
      <c r="E1555" s="54" t="s">
        <v>8643</v>
      </c>
      <c r="F1555" s="5" t="s">
        <v>816</v>
      </c>
      <c r="G1555" s="10">
        <f>DATE(2013,4,18)</f>
        <v>41382</v>
      </c>
      <c r="H1555" s="35">
        <v>1.7013888888888888</v>
      </c>
      <c r="I1555" s="5" t="s">
        <v>55</v>
      </c>
      <c r="J1555" s="10" t="s">
        <v>8644</v>
      </c>
      <c r="K1555" s="5" t="s">
        <v>818</v>
      </c>
      <c r="L1555" s="5" t="s">
        <v>8645</v>
      </c>
      <c r="M1555" s="5" t="s">
        <v>45</v>
      </c>
      <c r="N1555" s="5" t="s">
        <v>80</v>
      </c>
      <c r="O1555" s="5" t="s">
        <v>59</v>
      </c>
      <c r="P1555" s="10" t="s">
        <v>146</v>
      </c>
      <c r="Q1555" s="10" t="s">
        <v>2142</v>
      </c>
      <c r="R1555" s="10" t="s">
        <v>821</v>
      </c>
      <c r="S1555" s="5">
        <v>0</v>
      </c>
      <c r="T1555" s="37">
        <v>0</v>
      </c>
      <c r="U1555" s="5">
        <v>0</v>
      </c>
      <c r="V1555" s="37">
        <v>0</v>
      </c>
      <c r="W1555" s="5">
        <v>0</v>
      </c>
      <c r="X1555" s="5">
        <v>0</v>
      </c>
      <c r="Y1555" s="5">
        <v>0</v>
      </c>
      <c r="Z1555" s="37">
        <v>0</v>
      </c>
      <c r="AA1555" s="5">
        <v>0</v>
      </c>
      <c r="AB1555" s="5">
        <v>0</v>
      </c>
      <c r="AC1555" s="5">
        <v>0</v>
      </c>
      <c r="AD1555" s="5">
        <v>0</v>
      </c>
      <c r="AE1555" s="10" t="s">
        <v>73</v>
      </c>
      <c r="AF1555" s="10"/>
      <c r="AG1555" s="10" t="s">
        <v>7474</v>
      </c>
      <c r="AH1555" s="10">
        <v>41388</v>
      </c>
      <c r="AI1555" s="5">
        <v>1</v>
      </c>
      <c r="AJ1555" s="10" t="s">
        <v>8646</v>
      </c>
      <c r="AK1555" s="10" t="s">
        <v>8647</v>
      </c>
    </row>
    <row r="1556" spans="1:37" ht="36.75" customHeight="1" x14ac:dyDescent="0.35">
      <c r="A1556" s="5"/>
      <c r="B1556" s="5" t="s">
        <v>37</v>
      </c>
      <c r="C1556" s="73" t="str">
        <f t="shared" si="24"/>
        <v>Closed</v>
      </c>
      <c r="D1556" s="45" t="s">
        <v>8648</v>
      </c>
      <c r="E1556" s="54" t="s">
        <v>8649</v>
      </c>
      <c r="F1556" s="5" t="s">
        <v>619</v>
      </c>
      <c r="G1556" s="10">
        <f>DATE(2013,4,20)</f>
        <v>41384</v>
      </c>
      <c r="H1556" s="35">
        <v>1.5270833333333333</v>
      </c>
      <c r="I1556" s="5" t="s">
        <v>259</v>
      </c>
      <c r="J1556" s="10" t="s">
        <v>8650</v>
      </c>
      <c r="K1556" s="5" t="s">
        <v>621</v>
      </c>
      <c r="L1556" s="5" t="s">
        <v>8651</v>
      </c>
      <c r="M1556" s="5" t="s">
        <v>45</v>
      </c>
      <c r="N1556" s="5" t="s">
        <v>123</v>
      </c>
      <c r="O1556" s="5" t="s">
        <v>59</v>
      </c>
      <c r="P1556" s="10" t="s">
        <v>47</v>
      </c>
      <c r="Q1556" s="10" t="s">
        <v>623</v>
      </c>
      <c r="R1556" s="10" t="s">
        <v>624</v>
      </c>
      <c r="S1556" s="5">
        <v>0</v>
      </c>
      <c r="T1556" s="37">
        <v>0</v>
      </c>
      <c r="U1556" s="5">
        <v>0</v>
      </c>
      <c r="V1556" s="37">
        <v>0</v>
      </c>
      <c r="W1556" s="5">
        <v>1</v>
      </c>
      <c r="X1556" s="5">
        <v>1</v>
      </c>
      <c r="Y1556" s="5">
        <v>0</v>
      </c>
      <c r="Z1556" s="37">
        <v>0</v>
      </c>
      <c r="AA1556" s="5">
        <v>0</v>
      </c>
      <c r="AB1556" s="5">
        <v>0</v>
      </c>
      <c r="AC1556" s="5">
        <v>0</v>
      </c>
      <c r="AD1556" s="5">
        <v>0</v>
      </c>
      <c r="AE1556" s="10" t="s">
        <v>73</v>
      </c>
      <c r="AF1556" s="10"/>
      <c r="AG1556" s="10" t="s">
        <v>333</v>
      </c>
      <c r="AH1556" s="10">
        <v>41393</v>
      </c>
      <c r="AI1556" s="5">
        <v>1</v>
      </c>
      <c r="AJ1556" s="10" t="s">
        <v>8652</v>
      </c>
      <c r="AK1556" s="10" t="s">
        <v>50</v>
      </c>
    </row>
    <row r="1557" spans="1:37" ht="36.75" customHeight="1" x14ac:dyDescent="0.35">
      <c r="A1557" s="5"/>
      <c r="B1557" s="5" t="s">
        <v>37</v>
      </c>
      <c r="C1557" s="73" t="str">
        <f t="shared" si="24"/>
        <v>Closed</v>
      </c>
      <c r="D1557" s="45" t="s">
        <v>8653</v>
      </c>
      <c r="E1557" s="54" t="s">
        <v>8654</v>
      </c>
      <c r="F1557" s="5" t="s">
        <v>214</v>
      </c>
      <c r="G1557" s="10">
        <f>DATE(2013,4,21)</f>
        <v>41385</v>
      </c>
      <c r="H1557" s="35">
        <v>1.125</v>
      </c>
      <c r="I1557" s="5" t="s">
        <v>468</v>
      </c>
      <c r="J1557" s="10" t="s">
        <v>8655</v>
      </c>
      <c r="K1557" s="5" t="s">
        <v>216</v>
      </c>
      <c r="L1557" s="5" t="s">
        <v>8656</v>
      </c>
      <c r="M1557" s="5" t="s">
        <v>45</v>
      </c>
      <c r="N1557" s="5" t="s">
        <v>123</v>
      </c>
      <c r="O1557" s="5" t="s">
        <v>46</v>
      </c>
      <c r="P1557" s="10" t="s">
        <v>282</v>
      </c>
      <c r="Q1557" s="10" t="s">
        <v>699</v>
      </c>
      <c r="R1557" s="10" t="s">
        <v>219</v>
      </c>
      <c r="S1557" s="5">
        <v>0</v>
      </c>
      <c r="T1557" s="37">
        <v>0</v>
      </c>
      <c r="U1557" s="5">
        <v>0</v>
      </c>
      <c r="V1557" s="37">
        <v>0</v>
      </c>
      <c r="W1557" s="5">
        <v>0</v>
      </c>
      <c r="X1557" s="5">
        <v>0</v>
      </c>
      <c r="Y1557" s="5">
        <v>0</v>
      </c>
      <c r="Z1557" s="37">
        <v>1</v>
      </c>
      <c r="AA1557" s="5">
        <v>0</v>
      </c>
      <c r="AB1557" s="5">
        <v>0</v>
      </c>
      <c r="AC1557" s="5">
        <v>0</v>
      </c>
      <c r="AD1557" s="5">
        <v>1</v>
      </c>
      <c r="AE1557" s="10" t="s">
        <v>73</v>
      </c>
      <c r="AF1557" s="10"/>
      <c r="AG1557" s="10" t="s">
        <v>114</v>
      </c>
      <c r="AH1557" s="10">
        <v>41407</v>
      </c>
      <c r="AI1557" s="5">
        <v>4</v>
      </c>
      <c r="AJ1557" s="10" t="s">
        <v>8657</v>
      </c>
      <c r="AK1557" s="10" t="s">
        <v>8658</v>
      </c>
    </row>
    <row r="1558" spans="1:37" ht="36.75" customHeight="1" x14ac:dyDescent="0.35">
      <c r="A1558" s="5"/>
      <c r="B1558" s="5" t="s">
        <v>37</v>
      </c>
      <c r="C1558" s="73" t="str">
        <f t="shared" si="24"/>
        <v>Closed</v>
      </c>
      <c r="D1558" s="45" t="s">
        <v>8659</v>
      </c>
      <c r="E1558" s="54" t="s">
        <v>8660</v>
      </c>
      <c r="F1558" s="5" t="s">
        <v>816</v>
      </c>
      <c r="G1558" s="10">
        <f>DATE(2013,4,22)</f>
        <v>41386</v>
      </c>
      <c r="H1558" s="35">
        <v>0</v>
      </c>
      <c r="I1558" s="5" t="s">
        <v>97</v>
      </c>
      <c r="J1558" s="10" t="s">
        <v>8661</v>
      </c>
      <c r="K1558" s="5" t="s">
        <v>818</v>
      </c>
      <c r="L1558" s="5" t="s">
        <v>8662</v>
      </c>
      <c r="M1558" s="5" t="s">
        <v>45</v>
      </c>
      <c r="N1558" s="5" t="s">
        <v>80</v>
      </c>
      <c r="O1558" s="5" t="s">
        <v>59</v>
      </c>
      <c r="P1558" s="10" t="s">
        <v>47</v>
      </c>
      <c r="Q1558" s="10" t="s">
        <v>2142</v>
      </c>
      <c r="R1558" s="10" t="s">
        <v>821</v>
      </c>
      <c r="S1558" s="5">
        <v>0</v>
      </c>
      <c r="T1558" s="37">
        <v>0</v>
      </c>
      <c r="U1558" s="5">
        <v>1</v>
      </c>
      <c r="V1558" s="37">
        <v>0</v>
      </c>
      <c r="W1558" s="5">
        <v>0</v>
      </c>
      <c r="X1558" s="5">
        <v>1</v>
      </c>
      <c r="Y1558" s="5">
        <v>0</v>
      </c>
      <c r="Z1558" s="37">
        <v>0</v>
      </c>
      <c r="AA1558" s="5">
        <v>0</v>
      </c>
      <c r="AB1558" s="5">
        <v>0</v>
      </c>
      <c r="AC1558" s="5">
        <v>0</v>
      </c>
      <c r="AD1558" s="5">
        <v>0</v>
      </c>
      <c r="AE1558" s="10" t="s">
        <v>73</v>
      </c>
      <c r="AF1558" s="10"/>
      <c r="AG1558" s="10" t="s">
        <v>333</v>
      </c>
      <c r="AH1558" s="10">
        <v>41386</v>
      </c>
      <c r="AI1558" s="5">
        <v>0</v>
      </c>
      <c r="AJ1558" s="10" t="s">
        <v>8663</v>
      </c>
      <c r="AK1558" s="10" t="s">
        <v>50</v>
      </c>
    </row>
    <row r="1559" spans="1:37" ht="36.75" customHeight="1" x14ac:dyDescent="0.35">
      <c r="A1559" s="5"/>
      <c r="B1559" s="5" t="s">
        <v>37</v>
      </c>
      <c r="C1559" s="73" t="str">
        <f t="shared" si="24"/>
        <v>Closed</v>
      </c>
      <c r="D1559" s="45" t="s">
        <v>8664</v>
      </c>
      <c r="E1559" s="54" t="s">
        <v>8665</v>
      </c>
      <c r="F1559" s="5" t="s">
        <v>404</v>
      </c>
      <c r="G1559" s="10">
        <f>DATE(2013,4,25)</f>
        <v>41389</v>
      </c>
      <c r="H1559" s="35">
        <v>1.6534722222222222</v>
      </c>
      <c r="I1559" s="5" t="s">
        <v>55</v>
      </c>
      <c r="J1559" s="10" t="s">
        <v>8666</v>
      </c>
      <c r="K1559" s="5" t="s">
        <v>406</v>
      </c>
      <c r="L1559" s="5" t="s">
        <v>8667</v>
      </c>
      <c r="M1559" s="5" t="s">
        <v>45</v>
      </c>
      <c r="N1559" s="5" t="s">
        <v>80</v>
      </c>
      <c r="O1559" s="5" t="s">
        <v>46</v>
      </c>
      <c r="P1559" s="10" t="s">
        <v>146</v>
      </c>
      <c r="Q1559" s="10" t="s">
        <v>408</v>
      </c>
      <c r="R1559" s="10" t="s">
        <v>3083</v>
      </c>
      <c r="S1559" s="5">
        <v>0</v>
      </c>
      <c r="T1559" s="37">
        <v>0</v>
      </c>
      <c r="U1559" s="5">
        <v>0</v>
      </c>
      <c r="V1559" s="37">
        <v>0</v>
      </c>
      <c r="W1559" s="5">
        <v>0</v>
      </c>
      <c r="X1559" s="5">
        <v>0</v>
      </c>
      <c r="Y1559" s="5">
        <v>0</v>
      </c>
      <c r="Z1559" s="37">
        <v>0</v>
      </c>
      <c r="AA1559" s="5">
        <v>0</v>
      </c>
      <c r="AB1559" s="5">
        <v>0</v>
      </c>
      <c r="AC1559" s="5">
        <v>0</v>
      </c>
      <c r="AD1559" s="5">
        <v>0</v>
      </c>
      <c r="AE1559" s="10" t="s">
        <v>73</v>
      </c>
      <c r="AF1559" s="10"/>
      <c r="AG1559" s="10" t="s">
        <v>114</v>
      </c>
      <c r="AH1559" s="10">
        <v>41390</v>
      </c>
      <c r="AI1559" s="5">
        <v>6</v>
      </c>
      <c r="AJ1559" s="10" t="s">
        <v>8668</v>
      </c>
      <c r="AK1559" s="10" t="s">
        <v>8669</v>
      </c>
    </row>
    <row r="1560" spans="1:37" ht="36.75" customHeight="1" x14ac:dyDescent="0.35">
      <c r="A1560" s="5"/>
      <c r="B1560" s="5" t="s">
        <v>37</v>
      </c>
      <c r="C1560" s="73" t="str">
        <f t="shared" si="24"/>
        <v>Closed</v>
      </c>
      <c r="D1560" s="45" t="s">
        <v>8670</v>
      </c>
      <c r="E1560" s="54" t="s">
        <v>8671</v>
      </c>
      <c r="F1560" s="5" t="s">
        <v>619</v>
      </c>
      <c r="G1560" s="10">
        <f>DATE(2013,4,28)</f>
        <v>41392</v>
      </c>
      <c r="H1560" s="35">
        <v>1.4152777777777779</v>
      </c>
      <c r="I1560" s="5" t="s">
        <v>179</v>
      </c>
      <c r="J1560" s="10" t="s">
        <v>8672</v>
      </c>
      <c r="K1560" s="5" t="s">
        <v>621</v>
      </c>
      <c r="L1560" s="5" t="s">
        <v>8673</v>
      </c>
      <c r="M1560" s="5" t="s">
        <v>45</v>
      </c>
      <c r="N1560" s="5" t="s">
        <v>80</v>
      </c>
      <c r="O1560" s="5" t="s">
        <v>46</v>
      </c>
      <c r="P1560" s="10" t="s">
        <v>6881</v>
      </c>
      <c r="Q1560" s="10" t="s">
        <v>623</v>
      </c>
      <c r="R1560" s="10">
        <v>0</v>
      </c>
      <c r="S1560" s="5">
        <v>0</v>
      </c>
      <c r="T1560" s="37">
        <v>0</v>
      </c>
      <c r="U1560" s="5">
        <v>0</v>
      </c>
      <c r="V1560" s="37">
        <v>0</v>
      </c>
      <c r="W1560" s="5">
        <v>0</v>
      </c>
      <c r="X1560" s="5">
        <v>0</v>
      </c>
      <c r="Y1560" s="5">
        <v>0</v>
      </c>
      <c r="Z1560" s="37">
        <v>0</v>
      </c>
      <c r="AA1560" s="5">
        <v>0</v>
      </c>
      <c r="AB1560" s="5">
        <v>0</v>
      </c>
      <c r="AC1560" s="5">
        <v>0</v>
      </c>
      <c r="AD1560" s="5">
        <v>0</v>
      </c>
      <c r="AE1560" s="10" t="s">
        <v>73</v>
      </c>
      <c r="AF1560" s="10"/>
      <c r="AG1560" s="10" t="s">
        <v>333</v>
      </c>
      <c r="AH1560" s="10">
        <v>41393</v>
      </c>
      <c r="AI1560" s="5">
        <v>1</v>
      </c>
      <c r="AJ1560" s="10" t="s">
        <v>8674</v>
      </c>
      <c r="AK1560" s="10" t="s">
        <v>50</v>
      </c>
    </row>
    <row r="1561" spans="1:37" ht="36.75" customHeight="1" x14ac:dyDescent="0.35">
      <c r="A1561" s="5"/>
      <c r="B1561" s="5" t="s">
        <v>37</v>
      </c>
      <c r="C1561" s="73" t="str">
        <f t="shared" si="24"/>
        <v>Closed</v>
      </c>
      <c r="D1561" s="45" t="s">
        <v>8675</v>
      </c>
      <c r="E1561" s="54" t="s">
        <v>8676</v>
      </c>
      <c r="F1561" s="5" t="s">
        <v>1553</v>
      </c>
      <c r="G1561" s="10">
        <f>DATE(2013,5,1)</f>
        <v>41395</v>
      </c>
      <c r="H1561" s="35">
        <v>1.2395833333333333</v>
      </c>
      <c r="I1561" s="5" t="s">
        <v>55</v>
      </c>
      <c r="J1561" s="10" t="s">
        <v>8677</v>
      </c>
      <c r="K1561" s="5" t="s">
        <v>1555</v>
      </c>
      <c r="L1561" s="5" t="s">
        <v>8678</v>
      </c>
      <c r="M1561" s="5" t="s">
        <v>45</v>
      </c>
      <c r="N1561" s="5" t="s">
        <v>123</v>
      </c>
      <c r="O1561" s="5" t="s">
        <v>59</v>
      </c>
      <c r="P1561" s="10" t="s">
        <v>60</v>
      </c>
      <c r="Q1561" s="10" t="s">
        <v>6003</v>
      </c>
      <c r="R1561" s="10" t="s">
        <v>6413</v>
      </c>
      <c r="S1561" s="5">
        <v>0</v>
      </c>
      <c r="T1561" s="37">
        <v>0</v>
      </c>
      <c r="U1561" s="5">
        <v>0</v>
      </c>
      <c r="V1561" s="37">
        <v>0</v>
      </c>
      <c r="W1561" s="5">
        <v>0</v>
      </c>
      <c r="X1561" s="5">
        <v>0</v>
      </c>
      <c r="Y1561" s="5">
        <v>0</v>
      </c>
      <c r="Z1561" s="37">
        <v>0</v>
      </c>
      <c r="AA1561" s="5">
        <v>0</v>
      </c>
      <c r="AB1561" s="5">
        <v>0</v>
      </c>
      <c r="AC1561" s="5">
        <v>0</v>
      </c>
      <c r="AD1561" s="5">
        <v>0</v>
      </c>
      <c r="AE1561" s="10" t="s">
        <v>73</v>
      </c>
      <c r="AF1561" s="10"/>
      <c r="AG1561" s="10" t="s">
        <v>114</v>
      </c>
      <c r="AH1561" s="10">
        <v>41401</v>
      </c>
      <c r="AI1561" s="5">
        <v>0</v>
      </c>
      <c r="AJ1561" s="10" t="s">
        <v>8679</v>
      </c>
      <c r="AK1561" s="10" t="s">
        <v>1215</v>
      </c>
    </row>
    <row r="1562" spans="1:37" ht="36.75" customHeight="1" x14ac:dyDescent="0.35">
      <c r="A1562" s="5"/>
      <c r="B1562" s="5" t="s">
        <v>37</v>
      </c>
      <c r="C1562" s="73" t="str">
        <f t="shared" si="24"/>
        <v>Closed</v>
      </c>
      <c r="D1562" s="45" t="s">
        <v>8680</v>
      </c>
      <c r="E1562" s="54" t="s">
        <v>8681</v>
      </c>
      <c r="F1562" s="5" t="s">
        <v>404</v>
      </c>
      <c r="G1562" s="10">
        <f>DATE(2013,5,2)</f>
        <v>41396</v>
      </c>
      <c r="H1562" s="35">
        <v>1.6215277777777777</v>
      </c>
      <c r="I1562" s="5" t="s">
        <v>85</v>
      </c>
      <c r="J1562" s="10" t="s">
        <v>8682</v>
      </c>
      <c r="K1562" s="5" t="s">
        <v>406</v>
      </c>
      <c r="L1562" s="5" t="s">
        <v>8683</v>
      </c>
      <c r="M1562" s="5" t="s">
        <v>45</v>
      </c>
      <c r="N1562" s="5" t="s">
        <v>70</v>
      </c>
      <c r="O1562" s="5" t="s">
        <v>59</v>
      </c>
      <c r="P1562" s="10" t="s">
        <v>146</v>
      </c>
      <c r="Q1562" s="10" t="s">
        <v>408</v>
      </c>
      <c r="R1562" s="10" t="s">
        <v>3083</v>
      </c>
      <c r="S1562" s="5">
        <v>0</v>
      </c>
      <c r="T1562" s="37">
        <v>0</v>
      </c>
      <c r="U1562" s="5">
        <v>0</v>
      </c>
      <c r="V1562" s="37">
        <v>0</v>
      </c>
      <c r="W1562" s="5">
        <v>0</v>
      </c>
      <c r="X1562" s="5">
        <v>0</v>
      </c>
      <c r="Y1562" s="5">
        <v>0</v>
      </c>
      <c r="Z1562" s="37">
        <v>0</v>
      </c>
      <c r="AA1562" s="5">
        <v>0</v>
      </c>
      <c r="AB1562" s="5">
        <v>0</v>
      </c>
      <c r="AC1562" s="5">
        <v>0</v>
      </c>
      <c r="AD1562" s="5">
        <v>0</v>
      </c>
      <c r="AE1562" s="10" t="s">
        <v>73</v>
      </c>
      <c r="AF1562" s="10"/>
      <c r="AG1562" s="10" t="s">
        <v>114</v>
      </c>
      <c r="AH1562" s="10">
        <v>41408</v>
      </c>
      <c r="AI1562" s="5">
        <v>7</v>
      </c>
      <c r="AJ1562" s="10" t="s">
        <v>8684</v>
      </c>
      <c r="AK1562" s="10" t="s">
        <v>8685</v>
      </c>
    </row>
    <row r="1563" spans="1:37" ht="36.75" customHeight="1" x14ac:dyDescent="0.35">
      <c r="A1563" s="5"/>
      <c r="B1563" s="5" t="s">
        <v>37</v>
      </c>
      <c r="C1563" s="73" t="str">
        <f t="shared" si="24"/>
        <v>Closed</v>
      </c>
      <c r="D1563" s="45" t="s">
        <v>8686</v>
      </c>
      <c r="E1563" s="54" t="s">
        <v>8687</v>
      </c>
      <c r="F1563" s="5" t="s">
        <v>1553</v>
      </c>
      <c r="G1563" s="10">
        <f>DATE(2013,5,3)</f>
        <v>41397</v>
      </c>
      <c r="H1563" s="35">
        <v>1.754861111111111</v>
      </c>
      <c r="I1563" s="5" t="s">
        <v>106</v>
      </c>
      <c r="J1563" s="10" t="s">
        <v>8688</v>
      </c>
      <c r="K1563" s="5" t="s">
        <v>1555</v>
      </c>
      <c r="L1563" s="5" t="s">
        <v>8689</v>
      </c>
      <c r="M1563" s="5" t="s">
        <v>45</v>
      </c>
      <c r="N1563" s="5" t="s">
        <v>123</v>
      </c>
      <c r="O1563" s="5" t="s">
        <v>46</v>
      </c>
      <c r="P1563" s="10" t="s">
        <v>60</v>
      </c>
      <c r="Q1563" s="10" t="s">
        <v>2635</v>
      </c>
      <c r="R1563" s="10" t="s">
        <v>6413</v>
      </c>
      <c r="S1563" s="5">
        <v>0</v>
      </c>
      <c r="T1563" s="37">
        <v>0</v>
      </c>
      <c r="U1563" s="5">
        <v>0</v>
      </c>
      <c r="V1563" s="37">
        <v>0</v>
      </c>
      <c r="W1563" s="5">
        <v>0</v>
      </c>
      <c r="X1563" s="5">
        <v>0</v>
      </c>
      <c r="Y1563" s="5">
        <v>0</v>
      </c>
      <c r="Z1563" s="37">
        <v>0</v>
      </c>
      <c r="AA1563" s="5">
        <v>0</v>
      </c>
      <c r="AB1563" s="5">
        <v>0</v>
      </c>
      <c r="AC1563" s="5">
        <v>0</v>
      </c>
      <c r="AD1563" s="5">
        <v>0</v>
      </c>
      <c r="AE1563" s="10" t="s">
        <v>73</v>
      </c>
      <c r="AF1563" s="10"/>
      <c r="AG1563" s="10" t="s">
        <v>114</v>
      </c>
      <c r="AH1563" s="10">
        <v>41401</v>
      </c>
      <c r="AI1563" s="5">
        <v>0</v>
      </c>
      <c r="AJ1563" s="10" t="s">
        <v>8690</v>
      </c>
      <c r="AK1563" s="10" t="s">
        <v>8691</v>
      </c>
    </row>
    <row r="1564" spans="1:37" ht="36.75" customHeight="1" x14ac:dyDescent="0.35">
      <c r="A1564" s="5"/>
      <c r="B1564" s="5" t="s">
        <v>37</v>
      </c>
      <c r="C1564" s="73" t="str">
        <f t="shared" si="24"/>
        <v>Closed</v>
      </c>
      <c r="D1564" s="45" t="s">
        <v>8692</v>
      </c>
      <c r="E1564" s="54" t="s">
        <v>8693</v>
      </c>
      <c r="F1564" s="5" t="s">
        <v>1751</v>
      </c>
      <c r="G1564" s="10">
        <f>DATE(2013,5,4)</f>
        <v>41398</v>
      </c>
      <c r="H1564" s="35">
        <v>1.0819444444444444</v>
      </c>
      <c r="I1564" s="5" t="s">
        <v>55</v>
      </c>
      <c r="J1564" s="10" t="s">
        <v>8694</v>
      </c>
      <c r="K1564" s="5" t="s">
        <v>1753</v>
      </c>
      <c r="L1564" s="5" t="s">
        <v>8695</v>
      </c>
      <c r="M1564" s="5" t="s">
        <v>45</v>
      </c>
      <c r="N1564" s="5" t="s">
        <v>123</v>
      </c>
      <c r="O1564" s="5" t="s">
        <v>46</v>
      </c>
      <c r="P1564" s="10" t="s">
        <v>60</v>
      </c>
      <c r="Q1564" s="10">
        <v>0</v>
      </c>
      <c r="R1564" s="10" t="s">
        <v>1756</v>
      </c>
      <c r="S1564" s="5">
        <v>0</v>
      </c>
      <c r="T1564" s="37">
        <v>0</v>
      </c>
      <c r="U1564" s="5">
        <v>0</v>
      </c>
      <c r="V1564" s="37">
        <v>0</v>
      </c>
      <c r="W1564" s="5">
        <v>1</v>
      </c>
      <c r="X1564" s="5">
        <v>1</v>
      </c>
      <c r="Y1564" s="5">
        <v>0</v>
      </c>
      <c r="Z1564" s="37">
        <v>0</v>
      </c>
      <c r="AA1564" s="5">
        <v>0</v>
      </c>
      <c r="AB1564" s="5">
        <v>0</v>
      </c>
      <c r="AC1564" s="5">
        <v>0</v>
      </c>
      <c r="AD1564" s="5">
        <v>0</v>
      </c>
      <c r="AE1564" s="10" t="s">
        <v>126</v>
      </c>
      <c r="AF1564" s="10"/>
      <c r="AG1564" s="10" t="s">
        <v>64</v>
      </c>
      <c r="AH1564" s="10">
        <v>41398</v>
      </c>
      <c r="AI1564" s="5">
        <v>10</v>
      </c>
      <c r="AJ1564" s="10" t="s">
        <v>8696</v>
      </c>
      <c r="AK1564" s="10" t="s">
        <v>8697</v>
      </c>
    </row>
    <row r="1565" spans="1:37" ht="36.75" customHeight="1" x14ac:dyDescent="0.35">
      <c r="A1565" s="5"/>
      <c r="B1565" s="5" t="s">
        <v>37</v>
      </c>
      <c r="C1565" s="73" t="str">
        <f t="shared" si="24"/>
        <v>Closed</v>
      </c>
      <c r="D1565" s="45" t="s">
        <v>8698</v>
      </c>
      <c r="E1565" s="54" t="s">
        <v>8699</v>
      </c>
      <c r="F1565" s="5" t="s">
        <v>432</v>
      </c>
      <c r="G1565" s="10">
        <f>DATE(2013,5,5)</f>
        <v>41399</v>
      </c>
      <c r="H1565" s="35">
        <v>1.3930555555555555</v>
      </c>
      <c r="I1565" s="5" t="s">
        <v>97</v>
      </c>
      <c r="J1565" s="10" t="s">
        <v>8700</v>
      </c>
      <c r="K1565" s="5" t="s">
        <v>434</v>
      </c>
      <c r="L1565" s="5" t="s">
        <v>8701</v>
      </c>
      <c r="M1565" s="5" t="s">
        <v>45</v>
      </c>
      <c r="N1565" s="5" t="s">
        <v>80</v>
      </c>
      <c r="O1565" s="5" t="s">
        <v>46</v>
      </c>
      <c r="P1565" s="10" t="s">
        <v>47</v>
      </c>
      <c r="Q1565" s="10" t="s">
        <v>552</v>
      </c>
      <c r="R1565" s="10" t="s">
        <v>553</v>
      </c>
      <c r="S1565" s="5">
        <v>0</v>
      </c>
      <c r="T1565" s="37">
        <v>0</v>
      </c>
      <c r="U1565" s="5">
        <v>3</v>
      </c>
      <c r="V1565" s="37">
        <v>0</v>
      </c>
      <c r="W1565" s="5">
        <v>0</v>
      </c>
      <c r="X1565" s="5">
        <v>3</v>
      </c>
      <c r="Y1565" s="5">
        <v>0</v>
      </c>
      <c r="Z1565" s="37">
        <v>0</v>
      </c>
      <c r="AA1565" s="5">
        <v>0</v>
      </c>
      <c r="AB1565" s="5">
        <v>0</v>
      </c>
      <c r="AC1565" s="5">
        <v>0</v>
      </c>
      <c r="AD1565" s="5">
        <v>0</v>
      </c>
      <c r="AE1565" s="10" t="s">
        <v>73</v>
      </c>
      <c r="AF1565" s="10"/>
      <c r="AG1565" s="10" t="s">
        <v>64</v>
      </c>
      <c r="AH1565" s="10">
        <v>41399</v>
      </c>
      <c r="AI1565" s="5">
        <v>1</v>
      </c>
      <c r="AJ1565" s="10" t="s">
        <v>8702</v>
      </c>
      <c r="AK1565" s="10" t="s">
        <v>1215</v>
      </c>
    </row>
    <row r="1566" spans="1:37" ht="36.75" customHeight="1" x14ac:dyDescent="0.35">
      <c r="A1566" s="5"/>
      <c r="B1566" s="5" t="s">
        <v>37</v>
      </c>
      <c r="C1566" s="73" t="str">
        <f t="shared" si="24"/>
        <v>Closed</v>
      </c>
      <c r="D1566" s="45" t="s">
        <v>8703</v>
      </c>
      <c r="E1566" s="54" t="s">
        <v>8704</v>
      </c>
      <c r="F1566" s="5" t="s">
        <v>816</v>
      </c>
      <c r="G1566" s="10">
        <f>DATE(2013,5,7)</f>
        <v>41401</v>
      </c>
      <c r="H1566" s="35">
        <v>0</v>
      </c>
      <c r="I1566" s="5" t="s">
        <v>55</v>
      </c>
      <c r="J1566" s="10" t="s">
        <v>8705</v>
      </c>
      <c r="K1566" s="5" t="s">
        <v>818</v>
      </c>
      <c r="L1566" s="5" t="s">
        <v>8706</v>
      </c>
      <c r="M1566" s="5" t="s">
        <v>236</v>
      </c>
      <c r="N1566" s="5" t="s">
        <v>123</v>
      </c>
      <c r="O1566" s="5" t="s">
        <v>59</v>
      </c>
      <c r="P1566" s="10" t="s">
        <v>6531</v>
      </c>
      <c r="Q1566" s="10">
        <v>0</v>
      </c>
      <c r="R1566" s="10">
        <v>0</v>
      </c>
      <c r="S1566" s="5">
        <v>0</v>
      </c>
      <c r="T1566" s="37">
        <v>0</v>
      </c>
      <c r="U1566" s="5">
        <v>0</v>
      </c>
      <c r="V1566" s="37">
        <v>0</v>
      </c>
      <c r="W1566" s="5">
        <v>0</v>
      </c>
      <c r="X1566" s="5">
        <v>0</v>
      </c>
      <c r="Y1566" s="5">
        <v>0</v>
      </c>
      <c r="Z1566" s="37">
        <v>0</v>
      </c>
      <c r="AA1566" s="5">
        <v>0</v>
      </c>
      <c r="AB1566" s="5">
        <v>0</v>
      </c>
      <c r="AC1566" s="5">
        <v>0</v>
      </c>
      <c r="AD1566" s="5">
        <v>0</v>
      </c>
      <c r="AE1566" s="10" t="s">
        <v>73</v>
      </c>
      <c r="AF1566" s="10"/>
      <c r="AG1566" s="10" t="s">
        <v>333</v>
      </c>
      <c r="AH1566" s="10">
        <v>41402</v>
      </c>
      <c r="AI1566" s="5">
        <v>0</v>
      </c>
      <c r="AJ1566" s="10" t="s">
        <v>8707</v>
      </c>
      <c r="AK1566" s="10" t="s">
        <v>50</v>
      </c>
    </row>
    <row r="1567" spans="1:37" ht="36.75" customHeight="1" x14ac:dyDescent="0.35">
      <c r="A1567" s="5"/>
      <c r="B1567" s="5" t="s">
        <v>37</v>
      </c>
      <c r="C1567" s="73" t="str">
        <f t="shared" si="24"/>
        <v>Closed</v>
      </c>
      <c r="D1567" s="45" t="s">
        <v>8708</v>
      </c>
      <c r="E1567" s="54" t="s">
        <v>8709</v>
      </c>
      <c r="F1567" s="5" t="s">
        <v>1553</v>
      </c>
      <c r="G1567" s="10">
        <f>DATE(2013,5,8)</f>
        <v>41402</v>
      </c>
      <c r="H1567" s="51">
        <v>1.7395833333333335</v>
      </c>
      <c r="I1567" s="5" t="s">
        <v>55</v>
      </c>
      <c r="J1567" s="10" t="s">
        <v>8710</v>
      </c>
      <c r="K1567" s="5" t="s">
        <v>1555</v>
      </c>
      <c r="L1567" s="5" t="s">
        <v>8711</v>
      </c>
      <c r="M1567" s="5" t="s">
        <v>45</v>
      </c>
      <c r="N1567" s="5" t="s">
        <v>80</v>
      </c>
      <c r="O1567" s="5" t="s">
        <v>46</v>
      </c>
      <c r="P1567" s="10" t="s">
        <v>60</v>
      </c>
      <c r="Q1567" s="10" t="s">
        <v>2635</v>
      </c>
      <c r="R1567" s="10" t="s">
        <v>6413</v>
      </c>
      <c r="S1567" s="5">
        <v>0</v>
      </c>
      <c r="T1567" s="36">
        <v>0</v>
      </c>
      <c r="U1567" s="5">
        <v>0</v>
      </c>
      <c r="V1567" s="36">
        <v>0</v>
      </c>
      <c r="W1567" s="5">
        <v>0</v>
      </c>
      <c r="X1567" s="5">
        <v>0</v>
      </c>
      <c r="Y1567" s="5">
        <v>0</v>
      </c>
      <c r="Z1567" s="36">
        <v>0</v>
      </c>
      <c r="AA1567" s="5">
        <v>0</v>
      </c>
      <c r="AB1567" s="5">
        <v>0</v>
      </c>
      <c r="AC1567" s="5">
        <v>0</v>
      </c>
      <c r="AD1567" s="5">
        <v>0</v>
      </c>
      <c r="AE1567" s="10" t="s">
        <v>375</v>
      </c>
      <c r="AF1567" s="10"/>
      <c r="AG1567" s="10" t="s">
        <v>114</v>
      </c>
      <c r="AH1567" s="10">
        <v>41404</v>
      </c>
      <c r="AI1567" s="5">
        <v>1</v>
      </c>
      <c r="AJ1567" s="10" t="s">
        <v>8712</v>
      </c>
      <c r="AK1567" s="10" t="s">
        <v>8713</v>
      </c>
    </row>
    <row r="1568" spans="1:37" ht="36.75" customHeight="1" x14ac:dyDescent="0.35">
      <c r="A1568" s="23" t="s">
        <v>4890</v>
      </c>
      <c r="B1568" s="5" t="s">
        <v>37</v>
      </c>
      <c r="C1568" s="73" t="str">
        <f t="shared" si="24"/>
        <v>Closed</v>
      </c>
      <c r="D1568" s="45" t="s">
        <v>8714</v>
      </c>
      <c r="E1568" s="54" t="s">
        <v>8715</v>
      </c>
      <c r="F1568" s="5" t="s">
        <v>563</v>
      </c>
      <c r="G1568" s="10">
        <f>DATE(2013,5,10)</f>
        <v>41404</v>
      </c>
      <c r="H1568" s="50">
        <v>1.8368055555555554</v>
      </c>
      <c r="I1568" s="5" t="s">
        <v>55</v>
      </c>
      <c r="J1568" s="10" t="s">
        <v>8716</v>
      </c>
      <c r="K1568" s="5" t="s">
        <v>565</v>
      </c>
      <c r="L1568" s="5" t="s">
        <v>8717</v>
      </c>
      <c r="M1568" s="5" t="s">
        <v>45</v>
      </c>
      <c r="N1568" s="5" t="s">
        <v>123</v>
      </c>
      <c r="O1568" s="5" t="s">
        <v>59</v>
      </c>
      <c r="P1568" s="10" t="s">
        <v>146</v>
      </c>
      <c r="Q1568" s="10" t="s">
        <v>4467</v>
      </c>
      <c r="R1568" s="10" t="s">
        <v>568</v>
      </c>
      <c r="S1568" s="5">
        <v>0</v>
      </c>
      <c r="T1568" s="58">
        <v>0</v>
      </c>
      <c r="U1568" s="5">
        <v>0</v>
      </c>
      <c r="V1568" s="58">
        <v>0</v>
      </c>
      <c r="W1568" s="5">
        <v>0</v>
      </c>
      <c r="X1568" s="5">
        <v>0</v>
      </c>
      <c r="Y1568" s="5">
        <v>0</v>
      </c>
      <c r="Z1568" s="58">
        <v>0</v>
      </c>
      <c r="AA1568" s="5">
        <v>0</v>
      </c>
      <c r="AB1568" s="5">
        <v>0</v>
      </c>
      <c r="AC1568" s="5">
        <v>0</v>
      </c>
      <c r="AD1568" s="5">
        <v>0</v>
      </c>
      <c r="AE1568" s="10" t="s">
        <v>50</v>
      </c>
      <c r="AF1568" s="10"/>
      <c r="AG1568" s="10" t="s">
        <v>114</v>
      </c>
      <c r="AH1568" s="10">
        <v>41421</v>
      </c>
      <c r="AI1568" s="5">
        <v>0</v>
      </c>
      <c r="AJ1568" s="10" t="s">
        <v>50</v>
      </c>
      <c r="AK1568" s="10" t="s">
        <v>50</v>
      </c>
    </row>
    <row r="1569" spans="1:37" ht="36.75" customHeight="1" x14ac:dyDescent="0.35">
      <c r="A1569" s="5"/>
      <c r="B1569" s="5" t="s">
        <v>37</v>
      </c>
      <c r="C1569" s="73" t="str">
        <f t="shared" si="24"/>
        <v>Closed</v>
      </c>
      <c r="D1569" s="45" t="s">
        <v>8718</v>
      </c>
      <c r="E1569" s="54" t="s">
        <v>8719</v>
      </c>
      <c r="F1569" s="5" t="s">
        <v>358</v>
      </c>
      <c r="G1569" s="10">
        <f>DATE(2013,5,12)</f>
        <v>41406</v>
      </c>
      <c r="H1569" s="35">
        <v>1.5763888888888888</v>
      </c>
      <c r="I1569" s="5" t="s">
        <v>259</v>
      </c>
      <c r="J1569" s="10" t="s">
        <v>8720</v>
      </c>
      <c r="K1569" s="5" t="s">
        <v>360</v>
      </c>
      <c r="L1569" s="5" t="s">
        <v>8721</v>
      </c>
      <c r="M1569" s="5" t="s">
        <v>45</v>
      </c>
      <c r="N1569" s="5" t="s">
        <v>70</v>
      </c>
      <c r="O1569" s="5" t="s">
        <v>71</v>
      </c>
      <c r="P1569" s="10" t="s">
        <v>72</v>
      </c>
      <c r="Q1569" s="10" t="s">
        <v>2886</v>
      </c>
      <c r="R1569" s="10" t="s">
        <v>2886</v>
      </c>
      <c r="S1569" s="5">
        <v>0</v>
      </c>
      <c r="T1569" s="37">
        <v>1</v>
      </c>
      <c r="U1569" s="5">
        <v>0</v>
      </c>
      <c r="V1569" s="37">
        <v>0</v>
      </c>
      <c r="W1569" s="5">
        <v>0</v>
      </c>
      <c r="X1569" s="5">
        <v>1</v>
      </c>
      <c r="Y1569" s="5">
        <v>0</v>
      </c>
      <c r="Z1569" s="37">
        <v>0</v>
      </c>
      <c r="AA1569" s="5">
        <v>0</v>
      </c>
      <c r="AB1569" s="5">
        <v>0</v>
      </c>
      <c r="AC1569" s="5">
        <v>0</v>
      </c>
      <c r="AD1569" s="5">
        <v>0</v>
      </c>
      <c r="AE1569" s="10" t="s">
        <v>73</v>
      </c>
      <c r="AF1569" s="10"/>
      <c r="AG1569" s="10" t="s">
        <v>114</v>
      </c>
      <c r="AH1569" s="10">
        <v>41407</v>
      </c>
      <c r="AI1569" s="5">
        <v>1</v>
      </c>
      <c r="AJ1569" s="10" t="s">
        <v>8722</v>
      </c>
      <c r="AK1569" s="10" t="s">
        <v>8723</v>
      </c>
    </row>
    <row r="1570" spans="1:37" ht="36.75" customHeight="1" x14ac:dyDescent="0.35">
      <c r="A1570" s="5"/>
      <c r="B1570" s="5" t="s">
        <v>37</v>
      </c>
      <c r="C1570" s="73" t="str">
        <f t="shared" si="24"/>
        <v>Closed</v>
      </c>
      <c r="D1570" s="45" t="s">
        <v>8724</v>
      </c>
      <c r="E1570" s="54" t="s">
        <v>8725</v>
      </c>
      <c r="F1570" s="5" t="s">
        <v>358</v>
      </c>
      <c r="G1570" s="10">
        <f>DATE(2013,5,12)</f>
        <v>41406</v>
      </c>
      <c r="H1570" s="35">
        <v>1.2604166666666667</v>
      </c>
      <c r="I1570" s="5" t="s">
        <v>97</v>
      </c>
      <c r="J1570" s="10" t="s">
        <v>8726</v>
      </c>
      <c r="K1570" s="5" t="s">
        <v>360</v>
      </c>
      <c r="L1570" s="5" t="s">
        <v>8727</v>
      </c>
      <c r="M1570" s="5" t="s">
        <v>45</v>
      </c>
      <c r="N1570" s="5" t="s">
        <v>80</v>
      </c>
      <c r="O1570" s="5" t="s">
        <v>46</v>
      </c>
      <c r="P1570" s="10" t="s">
        <v>146</v>
      </c>
      <c r="Q1570" s="10" t="s">
        <v>2886</v>
      </c>
      <c r="R1570" s="10" t="s">
        <v>363</v>
      </c>
      <c r="S1570" s="5">
        <v>0</v>
      </c>
      <c r="T1570" s="37">
        <v>0</v>
      </c>
      <c r="U1570" s="5">
        <v>0</v>
      </c>
      <c r="V1570" s="37">
        <v>0</v>
      </c>
      <c r="W1570" s="5">
        <v>0</v>
      </c>
      <c r="X1570" s="5">
        <v>0</v>
      </c>
      <c r="Y1570" s="5">
        <v>0</v>
      </c>
      <c r="Z1570" s="37">
        <v>0</v>
      </c>
      <c r="AA1570" s="5">
        <v>1</v>
      </c>
      <c r="AB1570" s="5">
        <v>0</v>
      </c>
      <c r="AC1570" s="5">
        <v>0</v>
      </c>
      <c r="AD1570" s="5">
        <v>1</v>
      </c>
      <c r="AE1570" s="10" t="s">
        <v>73</v>
      </c>
      <c r="AF1570" s="10"/>
      <c r="AG1570" s="10" t="s">
        <v>114</v>
      </c>
      <c r="AH1570" s="10">
        <v>41407</v>
      </c>
      <c r="AI1570" s="5">
        <v>0</v>
      </c>
      <c r="AJ1570" s="10" t="s">
        <v>8728</v>
      </c>
      <c r="AK1570" s="10" t="s">
        <v>693</v>
      </c>
    </row>
    <row r="1571" spans="1:37" ht="36.75" customHeight="1" x14ac:dyDescent="0.35">
      <c r="A1571" s="5"/>
      <c r="B1571" s="5" t="s">
        <v>37</v>
      </c>
      <c r="C1571" s="73" t="str">
        <f t="shared" si="24"/>
        <v>Closed</v>
      </c>
      <c r="D1571" s="45" t="s">
        <v>8729</v>
      </c>
      <c r="E1571" s="54" t="s">
        <v>8730</v>
      </c>
      <c r="F1571" s="5" t="s">
        <v>563</v>
      </c>
      <c r="G1571" s="10">
        <f>DATE(2013,5,13)</f>
        <v>41407</v>
      </c>
      <c r="H1571" s="35">
        <v>1.4791666666666667</v>
      </c>
      <c r="I1571" s="5" t="s">
        <v>55</v>
      </c>
      <c r="J1571" s="10" t="s">
        <v>8731</v>
      </c>
      <c r="K1571" s="5" t="s">
        <v>565</v>
      </c>
      <c r="L1571" s="5" t="s">
        <v>8732</v>
      </c>
      <c r="M1571" s="5" t="s">
        <v>45</v>
      </c>
      <c r="N1571" s="5" t="s">
        <v>123</v>
      </c>
      <c r="O1571" s="5" t="s">
        <v>59</v>
      </c>
      <c r="P1571" s="10" t="s">
        <v>47</v>
      </c>
      <c r="Q1571" s="10" t="s">
        <v>4810</v>
      </c>
      <c r="R1571" s="10" t="s">
        <v>568</v>
      </c>
      <c r="S1571" s="5">
        <v>0</v>
      </c>
      <c r="T1571" s="37">
        <v>0</v>
      </c>
      <c r="U1571" s="5">
        <v>0</v>
      </c>
      <c r="V1571" s="37">
        <v>0</v>
      </c>
      <c r="W1571" s="5">
        <v>0</v>
      </c>
      <c r="X1571" s="5">
        <v>0</v>
      </c>
      <c r="Y1571" s="5">
        <v>0</v>
      </c>
      <c r="Z1571" s="37">
        <v>0</v>
      </c>
      <c r="AA1571" s="5">
        <v>0</v>
      </c>
      <c r="AB1571" s="5">
        <v>0</v>
      </c>
      <c r="AC1571" s="5">
        <v>0</v>
      </c>
      <c r="AD1571" s="5">
        <v>0</v>
      </c>
      <c r="AE1571" s="10" t="s">
        <v>375</v>
      </c>
      <c r="AF1571" s="10"/>
      <c r="AG1571" s="10" t="s">
        <v>114</v>
      </c>
      <c r="AH1571" s="10">
        <v>41421</v>
      </c>
      <c r="AI1571" s="5">
        <v>0</v>
      </c>
      <c r="AJ1571" s="10" t="s">
        <v>8733</v>
      </c>
      <c r="AK1571" s="10" t="s">
        <v>1215</v>
      </c>
    </row>
    <row r="1572" spans="1:37" ht="36.75" customHeight="1" x14ac:dyDescent="0.35">
      <c r="A1572" s="5"/>
      <c r="B1572" s="5" t="s">
        <v>37</v>
      </c>
      <c r="C1572" s="73" t="str">
        <f t="shared" si="24"/>
        <v>Closed</v>
      </c>
      <c r="D1572" s="45" t="s">
        <v>8734</v>
      </c>
      <c r="E1572" s="54" t="s">
        <v>8735</v>
      </c>
      <c r="F1572" s="5" t="s">
        <v>816</v>
      </c>
      <c r="G1572" s="10">
        <f>DATE(2013,5,13)</f>
        <v>41407</v>
      </c>
      <c r="H1572" s="35">
        <v>1.7534722222222223</v>
      </c>
      <c r="I1572" s="5" t="s">
        <v>97</v>
      </c>
      <c r="J1572" s="10" t="s">
        <v>8736</v>
      </c>
      <c r="K1572" s="5" t="s">
        <v>818</v>
      </c>
      <c r="L1572" s="5" t="s">
        <v>8737</v>
      </c>
      <c r="M1572" s="5" t="s">
        <v>45</v>
      </c>
      <c r="N1572" s="5" t="s">
        <v>80</v>
      </c>
      <c r="O1572" s="5" t="s">
        <v>46</v>
      </c>
      <c r="P1572" s="10" t="s">
        <v>146</v>
      </c>
      <c r="Q1572" s="10" t="s">
        <v>2142</v>
      </c>
      <c r="R1572" s="10" t="s">
        <v>821</v>
      </c>
      <c r="S1572" s="5">
        <v>0</v>
      </c>
      <c r="T1572" s="37">
        <v>0</v>
      </c>
      <c r="U1572" s="5">
        <v>1</v>
      </c>
      <c r="V1572" s="37">
        <v>0</v>
      </c>
      <c r="W1572" s="5">
        <v>0</v>
      </c>
      <c r="X1572" s="5">
        <v>1</v>
      </c>
      <c r="Y1572" s="5">
        <v>0</v>
      </c>
      <c r="Z1572" s="37">
        <v>0</v>
      </c>
      <c r="AA1572" s="5">
        <v>0</v>
      </c>
      <c r="AB1572" s="5">
        <v>0</v>
      </c>
      <c r="AC1572" s="5">
        <v>0</v>
      </c>
      <c r="AD1572" s="5">
        <v>0</v>
      </c>
      <c r="AE1572" s="10" t="s">
        <v>73</v>
      </c>
      <c r="AF1572" s="10"/>
      <c r="AG1572" s="10" t="s">
        <v>114</v>
      </c>
      <c r="AH1572" s="10">
        <v>41411</v>
      </c>
      <c r="AI1572" s="5">
        <v>1</v>
      </c>
      <c r="AJ1572" s="10" t="s">
        <v>8738</v>
      </c>
      <c r="AK1572" s="10" t="s">
        <v>50</v>
      </c>
    </row>
    <row r="1573" spans="1:37" ht="36.75" customHeight="1" x14ac:dyDescent="0.35">
      <c r="A1573" s="5"/>
      <c r="B1573" s="5" t="s">
        <v>37</v>
      </c>
      <c r="C1573" s="73" t="str">
        <f t="shared" si="24"/>
        <v>Closed</v>
      </c>
      <c r="D1573" s="45" t="s">
        <v>8739</v>
      </c>
      <c r="E1573" s="54" t="s">
        <v>8740</v>
      </c>
      <c r="F1573" s="5" t="s">
        <v>404</v>
      </c>
      <c r="G1573" s="10">
        <f>DATE(2013,5,20)</f>
        <v>41414</v>
      </c>
      <c r="H1573" s="35">
        <v>1.7743055555555554</v>
      </c>
      <c r="I1573" s="5" t="s">
        <v>55</v>
      </c>
      <c r="J1573" s="10" t="s">
        <v>8741</v>
      </c>
      <c r="K1573" s="5" t="s">
        <v>406</v>
      </c>
      <c r="L1573" s="5" t="s">
        <v>8742</v>
      </c>
      <c r="M1573" s="5" t="s">
        <v>45</v>
      </c>
      <c r="N1573" s="5" t="s">
        <v>70</v>
      </c>
      <c r="O1573" s="5" t="s">
        <v>59</v>
      </c>
      <c r="P1573" s="10" t="s">
        <v>47</v>
      </c>
      <c r="Q1573" s="10" t="s">
        <v>408</v>
      </c>
      <c r="R1573" s="10" t="s">
        <v>3083</v>
      </c>
      <c r="S1573" s="5">
        <v>0</v>
      </c>
      <c r="T1573" s="37">
        <v>0</v>
      </c>
      <c r="U1573" s="5">
        <v>0</v>
      </c>
      <c r="V1573" s="37">
        <v>0</v>
      </c>
      <c r="W1573" s="5">
        <v>0</v>
      </c>
      <c r="X1573" s="5">
        <v>0</v>
      </c>
      <c r="Y1573" s="5">
        <v>0</v>
      </c>
      <c r="Z1573" s="37">
        <v>0</v>
      </c>
      <c r="AA1573" s="5">
        <v>0</v>
      </c>
      <c r="AB1573" s="5">
        <v>0</v>
      </c>
      <c r="AC1573" s="5">
        <v>0</v>
      </c>
      <c r="AD1573" s="5">
        <v>0</v>
      </c>
      <c r="AE1573" s="10" t="s">
        <v>73</v>
      </c>
      <c r="AF1573" s="10"/>
      <c r="AG1573" s="10" t="s">
        <v>114</v>
      </c>
      <c r="AH1573" s="10">
        <v>41414</v>
      </c>
      <c r="AI1573" s="5">
        <v>6</v>
      </c>
      <c r="AJ1573" s="10" t="s">
        <v>8743</v>
      </c>
      <c r="AK1573" s="10" t="s">
        <v>8744</v>
      </c>
    </row>
    <row r="1574" spans="1:37" ht="36.75" customHeight="1" x14ac:dyDescent="0.35">
      <c r="A1574" s="5"/>
      <c r="B1574" s="5" t="s">
        <v>37</v>
      </c>
      <c r="C1574" s="73" t="str">
        <f t="shared" si="24"/>
        <v>Closed</v>
      </c>
      <c r="D1574" s="45" t="s">
        <v>8745</v>
      </c>
      <c r="E1574" s="54" t="s">
        <v>8746</v>
      </c>
      <c r="F1574" s="5" t="s">
        <v>619</v>
      </c>
      <c r="G1574" s="10">
        <f>DATE(2013,5,20)</f>
        <v>41414</v>
      </c>
      <c r="H1574" s="35">
        <v>1.4909722222222221</v>
      </c>
      <c r="I1574" s="5" t="s">
        <v>55</v>
      </c>
      <c r="J1574" s="10" t="s">
        <v>8747</v>
      </c>
      <c r="K1574" s="5" t="s">
        <v>621</v>
      </c>
      <c r="L1574" s="5" t="s">
        <v>8748</v>
      </c>
      <c r="M1574" s="5" t="s">
        <v>45</v>
      </c>
      <c r="N1574" s="5" t="s">
        <v>80</v>
      </c>
      <c r="O1574" s="5" t="s">
        <v>46</v>
      </c>
      <c r="P1574" s="10" t="s">
        <v>60</v>
      </c>
      <c r="Q1574" s="10" t="s">
        <v>4884</v>
      </c>
      <c r="R1574" s="10" t="s">
        <v>624</v>
      </c>
      <c r="S1574" s="5">
        <v>0</v>
      </c>
      <c r="T1574" s="37">
        <v>0</v>
      </c>
      <c r="U1574" s="5">
        <v>0</v>
      </c>
      <c r="V1574" s="37">
        <v>0</v>
      </c>
      <c r="W1574" s="5">
        <v>0</v>
      </c>
      <c r="X1574" s="5">
        <v>0</v>
      </c>
      <c r="Y1574" s="5">
        <v>0</v>
      </c>
      <c r="Z1574" s="37">
        <v>0</v>
      </c>
      <c r="AA1574" s="5">
        <v>0</v>
      </c>
      <c r="AB1574" s="5">
        <v>0</v>
      </c>
      <c r="AC1574" s="5">
        <v>0</v>
      </c>
      <c r="AD1574" s="5">
        <v>0</v>
      </c>
      <c r="AE1574" s="10" t="s">
        <v>73</v>
      </c>
      <c r="AF1574" s="10"/>
      <c r="AG1574" s="10" t="s">
        <v>333</v>
      </c>
      <c r="AH1574" s="10">
        <v>41450</v>
      </c>
      <c r="AI1574" s="5">
        <v>1</v>
      </c>
      <c r="AJ1574" s="10" t="s">
        <v>8749</v>
      </c>
      <c r="AK1574" s="10" t="s">
        <v>50</v>
      </c>
    </row>
    <row r="1575" spans="1:37" ht="36.75" customHeight="1" x14ac:dyDescent="0.35">
      <c r="A1575" s="5"/>
      <c r="B1575" s="5" t="s">
        <v>37</v>
      </c>
      <c r="C1575" s="73" t="str">
        <f t="shared" si="24"/>
        <v>Closed</v>
      </c>
      <c r="D1575" s="45" t="s">
        <v>8750</v>
      </c>
      <c r="E1575" s="54" t="s">
        <v>8751</v>
      </c>
      <c r="F1575" s="5" t="s">
        <v>404</v>
      </c>
      <c r="G1575" s="10">
        <f>DATE(2013,5,23)</f>
        <v>41417</v>
      </c>
      <c r="H1575" s="35">
        <v>1.6812499999999999</v>
      </c>
      <c r="I1575" s="5" t="s">
        <v>55</v>
      </c>
      <c r="J1575" s="10" t="s">
        <v>8752</v>
      </c>
      <c r="K1575" s="5" t="s">
        <v>406</v>
      </c>
      <c r="L1575" s="5" t="s">
        <v>8753</v>
      </c>
      <c r="M1575" s="5" t="s">
        <v>45</v>
      </c>
      <c r="N1575" s="5" t="s">
        <v>70</v>
      </c>
      <c r="O1575" s="5" t="s">
        <v>59</v>
      </c>
      <c r="P1575" s="10" t="s">
        <v>60</v>
      </c>
      <c r="Q1575" s="10" t="s">
        <v>8754</v>
      </c>
      <c r="R1575" s="10" t="s">
        <v>3083</v>
      </c>
      <c r="S1575" s="5">
        <v>0</v>
      </c>
      <c r="T1575" s="37">
        <v>0</v>
      </c>
      <c r="U1575" s="5">
        <v>0</v>
      </c>
      <c r="V1575" s="37">
        <v>0</v>
      </c>
      <c r="W1575" s="5">
        <v>0</v>
      </c>
      <c r="X1575" s="5">
        <v>0</v>
      </c>
      <c r="Y1575" s="5">
        <v>0</v>
      </c>
      <c r="Z1575" s="37">
        <v>0</v>
      </c>
      <c r="AA1575" s="5">
        <v>0</v>
      </c>
      <c r="AB1575" s="5">
        <v>0</v>
      </c>
      <c r="AC1575" s="5">
        <v>0</v>
      </c>
      <c r="AD1575" s="5">
        <v>0</v>
      </c>
      <c r="AE1575" s="10" t="s">
        <v>73</v>
      </c>
      <c r="AF1575" s="10"/>
      <c r="AG1575" s="10" t="s">
        <v>114</v>
      </c>
      <c r="AH1575" s="10">
        <v>41422</v>
      </c>
      <c r="AI1575" s="5">
        <v>2</v>
      </c>
      <c r="AJ1575" s="10" t="s">
        <v>8755</v>
      </c>
      <c r="AK1575" s="10" t="s">
        <v>8756</v>
      </c>
    </row>
    <row r="1576" spans="1:37" ht="36.75" customHeight="1" x14ac:dyDescent="0.35">
      <c r="A1576" s="5"/>
      <c r="B1576" s="5" t="s">
        <v>37</v>
      </c>
      <c r="C1576" s="73" t="str">
        <f t="shared" si="24"/>
        <v>Closed</v>
      </c>
      <c r="D1576" s="45" t="s">
        <v>8757</v>
      </c>
      <c r="E1576" s="54" t="s">
        <v>8758</v>
      </c>
      <c r="F1576" s="5" t="s">
        <v>8759</v>
      </c>
      <c r="G1576" s="10">
        <f>DATE(2013,5,23)</f>
        <v>41417</v>
      </c>
      <c r="H1576" s="35">
        <v>1.4958333333333333</v>
      </c>
      <c r="I1576" s="5" t="s">
        <v>97</v>
      </c>
      <c r="J1576" s="10" t="s">
        <v>8760</v>
      </c>
      <c r="K1576" s="5" t="s">
        <v>8761</v>
      </c>
      <c r="L1576" s="5" t="s">
        <v>8762</v>
      </c>
      <c r="M1576" s="5" t="s">
        <v>45</v>
      </c>
      <c r="N1576" s="5" t="s">
        <v>123</v>
      </c>
      <c r="O1576" s="5" t="s">
        <v>46</v>
      </c>
      <c r="P1576" s="10" t="s">
        <v>146</v>
      </c>
      <c r="Q1576" s="10" t="s">
        <v>8763</v>
      </c>
      <c r="R1576" s="10">
        <v>0</v>
      </c>
      <c r="S1576" s="5">
        <v>0</v>
      </c>
      <c r="T1576" s="37">
        <v>0</v>
      </c>
      <c r="U1576" s="5">
        <v>1</v>
      </c>
      <c r="V1576" s="37">
        <v>0</v>
      </c>
      <c r="W1576" s="5">
        <v>0</v>
      </c>
      <c r="X1576" s="5">
        <v>1</v>
      </c>
      <c r="Y1576" s="5">
        <v>0</v>
      </c>
      <c r="Z1576" s="37">
        <v>0</v>
      </c>
      <c r="AA1576" s="5">
        <v>0</v>
      </c>
      <c r="AB1576" s="5">
        <v>0</v>
      </c>
      <c r="AC1576" s="5">
        <v>0</v>
      </c>
      <c r="AD1576" s="5">
        <v>0</v>
      </c>
      <c r="AE1576" s="10" t="s">
        <v>73</v>
      </c>
      <c r="AF1576" s="10"/>
      <c r="AG1576" s="10" t="s">
        <v>64</v>
      </c>
      <c r="AH1576" s="10">
        <v>41423</v>
      </c>
      <c r="AI1576" s="5">
        <v>0</v>
      </c>
      <c r="AJ1576" s="10" t="s">
        <v>8764</v>
      </c>
      <c r="AK1576" s="10" t="s">
        <v>50</v>
      </c>
    </row>
    <row r="1577" spans="1:37" ht="36.75" customHeight="1" x14ac:dyDescent="0.35">
      <c r="A1577" s="5"/>
      <c r="B1577" s="5" t="s">
        <v>37</v>
      </c>
      <c r="C1577" s="73" t="str">
        <f t="shared" si="24"/>
        <v>Closed</v>
      </c>
      <c r="D1577" s="45" t="s">
        <v>8765</v>
      </c>
      <c r="E1577" s="54" t="s">
        <v>8766</v>
      </c>
      <c r="F1577" s="5" t="s">
        <v>619</v>
      </c>
      <c r="G1577" s="10">
        <f>DATE(2013,5,26)</f>
        <v>41420</v>
      </c>
      <c r="H1577" s="35">
        <v>1.6340277777777779</v>
      </c>
      <c r="I1577" s="5" t="s">
        <v>55</v>
      </c>
      <c r="J1577" s="10" t="s">
        <v>8767</v>
      </c>
      <c r="K1577" s="5" t="s">
        <v>621</v>
      </c>
      <c r="L1577" s="5" t="s">
        <v>8768</v>
      </c>
      <c r="M1577" s="5" t="s">
        <v>45</v>
      </c>
      <c r="N1577" s="5" t="s">
        <v>70</v>
      </c>
      <c r="O1577" s="5" t="s">
        <v>6854</v>
      </c>
      <c r="P1577" s="10" t="s">
        <v>8769</v>
      </c>
      <c r="Q1577" s="10" t="s">
        <v>623</v>
      </c>
      <c r="R1577" s="10" t="s">
        <v>624</v>
      </c>
      <c r="S1577" s="5">
        <v>0</v>
      </c>
      <c r="T1577" s="37">
        <v>0</v>
      </c>
      <c r="U1577" s="5">
        <v>0</v>
      </c>
      <c r="V1577" s="37">
        <v>0</v>
      </c>
      <c r="W1577" s="5">
        <v>0</v>
      </c>
      <c r="X1577" s="5">
        <v>0</v>
      </c>
      <c r="Y1577" s="5">
        <v>0</v>
      </c>
      <c r="Z1577" s="37">
        <v>0</v>
      </c>
      <c r="AA1577" s="5">
        <v>0</v>
      </c>
      <c r="AB1577" s="5">
        <v>0</v>
      </c>
      <c r="AC1577" s="5">
        <v>0</v>
      </c>
      <c r="AD1577" s="5">
        <v>0</v>
      </c>
      <c r="AE1577" s="10" t="s">
        <v>73</v>
      </c>
      <c r="AF1577" s="10"/>
      <c r="AG1577" s="10" t="s">
        <v>333</v>
      </c>
      <c r="AH1577" s="10">
        <v>41422</v>
      </c>
      <c r="AI1577" s="5">
        <v>1</v>
      </c>
      <c r="AJ1577" s="10" t="s">
        <v>8770</v>
      </c>
      <c r="AK1577" s="10" t="s">
        <v>50</v>
      </c>
    </row>
    <row r="1578" spans="1:37" ht="36.75" customHeight="1" x14ac:dyDescent="0.35">
      <c r="A1578" s="5"/>
      <c r="B1578" s="5" t="s">
        <v>37</v>
      </c>
      <c r="C1578" s="73" t="str">
        <f t="shared" si="24"/>
        <v>Closed</v>
      </c>
      <c r="D1578" s="45" t="s">
        <v>8771</v>
      </c>
      <c r="E1578" s="54" t="s">
        <v>8772</v>
      </c>
      <c r="F1578" s="5" t="s">
        <v>816</v>
      </c>
      <c r="G1578" s="10">
        <f>DATE(2013,5,26)</f>
        <v>41420</v>
      </c>
      <c r="H1578" s="35">
        <v>1.2763888888888888</v>
      </c>
      <c r="I1578" s="5" t="s">
        <v>85</v>
      </c>
      <c r="J1578" s="10" t="s">
        <v>8773</v>
      </c>
      <c r="K1578" s="5" t="s">
        <v>818</v>
      </c>
      <c r="L1578" s="5" t="s">
        <v>8774</v>
      </c>
      <c r="M1578" s="5" t="s">
        <v>45</v>
      </c>
      <c r="N1578" s="5" t="s">
        <v>80</v>
      </c>
      <c r="O1578" s="5" t="s">
        <v>59</v>
      </c>
      <c r="P1578" s="10" t="s">
        <v>47</v>
      </c>
      <c r="Q1578" s="10" t="s">
        <v>2142</v>
      </c>
      <c r="R1578" s="10" t="s">
        <v>821</v>
      </c>
      <c r="S1578" s="5">
        <v>0</v>
      </c>
      <c r="T1578" s="37">
        <v>0</v>
      </c>
      <c r="U1578" s="5">
        <v>0</v>
      </c>
      <c r="V1578" s="37">
        <v>0</v>
      </c>
      <c r="W1578" s="5">
        <v>0</v>
      </c>
      <c r="X1578" s="5">
        <v>0</v>
      </c>
      <c r="Y1578" s="5">
        <v>0</v>
      </c>
      <c r="Z1578" s="37">
        <v>0</v>
      </c>
      <c r="AA1578" s="5">
        <v>0</v>
      </c>
      <c r="AB1578" s="5">
        <v>0</v>
      </c>
      <c r="AC1578" s="5">
        <v>0</v>
      </c>
      <c r="AD1578" s="5">
        <v>0</v>
      </c>
      <c r="AE1578" s="10" t="s">
        <v>73</v>
      </c>
      <c r="AF1578" s="10"/>
      <c r="AG1578" s="10" t="s">
        <v>333</v>
      </c>
      <c r="AH1578" s="10">
        <v>41420</v>
      </c>
      <c r="AI1578" s="5">
        <v>0</v>
      </c>
      <c r="AJ1578" s="10" t="s">
        <v>8775</v>
      </c>
      <c r="AK1578" s="10" t="s">
        <v>8776</v>
      </c>
    </row>
    <row r="1579" spans="1:37" ht="36.75" customHeight="1" x14ac:dyDescent="0.35">
      <c r="A1579" s="5"/>
      <c r="B1579" s="5" t="s">
        <v>37</v>
      </c>
      <c r="C1579" s="73" t="str">
        <f t="shared" si="24"/>
        <v>Closed</v>
      </c>
      <c r="D1579" s="45" t="s">
        <v>8777</v>
      </c>
      <c r="E1579" s="54" t="s">
        <v>8778</v>
      </c>
      <c r="F1579" s="5" t="s">
        <v>178</v>
      </c>
      <c r="G1579" s="10">
        <f>DATE(2013,5,30)</f>
        <v>41424</v>
      </c>
      <c r="H1579" s="35">
        <v>1.6937500000000001</v>
      </c>
      <c r="I1579" s="5" t="s">
        <v>179</v>
      </c>
      <c r="J1579" s="10" t="s">
        <v>8779</v>
      </c>
      <c r="K1579" s="5" t="s">
        <v>181</v>
      </c>
      <c r="L1579" s="5" t="s">
        <v>8780</v>
      </c>
      <c r="M1579" s="5" t="s">
        <v>45</v>
      </c>
      <c r="N1579" s="5" t="s">
        <v>123</v>
      </c>
      <c r="O1579" s="5" t="s">
        <v>59</v>
      </c>
      <c r="P1579" s="10" t="s">
        <v>6881</v>
      </c>
      <c r="Q1579" s="10" t="s">
        <v>183</v>
      </c>
      <c r="R1579" s="10" t="s">
        <v>184</v>
      </c>
      <c r="S1579" s="5">
        <v>0</v>
      </c>
      <c r="T1579" s="37">
        <v>0</v>
      </c>
      <c r="U1579" s="5">
        <v>0</v>
      </c>
      <c r="V1579" s="37">
        <v>0</v>
      </c>
      <c r="W1579" s="5">
        <v>0</v>
      </c>
      <c r="X1579" s="5">
        <v>0</v>
      </c>
      <c r="Y1579" s="5">
        <v>0</v>
      </c>
      <c r="Z1579" s="37">
        <v>0</v>
      </c>
      <c r="AA1579" s="5">
        <v>0</v>
      </c>
      <c r="AB1579" s="5">
        <v>0</v>
      </c>
      <c r="AC1579" s="5">
        <v>0</v>
      </c>
      <c r="AD1579" s="5">
        <v>0</v>
      </c>
      <c r="AE1579" s="10" t="s">
        <v>73</v>
      </c>
      <c r="AF1579" s="10"/>
      <c r="AG1579" s="10" t="s">
        <v>114</v>
      </c>
      <c r="AH1579" s="10">
        <v>41436</v>
      </c>
      <c r="AI1579" s="5">
        <v>7</v>
      </c>
      <c r="AJ1579" s="10" t="s">
        <v>8781</v>
      </c>
      <c r="AK1579" s="10" t="s">
        <v>1215</v>
      </c>
    </row>
    <row r="1580" spans="1:37" ht="36.75" customHeight="1" x14ac:dyDescent="0.35">
      <c r="A1580" s="5"/>
      <c r="B1580" s="5" t="s">
        <v>37</v>
      </c>
      <c r="C1580" s="73" t="str">
        <f t="shared" si="24"/>
        <v>Closed</v>
      </c>
      <c r="D1580" s="45" t="s">
        <v>8782</v>
      </c>
      <c r="E1580" s="54" t="s">
        <v>8783</v>
      </c>
      <c r="F1580" s="5" t="s">
        <v>358</v>
      </c>
      <c r="G1580" s="10">
        <f>DATE(2013,5,31)</f>
        <v>41425</v>
      </c>
      <c r="H1580" s="35">
        <v>1.5520833333333335</v>
      </c>
      <c r="I1580" s="5" t="s">
        <v>259</v>
      </c>
      <c r="J1580" s="10" t="s">
        <v>8784</v>
      </c>
      <c r="K1580" s="5" t="s">
        <v>360</v>
      </c>
      <c r="L1580" s="5" t="s">
        <v>8785</v>
      </c>
      <c r="M1580" s="5" t="s">
        <v>45</v>
      </c>
      <c r="N1580" s="5" t="s">
        <v>123</v>
      </c>
      <c r="O1580" s="5" t="s">
        <v>59</v>
      </c>
      <c r="P1580" s="10" t="s">
        <v>72</v>
      </c>
      <c r="Q1580" s="10" t="s">
        <v>8450</v>
      </c>
      <c r="R1580" s="10" t="s">
        <v>363</v>
      </c>
      <c r="S1580" s="5">
        <v>0</v>
      </c>
      <c r="T1580" s="37">
        <v>1</v>
      </c>
      <c r="U1580" s="5">
        <v>0</v>
      </c>
      <c r="V1580" s="37">
        <v>0</v>
      </c>
      <c r="W1580" s="5">
        <v>0</v>
      </c>
      <c r="X1580" s="5">
        <v>1</v>
      </c>
      <c r="Y1580" s="5">
        <v>0</v>
      </c>
      <c r="Z1580" s="37">
        <v>0</v>
      </c>
      <c r="AA1580" s="5">
        <v>0</v>
      </c>
      <c r="AB1580" s="5">
        <v>0</v>
      </c>
      <c r="AC1580" s="5">
        <v>0</v>
      </c>
      <c r="AD1580" s="5">
        <v>0</v>
      </c>
      <c r="AE1580" s="10" t="s">
        <v>73</v>
      </c>
      <c r="AF1580" s="10"/>
      <c r="AG1580" s="10" t="s">
        <v>114</v>
      </c>
      <c r="AH1580" s="10">
        <v>41428</v>
      </c>
      <c r="AI1580" s="5">
        <v>1</v>
      </c>
      <c r="AJ1580" s="10" t="s">
        <v>8786</v>
      </c>
      <c r="AK1580" s="10" t="s">
        <v>50</v>
      </c>
    </row>
    <row r="1581" spans="1:37" ht="36.75" customHeight="1" x14ac:dyDescent="0.35">
      <c r="A1581" s="5"/>
      <c r="B1581" s="5" t="s">
        <v>37</v>
      </c>
      <c r="C1581" s="73" t="str">
        <f t="shared" si="24"/>
        <v>Closed</v>
      </c>
      <c r="D1581" s="45" t="s">
        <v>8787</v>
      </c>
      <c r="E1581" s="54" t="s">
        <v>8788</v>
      </c>
      <c r="F1581" s="5" t="s">
        <v>214</v>
      </c>
      <c r="G1581" s="10">
        <f>DATE(2013,5,31)</f>
        <v>41425</v>
      </c>
      <c r="H1581" s="35">
        <v>1.125</v>
      </c>
      <c r="I1581" s="5" t="s">
        <v>2398</v>
      </c>
      <c r="J1581" s="10" t="s">
        <v>8789</v>
      </c>
      <c r="K1581" s="5" t="s">
        <v>216</v>
      </c>
      <c r="L1581" s="5" t="s">
        <v>8790</v>
      </c>
      <c r="M1581" s="5" t="s">
        <v>45</v>
      </c>
      <c r="N1581" s="5" t="s">
        <v>80</v>
      </c>
      <c r="O1581" s="5" t="s">
        <v>46</v>
      </c>
      <c r="P1581" s="10" t="s">
        <v>282</v>
      </c>
      <c r="Q1581" s="10" t="s">
        <v>656</v>
      </c>
      <c r="R1581" s="10" t="s">
        <v>656</v>
      </c>
      <c r="S1581" s="5">
        <v>0</v>
      </c>
      <c r="T1581" s="37">
        <v>0</v>
      </c>
      <c r="U1581" s="5">
        <v>0</v>
      </c>
      <c r="V1581" s="37">
        <v>0</v>
      </c>
      <c r="W1581" s="5">
        <v>0</v>
      </c>
      <c r="X1581" s="5">
        <v>0</v>
      </c>
      <c r="Y1581" s="5">
        <v>0</v>
      </c>
      <c r="Z1581" s="37">
        <v>0</v>
      </c>
      <c r="AA1581" s="5">
        <v>0</v>
      </c>
      <c r="AB1581" s="5">
        <v>0</v>
      </c>
      <c r="AC1581" s="5">
        <v>0</v>
      </c>
      <c r="AD1581" s="5">
        <v>0</v>
      </c>
      <c r="AE1581" s="10" t="s">
        <v>73</v>
      </c>
      <c r="AF1581" s="10"/>
      <c r="AG1581" s="10" t="s">
        <v>114</v>
      </c>
      <c r="AH1581" s="10">
        <v>41442</v>
      </c>
      <c r="AI1581" s="5">
        <v>3</v>
      </c>
      <c r="AJ1581" s="10" t="s">
        <v>8791</v>
      </c>
      <c r="AK1581" s="10" t="s">
        <v>8792</v>
      </c>
    </row>
    <row r="1582" spans="1:37" ht="36.75" customHeight="1" x14ac:dyDescent="0.35">
      <c r="A1582" s="5"/>
      <c r="B1582" s="5" t="s">
        <v>37</v>
      </c>
      <c r="C1582" s="73" t="str">
        <f t="shared" si="24"/>
        <v>Closed</v>
      </c>
      <c r="D1582" s="45" t="s">
        <v>8793</v>
      </c>
      <c r="E1582" s="54" t="s">
        <v>8794</v>
      </c>
      <c r="F1582" s="5" t="s">
        <v>432</v>
      </c>
      <c r="G1582" s="10">
        <f>DATE(2013,6,4)</f>
        <v>41429</v>
      </c>
      <c r="H1582" s="35">
        <v>1.4076388888888889</v>
      </c>
      <c r="I1582" s="5" t="s">
        <v>97</v>
      </c>
      <c r="J1582" s="10" t="s">
        <v>8795</v>
      </c>
      <c r="K1582" s="5" t="s">
        <v>434</v>
      </c>
      <c r="L1582" s="5" t="s">
        <v>8796</v>
      </c>
      <c r="M1582" s="5" t="s">
        <v>45</v>
      </c>
      <c r="N1582" s="5" t="s">
        <v>80</v>
      </c>
      <c r="O1582" s="5" t="s">
        <v>46</v>
      </c>
      <c r="P1582" s="10"/>
      <c r="Q1582" s="10" t="s">
        <v>8797</v>
      </c>
      <c r="R1582" s="10" t="s">
        <v>8798</v>
      </c>
      <c r="S1582" s="5">
        <v>0</v>
      </c>
      <c r="T1582" s="37">
        <v>0</v>
      </c>
      <c r="U1582" s="5">
        <v>1</v>
      </c>
      <c r="V1582" s="37">
        <v>0</v>
      </c>
      <c r="W1582" s="5">
        <v>0</v>
      </c>
      <c r="X1582" s="5">
        <v>1</v>
      </c>
      <c r="Y1582" s="5">
        <v>0</v>
      </c>
      <c r="Z1582" s="37">
        <v>0</v>
      </c>
      <c r="AA1582" s="5">
        <v>0</v>
      </c>
      <c r="AB1582" s="5">
        <v>0</v>
      </c>
      <c r="AC1582" s="5">
        <v>0</v>
      </c>
      <c r="AD1582" s="5">
        <v>0</v>
      </c>
      <c r="AE1582" s="10" t="s">
        <v>375</v>
      </c>
      <c r="AF1582" s="10"/>
      <c r="AG1582" s="10" t="s">
        <v>64</v>
      </c>
      <c r="AH1582" s="10">
        <v>42572</v>
      </c>
      <c r="AI1582" s="5">
        <v>0</v>
      </c>
      <c r="AJ1582" s="10" t="s">
        <v>8799</v>
      </c>
      <c r="AK1582" s="10" t="s">
        <v>1215</v>
      </c>
    </row>
    <row r="1583" spans="1:37" ht="36.75" customHeight="1" x14ac:dyDescent="0.35">
      <c r="A1583" s="5"/>
      <c r="B1583" s="5" t="s">
        <v>37</v>
      </c>
      <c r="C1583" s="73" t="str">
        <f t="shared" si="24"/>
        <v>Closed</v>
      </c>
      <c r="D1583" s="45" t="s">
        <v>8800</v>
      </c>
      <c r="E1583" s="54" t="s">
        <v>8801</v>
      </c>
      <c r="F1583" s="5" t="s">
        <v>619</v>
      </c>
      <c r="G1583" s="10">
        <f>DATE(2013,6,4)</f>
        <v>41429</v>
      </c>
      <c r="H1583" s="35">
        <v>1.0208333333333333</v>
      </c>
      <c r="I1583" s="5" t="s">
        <v>5473</v>
      </c>
      <c r="J1583" s="10" t="s">
        <v>8802</v>
      </c>
      <c r="K1583" s="5" t="s">
        <v>621</v>
      </c>
      <c r="L1583" s="5" t="s">
        <v>8803</v>
      </c>
      <c r="M1583" s="5" t="s">
        <v>45</v>
      </c>
      <c r="N1583" s="5" t="s">
        <v>123</v>
      </c>
      <c r="O1583" s="5" t="s">
        <v>46</v>
      </c>
      <c r="P1583" s="10" t="s">
        <v>60</v>
      </c>
      <c r="Q1583" s="10" t="s">
        <v>4884</v>
      </c>
      <c r="R1583" s="10" t="s">
        <v>624</v>
      </c>
      <c r="S1583" s="5">
        <v>0</v>
      </c>
      <c r="T1583" s="37">
        <v>0</v>
      </c>
      <c r="U1583" s="5">
        <v>0</v>
      </c>
      <c r="V1583" s="37">
        <v>0</v>
      </c>
      <c r="W1583" s="5">
        <v>0</v>
      </c>
      <c r="X1583" s="5">
        <v>0</v>
      </c>
      <c r="Y1583" s="5">
        <v>0</v>
      </c>
      <c r="Z1583" s="37">
        <v>0</v>
      </c>
      <c r="AA1583" s="5">
        <v>0</v>
      </c>
      <c r="AB1583" s="5">
        <v>0</v>
      </c>
      <c r="AC1583" s="5">
        <v>0</v>
      </c>
      <c r="AD1583" s="5">
        <v>0</v>
      </c>
      <c r="AE1583" s="10" t="s">
        <v>73</v>
      </c>
      <c r="AF1583" s="10"/>
      <c r="AG1583" s="10" t="s">
        <v>333</v>
      </c>
      <c r="AH1583" s="10">
        <v>41450</v>
      </c>
      <c r="AI1583" s="5">
        <v>1</v>
      </c>
      <c r="AJ1583" s="10" t="s">
        <v>8804</v>
      </c>
      <c r="AK1583" s="10" t="s">
        <v>50</v>
      </c>
    </row>
    <row r="1584" spans="1:37" ht="36.75" customHeight="1" x14ac:dyDescent="0.35">
      <c r="A1584" s="5"/>
      <c r="B1584" s="5" t="s">
        <v>37</v>
      </c>
      <c r="C1584" s="73" t="str">
        <f t="shared" si="24"/>
        <v>Closed</v>
      </c>
      <c r="D1584" s="45" t="s">
        <v>8805</v>
      </c>
      <c r="E1584" s="54" t="s">
        <v>8806</v>
      </c>
      <c r="F1584" s="5" t="s">
        <v>214</v>
      </c>
      <c r="G1584" s="10">
        <f>DATE(2013,6,5)</f>
        <v>41430</v>
      </c>
      <c r="H1584" s="35">
        <v>1.7097222222222221</v>
      </c>
      <c r="I1584" s="5" t="s">
        <v>259</v>
      </c>
      <c r="J1584" s="10" t="s">
        <v>8807</v>
      </c>
      <c r="K1584" s="5" t="s">
        <v>216</v>
      </c>
      <c r="L1584" s="5" t="s">
        <v>8808</v>
      </c>
      <c r="M1584" s="5" t="s">
        <v>45</v>
      </c>
      <c r="N1584" s="5" t="s">
        <v>80</v>
      </c>
      <c r="O1584" s="5" t="s">
        <v>59</v>
      </c>
      <c r="P1584" s="10" t="s">
        <v>146</v>
      </c>
      <c r="Q1584" s="10" t="s">
        <v>5591</v>
      </c>
      <c r="R1584" s="10" t="s">
        <v>219</v>
      </c>
      <c r="S1584" s="5">
        <v>0</v>
      </c>
      <c r="T1584" s="37">
        <v>0</v>
      </c>
      <c r="U1584" s="5">
        <v>0</v>
      </c>
      <c r="V1584" s="37">
        <v>0</v>
      </c>
      <c r="W1584" s="5">
        <v>0</v>
      </c>
      <c r="X1584" s="5">
        <v>0</v>
      </c>
      <c r="Y1584" s="5">
        <v>0</v>
      </c>
      <c r="Z1584" s="37">
        <v>0</v>
      </c>
      <c r="AA1584" s="5">
        <v>0</v>
      </c>
      <c r="AB1584" s="5">
        <v>0</v>
      </c>
      <c r="AC1584" s="5">
        <v>0</v>
      </c>
      <c r="AD1584" s="5">
        <v>0</v>
      </c>
      <c r="AE1584" s="10" t="s">
        <v>73</v>
      </c>
      <c r="AF1584" s="10"/>
      <c r="AG1584" s="10" t="s">
        <v>114</v>
      </c>
      <c r="AH1584" s="10">
        <v>41463</v>
      </c>
      <c r="AI1584" s="5">
        <v>6</v>
      </c>
      <c r="AJ1584" s="10" t="s">
        <v>8809</v>
      </c>
      <c r="AK1584" s="10" t="s">
        <v>8810</v>
      </c>
    </row>
    <row r="1585" spans="1:37" ht="36.75" customHeight="1" x14ac:dyDescent="0.35">
      <c r="A1585" s="5"/>
      <c r="B1585" s="5" t="s">
        <v>37</v>
      </c>
      <c r="C1585" s="73" t="str">
        <f t="shared" si="24"/>
        <v>Closed</v>
      </c>
      <c r="D1585" s="45" t="s">
        <v>8811</v>
      </c>
      <c r="E1585" s="54" t="s">
        <v>8812</v>
      </c>
      <c r="F1585" s="5" t="s">
        <v>619</v>
      </c>
      <c r="G1585" s="10">
        <f>DATE(2013,6,6)</f>
        <v>41431</v>
      </c>
      <c r="H1585" s="35">
        <v>1.4638888888888888</v>
      </c>
      <c r="I1585" s="5" t="s">
        <v>55</v>
      </c>
      <c r="J1585" s="10" t="s">
        <v>8813</v>
      </c>
      <c r="K1585" s="5" t="s">
        <v>621</v>
      </c>
      <c r="L1585" s="5" t="s">
        <v>7711</v>
      </c>
      <c r="M1585" s="5" t="s">
        <v>45</v>
      </c>
      <c r="N1585" s="5" t="s">
        <v>80</v>
      </c>
      <c r="O1585" s="5" t="s">
        <v>59</v>
      </c>
      <c r="P1585" s="10" t="s">
        <v>47</v>
      </c>
      <c r="Q1585" s="10" t="s">
        <v>623</v>
      </c>
      <c r="R1585" s="10" t="s">
        <v>624</v>
      </c>
      <c r="S1585" s="5">
        <v>0</v>
      </c>
      <c r="T1585" s="37">
        <v>0</v>
      </c>
      <c r="U1585" s="5">
        <v>0</v>
      </c>
      <c r="V1585" s="37">
        <v>0</v>
      </c>
      <c r="W1585" s="5">
        <v>0</v>
      </c>
      <c r="X1585" s="5">
        <v>0</v>
      </c>
      <c r="Y1585" s="5">
        <v>0</v>
      </c>
      <c r="Z1585" s="37">
        <v>0</v>
      </c>
      <c r="AA1585" s="5">
        <v>0</v>
      </c>
      <c r="AB1585" s="5">
        <v>0</v>
      </c>
      <c r="AC1585" s="5">
        <v>0</v>
      </c>
      <c r="AD1585" s="5">
        <v>0</v>
      </c>
      <c r="AE1585" s="10" t="s">
        <v>73</v>
      </c>
      <c r="AF1585" s="10"/>
      <c r="AG1585" s="10" t="s">
        <v>333</v>
      </c>
      <c r="AH1585" s="10">
        <v>41450</v>
      </c>
      <c r="AI1585" s="5">
        <v>1</v>
      </c>
      <c r="AJ1585" s="10" t="s">
        <v>8814</v>
      </c>
      <c r="AK1585" s="10" t="s">
        <v>50</v>
      </c>
    </row>
    <row r="1586" spans="1:37" ht="36.75" customHeight="1" x14ac:dyDescent="0.35">
      <c r="A1586" s="5"/>
      <c r="B1586" s="5" t="s">
        <v>37</v>
      </c>
      <c r="C1586" s="73" t="str">
        <f t="shared" si="24"/>
        <v>Closed</v>
      </c>
      <c r="D1586" s="45" t="s">
        <v>8815</v>
      </c>
      <c r="E1586" s="54" t="s">
        <v>8816</v>
      </c>
      <c r="F1586" s="5" t="s">
        <v>214</v>
      </c>
      <c r="G1586" s="10">
        <f>DATE(2013,6,6)</f>
        <v>41431</v>
      </c>
      <c r="H1586" s="35">
        <v>1.2472222222222222</v>
      </c>
      <c r="I1586" s="5" t="s">
        <v>2398</v>
      </c>
      <c r="J1586" s="10" t="s">
        <v>8817</v>
      </c>
      <c r="K1586" s="5" t="s">
        <v>216</v>
      </c>
      <c r="L1586" s="5" t="s">
        <v>8818</v>
      </c>
      <c r="M1586" s="5" t="s">
        <v>45</v>
      </c>
      <c r="N1586" s="5" t="s">
        <v>123</v>
      </c>
      <c r="O1586" s="5" t="s">
        <v>59</v>
      </c>
      <c r="P1586" s="10" t="s">
        <v>146</v>
      </c>
      <c r="Q1586" s="10" t="s">
        <v>2154</v>
      </c>
      <c r="R1586" s="10" t="s">
        <v>219</v>
      </c>
      <c r="S1586" s="5">
        <v>0</v>
      </c>
      <c r="T1586" s="37">
        <v>0</v>
      </c>
      <c r="U1586" s="5">
        <v>0</v>
      </c>
      <c r="V1586" s="37">
        <v>0</v>
      </c>
      <c r="W1586" s="5">
        <v>0</v>
      </c>
      <c r="X1586" s="5">
        <v>0</v>
      </c>
      <c r="Y1586" s="5">
        <v>0</v>
      </c>
      <c r="Z1586" s="37">
        <v>0</v>
      </c>
      <c r="AA1586" s="5">
        <v>0</v>
      </c>
      <c r="AB1586" s="5">
        <v>0</v>
      </c>
      <c r="AC1586" s="5">
        <v>0</v>
      </c>
      <c r="AD1586" s="5">
        <v>0</v>
      </c>
      <c r="AE1586" s="10" t="s">
        <v>73</v>
      </c>
      <c r="AF1586" s="10"/>
      <c r="AG1586" s="10" t="s">
        <v>114</v>
      </c>
      <c r="AH1586" s="10">
        <v>41456</v>
      </c>
      <c r="AI1586" s="5">
        <v>6</v>
      </c>
      <c r="AJ1586" s="10" t="s">
        <v>8819</v>
      </c>
      <c r="AK1586" s="10" t="s">
        <v>8820</v>
      </c>
    </row>
    <row r="1587" spans="1:37" ht="36.75" customHeight="1" x14ac:dyDescent="0.35">
      <c r="A1587" s="5"/>
      <c r="B1587" s="5" t="s">
        <v>37</v>
      </c>
      <c r="C1587" s="73" t="str">
        <f t="shared" si="24"/>
        <v>Closed</v>
      </c>
      <c r="D1587" s="45" t="s">
        <v>8821</v>
      </c>
      <c r="E1587" s="54" t="s">
        <v>8822</v>
      </c>
      <c r="F1587" s="5" t="s">
        <v>563</v>
      </c>
      <c r="G1587" s="10">
        <f>DATE(2013,6,9)</f>
        <v>41434</v>
      </c>
      <c r="H1587" s="35">
        <v>1.2291666666666667</v>
      </c>
      <c r="I1587" s="5" t="s">
        <v>55</v>
      </c>
      <c r="J1587" s="10" t="s">
        <v>8823</v>
      </c>
      <c r="K1587" s="5" t="s">
        <v>565</v>
      </c>
      <c r="L1587" s="5" t="s">
        <v>8824</v>
      </c>
      <c r="M1587" s="5" t="s">
        <v>45</v>
      </c>
      <c r="N1587" s="5" t="s">
        <v>123</v>
      </c>
      <c r="O1587" s="5" t="s">
        <v>46</v>
      </c>
      <c r="P1587" s="10" t="s">
        <v>60</v>
      </c>
      <c r="Q1587" s="10" t="s">
        <v>8825</v>
      </c>
      <c r="R1587" s="10" t="s">
        <v>568</v>
      </c>
      <c r="S1587" s="5">
        <v>0</v>
      </c>
      <c r="T1587" s="37">
        <v>0</v>
      </c>
      <c r="U1587" s="5">
        <v>0</v>
      </c>
      <c r="V1587" s="37">
        <v>0</v>
      </c>
      <c r="W1587" s="5">
        <v>0</v>
      </c>
      <c r="X1587" s="5">
        <v>0</v>
      </c>
      <c r="Y1587" s="5">
        <v>0</v>
      </c>
      <c r="Z1587" s="37">
        <v>0</v>
      </c>
      <c r="AA1587" s="5">
        <v>0</v>
      </c>
      <c r="AB1587" s="5">
        <v>0</v>
      </c>
      <c r="AC1587" s="5">
        <v>0</v>
      </c>
      <c r="AD1587" s="5">
        <v>0</v>
      </c>
      <c r="AE1587" s="10" t="s">
        <v>375</v>
      </c>
      <c r="AF1587" s="10"/>
      <c r="AG1587" s="10" t="s">
        <v>570</v>
      </c>
      <c r="AH1587" s="10">
        <v>41435</v>
      </c>
      <c r="AI1587" s="5">
        <v>0</v>
      </c>
      <c r="AJ1587" s="10" t="s">
        <v>8826</v>
      </c>
      <c r="AK1587" s="10" t="s">
        <v>1215</v>
      </c>
    </row>
    <row r="1588" spans="1:37" ht="36.75" customHeight="1" x14ac:dyDescent="0.35">
      <c r="A1588" s="5"/>
      <c r="B1588" s="5" t="s">
        <v>37</v>
      </c>
      <c r="C1588" s="73" t="str">
        <f t="shared" si="24"/>
        <v>Closed</v>
      </c>
      <c r="D1588" s="45" t="s">
        <v>8827</v>
      </c>
      <c r="E1588" s="54" t="s">
        <v>8828</v>
      </c>
      <c r="F1588" s="5" t="s">
        <v>178</v>
      </c>
      <c r="G1588" s="10">
        <f>DATE(2013,6,11)</f>
        <v>41436</v>
      </c>
      <c r="H1588" s="35">
        <v>1.7263888888888888</v>
      </c>
      <c r="I1588" s="5" t="s">
        <v>179</v>
      </c>
      <c r="J1588" s="10" t="s">
        <v>8829</v>
      </c>
      <c r="K1588" s="5" t="s">
        <v>181</v>
      </c>
      <c r="L1588" s="5" t="s">
        <v>8830</v>
      </c>
      <c r="M1588" s="5" t="s">
        <v>45</v>
      </c>
      <c r="N1588" s="5" t="s">
        <v>70</v>
      </c>
      <c r="O1588" s="5" t="s">
        <v>71</v>
      </c>
      <c r="P1588" s="10" t="s">
        <v>2531</v>
      </c>
      <c r="Q1588" s="10" t="s">
        <v>2433</v>
      </c>
      <c r="R1588" s="10" t="s">
        <v>184</v>
      </c>
      <c r="S1588" s="5">
        <v>0</v>
      </c>
      <c r="T1588" s="37">
        <v>0</v>
      </c>
      <c r="U1588" s="5">
        <v>0</v>
      </c>
      <c r="V1588" s="37">
        <v>0</v>
      </c>
      <c r="W1588" s="5">
        <v>0</v>
      </c>
      <c r="X1588" s="5">
        <v>0</v>
      </c>
      <c r="Y1588" s="5">
        <v>0</v>
      </c>
      <c r="Z1588" s="37">
        <v>0</v>
      </c>
      <c r="AA1588" s="5">
        <v>0</v>
      </c>
      <c r="AB1588" s="5">
        <v>0</v>
      </c>
      <c r="AC1588" s="5">
        <v>0</v>
      </c>
      <c r="AD1588" s="5">
        <v>0</v>
      </c>
      <c r="AE1588" s="10" t="s">
        <v>73</v>
      </c>
      <c r="AF1588" s="10"/>
      <c r="AG1588" s="10" t="s">
        <v>114</v>
      </c>
      <c r="AH1588" s="10">
        <v>41446</v>
      </c>
      <c r="AI1588" s="5">
        <v>1</v>
      </c>
      <c r="AJ1588" s="10" t="s">
        <v>8831</v>
      </c>
      <c r="AK1588" s="10" t="s">
        <v>1215</v>
      </c>
    </row>
    <row r="1589" spans="1:37" ht="36.75" customHeight="1" x14ac:dyDescent="0.35">
      <c r="A1589" s="5"/>
      <c r="B1589" s="5" t="s">
        <v>37</v>
      </c>
      <c r="C1589" s="73" t="str">
        <f t="shared" si="24"/>
        <v>Closed</v>
      </c>
      <c r="D1589" s="45" t="s">
        <v>8832</v>
      </c>
      <c r="E1589" s="54" t="s">
        <v>8833</v>
      </c>
      <c r="F1589" s="5" t="s">
        <v>563</v>
      </c>
      <c r="G1589" s="10">
        <f>DATE(2013,6,11)</f>
        <v>41436</v>
      </c>
      <c r="H1589" s="35">
        <v>1.3069444444444445</v>
      </c>
      <c r="I1589" s="5" t="s">
        <v>55</v>
      </c>
      <c r="J1589" s="10" t="s">
        <v>8834</v>
      </c>
      <c r="K1589" s="5" t="s">
        <v>565</v>
      </c>
      <c r="L1589" s="5" t="s">
        <v>8835</v>
      </c>
      <c r="M1589" s="5" t="s">
        <v>45</v>
      </c>
      <c r="N1589" s="5" t="s">
        <v>123</v>
      </c>
      <c r="O1589" s="5" t="s">
        <v>59</v>
      </c>
      <c r="P1589" s="10" t="s">
        <v>146</v>
      </c>
      <c r="Q1589" s="10" t="s">
        <v>4467</v>
      </c>
      <c r="R1589" s="10" t="s">
        <v>568</v>
      </c>
      <c r="S1589" s="5">
        <v>0</v>
      </c>
      <c r="T1589" s="37">
        <v>0</v>
      </c>
      <c r="U1589" s="5">
        <v>0</v>
      </c>
      <c r="V1589" s="37">
        <v>0</v>
      </c>
      <c r="W1589" s="5">
        <v>0</v>
      </c>
      <c r="X1589" s="5">
        <v>0</v>
      </c>
      <c r="Y1589" s="5">
        <v>0</v>
      </c>
      <c r="Z1589" s="37">
        <v>0</v>
      </c>
      <c r="AA1589" s="5">
        <v>0</v>
      </c>
      <c r="AB1589" s="5">
        <v>0</v>
      </c>
      <c r="AC1589" s="5">
        <v>0</v>
      </c>
      <c r="AD1589" s="5">
        <v>0</v>
      </c>
      <c r="AE1589" s="10" t="s">
        <v>375</v>
      </c>
      <c r="AF1589" s="10" t="s">
        <v>8836</v>
      </c>
      <c r="AG1589" s="10" t="s">
        <v>8837</v>
      </c>
      <c r="AH1589" s="10">
        <v>41438</v>
      </c>
      <c r="AI1589" s="5">
        <v>0</v>
      </c>
      <c r="AJ1589" s="10" t="s">
        <v>50</v>
      </c>
      <c r="AK1589" s="10" t="s">
        <v>50</v>
      </c>
    </row>
    <row r="1590" spans="1:37" ht="36.75" customHeight="1" x14ac:dyDescent="0.35">
      <c r="A1590" s="5"/>
      <c r="B1590" s="5" t="s">
        <v>37</v>
      </c>
      <c r="C1590" s="73" t="str">
        <f t="shared" si="24"/>
        <v>Closed</v>
      </c>
      <c r="D1590" s="45" t="s">
        <v>8838</v>
      </c>
      <c r="E1590" s="54" t="s">
        <v>8839</v>
      </c>
      <c r="F1590" s="5" t="s">
        <v>105</v>
      </c>
      <c r="G1590" s="10">
        <f>DATE(2013,6,17)</f>
        <v>41442</v>
      </c>
      <c r="H1590" s="35">
        <v>1.5590277777777777</v>
      </c>
      <c r="I1590" s="5" t="s">
        <v>179</v>
      </c>
      <c r="J1590" s="10" t="s">
        <v>8840</v>
      </c>
      <c r="K1590" s="5" t="s">
        <v>108</v>
      </c>
      <c r="L1590" s="5" t="s">
        <v>8841</v>
      </c>
      <c r="M1590" s="5" t="s">
        <v>236</v>
      </c>
      <c r="N1590" s="5" t="s">
        <v>123</v>
      </c>
      <c r="O1590" s="5" t="s">
        <v>59</v>
      </c>
      <c r="P1590" s="10" t="s">
        <v>6531</v>
      </c>
      <c r="Q1590" s="10">
        <v>0</v>
      </c>
      <c r="R1590" s="10" t="s">
        <v>112</v>
      </c>
      <c r="S1590" s="5">
        <v>0</v>
      </c>
      <c r="T1590" s="37">
        <v>0</v>
      </c>
      <c r="U1590" s="5">
        <v>0</v>
      </c>
      <c r="V1590" s="37">
        <v>0</v>
      </c>
      <c r="W1590" s="5">
        <v>0</v>
      </c>
      <c r="X1590" s="5">
        <v>0</v>
      </c>
      <c r="Y1590" s="5">
        <v>0</v>
      </c>
      <c r="Z1590" s="37">
        <v>0</v>
      </c>
      <c r="AA1590" s="5">
        <v>0</v>
      </c>
      <c r="AB1590" s="5">
        <v>0</v>
      </c>
      <c r="AC1590" s="5">
        <v>0</v>
      </c>
      <c r="AD1590" s="5">
        <v>0</v>
      </c>
      <c r="AE1590" s="10" t="s">
        <v>73</v>
      </c>
      <c r="AF1590" s="10"/>
      <c r="AG1590" s="10" t="s">
        <v>348</v>
      </c>
      <c r="AH1590" s="10">
        <v>41456</v>
      </c>
      <c r="AI1590" s="5">
        <v>1</v>
      </c>
      <c r="AJ1590" s="10" t="s">
        <v>8842</v>
      </c>
      <c r="AK1590" s="10" t="s">
        <v>50</v>
      </c>
    </row>
    <row r="1591" spans="1:37" ht="36.75" customHeight="1" x14ac:dyDescent="0.35">
      <c r="A1591" s="5"/>
      <c r="B1591" s="5" t="s">
        <v>37</v>
      </c>
      <c r="C1591" s="73" t="str">
        <f t="shared" si="24"/>
        <v>Closed</v>
      </c>
      <c r="D1591" s="45" t="s">
        <v>8843</v>
      </c>
      <c r="E1591" s="54" t="s">
        <v>8844</v>
      </c>
      <c r="F1591" s="5" t="s">
        <v>178</v>
      </c>
      <c r="G1591" s="10">
        <f>DATE(2013,6,19)</f>
        <v>41444</v>
      </c>
      <c r="H1591" s="35">
        <v>0</v>
      </c>
      <c r="I1591" s="5" t="s">
        <v>259</v>
      </c>
      <c r="J1591" s="10" t="s">
        <v>8845</v>
      </c>
      <c r="K1591" s="5" t="s">
        <v>181</v>
      </c>
      <c r="L1591" s="5" t="s">
        <v>8846</v>
      </c>
      <c r="M1591" s="5" t="s">
        <v>45</v>
      </c>
      <c r="N1591" s="5" t="s">
        <v>80</v>
      </c>
      <c r="O1591" s="5" t="s">
        <v>46</v>
      </c>
      <c r="P1591" s="10" t="s">
        <v>146</v>
      </c>
      <c r="Q1591" s="10" t="s">
        <v>183</v>
      </c>
      <c r="R1591" s="10" t="s">
        <v>184</v>
      </c>
      <c r="S1591" s="5">
        <v>0</v>
      </c>
      <c r="T1591" s="37">
        <v>2</v>
      </c>
      <c r="U1591" s="5">
        <v>0</v>
      </c>
      <c r="V1591" s="37">
        <v>0</v>
      </c>
      <c r="W1591" s="5">
        <v>0</v>
      </c>
      <c r="X1591" s="5">
        <v>2</v>
      </c>
      <c r="Y1591" s="5">
        <v>0</v>
      </c>
      <c r="Z1591" s="37">
        <v>1</v>
      </c>
      <c r="AA1591" s="5">
        <v>0</v>
      </c>
      <c r="AB1591" s="5">
        <v>0</v>
      </c>
      <c r="AC1591" s="5">
        <v>0</v>
      </c>
      <c r="AD1591" s="5">
        <v>1</v>
      </c>
      <c r="AE1591" s="10" t="s">
        <v>73</v>
      </c>
      <c r="AF1591" s="10"/>
      <c r="AG1591" s="10" t="s">
        <v>64</v>
      </c>
      <c r="AH1591" s="10">
        <v>41444</v>
      </c>
      <c r="AI1591" s="5">
        <v>8</v>
      </c>
      <c r="AJ1591" s="10" t="s">
        <v>8847</v>
      </c>
      <c r="AK1591" s="10" t="s">
        <v>1215</v>
      </c>
    </row>
    <row r="1592" spans="1:37" ht="36.75" customHeight="1" x14ac:dyDescent="0.35">
      <c r="A1592" s="5"/>
      <c r="B1592" s="5" t="s">
        <v>37</v>
      </c>
      <c r="C1592" s="73" t="str">
        <f t="shared" si="24"/>
        <v>Closed</v>
      </c>
      <c r="D1592" s="45" t="s">
        <v>8848</v>
      </c>
      <c r="E1592" s="54" t="s">
        <v>8849</v>
      </c>
      <c r="F1592" s="5" t="s">
        <v>816</v>
      </c>
      <c r="G1592" s="10">
        <f>DATE(2013,6,19)</f>
        <v>41444</v>
      </c>
      <c r="H1592" s="35">
        <v>1.3527777777777779</v>
      </c>
      <c r="I1592" s="5" t="s">
        <v>55</v>
      </c>
      <c r="J1592" s="10" t="s">
        <v>8850</v>
      </c>
      <c r="K1592" s="5" t="s">
        <v>818</v>
      </c>
      <c r="L1592" s="5" t="s">
        <v>8851</v>
      </c>
      <c r="M1592" s="5" t="s">
        <v>45</v>
      </c>
      <c r="N1592" s="5" t="s">
        <v>80</v>
      </c>
      <c r="O1592" s="5" t="s">
        <v>59</v>
      </c>
      <c r="P1592" s="10" t="s">
        <v>60</v>
      </c>
      <c r="Q1592" s="10" t="s">
        <v>4688</v>
      </c>
      <c r="R1592" s="10" t="s">
        <v>821</v>
      </c>
      <c r="S1592" s="5">
        <v>0</v>
      </c>
      <c r="T1592" s="37">
        <v>0</v>
      </c>
      <c r="U1592" s="5">
        <v>0</v>
      </c>
      <c r="V1592" s="37">
        <v>0</v>
      </c>
      <c r="W1592" s="5">
        <v>0</v>
      </c>
      <c r="X1592" s="5">
        <v>0</v>
      </c>
      <c r="Y1592" s="5">
        <v>0</v>
      </c>
      <c r="Z1592" s="37">
        <v>0</v>
      </c>
      <c r="AA1592" s="5">
        <v>0</v>
      </c>
      <c r="AB1592" s="5">
        <v>0</v>
      </c>
      <c r="AC1592" s="5">
        <v>0</v>
      </c>
      <c r="AD1592" s="5">
        <v>0</v>
      </c>
      <c r="AE1592" s="10" t="s">
        <v>73</v>
      </c>
      <c r="AF1592" s="10"/>
      <c r="AG1592" s="10" t="s">
        <v>333</v>
      </c>
      <c r="AH1592" s="10">
        <v>41444</v>
      </c>
      <c r="AI1592" s="5">
        <v>1</v>
      </c>
      <c r="AJ1592" s="10" t="s">
        <v>8852</v>
      </c>
      <c r="AK1592" s="10" t="s">
        <v>50</v>
      </c>
    </row>
    <row r="1593" spans="1:37" ht="36.75" customHeight="1" x14ac:dyDescent="0.35">
      <c r="A1593" s="5"/>
      <c r="B1593" s="5" t="s">
        <v>37</v>
      </c>
      <c r="C1593" s="73" t="str">
        <f t="shared" si="24"/>
        <v>Closed</v>
      </c>
      <c r="D1593" s="45" t="s">
        <v>8853</v>
      </c>
      <c r="E1593" s="54" t="s">
        <v>8854</v>
      </c>
      <c r="F1593" s="5" t="s">
        <v>404</v>
      </c>
      <c r="G1593" s="10">
        <f>DATE(2013,6,20)</f>
        <v>41445</v>
      </c>
      <c r="H1593" s="35">
        <v>1.6083333333333334</v>
      </c>
      <c r="I1593" s="5" t="s">
        <v>55</v>
      </c>
      <c r="J1593" s="10" t="s">
        <v>8855</v>
      </c>
      <c r="K1593" s="5" t="s">
        <v>406</v>
      </c>
      <c r="L1593" s="5" t="s">
        <v>8856</v>
      </c>
      <c r="M1593" s="5" t="s">
        <v>236</v>
      </c>
      <c r="N1593" s="5" t="s">
        <v>80</v>
      </c>
      <c r="O1593" s="5" t="s">
        <v>46</v>
      </c>
      <c r="P1593" s="10" t="s">
        <v>6531</v>
      </c>
      <c r="Q1593" s="10" t="s">
        <v>2695</v>
      </c>
      <c r="R1593" s="10" t="s">
        <v>2695</v>
      </c>
      <c r="S1593" s="5">
        <v>0</v>
      </c>
      <c r="T1593" s="37">
        <v>0</v>
      </c>
      <c r="U1593" s="5">
        <v>0</v>
      </c>
      <c r="V1593" s="37">
        <v>0</v>
      </c>
      <c r="W1593" s="5">
        <v>0</v>
      </c>
      <c r="X1593" s="5">
        <v>0</v>
      </c>
      <c r="Y1593" s="5">
        <v>0</v>
      </c>
      <c r="Z1593" s="37">
        <v>0</v>
      </c>
      <c r="AA1593" s="5">
        <v>0</v>
      </c>
      <c r="AB1593" s="5">
        <v>0</v>
      </c>
      <c r="AC1593" s="5">
        <v>0</v>
      </c>
      <c r="AD1593" s="5">
        <v>0</v>
      </c>
      <c r="AE1593" s="10" t="s">
        <v>73</v>
      </c>
      <c r="AF1593" s="10"/>
      <c r="AG1593" s="10" t="s">
        <v>348</v>
      </c>
      <c r="AH1593" s="10">
        <v>41451</v>
      </c>
      <c r="AI1593" s="5">
        <v>4</v>
      </c>
      <c r="AJ1593" s="10" t="s">
        <v>8857</v>
      </c>
      <c r="AK1593" s="10" t="s">
        <v>8858</v>
      </c>
    </row>
    <row r="1594" spans="1:37" ht="36.75" customHeight="1" x14ac:dyDescent="0.35">
      <c r="A1594" s="5"/>
      <c r="B1594" s="5" t="s">
        <v>37</v>
      </c>
      <c r="C1594" s="73" t="str">
        <f t="shared" si="24"/>
        <v>Closed</v>
      </c>
      <c r="D1594" s="45" t="s">
        <v>8859</v>
      </c>
      <c r="E1594" s="54" t="s">
        <v>8860</v>
      </c>
      <c r="F1594" s="5" t="s">
        <v>563</v>
      </c>
      <c r="G1594" s="10">
        <f>DATE(2013,6,22)</f>
        <v>41447</v>
      </c>
      <c r="H1594" s="35">
        <v>1.3958333333333333</v>
      </c>
      <c r="I1594" s="5" t="s">
        <v>97</v>
      </c>
      <c r="J1594" s="10" t="s">
        <v>8861</v>
      </c>
      <c r="K1594" s="5" t="s">
        <v>565</v>
      </c>
      <c r="L1594" s="5" t="s">
        <v>8862</v>
      </c>
      <c r="M1594" s="5" t="s">
        <v>45</v>
      </c>
      <c r="N1594" s="5" t="s">
        <v>123</v>
      </c>
      <c r="O1594" s="5" t="s">
        <v>46</v>
      </c>
      <c r="P1594" s="10" t="s">
        <v>146</v>
      </c>
      <c r="Q1594" s="10" t="s">
        <v>8863</v>
      </c>
      <c r="R1594" s="10" t="s">
        <v>568</v>
      </c>
      <c r="S1594" s="5">
        <v>0</v>
      </c>
      <c r="T1594" s="37">
        <v>0</v>
      </c>
      <c r="U1594" s="5">
        <v>1</v>
      </c>
      <c r="V1594" s="37">
        <v>0</v>
      </c>
      <c r="W1594" s="5">
        <v>0</v>
      </c>
      <c r="X1594" s="5">
        <v>1</v>
      </c>
      <c r="Y1594" s="5">
        <v>0</v>
      </c>
      <c r="Z1594" s="37">
        <v>1</v>
      </c>
      <c r="AA1594" s="5">
        <v>0</v>
      </c>
      <c r="AB1594" s="5">
        <v>0</v>
      </c>
      <c r="AC1594" s="5">
        <v>0</v>
      </c>
      <c r="AD1594" s="5">
        <v>1</v>
      </c>
      <c r="AE1594" s="10" t="s">
        <v>375</v>
      </c>
      <c r="AF1594" s="10"/>
      <c r="AG1594" s="10" t="s">
        <v>114</v>
      </c>
      <c r="AH1594" s="10">
        <v>41451</v>
      </c>
      <c r="AI1594" s="5">
        <v>0</v>
      </c>
      <c r="AJ1594" s="10" t="s">
        <v>8864</v>
      </c>
      <c r="AK1594" s="10" t="s">
        <v>1215</v>
      </c>
    </row>
    <row r="1595" spans="1:37" ht="36.75" customHeight="1" x14ac:dyDescent="0.35">
      <c r="A1595" s="5"/>
      <c r="B1595" s="5" t="s">
        <v>37</v>
      </c>
      <c r="C1595" s="73" t="str">
        <f t="shared" si="24"/>
        <v>Closed</v>
      </c>
      <c r="D1595" s="45" t="s">
        <v>8865</v>
      </c>
      <c r="E1595" s="54" t="s">
        <v>8866</v>
      </c>
      <c r="F1595" s="5" t="s">
        <v>358</v>
      </c>
      <c r="G1595" s="10">
        <f>DATE(2013,6,25)</f>
        <v>41450</v>
      </c>
      <c r="H1595" s="35">
        <v>1.1118055555555555</v>
      </c>
      <c r="I1595" s="5" t="s">
        <v>55</v>
      </c>
      <c r="J1595" s="10" t="s">
        <v>8867</v>
      </c>
      <c r="K1595" s="5" t="s">
        <v>360</v>
      </c>
      <c r="L1595" s="5" t="s">
        <v>8868</v>
      </c>
      <c r="M1595" s="5" t="s">
        <v>45</v>
      </c>
      <c r="N1595" s="5" t="s">
        <v>123</v>
      </c>
      <c r="O1595" s="5" t="s">
        <v>59</v>
      </c>
      <c r="P1595" s="10" t="s">
        <v>60</v>
      </c>
      <c r="Q1595" s="10" t="s">
        <v>3889</v>
      </c>
      <c r="R1595" s="10" t="s">
        <v>363</v>
      </c>
      <c r="S1595" s="5">
        <v>0</v>
      </c>
      <c r="T1595" s="37">
        <v>0</v>
      </c>
      <c r="U1595" s="5">
        <v>0</v>
      </c>
      <c r="V1595" s="37">
        <v>0</v>
      </c>
      <c r="W1595" s="5">
        <v>0</v>
      </c>
      <c r="X1595" s="5">
        <v>0</v>
      </c>
      <c r="Y1595" s="5">
        <v>0</v>
      </c>
      <c r="Z1595" s="37">
        <v>0</v>
      </c>
      <c r="AA1595" s="5">
        <v>0</v>
      </c>
      <c r="AB1595" s="5">
        <v>0</v>
      </c>
      <c r="AC1595" s="5">
        <v>0</v>
      </c>
      <c r="AD1595" s="5">
        <v>0</v>
      </c>
      <c r="AE1595" s="10" t="s">
        <v>126</v>
      </c>
      <c r="AF1595" s="10"/>
      <c r="AG1595" s="10" t="s">
        <v>64</v>
      </c>
      <c r="AH1595" s="10">
        <v>41450</v>
      </c>
      <c r="AI1595" s="5">
        <v>4</v>
      </c>
      <c r="AJ1595" s="10" t="s">
        <v>8869</v>
      </c>
      <c r="AK1595" s="10" t="s">
        <v>8870</v>
      </c>
    </row>
    <row r="1596" spans="1:37" ht="36.75" customHeight="1" x14ac:dyDescent="0.35">
      <c r="A1596" s="5"/>
      <c r="B1596" s="5" t="s">
        <v>37</v>
      </c>
      <c r="C1596" s="73" t="str">
        <f t="shared" si="24"/>
        <v>Closed</v>
      </c>
      <c r="D1596" s="45" t="s">
        <v>8871</v>
      </c>
      <c r="E1596" s="54" t="s">
        <v>8872</v>
      </c>
      <c r="F1596" s="5" t="s">
        <v>214</v>
      </c>
      <c r="G1596" s="10">
        <f>DATE(2013,6,25)</f>
        <v>41450</v>
      </c>
      <c r="H1596" s="35">
        <v>1.3159722222222223</v>
      </c>
      <c r="I1596" s="5" t="s">
        <v>2398</v>
      </c>
      <c r="J1596" s="10" t="s">
        <v>8873</v>
      </c>
      <c r="K1596" s="5" t="s">
        <v>216</v>
      </c>
      <c r="L1596" s="5" t="s">
        <v>8874</v>
      </c>
      <c r="M1596" s="5" t="s">
        <v>45</v>
      </c>
      <c r="N1596" s="5" t="s">
        <v>123</v>
      </c>
      <c r="O1596" s="5" t="s">
        <v>46</v>
      </c>
      <c r="P1596" s="10" t="s">
        <v>146</v>
      </c>
      <c r="Q1596" s="10" t="s">
        <v>427</v>
      </c>
      <c r="R1596" s="10" t="s">
        <v>219</v>
      </c>
      <c r="S1596" s="5">
        <v>0</v>
      </c>
      <c r="T1596" s="37">
        <v>0</v>
      </c>
      <c r="U1596" s="5">
        <v>0</v>
      </c>
      <c r="V1596" s="37">
        <v>0</v>
      </c>
      <c r="W1596" s="5">
        <v>0</v>
      </c>
      <c r="X1596" s="5">
        <v>0</v>
      </c>
      <c r="Y1596" s="5">
        <v>0</v>
      </c>
      <c r="Z1596" s="37">
        <v>0</v>
      </c>
      <c r="AA1596" s="5">
        <v>0</v>
      </c>
      <c r="AB1596" s="5">
        <v>0</v>
      </c>
      <c r="AC1596" s="5">
        <v>0</v>
      </c>
      <c r="AD1596" s="5">
        <v>0</v>
      </c>
      <c r="AE1596" s="10" t="s">
        <v>73</v>
      </c>
      <c r="AF1596" s="10"/>
      <c r="AG1596" s="10" t="s">
        <v>333</v>
      </c>
      <c r="AH1596" s="10">
        <v>41471</v>
      </c>
      <c r="AI1596" s="5">
        <v>4</v>
      </c>
      <c r="AJ1596" s="10" t="s">
        <v>8875</v>
      </c>
      <c r="AK1596" s="10" t="s">
        <v>8876</v>
      </c>
    </row>
    <row r="1597" spans="1:37" ht="36.75" customHeight="1" x14ac:dyDescent="0.35">
      <c r="A1597" s="5"/>
      <c r="B1597" s="5" t="s">
        <v>37</v>
      </c>
      <c r="C1597" s="73" t="str">
        <f t="shared" si="24"/>
        <v>Closed</v>
      </c>
      <c r="D1597" s="45" t="s">
        <v>8877</v>
      </c>
      <c r="E1597" s="54" t="s">
        <v>8878</v>
      </c>
      <c r="F1597" s="5" t="s">
        <v>2581</v>
      </c>
      <c r="G1597" s="10">
        <f>DATE(2013,6,26)</f>
        <v>41451</v>
      </c>
      <c r="H1597" s="35">
        <v>1.3263888888888888</v>
      </c>
      <c r="I1597" s="5" t="s">
        <v>106</v>
      </c>
      <c r="J1597" s="10" t="s">
        <v>8879</v>
      </c>
      <c r="K1597" s="5" t="s">
        <v>2583</v>
      </c>
      <c r="L1597" s="5" t="s">
        <v>8880</v>
      </c>
      <c r="M1597" s="5" t="s">
        <v>45</v>
      </c>
      <c r="N1597" s="5" t="s">
        <v>70</v>
      </c>
      <c r="O1597" s="5" t="s">
        <v>59</v>
      </c>
      <c r="P1597" s="10" t="s">
        <v>6920</v>
      </c>
      <c r="Q1597" s="10" t="s">
        <v>6321</v>
      </c>
      <c r="R1597" s="10" t="s">
        <v>2586</v>
      </c>
      <c r="S1597" s="5">
        <v>0</v>
      </c>
      <c r="T1597" s="37">
        <v>0</v>
      </c>
      <c r="U1597" s="5">
        <v>0</v>
      </c>
      <c r="V1597" s="37">
        <v>0</v>
      </c>
      <c r="W1597" s="5">
        <v>0</v>
      </c>
      <c r="X1597" s="5">
        <v>0</v>
      </c>
      <c r="Y1597" s="5">
        <v>0</v>
      </c>
      <c r="Z1597" s="37">
        <v>0</v>
      </c>
      <c r="AA1597" s="5">
        <v>0</v>
      </c>
      <c r="AB1597" s="5">
        <v>0</v>
      </c>
      <c r="AC1597" s="5">
        <v>0</v>
      </c>
      <c r="AD1597" s="5">
        <v>0</v>
      </c>
      <c r="AE1597" s="10" t="s">
        <v>73</v>
      </c>
      <c r="AF1597" s="10"/>
      <c r="AG1597" s="10" t="s">
        <v>114</v>
      </c>
      <c r="AH1597" s="10">
        <v>41451</v>
      </c>
      <c r="AI1597" s="5">
        <v>6</v>
      </c>
      <c r="AJ1597" s="10" t="s">
        <v>8881</v>
      </c>
      <c r="AK1597" s="10" t="s">
        <v>8882</v>
      </c>
    </row>
    <row r="1598" spans="1:37" ht="36.75" customHeight="1" x14ac:dyDescent="0.35">
      <c r="A1598" s="5"/>
      <c r="B1598" s="5" t="s">
        <v>37</v>
      </c>
      <c r="C1598" s="73" t="str">
        <f t="shared" si="24"/>
        <v>Closed</v>
      </c>
      <c r="D1598" s="45" t="s">
        <v>8883</v>
      </c>
      <c r="E1598" s="54" t="s">
        <v>8884</v>
      </c>
      <c r="F1598" s="5" t="s">
        <v>96</v>
      </c>
      <c r="G1598" s="10">
        <f>DATE(2013,6,26)</f>
        <v>41451</v>
      </c>
      <c r="H1598" s="35">
        <v>1.5708333333333333</v>
      </c>
      <c r="I1598" s="5" t="s">
        <v>55</v>
      </c>
      <c r="J1598" s="10" t="s">
        <v>8885</v>
      </c>
      <c r="K1598" s="5" t="s">
        <v>99</v>
      </c>
      <c r="L1598" s="5" t="s">
        <v>8886</v>
      </c>
      <c r="M1598" s="5" t="s">
        <v>45</v>
      </c>
      <c r="N1598" s="5" t="s">
        <v>70</v>
      </c>
      <c r="O1598" s="5" t="s">
        <v>46</v>
      </c>
      <c r="P1598" s="10" t="s">
        <v>6920</v>
      </c>
      <c r="Q1598" s="10" t="s">
        <v>101</v>
      </c>
      <c r="R1598" s="10" t="s">
        <v>102</v>
      </c>
      <c r="S1598" s="5">
        <v>0</v>
      </c>
      <c r="T1598" s="37">
        <v>0</v>
      </c>
      <c r="U1598" s="5">
        <v>0</v>
      </c>
      <c r="V1598" s="37">
        <v>0</v>
      </c>
      <c r="W1598" s="5">
        <v>0</v>
      </c>
      <c r="X1598" s="5">
        <v>0</v>
      </c>
      <c r="Y1598" s="5">
        <v>0</v>
      </c>
      <c r="Z1598" s="37">
        <v>0</v>
      </c>
      <c r="AA1598" s="5">
        <v>0</v>
      </c>
      <c r="AB1598" s="5">
        <v>0</v>
      </c>
      <c r="AC1598" s="5">
        <v>0</v>
      </c>
      <c r="AD1598" s="5">
        <v>0</v>
      </c>
      <c r="AE1598" s="10" t="s">
        <v>73</v>
      </c>
      <c r="AF1598" s="10"/>
      <c r="AG1598" s="10" t="s">
        <v>114</v>
      </c>
      <c r="AH1598" s="10">
        <v>41453</v>
      </c>
      <c r="AI1598" s="5">
        <v>3</v>
      </c>
      <c r="AJ1598" s="10" t="s">
        <v>8887</v>
      </c>
      <c r="AK1598" s="10" t="s">
        <v>8888</v>
      </c>
    </row>
    <row r="1599" spans="1:37" ht="36.75" customHeight="1" x14ac:dyDescent="0.35">
      <c r="A1599" s="5"/>
      <c r="B1599" s="5" t="s">
        <v>37</v>
      </c>
      <c r="C1599" s="73" t="str">
        <f t="shared" si="24"/>
        <v>Closed</v>
      </c>
      <c r="D1599" s="45" t="s">
        <v>8889</v>
      </c>
      <c r="E1599" s="54" t="s">
        <v>8890</v>
      </c>
      <c r="F1599" s="5" t="s">
        <v>563</v>
      </c>
      <c r="G1599" s="10">
        <f>DATE(2013,6,29)</f>
        <v>41454</v>
      </c>
      <c r="H1599" s="35">
        <v>1.0326388888888889</v>
      </c>
      <c r="I1599" s="5" t="s">
        <v>55</v>
      </c>
      <c r="J1599" s="10" t="s">
        <v>8891</v>
      </c>
      <c r="K1599" s="5" t="s">
        <v>565</v>
      </c>
      <c r="L1599" s="5" t="s">
        <v>8892</v>
      </c>
      <c r="M1599" s="5" t="s">
        <v>45</v>
      </c>
      <c r="N1599" s="5" t="s">
        <v>123</v>
      </c>
      <c r="O1599" s="5" t="s">
        <v>46</v>
      </c>
      <c r="P1599" s="10" t="s">
        <v>60</v>
      </c>
      <c r="Q1599" s="10" t="s">
        <v>8893</v>
      </c>
      <c r="R1599" s="10" t="s">
        <v>568</v>
      </c>
      <c r="S1599" s="5">
        <v>0</v>
      </c>
      <c r="T1599" s="37">
        <v>0</v>
      </c>
      <c r="U1599" s="5">
        <v>0</v>
      </c>
      <c r="V1599" s="37">
        <v>0</v>
      </c>
      <c r="W1599" s="5">
        <v>0</v>
      </c>
      <c r="X1599" s="5">
        <v>0</v>
      </c>
      <c r="Y1599" s="5">
        <v>0</v>
      </c>
      <c r="Z1599" s="37">
        <v>0</v>
      </c>
      <c r="AA1599" s="5">
        <v>0</v>
      </c>
      <c r="AB1599" s="5">
        <v>0</v>
      </c>
      <c r="AC1599" s="5">
        <v>0</v>
      </c>
      <c r="AD1599" s="5">
        <v>0</v>
      </c>
      <c r="AE1599" s="10" t="s">
        <v>375</v>
      </c>
      <c r="AF1599" s="10"/>
      <c r="AG1599" s="10" t="s">
        <v>114</v>
      </c>
      <c r="AH1599" s="10">
        <v>41460</v>
      </c>
      <c r="AI1599" s="5">
        <v>0</v>
      </c>
      <c r="AJ1599" s="10" t="s">
        <v>8894</v>
      </c>
      <c r="AK1599" s="10" t="s">
        <v>1215</v>
      </c>
    </row>
    <row r="1600" spans="1:37" ht="36.75" customHeight="1" x14ac:dyDescent="0.35">
      <c r="A1600" s="5"/>
      <c r="B1600" s="5" t="s">
        <v>37</v>
      </c>
      <c r="C1600" s="73" t="str">
        <f t="shared" si="24"/>
        <v>Closed</v>
      </c>
      <c r="D1600" s="45" t="s">
        <v>8895</v>
      </c>
      <c r="E1600" s="54" t="s">
        <v>8896</v>
      </c>
      <c r="F1600" s="5" t="s">
        <v>178</v>
      </c>
      <c r="G1600" s="10">
        <f>DATE(2013,7,2)</f>
        <v>41457</v>
      </c>
      <c r="H1600" s="35">
        <v>1.6506944444444445</v>
      </c>
      <c r="I1600" s="5" t="s">
        <v>55</v>
      </c>
      <c r="J1600" s="10" t="s">
        <v>8897</v>
      </c>
      <c r="K1600" s="5" t="s">
        <v>181</v>
      </c>
      <c r="L1600" s="5" t="s">
        <v>8898</v>
      </c>
      <c r="M1600" s="5" t="s">
        <v>45</v>
      </c>
      <c r="N1600" s="5" t="s">
        <v>123</v>
      </c>
      <c r="O1600" s="5" t="s">
        <v>59</v>
      </c>
      <c r="P1600" s="10" t="s">
        <v>60</v>
      </c>
      <c r="Q1600" s="10" t="s">
        <v>3124</v>
      </c>
      <c r="R1600" s="10" t="s">
        <v>184</v>
      </c>
      <c r="S1600" s="5">
        <v>0</v>
      </c>
      <c r="T1600" s="37">
        <v>0</v>
      </c>
      <c r="U1600" s="5">
        <v>0</v>
      </c>
      <c r="V1600" s="37">
        <v>0</v>
      </c>
      <c r="W1600" s="5">
        <v>0</v>
      </c>
      <c r="X1600" s="5">
        <v>0</v>
      </c>
      <c r="Y1600" s="5">
        <v>0</v>
      </c>
      <c r="Z1600" s="37">
        <v>0</v>
      </c>
      <c r="AA1600" s="5">
        <v>0</v>
      </c>
      <c r="AB1600" s="5">
        <v>0</v>
      </c>
      <c r="AC1600" s="5">
        <v>0</v>
      </c>
      <c r="AD1600" s="5">
        <v>0</v>
      </c>
      <c r="AE1600" s="10" t="s">
        <v>375</v>
      </c>
      <c r="AF1600" s="10"/>
      <c r="AG1600" s="10" t="s">
        <v>114</v>
      </c>
      <c r="AH1600" s="10">
        <v>41480</v>
      </c>
      <c r="AI1600" s="5">
        <v>3</v>
      </c>
      <c r="AJ1600" s="10" t="s">
        <v>8899</v>
      </c>
      <c r="AK1600" s="10" t="s">
        <v>1215</v>
      </c>
    </row>
    <row r="1601" spans="1:37" ht="36.75" customHeight="1" x14ac:dyDescent="0.35">
      <c r="A1601" s="5"/>
      <c r="B1601" s="5" t="s">
        <v>37</v>
      </c>
      <c r="C1601" s="73" t="str">
        <f t="shared" si="24"/>
        <v>Closed</v>
      </c>
      <c r="D1601" s="45" t="s">
        <v>8900</v>
      </c>
      <c r="E1601" s="54" t="s">
        <v>8901</v>
      </c>
      <c r="F1601" s="5" t="s">
        <v>563</v>
      </c>
      <c r="G1601" s="10">
        <f>DATE(2013,7,2)</f>
        <v>41457</v>
      </c>
      <c r="H1601" s="35">
        <v>1.7319444444444443</v>
      </c>
      <c r="I1601" s="5" t="s">
        <v>55</v>
      </c>
      <c r="J1601" s="10" t="s">
        <v>8902</v>
      </c>
      <c r="K1601" s="5" t="s">
        <v>565</v>
      </c>
      <c r="L1601" s="5" t="s">
        <v>8903</v>
      </c>
      <c r="M1601" s="5" t="s">
        <v>45</v>
      </c>
      <c r="N1601" s="5" t="s">
        <v>123</v>
      </c>
      <c r="O1601" s="5" t="s">
        <v>59</v>
      </c>
      <c r="P1601" s="10" t="s">
        <v>60</v>
      </c>
      <c r="Q1601" s="10" t="s">
        <v>8904</v>
      </c>
      <c r="R1601" s="10" t="s">
        <v>568</v>
      </c>
      <c r="S1601" s="5">
        <v>0</v>
      </c>
      <c r="T1601" s="37">
        <v>0</v>
      </c>
      <c r="U1601" s="5">
        <v>0</v>
      </c>
      <c r="V1601" s="37">
        <v>0</v>
      </c>
      <c r="W1601" s="5">
        <v>0</v>
      </c>
      <c r="X1601" s="5">
        <v>0</v>
      </c>
      <c r="Y1601" s="5">
        <v>0</v>
      </c>
      <c r="Z1601" s="37">
        <v>0</v>
      </c>
      <c r="AA1601" s="5">
        <v>0</v>
      </c>
      <c r="AB1601" s="5">
        <v>0</v>
      </c>
      <c r="AC1601" s="5">
        <v>0</v>
      </c>
      <c r="AD1601" s="5">
        <v>0</v>
      </c>
      <c r="AE1601" s="10" t="s">
        <v>375</v>
      </c>
      <c r="AF1601" s="10"/>
      <c r="AG1601" s="10" t="s">
        <v>114</v>
      </c>
      <c r="AH1601" s="10">
        <v>41470</v>
      </c>
      <c r="AI1601" s="5">
        <v>0</v>
      </c>
      <c r="AJ1601" s="10" t="s">
        <v>8905</v>
      </c>
      <c r="AK1601" s="10" t="s">
        <v>1215</v>
      </c>
    </row>
    <row r="1602" spans="1:37" ht="36.75" customHeight="1" x14ac:dyDescent="0.35">
      <c r="A1602" s="5"/>
      <c r="B1602" s="5" t="s">
        <v>37</v>
      </c>
      <c r="C1602" s="73" t="str">
        <f t="shared" ref="C1602:C1665" si="25">IF(B1602="Notification","Open",IF(B1602="Interim Statement","In progress","Closed"))</f>
        <v>Closed</v>
      </c>
      <c r="D1602" s="45" t="s">
        <v>8906</v>
      </c>
      <c r="E1602" s="54" t="s">
        <v>8907</v>
      </c>
      <c r="F1602" s="5" t="s">
        <v>105</v>
      </c>
      <c r="G1602" s="10">
        <f>DATE(2013,7,5)</f>
        <v>41460</v>
      </c>
      <c r="H1602" s="35">
        <v>1.776388888888889</v>
      </c>
      <c r="I1602" s="5" t="s">
        <v>259</v>
      </c>
      <c r="J1602" s="10" t="s">
        <v>8908</v>
      </c>
      <c r="K1602" s="5" t="s">
        <v>108</v>
      </c>
      <c r="L1602" s="5" t="s">
        <v>8909</v>
      </c>
      <c r="M1602" s="5" t="s">
        <v>110</v>
      </c>
      <c r="N1602" s="5" t="s">
        <v>123</v>
      </c>
      <c r="O1602" s="5" t="s">
        <v>59</v>
      </c>
      <c r="P1602" s="10" t="s">
        <v>110</v>
      </c>
      <c r="Q1602" s="10" t="s">
        <v>111</v>
      </c>
      <c r="R1602" s="10" t="s">
        <v>112</v>
      </c>
      <c r="S1602" s="5">
        <v>1</v>
      </c>
      <c r="T1602" s="37">
        <v>0</v>
      </c>
      <c r="U1602" s="5">
        <v>0</v>
      </c>
      <c r="V1602" s="37">
        <v>0</v>
      </c>
      <c r="W1602" s="5">
        <v>0</v>
      </c>
      <c r="X1602" s="5">
        <v>1</v>
      </c>
      <c r="Y1602" s="5">
        <v>0</v>
      </c>
      <c r="Z1602" s="37">
        <v>0</v>
      </c>
      <c r="AA1602" s="5">
        <v>0</v>
      </c>
      <c r="AB1602" s="5">
        <v>0</v>
      </c>
      <c r="AC1602" s="5">
        <v>0</v>
      </c>
      <c r="AD1602" s="5">
        <v>0</v>
      </c>
      <c r="AE1602" s="10" t="s">
        <v>73</v>
      </c>
      <c r="AF1602" s="10"/>
      <c r="AG1602" s="10" t="s">
        <v>348</v>
      </c>
      <c r="AH1602" s="10">
        <v>41466</v>
      </c>
      <c r="AI1602" s="5">
        <v>1</v>
      </c>
      <c r="AJ1602" s="10" t="s">
        <v>8910</v>
      </c>
      <c r="AK1602" s="10" t="s">
        <v>50</v>
      </c>
    </row>
    <row r="1603" spans="1:37" ht="36.75" customHeight="1" x14ac:dyDescent="0.35">
      <c r="A1603" s="5"/>
      <c r="B1603" s="5" t="s">
        <v>37</v>
      </c>
      <c r="C1603" s="73" t="str">
        <f t="shared" si="25"/>
        <v>Closed</v>
      </c>
      <c r="D1603" s="45" t="s">
        <v>8911</v>
      </c>
      <c r="E1603" s="54" t="s">
        <v>8912</v>
      </c>
      <c r="F1603" s="5" t="s">
        <v>1553</v>
      </c>
      <c r="G1603" s="10">
        <f>DATE(2013,7,6)</f>
        <v>41461</v>
      </c>
      <c r="H1603" s="35">
        <v>1.2604166666666667</v>
      </c>
      <c r="I1603" s="5" t="s">
        <v>106</v>
      </c>
      <c r="J1603" s="10" t="s">
        <v>8913</v>
      </c>
      <c r="K1603" s="5" t="s">
        <v>1555</v>
      </c>
      <c r="L1603" s="5" t="s">
        <v>8914</v>
      </c>
      <c r="M1603" s="5" t="s">
        <v>45</v>
      </c>
      <c r="N1603" s="5" t="s">
        <v>123</v>
      </c>
      <c r="O1603" s="5" t="s">
        <v>59</v>
      </c>
      <c r="P1603" s="10" t="s">
        <v>60</v>
      </c>
      <c r="Q1603" s="10" t="s">
        <v>2635</v>
      </c>
      <c r="R1603" s="10" t="s">
        <v>6413</v>
      </c>
      <c r="S1603" s="5">
        <v>0</v>
      </c>
      <c r="T1603" s="37">
        <v>0</v>
      </c>
      <c r="U1603" s="5">
        <v>0</v>
      </c>
      <c r="V1603" s="37">
        <v>0</v>
      </c>
      <c r="W1603" s="5">
        <v>0</v>
      </c>
      <c r="X1603" s="5">
        <v>0</v>
      </c>
      <c r="Y1603" s="5">
        <v>0</v>
      </c>
      <c r="Z1603" s="37">
        <v>0</v>
      </c>
      <c r="AA1603" s="5">
        <v>0</v>
      </c>
      <c r="AB1603" s="5">
        <v>0</v>
      </c>
      <c r="AC1603" s="5">
        <v>0</v>
      </c>
      <c r="AD1603" s="5">
        <v>0</v>
      </c>
      <c r="AE1603" s="10" t="s">
        <v>73</v>
      </c>
      <c r="AF1603" s="10"/>
      <c r="AG1603" s="10" t="s">
        <v>114</v>
      </c>
      <c r="AH1603" s="10">
        <v>41463</v>
      </c>
      <c r="AI1603" s="5">
        <v>0</v>
      </c>
      <c r="AJ1603" s="10" t="s">
        <v>8915</v>
      </c>
      <c r="AK1603" s="10" t="s">
        <v>8916</v>
      </c>
    </row>
    <row r="1604" spans="1:37" ht="36.75" customHeight="1" x14ac:dyDescent="0.35">
      <c r="A1604" s="5"/>
      <c r="B1604" s="5" t="s">
        <v>37</v>
      </c>
      <c r="C1604" s="73" t="str">
        <f t="shared" si="25"/>
        <v>Closed</v>
      </c>
      <c r="D1604" s="45" t="s">
        <v>8917</v>
      </c>
      <c r="E1604" s="54" t="s">
        <v>8918</v>
      </c>
      <c r="F1604" s="5" t="s">
        <v>178</v>
      </c>
      <c r="G1604" s="10">
        <f>DATE(2013,7,9)</f>
        <v>41464</v>
      </c>
      <c r="H1604" s="35">
        <v>0</v>
      </c>
      <c r="I1604" s="5" t="s">
        <v>2398</v>
      </c>
      <c r="J1604" s="10" t="s">
        <v>8919</v>
      </c>
      <c r="K1604" s="5" t="s">
        <v>181</v>
      </c>
      <c r="L1604" s="5" t="s">
        <v>7164</v>
      </c>
      <c r="M1604" s="5" t="s">
        <v>45</v>
      </c>
      <c r="N1604" s="5" t="s">
        <v>80</v>
      </c>
      <c r="O1604" s="5" t="s">
        <v>46</v>
      </c>
      <c r="P1604" s="10" t="s">
        <v>146</v>
      </c>
      <c r="Q1604" s="10">
        <v>0</v>
      </c>
      <c r="R1604" s="10">
        <v>0</v>
      </c>
      <c r="S1604" s="5">
        <v>0</v>
      </c>
      <c r="T1604" s="37">
        <v>0</v>
      </c>
      <c r="U1604" s="5">
        <v>0</v>
      </c>
      <c r="V1604" s="37">
        <v>0</v>
      </c>
      <c r="W1604" s="5">
        <v>0</v>
      </c>
      <c r="X1604" s="5">
        <v>0</v>
      </c>
      <c r="Y1604" s="5">
        <v>0</v>
      </c>
      <c r="Z1604" s="37">
        <v>0</v>
      </c>
      <c r="AA1604" s="5">
        <v>0</v>
      </c>
      <c r="AB1604" s="5">
        <v>0</v>
      </c>
      <c r="AC1604" s="5">
        <v>0</v>
      </c>
      <c r="AD1604" s="5">
        <v>0</v>
      </c>
      <c r="AE1604" s="10" t="s">
        <v>73</v>
      </c>
      <c r="AF1604" s="10"/>
      <c r="AG1604" s="10" t="s">
        <v>1489</v>
      </c>
      <c r="AH1604" s="10">
        <v>41471</v>
      </c>
      <c r="AI1604" s="5">
        <v>3</v>
      </c>
      <c r="AJ1604" s="10" t="s">
        <v>8920</v>
      </c>
      <c r="AK1604" s="10" t="s">
        <v>1215</v>
      </c>
    </row>
    <row r="1605" spans="1:37" ht="36.75" customHeight="1" x14ac:dyDescent="0.35">
      <c r="A1605" s="5"/>
      <c r="B1605" s="5" t="s">
        <v>37</v>
      </c>
      <c r="C1605" s="73" t="str">
        <f t="shared" si="25"/>
        <v>Closed</v>
      </c>
      <c r="D1605" s="45" t="s">
        <v>8921</v>
      </c>
      <c r="E1605" s="54" t="s">
        <v>8922</v>
      </c>
      <c r="F1605" s="5" t="s">
        <v>1553</v>
      </c>
      <c r="G1605" s="10">
        <f>DATE(2013,7,9)</f>
        <v>41464</v>
      </c>
      <c r="H1605" s="35">
        <v>1.5104166666666665</v>
      </c>
      <c r="I1605" s="5" t="s">
        <v>106</v>
      </c>
      <c r="J1605" s="10" t="s">
        <v>8923</v>
      </c>
      <c r="K1605" s="5" t="s">
        <v>1555</v>
      </c>
      <c r="L1605" s="5" t="s">
        <v>8924</v>
      </c>
      <c r="M1605" s="5" t="s">
        <v>45</v>
      </c>
      <c r="N1605" s="5" t="s">
        <v>80</v>
      </c>
      <c r="O1605" s="5" t="s">
        <v>59</v>
      </c>
      <c r="P1605" s="10" t="s">
        <v>362</v>
      </c>
      <c r="Q1605" s="10" t="s">
        <v>2635</v>
      </c>
      <c r="R1605" s="10" t="s">
        <v>6413</v>
      </c>
      <c r="S1605" s="5">
        <v>0</v>
      </c>
      <c r="T1605" s="37">
        <v>0</v>
      </c>
      <c r="U1605" s="5">
        <v>0</v>
      </c>
      <c r="V1605" s="37">
        <v>0</v>
      </c>
      <c r="W1605" s="5">
        <v>0</v>
      </c>
      <c r="X1605" s="5">
        <v>0</v>
      </c>
      <c r="Y1605" s="5">
        <v>0</v>
      </c>
      <c r="Z1605" s="37">
        <v>0</v>
      </c>
      <c r="AA1605" s="5">
        <v>0</v>
      </c>
      <c r="AB1605" s="5">
        <v>0</v>
      </c>
      <c r="AC1605" s="5">
        <v>0</v>
      </c>
      <c r="AD1605" s="5">
        <v>0</v>
      </c>
      <c r="AE1605" s="10" t="s">
        <v>73</v>
      </c>
      <c r="AF1605" s="10"/>
      <c r="AG1605" s="10" t="s">
        <v>114</v>
      </c>
      <c r="AH1605" s="10">
        <v>41465</v>
      </c>
      <c r="AI1605" s="5">
        <v>0</v>
      </c>
      <c r="AJ1605" s="10" t="s">
        <v>8925</v>
      </c>
      <c r="AK1605" s="10" t="s">
        <v>8926</v>
      </c>
    </row>
    <row r="1606" spans="1:37" ht="36.75" customHeight="1" x14ac:dyDescent="0.35">
      <c r="A1606" s="5"/>
      <c r="B1606" s="5" t="s">
        <v>37</v>
      </c>
      <c r="C1606" s="73" t="str">
        <f t="shared" si="25"/>
        <v>Closed</v>
      </c>
      <c r="D1606" s="45" t="s">
        <v>8927</v>
      </c>
      <c r="E1606" s="54" t="s">
        <v>8928</v>
      </c>
      <c r="F1606" s="5" t="s">
        <v>619</v>
      </c>
      <c r="G1606" s="10">
        <f>DATE(2013,7,11)</f>
        <v>41466</v>
      </c>
      <c r="H1606" s="35">
        <v>1.8326388888888889</v>
      </c>
      <c r="I1606" s="5" t="s">
        <v>85</v>
      </c>
      <c r="J1606" s="10" t="s">
        <v>8929</v>
      </c>
      <c r="K1606" s="5" t="s">
        <v>621</v>
      </c>
      <c r="L1606" s="5" t="s">
        <v>8930</v>
      </c>
      <c r="M1606" s="5" t="s">
        <v>45</v>
      </c>
      <c r="N1606" s="5" t="s">
        <v>80</v>
      </c>
      <c r="O1606" s="5" t="s">
        <v>59</v>
      </c>
      <c r="P1606" s="10" t="s">
        <v>60</v>
      </c>
      <c r="Q1606" s="10" t="s">
        <v>4884</v>
      </c>
      <c r="R1606" s="10" t="s">
        <v>624</v>
      </c>
      <c r="S1606" s="5">
        <v>0</v>
      </c>
      <c r="T1606" s="37">
        <v>0</v>
      </c>
      <c r="U1606" s="5">
        <v>0</v>
      </c>
      <c r="V1606" s="37">
        <v>0</v>
      </c>
      <c r="W1606" s="5">
        <v>0</v>
      </c>
      <c r="X1606" s="5">
        <v>0</v>
      </c>
      <c r="Y1606" s="5">
        <v>0</v>
      </c>
      <c r="Z1606" s="37">
        <v>0</v>
      </c>
      <c r="AA1606" s="5">
        <v>0</v>
      </c>
      <c r="AB1606" s="5">
        <v>0</v>
      </c>
      <c r="AC1606" s="5">
        <v>0</v>
      </c>
      <c r="AD1606" s="5">
        <v>0</v>
      </c>
      <c r="AE1606" s="10" t="s">
        <v>73</v>
      </c>
      <c r="AF1606" s="10"/>
      <c r="AG1606" s="10" t="s">
        <v>333</v>
      </c>
      <c r="AH1606" s="10">
        <v>41485</v>
      </c>
      <c r="AI1606" s="5">
        <v>0</v>
      </c>
      <c r="AJ1606" s="10" t="s">
        <v>8931</v>
      </c>
      <c r="AK1606" s="10" t="s">
        <v>50</v>
      </c>
    </row>
    <row r="1607" spans="1:37" ht="36.75" customHeight="1" x14ac:dyDescent="0.35">
      <c r="A1607" s="5"/>
      <c r="B1607" s="5" t="s">
        <v>37</v>
      </c>
      <c r="C1607" s="73" t="str">
        <f t="shared" si="25"/>
        <v>Closed</v>
      </c>
      <c r="D1607" s="45" t="s">
        <v>8932</v>
      </c>
      <c r="E1607" s="54" t="s">
        <v>8933</v>
      </c>
      <c r="F1607" s="5" t="s">
        <v>96</v>
      </c>
      <c r="G1607" s="10">
        <f>DATE(2013,7,12)</f>
        <v>41467</v>
      </c>
      <c r="H1607" s="35">
        <v>1.7180555555555554</v>
      </c>
      <c r="I1607" s="5" t="s">
        <v>55</v>
      </c>
      <c r="J1607" s="10" t="s">
        <v>8934</v>
      </c>
      <c r="K1607" s="5" t="s">
        <v>99</v>
      </c>
      <c r="L1607" s="5" t="s">
        <v>8935</v>
      </c>
      <c r="M1607" s="5" t="s">
        <v>45</v>
      </c>
      <c r="N1607" s="5" t="s">
        <v>70</v>
      </c>
      <c r="O1607" s="5" t="s">
        <v>59</v>
      </c>
      <c r="P1607" s="10" t="s">
        <v>6920</v>
      </c>
      <c r="Q1607" s="10" t="s">
        <v>101</v>
      </c>
      <c r="R1607" s="10" t="s">
        <v>102</v>
      </c>
      <c r="S1607" s="5">
        <v>7</v>
      </c>
      <c r="T1607" s="37">
        <v>0</v>
      </c>
      <c r="U1607" s="5">
        <v>0</v>
      </c>
      <c r="V1607" s="37">
        <v>0</v>
      </c>
      <c r="W1607" s="5">
        <v>0</v>
      </c>
      <c r="X1607" s="5">
        <v>7</v>
      </c>
      <c r="Y1607" s="5">
        <v>11</v>
      </c>
      <c r="Z1607" s="37">
        <v>0</v>
      </c>
      <c r="AA1607" s="5">
        <v>0</v>
      </c>
      <c r="AB1607" s="5">
        <v>0</v>
      </c>
      <c r="AC1607" s="5">
        <v>0</v>
      </c>
      <c r="AD1607" s="5">
        <v>11</v>
      </c>
      <c r="AE1607" s="10" t="s">
        <v>126</v>
      </c>
      <c r="AF1607" s="10"/>
      <c r="AG1607" s="10" t="s">
        <v>64</v>
      </c>
      <c r="AH1607" s="10">
        <v>41467</v>
      </c>
      <c r="AI1607" s="5">
        <v>6</v>
      </c>
      <c r="AJ1607" s="10" t="s">
        <v>8936</v>
      </c>
      <c r="AK1607" s="10" t="s">
        <v>8937</v>
      </c>
    </row>
    <row r="1608" spans="1:37" ht="36.75" customHeight="1" x14ac:dyDescent="0.35">
      <c r="A1608" s="5"/>
      <c r="B1608" s="5" t="s">
        <v>37</v>
      </c>
      <c r="C1608" s="73" t="str">
        <f t="shared" si="25"/>
        <v>Closed</v>
      </c>
      <c r="D1608" s="45" t="s">
        <v>8938</v>
      </c>
      <c r="E1608" s="54" t="s">
        <v>8939</v>
      </c>
      <c r="F1608" s="5" t="s">
        <v>404</v>
      </c>
      <c r="G1608" s="10">
        <f>DATE(2013,7,13)</f>
        <v>41468</v>
      </c>
      <c r="H1608" s="35">
        <v>1.2472222222222222</v>
      </c>
      <c r="I1608" s="5" t="s">
        <v>97</v>
      </c>
      <c r="J1608" s="10" t="s">
        <v>8940</v>
      </c>
      <c r="K1608" s="5" t="s">
        <v>406</v>
      </c>
      <c r="L1608" s="5" t="s">
        <v>8941</v>
      </c>
      <c r="M1608" s="5" t="s">
        <v>45</v>
      </c>
      <c r="N1608" s="5" t="s">
        <v>80</v>
      </c>
      <c r="O1608" s="5" t="s">
        <v>46</v>
      </c>
      <c r="P1608" s="10" t="s">
        <v>146</v>
      </c>
      <c r="Q1608" s="10" t="s">
        <v>408</v>
      </c>
      <c r="R1608" s="10" t="s">
        <v>3083</v>
      </c>
      <c r="S1608" s="5">
        <v>0</v>
      </c>
      <c r="T1608" s="37">
        <v>0</v>
      </c>
      <c r="U1608" s="5">
        <v>0</v>
      </c>
      <c r="V1608" s="37">
        <v>0</v>
      </c>
      <c r="W1608" s="5">
        <v>0</v>
      </c>
      <c r="X1608" s="5">
        <v>0</v>
      </c>
      <c r="Y1608" s="5">
        <v>0</v>
      </c>
      <c r="Z1608" s="37">
        <v>0</v>
      </c>
      <c r="AA1608" s="5">
        <v>0</v>
      </c>
      <c r="AB1608" s="5">
        <v>0</v>
      </c>
      <c r="AC1608" s="5">
        <v>0</v>
      </c>
      <c r="AD1608" s="5">
        <v>0</v>
      </c>
      <c r="AE1608" s="10" t="s">
        <v>73</v>
      </c>
      <c r="AF1608" s="10"/>
      <c r="AG1608" s="10" t="s">
        <v>114</v>
      </c>
      <c r="AH1608" s="10">
        <v>41471</v>
      </c>
      <c r="AI1608" s="5">
        <v>3</v>
      </c>
      <c r="AJ1608" s="10" t="s">
        <v>7187</v>
      </c>
      <c r="AK1608" s="10" t="s">
        <v>8942</v>
      </c>
    </row>
    <row r="1609" spans="1:37" ht="36.75" customHeight="1" x14ac:dyDescent="0.35">
      <c r="A1609" s="5"/>
      <c r="B1609" s="5" t="s">
        <v>37</v>
      </c>
      <c r="C1609" s="73" t="str">
        <f t="shared" si="25"/>
        <v>Closed</v>
      </c>
      <c r="D1609" s="45" t="s">
        <v>8943</v>
      </c>
      <c r="E1609" s="54" t="s">
        <v>8944</v>
      </c>
      <c r="F1609" s="5" t="s">
        <v>214</v>
      </c>
      <c r="G1609" s="10">
        <f>DATE(2013,7,14)</f>
        <v>41469</v>
      </c>
      <c r="H1609" s="35">
        <v>1.7638888888888888</v>
      </c>
      <c r="I1609" s="5" t="s">
        <v>97</v>
      </c>
      <c r="J1609" s="10" t="s">
        <v>8945</v>
      </c>
      <c r="K1609" s="5" t="s">
        <v>216</v>
      </c>
      <c r="L1609" s="5" t="s">
        <v>8946</v>
      </c>
      <c r="M1609" s="5" t="s">
        <v>45</v>
      </c>
      <c r="N1609" s="5" t="s">
        <v>123</v>
      </c>
      <c r="O1609" s="5" t="s">
        <v>46</v>
      </c>
      <c r="P1609" s="10" t="s">
        <v>6920</v>
      </c>
      <c r="Q1609" s="10">
        <v>0</v>
      </c>
      <c r="R1609" s="10">
        <v>0</v>
      </c>
      <c r="S1609" s="5">
        <v>0</v>
      </c>
      <c r="T1609" s="37">
        <v>0</v>
      </c>
      <c r="U1609" s="5">
        <v>0</v>
      </c>
      <c r="V1609" s="37">
        <v>0</v>
      </c>
      <c r="W1609" s="5">
        <v>0</v>
      </c>
      <c r="X1609" s="5">
        <v>0</v>
      </c>
      <c r="Y1609" s="5">
        <v>0</v>
      </c>
      <c r="Z1609" s="37">
        <v>0</v>
      </c>
      <c r="AA1609" s="5">
        <v>0</v>
      </c>
      <c r="AB1609" s="5">
        <v>0</v>
      </c>
      <c r="AC1609" s="5">
        <v>0</v>
      </c>
      <c r="AD1609" s="5">
        <v>0</v>
      </c>
      <c r="AE1609" s="10" t="s">
        <v>73</v>
      </c>
      <c r="AF1609" s="10"/>
      <c r="AG1609" s="10" t="s">
        <v>333</v>
      </c>
      <c r="AH1609" s="10">
        <v>41477</v>
      </c>
      <c r="AI1609" s="5">
        <v>5</v>
      </c>
      <c r="AJ1609" s="10" t="s">
        <v>8947</v>
      </c>
      <c r="AK1609" s="10" t="s">
        <v>8948</v>
      </c>
    </row>
    <row r="1610" spans="1:37" ht="36.75" customHeight="1" x14ac:dyDescent="0.35">
      <c r="A1610" s="5"/>
      <c r="B1610" s="5" t="s">
        <v>37</v>
      </c>
      <c r="C1610" s="73" t="str">
        <f t="shared" si="25"/>
        <v>Closed</v>
      </c>
      <c r="D1610" s="45" t="s">
        <v>8949</v>
      </c>
      <c r="E1610" s="54" t="s">
        <v>8950</v>
      </c>
      <c r="F1610" s="5" t="s">
        <v>214</v>
      </c>
      <c r="G1610" s="10">
        <f>DATE(2013,7,16)</f>
        <v>41471</v>
      </c>
      <c r="H1610" s="35">
        <v>1.4888888888888889</v>
      </c>
      <c r="I1610" s="5" t="s">
        <v>97</v>
      </c>
      <c r="J1610" s="10" t="s">
        <v>8951</v>
      </c>
      <c r="K1610" s="5" t="s">
        <v>216</v>
      </c>
      <c r="L1610" s="5" t="s">
        <v>8952</v>
      </c>
      <c r="M1610" s="5" t="s">
        <v>45</v>
      </c>
      <c r="N1610" s="5" t="s">
        <v>80</v>
      </c>
      <c r="O1610" s="5" t="s">
        <v>46</v>
      </c>
      <c r="P1610" s="10" t="s">
        <v>146</v>
      </c>
      <c r="Q1610" s="10" t="s">
        <v>2154</v>
      </c>
      <c r="R1610" s="10" t="s">
        <v>219</v>
      </c>
      <c r="S1610" s="5">
        <v>0</v>
      </c>
      <c r="T1610" s="37">
        <v>0</v>
      </c>
      <c r="U1610" s="5">
        <v>0</v>
      </c>
      <c r="V1610" s="37">
        <v>0</v>
      </c>
      <c r="W1610" s="5">
        <v>0</v>
      </c>
      <c r="X1610" s="5">
        <v>0</v>
      </c>
      <c r="Y1610" s="5">
        <v>0</v>
      </c>
      <c r="Z1610" s="37">
        <v>0</v>
      </c>
      <c r="AA1610" s="5">
        <v>0</v>
      </c>
      <c r="AB1610" s="5">
        <v>0</v>
      </c>
      <c r="AC1610" s="5">
        <v>0</v>
      </c>
      <c r="AD1610" s="5">
        <v>0</v>
      </c>
      <c r="AE1610" s="10" t="s">
        <v>73</v>
      </c>
      <c r="AF1610" s="10"/>
      <c r="AG1610" s="10" t="s">
        <v>114</v>
      </c>
      <c r="AH1610" s="10">
        <v>41477</v>
      </c>
      <c r="AI1610" s="5">
        <v>3</v>
      </c>
      <c r="AJ1610" s="10" t="s">
        <v>8953</v>
      </c>
      <c r="AK1610" s="10" t="s">
        <v>8954</v>
      </c>
    </row>
    <row r="1611" spans="1:37" ht="36.75" customHeight="1" x14ac:dyDescent="0.35">
      <c r="A1611" s="5"/>
      <c r="B1611" s="5" t="s">
        <v>37</v>
      </c>
      <c r="C1611" s="73" t="str">
        <f t="shared" si="25"/>
        <v>Closed</v>
      </c>
      <c r="D1611" s="45" t="s">
        <v>8955</v>
      </c>
      <c r="E1611" s="54" t="s">
        <v>8956</v>
      </c>
      <c r="F1611" s="5" t="s">
        <v>1553</v>
      </c>
      <c r="G1611" s="10">
        <f>DATE(2013,7,20)</f>
        <v>41475</v>
      </c>
      <c r="H1611" s="35">
        <v>1.226388888888889</v>
      </c>
      <c r="I1611" s="5" t="s">
        <v>55</v>
      </c>
      <c r="J1611" s="10" t="s">
        <v>8957</v>
      </c>
      <c r="K1611" s="5" t="s">
        <v>1555</v>
      </c>
      <c r="L1611" s="5" t="s">
        <v>8958</v>
      </c>
      <c r="M1611" s="5" t="s">
        <v>45</v>
      </c>
      <c r="N1611" s="5" t="s">
        <v>123</v>
      </c>
      <c r="O1611" s="5" t="s">
        <v>59</v>
      </c>
      <c r="P1611" s="10" t="s">
        <v>60</v>
      </c>
      <c r="Q1611" s="10" t="s">
        <v>2635</v>
      </c>
      <c r="R1611" s="10" t="s">
        <v>6413</v>
      </c>
      <c r="S1611" s="5">
        <v>0</v>
      </c>
      <c r="T1611" s="37">
        <v>0</v>
      </c>
      <c r="U1611" s="5">
        <v>0</v>
      </c>
      <c r="V1611" s="37">
        <v>0</v>
      </c>
      <c r="W1611" s="5">
        <v>0</v>
      </c>
      <c r="X1611" s="5">
        <v>0</v>
      </c>
      <c r="Y1611" s="5">
        <v>0</v>
      </c>
      <c r="Z1611" s="37">
        <v>0</v>
      </c>
      <c r="AA1611" s="5">
        <v>0</v>
      </c>
      <c r="AB1611" s="5">
        <v>0</v>
      </c>
      <c r="AC1611" s="5">
        <v>0</v>
      </c>
      <c r="AD1611" s="5">
        <v>0</v>
      </c>
      <c r="AE1611" s="10" t="s">
        <v>73</v>
      </c>
      <c r="AF1611" s="10"/>
      <c r="AG1611" s="10" t="s">
        <v>114</v>
      </c>
      <c r="AH1611" s="10">
        <v>41477</v>
      </c>
      <c r="AI1611" s="5">
        <v>0</v>
      </c>
      <c r="AJ1611" s="10" t="s">
        <v>8959</v>
      </c>
      <c r="AK1611" s="10" t="s">
        <v>6981</v>
      </c>
    </row>
    <row r="1612" spans="1:37" ht="36.75" customHeight="1" x14ac:dyDescent="0.35">
      <c r="A1612" s="5"/>
      <c r="B1612" s="5" t="s">
        <v>37</v>
      </c>
      <c r="C1612" s="73" t="str">
        <f t="shared" si="25"/>
        <v>Closed</v>
      </c>
      <c r="D1612" s="45" t="s">
        <v>8960</v>
      </c>
      <c r="E1612" s="54" t="s">
        <v>8961</v>
      </c>
      <c r="F1612" s="5" t="s">
        <v>404</v>
      </c>
      <c r="G1612" s="10">
        <f>DATE(2013,7,21)</f>
        <v>41476</v>
      </c>
      <c r="H1612" s="35">
        <v>1.1055555555555556</v>
      </c>
      <c r="I1612" s="5" t="s">
        <v>55</v>
      </c>
      <c r="J1612" s="10" t="s">
        <v>8962</v>
      </c>
      <c r="K1612" s="5" t="s">
        <v>406</v>
      </c>
      <c r="L1612" s="5" t="s">
        <v>8963</v>
      </c>
      <c r="M1612" s="5" t="s">
        <v>45</v>
      </c>
      <c r="N1612" s="5" t="s">
        <v>70</v>
      </c>
      <c r="O1612" s="5" t="s">
        <v>59</v>
      </c>
      <c r="P1612" s="10" t="s">
        <v>60</v>
      </c>
      <c r="Q1612" s="10" t="s">
        <v>8964</v>
      </c>
      <c r="R1612" s="10" t="s">
        <v>3083</v>
      </c>
      <c r="S1612" s="5">
        <v>0</v>
      </c>
      <c r="T1612" s="37">
        <v>0</v>
      </c>
      <c r="U1612" s="5">
        <v>0</v>
      </c>
      <c r="V1612" s="37">
        <v>0</v>
      </c>
      <c r="W1612" s="5">
        <v>0</v>
      </c>
      <c r="X1612" s="5">
        <v>0</v>
      </c>
      <c r="Y1612" s="5">
        <v>0</v>
      </c>
      <c r="Z1612" s="37">
        <v>0</v>
      </c>
      <c r="AA1612" s="5">
        <v>0</v>
      </c>
      <c r="AB1612" s="5">
        <v>0</v>
      </c>
      <c r="AC1612" s="5">
        <v>0</v>
      </c>
      <c r="AD1612" s="5">
        <v>0</v>
      </c>
      <c r="AE1612" s="10" t="s">
        <v>375</v>
      </c>
      <c r="AF1612" s="10"/>
      <c r="AG1612" s="10" t="s">
        <v>855</v>
      </c>
      <c r="AH1612" s="10">
        <v>41481</v>
      </c>
      <c r="AI1612" s="5">
        <v>5</v>
      </c>
      <c r="AJ1612" s="10" t="s">
        <v>8965</v>
      </c>
      <c r="AK1612" s="10" t="s">
        <v>8966</v>
      </c>
    </row>
    <row r="1613" spans="1:37" ht="36.75" customHeight="1" x14ac:dyDescent="0.35">
      <c r="A1613" s="5"/>
      <c r="B1613" s="5" t="s">
        <v>37</v>
      </c>
      <c r="C1613" s="73" t="str">
        <f t="shared" si="25"/>
        <v>Closed</v>
      </c>
      <c r="D1613" s="45" t="s">
        <v>8967</v>
      </c>
      <c r="E1613" s="54" t="s">
        <v>8968</v>
      </c>
      <c r="F1613" s="5" t="s">
        <v>214</v>
      </c>
      <c r="G1613" s="10">
        <f>DATE(2013,7,21)</f>
        <v>41476</v>
      </c>
      <c r="H1613" s="35">
        <v>1.0090277777777779</v>
      </c>
      <c r="I1613" s="5" t="s">
        <v>179</v>
      </c>
      <c r="J1613" s="10" t="s">
        <v>8969</v>
      </c>
      <c r="K1613" s="5" t="s">
        <v>216</v>
      </c>
      <c r="L1613" s="5" t="s">
        <v>8970</v>
      </c>
      <c r="M1613" s="5" t="s">
        <v>45</v>
      </c>
      <c r="N1613" s="5" t="s">
        <v>123</v>
      </c>
      <c r="O1613" s="5" t="s">
        <v>59</v>
      </c>
      <c r="P1613" s="10" t="s">
        <v>146</v>
      </c>
      <c r="Q1613" s="10" t="s">
        <v>2518</v>
      </c>
      <c r="R1613" s="10" t="s">
        <v>219</v>
      </c>
      <c r="S1613" s="5">
        <v>0</v>
      </c>
      <c r="T1613" s="37">
        <v>0</v>
      </c>
      <c r="U1613" s="5">
        <v>0</v>
      </c>
      <c r="V1613" s="37">
        <v>0</v>
      </c>
      <c r="W1613" s="5">
        <v>0</v>
      </c>
      <c r="X1613" s="5">
        <v>0</v>
      </c>
      <c r="Y1613" s="5">
        <v>0</v>
      </c>
      <c r="Z1613" s="37">
        <v>0</v>
      </c>
      <c r="AA1613" s="5">
        <v>0</v>
      </c>
      <c r="AB1613" s="5">
        <v>0</v>
      </c>
      <c r="AC1613" s="5">
        <v>0</v>
      </c>
      <c r="AD1613" s="5">
        <v>0</v>
      </c>
      <c r="AE1613" s="10" t="s">
        <v>73</v>
      </c>
      <c r="AF1613" s="10"/>
      <c r="AG1613" s="10" t="s">
        <v>64</v>
      </c>
      <c r="AH1613" s="10">
        <v>41477</v>
      </c>
      <c r="AI1613" s="5">
        <v>5</v>
      </c>
      <c r="AJ1613" s="10" t="s">
        <v>8971</v>
      </c>
      <c r="AK1613" s="10" t="s">
        <v>8972</v>
      </c>
    </row>
    <row r="1614" spans="1:37" ht="36.75" customHeight="1" x14ac:dyDescent="0.35">
      <c r="A1614" s="5"/>
      <c r="B1614" s="5" t="s">
        <v>37</v>
      </c>
      <c r="C1614" s="73" t="str">
        <f t="shared" si="25"/>
        <v>Closed</v>
      </c>
      <c r="D1614" s="45" t="s">
        <v>8973</v>
      </c>
      <c r="E1614" s="54" t="s">
        <v>8974</v>
      </c>
      <c r="F1614" s="5" t="s">
        <v>619</v>
      </c>
      <c r="G1614" s="10">
        <f>DATE(2013,7,24)</f>
        <v>41479</v>
      </c>
      <c r="H1614" s="35">
        <v>1.8618055555555557</v>
      </c>
      <c r="I1614" s="5" t="s">
        <v>55</v>
      </c>
      <c r="J1614" s="10" t="s">
        <v>8975</v>
      </c>
      <c r="K1614" s="5" t="s">
        <v>621</v>
      </c>
      <c r="L1614" s="5" t="s">
        <v>8976</v>
      </c>
      <c r="M1614" s="5" t="s">
        <v>45</v>
      </c>
      <c r="N1614" s="5" t="s">
        <v>123</v>
      </c>
      <c r="O1614" s="5" t="s">
        <v>46</v>
      </c>
      <c r="P1614" s="10" t="s">
        <v>47</v>
      </c>
      <c r="Q1614" s="10" t="s">
        <v>623</v>
      </c>
      <c r="R1614" s="10" t="s">
        <v>624</v>
      </c>
      <c r="S1614" s="5">
        <v>78</v>
      </c>
      <c r="T1614" s="37">
        <v>2</v>
      </c>
      <c r="U1614" s="5">
        <v>0</v>
      </c>
      <c r="V1614" s="37">
        <v>0</v>
      </c>
      <c r="W1614" s="5">
        <v>0</v>
      </c>
      <c r="X1614" s="5">
        <v>80</v>
      </c>
      <c r="Y1614" s="5">
        <v>73</v>
      </c>
      <c r="Z1614" s="37">
        <v>0</v>
      </c>
      <c r="AA1614" s="5">
        <v>0</v>
      </c>
      <c r="AB1614" s="5">
        <v>0</v>
      </c>
      <c r="AC1614" s="5">
        <v>0</v>
      </c>
      <c r="AD1614" s="5">
        <v>73</v>
      </c>
      <c r="AE1614" s="10" t="s">
        <v>375</v>
      </c>
      <c r="AF1614" s="10"/>
      <c r="AG1614" s="10" t="s">
        <v>64</v>
      </c>
      <c r="AH1614" s="10">
        <v>41480</v>
      </c>
      <c r="AI1614" s="5">
        <v>9</v>
      </c>
      <c r="AJ1614" s="10" t="s">
        <v>8977</v>
      </c>
      <c r="AK1614" s="10" t="s">
        <v>50</v>
      </c>
    </row>
    <row r="1615" spans="1:37" ht="36.75" customHeight="1" x14ac:dyDescent="0.35">
      <c r="A1615" s="5"/>
      <c r="B1615" s="5" t="s">
        <v>37</v>
      </c>
      <c r="C1615" s="73" t="str">
        <f t="shared" si="25"/>
        <v>Closed</v>
      </c>
      <c r="D1615" s="45" t="s">
        <v>8978</v>
      </c>
      <c r="E1615" s="54" t="s">
        <v>8979</v>
      </c>
      <c r="F1615" s="5" t="s">
        <v>105</v>
      </c>
      <c r="G1615" s="10">
        <f>DATE(2013,7,24)</f>
        <v>41479</v>
      </c>
      <c r="H1615" s="35">
        <v>1.6423611111111112</v>
      </c>
      <c r="I1615" s="5" t="s">
        <v>55</v>
      </c>
      <c r="J1615" s="10" t="s">
        <v>8980</v>
      </c>
      <c r="K1615" s="5" t="s">
        <v>108</v>
      </c>
      <c r="L1615" s="5" t="s">
        <v>8981</v>
      </c>
      <c r="M1615" s="5" t="s">
        <v>45</v>
      </c>
      <c r="N1615" s="5" t="s">
        <v>80</v>
      </c>
      <c r="O1615" s="5" t="s">
        <v>46</v>
      </c>
      <c r="P1615" s="10" t="s">
        <v>60</v>
      </c>
      <c r="Q1615" s="10" t="s">
        <v>3773</v>
      </c>
      <c r="R1615" s="10" t="s">
        <v>148</v>
      </c>
      <c r="S1615" s="5">
        <v>0</v>
      </c>
      <c r="T1615" s="37">
        <v>0</v>
      </c>
      <c r="U1615" s="5">
        <v>0</v>
      </c>
      <c r="V1615" s="37">
        <v>0</v>
      </c>
      <c r="W1615" s="5">
        <v>0</v>
      </c>
      <c r="X1615" s="5">
        <v>0</v>
      </c>
      <c r="Y1615" s="5">
        <v>0</v>
      </c>
      <c r="Z1615" s="37">
        <v>0</v>
      </c>
      <c r="AA1615" s="5">
        <v>0</v>
      </c>
      <c r="AB1615" s="5">
        <v>0</v>
      </c>
      <c r="AC1615" s="5">
        <v>0</v>
      </c>
      <c r="AD1615" s="5">
        <v>0</v>
      </c>
      <c r="AE1615" s="10" t="s">
        <v>375</v>
      </c>
      <c r="AF1615" s="10"/>
      <c r="AG1615" s="10" t="s">
        <v>114</v>
      </c>
      <c r="AH1615" s="10">
        <v>41479</v>
      </c>
      <c r="AI1615" s="5">
        <v>2</v>
      </c>
      <c r="AJ1615" s="10" t="s">
        <v>8982</v>
      </c>
      <c r="AK1615" s="10" t="s">
        <v>50</v>
      </c>
    </row>
    <row r="1616" spans="1:37" ht="36.75" customHeight="1" x14ac:dyDescent="0.35">
      <c r="A1616" s="5"/>
      <c r="B1616" s="5" t="s">
        <v>37</v>
      </c>
      <c r="C1616" s="73" t="str">
        <f t="shared" si="25"/>
        <v>Closed</v>
      </c>
      <c r="D1616" s="45" t="s">
        <v>8983</v>
      </c>
      <c r="E1616" s="54" t="s">
        <v>8984</v>
      </c>
      <c r="F1616" s="5" t="s">
        <v>178</v>
      </c>
      <c r="G1616" s="10">
        <f>DATE(2013,7,29)</f>
        <v>41484</v>
      </c>
      <c r="H1616" s="35">
        <v>0</v>
      </c>
      <c r="I1616" s="5" t="s">
        <v>97</v>
      </c>
      <c r="J1616" s="10" t="s">
        <v>8985</v>
      </c>
      <c r="K1616" s="5" t="s">
        <v>181</v>
      </c>
      <c r="L1616" s="5" t="s">
        <v>8986</v>
      </c>
      <c r="M1616" s="5" t="s">
        <v>45</v>
      </c>
      <c r="N1616" s="5" t="s">
        <v>80</v>
      </c>
      <c r="O1616" s="5" t="s">
        <v>46</v>
      </c>
      <c r="P1616" s="10" t="s">
        <v>282</v>
      </c>
      <c r="Q1616" s="10">
        <v>0</v>
      </c>
      <c r="R1616" s="10">
        <v>0</v>
      </c>
      <c r="S1616" s="5">
        <v>0</v>
      </c>
      <c r="T1616" s="37">
        <v>0</v>
      </c>
      <c r="U1616" s="5">
        <v>1</v>
      </c>
      <c r="V1616" s="37">
        <v>0</v>
      </c>
      <c r="W1616" s="5">
        <v>0</v>
      </c>
      <c r="X1616" s="5">
        <v>1</v>
      </c>
      <c r="Y1616" s="5">
        <v>0</v>
      </c>
      <c r="Z1616" s="37">
        <v>0</v>
      </c>
      <c r="AA1616" s="5">
        <v>0</v>
      </c>
      <c r="AB1616" s="5">
        <v>0</v>
      </c>
      <c r="AC1616" s="5">
        <v>0</v>
      </c>
      <c r="AD1616" s="5">
        <v>0</v>
      </c>
      <c r="AE1616" s="10" t="s">
        <v>73</v>
      </c>
      <c r="AF1616" s="10"/>
      <c r="AG1616" s="10" t="s">
        <v>64</v>
      </c>
      <c r="AH1616" s="10">
        <v>41484</v>
      </c>
      <c r="AI1616" s="5">
        <v>12</v>
      </c>
      <c r="AJ1616" s="10" t="s">
        <v>8987</v>
      </c>
      <c r="AK1616" s="10" t="s">
        <v>1215</v>
      </c>
    </row>
    <row r="1617" spans="1:37" ht="36.75" customHeight="1" x14ac:dyDescent="0.35">
      <c r="A1617" s="5"/>
      <c r="B1617" s="5" t="s">
        <v>37</v>
      </c>
      <c r="C1617" s="73" t="str">
        <f t="shared" si="25"/>
        <v>Closed</v>
      </c>
      <c r="D1617" s="45" t="s">
        <v>8988</v>
      </c>
      <c r="E1617" s="54" t="s">
        <v>8989</v>
      </c>
      <c r="F1617" s="5" t="s">
        <v>1553</v>
      </c>
      <c r="G1617" s="10">
        <f>DATE(2013,7,29)</f>
        <v>41484</v>
      </c>
      <c r="H1617" s="35">
        <v>1.6597222222222223</v>
      </c>
      <c r="I1617" s="5" t="s">
        <v>55</v>
      </c>
      <c r="J1617" s="10" t="s">
        <v>8990</v>
      </c>
      <c r="K1617" s="5" t="s">
        <v>1555</v>
      </c>
      <c r="L1617" s="5" t="s">
        <v>8991</v>
      </c>
      <c r="M1617" s="5" t="s">
        <v>45</v>
      </c>
      <c r="N1617" s="5" t="s">
        <v>123</v>
      </c>
      <c r="O1617" s="5" t="s">
        <v>46</v>
      </c>
      <c r="P1617" s="10" t="s">
        <v>60</v>
      </c>
      <c r="Q1617" s="10" t="s">
        <v>6003</v>
      </c>
      <c r="R1617" s="10" t="s">
        <v>6413</v>
      </c>
      <c r="S1617" s="5">
        <v>0</v>
      </c>
      <c r="T1617" s="37">
        <v>0</v>
      </c>
      <c r="U1617" s="5">
        <v>0</v>
      </c>
      <c r="V1617" s="37">
        <v>0</v>
      </c>
      <c r="W1617" s="5">
        <v>0</v>
      </c>
      <c r="X1617" s="5">
        <v>0</v>
      </c>
      <c r="Y1617" s="5">
        <v>0</v>
      </c>
      <c r="Z1617" s="37">
        <v>0</v>
      </c>
      <c r="AA1617" s="5">
        <v>0</v>
      </c>
      <c r="AB1617" s="5">
        <v>0</v>
      </c>
      <c r="AC1617" s="5">
        <v>0</v>
      </c>
      <c r="AD1617" s="5">
        <v>0</v>
      </c>
      <c r="AE1617" s="10" t="s">
        <v>73</v>
      </c>
      <c r="AF1617" s="10"/>
      <c r="AG1617" s="10" t="s">
        <v>114</v>
      </c>
      <c r="AH1617" s="10">
        <v>41485</v>
      </c>
      <c r="AI1617" s="5">
        <v>0</v>
      </c>
      <c r="AJ1617" s="10" t="s">
        <v>8992</v>
      </c>
      <c r="AK1617" s="10" t="s">
        <v>8993</v>
      </c>
    </row>
    <row r="1618" spans="1:37" ht="36.75" customHeight="1" x14ac:dyDescent="0.35">
      <c r="A1618" s="5"/>
      <c r="B1618" s="5" t="s">
        <v>37</v>
      </c>
      <c r="C1618" s="73" t="str">
        <f t="shared" si="25"/>
        <v>Closed</v>
      </c>
      <c r="D1618" s="45" t="s">
        <v>8994</v>
      </c>
      <c r="E1618" s="54" t="s">
        <v>8995</v>
      </c>
      <c r="F1618" s="5" t="s">
        <v>404</v>
      </c>
      <c r="G1618" s="10">
        <f>DATE(2013,7,30)</f>
        <v>41485</v>
      </c>
      <c r="H1618" s="35">
        <v>1.6368055555555556</v>
      </c>
      <c r="I1618" s="5" t="s">
        <v>137</v>
      </c>
      <c r="J1618" s="10" t="s">
        <v>8996</v>
      </c>
      <c r="K1618" s="5" t="s">
        <v>406</v>
      </c>
      <c r="L1618" s="5" t="s">
        <v>8997</v>
      </c>
      <c r="M1618" s="5" t="s">
        <v>45</v>
      </c>
      <c r="N1618" s="5" t="s">
        <v>70</v>
      </c>
      <c r="O1618" s="5" t="s">
        <v>59</v>
      </c>
      <c r="P1618" s="10" t="s">
        <v>8998</v>
      </c>
      <c r="Q1618" s="10" t="s">
        <v>8999</v>
      </c>
      <c r="R1618" s="10" t="s">
        <v>3083</v>
      </c>
      <c r="S1618" s="5">
        <v>0</v>
      </c>
      <c r="T1618" s="37">
        <v>0</v>
      </c>
      <c r="U1618" s="5">
        <v>0</v>
      </c>
      <c r="V1618" s="37">
        <v>0</v>
      </c>
      <c r="W1618" s="5">
        <v>0</v>
      </c>
      <c r="X1618" s="5">
        <v>0</v>
      </c>
      <c r="Y1618" s="5">
        <v>0</v>
      </c>
      <c r="Z1618" s="37">
        <v>0</v>
      </c>
      <c r="AA1618" s="5">
        <v>0</v>
      </c>
      <c r="AB1618" s="5">
        <v>0</v>
      </c>
      <c r="AC1618" s="5">
        <v>0</v>
      </c>
      <c r="AD1618" s="5">
        <v>0</v>
      </c>
      <c r="AE1618" s="10" t="s">
        <v>73</v>
      </c>
      <c r="AF1618" s="10"/>
      <c r="AG1618" s="10" t="s">
        <v>114</v>
      </c>
      <c r="AH1618" s="10">
        <v>41486</v>
      </c>
      <c r="AI1618" s="5">
        <v>0</v>
      </c>
      <c r="AJ1618" s="10" t="s">
        <v>9000</v>
      </c>
      <c r="AK1618" s="10" t="s">
        <v>9001</v>
      </c>
    </row>
    <row r="1619" spans="1:37" ht="36.75" customHeight="1" x14ac:dyDescent="0.35">
      <c r="A1619" s="5"/>
      <c r="B1619" s="5" t="s">
        <v>37</v>
      </c>
      <c r="C1619" s="73" t="str">
        <f t="shared" si="25"/>
        <v>Closed</v>
      </c>
      <c r="D1619" s="45" t="s">
        <v>9002</v>
      </c>
      <c r="E1619" s="54" t="s">
        <v>9003</v>
      </c>
      <c r="F1619" s="5" t="s">
        <v>105</v>
      </c>
      <c r="G1619" s="10">
        <f>DATE(2013,8,1)</f>
        <v>41487</v>
      </c>
      <c r="H1619" s="35">
        <v>1.6388888888888888</v>
      </c>
      <c r="I1619" s="5" t="s">
        <v>9004</v>
      </c>
      <c r="J1619" s="10" t="s">
        <v>9005</v>
      </c>
      <c r="K1619" s="5" t="s">
        <v>108</v>
      </c>
      <c r="L1619" s="5" t="s">
        <v>9006</v>
      </c>
      <c r="M1619" s="5" t="s">
        <v>45</v>
      </c>
      <c r="N1619" s="5" t="s">
        <v>80</v>
      </c>
      <c r="O1619" s="5" t="s">
        <v>46</v>
      </c>
      <c r="P1619" s="10" t="s">
        <v>146</v>
      </c>
      <c r="Q1619" s="10" t="s">
        <v>210</v>
      </c>
      <c r="R1619" s="10" t="s">
        <v>148</v>
      </c>
      <c r="S1619" s="5">
        <v>0</v>
      </c>
      <c r="T1619" s="37">
        <v>0</v>
      </c>
      <c r="U1619" s="5">
        <v>0</v>
      </c>
      <c r="V1619" s="37">
        <v>0</v>
      </c>
      <c r="W1619" s="5">
        <v>0</v>
      </c>
      <c r="X1619" s="5">
        <v>0</v>
      </c>
      <c r="Y1619" s="5">
        <v>0</v>
      </c>
      <c r="Z1619" s="37">
        <v>0</v>
      </c>
      <c r="AA1619" s="5">
        <v>0</v>
      </c>
      <c r="AB1619" s="5">
        <v>0</v>
      </c>
      <c r="AC1619" s="5">
        <v>0</v>
      </c>
      <c r="AD1619" s="5">
        <v>0</v>
      </c>
      <c r="AE1619" s="10" t="s">
        <v>73</v>
      </c>
      <c r="AF1619" s="10"/>
      <c r="AG1619" s="10" t="s">
        <v>333</v>
      </c>
      <c r="AH1619" s="10">
        <v>41491</v>
      </c>
      <c r="AI1619" s="5">
        <v>1</v>
      </c>
      <c r="AJ1619" s="10" t="s">
        <v>9007</v>
      </c>
      <c r="AK1619" s="10" t="s">
        <v>50</v>
      </c>
    </row>
    <row r="1620" spans="1:37" ht="36.75" customHeight="1" x14ac:dyDescent="0.35">
      <c r="A1620" s="5"/>
      <c r="B1620" s="5" t="s">
        <v>37</v>
      </c>
      <c r="C1620" s="73" t="str">
        <f t="shared" si="25"/>
        <v>Closed</v>
      </c>
      <c r="D1620" s="45" t="s">
        <v>9008</v>
      </c>
      <c r="E1620" s="54" t="s">
        <v>9009</v>
      </c>
      <c r="F1620" s="5" t="s">
        <v>2316</v>
      </c>
      <c r="G1620" s="10">
        <f>DATE(2013,8,1)</f>
        <v>41487</v>
      </c>
      <c r="H1620" s="35">
        <v>1.8208333333333333</v>
      </c>
      <c r="I1620" s="5" t="s">
        <v>179</v>
      </c>
      <c r="J1620" s="10" t="s">
        <v>9010</v>
      </c>
      <c r="K1620" s="5" t="s">
        <v>2318</v>
      </c>
      <c r="L1620" s="5" t="s">
        <v>9011</v>
      </c>
      <c r="M1620" s="5" t="s">
        <v>45</v>
      </c>
      <c r="N1620" s="5" t="s">
        <v>123</v>
      </c>
      <c r="O1620" s="5" t="s">
        <v>46</v>
      </c>
      <c r="P1620" s="10" t="s">
        <v>60</v>
      </c>
      <c r="Q1620" s="10" t="s">
        <v>9012</v>
      </c>
      <c r="R1620" s="10" t="s">
        <v>2321</v>
      </c>
      <c r="S1620" s="5">
        <v>0</v>
      </c>
      <c r="T1620" s="37">
        <v>0</v>
      </c>
      <c r="U1620" s="5">
        <v>0</v>
      </c>
      <c r="V1620" s="37">
        <v>0</v>
      </c>
      <c r="W1620" s="5">
        <v>0</v>
      </c>
      <c r="X1620" s="5">
        <v>0</v>
      </c>
      <c r="Y1620" s="5">
        <v>0</v>
      </c>
      <c r="Z1620" s="37">
        <v>0</v>
      </c>
      <c r="AA1620" s="5">
        <v>0</v>
      </c>
      <c r="AB1620" s="5">
        <v>0</v>
      </c>
      <c r="AC1620" s="5">
        <v>0</v>
      </c>
      <c r="AD1620" s="5">
        <v>0</v>
      </c>
      <c r="AE1620" s="10" t="s">
        <v>375</v>
      </c>
      <c r="AF1620" s="10"/>
      <c r="AG1620" s="10" t="s">
        <v>114</v>
      </c>
      <c r="AH1620" s="10">
        <v>41493</v>
      </c>
      <c r="AI1620" s="5">
        <v>6</v>
      </c>
      <c r="AJ1620" s="10" t="s">
        <v>9013</v>
      </c>
      <c r="AK1620" s="10" t="s">
        <v>9014</v>
      </c>
    </row>
    <row r="1621" spans="1:37" ht="36.75" customHeight="1" x14ac:dyDescent="0.35">
      <c r="A1621" s="5"/>
      <c r="B1621" s="5" t="s">
        <v>37</v>
      </c>
      <c r="C1621" s="73" t="str">
        <f t="shared" si="25"/>
        <v>Closed</v>
      </c>
      <c r="D1621" s="45" t="s">
        <v>9015</v>
      </c>
      <c r="E1621" s="54" t="s">
        <v>9016</v>
      </c>
      <c r="F1621" s="5" t="s">
        <v>214</v>
      </c>
      <c r="G1621" s="10">
        <f>DATE(2013,8,1)</f>
        <v>41487</v>
      </c>
      <c r="H1621" s="35">
        <v>1.6798611111111112</v>
      </c>
      <c r="I1621" s="5" t="s">
        <v>67</v>
      </c>
      <c r="J1621" s="10" t="s">
        <v>9017</v>
      </c>
      <c r="K1621" s="5" t="s">
        <v>216</v>
      </c>
      <c r="L1621" s="5" t="s">
        <v>9018</v>
      </c>
      <c r="M1621" s="5" t="s">
        <v>45</v>
      </c>
      <c r="N1621" s="5" t="s">
        <v>70</v>
      </c>
      <c r="O1621" s="5" t="s">
        <v>59</v>
      </c>
      <c r="P1621" s="10" t="s">
        <v>6920</v>
      </c>
      <c r="Q1621" s="10">
        <v>0</v>
      </c>
      <c r="R1621" s="10" t="s">
        <v>219</v>
      </c>
      <c r="S1621" s="5">
        <v>0</v>
      </c>
      <c r="T1621" s="37">
        <v>0</v>
      </c>
      <c r="U1621" s="5">
        <v>0</v>
      </c>
      <c r="V1621" s="37">
        <v>0</v>
      </c>
      <c r="W1621" s="5">
        <v>0</v>
      </c>
      <c r="X1621" s="5">
        <v>0</v>
      </c>
      <c r="Y1621" s="5">
        <v>0</v>
      </c>
      <c r="Z1621" s="37">
        <v>0</v>
      </c>
      <c r="AA1621" s="5">
        <v>0</v>
      </c>
      <c r="AB1621" s="5">
        <v>0</v>
      </c>
      <c r="AC1621" s="5">
        <v>0</v>
      </c>
      <c r="AD1621" s="5">
        <v>0</v>
      </c>
      <c r="AE1621" s="10" t="s">
        <v>73</v>
      </c>
      <c r="AF1621" s="10"/>
      <c r="AG1621" s="10" t="s">
        <v>333</v>
      </c>
      <c r="AH1621" s="10">
        <v>41562</v>
      </c>
      <c r="AI1621" s="5">
        <v>1</v>
      </c>
      <c r="AJ1621" s="10" t="s">
        <v>9019</v>
      </c>
      <c r="AK1621" s="10" t="s">
        <v>9020</v>
      </c>
    </row>
    <row r="1622" spans="1:37" ht="36.75" customHeight="1" x14ac:dyDescent="0.35">
      <c r="A1622" s="5"/>
      <c r="B1622" s="5" t="s">
        <v>37</v>
      </c>
      <c r="C1622" s="73" t="str">
        <f t="shared" si="25"/>
        <v>Closed</v>
      </c>
      <c r="D1622" s="45" t="s">
        <v>9021</v>
      </c>
      <c r="E1622" s="54" t="s">
        <v>9022</v>
      </c>
      <c r="F1622" s="5" t="s">
        <v>404</v>
      </c>
      <c r="G1622" s="10">
        <f>DATE(2013,8,2)</f>
        <v>41488</v>
      </c>
      <c r="H1622" s="35">
        <v>1.5805555555555557</v>
      </c>
      <c r="I1622" s="5" t="s">
        <v>55</v>
      </c>
      <c r="J1622" s="10" t="s">
        <v>9023</v>
      </c>
      <c r="K1622" s="5" t="s">
        <v>406</v>
      </c>
      <c r="L1622" s="5" t="s">
        <v>9024</v>
      </c>
      <c r="M1622" s="5" t="s">
        <v>45</v>
      </c>
      <c r="N1622" s="5" t="s">
        <v>70</v>
      </c>
      <c r="O1622" s="5" t="s">
        <v>59</v>
      </c>
      <c r="P1622" s="10" t="s">
        <v>146</v>
      </c>
      <c r="Q1622" s="10" t="s">
        <v>408</v>
      </c>
      <c r="R1622" s="10" t="s">
        <v>3083</v>
      </c>
      <c r="S1622" s="5">
        <v>0</v>
      </c>
      <c r="T1622" s="37">
        <v>0</v>
      </c>
      <c r="U1622" s="5">
        <v>0</v>
      </c>
      <c r="V1622" s="37">
        <v>0</v>
      </c>
      <c r="W1622" s="5">
        <v>0</v>
      </c>
      <c r="X1622" s="5">
        <v>0</v>
      </c>
      <c r="Y1622" s="5">
        <v>0</v>
      </c>
      <c r="Z1622" s="37">
        <v>0</v>
      </c>
      <c r="AA1622" s="5">
        <v>0</v>
      </c>
      <c r="AB1622" s="5">
        <v>0</v>
      </c>
      <c r="AC1622" s="5">
        <v>0</v>
      </c>
      <c r="AD1622" s="5">
        <v>0</v>
      </c>
      <c r="AE1622" s="10" t="s">
        <v>73</v>
      </c>
      <c r="AF1622" s="10"/>
      <c r="AG1622" s="10" t="s">
        <v>114</v>
      </c>
      <c r="AH1622" s="10">
        <v>41402</v>
      </c>
      <c r="AI1622" s="5">
        <v>0</v>
      </c>
      <c r="AJ1622" s="10" t="s">
        <v>9025</v>
      </c>
      <c r="AK1622" s="10" t="s">
        <v>9026</v>
      </c>
    </row>
    <row r="1623" spans="1:37" ht="36.75" customHeight="1" x14ac:dyDescent="0.35">
      <c r="A1623" s="5"/>
      <c r="B1623" s="5" t="s">
        <v>37</v>
      </c>
      <c r="C1623" s="73" t="str">
        <f t="shared" si="25"/>
        <v>Closed</v>
      </c>
      <c r="D1623" s="45" t="s">
        <v>9027</v>
      </c>
      <c r="E1623" s="54" t="s">
        <v>9028</v>
      </c>
      <c r="F1623" s="5" t="s">
        <v>404</v>
      </c>
      <c r="G1623" s="10">
        <f>DATE(2013,8,3)</f>
        <v>41489</v>
      </c>
      <c r="H1623" s="35">
        <v>1.78125</v>
      </c>
      <c r="I1623" s="5" t="s">
        <v>55</v>
      </c>
      <c r="J1623" s="10" t="s">
        <v>9029</v>
      </c>
      <c r="K1623" s="5" t="s">
        <v>406</v>
      </c>
      <c r="L1623" s="5" t="s">
        <v>9030</v>
      </c>
      <c r="M1623" s="5" t="s">
        <v>45</v>
      </c>
      <c r="N1623" s="5" t="s">
        <v>70</v>
      </c>
      <c r="O1623" s="5" t="s">
        <v>59</v>
      </c>
      <c r="P1623" s="10" t="s">
        <v>60</v>
      </c>
      <c r="Q1623" s="10" t="s">
        <v>2562</v>
      </c>
      <c r="R1623" s="10" t="s">
        <v>3083</v>
      </c>
      <c r="S1623" s="5">
        <v>0</v>
      </c>
      <c r="T1623" s="37">
        <v>0</v>
      </c>
      <c r="U1623" s="5">
        <v>0</v>
      </c>
      <c r="V1623" s="37">
        <v>0</v>
      </c>
      <c r="W1623" s="5">
        <v>0</v>
      </c>
      <c r="X1623" s="5">
        <v>0</v>
      </c>
      <c r="Y1623" s="5">
        <v>0</v>
      </c>
      <c r="Z1623" s="37">
        <v>0</v>
      </c>
      <c r="AA1623" s="5">
        <v>0</v>
      </c>
      <c r="AB1623" s="5">
        <v>0</v>
      </c>
      <c r="AC1623" s="5">
        <v>0</v>
      </c>
      <c r="AD1623" s="5">
        <v>0</v>
      </c>
      <c r="AE1623" s="10" t="s">
        <v>73</v>
      </c>
      <c r="AF1623" s="10"/>
      <c r="AG1623" s="10" t="s">
        <v>114</v>
      </c>
      <c r="AH1623" s="10">
        <v>41433</v>
      </c>
      <c r="AI1623" s="5">
        <v>0</v>
      </c>
      <c r="AJ1623" s="10" t="s">
        <v>9031</v>
      </c>
      <c r="AK1623" s="10" t="s">
        <v>9032</v>
      </c>
    </row>
    <row r="1624" spans="1:37" ht="36.75" customHeight="1" x14ac:dyDescent="0.35">
      <c r="A1624" s="5"/>
      <c r="B1624" s="5" t="s">
        <v>37</v>
      </c>
      <c r="C1624" s="73" t="str">
        <f t="shared" si="25"/>
        <v>Closed</v>
      </c>
      <c r="D1624" s="45" t="s">
        <v>9033</v>
      </c>
      <c r="E1624" s="54" t="s">
        <v>9034</v>
      </c>
      <c r="F1624" s="5" t="s">
        <v>816</v>
      </c>
      <c r="G1624" s="10">
        <f>DATE(2013,8,4)</f>
        <v>41490</v>
      </c>
      <c r="H1624" s="35">
        <v>0</v>
      </c>
      <c r="I1624" s="5" t="s">
        <v>55</v>
      </c>
      <c r="J1624" s="10" t="s">
        <v>9035</v>
      </c>
      <c r="K1624" s="5" t="s">
        <v>818</v>
      </c>
      <c r="L1624" s="5" t="s">
        <v>9036</v>
      </c>
      <c r="M1624" s="5" t="s">
        <v>45</v>
      </c>
      <c r="N1624" s="5" t="s">
        <v>123</v>
      </c>
      <c r="O1624" s="5" t="s">
        <v>46</v>
      </c>
      <c r="P1624" s="10" t="s">
        <v>6881</v>
      </c>
      <c r="Q1624" s="10" t="s">
        <v>4190</v>
      </c>
      <c r="R1624" s="10" t="s">
        <v>4190</v>
      </c>
      <c r="S1624" s="5">
        <v>0</v>
      </c>
      <c r="T1624" s="37">
        <v>0</v>
      </c>
      <c r="U1624" s="5">
        <v>0</v>
      </c>
      <c r="V1624" s="37">
        <v>0</v>
      </c>
      <c r="W1624" s="5">
        <v>0</v>
      </c>
      <c r="X1624" s="5">
        <v>0</v>
      </c>
      <c r="Y1624" s="5">
        <v>0</v>
      </c>
      <c r="Z1624" s="37">
        <v>0</v>
      </c>
      <c r="AA1624" s="5">
        <v>0</v>
      </c>
      <c r="AB1624" s="5">
        <v>0</v>
      </c>
      <c r="AC1624" s="5">
        <v>0</v>
      </c>
      <c r="AD1624" s="5">
        <v>0</v>
      </c>
      <c r="AE1624" s="10" t="s">
        <v>73</v>
      </c>
      <c r="AF1624" s="10"/>
      <c r="AG1624" s="10" t="s">
        <v>333</v>
      </c>
      <c r="AH1624" s="10">
        <v>41491</v>
      </c>
      <c r="AI1624" s="5">
        <v>0</v>
      </c>
      <c r="AJ1624" s="10" t="s">
        <v>9037</v>
      </c>
      <c r="AK1624" s="10" t="s">
        <v>50</v>
      </c>
    </row>
    <row r="1625" spans="1:37" ht="36.75" customHeight="1" x14ac:dyDescent="0.35">
      <c r="A1625" s="5"/>
      <c r="B1625" s="5" t="s">
        <v>37</v>
      </c>
      <c r="C1625" s="73" t="str">
        <f t="shared" si="25"/>
        <v>Closed</v>
      </c>
      <c r="D1625" s="45" t="s">
        <v>9038</v>
      </c>
      <c r="E1625" s="54" t="s">
        <v>9039</v>
      </c>
      <c r="F1625" s="5" t="s">
        <v>404</v>
      </c>
      <c r="G1625" s="10">
        <f>DATE(2013,8,7)</f>
        <v>41493</v>
      </c>
      <c r="H1625" s="35">
        <v>1.5097222222222222</v>
      </c>
      <c r="I1625" s="5" t="s">
        <v>97</v>
      </c>
      <c r="J1625" s="10" t="s">
        <v>9040</v>
      </c>
      <c r="K1625" s="5" t="s">
        <v>406</v>
      </c>
      <c r="L1625" s="5" t="s">
        <v>9041</v>
      </c>
      <c r="M1625" s="5" t="s">
        <v>45</v>
      </c>
      <c r="N1625" s="5" t="s">
        <v>80</v>
      </c>
      <c r="O1625" s="5" t="s">
        <v>46</v>
      </c>
      <c r="P1625" s="10" t="s">
        <v>146</v>
      </c>
      <c r="Q1625" s="10" t="s">
        <v>699</v>
      </c>
      <c r="R1625" s="10" t="s">
        <v>3083</v>
      </c>
      <c r="S1625" s="5">
        <v>0</v>
      </c>
      <c r="T1625" s="37">
        <v>0</v>
      </c>
      <c r="U1625" s="5">
        <v>0</v>
      </c>
      <c r="V1625" s="37">
        <v>0</v>
      </c>
      <c r="W1625" s="5">
        <v>0</v>
      </c>
      <c r="X1625" s="5">
        <v>0</v>
      </c>
      <c r="Y1625" s="5">
        <v>0</v>
      </c>
      <c r="Z1625" s="37">
        <v>0</v>
      </c>
      <c r="AA1625" s="5">
        <v>0</v>
      </c>
      <c r="AB1625" s="5">
        <v>0</v>
      </c>
      <c r="AC1625" s="5">
        <v>0</v>
      </c>
      <c r="AD1625" s="5">
        <v>0</v>
      </c>
      <c r="AE1625" s="10" t="s">
        <v>73</v>
      </c>
      <c r="AF1625" s="10"/>
      <c r="AG1625" s="10" t="s">
        <v>333</v>
      </c>
      <c r="AH1625" s="10">
        <v>41499</v>
      </c>
      <c r="AI1625" s="5">
        <v>4</v>
      </c>
      <c r="AJ1625" s="10" t="s">
        <v>9042</v>
      </c>
      <c r="AK1625" s="10" t="s">
        <v>9043</v>
      </c>
    </row>
    <row r="1626" spans="1:37" ht="36.75" customHeight="1" x14ac:dyDescent="0.35">
      <c r="A1626" s="5"/>
      <c r="B1626" s="5" t="s">
        <v>37</v>
      </c>
      <c r="C1626" s="73" t="str">
        <f t="shared" si="25"/>
        <v>Closed</v>
      </c>
      <c r="D1626" s="45" t="s">
        <v>9044</v>
      </c>
      <c r="E1626" s="54" t="s">
        <v>9045</v>
      </c>
      <c r="F1626" s="5" t="s">
        <v>1919</v>
      </c>
      <c r="G1626" s="10">
        <f>DATE(2013,8,10)</f>
        <v>41496</v>
      </c>
      <c r="H1626" s="35">
        <v>0</v>
      </c>
      <c r="I1626" s="5" t="s">
        <v>41</v>
      </c>
      <c r="J1626" s="10" t="s">
        <v>9046</v>
      </c>
      <c r="K1626" s="5" t="s">
        <v>1921</v>
      </c>
      <c r="L1626" s="5" t="s">
        <v>9047</v>
      </c>
      <c r="M1626" s="5" t="s">
        <v>45</v>
      </c>
      <c r="N1626" s="5" t="s">
        <v>123</v>
      </c>
      <c r="O1626" s="5" t="s">
        <v>59</v>
      </c>
      <c r="P1626" s="10" t="s">
        <v>6920</v>
      </c>
      <c r="Q1626" s="10" t="s">
        <v>1923</v>
      </c>
      <c r="R1626" s="10" t="s">
        <v>1923</v>
      </c>
      <c r="S1626" s="5">
        <v>0</v>
      </c>
      <c r="T1626" s="37">
        <v>0</v>
      </c>
      <c r="U1626" s="5">
        <v>0</v>
      </c>
      <c r="V1626" s="37">
        <v>0</v>
      </c>
      <c r="W1626" s="5">
        <v>0</v>
      </c>
      <c r="X1626" s="5">
        <v>0</v>
      </c>
      <c r="Y1626" s="5">
        <v>0</v>
      </c>
      <c r="Z1626" s="37">
        <v>0</v>
      </c>
      <c r="AA1626" s="5">
        <v>0</v>
      </c>
      <c r="AB1626" s="5">
        <v>0</v>
      </c>
      <c r="AC1626" s="5">
        <v>0</v>
      </c>
      <c r="AD1626" s="5">
        <v>0</v>
      </c>
      <c r="AE1626" s="10" t="s">
        <v>73</v>
      </c>
      <c r="AF1626" s="10"/>
      <c r="AG1626" s="10" t="s">
        <v>1489</v>
      </c>
      <c r="AH1626" s="10">
        <v>41500</v>
      </c>
      <c r="AI1626" s="5">
        <v>4</v>
      </c>
      <c r="AJ1626" s="10" t="s">
        <v>9048</v>
      </c>
      <c r="AK1626" s="10" t="s">
        <v>50</v>
      </c>
    </row>
    <row r="1627" spans="1:37" ht="36.75" customHeight="1" x14ac:dyDescent="0.35">
      <c r="A1627" s="5"/>
      <c r="B1627" s="5" t="s">
        <v>37</v>
      </c>
      <c r="C1627" s="73" t="str">
        <f t="shared" si="25"/>
        <v>Closed</v>
      </c>
      <c r="D1627" s="45" t="s">
        <v>9049</v>
      </c>
      <c r="E1627" s="54" t="s">
        <v>9050</v>
      </c>
      <c r="F1627" s="5" t="s">
        <v>1553</v>
      </c>
      <c r="G1627" s="10">
        <f>DATE(2013,8,10)</f>
        <v>41496</v>
      </c>
      <c r="H1627" s="35">
        <v>1.5104166666666665</v>
      </c>
      <c r="I1627" s="5" t="s">
        <v>55</v>
      </c>
      <c r="J1627" s="10" t="s">
        <v>9051</v>
      </c>
      <c r="K1627" s="5" t="s">
        <v>1555</v>
      </c>
      <c r="L1627" s="5" t="s">
        <v>9052</v>
      </c>
      <c r="M1627" s="5" t="s">
        <v>45</v>
      </c>
      <c r="N1627" s="5" t="s">
        <v>123</v>
      </c>
      <c r="O1627" s="5" t="s">
        <v>59</v>
      </c>
      <c r="P1627" s="10" t="s">
        <v>60</v>
      </c>
      <c r="Q1627" s="10" t="s">
        <v>9053</v>
      </c>
      <c r="R1627" s="10" t="s">
        <v>6413</v>
      </c>
      <c r="S1627" s="5">
        <v>0</v>
      </c>
      <c r="T1627" s="37">
        <v>0</v>
      </c>
      <c r="U1627" s="5">
        <v>0</v>
      </c>
      <c r="V1627" s="37">
        <v>0</v>
      </c>
      <c r="W1627" s="5">
        <v>0</v>
      </c>
      <c r="X1627" s="5">
        <v>0</v>
      </c>
      <c r="Y1627" s="5">
        <v>0</v>
      </c>
      <c r="Z1627" s="37">
        <v>0</v>
      </c>
      <c r="AA1627" s="5">
        <v>0</v>
      </c>
      <c r="AB1627" s="5">
        <v>0</v>
      </c>
      <c r="AC1627" s="5">
        <v>0</v>
      </c>
      <c r="AD1627" s="5">
        <v>0</v>
      </c>
      <c r="AE1627" s="10" t="s">
        <v>73</v>
      </c>
      <c r="AF1627" s="10"/>
      <c r="AG1627" s="10" t="s">
        <v>114</v>
      </c>
      <c r="AH1627" s="10">
        <v>41496</v>
      </c>
      <c r="AI1627" s="5">
        <v>0</v>
      </c>
      <c r="AJ1627" s="10" t="s">
        <v>9054</v>
      </c>
      <c r="AK1627" s="10" t="s">
        <v>1215</v>
      </c>
    </row>
    <row r="1628" spans="1:37" ht="36.75" customHeight="1" x14ac:dyDescent="0.35">
      <c r="A1628" s="5"/>
      <c r="B1628" s="5" t="s">
        <v>37</v>
      </c>
      <c r="C1628" s="73" t="str">
        <f t="shared" si="25"/>
        <v>Closed</v>
      </c>
      <c r="D1628" s="45" t="s">
        <v>9055</v>
      </c>
      <c r="E1628" s="54" t="s">
        <v>9056</v>
      </c>
      <c r="F1628" s="5" t="s">
        <v>619</v>
      </c>
      <c r="G1628" s="10">
        <f>DATE(2013,8,12)</f>
        <v>41498</v>
      </c>
      <c r="H1628" s="35">
        <v>1.3833333333333333</v>
      </c>
      <c r="I1628" s="5" t="s">
        <v>55</v>
      </c>
      <c r="J1628" s="10" t="s">
        <v>9057</v>
      </c>
      <c r="K1628" s="5" t="s">
        <v>621</v>
      </c>
      <c r="L1628" s="5" t="s">
        <v>9058</v>
      </c>
      <c r="M1628" s="5" t="s">
        <v>45</v>
      </c>
      <c r="N1628" s="5" t="s">
        <v>80</v>
      </c>
      <c r="O1628" s="5" t="s">
        <v>46</v>
      </c>
      <c r="P1628" s="10" t="s">
        <v>282</v>
      </c>
      <c r="Q1628" s="10" t="s">
        <v>1997</v>
      </c>
      <c r="R1628" s="10" t="s">
        <v>624</v>
      </c>
      <c r="S1628" s="5">
        <v>0</v>
      </c>
      <c r="T1628" s="37">
        <v>0</v>
      </c>
      <c r="U1628" s="5">
        <v>0</v>
      </c>
      <c r="V1628" s="37">
        <v>0</v>
      </c>
      <c r="W1628" s="5">
        <v>0</v>
      </c>
      <c r="X1628" s="5">
        <v>0</v>
      </c>
      <c r="Y1628" s="5">
        <v>0</v>
      </c>
      <c r="Z1628" s="37">
        <v>0</v>
      </c>
      <c r="AA1628" s="5">
        <v>0</v>
      </c>
      <c r="AB1628" s="5">
        <v>0</v>
      </c>
      <c r="AC1628" s="5">
        <v>0</v>
      </c>
      <c r="AD1628" s="5">
        <v>0</v>
      </c>
      <c r="AE1628" s="10" t="s">
        <v>73</v>
      </c>
      <c r="AF1628" s="10"/>
      <c r="AG1628" s="10" t="s">
        <v>333</v>
      </c>
      <c r="AH1628" s="10">
        <v>41534</v>
      </c>
      <c r="AI1628" s="5">
        <v>1</v>
      </c>
      <c r="AJ1628" s="10" t="s">
        <v>9059</v>
      </c>
      <c r="AK1628" s="10" t="s">
        <v>50</v>
      </c>
    </row>
    <row r="1629" spans="1:37" ht="36.75" customHeight="1" x14ac:dyDescent="0.35">
      <c r="A1629" s="5"/>
      <c r="B1629" s="5" t="s">
        <v>37</v>
      </c>
      <c r="C1629" s="73" t="str">
        <f t="shared" si="25"/>
        <v>Closed</v>
      </c>
      <c r="D1629" s="45" t="s">
        <v>9060</v>
      </c>
      <c r="E1629" s="54" t="s">
        <v>9061</v>
      </c>
      <c r="F1629" s="5" t="s">
        <v>816</v>
      </c>
      <c r="G1629" s="10">
        <f>DATE(2013,8,12)</f>
        <v>41498</v>
      </c>
      <c r="H1629" s="35">
        <v>1.4027777777777777</v>
      </c>
      <c r="I1629" s="5" t="s">
        <v>97</v>
      </c>
      <c r="J1629" s="10" t="s">
        <v>9062</v>
      </c>
      <c r="K1629" s="5" t="s">
        <v>818</v>
      </c>
      <c r="L1629" s="5" t="s">
        <v>9063</v>
      </c>
      <c r="M1629" s="5" t="s">
        <v>45</v>
      </c>
      <c r="N1629" s="5" t="s">
        <v>123</v>
      </c>
      <c r="O1629" s="5" t="s">
        <v>46</v>
      </c>
      <c r="P1629" s="10" t="s">
        <v>47</v>
      </c>
      <c r="Q1629" s="10" t="s">
        <v>2142</v>
      </c>
      <c r="R1629" s="10" t="s">
        <v>821</v>
      </c>
      <c r="S1629" s="5">
        <v>0</v>
      </c>
      <c r="T1629" s="37">
        <v>0</v>
      </c>
      <c r="U1629" s="5">
        <v>0</v>
      </c>
      <c r="V1629" s="37">
        <v>0</v>
      </c>
      <c r="W1629" s="5">
        <v>0</v>
      </c>
      <c r="X1629" s="5">
        <v>0</v>
      </c>
      <c r="Y1629" s="5">
        <v>0</v>
      </c>
      <c r="Z1629" s="37">
        <v>0</v>
      </c>
      <c r="AA1629" s="5">
        <v>0</v>
      </c>
      <c r="AB1629" s="5">
        <v>0</v>
      </c>
      <c r="AC1629" s="5">
        <v>0</v>
      </c>
      <c r="AD1629" s="5">
        <v>0</v>
      </c>
      <c r="AE1629" s="10" t="s">
        <v>73</v>
      </c>
      <c r="AF1629" s="10"/>
      <c r="AG1629" s="10" t="s">
        <v>333</v>
      </c>
      <c r="AH1629" s="10">
        <v>41498</v>
      </c>
      <c r="AI1629" s="5">
        <v>0</v>
      </c>
      <c r="AJ1629" s="10" t="s">
        <v>9064</v>
      </c>
      <c r="AK1629" s="10" t="s">
        <v>9065</v>
      </c>
    </row>
    <row r="1630" spans="1:37" ht="36.75" customHeight="1" x14ac:dyDescent="0.35">
      <c r="A1630" s="5"/>
      <c r="B1630" s="5" t="s">
        <v>37</v>
      </c>
      <c r="C1630" s="73" t="str">
        <f t="shared" si="25"/>
        <v>Closed</v>
      </c>
      <c r="D1630" s="45" t="s">
        <v>9066</v>
      </c>
      <c r="E1630" s="54" t="s">
        <v>9067</v>
      </c>
      <c r="F1630" s="5" t="s">
        <v>2316</v>
      </c>
      <c r="G1630" s="10">
        <f>DATE(2013,8,12)</f>
        <v>41498</v>
      </c>
      <c r="H1630" s="35">
        <v>1.6909722222222223</v>
      </c>
      <c r="I1630" s="5" t="s">
        <v>97</v>
      </c>
      <c r="J1630" s="10" t="s">
        <v>9068</v>
      </c>
      <c r="K1630" s="5" t="s">
        <v>2318</v>
      </c>
      <c r="L1630" s="5" t="s">
        <v>9069</v>
      </c>
      <c r="M1630" s="5" t="s">
        <v>45</v>
      </c>
      <c r="N1630" s="5" t="s">
        <v>80</v>
      </c>
      <c r="O1630" s="5" t="s">
        <v>46</v>
      </c>
      <c r="P1630" s="10" t="s">
        <v>60</v>
      </c>
      <c r="Q1630" s="10" t="s">
        <v>9070</v>
      </c>
      <c r="R1630" s="10" t="s">
        <v>2321</v>
      </c>
      <c r="S1630" s="5">
        <v>0</v>
      </c>
      <c r="T1630" s="37">
        <v>0</v>
      </c>
      <c r="U1630" s="5">
        <v>1</v>
      </c>
      <c r="V1630" s="37">
        <v>0</v>
      </c>
      <c r="W1630" s="5">
        <v>0</v>
      </c>
      <c r="X1630" s="5">
        <v>1</v>
      </c>
      <c r="Y1630" s="5">
        <v>0</v>
      </c>
      <c r="Z1630" s="37">
        <v>0</v>
      </c>
      <c r="AA1630" s="5">
        <v>0</v>
      </c>
      <c r="AB1630" s="5">
        <v>0</v>
      </c>
      <c r="AC1630" s="5">
        <v>0</v>
      </c>
      <c r="AD1630" s="5">
        <v>0</v>
      </c>
      <c r="AE1630" s="10" t="s">
        <v>73</v>
      </c>
      <c r="AF1630" s="10"/>
      <c r="AG1630" s="10" t="s">
        <v>64</v>
      </c>
      <c r="AH1630" s="10">
        <v>41513</v>
      </c>
      <c r="AI1630" s="5">
        <v>3</v>
      </c>
      <c r="AJ1630" s="10" t="s">
        <v>9071</v>
      </c>
      <c r="AK1630" s="10" t="s">
        <v>9072</v>
      </c>
    </row>
    <row r="1631" spans="1:37" ht="36.75" customHeight="1" x14ac:dyDescent="0.35">
      <c r="A1631" s="5"/>
      <c r="B1631" s="5" t="s">
        <v>37</v>
      </c>
      <c r="C1631" s="73" t="str">
        <f t="shared" si="25"/>
        <v>Closed</v>
      </c>
      <c r="D1631" s="45" t="s">
        <v>9073</v>
      </c>
      <c r="E1631" s="54" t="s">
        <v>9074</v>
      </c>
      <c r="F1631" s="5" t="s">
        <v>178</v>
      </c>
      <c r="G1631" s="10">
        <f>DATE(2013,8,13)</f>
        <v>41499</v>
      </c>
      <c r="H1631" s="35">
        <v>1.9</v>
      </c>
      <c r="I1631" s="5" t="s">
        <v>55</v>
      </c>
      <c r="J1631" s="10" t="s">
        <v>9075</v>
      </c>
      <c r="K1631" s="5" t="s">
        <v>181</v>
      </c>
      <c r="L1631" s="5" t="s">
        <v>9076</v>
      </c>
      <c r="M1631" s="5" t="s">
        <v>45</v>
      </c>
      <c r="N1631" s="5" t="s">
        <v>123</v>
      </c>
      <c r="O1631" s="5" t="s">
        <v>71</v>
      </c>
      <c r="P1631" s="10" t="s">
        <v>60</v>
      </c>
      <c r="Q1631" s="10">
        <v>0</v>
      </c>
      <c r="R1631" s="10">
        <v>0</v>
      </c>
      <c r="S1631" s="5">
        <v>0</v>
      </c>
      <c r="T1631" s="37">
        <v>0</v>
      </c>
      <c r="U1631" s="5">
        <v>0</v>
      </c>
      <c r="V1631" s="37">
        <v>0</v>
      </c>
      <c r="W1631" s="5">
        <v>0</v>
      </c>
      <c r="X1631" s="5">
        <v>0</v>
      </c>
      <c r="Y1631" s="5">
        <v>0</v>
      </c>
      <c r="Z1631" s="37">
        <v>0</v>
      </c>
      <c r="AA1631" s="5">
        <v>0</v>
      </c>
      <c r="AB1631" s="5">
        <v>0</v>
      </c>
      <c r="AC1631" s="5">
        <v>0</v>
      </c>
      <c r="AD1631" s="5">
        <v>0</v>
      </c>
      <c r="AE1631" s="10" t="s">
        <v>375</v>
      </c>
      <c r="AF1631" s="10"/>
      <c r="AG1631" s="10" t="s">
        <v>114</v>
      </c>
      <c r="AH1631" s="10">
        <v>41501</v>
      </c>
      <c r="AI1631" s="5">
        <v>0</v>
      </c>
      <c r="AJ1631" s="10" t="s">
        <v>9077</v>
      </c>
      <c r="AK1631" s="10" t="s">
        <v>1215</v>
      </c>
    </row>
    <row r="1632" spans="1:37" ht="36.75" customHeight="1" x14ac:dyDescent="0.35">
      <c r="A1632" s="5"/>
      <c r="B1632" s="5" t="s">
        <v>37</v>
      </c>
      <c r="C1632" s="73" t="str">
        <f t="shared" si="25"/>
        <v>Closed</v>
      </c>
      <c r="D1632" s="45" t="s">
        <v>9078</v>
      </c>
      <c r="E1632" s="54" t="s">
        <v>9079</v>
      </c>
      <c r="F1632" s="5" t="s">
        <v>619</v>
      </c>
      <c r="G1632" s="10">
        <f>DATE(2013,8,14)</f>
        <v>41500</v>
      </c>
      <c r="H1632" s="35">
        <v>1.3736111111111111</v>
      </c>
      <c r="I1632" s="5" t="s">
        <v>85</v>
      </c>
      <c r="J1632" s="10" t="s">
        <v>9080</v>
      </c>
      <c r="K1632" s="5" t="s">
        <v>621</v>
      </c>
      <c r="L1632" s="5" t="s">
        <v>9081</v>
      </c>
      <c r="M1632" s="5" t="s">
        <v>45</v>
      </c>
      <c r="N1632" s="5" t="s">
        <v>123</v>
      </c>
      <c r="O1632" s="5" t="s">
        <v>59</v>
      </c>
      <c r="P1632" s="10" t="s">
        <v>60</v>
      </c>
      <c r="Q1632" s="10" t="s">
        <v>4884</v>
      </c>
      <c r="R1632" s="10" t="s">
        <v>624</v>
      </c>
      <c r="S1632" s="5">
        <v>0</v>
      </c>
      <c r="T1632" s="37">
        <v>0</v>
      </c>
      <c r="U1632" s="5">
        <v>0</v>
      </c>
      <c r="V1632" s="37">
        <v>0</v>
      </c>
      <c r="W1632" s="5">
        <v>0</v>
      </c>
      <c r="X1632" s="5">
        <v>0</v>
      </c>
      <c r="Y1632" s="5">
        <v>0</v>
      </c>
      <c r="Z1632" s="37">
        <v>0</v>
      </c>
      <c r="AA1632" s="5">
        <v>0</v>
      </c>
      <c r="AB1632" s="5">
        <v>0</v>
      </c>
      <c r="AC1632" s="5">
        <v>0</v>
      </c>
      <c r="AD1632" s="5">
        <v>0</v>
      </c>
      <c r="AE1632" s="10" t="s">
        <v>73</v>
      </c>
      <c r="AF1632" s="10"/>
      <c r="AG1632" s="10" t="s">
        <v>333</v>
      </c>
      <c r="AH1632" s="10">
        <v>41534</v>
      </c>
      <c r="AI1632" s="5">
        <v>0</v>
      </c>
      <c r="AJ1632" s="10" t="s">
        <v>9082</v>
      </c>
      <c r="AK1632" s="10" t="s">
        <v>50</v>
      </c>
    </row>
    <row r="1633" spans="1:37" ht="36.75" customHeight="1" x14ac:dyDescent="0.35">
      <c r="A1633" s="5"/>
      <c r="B1633" s="5" t="s">
        <v>37</v>
      </c>
      <c r="C1633" s="73" t="str">
        <f t="shared" si="25"/>
        <v>Closed</v>
      </c>
      <c r="D1633" s="45" t="s">
        <v>9083</v>
      </c>
      <c r="E1633" s="54" t="s">
        <v>9084</v>
      </c>
      <c r="F1633" s="5" t="s">
        <v>816</v>
      </c>
      <c r="G1633" s="10">
        <f>DATE(2013,8,15)</f>
        <v>41501</v>
      </c>
      <c r="H1633" s="35">
        <v>1.2555555555555555</v>
      </c>
      <c r="I1633" s="5" t="s">
        <v>97</v>
      </c>
      <c r="J1633" s="10" t="s">
        <v>9085</v>
      </c>
      <c r="K1633" s="5" t="s">
        <v>818</v>
      </c>
      <c r="L1633" s="5" t="s">
        <v>9086</v>
      </c>
      <c r="M1633" s="5" t="s">
        <v>45</v>
      </c>
      <c r="N1633" s="5" t="s">
        <v>80</v>
      </c>
      <c r="O1633" s="5" t="s">
        <v>46</v>
      </c>
      <c r="P1633" s="10" t="s">
        <v>146</v>
      </c>
      <c r="Q1633" s="10" t="s">
        <v>2142</v>
      </c>
      <c r="R1633" s="10" t="s">
        <v>821</v>
      </c>
      <c r="S1633" s="5">
        <v>0</v>
      </c>
      <c r="T1633" s="37">
        <v>0</v>
      </c>
      <c r="U1633" s="5">
        <v>1</v>
      </c>
      <c r="V1633" s="37">
        <v>0</v>
      </c>
      <c r="W1633" s="5">
        <v>0</v>
      </c>
      <c r="X1633" s="5">
        <v>1</v>
      </c>
      <c r="Y1633" s="5">
        <v>0</v>
      </c>
      <c r="Z1633" s="37">
        <v>0</v>
      </c>
      <c r="AA1633" s="5">
        <v>0</v>
      </c>
      <c r="AB1633" s="5">
        <v>0</v>
      </c>
      <c r="AC1633" s="5">
        <v>0</v>
      </c>
      <c r="AD1633" s="5">
        <v>0</v>
      </c>
      <c r="AE1633" s="10" t="s">
        <v>73</v>
      </c>
      <c r="AF1633" s="10"/>
      <c r="AG1633" s="10" t="s">
        <v>333</v>
      </c>
      <c r="AH1633" s="10">
        <v>41501</v>
      </c>
      <c r="AI1633" s="5">
        <v>3</v>
      </c>
      <c r="AJ1633" s="10" t="s">
        <v>9087</v>
      </c>
      <c r="AK1633" s="10" t="s">
        <v>50</v>
      </c>
    </row>
    <row r="1634" spans="1:37" ht="36.75" customHeight="1" x14ac:dyDescent="0.35">
      <c r="A1634" s="5"/>
      <c r="B1634" s="5" t="s">
        <v>37</v>
      </c>
      <c r="C1634" s="73" t="str">
        <f t="shared" si="25"/>
        <v>Closed</v>
      </c>
      <c r="D1634" s="45" t="s">
        <v>9088</v>
      </c>
      <c r="E1634" s="54" t="s">
        <v>9089</v>
      </c>
      <c r="F1634" s="5" t="s">
        <v>816</v>
      </c>
      <c r="G1634" s="10">
        <f>DATE(2013,8,15)</f>
        <v>41501</v>
      </c>
      <c r="H1634" s="35">
        <v>0</v>
      </c>
      <c r="I1634" s="5" t="s">
        <v>259</v>
      </c>
      <c r="J1634" s="10" t="s">
        <v>9090</v>
      </c>
      <c r="K1634" s="5" t="s">
        <v>818</v>
      </c>
      <c r="L1634" s="5" t="s">
        <v>9091</v>
      </c>
      <c r="M1634" s="5" t="s">
        <v>45</v>
      </c>
      <c r="N1634" s="5" t="s">
        <v>80</v>
      </c>
      <c r="O1634" s="5" t="s">
        <v>46</v>
      </c>
      <c r="P1634" s="10" t="s">
        <v>146</v>
      </c>
      <c r="Q1634" s="10" t="s">
        <v>2142</v>
      </c>
      <c r="R1634" s="10" t="s">
        <v>821</v>
      </c>
      <c r="S1634" s="5">
        <v>0</v>
      </c>
      <c r="T1634" s="37">
        <v>0</v>
      </c>
      <c r="U1634" s="5">
        <v>0</v>
      </c>
      <c r="V1634" s="37">
        <v>0</v>
      </c>
      <c r="W1634" s="5">
        <v>0</v>
      </c>
      <c r="X1634" s="5">
        <v>0</v>
      </c>
      <c r="Y1634" s="5">
        <v>1</v>
      </c>
      <c r="Z1634" s="37">
        <v>0</v>
      </c>
      <c r="AA1634" s="5">
        <v>0</v>
      </c>
      <c r="AB1634" s="5">
        <v>0</v>
      </c>
      <c r="AC1634" s="5">
        <v>0</v>
      </c>
      <c r="AD1634" s="5">
        <v>1</v>
      </c>
      <c r="AE1634" s="10" t="s">
        <v>73</v>
      </c>
      <c r="AF1634" s="10"/>
      <c r="AG1634" s="10" t="s">
        <v>333</v>
      </c>
      <c r="AH1634" s="10">
        <v>41502</v>
      </c>
      <c r="AI1634" s="5">
        <v>1</v>
      </c>
      <c r="AJ1634" s="10" t="s">
        <v>9092</v>
      </c>
      <c r="AK1634" s="10" t="s">
        <v>50</v>
      </c>
    </row>
    <row r="1635" spans="1:37" ht="36.75" customHeight="1" x14ac:dyDescent="0.35">
      <c r="A1635" s="5"/>
      <c r="B1635" s="5" t="s">
        <v>37</v>
      </c>
      <c r="C1635" s="73" t="str">
        <f t="shared" si="25"/>
        <v>Closed</v>
      </c>
      <c r="D1635" s="45" t="s">
        <v>9093</v>
      </c>
      <c r="E1635" s="54" t="s">
        <v>9094</v>
      </c>
      <c r="F1635" s="5" t="s">
        <v>816</v>
      </c>
      <c r="G1635" s="10">
        <f>DATE(2013,8,21)</f>
        <v>41507</v>
      </c>
      <c r="H1635" s="35">
        <v>0</v>
      </c>
      <c r="I1635" s="5" t="s">
        <v>5473</v>
      </c>
      <c r="J1635" s="10" t="s">
        <v>9095</v>
      </c>
      <c r="K1635" s="5" t="s">
        <v>818</v>
      </c>
      <c r="L1635" s="5" t="s">
        <v>9096</v>
      </c>
      <c r="M1635" s="5" t="s">
        <v>45</v>
      </c>
      <c r="N1635" s="5" t="s">
        <v>123</v>
      </c>
      <c r="O1635" s="5" t="s">
        <v>71</v>
      </c>
      <c r="P1635" s="10" t="s">
        <v>72</v>
      </c>
      <c r="Q1635" s="10" t="s">
        <v>4688</v>
      </c>
      <c r="R1635" s="10" t="s">
        <v>821</v>
      </c>
      <c r="S1635" s="5">
        <v>0</v>
      </c>
      <c r="T1635" s="37">
        <v>0</v>
      </c>
      <c r="U1635" s="5">
        <v>0</v>
      </c>
      <c r="V1635" s="37">
        <v>0</v>
      </c>
      <c r="W1635" s="5">
        <v>0</v>
      </c>
      <c r="X1635" s="5">
        <v>0</v>
      </c>
      <c r="Y1635" s="5">
        <v>0</v>
      </c>
      <c r="Z1635" s="37">
        <v>0</v>
      </c>
      <c r="AA1635" s="5">
        <v>0</v>
      </c>
      <c r="AB1635" s="5">
        <v>0</v>
      </c>
      <c r="AC1635" s="5">
        <v>0</v>
      </c>
      <c r="AD1635" s="5">
        <v>0</v>
      </c>
      <c r="AE1635" s="10" t="s">
        <v>73</v>
      </c>
      <c r="AF1635" s="10"/>
      <c r="AG1635" s="10" t="s">
        <v>333</v>
      </c>
      <c r="AH1635" s="10">
        <v>41508</v>
      </c>
      <c r="AI1635" s="5">
        <v>0</v>
      </c>
      <c r="AJ1635" s="10" t="s">
        <v>9097</v>
      </c>
      <c r="AK1635" s="10" t="s">
        <v>50</v>
      </c>
    </row>
    <row r="1636" spans="1:37" ht="36.75" customHeight="1" x14ac:dyDescent="0.35">
      <c r="A1636" s="5"/>
      <c r="B1636" s="5" t="s">
        <v>37</v>
      </c>
      <c r="C1636" s="73" t="str">
        <f t="shared" si="25"/>
        <v>Closed</v>
      </c>
      <c r="D1636" s="45" t="s">
        <v>9098</v>
      </c>
      <c r="E1636" s="54" t="s">
        <v>9099</v>
      </c>
      <c r="F1636" s="5" t="s">
        <v>1730</v>
      </c>
      <c r="G1636" s="10">
        <f>DATE(2013,8,23)</f>
        <v>41509</v>
      </c>
      <c r="H1636" s="35">
        <v>1.6041666666666665</v>
      </c>
      <c r="I1636" s="5" t="s">
        <v>97</v>
      </c>
      <c r="J1636" s="10" t="s">
        <v>9100</v>
      </c>
      <c r="K1636" s="5" t="s">
        <v>1732</v>
      </c>
      <c r="L1636" s="5" t="s">
        <v>9101</v>
      </c>
      <c r="M1636" s="5" t="s">
        <v>45</v>
      </c>
      <c r="N1636" s="5" t="s">
        <v>70</v>
      </c>
      <c r="O1636" s="5" t="s">
        <v>59</v>
      </c>
      <c r="P1636" s="10" t="s">
        <v>47</v>
      </c>
      <c r="Q1636" s="10" t="s">
        <v>9102</v>
      </c>
      <c r="R1636" s="10" t="s">
        <v>1963</v>
      </c>
      <c r="S1636" s="5">
        <v>0</v>
      </c>
      <c r="T1636" s="37">
        <v>0</v>
      </c>
      <c r="U1636" s="5">
        <v>1</v>
      </c>
      <c r="V1636" s="37">
        <v>0</v>
      </c>
      <c r="W1636" s="5">
        <v>0</v>
      </c>
      <c r="X1636" s="5">
        <v>1</v>
      </c>
      <c r="Y1636" s="5">
        <v>0</v>
      </c>
      <c r="Z1636" s="37">
        <v>0</v>
      </c>
      <c r="AA1636" s="5">
        <v>0</v>
      </c>
      <c r="AB1636" s="5">
        <v>0</v>
      </c>
      <c r="AC1636" s="5">
        <v>0</v>
      </c>
      <c r="AD1636" s="5">
        <v>0</v>
      </c>
      <c r="AE1636" s="10" t="s">
        <v>73</v>
      </c>
      <c r="AF1636" s="10"/>
      <c r="AG1636" s="10" t="s">
        <v>229</v>
      </c>
      <c r="AH1636" s="10">
        <v>41509</v>
      </c>
      <c r="AI1636" s="5">
        <v>2</v>
      </c>
      <c r="AJ1636" s="10" t="s">
        <v>9103</v>
      </c>
      <c r="AK1636" s="10" t="s">
        <v>9104</v>
      </c>
    </row>
    <row r="1637" spans="1:37" ht="36.75" customHeight="1" x14ac:dyDescent="0.35">
      <c r="A1637" s="5"/>
      <c r="B1637" s="5" t="s">
        <v>37</v>
      </c>
      <c r="C1637" s="73" t="str">
        <f t="shared" si="25"/>
        <v>Closed</v>
      </c>
      <c r="D1637" s="45" t="s">
        <v>9105</v>
      </c>
      <c r="E1637" s="54" t="s">
        <v>9106</v>
      </c>
      <c r="F1637" s="5" t="s">
        <v>214</v>
      </c>
      <c r="G1637" s="10">
        <f>DATE(2013,8,25)</f>
        <v>41511</v>
      </c>
      <c r="H1637" s="35">
        <v>1.7743055555555554</v>
      </c>
      <c r="I1637" s="5" t="s">
        <v>106</v>
      </c>
      <c r="J1637" s="10" t="s">
        <v>9107</v>
      </c>
      <c r="K1637" s="5" t="s">
        <v>216</v>
      </c>
      <c r="L1637" s="5" t="s">
        <v>9108</v>
      </c>
      <c r="M1637" s="5" t="s">
        <v>110</v>
      </c>
      <c r="N1637" s="5" t="s">
        <v>123</v>
      </c>
      <c r="O1637" s="5" t="s">
        <v>59</v>
      </c>
      <c r="P1637" s="10" t="s">
        <v>110</v>
      </c>
      <c r="Q1637" s="10" t="s">
        <v>664</v>
      </c>
      <c r="R1637" s="10" t="s">
        <v>664</v>
      </c>
      <c r="S1637" s="5">
        <v>0</v>
      </c>
      <c r="T1637" s="37">
        <v>0</v>
      </c>
      <c r="U1637" s="5">
        <v>0</v>
      </c>
      <c r="V1637" s="37">
        <v>0</v>
      </c>
      <c r="W1637" s="5">
        <v>0</v>
      </c>
      <c r="X1637" s="5">
        <v>0</v>
      </c>
      <c r="Y1637" s="5">
        <v>0</v>
      </c>
      <c r="Z1637" s="37">
        <v>0</v>
      </c>
      <c r="AA1637" s="5">
        <v>0</v>
      </c>
      <c r="AB1637" s="5">
        <v>0</v>
      </c>
      <c r="AC1637" s="5">
        <v>0</v>
      </c>
      <c r="AD1637" s="5">
        <v>0</v>
      </c>
      <c r="AE1637" s="10" t="s">
        <v>73</v>
      </c>
      <c r="AF1637" s="10"/>
      <c r="AG1637" s="10" t="s">
        <v>114</v>
      </c>
      <c r="AH1637" s="10">
        <v>41526</v>
      </c>
      <c r="AI1637" s="5">
        <v>6</v>
      </c>
      <c r="AJ1637" s="10" t="s">
        <v>9109</v>
      </c>
      <c r="AK1637" s="10" t="s">
        <v>9110</v>
      </c>
    </row>
    <row r="1638" spans="1:37" ht="36.75" customHeight="1" x14ac:dyDescent="0.35">
      <c r="A1638" s="5"/>
      <c r="B1638" s="5" t="s">
        <v>37</v>
      </c>
      <c r="C1638" s="73" t="str">
        <f t="shared" si="25"/>
        <v>Closed</v>
      </c>
      <c r="D1638" s="45" t="s">
        <v>9111</v>
      </c>
      <c r="E1638" s="54" t="s">
        <v>9112</v>
      </c>
      <c r="F1638" s="5" t="s">
        <v>214</v>
      </c>
      <c r="G1638" s="10">
        <f>DATE(2013,8,27)</f>
        <v>41513</v>
      </c>
      <c r="H1638" s="35">
        <v>1.1875</v>
      </c>
      <c r="I1638" s="5" t="s">
        <v>55</v>
      </c>
      <c r="J1638" s="10" t="s">
        <v>9113</v>
      </c>
      <c r="K1638" s="5" t="s">
        <v>216</v>
      </c>
      <c r="L1638" s="5" t="s">
        <v>9114</v>
      </c>
      <c r="M1638" s="5" t="s">
        <v>45</v>
      </c>
      <c r="N1638" s="5" t="s">
        <v>123</v>
      </c>
      <c r="O1638" s="5" t="s">
        <v>46</v>
      </c>
      <c r="P1638" s="10" t="s">
        <v>60</v>
      </c>
      <c r="Q1638" s="10" t="s">
        <v>4022</v>
      </c>
      <c r="R1638" s="10" t="s">
        <v>219</v>
      </c>
      <c r="S1638" s="5">
        <v>0</v>
      </c>
      <c r="T1638" s="37">
        <v>0</v>
      </c>
      <c r="U1638" s="5">
        <v>0</v>
      </c>
      <c r="V1638" s="37">
        <v>0</v>
      </c>
      <c r="W1638" s="5">
        <v>0</v>
      </c>
      <c r="X1638" s="5">
        <v>0</v>
      </c>
      <c r="Y1638" s="5">
        <v>0</v>
      </c>
      <c r="Z1638" s="37">
        <v>0</v>
      </c>
      <c r="AA1638" s="5">
        <v>0</v>
      </c>
      <c r="AB1638" s="5">
        <v>0</v>
      </c>
      <c r="AC1638" s="5">
        <v>0</v>
      </c>
      <c r="AD1638" s="5">
        <v>0</v>
      </c>
      <c r="AE1638" s="10" t="s">
        <v>73</v>
      </c>
      <c r="AF1638" s="10"/>
      <c r="AG1638" s="10" t="s">
        <v>114</v>
      </c>
      <c r="AH1638" s="10">
        <v>41519</v>
      </c>
      <c r="AI1638" s="5">
        <v>4</v>
      </c>
      <c r="AJ1638" s="10" t="s">
        <v>9115</v>
      </c>
      <c r="AK1638" s="10" t="s">
        <v>9116</v>
      </c>
    </row>
    <row r="1639" spans="1:37" ht="36.75" customHeight="1" x14ac:dyDescent="0.35">
      <c r="A1639" s="5"/>
      <c r="B1639" s="5" t="s">
        <v>37</v>
      </c>
      <c r="C1639" s="73" t="str">
        <f t="shared" si="25"/>
        <v>Closed</v>
      </c>
      <c r="D1639" s="45" t="s">
        <v>9117</v>
      </c>
      <c r="E1639" s="54" t="s">
        <v>9118</v>
      </c>
      <c r="F1639" s="5" t="s">
        <v>214</v>
      </c>
      <c r="G1639" s="10">
        <f>DATE(2013,8,28)</f>
        <v>41514</v>
      </c>
      <c r="H1639" s="35">
        <v>1.7597222222222224</v>
      </c>
      <c r="I1639" s="5" t="s">
        <v>5473</v>
      </c>
      <c r="J1639" s="10" t="s">
        <v>9119</v>
      </c>
      <c r="K1639" s="5" t="s">
        <v>216</v>
      </c>
      <c r="L1639" s="5" t="s">
        <v>9120</v>
      </c>
      <c r="M1639" s="5" t="s">
        <v>45</v>
      </c>
      <c r="N1639" s="5" t="s">
        <v>123</v>
      </c>
      <c r="O1639" s="5" t="s">
        <v>59</v>
      </c>
      <c r="P1639" s="10" t="s">
        <v>6920</v>
      </c>
      <c r="Q1639" s="10" t="s">
        <v>9121</v>
      </c>
      <c r="R1639" s="10" t="s">
        <v>219</v>
      </c>
      <c r="S1639" s="5">
        <v>0</v>
      </c>
      <c r="T1639" s="37">
        <v>0</v>
      </c>
      <c r="U1639" s="5">
        <v>0</v>
      </c>
      <c r="V1639" s="37">
        <v>0</v>
      </c>
      <c r="W1639" s="5">
        <v>0</v>
      </c>
      <c r="X1639" s="5">
        <v>0</v>
      </c>
      <c r="Y1639" s="5">
        <v>0</v>
      </c>
      <c r="Z1639" s="37">
        <v>0</v>
      </c>
      <c r="AA1639" s="5">
        <v>0</v>
      </c>
      <c r="AB1639" s="5">
        <v>0</v>
      </c>
      <c r="AC1639" s="5">
        <v>1</v>
      </c>
      <c r="AD1639" s="5">
        <v>1</v>
      </c>
      <c r="AE1639" s="10" t="s">
        <v>73</v>
      </c>
      <c r="AF1639" s="10"/>
      <c r="AG1639" s="10" t="s">
        <v>114</v>
      </c>
      <c r="AH1639" s="10">
        <v>41554</v>
      </c>
      <c r="AI1639" s="5">
        <v>4</v>
      </c>
      <c r="AJ1639" s="10" t="s">
        <v>9122</v>
      </c>
      <c r="AK1639" s="10" t="s">
        <v>9123</v>
      </c>
    </row>
    <row r="1640" spans="1:37" ht="36.75" customHeight="1" x14ac:dyDescent="0.35">
      <c r="A1640" s="5"/>
      <c r="B1640" s="5" t="s">
        <v>37</v>
      </c>
      <c r="C1640" s="73" t="str">
        <f t="shared" si="25"/>
        <v>Closed</v>
      </c>
      <c r="D1640" s="45" t="s">
        <v>9124</v>
      </c>
      <c r="E1640" s="54" t="s">
        <v>9125</v>
      </c>
      <c r="F1640" s="5" t="s">
        <v>404</v>
      </c>
      <c r="G1640" s="10">
        <f>DATE(2013,8,31)</f>
        <v>41517</v>
      </c>
      <c r="H1640" s="35">
        <v>1.5958333333333332</v>
      </c>
      <c r="I1640" s="5" t="s">
        <v>85</v>
      </c>
      <c r="J1640" s="10" t="s">
        <v>9126</v>
      </c>
      <c r="K1640" s="5" t="s">
        <v>406</v>
      </c>
      <c r="L1640" s="5" t="s">
        <v>9127</v>
      </c>
      <c r="M1640" s="5" t="s">
        <v>45</v>
      </c>
      <c r="N1640" s="5" t="s">
        <v>70</v>
      </c>
      <c r="O1640" s="5" t="s">
        <v>59</v>
      </c>
      <c r="P1640" s="10" t="s">
        <v>5303</v>
      </c>
      <c r="Q1640" s="10" t="s">
        <v>408</v>
      </c>
      <c r="R1640" s="10" t="s">
        <v>3083</v>
      </c>
      <c r="S1640" s="5">
        <v>0</v>
      </c>
      <c r="T1640" s="37">
        <v>0</v>
      </c>
      <c r="U1640" s="5">
        <v>0</v>
      </c>
      <c r="V1640" s="37">
        <v>0</v>
      </c>
      <c r="W1640" s="5">
        <v>0</v>
      </c>
      <c r="X1640" s="5">
        <v>0</v>
      </c>
      <c r="Y1640" s="5">
        <v>0</v>
      </c>
      <c r="Z1640" s="37">
        <v>0</v>
      </c>
      <c r="AA1640" s="5">
        <v>0</v>
      </c>
      <c r="AB1640" s="5">
        <v>0</v>
      </c>
      <c r="AC1640" s="5">
        <v>0</v>
      </c>
      <c r="AD1640" s="5">
        <v>0</v>
      </c>
      <c r="AE1640" s="10" t="s">
        <v>73</v>
      </c>
      <c r="AF1640" s="10"/>
      <c r="AG1640" s="10" t="s">
        <v>114</v>
      </c>
      <c r="AH1640" s="10">
        <v>41556</v>
      </c>
      <c r="AI1640" s="5">
        <v>7</v>
      </c>
      <c r="AJ1640" s="10" t="s">
        <v>9128</v>
      </c>
      <c r="AK1640" s="10" t="s">
        <v>9129</v>
      </c>
    </row>
    <row r="1641" spans="1:37" ht="36.75" customHeight="1" x14ac:dyDescent="0.35">
      <c r="A1641" s="5"/>
      <c r="B1641" s="5" t="s">
        <v>37</v>
      </c>
      <c r="C1641" s="73" t="str">
        <f t="shared" si="25"/>
        <v>Closed</v>
      </c>
      <c r="D1641" s="45" t="s">
        <v>9130</v>
      </c>
      <c r="E1641" s="54" t="s">
        <v>9131</v>
      </c>
      <c r="F1641" s="5" t="s">
        <v>1553</v>
      </c>
      <c r="G1641" s="10">
        <f>DATE(2013,9,2)</f>
        <v>41519</v>
      </c>
      <c r="H1641" s="35">
        <v>1.6541666666666668</v>
      </c>
      <c r="I1641" s="5" t="s">
        <v>55</v>
      </c>
      <c r="J1641" s="10" t="s">
        <v>9132</v>
      </c>
      <c r="K1641" s="5" t="s">
        <v>1555</v>
      </c>
      <c r="L1641" s="5" t="s">
        <v>9133</v>
      </c>
      <c r="M1641" s="5" t="s">
        <v>45</v>
      </c>
      <c r="N1641" s="5" t="s">
        <v>80</v>
      </c>
      <c r="O1641" s="5" t="s">
        <v>46</v>
      </c>
      <c r="P1641" s="10" t="s">
        <v>60</v>
      </c>
      <c r="Q1641" s="10" t="s">
        <v>6072</v>
      </c>
      <c r="R1641" s="10">
        <v>0</v>
      </c>
      <c r="S1641" s="5">
        <v>0</v>
      </c>
      <c r="T1641" s="37">
        <v>0</v>
      </c>
      <c r="U1641" s="5">
        <v>0</v>
      </c>
      <c r="V1641" s="37">
        <v>0</v>
      </c>
      <c r="W1641" s="5">
        <v>0</v>
      </c>
      <c r="X1641" s="5">
        <v>0</v>
      </c>
      <c r="Y1641" s="5">
        <v>0</v>
      </c>
      <c r="Z1641" s="37">
        <v>0</v>
      </c>
      <c r="AA1641" s="5">
        <v>0</v>
      </c>
      <c r="AB1641" s="5">
        <v>0</v>
      </c>
      <c r="AC1641" s="5">
        <v>0</v>
      </c>
      <c r="AD1641" s="5">
        <v>0</v>
      </c>
      <c r="AE1641" s="10" t="s">
        <v>73</v>
      </c>
      <c r="AF1641" s="10"/>
      <c r="AG1641" s="10" t="s">
        <v>333</v>
      </c>
      <c r="AH1641" s="10">
        <v>41520</v>
      </c>
      <c r="AI1641" s="5">
        <v>0</v>
      </c>
      <c r="AJ1641" s="10" t="s">
        <v>9134</v>
      </c>
      <c r="AK1641" s="10" t="s">
        <v>1215</v>
      </c>
    </row>
    <row r="1642" spans="1:37" ht="36.75" customHeight="1" x14ac:dyDescent="0.35">
      <c r="A1642" s="5"/>
      <c r="B1642" s="5" t="s">
        <v>37</v>
      </c>
      <c r="C1642" s="73" t="str">
        <f t="shared" si="25"/>
        <v>Closed</v>
      </c>
      <c r="D1642" s="45" t="s">
        <v>9135</v>
      </c>
      <c r="E1642" s="54" t="s">
        <v>9136</v>
      </c>
      <c r="F1642" s="5" t="s">
        <v>2581</v>
      </c>
      <c r="G1642" s="10">
        <f>DATE(2013,9,3)</f>
        <v>41520</v>
      </c>
      <c r="H1642" s="35">
        <v>1.8944444444444444</v>
      </c>
      <c r="I1642" s="5" t="s">
        <v>55</v>
      </c>
      <c r="J1642" s="10" t="s">
        <v>9137</v>
      </c>
      <c r="K1642" s="5" t="s">
        <v>2583</v>
      </c>
      <c r="L1642" s="5" t="s">
        <v>9138</v>
      </c>
      <c r="M1642" s="5" t="s">
        <v>45</v>
      </c>
      <c r="N1642" s="5" t="s">
        <v>70</v>
      </c>
      <c r="O1642" s="5" t="s">
        <v>59</v>
      </c>
      <c r="P1642" s="10" t="s">
        <v>47</v>
      </c>
      <c r="Q1642" s="10" t="s">
        <v>6321</v>
      </c>
      <c r="R1642" s="10" t="s">
        <v>2586</v>
      </c>
      <c r="S1642" s="5">
        <v>0</v>
      </c>
      <c r="T1642" s="37">
        <v>0</v>
      </c>
      <c r="U1642" s="5">
        <v>0</v>
      </c>
      <c r="V1642" s="37">
        <v>0</v>
      </c>
      <c r="W1642" s="5">
        <v>0</v>
      </c>
      <c r="X1642" s="5">
        <v>0</v>
      </c>
      <c r="Y1642" s="5">
        <v>0</v>
      </c>
      <c r="Z1642" s="37">
        <v>0</v>
      </c>
      <c r="AA1642" s="5">
        <v>0</v>
      </c>
      <c r="AB1642" s="5">
        <v>0</v>
      </c>
      <c r="AC1642" s="5">
        <v>0</v>
      </c>
      <c r="AD1642" s="5">
        <v>0</v>
      </c>
      <c r="AE1642" s="10" t="s">
        <v>73</v>
      </c>
      <c r="AF1642" s="10"/>
      <c r="AG1642" s="10" t="s">
        <v>114</v>
      </c>
      <c r="AH1642" s="10">
        <v>41521</v>
      </c>
      <c r="AI1642" s="5">
        <v>3</v>
      </c>
      <c r="AJ1642" s="10" t="s">
        <v>9139</v>
      </c>
      <c r="AK1642" s="10" t="s">
        <v>9140</v>
      </c>
    </row>
    <row r="1643" spans="1:37" ht="36.75" customHeight="1" x14ac:dyDescent="0.35">
      <c r="A1643" s="5"/>
      <c r="B1643" s="5" t="s">
        <v>37</v>
      </c>
      <c r="C1643" s="73" t="str">
        <f t="shared" si="25"/>
        <v>Closed</v>
      </c>
      <c r="D1643" s="45" t="s">
        <v>9141</v>
      </c>
      <c r="E1643" s="54" t="s">
        <v>9142</v>
      </c>
      <c r="F1643" s="5" t="s">
        <v>563</v>
      </c>
      <c r="G1643" s="10">
        <f>DATE(2013,9,5)</f>
        <v>41522</v>
      </c>
      <c r="H1643" s="35">
        <v>0</v>
      </c>
      <c r="I1643" s="5" t="s">
        <v>55</v>
      </c>
      <c r="J1643" s="10" t="s">
        <v>9143</v>
      </c>
      <c r="K1643" s="5" t="s">
        <v>565</v>
      </c>
      <c r="L1643" s="5" t="s">
        <v>9144</v>
      </c>
      <c r="M1643" s="5" t="s">
        <v>45</v>
      </c>
      <c r="N1643" s="5" t="s">
        <v>123</v>
      </c>
      <c r="O1643" s="5" t="s">
        <v>59</v>
      </c>
      <c r="P1643" s="10" t="s">
        <v>146</v>
      </c>
      <c r="Q1643" s="10" t="s">
        <v>9145</v>
      </c>
      <c r="R1643" s="10" t="s">
        <v>568</v>
      </c>
      <c r="S1643" s="5">
        <v>0</v>
      </c>
      <c r="T1643" s="37">
        <v>0</v>
      </c>
      <c r="U1643" s="5">
        <v>0</v>
      </c>
      <c r="V1643" s="37">
        <v>0</v>
      </c>
      <c r="W1643" s="5">
        <v>0</v>
      </c>
      <c r="X1643" s="5">
        <v>0</v>
      </c>
      <c r="Y1643" s="5">
        <v>0</v>
      </c>
      <c r="Z1643" s="37">
        <v>0</v>
      </c>
      <c r="AA1643" s="5">
        <v>0</v>
      </c>
      <c r="AB1643" s="5">
        <v>0</v>
      </c>
      <c r="AC1643" s="5">
        <v>0</v>
      </c>
      <c r="AD1643" s="5">
        <v>0</v>
      </c>
      <c r="AE1643" s="10" t="s">
        <v>375</v>
      </c>
      <c r="AF1643" s="10"/>
      <c r="AG1643" s="10" t="s">
        <v>114</v>
      </c>
      <c r="AH1643" s="10">
        <v>41530</v>
      </c>
      <c r="AI1643" s="5">
        <v>0</v>
      </c>
      <c r="AJ1643" s="10" t="s">
        <v>9146</v>
      </c>
      <c r="AK1643" s="10" t="s">
        <v>9147</v>
      </c>
    </row>
    <row r="1644" spans="1:37" ht="36.75" customHeight="1" x14ac:dyDescent="0.35">
      <c r="A1644" s="5"/>
      <c r="B1644" s="5" t="s">
        <v>37</v>
      </c>
      <c r="C1644" s="73" t="str">
        <f t="shared" si="25"/>
        <v>Closed</v>
      </c>
      <c r="D1644" s="45" t="s">
        <v>9148</v>
      </c>
      <c r="E1644" s="54" t="s">
        <v>9149</v>
      </c>
      <c r="F1644" s="5" t="s">
        <v>563</v>
      </c>
      <c r="G1644" s="10">
        <f>DATE(2013,9,5)</f>
        <v>41522</v>
      </c>
      <c r="H1644" s="35">
        <v>1.4694444444444446</v>
      </c>
      <c r="I1644" s="5" t="s">
        <v>179</v>
      </c>
      <c r="J1644" s="10" t="s">
        <v>9150</v>
      </c>
      <c r="K1644" s="5" t="s">
        <v>565</v>
      </c>
      <c r="L1644" s="5" t="s">
        <v>9151</v>
      </c>
      <c r="M1644" s="5" t="s">
        <v>45</v>
      </c>
      <c r="N1644" s="5" t="s">
        <v>123</v>
      </c>
      <c r="O1644" s="5" t="s">
        <v>59</v>
      </c>
      <c r="P1644" s="10" t="s">
        <v>47</v>
      </c>
      <c r="Q1644" s="10" t="s">
        <v>4810</v>
      </c>
      <c r="R1644" s="10" t="s">
        <v>568</v>
      </c>
      <c r="S1644" s="5">
        <v>0</v>
      </c>
      <c r="T1644" s="37">
        <v>0</v>
      </c>
      <c r="U1644" s="5">
        <v>0</v>
      </c>
      <c r="V1644" s="37">
        <v>0</v>
      </c>
      <c r="W1644" s="5">
        <v>0</v>
      </c>
      <c r="X1644" s="5">
        <v>0</v>
      </c>
      <c r="Y1644" s="5">
        <v>0</v>
      </c>
      <c r="Z1644" s="37">
        <v>0</v>
      </c>
      <c r="AA1644" s="5">
        <v>0</v>
      </c>
      <c r="AB1644" s="5">
        <v>0</v>
      </c>
      <c r="AC1644" s="5">
        <v>0</v>
      </c>
      <c r="AD1644" s="5">
        <v>0</v>
      </c>
      <c r="AE1644" s="10" t="s">
        <v>73</v>
      </c>
      <c r="AF1644" s="10"/>
      <c r="AG1644" s="10" t="s">
        <v>114</v>
      </c>
      <c r="AH1644" s="10">
        <v>41530</v>
      </c>
      <c r="AI1644" s="5">
        <v>0</v>
      </c>
      <c r="AJ1644" s="10" t="s">
        <v>9152</v>
      </c>
      <c r="AK1644" s="10" t="s">
        <v>1215</v>
      </c>
    </row>
    <row r="1645" spans="1:37" ht="36.75" customHeight="1" x14ac:dyDescent="0.35">
      <c r="A1645" s="5"/>
      <c r="B1645" s="5" t="s">
        <v>37</v>
      </c>
      <c r="C1645" s="73" t="str">
        <f t="shared" si="25"/>
        <v>Closed</v>
      </c>
      <c r="D1645" s="45" t="s">
        <v>9153</v>
      </c>
      <c r="E1645" s="54" t="s">
        <v>9154</v>
      </c>
      <c r="F1645" s="5" t="s">
        <v>619</v>
      </c>
      <c r="G1645" s="10">
        <f>DATE(2013,9,5)</f>
        <v>41522</v>
      </c>
      <c r="H1645" s="35">
        <v>1.6138888888888889</v>
      </c>
      <c r="I1645" s="5" t="s">
        <v>41</v>
      </c>
      <c r="J1645" s="10" t="s">
        <v>9155</v>
      </c>
      <c r="K1645" s="5" t="s">
        <v>621</v>
      </c>
      <c r="L1645" s="5" t="s">
        <v>9156</v>
      </c>
      <c r="M1645" s="5" t="s">
        <v>45</v>
      </c>
      <c r="N1645" s="5" t="s">
        <v>123</v>
      </c>
      <c r="O1645" s="5" t="s">
        <v>46</v>
      </c>
      <c r="P1645" s="10" t="s">
        <v>6881</v>
      </c>
      <c r="Q1645" s="10" t="s">
        <v>623</v>
      </c>
      <c r="R1645" s="10" t="s">
        <v>624</v>
      </c>
      <c r="S1645" s="5">
        <v>0</v>
      </c>
      <c r="T1645" s="37">
        <v>0</v>
      </c>
      <c r="U1645" s="5">
        <v>0</v>
      </c>
      <c r="V1645" s="37">
        <v>0</v>
      </c>
      <c r="W1645" s="5">
        <v>0</v>
      </c>
      <c r="X1645" s="5">
        <v>0</v>
      </c>
      <c r="Y1645" s="5">
        <v>0</v>
      </c>
      <c r="Z1645" s="37">
        <v>0</v>
      </c>
      <c r="AA1645" s="5">
        <v>0</v>
      </c>
      <c r="AB1645" s="5">
        <v>0</v>
      </c>
      <c r="AC1645" s="5">
        <v>0</v>
      </c>
      <c r="AD1645" s="5">
        <v>0</v>
      </c>
      <c r="AE1645" s="10" t="s">
        <v>73</v>
      </c>
      <c r="AF1645" s="10"/>
      <c r="AG1645" s="10" t="s">
        <v>333</v>
      </c>
      <c r="AH1645" s="10">
        <v>41576</v>
      </c>
      <c r="AI1645" s="5">
        <v>3</v>
      </c>
      <c r="AJ1645" s="10" t="s">
        <v>9157</v>
      </c>
      <c r="AK1645" s="10" t="s">
        <v>50</v>
      </c>
    </row>
    <row r="1646" spans="1:37" ht="36.75" customHeight="1" x14ac:dyDescent="0.35">
      <c r="A1646" s="5"/>
      <c r="B1646" s="5" t="s">
        <v>37</v>
      </c>
      <c r="C1646" s="73" t="str">
        <f t="shared" si="25"/>
        <v>Closed</v>
      </c>
      <c r="D1646" s="45" t="s">
        <v>9158</v>
      </c>
      <c r="E1646" s="54" t="s">
        <v>9159</v>
      </c>
      <c r="F1646" s="5" t="s">
        <v>404</v>
      </c>
      <c r="G1646" s="10">
        <f>DATE(2013,9,12)</f>
        <v>41529</v>
      </c>
      <c r="H1646" s="35">
        <v>1.5013888888888889</v>
      </c>
      <c r="I1646" s="5" t="s">
        <v>97</v>
      </c>
      <c r="J1646" s="10" t="s">
        <v>9160</v>
      </c>
      <c r="K1646" s="5" t="s">
        <v>406</v>
      </c>
      <c r="L1646" s="5" t="s">
        <v>9161</v>
      </c>
      <c r="M1646" s="5" t="s">
        <v>45</v>
      </c>
      <c r="N1646" s="5" t="s">
        <v>80</v>
      </c>
      <c r="O1646" s="5" t="s">
        <v>46</v>
      </c>
      <c r="P1646" s="10" t="s">
        <v>146</v>
      </c>
      <c r="Q1646" s="10" t="s">
        <v>408</v>
      </c>
      <c r="R1646" s="10" t="s">
        <v>3083</v>
      </c>
      <c r="S1646" s="5">
        <v>0</v>
      </c>
      <c r="T1646" s="37">
        <v>0</v>
      </c>
      <c r="U1646" s="5">
        <v>1</v>
      </c>
      <c r="V1646" s="37">
        <v>0</v>
      </c>
      <c r="W1646" s="5">
        <v>0</v>
      </c>
      <c r="X1646" s="5">
        <v>1</v>
      </c>
      <c r="Y1646" s="5">
        <v>0</v>
      </c>
      <c r="Z1646" s="37">
        <v>0</v>
      </c>
      <c r="AA1646" s="5">
        <v>0</v>
      </c>
      <c r="AB1646" s="5">
        <v>0</v>
      </c>
      <c r="AC1646" s="5">
        <v>0</v>
      </c>
      <c r="AD1646" s="5">
        <v>0</v>
      </c>
      <c r="AE1646" s="10" t="s">
        <v>73</v>
      </c>
      <c r="AF1646" s="10"/>
      <c r="AG1646" s="10" t="s">
        <v>114</v>
      </c>
      <c r="AH1646" s="10">
        <v>41530</v>
      </c>
      <c r="AI1646" s="5">
        <v>3</v>
      </c>
      <c r="AJ1646" s="10" t="s">
        <v>9162</v>
      </c>
      <c r="AK1646" s="10" t="s">
        <v>9163</v>
      </c>
    </row>
    <row r="1647" spans="1:37" ht="36.75" customHeight="1" x14ac:dyDescent="0.35">
      <c r="A1647" s="5"/>
      <c r="B1647" s="5" t="s">
        <v>37</v>
      </c>
      <c r="C1647" s="73" t="str">
        <f t="shared" si="25"/>
        <v>Closed</v>
      </c>
      <c r="D1647" s="45" t="s">
        <v>9164</v>
      </c>
      <c r="E1647" s="54" t="s">
        <v>9165</v>
      </c>
      <c r="F1647" s="5" t="s">
        <v>816</v>
      </c>
      <c r="G1647" s="10">
        <f>DATE(2013,9,14)</f>
        <v>41531</v>
      </c>
      <c r="H1647" s="35">
        <v>0</v>
      </c>
      <c r="I1647" s="5" t="s">
        <v>85</v>
      </c>
      <c r="J1647" s="10" t="s">
        <v>9166</v>
      </c>
      <c r="K1647" s="5" t="s">
        <v>818</v>
      </c>
      <c r="L1647" s="5" t="s">
        <v>9167</v>
      </c>
      <c r="M1647" s="5" t="s">
        <v>45</v>
      </c>
      <c r="N1647" s="5" t="s">
        <v>70</v>
      </c>
      <c r="O1647" s="5" t="s">
        <v>59</v>
      </c>
      <c r="P1647" s="10" t="s">
        <v>1198</v>
      </c>
      <c r="Q1647" s="10" t="s">
        <v>2142</v>
      </c>
      <c r="R1647" s="10" t="s">
        <v>821</v>
      </c>
      <c r="S1647" s="5">
        <v>0</v>
      </c>
      <c r="T1647" s="37">
        <v>0</v>
      </c>
      <c r="U1647" s="5">
        <v>0</v>
      </c>
      <c r="V1647" s="37">
        <v>0</v>
      </c>
      <c r="W1647" s="5">
        <v>0</v>
      </c>
      <c r="X1647" s="5">
        <v>0</v>
      </c>
      <c r="Y1647" s="5">
        <v>0</v>
      </c>
      <c r="Z1647" s="37">
        <v>0</v>
      </c>
      <c r="AA1647" s="5">
        <v>0</v>
      </c>
      <c r="AB1647" s="5">
        <v>0</v>
      </c>
      <c r="AC1647" s="5">
        <v>0</v>
      </c>
      <c r="AD1647" s="5">
        <v>0</v>
      </c>
      <c r="AE1647" s="10" t="s">
        <v>73</v>
      </c>
      <c r="AF1647" s="10"/>
      <c r="AG1647" s="10" t="s">
        <v>333</v>
      </c>
      <c r="AH1647" s="10">
        <v>41531</v>
      </c>
      <c r="AI1647" s="5">
        <v>5</v>
      </c>
      <c r="AJ1647" s="10" t="s">
        <v>9168</v>
      </c>
      <c r="AK1647" s="10" t="s">
        <v>9169</v>
      </c>
    </row>
    <row r="1648" spans="1:37" ht="36.75" customHeight="1" x14ac:dyDescent="0.35">
      <c r="A1648" s="5"/>
      <c r="B1648" s="5" t="s">
        <v>37</v>
      </c>
      <c r="C1648" s="73" t="str">
        <f t="shared" si="25"/>
        <v>Closed</v>
      </c>
      <c r="D1648" s="45" t="s">
        <v>9170</v>
      </c>
      <c r="E1648" s="54" t="s">
        <v>9171</v>
      </c>
      <c r="F1648" s="5" t="s">
        <v>816</v>
      </c>
      <c r="G1648" s="10">
        <f>DATE(2013,9,14)</f>
        <v>41531</v>
      </c>
      <c r="H1648" s="35">
        <v>1.3374999999999999</v>
      </c>
      <c r="I1648" s="5" t="s">
        <v>55</v>
      </c>
      <c r="J1648" s="10" t="s">
        <v>9172</v>
      </c>
      <c r="K1648" s="5" t="s">
        <v>818</v>
      </c>
      <c r="L1648" s="5" t="s">
        <v>9173</v>
      </c>
      <c r="M1648" s="5" t="s">
        <v>45</v>
      </c>
      <c r="N1648" s="5" t="s">
        <v>123</v>
      </c>
      <c r="O1648" s="5" t="s">
        <v>59</v>
      </c>
      <c r="P1648" s="10" t="s">
        <v>67</v>
      </c>
      <c r="Q1648" s="10" t="s">
        <v>2142</v>
      </c>
      <c r="R1648" s="10" t="s">
        <v>821</v>
      </c>
      <c r="S1648" s="5">
        <v>0</v>
      </c>
      <c r="T1648" s="37">
        <v>0</v>
      </c>
      <c r="U1648" s="5">
        <v>0</v>
      </c>
      <c r="V1648" s="37">
        <v>0</v>
      </c>
      <c r="W1648" s="5">
        <v>0</v>
      </c>
      <c r="X1648" s="5">
        <v>0</v>
      </c>
      <c r="Y1648" s="5">
        <v>0</v>
      </c>
      <c r="Z1648" s="37">
        <v>0</v>
      </c>
      <c r="AA1648" s="5">
        <v>0</v>
      </c>
      <c r="AB1648" s="5">
        <v>0</v>
      </c>
      <c r="AC1648" s="5">
        <v>0</v>
      </c>
      <c r="AD1648" s="5">
        <v>0</v>
      </c>
      <c r="AE1648" s="10" t="s">
        <v>73</v>
      </c>
      <c r="AF1648" s="10"/>
      <c r="AG1648" s="10" t="s">
        <v>7474</v>
      </c>
      <c r="AH1648" s="10">
        <v>41531</v>
      </c>
      <c r="AI1648" s="5">
        <v>0</v>
      </c>
      <c r="AJ1648" s="10" t="s">
        <v>9174</v>
      </c>
      <c r="AK1648" s="10" t="s">
        <v>50</v>
      </c>
    </row>
    <row r="1649" spans="1:37" ht="36.75" customHeight="1" x14ac:dyDescent="0.35">
      <c r="A1649" s="5"/>
      <c r="B1649" s="5" t="s">
        <v>37</v>
      </c>
      <c r="C1649" s="73" t="str">
        <f t="shared" si="25"/>
        <v>Closed</v>
      </c>
      <c r="D1649" s="45" t="s">
        <v>9175</v>
      </c>
      <c r="E1649" s="54" t="s">
        <v>9176</v>
      </c>
      <c r="F1649" s="5" t="s">
        <v>178</v>
      </c>
      <c r="G1649" s="10">
        <f>DATE(2013,9,20)</f>
        <v>41537</v>
      </c>
      <c r="H1649" s="35">
        <v>0</v>
      </c>
      <c r="I1649" s="5" t="s">
        <v>137</v>
      </c>
      <c r="J1649" s="10" t="s">
        <v>9177</v>
      </c>
      <c r="K1649" s="5" t="s">
        <v>181</v>
      </c>
      <c r="L1649" s="5" t="s">
        <v>9178</v>
      </c>
      <c r="M1649" s="5" t="s">
        <v>45</v>
      </c>
      <c r="N1649" s="5" t="s">
        <v>123</v>
      </c>
      <c r="O1649" s="5" t="s">
        <v>59</v>
      </c>
      <c r="P1649" s="10" t="s">
        <v>47</v>
      </c>
      <c r="Q1649" s="10" t="s">
        <v>183</v>
      </c>
      <c r="R1649" s="10" t="s">
        <v>184</v>
      </c>
      <c r="S1649" s="5">
        <v>0</v>
      </c>
      <c r="T1649" s="37">
        <v>0</v>
      </c>
      <c r="U1649" s="5">
        <v>0</v>
      </c>
      <c r="V1649" s="37">
        <v>0</v>
      </c>
      <c r="W1649" s="5">
        <v>0</v>
      </c>
      <c r="X1649" s="5">
        <v>0</v>
      </c>
      <c r="Y1649" s="5">
        <v>0</v>
      </c>
      <c r="Z1649" s="37">
        <v>1</v>
      </c>
      <c r="AA1649" s="5">
        <v>0</v>
      </c>
      <c r="AB1649" s="5">
        <v>0</v>
      </c>
      <c r="AC1649" s="5">
        <v>0</v>
      </c>
      <c r="AD1649" s="5">
        <v>1</v>
      </c>
      <c r="AE1649" s="10" t="s">
        <v>73</v>
      </c>
      <c r="AF1649" s="10"/>
      <c r="AG1649" s="10" t="s">
        <v>114</v>
      </c>
      <c r="AH1649" s="10">
        <v>41940</v>
      </c>
      <c r="AI1649" s="5">
        <v>0</v>
      </c>
      <c r="AJ1649" s="10" t="s">
        <v>9179</v>
      </c>
      <c r="AK1649" s="10" t="s">
        <v>1215</v>
      </c>
    </row>
    <row r="1650" spans="1:37" ht="36.75" customHeight="1" x14ac:dyDescent="0.35">
      <c r="A1650" s="5"/>
      <c r="B1650" s="5" t="s">
        <v>37</v>
      </c>
      <c r="C1650" s="73" t="str">
        <f t="shared" si="25"/>
        <v>Closed</v>
      </c>
      <c r="D1650" s="45" t="s">
        <v>9180</v>
      </c>
      <c r="E1650" s="54" t="s">
        <v>9181</v>
      </c>
      <c r="F1650" s="5" t="s">
        <v>619</v>
      </c>
      <c r="G1650" s="10">
        <f>DATE(2013,9,20)</f>
        <v>41537</v>
      </c>
      <c r="H1650" s="35">
        <v>1.4194444444444445</v>
      </c>
      <c r="I1650" s="5" t="s">
        <v>179</v>
      </c>
      <c r="J1650" s="10" t="s">
        <v>9182</v>
      </c>
      <c r="K1650" s="5" t="s">
        <v>621</v>
      </c>
      <c r="L1650" s="5" t="s">
        <v>9183</v>
      </c>
      <c r="M1650" s="5" t="s">
        <v>45</v>
      </c>
      <c r="N1650" s="5" t="s">
        <v>123</v>
      </c>
      <c r="O1650" s="5" t="s">
        <v>59</v>
      </c>
      <c r="P1650" s="10" t="s">
        <v>6881</v>
      </c>
      <c r="Q1650" s="10" t="s">
        <v>623</v>
      </c>
      <c r="R1650" s="10" t="s">
        <v>624</v>
      </c>
      <c r="S1650" s="5">
        <v>0</v>
      </c>
      <c r="T1650" s="37">
        <v>0</v>
      </c>
      <c r="U1650" s="5">
        <v>0</v>
      </c>
      <c r="V1650" s="37">
        <v>0</v>
      </c>
      <c r="W1650" s="5">
        <v>0</v>
      </c>
      <c r="X1650" s="5">
        <v>0</v>
      </c>
      <c r="Y1650" s="5">
        <v>0</v>
      </c>
      <c r="Z1650" s="37">
        <v>0</v>
      </c>
      <c r="AA1650" s="5">
        <v>0</v>
      </c>
      <c r="AB1650" s="5">
        <v>0</v>
      </c>
      <c r="AC1650" s="5">
        <v>0</v>
      </c>
      <c r="AD1650" s="5">
        <v>0</v>
      </c>
      <c r="AE1650" s="10" t="s">
        <v>73</v>
      </c>
      <c r="AF1650" s="10"/>
      <c r="AG1650" s="10" t="s">
        <v>333</v>
      </c>
      <c r="AH1650" s="10">
        <v>41576</v>
      </c>
      <c r="AI1650" s="5">
        <v>0</v>
      </c>
      <c r="AJ1650" s="10" t="s">
        <v>9184</v>
      </c>
      <c r="AK1650" s="10" t="s">
        <v>50</v>
      </c>
    </row>
    <row r="1651" spans="1:37" ht="36.75" customHeight="1" x14ac:dyDescent="0.35">
      <c r="A1651" s="5"/>
      <c r="B1651" s="5" t="s">
        <v>37</v>
      </c>
      <c r="C1651" s="73" t="str">
        <f t="shared" si="25"/>
        <v>Closed</v>
      </c>
      <c r="D1651" s="45" t="s">
        <v>9185</v>
      </c>
      <c r="E1651" s="54" t="s">
        <v>9186</v>
      </c>
      <c r="F1651" s="5" t="s">
        <v>1553</v>
      </c>
      <c r="G1651" s="10">
        <f>DATE(2013,9,24)</f>
        <v>41541</v>
      </c>
      <c r="H1651" s="35">
        <v>1.5138888888888888</v>
      </c>
      <c r="I1651" s="5" t="s">
        <v>55</v>
      </c>
      <c r="J1651" s="10" t="s">
        <v>9187</v>
      </c>
      <c r="K1651" s="5" t="s">
        <v>1555</v>
      </c>
      <c r="L1651" s="5" t="s">
        <v>9188</v>
      </c>
      <c r="M1651" s="5" t="s">
        <v>45</v>
      </c>
      <c r="N1651" s="5" t="s">
        <v>80</v>
      </c>
      <c r="O1651" s="5" t="s">
        <v>59</v>
      </c>
      <c r="P1651" s="10" t="s">
        <v>60</v>
      </c>
      <c r="Q1651" s="10" t="s">
        <v>2635</v>
      </c>
      <c r="R1651" s="10">
        <v>0</v>
      </c>
      <c r="S1651" s="5">
        <v>0</v>
      </c>
      <c r="T1651" s="37">
        <v>0</v>
      </c>
      <c r="U1651" s="5">
        <v>0</v>
      </c>
      <c r="V1651" s="37">
        <v>0</v>
      </c>
      <c r="W1651" s="5">
        <v>0</v>
      </c>
      <c r="X1651" s="5">
        <v>0</v>
      </c>
      <c r="Y1651" s="5">
        <v>0</v>
      </c>
      <c r="Z1651" s="37">
        <v>0</v>
      </c>
      <c r="AA1651" s="5">
        <v>0</v>
      </c>
      <c r="AB1651" s="5">
        <v>0</v>
      </c>
      <c r="AC1651" s="5">
        <v>0</v>
      </c>
      <c r="AD1651" s="5">
        <v>0</v>
      </c>
      <c r="AE1651" s="10" t="s">
        <v>73</v>
      </c>
      <c r="AF1651" s="10"/>
      <c r="AG1651" s="10" t="s">
        <v>114</v>
      </c>
      <c r="AH1651" s="10">
        <v>41542</v>
      </c>
      <c r="AI1651" s="5">
        <v>2</v>
      </c>
      <c r="AJ1651" s="10" t="s">
        <v>9189</v>
      </c>
      <c r="AK1651" s="10" t="s">
        <v>9190</v>
      </c>
    </row>
    <row r="1652" spans="1:37" ht="36.75" customHeight="1" x14ac:dyDescent="0.35">
      <c r="A1652" s="5"/>
      <c r="B1652" s="5" t="s">
        <v>37</v>
      </c>
      <c r="C1652" s="73" t="str">
        <f t="shared" si="25"/>
        <v>Closed</v>
      </c>
      <c r="D1652" s="45" t="s">
        <v>9191</v>
      </c>
      <c r="E1652" s="54" t="s">
        <v>9192</v>
      </c>
      <c r="F1652" s="5" t="s">
        <v>619</v>
      </c>
      <c r="G1652" s="10">
        <f>DATE(2013,9,26)</f>
        <v>41543</v>
      </c>
      <c r="H1652" s="35">
        <v>1.3881944444444445</v>
      </c>
      <c r="I1652" s="5" t="s">
        <v>85</v>
      </c>
      <c r="J1652" s="10" t="s">
        <v>9193</v>
      </c>
      <c r="K1652" s="5" t="s">
        <v>621</v>
      </c>
      <c r="L1652" s="5" t="s">
        <v>9194</v>
      </c>
      <c r="M1652" s="5" t="s">
        <v>45</v>
      </c>
      <c r="N1652" s="5" t="s">
        <v>80</v>
      </c>
      <c r="O1652" s="5" t="s">
        <v>59</v>
      </c>
      <c r="P1652" s="10" t="s">
        <v>47</v>
      </c>
      <c r="Q1652" s="10" t="s">
        <v>623</v>
      </c>
      <c r="R1652" s="10" t="s">
        <v>624</v>
      </c>
      <c r="S1652" s="5">
        <v>0</v>
      </c>
      <c r="T1652" s="37">
        <v>0</v>
      </c>
      <c r="U1652" s="5">
        <v>0</v>
      </c>
      <c r="V1652" s="37">
        <v>0</v>
      </c>
      <c r="W1652" s="5">
        <v>0</v>
      </c>
      <c r="X1652" s="5">
        <v>0</v>
      </c>
      <c r="Y1652" s="5">
        <v>0</v>
      </c>
      <c r="Z1652" s="37">
        <v>0</v>
      </c>
      <c r="AA1652" s="5">
        <v>0</v>
      </c>
      <c r="AB1652" s="5">
        <v>0</v>
      </c>
      <c r="AC1652" s="5">
        <v>0</v>
      </c>
      <c r="AD1652" s="5">
        <v>0</v>
      </c>
      <c r="AE1652" s="10" t="s">
        <v>73</v>
      </c>
      <c r="AF1652" s="10"/>
      <c r="AG1652" s="10" t="s">
        <v>333</v>
      </c>
      <c r="AH1652" s="10">
        <v>41576</v>
      </c>
      <c r="AI1652" s="5">
        <v>1</v>
      </c>
      <c r="AJ1652" s="10" t="s">
        <v>9195</v>
      </c>
      <c r="AK1652" s="10" t="s">
        <v>50</v>
      </c>
    </row>
    <row r="1653" spans="1:37" ht="36.75" customHeight="1" x14ac:dyDescent="0.35">
      <c r="A1653" s="5"/>
      <c r="B1653" s="5" t="s">
        <v>37</v>
      </c>
      <c r="C1653" s="73" t="str">
        <f t="shared" si="25"/>
        <v>Closed</v>
      </c>
      <c r="D1653" s="45" t="s">
        <v>9196</v>
      </c>
      <c r="E1653" s="54" t="s">
        <v>9197</v>
      </c>
      <c r="F1653" s="5" t="s">
        <v>1553</v>
      </c>
      <c r="G1653" s="10">
        <f>DATE(2013,9,27)</f>
        <v>41544</v>
      </c>
      <c r="H1653" s="35">
        <v>1.9166666666666665</v>
      </c>
      <c r="I1653" s="5" t="s">
        <v>55</v>
      </c>
      <c r="J1653" s="10" t="s">
        <v>9198</v>
      </c>
      <c r="K1653" s="5" t="s">
        <v>1555</v>
      </c>
      <c r="L1653" s="5" t="s">
        <v>9199</v>
      </c>
      <c r="M1653" s="5" t="s">
        <v>45</v>
      </c>
      <c r="N1653" s="5" t="s">
        <v>123</v>
      </c>
      <c r="O1653" s="5" t="s">
        <v>46</v>
      </c>
      <c r="P1653" s="10" t="s">
        <v>60</v>
      </c>
      <c r="Q1653" s="10" t="s">
        <v>6072</v>
      </c>
      <c r="R1653" s="10" t="s">
        <v>6413</v>
      </c>
      <c r="S1653" s="5">
        <v>0</v>
      </c>
      <c r="T1653" s="37">
        <v>0</v>
      </c>
      <c r="U1653" s="5">
        <v>0</v>
      </c>
      <c r="V1653" s="37">
        <v>0</v>
      </c>
      <c r="W1653" s="5">
        <v>0</v>
      </c>
      <c r="X1653" s="5">
        <v>0</v>
      </c>
      <c r="Y1653" s="5">
        <v>0</v>
      </c>
      <c r="Z1653" s="37">
        <v>0</v>
      </c>
      <c r="AA1653" s="5">
        <v>0</v>
      </c>
      <c r="AB1653" s="5">
        <v>0</v>
      </c>
      <c r="AC1653" s="5">
        <v>0</v>
      </c>
      <c r="AD1653" s="5">
        <v>0</v>
      </c>
      <c r="AE1653" s="10" t="s">
        <v>73</v>
      </c>
      <c r="AF1653" s="10"/>
      <c r="AG1653" s="10" t="s">
        <v>114</v>
      </c>
      <c r="AH1653" s="10">
        <v>41547</v>
      </c>
      <c r="AI1653" s="5">
        <v>0</v>
      </c>
      <c r="AJ1653" s="10" t="s">
        <v>9200</v>
      </c>
      <c r="AK1653" s="10" t="s">
        <v>9201</v>
      </c>
    </row>
    <row r="1654" spans="1:37" ht="36.75" customHeight="1" x14ac:dyDescent="0.35">
      <c r="A1654" s="5"/>
      <c r="B1654" s="5" t="s">
        <v>37</v>
      </c>
      <c r="C1654" s="73" t="str">
        <f t="shared" si="25"/>
        <v>Closed</v>
      </c>
      <c r="D1654" s="45" t="s">
        <v>9202</v>
      </c>
      <c r="E1654" s="54" t="s">
        <v>9203</v>
      </c>
      <c r="F1654" s="5" t="s">
        <v>178</v>
      </c>
      <c r="G1654" s="10">
        <f>DATE(2013,9,28)</f>
        <v>41545</v>
      </c>
      <c r="H1654" s="35">
        <v>0</v>
      </c>
      <c r="I1654" s="5" t="s">
        <v>137</v>
      </c>
      <c r="J1654" s="10" t="s">
        <v>9204</v>
      </c>
      <c r="K1654" s="5" t="s">
        <v>181</v>
      </c>
      <c r="L1654" s="5" t="s">
        <v>9205</v>
      </c>
      <c r="M1654" s="5" t="s">
        <v>45</v>
      </c>
      <c r="N1654" s="5" t="s">
        <v>123</v>
      </c>
      <c r="O1654" s="5" t="s">
        <v>59</v>
      </c>
      <c r="P1654" s="10" t="s">
        <v>60</v>
      </c>
      <c r="Q1654" s="10" t="s">
        <v>181</v>
      </c>
      <c r="R1654" s="10" t="s">
        <v>181</v>
      </c>
      <c r="S1654" s="5">
        <v>0</v>
      </c>
      <c r="T1654" s="37">
        <v>0</v>
      </c>
      <c r="U1654" s="5">
        <v>0</v>
      </c>
      <c r="V1654" s="37">
        <v>0</v>
      </c>
      <c r="W1654" s="5">
        <v>0</v>
      </c>
      <c r="X1654" s="5">
        <v>0</v>
      </c>
      <c r="Y1654" s="5">
        <v>0</v>
      </c>
      <c r="Z1654" s="37">
        <v>1</v>
      </c>
      <c r="AA1654" s="5">
        <v>0</v>
      </c>
      <c r="AB1654" s="5">
        <v>0</v>
      </c>
      <c r="AC1654" s="5">
        <v>0</v>
      </c>
      <c r="AD1654" s="5">
        <v>1</v>
      </c>
      <c r="AE1654" s="10" t="s">
        <v>375</v>
      </c>
      <c r="AF1654" s="10"/>
      <c r="AG1654" s="10" t="s">
        <v>333</v>
      </c>
      <c r="AH1654" s="10">
        <v>41546</v>
      </c>
      <c r="AI1654" s="5">
        <v>4</v>
      </c>
      <c r="AJ1654" s="10" t="s">
        <v>9206</v>
      </c>
      <c r="AK1654" s="10" t="s">
        <v>1215</v>
      </c>
    </row>
    <row r="1655" spans="1:37" ht="36.75" customHeight="1" x14ac:dyDescent="0.35">
      <c r="A1655" s="5"/>
      <c r="B1655" s="5" t="s">
        <v>37</v>
      </c>
      <c r="C1655" s="73" t="str">
        <f t="shared" si="25"/>
        <v>Closed</v>
      </c>
      <c r="D1655" s="45" t="s">
        <v>9207</v>
      </c>
      <c r="E1655" s="54" t="s">
        <v>9208</v>
      </c>
      <c r="F1655" s="5" t="s">
        <v>816</v>
      </c>
      <c r="G1655" s="10">
        <f>DATE(2013,9,29)</f>
        <v>41546</v>
      </c>
      <c r="H1655" s="35">
        <v>1.6743055555555557</v>
      </c>
      <c r="I1655" s="5" t="s">
        <v>55</v>
      </c>
      <c r="J1655" s="10" t="s">
        <v>9209</v>
      </c>
      <c r="K1655" s="5" t="s">
        <v>818</v>
      </c>
      <c r="L1655" s="5" t="s">
        <v>9210</v>
      </c>
      <c r="M1655" s="5" t="s">
        <v>45</v>
      </c>
      <c r="N1655" s="5" t="s">
        <v>80</v>
      </c>
      <c r="O1655" s="5" t="s">
        <v>59</v>
      </c>
      <c r="P1655" s="10" t="s">
        <v>60</v>
      </c>
      <c r="Q1655" s="10" t="s">
        <v>4688</v>
      </c>
      <c r="R1655" s="10" t="s">
        <v>821</v>
      </c>
      <c r="S1655" s="5">
        <v>0</v>
      </c>
      <c r="T1655" s="37">
        <v>0</v>
      </c>
      <c r="U1655" s="5">
        <v>0</v>
      </c>
      <c r="V1655" s="37">
        <v>0</v>
      </c>
      <c r="W1655" s="5">
        <v>0</v>
      </c>
      <c r="X1655" s="5">
        <v>0</v>
      </c>
      <c r="Y1655" s="5">
        <v>0</v>
      </c>
      <c r="Z1655" s="37">
        <v>0</v>
      </c>
      <c r="AA1655" s="5">
        <v>0</v>
      </c>
      <c r="AB1655" s="5">
        <v>0</v>
      </c>
      <c r="AC1655" s="5">
        <v>0</v>
      </c>
      <c r="AD1655" s="5">
        <v>0</v>
      </c>
      <c r="AE1655" s="10" t="s">
        <v>73</v>
      </c>
      <c r="AF1655" s="10"/>
      <c r="AG1655" s="10" t="s">
        <v>333</v>
      </c>
      <c r="AH1655" s="10">
        <v>41546</v>
      </c>
      <c r="AI1655" s="5">
        <v>0</v>
      </c>
      <c r="AJ1655" s="10" t="s">
        <v>8619</v>
      </c>
      <c r="AK1655" s="10" t="s">
        <v>50</v>
      </c>
    </row>
    <row r="1656" spans="1:37" ht="36.75" customHeight="1" x14ac:dyDescent="0.35">
      <c r="A1656" s="5"/>
      <c r="B1656" s="5" t="s">
        <v>37</v>
      </c>
      <c r="C1656" s="73" t="str">
        <f t="shared" si="25"/>
        <v>Closed</v>
      </c>
      <c r="D1656" s="45" t="s">
        <v>9211</v>
      </c>
      <c r="E1656" s="54" t="s">
        <v>9212</v>
      </c>
      <c r="F1656" s="5" t="s">
        <v>2316</v>
      </c>
      <c r="G1656" s="10">
        <f>DATE(2013,9,30)</f>
        <v>41547</v>
      </c>
      <c r="H1656" s="35">
        <v>1.3118055555555554</v>
      </c>
      <c r="I1656" s="5" t="s">
        <v>97</v>
      </c>
      <c r="J1656" s="10" t="s">
        <v>9213</v>
      </c>
      <c r="K1656" s="5" t="s">
        <v>2318</v>
      </c>
      <c r="L1656" s="5" t="s">
        <v>9214</v>
      </c>
      <c r="M1656" s="5" t="s">
        <v>45</v>
      </c>
      <c r="N1656" s="5" t="s">
        <v>70</v>
      </c>
      <c r="O1656" s="5" t="s">
        <v>46</v>
      </c>
      <c r="P1656" s="10" t="s">
        <v>6920</v>
      </c>
      <c r="Q1656" s="10" t="s">
        <v>9215</v>
      </c>
      <c r="R1656" s="10" t="s">
        <v>2321</v>
      </c>
      <c r="S1656" s="5">
        <v>0</v>
      </c>
      <c r="T1656" s="37">
        <v>0</v>
      </c>
      <c r="U1656" s="5">
        <v>1</v>
      </c>
      <c r="V1656" s="37">
        <v>0</v>
      </c>
      <c r="W1656" s="5">
        <v>0</v>
      </c>
      <c r="X1656" s="5">
        <v>1</v>
      </c>
      <c r="Y1656" s="5">
        <v>0</v>
      </c>
      <c r="Z1656" s="37">
        <v>0</v>
      </c>
      <c r="AA1656" s="5">
        <v>2</v>
      </c>
      <c r="AB1656" s="5">
        <v>0</v>
      </c>
      <c r="AC1656" s="5">
        <v>0</v>
      </c>
      <c r="AD1656" s="5">
        <v>2</v>
      </c>
      <c r="AE1656" s="10" t="s">
        <v>73</v>
      </c>
      <c r="AF1656" s="10"/>
      <c r="AG1656" s="10" t="s">
        <v>64</v>
      </c>
      <c r="AH1656" s="10">
        <v>41555</v>
      </c>
      <c r="AI1656" s="5">
        <v>16</v>
      </c>
      <c r="AJ1656" s="10" t="s">
        <v>9216</v>
      </c>
      <c r="AK1656" s="10" t="s">
        <v>9217</v>
      </c>
    </row>
    <row r="1657" spans="1:37" ht="36.75" customHeight="1" x14ac:dyDescent="0.35">
      <c r="A1657" s="5"/>
      <c r="B1657" s="5" t="s">
        <v>37</v>
      </c>
      <c r="C1657" s="73" t="str">
        <f t="shared" si="25"/>
        <v>Closed</v>
      </c>
      <c r="D1657" s="45" t="s">
        <v>9218</v>
      </c>
      <c r="E1657" s="54" t="s">
        <v>9219</v>
      </c>
      <c r="F1657" s="5" t="s">
        <v>1751</v>
      </c>
      <c r="G1657" s="10">
        <f>DATE(2013,10,1)</f>
        <v>41548</v>
      </c>
      <c r="H1657" s="35">
        <v>1.1715277777777777</v>
      </c>
      <c r="I1657" s="5" t="s">
        <v>179</v>
      </c>
      <c r="J1657" s="10" t="s">
        <v>9220</v>
      </c>
      <c r="K1657" s="5" t="s">
        <v>1753</v>
      </c>
      <c r="L1657" s="5" t="s">
        <v>9221</v>
      </c>
      <c r="M1657" s="5" t="s">
        <v>45</v>
      </c>
      <c r="N1657" s="5" t="s">
        <v>123</v>
      </c>
      <c r="O1657" s="5" t="s">
        <v>46</v>
      </c>
      <c r="P1657" s="10" t="s">
        <v>60</v>
      </c>
      <c r="Q1657" s="10" t="s">
        <v>9222</v>
      </c>
      <c r="R1657" s="10" t="s">
        <v>1756</v>
      </c>
      <c r="S1657" s="5">
        <v>0</v>
      </c>
      <c r="T1657" s="37">
        <v>0</v>
      </c>
      <c r="U1657" s="5">
        <v>0</v>
      </c>
      <c r="V1657" s="37">
        <v>0</v>
      </c>
      <c r="W1657" s="5">
        <v>0</v>
      </c>
      <c r="X1657" s="5">
        <v>0</v>
      </c>
      <c r="Y1657" s="5">
        <v>0</v>
      </c>
      <c r="Z1657" s="37">
        <v>0</v>
      </c>
      <c r="AA1657" s="5">
        <v>0</v>
      </c>
      <c r="AB1657" s="5">
        <v>0</v>
      </c>
      <c r="AC1657" s="5">
        <v>0</v>
      </c>
      <c r="AD1657" s="5">
        <v>0</v>
      </c>
      <c r="AE1657" s="10" t="s">
        <v>375</v>
      </c>
      <c r="AF1657" s="10"/>
      <c r="AG1657" s="10" t="s">
        <v>333</v>
      </c>
      <c r="AH1657" s="10">
        <v>41550</v>
      </c>
      <c r="AI1657" s="5">
        <v>3</v>
      </c>
      <c r="AJ1657" s="10" t="s">
        <v>9223</v>
      </c>
      <c r="AK1657" s="10" t="s">
        <v>9224</v>
      </c>
    </row>
    <row r="1658" spans="1:37" ht="36.75" customHeight="1" x14ac:dyDescent="0.35">
      <c r="A1658" s="5"/>
      <c r="B1658" s="5" t="s">
        <v>37</v>
      </c>
      <c r="C1658" s="73" t="str">
        <f t="shared" si="25"/>
        <v>Closed</v>
      </c>
      <c r="D1658" s="45" t="s">
        <v>9225</v>
      </c>
      <c r="E1658" s="54" t="s">
        <v>9226</v>
      </c>
      <c r="F1658" s="5" t="s">
        <v>816</v>
      </c>
      <c r="G1658" s="10">
        <f>DATE(2013,10,1)</f>
        <v>41548</v>
      </c>
      <c r="H1658" s="35">
        <v>1.0659722222222223</v>
      </c>
      <c r="I1658" s="5" t="s">
        <v>55</v>
      </c>
      <c r="J1658" s="10" t="s">
        <v>9227</v>
      </c>
      <c r="K1658" s="5" t="s">
        <v>818</v>
      </c>
      <c r="L1658" s="5" t="s">
        <v>9228</v>
      </c>
      <c r="M1658" s="5" t="s">
        <v>45</v>
      </c>
      <c r="N1658" s="5" t="s">
        <v>80</v>
      </c>
      <c r="O1658" s="5" t="s">
        <v>59</v>
      </c>
      <c r="P1658" s="10" t="s">
        <v>60</v>
      </c>
      <c r="Q1658" s="10" t="s">
        <v>4688</v>
      </c>
      <c r="R1658" s="10" t="s">
        <v>2777</v>
      </c>
      <c r="S1658" s="5">
        <v>0</v>
      </c>
      <c r="T1658" s="37">
        <v>0</v>
      </c>
      <c r="U1658" s="5">
        <v>0</v>
      </c>
      <c r="V1658" s="37">
        <v>0</v>
      </c>
      <c r="W1658" s="5">
        <v>0</v>
      </c>
      <c r="X1658" s="5">
        <v>0</v>
      </c>
      <c r="Y1658" s="5">
        <v>0</v>
      </c>
      <c r="Z1658" s="37">
        <v>0</v>
      </c>
      <c r="AA1658" s="5">
        <v>0</v>
      </c>
      <c r="AB1658" s="5">
        <v>0</v>
      </c>
      <c r="AC1658" s="5">
        <v>0</v>
      </c>
      <c r="AD1658" s="5">
        <v>0</v>
      </c>
      <c r="AE1658" s="10" t="s">
        <v>375</v>
      </c>
      <c r="AF1658" s="10"/>
      <c r="AG1658" s="10" t="s">
        <v>2064</v>
      </c>
      <c r="AH1658" s="10">
        <v>41548</v>
      </c>
      <c r="AI1658" s="5">
        <v>0</v>
      </c>
      <c r="AJ1658" s="10" t="s">
        <v>9229</v>
      </c>
      <c r="AK1658" s="10" t="s">
        <v>9230</v>
      </c>
    </row>
    <row r="1659" spans="1:37" ht="36.75" customHeight="1" x14ac:dyDescent="0.35">
      <c r="A1659" s="5"/>
      <c r="B1659" s="5" t="s">
        <v>37</v>
      </c>
      <c r="C1659" s="73" t="str">
        <f t="shared" si="25"/>
        <v>Closed</v>
      </c>
      <c r="D1659" s="45" t="s">
        <v>9231</v>
      </c>
      <c r="E1659" s="54" t="s">
        <v>9232</v>
      </c>
      <c r="F1659" s="5" t="s">
        <v>404</v>
      </c>
      <c r="G1659" s="10">
        <f>DATE(2013,10,2)</f>
        <v>41549</v>
      </c>
      <c r="H1659" s="35">
        <v>1.4145833333333333</v>
      </c>
      <c r="I1659" s="5" t="s">
        <v>55</v>
      </c>
      <c r="J1659" s="10" t="s">
        <v>9233</v>
      </c>
      <c r="K1659" s="5" t="s">
        <v>406</v>
      </c>
      <c r="L1659" s="5" t="s">
        <v>6497</v>
      </c>
      <c r="M1659" s="5" t="s">
        <v>45</v>
      </c>
      <c r="N1659" s="5" t="s">
        <v>70</v>
      </c>
      <c r="O1659" s="5" t="s">
        <v>59</v>
      </c>
      <c r="P1659" s="10" t="s">
        <v>72</v>
      </c>
      <c r="Q1659" s="10" t="s">
        <v>2562</v>
      </c>
      <c r="R1659" s="10" t="s">
        <v>3083</v>
      </c>
      <c r="S1659" s="5">
        <v>0</v>
      </c>
      <c r="T1659" s="37">
        <v>0</v>
      </c>
      <c r="U1659" s="5">
        <v>0</v>
      </c>
      <c r="V1659" s="37">
        <v>0</v>
      </c>
      <c r="W1659" s="5">
        <v>0</v>
      </c>
      <c r="X1659" s="5">
        <v>0</v>
      </c>
      <c r="Y1659" s="5">
        <v>0</v>
      </c>
      <c r="Z1659" s="37">
        <v>0</v>
      </c>
      <c r="AA1659" s="5">
        <v>0</v>
      </c>
      <c r="AB1659" s="5">
        <v>0</v>
      </c>
      <c r="AC1659" s="5">
        <v>0</v>
      </c>
      <c r="AD1659" s="5">
        <v>0</v>
      </c>
      <c r="AE1659" s="10" t="s">
        <v>73</v>
      </c>
      <c r="AF1659" s="10"/>
      <c r="AG1659" s="10" t="s">
        <v>114</v>
      </c>
      <c r="AH1659" s="10">
        <v>41496</v>
      </c>
      <c r="AI1659" s="5">
        <v>4</v>
      </c>
      <c r="AJ1659" s="10" t="s">
        <v>9234</v>
      </c>
      <c r="AK1659" s="10" t="s">
        <v>9235</v>
      </c>
    </row>
    <row r="1660" spans="1:37" ht="36.75" customHeight="1" x14ac:dyDescent="0.35">
      <c r="A1660" s="5"/>
      <c r="B1660" s="5" t="s">
        <v>37</v>
      </c>
      <c r="C1660" s="73" t="str">
        <f t="shared" si="25"/>
        <v>Closed</v>
      </c>
      <c r="D1660" s="45" t="s">
        <v>9236</v>
      </c>
      <c r="E1660" s="54" t="s">
        <v>9237</v>
      </c>
      <c r="F1660" s="5" t="s">
        <v>1553</v>
      </c>
      <c r="G1660" s="10">
        <f>DATE(2013,10,4)</f>
        <v>41551</v>
      </c>
      <c r="H1660" s="35">
        <v>1.6527777777777777</v>
      </c>
      <c r="I1660" s="5" t="s">
        <v>55</v>
      </c>
      <c r="J1660" s="10" t="s">
        <v>9238</v>
      </c>
      <c r="K1660" s="5" t="s">
        <v>1555</v>
      </c>
      <c r="L1660" s="5" t="s">
        <v>9239</v>
      </c>
      <c r="M1660" s="5" t="s">
        <v>45</v>
      </c>
      <c r="N1660" s="5" t="s">
        <v>80</v>
      </c>
      <c r="O1660" s="5" t="s">
        <v>46</v>
      </c>
      <c r="P1660" s="10" t="s">
        <v>60</v>
      </c>
      <c r="Q1660" s="10" t="s">
        <v>6072</v>
      </c>
      <c r="R1660" s="10">
        <v>0</v>
      </c>
      <c r="S1660" s="5">
        <v>0</v>
      </c>
      <c r="T1660" s="37">
        <v>0</v>
      </c>
      <c r="U1660" s="5">
        <v>0</v>
      </c>
      <c r="V1660" s="37">
        <v>0</v>
      </c>
      <c r="W1660" s="5">
        <v>0</v>
      </c>
      <c r="X1660" s="5">
        <v>0</v>
      </c>
      <c r="Y1660" s="5">
        <v>0</v>
      </c>
      <c r="Z1660" s="37">
        <v>0</v>
      </c>
      <c r="AA1660" s="5">
        <v>0</v>
      </c>
      <c r="AB1660" s="5">
        <v>0</v>
      </c>
      <c r="AC1660" s="5">
        <v>0</v>
      </c>
      <c r="AD1660" s="5">
        <v>0</v>
      </c>
      <c r="AE1660" s="10" t="s">
        <v>73</v>
      </c>
      <c r="AF1660" s="10"/>
      <c r="AG1660" s="10" t="s">
        <v>114</v>
      </c>
      <c r="AH1660" s="10">
        <v>41554</v>
      </c>
      <c r="AI1660" s="5">
        <v>1</v>
      </c>
      <c r="AJ1660" s="10" t="s">
        <v>9240</v>
      </c>
      <c r="AK1660" s="10" t="s">
        <v>9241</v>
      </c>
    </row>
    <row r="1661" spans="1:37" ht="36.75" customHeight="1" x14ac:dyDescent="0.35">
      <c r="A1661" s="5"/>
      <c r="B1661" s="5" t="s">
        <v>37</v>
      </c>
      <c r="C1661" s="73" t="str">
        <f t="shared" si="25"/>
        <v>Closed</v>
      </c>
      <c r="D1661" s="45" t="s">
        <v>9242</v>
      </c>
      <c r="E1661" s="54" t="s">
        <v>9243</v>
      </c>
      <c r="F1661" s="5" t="s">
        <v>404</v>
      </c>
      <c r="G1661" s="10">
        <f>DATE(2013,10,11)</f>
        <v>41558</v>
      </c>
      <c r="H1661" s="35">
        <v>1.3923611111111112</v>
      </c>
      <c r="I1661" s="5" t="s">
        <v>259</v>
      </c>
      <c r="J1661" s="10" t="s">
        <v>9244</v>
      </c>
      <c r="K1661" s="5" t="s">
        <v>406</v>
      </c>
      <c r="L1661" s="5" t="s">
        <v>9245</v>
      </c>
      <c r="M1661" s="5" t="s">
        <v>45</v>
      </c>
      <c r="N1661" s="5" t="s">
        <v>80</v>
      </c>
      <c r="O1661" s="5" t="s">
        <v>59</v>
      </c>
      <c r="P1661" s="10" t="s">
        <v>67</v>
      </c>
      <c r="Q1661" s="10" t="s">
        <v>408</v>
      </c>
      <c r="R1661" s="10" t="s">
        <v>3083</v>
      </c>
      <c r="S1661" s="5">
        <v>0</v>
      </c>
      <c r="T1661" s="37">
        <v>0</v>
      </c>
      <c r="U1661" s="5">
        <v>0</v>
      </c>
      <c r="V1661" s="37">
        <v>0</v>
      </c>
      <c r="W1661" s="5">
        <v>1</v>
      </c>
      <c r="X1661" s="5">
        <v>1</v>
      </c>
      <c r="Y1661" s="5">
        <v>0</v>
      </c>
      <c r="Z1661" s="37">
        <v>0</v>
      </c>
      <c r="AA1661" s="5">
        <v>0</v>
      </c>
      <c r="AB1661" s="5">
        <v>0</v>
      </c>
      <c r="AC1661" s="5">
        <v>0</v>
      </c>
      <c r="AD1661" s="5">
        <v>0</v>
      </c>
      <c r="AE1661" s="10" t="s">
        <v>73</v>
      </c>
      <c r="AF1661" s="10"/>
      <c r="AG1661" s="10" t="s">
        <v>114</v>
      </c>
      <c r="AH1661" s="10">
        <v>41571</v>
      </c>
      <c r="AI1661" s="5">
        <v>1</v>
      </c>
      <c r="AJ1661" s="10" t="s">
        <v>9246</v>
      </c>
      <c r="AK1661" s="10" t="s">
        <v>9247</v>
      </c>
    </row>
    <row r="1662" spans="1:37" ht="36.75" customHeight="1" x14ac:dyDescent="0.35">
      <c r="A1662" s="5"/>
      <c r="B1662" s="5" t="s">
        <v>37</v>
      </c>
      <c r="C1662" s="73" t="str">
        <f t="shared" si="25"/>
        <v>Closed</v>
      </c>
      <c r="D1662" s="45" t="s">
        <v>9248</v>
      </c>
      <c r="E1662" s="54" t="s">
        <v>9249</v>
      </c>
      <c r="F1662" s="5" t="s">
        <v>96</v>
      </c>
      <c r="G1662" s="10">
        <f>DATE(2013,10,15)</f>
        <v>41562</v>
      </c>
      <c r="H1662" s="35">
        <v>0</v>
      </c>
      <c r="I1662" s="5" t="s">
        <v>97</v>
      </c>
      <c r="J1662" s="10" t="s">
        <v>9250</v>
      </c>
      <c r="K1662" s="5" t="s">
        <v>99</v>
      </c>
      <c r="L1662" s="5" t="s">
        <v>9251</v>
      </c>
      <c r="M1662" s="5" t="s">
        <v>45</v>
      </c>
      <c r="N1662" s="5" t="s">
        <v>123</v>
      </c>
      <c r="O1662" s="5" t="s">
        <v>46</v>
      </c>
      <c r="P1662" s="10" t="s">
        <v>6920</v>
      </c>
      <c r="Q1662" s="10" t="s">
        <v>101</v>
      </c>
      <c r="R1662" s="10" t="s">
        <v>102</v>
      </c>
      <c r="S1662" s="5">
        <v>0</v>
      </c>
      <c r="T1662" s="37">
        <v>0</v>
      </c>
      <c r="U1662" s="5">
        <v>0</v>
      </c>
      <c r="V1662" s="37">
        <v>0</v>
      </c>
      <c r="W1662" s="5">
        <v>0</v>
      </c>
      <c r="X1662" s="5">
        <v>0</v>
      </c>
      <c r="Y1662" s="5">
        <v>0</v>
      </c>
      <c r="Z1662" s="37">
        <v>0</v>
      </c>
      <c r="AA1662" s="5">
        <v>0</v>
      </c>
      <c r="AB1662" s="5">
        <v>0</v>
      </c>
      <c r="AC1662" s="5">
        <v>0</v>
      </c>
      <c r="AD1662" s="5">
        <v>0</v>
      </c>
      <c r="AE1662" s="10" t="s">
        <v>126</v>
      </c>
      <c r="AF1662" s="10"/>
      <c r="AG1662" s="10" t="s">
        <v>64</v>
      </c>
      <c r="AH1662" s="10">
        <v>41564</v>
      </c>
      <c r="AI1662" s="5">
        <v>1</v>
      </c>
      <c r="AJ1662" s="10" t="s">
        <v>9252</v>
      </c>
      <c r="AK1662" s="10" t="s">
        <v>9253</v>
      </c>
    </row>
    <row r="1663" spans="1:37" ht="36.75" customHeight="1" x14ac:dyDescent="0.35">
      <c r="A1663" s="5"/>
      <c r="B1663" s="5" t="s">
        <v>37</v>
      </c>
      <c r="C1663" s="73" t="str">
        <f t="shared" si="25"/>
        <v>Closed</v>
      </c>
      <c r="D1663" s="45" t="s">
        <v>9254</v>
      </c>
      <c r="E1663" s="54" t="s">
        <v>9255</v>
      </c>
      <c r="F1663" s="5" t="s">
        <v>214</v>
      </c>
      <c r="G1663" s="10">
        <f>DATE(2013,10,15)</f>
        <v>41562</v>
      </c>
      <c r="H1663" s="35">
        <v>1.125</v>
      </c>
      <c r="I1663" s="5" t="s">
        <v>55</v>
      </c>
      <c r="J1663" s="10" t="s">
        <v>9256</v>
      </c>
      <c r="K1663" s="5" t="s">
        <v>216</v>
      </c>
      <c r="L1663" s="5" t="s">
        <v>9257</v>
      </c>
      <c r="M1663" s="5" t="s">
        <v>45</v>
      </c>
      <c r="N1663" s="5" t="s">
        <v>123</v>
      </c>
      <c r="O1663" s="5" t="s">
        <v>46</v>
      </c>
      <c r="P1663" s="10" t="s">
        <v>60</v>
      </c>
      <c r="Q1663" s="10" t="s">
        <v>415</v>
      </c>
      <c r="R1663" s="10" t="s">
        <v>219</v>
      </c>
      <c r="S1663" s="5">
        <v>0</v>
      </c>
      <c r="T1663" s="37">
        <v>0</v>
      </c>
      <c r="U1663" s="5">
        <v>0</v>
      </c>
      <c r="V1663" s="37">
        <v>0</v>
      </c>
      <c r="W1663" s="5">
        <v>0</v>
      </c>
      <c r="X1663" s="5">
        <v>0</v>
      </c>
      <c r="Y1663" s="5">
        <v>0</v>
      </c>
      <c r="Z1663" s="37">
        <v>0</v>
      </c>
      <c r="AA1663" s="5">
        <v>0</v>
      </c>
      <c r="AB1663" s="5">
        <v>0</v>
      </c>
      <c r="AC1663" s="5">
        <v>0</v>
      </c>
      <c r="AD1663" s="5">
        <v>0</v>
      </c>
      <c r="AE1663" s="10" t="s">
        <v>126</v>
      </c>
      <c r="AF1663" s="10"/>
      <c r="AG1663" s="10" t="s">
        <v>64</v>
      </c>
      <c r="AH1663" s="10">
        <v>41568</v>
      </c>
      <c r="AI1663" s="5">
        <v>3</v>
      </c>
      <c r="AJ1663" s="10" t="s">
        <v>9258</v>
      </c>
      <c r="AK1663" s="10" t="s">
        <v>9259</v>
      </c>
    </row>
    <row r="1664" spans="1:37" ht="36.75" customHeight="1" x14ac:dyDescent="0.35">
      <c r="A1664" s="5"/>
      <c r="B1664" s="5" t="s">
        <v>37</v>
      </c>
      <c r="C1664" s="73" t="str">
        <f t="shared" si="25"/>
        <v>Closed</v>
      </c>
      <c r="D1664" s="45" t="s">
        <v>9260</v>
      </c>
      <c r="E1664" s="54" t="s">
        <v>9261</v>
      </c>
      <c r="F1664" s="5" t="s">
        <v>214</v>
      </c>
      <c r="G1664" s="10">
        <f>DATE(2013,10,15)</f>
        <v>41562</v>
      </c>
      <c r="H1664" s="35">
        <v>1.84375</v>
      </c>
      <c r="I1664" s="5" t="s">
        <v>55</v>
      </c>
      <c r="J1664" s="10" t="s">
        <v>9262</v>
      </c>
      <c r="K1664" s="5" t="s">
        <v>216</v>
      </c>
      <c r="L1664" s="5" t="s">
        <v>9263</v>
      </c>
      <c r="M1664" s="5" t="s">
        <v>45</v>
      </c>
      <c r="N1664" s="5" t="s">
        <v>123</v>
      </c>
      <c r="O1664" s="5" t="s">
        <v>46</v>
      </c>
      <c r="P1664" s="10" t="s">
        <v>60</v>
      </c>
      <c r="Q1664" s="10" t="s">
        <v>706</v>
      </c>
      <c r="R1664" s="10" t="s">
        <v>219</v>
      </c>
      <c r="S1664" s="5">
        <v>0</v>
      </c>
      <c r="T1664" s="37">
        <v>0</v>
      </c>
      <c r="U1664" s="5">
        <v>0</v>
      </c>
      <c r="V1664" s="37">
        <v>0</v>
      </c>
      <c r="W1664" s="5">
        <v>0</v>
      </c>
      <c r="X1664" s="5">
        <v>0</v>
      </c>
      <c r="Y1664" s="5">
        <v>0</v>
      </c>
      <c r="Z1664" s="37">
        <v>0</v>
      </c>
      <c r="AA1664" s="5">
        <v>0</v>
      </c>
      <c r="AB1664" s="5">
        <v>0</v>
      </c>
      <c r="AC1664" s="5">
        <v>0</v>
      </c>
      <c r="AD1664" s="5">
        <v>0</v>
      </c>
      <c r="AE1664" s="10" t="s">
        <v>73</v>
      </c>
      <c r="AF1664" s="10"/>
      <c r="AG1664" s="10" t="s">
        <v>114</v>
      </c>
      <c r="AH1664" s="10">
        <v>41568</v>
      </c>
      <c r="AI1664" s="5">
        <v>7</v>
      </c>
      <c r="AJ1664" s="10" t="s">
        <v>9264</v>
      </c>
      <c r="AK1664" s="10" t="s">
        <v>9265</v>
      </c>
    </row>
    <row r="1665" spans="1:37" ht="36.75" customHeight="1" x14ac:dyDescent="0.35">
      <c r="A1665" s="5"/>
      <c r="B1665" s="5" t="s">
        <v>37</v>
      </c>
      <c r="C1665" s="73" t="str">
        <f t="shared" si="25"/>
        <v>Closed</v>
      </c>
      <c r="D1665" s="45" t="s">
        <v>9266</v>
      </c>
      <c r="E1665" s="54" t="s">
        <v>9267</v>
      </c>
      <c r="F1665" s="5" t="s">
        <v>563</v>
      </c>
      <c r="G1665" s="10">
        <f>DATE(2013,10,16)</f>
        <v>41563</v>
      </c>
      <c r="H1665" s="35">
        <v>1.0069444444444444</v>
      </c>
      <c r="I1665" s="5" t="s">
        <v>179</v>
      </c>
      <c r="J1665" s="10" t="s">
        <v>9268</v>
      </c>
      <c r="K1665" s="5" t="s">
        <v>565</v>
      </c>
      <c r="L1665" s="5" t="s">
        <v>9269</v>
      </c>
      <c r="M1665" s="5" t="s">
        <v>45</v>
      </c>
      <c r="N1665" s="5" t="s">
        <v>123</v>
      </c>
      <c r="O1665" s="5" t="s">
        <v>59</v>
      </c>
      <c r="P1665" s="10" t="s">
        <v>146</v>
      </c>
      <c r="Q1665" s="10" t="s">
        <v>3883</v>
      </c>
      <c r="R1665" s="10" t="s">
        <v>568</v>
      </c>
      <c r="S1665" s="5">
        <v>0</v>
      </c>
      <c r="T1665" s="37">
        <v>0</v>
      </c>
      <c r="U1665" s="5">
        <v>0</v>
      </c>
      <c r="V1665" s="37">
        <v>0</v>
      </c>
      <c r="W1665" s="5">
        <v>0</v>
      </c>
      <c r="X1665" s="5">
        <v>0</v>
      </c>
      <c r="Y1665" s="5">
        <v>0</v>
      </c>
      <c r="Z1665" s="37">
        <v>0</v>
      </c>
      <c r="AA1665" s="5">
        <v>0</v>
      </c>
      <c r="AB1665" s="5">
        <v>0</v>
      </c>
      <c r="AC1665" s="5">
        <v>0</v>
      </c>
      <c r="AD1665" s="5">
        <v>0</v>
      </c>
      <c r="AE1665" s="10" t="s">
        <v>375</v>
      </c>
      <c r="AF1665" s="10"/>
      <c r="AG1665" s="10" t="s">
        <v>114</v>
      </c>
      <c r="AH1665" s="10">
        <v>41565</v>
      </c>
      <c r="AI1665" s="5">
        <v>0</v>
      </c>
      <c r="AJ1665" s="10" t="s">
        <v>9270</v>
      </c>
      <c r="AK1665" s="10" t="s">
        <v>1215</v>
      </c>
    </row>
    <row r="1666" spans="1:37" ht="36.75" customHeight="1" x14ac:dyDescent="0.35">
      <c r="A1666" s="5"/>
      <c r="B1666" s="5" t="s">
        <v>37</v>
      </c>
      <c r="C1666" s="73" t="str">
        <f t="shared" ref="C1666:C1729" si="26">IF(B1666="Notification","Open",IF(B1666="Interim Statement","In progress","Closed"))</f>
        <v>Closed</v>
      </c>
      <c r="D1666" s="45" t="s">
        <v>9271</v>
      </c>
      <c r="E1666" s="54" t="s">
        <v>9272</v>
      </c>
      <c r="F1666" s="5" t="s">
        <v>432</v>
      </c>
      <c r="G1666" s="10">
        <f>DATE(2013,10,16)</f>
        <v>41563</v>
      </c>
      <c r="H1666" s="35">
        <v>1.2527777777777778</v>
      </c>
      <c r="I1666" s="5" t="s">
        <v>97</v>
      </c>
      <c r="J1666" s="10" t="s">
        <v>9273</v>
      </c>
      <c r="K1666" s="5" t="s">
        <v>434</v>
      </c>
      <c r="L1666" s="5" t="s">
        <v>9274</v>
      </c>
      <c r="M1666" s="5" t="s">
        <v>45</v>
      </c>
      <c r="N1666" s="5" t="s">
        <v>80</v>
      </c>
      <c r="O1666" s="5" t="s">
        <v>46</v>
      </c>
      <c r="P1666" s="10" t="s">
        <v>146</v>
      </c>
      <c r="Q1666" s="10" t="s">
        <v>436</v>
      </c>
      <c r="R1666" s="10" t="s">
        <v>437</v>
      </c>
      <c r="S1666" s="5">
        <v>0</v>
      </c>
      <c r="T1666" s="37">
        <v>0</v>
      </c>
      <c r="U1666" s="5">
        <v>1</v>
      </c>
      <c r="V1666" s="37">
        <v>0</v>
      </c>
      <c r="W1666" s="5">
        <v>0</v>
      </c>
      <c r="X1666" s="5">
        <v>1</v>
      </c>
      <c r="Y1666" s="5">
        <v>0</v>
      </c>
      <c r="Z1666" s="37">
        <v>0</v>
      </c>
      <c r="AA1666" s="5">
        <v>0</v>
      </c>
      <c r="AB1666" s="5">
        <v>0</v>
      </c>
      <c r="AC1666" s="5">
        <v>0</v>
      </c>
      <c r="AD1666" s="5">
        <v>0</v>
      </c>
      <c r="AE1666" s="10" t="s">
        <v>73</v>
      </c>
      <c r="AF1666" s="10"/>
      <c r="AG1666" s="10" t="s">
        <v>64</v>
      </c>
      <c r="AH1666" s="10">
        <v>41571</v>
      </c>
      <c r="AI1666" s="5">
        <v>0</v>
      </c>
      <c r="AJ1666" s="10" t="s">
        <v>9275</v>
      </c>
      <c r="AK1666" s="10" t="s">
        <v>50</v>
      </c>
    </row>
    <row r="1667" spans="1:37" ht="36.75" customHeight="1" x14ac:dyDescent="0.35">
      <c r="A1667" s="5"/>
      <c r="B1667" s="5" t="s">
        <v>37</v>
      </c>
      <c r="C1667" s="73" t="str">
        <f t="shared" si="26"/>
        <v>Closed</v>
      </c>
      <c r="D1667" s="45" t="s">
        <v>9276</v>
      </c>
      <c r="E1667" s="54" t="s">
        <v>9277</v>
      </c>
      <c r="F1667" s="5" t="s">
        <v>1553</v>
      </c>
      <c r="G1667" s="10">
        <f>DATE(2013,10,16)</f>
        <v>41563</v>
      </c>
      <c r="H1667" s="35">
        <v>1.3611111111111112</v>
      </c>
      <c r="I1667" s="5" t="s">
        <v>179</v>
      </c>
      <c r="J1667" s="10" t="s">
        <v>9278</v>
      </c>
      <c r="K1667" s="5" t="s">
        <v>1555</v>
      </c>
      <c r="L1667" s="5" t="s">
        <v>9279</v>
      </c>
      <c r="M1667" s="5" t="s">
        <v>45</v>
      </c>
      <c r="N1667" s="5" t="s">
        <v>80</v>
      </c>
      <c r="O1667" s="5" t="s">
        <v>46</v>
      </c>
      <c r="P1667" s="10" t="s">
        <v>282</v>
      </c>
      <c r="Q1667" s="10" t="s">
        <v>6413</v>
      </c>
      <c r="R1667" s="10" t="s">
        <v>6413</v>
      </c>
      <c r="S1667" s="5">
        <v>0</v>
      </c>
      <c r="T1667" s="37">
        <v>0</v>
      </c>
      <c r="U1667" s="5">
        <v>0</v>
      </c>
      <c r="V1667" s="37">
        <v>0</v>
      </c>
      <c r="W1667" s="5">
        <v>0</v>
      </c>
      <c r="X1667" s="5">
        <v>0</v>
      </c>
      <c r="Y1667" s="5">
        <v>0</v>
      </c>
      <c r="Z1667" s="37">
        <v>1</v>
      </c>
      <c r="AA1667" s="5">
        <v>0</v>
      </c>
      <c r="AB1667" s="5">
        <v>0</v>
      </c>
      <c r="AC1667" s="5">
        <v>0</v>
      </c>
      <c r="AD1667" s="5">
        <v>1</v>
      </c>
      <c r="AE1667" s="10" t="s">
        <v>73</v>
      </c>
      <c r="AF1667" s="10"/>
      <c r="AG1667" s="10" t="s">
        <v>114</v>
      </c>
      <c r="AH1667" s="10">
        <v>41568</v>
      </c>
      <c r="AI1667" s="5">
        <v>3</v>
      </c>
      <c r="AJ1667" s="10" t="s">
        <v>9280</v>
      </c>
      <c r="AK1667" s="10" t="s">
        <v>9281</v>
      </c>
    </row>
    <row r="1668" spans="1:37" ht="36.75" customHeight="1" x14ac:dyDescent="0.35">
      <c r="A1668" s="5"/>
      <c r="B1668" s="5" t="s">
        <v>37</v>
      </c>
      <c r="C1668" s="73" t="str">
        <f t="shared" si="26"/>
        <v>Closed</v>
      </c>
      <c r="D1668" s="45" t="s">
        <v>9282</v>
      </c>
      <c r="E1668" s="54" t="s">
        <v>9283</v>
      </c>
      <c r="F1668" s="5" t="s">
        <v>816</v>
      </c>
      <c r="G1668" s="10">
        <f>DATE(2013,10,17)</f>
        <v>41564</v>
      </c>
      <c r="H1668" s="35">
        <v>1.8416666666666668</v>
      </c>
      <c r="I1668" s="5" t="s">
        <v>55</v>
      </c>
      <c r="J1668" s="10" t="s">
        <v>9284</v>
      </c>
      <c r="K1668" s="5" t="s">
        <v>818</v>
      </c>
      <c r="L1668" s="5" t="s">
        <v>9285</v>
      </c>
      <c r="M1668" s="5" t="s">
        <v>110</v>
      </c>
      <c r="N1668" s="5" t="s">
        <v>123</v>
      </c>
      <c r="O1668" s="5" t="s">
        <v>59</v>
      </c>
      <c r="P1668" s="10" t="s">
        <v>110</v>
      </c>
      <c r="Q1668" s="10" t="s">
        <v>4190</v>
      </c>
      <c r="R1668" s="10" t="s">
        <v>4190</v>
      </c>
      <c r="S1668" s="5">
        <v>0</v>
      </c>
      <c r="T1668" s="37">
        <v>0</v>
      </c>
      <c r="U1668" s="5">
        <v>0</v>
      </c>
      <c r="V1668" s="37">
        <v>0</v>
      </c>
      <c r="W1668" s="5">
        <v>0</v>
      </c>
      <c r="X1668" s="5">
        <v>0</v>
      </c>
      <c r="Y1668" s="5">
        <v>0</v>
      </c>
      <c r="Z1668" s="37">
        <v>0</v>
      </c>
      <c r="AA1668" s="5">
        <v>0</v>
      </c>
      <c r="AB1668" s="5">
        <v>0</v>
      </c>
      <c r="AC1668" s="5">
        <v>0</v>
      </c>
      <c r="AD1668" s="5">
        <v>0</v>
      </c>
      <c r="AE1668" s="10" t="s">
        <v>73</v>
      </c>
      <c r="AF1668" s="10"/>
      <c r="AG1668" s="10" t="s">
        <v>333</v>
      </c>
      <c r="AH1668" s="10">
        <v>41565</v>
      </c>
      <c r="AI1668" s="5">
        <v>1</v>
      </c>
      <c r="AJ1668" s="10" t="s">
        <v>9286</v>
      </c>
      <c r="AK1668" s="10" t="s">
        <v>1215</v>
      </c>
    </row>
    <row r="1669" spans="1:37" ht="36.75" customHeight="1" x14ac:dyDescent="0.35">
      <c r="A1669" s="5"/>
      <c r="B1669" s="5" t="s">
        <v>37</v>
      </c>
      <c r="C1669" s="73" t="str">
        <f t="shared" si="26"/>
        <v>Closed</v>
      </c>
      <c r="D1669" s="45" t="s">
        <v>9287</v>
      </c>
      <c r="E1669" s="54" t="s">
        <v>9288</v>
      </c>
      <c r="F1669" s="5" t="s">
        <v>105</v>
      </c>
      <c r="G1669" s="10">
        <f>DATE(2013,10,17)</f>
        <v>41564</v>
      </c>
      <c r="H1669" s="35">
        <v>1.33125</v>
      </c>
      <c r="I1669" s="5" t="s">
        <v>5473</v>
      </c>
      <c r="J1669" s="10" t="s">
        <v>9289</v>
      </c>
      <c r="K1669" s="5" t="s">
        <v>108</v>
      </c>
      <c r="L1669" s="5" t="s">
        <v>9290</v>
      </c>
      <c r="M1669" s="5" t="s">
        <v>236</v>
      </c>
      <c r="N1669" s="5" t="s">
        <v>123</v>
      </c>
      <c r="O1669" s="5" t="s">
        <v>59</v>
      </c>
      <c r="P1669" s="10" t="s">
        <v>6531</v>
      </c>
      <c r="Q1669" s="10">
        <v>0</v>
      </c>
      <c r="R1669" s="10">
        <v>0</v>
      </c>
      <c r="S1669" s="5">
        <v>0</v>
      </c>
      <c r="T1669" s="37">
        <v>0</v>
      </c>
      <c r="U1669" s="5">
        <v>0</v>
      </c>
      <c r="V1669" s="37">
        <v>1</v>
      </c>
      <c r="W1669" s="5">
        <v>0</v>
      </c>
      <c r="X1669" s="5">
        <v>1</v>
      </c>
      <c r="Y1669" s="5">
        <v>0</v>
      </c>
      <c r="Z1669" s="37">
        <v>0</v>
      </c>
      <c r="AA1669" s="5">
        <v>0</v>
      </c>
      <c r="AB1669" s="5">
        <v>0</v>
      </c>
      <c r="AC1669" s="5">
        <v>0</v>
      </c>
      <c r="AD1669" s="5">
        <v>0</v>
      </c>
      <c r="AE1669" s="10" t="s">
        <v>73</v>
      </c>
      <c r="AF1669" s="10"/>
      <c r="AG1669" s="10" t="s">
        <v>114</v>
      </c>
      <c r="AH1669" s="10">
        <v>41572</v>
      </c>
      <c r="AI1669" s="5">
        <v>1</v>
      </c>
      <c r="AJ1669" s="10" t="s">
        <v>9291</v>
      </c>
      <c r="AK1669" s="10" t="s">
        <v>50</v>
      </c>
    </row>
    <row r="1670" spans="1:37" ht="36.75" customHeight="1" x14ac:dyDescent="0.35">
      <c r="A1670" s="5"/>
      <c r="B1670" s="5" t="s">
        <v>37</v>
      </c>
      <c r="C1670" s="73" t="str">
        <f t="shared" si="26"/>
        <v>Closed</v>
      </c>
      <c r="D1670" s="45" t="s">
        <v>9292</v>
      </c>
      <c r="E1670" s="54" t="s">
        <v>9293</v>
      </c>
      <c r="F1670" s="5" t="s">
        <v>816</v>
      </c>
      <c r="G1670" s="10">
        <f>DATE(2013,10,18)</f>
        <v>41565</v>
      </c>
      <c r="H1670" s="35">
        <v>0</v>
      </c>
      <c r="I1670" s="5" t="s">
        <v>97</v>
      </c>
      <c r="J1670" s="10" t="s">
        <v>9294</v>
      </c>
      <c r="K1670" s="5" t="s">
        <v>818</v>
      </c>
      <c r="L1670" s="5" t="s">
        <v>9295</v>
      </c>
      <c r="M1670" s="5" t="s">
        <v>45</v>
      </c>
      <c r="N1670" s="5" t="s">
        <v>123</v>
      </c>
      <c r="O1670" s="5" t="s">
        <v>46</v>
      </c>
      <c r="P1670" s="10" t="s">
        <v>47</v>
      </c>
      <c r="Q1670" s="10" t="s">
        <v>2142</v>
      </c>
      <c r="R1670" s="10" t="s">
        <v>821</v>
      </c>
      <c r="S1670" s="5">
        <v>0</v>
      </c>
      <c r="T1670" s="37">
        <v>0</v>
      </c>
      <c r="U1670" s="5">
        <v>0</v>
      </c>
      <c r="V1670" s="37">
        <v>0</v>
      </c>
      <c r="W1670" s="5">
        <v>0</v>
      </c>
      <c r="X1670" s="5">
        <v>0</v>
      </c>
      <c r="Y1670" s="5">
        <v>0</v>
      </c>
      <c r="Z1670" s="37">
        <v>0</v>
      </c>
      <c r="AA1670" s="5">
        <v>0</v>
      </c>
      <c r="AB1670" s="5">
        <v>0</v>
      </c>
      <c r="AC1670" s="5">
        <v>0</v>
      </c>
      <c r="AD1670" s="5">
        <v>0</v>
      </c>
      <c r="AE1670" s="10" t="s">
        <v>73</v>
      </c>
      <c r="AF1670" s="10"/>
      <c r="AG1670" s="10" t="s">
        <v>333</v>
      </c>
      <c r="AH1670" s="10">
        <v>41565</v>
      </c>
      <c r="AI1670" s="5">
        <v>0</v>
      </c>
      <c r="AJ1670" s="10" t="s">
        <v>9296</v>
      </c>
      <c r="AK1670" s="10" t="s">
        <v>50</v>
      </c>
    </row>
    <row r="1671" spans="1:37" ht="36.75" customHeight="1" x14ac:dyDescent="0.35">
      <c r="A1671" s="5"/>
      <c r="B1671" s="5" t="s">
        <v>37</v>
      </c>
      <c r="C1671" s="73" t="str">
        <f t="shared" si="26"/>
        <v>Closed</v>
      </c>
      <c r="D1671" s="45" t="s">
        <v>9297</v>
      </c>
      <c r="E1671" s="54" t="s">
        <v>9298</v>
      </c>
      <c r="F1671" s="5" t="s">
        <v>358</v>
      </c>
      <c r="G1671" s="10">
        <f>DATE(2013,10,24)</f>
        <v>41571</v>
      </c>
      <c r="H1671" s="35">
        <v>1.2020833333333334</v>
      </c>
      <c r="I1671" s="5" t="s">
        <v>106</v>
      </c>
      <c r="J1671" s="10" t="s">
        <v>9299</v>
      </c>
      <c r="K1671" s="5" t="s">
        <v>360</v>
      </c>
      <c r="L1671" s="5" t="s">
        <v>9300</v>
      </c>
      <c r="M1671" s="5" t="s">
        <v>45</v>
      </c>
      <c r="N1671" s="5" t="s">
        <v>123</v>
      </c>
      <c r="O1671" s="5" t="s">
        <v>46</v>
      </c>
      <c r="P1671" s="10" t="s">
        <v>60</v>
      </c>
      <c r="Q1671" s="10" t="s">
        <v>2886</v>
      </c>
      <c r="R1671" s="10" t="s">
        <v>363</v>
      </c>
      <c r="S1671" s="5">
        <v>0</v>
      </c>
      <c r="T1671" s="37">
        <v>0</v>
      </c>
      <c r="U1671" s="5">
        <v>0</v>
      </c>
      <c r="V1671" s="37">
        <v>0</v>
      </c>
      <c r="W1671" s="5">
        <v>0</v>
      </c>
      <c r="X1671" s="5">
        <v>0</v>
      </c>
      <c r="Y1671" s="5">
        <v>0</v>
      </c>
      <c r="Z1671" s="37">
        <v>0</v>
      </c>
      <c r="AA1671" s="5">
        <v>0</v>
      </c>
      <c r="AB1671" s="5">
        <v>0</v>
      </c>
      <c r="AC1671" s="5">
        <v>0</v>
      </c>
      <c r="AD1671" s="5">
        <v>0</v>
      </c>
      <c r="AE1671" s="10" t="s">
        <v>73</v>
      </c>
      <c r="AF1671" s="10"/>
      <c r="AG1671" s="10" t="s">
        <v>333</v>
      </c>
      <c r="AH1671" s="10">
        <v>41571</v>
      </c>
      <c r="AI1671" s="5">
        <v>7</v>
      </c>
      <c r="AJ1671" s="10" t="s">
        <v>9301</v>
      </c>
      <c r="AK1671" s="10" t="s">
        <v>9302</v>
      </c>
    </row>
    <row r="1672" spans="1:37" ht="36.75" customHeight="1" x14ac:dyDescent="0.35">
      <c r="A1672" s="5"/>
      <c r="B1672" s="5" t="s">
        <v>37</v>
      </c>
      <c r="C1672" s="73" t="str">
        <f t="shared" si="26"/>
        <v>Closed</v>
      </c>
      <c r="D1672" s="45" t="s">
        <v>9303</v>
      </c>
      <c r="E1672" s="54" t="s">
        <v>9304</v>
      </c>
      <c r="F1672" s="5" t="s">
        <v>563</v>
      </c>
      <c r="G1672" s="10">
        <f>DATE(2013,10,26)</f>
        <v>41573</v>
      </c>
      <c r="H1672" s="35">
        <v>1.4027777777777777</v>
      </c>
      <c r="I1672" s="5" t="s">
        <v>179</v>
      </c>
      <c r="J1672" s="10" t="s">
        <v>9305</v>
      </c>
      <c r="K1672" s="5" t="s">
        <v>565</v>
      </c>
      <c r="L1672" s="5" t="s">
        <v>9306</v>
      </c>
      <c r="M1672" s="5" t="s">
        <v>45</v>
      </c>
      <c r="N1672" s="5" t="s">
        <v>123</v>
      </c>
      <c r="O1672" s="5" t="s">
        <v>59</v>
      </c>
      <c r="P1672" s="10" t="s">
        <v>60</v>
      </c>
      <c r="Q1672" s="10" t="s">
        <v>8904</v>
      </c>
      <c r="R1672" s="10" t="s">
        <v>568</v>
      </c>
      <c r="S1672" s="5">
        <v>0</v>
      </c>
      <c r="T1672" s="37">
        <v>0</v>
      </c>
      <c r="U1672" s="5">
        <v>0</v>
      </c>
      <c r="V1672" s="37">
        <v>0</v>
      </c>
      <c r="W1672" s="5">
        <v>0</v>
      </c>
      <c r="X1672" s="5">
        <v>0</v>
      </c>
      <c r="Y1672" s="5">
        <v>0</v>
      </c>
      <c r="Z1672" s="37">
        <v>1</v>
      </c>
      <c r="AA1672" s="5">
        <v>0</v>
      </c>
      <c r="AB1672" s="5">
        <v>0</v>
      </c>
      <c r="AC1672" s="5">
        <v>0</v>
      </c>
      <c r="AD1672" s="5">
        <v>1</v>
      </c>
      <c r="AE1672" s="10" t="s">
        <v>126</v>
      </c>
      <c r="AF1672" s="10"/>
      <c r="AG1672" s="10" t="s">
        <v>64</v>
      </c>
      <c r="AH1672" s="10">
        <v>41578</v>
      </c>
      <c r="AI1672" s="5">
        <v>2</v>
      </c>
      <c r="AJ1672" s="10" t="s">
        <v>9307</v>
      </c>
      <c r="AK1672" s="10" t="s">
        <v>1215</v>
      </c>
    </row>
    <row r="1673" spans="1:37" ht="36.75" customHeight="1" x14ac:dyDescent="0.35">
      <c r="A1673" s="5"/>
      <c r="B1673" s="5" t="s">
        <v>37</v>
      </c>
      <c r="C1673" s="73" t="str">
        <f t="shared" si="26"/>
        <v>Closed</v>
      </c>
      <c r="D1673" s="45" t="s">
        <v>9308</v>
      </c>
      <c r="E1673" s="54" t="s">
        <v>9309</v>
      </c>
      <c r="F1673" s="5" t="s">
        <v>214</v>
      </c>
      <c r="G1673" s="10">
        <f>DATE(2013,10,26)</f>
        <v>41573</v>
      </c>
      <c r="H1673" s="35">
        <v>1.4236111111111112</v>
      </c>
      <c r="I1673" s="5" t="s">
        <v>5473</v>
      </c>
      <c r="J1673" s="10" t="s">
        <v>9310</v>
      </c>
      <c r="K1673" s="5" t="s">
        <v>216</v>
      </c>
      <c r="L1673" s="5" t="s">
        <v>9311</v>
      </c>
      <c r="M1673" s="5" t="s">
        <v>45</v>
      </c>
      <c r="N1673" s="5" t="s">
        <v>123</v>
      </c>
      <c r="O1673" s="5" t="s">
        <v>46</v>
      </c>
      <c r="P1673" s="10" t="s">
        <v>6920</v>
      </c>
      <c r="Q1673" s="10" t="s">
        <v>3332</v>
      </c>
      <c r="R1673" s="10" t="s">
        <v>219</v>
      </c>
      <c r="S1673" s="5">
        <v>0</v>
      </c>
      <c r="T1673" s="37">
        <v>0</v>
      </c>
      <c r="U1673" s="5">
        <v>0</v>
      </c>
      <c r="V1673" s="37">
        <v>0</v>
      </c>
      <c r="W1673" s="5">
        <v>0</v>
      </c>
      <c r="X1673" s="5">
        <v>0</v>
      </c>
      <c r="Y1673" s="5">
        <v>0</v>
      </c>
      <c r="Z1673" s="37">
        <v>0</v>
      </c>
      <c r="AA1673" s="5">
        <v>0</v>
      </c>
      <c r="AB1673" s="5">
        <v>0</v>
      </c>
      <c r="AC1673" s="5">
        <v>0</v>
      </c>
      <c r="AD1673" s="5">
        <v>0</v>
      </c>
      <c r="AE1673" s="10" t="s">
        <v>73</v>
      </c>
      <c r="AF1673" s="10"/>
      <c r="AG1673" s="10" t="s">
        <v>333</v>
      </c>
      <c r="AH1673" s="10">
        <v>41603</v>
      </c>
      <c r="AI1673" s="5">
        <v>2</v>
      </c>
      <c r="AJ1673" s="10" t="s">
        <v>9312</v>
      </c>
      <c r="AK1673" s="10" t="s">
        <v>9313</v>
      </c>
    </row>
    <row r="1674" spans="1:37" ht="36.75" customHeight="1" x14ac:dyDescent="0.35">
      <c r="A1674" s="5"/>
      <c r="B1674" s="5" t="s">
        <v>37</v>
      </c>
      <c r="C1674" s="73" t="str">
        <f t="shared" si="26"/>
        <v>Closed</v>
      </c>
      <c r="D1674" s="45" t="s">
        <v>9314</v>
      </c>
      <c r="E1674" s="54" t="s">
        <v>9315</v>
      </c>
      <c r="F1674" s="5" t="s">
        <v>619</v>
      </c>
      <c r="G1674" s="10">
        <f>DATE(2013,10,27)</f>
        <v>41574</v>
      </c>
      <c r="H1674" s="35">
        <v>1.3548611111111111</v>
      </c>
      <c r="I1674" s="5" t="s">
        <v>85</v>
      </c>
      <c r="J1674" s="10" t="s">
        <v>9316</v>
      </c>
      <c r="K1674" s="5" t="s">
        <v>621</v>
      </c>
      <c r="L1674" s="5" t="s">
        <v>9317</v>
      </c>
      <c r="M1674" s="5" t="s">
        <v>45</v>
      </c>
      <c r="N1674" s="5" t="s">
        <v>80</v>
      </c>
      <c r="O1674" s="5" t="s">
        <v>59</v>
      </c>
      <c r="P1674" s="10" t="s">
        <v>6881</v>
      </c>
      <c r="Q1674" s="10" t="s">
        <v>623</v>
      </c>
      <c r="R1674" s="10" t="s">
        <v>624</v>
      </c>
      <c r="S1674" s="5">
        <v>0</v>
      </c>
      <c r="T1674" s="37">
        <v>0</v>
      </c>
      <c r="U1674" s="5">
        <v>0</v>
      </c>
      <c r="V1674" s="37">
        <v>0</v>
      </c>
      <c r="W1674" s="5">
        <v>0</v>
      </c>
      <c r="X1674" s="5">
        <v>0</v>
      </c>
      <c r="Y1674" s="5">
        <v>0</v>
      </c>
      <c r="Z1674" s="37">
        <v>0</v>
      </c>
      <c r="AA1674" s="5">
        <v>0</v>
      </c>
      <c r="AB1674" s="5">
        <v>0</v>
      </c>
      <c r="AC1674" s="5">
        <v>0</v>
      </c>
      <c r="AD1674" s="5">
        <v>0</v>
      </c>
      <c r="AE1674" s="10" t="s">
        <v>73</v>
      </c>
      <c r="AF1674" s="10"/>
      <c r="AG1674" s="10" t="s">
        <v>333</v>
      </c>
      <c r="AH1674" s="10">
        <v>41576</v>
      </c>
      <c r="AI1674" s="5">
        <v>0</v>
      </c>
      <c r="AJ1674" s="10" t="s">
        <v>9318</v>
      </c>
      <c r="AK1674" s="10" t="s">
        <v>50</v>
      </c>
    </row>
    <row r="1675" spans="1:37" ht="36.75" customHeight="1" x14ac:dyDescent="0.35">
      <c r="A1675" s="5"/>
      <c r="B1675" s="5" t="s">
        <v>37</v>
      </c>
      <c r="C1675" s="73" t="str">
        <f t="shared" si="26"/>
        <v>Closed</v>
      </c>
      <c r="D1675" s="45" t="s">
        <v>9319</v>
      </c>
      <c r="E1675" s="54" t="s">
        <v>9320</v>
      </c>
      <c r="F1675" s="5" t="s">
        <v>619</v>
      </c>
      <c r="G1675" s="10">
        <f>DATE(2013,10,27)</f>
        <v>41574</v>
      </c>
      <c r="H1675" s="35">
        <v>1.8340277777777776</v>
      </c>
      <c r="I1675" s="5" t="s">
        <v>55</v>
      </c>
      <c r="J1675" s="10" t="s">
        <v>9321</v>
      </c>
      <c r="K1675" s="5" t="s">
        <v>621</v>
      </c>
      <c r="L1675" s="5" t="s">
        <v>9322</v>
      </c>
      <c r="M1675" s="5" t="s">
        <v>45</v>
      </c>
      <c r="N1675" s="5" t="s">
        <v>123</v>
      </c>
      <c r="O1675" s="5" t="s">
        <v>59</v>
      </c>
      <c r="P1675" s="10" t="s">
        <v>6881</v>
      </c>
      <c r="Q1675" s="10" t="s">
        <v>623</v>
      </c>
      <c r="R1675" s="10" t="s">
        <v>624</v>
      </c>
      <c r="S1675" s="5">
        <v>0</v>
      </c>
      <c r="T1675" s="37">
        <v>0</v>
      </c>
      <c r="U1675" s="5">
        <v>0</v>
      </c>
      <c r="V1675" s="37">
        <v>0</v>
      </c>
      <c r="W1675" s="5">
        <v>0</v>
      </c>
      <c r="X1675" s="5">
        <v>0</v>
      </c>
      <c r="Y1675" s="5">
        <v>0</v>
      </c>
      <c r="Z1675" s="37">
        <v>0</v>
      </c>
      <c r="AA1675" s="5">
        <v>0</v>
      </c>
      <c r="AB1675" s="5">
        <v>0</v>
      </c>
      <c r="AC1675" s="5">
        <v>0</v>
      </c>
      <c r="AD1675" s="5">
        <v>0</v>
      </c>
      <c r="AE1675" s="10" t="s">
        <v>73</v>
      </c>
      <c r="AF1675" s="10"/>
      <c r="AG1675" s="10" t="s">
        <v>333</v>
      </c>
      <c r="AH1675" s="10">
        <v>41576</v>
      </c>
      <c r="AI1675" s="5">
        <v>1</v>
      </c>
      <c r="AJ1675" s="10" t="s">
        <v>9323</v>
      </c>
      <c r="AK1675" s="10" t="s">
        <v>50</v>
      </c>
    </row>
    <row r="1676" spans="1:37" ht="36.75" customHeight="1" x14ac:dyDescent="0.35">
      <c r="A1676" s="5"/>
      <c r="B1676" s="5" t="s">
        <v>37</v>
      </c>
      <c r="C1676" s="73" t="str">
        <f t="shared" si="26"/>
        <v>Closed</v>
      </c>
      <c r="D1676" s="45" t="s">
        <v>9324</v>
      </c>
      <c r="E1676" s="54" t="s">
        <v>9325</v>
      </c>
      <c r="F1676" s="5" t="s">
        <v>214</v>
      </c>
      <c r="G1676" s="10">
        <f>DATE(2013,10,29)</f>
        <v>41576</v>
      </c>
      <c r="H1676" s="35">
        <v>1.620138888888889</v>
      </c>
      <c r="I1676" s="5" t="s">
        <v>97</v>
      </c>
      <c r="J1676" s="10" t="s">
        <v>9326</v>
      </c>
      <c r="K1676" s="5" t="s">
        <v>216</v>
      </c>
      <c r="L1676" s="5" t="s">
        <v>9327</v>
      </c>
      <c r="M1676" s="5" t="s">
        <v>45</v>
      </c>
      <c r="N1676" s="5" t="s">
        <v>123</v>
      </c>
      <c r="O1676" s="5" t="s">
        <v>67</v>
      </c>
      <c r="P1676" s="10" t="s">
        <v>146</v>
      </c>
      <c r="Q1676" s="10" t="s">
        <v>4639</v>
      </c>
      <c r="R1676" s="10" t="s">
        <v>219</v>
      </c>
      <c r="S1676" s="5">
        <v>0</v>
      </c>
      <c r="T1676" s="37">
        <v>0</v>
      </c>
      <c r="U1676" s="5">
        <v>1</v>
      </c>
      <c r="V1676" s="37">
        <v>0</v>
      </c>
      <c r="W1676" s="5">
        <v>0</v>
      </c>
      <c r="X1676" s="5">
        <v>1</v>
      </c>
      <c r="Y1676" s="5">
        <v>0</v>
      </c>
      <c r="Z1676" s="37">
        <v>0</v>
      </c>
      <c r="AA1676" s="5">
        <v>0</v>
      </c>
      <c r="AB1676" s="5">
        <v>0</v>
      </c>
      <c r="AC1676" s="5">
        <v>0</v>
      </c>
      <c r="AD1676" s="5">
        <v>0</v>
      </c>
      <c r="AE1676" s="10" t="s">
        <v>73</v>
      </c>
      <c r="AF1676" s="10"/>
      <c r="AG1676" s="10" t="s">
        <v>64</v>
      </c>
      <c r="AH1676" s="10">
        <v>41596</v>
      </c>
      <c r="AI1676" s="5">
        <v>0</v>
      </c>
      <c r="AJ1676" s="10" t="s">
        <v>9328</v>
      </c>
      <c r="AK1676" s="10" t="s">
        <v>9329</v>
      </c>
    </row>
    <row r="1677" spans="1:37" ht="36.75" customHeight="1" x14ac:dyDescent="0.35">
      <c r="A1677" s="5"/>
      <c r="B1677" s="5" t="s">
        <v>37</v>
      </c>
      <c r="C1677" s="73" t="str">
        <f t="shared" si="26"/>
        <v>Closed</v>
      </c>
      <c r="D1677" s="45" t="s">
        <v>9330</v>
      </c>
      <c r="E1677" s="54" t="s">
        <v>9331</v>
      </c>
      <c r="F1677" s="5" t="s">
        <v>404</v>
      </c>
      <c r="G1677" s="10">
        <f>DATE(2013,11,3)</f>
        <v>41581</v>
      </c>
      <c r="H1677" s="35">
        <v>1.8229166666666665</v>
      </c>
      <c r="I1677" s="5" t="s">
        <v>55</v>
      </c>
      <c r="J1677" s="10" t="s">
        <v>9332</v>
      </c>
      <c r="K1677" s="5" t="s">
        <v>406</v>
      </c>
      <c r="L1677" s="5" t="s">
        <v>9333</v>
      </c>
      <c r="M1677" s="5" t="s">
        <v>45</v>
      </c>
      <c r="N1677" s="5" t="s">
        <v>70</v>
      </c>
      <c r="O1677" s="5" t="s">
        <v>71</v>
      </c>
      <c r="P1677" s="10" t="s">
        <v>72</v>
      </c>
      <c r="Q1677" s="10" t="s">
        <v>2562</v>
      </c>
      <c r="R1677" s="10" t="s">
        <v>3083</v>
      </c>
      <c r="S1677" s="5">
        <v>0</v>
      </c>
      <c r="T1677" s="37">
        <v>0</v>
      </c>
      <c r="U1677" s="5">
        <v>0</v>
      </c>
      <c r="V1677" s="37">
        <v>0</v>
      </c>
      <c r="W1677" s="5">
        <v>0</v>
      </c>
      <c r="X1677" s="5">
        <v>0</v>
      </c>
      <c r="Y1677" s="5">
        <v>0</v>
      </c>
      <c r="Z1677" s="37">
        <v>0</v>
      </c>
      <c r="AA1677" s="5">
        <v>0</v>
      </c>
      <c r="AB1677" s="5">
        <v>0</v>
      </c>
      <c r="AC1677" s="5">
        <v>0</v>
      </c>
      <c r="AD1677" s="5">
        <v>0</v>
      </c>
      <c r="AE1677" s="10" t="s">
        <v>73</v>
      </c>
      <c r="AF1677" s="10"/>
      <c r="AG1677" s="10" t="s">
        <v>229</v>
      </c>
      <c r="AH1677" s="10">
        <v>41691</v>
      </c>
      <c r="AI1677" s="5">
        <v>6</v>
      </c>
      <c r="AJ1677" s="10" t="s">
        <v>9334</v>
      </c>
      <c r="AK1677" s="10" t="s">
        <v>9335</v>
      </c>
    </row>
    <row r="1678" spans="1:37" ht="36.75" customHeight="1" x14ac:dyDescent="0.35">
      <c r="A1678" s="5"/>
      <c r="B1678" s="5" t="s">
        <v>37</v>
      </c>
      <c r="C1678" s="73" t="str">
        <f t="shared" si="26"/>
        <v>Closed</v>
      </c>
      <c r="D1678" s="45" t="s">
        <v>9336</v>
      </c>
      <c r="E1678" s="54" t="s">
        <v>9337</v>
      </c>
      <c r="F1678" s="5" t="s">
        <v>816</v>
      </c>
      <c r="G1678" s="10">
        <f>DATE(2013,11,4)</f>
        <v>41582</v>
      </c>
      <c r="H1678" s="35">
        <v>0</v>
      </c>
      <c r="I1678" s="5" t="s">
        <v>55</v>
      </c>
      <c r="J1678" s="10" t="s">
        <v>9338</v>
      </c>
      <c r="K1678" s="5" t="s">
        <v>818</v>
      </c>
      <c r="L1678" s="5" t="s">
        <v>9339</v>
      </c>
      <c r="M1678" s="5" t="s">
        <v>45</v>
      </c>
      <c r="N1678" s="5" t="s">
        <v>123</v>
      </c>
      <c r="O1678" s="5" t="s">
        <v>59</v>
      </c>
      <c r="P1678" s="10" t="s">
        <v>60</v>
      </c>
      <c r="Q1678" s="10" t="s">
        <v>4688</v>
      </c>
      <c r="R1678" s="10" t="s">
        <v>821</v>
      </c>
      <c r="S1678" s="5">
        <v>0</v>
      </c>
      <c r="T1678" s="37">
        <v>0</v>
      </c>
      <c r="U1678" s="5">
        <v>0</v>
      </c>
      <c r="V1678" s="37">
        <v>0</v>
      </c>
      <c r="W1678" s="5">
        <v>0</v>
      </c>
      <c r="X1678" s="5">
        <v>0</v>
      </c>
      <c r="Y1678" s="5">
        <v>0</v>
      </c>
      <c r="Z1678" s="37">
        <v>0</v>
      </c>
      <c r="AA1678" s="5">
        <v>0</v>
      </c>
      <c r="AB1678" s="5">
        <v>0</v>
      </c>
      <c r="AC1678" s="5">
        <v>0</v>
      </c>
      <c r="AD1678" s="5">
        <v>0</v>
      </c>
      <c r="AE1678" s="10" t="s">
        <v>73</v>
      </c>
      <c r="AF1678" s="10"/>
      <c r="AG1678" s="10" t="s">
        <v>333</v>
      </c>
      <c r="AH1678" s="10">
        <v>41585</v>
      </c>
      <c r="AI1678" s="5">
        <v>1</v>
      </c>
      <c r="AJ1678" s="10" t="s">
        <v>9340</v>
      </c>
      <c r="AK1678" s="10" t="s">
        <v>50</v>
      </c>
    </row>
    <row r="1679" spans="1:37" ht="36.75" customHeight="1" x14ac:dyDescent="0.35">
      <c r="A1679" s="5"/>
      <c r="B1679" s="5" t="s">
        <v>37</v>
      </c>
      <c r="C1679" s="73" t="str">
        <f t="shared" si="26"/>
        <v>Closed</v>
      </c>
      <c r="D1679" s="45" t="s">
        <v>9341</v>
      </c>
      <c r="E1679" s="54" t="s">
        <v>9342</v>
      </c>
      <c r="F1679" s="5" t="s">
        <v>105</v>
      </c>
      <c r="G1679" s="10">
        <f>DATE(2013,11,4)</f>
        <v>41582</v>
      </c>
      <c r="H1679" s="35">
        <v>1.4548611111111112</v>
      </c>
      <c r="I1679" s="5" t="s">
        <v>55</v>
      </c>
      <c r="J1679" s="10" t="s">
        <v>9343</v>
      </c>
      <c r="K1679" s="5" t="s">
        <v>108</v>
      </c>
      <c r="L1679" s="5" t="s">
        <v>9344</v>
      </c>
      <c r="M1679" s="5" t="s">
        <v>45</v>
      </c>
      <c r="N1679" s="5" t="s">
        <v>80</v>
      </c>
      <c r="O1679" s="5" t="s">
        <v>46</v>
      </c>
      <c r="P1679" s="10" t="s">
        <v>60</v>
      </c>
      <c r="Q1679" s="10" t="s">
        <v>4212</v>
      </c>
      <c r="R1679" s="10" t="s">
        <v>148</v>
      </c>
      <c r="S1679" s="5">
        <v>0</v>
      </c>
      <c r="T1679" s="37">
        <v>0</v>
      </c>
      <c r="U1679" s="5">
        <v>0</v>
      </c>
      <c r="V1679" s="37">
        <v>0</v>
      </c>
      <c r="W1679" s="5">
        <v>0</v>
      </c>
      <c r="X1679" s="5">
        <v>0</v>
      </c>
      <c r="Y1679" s="5">
        <v>0</v>
      </c>
      <c r="Z1679" s="37">
        <v>0</v>
      </c>
      <c r="AA1679" s="5">
        <v>0</v>
      </c>
      <c r="AB1679" s="5">
        <v>0</v>
      </c>
      <c r="AC1679" s="5">
        <v>0</v>
      </c>
      <c r="AD1679" s="5">
        <v>0</v>
      </c>
      <c r="AE1679" s="10" t="s">
        <v>375</v>
      </c>
      <c r="AF1679" s="10"/>
      <c r="AG1679" s="10" t="s">
        <v>114</v>
      </c>
      <c r="AH1679" s="10">
        <v>41592</v>
      </c>
      <c r="AI1679" s="5">
        <v>1</v>
      </c>
      <c r="AJ1679" s="10" t="s">
        <v>9345</v>
      </c>
      <c r="AK1679" s="10" t="s">
        <v>50</v>
      </c>
    </row>
    <row r="1680" spans="1:37" ht="36.75" customHeight="1" x14ac:dyDescent="0.35">
      <c r="A1680" s="5"/>
      <c r="B1680" s="5" t="s">
        <v>37</v>
      </c>
      <c r="C1680" s="73" t="str">
        <f t="shared" si="26"/>
        <v>Closed</v>
      </c>
      <c r="D1680" s="45" t="s">
        <v>9346</v>
      </c>
      <c r="E1680" s="54" t="s">
        <v>9347</v>
      </c>
      <c r="F1680" s="5" t="s">
        <v>40</v>
      </c>
      <c r="G1680" s="10">
        <f>DATE(2013,11,7)</f>
        <v>41585</v>
      </c>
      <c r="H1680" s="35">
        <v>1.7201388888888891</v>
      </c>
      <c r="I1680" s="5" t="s">
        <v>137</v>
      </c>
      <c r="J1680" s="10" t="s">
        <v>9348</v>
      </c>
      <c r="K1680" s="5" t="s">
        <v>43</v>
      </c>
      <c r="L1680" s="5" t="s">
        <v>9349</v>
      </c>
      <c r="M1680" s="5" t="s">
        <v>45</v>
      </c>
      <c r="N1680" s="5" t="s">
        <v>80</v>
      </c>
      <c r="O1680" s="5" t="s">
        <v>46</v>
      </c>
      <c r="P1680" s="10" t="s">
        <v>60</v>
      </c>
      <c r="Q1680" s="10" t="s">
        <v>48</v>
      </c>
      <c r="R1680" s="10" t="s">
        <v>49</v>
      </c>
      <c r="S1680" s="5">
        <v>0</v>
      </c>
      <c r="T1680" s="37">
        <v>0</v>
      </c>
      <c r="U1680" s="5">
        <v>0</v>
      </c>
      <c r="V1680" s="37">
        <v>0</v>
      </c>
      <c r="W1680" s="5">
        <v>0</v>
      </c>
      <c r="X1680" s="5">
        <v>0</v>
      </c>
      <c r="Y1680" s="5">
        <v>0</v>
      </c>
      <c r="Z1680" s="37">
        <v>0</v>
      </c>
      <c r="AA1680" s="5">
        <v>0</v>
      </c>
      <c r="AB1680" s="5">
        <v>0</v>
      </c>
      <c r="AC1680" s="5">
        <v>0</v>
      </c>
      <c r="AD1680" s="5">
        <v>0</v>
      </c>
      <c r="AE1680" s="10" t="s">
        <v>73</v>
      </c>
      <c r="AF1680" s="10"/>
      <c r="AG1680" s="10" t="s">
        <v>333</v>
      </c>
      <c r="AH1680" s="10">
        <v>41589</v>
      </c>
      <c r="AI1680" s="5">
        <v>6</v>
      </c>
      <c r="AJ1680" s="10" t="s">
        <v>9350</v>
      </c>
      <c r="AK1680" s="10" t="s">
        <v>9351</v>
      </c>
    </row>
    <row r="1681" spans="1:37" ht="36.75" customHeight="1" x14ac:dyDescent="0.35">
      <c r="A1681" s="5"/>
      <c r="B1681" s="5" t="s">
        <v>37</v>
      </c>
      <c r="C1681" s="73" t="str">
        <f t="shared" si="26"/>
        <v>Closed</v>
      </c>
      <c r="D1681" s="45" t="s">
        <v>9352</v>
      </c>
      <c r="E1681" s="54" t="s">
        <v>9353</v>
      </c>
      <c r="F1681" s="5" t="s">
        <v>358</v>
      </c>
      <c r="G1681" s="10">
        <f>DATE(2013,11,7)</f>
        <v>41585</v>
      </c>
      <c r="H1681" s="35">
        <v>1.4131944444444444</v>
      </c>
      <c r="I1681" s="5" t="s">
        <v>97</v>
      </c>
      <c r="J1681" s="10" t="s">
        <v>9354</v>
      </c>
      <c r="K1681" s="5" t="s">
        <v>360</v>
      </c>
      <c r="L1681" s="5" t="s">
        <v>9355</v>
      </c>
      <c r="M1681" s="5" t="s">
        <v>45</v>
      </c>
      <c r="N1681" s="5" t="s">
        <v>80</v>
      </c>
      <c r="O1681" s="5" t="s">
        <v>46</v>
      </c>
      <c r="P1681" s="10" t="s">
        <v>146</v>
      </c>
      <c r="Q1681" s="10" t="s">
        <v>8450</v>
      </c>
      <c r="R1681" s="10" t="s">
        <v>363</v>
      </c>
      <c r="S1681" s="5">
        <v>0</v>
      </c>
      <c r="T1681" s="37">
        <v>0</v>
      </c>
      <c r="U1681" s="5">
        <v>2</v>
      </c>
      <c r="V1681" s="37">
        <v>0</v>
      </c>
      <c r="W1681" s="5">
        <v>0</v>
      </c>
      <c r="X1681" s="5">
        <v>2</v>
      </c>
      <c r="Y1681" s="5">
        <v>0</v>
      </c>
      <c r="Z1681" s="37">
        <v>0</v>
      </c>
      <c r="AA1681" s="5">
        <v>1</v>
      </c>
      <c r="AB1681" s="5">
        <v>0</v>
      </c>
      <c r="AC1681" s="5">
        <v>0</v>
      </c>
      <c r="AD1681" s="5">
        <v>1</v>
      </c>
      <c r="AE1681" s="10" t="s">
        <v>375</v>
      </c>
      <c r="AF1681" s="10"/>
      <c r="AG1681" s="10" t="s">
        <v>64</v>
      </c>
      <c r="AH1681" s="10">
        <v>41585</v>
      </c>
      <c r="AI1681" s="5">
        <v>3</v>
      </c>
      <c r="AJ1681" s="10" t="s">
        <v>9356</v>
      </c>
      <c r="AK1681" s="10" t="s">
        <v>50</v>
      </c>
    </row>
    <row r="1682" spans="1:37" ht="36.75" customHeight="1" x14ac:dyDescent="0.35">
      <c r="A1682" s="5"/>
      <c r="B1682" s="5" t="s">
        <v>37</v>
      </c>
      <c r="C1682" s="73" t="str">
        <f t="shared" si="26"/>
        <v>Closed</v>
      </c>
      <c r="D1682" s="45" t="s">
        <v>9357</v>
      </c>
      <c r="E1682" s="54" t="s">
        <v>9358</v>
      </c>
      <c r="F1682" s="5" t="s">
        <v>605</v>
      </c>
      <c r="G1682" s="10">
        <f>DATE(2013,11,9)</f>
        <v>41587</v>
      </c>
      <c r="H1682" s="35">
        <v>1.4930555555555556</v>
      </c>
      <c r="I1682" s="5" t="s">
        <v>137</v>
      </c>
      <c r="J1682" s="10" t="s">
        <v>9359</v>
      </c>
      <c r="K1682" s="5" t="s">
        <v>607</v>
      </c>
      <c r="L1682" s="5" t="s">
        <v>9360</v>
      </c>
      <c r="M1682" s="5" t="s">
        <v>45</v>
      </c>
      <c r="N1682" s="5" t="s">
        <v>123</v>
      </c>
      <c r="O1682" s="5" t="s">
        <v>59</v>
      </c>
      <c r="P1682" s="10" t="s">
        <v>47</v>
      </c>
      <c r="Q1682" s="10" t="s">
        <v>7160</v>
      </c>
      <c r="R1682" s="10" t="s">
        <v>610</v>
      </c>
      <c r="S1682" s="5">
        <v>0</v>
      </c>
      <c r="T1682" s="37">
        <v>0</v>
      </c>
      <c r="U1682" s="5">
        <v>0</v>
      </c>
      <c r="V1682" s="37">
        <v>0</v>
      </c>
      <c r="W1682" s="5">
        <v>0</v>
      </c>
      <c r="X1682" s="5">
        <v>0</v>
      </c>
      <c r="Y1682" s="5">
        <v>0</v>
      </c>
      <c r="Z1682" s="37">
        <v>0</v>
      </c>
      <c r="AA1682" s="5">
        <v>0</v>
      </c>
      <c r="AB1682" s="5">
        <v>0</v>
      </c>
      <c r="AC1682" s="5">
        <v>0</v>
      </c>
      <c r="AD1682" s="5">
        <v>0</v>
      </c>
      <c r="AE1682" s="10" t="s">
        <v>375</v>
      </c>
      <c r="AF1682" s="10"/>
      <c r="AG1682" s="10" t="s">
        <v>114</v>
      </c>
      <c r="AH1682" s="10">
        <v>41528</v>
      </c>
      <c r="AI1682" s="5">
        <v>3</v>
      </c>
      <c r="AJ1682" s="10" t="s">
        <v>9361</v>
      </c>
      <c r="AK1682" s="10" t="s">
        <v>50</v>
      </c>
    </row>
    <row r="1683" spans="1:37" ht="36.75" customHeight="1" x14ac:dyDescent="0.35">
      <c r="A1683" s="5"/>
      <c r="B1683" s="5" t="s">
        <v>37</v>
      </c>
      <c r="C1683" s="73" t="str">
        <f t="shared" si="26"/>
        <v>Closed</v>
      </c>
      <c r="D1683" s="45" t="s">
        <v>9362</v>
      </c>
      <c r="E1683" s="54" t="s">
        <v>9363</v>
      </c>
      <c r="F1683" s="5" t="s">
        <v>816</v>
      </c>
      <c r="G1683" s="10">
        <f>DATE(2013,11,10)</f>
        <v>41588</v>
      </c>
      <c r="H1683" s="35">
        <v>1.6444444444444444</v>
      </c>
      <c r="I1683" s="5" t="s">
        <v>106</v>
      </c>
      <c r="J1683" s="10" t="s">
        <v>9364</v>
      </c>
      <c r="K1683" s="5" t="s">
        <v>818</v>
      </c>
      <c r="L1683" s="5" t="s">
        <v>9365</v>
      </c>
      <c r="M1683" s="5" t="s">
        <v>45</v>
      </c>
      <c r="N1683" s="5" t="s">
        <v>123</v>
      </c>
      <c r="O1683" s="5" t="s">
        <v>46</v>
      </c>
      <c r="P1683" s="10" t="s">
        <v>60</v>
      </c>
      <c r="Q1683" s="10">
        <v>0</v>
      </c>
      <c r="R1683" s="10" t="s">
        <v>821</v>
      </c>
      <c r="S1683" s="5">
        <v>0</v>
      </c>
      <c r="T1683" s="37">
        <v>0</v>
      </c>
      <c r="U1683" s="5">
        <v>0</v>
      </c>
      <c r="V1683" s="37">
        <v>0</v>
      </c>
      <c r="W1683" s="5">
        <v>0</v>
      </c>
      <c r="X1683" s="5">
        <v>0</v>
      </c>
      <c r="Y1683" s="5">
        <v>0</v>
      </c>
      <c r="Z1683" s="37">
        <v>0</v>
      </c>
      <c r="AA1683" s="5">
        <v>0</v>
      </c>
      <c r="AB1683" s="5">
        <v>0</v>
      </c>
      <c r="AC1683" s="5">
        <v>0</v>
      </c>
      <c r="AD1683" s="5">
        <v>0</v>
      </c>
      <c r="AE1683" s="10" t="s">
        <v>73</v>
      </c>
      <c r="AF1683" s="10"/>
      <c r="AG1683" s="10" t="s">
        <v>333</v>
      </c>
      <c r="AH1683" s="10">
        <v>41588</v>
      </c>
      <c r="AI1683" s="5">
        <v>0</v>
      </c>
      <c r="AJ1683" s="10" t="s">
        <v>9366</v>
      </c>
      <c r="AK1683" s="10" t="s">
        <v>9367</v>
      </c>
    </row>
    <row r="1684" spans="1:37" ht="36.75" customHeight="1" x14ac:dyDescent="0.35">
      <c r="A1684" s="5"/>
      <c r="B1684" s="5" t="s">
        <v>37</v>
      </c>
      <c r="C1684" s="73" t="str">
        <f t="shared" si="26"/>
        <v>Closed</v>
      </c>
      <c r="D1684" s="45" t="s">
        <v>9368</v>
      </c>
      <c r="E1684" s="54" t="s">
        <v>9369</v>
      </c>
      <c r="F1684" s="5" t="s">
        <v>563</v>
      </c>
      <c r="G1684" s="10">
        <f>DATE(2013,11,11)</f>
        <v>41589</v>
      </c>
      <c r="H1684" s="35">
        <v>1.7708333333333335</v>
      </c>
      <c r="I1684" s="5" t="s">
        <v>179</v>
      </c>
      <c r="J1684" s="10" t="s">
        <v>9370</v>
      </c>
      <c r="K1684" s="5" t="s">
        <v>565</v>
      </c>
      <c r="L1684" s="5" t="s">
        <v>7815</v>
      </c>
      <c r="M1684" s="5" t="s">
        <v>45</v>
      </c>
      <c r="N1684" s="5" t="s">
        <v>123</v>
      </c>
      <c r="O1684" s="5" t="s">
        <v>59</v>
      </c>
      <c r="P1684" s="10" t="s">
        <v>60</v>
      </c>
      <c r="Q1684" s="10" t="s">
        <v>9371</v>
      </c>
      <c r="R1684" s="10" t="s">
        <v>568</v>
      </c>
      <c r="S1684" s="5">
        <v>0</v>
      </c>
      <c r="T1684" s="37">
        <v>0</v>
      </c>
      <c r="U1684" s="5">
        <v>0</v>
      </c>
      <c r="V1684" s="37">
        <v>0</v>
      </c>
      <c r="W1684" s="5">
        <v>0</v>
      </c>
      <c r="X1684" s="5">
        <v>0</v>
      </c>
      <c r="Y1684" s="5">
        <v>0</v>
      </c>
      <c r="Z1684" s="37">
        <v>0</v>
      </c>
      <c r="AA1684" s="5">
        <v>0</v>
      </c>
      <c r="AB1684" s="5">
        <v>0</v>
      </c>
      <c r="AC1684" s="5">
        <v>0</v>
      </c>
      <c r="AD1684" s="5">
        <v>0</v>
      </c>
      <c r="AE1684" s="10" t="s">
        <v>126</v>
      </c>
      <c r="AF1684" s="10"/>
      <c r="AG1684" s="10" t="s">
        <v>64</v>
      </c>
      <c r="AH1684" s="10">
        <v>41591</v>
      </c>
      <c r="AI1684" s="5">
        <v>0</v>
      </c>
      <c r="AJ1684" s="10" t="s">
        <v>9372</v>
      </c>
      <c r="AK1684" s="10" t="s">
        <v>1215</v>
      </c>
    </row>
    <row r="1685" spans="1:37" ht="36.75" customHeight="1" x14ac:dyDescent="0.35">
      <c r="A1685" s="5"/>
      <c r="B1685" s="5" t="s">
        <v>37</v>
      </c>
      <c r="C1685" s="73" t="str">
        <f t="shared" si="26"/>
        <v>Closed</v>
      </c>
      <c r="D1685" s="45" t="s">
        <v>9373</v>
      </c>
      <c r="E1685" s="54" t="s">
        <v>9374</v>
      </c>
      <c r="F1685" s="5" t="s">
        <v>816</v>
      </c>
      <c r="G1685" s="10">
        <f>DATE(2013,11,18)</f>
        <v>41596</v>
      </c>
      <c r="H1685" s="35">
        <v>0</v>
      </c>
      <c r="I1685" s="5" t="s">
        <v>85</v>
      </c>
      <c r="J1685" s="10" t="s">
        <v>9375</v>
      </c>
      <c r="K1685" s="5" t="s">
        <v>818</v>
      </c>
      <c r="L1685" s="5" t="s">
        <v>9376</v>
      </c>
      <c r="M1685" s="5" t="s">
        <v>45</v>
      </c>
      <c r="N1685" s="5" t="s">
        <v>80</v>
      </c>
      <c r="O1685" s="5" t="s">
        <v>46</v>
      </c>
      <c r="P1685" s="10" t="s">
        <v>197</v>
      </c>
      <c r="Q1685" s="10" t="s">
        <v>5819</v>
      </c>
      <c r="R1685" s="10" t="s">
        <v>821</v>
      </c>
      <c r="S1685" s="5">
        <v>0</v>
      </c>
      <c r="T1685" s="37">
        <v>0</v>
      </c>
      <c r="U1685" s="5">
        <v>0</v>
      </c>
      <c r="V1685" s="37">
        <v>0</v>
      </c>
      <c r="W1685" s="5">
        <v>0</v>
      </c>
      <c r="X1685" s="5">
        <v>0</v>
      </c>
      <c r="Y1685" s="5">
        <v>0</v>
      </c>
      <c r="Z1685" s="37">
        <v>0</v>
      </c>
      <c r="AA1685" s="5">
        <v>0</v>
      </c>
      <c r="AB1685" s="5">
        <v>0</v>
      </c>
      <c r="AC1685" s="5">
        <v>0</v>
      </c>
      <c r="AD1685" s="5">
        <v>0</v>
      </c>
      <c r="AE1685" s="10" t="s">
        <v>73</v>
      </c>
      <c r="AF1685" s="10"/>
      <c r="AG1685" s="10" t="s">
        <v>333</v>
      </c>
      <c r="AH1685" s="10">
        <v>41596</v>
      </c>
      <c r="AI1685" s="5">
        <v>2</v>
      </c>
      <c r="AJ1685" s="10" t="s">
        <v>9377</v>
      </c>
      <c r="AK1685" s="10"/>
    </row>
    <row r="1686" spans="1:37" ht="36.75" customHeight="1" x14ac:dyDescent="0.35">
      <c r="A1686" s="5"/>
      <c r="B1686" s="5" t="s">
        <v>37</v>
      </c>
      <c r="C1686" s="73" t="str">
        <f t="shared" si="26"/>
        <v>Closed</v>
      </c>
      <c r="D1686" s="45" t="s">
        <v>9378</v>
      </c>
      <c r="E1686" s="54" t="s">
        <v>9379</v>
      </c>
      <c r="F1686" s="5" t="s">
        <v>1553</v>
      </c>
      <c r="G1686" s="10">
        <f>DATE(2013,11,20)</f>
        <v>41598</v>
      </c>
      <c r="H1686" s="35">
        <v>1.7291666666666665</v>
      </c>
      <c r="I1686" s="5" t="s">
        <v>55</v>
      </c>
      <c r="J1686" s="10" t="s">
        <v>9380</v>
      </c>
      <c r="K1686" s="5" t="s">
        <v>1555</v>
      </c>
      <c r="L1686" s="5" t="s">
        <v>9381</v>
      </c>
      <c r="M1686" s="5" t="s">
        <v>45</v>
      </c>
      <c r="N1686" s="5" t="s">
        <v>80</v>
      </c>
      <c r="O1686" s="5" t="s">
        <v>46</v>
      </c>
      <c r="P1686" s="10" t="s">
        <v>60</v>
      </c>
      <c r="Q1686" s="10" t="s">
        <v>2635</v>
      </c>
      <c r="R1686" s="10" t="s">
        <v>6413</v>
      </c>
      <c r="S1686" s="5">
        <v>0</v>
      </c>
      <c r="T1686" s="37">
        <v>0</v>
      </c>
      <c r="U1686" s="5">
        <v>0</v>
      </c>
      <c r="V1686" s="37">
        <v>0</v>
      </c>
      <c r="W1686" s="5">
        <v>0</v>
      </c>
      <c r="X1686" s="5">
        <v>0</v>
      </c>
      <c r="Y1686" s="5">
        <v>0</v>
      </c>
      <c r="Z1686" s="37">
        <v>0</v>
      </c>
      <c r="AA1686" s="5">
        <v>0</v>
      </c>
      <c r="AB1686" s="5">
        <v>0</v>
      </c>
      <c r="AC1686" s="5">
        <v>0</v>
      </c>
      <c r="AD1686" s="5">
        <v>0</v>
      </c>
      <c r="AE1686" s="10" t="s">
        <v>73</v>
      </c>
      <c r="AF1686" s="10"/>
      <c r="AG1686" s="10" t="s">
        <v>333</v>
      </c>
      <c r="AH1686" s="10">
        <v>41603</v>
      </c>
      <c r="AI1686" s="5">
        <v>0</v>
      </c>
      <c r="AJ1686" s="10" t="s">
        <v>9382</v>
      </c>
      <c r="AK1686" s="10" t="s">
        <v>6893</v>
      </c>
    </row>
    <row r="1687" spans="1:37" ht="36.75" customHeight="1" x14ac:dyDescent="0.35">
      <c r="A1687" s="5"/>
      <c r="B1687" s="5" t="s">
        <v>37</v>
      </c>
      <c r="C1687" s="73" t="str">
        <f t="shared" si="26"/>
        <v>Closed</v>
      </c>
      <c r="D1687" s="45" t="s">
        <v>9383</v>
      </c>
      <c r="E1687" s="54" t="s">
        <v>9384</v>
      </c>
      <c r="F1687" s="5" t="s">
        <v>214</v>
      </c>
      <c r="G1687" s="10">
        <f>DATE(2013,11,20)</f>
        <v>41598</v>
      </c>
      <c r="H1687" s="35">
        <v>1.5069444444444444</v>
      </c>
      <c r="I1687" s="5" t="s">
        <v>137</v>
      </c>
      <c r="J1687" s="10" t="s">
        <v>9385</v>
      </c>
      <c r="K1687" s="5" t="s">
        <v>216</v>
      </c>
      <c r="L1687" s="5" t="s">
        <v>9386</v>
      </c>
      <c r="M1687" s="5" t="s">
        <v>45</v>
      </c>
      <c r="N1687" s="5" t="s">
        <v>80</v>
      </c>
      <c r="O1687" s="5" t="s">
        <v>59</v>
      </c>
      <c r="P1687" s="10" t="s">
        <v>443</v>
      </c>
      <c r="Q1687" s="10" t="s">
        <v>7096</v>
      </c>
      <c r="R1687" s="10" t="s">
        <v>219</v>
      </c>
      <c r="S1687" s="5">
        <v>0</v>
      </c>
      <c r="T1687" s="37">
        <v>0</v>
      </c>
      <c r="U1687" s="5">
        <v>0</v>
      </c>
      <c r="V1687" s="37">
        <v>0</v>
      </c>
      <c r="W1687" s="5">
        <v>0</v>
      </c>
      <c r="X1687" s="5">
        <v>0</v>
      </c>
      <c r="Y1687" s="5">
        <v>0</v>
      </c>
      <c r="Z1687" s="37">
        <v>0</v>
      </c>
      <c r="AA1687" s="5">
        <v>0</v>
      </c>
      <c r="AB1687" s="5">
        <v>0</v>
      </c>
      <c r="AC1687" s="5">
        <v>0</v>
      </c>
      <c r="AD1687" s="5">
        <v>0</v>
      </c>
      <c r="AE1687" s="10" t="s">
        <v>375</v>
      </c>
      <c r="AF1687" s="10"/>
      <c r="AG1687" s="10" t="s">
        <v>114</v>
      </c>
      <c r="AH1687" s="10">
        <v>41603</v>
      </c>
      <c r="AI1687" s="5">
        <v>3</v>
      </c>
      <c r="AJ1687" s="10" t="s">
        <v>9387</v>
      </c>
      <c r="AK1687" s="10" t="s">
        <v>9388</v>
      </c>
    </row>
    <row r="1688" spans="1:37" ht="36.75" customHeight="1" x14ac:dyDescent="0.35">
      <c r="A1688" s="5"/>
      <c r="B1688" s="5" t="s">
        <v>37</v>
      </c>
      <c r="C1688" s="73" t="str">
        <f t="shared" si="26"/>
        <v>Closed</v>
      </c>
      <c r="D1688" s="45" t="s">
        <v>9389</v>
      </c>
      <c r="E1688" s="54" t="s">
        <v>9390</v>
      </c>
      <c r="F1688" s="5" t="s">
        <v>214</v>
      </c>
      <c r="G1688" s="10">
        <f>DATE(2013,11,23)</f>
        <v>41601</v>
      </c>
      <c r="H1688" s="35">
        <v>1.7847222222222223</v>
      </c>
      <c r="I1688" s="5" t="s">
        <v>5473</v>
      </c>
      <c r="J1688" s="10" t="s">
        <v>9391</v>
      </c>
      <c r="K1688" s="5" t="s">
        <v>216</v>
      </c>
      <c r="L1688" s="5" t="s">
        <v>9392</v>
      </c>
      <c r="M1688" s="5" t="s">
        <v>45</v>
      </c>
      <c r="N1688" s="5" t="s">
        <v>70</v>
      </c>
      <c r="O1688" s="5" t="s">
        <v>46</v>
      </c>
      <c r="P1688" s="10" t="s">
        <v>7960</v>
      </c>
      <c r="Q1688" s="10" t="s">
        <v>8346</v>
      </c>
      <c r="R1688" s="10" t="s">
        <v>219</v>
      </c>
      <c r="S1688" s="5">
        <v>0</v>
      </c>
      <c r="T1688" s="37">
        <v>0</v>
      </c>
      <c r="U1688" s="5">
        <v>0</v>
      </c>
      <c r="V1688" s="37">
        <v>0</v>
      </c>
      <c r="W1688" s="5">
        <v>0</v>
      </c>
      <c r="X1688" s="5">
        <v>0</v>
      </c>
      <c r="Y1688" s="5">
        <v>0</v>
      </c>
      <c r="Z1688" s="37">
        <v>0</v>
      </c>
      <c r="AA1688" s="5">
        <v>0</v>
      </c>
      <c r="AB1688" s="5">
        <v>0</v>
      </c>
      <c r="AC1688" s="5">
        <v>0</v>
      </c>
      <c r="AD1688" s="5">
        <v>0</v>
      </c>
      <c r="AE1688" s="10" t="s">
        <v>73</v>
      </c>
      <c r="AF1688" s="10"/>
      <c r="AG1688" s="10" t="s">
        <v>114</v>
      </c>
      <c r="AH1688" s="10">
        <v>41617</v>
      </c>
      <c r="AI1688" s="5">
        <v>4</v>
      </c>
      <c r="AJ1688" s="10" t="s">
        <v>9393</v>
      </c>
      <c r="AK1688" s="10" t="s">
        <v>9394</v>
      </c>
    </row>
    <row r="1689" spans="1:37" ht="36.75" customHeight="1" x14ac:dyDescent="0.35">
      <c r="A1689" s="5"/>
      <c r="B1689" s="5" t="s">
        <v>37</v>
      </c>
      <c r="C1689" s="73" t="str">
        <f t="shared" si="26"/>
        <v>Closed</v>
      </c>
      <c r="D1689" s="45" t="s">
        <v>9395</v>
      </c>
      <c r="E1689" s="54" t="s">
        <v>9396</v>
      </c>
      <c r="F1689" s="5" t="s">
        <v>96</v>
      </c>
      <c r="G1689" s="10">
        <f>DATE(2013,11,26)</f>
        <v>41604</v>
      </c>
      <c r="H1689" s="35">
        <v>1.4097222222222223</v>
      </c>
      <c r="I1689" s="5" t="s">
        <v>9397</v>
      </c>
      <c r="J1689" s="10" t="s">
        <v>9398</v>
      </c>
      <c r="K1689" s="5" t="s">
        <v>99</v>
      </c>
      <c r="L1689" s="5" t="s">
        <v>9399</v>
      </c>
      <c r="M1689" s="5" t="s">
        <v>45</v>
      </c>
      <c r="N1689" s="5" t="s">
        <v>123</v>
      </c>
      <c r="O1689" s="5" t="s">
        <v>46</v>
      </c>
      <c r="P1689" s="10" t="s">
        <v>6920</v>
      </c>
      <c r="Q1689" s="10" t="s">
        <v>101</v>
      </c>
      <c r="R1689" s="10" t="s">
        <v>102</v>
      </c>
      <c r="S1689" s="5">
        <v>0</v>
      </c>
      <c r="T1689" s="37">
        <v>0</v>
      </c>
      <c r="U1689" s="5">
        <v>0</v>
      </c>
      <c r="V1689" s="37">
        <v>0</v>
      </c>
      <c r="W1689" s="5">
        <v>0</v>
      </c>
      <c r="X1689" s="5">
        <v>0</v>
      </c>
      <c r="Y1689" s="5">
        <v>0</v>
      </c>
      <c r="Z1689" s="37">
        <v>0</v>
      </c>
      <c r="AA1689" s="5">
        <v>0</v>
      </c>
      <c r="AB1689" s="5">
        <v>0</v>
      </c>
      <c r="AC1689" s="5">
        <v>0</v>
      </c>
      <c r="AD1689" s="5">
        <v>0</v>
      </c>
      <c r="AE1689" s="10" t="s">
        <v>73</v>
      </c>
      <c r="AF1689" s="10"/>
      <c r="AG1689" s="10" t="s">
        <v>570</v>
      </c>
      <c r="AH1689" s="10">
        <v>41613</v>
      </c>
      <c r="AI1689" s="5">
        <v>3</v>
      </c>
      <c r="AJ1689" s="10" t="s">
        <v>9400</v>
      </c>
      <c r="AK1689" s="10" t="s">
        <v>9401</v>
      </c>
    </row>
    <row r="1690" spans="1:37" ht="36.75" customHeight="1" x14ac:dyDescent="0.35">
      <c r="A1690" s="5"/>
      <c r="B1690" s="5" t="s">
        <v>37</v>
      </c>
      <c r="C1690" s="73" t="str">
        <f t="shared" si="26"/>
        <v>Closed</v>
      </c>
      <c r="D1690" s="45" t="s">
        <v>9402</v>
      </c>
      <c r="E1690" s="54" t="s">
        <v>9403</v>
      </c>
      <c r="F1690" s="5" t="s">
        <v>432</v>
      </c>
      <c r="G1690" s="10">
        <f>DATE(2013,11,30)</f>
        <v>41608</v>
      </c>
      <c r="H1690" s="35">
        <v>1.8208333333333333</v>
      </c>
      <c r="I1690" s="5" t="s">
        <v>179</v>
      </c>
      <c r="J1690" s="10" t="s">
        <v>9404</v>
      </c>
      <c r="K1690" s="5" t="s">
        <v>434</v>
      </c>
      <c r="L1690" s="5" t="s">
        <v>9405</v>
      </c>
      <c r="M1690" s="5" t="s">
        <v>45</v>
      </c>
      <c r="N1690" s="5" t="s">
        <v>80</v>
      </c>
      <c r="O1690" s="5" t="s">
        <v>59</v>
      </c>
      <c r="P1690" s="10" t="s">
        <v>60</v>
      </c>
      <c r="Q1690" s="10" t="s">
        <v>9406</v>
      </c>
      <c r="R1690" s="10" t="s">
        <v>553</v>
      </c>
      <c r="S1690" s="5">
        <v>0</v>
      </c>
      <c r="T1690" s="37">
        <v>0</v>
      </c>
      <c r="U1690" s="5">
        <v>0</v>
      </c>
      <c r="V1690" s="37">
        <v>0</v>
      </c>
      <c r="W1690" s="5">
        <v>0</v>
      </c>
      <c r="X1690" s="5">
        <v>0</v>
      </c>
      <c r="Y1690" s="5">
        <v>0</v>
      </c>
      <c r="Z1690" s="37">
        <v>0</v>
      </c>
      <c r="AA1690" s="5">
        <v>0</v>
      </c>
      <c r="AB1690" s="5">
        <v>0</v>
      </c>
      <c r="AC1690" s="5">
        <v>0</v>
      </c>
      <c r="AD1690" s="5">
        <v>0</v>
      </c>
      <c r="AE1690" s="10" t="s">
        <v>126</v>
      </c>
      <c r="AF1690" s="10"/>
      <c r="AG1690" s="10" t="s">
        <v>570</v>
      </c>
      <c r="AH1690" s="10">
        <v>41608</v>
      </c>
      <c r="AI1690" s="5">
        <v>2</v>
      </c>
      <c r="AJ1690" s="10" t="s">
        <v>9407</v>
      </c>
      <c r="AK1690" s="10" t="s">
        <v>9408</v>
      </c>
    </row>
    <row r="1691" spans="1:37" ht="36.75" customHeight="1" x14ac:dyDescent="0.35">
      <c r="A1691" s="5"/>
      <c r="B1691" s="5" t="s">
        <v>37</v>
      </c>
      <c r="C1691" s="73" t="str">
        <f t="shared" si="26"/>
        <v>Closed</v>
      </c>
      <c r="D1691" s="45" t="s">
        <v>9409</v>
      </c>
      <c r="E1691" s="54" t="s">
        <v>9410</v>
      </c>
      <c r="F1691" s="5" t="s">
        <v>358</v>
      </c>
      <c r="G1691" s="10">
        <f>DATE(2013,12,1)</f>
        <v>41609</v>
      </c>
      <c r="H1691" s="35">
        <v>1.9548611111111112</v>
      </c>
      <c r="I1691" s="5" t="s">
        <v>55</v>
      </c>
      <c r="J1691" s="10" t="s">
        <v>9411</v>
      </c>
      <c r="K1691" s="5" t="s">
        <v>360</v>
      </c>
      <c r="L1691" s="5" t="s">
        <v>9412</v>
      </c>
      <c r="M1691" s="5" t="s">
        <v>45</v>
      </c>
      <c r="N1691" s="5" t="s">
        <v>80</v>
      </c>
      <c r="O1691" s="5" t="s">
        <v>46</v>
      </c>
      <c r="P1691" s="10" t="s">
        <v>146</v>
      </c>
      <c r="Q1691" s="10" t="s">
        <v>2886</v>
      </c>
      <c r="R1691" s="10" t="s">
        <v>363</v>
      </c>
      <c r="S1691" s="5">
        <v>0</v>
      </c>
      <c r="T1691" s="37">
        <v>0</v>
      </c>
      <c r="U1691" s="5">
        <v>0</v>
      </c>
      <c r="V1691" s="37">
        <v>0</v>
      </c>
      <c r="W1691" s="5">
        <v>0</v>
      </c>
      <c r="X1691" s="5">
        <v>0</v>
      </c>
      <c r="Y1691" s="5">
        <v>0</v>
      </c>
      <c r="Z1691" s="37">
        <v>2</v>
      </c>
      <c r="AA1691" s="5">
        <v>0</v>
      </c>
      <c r="AB1691" s="5">
        <v>0</v>
      </c>
      <c r="AC1691" s="5">
        <v>0</v>
      </c>
      <c r="AD1691" s="5">
        <v>2</v>
      </c>
      <c r="AE1691" s="10" t="s">
        <v>375</v>
      </c>
      <c r="AF1691" s="10"/>
      <c r="AG1691" s="10" t="s">
        <v>114</v>
      </c>
      <c r="AH1691" s="10">
        <v>41611</v>
      </c>
      <c r="AI1691" s="5">
        <v>3</v>
      </c>
      <c r="AJ1691" s="10" t="s">
        <v>9413</v>
      </c>
      <c r="AK1691" s="10" t="s">
        <v>9414</v>
      </c>
    </row>
    <row r="1692" spans="1:37" ht="36.75" customHeight="1" x14ac:dyDescent="0.35">
      <c r="A1692" s="5"/>
      <c r="B1692" s="5" t="s">
        <v>37</v>
      </c>
      <c r="C1692" s="73" t="str">
        <f t="shared" si="26"/>
        <v>Closed</v>
      </c>
      <c r="D1692" s="45" t="s">
        <v>9415</v>
      </c>
      <c r="E1692" s="54" t="s">
        <v>9416</v>
      </c>
      <c r="F1692" s="5" t="s">
        <v>816</v>
      </c>
      <c r="G1692" s="10">
        <f>DATE(2013,12,2)</f>
        <v>41610</v>
      </c>
      <c r="H1692" s="35">
        <v>1.4881944444444444</v>
      </c>
      <c r="I1692" s="5" t="s">
        <v>85</v>
      </c>
      <c r="J1692" s="10" t="s">
        <v>9417</v>
      </c>
      <c r="K1692" s="5" t="s">
        <v>818</v>
      </c>
      <c r="L1692" s="5" t="s">
        <v>9418</v>
      </c>
      <c r="M1692" s="5" t="s">
        <v>45</v>
      </c>
      <c r="N1692" s="5" t="s">
        <v>123</v>
      </c>
      <c r="O1692" s="5" t="s">
        <v>46</v>
      </c>
      <c r="P1692" s="10" t="s">
        <v>1198</v>
      </c>
      <c r="Q1692" s="10" t="s">
        <v>2142</v>
      </c>
      <c r="R1692" s="10" t="s">
        <v>821</v>
      </c>
      <c r="S1692" s="5">
        <v>0</v>
      </c>
      <c r="T1692" s="37">
        <v>0</v>
      </c>
      <c r="U1692" s="5">
        <v>0</v>
      </c>
      <c r="V1692" s="37">
        <v>0</v>
      </c>
      <c r="W1692" s="5">
        <v>0</v>
      </c>
      <c r="X1692" s="5">
        <v>0</v>
      </c>
      <c r="Y1692" s="5">
        <v>0</v>
      </c>
      <c r="Z1692" s="37">
        <v>0</v>
      </c>
      <c r="AA1692" s="5">
        <v>0</v>
      </c>
      <c r="AB1692" s="5">
        <v>0</v>
      </c>
      <c r="AC1692" s="5">
        <v>0</v>
      </c>
      <c r="AD1692" s="5">
        <v>0</v>
      </c>
      <c r="AE1692" s="10" t="s">
        <v>73</v>
      </c>
      <c r="AF1692" s="10"/>
      <c r="AG1692" s="10" t="s">
        <v>333</v>
      </c>
      <c r="AH1692" s="10">
        <v>41610</v>
      </c>
      <c r="AI1692" s="5">
        <v>0</v>
      </c>
      <c r="AJ1692" s="10" t="s">
        <v>8619</v>
      </c>
      <c r="AK1692" s="10" t="s">
        <v>50</v>
      </c>
    </row>
    <row r="1693" spans="1:37" ht="36.75" customHeight="1" x14ac:dyDescent="0.35">
      <c r="A1693" s="5"/>
      <c r="B1693" s="5" t="s">
        <v>37</v>
      </c>
      <c r="C1693" s="73" t="str">
        <f t="shared" si="26"/>
        <v>Closed</v>
      </c>
      <c r="D1693" s="45" t="s">
        <v>9419</v>
      </c>
      <c r="E1693" s="54" t="s">
        <v>9420</v>
      </c>
      <c r="F1693" s="5" t="s">
        <v>1553</v>
      </c>
      <c r="G1693" s="10">
        <f>DATE(2013,12,2)</f>
        <v>41610</v>
      </c>
      <c r="H1693" s="35">
        <v>1.0625</v>
      </c>
      <c r="I1693" s="5" t="s">
        <v>106</v>
      </c>
      <c r="J1693" s="10" t="s">
        <v>9421</v>
      </c>
      <c r="K1693" s="5" t="s">
        <v>1555</v>
      </c>
      <c r="L1693" s="5" t="s">
        <v>9422</v>
      </c>
      <c r="M1693" s="5" t="s">
        <v>45</v>
      </c>
      <c r="N1693" s="5" t="s">
        <v>80</v>
      </c>
      <c r="O1693" s="5" t="s">
        <v>46</v>
      </c>
      <c r="P1693" s="10" t="s">
        <v>60</v>
      </c>
      <c r="Q1693" s="10" t="s">
        <v>2635</v>
      </c>
      <c r="R1693" s="10" t="s">
        <v>6413</v>
      </c>
      <c r="S1693" s="5">
        <v>0</v>
      </c>
      <c r="T1693" s="37">
        <v>0</v>
      </c>
      <c r="U1693" s="5">
        <v>0</v>
      </c>
      <c r="V1693" s="37">
        <v>0</v>
      </c>
      <c r="W1693" s="5">
        <v>0</v>
      </c>
      <c r="X1693" s="5">
        <v>0</v>
      </c>
      <c r="Y1693" s="5">
        <v>0</v>
      </c>
      <c r="Z1693" s="37">
        <v>0</v>
      </c>
      <c r="AA1693" s="5">
        <v>0</v>
      </c>
      <c r="AB1693" s="5">
        <v>0</v>
      </c>
      <c r="AC1693" s="5">
        <v>0</v>
      </c>
      <c r="AD1693" s="5">
        <v>0</v>
      </c>
      <c r="AE1693" s="10" t="s">
        <v>375</v>
      </c>
      <c r="AF1693" s="10"/>
      <c r="AG1693" s="10" t="s">
        <v>114</v>
      </c>
      <c r="AH1693" s="10">
        <v>41610</v>
      </c>
      <c r="AI1693" s="5">
        <v>0</v>
      </c>
      <c r="AJ1693" s="10" t="s">
        <v>9423</v>
      </c>
      <c r="AK1693" s="10" t="s">
        <v>9424</v>
      </c>
    </row>
    <row r="1694" spans="1:37" ht="36.75" customHeight="1" x14ac:dyDescent="0.35">
      <c r="A1694" s="5"/>
      <c r="B1694" s="5" t="s">
        <v>37</v>
      </c>
      <c r="C1694" s="73" t="str">
        <f t="shared" si="26"/>
        <v>Closed</v>
      </c>
      <c r="D1694" s="45" t="s">
        <v>9425</v>
      </c>
      <c r="E1694" s="54" t="s">
        <v>9426</v>
      </c>
      <c r="F1694" s="5" t="s">
        <v>1553</v>
      </c>
      <c r="G1694" s="10">
        <f>DATE(2013,12,4)</f>
        <v>41612</v>
      </c>
      <c r="H1694" s="35">
        <v>1.3125</v>
      </c>
      <c r="I1694" s="5" t="s">
        <v>97</v>
      </c>
      <c r="J1694" s="10" t="s">
        <v>9427</v>
      </c>
      <c r="K1694" s="5" t="s">
        <v>1555</v>
      </c>
      <c r="L1694" s="5" t="s">
        <v>9428</v>
      </c>
      <c r="M1694" s="5" t="s">
        <v>45</v>
      </c>
      <c r="N1694" s="5" t="s">
        <v>80</v>
      </c>
      <c r="O1694" s="5" t="s">
        <v>46</v>
      </c>
      <c r="P1694" s="10" t="s">
        <v>146</v>
      </c>
      <c r="Q1694" s="10" t="s">
        <v>5149</v>
      </c>
      <c r="R1694" s="10" t="s">
        <v>2541</v>
      </c>
      <c r="S1694" s="5">
        <v>0</v>
      </c>
      <c r="T1694" s="37">
        <v>0</v>
      </c>
      <c r="U1694" s="5">
        <v>0</v>
      </c>
      <c r="V1694" s="37">
        <v>0</v>
      </c>
      <c r="W1694" s="5">
        <v>0</v>
      </c>
      <c r="X1694" s="5">
        <v>0</v>
      </c>
      <c r="Y1694" s="5">
        <v>0</v>
      </c>
      <c r="Z1694" s="37">
        <v>0</v>
      </c>
      <c r="AA1694" s="5">
        <v>0</v>
      </c>
      <c r="AB1694" s="5">
        <v>0</v>
      </c>
      <c r="AC1694" s="5">
        <v>0</v>
      </c>
      <c r="AD1694" s="5">
        <v>0</v>
      </c>
      <c r="AE1694" s="10" t="s">
        <v>73</v>
      </c>
      <c r="AF1694" s="10"/>
      <c r="AG1694" s="10" t="s">
        <v>114</v>
      </c>
      <c r="AH1694" s="10">
        <v>41612</v>
      </c>
      <c r="AI1694" s="5">
        <v>3</v>
      </c>
      <c r="AJ1694" s="10" t="s">
        <v>9429</v>
      </c>
      <c r="AK1694" s="10" t="s">
        <v>6893</v>
      </c>
    </row>
    <row r="1695" spans="1:37" ht="36.75" customHeight="1" x14ac:dyDescent="0.35">
      <c r="A1695" s="5"/>
      <c r="B1695" s="5" t="s">
        <v>37</v>
      </c>
      <c r="C1695" s="73" t="str">
        <f t="shared" si="26"/>
        <v>Closed</v>
      </c>
      <c r="D1695" s="45" t="s">
        <v>9430</v>
      </c>
      <c r="E1695" s="54" t="s">
        <v>9431</v>
      </c>
      <c r="F1695" s="5" t="s">
        <v>1919</v>
      </c>
      <c r="G1695" s="10">
        <f>DATE(2013,12,8)</f>
        <v>41616</v>
      </c>
      <c r="H1695" s="35">
        <v>0</v>
      </c>
      <c r="I1695" s="5" t="s">
        <v>85</v>
      </c>
      <c r="J1695" s="10" t="s">
        <v>9432</v>
      </c>
      <c r="K1695" s="5" t="s">
        <v>1921</v>
      </c>
      <c r="L1695" s="5" t="s">
        <v>9433</v>
      </c>
      <c r="M1695" s="5" t="s">
        <v>45</v>
      </c>
      <c r="N1695" s="5" t="s">
        <v>70</v>
      </c>
      <c r="O1695" s="5" t="s">
        <v>46</v>
      </c>
      <c r="P1695" s="10" t="s">
        <v>146</v>
      </c>
      <c r="Q1695" s="10" t="s">
        <v>1923</v>
      </c>
      <c r="R1695" s="10" t="s">
        <v>1923</v>
      </c>
      <c r="S1695" s="5">
        <v>0</v>
      </c>
      <c r="T1695" s="37">
        <v>0</v>
      </c>
      <c r="U1695" s="5">
        <v>0</v>
      </c>
      <c r="V1695" s="37">
        <v>0</v>
      </c>
      <c r="W1695" s="5">
        <v>0</v>
      </c>
      <c r="X1695" s="5">
        <v>0</v>
      </c>
      <c r="Y1695" s="5">
        <v>0</v>
      </c>
      <c r="Z1695" s="37">
        <v>0</v>
      </c>
      <c r="AA1695" s="5">
        <v>0</v>
      </c>
      <c r="AB1695" s="5">
        <v>0</v>
      </c>
      <c r="AC1695" s="5">
        <v>0</v>
      </c>
      <c r="AD1695" s="5">
        <v>0</v>
      </c>
      <c r="AE1695" s="10" t="s">
        <v>73</v>
      </c>
      <c r="AF1695" s="10"/>
      <c r="AG1695" s="10" t="s">
        <v>1439</v>
      </c>
      <c r="AH1695" s="10">
        <v>41621</v>
      </c>
      <c r="AI1695" s="5">
        <v>12</v>
      </c>
      <c r="AJ1695" s="10" t="s">
        <v>9434</v>
      </c>
      <c r="AK1695" s="10" t="s">
        <v>9435</v>
      </c>
    </row>
    <row r="1696" spans="1:37" ht="36.75" customHeight="1" x14ac:dyDescent="0.35">
      <c r="A1696" s="5"/>
      <c r="B1696" s="5" t="s">
        <v>37</v>
      </c>
      <c r="C1696" s="73" t="str">
        <f t="shared" si="26"/>
        <v>Closed</v>
      </c>
      <c r="D1696" s="45" t="s">
        <v>9436</v>
      </c>
      <c r="E1696" s="54" t="s">
        <v>9437</v>
      </c>
      <c r="F1696" s="5" t="s">
        <v>1553</v>
      </c>
      <c r="G1696" s="10">
        <f>DATE(2013,12,9)</f>
        <v>41617</v>
      </c>
      <c r="H1696" s="35">
        <v>1.9020833333333331</v>
      </c>
      <c r="I1696" s="5" t="s">
        <v>55</v>
      </c>
      <c r="J1696" s="10" t="s">
        <v>9438</v>
      </c>
      <c r="K1696" s="5" t="s">
        <v>1555</v>
      </c>
      <c r="L1696" s="5" t="s">
        <v>9381</v>
      </c>
      <c r="M1696" s="5" t="s">
        <v>45</v>
      </c>
      <c r="N1696" s="5" t="s">
        <v>80</v>
      </c>
      <c r="O1696" s="5" t="s">
        <v>46</v>
      </c>
      <c r="P1696" s="10" t="s">
        <v>60</v>
      </c>
      <c r="Q1696" s="10" t="s">
        <v>9439</v>
      </c>
      <c r="R1696" s="10" t="s">
        <v>6413</v>
      </c>
      <c r="S1696" s="5">
        <v>0</v>
      </c>
      <c r="T1696" s="37">
        <v>0</v>
      </c>
      <c r="U1696" s="5">
        <v>0</v>
      </c>
      <c r="V1696" s="37">
        <v>0</v>
      </c>
      <c r="W1696" s="5">
        <v>0</v>
      </c>
      <c r="X1696" s="5">
        <v>0</v>
      </c>
      <c r="Y1696" s="5">
        <v>0</v>
      </c>
      <c r="Z1696" s="37">
        <v>0</v>
      </c>
      <c r="AA1696" s="5">
        <v>0</v>
      </c>
      <c r="AB1696" s="5">
        <v>0</v>
      </c>
      <c r="AC1696" s="5">
        <v>0</v>
      </c>
      <c r="AD1696" s="5">
        <v>0</v>
      </c>
      <c r="AE1696" s="10" t="s">
        <v>73</v>
      </c>
      <c r="AF1696" s="10"/>
      <c r="AG1696" s="10" t="s">
        <v>114</v>
      </c>
      <c r="AH1696" s="10">
        <v>41618</v>
      </c>
      <c r="AI1696" s="5">
        <v>0</v>
      </c>
      <c r="AJ1696" s="10" t="s">
        <v>9440</v>
      </c>
      <c r="AK1696" s="10" t="s">
        <v>9441</v>
      </c>
    </row>
    <row r="1697" spans="1:37" ht="36.75" customHeight="1" x14ac:dyDescent="0.35">
      <c r="A1697" s="5"/>
      <c r="B1697" s="5" t="s">
        <v>37</v>
      </c>
      <c r="C1697" s="73" t="str">
        <f t="shared" si="26"/>
        <v>Closed</v>
      </c>
      <c r="D1697" s="45" t="s">
        <v>9442</v>
      </c>
      <c r="E1697" s="54" t="s">
        <v>9443</v>
      </c>
      <c r="F1697" s="5" t="s">
        <v>105</v>
      </c>
      <c r="G1697" s="10">
        <f>DATE(2013,12,17)</f>
        <v>41625</v>
      </c>
      <c r="H1697" s="35">
        <v>1</v>
      </c>
      <c r="I1697" s="5" t="s">
        <v>85</v>
      </c>
      <c r="J1697" s="10" t="s">
        <v>9444</v>
      </c>
      <c r="K1697" s="5" t="s">
        <v>108</v>
      </c>
      <c r="L1697" s="5" t="s">
        <v>9445</v>
      </c>
      <c r="M1697" s="5" t="s">
        <v>45</v>
      </c>
      <c r="N1697" s="5" t="s">
        <v>80</v>
      </c>
      <c r="O1697" s="5" t="s">
        <v>67</v>
      </c>
      <c r="P1697" s="10" t="s">
        <v>67</v>
      </c>
      <c r="Q1697" s="10">
        <v>0</v>
      </c>
      <c r="R1697" s="10" t="s">
        <v>148</v>
      </c>
      <c r="S1697" s="5">
        <v>0</v>
      </c>
      <c r="T1697" s="37">
        <v>0</v>
      </c>
      <c r="U1697" s="5">
        <v>0</v>
      </c>
      <c r="V1697" s="37">
        <v>0</v>
      </c>
      <c r="W1697" s="5">
        <v>0</v>
      </c>
      <c r="X1697" s="5">
        <v>0</v>
      </c>
      <c r="Y1697" s="5">
        <v>0</v>
      </c>
      <c r="Z1697" s="37">
        <v>0</v>
      </c>
      <c r="AA1697" s="5">
        <v>0</v>
      </c>
      <c r="AB1697" s="5">
        <v>0</v>
      </c>
      <c r="AC1697" s="5">
        <v>0</v>
      </c>
      <c r="AD1697" s="5">
        <v>0</v>
      </c>
      <c r="AE1697" s="10" t="s">
        <v>73</v>
      </c>
      <c r="AF1697" s="10"/>
      <c r="AG1697" s="10" t="s">
        <v>333</v>
      </c>
      <c r="AH1697" s="10">
        <v>41625</v>
      </c>
      <c r="AI1697" s="5">
        <v>0</v>
      </c>
      <c r="AJ1697" s="10" t="s">
        <v>9446</v>
      </c>
      <c r="AK1697" s="10" t="s">
        <v>50</v>
      </c>
    </row>
    <row r="1698" spans="1:37" ht="36.75" customHeight="1" x14ac:dyDescent="0.35">
      <c r="A1698" s="5"/>
      <c r="B1698" s="5" t="s">
        <v>37</v>
      </c>
      <c r="C1698" s="73" t="str">
        <f t="shared" si="26"/>
        <v>Closed</v>
      </c>
      <c r="D1698" s="45" t="s">
        <v>9447</v>
      </c>
      <c r="E1698" s="54" t="s">
        <v>9448</v>
      </c>
      <c r="F1698" s="5" t="s">
        <v>96</v>
      </c>
      <c r="G1698" s="10">
        <f>DATE(2013,12,18)</f>
        <v>41626</v>
      </c>
      <c r="H1698" s="35">
        <v>1.7916666666666665</v>
      </c>
      <c r="I1698" s="5" t="s">
        <v>468</v>
      </c>
      <c r="J1698" s="10" t="s">
        <v>9449</v>
      </c>
      <c r="K1698" s="5" t="s">
        <v>99</v>
      </c>
      <c r="L1698" s="5" t="s">
        <v>9450</v>
      </c>
      <c r="M1698" s="5" t="s">
        <v>45</v>
      </c>
      <c r="N1698" s="5" t="s">
        <v>80</v>
      </c>
      <c r="O1698" s="5" t="s">
        <v>46</v>
      </c>
      <c r="P1698" s="10" t="s">
        <v>146</v>
      </c>
      <c r="Q1698" s="10" t="s">
        <v>101</v>
      </c>
      <c r="R1698" s="10" t="s">
        <v>102</v>
      </c>
      <c r="S1698" s="5">
        <v>0</v>
      </c>
      <c r="T1698" s="37">
        <v>0</v>
      </c>
      <c r="U1698" s="5">
        <v>0</v>
      </c>
      <c r="V1698" s="37">
        <v>0</v>
      </c>
      <c r="W1698" s="5">
        <v>0</v>
      </c>
      <c r="X1698" s="5">
        <v>0</v>
      </c>
      <c r="Y1698" s="5">
        <v>0</v>
      </c>
      <c r="Z1698" s="37">
        <v>0</v>
      </c>
      <c r="AA1698" s="5">
        <v>0</v>
      </c>
      <c r="AB1698" s="5">
        <v>0</v>
      </c>
      <c r="AC1698" s="5">
        <v>0</v>
      </c>
      <c r="AD1698" s="5">
        <v>0</v>
      </c>
      <c r="AE1698" s="10" t="s">
        <v>73</v>
      </c>
      <c r="AF1698" s="10"/>
      <c r="AG1698" s="10" t="s">
        <v>114</v>
      </c>
      <c r="AH1698" s="10">
        <v>41631</v>
      </c>
      <c r="AI1698" s="5">
        <v>4</v>
      </c>
      <c r="AJ1698" s="10" t="s">
        <v>9451</v>
      </c>
      <c r="AK1698" s="10" t="s">
        <v>9452</v>
      </c>
    </row>
    <row r="1699" spans="1:37" ht="36.75" customHeight="1" x14ac:dyDescent="0.35">
      <c r="A1699" s="5"/>
      <c r="B1699" s="5" t="s">
        <v>37</v>
      </c>
      <c r="C1699" s="73" t="str">
        <f t="shared" si="26"/>
        <v>Closed</v>
      </c>
      <c r="D1699" s="45" t="s">
        <v>9453</v>
      </c>
      <c r="E1699" s="54" t="s">
        <v>9454</v>
      </c>
      <c r="F1699" s="5" t="s">
        <v>1919</v>
      </c>
      <c r="G1699" s="10">
        <f>DATE(2013,12,18)</f>
        <v>41626</v>
      </c>
      <c r="H1699" s="35">
        <v>0</v>
      </c>
      <c r="I1699" s="5" t="s">
        <v>5473</v>
      </c>
      <c r="J1699" s="10" t="s">
        <v>9455</v>
      </c>
      <c r="K1699" s="5" t="s">
        <v>1921</v>
      </c>
      <c r="L1699" s="5" t="s">
        <v>9456</v>
      </c>
      <c r="M1699" s="5" t="s">
        <v>45</v>
      </c>
      <c r="N1699" s="5" t="s">
        <v>70</v>
      </c>
      <c r="O1699" s="5" t="s">
        <v>59</v>
      </c>
      <c r="P1699" s="10" t="s">
        <v>67</v>
      </c>
      <c r="Q1699" s="10" t="s">
        <v>1923</v>
      </c>
      <c r="R1699" s="10" t="s">
        <v>1923</v>
      </c>
      <c r="S1699" s="5">
        <v>0</v>
      </c>
      <c r="T1699" s="37">
        <v>0</v>
      </c>
      <c r="U1699" s="5">
        <v>0</v>
      </c>
      <c r="V1699" s="37">
        <v>0</v>
      </c>
      <c r="W1699" s="5">
        <v>0</v>
      </c>
      <c r="X1699" s="5">
        <v>0</v>
      </c>
      <c r="Y1699" s="5">
        <v>1</v>
      </c>
      <c r="Z1699" s="37">
        <v>0</v>
      </c>
      <c r="AA1699" s="5">
        <v>0</v>
      </c>
      <c r="AB1699" s="5">
        <v>0</v>
      </c>
      <c r="AC1699" s="5">
        <v>0</v>
      </c>
      <c r="AD1699" s="5">
        <v>1</v>
      </c>
      <c r="AE1699" s="10" t="s">
        <v>375</v>
      </c>
      <c r="AF1699" s="10"/>
      <c r="AG1699" s="10" t="s">
        <v>9457</v>
      </c>
      <c r="AH1699" s="10">
        <v>41628</v>
      </c>
      <c r="AI1699" s="5">
        <v>3</v>
      </c>
      <c r="AJ1699" s="10" t="s">
        <v>9458</v>
      </c>
      <c r="AK1699" s="10" t="s">
        <v>50</v>
      </c>
    </row>
    <row r="1700" spans="1:37" ht="38.25" customHeight="1" x14ac:dyDescent="0.35">
      <c r="A1700" s="5"/>
      <c r="B1700" s="5" t="s">
        <v>37</v>
      </c>
      <c r="C1700" s="73" t="str">
        <f t="shared" si="26"/>
        <v>Closed</v>
      </c>
      <c r="D1700" s="45" t="s">
        <v>9459</v>
      </c>
      <c r="E1700" s="54" t="s">
        <v>9460</v>
      </c>
      <c r="F1700" s="5" t="s">
        <v>1919</v>
      </c>
      <c r="G1700" s="10">
        <f>DATE(2013,12,18)</f>
        <v>41626</v>
      </c>
      <c r="H1700" s="35">
        <v>0</v>
      </c>
      <c r="I1700" s="5" t="s">
        <v>85</v>
      </c>
      <c r="J1700" s="10" t="s">
        <v>9461</v>
      </c>
      <c r="K1700" s="5" t="s">
        <v>1921</v>
      </c>
      <c r="L1700" s="5" t="s">
        <v>1921</v>
      </c>
      <c r="M1700" s="5" t="s">
        <v>45</v>
      </c>
      <c r="N1700" s="5" t="s">
        <v>123</v>
      </c>
      <c r="O1700" s="5" t="s">
        <v>46</v>
      </c>
      <c r="P1700" s="10" t="s">
        <v>6920</v>
      </c>
      <c r="Q1700" s="10" t="s">
        <v>1923</v>
      </c>
      <c r="R1700" s="10" t="s">
        <v>1921</v>
      </c>
      <c r="S1700" s="5">
        <v>0</v>
      </c>
      <c r="T1700" s="37">
        <v>0</v>
      </c>
      <c r="U1700" s="5">
        <v>0</v>
      </c>
      <c r="V1700" s="37">
        <v>0</v>
      </c>
      <c r="W1700" s="5">
        <v>0</v>
      </c>
      <c r="X1700" s="5">
        <v>0</v>
      </c>
      <c r="Y1700" s="5">
        <v>0</v>
      </c>
      <c r="Z1700" s="37">
        <v>0</v>
      </c>
      <c r="AA1700" s="5">
        <v>0</v>
      </c>
      <c r="AB1700" s="5">
        <v>0</v>
      </c>
      <c r="AC1700" s="5">
        <v>0</v>
      </c>
      <c r="AD1700" s="5">
        <v>0</v>
      </c>
      <c r="AE1700" s="10" t="s">
        <v>375</v>
      </c>
      <c r="AF1700" s="10"/>
      <c r="AG1700" s="10" t="s">
        <v>333</v>
      </c>
      <c r="AH1700" s="10">
        <v>41626</v>
      </c>
      <c r="AI1700" s="5" t="s">
        <v>9462</v>
      </c>
      <c r="AJ1700" s="10" t="s">
        <v>9463</v>
      </c>
      <c r="AK1700" s="10" t="s">
        <v>9464</v>
      </c>
    </row>
    <row r="1701" spans="1:37" ht="36.75" customHeight="1" x14ac:dyDescent="0.35">
      <c r="A1701" s="5"/>
      <c r="B1701" s="5" t="s">
        <v>37</v>
      </c>
      <c r="C1701" s="73" t="str">
        <f t="shared" si="26"/>
        <v>Closed</v>
      </c>
      <c r="D1701" s="45" t="s">
        <v>9465</v>
      </c>
      <c r="E1701" s="54" t="s">
        <v>9466</v>
      </c>
      <c r="F1701" s="5" t="s">
        <v>404</v>
      </c>
      <c r="G1701" s="10">
        <f>DATE(2013,12,20)</f>
        <v>41628</v>
      </c>
      <c r="H1701" s="35">
        <v>1.7729166666666667</v>
      </c>
      <c r="I1701" s="5" t="s">
        <v>259</v>
      </c>
      <c r="J1701" s="10" t="s">
        <v>9467</v>
      </c>
      <c r="K1701" s="5" t="s">
        <v>406</v>
      </c>
      <c r="L1701" s="5" t="s">
        <v>9468</v>
      </c>
      <c r="M1701" s="5" t="s">
        <v>45</v>
      </c>
      <c r="N1701" s="5" t="s">
        <v>70</v>
      </c>
      <c r="O1701" s="5" t="s">
        <v>59</v>
      </c>
      <c r="P1701" s="10" t="s">
        <v>72</v>
      </c>
      <c r="Q1701" s="10" t="s">
        <v>408</v>
      </c>
      <c r="R1701" s="10" t="s">
        <v>3083</v>
      </c>
      <c r="S1701" s="5">
        <v>0</v>
      </c>
      <c r="T1701" s="37">
        <v>0</v>
      </c>
      <c r="U1701" s="5">
        <v>0</v>
      </c>
      <c r="V1701" s="37">
        <v>0</v>
      </c>
      <c r="W1701" s="5">
        <v>0</v>
      </c>
      <c r="X1701" s="5">
        <v>0</v>
      </c>
      <c r="Y1701" s="5">
        <v>0</v>
      </c>
      <c r="Z1701" s="37">
        <v>1</v>
      </c>
      <c r="AA1701" s="5">
        <v>0</v>
      </c>
      <c r="AB1701" s="5">
        <v>0</v>
      </c>
      <c r="AC1701" s="5">
        <v>0</v>
      </c>
      <c r="AD1701" s="5">
        <v>1</v>
      </c>
      <c r="AE1701" s="10" t="s">
        <v>73</v>
      </c>
      <c r="AF1701" s="10"/>
      <c r="AG1701" s="10" t="s">
        <v>114</v>
      </c>
      <c r="AH1701" s="10">
        <v>41690</v>
      </c>
      <c r="AI1701" s="5">
        <v>0</v>
      </c>
      <c r="AJ1701" s="10" t="s">
        <v>9469</v>
      </c>
      <c r="AK1701" s="10" t="s">
        <v>9470</v>
      </c>
    </row>
    <row r="1702" spans="1:37" ht="36.75" customHeight="1" x14ac:dyDescent="0.35">
      <c r="A1702" s="5"/>
      <c r="B1702" s="5" t="s">
        <v>37</v>
      </c>
      <c r="C1702" s="73" t="str">
        <f t="shared" si="26"/>
        <v>Closed</v>
      </c>
      <c r="D1702" s="45" t="s">
        <v>9471</v>
      </c>
      <c r="E1702" s="54" t="s">
        <v>9472</v>
      </c>
      <c r="F1702" s="5" t="s">
        <v>1553</v>
      </c>
      <c r="G1702" s="10">
        <f>DATE(2013,12,21)</f>
        <v>41629</v>
      </c>
      <c r="H1702" s="35">
        <v>1.7951388888888888</v>
      </c>
      <c r="I1702" s="5" t="s">
        <v>55</v>
      </c>
      <c r="J1702" s="10" t="s">
        <v>9473</v>
      </c>
      <c r="K1702" s="5" t="s">
        <v>1555</v>
      </c>
      <c r="L1702" s="5" t="s">
        <v>9474</v>
      </c>
      <c r="M1702" s="5" t="s">
        <v>45</v>
      </c>
      <c r="N1702" s="5" t="s">
        <v>123</v>
      </c>
      <c r="O1702" s="5" t="s">
        <v>46</v>
      </c>
      <c r="P1702" s="10" t="s">
        <v>60</v>
      </c>
      <c r="Q1702" s="10" t="s">
        <v>2635</v>
      </c>
      <c r="R1702" s="10" t="s">
        <v>6413</v>
      </c>
      <c r="S1702" s="5">
        <v>0</v>
      </c>
      <c r="T1702" s="37">
        <v>0</v>
      </c>
      <c r="U1702" s="5">
        <v>0</v>
      </c>
      <c r="V1702" s="37">
        <v>0</v>
      </c>
      <c r="W1702" s="5">
        <v>0</v>
      </c>
      <c r="X1702" s="5">
        <v>0</v>
      </c>
      <c r="Y1702" s="5">
        <v>0</v>
      </c>
      <c r="Z1702" s="37">
        <v>0</v>
      </c>
      <c r="AA1702" s="5">
        <v>0</v>
      </c>
      <c r="AB1702" s="5">
        <v>0</v>
      </c>
      <c r="AC1702" s="5">
        <v>0</v>
      </c>
      <c r="AD1702" s="5">
        <v>0</v>
      </c>
      <c r="AE1702" s="10" t="s">
        <v>73</v>
      </c>
      <c r="AF1702" s="10"/>
      <c r="AG1702" s="10" t="s">
        <v>114</v>
      </c>
      <c r="AH1702" s="10">
        <v>41631</v>
      </c>
      <c r="AI1702" s="5">
        <v>0</v>
      </c>
      <c r="AJ1702" s="10" t="s">
        <v>9475</v>
      </c>
      <c r="AK1702" s="10" t="s">
        <v>9476</v>
      </c>
    </row>
    <row r="1703" spans="1:37" ht="36.75" customHeight="1" x14ac:dyDescent="0.35">
      <c r="A1703" s="5"/>
      <c r="B1703" s="5" t="s">
        <v>37</v>
      </c>
      <c r="C1703" s="73" t="str">
        <f t="shared" si="26"/>
        <v>Closed</v>
      </c>
      <c r="D1703" s="45" t="s">
        <v>9477</v>
      </c>
      <c r="E1703" s="54" t="s">
        <v>9478</v>
      </c>
      <c r="F1703" s="5" t="s">
        <v>96</v>
      </c>
      <c r="G1703" s="10">
        <f>DATE(2013,12,23)</f>
        <v>41631</v>
      </c>
      <c r="H1703" s="35">
        <v>1.6680555555555556</v>
      </c>
      <c r="I1703" s="5" t="s">
        <v>55</v>
      </c>
      <c r="J1703" s="10" t="s">
        <v>9479</v>
      </c>
      <c r="K1703" s="5" t="s">
        <v>99</v>
      </c>
      <c r="L1703" s="5" t="s">
        <v>9480</v>
      </c>
      <c r="M1703" s="5" t="s">
        <v>45</v>
      </c>
      <c r="N1703" s="5" t="s">
        <v>70</v>
      </c>
      <c r="O1703" s="5" t="s">
        <v>71</v>
      </c>
      <c r="P1703" s="10" t="s">
        <v>72</v>
      </c>
      <c r="Q1703" s="10" t="s">
        <v>101</v>
      </c>
      <c r="R1703" s="10" t="s">
        <v>102</v>
      </c>
      <c r="S1703" s="5">
        <v>0</v>
      </c>
      <c r="T1703" s="37">
        <v>0</v>
      </c>
      <c r="U1703" s="5">
        <v>0</v>
      </c>
      <c r="V1703" s="37">
        <v>0</v>
      </c>
      <c r="W1703" s="5">
        <v>0</v>
      </c>
      <c r="X1703" s="5">
        <v>0</v>
      </c>
      <c r="Y1703" s="5">
        <v>0</v>
      </c>
      <c r="Z1703" s="37">
        <v>0</v>
      </c>
      <c r="AA1703" s="5">
        <v>0</v>
      </c>
      <c r="AB1703" s="5">
        <v>0</v>
      </c>
      <c r="AC1703" s="5">
        <v>0</v>
      </c>
      <c r="AD1703" s="5">
        <v>0</v>
      </c>
      <c r="AE1703" s="10" t="s">
        <v>375</v>
      </c>
      <c r="AF1703" s="10"/>
      <c r="AG1703" s="10" t="s">
        <v>229</v>
      </c>
      <c r="AH1703" s="10">
        <v>41631</v>
      </c>
      <c r="AI1703" s="5">
        <v>0</v>
      </c>
      <c r="AJ1703" s="10" t="s">
        <v>9481</v>
      </c>
      <c r="AK1703" s="10" t="s">
        <v>9482</v>
      </c>
    </row>
    <row r="1704" spans="1:37" ht="36.75" customHeight="1" x14ac:dyDescent="0.35">
      <c r="A1704" s="5"/>
      <c r="B1704" s="5" t="s">
        <v>37</v>
      </c>
      <c r="C1704" s="73" t="str">
        <f t="shared" si="26"/>
        <v>Closed</v>
      </c>
      <c r="D1704" s="45" t="s">
        <v>9483</v>
      </c>
      <c r="E1704" s="54" t="s">
        <v>9484</v>
      </c>
      <c r="F1704" s="5" t="s">
        <v>816</v>
      </c>
      <c r="G1704" s="10">
        <f>DATE(2013,12,23)</f>
        <v>41631</v>
      </c>
      <c r="H1704" s="35">
        <v>1.8472222222222223</v>
      </c>
      <c r="I1704" s="5" t="s">
        <v>97</v>
      </c>
      <c r="J1704" s="10" t="s">
        <v>9485</v>
      </c>
      <c r="K1704" s="5" t="s">
        <v>818</v>
      </c>
      <c r="L1704" s="5" t="s">
        <v>9486</v>
      </c>
      <c r="M1704" s="5" t="s">
        <v>45</v>
      </c>
      <c r="N1704" s="5" t="s">
        <v>123</v>
      </c>
      <c r="O1704" s="5" t="s">
        <v>46</v>
      </c>
      <c r="P1704" s="10" t="s">
        <v>47</v>
      </c>
      <c r="Q1704" s="10" t="s">
        <v>2142</v>
      </c>
      <c r="R1704" s="10" t="s">
        <v>821</v>
      </c>
      <c r="S1704" s="5">
        <v>0</v>
      </c>
      <c r="T1704" s="37">
        <v>0</v>
      </c>
      <c r="U1704" s="5">
        <v>0</v>
      </c>
      <c r="V1704" s="37">
        <v>0</v>
      </c>
      <c r="W1704" s="5">
        <v>0</v>
      </c>
      <c r="X1704" s="5">
        <v>0</v>
      </c>
      <c r="Y1704" s="5">
        <v>0</v>
      </c>
      <c r="Z1704" s="37">
        <v>0</v>
      </c>
      <c r="AA1704" s="5">
        <v>0</v>
      </c>
      <c r="AB1704" s="5">
        <v>0</v>
      </c>
      <c r="AC1704" s="5">
        <v>0</v>
      </c>
      <c r="AD1704" s="5">
        <v>0</v>
      </c>
      <c r="AE1704" s="10" t="s">
        <v>375</v>
      </c>
      <c r="AF1704" s="10"/>
      <c r="AG1704" s="10" t="s">
        <v>333</v>
      </c>
      <c r="AH1704" s="10">
        <v>41631</v>
      </c>
      <c r="AI1704" s="5">
        <v>2</v>
      </c>
      <c r="AJ1704" s="10" t="s">
        <v>9487</v>
      </c>
      <c r="AK1704" s="10" t="s">
        <v>50</v>
      </c>
    </row>
    <row r="1705" spans="1:37" ht="36.75" customHeight="1" x14ac:dyDescent="0.35">
      <c r="A1705" s="5"/>
      <c r="B1705" s="5" t="s">
        <v>37</v>
      </c>
      <c r="C1705" s="73" t="str">
        <f t="shared" si="26"/>
        <v>Closed</v>
      </c>
      <c r="D1705" s="45" t="s">
        <v>9488</v>
      </c>
      <c r="E1705" s="54" t="s">
        <v>9489</v>
      </c>
      <c r="F1705" s="5" t="s">
        <v>816</v>
      </c>
      <c r="G1705" s="10">
        <f>DATE(2013,12,31)</f>
        <v>41639</v>
      </c>
      <c r="H1705" s="35">
        <v>0</v>
      </c>
      <c r="I1705" s="5" t="s">
        <v>106</v>
      </c>
      <c r="J1705" s="10" t="s">
        <v>9490</v>
      </c>
      <c r="K1705" s="5" t="s">
        <v>818</v>
      </c>
      <c r="L1705" s="5" t="s">
        <v>9491</v>
      </c>
      <c r="M1705" s="5" t="s">
        <v>45</v>
      </c>
      <c r="N1705" s="5" t="s">
        <v>80</v>
      </c>
      <c r="O1705" s="5" t="s">
        <v>59</v>
      </c>
      <c r="P1705" s="10" t="s">
        <v>47</v>
      </c>
      <c r="Q1705" s="10" t="s">
        <v>2142</v>
      </c>
      <c r="R1705" s="10" t="s">
        <v>821</v>
      </c>
      <c r="S1705" s="5">
        <v>0</v>
      </c>
      <c r="T1705" s="37">
        <v>0</v>
      </c>
      <c r="U1705" s="5">
        <v>0</v>
      </c>
      <c r="V1705" s="37">
        <v>0</v>
      </c>
      <c r="W1705" s="5">
        <v>0</v>
      </c>
      <c r="X1705" s="5">
        <v>0</v>
      </c>
      <c r="Y1705" s="5">
        <v>0</v>
      </c>
      <c r="Z1705" s="37">
        <v>0</v>
      </c>
      <c r="AA1705" s="5">
        <v>0</v>
      </c>
      <c r="AB1705" s="5">
        <v>0</v>
      </c>
      <c r="AC1705" s="5">
        <v>0</v>
      </c>
      <c r="AD1705" s="5">
        <v>0</v>
      </c>
      <c r="AE1705" s="10" t="s">
        <v>375</v>
      </c>
      <c r="AF1705" s="10"/>
      <c r="AG1705" s="10" t="s">
        <v>333</v>
      </c>
      <c r="AH1705" s="10">
        <v>41639</v>
      </c>
      <c r="AI1705" s="5">
        <v>0</v>
      </c>
      <c r="AJ1705" s="10" t="s">
        <v>9492</v>
      </c>
      <c r="AK1705" s="10" t="s">
        <v>9493</v>
      </c>
    </row>
    <row r="1706" spans="1:37" ht="36.75" customHeight="1" x14ac:dyDescent="0.35">
      <c r="A1706" s="5"/>
      <c r="B1706" s="5" t="s">
        <v>37</v>
      </c>
      <c r="C1706" s="73" t="str">
        <f t="shared" si="26"/>
        <v>Closed</v>
      </c>
      <c r="D1706" s="45" t="s">
        <v>9494</v>
      </c>
      <c r="E1706" s="54" t="s">
        <v>9495</v>
      </c>
      <c r="F1706" s="5" t="s">
        <v>1919</v>
      </c>
      <c r="G1706" s="10">
        <f>DATE(2013,12,31)</f>
        <v>41639</v>
      </c>
      <c r="H1706" s="35">
        <v>0</v>
      </c>
      <c r="I1706" s="5" t="s">
        <v>5473</v>
      </c>
      <c r="J1706" s="10" t="s">
        <v>9496</v>
      </c>
      <c r="K1706" s="5" t="s">
        <v>1921</v>
      </c>
      <c r="L1706" s="5" t="s">
        <v>9497</v>
      </c>
      <c r="M1706" s="5" t="s">
        <v>45</v>
      </c>
      <c r="N1706" s="5" t="s">
        <v>70</v>
      </c>
      <c r="O1706" s="5" t="s">
        <v>59</v>
      </c>
      <c r="P1706" s="10" t="s">
        <v>6920</v>
      </c>
      <c r="Q1706" s="10" t="s">
        <v>1923</v>
      </c>
      <c r="R1706" s="10" t="s">
        <v>1923</v>
      </c>
      <c r="S1706" s="5">
        <v>0</v>
      </c>
      <c r="T1706" s="37">
        <v>0</v>
      </c>
      <c r="U1706" s="5">
        <v>0</v>
      </c>
      <c r="V1706" s="37">
        <v>0</v>
      </c>
      <c r="W1706" s="5">
        <v>0</v>
      </c>
      <c r="X1706" s="5">
        <v>0</v>
      </c>
      <c r="Y1706" s="5">
        <v>0</v>
      </c>
      <c r="Z1706" s="37">
        <v>0</v>
      </c>
      <c r="AA1706" s="5">
        <v>0</v>
      </c>
      <c r="AB1706" s="5">
        <v>0</v>
      </c>
      <c r="AC1706" s="5">
        <v>0</v>
      </c>
      <c r="AD1706" s="5">
        <v>0</v>
      </c>
      <c r="AE1706" s="10" t="s">
        <v>126</v>
      </c>
      <c r="AF1706" s="10"/>
      <c r="AG1706" s="10" t="s">
        <v>114</v>
      </c>
      <c r="AH1706" s="10">
        <v>41645</v>
      </c>
      <c r="AI1706" s="5">
        <v>5</v>
      </c>
      <c r="AJ1706" s="10" t="s">
        <v>9498</v>
      </c>
      <c r="AK1706" s="10" t="s">
        <v>50</v>
      </c>
    </row>
    <row r="1707" spans="1:37" ht="36.75" customHeight="1" x14ac:dyDescent="0.35">
      <c r="A1707" s="5"/>
      <c r="B1707" s="5" t="s">
        <v>37</v>
      </c>
      <c r="C1707" s="73" t="str">
        <f t="shared" si="26"/>
        <v>Closed</v>
      </c>
      <c r="D1707" s="45" t="s">
        <v>9499</v>
      </c>
      <c r="E1707" s="54" t="s">
        <v>9500</v>
      </c>
      <c r="F1707" s="5" t="s">
        <v>178</v>
      </c>
      <c r="G1707" s="10">
        <f>DATE(2014,1,8)</f>
        <v>41647</v>
      </c>
      <c r="H1707" s="35">
        <v>1.4097222222222223</v>
      </c>
      <c r="I1707" s="5" t="s">
        <v>259</v>
      </c>
      <c r="J1707" s="10" t="s">
        <v>9501</v>
      </c>
      <c r="K1707" s="5" t="s">
        <v>181</v>
      </c>
      <c r="L1707" s="5" t="s">
        <v>9502</v>
      </c>
      <c r="M1707" s="5" t="s">
        <v>45</v>
      </c>
      <c r="N1707" s="5" t="s">
        <v>80</v>
      </c>
      <c r="O1707" s="5" t="s">
        <v>59</v>
      </c>
      <c r="P1707" s="10" t="s">
        <v>282</v>
      </c>
      <c r="Q1707" s="10">
        <v>0</v>
      </c>
      <c r="R1707" s="10">
        <v>0</v>
      </c>
      <c r="S1707" s="5">
        <v>0</v>
      </c>
      <c r="T1707" s="37">
        <v>1</v>
      </c>
      <c r="U1707" s="5">
        <v>0</v>
      </c>
      <c r="V1707" s="37">
        <v>0</v>
      </c>
      <c r="W1707" s="5">
        <v>0</v>
      </c>
      <c r="X1707" s="5">
        <v>1</v>
      </c>
      <c r="Y1707" s="5">
        <v>0</v>
      </c>
      <c r="Z1707" s="37">
        <v>0</v>
      </c>
      <c r="AA1707" s="5">
        <v>0</v>
      </c>
      <c r="AB1707" s="5">
        <v>0</v>
      </c>
      <c r="AC1707" s="5">
        <v>0</v>
      </c>
      <c r="AD1707" s="5">
        <v>0</v>
      </c>
      <c r="AE1707" s="10" t="s">
        <v>73</v>
      </c>
      <c r="AF1707" s="10"/>
      <c r="AG1707" s="10" t="s">
        <v>64</v>
      </c>
      <c r="AH1707" s="10">
        <v>41647</v>
      </c>
      <c r="AI1707" s="5">
        <v>6</v>
      </c>
      <c r="AJ1707" s="10" t="s">
        <v>9503</v>
      </c>
      <c r="AK1707" s="10" t="s">
        <v>1215</v>
      </c>
    </row>
    <row r="1708" spans="1:37" ht="36.75" customHeight="1" x14ac:dyDescent="0.35">
      <c r="A1708" s="5"/>
      <c r="B1708" s="5" t="s">
        <v>37</v>
      </c>
      <c r="C1708" s="73" t="str">
        <f t="shared" si="26"/>
        <v>Closed</v>
      </c>
      <c r="D1708" s="45" t="s">
        <v>9504</v>
      </c>
      <c r="E1708" s="54" t="s">
        <v>9505</v>
      </c>
      <c r="F1708" s="5" t="s">
        <v>1919</v>
      </c>
      <c r="G1708" s="10">
        <f>DATE(2014,1,8)</f>
        <v>41647</v>
      </c>
      <c r="H1708" s="35">
        <v>0</v>
      </c>
      <c r="I1708" s="5" t="s">
        <v>85</v>
      </c>
      <c r="J1708" s="10" t="s">
        <v>9506</v>
      </c>
      <c r="K1708" s="5" t="s">
        <v>1921</v>
      </c>
      <c r="L1708" s="5" t="s">
        <v>9507</v>
      </c>
      <c r="M1708" s="5" t="s">
        <v>45</v>
      </c>
      <c r="N1708" s="5" t="s">
        <v>70</v>
      </c>
      <c r="O1708" s="5" t="s">
        <v>46</v>
      </c>
      <c r="P1708" s="10" t="s">
        <v>6920</v>
      </c>
      <c r="Q1708" s="10" t="s">
        <v>1921</v>
      </c>
      <c r="R1708" s="10" t="s">
        <v>1921</v>
      </c>
      <c r="S1708" s="5">
        <v>0</v>
      </c>
      <c r="T1708" s="37">
        <v>0</v>
      </c>
      <c r="U1708" s="5">
        <v>0</v>
      </c>
      <c r="V1708" s="37">
        <v>0</v>
      </c>
      <c r="W1708" s="5">
        <v>0</v>
      </c>
      <c r="X1708" s="5">
        <v>0</v>
      </c>
      <c r="Y1708" s="5">
        <v>0</v>
      </c>
      <c r="Z1708" s="37">
        <v>0</v>
      </c>
      <c r="AA1708" s="5">
        <v>0</v>
      </c>
      <c r="AB1708" s="5">
        <v>0</v>
      </c>
      <c r="AC1708" s="5">
        <v>0</v>
      </c>
      <c r="AD1708" s="5">
        <v>0</v>
      </c>
      <c r="AE1708" s="10" t="s">
        <v>73</v>
      </c>
      <c r="AF1708" s="10"/>
      <c r="AG1708" s="10" t="s">
        <v>333</v>
      </c>
      <c r="AH1708" s="10">
        <v>41647</v>
      </c>
      <c r="AI1708" s="5">
        <v>14</v>
      </c>
      <c r="AJ1708" s="10" t="s">
        <v>9508</v>
      </c>
      <c r="AK1708" s="10" t="s">
        <v>50</v>
      </c>
    </row>
    <row r="1709" spans="1:37" ht="36.75" customHeight="1" x14ac:dyDescent="0.35">
      <c r="A1709" s="5"/>
      <c r="B1709" s="5" t="s">
        <v>37</v>
      </c>
      <c r="C1709" s="73" t="str">
        <f t="shared" si="26"/>
        <v>Closed</v>
      </c>
      <c r="D1709" s="45" t="s">
        <v>9509</v>
      </c>
      <c r="E1709" s="54" t="s">
        <v>9510</v>
      </c>
      <c r="F1709" s="5" t="s">
        <v>1553</v>
      </c>
      <c r="G1709" s="10">
        <f>DATE(2014,1,9)</f>
        <v>41648</v>
      </c>
      <c r="H1709" s="35">
        <v>1.0347222222222223</v>
      </c>
      <c r="I1709" s="5" t="s">
        <v>55</v>
      </c>
      <c r="J1709" s="10" t="s">
        <v>9511</v>
      </c>
      <c r="K1709" s="5" t="s">
        <v>1555</v>
      </c>
      <c r="L1709" s="5" t="s">
        <v>9512</v>
      </c>
      <c r="M1709" s="5" t="s">
        <v>45</v>
      </c>
      <c r="N1709" s="5" t="s">
        <v>70</v>
      </c>
      <c r="O1709" s="5" t="s">
        <v>46</v>
      </c>
      <c r="P1709" s="10" t="s">
        <v>60</v>
      </c>
      <c r="Q1709" s="10" t="s">
        <v>2635</v>
      </c>
      <c r="R1709" s="10" t="s">
        <v>6413</v>
      </c>
      <c r="S1709" s="5">
        <v>0</v>
      </c>
      <c r="T1709" s="37">
        <v>0</v>
      </c>
      <c r="U1709" s="5">
        <v>0</v>
      </c>
      <c r="V1709" s="37">
        <v>0</v>
      </c>
      <c r="W1709" s="5">
        <v>0</v>
      </c>
      <c r="X1709" s="5">
        <v>0</v>
      </c>
      <c r="Y1709" s="5">
        <v>0</v>
      </c>
      <c r="Z1709" s="37">
        <v>0</v>
      </c>
      <c r="AA1709" s="5">
        <v>0</v>
      </c>
      <c r="AB1709" s="5">
        <v>0</v>
      </c>
      <c r="AC1709" s="5">
        <v>0</v>
      </c>
      <c r="AD1709" s="5">
        <v>0</v>
      </c>
      <c r="AE1709" s="10" t="s">
        <v>73</v>
      </c>
      <c r="AF1709" s="10"/>
      <c r="AG1709" s="10" t="s">
        <v>114</v>
      </c>
      <c r="AH1709" s="10">
        <v>41648</v>
      </c>
      <c r="AI1709" s="5">
        <v>0</v>
      </c>
      <c r="AJ1709" s="10" t="s">
        <v>9513</v>
      </c>
      <c r="AK1709" s="10" t="s">
        <v>9514</v>
      </c>
    </row>
    <row r="1710" spans="1:37" ht="36.75" customHeight="1" x14ac:dyDescent="0.35">
      <c r="A1710" s="5"/>
      <c r="B1710" s="5" t="s">
        <v>37</v>
      </c>
      <c r="C1710" s="73" t="str">
        <f t="shared" si="26"/>
        <v>Closed</v>
      </c>
      <c r="D1710" s="45" t="s">
        <v>9515</v>
      </c>
      <c r="E1710" s="54" t="s">
        <v>9516</v>
      </c>
      <c r="F1710" s="5" t="s">
        <v>404</v>
      </c>
      <c r="G1710" s="10">
        <f>DATE(2014,1,10)</f>
        <v>41649</v>
      </c>
      <c r="H1710" s="35">
        <v>1.7458333333333331</v>
      </c>
      <c r="I1710" s="5" t="s">
        <v>259</v>
      </c>
      <c r="J1710" s="10" t="s">
        <v>9517</v>
      </c>
      <c r="K1710" s="5" t="s">
        <v>406</v>
      </c>
      <c r="L1710" s="5" t="s">
        <v>9518</v>
      </c>
      <c r="M1710" s="5" t="s">
        <v>236</v>
      </c>
      <c r="N1710" s="5" t="s">
        <v>80</v>
      </c>
      <c r="O1710" s="5" t="s">
        <v>46</v>
      </c>
      <c r="P1710" s="10" t="s">
        <v>6531</v>
      </c>
      <c r="Q1710" s="10" t="s">
        <v>6532</v>
      </c>
      <c r="R1710" s="10" t="s">
        <v>6533</v>
      </c>
      <c r="S1710" s="5">
        <v>0</v>
      </c>
      <c r="T1710" s="37">
        <v>0</v>
      </c>
      <c r="U1710" s="5">
        <v>0</v>
      </c>
      <c r="V1710" s="37">
        <v>0</v>
      </c>
      <c r="W1710" s="5">
        <v>0</v>
      </c>
      <c r="X1710" s="5">
        <v>0</v>
      </c>
      <c r="Y1710" s="5">
        <v>1</v>
      </c>
      <c r="Z1710" s="37">
        <v>0</v>
      </c>
      <c r="AA1710" s="5">
        <v>0</v>
      </c>
      <c r="AB1710" s="5">
        <v>0</v>
      </c>
      <c r="AC1710" s="5">
        <v>0</v>
      </c>
      <c r="AD1710" s="5">
        <v>1</v>
      </c>
      <c r="AE1710" s="10" t="s">
        <v>73</v>
      </c>
      <c r="AF1710" s="10"/>
      <c r="AG1710" s="10" t="s">
        <v>348</v>
      </c>
      <c r="AH1710" s="10">
        <v>41702</v>
      </c>
      <c r="AI1710" s="5">
        <v>2</v>
      </c>
      <c r="AJ1710" s="10" t="s">
        <v>9519</v>
      </c>
      <c r="AK1710" s="10" t="s">
        <v>9520</v>
      </c>
    </row>
    <row r="1711" spans="1:37" ht="36.75" customHeight="1" x14ac:dyDescent="0.35">
      <c r="A1711" s="5"/>
      <c r="B1711" s="5" t="s">
        <v>37</v>
      </c>
      <c r="C1711" s="73" t="str">
        <f t="shared" si="26"/>
        <v>Closed</v>
      </c>
      <c r="D1711" s="45" t="s">
        <v>9521</v>
      </c>
      <c r="E1711" s="54" t="s">
        <v>9522</v>
      </c>
      <c r="F1711" s="5" t="s">
        <v>358</v>
      </c>
      <c r="G1711" s="10">
        <f>DATE(2014,1,12)</f>
        <v>41651</v>
      </c>
      <c r="H1711" s="35">
        <v>1.9548611111111112</v>
      </c>
      <c r="I1711" s="5" t="s">
        <v>137</v>
      </c>
      <c r="J1711" s="10" t="s">
        <v>9523</v>
      </c>
      <c r="K1711" s="5" t="s">
        <v>360</v>
      </c>
      <c r="L1711" s="5" t="s">
        <v>9524</v>
      </c>
      <c r="M1711" s="5" t="s">
        <v>45</v>
      </c>
      <c r="N1711" s="5" t="s">
        <v>70</v>
      </c>
      <c r="O1711" s="5" t="s">
        <v>59</v>
      </c>
      <c r="P1711" s="10" t="s">
        <v>72</v>
      </c>
      <c r="Q1711" s="10" t="s">
        <v>2886</v>
      </c>
      <c r="R1711" s="10" t="s">
        <v>363</v>
      </c>
      <c r="S1711" s="5">
        <v>0</v>
      </c>
      <c r="T1711" s="37">
        <v>1</v>
      </c>
      <c r="U1711" s="5">
        <v>0</v>
      </c>
      <c r="V1711" s="37">
        <v>0</v>
      </c>
      <c r="W1711" s="5">
        <v>0</v>
      </c>
      <c r="X1711" s="5">
        <v>1</v>
      </c>
      <c r="Y1711" s="5">
        <v>0</v>
      </c>
      <c r="Z1711" s="37">
        <v>0</v>
      </c>
      <c r="AA1711" s="5">
        <v>0</v>
      </c>
      <c r="AB1711" s="5">
        <v>0</v>
      </c>
      <c r="AC1711" s="5">
        <v>0</v>
      </c>
      <c r="AD1711" s="5">
        <v>0</v>
      </c>
      <c r="AE1711" s="10" t="s">
        <v>73</v>
      </c>
      <c r="AF1711" s="10"/>
      <c r="AG1711" s="10" t="s">
        <v>64</v>
      </c>
      <c r="AH1711" s="10">
        <v>41652</v>
      </c>
      <c r="AI1711" s="5">
        <v>4</v>
      </c>
      <c r="AJ1711" s="10" t="s">
        <v>9525</v>
      </c>
      <c r="AK1711" s="10" t="s">
        <v>9526</v>
      </c>
    </row>
    <row r="1712" spans="1:37" ht="36.75" customHeight="1" x14ac:dyDescent="0.35">
      <c r="A1712" s="5"/>
      <c r="B1712" s="5" t="s">
        <v>37</v>
      </c>
      <c r="C1712" s="73" t="str">
        <f t="shared" si="26"/>
        <v>Closed</v>
      </c>
      <c r="D1712" s="45" t="s">
        <v>9527</v>
      </c>
      <c r="E1712" s="54" t="s">
        <v>9528</v>
      </c>
      <c r="F1712" s="5" t="s">
        <v>54</v>
      </c>
      <c r="G1712" s="10">
        <f>DATE(2014,1,15)</f>
        <v>41654</v>
      </c>
      <c r="H1712" s="35">
        <v>1.6625000000000001</v>
      </c>
      <c r="I1712" s="5" t="s">
        <v>55</v>
      </c>
      <c r="J1712" s="10" t="s">
        <v>9529</v>
      </c>
      <c r="K1712" s="5" t="s">
        <v>57</v>
      </c>
      <c r="L1712" s="5" t="s">
        <v>9530</v>
      </c>
      <c r="M1712" s="5" t="s">
        <v>45</v>
      </c>
      <c r="N1712" s="5" t="s">
        <v>123</v>
      </c>
      <c r="O1712" s="5" t="s">
        <v>59</v>
      </c>
      <c r="P1712" s="10" t="s">
        <v>47</v>
      </c>
      <c r="Q1712" s="10" t="s">
        <v>7424</v>
      </c>
      <c r="R1712" s="10" t="s">
        <v>62</v>
      </c>
      <c r="S1712" s="5">
        <v>0</v>
      </c>
      <c r="T1712" s="37">
        <v>0</v>
      </c>
      <c r="U1712" s="5">
        <v>0</v>
      </c>
      <c r="V1712" s="37">
        <v>0</v>
      </c>
      <c r="W1712" s="5">
        <v>0</v>
      </c>
      <c r="X1712" s="5">
        <v>0</v>
      </c>
      <c r="Y1712" s="5">
        <v>0</v>
      </c>
      <c r="Z1712" s="37">
        <v>0</v>
      </c>
      <c r="AA1712" s="5">
        <v>0</v>
      </c>
      <c r="AB1712" s="5">
        <v>0</v>
      </c>
      <c r="AC1712" s="5">
        <v>0</v>
      </c>
      <c r="AD1712" s="5">
        <v>0</v>
      </c>
      <c r="AE1712" s="10" t="s">
        <v>375</v>
      </c>
      <c r="AF1712" s="10"/>
      <c r="AG1712" s="10" t="s">
        <v>114</v>
      </c>
      <c r="AH1712" s="10">
        <v>41660</v>
      </c>
      <c r="AI1712" s="5">
        <v>7</v>
      </c>
      <c r="AJ1712" s="10" t="s">
        <v>9531</v>
      </c>
      <c r="AK1712" s="10" t="s">
        <v>9532</v>
      </c>
    </row>
    <row r="1713" spans="1:37" ht="36.75" customHeight="1" x14ac:dyDescent="0.35">
      <c r="A1713" s="5"/>
      <c r="B1713" s="5" t="s">
        <v>37</v>
      </c>
      <c r="C1713" s="73" t="str">
        <f t="shared" si="26"/>
        <v>Closed</v>
      </c>
      <c r="D1713" s="45" t="s">
        <v>9533</v>
      </c>
      <c r="E1713" s="54" t="s">
        <v>9534</v>
      </c>
      <c r="F1713" s="5" t="s">
        <v>214</v>
      </c>
      <c r="G1713" s="10">
        <f>DATE(2014,1,16)</f>
        <v>41655</v>
      </c>
      <c r="H1713" s="35">
        <v>1.0034722222222223</v>
      </c>
      <c r="I1713" s="5" t="s">
        <v>137</v>
      </c>
      <c r="J1713" s="10" t="s">
        <v>9535</v>
      </c>
      <c r="K1713" s="5" t="s">
        <v>216</v>
      </c>
      <c r="L1713" s="5" t="s">
        <v>9536</v>
      </c>
      <c r="M1713" s="5" t="s">
        <v>45</v>
      </c>
      <c r="N1713" s="5" t="s">
        <v>123</v>
      </c>
      <c r="O1713" s="5" t="s">
        <v>46</v>
      </c>
      <c r="P1713" s="10" t="s">
        <v>146</v>
      </c>
      <c r="Q1713" s="10" t="s">
        <v>2154</v>
      </c>
      <c r="R1713" s="10" t="s">
        <v>219</v>
      </c>
      <c r="S1713" s="5">
        <v>0</v>
      </c>
      <c r="T1713" s="37">
        <v>0</v>
      </c>
      <c r="U1713" s="5">
        <v>0</v>
      </c>
      <c r="V1713" s="37">
        <v>0</v>
      </c>
      <c r="W1713" s="5">
        <v>0</v>
      </c>
      <c r="X1713" s="5">
        <v>0</v>
      </c>
      <c r="Y1713" s="5">
        <v>0</v>
      </c>
      <c r="Z1713" s="37">
        <v>0</v>
      </c>
      <c r="AA1713" s="5">
        <v>0</v>
      </c>
      <c r="AB1713" s="5">
        <v>0</v>
      </c>
      <c r="AC1713" s="5">
        <v>0</v>
      </c>
      <c r="AD1713" s="5">
        <v>0</v>
      </c>
      <c r="AE1713" s="10" t="s">
        <v>73</v>
      </c>
      <c r="AF1713" s="10"/>
      <c r="AG1713" s="10" t="s">
        <v>114</v>
      </c>
      <c r="AH1713" s="10">
        <v>41666</v>
      </c>
      <c r="AI1713" s="5">
        <v>3</v>
      </c>
      <c r="AJ1713" s="10" t="s">
        <v>9537</v>
      </c>
      <c r="AK1713" s="10" t="s">
        <v>9538</v>
      </c>
    </row>
    <row r="1714" spans="1:37" ht="36.75" customHeight="1" x14ac:dyDescent="0.35">
      <c r="A1714" s="5"/>
      <c r="B1714" s="5" t="s">
        <v>37</v>
      </c>
      <c r="C1714" s="73" t="str">
        <f t="shared" si="26"/>
        <v>Closed</v>
      </c>
      <c r="D1714" s="45" t="s">
        <v>9539</v>
      </c>
      <c r="E1714" s="54" t="s">
        <v>9540</v>
      </c>
      <c r="F1714" s="5" t="s">
        <v>358</v>
      </c>
      <c r="G1714" s="10">
        <f>DATE(2014,1,17)</f>
        <v>41656</v>
      </c>
      <c r="H1714" s="35">
        <v>1.5277777777777777</v>
      </c>
      <c r="I1714" s="5" t="s">
        <v>137</v>
      </c>
      <c r="J1714" s="10" t="s">
        <v>9541</v>
      </c>
      <c r="K1714" s="5" t="s">
        <v>360</v>
      </c>
      <c r="L1714" s="5" t="s">
        <v>9542</v>
      </c>
      <c r="M1714" s="5" t="s">
        <v>45</v>
      </c>
      <c r="N1714" s="5" t="s">
        <v>80</v>
      </c>
      <c r="O1714" s="5" t="s">
        <v>46</v>
      </c>
      <c r="P1714" s="10" t="s">
        <v>47</v>
      </c>
      <c r="Q1714" s="10" t="s">
        <v>2886</v>
      </c>
      <c r="R1714" s="10" t="s">
        <v>363</v>
      </c>
      <c r="S1714" s="5">
        <v>0</v>
      </c>
      <c r="T1714" s="37">
        <v>0</v>
      </c>
      <c r="U1714" s="5">
        <v>0</v>
      </c>
      <c r="V1714" s="37">
        <v>0</v>
      </c>
      <c r="W1714" s="5">
        <v>0</v>
      </c>
      <c r="X1714" s="5">
        <v>0</v>
      </c>
      <c r="Y1714" s="5">
        <v>0</v>
      </c>
      <c r="Z1714" s="37">
        <v>2</v>
      </c>
      <c r="AA1714" s="5">
        <v>0</v>
      </c>
      <c r="AB1714" s="5">
        <v>0</v>
      </c>
      <c r="AC1714" s="5">
        <v>0</v>
      </c>
      <c r="AD1714" s="5">
        <v>2</v>
      </c>
      <c r="AE1714" s="10" t="s">
        <v>375</v>
      </c>
      <c r="AF1714" s="10"/>
      <c r="AG1714" s="10" t="s">
        <v>114</v>
      </c>
      <c r="AH1714" s="10">
        <v>41656</v>
      </c>
      <c r="AI1714" s="5">
        <v>1</v>
      </c>
      <c r="AJ1714" s="10" t="s">
        <v>9543</v>
      </c>
      <c r="AK1714" s="10" t="s">
        <v>50</v>
      </c>
    </row>
    <row r="1715" spans="1:37" ht="36.75" customHeight="1" x14ac:dyDescent="0.35">
      <c r="A1715" s="5"/>
      <c r="B1715" s="5" t="s">
        <v>37</v>
      </c>
      <c r="C1715" s="73" t="str">
        <f t="shared" si="26"/>
        <v>Closed</v>
      </c>
      <c r="D1715" s="45" t="s">
        <v>9544</v>
      </c>
      <c r="E1715" s="54" t="s">
        <v>9545</v>
      </c>
      <c r="F1715" s="5" t="s">
        <v>563</v>
      </c>
      <c r="G1715" s="10">
        <f>DATE(2014,1,19)</f>
        <v>41658</v>
      </c>
      <c r="H1715" s="35">
        <v>1.1201388888888888</v>
      </c>
      <c r="I1715" s="5" t="s">
        <v>55</v>
      </c>
      <c r="J1715" s="10" t="s">
        <v>9546</v>
      </c>
      <c r="K1715" s="5" t="s">
        <v>565</v>
      </c>
      <c r="L1715" s="5" t="s">
        <v>9547</v>
      </c>
      <c r="M1715" s="5" t="s">
        <v>45</v>
      </c>
      <c r="N1715" s="5" t="s">
        <v>123</v>
      </c>
      <c r="O1715" s="5" t="s">
        <v>59</v>
      </c>
      <c r="P1715" s="10" t="s">
        <v>60</v>
      </c>
      <c r="Q1715" s="10" t="s">
        <v>567</v>
      </c>
      <c r="R1715" s="10" t="s">
        <v>568</v>
      </c>
      <c r="S1715" s="5">
        <v>0</v>
      </c>
      <c r="T1715" s="37">
        <v>0</v>
      </c>
      <c r="U1715" s="5">
        <v>0</v>
      </c>
      <c r="V1715" s="37">
        <v>0</v>
      </c>
      <c r="W1715" s="5">
        <v>0</v>
      </c>
      <c r="X1715" s="5">
        <v>0</v>
      </c>
      <c r="Y1715" s="5">
        <v>0</v>
      </c>
      <c r="Z1715" s="37">
        <v>0</v>
      </c>
      <c r="AA1715" s="5">
        <v>0</v>
      </c>
      <c r="AB1715" s="5">
        <v>0</v>
      </c>
      <c r="AC1715" s="5">
        <v>0</v>
      </c>
      <c r="AD1715" s="5">
        <v>0</v>
      </c>
      <c r="AE1715" s="10" t="s">
        <v>375</v>
      </c>
      <c r="AF1715" s="10"/>
      <c r="AG1715" s="10" t="s">
        <v>64</v>
      </c>
      <c r="AH1715" s="10">
        <v>41659</v>
      </c>
      <c r="AI1715" s="5">
        <v>0</v>
      </c>
      <c r="AJ1715" s="10" t="s">
        <v>9548</v>
      </c>
      <c r="AK1715" s="10" t="s">
        <v>1215</v>
      </c>
    </row>
    <row r="1716" spans="1:37" ht="36.75" customHeight="1" x14ac:dyDescent="0.35">
      <c r="A1716" s="5"/>
      <c r="B1716" s="5" t="s">
        <v>37</v>
      </c>
      <c r="C1716" s="73" t="str">
        <f t="shared" si="26"/>
        <v>Closed</v>
      </c>
      <c r="D1716" s="45" t="s">
        <v>9549</v>
      </c>
      <c r="E1716" s="54" t="s">
        <v>9550</v>
      </c>
      <c r="F1716" s="5" t="s">
        <v>214</v>
      </c>
      <c r="G1716" s="10">
        <f>DATE(2014,1,22)</f>
        <v>41661</v>
      </c>
      <c r="H1716" s="35">
        <v>1.4791666666666667</v>
      </c>
      <c r="I1716" s="5" t="s">
        <v>259</v>
      </c>
      <c r="J1716" s="10" t="s">
        <v>9551</v>
      </c>
      <c r="K1716" s="5" t="s">
        <v>216</v>
      </c>
      <c r="L1716" s="5" t="s">
        <v>9552</v>
      </c>
      <c r="M1716" s="5" t="s">
        <v>45</v>
      </c>
      <c r="N1716" s="5" t="s">
        <v>70</v>
      </c>
      <c r="O1716" s="5" t="s">
        <v>46</v>
      </c>
      <c r="P1716" s="10" t="s">
        <v>47</v>
      </c>
      <c r="Q1716" s="10" t="s">
        <v>5623</v>
      </c>
      <c r="R1716" s="10" t="s">
        <v>219</v>
      </c>
      <c r="S1716" s="5">
        <v>0</v>
      </c>
      <c r="T1716" s="37">
        <v>1</v>
      </c>
      <c r="U1716" s="5">
        <v>0</v>
      </c>
      <c r="V1716" s="37">
        <v>0</v>
      </c>
      <c r="W1716" s="5">
        <v>0</v>
      </c>
      <c r="X1716" s="5">
        <v>1</v>
      </c>
      <c r="Y1716" s="5">
        <v>0</v>
      </c>
      <c r="Z1716" s="37">
        <v>0</v>
      </c>
      <c r="AA1716" s="5">
        <v>0</v>
      </c>
      <c r="AB1716" s="5">
        <v>0</v>
      </c>
      <c r="AC1716" s="5">
        <v>0</v>
      </c>
      <c r="AD1716" s="5">
        <v>0</v>
      </c>
      <c r="AE1716" s="10" t="s">
        <v>73</v>
      </c>
      <c r="AF1716" s="10"/>
      <c r="AG1716" s="10" t="s">
        <v>64</v>
      </c>
      <c r="AH1716" s="10">
        <v>41666</v>
      </c>
      <c r="AI1716" s="5">
        <v>2</v>
      </c>
      <c r="AJ1716" s="10" t="s">
        <v>9553</v>
      </c>
      <c r="AK1716" s="10" t="s">
        <v>9554</v>
      </c>
    </row>
    <row r="1717" spans="1:37" ht="36.75" customHeight="1" x14ac:dyDescent="0.35">
      <c r="A1717" s="5"/>
      <c r="B1717" s="5" t="s">
        <v>37</v>
      </c>
      <c r="C1717" s="73" t="str">
        <f t="shared" si="26"/>
        <v>Closed</v>
      </c>
      <c r="D1717" s="45" t="s">
        <v>9555</v>
      </c>
      <c r="E1717" s="54" t="s">
        <v>9556</v>
      </c>
      <c r="F1717" s="5" t="s">
        <v>619</v>
      </c>
      <c r="G1717" s="10">
        <f>DATE(2014,1,23)</f>
        <v>41662</v>
      </c>
      <c r="H1717" s="35">
        <v>1.4881944444444444</v>
      </c>
      <c r="I1717" s="5" t="s">
        <v>137</v>
      </c>
      <c r="J1717" s="10" t="s">
        <v>9557</v>
      </c>
      <c r="K1717" s="5" t="s">
        <v>621</v>
      </c>
      <c r="L1717" s="5" t="s">
        <v>9558</v>
      </c>
      <c r="M1717" s="5" t="s">
        <v>45</v>
      </c>
      <c r="N1717" s="5" t="s">
        <v>123</v>
      </c>
      <c r="O1717" s="5" t="s">
        <v>46</v>
      </c>
      <c r="P1717" s="10" t="s">
        <v>47</v>
      </c>
      <c r="Q1717" s="10" t="s">
        <v>623</v>
      </c>
      <c r="R1717" s="10" t="s">
        <v>624</v>
      </c>
      <c r="S1717" s="5">
        <v>0</v>
      </c>
      <c r="T1717" s="37">
        <v>0</v>
      </c>
      <c r="U1717" s="5">
        <v>0</v>
      </c>
      <c r="V1717" s="37">
        <v>0</v>
      </c>
      <c r="W1717" s="5">
        <v>0</v>
      </c>
      <c r="X1717" s="5">
        <v>0</v>
      </c>
      <c r="Y1717" s="5">
        <v>0</v>
      </c>
      <c r="Z1717" s="37">
        <v>0</v>
      </c>
      <c r="AA1717" s="5">
        <v>0</v>
      </c>
      <c r="AB1717" s="5">
        <v>0</v>
      </c>
      <c r="AC1717" s="5">
        <v>0</v>
      </c>
      <c r="AD1717" s="5">
        <v>0</v>
      </c>
      <c r="AE1717" s="10" t="s">
        <v>73</v>
      </c>
      <c r="AF1717" s="10"/>
      <c r="AG1717" s="10" t="s">
        <v>333</v>
      </c>
      <c r="AH1717" s="10">
        <v>41695</v>
      </c>
      <c r="AI1717" s="5">
        <v>1</v>
      </c>
      <c r="AJ1717" s="10" t="s">
        <v>9559</v>
      </c>
      <c r="AK1717" s="10" t="s">
        <v>50</v>
      </c>
    </row>
    <row r="1718" spans="1:37" ht="36.75" customHeight="1" x14ac:dyDescent="0.35">
      <c r="A1718" s="5"/>
      <c r="B1718" s="5" t="s">
        <v>37</v>
      </c>
      <c r="C1718" s="73" t="str">
        <f t="shared" si="26"/>
        <v>Closed</v>
      </c>
      <c r="D1718" s="45" t="s">
        <v>9560</v>
      </c>
      <c r="E1718" s="54" t="s">
        <v>9561</v>
      </c>
      <c r="F1718" s="5" t="s">
        <v>105</v>
      </c>
      <c r="G1718" s="10">
        <f>DATE(2014,1,23)</f>
        <v>41662</v>
      </c>
      <c r="H1718" s="35">
        <v>0</v>
      </c>
      <c r="I1718" s="5" t="s">
        <v>55</v>
      </c>
      <c r="J1718" s="10" t="s">
        <v>9562</v>
      </c>
      <c r="K1718" s="5" t="s">
        <v>108</v>
      </c>
      <c r="L1718" s="5" t="s">
        <v>9563</v>
      </c>
      <c r="M1718" s="5" t="s">
        <v>236</v>
      </c>
      <c r="N1718" s="5" t="s">
        <v>80</v>
      </c>
      <c r="O1718" s="5" t="s">
        <v>59</v>
      </c>
      <c r="P1718" s="10" t="s">
        <v>6531</v>
      </c>
      <c r="Q1718" s="10">
        <v>0</v>
      </c>
      <c r="R1718" s="10" t="s">
        <v>112</v>
      </c>
      <c r="S1718" s="5">
        <v>0</v>
      </c>
      <c r="T1718" s="37">
        <v>0</v>
      </c>
      <c r="U1718" s="5">
        <v>0</v>
      </c>
      <c r="V1718" s="37">
        <v>0</v>
      </c>
      <c r="W1718" s="5">
        <v>0</v>
      </c>
      <c r="X1718" s="5">
        <v>0</v>
      </c>
      <c r="Y1718" s="5">
        <v>0</v>
      </c>
      <c r="Z1718" s="37">
        <v>0</v>
      </c>
      <c r="AA1718" s="5">
        <v>0</v>
      </c>
      <c r="AB1718" s="5">
        <v>0</v>
      </c>
      <c r="AC1718" s="5">
        <v>0</v>
      </c>
      <c r="AD1718" s="5">
        <v>0</v>
      </c>
      <c r="AE1718" s="10" t="s">
        <v>73</v>
      </c>
      <c r="AF1718" s="10"/>
      <c r="AG1718" s="10" t="s">
        <v>348</v>
      </c>
      <c r="AH1718" s="10">
        <v>41668</v>
      </c>
      <c r="AI1718" s="5">
        <v>1</v>
      </c>
      <c r="AJ1718" s="10" t="s">
        <v>9564</v>
      </c>
      <c r="AK1718" s="10" t="s">
        <v>50</v>
      </c>
    </row>
    <row r="1719" spans="1:37" ht="36.75" customHeight="1" x14ac:dyDescent="0.35">
      <c r="A1719" s="5"/>
      <c r="B1719" s="5" t="s">
        <v>37</v>
      </c>
      <c r="C1719" s="73" t="str">
        <f t="shared" si="26"/>
        <v>Closed</v>
      </c>
      <c r="D1719" s="45" t="s">
        <v>9565</v>
      </c>
      <c r="E1719" s="54" t="s">
        <v>9566</v>
      </c>
      <c r="F1719" s="5" t="s">
        <v>6434</v>
      </c>
      <c r="G1719" s="10">
        <f>DATE(2014,1,26)</f>
        <v>41665</v>
      </c>
      <c r="H1719" s="35">
        <v>1.6006944444444444</v>
      </c>
      <c r="I1719" s="5" t="s">
        <v>55</v>
      </c>
      <c r="J1719" s="10" t="s">
        <v>9567</v>
      </c>
      <c r="K1719" s="5" t="s">
        <v>565</v>
      </c>
      <c r="L1719" s="5" t="s">
        <v>9568</v>
      </c>
      <c r="M1719" s="5" t="s">
        <v>45</v>
      </c>
      <c r="N1719" s="5" t="s">
        <v>123</v>
      </c>
      <c r="O1719" s="5" t="s">
        <v>46</v>
      </c>
      <c r="P1719" s="10" t="s">
        <v>60</v>
      </c>
      <c r="Q1719" s="10" t="s">
        <v>567</v>
      </c>
      <c r="R1719" s="10" t="s">
        <v>568</v>
      </c>
      <c r="S1719" s="5">
        <v>0</v>
      </c>
      <c r="T1719" s="37">
        <v>0</v>
      </c>
      <c r="U1719" s="5">
        <v>0</v>
      </c>
      <c r="V1719" s="37">
        <v>0</v>
      </c>
      <c r="W1719" s="5">
        <v>0</v>
      </c>
      <c r="X1719" s="5">
        <v>0</v>
      </c>
      <c r="Y1719" s="5">
        <v>0</v>
      </c>
      <c r="Z1719" s="37">
        <v>0</v>
      </c>
      <c r="AA1719" s="5">
        <v>0</v>
      </c>
      <c r="AB1719" s="5">
        <v>0</v>
      </c>
      <c r="AC1719" s="5">
        <v>0</v>
      </c>
      <c r="AD1719" s="5">
        <v>0</v>
      </c>
      <c r="AE1719" s="10" t="s">
        <v>126</v>
      </c>
      <c r="AF1719" s="10" t="s">
        <v>9569</v>
      </c>
      <c r="AG1719" s="10" t="s">
        <v>6438</v>
      </c>
      <c r="AH1719" s="10">
        <v>41668</v>
      </c>
      <c r="AI1719" s="5">
        <v>0</v>
      </c>
      <c r="AJ1719" s="10" t="s">
        <v>9570</v>
      </c>
      <c r="AK1719" s="10" t="s">
        <v>50</v>
      </c>
    </row>
    <row r="1720" spans="1:37" ht="36.75" customHeight="1" x14ac:dyDescent="0.35">
      <c r="A1720" s="5"/>
      <c r="B1720" s="5" t="s">
        <v>37</v>
      </c>
      <c r="C1720" s="73" t="str">
        <f t="shared" si="26"/>
        <v>Closed</v>
      </c>
      <c r="D1720" s="45" t="s">
        <v>9571</v>
      </c>
      <c r="E1720" s="54" t="s">
        <v>9572</v>
      </c>
      <c r="F1720" s="5" t="s">
        <v>1553</v>
      </c>
      <c r="G1720" s="10">
        <f>DATE(2014,1,27)</f>
        <v>41666</v>
      </c>
      <c r="H1720" s="35">
        <v>1.875</v>
      </c>
      <c r="I1720" s="5" t="s">
        <v>55</v>
      </c>
      <c r="J1720" s="10" t="s">
        <v>9573</v>
      </c>
      <c r="K1720" s="5" t="s">
        <v>1555</v>
      </c>
      <c r="L1720" s="5" t="s">
        <v>9574</v>
      </c>
      <c r="M1720" s="5" t="s">
        <v>45</v>
      </c>
      <c r="N1720" s="5" t="s">
        <v>70</v>
      </c>
      <c r="O1720" s="5" t="s">
        <v>59</v>
      </c>
      <c r="P1720" s="10" t="s">
        <v>6920</v>
      </c>
      <c r="Q1720" s="10" t="s">
        <v>5149</v>
      </c>
      <c r="R1720" s="10" t="s">
        <v>2541</v>
      </c>
      <c r="S1720" s="5">
        <v>0</v>
      </c>
      <c r="T1720" s="37">
        <v>0</v>
      </c>
      <c r="U1720" s="5">
        <v>0</v>
      </c>
      <c r="V1720" s="37">
        <v>0</v>
      </c>
      <c r="W1720" s="5">
        <v>0</v>
      </c>
      <c r="X1720" s="5">
        <v>0</v>
      </c>
      <c r="Y1720" s="5">
        <v>0</v>
      </c>
      <c r="Z1720" s="37">
        <v>0</v>
      </c>
      <c r="AA1720" s="5">
        <v>0</v>
      </c>
      <c r="AB1720" s="5">
        <v>0</v>
      </c>
      <c r="AC1720" s="5">
        <v>0</v>
      </c>
      <c r="AD1720" s="5">
        <v>0</v>
      </c>
      <c r="AE1720" s="10" t="s">
        <v>73</v>
      </c>
      <c r="AF1720" s="10"/>
      <c r="AG1720" s="10" t="s">
        <v>114</v>
      </c>
      <c r="AH1720" s="10">
        <v>41667</v>
      </c>
      <c r="AI1720" s="5">
        <v>0</v>
      </c>
      <c r="AJ1720" s="10" t="s">
        <v>9575</v>
      </c>
      <c r="AK1720" s="10" t="s">
        <v>9576</v>
      </c>
    </row>
    <row r="1721" spans="1:37" ht="36.75" customHeight="1" x14ac:dyDescent="0.35">
      <c r="A1721" s="5"/>
      <c r="B1721" s="5" t="s">
        <v>37</v>
      </c>
      <c r="C1721" s="73" t="str">
        <f t="shared" si="26"/>
        <v>Closed</v>
      </c>
      <c r="D1721" s="45" t="s">
        <v>9577</v>
      </c>
      <c r="E1721" s="54" t="s">
        <v>9578</v>
      </c>
      <c r="F1721" s="5" t="s">
        <v>2581</v>
      </c>
      <c r="G1721" s="10">
        <f>DATE(2014,2,1)</f>
        <v>41671</v>
      </c>
      <c r="H1721" s="35">
        <v>1.0611111111111111</v>
      </c>
      <c r="I1721" s="5" t="s">
        <v>106</v>
      </c>
      <c r="J1721" s="10" t="s">
        <v>9579</v>
      </c>
      <c r="K1721" s="5" t="s">
        <v>2583</v>
      </c>
      <c r="L1721" s="5" t="s">
        <v>9580</v>
      </c>
      <c r="M1721" s="5" t="s">
        <v>45</v>
      </c>
      <c r="N1721" s="5" t="s">
        <v>70</v>
      </c>
      <c r="O1721" s="5" t="s">
        <v>67</v>
      </c>
      <c r="P1721" s="10" t="s">
        <v>362</v>
      </c>
      <c r="Q1721" s="10" t="s">
        <v>6321</v>
      </c>
      <c r="R1721" s="10">
        <v>0</v>
      </c>
      <c r="S1721" s="5">
        <v>0</v>
      </c>
      <c r="T1721" s="37">
        <v>0</v>
      </c>
      <c r="U1721" s="5">
        <v>0</v>
      </c>
      <c r="V1721" s="37">
        <v>0</v>
      </c>
      <c r="W1721" s="5">
        <v>0</v>
      </c>
      <c r="X1721" s="5">
        <v>0</v>
      </c>
      <c r="Y1721" s="5">
        <v>0</v>
      </c>
      <c r="Z1721" s="37">
        <v>0</v>
      </c>
      <c r="AA1721" s="5">
        <v>0</v>
      </c>
      <c r="AB1721" s="5">
        <v>0</v>
      </c>
      <c r="AC1721" s="5">
        <v>0</v>
      </c>
      <c r="AD1721" s="5">
        <v>0</v>
      </c>
      <c r="AE1721" s="10" t="s">
        <v>73</v>
      </c>
      <c r="AF1721" s="10"/>
      <c r="AG1721" s="10" t="s">
        <v>114</v>
      </c>
      <c r="AH1721" s="10">
        <v>41672</v>
      </c>
      <c r="AI1721" s="5">
        <v>4</v>
      </c>
      <c r="AJ1721" s="10" t="s">
        <v>9581</v>
      </c>
      <c r="AK1721" s="10" t="s">
        <v>9582</v>
      </c>
    </row>
    <row r="1722" spans="1:37" ht="36.75" customHeight="1" x14ac:dyDescent="0.35">
      <c r="A1722" s="5"/>
      <c r="B1722" s="5" t="s">
        <v>37</v>
      </c>
      <c r="C1722" s="73" t="str">
        <f t="shared" si="26"/>
        <v>Closed</v>
      </c>
      <c r="D1722" s="45" t="s">
        <v>9583</v>
      </c>
      <c r="E1722" s="54" t="s">
        <v>9584</v>
      </c>
      <c r="F1722" s="5" t="s">
        <v>1553</v>
      </c>
      <c r="G1722" s="10">
        <f>DATE(2014,2,1)</f>
        <v>41671</v>
      </c>
      <c r="H1722" s="35">
        <v>1.2118055555555556</v>
      </c>
      <c r="I1722" s="5" t="s">
        <v>55</v>
      </c>
      <c r="J1722" s="10" t="s">
        <v>9585</v>
      </c>
      <c r="K1722" s="5" t="s">
        <v>1555</v>
      </c>
      <c r="L1722" s="5" t="s">
        <v>9586</v>
      </c>
      <c r="M1722" s="5" t="s">
        <v>45</v>
      </c>
      <c r="N1722" s="5" t="s">
        <v>123</v>
      </c>
      <c r="O1722" s="5" t="s">
        <v>59</v>
      </c>
      <c r="P1722" s="10" t="s">
        <v>60</v>
      </c>
      <c r="Q1722" s="10" t="s">
        <v>9439</v>
      </c>
      <c r="R1722" s="10" t="s">
        <v>6413</v>
      </c>
      <c r="S1722" s="5">
        <v>0</v>
      </c>
      <c r="T1722" s="37">
        <v>0</v>
      </c>
      <c r="U1722" s="5">
        <v>0</v>
      </c>
      <c r="V1722" s="37">
        <v>0</v>
      </c>
      <c r="W1722" s="5">
        <v>0</v>
      </c>
      <c r="X1722" s="5">
        <v>0</v>
      </c>
      <c r="Y1722" s="5">
        <v>0</v>
      </c>
      <c r="Z1722" s="37">
        <v>0</v>
      </c>
      <c r="AA1722" s="5">
        <v>0</v>
      </c>
      <c r="AB1722" s="5">
        <v>0</v>
      </c>
      <c r="AC1722" s="5">
        <v>0</v>
      </c>
      <c r="AD1722" s="5">
        <v>0</v>
      </c>
      <c r="AE1722" s="10" t="s">
        <v>73</v>
      </c>
      <c r="AF1722" s="10"/>
      <c r="AG1722" s="10" t="s">
        <v>114</v>
      </c>
      <c r="AH1722" s="10">
        <v>41673</v>
      </c>
      <c r="AI1722" s="5">
        <v>0</v>
      </c>
      <c r="AJ1722" s="10" t="s">
        <v>9587</v>
      </c>
      <c r="AK1722" s="10" t="s">
        <v>9588</v>
      </c>
    </row>
    <row r="1723" spans="1:37" ht="36.75" customHeight="1" x14ac:dyDescent="0.35">
      <c r="A1723" s="5"/>
      <c r="B1723" s="5" t="s">
        <v>37</v>
      </c>
      <c r="C1723" s="73" t="str">
        <f t="shared" si="26"/>
        <v>Closed</v>
      </c>
      <c r="D1723" s="45" t="s">
        <v>9589</v>
      </c>
      <c r="E1723" s="54" t="s">
        <v>9590</v>
      </c>
      <c r="F1723" s="5" t="s">
        <v>1553</v>
      </c>
      <c r="G1723" s="10">
        <f>DATE(2014,2,3)</f>
        <v>41673</v>
      </c>
      <c r="H1723" s="35">
        <v>1.7326388888888888</v>
      </c>
      <c r="I1723" s="5" t="s">
        <v>55</v>
      </c>
      <c r="J1723" s="10" t="s">
        <v>9591</v>
      </c>
      <c r="K1723" s="5" t="s">
        <v>1555</v>
      </c>
      <c r="L1723" s="5" t="s">
        <v>7915</v>
      </c>
      <c r="M1723" s="5" t="s">
        <v>45</v>
      </c>
      <c r="N1723" s="5" t="s">
        <v>123</v>
      </c>
      <c r="O1723" s="5" t="s">
        <v>59</v>
      </c>
      <c r="P1723" s="10" t="s">
        <v>60</v>
      </c>
      <c r="Q1723" s="10" t="s">
        <v>4899</v>
      </c>
      <c r="R1723" s="10" t="s">
        <v>6413</v>
      </c>
      <c r="S1723" s="5">
        <v>0</v>
      </c>
      <c r="T1723" s="37">
        <v>0</v>
      </c>
      <c r="U1723" s="5">
        <v>0</v>
      </c>
      <c r="V1723" s="37">
        <v>0</v>
      </c>
      <c r="W1723" s="5">
        <v>0</v>
      </c>
      <c r="X1723" s="5">
        <v>0</v>
      </c>
      <c r="Y1723" s="5">
        <v>0</v>
      </c>
      <c r="Z1723" s="37">
        <v>0</v>
      </c>
      <c r="AA1723" s="5">
        <v>0</v>
      </c>
      <c r="AB1723" s="5">
        <v>0</v>
      </c>
      <c r="AC1723" s="5">
        <v>0</v>
      </c>
      <c r="AD1723" s="5">
        <v>0</v>
      </c>
      <c r="AE1723" s="10" t="s">
        <v>73</v>
      </c>
      <c r="AF1723" s="10"/>
      <c r="AG1723" s="10" t="s">
        <v>114</v>
      </c>
      <c r="AH1723" s="10">
        <v>41674</v>
      </c>
      <c r="AI1723" s="5">
        <v>0</v>
      </c>
      <c r="AJ1723" s="10" t="s">
        <v>9592</v>
      </c>
      <c r="AK1723" s="10" t="s">
        <v>1215</v>
      </c>
    </row>
    <row r="1724" spans="1:37" ht="36.75" customHeight="1" x14ac:dyDescent="0.35">
      <c r="A1724" s="5"/>
      <c r="B1724" s="5" t="s">
        <v>37</v>
      </c>
      <c r="C1724" s="73" t="str">
        <f t="shared" si="26"/>
        <v>Closed</v>
      </c>
      <c r="D1724" s="45" t="s">
        <v>9593</v>
      </c>
      <c r="E1724" s="54" t="s">
        <v>9594</v>
      </c>
      <c r="F1724" s="5" t="s">
        <v>214</v>
      </c>
      <c r="G1724" s="10">
        <f>DATE(2014,2,3)</f>
        <v>41673</v>
      </c>
      <c r="H1724" s="35">
        <v>1.7909722222222224</v>
      </c>
      <c r="I1724" s="5" t="s">
        <v>259</v>
      </c>
      <c r="J1724" s="10" t="s">
        <v>9595</v>
      </c>
      <c r="K1724" s="5" t="s">
        <v>216</v>
      </c>
      <c r="L1724" s="5" t="s">
        <v>9596</v>
      </c>
      <c r="M1724" s="5" t="s">
        <v>110</v>
      </c>
      <c r="N1724" s="5" t="s">
        <v>80</v>
      </c>
      <c r="O1724" s="5" t="s">
        <v>59</v>
      </c>
      <c r="P1724" s="10" t="s">
        <v>110</v>
      </c>
      <c r="Q1724" s="10" t="s">
        <v>664</v>
      </c>
      <c r="R1724" s="10" t="s">
        <v>664</v>
      </c>
      <c r="S1724" s="5">
        <v>0</v>
      </c>
      <c r="T1724" s="37">
        <v>0</v>
      </c>
      <c r="U1724" s="5">
        <v>0</v>
      </c>
      <c r="V1724" s="37">
        <v>0</v>
      </c>
      <c r="W1724" s="5">
        <v>0</v>
      </c>
      <c r="X1724" s="5">
        <v>0</v>
      </c>
      <c r="Y1724" s="5">
        <v>0</v>
      </c>
      <c r="Z1724" s="37">
        <v>0</v>
      </c>
      <c r="AA1724" s="5">
        <v>0</v>
      </c>
      <c r="AB1724" s="5">
        <v>0</v>
      </c>
      <c r="AC1724" s="5">
        <v>0</v>
      </c>
      <c r="AD1724" s="5">
        <v>0</v>
      </c>
      <c r="AE1724" s="10" t="s">
        <v>73</v>
      </c>
      <c r="AF1724" s="10"/>
      <c r="AG1724" s="10" t="s">
        <v>333</v>
      </c>
      <c r="AH1724" s="10">
        <v>41694</v>
      </c>
      <c r="AI1724" s="5">
        <v>1</v>
      </c>
      <c r="AJ1724" s="10" t="s">
        <v>9597</v>
      </c>
      <c r="AK1724" s="10" t="s">
        <v>9598</v>
      </c>
    </row>
    <row r="1725" spans="1:37" ht="36.75" customHeight="1" x14ac:dyDescent="0.35">
      <c r="A1725" s="5"/>
      <c r="B1725" s="5" t="s">
        <v>37</v>
      </c>
      <c r="C1725" s="73" t="str">
        <f t="shared" si="26"/>
        <v>Closed</v>
      </c>
      <c r="D1725" s="45" t="s">
        <v>9599</v>
      </c>
      <c r="E1725" s="54" t="s">
        <v>9600</v>
      </c>
      <c r="F1725" s="5" t="s">
        <v>404</v>
      </c>
      <c r="G1725" s="10">
        <f>DATE(2014,2,4)</f>
        <v>41674</v>
      </c>
      <c r="H1725" s="35">
        <v>1.6111111111111112</v>
      </c>
      <c r="I1725" s="5" t="s">
        <v>85</v>
      </c>
      <c r="J1725" s="10" t="s">
        <v>9601</v>
      </c>
      <c r="K1725" s="5" t="s">
        <v>406</v>
      </c>
      <c r="L1725" s="5" t="s">
        <v>9602</v>
      </c>
      <c r="M1725" s="5" t="s">
        <v>45</v>
      </c>
      <c r="N1725" s="5" t="s">
        <v>70</v>
      </c>
      <c r="O1725" s="5" t="s">
        <v>59</v>
      </c>
      <c r="P1725" s="10" t="s">
        <v>146</v>
      </c>
      <c r="Q1725" s="10" t="s">
        <v>408</v>
      </c>
      <c r="R1725" s="10" t="s">
        <v>3083</v>
      </c>
      <c r="S1725" s="5">
        <v>0</v>
      </c>
      <c r="T1725" s="37">
        <v>0</v>
      </c>
      <c r="U1725" s="5">
        <v>0</v>
      </c>
      <c r="V1725" s="37">
        <v>0</v>
      </c>
      <c r="W1725" s="5">
        <v>0</v>
      </c>
      <c r="X1725" s="5">
        <v>0</v>
      </c>
      <c r="Y1725" s="5">
        <v>0</v>
      </c>
      <c r="Z1725" s="37">
        <v>0</v>
      </c>
      <c r="AA1725" s="5">
        <v>0</v>
      </c>
      <c r="AB1725" s="5">
        <v>0</v>
      </c>
      <c r="AC1725" s="5">
        <v>0</v>
      </c>
      <c r="AD1725" s="5">
        <v>0</v>
      </c>
      <c r="AE1725" s="10" t="s">
        <v>73</v>
      </c>
      <c r="AF1725" s="10"/>
      <c r="AG1725" s="10" t="s">
        <v>114</v>
      </c>
      <c r="AH1725" s="10">
        <v>41690</v>
      </c>
      <c r="AI1725" s="5">
        <v>0</v>
      </c>
      <c r="AJ1725" s="10" t="s">
        <v>9603</v>
      </c>
      <c r="AK1725" s="10" t="s">
        <v>9604</v>
      </c>
    </row>
    <row r="1726" spans="1:37" ht="36.75" customHeight="1" x14ac:dyDescent="0.35">
      <c r="A1726" s="5"/>
      <c r="B1726" s="5" t="s">
        <v>37</v>
      </c>
      <c r="C1726" s="73" t="str">
        <f t="shared" si="26"/>
        <v>Closed</v>
      </c>
      <c r="D1726" s="45" t="s">
        <v>9605</v>
      </c>
      <c r="E1726" s="54" t="s">
        <v>9606</v>
      </c>
      <c r="F1726" s="5" t="s">
        <v>404</v>
      </c>
      <c r="G1726" s="10">
        <f>DATE(2014,2,4)</f>
        <v>41674</v>
      </c>
      <c r="H1726" s="35">
        <v>1.2701388888888889</v>
      </c>
      <c r="I1726" s="5" t="s">
        <v>137</v>
      </c>
      <c r="J1726" s="10" t="s">
        <v>9607</v>
      </c>
      <c r="K1726" s="5" t="s">
        <v>406</v>
      </c>
      <c r="L1726" s="5" t="s">
        <v>9608</v>
      </c>
      <c r="M1726" s="5" t="s">
        <v>45</v>
      </c>
      <c r="N1726" s="5" t="s">
        <v>80</v>
      </c>
      <c r="O1726" s="5" t="s">
        <v>46</v>
      </c>
      <c r="P1726" s="10" t="s">
        <v>146</v>
      </c>
      <c r="Q1726" s="10" t="s">
        <v>408</v>
      </c>
      <c r="R1726" s="10" t="s">
        <v>3083</v>
      </c>
      <c r="S1726" s="5">
        <v>0</v>
      </c>
      <c r="T1726" s="37">
        <v>0</v>
      </c>
      <c r="U1726" s="5">
        <v>0</v>
      </c>
      <c r="V1726" s="37">
        <v>0</v>
      </c>
      <c r="W1726" s="5">
        <v>0</v>
      </c>
      <c r="X1726" s="5">
        <v>0</v>
      </c>
      <c r="Y1726" s="5">
        <v>0</v>
      </c>
      <c r="Z1726" s="37">
        <v>0</v>
      </c>
      <c r="AA1726" s="5">
        <v>0</v>
      </c>
      <c r="AB1726" s="5">
        <v>0</v>
      </c>
      <c r="AC1726" s="5">
        <v>0</v>
      </c>
      <c r="AD1726" s="5">
        <v>0</v>
      </c>
      <c r="AE1726" s="10" t="s">
        <v>73</v>
      </c>
      <c r="AF1726" s="10"/>
      <c r="AG1726" s="10" t="s">
        <v>114</v>
      </c>
      <c r="AH1726" s="10">
        <v>41691</v>
      </c>
      <c r="AI1726" s="5">
        <v>1</v>
      </c>
      <c r="AJ1726" s="10" t="s">
        <v>9609</v>
      </c>
      <c r="AK1726" s="10" t="s">
        <v>9610</v>
      </c>
    </row>
    <row r="1727" spans="1:37" ht="36.75" customHeight="1" x14ac:dyDescent="0.35">
      <c r="A1727" s="5"/>
      <c r="B1727" s="5" t="s">
        <v>37</v>
      </c>
      <c r="C1727" s="73" t="str">
        <f t="shared" si="26"/>
        <v>Closed</v>
      </c>
      <c r="D1727" s="45" t="s">
        <v>9611</v>
      </c>
      <c r="E1727" s="54" t="s">
        <v>9612</v>
      </c>
      <c r="F1727" s="5" t="s">
        <v>105</v>
      </c>
      <c r="G1727" s="10">
        <f>DATE(2014,2,9)</f>
        <v>41679</v>
      </c>
      <c r="H1727" s="35">
        <v>1.7173611111111109</v>
      </c>
      <c r="I1727" s="5" t="s">
        <v>97</v>
      </c>
      <c r="J1727" s="10" t="s">
        <v>9613</v>
      </c>
      <c r="K1727" s="5" t="s">
        <v>108</v>
      </c>
      <c r="L1727" s="5" t="s">
        <v>9614</v>
      </c>
      <c r="M1727" s="5" t="s">
        <v>110</v>
      </c>
      <c r="N1727" s="5" t="s">
        <v>123</v>
      </c>
      <c r="O1727" s="5" t="s">
        <v>46</v>
      </c>
      <c r="P1727" s="10" t="s">
        <v>110</v>
      </c>
      <c r="Q1727" s="10">
        <v>0</v>
      </c>
      <c r="R1727" s="10" t="s">
        <v>112</v>
      </c>
      <c r="S1727" s="5">
        <v>0</v>
      </c>
      <c r="T1727" s="37">
        <v>0</v>
      </c>
      <c r="U1727" s="5">
        <v>1</v>
      </c>
      <c r="V1727" s="37">
        <v>0</v>
      </c>
      <c r="W1727" s="5">
        <v>0</v>
      </c>
      <c r="X1727" s="5">
        <v>1</v>
      </c>
      <c r="Y1727" s="5">
        <v>0</v>
      </c>
      <c r="Z1727" s="37">
        <v>0</v>
      </c>
      <c r="AA1727" s="5">
        <v>0</v>
      </c>
      <c r="AB1727" s="5">
        <v>0</v>
      </c>
      <c r="AC1727" s="5">
        <v>0</v>
      </c>
      <c r="AD1727" s="5">
        <v>0</v>
      </c>
      <c r="AE1727" s="10" t="s">
        <v>73</v>
      </c>
      <c r="AF1727" s="10"/>
      <c r="AG1727" s="10" t="s">
        <v>348</v>
      </c>
      <c r="AH1727" s="10">
        <v>41717</v>
      </c>
      <c r="AI1727" s="5">
        <v>1</v>
      </c>
      <c r="AJ1727" s="10" t="s">
        <v>9615</v>
      </c>
      <c r="AK1727" s="10" t="s">
        <v>9616</v>
      </c>
    </row>
    <row r="1728" spans="1:37" ht="36.75" customHeight="1" x14ac:dyDescent="0.35">
      <c r="A1728" s="5"/>
      <c r="B1728" s="5" t="s">
        <v>37</v>
      </c>
      <c r="C1728" s="73" t="str">
        <f t="shared" si="26"/>
        <v>Closed</v>
      </c>
      <c r="D1728" s="45" t="s">
        <v>9617</v>
      </c>
      <c r="E1728" s="54" t="s">
        <v>9618</v>
      </c>
      <c r="F1728" s="5" t="s">
        <v>816</v>
      </c>
      <c r="G1728" s="10">
        <f>DATE(2014,2,10)</f>
        <v>41680</v>
      </c>
      <c r="H1728" s="35">
        <v>0</v>
      </c>
      <c r="I1728" s="5" t="s">
        <v>55</v>
      </c>
      <c r="J1728" s="10" t="s">
        <v>9619</v>
      </c>
      <c r="K1728" s="5" t="s">
        <v>818</v>
      </c>
      <c r="L1728" s="5" t="s">
        <v>9620</v>
      </c>
      <c r="M1728" s="5" t="s">
        <v>236</v>
      </c>
      <c r="N1728" s="5" t="s">
        <v>123</v>
      </c>
      <c r="O1728" s="5" t="s">
        <v>59</v>
      </c>
      <c r="P1728" s="10" t="s">
        <v>6531</v>
      </c>
      <c r="Q1728" s="10" t="s">
        <v>4190</v>
      </c>
      <c r="R1728" s="10" t="s">
        <v>4190</v>
      </c>
      <c r="S1728" s="5">
        <v>0</v>
      </c>
      <c r="T1728" s="37">
        <v>0</v>
      </c>
      <c r="U1728" s="5">
        <v>0</v>
      </c>
      <c r="V1728" s="37">
        <v>0</v>
      </c>
      <c r="W1728" s="5">
        <v>0</v>
      </c>
      <c r="X1728" s="5">
        <v>0</v>
      </c>
      <c r="Y1728" s="5">
        <v>0</v>
      </c>
      <c r="Z1728" s="37">
        <v>0</v>
      </c>
      <c r="AA1728" s="5">
        <v>0</v>
      </c>
      <c r="AB1728" s="5">
        <v>0</v>
      </c>
      <c r="AC1728" s="5">
        <v>0</v>
      </c>
      <c r="AD1728" s="5">
        <v>0</v>
      </c>
      <c r="AE1728" s="10" t="s">
        <v>73</v>
      </c>
      <c r="AF1728" s="10"/>
      <c r="AG1728" s="10" t="s">
        <v>333</v>
      </c>
      <c r="AH1728" s="10">
        <v>41698</v>
      </c>
      <c r="AI1728" s="5">
        <v>0</v>
      </c>
      <c r="AJ1728" s="10" t="s">
        <v>9621</v>
      </c>
      <c r="AK1728" s="10" t="s">
        <v>50</v>
      </c>
    </row>
    <row r="1729" spans="1:37" ht="36.75" customHeight="1" x14ac:dyDescent="0.35">
      <c r="A1729" s="5"/>
      <c r="B1729" s="5" t="s">
        <v>37</v>
      </c>
      <c r="C1729" s="73" t="str">
        <f t="shared" si="26"/>
        <v>Closed</v>
      </c>
      <c r="D1729" s="45" t="s">
        <v>9622</v>
      </c>
      <c r="E1729" s="54" t="s">
        <v>9623</v>
      </c>
      <c r="F1729" s="5" t="s">
        <v>178</v>
      </c>
      <c r="G1729" s="10">
        <f>DATE(2014,2,12)</f>
        <v>41682</v>
      </c>
      <c r="H1729" s="35">
        <v>0</v>
      </c>
      <c r="I1729" s="5" t="s">
        <v>97</v>
      </c>
      <c r="J1729" s="10" t="s">
        <v>9624</v>
      </c>
      <c r="K1729" s="5" t="s">
        <v>181</v>
      </c>
      <c r="L1729" s="5" t="s">
        <v>9625</v>
      </c>
      <c r="M1729" s="5" t="s">
        <v>45</v>
      </c>
      <c r="N1729" s="5" t="s">
        <v>80</v>
      </c>
      <c r="O1729" s="5" t="s">
        <v>46</v>
      </c>
      <c r="P1729" s="10" t="s">
        <v>146</v>
      </c>
      <c r="Q1729" s="10">
        <v>0</v>
      </c>
      <c r="R1729" s="10">
        <v>0</v>
      </c>
      <c r="S1729" s="5">
        <v>0</v>
      </c>
      <c r="T1729" s="37">
        <v>0</v>
      </c>
      <c r="U1729" s="5">
        <v>4</v>
      </c>
      <c r="V1729" s="37">
        <v>0</v>
      </c>
      <c r="W1729" s="5">
        <v>0</v>
      </c>
      <c r="X1729" s="5">
        <v>4</v>
      </c>
      <c r="Y1729" s="5">
        <v>0</v>
      </c>
      <c r="Z1729" s="37">
        <v>0</v>
      </c>
      <c r="AA1729" s="5">
        <v>0</v>
      </c>
      <c r="AB1729" s="5">
        <v>0</v>
      </c>
      <c r="AC1729" s="5">
        <v>0</v>
      </c>
      <c r="AD1729" s="5">
        <v>0</v>
      </c>
      <c r="AE1729" s="10" t="s">
        <v>73</v>
      </c>
      <c r="AF1729" s="10"/>
      <c r="AG1729" s="10" t="s">
        <v>114</v>
      </c>
      <c r="AH1729" s="10">
        <v>41683</v>
      </c>
      <c r="AI1729" s="5">
        <v>4</v>
      </c>
      <c r="AJ1729" s="10" t="s">
        <v>9626</v>
      </c>
      <c r="AK1729" s="10" t="s">
        <v>1215</v>
      </c>
    </row>
    <row r="1730" spans="1:37" ht="36.75" customHeight="1" x14ac:dyDescent="0.35">
      <c r="A1730" s="5"/>
      <c r="B1730" s="5" t="s">
        <v>37</v>
      </c>
      <c r="C1730" s="73" t="str">
        <f t="shared" ref="C1730:C1793" si="27">IF(B1730="Notification","Open",IF(B1730="Interim Statement","In progress","Closed"))</f>
        <v>Closed</v>
      </c>
      <c r="D1730" s="45" t="s">
        <v>9627</v>
      </c>
      <c r="E1730" s="54" t="s">
        <v>9628</v>
      </c>
      <c r="F1730" s="5" t="s">
        <v>1919</v>
      </c>
      <c r="G1730" s="10">
        <f>DATE(2014,2,12)</f>
        <v>41682</v>
      </c>
      <c r="H1730" s="35">
        <v>1.3993055555555556</v>
      </c>
      <c r="I1730" s="5" t="s">
        <v>97</v>
      </c>
      <c r="J1730" s="10" t="s">
        <v>9629</v>
      </c>
      <c r="K1730" s="5" t="s">
        <v>1921</v>
      </c>
      <c r="L1730" s="5" t="s">
        <v>9630</v>
      </c>
      <c r="M1730" s="5" t="s">
        <v>45</v>
      </c>
      <c r="N1730" s="5" t="s">
        <v>123</v>
      </c>
      <c r="O1730" s="5" t="s">
        <v>46</v>
      </c>
      <c r="P1730" s="10" t="s">
        <v>146</v>
      </c>
      <c r="Q1730" s="10" t="s">
        <v>1923</v>
      </c>
      <c r="R1730" s="10" t="s">
        <v>1923</v>
      </c>
      <c r="S1730" s="5">
        <v>0</v>
      </c>
      <c r="T1730" s="37">
        <v>0</v>
      </c>
      <c r="U1730" s="5">
        <v>0</v>
      </c>
      <c r="V1730" s="37">
        <v>0</v>
      </c>
      <c r="W1730" s="5">
        <v>0</v>
      </c>
      <c r="X1730" s="5">
        <v>0</v>
      </c>
      <c r="Y1730" s="5">
        <v>0</v>
      </c>
      <c r="Z1730" s="37">
        <v>0</v>
      </c>
      <c r="AA1730" s="5">
        <v>1</v>
      </c>
      <c r="AB1730" s="5">
        <v>0</v>
      </c>
      <c r="AC1730" s="5">
        <v>0</v>
      </c>
      <c r="AD1730" s="5">
        <v>1</v>
      </c>
      <c r="AE1730" s="10" t="s">
        <v>73</v>
      </c>
      <c r="AF1730" s="10"/>
      <c r="AG1730" s="10" t="s">
        <v>376</v>
      </c>
      <c r="AH1730" s="10">
        <v>41687</v>
      </c>
      <c r="AI1730" s="5">
        <v>3</v>
      </c>
      <c r="AJ1730" s="10" t="s">
        <v>9631</v>
      </c>
      <c r="AK1730" s="10" t="s">
        <v>9632</v>
      </c>
    </row>
    <row r="1731" spans="1:37" ht="36.75" customHeight="1" x14ac:dyDescent="0.35">
      <c r="A1731" s="5"/>
      <c r="B1731" s="5" t="s">
        <v>37</v>
      </c>
      <c r="C1731" s="73" t="str">
        <f t="shared" si="27"/>
        <v>Closed</v>
      </c>
      <c r="D1731" s="45" t="s">
        <v>9633</v>
      </c>
      <c r="E1731" s="54" t="s">
        <v>9634</v>
      </c>
      <c r="F1731" s="5" t="s">
        <v>432</v>
      </c>
      <c r="G1731" s="10">
        <f>DATE(2014,2,22)</f>
        <v>41692</v>
      </c>
      <c r="H1731" s="35">
        <v>1.4076388888888889</v>
      </c>
      <c r="I1731" s="5" t="s">
        <v>97</v>
      </c>
      <c r="J1731" s="10" t="s">
        <v>9635</v>
      </c>
      <c r="K1731" s="5" t="s">
        <v>434</v>
      </c>
      <c r="L1731" s="5" t="s">
        <v>9636</v>
      </c>
      <c r="M1731" s="5" t="s">
        <v>45</v>
      </c>
      <c r="N1731" s="5" t="s">
        <v>80</v>
      </c>
      <c r="O1731" s="5" t="s">
        <v>46</v>
      </c>
      <c r="P1731" s="10" t="s">
        <v>146</v>
      </c>
      <c r="Q1731" s="10" t="s">
        <v>646</v>
      </c>
      <c r="R1731" s="10" t="s">
        <v>553</v>
      </c>
      <c r="S1731" s="5">
        <v>0</v>
      </c>
      <c r="T1731" s="37">
        <v>0</v>
      </c>
      <c r="U1731" s="5">
        <v>1</v>
      </c>
      <c r="V1731" s="37">
        <v>0</v>
      </c>
      <c r="W1731" s="5">
        <v>0</v>
      </c>
      <c r="X1731" s="5">
        <v>1</v>
      </c>
      <c r="Y1731" s="5">
        <v>0</v>
      </c>
      <c r="Z1731" s="37">
        <v>0</v>
      </c>
      <c r="AA1731" s="5">
        <v>0</v>
      </c>
      <c r="AB1731" s="5">
        <v>0</v>
      </c>
      <c r="AC1731" s="5">
        <v>0</v>
      </c>
      <c r="AD1731" s="5">
        <v>0</v>
      </c>
      <c r="AE1731" s="10" t="s">
        <v>73</v>
      </c>
      <c r="AF1731" s="10"/>
      <c r="AG1731" s="10" t="s">
        <v>64</v>
      </c>
      <c r="AH1731" s="10">
        <v>41697</v>
      </c>
      <c r="AI1731" s="5">
        <v>0</v>
      </c>
      <c r="AJ1731" s="10" t="s">
        <v>9637</v>
      </c>
      <c r="AK1731" s="10" t="s">
        <v>50</v>
      </c>
    </row>
    <row r="1732" spans="1:37" ht="36.75" customHeight="1" x14ac:dyDescent="0.35">
      <c r="A1732" s="5"/>
      <c r="B1732" s="5" t="s">
        <v>37</v>
      </c>
      <c r="C1732" s="73" t="str">
        <f t="shared" si="27"/>
        <v>Closed</v>
      </c>
      <c r="D1732" s="45" t="s">
        <v>9638</v>
      </c>
      <c r="E1732" s="54" t="s">
        <v>9639</v>
      </c>
      <c r="F1732" s="5" t="s">
        <v>816</v>
      </c>
      <c r="G1732" s="10">
        <f>DATE(2014,2,23)</f>
        <v>41693</v>
      </c>
      <c r="H1732" s="35">
        <v>1.9243055555555557</v>
      </c>
      <c r="I1732" s="5" t="s">
        <v>55</v>
      </c>
      <c r="J1732" s="10" t="s">
        <v>9640</v>
      </c>
      <c r="K1732" s="5" t="s">
        <v>818</v>
      </c>
      <c r="L1732" s="5" t="s">
        <v>9339</v>
      </c>
      <c r="M1732" s="5" t="s">
        <v>45</v>
      </c>
      <c r="N1732" s="5" t="s">
        <v>123</v>
      </c>
      <c r="O1732" s="5" t="s">
        <v>71</v>
      </c>
      <c r="P1732" s="10" t="s">
        <v>60</v>
      </c>
      <c r="Q1732" s="10" t="s">
        <v>4688</v>
      </c>
      <c r="R1732" s="10" t="s">
        <v>821</v>
      </c>
      <c r="S1732" s="5">
        <v>0</v>
      </c>
      <c r="T1732" s="37">
        <v>0</v>
      </c>
      <c r="U1732" s="5">
        <v>0</v>
      </c>
      <c r="V1732" s="37">
        <v>0</v>
      </c>
      <c r="W1732" s="5">
        <v>0</v>
      </c>
      <c r="X1732" s="5">
        <v>0</v>
      </c>
      <c r="Y1732" s="5">
        <v>0</v>
      </c>
      <c r="Z1732" s="37">
        <v>0</v>
      </c>
      <c r="AA1732" s="5">
        <v>0</v>
      </c>
      <c r="AB1732" s="5">
        <v>0</v>
      </c>
      <c r="AC1732" s="5">
        <v>0</v>
      </c>
      <c r="AD1732" s="5">
        <v>0</v>
      </c>
      <c r="AE1732" s="10" t="s">
        <v>73</v>
      </c>
      <c r="AF1732" s="10"/>
      <c r="AG1732" s="10" t="s">
        <v>333</v>
      </c>
      <c r="AH1732" s="10">
        <v>41974</v>
      </c>
      <c r="AI1732" s="5">
        <v>1</v>
      </c>
      <c r="AJ1732" s="10" t="s">
        <v>9641</v>
      </c>
      <c r="AK1732" s="10" t="s">
        <v>9642</v>
      </c>
    </row>
    <row r="1733" spans="1:37" ht="36.75" customHeight="1" x14ac:dyDescent="0.35">
      <c r="A1733" s="5"/>
      <c r="B1733" s="5" t="s">
        <v>37</v>
      </c>
      <c r="C1733" s="73" t="str">
        <f t="shared" si="27"/>
        <v>Closed</v>
      </c>
      <c r="D1733" s="45" t="s">
        <v>9643</v>
      </c>
      <c r="E1733" s="54" t="s">
        <v>9644</v>
      </c>
      <c r="F1733" s="5" t="s">
        <v>358</v>
      </c>
      <c r="G1733" s="10">
        <f>DATE(2014,2,25)</f>
        <v>41695</v>
      </c>
      <c r="H1733" s="35">
        <v>1.6666666666666665</v>
      </c>
      <c r="I1733" s="5" t="s">
        <v>97</v>
      </c>
      <c r="J1733" s="10" t="s">
        <v>9645</v>
      </c>
      <c r="K1733" s="5" t="s">
        <v>360</v>
      </c>
      <c r="L1733" s="5" t="s">
        <v>9646</v>
      </c>
      <c r="M1733" s="5" t="s">
        <v>45</v>
      </c>
      <c r="N1733" s="5" t="s">
        <v>80</v>
      </c>
      <c r="O1733" s="5" t="s">
        <v>46</v>
      </c>
      <c r="P1733" s="10" t="s">
        <v>146</v>
      </c>
      <c r="Q1733" s="10" t="s">
        <v>8450</v>
      </c>
      <c r="R1733" s="10" t="s">
        <v>363</v>
      </c>
      <c r="S1733" s="5">
        <v>0</v>
      </c>
      <c r="T1733" s="37">
        <v>0</v>
      </c>
      <c r="U1733" s="5">
        <v>2</v>
      </c>
      <c r="V1733" s="37">
        <v>0</v>
      </c>
      <c r="W1733" s="5">
        <v>0</v>
      </c>
      <c r="X1733" s="5">
        <v>2</v>
      </c>
      <c r="Y1733" s="5">
        <v>0</v>
      </c>
      <c r="Z1733" s="37">
        <v>0</v>
      </c>
      <c r="AA1733" s="5">
        <v>0</v>
      </c>
      <c r="AB1733" s="5">
        <v>0</v>
      </c>
      <c r="AC1733" s="5">
        <v>0</v>
      </c>
      <c r="AD1733" s="5">
        <v>0</v>
      </c>
      <c r="AE1733" s="10" t="s">
        <v>73</v>
      </c>
      <c r="AF1733" s="10"/>
      <c r="AG1733" s="10" t="s">
        <v>114</v>
      </c>
      <c r="AH1733" s="10">
        <v>41696</v>
      </c>
      <c r="AI1733" s="5">
        <v>1</v>
      </c>
      <c r="AJ1733" s="10" t="s">
        <v>9647</v>
      </c>
      <c r="AK1733" s="10" t="s">
        <v>50</v>
      </c>
    </row>
    <row r="1734" spans="1:37" ht="36.75" customHeight="1" x14ac:dyDescent="0.35">
      <c r="A1734" s="5"/>
      <c r="B1734" s="5" t="s">
        <v>37</v>
      </c>
      <c r="C1734" s="73" t="str">
        <f t="shared" si="27"/>
        <v>Closed</v>
      </c>
      <c r="D1734" s="45" t="s">
        <v>9648</v>
      </c>
      <c r="E1734" s="54" t="s">
        <v>9649</v>
      </c>
      <c r="F1734" s="5" t="s">
        <v>605</v>
      </c>
      <c r="G1734" s="10">
        <f>DATE(2014,2,25)</f>
        <v>41695</v>
      </c>
      <c r="H1734" s="35">
        <v>1.2520833333333332</v>
      </c>
      <c r="I1734" s="5" t="s">
        <v>55</v>
      </c>
      <c r="J1734" s="10" t="s">
        <v>9650</v>
      </c>
      <c r="K1734" s="5" t="s">
        <v>607</v>
      </c>
      <c r="L1734" s="5" t="s">
        <v>9651</v>
      </c>
      <c r="M1734" s="5" t="s">
        <v>45</v>
      </c>
      <c r="N1734" s="5" t="s">
        <v>123</v>
      </c>
      <c r="O1734" s="5" t="s">
        <v>46</v>
      </c>
      <c r="P1734" s="10" t="s">
        <v>60</v>
      </c>
      <c r="Q1734" s="10" t="s">
        <v>9652</v>
      </c>
      <c r="R1734" s="10" t="s">
        <v>610</v>
      </c>
      <c r="S1734" s="5">
        <v>0</v>
      </c>
      <c r="T1734" s="37">
        <v>0</v>
      </c>
      <c r="U1734" s="5">
        <v>0</v>
      </c>
      <c r="V1734" s="37">
        <v>0</v>
      </c>
      <c r="W1734" s="5">
        <v>0</v>
      </c>
      <c r="X1734" s="5">
        <v>0</v>
      </c>
      <c r="Y1734" s="5">
        <v>0</v>
      </c>
      <c r="Z1734" s="37">
        <v>0</v>
      </c>
      <c r="AA1734" s="5">
        <v>0</v>
      </c>
      <c r="AB1734" s="5">
        <v>0</v>
      </c>
      <c r="AC1734" s="5">
        <v>0</v>
      </c>
      <c r="AD1734" s="5">
        <v>0</v>
      </c>
      <c r="AE1734" s="10" t="s">
        <v>375</v>
      </c>
      <c r="AF1734" s="10"/>
      <c r="AG1734" s="10" t="s">
        <v>114</v>
      </c>
      <c r="AH1734" s="10">
        <v>41695</v>
      </c>
      <c r="AI1734" s="5">
        <v>2</v>
      </c>
      <c r="AJ1734" s="10" t="s">
        <v>9653</v>
      </c>
      <c r="AK1734" s="10" t="s">
        <v>50</v>
      </c>
    </row>
    <row r="1735" spans="1:37" ht="36.75" customHeight="1" x14ac:dyDescent="0.35">
      <c r="A1735" s="5"/>
      <c r="B1735" s="5" t="s">
        <v>37</v>
      </c>
      <c r="C1735" s="73" t="str">
        <f t="shared" si="27"/>
        <v>Closed</v>
      </c>
      <c r="D1735" s="45" t="s">
        <v>9654</v>
      </c>
      <c r="E1735" s="54" t="s">
        <v>9655</v>
      </c>
      <c r="F1735" s="5" t="s">
        <v>816</v>
      </c>
      <c r="G1735" s="10">
        <f>DATE(2014,2,27)</f>
        <v>41697</v>
      </c>
      <c r="H1735" s="35">
        <v>0</v>
      </c>
      <c r="I1735" s="5" t="s">
        <v>55</v>
      </c>
      <c r="J1735" s="10" t="s">
        <v>9656</v>
      </c>
      <c r="K1735" s="5" t="s">
        <v>818</v>
      </c>
      <c r="L1735" s="5" t="s">
        <v>9657</v>
      </c>
      <c r="M1735" s="5" t="s">
        <v>236</v>
      </c>
      <c r="N1735" s="5" t="s">
        <v>123</v>
      </c>
      <c r="O1735" s="5" t="s">
        <v>46</v>
      </c>
      <c r="P1735" s="10" t="s">
        <v>6531</v>
      </c>
      <c r="Q1735" s="10" t="s">
        <v>4190</v>
      </c>
      <c r="R1735" s="10" t="s">
        <v>4190</v>
      </c>
      <c r="S1735" s="5">
        <v>0</v>
      </c>
      <c r="T1735" s="37">
        <v>0</v>
      </c>
      <c r="U1735" s="5">
        <v>0</v>
      </c>
      <c r="V1735" s="37">
        <v>0</v>
      </c>
      <c r="W1735" s="5">
        <v>0</v>
      </c>
      <c r="X1735" s="5">
        <v>0</v>
      </c>
      <c r="Y1735" s="5">
        <v>0</v>
      </c>
      <c r="Z1735" s="37">
        <v>0</v>
      </c>
      <c r="AA1735" s="5">
        <v>0</v>
      </c>
      <c r="AB1735" s="5">
        <v>0</v>
      </c>
      <c r="AC1735" s="5">
        <v>0</v>
      </c>
      <c r="AD1735" s="5">
        <v>0</v>
      </c>
      <c r="AE1735" s="10" t="s">
        <v>73</v>
      </c>
      <c r="AF1735" s="10"/>
      <c r="AG1735" s="10" t="s">
        <v>333</v>
      </c>
      <c r="AH1735" s="10">
        <v>41698</v>
      </c>
      <c r="AI1735" s="5">
        <v>0</v>
      </c>
      <c r="AJ1735" s="10" t="s">
        <v>9658</v>
      </c>
      <c r="AK1735" s="10" t="s">
        <v>50</v>
      </c>
    </row>
    <row r="1736" spans="1:37" ht="36.75" customHeight="1" x14ac:dyDescent="0.35">
      <c r="A1736" s="5"/>
      <c r="B1736" s="5" t="s">
        <v>37</v>
      </c>
      <c r="C1736" s="73" t="str">
        <f t="shared" si="27"/>
        <v>Closed</v>
      </c>
      <c r="D1736" s="45" t="s">
        <v>9659</v>
      </c>
      <c r="E1736" s="54" t="s">
        <v>9660</v>
      </c>
      <c r="F1736" s="5" t="s">
        <v>563</v>
      </c>
      <c r="G1736" s="10">
        <f>DATE(2014,2,28)</f>
        <v>41698</v>
      </c>
      <c r="H1736" s="35">
        <v>1.7875000000000001</v>
      </c>
      <c r="I1736" s="5" t="s">
        <v>97</v>
      </c>
      <c r="J1736" s="10" t="s">
        <v>9661</v>
      </c>
      <c r="K1736" s="5" t="s">
        <v>565</v>
      </c>
      <c r="L1736" s="5" t="s">
        <v>9662</v>
      </c>
      <c r="M1736" s="5" t="s">
        <v>45</v>
      </c>
      <c r="N1736" s="5" t="s">
        <v>123</v>
      </c>
      <c r="O1736" s="5" t="s">
        <v>46</v>
      </c>
      <c r="P1736" s="10" t="s">
        <v>146</v>
      </c>
      <c r="Q1736" s="10" t="s">
        <v>9663</v>
      </c>
      <c r="R1736" s="10" t="s">
        <v>568</v>
      </c>
      <c r="S1736" s="5">
        <v>0</v>
      </c>
      <c r="T1736" s="37">
        <v>0</v>
      </c>
      <c r="U1736" s="5">
        <v>1</v>
      </c>
      <c r="V1736" s="37">
        <v>0</v>
      </c>
      <c r="W1736" s="5">
        <v>0</v>
      </c>
      <c r="X1736" s="5">
        <v>1</v>
      </c>
      <c r="Y1736" s="5">
        <v>0</v>
      </c>
      <c r="Z1736" s="37">
        <v>0</v>
      </c>
      <c r="AA1736" s="5">
        <v>0</v>
      </c>
      <c r="AB1736" s="5">
        <v>0</v>
      </c>
      <c r="AC1736" s="5">
        <v>0</v>
      </c>
      <c r="AD1736" s="5">
        <v>0</v>
      </c>
      <c r="AE1736" s="10" t="s">
        <v>73</v>
      </c>
      <c r="AF1736" s="10"/>
      <c r="AG1736" s="10" t="s">
        <v>114</v>
      </c>
      <c r="AH1736" s="10">
        <v>41890</v>
      </c>
      <c r="AI1736" s="5">
        <v>0</v>
      </c>
      <c r="AJ1736" s="10" t="s">
        <v>9664</v>
      </c>
      <c r="AK1736" s="10" t="s">
        <v>1215</v>
      </c>
    </row>
    <row r="1737" spans="1:37" ht="36.75" customHeight="1" x14ac:dyDescent="0.35">
      <c r="A1737" s="5"/>
      <c r="B1737" s="5" t="s">
        <v>37</v>
      </c>
      <c r="C1737" s="73" t="str">
        <f t="shared" si="27"/>
        <v>Closed</v>
      </c>
      <c r="D1737" s="45" t="s">
        <v>9665</v>
      </c>
      <c r="E1737" s="54" t="s">
        <v>9666</v>
      </c>
      <c r="F1737" s="5" t="s">
        <v>816</v>
      </c>
      <c r="G1737" s="10">
        <f>DATE(2014,3,3)</f>
        <v>41701</v>
      </c>
      <c r="H1737" s="35">
        <v>1.5222222222222221</v>
      </c>
      <c r="I1737" s="5" t="s">
        <v>97</v>
      </c>
      <c r="J1737" s="10" t="s">
        <v>9667</v>
      </c>
      <c r="K1737" s="5" t="s">
        <v>818</v>
      </c>
      <c r="L1737" s="5" t="s">
        <v>9668</v>
      </c>
      <c r="M1737" s="5" t="s">
        <v>45</v>
      </c>
      <c r="N1737" s="5" t="s">
        <v>80</v>
      </c>
      <c r="O1737" s="5" t="s">
        <v>46</v>
      </c>
      <c r="P1737" s="10" t="s">
        <v>146</v>
      </c>
      <c r="Q1737" s="10" t="s">
        <v>2142</v>
      </c>
      <c r="R1737" s="10" t="s">
        <v>821</v>
      </c>
      <c r="S1737" s="5">
        <v>0</v>
      </c>
      <c r="T1737" s="37">
        <v>0</v>
      </c>
      <c r="U1737" s="5">
        <v>0</v>
      </c>
      <c r="V1737" s="37">
        <v>0</v>
      </c>
      <c r="W1737" s="5">
        <v>0</v>
      </c>
      <c r="X1737" s="5">
        <v>0</v>
      </c>
      <c r="Y1737" s="5">
        <v>0</v>
      </c>
      <c r="Z1737" s="37">
        <v>0</v>
      </c>
      <c r="AA1737" s="5">
        <v>1</v>
      </c>
      <c r="AB1737" s="5">
        <v>0</v>
      </c>
      <c r="AC1737" s="5">
        <v>0</v>
      </c>
      <c r="AD1737" s="5">
        <v>1</v>
      </c>
      <c r="AE1737" s="10" t="s">
        <v>375</v>
      </c>
      <c r="AF1737" s="10"/>
      <c r="AG1737" s="10" t="s">
        <v>64</v>
      </c>
      <c r="AH1737" s="10">
        <v>41701</v>
      </c>
      <c r="AI1737" s="5">
        <v>2</v>
      </c>
      <c r="AJ1737" s="10" t="s">
        <v>9669</v>
      </c>
      <c r="AK1737" s="10" t="s">
        <v>50</v>
      </c>
    </row>
    <row r="1738" spans="1:37" ht="36.75" customHeight="1" x14ac:dyDescent="0.35">
      <c r="A1738" s="5"/>
      <c r="B1738" s="5" t="s">
        <v>37</v>
      </c>
      <c r="C1738" s="73" t="str">
        <f t="shared" si="27"/>
        <v>Closed</v>
      </c>
      <c r="D1738" s="45" t="s">
        <v>9670</v>
      </c>
      <c r="E1738" s="54" t="s">
        <v>9671</v>
      </c>
      <c r="F1738" s="5" t="s">
        <v>816</v>
      </c>
      <c r="G1738" s="10">
        <f>DATE(2014,3,5)</f>
        <v>41703</v>
      </c>
      <c r="H1738" s="35">
        <v>1.4930555555555556</v>
      </c>
      <c r="I1738" s="5" t="s">
        <v>55</v>
      </c>
      <c r="J1738" s="10" t="s">
        <v>9672</v>
      </c>
      <c r="K1738" s="5" t="s">
        <v>818</v>
      </c>
      <c r="L1738" s="5" t="s">
        <v>9673</v>
      </c>
      <c r="M1738" s="5" t="s">
        <v>45</v>
      </c>
      <c r="N1738" s="5" t="s">
        <v>123</v>
      </c>
      <c r="O1738" s="5" t="s">
        <v>59</v>
      </c>
      <c r="P1738" s="10" t="s">
        <v>67</v>
      </c>
      <c r="Q1738" s="10" t="s">
        <v>2142</v>
      </c>
      <c r="R1738" s="10" t="s">
        <v>821</v>
      </c>
      <c r="S1738" s="5">
        <v>0</v>
      </c>
      <c r="T1738" s="37">
        <v>0</v>
      </c>
      <c r="U1738" s="5">
        <v>0</v>
      </c>
      <c r="V1738" s="37">
        <v>0</v>
      </c>
      <c r="W1738" s="5">
        <v>0</v>
      </c>
      <c r="X1738" s="5">
        <v>0</v>
      </c>
      <c r="Y1738" s="5">
        <v>0</v>
      </c>
      <c r="Z1738" s="37">
        <v>0</v>
      </c>
      <c r="AA1738" s="5">
        <v>0</v>
      </c>
      <c r="AB1738" s="5">
        <v>0</v>
      </c>
      <c r="AC1738" s="5">
        <v>0</v>
      </c>
      <c r="AD1738" s="5">
        <v>0</v>
      </c>
      <c r="AE1738" s="10" t="s">
        <v>73</v>
      </c>
      <c r="AF1738" s="10"/>
      <c r="AG1738" s="10" t="s">
        <v>333</v>
      </c>
      <c r="AH1738" s="10">
        <v>41703</v>
      </c>
      <c r="AI1738" s="5">
        <v>0</v>
      </c>
      <c r="AJ1738" s="10" t="s">
        <v>9674</v>
      </c>
      <c r="AK1738" s="10" t="s">
        <v>50</v>
      </c>
    </row>
    <row r="1739" spans="1:37" ht="36.75" customHeight="1" x14ac:dyDescent="0.35">
      <c r="A1739" s="5"/>
      <c r="B1739" s="5" t="s">
        <v>37</v>
      </c>
      <c r="C1739" s="73" t="str">
        <f t="shared" si="27"/>
        <v>Closed</v>
      </c>
      <c r="D1739" s="45" t="s">
        <v>9675</v>
      </c>
      <c r="E1739" s="54" t="s">
        <v>9676</v>
      </c>
      <c r="F1739" s="5" t="s">
        <v>404</v>
      </c>
      <c r="G1739" s="10">
        <f>DATE(2014,3,7)</f>
        <v>41705</v>
      </c>
      <c r="H1739" s="35">
        <v>1.2048611111111112</v>
      </c>
      <c r="I1739" s="5" t="s">
        <v>55</v>
      </c>
      <c r="J1739" s="10" t="s">
        <v>9677</v>
      </c>
      <c r="K1739" s="5" t="s">
        <v>406</v>
      </c>
      <c r="L1739" s="5" t="s">
        <v>9678</v>
      </c>
      <c r="M1739" s="5" t="s">
        <v>45</v>
      </c>
      <c r="N1739" s="5" t="s">
        <v>70</v>
      </c>
      <c r="O1739" s="5" t="s">
        <v>59</v>
      </c>
      <c r="P1739" s="10" t="s">
        <v>146</v>
      </c>
      <c r="Q1739" s="10" t="s">
        <v>4531</v>
      </c>
      <c r="R1739" s="10" t="s">
        <v>3083</v>
      </c>
      <c r="S1739" s="5">
        <v>0</v>
      </c>
      <c r="T1739" s="37">
        <v>0</v>
      </c>
      <c r="U1739" s="5">
        <v>0</v>
      </c>
      <c r="V1739" s="37">
        <v>0</v>
      </c>
      <c r="W1739" s="5">
        <v>0</v>
      </c>
      <c r="X1739" s="5">
        <v>0</v>
      </c>
      <c r="Y1739" s="5">
        <v>0</v>
      </c>
      <c r="Z1739" s="37">
        <v>0</v>
      </c>
      <c r="AA1739" s="5">
        <v>0</v>
      </c>
      <c r="AB1739" s="5">
        <v>0</v>
      </c>
      <c r="AC1739" s="5">
        <v>0</v>
      </c>
      <c r="AD1739" s="5">
        <v>0</v>
      </c>
      <c r="AE1739" s="10" t="s">
        <v>73</v>
      </c>
      <c r="AF1739" s="10"/>
      <c r="AG1739" s="10" t="s">
        <v>114</v>
      </c>
      <c r="AH1739" s="10">
        <v>41823</v>
      </c>
      <c r="AI1739" s="5">
        <v>3</v>
      </c>
      <c r="AJ1739" s="10" t="s">
        <v>9679</v>
      </c>
      <c r="AK1739" s="10" t="s">
        <v>9680</v>
      </c>
    </row>
    <row r="1740" spans="1:37" ht="36.75" customHeight="1" x14ac:dyDescent="0.35">
      <c r="A1740" s="5"/>
      <c r="B1740" s="5" t="s">
        <v>37</v>
      </c>
      <c r="C1740" s="73" t="str">
        <f t="shared" si="27"/>
        <v>Closed</v>
      </c>
      <c r="D1740" s="45" t="s">
        <v>9681</v>
      </c>
      <c r="E1740" s="54" t="s">
        <v>9682</v>
      </c>
      <c r="F1740" s="5" t="s">
        <v>404</v>
      </c>
      <c r="G1740" s="10">
        <f>DATE(2014,3,10)</f>
        <v>41708</v>
      </c>
      <c r="H1740" s="35">
        <v>1.2583333333333333</v>
      </c>
      <c r="I1740" s="5" t="s">
        <v>179</v>
      </c>
      <c r="J1740" s="10" t="s">
        <v>9683</v>
      </c>
      <c r="K1740" s="5" t="s">
        <v>406</v>
      </c>
      <c r="L1740" s="5" t="s">
        <v>9684</v>
      </c>
      <c r="M1740" s="5" t="s">
        <v>236</v>
      </c>
      <c r="N1740" s="5" t="s">
        <v>80</v>
      </c>
      <c r="O1740" s="5" t="s">
        <v>59</v>
      </c>
      <c r="P1740" s="10" t="s">
        <v>6531</v>
      </c>
      <c r="Q1740" s="10" t="s">
        <v>1325</v>
      </c>
      <c r="R1740" s="10" t="s">
        <v>1325</v>
      </c>
      <c r="S1740" s="5">
        <v>0</v>
      </c>
      <c r="T1740" s="37">
        <v>0</v>
      </c>
      <c r="U1740" s="5">
        <v>0</v>
      </c>
      <c r="V1740" s="37">
        <v>0</v>
      </c>
      <c r="W1740" s="5">
        <v>0</v>
      </c>
      <c r="X1740" s="5">
        <v>0</v>
      </c>
      <c r="Y1740" s="5">
        <v>0</v>
      </c>
      <c r="Z1740" s="37">
        <v>0</v>
      </c>
      <c r="AA1740" s="5">
        <v>0</v>
      </c>
      <c r="AB1740" s="5">
        <v>0</v>
      </c>
      <c r="AC1740" s="5">
        <v>0</v>
      </c>
      <c r="AD1740" s="5">
        <v>0</v>
      </c>
      <c r="AE1740" s="10" t="s">
        <v>73</v>
      </c>
      <c r="AF1740" s="10"/>
      <c r="AG1740" s="10" t="s">
        <v>348</v>
      </c>
      <c r="AH1740" s="10">
        <v>41712</v>
      </c>
      <c r="AI1740" s="5">
        <v>3</v>
      </c>
      <c r="AJ1740" s="10" t="s">
        <v>9685</v>
      </c>
      <c r="AK1740" s="10" t="s">
        <v>9686</v>
      </c>
    </row>
    <row r="1741" spans="1:37" ht="36.75" customHeight="1" x14ac:dyDescent="0.35">
      <c r="A1741" s="5"/>
      <c r="B1741" s="5" t="s">
        <v>37</v>
      </c>
      <c r="C1741" s="73" t="str">
        <f t="shared" si="27"/>
        <v>Closed</v>
      </c>
      <c r="D1741" s="45" t="s">
        <v>9687</v>
      </c>
      <c r="E1741" s="54" t="s">
        <v>9688</v>
      </c>
      <c r="F1741" s="5" t="s">
        <v>1553</v>
      </c>
      <c r="G1741" s="10">
        <f>DATE(2014,3,10)</f>
        <v>41708</v>
      </c>
      <c r="H1741" s="35">
        <v>1.5104166666666665</v>
      </c>
      <c r="I1741" s="5" t="s">
        <v>55</v>
      </c>
      <c r="J1741" s="10" t="s">
        <v>9689</v>
      </c>
      <c r="K1741" s="5" t="s">
        <v>1555</v>
      </c>
      <c r="L1741" s="5" t="s">
        <v>9690</v>
      </c>
      <c r="M1741" s="5" t="s">
        <v>45</v>
      </c>
      <c r="N1741" s="5" t="s">
        <v>80</v>
      </c>
      <c r="O1741" s="5" t="s">
        <v>46</v>
      </c>
      <c r="P1741" s="10" t="s">
        <v>282</v>
      </c>
      <c r="Q1741" s="10" t="s">
        <v>6413</v>
      </c>
      <c r="R1741" s="10" t="s">
        <v>4899</v>
      </c>
      <c r="S1741" s="5">
        <v>0</v>
      </c>
      <c r="T1741" s="37">
        <v>0</v>
      </c>
      <c r="U1741" s="5">
        <v>0</v>
      </c>
      <c r="V1741" s="37">
        <v>0</v>
      </c>
      <c r="W1741" s="5">
        <v>0</v>
      </c>
      <c r="X1741" s="5">
        <v>0</v>
      </c>
      <c r="Y1741" s="5">
        <v>0</v>
      </c>
      <c r="Z1741" s="37">
        <v>0</v>
      </c>
      <c r="AA1741" s="5">
        <v>0</v>
      </c>
      <c r="AB1741" s="5">
        <v>0</v>
      </c>
      <c r="AC1741" s="5">
        <v>0</v>
      </c>
      <c r="AD1741" s="5">
        <v>0</v>
      </c>
      <c r="AE1741" s="10" t="s">
        <v>73</v>
      </c>
      <c r="AF1741" s="10"/>
      <c r="AG1741" s="10" t="s">
        <v>114</v>
      </c>
      <c r="AH1741" s="10">
        <v>41708</v>
      </c>
      <c r="AI1741" s="5">
        <v>1</v>
      </c>
      <c r="AJ1741" s="10" t="s">
        <v>9691</v>
      </c>
      <c r="AK1741" s="10" t="s">
        <v>9692</v>
      </c>
    </row>
    <row r="1742" spans="1:37" ht="36.75" customHeight="1" x14ac:dyDescent="0.35">
      <c r="A1742" s="5"/>
      <c r="B1742" s="5" t="s">
        <v>37</v>
      </c>
      <c r="C1742" s="73" t="str">
        <f t="shared" si="27"/>
        <v>Closed</v>
      </c>
      <c r="D1742" s="45" t="s">
        <v>9693</v>
      </c>
      <c r="E1742" s="54" t="s">
        <v>9694</v>
      </c>
      <c r="F1742" s="5" t="s">
        <v>404</v>
      </c>
      <c r="G1742" s="10">
        <f>DATE(2014,3,13)</f>
        <v>41711</v>
      </c>
      <c r="H1742" s="35">
        <v>1.6194444444444445</v>
      </c>
      <c r="I1742" s="5" t="s">
        <v>179</v>
      </c>
      <c r="J1742" s="10" t="s">
        <v>9695</v>
      </c>
      <c r="K1742" s="5" t="s">
        <v>406</v>
      </c>
      <c r="L1742" s="5" t="s">
        <v>9696</v>
      </c>
      <c r="M1742" s="5" t="s">
        <v>45</v>
      </c>
      <c r="N1742" s="5" t="s">
        <v>123</v>
      </c>
      <c r="O1742" s="5" t="s">
        <v>46</v>
      </c>
      <c r="P1742" s="10" t="s">
        <v>3410</v>
      </c>
      <c r="Q1742" s="10" t="s">
        <v>9697</v>
      </c>
      <c r="R1742" s="10" t="s">
        <v>3083</v>
      </c>
      <c r="S1742" s="5">
        <v>0</v>
      </c>
      <c r="T1742" s="37">
        <v>0</v>
      </c>
      <c r="U1742" s="5">
        <v>0</v>
      </c>
      <c r="V1742" s="37">
        <v>0</v>
      </c>
      <c r="W1742" s="5">
        <v>0</v>
      </c>
      <c r="X1742" s="5">
        <v>0</v>
      </c>
      <c r="Y1742" s="5">
        <v>0</v>
      </c>
      <c r="Z1742" s="37">
        <v>0</v>
      </c>
      <c r="AA1742" s="5">
        <v>0</v>
      </c>
      <c r="AB1742" s="5">
        <v>0</v>
      </c>
      <c r="AC1742" s="5">
        <v>0</v>
      </c>
      <c r="AD1742" s="5">
        <v>0</v>
      </c>
      <c r="AE1742" s="10" t="s">
        <v>375</v>
      </c>
      <c r="AF1742" s="10"/>
      <c r="AG1742" s="10" t="s">
        <v>114</v>
      </c>
      <c r="AH1742" s="10">
        <v>41836</v>
      </c>
      <c r="AI1742" s="5">
        <v>2</v>
      </c>
      <c r="AJ1742" s="10" t="s">
        <v>9698</v>
      </c>
      <c r="AK1742" s="10" t="s">
        <v>9699</v>
      </c>
    </row>
    <row r="1743" spans="1:37" ht="36.75" customHeight="1" x14ac:dyDescent="0.35">
      <c r="A1743" s="5"/>
      <c r="B1743" s="5" t="s">
        <v>37</v>
      </c>
      <c r="C1743" s="73" t="str">
        <f t="shared" si="27"/>
        <v>Closed</v>
      </c>
      <c r="D1743" s="45" t="s">
        <v>9700</v>
      </c>
      <c r="E1743" s="54" t="s">
        <v>9701</v>
      </c>
      <c r="F1743" s="5" t="s">
        <v>1553</v>
      </c>
      <c r="G1743" s="10">
        <f>DATE(2014,3,14)</f>
        <v>41712</v>
      </c>
      <c r="H1743" s="35">
        <v>1.5347222222222223</v>
      </c>
      <c r="I1743" s="5" t="s">
        <v>55</v>
      </c>
      <c r="J1743" s="10" t="s">
        <v>9702</v>
      </c>
      <c r="K1743" s="5" t="s">
        <v>1555</v>
      </c>
      <c r="L1743" s="5" t="s">
        <v>9703</v>
      </c>
      <c r="M1743" s="5" t="s">
        <v>45</v>
      </c>
      <c r="N1743" s="5" t="s">
        <v>80</v>
      </c>
      <c r="O1743" s="5" t="s">
        <v>46</v>
      </c>
      <c r="P1743" s="10" t="s">
        <v>282</v>
      </c>
      <c r="Q1743" s="10" t="s">
        <v>6413</v>
      </c>
      <c r="R1743" s="10" t="s">
        <v>4899</v>
      </c>
      <c r="S1743" s="5">
        <v>0</v>
      </c>
      <c r="T1743" s="37">
        <v>0</v>
      </c>
      <c r="U1743" s="5">
        <v>0</v>
      </c>
      <c r="V1743" s="37">
        <v>0</v>
      </c>
      <c r="W1743" s="5">
        <v>0</v>
      </c>
      <c r="X1743" s="5">
        <v>0</v>
      </c>
      <c r="Y1743" s="5">
        <v>0</v>
      </c>
      <c r="Z1743" s="37">
        <v>0</v>
      </c>
      <c r="AA1743" s="5">
        <v>0</v>
      </c>
      <c r="AB1743" s="5">
        <v>0</v>
      </c>
      <c r="AC1743" s="5">
        <v>0</v>
      </c>
      <c r="AD1743" s="5">
        <v>0</v>
      </c>
      <c r="AE1743" s="10" t="s">
        <v>73</v>
      </c>
      <c r="AF1743" s="10"/>
      <c r="AG1743" s="10" t="s">
        <v>114</v>
      </c>
      <c r="AH1743" s="10">
        <v>41715</v>
      </c>
      <c r="AI1743" s="5">
        <v>2</v>
      </c>
      <c r="AJ1743" s="10" t="s">
        <v>9704</v>
      </c>
      <c r="AK1743" s="10" t="s">
        <v>9705</v>
      </c>
    </row>
    <row r="1744" spans="1:37" ht="36.75" customHeight="1" x14ac:dyDescent="0.35">
      <c r="A1744" s="5"/>
      <c r="B1744" s="5" t="s">
        <v>37</v>
      </c>
      <c r="C1744" s="73" t="str">
        <f t="shared" si="27"/>
        <v>Closed</v>
      </c>
      <c r="D1744" s="45" t="s">
        <v>9706</v>
      </c>
      <c r="E1744" s="54" t="s">
        <v>9707</v>
      </c>
      <c r="F1744" s="5" t="s">
        <v>404</v>
      </c>
      <c r="G1744" s="10">
        <f>DATE(2014,3,15)</f>
        <v>41713</v>
      </c>
      <c r="H1744" s="35">
        <v>1.179861111111111</v>
      </c>
      <c r="I1744" s="5" t="s">
        <v>97</v>
      </c>
      <c r="J1744" s="10" t="s">
        <v>9708</v>
      </c>
      <c r="K1744" s="5" t="s">
        <v>406</v>
      </c>
      <c r="L1744" s="5" t="s">
        <v>9709</v>
      </c>
      <c r="M1744" s="5" t="s">
        <v>45</v>
      </c>
      <c r="N1744" s="5" t="s">
        <v>123</v>
      </c>
      <c r="O1744" s="5" t="s">
        <v>46</v>
      </c>
      <c r="P1744" s="10" t="s">
        <v>47</v>
      </c>
      <c r="Q1744" s="10" t="s">
        <v>408</v>
      </c>
      <c r="R1744" s="10" t="s">
        <v>3083</v>
      </c>
      <c r="S1744" s="5">
        <v>0</v>
      </c>
      <c r="T1744" s="37">
        <v>0</v>
      </c>
      <c r="U1744" s="5">
        <v>0</v>
      </c>
      <c r="V1744" s="37">
        <v>0</v>
      </c>
      <c r="W1744" s="5">
        <v>0</v>
      </c>
      <c r="X1744" s="5">
        <v>0</v>
      </c>
      <c r="Y1744" s="5">
        <v>0</v>
      </c>
      <c r="Z1744" s="37">
        <v>0</v>
      </c>
      <c r="AA1744" s="5">
        <v>0</v>
      </c>
      <c r="AB1744" s="5">
        <v>0</v>
      </c>
      <c r="AC1744" s="5">
        <v>0</v>
      </c>
      <c r="AD1744" s="5">
        <v>0</v>
      </c>
      <c r="AE1744" s="10" t="s">
        <v>73</v>
      </c>
      <c r="AF1744" s="10"/>
      <c r="AG1744" s="10" t="s">
        <v>114</v>
      </c>
      <c r="AH1744" s="10">
        <v>41744</v>
      </c>
      <c r="AI1744" s="5">
        <v>4</v>
      </c>
      <c r="AJ1744" s="10" t="s">
        <v>9710</v>
      </c>
      <c r="AK1744" s="10" t="s">
        <v>9711</v>
      </c>
    </row>
    <row r="1745" spans="1:37" ht="36.75" customHeight="1" x14ac:dyDescent="0.35">
      <c r="A1745" s="5"/>
      <c r="B1745" s="5" t="s">
        <v>37</v>
      </c>
      <c r="C1745" s="73" t="str">
        <f t="shared" si="27"/>
        <v>Closed</v>
      </c>
      <c r="D1745" s="45" t="s">
        <v>9712</v>
      </c>
      <c r="E1745" s="54" t="s">
        <v>9713</v>
      </c>
      <c r="F1745" s="5" t="s">
        <v>563</v>
      </c>
      <c r="G1745" s="10">
        <f>DATE(2014,3,20)</f>
        <v>41718</v>
      </c>
      <c r="H1745" s="35">
        <v>1.8583333333333334</v>
      </c>
      <c r="I1745" s="5" t="s">
        <v>55</v>
      </c>
      <c r="J1745" s="10" t="s">
        <v>9714</v>
      </c>
      <c r="K1745" s="5" t="s">
        <v>565</v>
      </c>
      <c r="L1745" s="5" t="s">
        <v>9715</v>
      </c>
      <c r="M1745" s="5" t="s">
        <v>45</v>
      </c>
      <c r="N1745" s="5" t="s">
        <v>123</v>
      </c>
      <c r="O1745" s="5" t="s">
        <v>59</v>
      </c>
      <c r="P1745" s="10" t="s">
        <v>282</v>
      </c>
      <c r="Q1745" s="10" t="s">
        <v>9716</v>
      </c>
      <c r="R1745" s="10" t="s">
        <v>568</v>
      </c>
      <c r="S1745" s="5">
        <v>0</v>
      </c>
      <c r="T1745" s="37">
        <v>0</v>
      </c>
      <c r="U1745" s="5">
        <v>0</v>
      </c>
      <c r="V1745" s="37">
        <v>0</v>
      </c>
      <c r="W1745" s="5">
        <v>0</v>
      </c>
      <c r="X1745" s="5">
        <v>0</v>
      </c>
      <c r="Y1745" s="5">
        <v>0</v>
      </c>
      <c r="Z1745" s="37">
        <v>0</v>
      </c>
      <c r="AA1745" s="5">
        <v>0</v>
      </c>
      <c r="AB1745" s="5">
        <v>0</v>
      </c>
      <c r="AC1745" s="5">
        <v>0</v>
      </c>
      <c r="AD1745" s="5">
        <v>0</v>
      </c>
      <c r="AE1745" s="10" t="s">
        <v>73</v>
      </c>
      <c r="AF1745" s="10"/>
      <c r="AG1745" s="10" t="s">
        <v>114</v>
      </c>
      <c r="AH1745" s="10">
        <v>41723</v>
      </c>
      <c r="AI1745" s="5">
        <v>0</v>
      </c>
      <c r="AJ1745" s="10" t="s">
        <v>9717</v>
      </c>
      <c r="AK1745" s="10" t="s">
        <v>1215</v>
      </c>
    </row>
    <row r="1746" spans="1:37" ht="36.75" customHeight="1" x14ac:dyDescent="0.35">
      <c r="A1746" s="5"/>
      <c r="B1746" s="5" t="s">
        <v>37</v>
      </c>
      <c r="C1746" s="73" t="str">
        <f t="shared" si="27"/>
        <v>Closed</v>
      </c>
      <c r="D1746" s="45" t="s">
        <v>9718</v>
      </c>
      <c r="E1746" s="54" t="s">
        <v>9719</v>
      </c>
      <c r="F1746" s="5" t="s">
        <v>214</v>
      </c>
      <c r="G1746" s="10">
        <f>DATE(2014,3,20)</f>
        <v>41718</v>
      </c>
      <c r="H1746" s="35">
        <v>1.4944444444444445</v>
      </c>
      <c r="I1746" s="5" t="s">
        <v>85</v>
      </c>
      <c r="J1746" s="10" t="s">
        <v>9720</v>
      </c>
      <c r="K1746" s="5" t="s">
        <v>216</v>
      </c>
      <c r="L1746" s="5" t="s">
        <v>9721</v>
      </c>
      <c r="M1746" s="5" t="s">
        <v>45</v>
      </c>
      <c r="N1746" s="5" t="s">
        <v>123</v>
      </c>
      <c r="O1746" s="5" t="s">
        <v>46</v>
      </c>
      <c r="P1746" s="10" t="s">
        <v>146</v>
      </c>
      <c r="Q1746" s="10" t="s">
        <v>9722</v>
      </c>
      <c r="R1746" s="10" t="s">
        <v>219</v>
      </c>
      <c r="S1746" s="5">
        <v>0</v>
      </c>
      <c r="T1746" s="37">
        <v>0</v>
      </c>
      <c r="U1746" s="5">
        <v>0</v>
      </c>
      <c r="V1746" s="37">
        <v>0</v>
      </c>
      <c r="W1746" s="5">
        <v>0</v>
      </c>
      <c r="X1746" s="5">
        <v>0</v>
      </c>
      <c r="Y1746" s="5">
        <v>0</v>
      </c>
      <c r="Z1746" s="37">
        <v>0</v>
      </c>
      <c r="AA1746" s="5">
        <v>0</v>
      </c>
      <c r="AB1746" s="5">
        <v>0</v>
      </c>
      <c r="AC1746" s="5">
        <v>0</v>
      </c>
      <c r="AD1746" s="5">
        <v>0</v>
      </c>
      <c r="AE1746" s="10" t="s">
        <v>73</v>
      </c>
      <c r="AF1746" s="10"/>
      <c r="AG1746" s="10" t="s">
        <v>114</v>
      </c>
      <c r="AH1746" s="10">
        <v>41729</v>
      </c>
      <c r="AI1746" s="5">
        <v>3</v>
      </c>
      <c r="AJ1746" s="10" t="s">
        <v>9723</v>
      </c>
      <c r="AK1746" s="10" t="s">
        <v>9724</v>
      </c>
    </row>
    <row r="1747" spans="1:37" ht="36.75" customHeight="1" x14ac:dyDescent="0.35">
      <c r="A1747" s="5"/>
      <c r="B1747" s="5" t="s">
        <v>37</v>
      </c>
      <c r="C1747" s="73" t="str">
        <f t="shared" si="27"/>
        <v>Closed</v>
      </c>
      <c r="D1747" s="45" t="s">
        <v>9725</v>
      </c>
      <c r="E1747" s="54" t="s">
        <v>9726</v>
      </c>
      <c r="F1747" s="5" t="s">
        <v>404</v>
      </c>
      <c r="G1747" s="10">
        <f>DATE(2014,3,24)</f>
        <v>41722</v>
      </c>
      <c r="H1747" s="35">
        <v>1.3548611111111111</v>
      </c>
      <c r="I1747" s="5" t="s">
        <v>97</v>
      </c>
      <c r="J1747" s="10" t="s">
        <v>9727</v>
      </c>
      <c r="K1747" s="5" t="s">
        <v>406</v>
      </c>
      <c r="L1747" s="5" t="s">
        <v>9728</v>
      </c>
      <c r="M1747" s="5" t="s">
        <v>45</v>
      </c>
      <c r="N1747" s="5" t="s">
        <v>80</v>
      </c>
      <c r="O1747" s="5" t="s">
        <v>46</v>
      </c>
      <c r="P1747" s="10" t="s">
        <v>146</v>
      </c>
      <c r="Q1747" s="10" t="s">
        <v>408</v>
      </c>
      <c r="R1747" s="10" t="s">
        <v>3083</v>
      </c>
      <c r="S1747" s="5">
        <v>0</v>
      </c>
      <c r="T1747" s="37">
        <v>0</v>
      </c>
      <c r="U1747" s="5">
        <v>1</v>
      </c>
      <c r="V1747" s="37">
        <v>0</v>
      </c>
      <c r="W1747" s="5">
        <v>0</v>
      </c>
      <c r="X1747" s="5">
        <v>1</v>
      </c>
      <c r="Y1747" s="5">
        <v>0</v>
      </c>
      <c r="Z1747" s="37">
        <v>0</v>
      </c>
      <c r="AA1747" s="5">
        <v>0</v>
      </c>
      <c r="AB1747" s="5">
        <v>0</v>
      </c>
      <c r="AC1747" s="5">
        <v>0</v>
      </c>
      <c r="AD1747" s="5">
        <v>0</v>
      </c>
      <c r="AE1747" s="10" t="s">
        <v>73</v>
      </c>
      <c r="AF1747" s="10"/>
      <c r="AG1747" s="10" t="s">
        <v>114</v>
      </c>
      <c r="AH1747" s="10">
        <v>41753</v>
      </c>
      <c r="AI1747" s="5">
        <v>2</v>
      </c>
      <c r="AJ1747" s="10" t="s">
        <v>9729</v>
      </c>
      <c r="AK1747" s="10" t="s">
        <v>9730</v>
      </c>
    </row>
    <row r="1748" spans="1:37" ht="36.75" customHeight="1" x14ac:dyDescent="0.35">
      <c r="A1748" s="5"/>
      <c r="B1748" s="5" t="s">
        <v>37</v>
      </c>
      <c r="C1748" s="73" t="str">
        <f t="shared" si="27"/>
        <v>Closed</v>
      </c>
      <c r="D1748" s="45" t="s">
        <v>9731</v>
      </c>
      <c r="E1748" s="54" t="s">
        <v>9732</v>
      </c>
      <c r="F1748" s="5" t="s">
        <v>816</v>
      </c>
      <c r="G1748" s="10">
        <f>DATE(2014,3,26)</f>
        <v>41724</v>
      </c>
      <c r="H1748" s="35">
        <v>1.6145833333333335</v>
      </c>
      <c r="I1748" s="5" t="s">
        <v>5473</v>
      </c>
      <c r="J1748" s="10" t="s">
        <v>9733</v>
      </c>
      <c r="K1748" s="5" t="s">
        <v>818</v>
      </c>
      <c r="L1748" s="5" t="s">
        <v>9734</v>
      </c>
      <c r="M1748" s="5" t="s">
        <v>110</v>
      </c>
      <c r="N1748" s="5" t="s">
        <v>80</v>
      </c>
      <c r="O1748" s="5" t="s">
        <v>46</v>
      </c>
      <c r="P1748" s="10" t="s">
        <v>110</v>
      </c>
      <c r="Q1748" s="10" t="s">
        <v>4190</v>
      </c>
      <c r="R1748" s="10" t="s">
        <v>4190</v>
      </c>
      <c r="S1748" s="5">
        <v>0</v>
      </c>
      <c r="T1748" s="37">
        <v>0</v>
      </c>
      <c r="U1748" s="5">
        <v>0</v>
      </c>
      <c r="V1748" s="37">
        <v>0</v>
      </c>
      <c r="W1748" s="5">
        <v>0</v>
      </c>
      <c r="X1748" s="5">
        <v>0</v>
      </c>
      <c r="Y1748" s="5">
        <v>0</v>
      </c>
      <c r="Z1748" s="37">
        <v>0</v>
      </c>
      <c r="AA1748" s="5">
        <v>0</v>
      </c>
      <c r="AB1748" s="5">
        <v>0</v>
      </c>
      <c r="AC1748" s="5">
        <v>0</v>
      </c>
      <c r="AD1748" s="5">
        <v>0</v>
      </c>
      <c r="AE1748" s="10" t="s">
        <v>73</v>
      </c>
      <c r="AF1748" s="10"/>
      <c r="AG1748" s="10" t="s">
        <v>333</v>
      </c>
      <c r="AH1748" s="10">
        <v>41724</v>
      </c>
      <c r="AI1748" s="5">
        <v>0</v>
      </c>
      <c r="AJ1748" s="10" t="s">
        <v>9735</v>
      </c>
      <c r="AK1748" s="10" t="s">
        <v>1215</v>
      </c>
    </row>
    <row r="1749" spans="1:37" ht="36.75" customHeight="1" x14ac:dyDescent="0.35">
      <c r="A1749" s="5"/>
      <c r="B1749" s="5" t="s">
        <v>37</v>
      </c>
      <c r="C1749" s="73" t="str">
        <f t="shared" si="27"/>
        <v>Closed</v>
      </c>
      <c r="D1749" s="45" t="s">
        <v>9736</v>
      </c>
      <c r="E1749" s="54" t="s">
        <v>9737</v>
      </c>
      <c r="F1749" s="5" t="s">
        <v>2581</v>
      </c>
      <c r="G1749" s="10">
        <f>DATE(2014,3,28)</f>
        <v>41726</v>
      </c>
      <c r="H1749" s="35">
        <v>1.3472222222222223</v>
      </c>
      <c r="I1749" s="5" t="s">
        <v>55</v>
      </c>
      <c r="J1749" s="10" t="s">
        <v>9738</v>
      </c>
      <c r="K1749" s="5" t="s">
        <v>2583</v>
      </c>
      <c r="L1749" s="5" t="s">
        <v>9739</v>
      </c>
      <c r="M1749" s="5" t="s">
        <v>45</v>
      </c>
      <c r="N1749" s="5" t="s">
        <v>70</v>
      </c>
      <c r="O1749" s="5" t="s">
        <v>59</v>
      </c>
      <c r="P1749" s="10" t="s">
        <v>60</v>
      </c>
      <c r="Q1749" s="10" t="s">
        <v>4793</v>
      </c>
      <c r="R1749" s="10" t="s">
        <v>2586</v>
      </c>
      <c r="S1749" s="5">
        <v>0</v>
      </c>
      <c r="T1749" s="37">
        <v>0</v>
      </c>
      <c r="U1749" s="5">
        <v>0</v>
      </c>
      <c r="V1749" s="37">
        <v>0</v>
      </c>
      <c r="W1749" s="5">
        <v>0</v>
      </c>
      <c r="X1749" s="5">
        <v>0</v>
      </c>
      <c r="Y1749" s="5">
        <v>0</v>
      </c>
      <c r="Z1749" s="37">
        <v>0</v>
      </c>
      <c r="AA1749" s="5">
        <v>0</v>
      </c>
      <c r="AB1749" s="5">
        <v>0</v>
      </c>
      <c r="AC1749" s="5">
        <v>0</v>
      </c>
      <c r="AD1749" s="5">
        <v>0</v>
      </c>
      <c r="AE1749" s="10" t="s">
        <v>73</v>
      </c>
      <c r="AF1749" s="10"/>
      <c r="AG1749" s="10" t="s">
        <v>114</v>
      </c>
      <c r="AH1749" s="10">
        <v>41726</v>
      </c>
      <c r="AI1749" s="5">
        <v>3</v>
      </c>
      <c r="AJ1749" s="10" t="s">
        <v>9740</v>
      </c>
      <c r="AK1749" s="10" t="s">
        <v>9741</v>
      </c>
    </row>
    <row r="1750" spans="1:37" ht="36.75" customHeight="1" x14ac:dyDescent="0.35">
      <c r="A1750" s="5"/>
      <c r="B1750" s="5" t="s">
        <v>37</v>
      </c>
      <c r="C1750" s="73" t="str">
        <f t="shared" si="27"/>
        <v>Closed</v>
      </c>
      <c r="D1750" s="45" t="s">
        <v>9742</v>
      </c>
      <c r="E1750" s="54" t="s">
        <v>9743</v>
      </c>
      <c r="F1750" s="5" t="s">
        <v>404</v>
      </c>
      <c r="G1750" s="10">
        <f>DATE(2014,3,28)</f>
        <v>41726</v>
      </c>
      <c r="H1750" s="35">
        <v>1.5138888888888888</v>
      </c>
      <c r="I1750" s="5" t="s">
        <v>85</v>
      </c>
      <c r="J1750" s="10" t="s">
        <v>9744</v>
      </c>
      <c r="K1750" s="5" t="s">
        <v>406</v>
      </c>
      <c r="L1750" s="5" t="s">
        <v>9745</v>
      </c>
      <c r="M1750" s="5" t="s">
        <v>45</v>
      </c>
      <c r="N1750" s="5" t="s">
        <v>70</v>
      </c>
      <c r="O1750" s="5" t="s">
        <v>59</v>
      </c>
      <c r="P1750" s="10" t="s">
        <v>146</v>
      </c>
      <c r="Q1750" s="10" t="s">
        <v>408</v>
      </c>
      <c r="R1750" s="10" t="s">
        <v>3083</v>
      </c>
      <c r="S1750" s="5">
        <v>0</v>
      </c>
      <c r="T1750" s="37">
        <v>0</v>
      </c>
      <c r="U1750" s="5">
        <v>0</v>
      </c>
      <c r="V1750" s="37">
        <v>0</v>
      </c>
      <c r="W1750" s="5">
        <v>0</v>
      </c>
      <c r="X1750" s="5">
        <v>0</v>
      </c>
      <c r="Y1750" s="5">
        <v>0</v>
      </c>
      <c r="Z1750" s="37">
        <v>0</v>
      </c>
      <c r="AA1750" s="5">
        <v>0</v>
      </c>
      <c r="AB1750" s="5">
        <v>0</v>
      </c>
      <c r="AC1750" s="5">
        <v>0</v>
      </c>
      <c r="AD1750" s="5">
        <v>0</v>
      </c>
      <c r="AE1750" s="10" t="s">
        <v>73</v>
      </c>
      <c r="AF1750" s="10"/>
      <c r="AG1750" s="10" t="s">
        <v>114</v>
      </c>
      <c r="AH1750" s="10">
        <v>41674</v>
      </c>
      <c r="AI1750" s="5">
        <v>1</v>
      </c>
      <c r="AJ1750" s="10" t="s">
        <v>9746</v>
      </c>
      <c r="AK1750" s="10" t="s">
        <v>9747</v>
      </c>
    </row>
    <row r="1751" spans="1:37" ht="36.75" customHeight="1" x14ac:dyDescent="0.35">
      <c r="A1751" s="5"/>
      <c r="B1751" s="5" t="s">
        <v>37</v>
      </c>
      <c r="C1751" s="73" t="str">
        <f t="shared" si="27"/>
        <v>Closed</v>
      </c>
      <c r="D1751" s="45" t="s">
        <v>9748</v>
      </c>
      <c r="E1751" s="54" t="s">
        <v>9749</v>
      </c>
      <c r="F1751" s="5" t="s">
        <v>214</v>
      </c>
      <c r="G1751" s="10">
        <f>DATE(2014,4,2)</f>
        <v>41731</v>
      </c>
      <c r="H1751" s="35">
        <v>1.5152777777777779</v>
      </c>
      <c r="I1751" s="5" t="s">
        <v>55</v>
      </c>
      <c r="J1751" s="10" t="s">
        <v>9750</v>
      </c>
      <c r="K1751" s="5" t="s">
        <v>216</v>
      </c>
      <c r="L1751" s="5" t="s">
        <v>9751</v>
      </c>
      <c r="M1751" s="5" t="s">
        <v>45</v>
      </c>
      <c r="N1751" s="5" t="s">
        <v>123</v>
      </c>
      <c r="O1751" s="5" t="s">
        <v>46</v>
      </c>
      <c r="P1751" s="10" t="s">
        <v>60</v>
      </c>
      <c r="Q1751" s="10" t="s">
        <v>415</v>
      </c>
      <c r="R1751" s="10" t="s">
        <v>219</v>
      </c>
      <c r="S1751" s="5">
        <v>0</v>
      </c>
      <c r="T1751" s="37">
        <v>0</v>
      </c>
      <c r="U1751" s="5">
        <v>0</v>
      </c>
      <c r="V1751" s="37">
        <v>0</v>
      </c>
      <c r="W1751" s="5">
        <v>0</v>
      </c>
      <c r="X1751" s="5">
        <v>0</v>
      </c>
      <c r="Y1751" s="5">
        <v>0</v>
      </c>
      <c r="Z1751" s="37">
        <v>0</v>
      </c>
      <c r="AA1751" s="5">
        <v>0</v>
      </c>
      <c r="AB1751" s="5">
        <v>0</v>
      </c>
      <c r="AC1751" s="5">
        <v>0</v>
      </c>
      <c r="AD1751" s="5">
        <v>0</v>
      </c>
      <c r="AE1751" s="10" t="s">
        <v>73</v>
      </c>
      <c r="AF1751" s="10"/>
      <c r="AG1751" s="10" t="s">
        <v>114</v>
      </c>
      <c r="AH1751" s="10">
        <v>41751</v>
      </c>
      <c r="AI1751" s="5">
        <v>6</v>
      </c>
      <c r="AJ1751" s="10" t="s">
        <v>9752</v>
      </c>
      <c r="AK1751" s="10" t="s">
        <v>9753</v>
      </c>
    </row>
    <row r="1752" spans="1:37" ht="36.75" customHeight="1" x14ac:dyDescent="0.35">
      <c r="A1752" s="5"/>
      <c r="B1752" s="5" t="s">
        <v>37</v>
      </c>
      <c r="C1752" s="73" t="str">
        <f t="shared" si="27"/>
        <v>Closed</v>
      </c>
      <c r="D1752" s="45" t="s">
        <v>9754</v>
      </c>
      <c r="E1752" s="54" t="s">
        <v>9755</v>
      </c>
      <c r="F1752" s="5" t="s">
        <v>816</v>
      </c>
      <c r="G1752" s="10">
        <f>DATE(2014,4,6)</f>
        <v>41735</v>
      </c>
      <c r="H1752" s="35">
        <v>1.6236111111111111</v>
      </c>
      <c r="I1752" s="5" t="s">
        <v>55</v>
      </c>
      <c r="J1752" s="10" t="s">
        <v>9756</v>
      </c>
      <c r="K1752" s="5" t="s">
        <v>818</v>
      </c>
      <c r="L1752" s="5" t="s">
        <v>9757</v>
      </c>
      <c r="M1752" s="5" t="s">
        <v>45</v>
      </c>
      <c r="N1752" s="5" t="s">
        <v>123</v>
      </c>
      <c r="O1752" s="5" t="s">
        <v>59</v>
      </c>
      <c r="P1752" s="10" t="s">
        <v>60</v>
      </c>
      <c r="Q1752" s="10" t="s">
        <v>1183</v>
      </c>
      <c r="R1752" s="10" t="s">
        <v>821</v>
      </c>
      <c r="S1752" s="5">
        <v>0</v>
      </c>
      <c r="T1752" s="37">
        <v>0</v>
      </c>
      <c r="U1752" s="5">
        <v>0</v>
      </c>
      <c r="V1752" s="37">
        <v>0</v>
      </c>
      <c r="W1752" s="5">
        <v>0</v>
      </c>
      <c r="X1752" s="5">
        <v>0</v>
      </c>
      <c r="Y1752" s="5">
        <v>0</v>
      </c>
      <c r="Z1752" s="37">
        <v>0</v>
      </c>
      <c r="AA1752" s="5">
        <v>0</v>
      </c>
      <c r="AB1752" s="5">
        <v>0</v>
      </c>
      <c r="AC1752" s="5">
        <v>0</v>
      </c>
      <c r="AD1752" s="5">
        <v>0</v>
      </c>
      <c r="AE1752" s="10" t="s">
        <v>73</v>
      </c>
      <c r="AF1752" s="10"/>
      <c r="AG1752" s="10" t="s">
        <v>333</v>
      </c>
      <c r="AH1752" s="10">
        <v>41739</v>
      </c>
      <c r="AI1752" s="5">
        <v>0</v>
      </c>
      <c r="AJ1752" s="10" t="s">
        <v>9758</v>
      </c>
      <c r="AK1752" s="10" t="s">
        <v>1215</v>
      </c>
    </row>
    <row r="1753" spans="1:37" ht="36.75" customHeight="1" x14ac:dyDescent="0.35">
      <c r="A1753" s="5"/>
      <c r="B1753" s="5" t="s">
        <v>37</v>
      </c>
      <c r="C1753" s="73" t="str">
        <f t="shared" si="27"/>
        <v>Closed</v>
      </c>
      <c r="D1753" s="45" t="s">
        <v>9759</v>
      </c>
      <c r="E1753" s="54" t="s">
        <v>9760</v>
      </c>
      <c r="F1753" s="5" t="s">
        <v>358</v>
      </c>
      <c r="G1753" s="10">
        <f>DATE(2014,4,7)</f>
        <v>41736</v>
      </c>
      <c r="H1753" s="35">
        <v>1.9118055555555555</v>
      </c>
      <c r="I1753" s="5" t="s">
        <v>259</v>
      </c>
      <c r="J1753" s="10" t="s">
        <v>9761</v>
      </c>
      <c r="K1753" s="5" t="s">
        <v>360</v>
      </c>
      <c r="L1753" s="5" t="s">
        <v>9762</v>
      </c>
      <c r="M1753" s="5" t="s">
        <v>45</v>
      </c>
      <c r="N1753" s="5" t="s">
        <v>123</v>
      </c>
      <c r="O1753" s="5" t="s">
        <v>59</v>
      </c>
      <c r="P1753" s="10" t="s">
        <v>146</v>
      </c>
      <c r="Q1753" s="10" t="s">
        <v>2886</v>
      </c>
      <c r="R1753" s="10" t="s">
        <v>363</v>
      </c>
      <c r="S1753" s="5">
        <v>1</v>
      </c>
      <c r="T1753" s="37">
        <v>0</v>
      </c>
      <c r="U1753" s="5">
        <v>0</v>
      </c>
      <c r="V1753" s="37">
        <v>0</v>
      </c>
      <c r="W1753" s="5">
        <v>0</v>
      </c>
      <c r="X1753" s="5">
        <v>1</v>
      </c>
      <c r="Y1753" s="5">
        <v>0</v>
      </c>
      <c r="Z1753" s="37">
        <v>0</v>
      </c>
      <c r="AA1753" s="5">
        <v>0</v>
      </c>
      <c r="AB1753" s="5">
        <v>0</v>
      </c>
      <c r="AC1753" s="5">
        <v>0</v>
      </c>
      <c r="AD1753" s="5">
        <v>0</v>
      </c>
      <c r="AE1753" s="10" t="s">
        <v>73</v>
      </c>
      <c r="AF1753" s="10"/>
      <c r="AG1753" s="10" t="s">
        <v>114</v>
      </c>
      <c r="AH1753" s="10">
        <v>41737</v>
      </c>
      <c r="AI1753" s="5">
        <v>3</v>
      </c>
      <c r="AJ1753" s="10" t="s">
        <v>9763</v>
      </c>
      <c r="AK1753" s="10" t="s">
        <v>9764</v>
      </c>
    </row>
    <row r="1754" spans="1:37" ht="36.75" customHeight="1" x14ac:dyDescent="0.35">
      <c r="A1754" s="5"/>
      <c r="B1754" s="5" t="s">
        <v>37</v>
      </c>
      <c r="C1754" s="73" t="str">
        <f t="shared" si="27"/>
        <v>Closed</v>
      </c>
      <c r="D1754" s="45" t="s">
        <v>9765</v>
      </c>
      <c r="E1754" s="54" t="s">
        <v>9766</v>
      </c>
      <c r="F1754" s="5" t="s">
        <v>9767</v>
      </c>
      <c r="G1754" s="10">
        <f>DATE(2014,4,10)</f>
        <v>41739</v>
      </c>
      <c r="H1754" s="35">
        <v>1.3840277777777779</v>
      </c>
      <c r="I1754" s="5" t="s">
        <v>2244</v>
      </c>
      <c r="J1754" s="10" t="s">
        <v>9768</v>
      </c>
      <c r="K1754" s="5" t="s">
        <v>9769</v>
      </c>
      <c r="L1754" s="5" t="s">
        <v>9770</v>
      </c>
      <c r="M1754" s="5" t="s">
        <v>45</v>
      </c>
      <c r="N1754" s="5" t="s">
        <v>123</v>
      </c>
      <c r="O1754" s="5" t="s">
        <v>59</v>
      </c>
      <c r="P1754" s="10" t="s">
        <v>5824</v>
      </c>
      <c r="Q1754" s="10" t="s">
        <v>9771</v>
      </c>
      <c r="R1754" s="10" t="s">
        <v>9772</v>
      </c>
      <c r="S1754" s="5">
        <v>0</v>
      </c>
      <c r="T1754" s="37">
        <v>0</v>
      </c>
      <c r="U1754" s="5">
        <v>0</v>
      </c>
      <c r="V1754" s="37">
        <v>0</v>
      </c>
      <c r="W1754" s="5">
        <v>0</v>
      </c>
      <c r="X1754" s="5">
        <v>0</v>
      </c>
      <c r="Y1754" s="5">
        <v>0</v>
      </c>
      <c r="Z1754" s="37">
        <v>0</v>
      </c>
      <c r="AA1754" s="5">
        <v>0</v>
      </c>
      <c r="AB1754" s="5">
        <v>0</v>
      </c>
      <c r="AC1754" s="5">
        <v>0</v>
      </c>
      <c r="AD1754" s="5">
        <v>0</v>
      </c>
      <c r="AE1754" s="10" t="s">
        <v>73</v>
      </c>
      <c r="AF1754" s="10"/>
      <c r="AG1754" s="10" t="s">
        <v>114</v>
      </c>
      <c r="AH1754" s="10">
        <v>41740</v>
      </c>
      <c r="AI1754" s="5">
        <v>0</v>
      </c>
      <c r="AJ1754" s="10" t="s">
        <v>9773</v>
      </c>
      <c r="AK1754" s="10" t="s">
        <v>9774</v>
      </c>
    </row>
    <row r="1755" spans="1:37" ht="36.75" customHeight="1" x14ac:dyDescent="0.35">
      <c r="A1755" s="5"/>
      <c r="B1755" s="5" t="s">
        <v>37</v>
      </c>
      <c r="C1755" s="73" t="str">
        <f t="shared" si="27"/>
        <v>Closed</v>
      </c>
      <c r="D1755" s="45" t="s">
        <v>9775</v>
      </c>
      <c r="E1755" s="54" t="s">
        <v>9776</v>
      </c>
      <c r="F1755" s="5" t="s">
        <v>563</v>
      </c>
      <c r="G1755" s="10">
        <f>DATE(2014,4,11)</f>
        <v>41740</v>
      </c>
      <c r="H1755" s="35">
        <v>1.8534722222222224</v>
      </c>
      <c r="I1755" s="5" t="s">
        <v>55</v>
      </c>
      <c r="J1755" s="10" t="s">
        <v>9777</v>
      </c>
      <c r="K1755" s="5" t="s">
        <v>565</v>
      </c>
      <c r="L1755" s="5" t="s">
        <v>9778</v>
      </c>
      <c r="M1755" s="5" t="s">
        <v>45</v>
      </c>
      <c r="N1755" s="5" t="s">
        <v>123</v>
      </c>
      <c r="O1755" s="5" t="s">
        <v>59</v>
      </c>
      <c r="P1755" s="10" t="s">
        <v>146</v>
      </c>
      <c r="Q1755" s="10" t="s">
        <v>4467</v>
      </c>
      <c r="R1755" s="10" t="s">
        <v>568</v>
      </c>
      <c r="S1755" s="5">
        <v>0</v>
      </c>
      <c r="T1755" s="37">
        <v>0</v>
      </c>
      <c r="U1755" s="5">
        <v>0</v>
      </c>
      <c r="V1755" s="37">
        <v>0</v>
      </c>
      <c r="W1755" s="5">
        <v>0</v>
      </c>
      <c r="X1755" s="5">
        <v>0</v>
      </c>
      <c r="Y1755" s="5">
        <v>0</v>
      </c>
      <c r="Z1755" s="37">
        <v>0</v>
      </c>
      <c r="AA1755" s="5">
        <v>0</v>
      </c>
      <c r="AB1755" s="5">
        <v>0</v>
      </c>
      <c r="AC1755" s="5">
        <v>0</v>
      </c>
      <c r="AD1755" s="5">
        <v>0</v>
      </c>
      <c r="AE1755" s="10" t="s">
        <v>375</v>
      </c>
      <c r="AF1755" s="10"/>
      <c r="AG1755" s="10" t="s">
        <v>114</v>
      </c>
      <c r="AH1755" s="10">
        <v>41744</v>
      </c>
      <c r="AI1755" s="5">
        <v>0</v>
      </c>
      <c r="AJ1755" s="10" t="s">
        <v>9779</v>
      </c>
      <c r="AK1755" s="10" t="s">
        <v>1215</v>
      </c>
    </row>
    <row r="1756" spans="1:37" ht="36.75" customHeight="1" x14ac:dyDescent="0.35">
      <c r="A1756" s="5"/>
      <c r="B1756" s="5" t="s">
        <v>37</v>
      </c>
      <c r="C1756" s="73" t="str">
        <f t="shared" si="27"/>
        <v>Closed</v>
      </c>
      <c r="D1756" s="45" t="s">
        <v>9780</v>
      </c>
      <c r="E1756" s="54" t="s">
        <v>9781</v>
      </c>
      <c r="F1756" s="5" t="s">
        <v>404</v>
      </c>
      <c r="G1756" s="10">
        <f>DATE(2014,4,12)</f>
        <v>41741</v>
      </c>
      <c r="H1756" s="35">
        <v>1.7069444444444444</v>
      </c>
      <c r="I1756" s="5" t="s">
        <v>179</v>
      </c>
      <c r="J1756" s="10" t="s">
        <v>9782</v>
      </c>
      <c r="K1756" s="5" t="s">
        <v>406</v>
      </c>
      <c r="L1756" s="5" t="s">
        <v>9783</v>
      </c>
      <c r="M1756" s="5" t="s">
        <v>45</v>
      </c>
      <c r="N1756" s="5" t="s">
        <v>70</v>
      </c>
      <c r="O1756" s="5" t="s">
        <v>59</v>
      </c>
      <c r="P1756" s="10" t="s">
        <v>9784</v>
      </c>
      <c r="Q1756" s="10" t="s">
        <v>2562</v>
      </c>
      <c r="R1756" s="10" t="s">
        <v>3083</v>
      </c>
      <c r="S1756" s="5">
        <v>0</v>
      </c>
      <c r="T1756" s="37">
        <v>0</v>
      </c>
      <c r="U1756" s="5">
        <v>0</v>
      </c>
      <c r="V1756" s="37">
        <v>0</v>
      </c>
      <c r="W1756" s="5">
        <v>0</v>
      </c>
      <c r="X1756" s="5">
        <v>0</v>
      </c>
      <c r="Y1756" s="5">
        <v>0</v>
      </c>
      <c r="Z1756" s="37">
        <v>0</v>
      </c>
      <c r="AA1756" s="5">
        <v>0</v>
      </c>
      <c r="AB1756" s="5">
        <v>0</v>
      </c>
      <c r="AC1756" s="5">
        <v>0</v>
      </c>
      <c r="AD1756" s="5">
        <v>0</v>
      </c>
      <c r="AE1756" s="10" t="s">
        <v>375</v>
      </c>
      <c r="AF1756" s="10"/>
      <c r="AG1756" s="10" t="s">
        <v>114</v>
      </c>
      <c r="AH1756" s="10">
        <v>41836</v>
      </c>
      <c r="AI1756" s="5">
        <v>0</v>
      </c>
      <c r="AJ1756" s="10" t="s">
        <v>9785</v>
      </c>
      <c r="AK1756" s="10" t="s">
        <v>9786</v>
      </c>
    </row>
    <row r="1757" spans="1:37" ht="36.75" customHeight="1" x14ac:dyDescent="0.35">
      <c r="A1757" s="5"/>
      <c r="B1757" s="5" t="s">
        <v>37</v>
      </c>
      <c r="C1757" s="73" t="str">
        <f t="shared" si="27"/>
        <v>Closed</v>
      </c>
      <c r="D1757" s="45" t="s">
        <v>9787</v>
      </c>
      <c r="E1757" s="54" t="s">
        <v>9788</v>
      </c>
      <c r="F1757" s="5" t="s">
        <v>1553</v>
      </c>
      <c r="G1757" s="10">
        <f>DATE(2014,4,13)</f>
        <v>41742</v>
      </c>
      <c r="H1757" s="35">
        <v>1.0006944444444446</v>
      </c>
      <c r="I1757" s="5" t="s">
        <v>5473</v>
      </c>
      <c r="J1757" s="10" t="s">
        <v>9789</v>
      </c>
      <c r="K1757" s="5" t="s">
        <v>1555</v>
      </c>
      <c r="L1757" s="5" t="s">
        <v>9790</v>
      </c>
      <c r="M1757" s="5" t="s">
        <v>45</v>
      </c>
      <c r="N1757" s="5" t="s">
        <v>123</v>
      </c>
      <c r="O1757" s="5" t="s">
        <v>46</v>
      </c>
      <c r="P1757" s="10" t="s">
        <v>60</v>
      </c>
      <c r="Q1757" s="10" t="s">
        <v>9053</v>
      </c>
      <c r="R1757" s="10" t="s">
        <v>6413</v>
      </c>
      <c r="S1757" s="5">
        <v>0</v>
      </c>
      <c r="T1757" s="37">
        <v>0</v>
      </c>
      <c r="U1757" s="5">
        <v>0</v>
      </c>
      <c r="V1757" s="37">
        <v>0</v>
      </c>
      <c r="W1757" s="5">
        <v>0</v>
      </c>
      <c r="X1757" s="5">
        <v>0</v>
      </c>
      <c r="Y1757" s="5">
        <v>0</v>
      </c>
      <c r="Z1757" s="37">
        <v>0</v>
      </c>
      <c r="AA1757" s="5">
        <v>0</v>
      </c>
      <c r="AB1757" s="5">
        <v>0</v>
      </c>
      <c r="AC1757" s="5">
        <v>0</v>
      </c>
      <c r="AD1757" s="5">
        <v>0</v>
      </c>
      <c r="AE1757" s="10" t="s">
        <v>73</v>
      </c>
      <c r="AF1757" s="10"/>
      <c r="AG1757" s="10" t="s">
        <v>114</v>
      </c>
      <c r="AH1757" s="10">
        <v>41744</v>
      </c>
      <c r="AI1757" s="5">
        <v>2</v>
      </c>
      <c r="AJ1757" s="10" t="s">
        <v>9791</v>
      </c>
      <c r="AK1757" s="10" t="s">
        <v>9792</v>
      </c>
    </row>
    <row r="1758" spans="1:37" ht="36.75" customHeight="1" x14ac:dyDescent="0.35">
      <c r="A1758" s="5"/>
      <c r="B1758" s="5" t="s">
        <v>37</v>
      </c>
      <c r="C1758" s="73" t="str">
        <f t="shared" si="27"/>
        <v>Closed</v>
      </c>
      <c r="D1758" s="45" t="s">
        <v>9793</v>
      </c>
      <c r="E1758" s="54" t="s">
        <v>9794</v>
      </c>
      <c r="F1758" s="5" t="s">
        <v>619</v>
      </c>
      <c r="G1758" s="10">
        <f>DATE(2014,4,15)</f>
        <v>41744</v>
      </c>
      <c r="H1758" s="35">
        <v>1.7562500000000001</v>
      </c>
      <c r="I1758" s="5" t="s">
        <v>55</v>
      </c>
      <c r="J1758" s="10" t="s">
        <v>9795</v>
      </c>
      <c r="K1758" s="5" t="s">
        <v>621</v>
      </c>
      <c r="L1758" s="5" t="s">
        <v>9796</v>
      </c>
      <c r="M1758" s="5" t="s">
        <v>45</v>
      </c>
      <c r="N1758" s="5" t="s">
        <v>80</v>
      </c>
      <c r="O1758" s="5" t="s">
        <v>59</v>
      </c>
      <c r="P1758" s="10" t="s">
        <v>60</v>
      </c>
      <c r="Q1758" s="10" t="s">
        <v>3191</v>
      </c>
      <c r="R1758" s="10" t="s">
        <v>624</v>
      </c>
      <c r="S1758" s="5">
        <v>0</v>
      </c>
      <c r="T1758" s="37">
        <v>0</v>
      </c>
      <c r="U1758" s="5">
        <v>0</v>
      </c>
      <c r="V1758" s="37">
        <v>0</v>
      </c>
      <c r="W1758" s="5">
        <v>0</v>
      </c>
      <c r="X1758" s="5">
        <v>0</v>
      </c>
      <c r="Y1758" s="5">
        <v>0</v>
      </c>
      <c r="Z1758" s="37">
        <v>0</v>
      </c>
      <c r="AA1758" s="5">
        <v>0</v>
      </c>
      <c r="AB1758" s="5">
        <v>0</v>
      </c>
      <c r="AC1758" s="5">
        <v>0</v>
      </c>
      <c r="AD1758" s="5">
        <v>0</v>
      </c>
      <c r="AE1758" s="10" t="s">
        <v>73</v>
      </c>
      <c r="AF1758" s="10"/>
      <c r="AG1758" s="10" t="s">
        <v>333</v>
      </c>
      <c r="AH1758" s="10">
        <v>41779</v>
      </c>
      <c r="AI1758" s="5">
        <v>1</v>
      </c>
      <c r="AJ1758" s="10" t="s">
        <v>9797</v>
      </c>
      <c r="AK1758" s="10" t="s">
        <v>50</v>
      </c>
    </row>
    <row r="1759" spans="1:37" ht="36.75" customHeight="1" x14ac:dyDescent="0.35">
      <c r="A1759" s="5"/>
      <c r="B1759" s="5" t="s">
        <v>37</v>
      </c>
      <c r="C1759" s="73" t="str">
        <f t="shared" si="27"/>
        <v>Closed</v>
      </c>
      <c r="D1759" s="45" t="s">
        <v>9798</v>
      </c>
      <c r="E1759" s="54" t="s">
        <v>9799</v>
      </c>
      <c r="F1759" s="5" t="s">
        <v>816</v>
      </c>
      <c r="G1759" s="10">
        <f>DATE(2014,4,15)</f>
        <v>41744</v>
      </c>
      <c r="H1759" s="35">
        <v>1.3263888888888888</v>
      </c>
      <c r="I1759" s="5" t="s">
        <v>85</v>
      </c>
      <c r="J1759" s="10" t="s">
        <v>9800</v>
      </c>
      <c r="K1759" s="5" t="s">
        <v>818</v>
      </c>
      <c r="L1759" s="5" t="s">
        <v>9801</v>
      </c>
      <c r="M1759" s="5" t="s">
        <v>45</v>
      </c>
      <c r="N1759" s="5" t="s">
        <v>123</v>
      </c>
      <c r="O1759" s="5" t="s">
        <v>59</v>
      </c>
      <c r="P1759" s="10" t="s">
        <v>47</v>
      </c>
      <c r="Q1759" s="10" t="s">
        <v>2142</v>
      </c>
      <c r="R1759" s="10" t="s">
        <v>821</v>
      </c>
      <c r="S1759" s="5">
        <v>0</v>
      </c>
      <c r="T1759" s="37">
        <v>0</v>
      </c>
      <c r="U1759" s="5">
        <v>0</v>
      </c>
      <c r="V1759" s="37">
        <v>0</v>
      </c>
      <c r="W1759" s="5">
        <v>0</v>
      </c>
      <c r="X1759" s="5">
        <v>0</v>
      </c>
      <c r="Y1759" s="5">
        <v>0</v>
      </c>
      <c r="Z1759" s="37">
        <v>0</v>
      </c>
      <c r="AA1759" s="5">
        <v>0</v>
      </c>
      <c r="AB1759" s="5">
        <v>0</v>
      </c>
      <c r="AC1759" s="5">
        <v>0</v>
      </c>
      <c r="AD1759" s="5">
        <v>0</v>
      </c>
      <c r="AE1759" s="10" t="s">
        <v>73</v>
      </c>
      <c r="AF1759" s="10"/>
      <c r="AG1759" s="10" t="s">
        <v>333</v>
      </c>
      <c r="AH1759" s="10">
        <v>41745</v>
      </c>
      <c r="AI1759" s="5">
        <v>0</v>
      </c>
      <c r="AJ1759" s="10" t="s">
        <v>8619</v>
      </c>
      <c r="AK1759" s="10" t="s">
        <v>50</v>
      </c>
    </row>
    <row r="1760" spans="1:37" ht="36.75" customHeight="1" x14ac:dyDescent="0.35">
      <c r="A1760" s="5"/>
      <c r="B1760" s="5" t="s">
        <v>37</v>
      </c>
      <c r="C1760" s="73" t="str">
        <f t="shared" si="27"/>
        <v>Closed</v>
      </c>
      <c r="D1760" s="45" t="s">
        <v>9802</v>
      </c>
      <c r="E1760" s="54" t="s">
        <v>9803</v>
      </c>
      <c r="F1760" s="5" t="s">
        <v>105</v>
      </c>
      <c r="G1760" s="10">
        <f>DATE(2014,4,15)</f>
        <v>41744</v>
      </c>
      <c r="H1760" s="35">
        <v>0</v>
      </c>
      <c r="I1760" s="5" t="s">
        <v>55</v>
      </c>
      <c r="J1760" s="10" t="s">
        <v>9804</v>
      </c>
      <c r="K1760" s="5" t="s">
        <v>108</v>
      </c>
      <c r="L1760" s="5" t="s">
        <v>9805</v>
      </c>
      <c r="M1760" s="5" t="s">
        <v>45</v>
      </c>
      <c r="N1760" s="5" t="s">
        <v>80</v>
      </c>
      <c r="O1760" s="5" t="s">
        <v>46</v>
      </c>
      <c r="P1760" s="10" t="s">
        <v>60</v>
      </c>
      <c r="Q1760" s="10">
        <v>0</v>
      </c>
      <c r="R1760" s="10" t="s">
        <v>148</v>
      </c>
      <c r="S1760" s="5">
        <v>0</v>
      </c>
      <c r="T1760" s="37">
        <v>0</v>
      </c>
      <c r="U1760" s="5">
        <v>0</v>
      </c>
      <c r="V1760" s="37">
        <v>0</v>
      </c>
      <c r="W1760" s="5">
        <v>0</v>
      </c>
      <c r="X1760" s="5">
        <v>0</v>
      </c>
      <c r="Y1760" s="5">
        <v>0</v>
      </c>
      <c r="Z1760" s="37">
        <v>0</v>
      </c>
      <c r="AA1760" s="5">
        <v>0</v>
      </c>
      <c r="AB1760" s="5">
        <v>0</v>
      </c>
      <c r="AC1760" s="5">
        <v>0</v>
      </c>
      <c r="AD1760" s="5">
        <v>0</v>
      </c>
      <c r="AE1760" s="10" t="s">
        <v>375</v>
      </c>
      <c r="AF1760" s="10"/>
      <c r="AG1760" s="10" t="s">
        <v>114</v>
      </c>
      <c r="AH1760" s="10">
        <v>41745</v>
      </c>
      <c r="AI1760" s="5">
        <v>1</v>
      </c>
      <c r="AJ1760" s="10" t="s">
        <v>9806</v>
      </c>
      <c r="AK1760" s="10" t="s">
        <v>50</v>
      </c>
    </row>
    <row r="1761" spans="1:37" ht="36.75" customHeight="1" x14ac:dyDescent="0.35">
      <c r="A1761" s="5"/>
      <c r="B1761" s="5" t="s">
        <v>37</v>
      </c>
      <c r="C1761" s="73" t="str">
        <f t="shared" si="27"/>
        <v>Closed</v>
      </c>
      <c r="D1761" s="45" t="s">
        <v>9807</v>
      </c>
      <c r="E1761" s="54" t="s">
        <v>9808</v>
      </c>
      <c r="F1761" s="5" t="s">
        <v>1730</v>
      </c>
      <c r="G1761" s="10">
        <f>DATE(2014,4,16)</f>
        <v>41745</v>
      </c>
      <c r="H1761" s="35">
        <v>1.6381944444444443</v>
      </c>
      <c r="I1761" s="5" t="s">
        <v>97</v>
      </c>
      <c r="J1761" s="10" t="s">
        <v>9809</v>
      </c>
      <c r="K1761" s="5" t="s">
        <v>1732</v>
      </c>
      <c r="L1761" s="5" t="s">
        <v>9101</v>
      </c>
      <c r="M1761" s="5" t="s">
        <v>45</v>
      </c>
      <c r="N1761" s="5" t="s">
        <v>70</v>
      </c>
      <c r="O1761" s="5" t="s">
        <v>59</v>
      </c>
      <c r="P1761" s="10"/>
      <c r="Q1761" s="10">
        <v>0</v>
      </c>
      <c r="R1761" s="10" t="s">
        <v>9810</v>
      </c>
      <c r="S1761" s="5">
        <v>1</v>
      </c>
      <c r="T1761" s="37">
        <v>0</v>
      </c>
      <c r="U1761" s="5">
        <v>1</v>
      </c>
      <c r="V1761" s="37">
        <v>0</v>
      </c>
      <c r="W1761" s="5">
        <v>0</v>
      </c>
      <c r="X1761" s="5">
        <v>2</v>
      </c>
      <c r="Y1761" s="5">
        <v>0</v>
      </c>
      <c r="Z1761" s="37">
        <v>0</v>
      </c>
      <c r="AA1761" s="5">
        <v>0</v>
      </c>
      <c r="AB1761" s="5">
        <v>0</v>
      </c>
      <c r="AC1761" s="5">
        <v>0</v>
      </c>
      <c r="AD1761" s="5">
        <v>0</v>
      </c>
      <c r="AE1761" s="10" t="s">
        <v>375</v>
      </c>
      <c r="AF1761" s="10"/>
      <c r="AG1761" s="10" t="s">
        <v>64</v>
      </c>
      <c r="AH1761" s="10">
        <v>41746</v>
      </c>
      <c r="AI1761" s="5">
        <v>4</v>
      </c>
      <c r="AJ1761" s="10" t="s">
        <v>9811</v>
      </c>
      <c r="AK1761" s="10" t="s">
        <v>9104</v>
      </c>
    </row>
    <row r="1762" spans="1:37" ht="36.75" customHeight="1" x14ac:dyDescent="0.35">
      <c r="A1762" s="5"/>
      <c r="B1762" s="5" t="s">
        <v>37</v>
      </c>
      <c r="C1762" s="73" t="str">
        <f t="shared" si="27"/>
        <v>Closed</v>
      </c>
      <c r="D1762" s="45" t="s">
        <v>9812</v>
      </c>
      <c r="E1762" s="54" t="s">
        <v>9813</v>
      </c>
      <c r="F1762" s="5" t="s">
        <v>9767</v>
      </c>
      <c r="G1762" s="10">
        <f>DATE(2014,4,22)</f>
        <v>41751</v>
      </c>
      <c r="H1762" s="35">
        <v>1.625</v>
      </c>
      <c r="I1762" s="5" t="s">
        <v>55</v>
      </c>
      <c r="J1762" s="10" t="s">
        <v>9814</v>
      </c>
      <c r="K1762" s="5" t="s">
        <v>9769</v>
      </c>
      <c r="L1762" s="5" t="s">
        <v>9815</v>
      </c>
      <c r="M1762" s="5" t="s">
        <v>45</v>
      </c>
      <c r="N1762" s="5" t="s">
        <v>80</v>
      </c>
      <c r="O1762" s="5" t="s">
        <v>46</v>
      </c>
      <c r="P1762" s="10" t="s">
        <v>282</v>
      </c>
      <c r="Q1762" s="10" t="s">
        <v>9816</v>
      </c>
      <c r="R1762" s="10" t="s">
        <v>9772</v>
      </c>
      <c r="S1762" s="5">
        <v>0</v>
      </c>
      <c r="T1762" s="37">
        <v>0</v>
      </c>
      <c r="U1762" s="5">
        <v>0</v>
      </c>
      <c r="V1762" s="37">
        <v>0</v>
      </c>
      <c r="W1762" s="5">
        <v>0</v>
      </c>
      <c r="X1762" s="5">
        <v>0</v>
      </c>
      <c r="Y1762" s="5">
        <v>0</v>
      </c>
      <c r="Z1762" s="37">
        <v>0</v>
      </c>
      <c r="AA1762" s="5">
        <v>0</v>
      </c>
      <c r="AB1762" s="5">
        <v>0</v>
      </c>
      <c r="AC1762" s="5">
        <v>0</v>
      </c>
      <c r="AD1762" s="5">
        <v>0</v>
      </c>
      <c r="AE1762" s="10" t="s">
        <v>73</v>
      </c>
      <c r="AF1762" s="10"/>
      <c r="AG1762" s="10" t="s">
        <v>114</v>
      </c>
      <c r="AH1762" s="10">
        <v>41754</v>
      </c>
      <c r="AI1762" s="5">
        <v>0</v>
      </c>
      <c r="AJ1762" s="10" t="s">
        <v>9817</v>
      </c>
      <c r="AK1762" s="10" t="s">
        <v>9818</v>
      </c>
    </row>
    <row r="1763" spans="1:37" ht="36.75" customHeight="1" x14ac:dyDescent="0.35">
      <c r="A1763" s="5"/>
      <c r="B1763" s="5" t="s">
        <v>37</v>
      </c>
      <c r="C1763" s="73" t="str">
        <f t="shared" si="27"/>
        <v>Closed</v>
      </c>
      <c r="D1763" s="45" t="s">
        <v>9819</v>
      </c>
      <c r="E1763" s="54" t="s">
        <v>9820</v>
      </c>
      <c r="F1763" s="5" t="s">
        <v>9767</v>
      </c>
      <c r="G1763" s="10">
        <f>DATE(2014,4,23)</f>
        <v>41752</v>
      </c>
      <c r="H1763" s="35">
        <v>1.4631944444444445</v>
      </c>
      <c r="I1763" s="5" t="s">
        <v>97</v>
      </c>
      <c r="J1763" s="10" t="s">
        <v>9821</v>
      </c>
      <c r="K1763" s="5" t="s">
        <v>406</v>
      </c>
      <c r="L1763" s="5" t="s">
        <v>9822</v>
      </c>
      <c r="M1763" s="5" t="s">
        <v>45</v>
      </c>
      <c r="N1763" s="5" t="s">
        <v>70</v>
      </c>
      <c r="O1763" s="5" t="s">
        <v>59</v>
      </c>
      <c r="P1763" s="10" t="s">
        <v>60</v>
      </c>
      <c r="Q1763" s="10" t="s">
        <v>2562</v>
      </c>
      <c r="R1763" s="10" t="s">
        <v>3083</v>
      </c>
      <c r="S1763" s="5">
        <v>0</v>
      </c>
      <c r="T1763" s="37">
        <v>0</v>
      </c>
      <c r="U1763" s="5">
        <v>0</v>
      </c>
      <c r="V1763" s="37">
        <v>0</v>
      </c>
      <c r="W1763" s="5">
        <v>0</v>
      </c>
      <c r="X1763" s="5">
        <v>0</v>
      </c>
      <c r="Y1763" s="5">
        <v>0</v>
      </c>
      <c r="Z1763" s="37">
        <v>0</v>
      </c>
      <c r="AA1763" s="5">
        <v>0</v>
      </c>
      <c r="AB1763" s="5">
        <v>0</v>
      </c>
      <c r="AC1763" s="5">
        <v>0</v>
      </c>
      <c r="AD1763" s="5">
        <v>0</v>
      </c>
      <c r="AE1763" s="10" t="s">
        <v>73</v>
      </c>
      <c r="AF1763" s="10"/>
      <c r="AG1763" s="10" t="s">
        <v>114</v>
      </c>
      <c r="AH1763" s="10">
        <v>41796</v>
      </c>
      <c r="AI1763" s="5">
        <v>2</v>
      </c>
      <c r="AJ1763" s="10" t="s">
        <v>9823</v>
      </c>
      <c r="AK1763" s="10" t="s">
        <v>9824</v>
      </c>
    </row>
    <row r="1764" spans="1:37" ht="36.75" customHeight="1" x14ac:dyDescent="0.35">
      <c r="A1764" s="5"/>
      <c r="B1764" s="5" t="s">
        <v>37</v>
      </c>
      <c r="C1764" s="73" t="str">
        <f t="shared" si="27"/>
        <v>Closed</v>
      </c>
      <c r="D1764" s="45" t="s">
        <v>9825</v>
      </c>
      <c r="E1764" s="54" t="s">
        <v>9826</v>
      </c>
      <c r="F1764" s="5" t="s">
        <v>6434</v>
      </c>
      <c r="G1764" s="10">
        <f>DATE(2014,4,23)</f>
        <v>41752</v>
      </c>
      <c r="H1764" s="35">
        <v>1.7569444444444446</v>
      </c>
      <c r="I1764" s="5" t="s">
        <v>55</v>
      </c>
      <c r="J1764" s="10" t="s">
        <v>9827</v>
      </c>
      <c r="K1764" s="5" t="s">
        <v>565</v>
      </c>
      <c r="L1764" s="5" t="s">
        <v>9828</v>
      </c>
      <c r="M1764" s="5" t="s">
        <v>45</v>
      </c>
      <c r="N1764" s="5" t="s">
        <v>123</v>
      </c>
      <c r="O1764" s="5" t="s">
        <v>59</v>
      </c>
      <c r="P1764" s="10" t="s">
        <v>60</v>
      </c>
      <c r="Q1764" s="10" t="s">
        <v>9829</v>
      </c>
      <c r="R1764" s="10" t="s">
        <v>9830</v>
      </c>
      <c r="S1764" s="5">
        <v>0</v>
      </c>
      <c r="T1764" s="37">
        <v>0</v>
      </c>
      <c r="U1764" s="5">
        <v>0</v>
      </c>
      <c r="V1764" s="37">
        <v>0</v>
      </c>
      <c r="W1764" s="5">
        <v>0</v>
      </c>
      <c r="X1764" s="5">
        <v>0</v>
      </c>
      <c r="Y1764" s="5">
        <v>0</v>
      </c>
      <c r="Z1764" s="37">
        <v>0</v>
      </c>
      <c r="AA1764" s="5">
        <v>0</v>
      </c>
      <c r="AB1764" s="5">
        <v>0</v>
      </c>
      <c r="AC1764" s="5">
        <v>0</v>
      </c>
      <c r="AD1764" s="5">
        <v>0</v>
      </c>
      <c r="AE1764" s="10" t="s">
        <v>375</v>
      </c>
      <c r="AF1764" s="10" t="s">
        <v>9831</v>
      </c>
      <c r="AG1764" s="10" t="s">
        <v>8837</v>
      </c>
      <c r="AH1764" s="10">
        <v>41757</v>
      </c>
      <c r="AI1764" s="5">
        <v>0</v>
      </c>
      <c r="AJ1764" s="10" t="s">
        <v>9832</v>
      </c>
      <c r="AK1764" s="10" t="s">
        <v>50</v>
      </c>
    </row>
    <row r="1765" spans="1:37" ht="36.75" customHeight="1" x14ac:dyDescent="0.35">
      <c r="A1765" s="5"/>
      <c r="B1765" s="5" t="s">
        <v>37</v>
      </c>
      <c r="C1765" s="73" t="str">
        <f t="shared" si="27"/>
        <v>Closed</v>
      </c>
      <c r="D1765" s="45" t="s">
        <v>9833</v>
      </c>
      <c r="E1765" s="54" t="s">
        <v>9834</v>
      </c>
      <c r="F1765" s="5" t="s">
        <v>9767</v>
      </c>
      <c r="G1765" s="10">
        <f>DATE(2014,4,24)</f>
        <v>41753</v>
      </c>
      <c r="H1765" s="35">
        <v>0</v>
      </c>
      <c r="I1765" s="5" t="s">
        <v>106</v>
      </c>
      <c r="J1765" s="10" t="s">
        <v>9835</v>
      </c>
      <c r="K1765" s="5" t="s">
        <v>181</v>
      </c>
      <c r="L1765" s="5" t="s">
        <v>9836</v>
      </c>
      <c r="M1765" s="5" t="s">
        <v>45</v>
      </c>
      <c r="N1765" s="5" t="s">
        <v>123</v>
      </c>
      <c r="O1765" s="5" t="s">
        <v>59</v>
      </c>
      <c r="P1765" s="10" t="s">
        <v>60</v>
      </c>
      <c r="Q1765" s="10" t="s">
        <v>2433</v>
      </c>
      <c r="R1765" s="10" t="s">
        <v>184</v>
      </c>
      <c r="S1765" s="5">
        <v>0</v>
      </c>
      <c r="T1765" s="37">
        <v>0</v>
      </c>
      <c r="U1765" s="5">
        <v>0</v>
      </c>
      <c r="V1765" s="37">
        <v>0</v>
      </c>
      <c r="W1765" s="5">
        <v>0</v>
      </c>
      <c r="X1765" s="5">
        <v>0</v>
      </c>
      <c r="Y1765" s="5">
        <v>0</v>
      </c>
      <c r="Z1765" s="37">
        <v>0</v>
      </c>
      <c r="AA1765" s="5">
        <v>0</v>
      </c>
      <c r="AB1765" s="5">
        <v>0</v>
      </c>
      <c r="AC1765" s="5">
        <v>0</v>
      </c>
      <c r="AD1765" s="5">
        <v>0</v>
      </c>
      <c r="AE1765" s="10" t="s">
        <v>126</v>
      </c>
      <c r="AF1765" s="10"/>
      <c r="AG1765" s="10" t="s">
        <v>64</v>
      </c>
      <c r="AH1765" s="10">
        <v>41754</v>
      </c>
      <c r="AI1765" s="5">
        <v>3</v>
      </c>
      <c r="AJ1765" s="10" t="s">
        <v>9837</v>
      </c>
      <c r="AK1765" s="10" t="s">
        <v>1215</v>
      </c>
    </row>
    <row r="1766" spans="1:37" ht="36.75" customHeight="1" x14ac:dyDescent="0.35">
      <c r="A1766" s="5"/>
      <c r="B1766" s="5" t="s">
        <v>37</v>
      </c>
      <c r="C1766" s="73" t="str">
        <f t="shared" si="27"/>
        <v>Closed</v>
      </c>
      <c r="D1766" s="45" t="s">
        <v>9838</v>
      </c>
      <c r="E1766" s="54" t="s">
        <v>9839</v>
      </c>
      <c r="F1766" s="5" t="s">
        <v>9767</v>
      </c>
      <c r="G1766" s="10">
        <f>DATE(2014,4,29)</f>
        <v>41758</v>
      </c>
      <c r="H1766" s="35">
        <v>1.6375000000000002</v>
      </c>
      <c r="I1766" s="5" t="s">
        <v>97</v>
      </c>
      <c r="J1766" s="10" t="s">
        <v>9840</v>
      </c>
      <c r="K1766" s="5" t="s">
        <v>434</v>
      </c>
      <c r="L1766" s="5" t="s">
        <v>9841</v>
      </c>
      <c r="M1766" s="5" t="s">
        <v>45</v>
      </c>
      <c r="N1766" s="5" t="s">
        <v>80</v>
      </c>
      <c r="O1766" s="5" t="s">
        <v>46</v>
      </c>
      <c r="P1766" s="10" t="s">
        <v>146</v>
      </c>
      <c r="Q1766" s="10" t="s">
        <v>436</v>
      </c>
      <c r="R1766" s="10" t="s">
        <v>437</v>
      </c>
      <c r="S1766" s="5">
        <v>0</v>
      </c>
      <c r="T1766" s="37">
        <v>0</v>
      </c>
      <c r="U1766" s="5">
        <v>1</v>
      </c>
      <c r="V1766" s="37">
        <v>0</v>
      </c>
      <c r="W1766" s="5">
        <v>0</v>
      </c>
      <c r="X1766" s="5">
        <v>1</v>
      </c>
      <c r="Y1766" s="5">
        <v>0</v>
      </c>
      <c r="Z1766" s="37">
        <v>0</v>
      </c>
      <c r="AA1766" s="5">
        <v>0</v>
      </c>
      <c r="AB1766" s="5">
        <v>0</v>
      </c>
      <c r="AC1766" s="5">
        <v>0</v>
      </c>
      <c r="AD1766" s="5">
        <v>0</v>
      </c>
      <c r="AE1766" s="10" t="s">
        <v>73</v>
      </c>
      <c r="AF1766" s="10"/>
      <c r="AG1766" s="10" t="s">
        <v>64</v>
      </c>
      <c r="AH1766" s="10">
        <v>41758</v>
      </c>
      <c r="AI1766" s="5">
        <v>0</v>
      </c>
      <c r="AJ1766" s="10" t="s">
        <v>9842</v>
      </c>
      <c r="AK1766" s="10" t="s">
        <v>1215</v>
      </c>
    </row>
    <row r="1767" spans="1:37" ht="36.75" customHeight="1" x14ac:dyDescent="0.35">
      <c r="A1767" s="5"/>
      <c r="B1767" s="5" t="s">
        <v>37</v>
      </c>
      <c r="C1767" s="73" t="str">
        <f t="shared" si="27"/>
        <v>Closed</v>
      </c>
      <c r="D1767" s="45" t="s">
        <v>9843</v>
      </c>
      <c r="E1767" s="54" t="s">
        <v>9844</v>
      </c>
      <c r="F1767" s="5" t="s">
        <v>9767</v>
      </c>
      <c r="G1767" s="10">
        <f>DATE(2014,4,30)</f>
        <v>41759</v>
      </c>
      <c r="H1767" s="35">
        <v>1.5270833333333333</v>
      </c>
      <c r="I1767" s="5" t="s">
        <v>97</v>
      </c>
      <c r="J1767" s="10" t="s">
        <v>9845</v>
      </c>
      <c r="K1767" s="5" t="s">
        <v>406</v>
      </c>
      <c r="L1767" s="5" t="s">
        <v>9846</v>
      </c>
      <c r="M1767" s="5" t="s">
        <v>45</v>
      </c>
      <c r="N1767" s="5" t="s">
        <v>70</v>
      </c>
      <c r="O1767" s="5" t="s">
        <v>46</v>
      </c>
      <c r="P1767" s="10" t="s">
        <v>146</v>
      </c>
      <c r="Q1767" s="10" t="s">
        <v>408</v>
      </c>
      <c r="R1767" s="10" t="s">
        <v>3083</v>
      </c>
      <c r="S1767" s="5">
        <v>0</v>
      </c>
      <c r="T1767" s="37">
        <v>0</v>
      </c>
      <c r="U1767" s="5">
        <v>1</v>
      </c>
      <c r="V1767" s="37">
        <v>0</v>
      </c>
      <c r="W1767" s="5">
        <v>0</v>
      </c>
      <c r="X1767" s="5">
        <v>1</v>
      </c>
      <c r="Y1767" s="5">
        <v>0</v>
      </c>
      <c r="Z1767" s="37">
        <v>0</v>
      </c>
      <c r="AA1767" s="5">
        <v>0</v>
      </c>
      <c r="AB1767" s="5">
        <v>0</v>
      </c>
      <c r="AC1767" s="5">
        <v>0</v>
      </c>
      <c r="AD1767" s="5">
        <v>0</v>
      </c>
      <c r="AE1767" s="10" t="s">
        <v>73</v>
      </c>
      <c r="AF1767" s="10"/>
      <c r="AG1767" s="10" t="s">
        <v>114</v>
      </c>
      <c r="AH1767" s="10">
        <v>41795</v>
      </c>
      <c r="AI1767" s="5">
        <v>0</v>
      </c>
      <c r="AJ1767" s="10" t="s">
        <v>9847</v>
      </c>
      <c r="AK1767" s="10" t="s">
        <v>9848</v>
      </c>
    </row>
    <row r="1768" spans="1:37" ht="36.75" customHeight="1" x14ac:dyDescent="0.35">
      <c r="A1768" s="5"/>
      <c r="B1768" s="5" t="s">
        <v>37</v>
      </c>
      <c r="C1768" s="73" t="str">
        <f t="shared" si="27"/>
        <v>Closed</v>
      </c>
      <c r="D1768" s="45" t="s">
        <v>9849</v>
      </c>
      <c r="E1768" s="54" t="s">
        <v>9850</v>
      </c>
      <c r="F1768" s="5" t="s">
        <v>9767</v>
      </c>
      <c r="G1768" s="10">
        <f>DATE(2014,5,3)</f>
        <v>41762</v>
      </c>
      <c r="H1768" s="35">
        <v>1.9263888888888889</v>
      </c>
      <c r="I1768" s="5" t="s">
        <v>97</v>
      </c>
      <c r="J1768" s="10" t="s">
        <v>9851</v>
      </c>
      <c r="K1768" s="5" t="s">
        <v>818</v>
      </c>
      <c r="L1768" s="5" t="s">
        <v>9852</v>
      </c>
      <c r="M1768" s="5" t="s">
        <v>45</v>
      </c>
      <c r="N1768" s="5" t="s">
        <v>123</v>
      </c>
      <c r="O1768" s="5" t="s">
        <v>46</v>
      </c>
      <c r="P1768" s="10" t="s">
        <v>47</v>
      </c>
      <c r="Q1768" s="10" t="s">
        <v>2142</v>
      </c>
      <c r="R1768" s="10" t="s">
        <v>821</v>
      </c>
      <c r="S1768" s="5">
        <v>0</v>
      </c>
      <c r="T1768" s="37">
        <v>0</v>
      </c>
      <c r="U1768" s="5">
        <v>0</v>
      </c>
      <c r="V1768" s="37">
        <v>0</v>
      </c>
      <c r="W1768" s="5">
        <v>0</v>
      </c>
      <c r="X1768" s="5">
        <v>0</v>
      </c>
      <c r="Y1768" s="5">
        <v>0</v>
      </c>
      <c r="Z1768" s="37">
        <v>0</v>
      </c>
      <c r="AA1768" s="5">
        <v>2</v>
      </c>
      <c r="AB1768" s="5">
        <v>0</v>
      </c>
      <c r="AC1768" s="5">
        <v>0</v>
      </c>
      <c r="AD1768" s="5">
        <v>2</v>
      </c>
      <c r="AE1768" s="10" t="s">
        <v>73</v>
      </c>
      <c r="AF1768" s="10"/>
      <c r="AG1768" s="10" t="s">
        <v>114</v>
      </c>
      <c r="AH1768" s="10">
        <v>41762</v>
      </c>
      <c r="AI1768" s="5">
        <v>0</v>
      </c>
      <c r="AJ1768" s="10" t="s">
        <v>9853</v>
      </c>
      <c r="AK1768" s="10" t="s">
        <v>50</v>
      </c>
    </row>
    <row r="1769" spans="1:37" ht="36.75" customHeight="1" x14ac:dyDescent="0.35">
      <c r="A1769" s="5"/>
      <c r="B1769" s="5" t="s">
        <v>37</v>
      </c>
      <c r="C1769" s="73" t="str">
        <f t="shared" si="27"/>
        <v>Closed</v>
      </c>
      <c r="D1769" s="45" t="s">
        <v>9854</v>
      </c>
      <c r="E1769" s="54" t="s">
        <v>9855</v>
      </c>
      <c r="F1769" s="5" t="s">
        <v>9767</v>
      </c>
      <c r="G1769" s="10">
        <f>DATE(2014,5,7)</f>
        <v>41766</v>
      </c>
      <c r="H1769" s="35">
        <v>1.6909722222222223</v>
      </c>
      <c r="I1769" s="5" t="s">
        <v>97</v>
      </c>
      <c r="J1769" s="10" t="s">
        <v>9856</v>
      </c>
      <c r="K1769" s="5" t="s">
        <v>2583</v>
      </c>
      <c r="L1769" s="5" t="s">
        <v>9857</v>
      </c>
      <c r="M1769" s="5" t="s">
        <v>45</v>
      </c>
      <c r="N1769" s="5" t="s">
        <v>123</v>
      </c>
      <c r="O1769" s="5" t="s">
        <v>59</v>
      </c>
      <c r="P1769" s="10" t="s">
        <v>146</v>
      </c>
      <c r="Q1769" s="10" t="s">
        <v>6321</v>
      </c>
      <c r="R1769" s="10" t="s">
        <v>2586</v>
      </c>
      <c r="S1769" s="5">
        <v>1</v>
      </c>
      <c r="T1769" s="37">
        <v>0</v>
      </c>
      <c r="U1769" s="5">
        <v>0</v>
      </c>
      <c r="V1769" s="37">
        <v>0</v>
      </c>
      <c r="W1769" s="5">
        <v>0</v>
      </c>
      <c r="X1769" s="5">
        <v>1</v>
      </c>
      <c r="Y1769" s="5">
        <v>0</v>
      </c>
      <c r="Z1769" s="37">
        <v>0</v>
      </c>
      <c r="AA1769" s="5">
        <v>1</v>
      </c>
      <c r="AB1769" s="5">
        <v>0</v>
      </c>
      <c r="AC1769" s="5">
        <v>0</v>
      </c>
      <c r="AD1769" s="5">
        <v>1</v>
      </c>
      <c r="AE1769" s="10" t="s">
        <v>375</v>
      </c>
      <c r="AF1769" s="10"/>
      <c r="AG1769" s="10" t="s">
        <v>64</v>
      </c>
      <c r="AH1769" s="10">
        <v>41766</v>
      </c>
      <c r="AI1769" s="5">
        <v>1</v>
      </c>
      <c r="AJ1769" s="10" t="s">
        <v>9858</v>
      </c>
      <c r="AK1769" s="10" t="s">
        <v>9859</v>
      </c>
    </row>
    <row r="1770" spans="1:37" ht="36.75" customHeight="1" x14ac:dyDescent="0.35">
      <c r="A1770" s="5"/>
      <c r="B1770" s="5" t="s">
        <v>37</v>
      </c>
      <c r="C1770" s="73" t="str">
        <f t="shared" si="27"/>
        <v>Closed</v>
      </c>
      <c r="D1770" s="45" t="s">
        <v>9860</v>
      </c>
      <c r="E1770" s="54" t="s">
        <v>9861</v>
      </c>
      <c r="F1770" s="5" t="s">
        <v>9767</v>
      </c>
      <c r="G1770" s="10">
        <f>DATE(2014,5,7)</f>
        <v>41766</v>
      </c>
      <c r="H1770" s="35">
        <v>1.1805555555555556</v>
      </c>
      <c r="I1770" s="5" t="s">
        <v>137</v>
      </c>
      <c r="J1770" s="10" t="s">
        <v>9862</v>
      </c>
      <c r="K1770" s="5" t="s">
        <v>565</v>
      </c>
      <c r="L1770" s="5" t="s">
        <v>9863</v>
      </c>
      <c r="M1770" s="5" t="s">
        <v>45</v>
      </c>
      <c r="N1770" s="5" t="s">
        <v>123</v>
      </c>
      <c r="O1770" s="5" t="s">
        <v>59</v>
      </c>
      <c r="P1770" s="10" t="s">
        <v>146</v>
      </c>
      <c r="Q1770" s="10" t="s">
        <v>4467</v>
      </c>
      <c r="R1770" s="10" t="s">
        <v>568</v>
      </c>
      <c r="S1770" s="5">
        <v>0</v>
      </c>
      <c r="T1770" s="37">
        <v>0</v>
      </c>
      <c r="U1770" s="5">
        <v>0</v>
      </c>
      <c r="V1770" s="37">
        <v>0</v>
      </c>
      <c r="W1770" s="5">
        <v>0</v>
      </c>
      <c r="X1770" s="5">
        <v>0</v>
      </c>
      <c r="Y1770" s="5">
        <v>0</v>
      </c>
      <c r="Z1770" s="37">
        <v>1</v>
      </c>
      <c r="AA1770" s="5">
        <v>0</v>
      </c>
      <c r="AB1770" s="5">
        <v>0</v>
      </c>
      <c r="AC1770" s="5">
        <v>0</v>
      </c>
      <c r="AD1770" s="5">
        <v>1</v>
      </c>
      <c r="AE1770" s="10" t="s">
        <v>126</v>
      </c>
      <c r="AF1770" s="10"/>
      <c r="AG1770" s="10" t="s">
        <v>114</v>
      </c>
      <c r="AH1770" s="10">
        <v>41767</v>
      </c>
      <c r="AI1770" s="5">
        <v>0</v>
      </c>
      <c r="AJ1770" s="10" t="s">
        <v>9864</v>
      </c>
      <c r="AK1770" s="10" t="s">
        <v>1215</v>
      </c>
    </row>
    <row r="1771" spans="1:37" ht="36.75" customHeight="1" x14ac:dyDescent="0.35">
      <c r="A1771" s="5"/>
      <c r="B1771" s="5" t="s">
        <v>37</v>
      </c>
      <c r="C1771" s="73" t="str">
        <f t="shared" si="27"/>
        <v>Closed</v>
      </c>
      <c r="D1771" s="45" t="s">
        <v>9865</v>
      </c>
      <c r="E1771" s="54" t="s">
        <v>9866</v>
      </c>
      <c r="F1771" s="5" t="s">
        <v>9767</v>
      </c>
      <c r="G1771" s="10">
        <f>DATE(2014,5,7)</f>
        <v>41766</v>
      </c>
      <c r="H1771" s="35">
        <v>1.2013888888888888</v>
      </c>
      <c r="I1771" s="5" t="s">
        <v>97</v>
      </c>
      <c r="J1771" s="10" t="s">
        <v>9867</v>
      </c>
      <c r="K1771" s="5" t="s">
        <v>818</v>
      </c>
      <c r="L1771" s="5" t="s">
        <v>9868</v>
      </c>
      <c r="M1771" s="5" t="s">
        <v>45</v>
      </c>
      <c r="N1771" s="5" t="s">
        <v>80</v>
      </c>
      <c r="O1771" s="5" t="s">
        <v>46</v>
      </c>
      <c r="P1771" s="10" t="s">
        <v>146</v>
      </c>
      <c r="Q1771" s="10" t="s">
        <v>2142</v>
      </c>
      <c r="R1771" s="10" t="s">
        <v>821</v>
      </c>
      <c r="S1771" s="5">
        <v>0</v>
      </c>
      <c r="T1771" s="37">
        <v>0</v>
      </c>
      <c r="U1771" s="5">
        <v>1</v>
      </c>
      <c r="V1771" s="37">
        <v>0</v>
      </c>
      <c r="W1771" s="5">
        <v>0</v>
      </c>
      <c r="X1771" s="5">
        <v>1</v>
      </c>
      <c r="Y1771" s="5">
        <v>0</v>
      </c>
      <c r="Z1771" s="37">
        <v>0</v>
      </c>
      <c r="AA1771" s="5">
        <v>0</v>
      </c>
      <c r="AB1771" s="5">
        <v>0</v>
      </c>
      <c r="AC1771" s="5">
        <v>0</v>
      </c>
      <c r="AD1771" s="5">
        <v>0</v>
      </c>
      <c r="AE1771" s="10" t="s">
        <v>73</v>
      </c>
      <c r="AF1771" s="10"/>
      <c r="AG1771" s="10" t="s">
        <v>114</v>
      </c>
      <c r="AH1771" s="10">
        <v>41950</v>
      </c>
      <c r="AI1771" s="5">
        <v>1</v>
      </c>
      <c r="AJ1771" s="10" t="s">
        <v>9869</v>
      </c>
      <c r="AK1771" s="10" t="s">
        <v>1215</v>
      </c>
    </row>
    <row r="1772" spans="1:37" ht="36.75" customHeight="1" x14ac:dyDescent="0.35">
      <c r="A1772" s="5"/>
      <c r="B1772" s="5" t="s">
        <v>37</v>
      </c>
      <c r="C1772" s="73" t="str">
        <f t="shared" si="27"/>
        <v>Closed</v>
      </c>
      <c r="D1772" s="45" t="s">
        <v>9870</v>
      </c>
      <c r="E1772" s="54" t="s">
        <v>9871</v>
      </c>
      <c r="F1772" s="5" t="s">
        <v>9767</v>
      </c>
      <c r="G1772" s="10">
        <f>DATE(2014,5,7)</f>
        <v>41766</v>
      </c>
      <c r="H1772" s="35">
        <v>1.3055555555555556</v>
      </c>
      <c r="I1772" s="5" t="s">
        <v>55</v>
      </c>
      <c r="J1772" s="10" t="s">
        <v>9872</v>
      </c>
      <c r="K1772" s="5" t="s">
        <v>1555</v>
      </c>
      <c r="L1772" s="5" t="s">
        <v>9873</v>
      </c>
      <c r="M1772" s="5" t="s">
        <v>45</v>
      </c>
      <c r="N1772" s="5" t="s">
        <v>80</v>
      </c>
      <c r="O1772" s="5" t="s">
        <v>59</v>
      </c>
      <c r="P1772" s="10" t="s">
        <v>6920</v>
      </c>
      <c r="Q1772" s="10" t="s">
        <v>2393</v>
      </c>
      <c r="R1772" s="10" t="s">
        <v>6413</v>
      </c>
      <c r="S1772" s="5">
        <v>0</v>
      </c>
      <c r="T1772" s="37">
        <v>0</v>
      </c>
      <c r="U1772" s="5">
        <v>0</v>
      </c>
      <c r="V1772" s="37">
        <v>0</v>
      </c>
      <c r="W1772" s="5">
        <v>0</v>
      </c>
      <c r="X1772" s="5">
        <v>0</v>
      </c>
      <c r="Y1772" s="5">
        <v>0</v>
      </c>
      <c r="Z1772" s="37">
        <v>0</v>
      </c>
      <c r="AA1772" s="5">
        <v>0</v>
      </c>
      <c r="AB1772" s="5">
        <v>0</v>
      </c>
      <c r="AC1772" s="5">
        <v>0</v>
      </c>
      <c r="AD1772" s="5">
        <v>0</v>
      </c>
      <c r="AE1772" s="10" t="s">
        <v>73</v>
      </c>
      <c r="AF1772" s="10"/>
      <c r="AG1772" s="10" t="s">
        <v>114</v>
      </c>
      <c r="AH1772" s="10">
        <v>41766</v>
      </c>
      <c r="AI1772" s="5">
        <v>4</v>
      </c>
      <c r="AJ1772" s="10" t="s">
        <v>9874</v>
      </c>
      <c r="AK1772" s="10" t="s">
        <v>9875</v>
      </c>
    </row>
    <row r="1773" spans="1:37" ht="36.75" customHeight="1" x14ac:dyDescent="0.35">
      <c r="A1773" s="5"/>
      <c r="B1773" s="5" t="s">
        <v>37</v>
      </c>
      <c r="C1773" s="73" t="str">
        <f t="shared" si="27"/>
        <v>Closed</v>
      </c>
      <c r="D1773" s="45" t="s">
        <v>9876</v>
      </c>
      <c r="E1773" s="54" t="s">
        <v>9877</v>
      </c>
      <c r="F1773" s="5" t="s">
        <v>9767</v>
      </c>
      <c r="G1773" s="10">
        <f>DATE(2014,5,8)</f>
        <v>41767</v>
      </c>
      <c r="H1773" s="35">
        <v>1.0347222222222223</v>
      </c>
      <c r="I1773" s="5" t="s">
        <v>55</v>
      </c>
      <c r="J1773" s="10" t="s">
        <v>9878</v>
      </c>
      <c r="K1773" s="5" t="s">
        <v>1555</v>
      </c>
      <c r="L1773" s="5" t="s">
        <v>9879</v>
      </c>
      <c r="M1773" s="5" t="s">
        <v>45</v>
      </c>
      <c r="N1773" s="5" t="s">
        <v>123</v>
      </c>
      <c r="O1773" s="5" t="s">
        <v>46</v>
      </c>
      <c r="P1773" s="10" t="s">
        <v>60</v>
      </c>
      <c r="Q1773" s="10" t="s">
        <v>7910</v>
      </c>
      <c r="R1773" s="10" t="s">
        <v>6413</v>
      </c>
      <c r="S1773" s="5">
        <v>0</v>
      </c>
      <c r="T1773" s="37">
        <v>0</v>
      </c>
      <c r="U1773" s="5">
        <v>0</v>
      </c>
      <c r="V1773" s="37">
        <v>0</v>
      </c>
      <c r="W1773" s="5">
        <v>0</v>
      </c>
      <c r="X1773" s="5">
        <v>0</v>
      </c>
      <c r="Y1773" s="5">
        <v>0</v>
      </c>
      <c r="Z1773" s="37">
        <v>0</v>
      </c>
      <c r="AA1773" s="5">
        <v>0</v>
      </c>
      <c r="AB1773" s="5">
        <v>0</v>
      </c>
      <c r="AC1773" s="5">
        <v>0</v>
      </c>
      <c r="AD1773" s="5">
        <v>0</v>
      </c>
      <c r="AE1773" s="10" t="s">
        <v>73</v>
      </c>
      <c r="AF1773" s="10"/>
      <c r="AG1773" s="10" t="s">
        <v>114</v>
      </c>
      <c r="AH1773" s="10">
        <v>41768</v>
      </c>
      <c r="AI1773" s="5">
        <v>1</v>
      </c>
      <c r="AJ1773" s="10" t="s">
        <v>9880</v>
      </c>
      <c r="AK1773" s="10" t="s">
        <v>9881</v>
      </c>
    </row>
    <row r="1774" spans="1:37" ht="36.75" customHeight="1" x14ac:dyDescent="0.35">
      <c r="A1774" s="5"/>
      <c r="B1774" s="5" t="s">
        <v>37</v>
      </c>
      <c r="C1774" s="73" t="str">
        <f t="shared" si="27"/>
        <v>Closed</v>
      </c>
      <c r="D1774" s="45" t="s">
        <v>9882</v>
      </c>
      <c r="E1774" s="54" t="s">
        <v>9883</v>
      </c>
      <c r="F1774" s="5" t="s">
        <v>9767</v>
      </c>
      <c r="G1774" s="10">
        <f>DATE(2014,5,11)</f>
        <v>41770</v>
      </c>
      <c r="H1774" s="35">
        <v>1.8034722222222221</v>
      </c>
      <c r="I1774" s="5" t="s">
        <v>97</v>
      </c>
      <c r="J1774" s="10" t="s">
        <v>9884</v>
      </c>
      <c r="K1774" s="5" t="s">
        <v>216</v>
      </c>
      <c r="L1774" s="5" t="s">
        <v>9885</v>
      </c>
      <c r="M1774" s="5" t="s">
        <v>45</v>
      </c>
      <c r="N1774" s="5" t="s">
        <v>123</v>
      </c>
      <c r="O1774" s="5" t="s">
        <v>67</v>
      </c>
      <c r="P1774" s="10" t="s">
        <v>146</v>
      </c>
      <c r="Q1774" s="10" t="s">
        <v>1410</v>
      </c>
      <c r="R1774" s="10" t="s">
        <v>219</v>
      </c>
      <c r="S1774" s="5">
        <v>0</v>
      </c>
      <c r="T1774" s="37">
        <v>0</v>
      </c>
      <c r="U1774" s="5">
        <v>1</v>
      </c>
      <c r="V1774" s="37">
        <v>0</v>
      </c>
      <c r="W1774" s="5">
        <v>0</v>
      </c>
      <c r="X1774" s="5">
        <v>1</v>
      </c>
      <c r="Y1774" s="5">
        <v>0</v>
      </c>
      <c r="Z1774" s="37">
        <v>0</v>
      </c>
      <c r="AA1774" s="5">
        <v>0</v>
      </c>
      <c r="AB1774" s="5">
        <v>0</v>
      </c>
      <c r="AC1774" s="5">
        <v>0</v>
      </c>
      <c r="AD1774" s="5">
        <v>0</v>
      </c>
      <c r="AE1774" s="10" t="s">
        <v>73</v>
      </c>
      <c r="AF1774" s="10"/>
      <c r="AG1774" s="10" t="s">
        <v>64</v>
      </c>
      <c r="AH1774" s="10">
        <v>41786</v>
      </c>
      <c r="AI1774" s="5">
        <v>6</v>
      </c>
      <c r="AJ1774" s="10" t="s">
        <v>9886</v>
      </c>
      <c r="AK1774" s="10" t="s">
        <v>9887</v>
      </c>
    </row>
    <row r="1775" spans="1:37" ht="36.75" customHeight="1" x14ac:dyDescent="0.35">
      <c r="A1775" s="5"/>
      <c r="B1775" s="5" t="s">
        <v>37</v>
      </c>
      <c r="C1775" s="73" t="str">
        <f t="shared" si="27"/>
        <v>Closed</v>
      </c>
      <c r="D1775" s="45" t="s">
        <v>9888</v>
      </c>
      <c r="E1775" s="54" t="s">
        <v>9889</v>
      </c>
      <c r="F1775" s="5" t="s">
        <v>9767</v>
      </c>
      <c r="G1775" s="10">
        <f>DATE(2014,5,12)</f>
        <v>41771</v>
      </c>
      <c r="H1775" s="35">
        <v>1.6701388888888888</v>
      </c>
      <c r="I1775" s="5" t="s">
        <v>5473</v>
      </c>
      <c r="J1775" s="10" t="s">
        <v>9890</v>
      </c>
      <c r="K1775" s="5" t="s">
        <v>818</v>
      </c>
      <c r="L1775" s="5" t="s">
        <v>9891</v>
      </c>
      <c r="M1775" s="5" t="s">
        <v>45</v>
      </c>
      <c r="N1775" s="5" t="s">
        <v>70</v>
      </c>
      <c r="O1775" s="5" t="s">
        <v>59</v>
      </c>
      <c r="P1775" s="10" t="s">
        <v>72</v>
      </c>
      <c r="Q1775" s="10" t="s">
        <v>2142</v>
      </c>
      <c r="R1775" s="10" t="s">
        <v>821</v>
      </c>
      <c r="S1775" s="5">
        <v>0</v>
      </c>
      <c r="T1775" s="37">
        <v>0</v>
      </c>
      <c r="U1775" s="5">
        <v>0</v>
      </c>
      <c r="V1775" s="37">
        <v>0</v>
      </c>
      <c r="W1775" s="5">
        <v>0</v>
      </c>
      <c r="X1775" s="5">
        <v>0</v>
      </c>
      <c r="Y1775" s="5">
        <v>0</v>
      </c>
      <c r="Z1775" s="37">
        <v>0</v>
      </c>
      <c r="AA1775" s="5">
        <v>0</v>
      </c>
      <c r="AB1775" s="5">
        <v>0</v>
      </c>
      <c r="AC1775" s="5">
        <v>0</v>
      </c>
      <c r="AD1775" s="5">
        <v>0</v>
      </c>
      <c r="AE1775" s="10" t="s">
        <v>73</v>
      </c>
      <c r="AF1775" s="10"/>
      <c r="AG1775" s="10" t="s">
        <v>333</v>
      </c>
      <c r="AH1775" s="10">
        <v>41772</v>
      </c>
      <c r="AI1775" s="5">
        <v>0</v>
      </c>
      <c r="AJ1775" s="10" t="s">
        <v>9892</v>
      </c>
      <c r="AK1775" s="10" t="s">
        <v>9893</v>
      </c>
    </row>
    <row r="1776" spans="1:37" ht="36.75" customHeight="1" x14ac:dyDescent="0.35">
      <c r="A1776" s="5"/>
      <c r="B1776" s="5" t="s">
        <v>37</v>
      </c>
      <c r="C1776" s="73" t="str">
        <f t="shared" si="27"/>
        <v>Closed</v>
      </c>
      <c r="D1776" s="45" t="s">
        <v>9894</v>
      </c>
      <c r="E1776" s="54" t="s">
        <v>9895</v>
      </c>
      <c r="F1776" s="5" t="s">
        <v>9767</v>
      </c>
      <c r="G1776" s="10">
        <f>DATE(2014,5,12)</f>
        <v>41771</v>
      </c>
      <c r="H1776" s="35">
        <v>1.5208333333333335</v>
      </c>
      <c r="I1776" s="5" t="s">
        <v>468</v>
      </c>
      <c r="J1776" s="10" t="s">
        <v>9896</v>
      </c>
      <c r="K1776" s="5" t="s">
        <v>216</v>
      </c>
      <c r="L1776" s="5" t="s">
        <v>505</v>
      </c>
      <c r="M1776" s="5" t="s">
        <v>9897</v>
      </c>
      <c r="N1776" s="5" t="s">
        <v>123</v>
      </c>
      <c r="O1776" s="5" t="s">
        <v>46</v>
      </c>
      <c r="P1776" s="10" t="s">
        <v>7960</v>
      </c>
      <c r="Q1776" s="10" t="s">
        <v>506</v>
      </c>
      <c r="R1776" s="10" t="s">
        <v>507</v>
      </c>
      <c r="S1776" s="5">
        <v>0</v>
      </c>
      <c r="T1776" s="37">
        <v>0</v>
      </c>
      <c r="U1776" s="5">
        <v>0</v>
      </c>
      <c r="V1776" s="37">
        <v>0</v>
      </c>
      <c r="W1776" s="5">
        <v>0</v>
      </c>
      <c r="X1776" s="5">
        <v>0</v>
      </c>
      <c r="Y1776" s="5">
        <v>0</v>
      </c>
      <c r="Z1776" s="37">
        <v>0</v>
      </c>
      <c r="AA1776" s="5">
        <v>0</v>
      </c>
      <c r="AB1776" s="5">
        <v>0</v>
      </c>
      <c r="AC1776" s="5">
        <v>0</v>
      </c>
      <c r="AD1776" s="5">
        <v>0</v>
      </c>
      <c r="AE1776" s="10" t="s">
        <v>73</v>
      </c>
      <c r="AF1776" s="10"/>
      <c r="AG1776" s="10" t="s">
        <v>114</v>
      </c>
      <c r="AH1776" s="10">
        <v>41778</v>
      </c>
      <c r="AI1776" s="5">
        <v>4</v>
      </c>
      <c r="AJ1776" s="10" t="s">
        <v>9898</v>
      </c>
      <c r="AK1776" s="10" t="s">
        <v>9899</v>
      </c>
    </row>
    <row r="1777" spans="1:37" ht="36.75" customHeight="1" x14ac:dyDescent="0.35">
      <c r="A1777" s="5"/>
      <c r="B1777" s="5" t="s">
        <v>37</v>
      </c>
      <c r="C1777" s="73" t="str">
        <f t="shared" si="27"/>
        <v>Closed</v>
      </c>
      <c r="D1777" s="45" t="s">
        <v>9900</v>
      </c>
      <c r="E1777" s="54" t="s">
        <v>9901</v>
      </c>
      <c r="F1777" s="5" t="s">
        <v>9767</v>
      </c>
      <c r="G1777" s="10">
        <f>DATE(2014,5,15)</f>
        <v>41774</v>
      </c>
      <c r="H1777" s="35">
        <v>1.7111111111111112</v>
      </c>
      <c r="I1777" s="5" t="s">
        <v>97</v>
      </c>
      <c r="J1777" s="10" t="s">
        <v>9902</v>
      </c>
      <c r="K1777" s="5" t="s">
        <v>565</v>
      </c>
      <c r="L1777" s="5" t="s">
        <v>9903</v>
      </c>
      <c r="M1777" s="5" t="s">
        <v>45</v>
      </c>
      <c r="N1777" s="5" t="s">
        <v>80</v>
      </c>
      <c r="O1777" s="5" t="s">
        <v>46</v>
      </c>
      <c r="P1777" s="10" t="s">
        <v>146</v>
      </c>
      <c r="Q1777" s="10" t="s">
        <v>4467</v>
      </c>
      <c r="R1777" s="10" t="s">
        <v>568</v>
      </c>
      <c r="S1777" s="5">
        <v>0</v>
      </c>
      <c r="T1777" s="37">
        <v>0</v>
      </c>
      <c r="U1777" s="5">
        <v>0</v>
      </c>
      <c r="V1777" s="37">
        <v>0</v>
      </c>
      <c r="W1777" s="5">
        <v>0</v>
      </c>
      <c r="X1777" s="5">
        <v>0</v>
      </c>
      <c r="Y1777" s="5">
        <v>0</v>
      </c>
      <c r="Z1777" s="37">
        <v>0</v>
      </c>
      <c r="AA1777" s="5">
        <v>1</v>
      </c>
      <c r="AB1777" s="5">
        <v>0</v>
      </c>
      <c r="AC1777" s="5">
        <v>0</v>
      </c>
      <c r="AD1777" s="5">
        <v>1</v>
      </c>
      <c r="AE1777" s="10" t="s">
        <v>73</v>
      </c>
      <c r="AF1777" s="10"/>
      <c r="AG1777" s="10" t="s">
        <v>333</v>
      </c>
      <c r="AH1777" s="10">
        <v>41866</v>
      </c>
      <c r="AI1777" s="5">
        <v>0</v>
      </c>
      <c r="AJ1777" s="10" t="s">
        <v>9904</v>
      </c>
      <c r="AK1777" s="10" t="s">
        <v>1215</v>
      </c>
    </row>
    <row r="1778" spans="1:37" ht="36.75" customHeight="1" x14ac:dyDescent="0.35">
      <c r="A1778" s="5"/>
      <c r="B1778" s="5" t="s">
        <v>37</v>
      </c>
      <c r="C1778" s="73" t="str">
        <f t="shared" si="27"/>
        <v>Closed</v>
      </c>
      <c r="D1778" s="45" t="s">
        <v>9905</v>
      </c>
      <c r="E1778" s="54" t="s">
        <v>9906</v>
      </c>
      <c r="F1778" s="5" t="s">
        <v>9767</v>
      </c>
      <c r="G1778" s="10">
        <f>DATE(2014,5,20)</f>
        <v>41779</v>
      </c>
      <c r="H1778" s="35">
        <v>1.4131944444444444</v>
      </c>
      <c r="I1778" s="5" t="s">
        <v>5473</v>
      </c>
      <c r="J1778" s="10" t="s">
        <v>9907</v>
      </c>
      <c r="K1778" s="5" t="s">
        <v>121</v>
      </c>
      <c r="L1778" s="5" t="s">
        <v>9908</v>
      </c>
      <c r="M1778" s="5" t="s">
        <v>45</v>
      </c>
      <c r="N1778" s="5" t="s">
        <v>80</v>
      </c>
      <c r="O1778" s="5" t="s">
        <v>59</v>
      </c>
      <c r="P1778" s="10" t="s">
        <v>67</v>
      </c>
      <c r="Q1778" s="10" t="s">
        <v>7618</v>
      </c>
      <c r="R1778" s="10" t="s">
        <v>4913</v>
      </c>
      <c r="S1778" s="5">
        <v>0</v>
      </c>
      <c r="T1778" s="37">
        <v>0</v>
      </c>
      <c r="U1778" s="5">
        <v>0</v>
      </c>
      <c r="V1778" s="37">
        <v>0</v>
      </c>
      <c r="W1778" s="5">
        <v>0</v>
      </c>
      <c r="X1778" s="5">
        <v>0</v>
      </c>
      <c r="Y1778" s="5">
        <v>0</v>
      </c>
      <c r="Z1778" s="37">
        <v>0</v>
      </c>
      <c r="AA1778" s="5">
        <v>0</v>
      </c>
      <c r="AB1778" s="5">
        <v>0</v>
      </c>
      <c r="AC1778" s="5">
        <v>0</v>
      </c>
      <c r="AD1778" s="5">
        <v>0</v>
      </c>
      <c r="AE1778" s="10" t="s">
        <v>73</v>
      </c>
      <c r="AF1778" s="10"/>
      <c r="AG1778" s="10" t="s">
        <v>114</v>
      </c>
      <c r="AH1778" s="10">
        <v>41792</v>
      </c>
      <c r="AI1778" s="5">
        <v>1</v>
      </c>
      <c r="AJ1778" s="10" t="s">
        <v>9909</v>
      </c>
      <c r="AK1778" s="10" t="s">
        <v>9910</v>
      </c>
    </row>
    <row r="1779" spans="1:37" ht="36.75" customHeight="1" x14ac:dyDescent="0.35">
      <c r="A1779" s="5"/>
      <c r="B1779" s="5" t="s">
        <v>37</v>
      </c>
      <c r="C1779" s="73" t="str">
        <f t="shared" si="27"/>
        <v>Closed</v>
      </c>
      <c r="D1779" s="45" t="s">
        <v>9911</v>
      </c>
      <c r="E1779" s="54" t="s">
        <v>9912</v>
      </c>
      <c r="F1779" s="5" t="s">
        <v>9767</v>
      </c>
      <c r="G1779" s="10">
        <f>DATE(2014,5,21)</f>
        <v>41780</v>
      </c>
      <c r="H1779" s="35">
        <v>1.4833333333333334</v>
      </c>
      <c r="I1779" s="5" t="s">
        <v>97</v>
      </c>
      <c r="J1779" s="10" t="s">
        <v>9913</v>
      </c>
      <c r="K1779" s="5" t="s">
        <v>565</v>
      </c>
      <c r="L1779" s="5" t="s">
        <v>9914</v>
      </c>
      <c r="M1779" s="5" t="s">
        <v>45</v>
      </c>
      <c r="N1779" s="5" t="s">
        <v>123</v>
      </c>
      <c r="O1779" s="5" t="s">
        <v>59</v>
      </c>
      <c r="P1779" s="10" t="s">
        <v>362</v>
      </c>
      <c r="Q1779" s="10" t="s">
        <v>567</v>
      </c>
      <c r="R1779" s="10" t="s">
        <v>568</v>
      </c>
      <c r="S1779" s="5">
        <v>0</v>
      </c>
      <c r="T1779" s="37">
        <v>0</v>
      </c>
      <c r="U1779" s="5">
        <v>1</v>
      </c>
      <c r="V1779" s="37">
        <v>0</v>
      </c>
      <c r="W1779" s="5">
        <v>0</v>
      </c>
      <c r="X1779" s="5">
        <v>1</v>
      </c>
      <c r="Y1779" s="5">
        <v>0</v>
      </c>
      <c r="Z1779" s="37">
        <v>0</v>
      </c>
      <c r="AA1779" s="5">
        <v>0</v>
      </c>
      <c r="AB1779" s="5">
        <v>0</v>
      </c>
      <c r="AC1779" s="5">
        <v>0</v>
      </c>
      <c r="AD1779" s="5">
        <v>0</v>
      </c>
      <c r="AE1779" s="10" t="s">
        <v>375</v>
      </c>
      <c r="AF1779" s="10"/>
      <c r="AG1779" s="10" t="s">
        <v>64</v>
      </c>
      <c r="AH1779" s="10">
        <v>41786</v>
      </c>
      <c r="AI1779" s="5">
        <v>0</v>
      </c>
      <c r="AJ1779" s="10" t="s">
        <v>9915</v>
      </c>
      <c r="AK1779" s="10" t="s">
        <v>1215</v>
      </c>
    </row>
    <row r="1780" spans="1:37" ht="36.75" customHeight="1" x14ac:dyDescent="0.35">
      <c r="A1780" s="5"/>
      <c r="B1780" s="5" t="s">
        <v>37</v>
      </c>
      <c r="C1780" s="73" t="str">
        <f t="shared" si="27"/>
        <v>Closed</v>
      </c>
      <c r="D1780" s="45" t="s">
        <v>9916</v>
      </c>
      <c r="E1780" s="54" t="s">
        <v>9917</v>
      </c>
      <c r="F1780" s="5" t="s">
        <v>9767</v>
      </c>
      <c r="G1780" s="10">
        <f>DATE(2014,5,25)</f>
        <v>41784</v>
      </c>
      <c r="H1780" s="35">
        <v>1.6854166666666668</v>
      </c>
      <c r="I1780" s="5" t="s">
        <v>137</v>
      </c>
      <c r="J1780" s="10" t="s">
        <v>9918</v>
      </c>
      <c r="K1780" s="5" t="s">
        <v>565</v>
      </c>
      <c r="L1780" s="5" t="s">
        <v>9919</v>
      </c>
      <c r="M1780" s="5" t="s">
        <v>45</v>
      </c>
      <c r="N1780" s="5" t="s">
        <v>123</v>
      </c>
      <c r="O1780" s="5" t="s">
        <v>59</v>
      </c>
      <c r="P1780" s="10" t="s">
        <v>146</v>
      </c>
      <c r="Q1780" s="10" t="s">
        <v>9920</v>
      </c>
      <c r="R1780" s="10" t="s">
        <v>568</v>
      </c>
      <c r="S1780" s="5">
        <v>0</v>
      </c>
      <c r="T1780" s="37">
        <v>0</v>
      </c>
      <c r="U1780" s="5">
        <v>0</v>
      </c>
      <c r="V1780" s="37">
        <v>0</v>
      </c>
      <c r="W1780" s="5">
        <v>0</v>
      </c>
      <c r="X1780" s="5">
        <v>0</v>
      </c>
      <c r="Y1780" s="5">
        <v>0</v>
      </c>
      <c r="Z1780" s="37">
        <v>0</v>
      </c>
      <c r="AA1780" s="5">
        <v>0</v>
      </c>
      <c r="AB1780" s="5">
        <v>0</v>
      </c>
      <c r="AC1780" s="5">
        <v>0</v>
      </c>
      <c r="AD1780" s="5">
        <v>0</v>
      </c>
      <c r="AE1780" s="10" t="s">
        <v>73</v>
      </c>
      <c r="AF1780" s="10"/>
      <c r="AG1780" s="10" t="s">
        <v>114</v>
      </c>
      <c r="AH1780" s="10">
        <v>41876</v>
      </c>
      <c r="AI1780" s="5">
        <v>0</v>
      </c>
      <c r="AJ1780" s="10" t="s">
        <v>9921</v>
      </c>
      <c r="AK1780" s="10" t="s">
        <v>1215</v>
      </c>
    </row>
    <row r="1781" spans="1:37" ht="36.75" customHeight="1" x14ac:dyDescent="0.35">
      <c r="A1781" s="5"/>
      <c r="B1781" s="5" t="s">
        <v>37</v>
      </c>
      <c r="C1781" s="73" t="str">
        <f t="shared" si="27"/>
        <v>Closed</v>
      </c>
      <c r="D1781" s="45" t="s">
        <v>9922</v>
      </c>
      <c r="E1781" s="54" t="s">
        <v>9923</v>
      </c>
      <c r="F1781" s="5" t="s">
        <v>9767</v>
      </c>
      <c r="G1781" s="10">
        <f>DATE(2014,5,25)</f>
        <v>41784</v>
      </c>
      <c r="H1781" s="35">
        <v>1.2222222222222223</v>
      </c>
      <c r="I1781" s="5" t="s">
        <v>55</v>
      </c>
      <c r="J1781" s="10" t="s">
        <v>9924</v>
      </c>
      <c r="K1781" s="5" t="s">
        <v>216</v>
      </c>
      <c r="L1781" s="5" t="s">
        <v>9925</v>
      </c>
      <c r="M1781" s="5" t="s">
        <v>45</v>
      </c>
      <c r="N1781" s="5" t="s">
        <v>70</v>
      </c>
      <c r="O1781" s="5" t="s">
        <v>46</v>
      </c>
      <c r="P1781" s="10" t="s">
        <v>6920</v>
      </c>
      <c r="Q1781" s="10" t="s">
        <v>9926</v>
      </c>
      <c r="R1781" s="10" t="s">
        <v>219</v>
      </c>
      <c r="S1781" s="5">
        <v>0</v>
      </c>
      <c r="T1781" s="37">
        <v>0</v>
      </c>
      <c r="U1781" s="5">
        <v>0</v>
      </c>
      <c r="V1781" s="37">
        <v>0</v>
      </c>
      <c r="W1781" s="5">
        <v>0</v>
      </c>
      <c r="X1781" s="5">
        <v>0</v>
      </c>
      <c r="Y1781" s="5">
        <v>0</v>
      </c>
      <c r="Z1781" s="37">
        <v>0</v>
      </c>
      <c r="AA1781" s="5">
        <v>0</v>
      </c>
      <c r="AB1781" s="5">
        <v>0</v>
      </c>
      <c r="AC1781" s="5">
        <v>0</v>
      </c>
      <c r="AD1781" s="5">
        <v>0</v>
      </c>
      <c r="AE1781" s="10" t="s">
        <v>73</v>
      </c>
      <c r="AF1781" s="10"/>
      <c r="AG1781" s="10" t="s">
        <v>114</v>
      </c>
      <c r="AH1781" s="10">
        <v>41792</v>
      </c>
      <c r="AI1781" s="5">
        <v>5</v>
      </c>
      <c r="AJ1781" s="10" t="s">
        <v>9927</v>
      </c>
      <c r="AK1781" s="10" t="s">
        <v>9928</v>
      </c>
    </row>
    <row r="1782" spans="1:37" ht="36.75" customHeight="1" x14ac:dyDescent="0.35">
      <c r="A1782" s="5"/>
      <c r="B1782" s="5" t="s">
        <v>37</v>
      </c>
      <c r="C1782" s="73" t="str">
        <f t="shared" si="27"/>
        <v>Closed</v>
      </c>
      <c r="D1782" s="45" t="s">
        <v>9929</v>
      </c>
      <c r="E1782" s="54" t="s">
        <v>9930</v>
      </c>
      <c r="F1782" s="5" t="s">
        <v>9767</v>
      </c>
      <c r="G1782" s="10">
        <f>DATE(2014,5,30)</f>
        <v>41789</v>
      </c>
      <c r="H1782" s="35">
        <v>1.7083333333333335</v>
      </c>
      <c r="I1782" s="5" t="s">
        <v>55</v>
      </c>
      <c r="J1782" s="10" t="s">
        <v>9931</v>
      </c>
      <c r="K1782" s="5" t="s">
        <v>108</v>
      </c>
      <c r="L1782" s="5" t="s">
        <v>9932</v>
      </c>
      <c r="M1782" s="5" t="s">
        <v>45</v>
      </c>
      <c r="N1782" s="5" t="s">
        <v>80</v>
      </c>
      <c r="O1782" s="5" t="s">
        <v>46</v>
      </c>
      <c r="P1782" s="10" t="s">
        <v>60</v>
      </c>
      <c r="Q1782" s="10" t="s">
        <v>382</v>
      </c>
      <c r="R1782" s="10" t="s">
        <v>148</v>
      </c>
      <c r="S1782" s="5">
        <v>0</v>
      </c>
      <c r="T1782" s="37">
        <v>0</v>
      </c>
      <c r="U1782" s="5">
        <v>0</v>
      </c>
      <c r="V1782" s="37">
        <v>0</v>
      </c>
      <c r="W1782" s="5">
        <v>0</v>
      </c>
      <c r="X1782" s="5">
        <v>0</v>
      </c>
      <c r="Y1782" s="5">
        <v>0</v>
      </c>
      <c r="Z1782" s="37">
        <v>0</v>
      </c>
      <c r="AA1782" s="5">
        <v>0</v>
      </c>
      <c r="AB1782" s="5">
        <v>0</v>
      </c>
      <c r="AC1782" s="5">
        <v>0</v>
      </c>
      <c r="AD1782" s="5">
        <v>0</v>
      </c>
      <c r="AE1782" s="10" t="s">
        <v>73</v>
      </c>
      <c r="AF1782" s="10"/>
      <c r="AG1782" s="10" t="s">
        <v>114</v>
      </c>
      <c r="AH1782" s="10">
        <v>41809</v>
      </c>
      <c r="AI1782" s="5">
        <v>0</v>
      </c>
      <c r="AJ1782" s="10" t="s">
        <v>9933</v>
      </c>
      <c r="AK1782" s="10" t="s">
        <v>50</v>
      </c>
    </row>
    <row r="1783" spans="1:37" ht="36.75" customHeight="1" x14ac:dyDescent="0.35">
      <c r="A1783" s="5"/>
      <c r="B1783" s="5" t="s">
        <v>37</v>
      </c>
      <c r="C1783" s="73" t="str">
        <f t="shared" si="27"/>
        <v>Closed</v>
      </c>
      <c r="D1783" s="45" t="s">
        <v>9934</v>
      </c>
      <c r="E1783" s="54" t="s">
        <v>9935</v>
      </c>
      <c r="F1783" s="5" t="s">
        <v>9767</v>
      </c>
      <c r="G1783" s="10">
        <f>DATE(2014,6,2)</f>
        <v>41792</v>
      </c>
      <c r="H1783" s="35">
        <v>1.4555555555555555</v>
      </c>
      <c r="I1783" s="5" t="s">
        <v>137</v>
      </c>
      <c r="J1783" s="10" t="s">
        <v>9936</v>
      </c>
      <c r="K1783" s="5" t="s">
        <v>9769</v>
      </c>
      <c r="L1783" s="5" t="s">
        <v>9937</v>
      </c>
      <c r="M1783" s="5" t="s">
        <v>45</v>
      </c>
      <c r="N1783" s="5" t="s">
        <v>80</v>
      </c>
      <c r="O1783" s="5" t="s">
        <v>46</v>
      </c>
      <c r="P1783" s="10" t="s">
        <v>146</v>
      </c>
      <c r="Q1783" s="10" t="s">
        <v>9938</v>
      </c>
      <c r="R1783" s="10" t="s">
        <v>9772</v>
      </c>
      <c r="S1783" s="5">
        <v>0</v>
      </c>
      <c r="T1783" s="37">
        <v>0</v>
      </c>
      <c r="U1783" s="5">
        <v>0</v>
      </c>
      <c r="V1783" s="37">
        <v>0</v>
      </c>
      <c r="W1783" s="5">
        <v>0</v>
      </c>
      <c r="X1783" s="5">
        <v>0</v>
      </c>
      <c r="Y1783" s="5">
        <v>0</v>
      </c>
      <c r="Z1783" s="37">
        <v>1</v>
      </c>
      <c r="AA1783" s="5">
        <v>0</v>
      </c>
      <c r="AB1783" s="5">
        <v>0</v>
      </c>
      <c r="AC1783" s="5">
        <v>0</v>
      </c>
      <c r="AD1783" s="5">
        <v>1</v>
      </c>
      <c r="AE1783" s="10" t="s">
        <v>73</v>
      </c>
      <c r="AF1783" s="10"/>
      <c r="AG1783" s="10" t="s">
        <v>114</v>
      </c>
      <c r="AH1783" s="10">
        <v>41792</v>
      </c>
      <c r="AI1783" s="5">
        <v>0</v>
      </c>
      <c r="AJ1783" s="10" t="s">
        <v>9939</v>
      </c>
      <c r="AK1783" s="10" t="s">
        <v>9940</v>
      </c>
    </row>
    <row r="1784" spans="1:37" ht="36.75" customHeight="1" x14ac:dyDescent="0.35">
      <c r="A1784" s="5"/>
      <c r="B1784" s="5" t="s">
        <v>37</v>
      </c>
      <c r="C1784" s="73" t="str">
        <f t="shared" si="27"/>
        <v>Closed</v>
      </c>
      <c r="D1784" s="45" t="s">
        <v>9941</v>
      </c>
      <c r="E1784" s="54" t="s">
        <v>9942</v>
      </c>
      <c r="F1784" s="5" t="s">
        <v>9767</v>
      </c>
      <c r="G1784" s="10">
        <f>DATE(2014,6,4)</f>
        <v>41794</v>
      </c>
      <c r="H1784" s="35">
        <v>1.9652777777777777</v>
      </c>
      <c r="I1784" s="5" t="s">
        <v>106</v>
      </c>
      <c r="J1784" s="10" t="s">
        <v>9943</v>
      </c>
      <c r="K1784" s="5" t="s">
        <v>565</v>
      </c>
      <c r="L1784" s="5" t="s">
        <v>9944</v>
      </c>
      <c r="M1784" s="5" t="s">
        <v>45</v>
      </c>
      <c r="N1784" s="5" t="s">
        <v>123</v>
      </c>
      <c r="O1784" s="5" t="s">
        <v>59</v>
      </c>
      <c r="P1784" s="10" t="s">
        <v>146</v>
      </c>
      <c r="Q1784" s="10" t="s">
        <v>3883</v>
      </c>
      <c r="R1784" s="10" t="s">
        <v>568</v>
      </c>
      <c r="S1784" s="5">
        <v>0</v>
      </c>
      <c r="T1784" s="37">
        <v>0</v>
      </c>
      <c r="U1784" s="5">
        <v>0</v>
      </c>
      <c r="V1784" s="37">
        <v>0</v>
      </c>
      <c r="W1784" s="5">
        <v>0</v>
      </c>
      <c r="X1784" s="5">
        <v>0</v>
      </c>
      <c r="Y1784" s="5">
        <v>0</v>
      </c>
      <c r="Z1784" s="37">
        <v>0</v>
      </c>
      <c r="AA1784" s="5">
        <v>0</v>
      </c>
      <c r="AB1784" s="5">
        <v>0</v>
      </c>
      <c r="AC1784" s="5">
        <v>0</v>
      </c>
      <c r="AD1784" s="5">
        <v>0</v>
      </c>
      <c r="AE1784" s="10" t="s">
        <v>73</v>
      </c>
      <c r="AF1784" s="10"/>
      <c r="AG1784" s="10" t="s">
        <v>114</v>
      </c>
      <c r="AH1784" s="10">
        <v>41823</v>
      </c>
      <c r="AI1784" s="5">
        <v>0</v>
      </c>
      <c r="AJ1784" s="10" t="s">
        <v>9945</v>
      </c>
      <c r="AK1784" s="10" t="s">
        <v>1215</v>
      </c>
    </row>
    <row r="1785" spans="1:37" ht="36.75" customHeight="1" x14ac:dyDescent="0.35">
      <c r="A1785" s="5"/>
      <c r="B1785" s="5" t="s">
        <v>37</v>
      </c>
      <c r="C1785" s="73" t="str">
        <f t="shared" si="27"/>
        <v>Closed</v>
      </c>
      <c r="D1785" s="45" t="s">
        <v>9946</v>
      </c>
      <c r="E1785" s="54" t="s">
        <v>9947</v>
      </c>
      <c r="F1785" s="5" t="s">
        <v>6434</v>
      </c>
      <c r="G1785" s="10">
        <f>DATE(2014,6,5)</f>
        <v>41795</v>
      </c>
      <c r="H1785" s="35">
        <v>0.80555555555555547</v>
      </c>
      <c r="I1785" s="5" t="s">
        <v>55</v>
      </c>
      <c r="J1785" s="10" t="s">
        <v>9948</v>
      </c>
      <c r="K1785" s="5" t="s">
        <v>565</v>
      </c>
      <c r="L1785" s="5" t="s">
        <v>9949</v>
      </c>
      <c r="M1785" s="5" t="s">
        <v>45</v>
      </c>
      <c r="N1785" s="5" t="s">
        <v>123</v>
      </c>
      <c r="O1785" s="5" t="s">
        <v>59</v>
      </c>
      <c r="P1785" s="10" t="s">
        <v>146</v>
      </c>
      <c r="Q1785" s="10" t="s">
        <v>3883</v>
      </c>
      <c r="R1785" s="10" t="s">
        <v>568</v>
      </c>
      <c r="S1785" s="5">
        <v>0</v>
      </c>
      <c r="T1785" s="37">
        <v>0</v>
      </c>
      <c r="U1785" s="5">
        <v>0</v>
      </c>
      <c r="V1785" s="37">
        <v>0</v>
      </c>
      <c r="W1785" s="5">
        <v>0</v>
      </c>
      <c r="X1785" s="5">
        <v>0</v>
      </c>
      <c r="Y1785" s="5">
        <v>0</v>
      </c>
      <c r="Z1785" s="37">
        <v>0</v>
      </c>
      <c r="AA1785" s="5">
        <v>0</v>
      </c>
      <c r="AB1785" s="5">
        <v>0</v>
      </c>
      <c r="AC1785" s="5">
        <v>0</v>
      </c>
      <c r="AD1785" s="5">
        <v>0</v>
      </c>
      <c r="AE1785" s="10" t="s">
        <v>375</v>
      </c>
      <c r="AF1785" s="10" t="s">
        <v>9950</v>
      </c>
      <c r="AG1785" s="10" t="s">
        <v>8837</v>
      </c>
      <c r="AH1785" s="10">
        <v>41796</v>
      </c>
      <c r="AI1785" s="5">
        <v>0</v>
      </c>
      <c r="AJ1785" s="10" t="s">
        <v>9951</v>
      </c>
      <c r="AK1785" s="10"/>
    </row>
    <row r="1786" spans="1:37" ht="36.75" customHeight="1" x14ac:dyDescent="0.35">
      <c r="A1786" s="5"/>
      <c r="B1786" s="5" t="s">
        <v>37</v>
      </c>
      <c r="C1786" s="73" t="str">
        <f t="shared" si="27"/>
        <v>Closed</v>
      </c>
      <c r="D1786" s="45" t="s">
        <v>9952</v>
      </c>
      <c r="E1786" s="54" t="s">
        <v>9953</v>
      </c>
      <c r="F1786" s="5" t="s">
        <v>9767</v>
      </c>
      <c r="G1786" s="10">
        <f>DATE(2014,6,7)</f>
        <v>41797</v>
      </c>
      <c r="H1786" s="35">
        <v>1.3868055555555556</v>
      </c>
      <c r="I1786" s="5" t="s">
        <v>55</v>
      </c>
      <c r="J1786" s="10" t="s">
        <v>9954</v>
      </c>
      <c r="K1786" s="5" t="s">
        <v>818</v>
      </c>
      <c r="L1786" s="5" t="s">
        <v>9955</v>
      </c>
      <c r="M1786" s="5" t="s">
        <v>236</v>
      </c>
      <c r="N1786" s="5" t="s">
        <v>80</v>
      </c>
      <c r="O1786" s="5" t="s">
        <v>59</v>
      </c>
      <c r="P1786" s="10" t="s">
        <v>6531</v>
      </c>
      <c r="Q1786" s="10" t="s">
        <v>4190</v>
      </c>
      <c r="R1786" s="10" t="s">
        <v>4190</v>
      </c>
      <c r="S1786" s="5">
        <v>0</v>
      </c>
      <c r="T1786" s="37">
        <v>0</v>
      </c>
      <c r="U1786" s="5">
        <v>0</v>
      </c>
      <c r="V1786" s="37">
        <v>0</v>
      </c>
      <c r="W1786" s="5">
        <v>0</v>
      </c>
      <c r="X1786" s="5">
        <v>0</v>
      </c>
      <c r="Y1786" s="5">
        <v>0</v>
      </c>
      <c r="Z1786" s="37">
        <v>0</v>
      </c>
      <c r="AA1786" s="5">
        <v>0</v>
      </c>
      <c r="AB1786" s="5">
        <v>0</v>
      </c>
      <c r="AC1786" s="5">
        <v>0</v>
      </c>
      <c r="AD1786" s="5">
        <v>0</v>
      </c>
      <c r="AE1786" s="10" t="s">
        <v>73</v>
      </c>
      <c r="AF1786" s="10"/>
      <c r="AG1786" s="10" t="s">
        <v>570</v>
      </c>
      <c r="AH1786" s="10">
        <v>41797</v>
      </c>
      <c r="AI1786" s="5">
        <v>0</v>
      </c>
      <c r="AJ1786" s="10" t="s">
        <v>9956</v>
      </c>
      <c r="AK1786" s="10" t="s">
        <v>50</v>
      </c>
    </row>
    <row r="1787" spans="1:37" ht="36.75" customHeight="1" x14ac:dyDescent="0.35">
      <c r="A1787" s="5"/>
      <c r="B1787" s="5" t="s">
        <v>37</v>
      </c>
      <c r="C1787" s="73" t="str">
        <f t="shared" si="27"/>
        <v>Closed</v>
      </c>
      <c r="D1787" s="45" t="s">
        <v>9957</v>
      </c>
      <c r="E1787" s="54" t="s">
        <v>9958</v>
      </c>
      <c r="F1787" s="5" t="s">
        <v>9767</v>
      </c>
      <c r="G1787" s="10">
        <f>DATE(2014,6,8)</f>
        <v>41798</v>
      </c>
      <c r="H1787" s="35">
        <v>0</v>
      </c>
      <c r="I1787" s="5" t="s">
        <v>97</v>
      </c>
      <c r="J1787" s="10" t="s">
        <v>9959</v>
      </c>
      <c r="K1787" s="5" t="s">
        <v>1921</v>
      </c>
      <c r="L1787" s="5" t="s">
        <v>9960</v>
      </c>
      <c r="M1787" s="5" t="s">
        <v>45</v>
      </c>
      <c r="N1787" s="5" t="s">
        <v>80</v>
      </c>
      <c r="O1787" s="5" t="s">
        <v>46</v>
      </c>
      <c r="P1787" s="10" t="s">
        <v>146</v>
      </c>
      <c r="Q1787" s="10" t="s">
        <v>1923</v>
      </c>
      <c r="R1787" s="10" t="s">
        <v>1921</v>
      </c>
      <c r="S1787" s="5">
        <v>0</v>
      </c>
      <c r="T1787" s="37">
        <v>0</v>
      </c>
      <c r="U1787" s="5">
        <v>0</v>
      </c>
      <c r="V1787" s="37">
        <v>0</v>
      </c>
      <c r="W1787" s="5">
        <v>0</v>
      </c>
      <c r="X1787" s="5">
        <v>0</v>
      </c>
      <c r="Y1787" s="5">
        <v>0</v>
      </c>
      <c r="Z1787" s="37">
        <v>0</v>
      </c>
      <c r="AA1787" s="5">
        <v>0</v>
      </c>
      <c r="AB1787" s="5">
        <v>0</v>
      </c>
      <c r="AC1787" s="5">
        <v>0</v>
      </c>
      <c r="AD1787" s="5">
        <v>0</v>
      </c>
      <c r="AE1787" s="10" t="s">
        <v>73</v>
      </c>
      <c r="AF1787" s="10"/>
      <c r="AG1787" s="10" t="s">
        <v>333</v>
      </c>
      <c r="AH1787" s="10">
        <v>41801</v>
      </c>
      <c r="AI1787" s="5">
        <v>4</v>
      </c>
      <c r="AJ1787" s="10" t="s">
        <v>9961</v>
      </c>
      <c r="AK1787" s="10" t="s">
        <v>9962</v>
      </c>
    </row>
    <row r="1788" spans="1:37" ht="36.75" customHeight="1" x14ac:dyDescent="0.35">
      <c r="A1788" s="5"/>
      <c r="B1788" s="5" t="s">
        <v>37</v>
      </c>
      <c r="C1788" s="73" t="str">
        <f t="shared" si="27"/>
        <v>Closed</v>
      </c>
      <c r="D1788" s="45" t="s">
        <v>9963</v>
      </c>
      <c r="E1788" s="54" t="s">
        <v>9964</v>
      </c>
      <c r="F1788" s="5" t="s">
        <v>9767</v>
      </c>
      <c r="G1788" s="10">
        <f>DATE(2014,6,10)</f>
        <v>41800</v>
      </c>
      <c r="H1788" s="35">
        <v>1.5520833333333335</v>
      </c>
      <c r="I1788" s="5" t="s">
        <v>55</v>
      </c>
      <c r="J1788" s="10" t="s">
        <v>9965</v>
      </c>
      <c r="K1788" s="5" t="s">
        <v>818</v>
      </c>
      <c r="L1788" s="5" t="s">
        <v>9966</v>
      </c>
      <c r="M1788" s="5" t="s">
        <v>45</v>
      </c>
      <c r="N1788" s="5" t="s">
        <v>123</v>
      </c>
      <c r="O1788" s="5" t="s">
        <v>46</v>
      </c>
      <c r="P1788" s="10" t="s">
        <v>60</v>
      </c>
      <c r="Q1788" s="10" t="s">
        <v>4688</v>
      </c>
      <c r="R1788" s="10" t="s">
        <v>821</v>
      </c>
      <c r="S1788" s="5">
        <v>0</v>
      </c>
      <c r="T1788" s="37">
        <v>0</v>
      </c>
      <c r="U1788" s="5">
        <v>0</v>
      </c>
      <c r="V1788" s="37">
        <v>0</v>
      </c>
      <c r="W1788" s="5">
        <v>0</v>
      </c>
      <c r="X1788" s="5">
        <v>0</v>
      </c>
      <c r="Y1788" s="5">
        <v>0</v>
      </c>
      <c r="Z1788" s="37">
        <v>0</v>
      </c>
      <c r="AA1788" s="5">
        <v>0</v>
      </c>
      <c r="AB1788" s="5">
        <v>0</v>
      </c>
      <c r="AC1788" s="5">
        <v>0</v>
      </c>
      <c r="AD1788" s="5">
        <v>0</v>
      </c>
      <c r="AE1788" s="10" t="s">
        <v>73</v>
      </c>
      <c r="AF1788" s="10"/>
      <c r="AG1788" s="10" t="s">
        <v>114</v>
      </c>
      <c r="AH1788" s="10">
        <v>41800</v>
      </c>
      <c r="AI1788" s="5">
        <v>0</v>
      </c>
      <c r="AJ1788" s="10" t="s">
        <v>9967</v>
      </c>
      <c r="AK1788" s="10" t="s">
        <v>9968</v>
      </c>
    </row>
    <row r="1789" spans="1:37" ht="36.75" customHeight="1" x14ac:dyDescent="0.35">
      <c r="A1789" s="5"/>
      <c r="B1789" s="5" t="s">
        <v>37</v>
      </c>
      <c r="C1789" s="73" t="str">
        <f t="shared" si="27"/>
        <v>Closed</v>
      </c>
      <c r="D1789" s="45" t="s">
        <v>9969</v>
      </c>
      <c r="E1789" s="54" t="s">
        <v>9970</v>
      </c>
      <c r="F1789" s="5" t="s">
        <v>9767</v>
      </c>
      <c r="G1789" s="10">
        <f>DATE(2014,6,18)</f>
        <v>41808</v>
      </c>
      <c r="H1789" s="35">
        <v>1.3854166666666667</v>
      </c>
      <c r="I1789" s="5" t="s">
        <v>55</v>
      </c>
      <c r="J1789" s="10" t="s">
        <v>9971</v>
      </c>
      <c r="K1789" s="5" t="s">
        <v>818</v>
      </c>
      <c r="L1789" s="5" t="s">
        <v>9972</v>
      </c>
      <c r="M1789" s="5" t="s">
        <v>9897</v>
      </c>
      <c r="N1789" s="5" t="s">
        <v>80</v>
      </c>
      <c r="O1789" s="5" t="s">
        <v>46</v>
      </c>
      <c r="P1789" s="10" t="s">
        <v>146</v>
      </c>
      <c r="Q1789" s="10">
        <v>0</v>
      </c>
      <c r="R1789" s="10">
        <v>0</v>
      </c>
      <c r="S1789" s="5">
        <v>0</v>
      </c>
      <c r="T1789" s="37">
        <v>0</v>
      </c>
      <c r="U1789" s="5">
        <v>0</v>
      </c>
      <c r="V1789" s="37">
        <v>0</v>
      </c>
      <c r="W1789" s="5">
        <v>0</v>
      </c>
      <c r="X1789" s="5">
        <v>0</v>
      </c>
      <c r="Y1789" s="5">
        <v>0</v>
      </c>
      <c r="Z1789" s="37">
        <v>0</v>
      </c>
      <c r="AA1789" s="5">
        <v>0</v>
      </c>
      <c r="AB1789" s="5">
        <v>0</v>
      </c>
      <c r="AC1789" s="5">
        <v>0</v>
      </c>
      <c r="AD1789" s="5">
        <v>0</v>
      </c>
      <c r="AE1789" s="10" t="s">
        <v>73</v>
      </c>
      <c r="AF1789" s="10"/>
      <c r="AG1789" s="10" t="s">
        <v>570</v>
      </c>
      <c r="AH1789" s="10">
        <v>41808</v>
      </c>
      <c r="AI1789" s="5">
        <v>0</v>
      </c>
      <c r="AJ1789" s="10" t="s">
        <v>9973</v>
      </c>
      <c r="AK1789" s="10" t="s">
        <v>50</v>
      </c>
    </row>
    <row r="1790" spans="1:37" ht="36.75" customHeight="1" x14ac:dyDescent="0.35">
      <c r="A1790" s="5"/>
      <c r="B1790" s="5" t="s">
        <v>37</v>
      </c>
      <c r="C1790" s="73" t="str">
        <f t="shared" si="27"/>
        <v>Closed</v>
      </c>
      <c r="D1790" s="45" t="s">
        <v>9974</v>
      </c>
      <c r="E1790" s="54" t="s">
        <v>9975</v>
      </c>
      <c r="F1790" s="5" t="s">
        <v>9767</v>
      </c>
      <c r="G1790" s="10">
        <f>DATE(2014,6,19)</f>
        <v>41809</v>
      </c>
      <c r="H1790" s="35">
        <v>1.3284722222222223</v>
      </c>
      <c r="I1790" s="5" t="s">
        <v>2059</v>
      </c>
      <c r="J1790" s="10" t="s">
        <v>9976</v>
      </c>
      <c r="K1790" s="5" t="s">
        <v>406</v>
      </c>
      <c r="L1790" s="5" t="s">
        <v>9977</v>
      </c>
      <c r="M1790" s="5" t="s">
        <v>45</v>
      </c>
      <c r="N1790" s="5" t="s">
        <v>70</v>
      </c>
      <c r="O1790" s="5" t="s">
        <v>59</v>
      </c>
      <c r="P1790" s="10" t="s">
        <v>534</v>
      </c>
      <c r="Q1790" s="10" t="s">
        <v>2463</v>
      </c>
      <c r="R1790" s="10" t="s">
        <v>3083</v>
      </c>
      <c r="S1790" s="5">
        <v>0</v>
      </c>
      <c r="T1790" s="37">
        <v>0</v>
      </c>
      <c r="U1790" s="5">
        <v>0</v>
      </c>
      <c r="V1790" s="37">
        <v>0</v>
      </c>
      <c r="W1790" s="5">
        <v>0</v>
      </c>
      <c r="X1790" s="5">
        <v>0</v>
      </c>
      <c r="Y1790" s="5">
        <v>0</v>
      </c>
      <c r="Z1790" s="37">
        <v>0</v>
      </c>
      <c r="AA1790" s="5">
        <v>0</v>
      </c>
      <c r="AB1790" s="5">
        <v>0</v>
      </c>
      <c r="AC1790" s="5">
        <v>0</v>
      </c>
      <c r="AD1790" s="5">
        <v>0</v>
      </c>
      <c r="AE1790" s="10" t="s">
        <v>73</v>
      </c>
      <c r="AF1790" s="10"/>
      <c r="AG1790" s="10" t="s">
        <v>114</v>
      </c>
      <c r="AH1790" s="10">
        <v>41677</v>
      </c>
      <c r="AI1790" s="5">
        <v>2</v>
      </c>
      <c r="AJ1790" s="10" t="s">
        <v>9978</v>
      </c>
      <c r="AK1790" s="10" t="s">
        <v>9979</v>
      </c>
    </row>
    <row r="1791" spans="1:37" ht="36.75" customHeight="1" x14ac:dyDescent="0.35">
      <c r="A1791" s="5"/>
      <c r="B1791" s="5" t="s">
        <v>37</v>
      </c>
      <c r="C1791" s="73" t="str">
        <f t="shared" si="27"/>
        <v>Closed</v>
      </c>
      <c r="D1791" s="45" t="s">
        <v>9980</v>
      </c>
      <c r="E1791" s="54" t="s">
        <v>9981</v>
      </c>
      <c r="F1791" s="5" t="s">
        <v>9767</v>
      </c>
      <c r="G1791" s="10">
        <f>DATE(2014,6,20)</f>
        <v>41810</v>
      </c>
      <c r="H1791" s="35">
        <v>1.9409722222222223</v>
      </c>
      <c r="I1791" s="5" t="s">
        <v>55</v>
      </c>
      <c r="J1791" s="10" t="s">
        <v>9982</v>
      </c>
      <c r="K1791" s="5" t="s">
        <v>2529</v>
      </c>
      <c r="L1791" s="5" t="s">
        <v>9983</v>
      </c>
      <c r="M1791" s="5" t="s">
        <v>45</v>
      </c>
      <c r="N1791" s="5" t="s">
        <v>80</v>
      </c>
      <c r="O1791" s="5" t="s">
        <v>59</v>
      </c>
      <c r="P1791" s="10" t="s">
        <v>60</v>
      </c>
      <c r="Q1791" s="10" t="s">
        <v>3484</v>
      </c>
      <c r="R1791" s="10">
        <v>0</v>
      </c>
      <c r="S1791" s="5">
        <v>0</v>
      </c>
      <c r="T1791" s="37">
        <v>0</v>
      </c>
      <c r="U1791" s="5">
        <v>0</v>
      </c>
      <c r="V1791" s="37">
        <v>0</v>
      </c>
      <c r="W1791" s="5">
        <v>0</v>
      </c>
      <c r="X1791" s="5">
        <v>0</v>
      </c>
      <c r="Y1791" s="5">
        <v>0</v>
      </c>
      <c r="Z1791" s="37">
        <v>0</v>
      </c>
      <c r="AA1791" s="5">
        <v>0</v>
      </c>
      <c r="AB1791" s="5">
        <v>0</v>
      </c>
      <c r="AC1791" s="5">
        <v>0</v>
      </c>
      <c r="AD1791" s="5">
        <v>0</v>
      </c>
      <c r="AE1791" s="10" t="s">
        <v>375</v>
      </c>
      <c r="AF1791" s="10"/>
      <c r="AG1791" s="10" t="s">
        <v>114</v>
      </c>
      <c r="AH1791" s="10">
        <v>41817</v>
      </c>
      <c r="AI1791" s="5">
        <v>2</v>
      </c>
      <c r="AJ1791" s="10" t="s">
        <v>9984</v>
      </c>
      <c r="AK1791" s="10" t="s">
        <v>9985</v>
      </c>
    </row>
    <row r="1792" spans="1:37" ht="36.75" customHeight="1" x14ac:dyDescent="0.35">
      <c r="A1792" s="5"/>
      <c r="B1792" s="5" t="s">
        <v>37</v>
      </c>
      <c r="C1792" s="73" t="str">
        <f t="shared" si="27"/>
        <v>Closed</v>
      </c>
      <c r="D1792" s="45" t="s">
        <v>9986</v>
      </c>
      <c r="E1792" s="54" t="s">
        <v>9987</v>
      </c>
      <c r="F1792" s="5" t="s">
        <v>9767</v>
      </c>
      <c r="G1792" s="10">
        <f>DATE(2014,6,21)</f>
        <v>41811</v>
      </c>
      <c r="H1792" s="35">
        <v>1.3368055555555556</v>
      </c>
      <c r="I1792" s="5" t="s">
        <v>97</v>
      </c>
      <c r="J1792" s="10" t="s">
        <v>9988</v>
      </c>
      <c r="K1792" s="5" t="s">
        <v>818</v>
      </c>
      <c r="L1792" s="5" t="s">
        <v>9989</v>
      </c>
      <c r="M1792" s="5" t="s">
        <v>45</v>
      </c>
      <c r="N1792" s="5" t="s">
        <v>80</v>
      </c>
      <c r="O1792" s="5" t="s">
        <v>46</v>
      </c>
      <c r="P1792" s="10" t="s">
        <v>146</v>
      </c>
      <c r="Q1792" s="10" t="s">
        <v>2142</v>
      </c>
      <c r="R1792" s="10" t="s">
        <v>821</v>
      </c>
      <c r="S1792" s="5">
        <v>0</v>
      </c>
      <c r="T1792" s="37">
        <v>0</v>
      </c>
      <c r="U1792" s="5">
        <v>0</v>
      </c>
      <c r="V1792" s="37">
        <v>0</v>
      </c>
      <c r="W1792" s="5">
        <v>0</v>
      </c>
      <c r="X1792" s="5">
        <v>0</v>
      </c>
      <c r="Y1792" s="5">
        <v>0</v>
      </c>
      <c r="Z1792" s="37">
        <v>0</v>
      </c>
      <c r="AA1792" s="5">
        <v>0</v>
      </c>
      <c r="AB1792" s="5">
        <v>0</v>
      </c>
      <c r="AC1792" s="5">
        <v>0</v>
      </c>
      <c r="AD1792" s="5">
        <v>0</v>
      </c>
      <c r="AE1792" s="10" t="s">
        <v>73</v>
      </c>
      <c r="AF1792" s="10"/>
      <c r="AG1792" s="10" t="s">
        <v>333</v>
      </c>
      <c r="AH1792" s="10">
        <v>41811</v>
      </c>
      <c r="AI1792" s="5">
        <v>1</v>
      </c>
      <c r="AJ1792" s="10" t="s">
        <v>9990</v>
      </c>
      <c r="AK1792" s="10" t="s">
        <v>1215</v>
      </c>
    </row>
    <row r="1793" spans="1:37" ht="36.75" customHeight="1" x14ac:dyDescent="0.35">
      <c r="A1793" s="5"/>
      <c r="B1793" s="5" t="s">
        <v>37</v>
      </c>
      <c r="C1793" s="73" t="str">
        <f t="shared" si="27"/>
        <v>Closed</v>
      </c>
      <c r="D1793" s="45" t="s">
        <v>9991</v>
      </c>
      <c r="E1793" s="54" t="s">
        <v>9992</v>
      </c>
      <c r="F1793" s="5" t="s">
        <v>9767</v>
      </c>
      <c r="G1793" s="10">
        <f>DATE(2014,6,22)</f>
        <v>41812</v>
      </c>
      <c r="H1793" s="35">
        <v>1.8847222222222224</v>
      </c>
      <c r="I1793" s="5" t="s">
        <v>2244</v>
      </c>
      <c r="J1793" s="10" t="s">
        <v>9993</v>
      </c>
      <c r="K1793" s="5" t="s">
        <v>9769</v>
      </c>
      <c r="L1793" s="5" t="s">
        <v>9994</v>
      </c>
      <c r="M1793" s="5" t="s">
        <v>45</v>
      </c>
      <c r="N1793" s="5" t="s">
        <v>123</v>
      </c>
      <c r="O1793" s="5" t="s">
        <v>46</v>
      </c>
      <c r="P1793" s="10" t="s">
        <v>5303</v>
      </c>
      <c r="Q1793" s="10" t="s">
        <v>9995</v>
      </c>
      <c r="R1793" s="10" t="s">
        <v>9772</v>
      </c>
      <c r="S1793" s="5">
        <v>0</v>
      </c>
      <c r="T1793" s="37">
        <v>0</v>
      </c>
      <c r="U1793" s="5">
        <v>0</v>
      </c>
      <c r="V1793" s="37">
        <v>0</v>
      </c>
      <c r="W1793" s="5">
        <v>0</v>
      </c>
      <c r="X1793" s="5">
        <v>0</v>
      </c>
      <c r="Y1793" s="5">
        <v>0</v>
      </c>
      <c r="Z1793" s="37">
        <v>0</v>
      </c>
      <c r="AA1793" s="5">
        <v>0</v>
      </c>
      <c r="AB1793" s="5">
        <v>0</v>
      </c>
      <c r="AC1793" s="5">
        <v>0</v>
      </c>
      <c r="AD1793" s="5">
        <v>0</v>
      </c>
      <c r="AE1793" s="10" t="s">
        <v>73</v>
      </c>
      <c r="AF1793" s="10"/>
      <c r="AG1793" s="10" t="s">
        <v>114</v>
      </c>
      <c r="AH1793" s="10">
        <v>41813</v>
      </c>
      <c r="AI1793" s="5">
        <v>1</v>
      </c>
      <c r="AJ1793" s="10" t="s">
        <v>9996</v>
      </c>
      <c r="AK1793" s="10" t="s">
        <v>9997</v>
      </c>
    </row>
    <row r="1794" spans="1:37" ht="36.75" customHeight="1" x14ac:dyDescent="0.35">
      <c r="A1794" s="5"/>
      <c r="B1794" s="5" t="s">
        <v>37</v>
      </c>
      <c r="C1794" s="73" t="str">
        <f t="shared" ref="C1794:C1857" si="28">IF(B1794="Notification","Open",IF(B1794="Interim Statement","In progress","Closed"))</f>
        <v>Closed</v>
      </c>
      <c r="D1794" s="45" t="s">
        <v>9998</v>
      </c>
      <c r="E1794" s="54" t="s">
        <v>9999</v>
      </c>
      <c r="F1794" s="5" t="s">
        <v>9767</v>
      </c>
      <c r="G1794" s="10">
        <f>DATE(2014,6,24)</f>
        <v>41814</v>
      </c>
      <c r="H1794" s="35">
        <v>1.8402777777777777</v>
      </c>
      <c r="I1794" s="5" t="s">
        <v>259</v>
      </c>
      <c r="J1794" s="10" t="s">
        <v>10000</v>
      </c>
      <c r="K1794" s="5" t="s">
        <v>360</v>
      </c>
      <c r="L1794" s="5" t="s">
        <v>10001</v>
      </c>
      <c r="M1794" s="5" t="s">
        <v>45</v>
      </c>
      <c r="N1794" s="5" t="s">
        <v>123</v>
      </c>
      <c r="O1794" s="5" t="s">
        <v>59</v>
      </c>
      <c r="P1794" s="10" t="s">
        <v>146</v>
      </c>
      <c r="Q1794" s="10" t="s">
        <v>2886</v>
      </c>
      <c r="R1794" s="10" t="s">
        <v>363</v>
      </c>
      <c r="S1794" s="5">
        <v>0</v>
      </c>
      <c r="T1794" s="37">
        <v>0</v>
      </c>
      <c r="U1794" s="5">
        <v>0</v>
      </c>
      <c r="V1794" s="37">
        <v>0</v>
      </c>
      <c r="W1794" s="5">
        <v>0</v>
      </c>
      <c r="X1794" s="5">
        <v>0</v>
      </c>
      <c r="Y1794" s="5">
        <v>1</v>
      </c>
      <c r="Z1794" s="37">
        <v>0</v>
      </c>
      <c r="AA1794" s="5">
        <v>0</v>
      </c>
      <c r="AB1794" s="5">
        <v>0</v>
      </c>
      <c r="AC1794" s="5">
        <v>0</v>
      </c>
      <c r="AD1794" s="5">
        <v>1</v>
      </c>
      <c r="AE1794" s="10" t="s">
        <v>73</v>
      </c>
      <c r="AF1794" s="10"/>
      <c r="AG1794" s="10" t="s">
        <v>114</v>
      </c>
      <c r="AH1794" s="10">
        <v>41815</v>
      </c>
      <c r="AI1794" s="5">
        <v>0</v>
      </c>
      <c r="AJ1794" s="10" t="s">
        <v>10002</v>
      </c>
      <c r="AK1794" s="10" t="s">
        <v>50</v>
      </c>
    </row>
    <row r="1795" spans="1:37" ht="36.75" customHeight="1" x14ac:dyDescent="0.35">
      <c r="A1795" s="5"/>
      <c r="B1795" s="5" t="s">
        <v>37</v>
      </c>
      <c r="C1795" s="73" t="str">
        <f t="shared" si="28"/>
        <v>Closed</v>
      </c>
      <c r="D1795" s="45" t="s">
        <v>10003</v>
      </c>
      <c r="E1795" s="54" t="s">
        <v>10004</v>
      </c>
      <c r="F1795" s="5" t="s">
        <v>9767</v>
      </c>
      <c r="G1795" s="10">
        <f>DATE(2014,6,24)</f>
        <v>41814</v>
      </c>
      <c r="H1795" s="35">
        <v>1.4479166666666667</v>
      </c>
      <c r="I1795" s="5" t="s">
        <v>259</v>
      </c>
      <c r="J1795" s="10" t="s">
        <v>10005</v>
      </c>
      <c r="K1795" s="5" t="s">
        <v>216</v>
      </c>
      <c r="L1795" s="5" t="s">
        <v>10006</v>
      </c>
      <c r="M1795" s="5" t="s">
        <v>45</v>
      </c>
      <c r="N1795" s="5" t="s">
        <v>123</v>
      </c>
      <c r="O1795" s="5" t="s">
        <v>46</v>
      </c>
      <c r="P1795" s="10" t="s">
        <v>146</v>
      </c>
      <c r="Q1795" s="10" t="s">
        <v>1645</v>
      </c>
      <c r="R1795" s="10" t="s">
        <v>219</v>
      </c>
      <c r="S1795" s="5">
        <v>0</v>
      </c>
      <c r="T1795" s="37">
        <v>0</v>
      </c>
      <c r="U1795" s="5">
        <v>0</v>
      </c>
      <c r="V1795" s="37">
        <v>0</v>
      </c>
      <c r="W1795" s="5">
        <v>0</v>
      </c>
      <c r="X1795" s="5">
        <v>0</v>
      </c>
      <c r="Y1795" s="5">
        <v>0</v>
      </c>
      <c r="Z1795" s="37">
        <v>1</v>
      </c>
      <c r="AA1795" s="5">
        <v>0</v>
      </c>
      <c r="AB1795" s="5">
        <v>0</v>
      </c>
      <c r="AC1795" s="5">
        <v>0</v>
      </c>
      <c r="AD1795" s="5">
        <v>1</v>
      </c>
      <c r="AE1795" s="10" t="s">
        <v>73</v>
      </c>
      <c r="AF1795" s="10"/>
      <c r="AG1795" s="10" t="s">
        <v>114</v>
      </c>
      <c r="AH1795" s="10">
        <v>41820</v>
      </c>
      <c r="AI1795" s="5">
        <v>3</v>
      </c>
      <c r="AJ1795" s="10" t="s">
        <v>10007</v>
      </c>
      <c r="AK1795" s="10" t="s">
        <v>10008</v>
      </c>
    </row>
    <row r="1796" spans="1:37" ht="36.75" customHeight="1" x14ac:dyDescent="0.35">
      <c r="A1796" s="5"/>
      <c r="B1796" s="5" t="s">
        <v>37</v>
      </c>
      <c r="C1796" s="73" t="str">
        <f t="shared" si="28"/>
        <v>Closed</v>
      </c>
      <c r="D1796" s="45" t="s">
        <v>10009</v>
      </c>
      <c r="E1796" s="54" t="s">
        <v>10010</v>
      </c>
      <c r="F1796" s="5" t="s">
        <v>9767</v>
      </c>
      <c r="G1796" s="10">
        <f>DATE(2014,6,28)</f>
        <v>41818</v>
      </c>
      <c r="H1796" s="35">
        <v>1</v>
      </c>
      <c r="I1796" s="5" t="s">
        <v>179</v>
      </c>
      <c r="J1796" s="10" t="s">
        <v>10011</v>
      </c>
      <c r="K1796" s="5" t="s">
        <v>565</v>
      </c>
      <c r="L1796" s="5" t="s">
        <v>10012</v>
      </c>
      <c r="M1796" s="5" t="s">
        <v>45</v>
      </c>
      <c r="N1796" s="5" t="s">
        <v>123</v>
      </c>
      <c r="O1796" s="5" t="s">
        <v>59</v>
      </c>
      <c r="P1796" s="10" t="s">
        <v>60</v>
      </c>
      <c r="Q1796" s="10" t="s">
        <v>8264</v>
      </c>
      <c r="R1796" s="10" t="s">
        <v>568</v>
      </c>
      <c r="S1796" s="5">
        <v>0</v>
      </c>
      <c r="T1796" s="37">
        <v>0</v>
      </c>
      <c r="U1796" s="5">
        <v>0</v>
      </c>
      <c r="V1796" s="37">
        <v>0</v>
      </c>
      <c r="W1796" s="5">
        <v>0</v>
      </c>
      <c r="X1796" s="5">
        <v>0</v>
      </c>
      <c r="Y1796" s="5">
        <v>0</v>
      </c>
      <c r="Z1796" s="37">
        <v>0</v>
      </c>
      <c r="AA1796" s="5">
        <v>0</v>
      </c>
      <c r="AB1796" s="5">
        <v>0</v>
      </c>
      <c r="AC1796" s="5">
        <v>0</v>
      </c>
      <c r="AD1796" s="5">
        <v>0</v>
      </c>
      <c r="AE1796" s="10" t="s">
        <v>126</v>
      </c>
      <c r="AF1796" s="10"/>
      <c r="AG1796" s="10" t="s">
        <v>114</v>
      </c>
      <c r="AH1796" s="10">
        <v>41823</v>
      </c>
      <c r="AI1796" s="5">
        <v>0</v>
      </c>
      <c r="AJ1796" s="10" t="s">
        <v>10013</v>
      </c>
      <c r="AK1796" s="10" t="s">
        <v>1215</v>
      </c>
    </row>
    <row r="1797" spans="1:37" ht="36.75" customHeight="1" x14ac:dyDescent="0.35">
      <c r="A1797" s="5"/>
      <c r="B1797" s="5" t="s">
        <v>37</v>
      </c>
      <c r="C1797" s="73" t="str">
        <f t="shared" si="28"/>
        <v>Closed</v>
      </c>
      <c r="D1797" s="45" t="s">
        <v>10014</v>
      </c>
      <c r="E1797" s="54" t="s">
        <v>10015</v>
      </c>
      <c r="F1797" s="5" t="s">
        <v>9767</v>
      </c>
      <c r="G1797" s="10">
        <f>DATE(2014,7,1)</f>
        <v>41821</v>
      </c>
      <c r="H1797" s="35">
        <v>0</v>
      </c>
      <c r="I1797" s="5" t="s">
        <v>259</v>
      </c>
      <c r="J1797" s="10" t="s">
        <v>10016</v>
      </c>
      <c r="K1797" s="5" t="s">
        <v>360</v>
      </c>
      <c r="L1797" s="5" t="s">
        <v>10017</v>
      </c>
      <c r="M1797" s="5" t="s">
        <v>45</v>
      </c>
      <c r="N1797" s="5" t="s">
        <v>123</v>
      </c>
      <c r="O1797" s="5" t="s">
        <v>59</v>
      </c>
      <c r="P1797" s="10" t="s">
        <v>6920</v>
      </c>
      <c r="Q1797" s="10" t="s">
        <v>10018</v>
      </c>
      <c r="R1797" s="10" t="s">
        <v>363</v>
      </c>
      <c r="S1797" s="5">
        <v>0</v>
      </c>
      <c r="T1797" s="37">
        <v>0</v>
      </c>
      <c r="U1797" s="5">
        <v>0</v>
      </c>
      <c r="V1797" s="37">
        <v>0</v>
      </c>
      <c r="W1797" s="5">
        <v>0</v>
      </c>
      <c r="X1797" s="5">
        <v>0</v>
      </c>
      <c r="Y1797" s="5">
        <v>0</v>
      </c>
      <c r="Z1797" s="37">
        <v>0</v>
      </c>
      <c r="AA1797" s="5">
        <v>0</v>
      </c>
      <c r="AB1797" s="5">
        <v>0</v>
      </c>
      <c r="AC1797" s="5">
        <v>0</v>
      </c>
      <c r="AD1797" s="5">
        <v>0</v>
      </c>
      <c r="AE1797" s="10" t="s">
        <v>73</v>
      </c>
      <c r="AF1797" s="10"/>
      <c r="AG1797" s="10" t="s">
        <v>333</v>
      </c>
      <c r="AH1797" s="10">
        <v>41992</v>
      </c>
      <c r="AI1797" s="5">
        <v>12</v>
      </c>
      <c r="AJ1797" s="10" t="s">
        <v>10019</v>
      </c>
      <c r="AK1797" s="10" t="s">
        <v>50</v>
      </c>
    </row>
    <row r="1798" spans="1:37" ht="36.75" customHeight="1" x14ac:dyDescent="0.35">
      <c r="A1798" s="5"/>
      <c r="B1798" s="5" t="s">
        <v>37</v>
      </c>
      <c r="C1798" s="73" t="str">
        <f t="shared" si="28"/>
        <v>Closed</v>
      </c>
      <c r="D1798" s="45" t="s">
        <v>10020</v>
      </c>
      <c r="E1798" s="54" t="s">
        <v>10021</v>
      </c>
      <c r="F1798" s="5" t="s">
        <v>9767</v>
      </c>
      <c r="G1798" s="10">
        <f>DATE(2014,7,2)</f>
        <v>41822</v>
      </c>
      <c r="H1798" s="35">
        <v>1.9270833333333335</v>
      </c>
      <c r="I1798" s="5" t="s">
        <v>55</v>
      </c>
      <c r="J1798" s="10" t="s">
        <v>10022</v>
      </c>
      <c r="K1798" s="5" t="s">
        <v>565</v>
      </c>
      <c r="L1798" s="5" t="s">
        <v>10023</v>
      </c>
      <c r="M1798" s="5" t="s">
        <v>45</v>
      </c>
      <c r="N1798" s="5" t="s">
        <v>123</v>
      </c>
      <c r="O1798" s="5" t="s">
        <v>59</v>
      </c>
      <c r="P1798" s="10" t="s">
        <v>60</v>
      </c>
      <c r="Q1798" s="10" t="s">
        <v>567</v>
      </c>
      <c r="R1798" s="10" t="s">
        <v>568</v>
      </c>
      <c r="S1798" s="5">
        <v>0</v>
      </c>
      <c r="T1798" s="37">
        <v>0</v>
      </c>
      <c r="U1798" s="5">
        <v>0</v>
      </c>
      <c r="V1798" s="37">
        <v>0</v>
      </c>
      <c r="W1798" s="5">
        <v>0</v>
      </c>
      <c r="X1798" s="5">
        <v>0</v>
      </c>
      <c r="Y1798" s="5">
        <v>0</v>
      </c>
      <c r="Z1798" s="37">
        <v>0</v>
      </c>
      <c r="AA1798" s="5">
        <v>0</v>
      </c>
      <c r="AB1798" s="5">
        <v>0</v>
      </c>
      <c r="AC1798" s="5">
        <v>0</v>
      </c>
      <c r="AD1798" s="5">
        <v>0</v>
      </c>
      <c r="AE1798" s="10" t="s">
        <v>375</v>
      </c>
      <c r="AF1798" s="10"/>
      <c r="AG1798" s="10" t="s">
        <v>114</v>
      </c>
      <c r="AH1798" s="10">
        <v>41828</v>
      </c>
      <c r="AI1798" s="5">
        <v>0</v>
      </c>
      <c r="AJ1798" s="10" t="s">
        <v>10024</v>
      </c>
      <c r="AK1798" s="10" t="s">
        <v>1215</v>
      </c>
    </row>
    <row r="1799" spans="1:37" ht="36.75" customHeight="1" x14ac:dyDescent="0.35">
      <c r="A1799" s="5"/>
      <c r="B1799" s="5" t="s">
        <v>37</v>
      </c>
      <c r="C1799" s="73" t="str">
        <f t="shared" si="28"/>
        <v>Closed</v>
      </c>
      <c r="D1799" s="45" t="s">
        <v>10025</v>
      </c>
      <c r="E1799" s="54" t="s">
        <v>10026</v>
      </c>
      <c r="F1799" s="5" t="s">
        <v>9767</v>
      </c>
      <c r="G1799" s="10">
        <f>DATE(2014,7,2)</f>
        <v>41822</v>
      </c>
      <c r="H1799" s="35">
        <v>1.8194444444444446</v>
      </c>
      <c r="I1799" s="5" t="s">
        <v>9397</v>
      </c>
      <c r="J1799" s="10" t="s">
        <v>10027</v>
      </c>
      <c r="K1799" s="5" t="s">
        <v>621</v>
      </c>
      <c r="L1799" s="5" t="s">
        <v>10028</v>
      </c>
      <c r="M1799" s="5" t="s">
        <v>45</v>
      </c>
      <c r="N1799" s="5" t="s">
        <v>123</v>
      </c>
      <c r="O1799" s="5" t="s">
        <v>46</v>
      </c>
      <c r="P1799" s="10" t="s">
        <v>443</v>
      </c>
      <c r="Q1799" s="10" t="s">
        <v>623</v>
      </c>
      <c r="R1799" s="10" t="s">
        <v>624</v>
      </c>
      <c r="S1799" s="5">
        <v>0</v>
      </c>
      <c r="T1799" s="37">
        <v>0</v>
      </c>
      <c r="U1799" s="5">
        <v>0</v>
      </c>
      <c r="V1799" s="37">
        <v>0</v>
      </c>
      <c r="W1799" s="5">
        <v>0</v>
      </c>
      <c r="X1799" s="5">
        <v>0</v>
      </c>
      <c r="Y1799" s="5">
        <v>0</v>
      </c>
      <c r="Z1799" s="37">
        <v>0</v>
      </c>
      <c r="AA1799" s="5">
        <v>0</v>
      </c>
      <c r="AB1799" s="5">
        <v>0</v>
      </c>
      <c r="AC1799" s="5">
        <v>0</v>
      </c>
      <c r="AD1799" s="5">
        <v>0</v>
      </c>
      <c r="AE1799" s="10" t="s">
        <v>375</v>
      </c>
      <c r="AF1799" s="10"/>
      <c r="AG1799" s="10" t="s">
        <v>114</v>
      </c>
      <c r="AH1799" s="10">
        <v>41834</v>
      </c>
      <c r="AI1799" s="5">
        <v>1</v>
      </c>
      <c r="AJ1799" s="10" t="s">
        <v>10029</v>
      </c>
      <c r="AK1799" s="10" t="s">
        <v>50</v>
      </c>
    </row>
    <row r="1800" spans="1:37" ht="36.75" customHeight="1" x14ac:dyDescent="0.35">
      <c r="A1800" s="5"/>
      <c r="B1800" s="5" t="s">
        <v>887</v>
      </c>
      <c r="C1800" s="73" t="str">
        <f t="shared" si="28"/>
        <v>Open</v>
      </c>
      <c r="D1800" s="45" t="s">
        <v>10030</v>
      </c>
      <c r="E1800" s="54" t="s">
        <v>10031</v>
      </c>
      <c r="F1800" s="5" t="s">
        <v>9767</v>
      </c>
      <c r="G1800" s="10">
        <f>DATE(2014,7,2)</f>
        <v>41822</v>
      </c>
      <c r="H1800" s="35">
        <v>1.9305555555555554</v>
      </c>
      <c r="I1800" s="5" t="s">
        <v>55</v>
      </c>
      <c r="J1800" s="10" t="s">
        <v>10032</v>
      </c>
      <c r="K1800" s="5" t="s">
        <v>577</v>
      </c>
      <c r="L1800" s="5" t="s">
        <v>10033</v>
      </c>
      <c r="M1800" s="5" t="s">
        <v>45</v>
      </c>
      <c r="N1800" s="5" t="s">
        <v>80</v>
      </c>
      <c r="O1800" s="5" t="s">
        <v>46</v>
      </c>
      <c r="P1800" s="10" t="s">
        <v>60</v>
      </c>
      <c r="Q1800" s="10" t="s">
        <v>10034</v>
      </c>
      <c r="R1800" s="10" t="s">
        <v>580</v>
      </c>
      <c r="S1800" s="5">
        <v>0</v>
      </c>
      <c r="T1800" s="37">
        <v>0</v>
      </c>
      <c r="U1800" s="5">
        <v>0</v>
      </c>
      <c r="V1800" s="37">
        <v>0</v>
      </c>
      <c r="W1800" s="5">
        <v>0</v>
      </c>
      <c r="X1800" s="5">
        <v>0</v>
      </c>
      <c r="Y1800" s="5">
        <v>0</v>
      </c>
      <c r="Z1800" s="37">
        <v>0</v>
      </c>
      <c r="AA1800" s="5">
        <v>0</v>
      </c>
      <c r="AB1800" s="5">
        <v>0</v>
      </c>
      <c r="AC1800" s="5">
        <v>0</v>
      </c>
      <c r="AD1800" s="5">
        <v>0</v>
      </c>
      <c r="AE1800" s="10" t="s">
        <v>375</v>
      </c>
      <c r="AF1800" s="10"/>
      <c r="AG1800" s="10" t="s">
        <v>333</v>
      </c>
      <c r="AH1800" s="10">
        <v>41950</v>
      </c>
      <c r="AI1800" s="5">
        <v>0</v>
      </c>
      <c r="AJ1800" s="10" t="s">
        <v>50</v>
      </c>
      <c r="AK1800" s="10" t="s">
        <v>50</v>
      </c>
    </row>
    <row r="1801" spans="1:37" ht="36.75" customHeight="1" x14ac:dyDescent="0.35">
      <c r="A1801" s="5"/>
      <c r="B1801" s="5" t="s">
        <v>37</v>
      </c>
      <c r="C1801" s="73" t="str">
        <f t="shared" si="28"/>
        <v>Closed</v>
      </c>
      <c r="D1801" s="45" t="s">
        <v>10035</v>
      </c>
      <c r="E1801" s="54" t="s">
        <v>10036</v>
      </c>
      <c r="F1801" s="5" t="s">
        <v>9767</v>
      </c>
      <c r="G1801" s="10">
        <f>DATE(2014,7,8)</f>
        <v>41828</v>
      </c>
      <c r="H1801" s="35">
        <v>1.1666666666666667</v>
      </c>
      <c r="I1801" s="5" t="s">
        <v>179</v>
      </c>
      <c r="J1801" s="10" t="s">
        <v>10037</v>
      </c>
      <c r="K1801" s="5" t="s">
        <v>406</v>
      </c>
      <c r="L1801" s="5" t="s">
        <v>10038</v>
      </c>
      <c r="M1801" s="5" t="s">
        <v>45</v>
      </c>
      <c r="N1801" s="5" t="s">
        <v>70</v>
      </c>
      <c r="O1801" s="5" t="s">
        <v>59</v>
      </c>
      <c r="P1801" s="10" t="s">
        <v>60</v>
      </c>
      <c r="Q1801" s="10" t="s">
        <v>10039</v>
      </c>
      <c r="R1801" s="10" t="s">
        <v>3083</v>
      </c>
      <c r="S1801" s="5">
        <v>0</v>
      </c>
      <c r="T1801" s="37">
        <v>0</v>
      </c>
      <c r="U1801" s="5">
        <v>0</v>
      </c>
      <c r="V1801" s="37">
        <v>0</v>
      </c>
      <c r="W1801" s="5">
        <v>0</v>
      </c>
      <c r="X1801" s="5">
        <v>0</v>
      </c>
      <c r="Y1801" s="5">
        <v>0</v>
      </c>
      <c r="Z1801" s="37">
        <v>0</v>
      </c>
      <c r="AA1801" s="5">
        <v>0</v>
      </c>
      <c r="AB1801" s="5">
        <v>0</v>
      </c>
      <c r="AC1801" s="5">
        <v>0</v>
      </c>
      <c r="AD1801" s="5">
        <v>0</v>
      </c>
      <c r="AE1801" s="10" t="s">
        <v>375</v>
      </c>
      <c r="AF1801" s="10"/>
      <c r="AG1801" s="10" t="s">
        <v>114</v>
      </c>
      <c r="AH1801" s="10">
        <v>41919</v>
      </c>
      <c r="AI1801" s="5">
        <v>3</v>
      </c>
      <c r="AJ1801" s="10" t="s">
        <v>10040</v>
      </c>
      <c r="AK1801" s="10" t="s">
        <v>10041</v>
      </c>
    </row>
    <row r="1802" spans="1:37" ht="36.75" customHeight="1" x14ac:dyDescent="0.35">
      <c r="A1802" s="5"/>
      <c r="B1802" s="5" t="s">
        <v>37</v>
      </c>
      <c r="C1802" s="73" t="str">
        <f t="shared" si="28"/>
        <v>Closed</v>
      </c>
      <c r="D1802" s="45" t="s">
        <v>10042</v>
      </c>
      <c r="E1802" s="54" t="s">
        <v>10043</v>
      </c>
      <c r="F1802" s="5" t="s">
        <v>9767</v>
      </c>
      <c r="G1802" s="10">
        <f>DATE(2014,7,9)</f>
        <v>41829</v>
      </c>
      <c r="H1802" s="35">
        <v>1.6590277777777778</v>
      </c>
      <c r="I1802" s="5" t="s">
        <v>55</v>
      </c>
      <c r="J1802" s="10" t="s">
        <v>10044</v>
      </c>
      <c r="K1802" s="5" t="s">
        <v>121</v>
      </c>
      <c r="L1802" s="5" t="s">
        <v>10045</v>
      </c>
      <c r="M1802" s="5" t="s">
        <v>45</v>
      </c>
      <c r="N1802" s="5" t="s">
        <v>123</v>
      </c>
      <c r="O1802" s="5" t="s">
        <v>46</v>
      </c>
      <c r="P1802" s="10" t="s">
        <v>60</v>
      </c>
      <c r="Q1802" s="10" t="s">
        <v>124</v>
      </c>
      <c r="R1802" s="10" t="s">
        <v>4913</v>
      </c>
      <c r="S1802" s="5">
        <v>0</v>
      </c>
      <c r="T1802" s="37">
        <v>0</v>
      </c>
      <c r="U1802" s="5">
        <v>0</v>
      </c>
      <c r="V1802" s="37">
        <v>0</v>
      </c>
      <c r="W1802" s="5">
        <v>0</v>
      </c>
      <c r="X1802" s="5">
        <v>0</v>
      </c>
      <c r="Y1802" s="5">
        <v>0</v>
      </c>
      <c r="Z1802" s="37">
        <v>0</v>
      </c>
      <c r="AA1802" s="5">
        <v>0</v>
      </c>
      <c r="AB1802" s="5">
        <v>0</v>
      </c>
      <c r="AC1802" s="5">
        <v>0</v>
      </c>
      <c r="AD1802" s="5">
        <v>0</v>
      </c>
      <c r="AE1802" s="10" t="s">
        <v>375</v>
      </c>
      <c r="AF1802" s="10"/>
      <c r="AG1802" s="10" t="s">
        <v>114</v>
      </c>
      <c r="AH1802" s="10">
        <v>41835</v>
      </c>
      <c r="AI1802" s="5">
        <v>2</v>
      </c>
      <c r="AJ1802" s="10" t="s">
        <v>10046</v>
      </c>
      <c r="AK1802" s="10" t="s">
        <v>10047</v>
      </c>
    </row>
    <row r="1803" spans="1:37" ht="36.75" customHeight="1" x14ac:dyDescent="0.35">
      <c r="A1803" s="5"/>
      <c r="B1803" s="5" t="s">
        <v>37</v>
      </c>
      <c r="C1803" s="73" t="str">
        <f t="shared" si="28"/>
        <v>Closed</v>
      </c>
      <c r="D1803" s="45" t="s">
        <v>10048</v>
      </c>
      <c r="E1803" s="54" t="s">
        <v>10049</v>
      </c>
      <c r="F1803" s="5" t="s">
        <v>9767</v>
      </c>
      <c r="G1803" s="10">
        <f>DATE(2014,7,10)</f>
        <v>41830</v>
      </c>
      <c r="H1803" s="35">
        <v>1.0430555555555556</v>
      </c>
      <c r="I1803" s="5" t="s">
        <v>55</v>
      </c>
      <c r="J1803" s="10" t="s">
        <v>10050</v>
      </c>
      <c r="K1803" s="5" t="s">
        <v>565</v>
      </c>
      <c r="L1803" s="5" t="s">
        <v>10051</v>
      </c>
      <c r="M1803" s="5" t="s">
        <v>45</v>
      </c>
      <c r="N1803" s="5" t="s">
        <v>123</v>
      </c>
      <c r="O1803" s="5" t="s">
        <v>59</v>
      </c>
      <c r="P1803" s="10" t="s">
        <v>60</v>
      </c>
      <c r="Q1803" s="10" t="s">
        <v>567</v>
      </c>
      <c r="R1803" s="10" t="s">
        <v>568</v>
      </c>
      <c r="S1803" s="5">
        <v>0</v>
      </c>
      <c r="T1803" s="37">
        <v>0</v>
      </c>
      <c r="U1803" s="5">
        <v>0</v>
      </c>
      <c r="V1803" s="37">
        <v>0</v>
      </c>
      <c r="W1803" s="5">
        <v>0</v>
      </c>
      <c r="X1803" s="5">
        <v>0</v>
      </c>
      <c r="Y1803" s="5">
        <v>0</v>
      </c>
      <c r="Z1803" s="37">
        <v>0</v>
      </c>
      <c r="AA1803" s="5">
        <v>0</v>
      </c>
      <c r="AB1803" s="5">
        <v>0</v>
      </c>
      <c r="AC1803" s="5">
        <v>0</v>
      </c>
      <c r="AD1803" s="5">
        <v>0</v>
      </c>
      <c r="AE1803" s="10" t="s">
        <v>73</v>
      </c>
      <c r="AF1803" s="10"/>
      <c r="AG1803" s="10" t="s">
        <v>114</v>
      </c>
      <c r="AH1803" s="10">
        <v>41878</v>
      </c>
      <c r="AI1803" s="5">
        <v>0</v>
      </c>
      <c r="AJ1803" s="10" t="s">
        <v>10052</v>
      </c>
      <c r="AK1803" s="10" t="s">
        <v>1215</v>
      </c>
    </row>
    <row r="1804" spans="1:37" ht="36.75" customHeight="1" x14ac:dyDescent="0.35">
      <c r="A1804" s="5"/>
      <c r="B1804" s="5" t="s">
        <v>37</v>
      </c>
      <c r="C1804" s="73" t="str">
        <f t="shared" si="28"/>
        <v>Closed</v>
      </c>
      <c r="D1804" s="45" t="s">
        <v>10053</v>
      </c>
      <c r="E1804" s="54" t="s">
        <v>10054</v>
      </c>
      <c r="F1804" s="5" t="s">
        <v>9767</v>
      </c>
      <c r="G1804" s="10">
        <f>DATE(2014,7,10)</f>
        <v>41830</v>
      </c>
      <c r="H1804" s="35">
        <v>1.4791666666666667</v>
      </c>
      <c r="I1804" s="5" t="s">
        <v>85</v>
      </c>
      <c r="J1804" s="10" t="s">
        <v>10055</v>
      </c>
      <c r="K1804" s="5" t="s">
        <v>621</v>
      </c>
      <c r="L1804" s="5" t="s">
        <v>10056</v>
      </c>
      <c r="M1804" s="5" t="s">
        <v>45</v>
      </c>
      <c r="N1804" s="5" t="s">
        <v>80</v>
      </c>
      <c r="O1804" s="5" t="s">
        <v>59</v>
      </c>
      <c r="P1804" s="10" t="s">
        <v>60</v>
      </c>
      <c r="Q1804" s="10" t="s">
        <v>4884</v>
      </c>
      <c r="R1804" s="10" t="s">
        <v>624</v>
      </c>
      <c r="S1804" s="5">
        <v>0</v>
      </c>
      <c r="T1804" s="37">
        <v>0</v>
      </c>
      <c r="U1804" s="5">
        <v>0</v>
      </c>
      <c r="V1804" s="37">
        <v>0</v>
      </c>
      <c r="W1804" s="5">
        <v>0</v>
      </c>
      <c r="X1804" s="5">
        <v>0</v>
      </c>
      <c r="Y1804" s="5">
        <v>0</v>
      </c>
      <c r="Z1804" s="37">
        <v>0</v>
      </c>
      <c r="AA1804" s="5">
        <v>0</v>
      </c>
      <c r="AB1804" s="5">
        <v>0</v>
      </c>
      <c r="AC1804" s="5">
        <v>0</v>
      </c>
      <c r="AD1804" s="5">
        <v>0</v>
      </c>
      <c r="AE1804" s="10" t="s">
        <v>73</v>
      </c>
      <c r="AF1804" s="10"/>
      <c r="AG1804" s="10" t="s">
        <v>333</v>
      </c>
      <c r="AH1804" s="10">
        <v>41905</v>
      </c>
      <c r="AI1804" s="5">
        <v>0</v>
      </c>
      <c r="AJ1804" s="10" t="s">
        <v>10057</v>
      </c>
      <c r="AK1804" s="10" t="s">
        <v>50</v>
      </c>
    </row>
    <row r="1805" spans="1:37" ht="36.75" customHeight="1" x14ac:dyDescent="0.35">
      <c r="A1805" s="5"/>
      <c r="B1805" s="5" t="s">
        <v>37</v>
      </c>
      <c r="C1805" s="73" t="str">
        <f t="shared" si="28"/>
        <v>Closed</v>
      </c>
      <c r="D1805" s="45" t="s">
        <v>10058</v>
      </c>
      <c r="E1805" s="54" t="s">
        <v>10059</v>
      </c>
      <c r="F1805" s="5" t="s">
        <v>9767</v>
      </c>
      <c r="G1805" s="10">
        <f>DATE(2014,7,11)</f>
        <v>41831</v>
      </c>
      <c r="H1805" s="35">
        <v>1.7395833333333335</v>
      </c>
      <c r="I1805" s="5" t="s">
        <v>97</v>
      </c>
      <c r="J1805" s="10" t="s">
        <v>10060</v>
      </c>
      <c r="K1805" s="5" t="s">
        <v>406</v>
      </c>
      <c r="L1805" s="5" t="s">
        <v>10061</v>
      </c>
      <c r="M1805" s="5" t="s">
        <v>45</v>
      </c>
      <c r="N1805" s="5" t="s">
        <v>80</v>
      </c>
      <c r="O1805" s="5" t="s">
        <v>46</v>
      </c>
      <c r="P1805" s="10" t="s">
        <v>146</v>
      </c>
      <c r="Q1805" s="10" t="s">
        <v>4531</v>
      </c>
      <c r="R1805" s="10" t="s">
        <v>3083</v>
      </c>
      <c r="S1805" s="5">
        <v>0</v>
      </c>
      <c r="T1805" s="37">
        <v>0</v>
      </c>
      <c r="U1805" s="5">
        <v>0</v>
      </c>
      <c r="V1805" s="37">
        <v>0</v>
      </c>
      <c r="W1805" s="5">
        <v>0</v>
      </c>
      <c r="X1805" s="5">
        <v>0</v>
      </c>
      <c r="Y1805" s="5">
        <v>0</v>
      </c>
      <c r="Z1805" s="37">
        <v>0</v>
      </c>
      <c r="AA1805" s="5">
        <v>0</v>
      </c>
      <c r="AB1805" s="5">
        <v>0</v>
      </c>
      <c r="AC1805" s="5">
        <v>0</v>
      </c>
      <c r="AD1805" s="5">
        <v>0</v>
      </c>
      <c r="AE1805" s="10" t="s">
        <v>73</v>
      </c>
      <c r="AF1805" s="10"/>
      <c r="AG1805" s="10" t="s">
        <v>114</v>
      </c>
      <c r="AH1805" s="10">
        <v>41767</v>
      </c>
      <c r="AI1805" s="5">
        <v>3</v>
      </c>
      <c r="AJ1805" s="10" t="s">
        <v>10062</v>
      </c>
      <c r="AK1805" s="10" t="s">
        <v>10063</v>
      </c>
    </row>
    <row r="1806" spans="1:37" ht="36.75" customHeight="1" x14ac:dyDescent="0.35">
      <c r="A1806" s="5"/>
      <c r="B1806" s="5" t="s">
        <v>37</v>
      </c>
      <c r="C1806" s="73" t="str">
        <f t="shared" si="28"/>
        <v>Closed</v>
      </c>
      <c r="D1806" s="45" t="s">
        <v>10064</v>
      </c>
      <c r="E1806" s="54" t="s">
        <v>10065</v>
      </c>
      <c r="F1806" s="5" t="s">
        <v>9767</v>
      </c>
      <c r="G1806" s="10">
        <f>DATE(2014,7,11)</f>
        <v>41831</v>
      </c>
      <c r="H1806" s="35">
        <v>1.8562500000000002</v>
      </c>
      <c r="I1806" s="5" t="s">
        <v>259</v>
      </c>
      <c r="J1806" s="10" t="s">
        <v>10066</v>
      </c>
      <c r="K1806" s="5" t="s">
        <v>621</v>
      </c>
      <c r="L1806" s="5" t="s">
        <v>10067</v>
      </c>
      <c r="M1806" s="5" t="s">
        <v>45</v>
      </c>
      <c r="N1806" s="5" t="s">
        <v>80</v>
      </c>
      <c r="O1806" s="5" t="s">
        <v>59</v>
      </c>
      <c r="P1806" s="10" t="s">
        <v>6881</v>
      </c>
      <c r="Q1806" s="10" t="s">
        <v>623</v>
      </c>
      <c r="R1806" s="10" t="s">
        <v>624</v>
      </c>
      <c r="S1806" s="5">
        <v>0</v>
      </c>
      <c r="T1806" s="37">
        <v>0</v>
      </c>
      <c r="U1806" s="5">
        <v>0</v>
      </c>
      <c r="V1806" s="37">
        <v>0</v>
      </c>
      <c r="W1806" s="5">
        <v>1</v>
      </c>
      <c r="X1806" s="5">
        <v>1</v>
      </c>
      <c r="Y1806" s="5">
        <v>0</v>
      </c>
      <c r="Z1806" s="37">
        <v>0</v>
      </c>
      <c r="AA1806" s="5">
        <v>0</v>
      </c>
      <c r="AB1806" s="5">
        <v>0</v>
      </c>
      <c r="AC1806" s="5">
        <v>0</v>
      </c>
      <c r="AD1806" s="5">
        <v>0</v>
      </c>
      <c r="AE1806" s="10" t="s">
        <v>73</v>
      </c>
      <c r="AF1806" s="10"/>
      <c r="AG1806" s="10" t="s">
        <v>333</v>
      </c>
      <c r="AH1806" s="10">
        <v>41834</v>
      </c>
      <c r="AI1806" s="5">
        <v>3</v>
      </c>
      <c r="AJ1806" s="10" t="s">
        <v>10068</v>
      </c>
      <c r="AK1806" s="10" t="s">
        <v>50</v>
      </c>
    </row>
    <row r="1807" spans="1:37" ht="36.75" customHeight="1" x14ac:dyDescent="0.35">
      <c r="A1807" s="5"/>
      <c r="B1807" s="5" t="s">
        <v>37</v>
      </c>
      <c r="C1807" s="73" t="str">
        <f t="shared" si="28"/>
        <v>Closed</v>
      </c>
      <c r="D1807" s="45" t="s">
        <v>10069</v>
      </c>
      <c r="E1807" s="54" t="s">
        <v>10070</v>
      </c>
      <c r="F1807" s="5" t="s">
        <v>9767</v>
      </c>
      <c r="G1807" s="10">
        <f>DATE(2014,7,11)</f>
        <v>41831</v>
      </c>
      <c r="H1807" s="35">
        <v>1.7534722222222223</v>
      </c>
      <c r="I1807" s="5" t="s">
        <v>55</v>
      </c>
      <c r="J1807" s="10" t="s">
        <v>10071</v>
      </c>
      <c r="K1807" s="5" t="s">
        <v>9769</v>
      </c>
      <c r="L1807" s="5" t="s">
        <v>10072</v>
      </c>
      <c r="M1807" s="5" t="s">
        <v>45</v>
      </c>
      <c r="N1807" s="5" t="s">
        <v>80</v>
      </c>
      <c r="O1807" s="5" t="s">
        <v>46</v>
      </c>
      <c r="P1807" s="10" t="s">
        <v>282</v>
      </c>
      <c r="Q1807" s="10" t="s">
        <v>9816</v>
      </c>
      <c r="R1807" s="10" t="s">
        <v>9772</v>
      </c>
      <c r="S1807" s="5">
        <v>0</v>
      </c>
      <c r="T1807" s="37">
        <v>0</v>
      </c>
      <c r="U1807" s="5">
        <v>0</v>
      </c>
      <c r="V1807" s="37">
        <v>0</v>
      </c>
      <c r="W1807" s="5">
        <v>0</v>
      </c>
      <c r="X1807" s="5">
        <v>0</v>
      </c>
      <c r="Y1807" s="5">
        <v>0</v>
      </c>
      <c r="Z1807" s="37">
        <v>0</v>
      </c>
      <c r="AA1807" s="5">
        <v>0</v>
      </c>
      <c r="AB1807" s="5">
        <v>0</v>
      </c>
      <c r="AC1807" s="5">
        <v>0</v>
      </c>
      <c r="AD1807" s="5">
        <v>0</v>
      </c>
      <c r="AE1807" s="10" t="s">
        <v>73</v>
      </c>
      <c r="AF1807" s="10"/>
      <c r="AG1807" s="10" t="s">
        <v>114</v>
      </c>
      <c r="AH1807" s="10">
        <v>41832</v>
      </c>
      <c r="AI1807" s="5">
        <v>1</v>
      </c>
      <c r="AJ1807" s="10" t="s">
        <v>10073</v>
      </c>
      <c r="AK1807" s="10" t="s">
        <v>1215</v>
      </c>
    </row>
    <row r="1808" spans="1:37" ht="36.75" customHeight="1" x14ac:dyDescent="0.35">
      <c r="A1808" s="5"/>
      <c r="B1808" s="5" t="s">
        <v>37</v>
      </c>
      <c r="C1808" s="73" t="str">
        <f t="shared" si="28"/>
        <v>Closed</v>
      </c>
      <c r="D1808" s="45" t="s">
        <v>10074</v>
      </c>
      <c r="E1808" s="54" t="s">
        <v>10075</v>
      </c>
      <c r="F1808" s="5" t="s">
        <v>9767</v>
      </c>
      <c r="G1808" s="10">
        <f>DATE(2014,7,12)</f>
        <v>41832</v>
      </c>
      <c r="H1808" s="35">
        <v>1.6368055555555556</v>
      </c>
      <c r="I1808" s="5" t="s">
        <v>55</v>
      </c>
      <c r="J1808" s="10" t="s">
        <v>10076</v>
      </c>
      <c r="K1808" s="5" t="s">
        <v>2583</v>
      </c>
      <c r="L1808" s="5" t="s">
        <v>10077</v>
      </c>
      <c r="M1808" s="5" t="s">
        <v>45</v>
      </c>
      <c r="N1808" s="5" t="s">
        <v>70</v>
      </c>
      <c r="O1808" s="5" t="s">
        <v>59</v>
      </c>
      <c r="P1808" s="10" t="s">
        <v>443</v>
      </c>
      <c r="Q1808" s="10" t="s">
        <v>6321</v>
      </c>
      <c r="R1808" s="10" t="s">
        <v>2586</v>
      </c>
      <c r="S1808" s="5">
        <v>0</v>
      </c>
      <c r="T1808" s="37">
        <v>1</v>
      </c>
      <c r="U1808" s="5">
        <v>0</v>
      </c>
      <c r="V1808" s="37">
        <v>0</v>
      </c>
      <c r="W1808" s="5">
        <v>0</v>
      </c>
      <c r="X1808" s="5">
        <v>1</v>
      </c>
      <c r="Y1808" s="5">
        <v>0</v>
      </c>
      <c r="Z1808" s="37">
        <v>0</v>
      </c>
      <c r="AA1808" s="5">
        <v>0</v>
      </c>
      <c r="AB1808" s="5">
        <v>0</v>
      </c>
      <c r="AC1808" s="5">
        <v>0</v>
      </c>
      <c r="AD1808" s="5">
        <v>0</v>
      </c>
      <c r="AE1808" s="10" t="s">
        <v>375</v>
      </c>
      <c r="AF1808" s="10"/>
      <c r="AG1808" s="10" t="s">
        <v>64</v>
      </c>
      <c r="AH1808" s="10">
        <v>41837</v>
      </c>
      <c r="AI1808" s="5">
        <v>4</v>
      </c>
      <c r="AJ1808" s="10" t="s">
        <v>10078</v>
      </c>
      <c r="AK1808" s="10" t="s">
        <v>10079</v>
      </c>
    </row>
    <row r="1809" spans="1:37" ht="36.75" customHeight="1" x14ac:dyDescent="0.35">
      <c r="A1809" s="5"/>
      <c r="B1809" s="5" t="s">
        <v>37</v>
      </c>
      <c r="C1809" s="73" t="str">
        <f t="shared" si="28"/>
        <v>Closed</v>
      </c>
      <c r="D1809" s="45" t="s">
        <v>10080</v>
      </c>
      <c r="E1809" s="54" t="s">
        <v>10081</v>
      </c>
      <c r="F1809" s="5" t="s">
        <v>9767</v>
      </c>
      <c r="G1809" s="10">
        <f>DATE(2014,7,15)</f>
        <v>41835</v>
      </c>
      <c r="H1809" s="35">
        <v>1.65</v>
      </c>
      <c r="I1809" s="5" t="s">
        <v>55</v>
      </c>
      <c r="J1809" s="10" t="s">
        <v>10082</v>
      </c>
      <c r="K1809" s="5" t="s">
        <v>818</v>
      </c>
      <c r="L1809" s="5" t="s">
        <v>9972</v>
      </c>
      <c r="M1809" s="5" t="s">
        <v>9897</v>
      </c>
      <c r="N1809" s="5" t="s">
        <v>80</v>
      </c>
      <c r="O1809" s="5" t="s">
        <v>46</v>
      </c>
      <c r="P1809" s="10" t="s">
        <v>146</v>
      </c>
      <c r="Q1809" s="10">
        <v>0</v>
      </c>
      <c r="R1809" s="10">
        <v>0</v>
      </c>
      <c r="S1809" s="5">
        <v>0</v>
      </c>
      <c r="T1809" s="37">
        <v>0</v>
      </c>
      <c r="U1809" s="5">
        <v>0</v>
      </c>
      <c r="V1809" s="37">
        <v>0</v>
      </c>
      <c r="W1809" s="5">
        <v>0</v>
      </c>
      <c r="X1809" s="5">
        <v>0</v>
      </c>
      <c r="Y1809" s="5">
        <v>0</v>
      </c>
      <c r="Z1809" s="37">
        <v>0</v>
      </c>
      <c r="AA1809" s="5">
        <v>0</v>
      </c>
      <c r="AB1809" s="5">
        <v>0</v>
      </c>
      <c r="AC1809" s="5">
        <v>0</v>
      </c>
      <c r="AD1809" s="5">
        <v>0</v>
      </c>
      <c r="AE1809" s="10" t="s">
        <v>73</v>
      </c>
      <c r="AF1809" s="10"/>
      <c r="AG1809" s="10" t="s">
        <v>570</v>
      </c>
      <c r="AH1809" s="10">
        <v>41835</v>
      </c>
      <c r="AI1809" s="5">
        <v>0</v>
      </c>
      <c r="AJ1809" s="10" t="s">
        <v>10083</v>
      </c>
      <c r="AK1809" s="10" t="s">
        <v>50</v>
      </c>
    </row>
    <row r="1810" spans="1:37" ht="36.75" customHeight="1" x14ac:dyDescent="0.35">
      <c r="A1810" s="5"/>
      <c r="B1810" s="5" t="s">
        <v>37</v>
      </c>
      <c r="C1810" s="73" t="str">
        <f t="shared" si="28"/>
        <v>Closed</v>
      </c>
      <c r="D1810" s="45" t="s">
        <v>10084</v>
      </c>
      <c r="E1810" s="54" t="s">
        <v>10085</v>
      </c>
      <c r="F1810" s="5" t="s">
        <v>9767</v>
      </c>
      <c r="G1810" s="10">
        <f>DATE(2014,7,15)</f>
        <v>41835</v>
      </c>
      <c r="H1810" s="35">
        <v>1.7076388888888889</v>
      </c>
      <c r="I1810" s="5" t="s">
        <v>106</v>
      </c>
      <c r="J1810" s="10" t="s">
        <v>10086</v>
      </c>
      <c r="K1810" s="5" t="s">
        <v>818</v>
      </c>
      <c r="L1810" s="5" t="s">
        <v>10087</v>
      </c>
      <c r="M1810" s="5" t="s">
        <v>110</v>
      </c>
      <c r="N1810" s="5" t="s">
        <v>80</v>
      </c>
      <c r="O1810" s="5" t="s">
        <v>59</v>
      </c>
      <c r="P1810" s="10" t="s">
        <v>110</v>
      </c>
      <c r="Q1810" s="10" t="s">
        <v>4190</v>
      </c>
      <c r="R1810" s="10" t="s">
        <v>4190</v>
      </c>
      <c r="S1810" s="5">
        <v>0</v>
      </c>
      <c r="T1810" s="37">
        <v>0</v>
      </c>
      <c r="U1810" s="5">
        <v>0</v>
      </c>
      <c r="V1810" s="37">
        <v>0</v>
      </c>
      <c r="W1810" s="5">
        <v>0</v>
      </c>
      <c r="X1810" s="5">
        <v>0</v>
      </c>
      <c r="Y1810" s="5">
        <v>0</v>
      </c>
      <c r="Z1810" s="37">
        <v>0</v>
      </c>
      <c r="AA1810" s="5">
        <v>0</v>
      </c>
      <c r="AB1810" s="5">
        <v>0</v>
      </c>
      <c r="AC1810" s="5">
        <v>0</v>
      </c>
      <c r="AD1810" s="5">
        <v>0</v>
      </c>
      <c r="AE1810" s="10" t="s">
        <v>73</v>
      </c>
      <c r="AF1810" s="10"/>
      <c r="AG1810" s="10" t="s">
        <v>333</v>
      </c>
      <c r="AH1810" s="10">
        <v>41835</v>
      </c>
      <c r="AI1810" s="5">
        <v>0</v>
      </c>
      <c r="AJ1810" s="10" t="s">
        <v>10088</v>
      </c>
      <c r="AK1810" s="10" t="s">
        <v>50</v>
      </c>
    </row>
    <row r="1811" spans="1:37" ht="36.75" customHeight="1" x14ac:dyDescent="0.35">
      <c r="A1811" s="5"/>
      <c r="B1811" s="5" t="s">
        <v>37</v>
      </c>
      <c r="C1811" s="73" t="str">
        <f t="shared" si="28"/>
        <v>Closed</v>
      </c>
      <c r="D1811" s="45" t="s">
        <v>10089</v>
      </c>
      <c r="E1811" s="54" t="s">
        <v>10090</v>
      </c>
      <c r="F1811" s="5" t="s">
        <v>9767</v>
      </c>
      <c r="G1811" s="10">
        <f>DATE(2014,7,15)</f>
        <v>41835</v>
      </c>
      <c r="H1811" s="35">
        <v>1.9138888888888888</v>
      </c>
      <c r="I1811" s="5" t="s">
        <v>179</v>
      </c>
      <c r="J1811" s="10" t="s">
        <v>10091</v>
      </c>
      <c r="K1811" s="5" t="s">
        <v>360</v>
      </c>
      <c r="L1811" s="5" t="s">
        <v>8721</v>
      </c>
      <c r="M1811" s="5" t="s">
        <v>45</v>
      </c>
      <c r="N1811" s="5" t="s">
        <v>70</v>
      </c>
      <c r="O1811" s="5" t="s">
        <v>59</v>
      </c>
      <c r="P1811" s="10" t="s">
        <v>146</v>
      </c>
      <c r="Q1811" s="10" t="s">
        <v>2886</v>
      </c>
      <c r="R1811" s="10" t="s">
        <v>363</v>
      </c>
      <c r="S1811" s="5">
        <v>0</v>
      </c>
      <c r="T1811" s="37">
        <v>0</v>
      </c>
      <c r="U1811" s="5">
        <v>0</v>
      </c>
      <c r="V1811" s="37">
        <v>0</v>
      </c>
      <c r="W1811" s="5">
        <v>0</v>
      </c>
      <c r="X1811" s="5">
        <v>0</v>
      </c>
      <c r="Y1811" s="5">
        <v>0</v>
      </c>
      <c r="Z1811" s="37">
        <v>0</v>
      </c>
      <c r="AA1811" s="5">
        <v>0</v>
      </c>
      <c r="AB1811" s="5">
        <v>0</v>
      </c>
      <c r="AC1811" s="5">
        <v>0</v>
      </c>
      <c r="AD1811" s="5">
        <v>0</v>
      </c>
      <c r="AE1811" s="10" t="s">
        <v>375</v>
      </c>
      <c r="AF1811" s="10"/>
      <c r="AG1811" s="10" t="s">
        <v>114</v>
      </c>
      <c r="AH1811" s="10">
        <v>41836</v>
      </c>
      <c r="AI1811" s="5">
        <v>2</v>
      </c>
      <c r="AJ1811" s="10" t="s">
        <v>10092</v>
      </c>
      <c r="AK1811" s="10" t="s">
        <v>50</v>
      </c>
    </row>
    <row r="1812" spans="1:37" ht="36.75" customHeight="1" x14ac:dyDescent="0.35">
      <c r="A1812" s="5"/>
      <c r="B1812" s="5" t="s">
        <v>37</v>
      </c>
      <c r="C1812" s="73" t="str">
        <f t="shared" si="28"/>
        <v>Closed</v>
      </c>
      <c r="D1812" s="45" t="s">
        <v>10093</v>
      </c>
      <c r="E1812" s="54" t="s">
        <v>10094</v>
      </c>
      <c r="F1812" s="5" t="s">
        <v>9767</v>
      </c>
      <c r="G1812" s="10">
        <f>DATE(2014,7,16)</f>
        <v>41836</v>
      </c>
      <c r="H1812" s="35">
        <v>1.4736111111111112</v>
      </c>
      <c r="I1812" s="5" t="s">
        <v>137</v>
      </c>
      <c r="J1812" s="10" t="s">
        <v>10095</v>
      </c>
      <c r="K1812" s="5" t="s">
        <v>108</v>
      </c>
      <c r="L1812" s="5" t="s">
        <v>10096</v>
      </c>
      <c r="M1812" s="5" t="s">
        <v>110</v>
      </c>
      <c r="N1812" s="5" t="s">
        <v>123</v>
      </c>
      <c r="O1812" s="5" t="s">
        <v>46</v>
      </c>
      <c r="P1812" s="10" t="s">
        <v>110</v>
      </c>
      <c r="Q1812" s="10" t="s">
        <v>10097</v>
      </c>
      <c r="R1812" s="10" t="s">
        <v>112</v>
      </c>
      <c r="S1812" s="5">
        <v>0</v>
      </c>
      <c r="T1812" s="37">
        <v>0</v>
      </c>
      <c r="U1812" s="5">
        <v>0</v>
      </c>
      <c r="V1812" s="37">
        <v>0</v>
      </c>
      <c r="W1812" s="5">
        <v>0</v>
      </c>
      <c r="X1812" s="5">
        <v>0</v>
      </c>
      <c r="Y1812" s="5">
        <v>0</v>
      </c>
      <c r="Z1812" s="37">
        <v>0</v>
      </c>
      <c r="AA1812" s="5">
        <v>0</v>
      </c>
      <c r="AB1812" s="5">
        <v>0</v>
      </c>
      <c r="AC1812" s="5">
        <v>0</v>
      </c>
      <c r="AD1812" s="5">
        <v>0</v>
      </c>
      <c r="AE1812" s="10" t="s">
        <v>73</v>
      </c>
      <c r="AF1812" s="10"/>
      <c r="AG1812" s="10" t="s">
        <v>114</v>
      </c>
      <c r="AH1812" s="10">
        <v>41838</v>
      </c>
      <c r="AI1812" s="5">
        <v>1</v>
      </c>
      <c r="AJ1812" s="10" t="s">
        <v>10098</v>
      </c>
      <c r="AK1812" s="10" t="s">
        <v>10099</v>
      </c>
    </row>
    <row r="1813" spans="1:37" ht="36.75" customHeight="1" x14ac:dyDescent="0.35">
      <c r="A1813" s="5"/>
      <c r="B1813" s="5" t="s">
        <v>37</v>
      </c>
      <c r="C1813" s="73" t="str">
        <f t="shared" si="28"/>
        <v>Closed</v>
      </c>
      <c r="D1813" s="45" t="s">
        <v>10100</v>
      </c>
      <c r="E1813" s="54" t="s">
        <v>10101</v>
      </c>
      <c r="F1813" s="5" t="s">
        <v>9767</v>
      </c>
      <c r="G1813" s="10">
        <f>DATE(2014,7,17)</f>
        <v>41837</v>
      </c>
      <c r="H1813" s="35">
        <v>1.7291666666666665</v>
      </c>
      <c r="I1813" s="5" t="s">
        <v>179</v>
      </c>
      <c r="J1813" s="10" t="s">
        <v>10102</v>
      </c>
      <c r="K1813" s="5" t="s">
        <v>99</v>
      </c>
      <c r="L1813" s="5" t="s">
        <v>10103</v>
      </c>
      <c r="M1813" s="5" t="s">
        <v>45</v>
      </c>
      <c r="N1813" s="5" t="s">
        <v>123</v>
      </c>
      <c r="O1813" s="5" t="s">
        <v>46</v>
      </c>
      <c r="P1813" s="10" t="s">
        <v>10104</v>
      </c>
      <c r="Q1813" s="10" t="s">
        <v>99</v>
      </c>
      <c r="R1813" s="10" t="s">
        <v>102</v>
      </c>
      <c r="S1813" s="5">
        <v>0</v>
      </c>
      <c r="T1813" s="37">
        <v>0</v>
      </c>
      <c r="U1813" s="5">
        <v>0</v>
      </c>
      <c r="V1813" s="37">
        <v>0</v>
      </c>
      <c r="W1813" s="5">
        <v>0</v>
      </c>
      <c r="X1813" s="5">
        <v>0</v>
      </c>
      <c r="Y1813" s="5">
        <v>2</v>
      </c>
      <c r="Z1813" s="37">
        <v>0</v>
      </c>
      <c r="AA1813" s="5">
        <v>0</v>
      </c>
      <c r="AB1813" s="5">
        <v>0</v>
      </c>
      <c r="AC1813" s="5">
        <v>0</v>
      </c>
      <c r="AD1813" s="5">
        <v>2</v>
      </c>
      <c r="AE1813" s="10" t="s">
        <v>126</v>
      </c>
      <c r="AF1813" s="10"/>
      <c r="AG1813" s="10" t="s">
        <v>64</v>
      </c>
      <c r="AH1813" s="10">
        <v>41838</v>
      </c>
      <c r="AI1813" s="5">
        <v>2</v>
      </c>
      <c r="AJ1813" s="10" t="s">
        <v>10105</v>
      </c>
      <c r="AK1813" s="10" t="s">
        <v>10106</v>
      </c>
    </row>
    <row r="1814" spans="1:37" ht="36.75" customHeight="1" x14ac:dyDescent="0.35">
      <c r="A1814" s="5"/>
      <c r="B1814" s="5" t="s">
        <v>37</v>
      </c>
      <c r="C1814" s="73" t="str">
        <f t="shared" si="28"/>
        <v>Closed</v>
      </c>
      <c r="D1814" s="45" t="s">
        <v>10107</v>
      </c>
      <c r="E1814" s="54" t="s">
        <v>10108</v>
      </c>
      <c r="F1814" s="5" t="s">
        <v>9767</v>
      </c>
      <c r="G1814" s="10">
        <f>DATE(2014,7,17)</f>
        <v>41837</v>
      </c>
      <c r="H1814" s="35">
        <v>1.3541666666666667</v>
      </c>
      <c r="I1814" s="5" t="s">
        <v>55</v>
      </c>
      <c r="J1814" s="10" t="s">
        <v>10109</v>
      </c>
      <c r="K1814" s="5" t="s">
        <v>9769</v>
      </c>
      <c r="L1814" s="5" t="s">
        <v>10110</v>
      </c>
      <c r="M1814" s="5" t="s">
        <v>45</v>
      </c>
      <c r="N1814" s="5" t="s">
        <v>80</v>
      </c>
      <c r="O1814" s="5" t="s">
        <v>6854</v>
      </c>
      <c r="P1814" s="10" t="s">
        <v>282</v>
      </c>
      <c r="Q1814" s="10" t="s">
        <v>9816</v>
      </c>
      <c r="R1814" s="10" t="s">
        <v>9772</v>
      </c>
      <c r="S1814" s="5">
        <v>0</v>
      </c>
      <c r="T1814" s="37">
        <v>0</v>
      </c>
      <c r="U1814" s="5">
        <v>0</v>
      </c>
      <c r="V1814" s="37">
        <v>0</v>
      </c>
      <c r="W1814" s="5">
        <v>0</v>
      </c>
      <c r="X1814" s="5">
        <v>0</v>
      </c>
      <c r="Y1814" s="5">
        <v>0</v>
      </c>
      <c r="Z1814" s="37">
        <v>0</v>
      </c>
      <c r="AA1814" s="5">
        <v>0</v>
      </c>
      <c r="AB1814" s="5">
        <v>0</v>
      </c>
      <c r="AC1814" s="5">
        <v>0</v>
      </c>
      <c r="AD1814" s="5">
        <v>0</v>
      </c>
      <c r="AE1814" s="10" t="s">
        <v>73</v>
      </c>
      <c r="AF1814" s="10"/>
      <c r="AG1814" s="10" t="s">
        <v>333</v>
      </c>
      <c r="AH1814" s="10">
        <v>41837</v>
      </c>
      <c r="AI1814" s="5">
        <v>0</v>
      </c>
      <c r="AJ1814" s="10" t="s">
        <v>10111</v>
      </c>
      <c r="AK1814" s="10" t="s">
        <v>1215</v>
      </c>
    </row>
    <row r="1815" spans="1:37" ht="36.75" customHeight="1" x14ac:dyDescent="0.35">
      <c r="A1815" s="5"/>
      <c r="B1815" s="5" t="s">
        <v>37</v>
      </c>
      <c r="C1815" s="73" t="str">
        <f t="shared" si="28"/>
        <v>Closed</v>
      </c>
      <c r="D1815" s="45" t="s">
        <v>10112</v>
      </c>
      <c r="E1815" s="54" t="s">
        <v>10113</v>
      </c>
      <c r="F1815" s="5" t="s">
        <v>358</v>
      </c>
      <c r="G1815" s="10">
        <f>DATE(2014,7,17)</f>
        <v>41837</v>
      </c>
      <c r="H1815" s="35">
        <v>1.7465277777777777</v>
      </c>
      <c r="I1815" s="5" t="s">
        <v>259</v>
      </c>
      <c r="J1815" s="10" t="s">
        <v>10114</v>
      </c>
      <c r="K1815" s="5" t="s">
        <v>360</v>
      </c>
      <c r="L1815" s="5" t="s">
        <v>10115</v>
      </c>
      <c r="M1815" s="5" t="s">
        <v>45</v>
      </c>
      <c r="N1815" s="5" t="s">
        <v>80</v>
      </c>
      <c r="O1815" s="5" t="s">
        <v>46</v>
      </c>
      <c r="P1815" s="10" t="s">
        <v>146</v>
      </c>
      <c r="Q1815" s="10" t="s">
        <v>2886</v>
      </c>
      <c r="R1815" s="10" t="s">
        <v>363</v>
      </c>
      <c r="S1815" s="5">
        <v>0</v>
      </c>
      <c r="T1815" s="37">
        <v>3</v>
      </c>
      <c r="U1815" s="5">
        <v>0</v>
      </c>
      <c r="V1815" s="37">
        <v>0</v>
      </c>
      <c r="W1815" s="5">
        <v>0</v>
      </c>
      <c r="X1815" s="5">
        <v>3</v>
      </c>
      <c r="Y1815" s="5">
        <v>0</v>
      </c>
      <c r="Z1815" s="37">
        <v>0</v>
      </c>
      <c r="AA1815" s="5">
        <v>0</v>
      </c>
      <c r="AB1815" s="5">
        <v>0</v>
      </c>
      <c r="AC1815" s="5">
        <v>0</v>
      </c>
      <c r="AD1815" s="5">
        <v>0</v>
      </c>
      <c r="AE1815" s="10" t="s">
        <v>73</v>
      </c>
      <c r="AF1815" s="10"/>
      <c r="AG1815" s="10" t="s">
        <v>64</v>
      </c>
      <c r="AH1815" s="10">
        <v>41838</v>
      </c>
      <c r="AI1815" s="5">
        <v>0</v>
      </c>
      <c r="AJ1815" s="10" t="s">
        <v>10116</v>
      </c>
      <c r="AK1815" s="10" t="s">
        <v>10117</v>
      </c>
    </row>
    <row r="1816" spans="1:37" ht="36.75" customHeight="1" x14ac:dyDescent="0.35">
      <c r="A1816" s="5"/>
      <c r="B1816" s="5" t="s">
        <v>37</v>
      </c>
      <c r="C1816" s="73" t="str">
        <f t="shared" si="28"/>
        <v>Closed</v>
      </c>
      <c r="D1816" s="45" t="s">
        <v>10118</v>
      </c>
      <c r="E1816" s="54" t="s">
        <v>10119</v>
      </c>
      <c r="F1816" s="5" t="s">
        <v>816</v>
      </c>
      <c r="G1816" s="10">
        <f>DATE(2014,7,19)</f>
        <v>41839</v>
      </c>
      <c r="H1816" s="35">
        <v>1.6493055555555556</v>
      </c>
      <c r="I1816" s="5" t="s">
        <v>55</v>
      </c>
      <c r="J1816" s="10" t="s">
        <v>10120</v>
      </c>
      <c r="K1816" s="5" t="s">
        <v>818</v>
      </c>
      <c r="L1816" s="5" t="s">
        <v>10121</v>
      </c>
      <c r="M1816" s="5" t="s">
        <v>9897</v>
      </c>
      <c r="N1816" s="5" t="s">
        <v>80</v>
      </c>
      <c r="O1816" s="5" t="s">
        <v>46</v>
      </c>
      <c r="P1816" s="10" t="s">
        <v>146</v>
      </c>
      <c r="Q1816" s="10">
        <v>0</v>
      </c>
      <c r="R1816" s="10">
        <v>0</v>
      </c>
      <c r="S1816" s="5">
        <v>0</v>
      </c>
      <c r="T1816" s="37">
        <v>0</v>
      </c>
      <c r="U1816" s="5">
        <v>0</v>
      </c>
      <c r="V1816" s="37">
        <v>0</v>
      </c>
      <c r="W1816" s="5">
        <v>0</v>
      </c>
      <c r="X1816" s="5">
        <v>0</v>
      </c>
      <c r="Y1816" s="5">
        <v>0</v>
      </c>
      <c r="Z1816" s="37">
        <v>0</v>
      </c>
      <c r="AA1816" s="5">
        <v>0</v>
      </c>
      <c r="AB1816" s="5">
        <v>0</v>
      </c>
      <c r="AC1816" s="5">
        <v>0</v>
      </c>
      <c r="AD1816" s="5">
        <v>0</v>
      </c>
      <c r="AE1816" s="10" t="s">
        <v>73</v>
      </c>
      <c r="AF1816" s="10"/>
      <c r="AG1816" s="10" t="s">
        <v>64</v>
      </c>
      <c r="AH1816" s="10">
        <v>41839</v>
      </c>
      <c r="AI1816" s="5">
        <v>0</v>
      </c>
      <c r="AJ1816" s="10" t="s">
        <v>10083</v>
      </c>
      <c r="AK1816" s="10" t="s">
        <v>50</v>
      </c>
    </row>
    <row r="1817" spans="1:37" ht="36.75" customHeight="1" x14ac:dyDescent="0.35">
      <c r="A1817" s="5"/>
      <c r="B1817" s="5" t="s">
        <v>37</v>
      </c>
      <c r="C1817" s="73" t="str">
        <f t="shared" si="28"/>
        <v>Closed</v>
      </c>
      <c r="D1817" s="45" t="s">
        <v>10122</v>
      </c>
      <c r="E1817" s="54" t="s">
        <v>10123</v>
      </c>
      <c r="F1817" s="5" t="s">
        <v>816</v>
      </c>
      <c r="G1817" s="10">
        <f>DATE(2014,7,19)</f>
        <v>41839</v>
      </c>
      <c r="H1817" s="35">
        <v>1.6124999999999998</v>
      </c>
      <c r="I1817" s="5" t="s">
        <v>85</v>
      </c>
      <c r="J1817" s="10" t="s">
        <v>10124</v>
      </c>
      <c r="K1817" s="5" t="s">
        <v>818</v>
      </c>
      <c r="L1817" s="5" t="s">
        <v>10125</v>
      </c>
      <c r="M1817" s="5" t="s">
        <v>45</v>
      </c>
      <c r="N1817" s="5" t="s">
        <v>123</v>
      </c>
      <c r="O1817" s="5" t="s">
        <v>59</v>
      </c>
      <c r="P1817" s="10" t="s">
        <v>146</v>
      </c>
      <c r="Q1817" s="10" t="s">
        <v>2142</v>
      </c>
      <c r="R1817" s="10" t="s">
        <v>821</v>
      </c>
      <c r="S1817" s="5">
        <v>0</v>
      </c>
      <c r="T1817" s="37">
        <v>0</v>
      </c>
      <c r="U1817" s="5">
        <v>0</v>
      </c>
      <c r="V1817" s="37">
        <v>0</v>
      </c>
      <c r="W1817" s="5">
        <v>0</v>
      </c>
      <c r="X1817" s="5">
        <v>0</v>
      </c>
      <c r="Y1817" s="5">
        <v>0</v>
      </c>
      <c r="Z1817" s="37">
        <v>0</v>
      </c>
      <c r="AA1817" s="5">
        <v>0</v>
      </c>
      <c r="AB1817" s="5">
        <v>0</v>
      </c>
      <c r="AC1817" s="5">
        <v>0</v>
      </c>
      <c r="AD1817" s="5">
        <v>0</v>
      </c>
      <c r="AE1817" s="10" t="s">
        <v>73</v>
      </c>
      <c r="AF1817" s="10"/>
      <c r="AG1817" s="10" t="s">
        <v>114</v>
      </c>
      <c r="AH1817" s="10">
        <v>41971</v>
      </c>
      <c r="AI1817" s="5">
        <v>3</v>
      </c>
      <c r="AJ1817" s="10" t="s">
        <v>10126</v>
      </c>
      <c r="AK1817" s="10" t="s">
        <v>10127</v>
      </c>
    </row>
    <row r="1818" spans="1:37" ht="36.75" customHeight="1" x14ac:dyDescent="0.35">
      <c r="A1818" s="5"/>
      <c r="B1818" s="5" t="s">
        <v>37</v>
      </c>
      <c r="C1818" s="73" t="str">
        <f t="shared" si="28"/>
        <v>Closed</v>
      </c>
      <c r="D1818" s="45" t="s">
        <v>10128</v>
      </c>
      <c r="E1818" s="54" t="s">
        <v>10129</v>
      </c>
      <c r="F1818" s="5" t="s">
        <v>119</v>
      </c>
      <c r="G1818" s="10">
        <f>DATE(2014,7,22)</f>
        <v>41842</v>
      </c>
      <c r="H1818" s="35">
        <v>1.8125</v>
      </c>
      <c r="I1818" s="5" t="s">
        <v>2244</v>
      </c>
      <c r="J1818" s="10" t="s">
        <v>10130</v>
      </c>
      <c r="K1818" s="5" t="s">
        <v>121</v>
      </c>
      <c r="L1818" s="5" t="s">
        <v>10131</v>
      </c>
      <c r="M1818" s="5" t="s">
        <v>45</v>
      </c>
      <c r="N1818" s="5" t="s">
        <v>80</v>
      </c>
      <c r="O1818" s="5" t="s">
        <v>59</v>
      </c>
      <c r="P1818" s="10" t="s">
        <v>10132</v>
      </c>
      <c r="Q1818" s="10" t="s">
        <v>10133</v>
      </c>
      <c r="R1818" s="10" t="s">
        <v>4913</v>
      </c>
      <c r="S1818" s="5">
        <v>0</v>
      </c>
      <c r="T1818" s="37">
        <v>0</v>
      </c>
      <c r="U1818" s="5">
        <v>0</v>
      </c>
      <c r="V1818" s="37">
        <v>0</v>
      </c>
      <c r="W1818" s="5">
        <v>0</v>
      </c>
      <c r="X1818" s="5">
        <v>0</v>
      </c>
      <c r="Y1818" s="5">
        <v>0</v>
      </c>
      <c r="Z1818" s="37">
        <v>0</v>
      </c>
      <c r="AA1818" s="5">
        <v>0</v>
      </c>
      <c r="AB1818" s="5">
        <v>0</v>
      </c>
      <c r="AC1818" s="5">
        <v>0</v>
      </c>
      <c r="AD1818" s="5">
        <v>0</v>
      </c>
      <c r="AE1818" s="10" t="s">
        <v>73</v>
      </c>
      <c r="AF1818" s="10"/>
      <c r="AG1818" s="10" t="s">
        <v>114</v>
      </c>
      <c r="AH1818" s="10">
        <v>41843</v>
      </c>
      <c r="AI1818" s="5">
        <v>1</v>
      </c>
      <c r="AJ1818" s="10" t="s">
        <v>10134</v>
      </c>
      <c r="AK1818" s="10" t="s">
        <v>10135</v>
      </c>
    </row>
    <row r="1819" spans="1:37" ht="36.75" customHeight="1" x14ac:dyDescent="0.35">
      <c r="A1819" s="5"/>
      <c r="B1819" s="5" t="s">
        <v>37</v>
      </c>
      <c r="C1819" s="73" t="str">
        <f t="shared" si="28"/>
        <v>Closed</v>
      </c>
      <c r="D1819" s="45" t="s">
        <v>10136</v>
      </c>
      <c r="E1819" s="54" t="s">
        <v>10137</v>
      </c>
      <c r="F1819" s="5" t="s">
        <v>404</v>
      </c>
      <c r="G1819" s="10">
        <f>DATE(2014,7,26)</f>
        <v>41846</v>
      </c>
      <c r="H1819" s="35">
        <v>1.3277777777777777</v>
      </c>
      <c r="I1819" s="5" t="s">
        <v>97</v>
      </c>
      <c r="J1819" s="10" t="s">
        <v>10138</v>
      </c>
      <c r="K1819" s="5" t="s">
        <v>406</v>
      </c>
      <c r="L1819" s="5" t="s">
        <v>10139</v>
      </c>
      <c r="M1819" s="5" t="s">
        <v>45</v>
      </c>
      <c r="N1819" s="5" t="s">
        <v>80</v>
      </c>
      <c r="O1819" s="5" t="s">
        <v>46</v>
      </c>
      <c r="P1819" s="10" t="s">
        <v>146</v>
      </c>
      <c r="Q1819" s="10" t="s">
        <v>408</v>
      </c>
      <c r="R1819" s="10" t="s">
        <v>3083</v>
      </c>
      <c r="S1819" s="5">
        <v>0</v>
      </c>
      <c r="T1819" s="37">
        <v>0</v>
      </c>
      <c r="U1819" s="5">
        <v>1</v>
      </c>
      <c r="V1819" s="37">
        <v>0</v>
      </c>
      <c r="W1819" s="5">
        <v>0</v>
      </c>
      <c r="X1819" s="5">
        <v>1</v>
      </c>
      <c r="Y1819" s="5">
        <v>0</v>
      </c>
      <c r="Z1819" s="37">
        <v>0</v>
      </c>
      <c r="AA1819" s="5">
        <v>1</v>
      </c>
      <c r="AB1819" s="5">
        <v>0</v>
      </c>
      <c r="AC1819" s="5">
        <v>0</v>
      </c>
      <c r="AD1819" s="5">
        <v>1</v>
      </c>
      <c r="AE1819" s="10" t="s">
        <v>73</v>
      </c>
      <c r="AF1819" s="10"/>
      <c r="AG1819" s="10" t="s">
        <v>114</v>
      </c>
      <c r="AH1819" s="10">
        <v>41767</v>
      </c>
      <c r="AI1819" s="5">
        <v>2</v>
      </c>
      <c r="AJ1819" s="10" t="s">
        <v>10140</v>
      </c>
      <c r="AK1819" s="10" t="s">
        <v>10141</v>
      </c>
    </row>
    <row r="1820" spans="1:37" ht="36.75" customHeight="1" x14ac:dyDescent="0.35">
      <c r="A1820" s="5"/>
      <c r="B1820" s="5" t="s">
        <v>37</v>
      </c>
      <c r="C1820" s="73" t="str">
        <f t="shared" si="28"/>
        <v>Closed</v>
      </c>
      <c r="D1820" s="45" t="s">
        <v>10142</v>
      </c>
      <c r="E1820" s="54" t="s">
        <v>10143</v>
      </c>
      <c r="F1820" s="5" t="s">
        <v>404</v>
      </c>
      <c r="G1820" s="10">
        <f>DATE(2014,7,27)</f>
        <v>41847</v>
      </c>
      <c r="H1820" s="35">
        <v>1.7347222222222221</v>
      </c>
      <c r="I1820" s="5" t="s">
        <v>85</v>
      </c>
      <c r="J1820" s="10" t="s">
        <v>10144</v>
      </c>
      <c r="K1820" s="5" t="s">
        <v>406</v>
      </c>
      <c r="L1820" s="5" t="s">
        <v>8334</v>
      </c>
      <c r="M1820" s="5" t="s">
        <v>45</v>
      </c>
      <c r="N1820" s="5" t="s">
        <v>70</v>
      </c>
      <c r="O1820" s="5" t="s">
        <v>59</v>
      </c>
      <c r="P1820" s="10" t="s">
        <v>5303</v>
      </c>
      <c r="Q1820" s="10" t="s">
        <v>408</v>
      </c>
      <c r="R1820" s="10" t="s">
        <v>3083</v>
      </c>
      <c r="S1820" s="5">
        <v>0</v>
      </c>
      <c r="T1820" s="37">
        <v>0</v>
      </c>
      <c r="U1820" s="5">
        <v>0</v>
      </c>
      <c r="V1820" s="37">
        <v>0</v>
      </c>
      <c r="W1820" s="5">
        <v>0</v>
      </c>
      <c r="X1820" s="5">
        <v>0</v>
      </c>
      <c r="Y1820" s="5">
        <v>0</v>
      </c>
      <c r="Z1820" s="37">
        <v>0</v>
      </c>
      <c r="AA1820" s="5">
        <v>0</v>
      </c>
      <c r="AB1820" s="5">
        <v>0</v>
      </c>
      <c r="AC1820" s="5">
        <v>0</v>
      </c>
      <c r="AD1820" s="5">
        <v>0</v>
      </c>
      <c r="AE1820" s="10" t="s">
        <v>73</v>
      </c>
      <c r="AF1820" s="10"/>
      <c r="AG1820" s="10" t="s">
        <v>114</v>
      </c>
      <c r="AH1820" s="10">
        <v>41767</v>
      </c>
      <c r="AI1820" s="5">
        <v>2</v>
      </c>
      <c r="AJ1820" s="10" t="s">
        <v>10145</v>
      </c>
      <c r="AK1820" s="10" t="s">
        <v>10146</v>
      </c>
    </row>
    <row r="1821" spans="1:37" ht="36.75" customHeight="1" x14ac:dyDescent="0.35">
      <c r="A1821" s="5"/>
      <c r="B1821" s="5" t="s">
        <v>37</v>
      </c>
      <c r="C1821" s="73" t="str">
        <f t="shared" si="28"/>
        <v>Closed</v>
      </c>
      <c r="D1821" s="45" t="s">
        <v>10147</v>
      </c>
      <c r="E1821" s="54" t="s">
        <v>10148</v>
      </c>
      <c r="F1821" s="5" t="s">
        <v>1751</v>
      </c>
      <c r="G1821" s="10">
        <f>DATE(2014,7,28)</f>
        <v>41848</v>
      </c>
      <c r="H1821" s="35">
        <v>1.8895833333333334</v>
      </c>
      <c r="I1821" s="5" t="s">
        <v>5473</v>
      </c>
      <c r="J1821" s="10" t="s">
        <v>10149</v>
      </c>
      <c r="K1821" s="5" t="s">
        <v>1753</v>
      </c>
      <c r="L1821" s="5" t="s">
        <v>10150</v>
      </c>
      <c r="M1821" s="5" t="s">
        <v>45</v>
      </c>
      <c r="N1821" s="5" t="s">
        <v>70</v>
      </c>
      <c r="O1821" s="5" t="s">
        <v>59</v>
      </c>
      <c r="P1821" s="10" t="s">
        <v>146</v>
      </c>
      <c r="Q1821" s="10" t="s">
        <v>1755</v>
      </c>
      <c r="R1821" s="10" t="s">
        <v>1756</v>
      </c>
      <c r="S1821" s="5">
        <v>0</v>
      </c>
      <c r="T1821" s="37">
        <v>0</v>
      </c>
      <c r="U1821" s="5">
        <v>0</v>
      </c>
      <c r="V1821" s="37">
        <v>0</v>
      </c>
      <c r="W1821" s="5">
        <v>0</v>
      </c>
      <c r="X1821" s="5">
        <v>0</v>
      </c>
      <c r="Y1821" s="5">
        <v>0</v>
      </c>
      <c r="Z1821" s="37">
        <v>0</v>
      </c>
      <c r="AA1821" s="5">
        <v>0</v>
      </c>
      <c r="AB1821" s="5">
        <v>0</v>
      </c>
      <c r="AC1821" s="5">
        <v>0</v>
      </c>
      <c r="AD1821" s="5">
        <v>0</v>
      </c>
      <c r="AE1821" s="10" t="s">
        <v>73</v>
      </c>
      <c r="AF1821" s="10"/>
      <c r="AG1821" s="10" t="s">
        <v>570</v>
      </c>
      <c r="AH1821" s="10">
        <v>41872</v>
      </c>
      <c r="AI1821" s="5">
        <v>0</v>
      </c>
      <c r="AJ1821" s="10" t="s">
        <v>10151</v>
      </c>
      <c r="AK1821" s="10" t="s">
        <v>1215</v>
      </c>
    </row>
    <row r="1822" spans="1:37" ht="36.75" customHeight="1" x14ac:dyDescent="0.35">
      <c r="A1822" s="5"/>
      <c r="B1822" s="5" t="s">
        <v>37</v>
      </c>
      <c r="C1822" s="73" t="str">
        <f t="shared" si="28"/>
        <v>Closed</v>
      </c>
      <c r="D1822" s="45" t="s">
        <v>10152</v>
      </c>
      <c r="E1822" s="54" t="s">
        <v>10153</v>
      </c>
      <c r="F1822" s="5" t="s">
        <v>563</v>
      </c>
      <c r="G1822" s="10">
        <f>DATE(2014,8,1)</f>
        <v>41852</v>
      </c>
      <c r="H1822" s="35">
        <v>1.8687499999999999</v>
      </c>
      <c r="I1822" s="5" t="s">
        <v>179</v>
      </c>
      <c r="J1822" s="10" t="s">
        <v>10154</v>
      </c>
      <c r="K1822" s="5" t="s">
        <v>565</v>
      </c>
      <c r="L1822" s="5" t="s">
        <v>10155</v>
      </c>
      <c r="M1822" s="5" t="s">
        <v>45</v>
      </c>
      <c r="N1822" s="5" t="s">
        <v>123</v>
      </c>
      <c r="O1822" s="5" t="s">
        <v>59</v>
      </c>
      <c r="P1822" s="10" t="s">
        <v>60</v>
      </c>
      <c r="Q1822" s="10" t="s">
        <v>10156</v>
      </c>
      <c r="R1822" s="10" t="s">
        <v>568</v>
      </c>
      <c r="S1822" s="5">
        <v>0</v>
      </c>
      <c r="T1822" s="37">
        <v>0</v>
      </c>
      <c r="U1822" s="5">
        <v>0</v>
      </c>
      <c r="V1822" s="37">
        <v>0</v>
      </c>
      <c r="W1822" s="5">
        <v>0</v>
      </c>
      <c r="X1822" s="5">
        <v>0</v>
      </c>
      <c r="Y1822" s="5">
        <v>4</v>
      </c>
      <c r="Z1822" s="37">
        <v>0</v>
      </c>
      <c r="AA1822" s="5">
        <v>0</v>
      </c>
      <c r="AB1822" s="5">
        <v>0</v>
      </c>
      <c r="AC1822" s="5">
        <v>0</v>
      </c>
      <c r="AD1822" s="5">
        <v>4</v>
      </c>
      <c r="AE1822" s="10" t="s">
        <v>126</v>
      </c>
      <c r="AF1822" s="10"/>
      <c r="AG1822" s="10" t="s">
        <v>64</v>
      </c>
      <c r="AH1822" s="10">
        <v>41852</v>
      </c>
      <c r="AI1822" s="5">
        <v>2</v>
      </c>
      <c r="AJ1822" s="10" t="s">
        <v>10157</v>
      </c>
      <c r="AK1822" s="10" t="s">
        <v>1215</v>
      </c>
    </row>
    <row r="1823" spans="1:37" ht="36.75" customHeight="1" x14ac:dyDescent="0.35">
      <c r="A1823" s="5"/>
      <c r="B1823" s="5" t="s">
        <v>37</v>
      </c>
      <c r="C1823" s="73" t="str">
        <f t="shared" si="28"/>
        <v>Closed</v>
      </c>
      <c r="D1823" s="45" t="s">
        <v>10158</v>
      </c>
      <c r="E1823" s="54" t="s">
        <v>10159</v>
      </c>
      <c r="F1823" s="5" t="s">
        <v>1553</v>
      </c>
      <c r="G1823" s="10">
        <f>DATE(2014,8,2)</f>
        <v>41853</v>
      </c>
      <c r="H1823" s="35">
        <v>1.2256944444444444</v>
      </c>
      <c r="I1823" s="5" t="s">
        <v>179</v>
      </c>
      <c r="J1823" s="10" t="s">
        <v>10160</v>
      </c>
      <c r="K1823" s="5" t="s">
        <v>1555</v>
      </c>
      <c r="L1823" s="5" t="s">
        <v>10161</v>
      </c>
      <c r="M1823" s="5" t="s">
        <v>45</v>
      </c>
      <c r="N1823" s="5" t="s">
        <v>123</v>
      </c>
      <c r="O1823" s="5" t="s">
        <v>59</v>
      </c>
      <c r="P1823" s="10" t="s">
        <v>60</v>
      </c>
      <c r="Q1823" s="10" t="s">
        <v>5598</v>
      </c>
      <c r="R1823" s="10" t="s">
        <v>6413</v>
      </c>
      <c r="S1823" s="5">
        <v>0</v>
      </c>
      <c r="T1823" s="37">
        <v>0</v>
      </c>
      <c r="U1823" s="5">
        <v>0</v>
      </c>
      <c r="V1823" s="37">
        <v>0</v>
      </c>
      <c r="W1823" s="5">
        <v>0</v>
      </c>
      <c r="X1823" s="5">
        <v>0</v>
      </c>
      <c r="Y1823" s="5">
        <v>0</v>
      </c>
      <c r="Z1823" s="37">
        <v>0</v>
      </c>
      <c r="AA1823" s="5">
        <v>0</v>
      </c>
      <c r="AB1823" s="5">
        <v>0</v>
      </c>
      <c r="AC1823" s="5">
        <v>0</v>
      </c>
      <c r="AD1823" s="5">
        <v>0</v>
      </c>
      <c r="AE1823" s="10" t="s">
        <v>126</v>
      </c>
      <c r="AF1823" s="10"/>
      <c r="AG1823" s="10" t="s">
        <v>64</v>
      </c>
      <c r="AH1823" s="10">
        <v>41855</v>
      </c>
      <c r="AI1823" s="5">
        <v>3</v>
      </c>
      <c r="AJ1823" s="10" t="s">
        <v>10162</v>
      </c>
      <c r="AK1823" s="10" t="s">
        <v>10163</v>
      </c>
    </row>
    <row r="1824" spans="1:37" ht="36.75" customHeight="1" x14ac:dyDescent="0.35">
      <c r="A1824" s="5"/>
      <c r="B1824" s="5" t="s">
        <v>37</v>
      </c>
      <c r="C1824" s="73" t="str">
        <f t="shared" si="28"/>
        <v>Closed</v>
      </c>
      <c r="D1824" s="45" t="s">
        <v>10164</v>
      </c>
      <c r="E1824" s="54" t="s">
        <v>10165</v>
      </c>
      <c r="F1824" s="5" t="s">
        <v>1553</v>
      </c>
      <c r="G1824" s="10">
        <f>DATE(2014,8,4)</f>
        <v>41855</v>
      </c>
      <c r="H1824" s="35">
        <v>1.8104166666666668</v>
      </c>
      <c r="I1824" s="5" t="s">
        <v>55</v>
      </c>
      <c r="J1824" s="10" t="s">
        <v>10166</v>
      </c>
      <c r="K1824" s="5" t="s">
        <v>1555</v>
      </c>
      <c r="L1824" s="5" t="s">
        <v>10167</v>
      </c>
      <c r="M1824" s="5" t="s">
        <v>45</v>
      </c>
      <c r="N1824" s="5" t="s">
        <v>123</v>
      </c>
      <c r="O1824" s="5" t="s">
        <v>59</v>
      </c>
      <c r="P1824" s="10" t="s">
        <v>60</v>
      </c>
      <c r="Q1824" s="10" t="s">
        <v>9053</v>
      </c>
      <c r="R1824" s="10" t="s">
        <v>6413</v>
      </c>
      <c r="S1824" s="5">
        <v>0</v>
      </c>
      <c r="T1824" s="37">
        <v>0</v>
      </c>
      <c r="U1824" s="5">
        <v>0</v>
      </c>
      <c r="V1824" s="37">
        <v>0</v>
      </c>
      <c r="W1824" s="5">
        <v>0</v>
      </c>
      <c r="X1824" s="5">
        <v>0</v>
      </c>
      <c r="Y1824" s="5">
        <v>0</v>
      </c>
      <c r="Z1824" s="37">
        <v>0</v>
      </c>
      <c r="AA1824" s="5">
        <v>0</v>
      </c>
      <c r="AB1824" s="5">
        <v>0</v>
      </c>
      <c r="AC1824" s="5">
        <v>0</v>
      </c>
      <c r="AD1824" s="5">
        <v>0</v>
      </c>
      <c r="AE1824" s="10" t="s">
        <v>73</v>
      </c>
      <c r="AF1824" s="10"/>
      <c r="AG1824" s="10" t="s">
        <v>114</v>
      </c>
      <c r="AH1824" s="10">
        <v>41856</v>
      </c>
      <c r="AI1824" s="5">
        <v>0</v>
      </c>
      <c r="AJ1824" s="10" t="s">
        <v>10168</v>
      </c>
      <c r="AK1824" s="10" t="s">
        <v>1215</v>
      </c>
    </row>
    <row r="1825" spans="1:37" ht="36.75" customHeight="1" x14ac:dyDescent="0.35">
      <c r="A1825" s="5"/>
      <c r="B1825" s="5" t="s">
        <v>37</v>
      </c>
      <c r="C1825" s="73" t="str">
        <f t="shared" si="28"/>
        <v>Closed</v>
      </c>
      <c r="D1825" s="45" t="s">
        <v>10169</v>
      </c>
      <c r="E1825" s="54" t="s">
        <v>10170</v>
      </c>
      <c r="F1825" s="5" t="s">
        <v>619</v>
      </c>
      <c r="G1825" s="10">
        <f>DATE(2014,8,6)</f>
        <v>41857</v>
      </c>
      <c r="H1825" s="35">
        <v>1.9201388888888888</v>
      </c>
      <c r="I1825" s="5" t="s">
        <v>106</v>
      </c>
      <c r="J1825" s="10" t="s">
        <v>10171</v>
      </c>
      <c r="K1825" s="5" t="s">
        <v>621</v>
      </c>
      <c r="L1825" s="5" t="s">
        <v>10172</v>
      </c>
      <c r="M1825" s="5" t="s">
        <v>45</v>
      </c>
      <c r="N1825" s="5" t="s">
        <v>123</v>
      </c>
      <c r="O1825" s="5" t="s">
        <v>46</v>
      </c>
      <c r="P1825" s="10" t="s">
        <v>47</v>
      </c>
      <c r="Q1825" s="10" t="s">
        <v>623</v>
      </c>
      <c r="R1825" s="10" t="s">
        <v>624</v>
      </c>
      <c r="S1825" s="5">
        <v>0</v>
      </c>
      <c r="T1825" s="37">
        <v>0</v>
      </c>
      <c r="U1825" s="5">
        <v>0</v>
      </c>
      <c r="V1825" s="37">
        <v>0</v>
      </c>
      <c r="W1825" s="5">
        <v>0</v>
      </c>
      <c r="X1825" s="5">
        <v>0</v>
      </c>
      <c r="Y1825" s="5">
        <v>0</v>
      </c>
      <c r="Z1825" s="37">
        <v>0</v>
      </c>
      <c r="AA1825" s="5">
        <v>0</v>
      </c>
      <c r="AB1825" s="5">
        <v>0</v>
      </c>
      <c r="AC1825" s="5">
        <v>0</v>
      </c>
      <c r="AD1825" s="5">
        <v>0</v>
      </c>
      <c r="AE1825" s="10" t="s">
        <v>73</v>
      </c>
      <c r="AF1825" s="10"/>
      <c r="AG1825" s="10" t="s">
        <v>114</v>
      </c>
      <c r="AH1825" s="10">
        <v>41905</v>
      </c>
      <c r="AI1825" s="5">
        <v>2</v>
      </c>
      <c r="AJ1825" s="10" t="s">
        <v>10173</v>
      </c>
      <c r="AK1825" s="10" t="s">
        <v>50</v>
      </c>
    </row>
    <row r="1826" spans="1:37" ht="36.75" customHeight="1" x14ac:dyDescent="0.35">
      <c r="A1826" s="5"/>
      <c r="B1826" s="5" t="s">
        <v>37</v>
      </c>
      <c r="C1826" s="73" t="str">
        <f t="shared" si="28"/>
        <v>Closed</v>
      </c>
      <c r="D1826" s="45" t="s">
        <v>10174</v>
      </c>
      <c r="E1826" s="54" t="s">
        <v>10175</v>
      </c>
      <c r="F1826" s="5" t="s">
        <v>2581</v>
      </c>
      <c r="G1826" s="10">
        <f>DATE(2014,8,7)</f>
        <v>41858</v>
      </c>
      <c r="H1826" s="35">
        <v>1.7604166666666665</v>
      </c>
      <c r="I1826" s="5" t="s">
        <v>106</v>
      </c>
      <c r="J1826" s="10" t="s">
        <v>10176</v>
      </c>
      <c r="K1826" s="5" t="s">
        <v>2583</v>
      </c>
      <c r="L1826" s="5" t="s">
        <v>10177</v>
      </c>
      <c r="M1826" s="5" t="s">
        <v>45</v>
      </c>
      <c r="N1826" s="5" t="s">
        <v>123</v>
      </c>
      <c r="O1826" s="5" t="s">
        <v>46</v>
      </c>
      <c r="P1826" s="10" t="s">
        <v>443</v>
      </c>
      <c r="Q1826" s="10" t="s">
        <v>6321</v>
      </c>
      <c r="R1826" s="10" t="s">
        <v>2586</v>
      </c>
      <c r="S1826" s="5">
        <v>0</v>
      </c>
      <c r="T1826" s="37">
        <v>0</v>
      </c>
      <c r="U1826" s="5">
        <v>0</v>
      </c>
      <c r="V1826" s="37">
        <v>0</v>
      </c>
      <c r="W1826" s="5">
        <v>0</v>
      </c>
      <c r="X1826" s="5">
        <v>0</v>
      </c>
      <c r="Y1826" s="5">
        <v>0</v>
      </c>
      <c r="Z1826" s="37">
        <v>0</v>
      </c>
      <c r="AA1826" s="5">
        <v>0</v>
      </c>
      <c r="AB1826" s="5">
        <v>0</v>
      </c>
      <c r="AC1826" s="5">
        <v>0</v>
      </c>
      <c r="AD1826" s="5">
        <v>0</v>
      </c>
      <c r="AE1826" s="10" t="s">
        <v>73</v>
      </c>
      <c r="AF1826" s="10"/>
      <c r="AG1826" s="10" t="s">
        <v>114</v>
      </c>
      <c r="AH1826" s="10">
        <v>41859</v>
      </c>
      <c r="AI1826" s="5">
        <v>3</v>
      </c>
      <c r="AJ1826" s="10" t="s">
        <v>10178</v>
      </c>
      <c r="AK1826" s="10" t="s">
        <v>10179</v>
      </c>
    </row>
    <row r="1827" spans="1:37" ht="36.75" customHeight="1" x14ac:dyDescent="0.35">
      <c r="A1827" s="5"/>
      <c r="B1827" s="5" t="s">
        <v>37</v>
      </c>
      <c r="C1827" s="73" t="str">
        <f t="shared" si="28"/>
        <v>Closed</v>
      </c>
      <c r="D1827" s="45" t="s">
        <v>10180</v>
      </c>
      <c r="E1827" s="54" t="s">
        <v>10181</v>
      </c>
      <c r="F1827" s="5" t="s">
        <v>563</v>
      </c>
      <c r="G1827" s="10">
        <f>DATE(2014,8,8)</f>
        <v>41859</v>
      </c>
      <c r="H1827" s="35">
        <v>1.0118055555555556</v>
      </c>
      <c r="I1827" s="5" t="s">
        <v>55</v>
      </c>
      <c r="J1827" s="10" t="s">
        <v>10182</v>
      </c>
      <c r="K1827" s="5" t="s">
        <v>565</v>
      </c>
      <c r="L1827" s="5" t="s">
        <v>10183</v>
      </c>
      <c r="M1827" s="5" t="s">
        <v>45</v>
      </c>
      <c r="N1827" s="5" t="s">
        <v>123</v>
      </c>
      <c r="O1827" s="5" t="s">
        <v>59</v>
      </c>
      <c r="P1827" s="10" t="s">
        <v>60</v>
      </c>
      <c r="Q1827" s="10" t="s">
        <v>567</v>
      </c>
      <c r="R1827" s="10" t="s">
        <v>568</v>
      </c>
      <c r="S1827" s="5">
        <v>0</v>
      </c>
      <c r="T1827" s="37">
        <v>0</v>
      </c>
      <c r="U1827" s="5">
        <v>0</v>
      </c>
      <c r="V1827" s="37">
        <v>0</v>
      </c>
      <c r="W1827" s="5">
        <v>0</v>
      </c>
      <c r="X1827" s="5">
        <v>0</v>
      </c>
      <c r="Y1827" s="5">
        <v>0</v>
      </c>
      <c r="Z1827" s="37">
        <v>0</v>
      </c>
      <c r="AA1827" s="5">
        <v>0</v>
      </c>
      <c r="AB1827" s="5">
        <v>0</v>
      </c>
      <c r="AC1827" s="5">
        <v>0</v>
      </c>
      <c r="AD1827" s="5">
        <v>0</v>
      </c>
      <c r="AE1827" s="10" t="s">
        <v>375</v>
      </c>
      <c r="AF1827" s="10"/>
      <c r="AG1827" s="10" t="s">
        <v>114</v>
      </c>
      <c r="AH1827" s="10">
        <v>41863</v>
      </c>
      <c r="AI1827" s="5">
        <v>0</v>
      </c>
      <c r="AJ1827" s="10" t="s">
        <v>10184</v>
      </c>
      <c r="AK1827" s="10" t="s">
        <v>1215</v>
      </c>
    </row>
    <row r="1828" spans="1:37" ht="36.75" customHeight="1" x14ac:dyDescent="0.35">
      <c r="A1828" s="5"/>
      <c r="B1828" s="5" t="s">
        <v>37</v>
      </c>
      <c r="C1828" s="73" t="str">
        <f t="shared" si="28"/>
        <v>Closed</v>
      </c>
      <c r="D1828" s="45" t="s">
        <v>10185</v>
      </c>
      <c r="E1828" s="54" t="s">
        <v>10186</v>
      </c>
      <c r="F1828" s="5" t="s">
        <v>816</v>
      </c>
      <c r="G1828" s="10">
        <f>DATE(2014,8,8)</f>
        <v>41859</v>
      </c>
      <c r="H1828" s="35">
        <v>1.5451388888888888</v>
      </c>
      <c r="I1828" s="5" t="s">
        <v>2244</v>
      </c>
      <c r="J1828" s="10" t="s">
        <v>10187</v>
      </c>
      <c r="K1828" s="5" t="s">
        <v>818</v>
      </c>
      <c r="L1828" s="5" t="s">
        <v>10188</v>
      </c>
      <c r="M1828" s="5" t="s">
        <v>45</v>
      </c>
      <c r="N1828" s="5" t="s">
        <v>80</v>
      </c>
      <c r="O1828" s="5" t="s">
        <v>59</v>
      </c>
      <c r="P1828" s="10" t="s">
        <v>146</v>
      </c>
      <c r="Q1828" s="10" t="s">
        <v>2142</v>
      </c>
      <c r="R1828" s="10" t="s">
        <v>821</v>
      </c>
      <c r="S1828" s="5">
        <v>0</v>
      </c>
      <c r="T1828" s="37">
        <v>0</v>
      </c>
      <c r="U1828" s="5">
        <v>0</v>
      </c>
      <c r="V1828" s="37">
        <v>0</v>
      </c>
      <c r="W1828" s="5">
        <v>0</v>
      </c>
      <c r="X1828" s="5">
        <v>0</v>
      </c>
      <c r="Y1828" s="5">
        <v>0</v>
      </c>
      <c r="Z1828" s="37">
        <v>0</v>
      </c>
      <c r="AA1828" s="5">
        <v>0</v>
      </c>
      <c r="AB1828" s="5">
        <v>0</v>
      </c>
      <c r="AC1828" s="5">
        <v>0</v>
      </c>
      <c r="AD1828" s="5">
        <v>0</v>
      </c>
      <c r="AE1828" s="10" t="s">
        <v>73</v>
      </c>
      <c r="AF1828" s="10"/>
      <c r="AG1828" s="10" t="s">
        <v>333</v>
      </c>
      <c r="AH1828" s="10">
        <v>41859</v>
      </c>
      <c r="AI1828" s="5">
        <v>0</v>
      </c>
      <c r="AJ1828" s="10" t="s">
        <v>8619</v>
      </c>
      <c r="AK1828" s="10" t="s">
        <v>50</v>
      </c>
    </row>
    <row r="1829" spans="1:37" ht="36.75" customHeight="1" x14ac:dyDescent="0.35">
      <c r="A1829" s="5"/>
      <c r="B1829" s="5" t="s">
        <v>37</v>
      </c>
      <c r="C1829" s="73" t="str">
        <f t="shared" si="28"/>
        <v>Closed</v>
      </c>
      <c r="D1829" s="45" t="s">
        <v>10189</v>
      </c>
      <c r="E1829" s="54" t="s">
        <v>10190</v>
      </c>
      <c r="F1829" s="5" t="s">
        <v>619</v>
      </c>
      <c r="G1829" s="10">
        <f>DATE(2014,8,11)</f>
        <v>41862</v>
      </c>
      <c r="H1829" s="35">
        <v>1.4624999999999999</v>
      </c>
      <c r="I1829" s="5" t="s">
        <v>5473</v>
      </c>
      <c r="J1829" s="10" t="s">
        <v>10191</v>
      </c>
      <c r="K1829" s="5" t="s">
        <v>621</v>
      </c>
      <c r="L1829" s="5" t="s">
        <v>10192</v>
      </c>
      <c r="M1829" s="5" t="s">
        <v>45</v>
      </c>
      <c r="N1829" s="5" t="s">
        <v>123</v>
      </c>
      <c r="O1829" s="5" t="s">
        <v>59</v>
      </c>
      <c r="P1829" s="10" t="s">
        <v>47</v>
      </c>
      <c r="Q1829" s="10" t="s">
        <v>623</v>
      </c>
      <c r="R1829" s="10" t="s">
        <v>624</v>
      </c>
      <c r="S1829" s="5">
        <v>0</v>
      </c>
      <c r="T1829" s="37">
        <v>0</v>
      </c>
      <c r="U1829" s="5">
        <v>0</v>
      </c>
      <c r="V1829" s="37">
        <v>0</v>
      </c>
      <c r="W1829" s="5">
        <v>0</v>
      </c>
      <c r="X1829" s="5">
        <v>0</v>
      </c>
      <c r="Y1829" s="5">
        <v>0</v>
      </c>
      <c r="Z1829" s="37">
        <v>0</v>
      </c>
      <c r="AA1829" s="5">
        <v>0</v>
      </c>
      <c r="AB1829" s="5">
        <v>0</v>
      </c>
      <c r="AC1829" s="5">
        <v>0</v>
      </c>
      <c r="AD1829" s="5">
        <v>0</v>
      </c>
      <c r="AE1829" s="10" t="s">
        <v>73</v>
      </c>
      <c r="AF1829" s="10"/>
      <c r="AG1829" s="10" t="s">
        <v>333</v>
      </c>
      <c r="AH1829" s="10">
        <v>41905</v>
      </c>
      <c r="AI1829" s="5">
        <v>2</v>
      </c>
      <c r="AJ1829" s="10" t="s">
        <v>10193</v>
      </c>
      <c r="AK1829" s="10" t="s">
        <v>50</v>
      </c>
    </row>
    <row r="1830" spans="1:37" ht="36.75" customHeight="1" x14ac:dyDescent="0.35">
      <c r="A1830" s="5"/>
      <c r="B1830" s="5" t="s">
        <v>37</v>
      </c>
      <c r="C1830" s="73" t="str">
        <f t="shared" si="28"/>
        <v>Closed</v>
      </c>
      <c r="D1830" s="45" t="s">
        <v>10194</v>
      </c>
      <c r="E1830" s="54" t="s">
        <v>10195</v>
      </c>
      <c r="F1830" s="5" t="s">
        <v>214</v>
      </c>
      <c r="G1830" s="10">
        <f>DATE(2014,8,11)</f>
        <v>41862</v>
      </c>
      <c r="H1830" s="35">
        <v>1.7888888888888888</v>
      </c>
      <c r="I1830" s="5" t="s">
        <v>106</v>
      </c>
      <c r="J1830" s="10" t="s">
        <v>10196</v>
      </c>
      <c r="K1830" s="5" t="s">
        <v>216</v>
      </c>
      <c r="L1830" s="5" t="s">
        <v>10197</v>
      </c>
      <c r="M1830" s="5" t="s">
        <v>110</v>
      </c>
      <c r="N1830" s="5" t="s">
        <v>123</v>
      </c>
      <c r="O1830" s="5" t="s">
        <v>59</v>
      </c>
      <c r="P1830" s="10" t="s">
        <v>110</v>
      </c>
      <c r="Q1830" s="10" t="s">
        <v>7378</v>
      </c>
      <c r="R1830" s="10">
        <v>0</v>
      </c>
      <c r="S1830" s="5">
        <v>0</v>
      </c>
      <c r="T1830" s="37">
        <v>0</v>
      </c>
      <c r="U1830" s="5">
        <v>0</v>
      </c>
      <c r="V1830" s="37">
        <v>0</v>
      </c>
      <c r="W1830" s="5">
        <v>0</v>
      </c>
      <c r="X1830" s="5">
        <v>0</v>
      </c>
      <c r="Y1830" s="5">
        <v>0</v>
      </c>
      <c r="Z1830" s="37">
        <v>0</v>
      </c>
      <c r="AA1830" s="5">
        <v>0</v>
      </c>
      <c r="AB1830" s="5">
        <v>0</v>
      </c>
      <c r="AC1830" s="5">
        <v>0</v>
      </c>
      <c r="AD1830" s="5">
        <v>0</v>
      </c>
      <c r="AE1830" s="10" t="s">
        <v>73</v>
      </c>
      <c r="AF1830" s="10"/>
      <c r="AG1830" s="10" t="s">
        <v>114</v>
      </c>
      <c r="AH1830" s="10">
        <v>41877</v>
      </c>
      <c r="AI1830" s="5">
        <v>3</v>
      </c>
      <c r="AJ1830" s="10" t="s">
        <v>10198</v>
      </c>
      <c r="AK1830" s="10" t="s">
        <v>10199</v>
      </c>
    </row>
    <row r="1831" spans="1:37" ht="36.75" customHeight="1" x14ac:dyDescent="0.35">
      <c r="A1831" s="5"/>
      <c r="B1831" s="5" t="s">
        <v>37</v>
      </c>
      <c r="C1831" s="73" t="str">
        <f t="shared" si="28"/>
        <v>Closed</v>
      </c>
      <c r="D1831" s="45" t="s">
        <v>10200</v>
      </c>
      <c r="E1831" s="54" t="s">
        <v>10201</v>
      </c>
      <c r="F1831" s="5" t="s">
        <v>1553</v>
      </c>
      <c r="G1831" s="10">
        <f>DATE(2014,8,22)</f>
        <v>41873</v>
      </c>
      <c r="H1831" s="35">
        <v>1.0034722222222223</v>
      </c>
      <c r="I1831" s="5" t="s">
        <v>55</v>
      </c>
      <c r="J1831" s="10" t="s">
        <v>10202</v>
      </c>
      <c r="K1831" s="5" t="s">
        <v>1555</v>
      </c>
      <c r="L1831" s="5" t="s">
        <v>10203</v>
      </c>
      <c r="M1831" s="5" t="s">
        <v>45</v>
      </c>
      <c r="N1831" s="5" t="s">
        <v>80</v>
      </c>
      <c r="O1831" s="5" t="s">
        <v>46</v>
      </c>
      <c r="P1831" s="10" t="s">
        <v>60</v>
      </c>
      <c r="Q1831" s="10" t="s">
        <v>2635</v>
      </c>
      <c r="R1831" s="10" t="s">
        <v>6413</v>
      </c>
      <c r="S1831" s="5">
        <v>0</v>
      </c>
      <c r="T1831" s="37">
        <v>0</v>
      </c>
      <c r="U1831" s="5">
        <v>0</v>
      </c>
      <c r="V1831" s="37">
        <v>0</v>
      </c>
      <c r="W1831" s="5">
        <v>0</v>
      </c>
      <c r="X1831" s="5">
        <v>0</v>
      </c>
      <c r="Y1831" s="5">
        <v>0</v>
      </c>
      <c r="Z1831" s="37">
        <v>0</v>
      </c>
      <c r="AA1831" s="5">
        <v>0</v>
      </c>
      <c r="AB1831" s="5">
        <v>0</v>
      </c>
      <c r="AC1831" s="5">
        <v>0</v>
      </c>
      <c r="AD1831" s="5">
        <v>0</v>
      </c>
      <c r="AE1831" s="10" t="s">
        <v>73</v>
      </c>
      <c r="AF1831" s="10"/>
      <c r="AG1831" s="10" t="s">
        <v>114</v>
      </c>
      <c r="AH1831" s="10">
        <v>41876</v>
      </c>
      <c r="AI1831" s="5">
        <v>1</v>
      </c>
      <c r="AJ1831" s="10" t="s">
        <v>10204</v>
      </c>
      <c r="AK1831" s="10" t="s">
        <v>10205</v>
      </c>
    </row>
    <row r="1832" spans="1:37" ht="36.75" customHeight="1" x14ac:dyDescent="0.35">
      <c r="A1832" s="5"/>
      <c r="B1832" s="5" t="s">
        <v>37</v>
      </c>
      <c r="C1832" s="73" t="str">
        <f t="shared" si="28"/>
        <v>Closed</v>
      </c>
      <c r="D1832" s="45" t="s">
        <v>10206</v>
      </c>
      <c r="E1832" s="54" t="s">
        <v>10207</v>
      </c>
      <c r="F1832" s="5" t="s">
        <v>816</v>
      </c>
      <c r="G1832" s="10">
        <f>DATE(2014,8,26)</f>
        <v>41877</v>
      </c>
      <c r="H1832" s="35">
        <v>1.2979166666666666</v>
      </c>
      <c r="I1832" s="5" t="s">
        <v>468</v>
      </c>
      <c r="J1832" s="10" t="s">
        <v>10208</v>
      </c>
      <c r="K1832" s="5" t="s">
        <v>818</v>
      </c>
      <c r="L1832" s="5" t="s">
        <v>10209</v>
      </c>
      <c r="M1832" s="5" t="s">
        <v>236</v>
      </c>
      <c r="N1832" s="5" t="s">
        <v>70</v>
      </c>
      <c r="O1832" s="5" t="s">
        <v>67</v>
      </c>
      <c r="P1832" s="10" t="s">
        <v>6531</v>
      </c>
      <c r="Q1832" s="10">
        <v>0</v>
      </c>
      <c r="R1832" s="10">
        <v>0</v>
      </c>
      <c r="S1832" s="5">
        <v>0</v>
      </c>
      <c r="T1832" s="37">
        <v>0</v>
      </c>
      <c r="U1832" s="5">
        <v>0</v>
      </c>
      <c r="V1832" s="37">
        <v>0</v>
      </c>
      <c r="W1832" s="5">
        <v>0</v>
      </c>
      <c r="X1832" s="5">
        <v>0</v>
      </c>
      <c r="Y1832" s="5">
        <v>0</v>
      </c>
      <c r="Z1832" s="37">
        <v>0</v>
      </c>
      <c r="AA1832" s="5">
        <v>0</v>
      </c>
      <c r="AB1832" s="5">
        <v>0</v>
      </c>
      <c r="AC1832" s="5">
        <v>0</v>
      </c>
      <c r="AD1832" s="5">
        <v>0</v>
      </c>
      <c r="AE1832" s="10" t="s">
        <v>73</v>
      </c>
      <c r="AF1832" s="10"/>
      <c r="AG1832" s="10" t="s">
        <v>348</v>
      </c>
      <c r="AH1832" s="10">
        <v>41877</v>
      </c>
      <c r="AI1832" s="5">
        <v>0</v>
      </c>
      <c r="AJ1832" s="10" t="s">
        <v>10210</v>
      </c>
      <c r="AK1832" s="10" t="s">
        <v>50</v>
      </c>
    </row>
    <row r="1833" spans="1:37" ht="36.75" customHeight="1" x14ac:dyDescent="0.35">
      <c r="A1833" s="5"/>
      <c r="B1833" s="5" t="s">
        <v>37</v>
      </c>
      <c r="C1833" s="73" t="str">
        <f t="shared" si="28"/>
        <v>Closed</v>
      </c>
      <c r="D1833" s="45" t="s">
        <v>10211</v>
      </c>
      <c r="E1833" s="54" t="s">
        <v>10212</v>
      </c>
      <c r="F1833" s="5" t="s">
        <v>605</v>
      </c>
      <c r="G1833" s="10">
        <f>DATE(2014,8,27)</f>
        <v>41878</v>
      </c>
      <c r="H1833" s="35">
        <v>1.6076388888888888</v>
      </c>
      <c r="I1833" s="5" t="s">
        <v>9004</v>
      </c>
      <c r="J1833" s="10" t="s">
        <v>9004</v>
      </c>
      <c r="K1833" s="5" t="s">
        <v>607</v>
      </c>
      <c r="L1833" s="5" t="s">
        <v>10213</v>
      </c>
      <c r="M1833" s="5" t="s">
        <v>45</v>
      </c>
      <c r="N1833" s="5" t="s">
        <v>80</v>
      </c>
      <c r="O1833" s="5" t="s">
        <v>46</v>
      </c>
      <c r="P1833" s="10" t="s">
        <v>146</v>
      </c>
      <c r="Q1833" s="10" t="s">
        <v>7160</v>
      </c>
      <c r="R1833" s="10" t="s">
        <v>610</v>
      </c>
      <c r="S1833" s="5">
        <v>0</v>
      </c>
      <c r="T1833" s="37">
        <v>0</v>
      </c>
      <c r="U1833" s="5">
        <v>0</v>
      </c>
      <c r="V1833" s="37">
        <v>0</v>
      </c>
      <c r="W1833" s="5">
        <v>0</v>
      </c>
      <c r="X1833" s="5">
        <v>0</v>
      </c>
      <c r="Y1833" s="5">
        <v>0</v>
      </c>
      <c r="Z1833" s="37">
        <v>0</v>
      </c>
      <c r="AA1833" s="5">
        <v>0</v>
      </c>
      <c r="AB1833" s="5">
        <v>0</v>
      </c>
      <c r="AC1833" s="5">
        <v>0</v>
      </c>
      <c r="AD1833" s="5">
        <v>0</v>
      </c>
      <c r="AE1833" s="10" t="s">
        <v>375</v>
      </c>
      <c r="AF1833" s="10"/>
      <c r="AG1833" s="10" t="s">
        <v>570</v>
      </c>
      <c r="AH1833" s="10">
        <v>41878</v>
      </c>
      <c r="AI1833" s="5">
        <v>1</v>
      </c>
      <c r="AJ1833" s="10" t="s">
        <v>10214</v>
      </c>
      <c r="AK1833" s="10" t="s">
        <v>50</v>
      </c>
    </row>
    <row r="1834" spans="1:37" ht="36.75" customHeight="1" x14ac:dyDescent="0.35">
      <c r="A1834" s="5"/>
      <c r="B1834" s="5" t="s">
        <v>37</v>
      </c>
      <c r="C1834" s="73" t="str">
        <f t="shared" si="28"/>
        <v>Closed</v>
      </c>
      <c r="D1834" s="45" t="s">
        <v>10215</v>
      </c>
      <c r="E1834" s="54" t="s">
        <v>10216</v>
      </c>
      <c r="F1834" s="5" t="s">
        <v>1553</v>
      </c>
      <c r="G1834" s="10">
        <f>DATE(2014,8,28)</f>
        <v>41879</v>
      </c>
      <c r="H1834" s="35">
        <v>1.3125</v>
      </c>
      <c r="I1834" s="5" t="s">
        <v>55</v>
      </c>
      <c r="J1834" s="10" t="s">
        <v>10217</v>
      </c>
      <c r="K1834" s="5" t="s">
        <v>1555</v>
      </c>
      <c r="L1834" s="5" t="s">
        <v>10203</v>
      </c>
      <c r="M1834" s="5" t="s">
        <v>45</v>
      </c>
      <c r="N1834" s="5" t="s">
        <v>80</v>
      </c>
      <c r="O1834" s="5" t="s">
        <v>46</v>
      </c>
      <c r="P1834" s="10" t="s">
        <v>60</v>
      </c>
      <c r="Q1834" s="10" t="s">
        <v>2635</v>
      </c>
      <c r="R1834" s="10" t="s">
        <v>6413</v>
      </c>
      <c r="S1834" s="5">
        <v>0</v>
      </c>
      <c r="T1834" s="37">
        <v>0</v>
      </c>
      <c r="U1834" s="5">
        <v>0</v>
      </c>
      <c r="V1834" s="37">
        <v>0</v>
      </c>
      <c r="W1834" s="5">
        <v>0</v>
      </c>
      <c r="X1834" s="5">
        <v>0</v>
      </c>
      <c r="Y1834" s="5">
        <v>0</v>
      </c>
      <c r="Z1834" s="37">
        <v>0</v>
      </c>
      <c r="AA1834" s="5">
        <v>0</v>
      </c>
      <c r="AB1834" s="5">
        <v>0</v>
      </c>
      <c r="AC1834" s="5">
        <v>0</v>
      </c>
      <c r="AD1834" s="5">
        <v>0</v>
      </c>
      <c r="AE1834" s="10" t="s">
        <v>73</v>
      </c>
      <c r="AF1834" s="10"/>
      <c r="AG1834" s="10" t="s">
        <v>114</v>
      </c>
      <c r="AH1834" s="10">
        <v>41911</v>
      </c>
      <c r="AI1834" s="5">
        <v>1</v>
      </c>
      <c r="AJ1834" s="10" t="s">
        <v>10218</v>
      </c>
      <c r="AK1834" s="10" t="s">
        <v>10219</v>
      </c>
    </row>
    <row r="1835" spans="1:37" ht="36.75" customHeight="1" x14ac:dyDescent="0.35">
      <c r="A1835" s="5"/>
      <c r="B1835" s="5" t="s">
        <v>37</v>
      </c>
      <c r="C1835" s="73" t="str">
        <f t="shared" si="28"/>
        <v>Closed</v>
      </c>
      <c r="D1835" s="45" t="s">
        <v>10220</v>
      </c>
      <c r="E1835" s="54" t="s">
        <v>10221</v>
      </c>
      <c r="F1835" s="5" t="s">
        <v>404</v>
      </c>
      <c r="G1835" s="10">
        <f>DATE(2014,8,30)</f>
        <v>41881</v>
      </c>
      <c r="H1835" s="35">
        <v>1.6770833333333335</v>
      </c>
      <c r="I1835" s="5" t="s">
        <v>97</v>
      </c>
      <c r="J1835" s="10" t="s">
        <v>10222</v>
      </c>
      <c r="K1835" s="5" t="s">
        <v>406</v>
      </c>
      <c r="L1835" s="5" t="s">
        <v>10223</v>
      </c>
      <c r="M1835" s="5" t="s">
        <v>45</v>
      </c>
      <c r="N1835" s="5" t="s">
        <v>80</v>
      </c>
      <c r="O1835" s="5" t="s">
        <v>46</v>
      </c>
      <c r="P1835" s="10" t="s">
        <v>282</v>
      </c>
      <c r="Q1835" s="10" t="s">
        <v>10224</v>
      </c>
      <c r="R1835" s="10" t="s">
        <v>3083</v>
      </c>
      <c r="S1835" s="5">
        <v>0</v>
      </c>
      <c r="T1835" s="37">
        <v>0</v>
      </c>
      <c r="U1835" s="5">
        <v>0</v>
      </c>
      <c r="V1835" s="37">
        <v>0</v>
      </c>
      <c r="W1835" s="5">
        <v>0</v>
      </c>
      <c r="X1835" s="5">
        <v>0</v>
      </c>
      <c r="Y1835" s="5">
        <v>0</v>
      </c>
      <c r="Z1835" s="37">
        <v>0</v>
      </c>
      <c r="AA1835" s="5">
        <v>1</v>
      </c>
      <c r="AB1835" s="5">
        <v>0</v>
      </c>
      <c r="AC1835" s="5">
        <v>0</v>
      </c>
      <c r="AD1835" s="5">
        <v>1</v>
      </c>
      <c r="AE1835" s="10" t="s">
        <v>73</v>
      </c>
      <c r="AF1835" s="10"/>
      <c r="AG1835" s="10" t="s">
        <v>114</v>
      </c>
      <c r="AH1835" s="10">
        <v>41648</v>
      </c>
      <c r="AI1835" s="5">
        <v>2</v>
      </c>
      <c r="AJ1835" s="10" t="s">
        <v>10225</v>
      </c>
      <c r="AK1835" s="10" t="s">
        <v>10226</v>
      </c>
    </row>
    <row r="1836" spans="1:37" ht="36.75" customHeight="1" x14ac:dyDescent="0.35">
      <c r="A1836" s="5"/>
      <c r="B1836" s="5" t="s">
        <v>37</v>
      </c>
      <c r="C1836" s="73" t="str">
        <f t="shared" si="28"/>
        <v>Closed</v>
      </c>
      <c r="D1836" s="45" t="s">
        <v>10227</v>
      </c>
      <c r="E1836" s="54" t="s">
        <v>10228</v>
      </c>
      <c r="F1836" s="5" t="s">
        <v>619</v>
      </c>
      <c r="G1836" s="10">
        <f>DATE(2014,8,31)</f>
        <v>41882</v>
      </c>
      <c r="H1836" s="35">
        <v>1.6763888888888889</v>
      </c>
      <c r="I1836" s="5" t="s">
        <v>55</v>
      </c>
      <c r="J1836" s="10" t="s">
        <v>10229</v>
      </c>
      <c r="K1836" s="5" t="s">
        <v>621</v>
      </c>
      <c r="L1836" s="5" t="s">
        <v>7711</v>
      </c>
      <c r="M1836" s="5" t="s">
        <v>45</v>
      </c>
      <c r="N1836" s="5" t="s">
        <v>80</v>
      </c>
      <c r="O1836" s="5" t="s">
        <v>59</v>
      </c>
      <c r="P1836" s="10" t="s">
        <v>47</v>
      </c>
      <c r="Q1836" s="10" t="s">
        <v>623</v>
      </c>
      <c r="R1836" s="10" t="s">
        <v>624</v>
      </c>
      <c r="S1836" s="5">
        <v>0</v>
      </c>
      <c r="T1836" s="37">
        <v>0</v>
      </c>
      <c r="U1836" s="5">
        <v>0</v>
      </c>
      <c r="V1836" s="37">
        <v>0</v>
      </c>
      <c r="W1836" s="5">
        <v>0</v>
      </c>
      <c r="X1836" s="5">
        <v>0</v>
      </c>
      <c r="Y1836" s="5">
        <v>0</v>
      </c>
      <c r="Z1836" s="37">
        <v>0</v>
      </c>
      <c r="AA1836" s="5">
        <v>0</v>
      </c>
      <c r="AB1836" s="5">
        <v>0</v>
      </c>
      <c r="AC1836" s="5">
        <v>0</v>
      </c>
      <c r="AD1836" s="5">
        <v>0</v>
      </c>
      <c r="AE1836" s="10" t="s">
        <v>73</v>
      </c>
      <c r="AF1836" s="10"/>
      <c r="AG1836" s="10" t="s">
        <v>333</v>
      </c>
      <c r="AH1836" s="10">
        <v>41905</v>
      </c>
      <c r="AI1836" s="5">
        <v>3</v>
      </c>
      <c r="AJ1836" s="10" t="s">
        <v>10230</v>
      </c>
      <c r="AK1836" s="10" t="s">
        <v>50</v>
      </c>
    </row>
    <row r="1837" spans="1:37" ht="36.75" customHeight="1" x14ac:dyDescent="0.35">
      <c r="A1837" s="5"/>
      <c r="B1837" s="5" t="s">
        <v>37</v>
      </c>
      <c r="C1837" s="73" t="str">
        <f t="shared" si="28"/>
        <v>Closed</v>
      </c>
      <c r="D1837" s="45" t="s">
        <v>10231</v>
      </c>
      <c r="E1837" s="54" t="s">
        <v>10232</v>
      </c>
      <c r="F1837" s="5" t="s">
        <v>9767</v>
      </c>
      <c r="G1837" s="10">
        <f>DATE(2014,8,31)</f>
        <v>41882</v>
      </c>
      <c r="H1837" s="35">
        <v>1.6111111111111112</v>
      </c>
      <c r="I1837" s="5" t="s">
        <v>55</v>
      </c>
      <c r="J1837" s="10" t="s">
        <v>10233</v>
      </c>
      <c r="K1837" s="5" t="s">
        <v>9769</v>
      </c>
      <c r="L1837" s="5" t="s">
        <v>10234</v>
      </c>
      <c r="M1837" s="5" t="s">
        <v>45</v>
      </c>
      <c r="N1837" s="5" t="s">
        <v>70</v>
      </c>
      <c r="O1837" s="5" t="s">
        <v>59</v>
      </c>
      <c r="P1837" s="10" t="s">
        <v>60</v>
      </c>
      <c r="Q1837" s="10" t="s">
        <v>10235</v>
      </c>
      <c r="R1837" s="10" t="s">
        <v>9772</v>
      </c>
      <c r="S1837" s="5">
        <v>0</v>
      </c>
      <c r="T1837" s="37">
        <v>0</v>
      </c>
      <c r="U1837" s="5">
        <v>0</v>
      </c>
      <c r="V1837" s="37">
        <v>0</v>
      </c>
      <c r="W1837" s="5">
        <v>0</v>
      </c>
      <c r="X1837" s="5">
        <v>0</v>
      </c>
      <c r="Y1837" s="5">
        <v>0</v>
      </c>
      <c r="Z1837" s="37">
        <v>0</v>
      </c>
      <c r="AA1837" s="5">
        <v>0</v>
      </c>
      <c r="AB1837" s="5">
        <v>0</v>
      </c>
      <c r="AC1837" s="5">
        <v>0</v>
      </c>
      <c r="AD1837" s="5">
        <v>0</v>
      </c>
      <c r="AE1837" s="10" t="s">
        <v>73</v>
      </c>
      <c r="AF1837" s="10"/>
      <c r="AG1837" s="10" t="s">
        <v>114</v>
      </c>
      <c r="AH1837" s="10">
        <v>41886</v>
      </c>
      <c r="AI1837" s="5">
        <v>0</v>
      </c>
      <c r="AJ1837" s="10" t="s">
        <v>10236</v>
      </c>
      <c r="AK1837" s="10" t="s">
        <v>10237</v>
      </c>
    </row>
    <row r="1838" spans="1:37" ht="36.75" customHeight="1" x14ac:dyDescent="0.35">
      <c r="A1838" s="5"/>
      <c r="B1838" s="5" t="s">
        <v>37</v>
      </c>
      <c r="C1838" s="73" t="str">
        <f t="shared" si="28"/>
        <v>Closed</v>
      </c>
      <c r="D1838" s="45" t="s">
        <v>10238</v>
      </c>
      <c r="E1838" s="54" t="s">
        <v>10239</v>
      </c>
      <c r="F1838" s="5" t="s">
        <v>2316</v>
      </c>
      <c r="G1838" s="10">
        <f>DATE(2014,8,31)</f>
        <v>41882</v>
      </c>
      <c r="H1838" s="35">
        <v>1.6784722222222221</v>
      </c>
      <c r="I1838" s="5" t="s">
        <v>55</v>
      </c>
      <c r="J1838" s="10" t="s">
        <v>10240</v>
      </c>
      <c r="K1838" s="5" t="s">
        <v>2318</v>
      </c>
      <c r="L1838" s="5" t="s">
        <v>10241</v>
      </c>
      <c r="M1838" s="5" t="s">
        <v>45</v>
      </c>
      <c r="N1838" s="5" t="s">
        <v>123</v>
      </c>
      <c r="O1838" s="5" t="s">
        <v>46</v>
      </c>
      <c r="P1838" s="10" t="s">
        <v>60</v>
      </c>
      <c r="Q1838" s="10" t="s">
        <v>2955</v>
      </c>
      <c r="R1838" s="10" t="s">
        <v>2321</v>
      </c>
      <c r="S1838" s="5">
        <v>0</v>
      </c>
      <c r="T1838" s="37">
        <v>0</v>
      </c>
      <c r="U1838" s="5">
        <v>0</v>
      </c>
      <c r="V1838" s="37">
        <v>0</v>
      </c>
      <c r="W1838" s="5">
        <v>0</v>
      </c>
      <c r="X1838" s="5">
        <v>0</v>
      </c>
      <c r="Y1838" s="5">
        <v>0</v>
      </c>
      <c r="Z1838" s="37">
        <v>0</v>
      </c>
      <c r="AA1838" s="5">
        <v>0</v>
      </c>
      <c r="AB1838" s="5">
        <v>0</v>
      </c>
      <c r="AC1838" s="5">
        <v>0</v>
      </c>
      <c r="AD1838" s="5">
        <v>0</v>
      </c>
      <c r="AE1838" s="10" t="s">
        <v>73</v>
      </c>
      <c r="AF1838" s="10"/>
      <c r="AG1838" s="10" t="s">
        <v>376</v>
      </c>
      <c r="AH1838" s="10">
        <v>42048</v>
      </c>
      <c r="AI1838" s="5">
        <v>7</v>
      </c>
      <c r="AJ1838" s="10" t="s">
        <v>10242</v>
      </c>
      <c r="AK1838" s="10" t="s">
        <v>10243</v>
      </c>
    </row>
    <row r="1839" spans="1:37" ht="36.75" customHeight="1" x14ac:dyDescent="0.35">
      <c r="A1839" s="5"/>
      <c r="B1839" s="5" t="s">
        <v>37</v>
      </c>
      <c r="C1839" s="73" t="str">
        <f t="shared" si="28"/>
        <v>Closed</v>
      </c>
      <c r="D1839" s="45" t="s">
        <v>10244</v>
      </c>
      <c r="E1839" s="54" t="s">
        <v>10245</v>
      </c>
      <c r="F1839" s="5" t="s">
        <v>563</v>
      </c>
      <c r="G1839" s="10">
        <f>DATE(2014,9,2)</f>
        <v>41884</v>
      </c>
      <c r="H1839" s="35">
        <v>1.4652777777777777</v>
      </c>
      <c r="I1839" s="5" t="s">
        <v>97</v>
      </c>
      <c r="J1839" s="10" t="s">
        <v>10246</v>
      </c>
      <c r="K1839" s="5" t="s">
        <v>565</v>
      </c>
      <c r="L1839" s="5" t="s">
        <v>10247</v>
      </c>
      <c r="M1839" s="5" t="s">
        <v>45</v>
      </c>
      <c r="N1839" s="5" t="s">
        <v>80</v>
      </c>
      <c r="O1839" s="5" t="s">
        <v>46</v>
      </c>
      <c r="P1839" s="10" t="s">
        <v>362</v>
      </c>
      <c r="Q1839" s="10" t="s">
        <v>567</v>
      </c>
      <c r="R1839" s="10" t="s">
        <v>568</v>
      </c>
      <c r="S1839" s="5">
        <v>0</v>
      </c>
      <c r="T1839" s="37">
        <v>0</v>
      </c>
      <c r="U1839" s="5">
        <v>0</v>
      </c>
      <c r="V1839" s="37">
        <v>0</v>
      </c>
      <c r="W1839" s="5">
        <v>0</v>
      </c>
      <c r="X1839" s="5">
        <v>0</v>
      </c>
      <c r="Y1839" s="5">
        <v>0</v>
      </c>
      <c r="Z1839" s="37">
        <v>0</v>
      </c>
      <c r="AA1839" s="5">
        <v>0</v>
      </c>
      <c r="AB1839" s="5">
        <v>0</v>
      </c>
      <c r="AC1839" s="5">
        <v>0</v>
      </c>
      <c r="AD1839" s="5">
        <v>1</v>
      </c>
      <c r="AE1839" s="10" t="s">
        <v>73</v>
      </c>
      <c r="AF1839" s="10"/>
      <c r="AG1839" s="10" t="s">
        <v>114</v>
      </c>
      <c r="AH1839" s="10">
        <v>41885</v>
      </c>
      <c r="AI1839" s="5">
        <v>0</v>
      </c>
      <c r="AJ1839" s="10" t="s">
        <v>10248</v>
      </c>
      <c r="AK1839" s="10" t="s">
        <v>1215</v>
      </c>
    </row>
    <row r="1840" spans="1:37" ht="36.75" customHeight="1" x14ac:dyDescent="0.35">
      <c r="A1840" s="5"/>
      <c r="B1840" s="5" t="s">
        <v>37</v>
      </c>
      <c r="C1840" s="73" t="str">
        <f t="shared" si="28"/>
        <v>Closed</v>
      </c>
      <c r="D1840" s="45" t="s">
        <v>10249</v>
      </c>
      <c r="E1840" s="54" t="s">
        <v>10250</v>
      </c>
      <c r="F1840" s="5" t="s">
        <v>619</v>
      </c>
      <c r="G1840" s="10">
        <f>DATE(2014,9,2)</f>
        <v>41884</v>
      </c>
      <c r="H1840" s="35">
        <v>1.8826388888888888</v>
      </c>
      <c r="I1840" s="5" t="s">
        <v>55</v>
      </c>
      <c r="J1840" s="10" t="s">
        <v>10251</v>
      </c>
      <c r="K1840" s="5" t="s">
        <v>621</v>
      </c>
      <c r="L1840" s="5" t="s">
        <v>10252</v>
      </c>
      <c r="M1840" s="5" t="s">
        <v>45</v>
      </c>
      <c r="N1840" s="5" t="s">
        <v>80</v>
      </c>
      <c r="O1840" s="5" t="s">
        <v>46</v>
      </c>
      <c r="P1840" s="10" t="s">
        <v>60</v>
      </c>
      <c r="Q1840" s="10" t="s">
        <v>4884</v>
      </c>
      <c r="R1840" s="10" t="s">
        <v>624</v>
      </c>
      <c r="S1840" s="5">
        <v>0</v>
      </c>
      <c r="T1840" s="37">
        <v>0</v>
      </c>
      <c r="U1840" s="5">
        <v>0</v>
      </c>
      <c r="V1840" s="37">
        <v>0</v>
      </c>
      <c r="W1840" s="5">
        <v>0</v>
      </c>
      <c r="X1840" s="5">
        <v>0</v>
      </c>
      <c r="Y1840" s="5">
        <v>0</v>
      </c>
      <c r="Z1840" s="37">
        <v>0</v>
      </c>
      <c r="AA1840" s="5">
        <v>0</v>
      </c>
      <c r="AB1840" s="5">
        <v>0</v>
      </c>
      <c r="AC1840" s="5">
        <v>0</v>
      </c>
      <c r="AD1840" s="5">
        <v>0</v>
      </c>
      <c r="AE1840" s="10" t="s">
        <v>73</v>
      </c>
      <c r="AF1840" s="10"/>
      <c r="AG1840" s="10" t="s">
        <v>333</v>
      </c>
      <c r="AH1840" s="10">
        <v>41905</v>
      </c>
      <c r="AI1840" s="5">
        <v>1</v>
      </c>
      <c r="AJ1840" s="10" t="s">
        <v>10253</v>
      </c>
      <c r="AK1840" s="10" t="s">
        <v>50</v>
      </c>
    </row>
    <row r="1841" spans="1:37" ht="36.75" customHeight="1" x14ac:dyDescent="0.35">
      <c r="A1841" s="5"/>
      <c r="B1841" s="5" t="s">
        <v>37</v>
      </c>
      <c r="C1841" s="73" t="str">
        <f t="shared" si="28"/>
        <v>Closed</v>
      </c>
      <c r="D1841" s="45" t="s">
        <v>10254</v>
      </c>
      <c r="E1841" s="54" t="s">
        <v>10255</v>
      </c>
      <c r="F1841" s="5" t="s">
        <v>432</v>
      </c>
      <c r="G1841" s="10">
        <f>DATE(2014,9,3)</f>
        <v>41885</v>
      </c>
      <c r="H1841" s="35">
        <v>1.8736111111111109</v>
      </c>
      <c r="I1841" s="5" t="s">
        <v>97</v>
      </c>
      <c r="J1841" s="10" t="s">
        <v>10256</v>
      </c>
      <c r="K1841" s="5" t="s">
        <v>434</v>
      </c>
      <c r="L1841" s="5" t="s">
        <v>10257</v>
      </c>
      <c r="M1841" s="5" t="s">
        <v>45</v>
      </c>
      <c r="N1841" s="5" t="s">
        <v>80</v>
      </c>
      <c r="O1841" s="5" t="s">
        <v>46</v>
      </c>
      <c r="P1841" s="10" t="s">
        <v>146</v>
      </c>
      <c r="Q1841" s="10" t="s">
        <v>646</v>
      </c>
      <c r="R1841" s="10" t="s">
        <v>553</v>
      </c>
      <c r="S1841" s="5">
        <v>0</v>
      </c>
      <c r="T1841" s="37">
        <v>0</v>
      </c>
      <c r="U1841" s="5">
        <v>2</v>
      </c>
      <c r="V1841" s="37">
        <v>0</v>
      </c>
      <c r="W1841" s="5">
        <v>0</v>
      </c>
      <c r="X1841" s="5">
        <v>2</v>
      </c>
      <c r="Y1841" s="5">
        <v>0</v>
      </c>
      <c r="Z1841" s="37">
        <v>0</v>
      </c>
      <c r="AA1841" s="5">
        <v>0</v>
      </c>
      <c r="AB1841" s="5">
        <v>0</v>
      </c>
      <c r="AC1841" s="5">
        <v>0</v>
      </c>
      <c r="AD1841" s="5">
        <v>0</v>
      </c>
      <c r="AE1841" s="10" t="s">
        <v>375</v>
      </c>
      <c r="AF1841" s="10"/>
      <c r="AG1841" s="10" t="s">
        <v>64</v>
      </c>
      <c r="AH1841" s="10">
        <v>41886</v>
      </c>
      <c r="AI1841" s="5">
        <v>1</v>
      </c>
      <c r="AJ1841" s="10" t="s">
        <v>10258</v>
      </c>
      <c r="AK1841" s="10" t="s">
        <v>50</v>
      </c>
    </row>
    <row r="1842" spans="1:37" ht="36.75" customHeight="1" x14ac:dyDescent="0.35">
      <c r="A1842" s="5"/>
      <c r="B1842" s="5" t="s">
        <v>37</v>
      </c>
      <c r="C1842" s="73" t="str">
        <f t="shared" si="28"/>
        <v>Closed</v>
      </c>
      <c r="D1842" s="45" t="s">
        <v>10259</v>
      </c>
      <c r="E1842" s="54" t="s">
        <v>10260</v>
      </c>
      <c r="F1842" s="5" t="s">
        <v>816</v>
      </c>
      <c r="G1842" s="10">
        <f>DATE(2014,9,3)</f>
        <v>41885</v>
      </c>
      <c r="H1842" s="35">
        <v>1.3659722222222221</v>
      </c>
      <c r="I1842" s="5" t="s">
        <v>85</v>
      </c>
      <c r="J1842" s="10" t="s">
        <v>10261</v>
      </c>
      <c r="K1842" s="5" t="s">
        <v>818</v>
      </c>
      <c r="L1842" s="5" t="s">
        <v>10262</v>
      </c>
      <c r="M1842" s="5" t="s">
        <v>45</v>
      </c>
      <c r="N1842" s="5" t="s">
        <v>123</v>
      </c>
      <c r="O1842" s="5" t="s">
        <v>59</v>
      </c>
      <c r="P1842" s="10" t="s">
        <v>282</v>
      </c>
      <c r="Q1842" s="10">
        <v>0</v>
      </c>
      <c r="R1842" s="10" t="s">
        <v>821</v>
      </c>
      <c r="S1842" s="5">
        <v>0</v>
      </c>
      <c r="T1842" s="37">
        <v>0</v>
      </c>
      <c r="U1842" s="5">
        <v>0</v>
      </c>
      <c r="V1842" s="37">
        <v>0</v>
      </c>
      <c r="W1842" s="5">
        <v>0</v>
      </c>
      <c r="X1842" s="5">
        <v>0</v>
      </c>
      <c r="Y1842" s="5">
        <v>0</v>
      </c>
      <c r="Z1842" s="37">
        <v>0</v>
      </c>
      <c r="AA1842" s="5">
        <v>0</v>
      </c>
      <c r="AB1842" s="5">
        <v>0</v>
      </c>
      <c r="AC1842" s="5">
        <v>0</v>
      </c>
      <c r="AD1842" s="5">
        <v>0</v>
      </c>
      <c r="AE1842" s="10" t="s">
        <v>73</v>
      </c>
      <c r="AF1842" s="10"/>
      <c r="AG1842" s="10" t="s">
        <v>114</v>
      </c>
      <c r="AH1842" s="10">
        <v>41885</v>
      </c>
      <c r="AI1842" s="5">
        <v>0</v>
      </c>
      <c r="AJ1842" s="10" t="s">
        <v>8619</v>
      </c>
      <c r="AK1842" s="10" t="s">
        <v>50</v>
      </c>
    </row>
    <row r="1843" spans="1:37" ht="36.75" customHeight="1" x14ac:dyDescent="0.35">
      <c r="A1843" s="5"/>
      <c r="B1843" s="5" t="s">
        <v>37</v>
      </c>
      <c r="C1843" s="73" t="str">
        <f t="shared" si="28"/>
        <v>Closed</v>
      </c>
      <c r="D1843" s="45" t="s">
        <v>10263</v>
      </c>
      <c r="E1843" s="54" t="s">
        <v>10264</v>
      </c>
      <c r="F1843" s="5" t="s">
        <v>816</v>
      </c>
      <c r="G1843" s="10">
        <f>DATE(2014,9,3)</f>
        <v>41885</v>
      </c>
      <c r="H1843" s="35">
        <v>1.7173611111111109</v>
      </c>
      <c r="I1843" s="5" t="s">
        <v>97</v>
      </c>
      <c r="J1843" s="10" t="s">
        <v>10265</v>
      </c>
      <c r="K1843" s="5" t="s">
        <v>818</v>
      </c>
      <c r="L1843" s="5" t="s">
        <v>10266</v>
      </c>
      <c r="M1843" s="5" t="s">
        <v>45</v>
      </c>
      <c r="N1843" s="5" t="s">
        <v>80</v>
      </c>
      <c r="O1843" s="5" t="s">
        <v>46</v>
      </c>
      <c r="P1843" s="10" t="s">
        <v>146</v>
      </c>
      <c r="Q1843" s="10" t="s">
        <v>2142</v>
      </c>
      <c r="R1843" s="10" t="s">
        <v>821</v>
      </c>
      <c r="S1843" s="5">
        <v>0</v>
      </c>
      <c r="T1843" s="37">
        <v>0</v>
      </c>
      <c r="U1843" s="5">
        <v>0</v>
      </c>
      <c r="V1843" s="37">
        <v>0</v>
      </c>
      <c r="W1843" s="5">
        <v>0</v>
      </c>
      <c r="X1843" s="5">
        <v>0</v>
      </c>
      <c r="Y1843" s="5">
        <v>0</v>
      </c>
      <c r="Z1843" s="37">
        <v>0</v>
      </c>
      <c r="AA1843" s="5">
        <v>0</v>
      </c>
      <c r="AB1843" s="5">
        <v>0</v>
      </c>
      <c r="AC1843" s="5">
        <v>0</v>
      </c>
      <c r="AD1843" s="5">
        <v>0</v>
      </c>
      <c r="AE1843" s="10" t="s">
        <v>73</v>
      </c>
      <c r="AF1843" s="10"/>
      <c r="AG1843" s="10" t="s">
        <v>114</v>
      </c>
      <c r="AH1843" s="10">
        <v>41885</v>
      </c>
      <c r="AI1843" s="5">
        <v>0</v>
      </c>
      <c r="AJ1843" s="10" t="s">
        <v>8619</v>
      </c>
      <c r="AK1843" s="10" t="s">
        <v>50</v>
      </c>
    </row>
    <row r="1844" spans="1:37" ht="36.75" customHeight="1" x14ac:dyDescent="0.35">
      <c r="A1844" s="5"/>
      <c r="B1844" s="5" t="s">
        <v>37</v>
      </c>
      <c r="C1844" s="73" t="str">
        <f t="shared" si="28"/>
        <v>Closed</v>
      </c>
      <c r="D1844" s="45" t="s">
        <v>10267</v>
      </c>
      <c r="E1844" s="54" t="s">
        <v>10268</v>
      </c>
      <c r="F1844" s="5" t="s">
        <v>9767</v>
      </c>
      <c r="G1844" s="10">
        <f>DATE(2014,9,4)</f>
        <v>41886</v>
      </c>
      <c r="H1844" s="35">
        <v>1.5347222222222223</v>
      </c>
      <c r="I1844" s="5" t="s">
        <v>106</v>
      </c>
      <c r="J1844" s="10" t="s">
        <v>10269</v>
      </c>
      <c r="K1844" s="5" t="s">
        <v>9769</v>
      </c>
      <c r="L1844" s="5" t="s">
        <v>10110</v>
      </c>
      <c r="M1844" s="5" t="s">
        <v>45</v>
      </c>
      <c r="N1844" s="5" t="s">
        <v>70</v>
      </c>
      <c r="O1844" s="5" t="s">
        <v>59</v>
      </c>
      <c r="P1844" s="10" t="s">
        <v>6881</v>
      </c>
      <c r="Q1844" s="10" t="s">
        <v>9938</v>
      </c>
      <c r="R1844" s="10" t="s">
        <v>9772</v>
      </c>
      <c r="S1844" s="5">
        <v>0</v>
      </c>
      <c r="T1844" s="37">
        <v>0</v>
      </c>
      <c r="U1844" s="5">
        <v>0</v>
      </c>
      <c r="V1844" s="37">
        <v>0</v>
      </c>
      <c r="W1844" s="5">
        <v>0</v>
      </c>
      <c r="X1844" s="5">
        <v>0</v>
      </c>
      <c r="Y1844" s="5">
        <v>0</v>
      </c>
      <c r="Z1844" s="37">
        <v>0</v>
      </c>
      <c r="AA1844" s="5">
        <v>0</v>
      </c>
      <c r="AB1844" s="5">
        <v>0</v>
      </c>
      <c r="AC1844" s="5">
        <v>0</v>
      </c>
      <c r="AD1844" s="5">
        <v>0</v>
      </c>
      <c r="AE1844" s="10" t="s">
        <v>73</v>
      </c>
      <c r="AF1844" s="10"/>
      <c r="AG1844" s="10" t="s">
        <v>114</v>
      </c>
      <c r="AH1844" s="10">
        <v>41888</v>
      </c>
      <c r="AI1844" s="5">
        <v>1</v>
      </c>
      <c r="AJ1844" s="10" t="s">
        <v>10270</v>
      </c>
      <c r="AK1844" s="10" t="s">
        <v>10271</v>
      </c>
    </row>
    <row r="1845" spans="1:37" ht="36.75" customHeight="1" x14ac:dyDescent="0.35">
      <c r="A1845" s="5"/>
      <c r="B1845" s="5" t="s">
        <v>37</v>
      </c>
      <c r="C1845" s="73" t="str">
        <f t="shared" si="28"/>
        <v>Closed</v>
      </c>
      <c r="D1845" s="45" t="s">
        <v>10272</v>
      </c>
      <c r="E1845" s="54" t="s">
        <v>10273</v>
      </c>
      <c r="F1845" s="5" t="s">
        <v>1553</v>
      </c>
      <c r="G1845" s="10">
        <f>DATE(2014,9,5)</f>
        <v>41887</v>
      </c>
      <c r="H1845" s="35">
        <v>1.9722222222222223</v>
      </c>
      <c r="I1845" s="5" t="s">
        <v>55</v>
      </c>
      <c r="J1845" s="10" t="s">
        <v>10274</v>
      </c>
      <c r="K1845" s="5" t="s">
        <v>1555</v>
      </c>
      <c r="L1845" s="5" t="s">
        <v>10275</v>
      </c>
      <c r="M1845" s="5" t="s">
        <v>45</v>
      </c>
      <c r="N1845" s="5" t="s">
        <v>80</v>
      </c>
      <c r="O1845" s="5" t="s">
        <v>46</v>
      </c>
      <c r="P1845" s="10" t="s">
        <v>60</v>
      </c>
      <c r="Q1845" s="10" t="s">
        <v>2635</v>
      </c>
      <c r="R1845" s="10" t="s">
        <v>2541</v>
      </c>
      <c r="S1845" s="5">
        <v>0</v>
      </c>
      <c r="T1845" s="37">
        <v>0</v>
      </c>
      <c r="U1845" s="5">
        <v>0</v>
      </c>
      <c r="V1845" s="37">
        <v>0</v>
      </c>
      <c r="W1845" s="5">
        <v>0</v>
      </c>
      <c r="X1845" s="5">
        <v>0</v>
      </c>
      <c r="Y1845" s="5">
        <v>0</v>
      </c>
      <c r="Z1845" s="37">
        <v>0</v>
      </c>
      <c r="AA1845" s="5">
        <v>0</v>
      </c>
      <c r="AB1845" s="5">
        <v>0</v>
      </c>
      <c r="AC1845" s="5">
        <v>0</v>
      </c>
      <c r="AD1845" s="5">
        <v>0</v>
      </c>
      <c r="AE1845" s="10" t="s">
        <v>73</v>
      </c>
      <c r="AF1845" s="10"/>
      <c r="AG1845" s="10" t="s">
        <v>114</v>
      </c>
      <c r="AH1845" s="10">
        <v>41890</v>
      </c>
      <c r="AI1845" s="5">
        <v>1</v>
      </c>
      <c r="AJ1845" s="10" t="s">
        <v>10276</v>
      </c>
      <c r="AK1845" s="10" t="s">
        <v>10277</v>
      </c>
    </row>
    <row r="1846" spans="1:37" ht="36.75" customHeight="1" x14ac:dyDescent="0.35">
      <c r="A1846" s="5"/>
      <c r="B1846" s="5" t="s">
        <v>37</v>
      </c>
      <c r="C1846" s="73" t="str">
        <f t="shared" si="28"/>
        <v>Closed</v>
      </c>
      <c r="D1846" s="45" t="s">
        <v>10278</v>
      </c>
      <c r="E1846" s="54" t="s">
        <v>10279</v>
      </c>
      <c r="F1846" s="5" t="s">
        <v>2527</v>
      </c>
      <c r="G1846" s="10">
        <f>DATE(2014,9,7)</f>
        <v>41889</v>
      </c>
      <c r="H1846" s="35">
        <v>1.2618055555555556</v>
      </c>
      <c r="I1846" s="5" t="s">
        <v>259</v>
      </c>
      <c r="J1846" s="10" t="s">
        <v>10280</v>
      </c>
      <c r="K1846" s="5" t="s">
        <v>2529</v>
      </c>
      <c r="L1846" s="5" t="s">
        <v>10281</v>
      </c>
      <c r="M1846" s="5" t="s">
        <v>45</v>
      </c>
      <c r="N1846" s="5" t="s">
        <v>70</v>
      </c>
      <c r="O1846" s="5" t="s">
        <v>71</v>
      </c>
      <c r="P1846" s="10" t="s">
        <v>72</v>
      </c>
      <c r="Q1846" s="10" t="s">
        <v>3484</v>
      </c>
      <c r="R1846" s="10" t="s">
        <v>10282</v>
      </c>
      <c r="S1846" s="5">
        <v>0</v>
      </c>
      <c r="T1846" s="37">
        <v>1</v>
      </c>
      <c r="U1846" s="5">
        <v>0</v>
      </c>
      <c r="V1846" s="37">
        <v>0</v>
      </c>
      <c r="W1846" s="5">
        <v>0</v>
      </c>
      <c r="X1846" s="5">
        <v>1</v>
      </c>
      <c r="Y1846" s="5">
        <v>0</v>
      </c>
      <c r="Z1846" s="37">
        <v>0</v>
      </c>
      <c r="AA1846" s="5">
        <v>0</v>
      </c>
      <c r="AB1846" s="5">
        <v>0</v>
      </c>
      <c r="AC1846" s="5">
        <v>0</v>
      </c>
      <c r="AD1846" s="5">
        <v>0</v>
      </c>
      <c r="AE1846" s="10" t="s">
        <v>375</v>
      </c>
      <c r="AF1846" s="10"/>
      <c r="AG1846" s="10" t="s">
        <v>114</v>
      </c>
      <c r="AH1846" s="10">
        <v>41892</v>
      </c>
      <c r="AI1846" s="5">
        <v>1</v>
      </c>
      <c r="AJ1846" s="10" t="s">
        <v>10283</v>
      </c>
      <c r="AK1846" s="10" t="s">
        <v>10284</v>
      </c>
    </row>
    <row r="1847" spans="1:37" ht="36.75" customHeight="1" x14ac:dyDescent="0.35">
      <c r="A1847" s="5"/>
      <c r="B1847" s="5" t="s">
        <v>37</v>
      </c>
      <c r="C1847" s="73" t="str">
        <f t="shared" si="28"/>
        <v>Closed</v>
      </c>
      <c r="D1847" s="45" t="s">
        <v>10285</v>
      </c>
      <c r="E1847" s="54" t="s">
        <v>10286</v>
      </c>
      <c r="F1847" s="5" t="s">
        <v>1553</v>
      </c>
      <c r="G1847" s="10">
        <f>DATE(2014,9,7)</f>
        <v>41889</v>
      </c>
      <c r="H1847" s="35">
        <v>1.1701388888888888</v>
      </c>
      <c r="I1847" s="5" t="s">
        <v>55</v>
      </c>
      <c r="J1847" s="10" t="s">
        <v>10287</v>
      </c>
      <c r="K1847" s="5" t="s">
        <v>1555</v>
      </c>
      <c r="L1847" s="5" t="s">
        <v>10288</v>
      </c>
      <c r="M1847" s="5" t="s">
        <v>45</v>
      </c>
      <c r="N1847" s="5" t="s">
        <v>80</v>
      </c>
      <c r="O1847" s="5" t="s">
        <v>59</v>
      </c>
      <c r="P1847" s="10" t="s">
        <v>60</v>
      </c>
      <c r="Q1847" s="10" t="s">
        <v>6072</v>
      </c>
      <c r="R1847" s="10" t="s">
        <v>4899</v>
      </c>
      <c r="S1847" s="5">
        <v>0</v>
      </c>
      <c r="T1847" s="37">
        <v>0</v>
      </c>
      <c r="U1847" s="5">
        <v>0</v>
      </c>
      <c r="V1847" s="37">
        <v>0</v>
      </c>
      <c r="W1847" s="5">
        <v>0</v>
      </c>
      <c r="X1847" s="5">
        <v>0</v>
      </c>
      <c r="Y1847" s="5">
        <v>0</v>
      </c>
      <c r="Z1847" s="37">
        <v>0</v>
      </c>
      <c r="AA1847" s="5">
        <v>0</v>
      </c>
      <c r="AB1847" s="5">
        <v>0</v>
      </c>
      <c r="AC1847" s="5">
        <v>0</v>
      </c>
      <c r="AD1847" s="5">
        <v>0</v>
      </c>
      <c r="AE1847" s="10" t="s">
        <v>73</v>
      </c>
      <c r="AF1847" s="10"/>
      <c r="AG1847" s="10" t="s">
        <v>114</v>
      </c>
      <c r="AH1847" s="10">
        <v>41890</v>
      </c>
      <c r="AI1847" s="5">
        <v>0</v>
      </c>
      <c r="AJ1847" s="10" t="s">
        <v>10289</v>
      </c>
      <c r="AK1847" s="10" t="s">
        <v>10290</v>
      </c>
    </row>
    <row r="1848" spans="1:37" ht="36.75" customHeight="1" x14ac:dyDescent="0.35">
      <c r="A1848" s="5"/>
      <c r="B1848" s="5" t="s">
        <v>37</v>
      </c>
      <c r="C1848" s="73" t="str">
        <f t="shared" si="28"/>
        <v>Closed</v>
      </c>
      <c r="D1848" s="45" t="s">
        <v>10291</v>
      </c>
      <c r="E1848" s="54" t="s">
        <v>10292</v>
      </c>
      <c r="F1848" s="5" t="s">
        <v>404</v>
      </c>
      <c r="G1848" s="10">
        <f>DATE(2014,9,9)</f>
        <v>41891</v>
      </c>
      <c r="H1848" s="35">
        <v>1.7798611111111109</v>
      </c>
      <c r="I1848" s="5" t="s">
        <v>259</v>
      </c>
      <c r="J1848" s="10" t="s">
        <v>10293</v>
      </c>
      <c r="K1848" s="5" t="s">
        <v>406</v>
      </c>
      <c r="L1848" s="5" t="s">
        <v>10294</v>
      </c>
      <c r="M1848" s="5" t="s">
        <v>236</v>
      </c>
      <c r="N1848" s="5" t="s">
        <v>123</v>
      </c>
      <c r="O1848" s="5" t="s">
        <v>46</v>
      </c>
      <c r="P1848" s="10" t="s">
        <v>6531</v>
      </c>
      <c r="Q1848" s="10" t="s">
        <v>1325</v>
      </c>
      <c r="R1848" s="10" t="s">
        <v>1325</v>
      </c>
      <c r="S1848" s="5">
        <v>0</v>
      </c>
      <c r="T1848" s="37">
        <v>0</v>
      </c>
      <c r="U1848" s="5">
        <v>0</v>
      </c>
      <c r="V1848" s="37">
        <v>0</v>
      </c>
      <c r="W1848" s="5">
        <v>0</v>
      </c>
      <c r="X1848" s="5">
        <v>0</v>
      </c>
      <c r="Y1848" s="5">
        <v>1</v>
      </c>
      <c r="Z1848" s="37">
        <v>0</v>
      </c>
      <c r="AA1848" s="5">
        <v>0</v>
      </c>
      <c r="AB1848" s="5">
        <v>0</v>
      </c>
      <c r="AC1848" s="5">
        <v>0</v>
      </c>
      <c r="AD1848" s="5">
        <v>1</v>
      </c>
      <c r="AE1848" s="10" t="s">
        <v>73</v>
      </c>
      <c r="AF1848" s="10"/>
      <c r="AG1848" s="10" t="s">
        <v>333</v>
      </c>
      <c r="AH1848" s="10">
        <v>41901</v>
      </c>
      <c r="AI1848" s="5">
        <v>1</v>
      </c>
      <c r="AJ1848" s="10" t="s">
        <v>10295</v>
      </c>
      <c r="AK1848" s="10" t="s">
        <v>10296</v>
      </c>
    </row>
    <row r="1849" spans="1:37" ht="36.75" customHeight="1" x14ac:dyDescent="0.35">
      <c r="A1849" s="5"/>
      <c r="B1849" s="5" t="s">
        <v>37</v>
      </c>
      <c r="C1849" s="73" t="str">
        <f t="shared" si="28"/>
        <v>Closed</v>
      </c>
      <c r="D1849" s="45" t="s">
        <v>10297</v>
      </c>
      <c r="E1849" s="54" t="s">
        <v>10298</v>
      </c>
      <c r="F1849" s="5" t="s">
        <v>9767</v>
      </c>
      <c r="G1849" s="10">
        <f>DATE(2014,9,11)</f>
        <v>41893</v>
      </c>
      <c r="H1849" s="35">
        <v>1.5416666666666665</v>
      </c>
      <c r="I1849" s="5" t="s">
        <v>179</v>
      </c>
      <c r="J1849" s="10" t="s">
        <v>10299</v>
      </c>
      <c r="K1849" s="5" t="s">
        <v>9769</v>
      </c>
      <c r="L1849" s="5" t="s">
        <v>10300</v>
      </c>
      <c r="M1849" s="5" t="s">
        <v>45</v>
      </c>
      <c r="N1849" s="5" t="s">
        <v>70</v>
      </c>
      <c r="O1849" s="5" t="s">
        <v>6854</v>
      </c>
      <c r="P1849" s="10" t="s">
        <v>72</v>
      </c>
      <c r="Q1849" s="10" t="s">
        <v>9938</v>
      </c>
      <c r="R1849" s="10" t="s">
        <v>9772</v>
      </c>
      <c r="S1849" s="5">
        <v>0</v>
      </c>
      <c r="T1849" s="37">
        <v>0</v>
      </c>
      <c r="U1849" s="5">
        <v>0</v>
      </c>
      <c r="V1849" s="37">
        <v>0</v>
      </c>
      <c r="W1849" s="5">
        <v>0</v>
      </c>
      <c r="X1849" s="5">
        <v>0</v>
      </c>
      <c r="Y1849" s="5">
        <v>0</v>
      </c>
      <c r="Z1849" s="37">
        <v>0</v>
      </c>
      <c r="AA1849" s="5">
        <v>0</v>
      </c>
      <c r="AB1849" s="5">
        <v>0</v>
      </c>
      <c r="AC1849" s="5">
        <v>0</v>
      </c>
      <c r="AD1849" s="5">
        <v>0</v>
      </c>
      <c r="AE1849" s="10" t="s">
        <v>73</v>
      </c>
      <c r="AF1849" s="10"/>
      <c r="AG1849" s="10" t="s">
        <v>114</v>
      </c>
      <c r="AH1849" s="10">
        <v>41893</v>
      </c>
      <c r="AI1849" s="5">
        <v>0</v>
      </c>
      <c r="AJ1849" s="10" t="s">
        <v>10301</v>
      </c>
      <c r="AK1849" s="10" t="s">
        <v>10302</v>
      </c>
    </row>
    <row r="1850" spans="1:37" ht="36.75" customHeight="1" x14ac:dyDescent="0.35">
      <c r="A1850" s="5"/>
      <c r="B1850" s="5" t="s">
        <v>37</v>
      </c>
      <c r="C1850" s="73" t="str">
        <f t="shared" si="28"/>
        <v>Closed</v>
      </c>
      <c r="D1850" s="45" t="s">
        <v>10303</v>
      </c>
      <c r="E1850" s="54" t="s">
        <v>10304</v>
      </c>
      <c r="F1850" s="5" t="s">
        <v>9767</v>
      </c>
      <c r="G1850" s="10">
        <f>DATE(2014,9,11)</f>
        <v>41893</v>
      </c>
      <c r="H1850" s="35">
        <v>1.7819444444444446</v>
      </c>
      <c r="I1850" s="5" t="s">
        <v>55</v>
      </c>
      <c r="J1850" s="10" t="s">
        <v>10305</v>
      </c>
      <c r="K1850" s="5" t="s">
        <v>9769</v>
      </c>
      <c r="L1850" s="5" t="s">
        <v>10306</v>
      </c>
      <c r="M1850" s="5" t="s">
        <v>45</v>
      </c>
      <c r="N1850" s="5" t="s">
        <v>80</v>
      </c>
      <c r="O1850" s="5" t="s">
        <v>46</v>
      </c>
      <c r="P1850" s="10" t="s">
        <v>47</v>
      </c>
      <c r="Q1850" s="10" t="s">
        <v>9938</v>
      </c>
      <c r="R1850" s="10" t="s">
        <v>9772</v>
      </c>
      <c r="S1850" s="5">
        <v>0</v>
      </c>
      <c r="T1850" s="37">
        <v>0</v>
      </c>
      <c r="U1850" s="5">
        <v>0</v>
      </c>
      <c r="V1850" s="37">
        <v>0</v>
      </c>
      <c r="W1850" s="5">
        <v>0</v>
      </c>
      <c r="X1850" s="5">
        <v>0</v>
      </c>
      <c r="Y1850" s="5">
        <v>0</v>
      </c>
      <c r="Z1850" s="37">
        <v>0</v>
      </c>
      <c r="AA1850" s="5">
        <v>0</v>
      </c>
      <c r="AB1850" s="5">
        <v>0</v>
      </c>
      <c r="AC1850" s="5">
        <v>0</v>
      </c>
      <c r="AD1850" s="5">
        <v>0</v>
      </c>
      <c r="AE1850" s="10" t="s">
        <v>375</v>
      </c>
      <c r="AF1850" s="10"/>
      <c r="AG1850" s="10" t="s">
        <v>114</v>
      </c>
      <c r="AH1850" s="10">
        <v>41893</v>
      </c>
      <c r="AI1850" s="5">
        <v>1</v>
      </c>
      <c r="AJ1850" s="10" t="s">
        <v>10307</v>
      </c>
      <c r="AK1850" s="10" t="s">
        <v>10308</v>
      </c>
    </row>
    <row r="1851" spans="1:37" ht="36.75" customHeight="1" x14ac:dyDescent="0.35">
      <c r="A1851" s="5"/>
      <c r="B1851" s="5" t="s">
        <v>37</v>
      </c>
      <c r="C1851" s="73" t="str">
        <f t="shared" si="28"/>
        <v>Closed</v>
      </c>
      <c r="D1851" s="45" t="s">
        <v>10309</v>
      </c>
      <c r="E1851" s="54" t="s">
        <v>10310</v>
      </c>
      <c r="F1851" s="5" t="s">
        <v>404</v>
      </c>
      <c r="G1851" s="10">
        <f>DATE(2014,9,14)</f>
        <v>41896</v>
      </c>
      <c r="H1851" s="35">
        <v>1.8840277777777779</v>
      </c>
      <c r="I1851" s="5" t="s">
        <v>55</v>
      </c>
      <c r="J1851" s="10" t="s">
        <v>10311</v>
      </c>
      <c r="K1851" s="5" t="s">
        <v>406</v>
      </c>
      <c r="L1851" s="5" t="s">
        <v>10312</v>
      </c>
      <c r="M1851" s="5" t="s">
        <v>45</v>
      </c>
      <c r="N1851" s="5" t="s">
        <v>80</v>
      </c>
      <c r="O1851" s="5" t="s">
        <v>46</v>
      </c>
      <c r="P1851" s="10" t="s">
        <v>60</v>
      </c>
      <c r="Q1851" s="10" t="s">
        <v>2562</v>
      </c>
      <c r="R1851" s="10" t="s">
        <v>3083</v>
      </c>
      <c r="S1851" s="5">
        <v>0</v>
      </c>
      <c r="T1851" s="37">
        <v>0</v>
      </c>
      <c r="U1851" s="5">
        <v>0</v>
      </c>
      <c r="V1851" s="37">
        <v>0</v>
      </c>
      <c r="W1851" s="5">
        <v>0</v>
      </c>
      <c r="X1851" s="5">
        <v>0</v>
      </c>
      <c r="Y1851" s="5">
        <v>0</v>
      </c>
      <c r="Z1851" s="37">
        <v>0</v>
      </c>
      <c r="AA1851" s="5">
        <v>0</v>
      </c>
      <c r="AB1851" s="5">
        <v>0</v>
      </c>
      <c r="AC1851" s="5">
        <v>0</v>
      </c>
      <c r="AD1851" s="5">
        <v>0</v>
      </c>
      <c r="AE1851" s="10" t="s">
        <v>375</v>
      </c>
      <c r="AF1851" s="10"/>
      <c r="AG1851" s="10" t="s">
        <v>114</v>
      </c>
      <c r="AH1851" s="10">
        <v>41898</v>
      </c>
      <c r="AI1851" s="5">
        <v>1</v>
      </c>
      <c r="AJ1851" s="10" t="s">
        <v>10313</v>
      </c>
      <c r="AK1851" s="10" t="s">
        <v>10314</v>
      </c>
    </row>
    <row r="1852" spans="1:37" ht="36.75" customHeight="1" x14ac:dyDescent="0.35">
      <c r="A1852" s="5"/>
      <c r="B1852" s="5" t="s">
        <v>37</v>
      </c>
      <c r="C1852" s="73" t="str">
        <f t="shared" si="28"/>
        <v>Closed</v>
      </c>
      <c r="D1852" s="45" t="s">
        <v>10315</v>
      </c>
      <c r="E1852" s="54" t="s">
        <v>10316</v>
      </c>
      <c r="F1852" s="5" t="s">
        <v>816</v>
      </c>
      <c r="G1852" s="10">
        <f>DATE(2014,9,16)</f>
        <v>41898</v>
      </c>
      <c r="H1852" s="35">
        <v>1.5763888888888888</v>
      </c>
      <c r="I1852" s="5" t="s">
        <v>106</v>
      </c>
      <c r="J1852" s="10" t="s">
        <v>10317</v>
      </c>
      <c r="K1852" s="5" t="s">
        <v>818</v>
      </c>
      <c r="L1852" s="5" t="s">
        <v>10318</v>
      </c>
      <c r="M1852" s="5" t="s">
        <v>45</v>
      </c>
      <c r="N1852" s="5" t="s">
        <v>123</v>
      </c>
      <c r="O1852" s="5" t="s">
        <v>46</v>
      </c>
      <c r="P1852" s="10" t="s">
        <v>146</v>
      </c>
      <c r="Q1852" s="10" t="s">
        <v>2142</v>
      </c>
      <c r="R1852" s="10" t="s">
        <v>821</v>
      </c>
      <c r="S1852" s="5">
        <v>0</v>
      </c>
      <c r="T1852" s="37">
        <v>0</v>
      </c>
      <c r="U1852" s="5">
        <v>0</v>
      </c>
      <c r="V1852" s="37">
        <v>0</v>
      </c>
      <c r="W1852" s="5">
        <v>0</v>
      </c>
      <c r="X1852" s="5">
        <v>0</v>
      </c>
      <c r="Y1852" s="5">
        <v>0</v>
      </c>
      <c r="Z1852" s="37">
        <v>0</v>
      </c>
      <c r="AA1852" s="5">
        <v>0</v>
      </c>
      <c r="AB1852" s="5">
        <v>0</v>
      </c>
      <c r="AC1852" s="5">
        <v>0</v>
      </c>
      <c r="AD1852" s="5">
        <v>0</v>
      </c>
      <c r="AE1852" s="10" t="s">
        <v>73</v>
      </c>
      <c r="AF1852" s="10"/>
      <c r="AG1852" s="10" t="s">
        <v>333</v>
      </c>
      <c r="AH1852" s="10">
        <v>41898</v>
      </c>
      <c r="AI1852" s="5">
        <v>0</v>
      </c>
      <c r="AJ1852" s="10" t="s">
        <v>10319</v>
      </c>
      <c r="AK1852" s="10" t="s">
        <v>10320</v>
      </c>
    </row>
    <row r="1853" spans="1:37" ht="36.75" customHeight="1" x14ac:dyDescent="0.35">
      <c r="A1853" s="5"/>
      <c r="B1853" s="5" t="s">
        <v>37</v>
      </c>
      <c r="C1853" s="73" t="str">
        <f t="shared" si="28"/>
        <v>Closed</v>
      </c>
      <c r="D1853" s="45" t="s">
        <v>10321</v>
      </c>
      <c r="E1853" s="54" t="s">
        <v>10322</v>
      </c>
      <c r="F1853" s="5" t="s">
        <v>404</v>
      </c>
      <c r="G1853" s="10">
        <f>DATE(2014,9,17)</f>
        <v>41899</v>
      </c>
      <c r="H1853" s="35">
        <v>1.9138888888888888</v>
      </c>
      <c r="I1853" s="5" t="s">
        <v>179</v>
      </c>
      <c r="J1853" s="10" t="s">
        <v>10323</v>
      </c>
      <c r="K1853" s="5" t="s">
        <v>406</v>
      </c>
      <c r="L1853" s="5" t="s">
        <v>10324</v>
      </c>
      <c r="M1853" s="5" t="s">
        <v>45</v>
      </c>
      <c r="N1853" s="5" t="s">
        <v>70</v>
      </c>
      <c r="O1853" s="5" t="s">
        <v>59</v>
      </c>
      <c r="P1853" s="10" t="s">
        <v>4422</v>
      </c>
      <c r="Q1853" s="10" t="s">
        <v>10325</v>
      </c>
      <c r="R1853" s="10" t="s">
        <v>3083</v>
      </c>
      <c r="S1853" s="5">
        <v>0</v>
      </c>
      <c r="T1853" s="37">
        <v>0</v>
      </c>
      <c r="U1853" s="5">
        <v>0</v>
      </c>
      <c r="V1853" s="37">
        <v>0</v>
      </c>
      <c r="W1853" s="5">
        <v>0</v>
      </c>
      <c r="X1853" s="5">
        <v>0</v>
      </c>
      <c r="Y1853" s="5">
        <v>0</v>
      </c>
      <c r="Z1853" s="37">
        <v>1</v>
      </c>
      <c r="AA1853" s="5">
        <v>0</v>
      </c>
      <c r="AB1853" s="5">
        <v>0</v>
      </c>
      <c r="AC1853" s="5">
        <v>0</v>
      </c>
      <c r="AD1853" s="5">
        <v>1</v>
      </c>
      <c r="AE1853" s="10" t="s">
        <v>375</v>
      </c>
      <c r="AF1853" s="10"/>
      <c r="AG1853" s="10" t="s">
        <v>114</v>
      </c>
      <c r="AH1853" s="10">
        <v>42087</v>
      </c>
      <c r="AI1853" s="5">
        <v>2</v>
      </c>
      <c r="AJ1853" s="10" t="s">
        <v>10326</v>
      </c>
      <c r="AK1853" s="10" t="s">
        <v>10327</v>
      </c>
    </row>
    <row r="1854" spans="1:37" ht="36.75" customHeight="1" x14ac:dyDescent="0.35">
      <c r="A1854" s="5"/>
      <c r="B1854" s="5" t="s">
        <v>37</v>
      </c>
      <c r="C1854" s="73" t="str">
        <f t="shared" si="28"/>
        <v>Closed</v>
      </c>
      <c r="D1854" s="45" t="s">
        <v>10328</v>
      </c>
      <c r="E1854" s="54" t="s">
        <v>10329</v>
      </c>
      <c r="F1854" s="5" t="s">
        <v>563</v>
      </c>
      <c r="G1854" s="10">
        <f>DATE(2014,9,18)</f>
        <v>41900</v>
      </c>
      <c r="H1854" s="35">
        <v>0</v>
      </c>
      <c r="I1854" s="5" t="s">
        <v>106</v>
      </c>
      <c r="J1854" s="10" t="s">
        <v>10330</v>
      </c>
      <c r="K1854" s="5" t="s">
        <v>565</v>
      </c>
      <c r="L1854" s="5" t="s">
        <v>10331</v>
      </c>
      <c r="M1854" s="5" t="s">
        <v>45</v>
      </c>
      <c r="N1854" s="5" t="s">
        <v>123</v>
      </c>
      <c r="O1854" s="5" t="s">
        <v>59</v>
      </c>
      <c r="P1854" s="10" t="s">
        <v>60</v>
      </c>
      <c r="Q1854" s="10" t="s">
        <v>567</v>
      </c>
      <c r="R1854" s="10" t="s">
        <v>568</v>
      </c>
      <c r="S1854" s="5">
        <v>0</v>
      </c>
      <c r="T1854" s="37">
        <v>0</v>
      </c>
      <c r="U1854" s="5">
        <v>0</v>
      </c>
      <c r="V1854" s="37">
        <v>0</v>
      </c>
      <c r="W1854" s="5">
        <v>0</v>
      </c>
      <c r="X1854" s="5">
        <v>0</v>
      </c>
      <c r="Y1854" s="5">
        <v>0</v>
      </c>
      <c r="Z1854" s="37">
        <v>0</v>
      </c>
      <c r="AA1854" s="5">
        <v>0</v>
      </c>
      <c r="AB1854" s="5">
        <v>0</v>
      </c>
      <c r="AC1854" s="5">
        <v>0</v>
      </c>
      <c r="AD1854" s="5">
        <v>0</v>
      </c>
      <c r="AE1854" s="10" t="s">
        <v>375</v>
      </c>
      <c r="AF1854" s="10"/>
      <c r="AG1854" s="10" t="s">
        <v>114</v>
      </c>
      <c r="AH1854" s="10">
        <v>42034</v>
      </c>
      <c r="AI1854" s="5">
        <v>0</v>
      </c>
      <c r="AJ1854" s="10" t="s">
        <v>10332</v>
      </c>
      <c r="AK1854" s="10" t="s">
        <v>1215</v>
      </c>
    </row>
    <row r="1855" spans="1:37" ht="36.75" customHeight="1" x14ac:dyDescent="0.35">
      <c r="A1855" s="5"/>
      <c r="B1855" s="5" t="s">
        <v>37</v>
      </c>
      <c r="C1855" s="73" t="str">
        <f t="shared" si="28"/>
        <v>Closed</v>
      </c>
      <c r="D1855" s="45" t="s">
        <v>10333</v>
      </c>
      <c r="E1855" s="54" t="s">
        <v>10334</v>
      </c>
      <c r="F1855" s="5" t="s">
        <v>9767</v>
      </c>
      <c r="G1855" s="10">
        <f>DATE(2014,9,18)</f>
        <v>41900</v>
      </c>
      <c r="H1855" s="35">
        <v>1.5520833333333335</v>
      </c>
      <c r="I1855" s="5" t="s">
        <v>97</v>
      </c>
      <c r="J1855" s="10" t="s">
        <v>10335</v>
      </c>
      <c r="K1855" s="5" t="s">
        <v>9769</v>
      </c>
      <c r="L1855" s="5" t="s">
        <v>10336</v>
      </c>
      <c r="M1855" s="5" t="s">
        <v>45</v>
      </c>
      <c r="N1855" s="5" t="s">
        <v>80</v>
      </c>
      <c r="O1855" s="5" t="s">
        <v>46</v>
      </c>
      <c r="P1855" s="10" t="s">
        <v>6881</v>
      </c>
      <c r="Q1855" s="10" t="s">
        <v>9938</v>
      </c>
      <c r="R1855" s="10" t="s">
        <v>9772</v>
      </c>
      <c r="S1855" s="5">
        <v>0</v>
      </c>
      <c r="T1855" s="37">
        <v>0</v>
      </c>
      <c r="U1855" s="5">
        <v>0</v>
      </c>
      <c r="V1855" s="37">
        <v>0</v>
      </c>
      <c r="W1855" s="5">
        <v>0</v>
      </c>
      <c r="X1855" s="5">
        <v>0</v>
      </c>
      <c r="Y1855" s="5">
        <v>0</v>
      </c>
      <c r="Z1855" s="37">
        <v>0</v>
      </c>
      <c r="AA1855" s="5">
        <v>0</v>
      </c>
      <c r="AB1855" s="5">
        <v>0</v>
      </c>
      <c r="AC1855" s="5">
        <v>0</v>
      </c>
      <c r="AD1855" s="5">
        <v>0</v>
      </c>
      <c r="AE1855" s="10" t="s">
        <v>73</v>
      </c>
      <c r="AF1855" s="10"/>
      <c r="AG1855" s="10" t="s">
        <v>855</v>
      </c>
      <c r="AH1855" s="10">
        <v>41901</v>
      </c>
      <c r="AI1855" s="5">
        <v>4</v>
      </c>
      <c r="AJ1855" s="10" t="s">
        <v>10337</v>
      </c>
      <c r="AK1855" s="10" t="s">
        <v>10338</v>
      </c>
    </row>
    <row r="1856" spans="1:37" ht="36.75" customHeight="1" x14ac:dyDescent="0.35">
      <c r="A1856" s="5"/>
      <c r="B1856" s="5" t="s">
        <v>37</v>
      </c>
      <c r="C1856" s="73" t="str">
        <f t="shared" si="28"/>
        <v>Closed</v>
      </c>
      <c r="D1856" s="45" t="s">
        <v>10339</v>
      </c>
      <c r="E1856" s="54" t="s">
        <v>10340</v>
      </c>
      <c r="F1856" s="5" t="s">
        <v>1553</v>
      </c>
      <c r="G1856" s="10">
        <f>DATE(2014,9,19)</f>
        <v>41901</v>
      </c>
      <c r="H1856" s="35">
        <v>1.65625</v>
      </c>
      <c r="I1856" s="5" t="s">
        <v>97</v>
      </c>
      <c r="J1856" s="10" t="s">
        <v>10341</v>
      </c>
      <c r="K1856" s="5" t="s">
        <v>1555</v>
      </c>
      <c r="L1856" s="5" t="s">
        <v>10342</v>
      </c>
      <c r="M1856" s="5" t="s">
        <v>45</v>
      </c>
      <c r="N1856" s="5" t="s">
        <v>123</v>
      </c>
      <c r="O1856" s="5" t="s">
        <v>59</v>
      </c>
      <c r="P1856" s="10" t="s">
        <v>47</v>
      </c>
      <c r="Q1856" s="10" t="s">
        <v>2393</v>
      </c>
      <c r="R1856" s="10" t="s">
        <v>6413</v>
      </c>
      <c r="S1856" s="5">
        <v>0</v>
      </c>
      <c r="T1856" s="37">
        <v>1</v>
      </c>
      <c r="U1856" s="5">
        <v>1</v>
      </c>
      <c r="V1856" s="37">
        <v>0</v>
      </c>
      <c r="W1856" s="5">
        <v>0</v>
      </c>
      <c r="X1856" s="5">
        <v>2</v>
      </c>
      <c r="Y1856" s="5">
        <v>0</v>
      </c>
      <c r="Z1856" s="37">
        <v>0</v>
      </c>
      <c r="AA1856" s="5">
        <v>0</v>
      </c>
      <c r="AB1856" s="5">
        <v>0</v>
      </c>
      <c r="AC1856" s="5">
        <v>0</v>
      </c>
      <c r="AD1856" s="5">
        <v>0</v>
      </c>
      <c r="AE1856" s="10" t="s">
        <v>375</v>
      </c>
      <c r="AF1856" s="10"/>
      <c r="AG1856" s="10" t="s">
        <v>114</v>
      </c>
      <c r="AH1856" s="10">
        <v>41907</v>
      </c>
      <c r="AI1856" s="5">
        <v>1</v>
      </c>
      <c r="AJ1856" s="10" t="s">
        <v>10343</v>
      </c>
      <c r="AK1856" s="10" t="s">
        <v>10344</v>
      </c>
    </row>
    <row r="1857" spans="1:37" ht="36.75" customHeight="1" x14ac:dyDescent="0.35">
      <c r="A1857" s="5"/>
      <c r="B1857" s="5" t="s">
        <v>37</v>
      </c>
      <c r="C1857" s="73" t="str">
        <f t="shared" si="28"/>
        <v>Closed</v>
      </c>
      <c r="D1857" s="45" t="s">
        <v>10345</v>
      </c>
      <c r="E1857" s="54" t="s">
        <v>10346</v>
      </c>
      <c r="F1857" s="5" t="s">
        <v>214</v>
      </c>
      <c r="G1857" s="10">
        <f>DATE(2014,9,22)</f>
        <v>41904</v>
      </c>
      <c r="H1857" s="35">
        <v>1.6041666666666665</v>
      </c>
      <c r="I1857" s="5" t="s">
        <v>259</v>
      </c>
      <c r="J1857" s="10" t="s">
        <v>10347</v>
      </c>
      <c r="K1857" s="5" t="s">
        <v>216</v>
      </c>
      <c r="L1857" s="5" t="s">
        <v>10348</v>
      </c>
      <c r="M1857" s="5" t="s">
        <v>45</v>
      </c>
      <c r="N1857" s="5" t="s">
        <v>70</v>
      </c>
      <c r="O1857" s="5" t="s">
        <v>46</v>
      </c>
      <c r="P1857" s="10" t="s">
        <v>6920</v>
      </c>
      <c r="Q1857" s="10" t="s">
        <v>5591</v>
      </c>
      <c r="R1857" s="10" t="s">
        <v>219</v>
      </c>
      <c r="S1857" s="5">
        <v>0</v>
      </c>
      <c r="T1857" s="37">
        <v>0</v>
      </c>
      <c r="U1857" s="5">
        <v>0</v>
      </c>
      <c r="V1857" s="37">
        <v>0</v>
      </c>
      <c r="W1857" s="5">
        <v>0</v>
      </c>
      <c r="X1857" s="5">
        <v>0</v>
      </c>
      <c r="Y1857" s="5">
        <v>0</v>
      </c>
      <c r="Z1857" s="37">
        <v>0</v>
      </c>
      <c r="AA1857" s="5">
        <v>0</v>
      </c>
      <c r="AB1857" s="5">
        <v>0</v>
      </c>
      <c r="AC1857" s="5">
        <v>0</v>
      </c>
      <c r="AD1857" s="5">
        <v>0</v>
      </c>
      <c r="AE1857" s="10" t="s">
        <v>73</v>
      </c>
      <c r="AF1857" s="10"/>
      <c r="AG1857" s="10" t="s">
        <v>114</v>
      </c>
      <c r="AH1857" s="10">
        <v>41932</v>
      </c>
      <c r="AI1857" s="5">
        <v>2</v>
      </c>
      <c r="AJ1857" s="10" t="s">
        <v>10349</v>
      </c>
      <c r="AK1857" s="10" t="s">
        <v>10350</v>
      </c>
    </row>
    <row r="1858" spans="1:37" ht="36.75" customHeight="1" x14ac:dyDescent="0.35">
      <c r="A1858" s="5"/>
      <c r="B1858" s="5" t="s">
        <v>37</v>
      </c>
      <c r="C1858" s="73" t="str">
        <f t="shared" ref="C1858:C1921" si="29">IF(B1858="Notification","Open",IF(B1858="Interim Statement","In progress","Closed"))</f>
        <v>Closed</v>
      </c>
      <c r="D1858" s="45" t="s">
        <v>10351</v>
      </c>
      <c r="E1858" s="54" t="s">
        <v>10352</v>
      </c>
      <c r="F1858" s="5" t="s">
        <v>214</v>
      </c>
      <c r="G1858" s="10">
        <f>DATE(2014,9,23)</f>
        <v>41905</v>
      </c>
      <c r="H1858" s="35">
        <v>1.7638888888888888</v>
      </c>
      <c r="I1858" s="5" t="s">
        <v>10353</v>
      </c>
      <c r="J1858" s="10" t="s">
        <v>10354</v>
      </c>
      <c r="K1858" s="5" t="s">
        <v>216</v>
      </c>
      <c r="L1858" s="5" t="s">
        <v>10355</v>
      </c>
      <c r="M1858" s="5" t="s">
        <v>45</v>
      </c>
      <c r="N1858" s="5" t="s">
        <v>123</v>
      </c>
      <c r="O1858" s="5" t="s">
        <v>46</v>
      </c>
      <c r="P1858" s="10" t="s">
        <v>443</v>
      </c>
      <c r="Q1858" s="10" t="s">
        <v>7096</v>
      </c>
      <c r="R1858" s="10" t="s">
        <v>219</v>
      </c>
      <c r="S1858" s="5">
        <v>0</v>
      </c>
      <c r="T1858" s="37">
        <v>0</v>
      </c>
      <c r="U1858" s="5">
        <v>0</v>
      </c>
      <c r="V1858" s="37">
        <v>0</v>
      </c>
      <c r="W1858" s="5">
        <v>0</v>
      </c>
      <c r="X1858" s="5">
        <v>0</v>
      </c>
      <c r="Y1858" s="5">
        <v>0</v>
      </c>
      <c r="Z1858" s="37">
        <v>1</v>
      </c>
      <c r="AA1858" s="5">
        <v>0</v>
      </c>
      <c r="AB1858" s="5">
        <v>0</v>
      </c>
      <c r="AC1858" s="5">
        <v>0</v>
      </c>
      <c r="AD1858" s="5">
        <v>1</v>
      </c>
      <c r="AE1858" s="10" t="s">
        <v>73</v>
      </c>
      <c r="AF1858" s="10"/>
      <c r="AG1858" s="10" t="s">
        <v>114</v>
      </c>
      <c r="AH1858" s="10">
        <v>41911</v>
      </c>
      <c r="AI1858" s="5">
        <v>2</v>
      </c>
      <c r="AJ1858" s="10" t="s">
        <v>10356</v>
      </c>
      <c r="AK1858" s="10" t="s">
        <v>10357</v>
      </c>
    </row>
    <row r="1859" spans="1:37" ht="36.75" customHeight="1" x14ac:dyDescent="0.35">
      <c r="A1859" s="5"/>
      <c r="B1859" s="5" t="s">
        <v>37</v>
      </c>
      <c r="C1859" s="73" t="str">
        <f t="shared" si="29"/>
        <v>Closed</v>
      </c>
      <c r="D1859" s="45" t="s">
        <v>10358</v>
      </c>
      <c r="E1859" s="54" t="s">
        <v>10359</v>
      </c>
      <c r="F1859" s="5" t="s">
        <v>1553</v>
      </c>
      <c r="G1859" s="10">
        <f>DATE(2014,9,24)</f>
        <v>41906</v>
      </c>
      <c r="H1859" s="35">
        <v>1.5729166666666665</v>
      </c>
      <c r="I1859" s="5" t="s">
        <v>55</v>
      </c>
      <c r="J1859" s="10" t="s">
        <v>10360</v>
      </c>
      <c r="K1859" s="5" t="s">
        <v>1555</v>
      </c>
      <c r="L1859" s="5" t="s">
        <v>10361</v>
      </c>
      <c r="M1859" s="5" t="s">
        <v>45</v>
      </c>
      <c r="N1859" s="5" t="s">
        <v>80</v>
      </c>
      <c r="O1859" s="5" t="s">
        <v>46</v>
      </c>
      <c r="P1859" s="10" t="s">
        <v>60</v>
      </c>
      <c r="Q1859" s="10">
        <v>0</v>
      </c>
      <c r="R1859" s="10" t="s">
        <v>6413</v>
      </c>
      <c r="S1859" s="5">
        <v>0</v>
      </c>
      <c r="T1859" s="37">
        <v>0</v>
      </c>
      <c r="U1859" s="5">
        <v>0</v>
      </c>
      <c r="V1859" s="37">
        <v>0</v>
      </c>
      <c r="W1859" s="5">
        <v>0</v>
      </c>
      <c r="X1859" s="5">
        <v>0</v>
      </c>
      <c r="Y1859" s="5">
        <v>0</v>
      </c>
      <c r="Z1859" s="37">
        <v>0</v>
      </c>
      <c r="AA1859" s="5">
        <v>0</v>
      </c>
      <c r="AB1859" s="5">
        <v>0</v>
      </c>
      <c r="AC1859" s="5">
        <v>0</v>
      </c>
      <c r="AD1859" s="5">
        <v>0</v>
      </c>
      <c r="AE1859" s="10" t="s">
        <v>73</v>
      </c>
      <c r="AF1859" s="10"/>
      <c r="AG1859" s="10" t="s">
        <v>114</v>
      </c>
      <c r="AH1859" s="10">
        <v>41907</v>
      </c>
      <c r="AI1859" s="5">
        <v>1</v>
      </c>
      <c r="AJ1859" s="10" t="s">
        <v>10362</v>
      </c>
      <c r="AK1859" s="10" t="s">
        <v>10363</v>
      </c>
    </row>
    <row r="1860" spans="1:37" ht="36.75" customHeight="1" x14ac:dyDescent="0.35">
      <c r="A1860" s="5"/>
      <c r="B1860" s="5" t="s">
        <v>37</v>
      </c>
      <c r="C1860" s="73" t="str">
        <f t="shared" si="29"/>
        <v>Closed</v>
      </c>
      <c r="D1860" s="45" t="s">
        <v>10364</v>
      </c>
      <c r="E1860" s="54" t="s">
        <v>10365</v>
      </c>
      <c r="F1860" s="5" t="s">
        <v>619</v>
      </c>
      <c r="G1860" s="10">
        <f>DATE(2014,9,26)</f>
        <v>41908</v>
      </c>
      <c r="H1860" s="35">
        <v>1.2854166666666667</v>
      </c>
      <c r="I1860" s="5" t="s">
        <v>179</v>
      </c>
      <c r="J1860" s="10" t="s">
        <v>10366</v>
      </c>
      <c r="K1860" s="5" t="s">
        <v>621</v>
      </c>
      <c r="L1860" s="5" t="s">
        <v>10367</v>
      </c>
      <c r="M1860" s="5" t="s">
        <v>45</v>
      </c>
      <c r="N1860" s="5" t="s">
        <v>123</v>
      </c>
      <c r="O1860" s="5" t="s">
        <v>46</v>
      </c>
      <c r="P1860" s="10" t="s">
        <v>3410</v>
      </c>
      <c r="Q1860" s="10" t="s">
        <v>10368</v>
      </c>
      <c r="R1860" s="10" t="s">
        <v>624</v>
      </c>
      <c r="S1860" s="5">
        <v>0</v>
      </c>
      <c r="T1860" s="37">
        <v>0</v>
      </c>
      <c r="U1860" s="5">
        <v>0</v>
      </c>
      <c r="V1860" s="37">
        <v>0</v>
      </c>
      <c r="W1860" s="5">
        <v>0</v>
      </c>
      <c r="X1860" s="5">
        <v>0</v>
      </c>
      <c r="Y1860" s="5">
        <v>0</v>
      </c>
      <c r="Z1860" s="37">
        <v>0</v>
      </c>
      <c r="AA1860" s="5">
        <v>0</v>
      </c>
      <c r="AB1860" s="5">
        <v>0</v>
      </c>
      <c r="AC1860" s="5">
        <v>0</v>
      </c>
      <c r="AD1860" s="5">
        <v>0</v>
      </c>
      <c r="AE1860" s="10" t="s">
        <v>73</v>
      </c>
      <c r="AF1860" s="10"/>
      <c r="AG1860" s="10" t="s">
        <v>333</v>
      </c>
      <c r="AH1860" s="10">
        <v>41940</v>
      </c>
      <c r="AI1860" s="5">
        <v>1</v>
      </c>
      <c r="AJ1860" s="10" t="s">
        <v>10369</v>
      </c>
      <c r="AK1860" s="10" t="s">
        <v>50</v>
      </c>
    </row>
    <row r="1861" spans="1:37" ht="36.75" customHeight="1" x14ac:dyDescent="0.35">
      <c r="A1861" s="5"/>
      <c r="B1861" s="5" t="s">
        <v>37</v>
      </c>
      <c r="C1861" s="73" t="str">
        <f t="shared" si="29"/>
        <v>Closed</v>
      </c>
      <c r="D1861" s="45" t="s">
        <v>10370</v>
      </c>
      <c r="E1861" s="54" t="s">
        <v>10371</v>
      </c>
      <c r="F1861" s="5" t="s">
        <v>619</v>
      </c>
      <c r="G1861" s="10">
        <f>DATE(2014,9,26)</f>
        <v>41908</v>
      </c>
      <c r="H1861" s="35">
        <v>1.6986111111111111</v>
      </c>
      <c r="I1861" s="5" t="s">
        <v>85</v>
      </c>
      <c r="J1861" s="10" t="s">
        <v>10372</v>
      </c>
      <c r="K1861" s="5" t="s">
        <v>621</v>
      </c>
      <c r="L1861" s="5" t="s">
        <v>10373</v>
      </c>
      <c r="M1861" s="5" t="s">
        <v>45</v>
      </c>
      <c r="N1861" s="5" t="s">
        <v>123</v>
      </c>
      <c r="O1861" s="5" t="s">
        <v>59</v>
      </c>
      <c r="P1861" s="10" t="s">
        <v>6920</v>
      </c>
      <c r="Q1861" s="10" t="s">
        <v>623</v>
      </c>
      <c r="R1861" s="10" t="s">
        <v>624</v>
      </c>
      <c r="S1861" s="5">
        <v>0</v>
      </c>
      <c r="T1861" s="37">
        <v>0</v>
      </c>
      <c r="U1861" s="5">
        <v>0</v>
      </c>
      <c r="V1861" s="37">
        <v>0</v>
      </c>
      <c r="W1861" s="5">
        <v>0</v>
      </c>
      <c r="X1861" s="5">
        <v>0</v>
      </c>
      <c r="Y1861" s="5">
        <v>0</v>
      </c>
      <c r="Z1861" s="37">
        <v>0</v>
      </c>
      <c r="AA1861" s="5">
        <v>0</v>
      </c>
      <c r="AB1861" s="5">
        <v>0</v>
      </c>
      <c r="AC1861" s="5">
        <v>0</v>
      </c>
      <c r="AD1861" s="5">
        <v>0</v>
      </c>
      <c r="AE1861" s="10" t="s">
        <v>73</v>
      </c>
      <c r="AF1861" s="10"/>
      <c r="AG1861" s="10" t="s">
        <v>333</v>
      </c>
      <c r="AH1861" s="10">
        <v>41940</v>
      </c>
      <c r="AI1861" s="5">
        <v>1</v>
      </c>
      <c r="AJ1861" s="10" t="s">
        <v>10374</v>
      </c>
      <c r="AK1861" s="10" t="s">
        <v>50</v>
      </c>
    </row>
    <row r="1862" spans="1:37" ht="36.75" customHeight="1" x14ac:dyDescent="0.35">
      <c r="A1862" s="5"/>
      <c r="B1862" s="5" t="s">
        <v>37</v>
      </c>
      <c r="C1862" s="73" t="str">
        <f t="shared" si="29"/>
        <v>Closed</v>
      </c>
      <c r="D1862" s="45" t="s">
        <v>10375</v>
      </c>
      <c r="E1862" s="54" t="s">
        <v>10376</v>
      </c>
      <c r="F1862" s="5" t="s">
        <v>563</v>
      </c>
      <c r="G1862" s="10">
        <f>DATE(2014,9,28)</f>
        <v>41910</v>
      </c>
      <c r="H1862" s="35">
        <v>1.7625000000000002</v>
      </c>
      <c r="I1862" s="5" t="s">
        <v>106</v>
      </c>
      <c r="J1862" s="10" t="s">
        <v>10377</v>
      </c>
      <c r="K1862" s="5" t="s">
        <v>565</v>
      </c>
      <c r="L1862" s="5" t="s">
        <v>10378</v>
      </c>
      <c r="M1862" s="5" t="s">
        <v>45</v>
      </c>
      <c r="N1862" s="5" t="s">
        <v>123</v>
      </c>
      <c r="O1862" s="5" t="s">
        <v>59</v>
      </c>
      <c r="P1862" s="10" t="s">
        <v>146</v>
      </c>
      <c r="Q1862" s="10" t="s">
        <v>10379</v>
      </c>
      <c r="R1862" s="10" t="s">
        <v>568</v>
      </c>
      <c r="S1862" s="5">
        <v>0</v>
      </c>
      <c r="T1862" s="37">
        <v>0</v>
      </c>
      <c r="U1862" s="5">
        <v>0</v>
      </c>
      <c r="V1862" s="37">
        <v>0</v>
      </c>
      <c r="W1862" s="5">
        <v>0</v>
      </c>
      <c r="X1862" s="5">
        <v>0</v>
      </c>
      <c r="Y1862" s="5">
        <v>0</v>
      </c>
      <c r="Z1862" s="37">
        <v>0</v>
      </c>
      <c r="AA1862" s="5">
        <v>0</v>
      </c>
      <c r="AB1862" s="5">
        <v>0</v>
      </c>
      <c r="AC1862" s="5">
        <v>0</v>
      </c>
      <c r="AD1862" s="5">
        <v>0</v>
      </c>
      <c r="AE1862" s="10" t="s">
        <v>73</v>
      </c>
      <c r="AF1862" s="10"/>
      <c r="AG1862" s="10" t="s">
        <v>570</v>
      </c>
      <c r="AH1862" s="10">
        <v>41988</v>
      </c>
      <c r="AI1862" s="5">
        <v>0</v>
      </c>
      <c r="AJ1862" s="10" t="s">
        <v>10380</v>
      </c>
      <c r="AK1862" s="10" t="s">
        <v>1215</v>
      </c>
    </row>
    <row r="1863" spans="1:37" ht="36.75" customHeight="1" x14ac:dyDescent="0.35">
      <c r="A1863" s="5"/>
      <c r="B1863" s="5" t="s">
        <v>37</v>
      </c>
      <c r="C1863" s="73" t="str">
        <f t="shared" si="29"/>
        <v>Closed</v>
      </c>
      <c r="D1863" s="45" t="s">
        <v>10381</v>
      </c>
      <c r="E1863" s="54" t="s">
        <v>10382</v>
      </c>
      <c r="F1863" s="5" t="s">
        <v>214</v>
      </c>
      <c r="G1863" s="10">
        <f>DATE(2014,10,2)</f>
        <v>41914</v>
      </c>
      <c r="H1863" s="35">
        <v>1.1041666666666667</v>
      </c>
      <c r="I1863" s="5" t="s">
        <v>55</v>
      </c>
      <c r="J1863" s="10" t="s">
        <v>10383</v>
      </c>
      <c r="K1863" s="5" t="s">
        <v>216</v>
      </c>
      <c r="L1863" s="5" t="s">
        <v>10384</v>
      </c>
      <c r="M1863" s="5" t="s">
        <v>45</v>
      </c>
      <c r="N1863" s="5" t="s">
        <v>123</v>
      </c>
      <c r="O1863" s="5" t="s">
        <v>46</v>
      </c>
      <c r="P1863" s="10" t="s">
        <v>60</v>
      </c>
      <c r="Q1863" s="10" t="s">
        <v>4022</v>
      </c>
      <c r="R1863" s="10" t="s">
        <v>219</v>
      </c>
      <c r="S1863" s="5">
        <v>0</v>
      </c>
      <c r="T1863" s="37">
        <v>0</v>
      </c>
      <c r="U1863" s="5">
        <v>0</v>
      </c>
      <c r="V1863" s="37">
        <v>0</v>
      </c>
      <c r="W1863" s="5">
        <v>0</v>
      </c>
      <c r="X1863" s="5">
        <v>0</v>
      </c>
      <c r="Y1863" s="5">
        <v>0</v>
      </c>
      <c r="Z1863" s="37">
        <v>0</v>
      </c>
      <c r="AA1863" s="5">
        <v>0</v>
      </c>
      <c r="AB1863" s="5">
        <v>0</v>
      </c>
      <c r="AC1863" s="5">
        <v>0</v>
      </c>
      <c r="AD1863" s="5">
        <v>0</v>
      </c>
      <c r="AE1863" s="10" t="s">
        <v>73</v>
      </c>
      <c r="AF1863" s="10"/>
      <c r="AG1863" s="10" t="s">
        <v>114</v>
      </c>
      <c r="AH1863" s="10">
        <v>41918</v>
      </c>
      <c r="AI1863" s="5">
        <v>3</v>
      </c>
      <c r="AJ1863" s="10" t="s">
        <v>10385</v>
      </c>
      <c r="AK1863" s="10" t="s">
        <v>10386</v>
      </c>
    </row>
    <row r="1864" spans="1:37" ht="36.75" customHeight="1" x14ac:dyDescent="0.35">
      <c r="A1864" s="5"/>
      <c r="B1864" s="5" t="s">
        <v>37</v>
      </c>
      <c r="C1864" s="73" t="str">
        <f t="shared" si="29"/>
        <v>Closed</v>
      </c>
      <c r="D1864" s="45" t="s">
        <v>10387</v>
      </c>
      <c r="E1864" s="54" t="s">
        <v>10388</v>
      </c>
      <c r="F1864" s="5" t="s">
        <v>432</v>
      </c>
      <c r="G1864" s="10">
        <f>DATE(2014,10,3)</f>
        <v>41915</v>
      </c>
      <c r="H1864" s="35">
        <v>1.5333333333333332</v>
      </c>
      <c r="I1864" s="5" t="s">
        <v>97</v>
      </c>
      <c r="J1864" s="10" t="s">
        <v>10389</v>
      </c>
      <c r="K1864" s="5" t="s">
        <v>434</v>
      </c>
      <c r="L1864" s="5" t="s">
        <v>10390</v>
      </c>
      <c r="M1864" s="5" t="s">
        <v>45</v>
      </c>
      <c r="N1864" s="5" t="s">
        <v>80</v>
      </c>
      <c r="O1864" s="5" t="s">
        <v>46</v>
      </c>
      <c r="P1864" s="10" t="s">
        <v>146</v>
      </c>
      <c r="Q1864" s="10" t="s">
        <v>10391</v>
      </c>
      <c r="R1864" s="10" t="s">
        <v>10392</v>
      </c>
      <c r="S1864" s="5">
        <v>0</v>
      </c>
      <c r="T1864" s="37">
        <v>0</v>
      </c>
      <c r="U1864" s="5">
        <v>1</v>
      </c>
      <c r="V1864" s="37">
        <v>0</v>
      </c>
      <c r="W1864" s="5">
        <v>0</v>
      </c>
      <c r="X1864" s="5">
        <v>1</v>
      </c>
      <c r="Y1864" s="5">
        <v>0</v>
      </c>
      <c r="Z1864" s="37">
        <v>0</v>
      </c>
      <c r="AA1864" s="5">
        <v>0</v>
      </c>
      <c r="AB1864" s="5">
        <v>0</v>
      </c>
      <c r="AC1864" s="5">
        <v>0</v>
      </c>
      <c r="AD1864" s="5">
        <v>0</v>
      </c>
      <c r="AE1864" s="10" t="s">
        <v>73</v>
      </c>
      <c r="AF1864" s="10"/>
      <c r="AG1864" s="10" t="s">
        <v>64</v>
      </c>
      <c r="AH1864" s="10">
        <v>41915</v>
      </c>
      <c r="AI1864" s="5">
        <v>0</v>
      </c>
      <c r="AJ1864" s="10" t="s">
        <v>10393</v>
      </c>
      <c r="AK1864" s="10" t="s">
        <v>50</v>
      </c>
    </row>
    <row r="1865" spans="1:37" ht="36.75" customHeight="1" x14ac:dyDescent="0.35">
      <c r="A1865" s="5"/>
      <c r="B1865" s="5" t="s">
        <v>37</v>
      </c>
      <c r="C1865" s="73" t="str">
        <f t="shared" si="29"/>
        <v>Closed</v>
      </c>
      <c r="D1865" s="45" t="s">
        <v>10394</v>
      </c>
      <c r="E1865" s="54" t="s">
        <v>10395</v>
      </c>
      <c r="F1865" s="5" t="s">
        <v>2581</v>
      </c>
      <c r="G1865" s="10">
        <f>DATE(2014,10,9)</f>
        <v>41921</v>
      </c>
      <c r="H1865" s="35">
        <v>1.5868055555555556</v>
      </c>
      <c r="I1865" s="5" t="s">
        <v>97</v>
      </c>
      <c r="J1865" s="10" t="s">
        <v>10396</v>
      </c>
      <c r="K1865" s="5" t="s">
        <v>2583</v>
      </c>
      <c r="L1865" s="5" t="s">
        <v>10397</v>
      </c>
      <c r="M1865" s="5" t="s">
        <v>45</v>
      </c>
      <c r="N1865" s="5" t="s">
        <v>123</v>
      </c>
      <c r="O1865" s="5" t="s">
        <v>46</v>
      </c>
      <c r="P1865" s="10" t="s">
        <v>362</v>
      </c>
      <c r="Q1865" s="10" t="s">
        <v>4793</v>
      </c>
      <c r="R1865" s="10" t="s">
        <v>2586</v>
      </c>
      <c r="S1865" s="5">
        <v>0</v>
      </c>
      <c r="T1865" s="37">
        <v>0</v>
      </c>
      <c r="U1865" s="5">
        <v>1</v>
      </c>
      <c r="V1865" s="37">
        <v>0</v>
      </c>
      <c r="W1865" s="5">
        <v>0</v>
      </c>
      <c r="X1865" s="5">
        <v>1</v>
      </c>
      <c r="Y1865" s="5">
        <v>0</v>
      </c>
      <c r="Z1865" s="37">
        <v>0</v>
      </c>
      <c r="AA1865" s="5">
        <v>0</v>
      </c>
      <c r="AB1865" s="5">
        <v>0</v>
      </c>
      <c r="AC1865" s="5">
        <v>0</v>
      </c>
      <c r="AD1865" s="5">
        <v>0</v>
      </c>
      <c r="AE1865" s="10" t="s">
        <v>73</v>
      </c>
      <c r="AF1865" s="10"/>
      <c r="AG1865" s="10" t="s">
        <v>114</v>
      </c>
      <c r="AH1865" s="10">
        <v>41922</v>
      </c>
      <c r="AI1865" s="5">
        <v>1</v>
      </c>
      <c r="AJ1865" s="10" t="s">
        <v>10398</v>
      </c>
      <c r="AK1865" s="10" t="s">
        <v>10399</v>
      </c>
    </row>
    <row r="1866" spans="1:37" ht="36.75" customHeight="1" x14ac:dyDescent="0.35">
      <c r="A1866" s="5"/>
      <c r="B1866" s="5" t="s">
        <v>37</v>
      </c>
      <c r="C1866" s="73" t="str">
        <f t="shared" si="29"/>
        <v>Closed</v>
      </c>
      <c r="D1866" s="45" t="s">
        <v>10400</v>
      </c>
      <c r="E1866" s="54" t="s">
        <v>10401</v>
      </c>
      <c r="F1866" s="5" t="s">
        <v>1751</v>
      </c>
      <c r="G1866" s="10">
        <f>DATE(2014,10,10)</f>
        <v>41922</v>
      </c>
      <c r="H1866" s="35">
        <v>0</v>
      </c>
      <c r="I1866" s="5" t="s">
        <v>85</v>
      </c>
      <c r="J1866" s="10" t="s">
        <v>10402</v>
      </c>
      <c r="K1866" s="5" t="s">
        <v>1753</v>
      </c>
      <c r="L1866" s="5" t="s">
        <v>10403</v>
      </c>
      <c r="M1866" s="5" t="s">
        <v>45</v>
      </c>
      <c r="N1866" s="5" t="s">
        <v>70</v>
      </c>
      <c r="O1866" s="5" t="s">
        <v>59</v>
      </c>
      <c r="P1866" s="10" t="s">
        <v>146</v>
      </c>
      <c r="Q1866" s="10" t="s">
        <v>1755</v>
      </c>
      <c r="R1866" s="10" t="s">
        <v>1756</v>
      </c>
      <c r="S1866" s="5">
        <v>0</v>
      </c>
      <c r="T1866" s="37">
        <v>0</v>
      </c>
      <c r="U1866" s="5">
        <v>0</v>
      </c>
      <c r="V1866" s="37">
        <v>0</v>
      </c>
      <c r="W1866" s="5">
        <v>0</v>
      </c>
      <c r="X1866" s="5">
        <v>0</v>
      </c>
      <c r="Y1866" s="5">
        <v>0</v>
      </c>
      <c r="Z1866" s="37">
        <v>0</v>
      </c>
      <c r="AA1866" s="5">
        <v>0</v>
      </c>
      <c r="AB1866" s="5">
        <v>0</v>
      </c>
      <c r="AC1866" s="5">
        <v>0</v>
      </c>
      <c r="AD1866" s="5">
        <v>0</v>
      </c>
      <c r="AE1866" s="10" t="s">
        <v>73</v>
      </c>
      <c r="AF1866" s="10"/>
      <c r="AG1866" s="10" t="s">
        <v>570</v>
      </c>
      <c r="AH1866" s="10">
        <v>41928</v>
      </c>
      <c r="AI1866" s="5">
        <v>3</v>
      </c>
      <c r="AJ1866" s="10" t="s">
        <v>10404</v>
      </c>
      <c r="AK1866" s="10" t="s">
        <v>1215</v>
      </c>
    </row>
    <row r="1867" spans="1:37" ht="36.75" customHeight="1" x14ac:dyDescent="0.35">
      <c r="A1867" s="5"/>
      <c r="B1867" s="5" t="s">
        <v>37</v>
      </c>
      <c r="C1867" s="73" t="str">
        <f t="shared" si="29"/>
        <v>Closed</v>
      </c>
      <c r="D1867" s="45" t="s">
        <v>10405</v>
      </c>
      <c r="E1867" s="54" t="s">
        <v>10406</v>
      </c>
      <c r="F1867" s="5" t="s">
        <v>619</v>
      </c>
      <c r="G1867" s="10">
        <f>DATE(2014,10,11)</f>
        <v>41923</v>
      </c>
      <c r="H1867" s="35">
        <v>1.4618055555555556</v>
      </c>
      <c r="I1867" s="5" t="s">
        <v>55</v>
      </c>
      <c r="J1867" s="10" t="s">
        <v>10407</v>
      </c>
      <c r="K1867" s="5" t="s">
        <v>621</v>
      </c>
      <c r="L1867" s="5" t="s">
        <v>10408</v>
      </c>
      <c r="M1867" s="5" t="s">
        <v>45</v>
      </c>
      <c r="N1867" s="5" t="s">
        <v>123</v>
      </c>
      <c r="O1867" s="5" t="s">
        <v>6854</v>
      </c>
      <c r="P1867" s="10" t="s">
        <v>60</v>
      </c>
      <c r="Q1867" s="10" t="s">
        <v>10409</v>
      </c>
      <c r="R1867" s="10" t="s">
        <v>624</v>
      </c>
      <c r="S1867" s="5">
        <v>0</v>
      </c>
      <c r="T1867" s="37">
        <v>0</v>
      </c>
      <c r="U1867" s="5">
        <v>0</v>
      </c>
      <c r="V1867" s="37">
        <v>0</v>
      </c>
      <c r="W1867" s="5">
        <v>0</v>
      </c>
      <c r="X1867" s="5">
        <v>0</v>
      </c>
      <c r="Y1867" s="5">
        <v>0</v>
      </c>
      <c r="Z1867" s="37">
        <v>0</v>
      </c>
      <c r="AA1867" s="5">
        <v>0</v>
      </c>
      <c r="AB1867" s="5">
        <v>0</v>
      </c>
      <c r="AC1867" s="5">
        <v>0</v>
      </c>
      <c r="AD1867" s="5">
        <v>0</v>
      </c>
      <c r="AE1867" s="10" t="s">
        <v>73</v>
      </c>
      <c r="AF1867" s="10"/>
      <c r="AG1867" s="10" t="s">
        <v>333</v>
      </c>
      <c r="AH1867" s="10">
        <v>41968</v>
      </c>
      <c r="AI1867" s="5">
        <v>0</v>
      </c>
      <c r="AJ1867" s="10" t="s">
        <v>10410</v>
      </c>
      <c r="AK1867" s="10" t="s">
        <v>50</v>
      </c>
    </row>
    <row r="1868" spans="1:37" ht="36.75" customHeight="1" x14ac:dyDescent="0.35">
      <c r="A1868" s="5"/>
      <c r="B1868" s="5" t="s">
        <v>37</v>
      </c>
      <c r="C1868" s="73" t="str">
        <f t="shared" si="29"/>
        <v>Closed</v>
      </c>
      <c r="D1868" s="45" t="s">
        <v>10411</v>
      </c>
      <c r="E1868" s="54" t="s">
        <v>10412</v>
      </c>
      <c r="F1868" s="5" t="s">
        <v>6434</v>
      </c>
      <c r="G1868" s="10">
        <f>DATE(2014,10,20)</f>
        <v>41932</v>
      </c>
      <c r="H1868" s="35">
        <v>1.8027777777777776</v>
      </c>
      <c r="I1868" s="5" t="s">
        <v>55</v>
      </c>
      <c r="J1868" s="10" t="s">
        <v>10413</v>
      </c>
      <c r="K1868" s="5" t="s">
        <v>565</v>
      </c>
      <c r="L1868" s="5" t="s">
        <v>10414</v>
      </c>
      <c r="M1868" s="5" t="s">
        <v>45</v>
      </c>
      <c r="N1868" s="5" t="s">
        <v>123</v>
      </c>
      <c r="O1868" s="5" t="s">
        <v>59</v>
      </c>
      <c r="P1868" s="10" t="s">
        <v>146</v>
      </c>
      <c r="Q1868" s="10" t="s">
        <v>10415</v>
      </c>
      <c r="R1868" s="10" t="s">
        <v>9830</v>
      </c>
      <c r="S1868" s="5">
        <v>0</v>
      </c>
      <c r="T1868" s="37">
        <v>0</v>
      </c>
      <c r="U1868" s="5">
        <v>0</v>
      </c>
      <c r="V1868" s="37">
        <v>0</v>
      </c>
      <c r="W1868" s="5">
        <v>0</v>
      </c>
      <c r="X1868" s="5">
        <v>0</v>
      </c>
      <c r="Y1868" s="5">
        <v>0</v>
      </c>
      <c r="Z1868" s="37">
        <v>0</v>
      </c>
      <c r="AA1868" s="5">
        <v>0</v>
      </c>
      <c r="AB1868" s="5">
        <v>0</v>
      </c>
      <c r="AC1868" s="5">
        <v>0</v>
      </c>
      <c r="AD1868" s="5">
        <v>0</v>
      </c>
      <c r="AE1868" s="10" t="s">
        <v>375</v>
      </c>
      <c r="AF1868" s="10" t="s">
        <v>10416</v>
      </c>
      <c r="AG1868" s="10" t="s">
        <v>8837</v>
      </c>
      <c r="AH1868" s="10">
        <v>41936</v>
      </c>
      <c r="AI1868" s="5">
        <v>0</v>
      </c>
      <c r="AJ1868" s="10" t="s">
        <v>10417</v>
      </c>
      <c r="AK1868" s="10" t="s">
        <v>50</v>
      </c>
    </row>
    <row r="1869" spans="1:37" ht="36.75" customHeight="1" x14ac:dyDescent="0.35">
      <c r="A1869" s="5"/>
      <c r="B1869" s="5" t="s">
        <v>37</v>
      </c>
      <c r="C1869" s="73" t="str">
        <f t="shared" si="29"/>
        <v>Closed</v>
      </c>
      <c r="D1869" s="45" t="s">
        <v>10418</v>
      </c>
      <c r="E1869" s="54" t="s">
        <v>10419</v>
      </c>
      <c r="F1869" s="5" t="s">
        <v>816</v>
      </c>
      <c r="G1869" s="10">
        <f>DATE(2014,10,20)</f>
        <v>41932</v>
      </c>
      <c r="H1869" s="35">
        <v>1.3868055555555556</v>
      </c>
      <c r="I1869" s="5" t="s">
        <v>97</v>
      </c>
      <c r="J1869" s="10" t="s">
        <v>10420</v>
      </c>
      <c r="K1869" s="5" t="s">
        <v>818</v>
      </c>
      <c r="L1869" s="5" t="s">
        <v>10421</v>
      </c>
      <c r="M1869" s="5" t="s">
        <v>45</v>
      </c>
      <c r="N1869" s="5" t="s">
        <v>80</v>
      </c>
      <c r="O1869" s="5" t="s">
        <v>46</v>
      </c>
      <c r="P1869" s="10" t="s">
        <v>146</v>
      </c>
      <c r="Q1869" s="10" t="s">
        <v>2142</v>
      </c>
      <c r="R1869" s="10" t="s">
        <v>821</v>
      </c>
      <c r="S1869" s="5">
        <v>0</v>
      </c>
      <c r="T1869" s="37">
        <v>0</v>
      </c>
      <c r="U1869" s="5">
        <v>1</v>
      </c>
      <c r="V1869" s="37">
        <v>0</v>
      </c>
      <c r="W1869" s="5">
        <v>0</v>
      </c>
      <c r="X1869" s="5">
        <v>1</v>
      </c>
      <c r="Y1869" s="5">
        <v>0</v>
      </c>
      <c r="Z1869" s="37">
        <v>0</v>
      </c>
      <c r="AA1869" s="5">
        <v>4</v>
      </c>
      <c r="AB1869" s="5">
        <v>0</v>
      </c>
      <c r="AC1869" s="5">
        <v>0</v>
      </c>
      <c r="AD1869" s="5">
        <v>4</v>
      </c>
      <c r="AE1869" s="10" t="s">
        <v>73</v>
      </c>
      <c r="AF1869" s="10"/>
      <c r="AG1869" s="10" t="s">
        <v>114</v>
      </c>
      <c r="AH1869" s="10">
        <v>41932</v>
      </c>
      <c r="AI1869" s="5">
        <v>0</v>
      </c>
      <c r="AJ1869" s="10" t="s">
        <v>8619</v>
      </c>
      <c r="AK1869" s="10" t="s">
        <v>50</v>
      </c>
    </row>
    <row r="1870" spans="1:37" ht="36.75" customHeight="1" x14ac:dyDescent="0.35">
      <c r="A1870" s="5"/>
      <c r="B1870" s="5" t="s">
        <v>37</v>
      </c>
      <c r="C1870" s="73" t="str">
        <f t="shared" si="29"/>
        <v>Closed</v>
      </c>
      <c r="D1870" s="45" t="s">
        <v>10422</v>
      </c>
      <c r="E1870" s="54" t="s">
        <v>10423</v>
      </c>
      <c r="F1870" s="5" t="s">
        <v>816</v>
      </c>
      <c r="G1870" s="10">
        <f>DATE(2014,10,21)</f>
        <v>41933</v>
      </c>
      <c r="H1870" s="35">
        <v>1.8611111111111112</v>
      </c>
      <c r="I1870" s="5" t="s">
        <v>55</v>
      </c>
      <c r="J1870" s="10" t="s">
        <v>10424</v>
      </c>
      <c r="K1870" s="5" t="s">
        <v>818</v>
      </c>
      <c r="L1870" s="5" t="s">
        <v>10425</v>
      </c>
      <c r="M1870" s="5" t="s">
        <v>45</v>
      </c>
      <c r="N1870" s="5" t="s">
        <v>80</v>
      </c>
      <c r="O1870" s="5" t="s">
        <v>59</v>
      </c>
      <c r="P1870" s="10" t="s">
        <v>47</v>
      </c>
      <c r="Q1870" s="10" t="s">
        <v>2142</v>
      </c>
      <c r="R1870" s="10" t="s">
        <v>821</v>
      </c>
      <c r="S1870" s="5">
        <v>0</v>
      </c>
      <c r="T1870" s="37">
        <v>0</v>
      </c>
      <c r="U1870" s="5">
        <v>0</v>
      </c>
      <c r="V1870" s="37">
        <v>0</v>
      </c>
      <c r="W1870" s="5">
        <v>0</v>
      </c>
      <c r="X1870" s="5">
        <v>0</v>
      </c>
      <c r="Y1870" s="5">
        <v>0</v>
      </c>
      <c r="Z1870" s="37">
        <v>0</v>
      </c>
      <c r="AA1870" s="5">
        <v>0</v>
      </c>
      <c r="AB1870" s="5">
        <v>0</v>
      </c>
      <c r="AC1870" s="5">
        <v>0</v>
      </c>
      <c r="AD1870" s="5">
        <v>0</v>
      </c>
      <c r="AE1870" s="10" t="s">
        <v>375</v>
      </c>
      <c r="AF1870" s="10"/>
      <c r="AG1870" s="10" t="s">
        <v>333</v>
      </c>
      <c r="AH1870" s="10">
        <v>41933</v>
      </c>
      <c r="AI1870" s="5">
        <v>0</v>
      </c>
      <c r="AJ1870" s="10" t="s">
        <v>8619</v>
      </c>
      <c r="AK1870" s="10" t="s">
        <v>50</v>
      </c>
    </row>
    <row r="1871" spans="1:37" ht="36.75" customHeight="1" x14ac:dyDescent="0.35">
      <c r="A1871" s="5"/>
      <c r="B1871" s="5" t="s">
        <v>37</v>
      </c>
      <c r="C1871" s="73" t="str">
        <f t="shared" si="29"/>
        <v>Closed</v>
      </c>
      <c r="D1871" s="45" t="s">
        <v>10426</v>
      </c>
      <c r="E1871" s="54" t="s">
        <v>10427</v>
      </c>
      <c r="F1871" s="5" t="s">
        <v>214</v>
      </c>
      <c r="G1871" s="10">
        <f>DATE(2014,10,23)</f>
        <v>41935</v>
      </c>
      <c r="H1871" s="35">
        <v>1.6493055555555556</v>
      </c>
      <c r="I1871" s="5" t="s">
        <v>55</v>
      </c>
      <c r="J1871" s="10" t="s">
        <v>10428</v>
      </c>
      <c r="K1871" s="5" t="s">
        <v>216</v>
      </c>
      <c r="L1871" s="5" t="s">
        <v>10429</v>
      </c>
      <c r="M1871" s="5" t="s">
        <v>45</v>
      </c>
      <c r="N1871" s="5" t="s">
        <v>70</v>
      </c>
      <c r="O1871" s="5" t="s">
        <v>46</v>
      </c>
      <c r="P1871" s="10" t="s">
        <v>60</v>
      </c>
      <c r="Q1871" s="10" t="s">
        <v>415</v>
      </c>
      <c r="R1871" s="10" t="s">
        <v>219</v>
      </c>
      <c r="S1871" s="5">
        <v>0</v>
      </c>
      <c r="T1871" s="37">
        <v>0</v>
      </c>
      <c r="U1871" s="5">
        <v>0</v>
      </c>
      <c r="V1871" s="37">
        <v>0</v>
      </c>
      <c r="W1871" s="5">
        <v>0</v>
      </c>
      <c r="X1871" s="5">
        <v>0</v>
      </c>
      <c r="Y1871" s="5">
        <v>0</v>
      </c>
      <c r="Z1871" s="37">
        <v>0</v>
      </c>
      <c r="AA1871" s="5">
        <v>0</v>
      </c>
      <c r="AB1871" s="5">
        <v>0</v>
      </c>
      <c r="AC1871" s="5">
        <v>0</v>
      </c>
      <c r="AD1871" s="5">
        <v>0</v>
      </c>
      <c r="AE1871" s="10" t="s">
        <v>73</v>
      </c>
      <c r="AF1871" s="10"/>
      <c r="AG1871" s="10" t="s">
        <v>114</v>
      </c>
      <c r="AH1871" s="10">
        <v>41946</v>
      </c>
      <c r="AI1871" s="5">
        <v>5</v>
      </c>
      <c r="AJ1871" s="10" t="s">
        <v>10430</v>
      </c>
      <c r="AK1871" s="10" t="s">
        <v>10431</v>
      </c>
    </row>
    <row r="1872" spans="1:37" ht="36.75" customHeight="1" x14ac:dyDescent="0.35">
      <c r="A1872" s="5"/>
      <c r="B1872" s="5" t="s">
        <v>37</v>
      </c>
      <c r="C1872" s="73" t="str">
        <f t="shared" si="29"/>
        <v>Closed</v>
      </c>
      <c r="D1872" s="45" t="s">
        <v>10432</v>
      </c>
      <c r="E1872" s="54" t="s">
        <v>10433</v>
      </c>
      <c r="F1872" s="5" t="s">
        <v>214</v>
      </c>
      <c r="G1872" s="10">
        <f>DATE(2014,10,26)</f>
        <v>41938</v>
      </c>
      <c r="H1872" s="35">
        <v>1.3104166666666668</v>
      </c>
      <c r="I1872" s="5" t="s">
        <v>137</v>
      </c>
      <c r="J1872" s="10" t="s">
        <v>10434</v>
      </c>
      <c r="K1872" s="5" t="s">
        <v>216</v>
      </c>
      <c r="L1872" s="5" t="s">
        <v>10435</v>
      </c>
      <c r="M1872" s="5" t="s">
        <v>45</v>
      </c>
      <c r="N1872" s="5" t="s">
        <v>70</v>
      </c>
      <c r="O1872" s="5" t="s">
        <v>46</v>
      </c>
      <c r="P1872" s="10" t="s">
        <v>146</v>
      </c>
      <c r="Q1872" s="10" t="s">
        <v>10436</v>
      </c>
      <c r="R1872" s="10" t="s">
        <v>219</v>
      </c>
      <c r="S1872" s="5">
        <v>0</v>
      </c>
      <c r="T1872" s="37">
        <v>0</v>
      </c>
      <c r="U1872" s="5">
        <v>0</v>
      </c>
      <c r="V1872" s="37">
        <v>0</v>
      </c>
      <c r="W1872" s="5">
        <v>0</v>
      </c>
      <c r="X1872" s="5">
        <v>0</v>
      </c>
      <c r="Y1872" s="5">
        <v>0</v>
      </c>
      <c r="Z1872" s="37">
        <v>0</v>
      </c>
      <c r="AA1872" s="5">
        <v>0</v>
      </c>
      <c r="AB1872" s="5">
        <v>0</v>
      </c>
      <c r="AC1872" s="5">
        <v>0</v>
      </c>
      <c r="AD1872" s="5">
        <v>0</v>
      </c>
      <c r="AE1872" s="10" t="s">
        <v>73</v>
      </c>
      <c r="AF1872" s="10"/>
      <c r="AG1872" s="10" t="s">
        <v>114</v>
      </c>
      <c r="AH1872" s="10">
        <v>41946</v>
      </c>
      <c r="AI1872" s="5">
        <v>6</v>
      </c>
      <c r="AJ1872" s="10" t="s">
        <v>10437</v>
      </c>
      <c r="AK1872" s="10" t="s">
        <v>10438</v>
      </c>
    </row>
    <row r="1873" spans="1:37" ht="36.75" customHeight="1" x14ac:dyDescent="0.35">
      <c r="A1873" s="5"/>
      <c r="B1873" s="5" t="s">
        <v>37</v>
      </c>
      <c r="C1873" s="73" t="str">
        <f t="shared" si="29"/>
        <v>Closed</v>
      </c>
      <c r="D1873" s="45" t="s">
        <v>10439</v>
      </c>
      <c r="E1873" s="54" t="s">
        <v>10440</v>
      </c>
      <c r="F1873" s="5" t="s">
        <v>563</v>
      </c>
      <c r="G1873" s="10">
        <f>DATE(2014,10,29)</f>
        <v>41941</v>
      </c>
      <c r="H1873" s="35">
        <v>1.9840277777777779</v>
      </c>
      <c r="I1873" s="5" t="s">
        <v>179</v>
      </c>
      <c r="J1873" s="10" t="s">
        <v>10441</v>
      </c>
      <c r="K1873" s="5" t="s">
        <v>565</v>
      </c>
      <c r="L1873" s="5" t="s">
        <v>10442</v>
      </c>
      <c r="M1873" s="5" t="s">
        <v>45</v>
      </c>
      <c r="N1873" s="5" t="s">
        <v>123</v>
      </c>
      <c r="O1873" s="5" t="s">
        <v>59</v>
      </c>
      <c r="P1873" s="10" t="s">
        <v>60</v>
      </c>
      <c r="Q1873" s="10" t="s">
        <v>567</v>
      </c>
      <c r="R1873" s="10" t="s">
        <v>568</v>
      </c>
      <c r="S1873" s="5">
        <v>0</v>
      </c>
      <c r="T1873" s="37">
        <v>0</v>
      </c>
      <c r="U1873" s="5">
        <v>0</v>
      </c>
      <c r="V1873" s="37">
        <v>0</v>
      </c>
      <c r="W1873" s="5">
        <v>0</v>
      </c>
      <c r="X1873" s="5">
        <v>0</v>
      </c>
      <c r="Y1873" s="5">
        <v>0</v>
      </c>
      <c r="Z1873" s="37">
        <v>0</v>
      </c>
      <c r="AA1873" s="5">
        <v>0</v>
      </c>
      <c r="AB1873" s="5">
        <v>0</v>
      </c>
      <c r="AC1873" s="5">
        <v>0</v>
      </c>
      <c r="AD1873" s="5">
        <v>0</v>
      </c>
      <c r="AE1873" s="10" t="s">
        <v>73</v>
      </c>
      <c r="AF1873" s="10"/>
      <c r="AG1873" s="10" t="s">
        <v>114</v>
      </c>
      <c r="AH1873" s="10">
        <v>41946</v>
      </c>
      <c r="AI1873" s="5">
        <v>0</v>
      </c>
      <c r="AJ1873" s="10" t="s">
        <v>10443</v>
      </c>
      <c r="AK1873" s="10" t="s">
        <v>1215</v>
      </c>
    </row>
    <row r="1874" spans="1:37" ht="36.75" customHeight="1" x14ac:dyDescent="0.35">
      <c r="A1874" s="5"/>
      <c r="B1874" s="5" t="s">
        <v>37</v>
      </c>
      <c r="C1874" s="73" t="str">
        <f t="shared" si="29"/>
        <v>Closed</v>
      </c>
      <c r="D1874" s="45" t="s">
        <v>10444</v>
      </c>
      <c r="E1874" s="54" t="s">
        <v>10445</v>
      </c>
      <c r="F1874" s="5" t="s">
        <v>563</v>
      </c>
      <c r="G1874" s="10">
        <f>DATE(2014,10,30)</f>
        <v>41942</v>
      </c>
      <c r="H1874" s="35">
        <v>1.3020833333333333</v>
      </c>
      <c r="I1874" s="5" t="s">
        <v>55</v>
      </c>
      <c r="J1874" s="10" t="s">
        <v>10446</v>
      </c>
      <c r="K1874" s="5" t="s">
        <v>565</v>
      </c>
      <c r="L1874" s="5" t="s">
        <v>10447</v>
      </c>
      <c r="M1874" s="5" t="s">
        <v>45</v>
      </c>
      <c r="N1874" s="5" t="s">
        <v>123</v>
      </c>
      <c r="O1874" s="5" t="s">
        <v>59</v>
      </c>
      <c r="P1874" s="10" t="s">
        <v>60</v>
      </c>
      <c r="Q1874" s="10" t="s">
        <v>567</v>
      </c>
      <c r="R1874" s="10" t="s">
        <v>568</v>
      </c>
      <c r="S1874" s="5">
        <v>0</v>
      </c>
      <c r="T1874" s="37">
        <v>0</v>
      </c>
      <c r="U1874" s="5">
        <v>0</v>
      </c>
      <c r="V1874" s="37">
        <v>0</v>
      </c>
      <c r="W1874" s="5">
        <v>0</v>
      </c>
      <c r="X1874" s="5">
        <v>0</v>
      </c>
      <c r="Y1874" s="5">
        <v>0</v>
      </c>
      <c r="Z1874" s="37">
        <v>0</v>
      </c>
      <c r="AA1874" s="5">
        <v>0</v>
      </c>
      <c r="AB1874" s="5">
        <v>0</v>
      </c>
      <c r="AC1874" s="5">
        <v>0</v>
      </c>
      <c r="AD1874" s="5">
        <v>0</v>
      </c>
      <c r="AE1874" s="10" t="s">
        <v>73</v>
      </c>
      <c r="AF1874" s="10"/>
      <c r="AG1874" s="10" t="s">
        <v>114</v>
      </c>
      <c r="AH1874" s="10">
        <v>41946</v>
      </c>
      <c r="AI1874" s="5">
        <v>0</v>
      </c>
      <c r="AJ1874" s="10" t="s">
        <v>10448</v>
      </c>
      <c r="AK1874" s="10" t="s">
        <v>1215</v>
      </c>
    </row>
    <row r="1875" spans="1:37" ht="36.75" customHeight="1" x14ac:dyDescent="0.35">
      <c r="A1875" s="5"/>
      <c r="B1875" s="5" t="s">
        <v>37</v>
      </c>
      <c r="C1875" s="73" t="str">
        <f t="shared" si="29"/>
        <v>Closed</v>
      </c>
      <c r="D1875" s="45" t="s">
        <v>10449</v>
      </c>
      <c r="E1875" s="54" t="s">
        <v>10450</v>
      </c>
      <c r="F1875" s="5" t="s">
        <v>1553</v>
      </c>
      <c r="G1875" s="10">
        <f>DATE(2014,10,30)</f>
        <v>41942</v>
      </c>
      <c r="H1875" s="35">
        <v>1.7152777777777777</v>
      </c>
      <c r="I1875" s="5" t="s">
        <v>55</v>
      </c>
      <c r="J1875" s="10" t="s">
        <v>10451</v>
      </c>
      <c r="K1875" s="5" t="s">
        <v>1555</v>
      </c>
      <c r="L1875" s="5" t="s">
        <v>10452</v>
      </c>
      <c r="M1875" s="5" t="s">
        <v>45</v>
      </c>
      <c r="N1875" s="5" t="s">
        <v>80</v>
      </c>
      <c r="O1875" s="5" t="s">
        <v>46</v>
      </c>
      <c r="P1875" s="10" t="s">
        <v>47</v>
      </c>
      <c r="Q1875" s="10" t="s">
        <v>2393</v>
      </c>
      <c r="R1875" s="10" t="s">
        <v>6413</v>
      </c>
      <c r="S1875" s="5">
        <v>0</v>
      </c>
      <c r="T1875" s="37">
        <v>0</v>
      </c>
      <c r="U1875" s="5">
        <v>0</v>
      </c>
      <c r="V1875" s="37">
        <v>0</v>
      </c>
      <c r="W1875" s="5">
        <v>0</v>
      </c>
      <c r="X1875" s="5">
        <v>0</v>
      </c>
      <c r="Y1875" s="5">
        <v>0</v>
      </c>
      <c r="Z1875" s="37">
        <v>0</v>
      </c>
      <c r="AA1875" s="5">
        <v>0</v>
      </c>
      <c r="AB1875" s="5">
        <v>0</v>
      </c>
      <c r="AC1875" s="5">
        <v>0</v>
      </c>
      <c r="AD1875" s="5">
        <v>0</v>
      </c>
      <c r="AE1875" s="10" t="s">
        <v>73</v>
      </c>
      <c r="AF1875" s="10"/>
      <c r="AG1875" s="10" t="s">
        <v>114</v>
      </c>
      <c r="AH1875" s="10">
        <v>41946</v>
      </c>
      <c r="AI1875" s="5">
        <v>1</v>
      </c>
      <c r="AJ1875" s="10" t="s">
        <v>10453</v>
      </c>
      <c r="AK1875" s="10" t="s">
        <v>10454</v>
      </c>
    </row>
    <row r="1876" spans="1:37" ht="36.75" customHeight="1" x14ac:dyDescent="0.35">
      <c r="A1876" s="5"/>
      <c r="B1876" s="5" t="s">
        <v>37</v>
      </c>
      <c r="C1876" s="73" t="str">
        <f t="shared" si="29"/>
        <v>Closed</v>
      </c>
      <c r="D1876" s="45" t="s">
        <v>10455</v>
      </c>
      <c r="E1876" s="54" t="s">
        <v>10456</v>
      </c>
      <c r="F1876" s="5" t="s">
        <v>214</v>
      </c>
      <c r="G1876" s="10">
        <f>DATE(2014,11,1)</f>
        <v>41944</v>
      </c>
      <c r="H1876" s="35">
        <v>1.9194444444444443</v>
      </c>
      <c r="I1876" s="5" t="s">
        <v>468</v>
      </c>
      <c r="J1876" s="10" t="s">
        <v>10457</v>
      </c>
      <c r="K1876" s="5" t="s">
        <v>216</v>
      </c>
      <c r="L1876" s="5" t="s">
        <v>10458</v>
      </c>
      <c r="M1876" s="5" t="s">
        <v>45</v>
      </c>
      <c r="N1876" s="5" t="s">
        <v>80</v>
      </c>
      <c r="O1876" s="5" t="s">
        <v>46</v>
      </c>
      <c r="P1876" s="10" t="s">
        <v>67</v>
      </c>
      <c r="Q1876" s="10" t="s">
        <v>699</v>
      </c>
      <c r="R1876" s="10" t="s">
        <v>219</v>
      </c>
      <c r="S1876" s="5">
        <v>0</v>
      </c>
      <c r="T1876" s="37">
        <v>0</v>
      </c>
      <c r="U1876" s="5">
        <v>0</v>
      </c>
      <c r="V1876" s="37">
        <v>0</v>
      </c>
      <c r="W1876" s="5">
        <v>0</v>
      </c>
      <c r="X1876" s="5">
        <v>0</v>
      </c>
      <c r="Y1876" s="5">
        <v>0</v>
      </c>
      <c r="Z1876" s="37">
        <v>0</v>
      </c>
      <c r="AA1876" s="5">
        <v>0</v>
      </c>
      <c r="AB1876" s="5">
        <v>0</v>
      </c>
      <c r="AC1876" s="5">
        <v>0</v>
      </c>
      <c r="AD1876" s="5">
        <v>0</v>
      </c>
      <c r="AE1876" s="10" t="s">
        <v>73</v>
      </c>
      <c r="AF1876" s="10"/>
      <c r="AG1876" s="10" t="s">
        <v>114</v>
      </c>
      <c r="AH1876" s="10">
        <v>41953</v>
      </c>
      <c r="AI1876" s="5">
        <v>6</v>
      </c>
      <c r="AJ1876" s="10" t="s">
        <v>10459</v>
      </c>
      <c r="AK1876" s="10" t="s">
        <v>10460</v>
      </c>
    </row>
    <row r="1877" spans="1:37" ht="36.75" customHeight="1" x14ac:dyDescent="0.35">
      <c r="A1877" s="5"/>
      <c r="B1877" s="5" t="s">
        <v>37</v>
      </c>
      <c r="C1877" s="73" t="str">
        <f t="shared" si="29"/>
        <v>Closed</v>
      </c>
      <c r="D1877" s="45" t="s">
        <v>10461</v>
      </c>
      <c r="E1877" s="54" t="s">
        <v>10462</v>
      </c>
      <c r="F1877" s="5" t="s">
        <v>1751</v>
      </c>
      <c r="G1877" s="10">
        <f>DATE(2014,11,3)</f>
        <v>41946</v>
      </c>
      <c r="H1877" s="35">
        <v>1.5625</v>
      </c>
      <c r="I1877" s="5" t="s">
        <v>179</v>
      </c>
      <c r="J1877" s="10" t="s">
        <v>10463</v>
      </c>
      <c r="K1877" s="5" t="s">
        <v>1753</v>
      </c>
      <c r="L1877" s="5" t="s">
        <v>10464</v>
      </c>
      <c r="M1877" s="5" t="s">
        <v>45</v>
      </c>
      <c r="N1877" s="5" t="s">
        <v>123</v>
      </c>
      <c r="O1877" s="5" t="s">
        <v>46</v>
      </c>
      <c r="P1877" s="10" t="s">
        <v>2911</v>
      </c>
      <c r="Q1877" s="10" t="s">
        <v>10465</v>
      </c>
      <c r="R1877" s="10" t="s">
        <v>1756</v>
      </c>
      <c r="S1877" s="5">
        <v>0</v>
      </c>
      <c r="T1877" s="37">
        <v>0</v>
      </c>
      <c r="U1877" s="5">
        <v>0</v>
      </c>
      <c r="V1877" s="37">
        <v>0</v>
      </c>
      <c r="W1877" s="5">
        <v>0</v>
      </c>
      <c r="X1877" s="5">
        <v>0</v>
      </c>
      <c r="Y1877" s="5">
        <v>0</v>
      </c>
      <c r="Z1877" s="37">
        <v>0</v>
      </c>
      <c r="AA1877" s="5">
        <v>0</v>
      </c>
      <c r="AB1877" s="5">
        <v>0</v>
      </c>
      <c r="AC1877" s="5">
        <v>0</v>
      </c>
      <c r="AD1877" s="5">
        <v>0</v>
      </c>
      <c r="AE1877" s="10" t="s">
        <v>375</v>
      </c>
      <c r="AF1877" s="10"/>
      <c r="AG1877" s="10" t="s">
        <v>114</v>
      </c>
      <c r="AH1877" s="10">
        <v>41950</v>
      </c>
      <c r="AI1877" s="5">
        <v>11</v>
      </c>
      <c r="AJ1877" s="10" t="s">
        <v>10466</v>
      </c>
      <c r="AK1877" s="10" t="s">
        <v>10467</v>
      </c>
    </row>
    <row r="1878" spans="1:37" ht="36.75" customHeight="1" x14ac:dyDescent="0.35">
      <c r="A1878" s="5"/>
      <c r="B1878" s="5" t="s">
        <v>37</v>
      </c>
      <c r="C1878" s="73" t="str">
        <f t="shared" si="29"/>
        <v>Closed</v>
      </c>
      <c r="D1878" s="45" t="s">
        <v>10468</v>
      </c>
      <c r="E1878" s="54" t="s">
        <v>10469</v>
      </c>
      <c r="F1878" s="5" t="s">
        <v>105</v>
      </c>
      <c r="G1878" s="10">
        <f>DATE(2014,11,3)</f>
        <v>41946</v>
      </c>
      <c r="H1878" s="35">
        <v>1.1458333333333333</v>
      </c>
      <c r="I1878" s="5" t="s">
        <v>55</v>
      </c>
      <c r="J1878" s="10" t="s">
        <v>10470</v>
      </c>
      <c r="K1878" s="5" t="s">
        <v>108</v>
      </c>
      <c r="L1878" s="5" t="s">
        <v>10471</v>
      </c>
      <c r="M1878" s="5" t="s">
        <v>45</v>
      </c>
      <c r="N1878" s="5" t="s">
        <v>80</v>
      </c>
      <c r="O1878" s="5" t="s">
        <v>59</v>
      </c>
      <c r="P1878" s="10" t="s">
        <v>60</v>
      </c>
      <c r="Q1878" s="10" t="s">
        <v>4212</v>
      </c>
      <c r="R1878" s="10" t="s">
        <v>148</v>
      </c>
      <c r="S1878" s="5">
        <v>0</v>
      </c>
      <c r="T1878" s="37">
        <v>0</v>
      </c>
      <c r="U1878" s="5">
        <v>0</v>
      </c>
      <c r="V1878" s="37">
        <v>0</v>
      </c>
      <c r="W1878" s="5">
        <v>0</v>
      </c>
      <c r="X1878" s="5">
        <v>0</v>
      </c>
      <c r="Y1878" s="5">
        <v>0</v>
      </c>
      <c r="Z1878" s="37">
        <v>0</v>
      </c>
      <c r="AA1878" s="5">
        <v>0</v>
      </c>
      <c r="AB1878" s="5">
        <v>0</v>
      </c>
      <c r="AC1878" s="5">
        <v>0</v>
      </c>
      <c r="AD1878" s="5">
        <v>0</v>
      </c>
      <c r="AE1878" s="10" t="s">
        <v>73</v>
      </c>
      <c r="AF1878" s="10"/>
      <c r="AG1878" s="10" t="s">
        <v>114</v>
      </c>
      <c r="AH1878" s="10">
        <v>41956</v>
      </c>
      <c r="AI1878" s="5">
        <v>2</v>
      </c>
      <c r="AJ1878" s="10" t="s">
        <v>10472</v>
      </c>
      <c r="AK1878" s="10" t="s">
        <v>50</v>
      </c>
    </row>
    <row r="1879" spans="1:37" ht="36.75" customHeight="1" x14ac:dyDescent="0.35">
      <c r="A1879" s="5"/>
      <c r="B1879" s="5" t="s">
        <v>37</v>
      </c>
      <c r="C1879" s="73" t="str">
        <f t="shared" si="29"/>
        <v>Closed</v>
      </c>
      <c r="D1879" s="45" t="s">
        <v>10473</v>
      </c>
      <c r="E1879" s="54" t="s">
        <v>10474</v>
      </c>
      <c r="F1879" s="5" t="s">
        <v>816</v>
      </c>
      <c r="G1879" s="10">
        <f>DATE(2014,11,4)</f>
        <v>41947</v>
      </c>
      <c r="H1879" s="35">
        <v>1.1805555555555556</v>
      </c>
      <c r="I1879" s="5" t="s">
        <v>7461</v>
      </c>
      <c r="J1879" s="10" t="s">
        <v>10475</v>
      </c>
      <c r="K1879" s="5" t="s">
        <v>818</v>
      </c>
      <c r="L1879" s="5" t="s">
        <v>10476</v>
      </c>
      <c r="M1879" s="5" t="s">
        <v>45</v>
      </c>
      <c r="N1879" s="5" t="s">
        <v>80</v>
      </c>
      <c r="O1879" s="5" t="s">
        <v>59</v>
      </c>
      <c r="P1879" s="10" t="s">
        <v>60</v>
      </c>
      <c r="Q1879" s="10" t="s">
        <v>4688</v>
      </c>
      <c r="R1879" s="10" t="s">
        <v>821</v>
      </c>
      <c r="S1879" s="5">
        <v>0</v>
      </c>
      <c r="T1879" s="37">
        <v>0</v>
      </c>
      <c r="U1879" s="5">
        <v>0</v>
      </c>
      <c r="V1879" s="37">
        <v>0</v>
      </c>
      <c r="W1879" s="5">
        <v>0</v>
      </c>
      <c r="X1879" s="5">
        <v>0</v>
      </c>
      <c r="Y1879" s="5">
        <v>0</v>
      </c>
      <c r="Z1879" s="37">
        <v>0</v>
      </c>
      <c r="AA1879" s="5">
        <v>0</v>
      </c>
      <c r="AB1879" s="5">
        <v>0</v>
      </c>
      <c r="AC1879" s="5">
        <v>0</v>
      </c>
      <c r="AD1879" s="5">
        <v>0</v>
      </c>
      <c r="AE1879" s="10" t="s">
        <v>73</v>
      </c>
      <c r="AF1879" s="10"/>
      <c r="AG1879" s="10" t="s">
        <v>333</v>
      </c>
      <c r="AH1879" s="10">
        <v>41947</v>
      </c>
      <c r="AI1879" s="5">
        <v>0</v>
      </c>
      <c r="AJ1879" s="10" t="s">
        <v>10477</v>
      </c>
      <c r="AK1879" s="10" t="s">
        <v>1215</v>
      </c>
    </row>
    <row r="1880" spans="1:37" ht="36.75" customHeight="1" x14ac:dyDescent="0.35">
      <c r="A1880" s="5"/>
      <c r="B1880" s="5" t="s">
        <v>37</v>
      </c>
      <c r="C1880" s="73" t="str">
        <f t="shared" si="29"/>
        <v>Closed</v>
      </c>
      <c r="D1880" s="45" t="s">
        <v>10478</v>
      </c>
      <c r="E1880" s="54" t="s">
        <v>10479</v>
      </c>
      <c r="F1880" s="5" t="s">
        <v>1553</v>
      </c>
      <c r="G1880" s="10">
        <f>DATE(2014,11,4)</f>
        <v>41947</v>
      </c>
      <c r="H1880" s="35">
        <v>1.8527777777777779</v>
      </c>
      <c r="I1880" s="5" t="s">
        <v>55</v>
      </c>
      <c r="J1880" s="10" t="s">
        <v>10480</v>
      </c>
      <c r="K1880" s="5" t="s">
        <v>1555</v>
      </c>
      <c r="L1880" s="5" t="s">
        <v>10481</v>
      </c>
      <c r="M1880" s="5" t="s">
        <v>45</v>
      </c>
      <c r="N1880" s="5" t="s">
        <v>123</v>
      </c>
      <c r="O1880" s="5" t="s">
        <v>46</v>
      </c>
      <c r="P1880" s="10" t="s">
        <v>60</v>
      </c>
      <c r="Q1880" s="10" t="s">
        <v>2635</v>
      </c>
      <c r="R1880" s="10" t="s">
        <v>6413</v>
      </c>
      <c r="S1880" s="5">
        <v>0</v>
      </c>
      <c r="T1880" s="37">
        <v>0</v>
      </c>
      <c r="U1880" s="5">
        <v>0</v>
      </c>
      <c r="V1880" s="37">
        <v>0</v>
      </c>
      <c r="W1880" s="5">
        <v>0</v>
      </c>
      <c r="X1880" s="5">
        <v>0</v>
      </c>
      <c r="Y1880" s="5">
        <v>0</v>
      </c>
      <c r="Z1880" s="37">
        <v>0</v>
      </c>
      <c r="AA1880" s="5">
        <v>0</v>
      </c>
      <c r="AB1880" s="5">
        <v>0</v>
      </c>
      <c r="AC1880" s="5">
        <v>0</v>
      </c>
      <c r="AD1880" s="5">
        <v>0</v>
      </c>
      <c r="AE1880" s="10" t="s">
        <v>73</v>
      </c>
      <c r="AF1880" s="10"/>
      <c r="AG1880" s="10" t="s">
        <v>570</v>
      </c>
      <c r="AH1880" s="10">
        <v>41948</v>
      </c>
      <c r="AI1880" s="5">
        <v>3</v>
      </c>
      <c r="AJ1880" s="10" t="s">
        <v>10482</v>
      </c>
      <c r="AK1880" s="10" t="s">
        <v>10483</v>
      </c>
    </row>
    <row r="1881" spans="1:37" ht="36.75" customHeight="1" x14ac:dyDescent="0.35">
      <c r="A1881" s="5"/>
      <c r="B1881" s="5" t="s">
        <v>37</v>
      </c>
      <c r="C1881" s="73" t="str">
        <f t="shared" si="29"/>
        <v>Closed</v>
      </c>
      <c r="D1881" s="45" t="s">
        <v>10484</v>
      </c>
      <c r="E1881" s="54" t="s">
        <v>10485</v>
      </c>
      <c r="F1881" s="5" t="s">
        <v>119</v>
      </c>
      <c r="G1881" s="10">
        <f>DATE(2014,11,4)</f>
        <v>41947</v>
      </c>
      <c r="H1881" s="35">
        <v>0</v>
      </c>
      <c r="I1881" s="5" t="s">
        <v>5473</v>
      </c>
      <c r="J1881" s="10" t="s">
        <v>10486</v>
      </c>
      <c r="K1881" s="5" t="s">
        <v>121</v>
      </c>
      <c r="L1881" s="5" t="s">
        <v>10487</v>
      </c>
      <c r="M1881" s="5" t="s">
        <v>45</v>
      </c>
      <c r="N1881" s="5" t="s">
        <v>70</v>
      </c>
      <c r="O1881" s="5" t="s">
        <v>59</v>
      </c>
      <c r="P1881" s="10" t="s">
        <v>6920</v>
      </c>
      <c r="Q1881" s="10" t="s">
        <v>10488</v>
      </c>
      <c r="R1881" s="10" t="s">
        <v>4913</v>
      </c>
      <c r="S1881" s="5">
        <v>0</v>
      </c>
      <c r="T1881" s="37">
        <v>0</v>
      </c>
      <c r="U1881" s="5">
        <v>0</v>
      </c>
      <c r="V1881" s="37">
        <v>0</v>
      </c>
      <c r="W1881" s="5">
        <v>0</v>
      </c>
      <c r="X1881" s="5">
        <v>0</v>
      </c>
      <c r="Y1881" s="5">
        <v>0</v>
      </c>
      <c r="Z1881" s="37">
        <v>0</v>
      </c>
      <c r="AA1881" s="5">
        <v>0</v>
      </c>
      <c r="AB1881" s="5">
        <v>0</v>
      </c>
      <c r="AC1881" s="5">
        <v>0</v>
      </c>
      <c r="AD1881" s="5">
        <v>0</v>
      </c>
      <c r="AE1881" s="10" t="s">
        <v>73</v>
      </c>
      <c r="AF1881" s="10"/>
      <c r="AG1881" s="10" t="s">
        <v>10489</v>
      </c>
      <c r="AH1881" s="10">
        <v>41950</v>
      </c>
      <c r="AI1881" s="5">
        <v>0</v>
      </c>
      <c r="AJ1881" s="10" t="s">
        <v>10490</v>
      </c>
      <c r="AK1881" s="10" t="s">
        <v>10491</v>
      </c>
    </row>
    <row r="1882" spans="1:37" ht="36.75" customHeight="1" x14ac:dyDescent="0.35">
      <c r="A1882" s="5"/>
      <c r="B1882" s="5" t="s">
        <v>37</v>
      </c>
      <c r="C1882" s="73" t="str">
        <f t="shared" si="29"/>
        <v>Closed</v>
      </c>
      <c r="D1882" s="45" t="s">
        <v>10492</v>
      </c>
      <c r="E1882" s="54" t="s">
        <v>10493</v>
      </c>
      <c r="F1882" s="5" t="s">
        <v>619</v>
      </c>
      <c r="G1882" s="10">
        <f>DATE(2014,11,9)</f>
        <v>41952</v>
      </c>
      <c r="H1882" s="35">
        <v>1.4909722222222221</v>
      </c>
      <c r="I1882" s="5" t="s">
        <v>97</v>
      </c>
      <c r="J1882" s="10" t="s">
        <v>10494</v>
      </c>
      <c r="K1882" s="5" t="s">
        <v>621</v>
      </c>
      <c r="L1882" s="5" t="s">
        <v>10495</v>
      </c>
      <c r="M1882" s="5" t="s">
        <v>45</v>
      </c>
      <c r="N1882" s="5" t="s">
        <v>80</v>
      </c>
      <c r="O1882" s="5" t="s">
        <v>46</v>
      </c>
      <c r="P1882" s="10" t="s">
        <v>146</v>
      </c>
      <c r="Q1882" s="10" t="s">
        <v>623</v>
      </c>
      <c r="R1882" s="10" t="s">
        <v>624</v>
      </c>
      <c r="S1882" s="5">
        <v>0</v>
      </c>
      <c r="T1882" s="37">
        <v>0</v>
      </c>
      <c r="U1882" s="5">
        <v>1</v>
      </c>
      <c r="V1882" s="37">
        <v>0</v>
      </c>
      <c r="W1882" s="5">
        <v>0</v>
      </c>
      <c r="X1882" s="5">
        <v>1</v>
      </c>
      <c r="Y1882" s="5">
        <v>0</v>
      </c>
      <c r="Z1882" s="37">
        <v>0</v>
      </c>
      <c r="AA1882" s="5">
        <v>0</v>
      </c>
      <c r="AB1882" s="5">
        <v>0</v>
      </c>
      <c r="AC1882" s="5">
        <v>0</v>
      </c>
      <c r="AD1882" s="5">
        <v>0</v>
      </c>
      <c r="AE1882" s="10" t="s">
        <v>73</v>
      </c>
      <c r="AF1882" s="10"/>
      <c r="AG1882" s="10" t="s">
        <v>333</v>
      </c>
      <c r="AH1882" s="10">
        <v>41968</v>
      </c>
      <c r="AI1882" s="5">
        <v>4</v>
      </c>
      <c r="AJ1882" s="10" t="s">
        <v>10496</v>
      </c>
      <c r="AK1882" s="10" t="s">
        <v>50</v>
      </c>
    </row>
    <row r="1883" spans="1:37" ht="36.75" customHeight="1" x14ac:dyDescent="0.35">
      <c r="A1883" s="5"/>
      <c r="B1883" s="5" t="s">
        <v>37</v>
      </c>
      <c r="C1883" s="73" t="str">
        <f t="shared" si="29"/>
        <v>Closed</v>
      </c>
      <c r="D1883" s="45" t="s">
        <v>10497</v>
      </c>
      <c r="E1883" s="54" t="s">
        <v>10498</v>
      </c>
      <c r="F1883" s="5" t="s">
        <v>9767</v>
      </c>
      <c r="G1883" s="10">
        <f>DATE(2014,11,10)</f>
        <v>41953</v>
      </c>
      <c r="H1883" s="35">
        <v>1.6041666666666665</v>
      </c>
      <c r="I1883" s="5" t="s">
        <v>55</v>
      </c>
      <c r="J1883" s="10" t="s">
        <v>10499</v>
      </c>
      <c r="K1883" s="5" t="s">
        <v>9769</v>
      </c>
      <c r="L1883" s="5" t="s">
        <v>10500</v>
      </c>
      <c r="M1883" s="5" t="s">
        <v>45</v>
      </c>
      <c r="N1883" s="5" t="s">
        <v>70</v>
      </c>
      <c r="O1883" s="5" t="s">
        <v>71</v>
      </c>
      <c r="P1883" s="10" t="s">
        <v>362</v>
      </c>
      <c r="Q1883" s="10" t="s">
        <v>10235</v>
      </c>
      <c r="R1883" s="10" t="s">
        <v>9772</v>
      </c>
      <c r="S1883" s="5">
        <v>0</v>
      </c>
      <c r="T1883" s="37">
        <v>0</v>
      </c>
      <c r="U1883" s="5">
        <v>0</v>
      </c>
      <c r="V1883" s="37">
        <v>0</v>
      </c>
      <c r="W1883" s="5">
        <v>0</v>
      </c>
      <c r="X1883" s="5">
        <v>0</v>
      </c>
      <c r="Y1883" s="5">
        <v>0</v>
      </c>
      <c r="Z1883" s="37">
        <v>0</v>
      </c>
      <c r="AA1883" s="5">
        <v>0</v>
      </c>
      <c r="AB1883" s="5">
        <v>0</v>
      </c>
      <c r="AC1883" s="5">
        <v>0</v>
      </c>
      <c r="AD1883" s="5">
        <v>0</v>
      </c>
      <c r="AE1883" s="10" t="s">
        <v>73</v>
      </c>
      <c r="AF1883" s="10"/>
      <c r="AG1883" s="10" t="s">
        <v>376</v>
      </c>
      <c r="AH1883" s="10">
        <v>42026</v>
      </c>
      <c r="AI1883" s="5">
        <v>1</v>
      </c>
      <c r="AJ1883" s="10" t="s">
        <v>10501</v>
      </c>
      <c r="AK1883" s="10" t="s">
        <v>10502</v>
      </c>
    </row>
    <row r="1884" spans="1:37" ht="36.75" customHeight="1" x14ac:dyDescent="0.35">
      <c r="A1884" s="5"/>
      <c r="B1884" s="5" t="s">
        <v>37</v>
      </c>
      <c r="C1884" s="73" t="str">
        <f t="shared" si="29"/>
        <v>Closed</v>
      </c>
      <c r="D1884" s="45" t="s">
        <v>10503</v>
      </c>
      <c r="E1884" s="54" t="s">
        <v>10504</v>
      </c>
      <c r="F1884" s="5" t="s">
        <v>575</v>
      </c>
      <c r="G1884" s="10">
        <f>DATE(2014,11,10)</f>
        <v>41953</v>
      </c>
      <c r="H1884" s="35">
        <v>1.8006944444444444</v>
      </c>
      <c r="I1884" s="5" t="s">
        <v>5473</v>
      </c>
      <c r="J1884" s="10" t="s">
        <v>10505</v>
      </c>
      <c r="K1884" s="5" t="s">
        <v>577</v>
      </c>
      <c r="L1884" s="5" t="s">
        <v>10506</v>
      </c>
      <c r="M1884" s="5" t="s">
        <v>45</v>
      </c>
      <c r="N1884" s="5" t="s">
        <v>123</v>
      </c>
      <c r="O1884" s="5" t="s">
        <v>59</v>
      </c>
      <c r="P1884" s="10" t="s">
        <v>6881</v>
      </c>
      <c r="Q1884" s="10" t="s">
        <v>10507</v>
      </c>
      <c r="R1884" s="10" t="s">
        <v>580</v>
      </c>
      <c r="S1884" s="5">
        <v>0</v>
      </c>
      <c r="T1884" s="37">
        <v>0</v>
      </c>
      <c r="U1884" s="5">
        <v>0</v>
      </c>
      <c r="V1884" s="37">
        <v>0</v>
      </c>
      <c r="W1884" s="5">
        <v>0</v>
      </c>
      <c r="X1884" s="5">
        <v>0</v>
      </c>
      <c r="Y1884" s="5">
        <v>1</v>
      </c>
      <c r="Z1884" s="37">
        <v>0</v>
      </c>
      <c r="AA1884" s="5">
        <v>0</v>
      </c>
      <c r="AB1884" s="5">
        <v>0</v>
      </c>
      <c r="AC1884" s="5">
        <v>0</v>
      </c>
      <c r="AD1884" s="5">
        <v>1</v>
      </c>
      <c r="AE1884" s="10" t="s">
        <v>73</v>
      </c>
      <c r="AF1884" s="10"/>
      <c r="AG1884" s="10" t="s">
        <v>114</v>
      </c>
      <c r="AH1884" s="10">
        <v>41962</v>
      </c>
      <c r="AI1884" s="5">
        <v>7</v>
      </c>
      <c r="AJ1884" s="10" t="s">
        <v>10508</v>
      </c>
      <c r="AK1884" s="10" t="s">
        <v>10509</v>
      </c>
    </row>
    <row r="1885" spans="1:37" ht="36.75" customHeight="1" x14ac:dyDescent="0.35">
      <c r="A1885" s="5"/>
      <c r="B1885" s="5" t="s">
        <v>37</v>
      </c>
      <c r="C1885" s="73" t="str">
        <f t="shared" si="29"/>
        <v>Closed</v>
      </c>
      <c r="D1885" s="45" t="s">
        <v>10510</v>
      </c>
      <c r="E1885" s="54" t="s">
        <v>10511</v>
      </c>
      <c r="F1885" s="5" t="s">
        <v>404</v>
      </c>
      <c r="G1885" s="10">
        <f>DATE(2014,11,11)</f>
        <v>41954</v>
      </c>
      <c r="H1885" s="35">
        <v>1.7270833333333333</v>
      </c>
      <c r="I1885" s="5" t="s">
        <v>179</v>
      </c>
      <c r="J1885" s="10" t="s">
        <v>10512</v>
      </c>
      <c r="K1885" s="5" t="s">
        <v>406</v>
      </c>
      <c r="L1885" s="5" t="s">
        <v>10513</v>
      </c>
      <c r="M1885" s="5" t="s">
        <v>45</v>
      </c>
      <c r="N1885" s="5" t="s">
        <v>123</v>
      </c>
      <c r="O1885" s="5" t="s">
        <v>46</v>
      </c>
      <c r="P1885" s="10" t="s">
        <v>2531</v>
      </c>
      <c r="Q1885" s="10" t="s">
        <v>10514</v>
      </c>
      <c r="R1885" s="10" t="s">
        <v>3083</v>
      </c>
      <c r="S1885" s="5">
        <v>0</v>
      </c>
      <c r="T1885" s="37">
        <v>0</v>
      </c>
      <c r="U1885" s="5">
        <v>0</v>
      </c>
      <c r="V1885" s="37">
        <v>0</v>
      </c>
      <c r="W1885" s="5">
        <v>0</v>
      </c>
      <c r="X1885" s="5">
        <v>0</v>
      </c>
      <c r="Y1885" s="5">
        <v>0</v>
      </c>
      <c r="Z1885" s="37">
        <v>0</v>
      </c>
      <c r="AA1885" s="5">
        <v>0</v>
      </c>
      <c r="AB1885" s="5">
        <v>0</v>
      </c>
      <c r="AC1885" s="5">
        <v>0</v>
      </c>
      <c r="AD1885" s="5">
        <v>0</v>
      </c>
      <c r="AE1885" s="10" t="s">
        <v>73</v>
      </c>
      <c r="AF1885" s="10"/>
      <c r="AG1885" s="10" t="s">
        <v>570</v>
      </c>
      <c r="AH1885" s="10">
        <v>41961</v>
      </c>
      <c r="AI1885" s="5">
        <v>2</v>
      </c>
      <c r="AJ1885" s="10" t="s">
        <v>10515</v>
      </c>
      <c r="AK1885" s="10" t="s">
        <v>10516</v>
      </c>
    </row>
    <row r="1886" spans="1:37" ht="36.75" customHeight="1" x14ac:dyDescent="0.35">
      <c r="A1886" s="5"/>
      <c r="B1886" s="5" t="s">
        <v>37</v>
      </c>
      <c r="C1886" s="73" t="str">
        <f t="shared" si="29"/>
        <v>Closed</v>
      </c>
      <c r="D1886" s="45" t="s">
        <v>10517</v>
      </c>
      <c r="E1886" s="54" t="s">
        <v>10518</v>
      </c>
      <c r="F1886" s="5" t="s">
        <v>9767</v>
      </c>
      <c r="G1886" s="10">
        <f>DATE(2014,11,11)</f>
        <v>41954</v>
      </c>
      <c r="H1886" s="35">
        <v>1.2611111111111111</v>
      </c>
      <c r="I1886" s="5" t="s">
        <v>5473</v>
      </c>
      <c r="J1886" s="10" t="s">
        <v>10519</v>
      </c>
      <c r="K1886" s="5" t="s">
        <v>9769</v>
      </c>
      <c r="L1886" s="5" t="s">
        <v>10520</v>
      </c>
      <c r="M1886" s="5" t="s">
        <v>45</v>
      </c>
      <c r="N1886" s="5" t="s">
        <v>80</v>
      </c>
      <c r="O1886" s="5" t="s">
        <v>46</v>
      </c>
      <c r="P1886" s="10" t="s">
        <v>60</v>
      </c>
      <c r="Q1886" s="10" t="s">
        <v>10235</v>
      </c>
      <c r="R1886" s="10" t="s">
        <v>9772</v>
      </c>
      <c r="S1886" s="5">
        <v>0</v>
      </c>
      <c r="T1886" s="37">
        <v>0</v>
      </c>
      <c r="U1886" s="5">
        <v>0</v>
      </c>
      <c r="V1886" s="37">
        <v>0</v>
      </c>
      <c r="W1886" s="5">
        <v>0</v>
      </c>
      <c r="X1886" s="5">
        <v>0</v>
      </c>
      <c r="Y1886" s="5">
        <v>0</v>
      </c>
      <c r="Z1886" s="37">
        <v>0</v>
      </c>
      <c r="AA1886" s="5">
        <v>0</v>
      </c>
      <c r="AB1886" s="5">
        <v>0</v>
      </c>
      <c r="AC1886" s="5">
        <v>0</v>
      </c>
      <c r="AD1886" s="5">
        <v>0</v>
      </c>
      <c r="AE1886" s="10" t="s">
        <v>375</v>
      </c>
      <c r="AF1886" s="10"/>
      <c r="AG1886" s="10" t="s">
        <v>10521</v>
      </c>
      <c r="AH1886" s="10">
        <v>41957</v>
      </c>
      <c r="AI1886" s="5">
        <v>1</v>
      </c>
      <c r="AJ1886" s="10" t="s">
        <v>10522</v>
      </c>
      <c r="AK1886" s="10" t="s">
        <v>10523</v>
      </c>
    </row>
    <row r="1887" spans="1:37" ht="36.75" customHeight="1" x14ac:dyDescent="0.35">
      <c r="A1887" s="5"/>
      <c r="B1887" s="5" t="s">
        <v>37</v>
      </c>
      <c r="C1887" s="73" t="str">
        <f t="shared" si="29"/>
        <v>Closed</v>
      </c>
      <c r="D1887" s="45" t="s">
        <v>10524</v>
      </c>
      <c r="E1887" s="54" t="s">
        <v>10525</v>
      </c>
      <c r="F1887" s="5" t="s">
        <v>816</v>
      </c>
      <c r="G1887" s="10">
        <f>DATE(2014,11,11)</f>
        <v>41954</v>
      </c>
      <c r="H1887" s="35">
        <v>1.6111111111111112</v>
      </c>
      <c r="I1887" s="5" t="s">
        <v>97</v>
      </c>
      <c r="J1887" s="10" t="s">
        <v>10526</v>
      </c>
      <c r="K1887" s="5" t="s">
        <v>818</v>
      </c>
      <c r="L1887" s="5" t="s">
        <v>10527</v>
      </c>
      <c r="M1887" s="5" t="s">
        <v>45</v>
      </c>
      <c r="N1887" s="5" t="s">
        <v>80</v>
      </c>
      <c r="O1887" s="5" t="s">
        <v>46</v>
      </c>
      <c r="P1887" s="10" t="s">
        <v>146</v>
      </c>
      <c r="Q1887" s="10" t="s">
        <v>2142</v>
      </c>
      <c r="R1887" s="10" t="s">
        <v>821</v>
      </c>
      <c r="S1887" s="5">
        <v>0</v>
      </c>
      <c r="T1887" s="37">
        <v>1</v>
      </c>
      <c r="U1887" s="5">
        <v>0</v>
      </c>
      <c r="V1887" s="37">
        <v>0</v>
      </c>
      <c r="W1887" s="5">
        <v>0</v>
      </c>
      <c r="X1887" s="5">
        <v>1</v>
      </c>
      <c r="Y1887" s="5">
        <v>0</v>
      </c>
      <c r="Z1887" s="37">
        <v>0</v>
      </c>
      <c r="AA1887" s="5">
        <v>0</v>
      </c>
      <c r="AB1887" s="5">
        <v>0</v>
      </c>
      <c r="AC1887" s="5">
        <v>0</v>
      </c>
      <c r="AD1887" s="5">
        <v>0</v>
      </c>
      <c r="AE1887" s="10" t="s">
        <v>73</v>
      </c>
      <c r="AF1887" s="10"/>
      <c r="AG1887" s="10" t="s">
        <v>333</v>
      </c>
      <c r="AH1887" s="10">
        <v>41982</v>
      </c>
      <c r="AI1887" s="5">
        <v>0</v>
      </c>
      <c r="AJ1887" s="10" t="s">
        <v>10528</v>
      </c>
      <c r="AK1887" s="10" t="s">
        <v>1215</v>
      </c>
    </row>
    <row r="1888" spans="1:37" ht="36.75" customHeight="1" x14ac:dyDescent="0.35">
      <c r="A1888" s="5"/>
      <c r="B1888" s="5" t="s">
        <v>37</v>
      </c>
      <c r="C1888" s="73" t="str">
        <f t="shared" si="29"/>
        <v>Closed</v>
      </c>
      <c r="D1888" s="45" t="s">
        <v>10529</v>
      </c>
      <c r="E1888" s="54" t="s">
        <v>10530</v>
      </c>
      <c r="F1888" s="5" t="s">
        <v>105</v>
      </c>
      <c r="G1888" s="10">
        <f>DATE(2014,11,11)</f>
        <v>41954</v>
      </c>
      <c r="H1888" s="35">
        <v>1.7277777777777779</v>
      </c>
      <c r="I1888" s="5" t="s">
        <v>137</v>
      </c>
      <c r="J1888" s="10" t="s">
        <v>10531</v>
      </c>
      <c r="K1888" s="5" t="s">
        <v>108</v>
      </c>
      <c r="L1888" s="5" t="s">
        <v>10532</v>
      </c>
      <c r="M1888" s="5" t="s">
        <v>236</v>
      </c>
      <c r="N1888" s="5" t="s">
        <v>123</v>
      </c>
      <c r="O1888" s="5" t="s">
        <v>46</v>
      </c>
      <c r="P1888" s="10" t="s">
        <v>6531</v>
      </c>
      <c r="Q1888" s="10" t="s">
        <v>10533</v>
      </c>
      <c r="R1888" s="10" t="s">
        <v>112</v>
      </c>
      <c r="S1888" s="5">
        <v>0</v>
      </c>
      <c r="T1888" s="37">
        <v>0</v>
      </c>
      <c r="U1888" s="5">
        <v>0</v>
      </c>
      <c r="V1888" s="37">
        <v>0</v>
      </c>
      <c r="W1888" s="5">
        <v>0</v>
      </c>
      <c r="X1888" s="5">
        <v>0</v>
      </c>
      <c r="Y1888" s="5">
        <v>0</v>
      </c>
      <c r="Z1888" s="37">
        <v>1</v>
      </c>
      <c r="AA1888" s="5">
        <v>0</v>
      </c>
      <c r="AB1888" s="5">
        <v>0</v>
      </c>
      <c r="AC1888" s="5">
        <v>0</v>
      </c>
      <c r="AD1888" s="5">
        <v>1</v>
      </c>
      <c r="AE1888" s="10" t="s">
        <v>375</v>
      </c>
      <c r="AF1888" s="10"/>
      <c r="AG1888" s="10" t="s">
        <v>348</v>
      </c>
      <c r="AH1888" s="10">
        <v>41961</v>
      </c>
      <c r="AI1888" s="5">
        <v>0</v>
      </c>
      <c r="AJ1888" s="10" t="s">
        <v>10534</v>
      </c>
      <c r="AK1888" s="10" t="s">
        <v>50</v>
      </c>
    </row>
    <row r="1889" spans="1:37" ht="36.75" customHeight="1" x14ac:dyDescent="0.35">
      <c r="A1889" s="5"/>
      <c r="B1889" s="5" t="s">
        <v>37</v>
      </c>
      <c r="C1889" s="73" t="str">
        <f t="shared" si="29"/>
        <v>Closed</v>
      </c>
      <c r="D1889" s="45" t="s">
        <v>10535</v>
      </c>
      <c r="E1889" s="54" t="s">
        <v>10536</v>
      </c>
      <c r="F1889" s="5" t="s">
        <v>404</v>
      </c>
      <c r="G1889" s="10">
        <f>DATE(2014,11,13)</f>
        <v>41956</v>
      </c>
      <c r="H1889" s="35">
        <v>1.9618055555555554</v>
      </c>
      <c r="I1889" s="5" t="s">
        <v>55</v>
      </c>
      <c r="J1889" s="10" t="s">
        <v>10537</v>
      </c>
      <c r="K1889" s="5" t="s">
        <v>406</v>
      </c>
      <c r="L1889" s="5" t="s">
        <v>10538</v>
      </c>
      <c r="M1889" s="5" t="s">
        <v>45</v>
      </c>
      <c r="N1889" s="5" t="s">
        <v>123</v>
      </c>
      <c r="O1889" s="5" t="s">
        <v>59</v>
      </c>
      <c r="P1889" s="10" t="s">
        <v>60</v>
      </c>
      <c r="Q1889" s="10" t="s">
        <v>2562</v>
      </c>
      <c r="R1889" s="10" t="s">
        <v>3083</v>
      </c>
      <c r="S1889" s="5">
        <v>0</v>
      </c>
      <c r="T1889" s="37">
        <v>0</v>
      </c>
      <c r="U1889" s="5">
        <v>0</v>
      </c>
      <c r="V1889" s="37">
        <v>0</v>
      </c>
      <c r="W1889" s="5">
        <v>0</v>
      </c>
      <c r="X1889" s="5">
        <v>0</v>
      </c>
      <c r="Y1889" s="5">
        <v>0</v>
      </c>
      <c r="Z1889" s="37">
        <v>0</v>
      </c>
      <c r="AA1889" s="5">
        <v>0</v>
      </c>
      <c r="AB1889" s="5">
        <v>0</v>
      </c>
      <c r="AC1889" s="5">
        <v>0</v>
      </c>
      <c r="AD1889" s="5">
        <v>0</v>
      </c>
      <c r="AE1889" s="10" t="s">
        <v>375</v>
      </c>
      <c r="AF1889" s="10"/>
      <c r="AG1889" s="10" t="s">
        <v>855</v>
      </c>
      <c r="AH1889" s="10">
        <v>41956</v>
      </c>
      <c r="AI1889" s="5">
        <v>2</v>
      </c>
      <c r="AJ1889" s="10" t="s">
        <v>10539</v>
      </c>
      <c r="AK1889" s="10" t="s">
        <v>10540</v>
      </c>
    </row>
    <row r="1890" spans="1:37" ht="36.75" customHeight="1" x14ac:dyDescent="0.35">
      <c r="A1890" s="5"/>
      <c r="B1890" s="5" t="s">
        <v>37</v>
      </c>
      <c r="C1890" s="73" t="str">
        <f t="shared" si="29"/>
        <v>Closed</v>
      </c>
      <c r="D1890" s="45" t="s">
        <v>10541</v>
      </c>
      <c r="E1890" s="54" t="s">
        <v>10542</v>
      </c>
      <c r="F1890" s="5" t="s">
        <v>563</v>
      </c>
      <c r="G1890" s="10">
        <f>DATE(2014,11,13)</f>
        <v>41956</v>
      </c>
      <c r="H1890" s="35">
        <v>1.1784722222222221</v>
      </c>
      <c r="I1890" s="5" t="s">
        <v>179</v>
      </c>
      <c r="J1890" s="10" t="s">
        <v>10543</v>
      </c>
      <c r="K1890" s="5" t="s">
        <v>565</v>
      </c>
      <c r="L1890" s="5" t="s">
        <v>10544</v>
      </c>
      <c r="M1890" s="5" t="s">
        <v>45</v>
      </c>
      <c r="N1890" s="5" t="s">
        <v>123</v>
      </c>
      <c r="O1890" s="5" t="s">
        <v>59</v>
      </c>
      <c r="P1890" s="10" t="s">
        <v>146</v>
      </c>
      <c r="Q1890" s="10" t="s">
        <v>3883</v>
      </c>
      <c r="R1890" s="10" t="s">
        <v>568</v>
      </c>
      <c r="S1890" s="5">
        <v>0</v>
      </c>
      <c r="T1890" s="37">
        <v>0</v>
      </c>
      <c r="U1890" s="5">
        <v>0</v>
      </c>
      <c r="V1890" s="37">
        <v>0</v>
      </c>
      <c r="W1890" s="5">
        <v>0</v>
      </c>
      <c r="X1890" s="5">
        <v>0</v>
      </c>
      <c r="Y1890" s="5">
        <v>0</v>
      </c>
      <c r="Z1890" s="37">
        <v>0</v>
      </c>
      <c r="AA1890" s="5">
        <v>0</v>
      </c>
      <c r="AB1890" s="5">
        <v>0</v>
      </c>
      <c r="AC1890" s="5">
        <v>0</v>
      </c>
      <c r="AD1890" s="5">
        <v>0</v>
      </c>
      <c r="AE1890" s="10" t="s">
        <v>73</v>
      </c>
      <c r="AF1890" s="10" t="s">
        <v>10545</v>
      </c>
      <c r="AG1890" s="10" t="s">
        <v>8837</v>
      </c>
      <c r="AH1890" s="10">
        <v>41961</v>
      </c>
      <c r="AI1890" s="5">
        <v>0</v>
      </c>
      <c r="AJ1890" s="10" t="s">
        <v>10546</v>
      </c>
      <c r="AK1890" s="10" t="s">
        <v>10547</v>
      </c>
    </row>
    <row r="1891" spans="1:37" ht="36.75" customHeight="1" x14ac:dyDescent="0.35">
      <c r="A1891" s="5"/>
      <c r="B1891" s="5" t="s">
        <v>37</v>
      </c>
      <c r="C1891" s="73" t="str">
        <f t="shared" si="29"/>
        <v>Closed</v>
      </c>
      <c r="D1891" s="45" t="s">
        <v>10548</v>
      </c>
      <c r="E1891" s="54" t="s">
        <v>10549</v>
      </c>
      <c r="F1891" s="5" t="s">
        <v>563</v>
      </c>
      <c r="G1891" s="10">
        <f>DATE(2014,11,13)</f>
        <v>41956</v>
      </c>
      <c r="H1891" s="35">
        <v>1.46875</v>
      </c>
      <c r="I1891" s="5" t="s">
        <v>179</v>
      </c>
      <c r="J1891" s="10" t="s">
        <v>10550</v>
      </c>
      <c r="K1891" s="5" t="s">
        <v>565</v>
      </c>
      <c r="L1891" s="5" t="s">
        <v>10551</v>
      </c>
      <c r="M1891" s="5" t="s">
        <v>45</v>
      </c>
      <c r="N1891" s="5" t="s">
        <v>123</v>
      </c>
      <c r="O1891" s="5" t="s">
        <v>59</v>
      </c>
      <c r="P1891" s="10" t="s">
        <v>146</v>
      </c>
      <c r="Q1891" s="10" t="s">
        <v>10552</v>
      </c>
      <c r="R1891" s="10" t="s">
        <v>568</v>
      </c>
      <c r="S1891" s="5">
        <v>0</v>
      </c>
      <c r="T1891" s="37">
        <v>0</v>
      </c>
      <c r="U1891" s="5">
        <v>0</v>
      </c>
      <c r="V1891" s="37">
        <v>0</v>
      </c>
      <c r="W1891" s="5">
        <v>0</v>
      </c>
      <c r="X1891" s="5">
        <v>0</v>
      </c>
      <c r="Y1891" s="5">
        <v>0</v>
      </c>
      <c r="Z1891" s="37">
        <v>1</v>
      </c>
      <c r="AA1891" s="5">
        <v>0</v>
      </c>
      <c r="AB1891" s="5">
        <v>0</v>
      </c>
      <c r="AC1891" s="5">
        <v>0</v>
      </c>
      <c r="AD1891" s="5">
        <v>1</v>
      </c>
      <c r="AE1891" s="10" t="s">
        <v>375</v>
      </c>
      <c r="AF1891" s="10"/>
      <c r="AG1891" s="10" t="s">
        <v>114</v>
      </c>
      <c r="AH1891" s="10">
        <v>41961</v>
      </c>
      <c r="AI1891" s="5">
        <v>0</v>
      </c>
      <c r="AJ1891" s="10" t="s">
        <v>10553</v>
      </c>
      <c r="AK1891" s="10" t="s">
        <v>1215</v>
      </c>
    </row>
    <row r="1892" spans="1:37" ht="36.75" customHeight="1" x14ac:dyDescent="0.35">
      <c r="A1892" s="5"/>
      <c r="B1892" s="5" t="s">
        <v>37</v>
      </c>
      <c r="C1892" s="73" t="str">
        <f t="shared" si="29"/>
        <v>Closed</v>
      </c>
      <c r="D1892" s="45" t="s">
        <v>10554</v>
      </c>
      <c r="E1892" s="54" t="s">
        <v>10555</v>
      </c>
      <c r="F1892" s="5" t="s">
        <v>404</v>
      </c>
      <c r="G1892" s="10">
        <f>DATE(2014,11,16)</f>
        <v>41959</v>
      </c>
      <c r="H1892" s="35">
        <v>1.2833333333333332</v>
      </c>
      <c r="I1892" s="5" t="s">
        <v>137</v>
      </c>
      <c r="J1892" s="10" t="s">
        <v>10556</v>
      </c>
      <c r="K1892" s="5" t="s">
        <v>406</v>
      </c>
      <c r="L1892" s="5" t="s">
        <v>10557</v>
      </c>
      <c r="M1892" s="5" t="s">
        <v>45</v>
      </c>
      <c r="N1892" s="5" t="s">
        <v>70</v>
      </c>
      <c r="O1892" s="5" t="s">
        <v>59</v>
      </c>
      <c r="P1892" s="10" t="s">
        <v>8426</v>
      </c>
      <c r="Q1892" s="10" t="s">
        <v>4531</v>
      </c>
      <c r="R1892" s="10" t="s">
        <v>3083</v>
      </c>
      <c r="S1892" s="5">
        <v>0</v>
      </c>
      <c r="T1892" s="37">
        <v>0</v>
      </c>
      <c r="U1892" s="5">
        <v>0</v>
      </c>
      <c r="V1892" s="37">
        <v>0</v>
      </c>
      <c r="W1892" s="5">
        <v>0</v>
      </c>
      <c r="X1892" s="5">
        <v>0</v>
      </c>
      <c r="Y1892" s="5">
        <v>0</v>
      </c>
      <c r="Z1892" s="37">
        <v>0</v>
      </c>
      <c r="AA1892" s="5">
        <v>0</v>
      </c>
      <c r="AB1892" s="5">
        <v>0</v>
      </c>
      <c r="AC1892" s="5">
        <v>0</v>
      </c>
      <c r="AD1892" s="5">
        <v>0</v>
      </c>
      <c r="AE1892" s="10" t="s">
        <v>73</v>
      </c>
      <c r="AF1892" s="10"/>
      <c r="AG1892" s="10" t="s">
        <v>333</v>
      </c>
      <c r="AH1892" s="10">
        <v>42038</v>
      </c>
      <c r="AI1892" s="5">
        <v>3</v>
      </c>
      <c r="AJ1892" s="10" t="s">
        <v>10558</v>
      </c>
      <c r="AK1892" s="10" t="s">
        <v>860</v>
      </c>
    </row>
    <row r="1893" spans="1:37" ht="36.75" customHeight="1" x14ac:dyDescent="0.35">
      <c r="A1893" s="5"/>
      <c r="B1893" s="5" t="s">
        <v>37</v>
      </c>
      <c r="C1893" s="73" t="str">
        <f t="shared" si="29"/>
        <v>Closed</v>
      </c>
      <c r="D1893" s="45" t="s">
        <v>10559</v>
      </c>
      <c r="E1893" s="54" t="s">
        <v>10560</v>
      </c>
      <c r="F1893" s="5" t="s">
        <v>214</v>
      </c>
      <c r="G1893" s="10">
        <f>DATE(2014,11,17)</f>
        <v>41960</v>
      </c>
      <c r="H1893" s="35">
        <v>1.6187499999999999</v>
      </c>
      <c r="I1893" s="5" t="s">
        <v>137</v>
      </c>
      <c r="J1893" s="10" t="s">
        <v>10561</v>
      </c>
      <c r="K1893" s="5" t="s">
        <v>216</v>
      </c>
      <c r="L1893" s="5" t="s">
        <v>10562</v>
      </c>
      <c r="M1893" s="5" t="s">
        <v>45</v>
      </c>
      <c r="N1893" s="5" t="s">
        <v>70</v>
      </c>
      <c r="O1893" s="5" t="s">
        <v>46</v>
      </c>
      <c r="P1893" s="10" t="s">
        <v>6920</v>
      </c>
      <c r="Q1893" s="10" t="s">
        <v>1410</v>
      </c>
      <c r="R1893" s="10" t="s">
        <v>219</v>
      </c>
      <c r="S1893" s="5">
        <v>0</v>
      </c>
      <c r="T1893" s="37">
        <v>0</v>
      </c>
      <c r="U1893" s="5">
        <v>0</v>
      </c>
      <c r="V1893" s="37">
        <v>0</v>
      </c>
      <c r="W1893" s="5">
        <v>0</v>
      </c>
      <c r="X1893" s="5">
        <v>0</v>
      </c>
      <c r="Y1893" s="5">
        <v>0</v>
      </c>
      <c r="Z1893" s="37">
        <v>0</v>
      </c>
      <c r="AA1893" s="5">
        <v>0</v>
      </c>
      <c r="AB1893" s="5">
        <v>0</v>
      </c>
      <c r="AC1893" s="5">
        <v>0</v>
      </c>
      <c r="AD1893" s="5">
        <v>0</v>
      </c>
      <c r="AE1893" s="10" t="s">
        <v>73</v>
      </c>
      <c r="AF1893" s="10"/>
      <c r="AG1893" s="10" t="s">
        <v>114</v>
      </c>
      <c r="AH1893" s="10">
        <v>41967</v>
      </c>
      <c r="AI1893" s="5">
        <v>5</v>
      </c>
      <c r="AJ1893" s="10" t="s">
        <v>10563</v>
      </c>
      <c r="AK1893" s="10" t="s">
        <v>10564</v>
      </c>
    </row>
    <row r="1894" spans="1:37" ht="36.75" customHeight="1" x14ac:dyDescent="0.35">
      <c r="A1894" s="5"/>
      <c r="B1894" s="5" t="s">
        <v>37</v>
      </c>
      <c r="C1894" s="73" t="str">
        <f t="shared" si="29"/>
        <v>Closed</v>
      </c>
      <c r="D1894" s="45" t="s">
        <v>10565</v>
      </c>
      <c r="E1894" s="54" t="s">
        <v>10566</v>
      </c>
      <c r="F1894" s="5" t="s">
        <v>619</v>
      </c>
      <c r="G1894" s="10">
        <f>DATE(2014,11,18)</f>
        <v>41961</v>
      </c>
      <c r="H1894" s="35">
        <v>1.8868055555555556</v>
      </c>
      <c r="I1894" s="5" t="s">
        <v>55</v>
      </c>
      <c r="J1894" s="10" t="s">
        <v>10567</v>
      </c>
      <c r="K1894" s="5" t="s">
        <v>621</v>
      </c>
      <c r="L1894" s="5" t="s">
        <v>10568</v>
      </c>
      <c r="M1894" s="5" t="s">
        <v>45</v>
      </c>
      <c r="N1894" s="5" t="s">
        <v>80</v>
      </c>
      <c r="O1894" s="5" t="s">
        <v>59</v>
      </c>
      <c r="P1894" s="10" t="s">
        <v>60</v>
      </c>
      <c r="Q1894" s="10">
        <v>0</v>
      </c>
      <c r="R1894" s="10" t="s">
        <v>624</v>
      </c>
      <c r="S1894" s="5">
        <v>0</v>
      </c>
      <c r="T1894" s="37">
        <v>0</v>
      </c>
      <c r="U1894" s="5">
        <v>0</v>
      </c>
      <c r="V1894" s="37">
        <v>0</v>
      </c>
      <c r="W1894" s="5">
        <v>0</v>
      </c>
      <c r="X1894" s="5">
        <v>0</v>
      </c>
      <c r="Y1894" s="5">
        <v>0</v>
      </c>
      <c r="Z1894" s="37">
        <v>0</v>
      </c>
      <c r="AA1894" s="5">
        <v>0</v>
      </c>
      <c r="AB1894" s="5">
        <v>0</v>
      </c>
      <c r="AC1894" s="5">
        <v>0</v>
      </c>
      <c r="AD1894" s="5">
        <v>0</v>
      </c>
      <c r="AE1894" s="10" t="s">
        <v>73</v>
      </c>
      <c r="AF1894" s="10"/>
      <c r="AG1894" s="10" t="s">
        <v>333</v>
      </c>
      <c r="AH1894" s="10">
        <v>41968</v>
      </c>
      <c r="AI1894" s="5">
        <v>1</v>
      </c>
      <c r="AJ1894" s="10" t="s">
        <v>10569</v>
      </c>
      <c r="AK1894" s="10" t="s">
        <v>50</v>
      </c>
    </row>
    <row r="1895" spans="1:37" ht="36.75" customHeight="1" x14ac:dyDescent="0.35">
      <c r="A1895" s="5"/>
      <c r="B1895" s="5" t="s">
        <v>37</v>
      </c>
      <c r="C1895" s="73" t="str">
        <f t="shared" si="29"/>
        <v>Closed</v>
      </c>
      <c r="D1895" s="45" t="s">
        <v>10570</v>
      </c>
      <c r="E1895" s="54" t="s">
        <v>10571</v>
      </c>
      <c r="F1895" s="5" t="s">
        <v>1553</v>
      </c>
      <c r="G1895" s="10">
        <f>DATE(2014,11,19)</f>
        <v>41962</v>
      </c>
      <c r="H1895" s="35">
        <v>1.1597222222222223</v>
      </c>
      <c r="I1895" s="5" t="s">
        <v>55</v>
      </c>
      <c r="J1895" s="10" t="s">
        <v>10572</v>
      </c>
      <c r="K1895" s="5" t="s">
        <v>1555</v>
      </c>
      <c r="L1895" s="5" t="s">
        <v>10573</v>
      </c>
      <c r="M1895" s="5" t="s">
        <v>45</v>
      </c>
      <c r="N1895" s="5" t="s">
        <v>123</v>
      </c>
      <c r="O1895" s="5" t="s">
        <v>59</v>
      </c>
      <c r="P1895" s="10" t="s">
        <v>60</v>
      </c>
      <c r="Q1895" s="10" t="s">
        <v>9053</v>
      </c>
      <c r="R1895" s="10" t="s">
        <v>6413</v>
      </c>
      <c r="S1895" s="5">
        <v>0</v>
      </c>
      <c r="T1895" s="37">
        <v>0</v>
      </c>
      <c r="U1895" s="5">
        <v>0</v>
      </c>
      <c r="V1895" s="37">
        <v>0</v>
      </c>
      <c r="W1895" s="5">
        <v>0</v>
      </c>
      <c r="X1895" s="5">
        <v>0</v>
      </c>
      <c r="Y1895" s="5">
        <v>0</v>
      </c>
      <c r="Z1895" s="37">
        <v>0</v>
      </c>
      <c r="AA1895" s="5">
        <v>0</v>
      </c>
      <c r="AB1895" s="5">
        <v>0</v>
      </c>
      <c r="AC1895" s="5">
        <v>0</v>
      </c>
      <c r="AD1895" s="5">
        <v>0</v>
      </c>
      <c r="AE1895" s="10" t="s">
        <v>73</v>
      </c>
      <c r="AF1895" s="10"/>
      <c r="AG1895" s="10" t="s">
        <v>114</v>
      </c>
      <c r="AH1895" s="10">
        <v>41962</v>
      </c>
      <c r="AI1895" s="5">
        <v>0</v>
      </c>
      <c r="AJ1895" s="10" t="s">
        <v>10574</v>
      </c>
      <c r="AK1895" s="10" t="s">
        <v>10575</v>
      </c>
    </row>
    <row r="1896" spans="1:37" ht="36.75" customHeight="1" x14ac:dyDescent="0.35">
      <c r="A1896" s="5"/>
      <c r="B1896" s="5" t="s">
        <v>37</v>
      </c>
      <c r="C1896" s="73" t="str">
        <f t="shared" si="29"/>
        <v>Closed</v>
      </c>
      <c r="D1896" s="45" t="s">
        <v>10576</v>
      </c>
      <c r="E1896" s="54" t="s">
        <v>10577</v>
      </c>
      <c r="F1896" s="5" t="s">
        <v>404</v>
      </c>
      <c r="G1896" s="10">
        <f>DATE(2014,11,21)</f>
        <v>41964</v>
      </c>
      <c r="H1896" s="35">
        <v>1.9486111111111111</v>
      </c>
      <c r="I1896" s="5" t="s">
        <v>55</v>
      </c>
      <c r="J1896" s="10" t="s">
        <v>10578</v>
      </c>
      <c r="K1896" s="5" t="s">
        <v>406</v>
      </c>
      <c r="L1896" s="5" t="s">
        <v>10579</v>
      </c>
      <c r="M1896" s="5" t="s">
        <v>45</v>
      </c>
      <c r="N1896" s="5" t="s">
        <v>70</v>
      </c>
      <c r="O1896" s="5" t="s">
        <v>59</v>
      </c>
      <c r="P1896" s="10" t="s">
        <v>60</v>
      </c>
      <c r="Q1896" s="10" t="s">
        <v>5525</v>
      </c>
      <c r="R1896" s="10" t="s">
        <v>3083</v>
      </c>
      <c r="S1896" s="5">
        <v>0</v>
      </c>
      <c r="T1896" s="37">
        <v>0</v>
      </c>
      <c r="U1896" s="5">
        <v>0</v>
      </c>
      <c r="V1896" s="37">
        <v>0</v>
      </c>
      <c r="W1896" s="5">
        <v>0</v>
      </c>
      <c r="X1896" s="5">
        <v>0</v>
      </c>
      <c r="Y1896" s="5">
        <v>0</v>
      </c>
      <c r="Z1896" s="37">
        <v>0</v>
      </c>
      <c r="AA1896" s="5">
        <v>0</v>
      </c>
      <c r="AB1896" s="5">
        <v>0</v>
      </c>
      <c r="AC1896" s="5">
        <v>0</v>
      </c>
      <c r="AD1896" s="5">
        <v>0</v>
      </c>
      <c r="AE1896" s="10" t="s">
        <v>375</v>
      </c>
      <c r="AF1896" s="10"/>
      <c r="AG1896" s="10" t="s">
        <v>114</v>
      </c>
      <c r="AH1896" s="10">
        <v>41964</v>
      </c>
      <c r="AI1896" s="5">
        <v>2</v>
      </c>
      <c r="AJ1896" s="10" t="s">
        <v>10580</v>
      </c>
      <c r="AK1896" s="10" t="s">
        <v>50</v>
      </c>
    </row>
    <row r="1897" spans="1:37" ht="36.75" customHeight="1" x14ac:dyDescent="0.35">
      <c r="A1897" s="5"/>
      <c r="B1897" s="5" t="s">
        <v>37</v>
      </c>
      <c r="C1897" s="73" t="str">
        <f t="shared" si="29"/>
        <v>Closed</v>
      </c>
      <c r="D1897" s="45" t="s">
        <v>10581</v>
      </c>
      <c r="E1897" s="54" t="s">
        <v>10582</v>
      </c>
      <c r="F1897" s="5" t="s">
        <v>1553</v>
      </c>
      <c r="G1897" s="10">
        <f>DATE(2014,11,23)</f>
        <v>41966</v>
      </c>
      <c r="H1897" s="35">
        <v>1.4756944444444444</v>
      </c>
      <c r="I1897" s="5" t="s">
        <v>55</v>
      </c>
      <c r="J1897" s="10" t="s">
        <v>10583</v>
      </c>
      <c r="K1897" s="5" t="s">
        <v>1555</v>
      </c>
      <c r="L1897" s="5" t="s">
        <v>10584</v>
      </c>
      <c r="M1897" s="5" t="s">
        <v>45</v>
      </c>
      <c r="N1897" s="5" t="s">
        <v>80</v>
      </c>
      <c r="O1897" s="5" t="s">
        <v>59</v>
      </c>
      <c r="P1897" s="10" t="s">
        <v>60</v>
      </c>
      <c r="Q1897" s="10" t="s">
        <v>9053</v>
      </c>
      <c r="R1897" s="10" t="s">
        <v>6413</v>
      </c>
      <c r="S1897" s="5">
        <v>0</v>
      </c>
      <c r="T1897" s="36">
        <v>0</v>
      </c>
      <c r="U1897" s="5">
        <v>0</v>
      </c>
      <c r="V1897" s="36">
        <v>0</v>
      </c>
      <c r="W1897" s="5">
        <v>0</v>
      </c>
      <c r="X1897" s="5">
        <v>0</v>
      </c>
      <c r="Y1897" s="5">
        <v>0</v>
      </c>
      <c r="Z1897" s="36">
        <v>0</v>
      </c>
      <c r="AA1897" s="5">
        <v>0</v>
      </c>
      <c r="AB1897" s="5">
        <v>0</v>
      </c>
      <c r="AC1897" s="5">
        <v>0</v>
      </c>
      <c r="AD1897" s="5">
        <v>0</v>
      </c>
      <c r="AE1897" s="10" t="s">
        <v>73</v>
      </c>
      <c r="AF1897" s="10"/>
      <c r="AG1897" s="10" t="s">
        <v>114</v>
      </c>
      <c r="AH1897" s="10">
        <v>41967</v>
      </c>
      <c r="AI1897" s="5">
        <v>0</v>
      </c>
      <c r="AJ1897" s="10" t="s">
        <v>10585</v>
      </c>
      <c r="AK1897" s="10" t="s">
        <v>10586</v>
      </c>
    </row>
    <row r="1898" spans="1:37" ht="36.75" customHeight="1" x14ac:dyDescent="0.35">
      <c r="A1898" s="23" t="s">
        <v>4890</v>
      </c>
      <c r="B1898" s="5" t="s">
        <v>37</v>
      </c>
      <c r="C1898" s="73" t="str">
        <f t="shared" si="29"/>
        <v>Closed</v>
      </c>
      <c r="D1898" s="45" t="s">
        <v>10587</v>
      </c>
      <c r="E1898" s="54" t="s">
        <v>10588</v>
      </c>
      <c r="F1898" s="5" t="s">
        <v>563</v>
      </c>
      <c r="G1898" s="10">
        <f>DATE(2014,11,25)</f>
        <v>41968</v>
      </c>
      <c r="H1898" s="35">
        <v>0</v>
      </c>
      <c r="I1898" s="5" t="s">
        <v>97</v>
      </c>
      <c r="J1898" s="10" t="s">
        <v>10589</v>
      </c>
      <c r="K1898" s="5" t="s">
        <v>565</v>
      </c>
      <c r="L1898" s="5" t="s">
        <v>10590</v>
      </c>
      <c r="M1898" s="5" t="s">
        <v>45</v>
      </c>
      <c r="N1898" s="5" t="s">
        <v>123</v>
      </c>
      <c r="O1898" s="5" t="s">
        <v>46</v>
      </c>
      <c r="P1898" s="10" t="s">
        <v>146</v>
      </c>
      <c r="Q1898" s="10" t="s">
        <v>4467</v>
      </c>
      <c r="R1898" s="10" t="s">
        <v>568</v>
      </c>
      <c r="S1898" s="5">
        <v>0</v>
      </c>
      <c r="T1898" s="58">
        <v>0</v>
      </c>
      <c r="U1898" s="5">
        <v>1</v>
      </c>
      <c r="V1898" s="58">
        <v>0</v>
      </c>
      <c r="W1898" s="5">
        <v>0</v>
      </c>
      <c r="X1898" s="5">
        <v>1</v>
      </c>
      <c r="Y1898" s="5">
        <v>0</v>
      </c>
      <c r="Z1898" s="58">
        <v>0</v>
      </c>
      <c r="AA1898" s="5">
        <v>0</v>
      </c>
      <c r="AB1898" s="5">
        <v>0</v>
      </c>
      <c r="AC1898" s="5">
        <v>0</v>
      </c>
      <c r="AD1898" s="5">
        <v>0</v>
      </c>
      <c r="AE1898" s="10" t="s">
        <v>73</v>
      </c>
      <c r="AF1898" s="10"/>
      <c r="AG1898" s="10" t="s">
        <v>64</v>
      </c>
      <c r="AH1898" s="10">
        <v>41978</v>
      </c>
      <c r="AI1898" s="5">
        <v>0</v>
      </c>
      <c r="AJ1898" s="10" t="s">
        <v>50</v>
      </c>
      <c r="AK1898" s="10" t="s">
        <v>50</v>
      </c>
    </row>
    <row r="1899" spans="1:37" ht="36.75" customHeight="1" x14ac:dyDescent="0.35">
      <c r="A1899" s="5"/>
      <c r="B1899" s="5" t="s">
        <v>37</v>
      </c>
      <c r="C1899" s="73" t="str">
        <f t="shared" si="29"/>
        <v>Closed</v>
      </c>
      <c r="D1899" s="45" t="s">
        <v>10591</v>
      </c>
      <c r="E1899" s="54" t="s">
        <v>10592</v>
      </c>
      <c r="F1899" s="5" t="s">
        <v>214</v>
      </c>
      <c r="G1899" s="10">
        <f>DATE(2014,11,27)</f>
        <v>41970</v>
      </c>
      <c r="H1899" s="35">
        <v>1.0125</v>
      </c>
      <c r="I1899" s="5" t="s">
        <v>179</v>
      </c>
      <c r="J1899" s="10" t="s">
        <v>10593</v>
      </c>
      <c r="K1899" s="5" t="s">
        <v>216</v>
      </c>
      <c r="L1899" s="5" t="s">
        <v>10594</v>
      </c>
      <c r="M1899" s="5" t="s">
        <v>45</v>
      </c>
      <c r="N1899" s="5" t="s">
        <v>123</v>
      </c>
      <c r="O1899" s="5" t="s">
        <v>59</v>
      </c>
      <c r="P1899" s="10" t="s">
        <v>282</v>
      </c>
      <c r="Q1899" s="10" t="s">
        <v>10595</v>
      </c>
      <c r="R1899" s="10" t="s">
        <v>219</v>
      </c>
      <c r="S1899" s="5">
        <v>0</v>
      </c>
      <c r="T1899" s="37">
        <v>0</v>
      </c>
      <c r="U1899" s="5">
        <v>0</v>
      </c>
      <c r="V1899" s="37">
        <v>0</v>
      </c>
      <c r="W1899" s="5">
        <v>0</v>
      </c>
      <c r="X1899" s="5">
        <v>0</v>
      </c>
      <c r="Y1899" s="5">
        <v>0</v>
      </c>
      <c r="Z1899" s="37">
        <v>0</v>
      </c>
      <c r="AA1899" s="5">
        <v>0</v>
      </c>
      <c r="AB1899" s="5">
        <v>0</v>
      </c>
      <c r="AC1899" s="5">
        <v>0</v>
      </c>
      <c r="AD1899" s="5">
        <v>0</v>
      </c>
      <c r="AE1899" s="10" t="s">
        <v>73</v>
      </c>
      <c r="AF1899" s="10"/>
      <c r="AG1899" s="10" t="s">
        <v>114</v>
      </c>
      <c r="AH1899" s="10">
        <v>41974</v>
      </c>
      <c r="AI1899" s="5">
        <v>5</v>
      </c>
      <c r="AJ1899" s="10" t="s">
        <v>10596</v>
      </c>
      <c r="AK1899" s="10" t="s">
        <v>10597</v>
      </c>
    </row>
    <row r="1900" spans="1:37" ht="36.75" customHeight="1" x14ac:dyDescent="0.35">
      <c r="A1900" s="5"/>
      <c r="B1900" s="5" t="s">
        <v>37</v>
      </c>
      <c r="C1900" s="73" t="str">
        <f t="shared" si="29"/>
        <v>Closed</v>
      </c>
      <c r="D1900" s="45" t="s">
        <v>10598</v>
      </c>
      <c r="E1900" s="54" t="s">
        <v>10599</v>
      </c>
      <c r="F1900" s="5" t="s">
        <v>404</v>
      </c>
      <c r="G1900" s="10">
        <f>DATE(2014,11,28)</f>
        <v>41971</v>
      </c>
      <c r="H1900" s="35">
        <v>1.3472222222222223</v>
      </c>
      <c r="I1900" s="5" t="s">
        <v>55</v>
      </c>
      <c r="J1900" s="10" t="s">
        <v>10600</v>
      </c>
      <c r="K1900" s="5" t="s">
        <v>406</v>
      </c>
      <c r="L1900" s="5" t="s">
        <v>10601</v>
      </c>
      <c r="M1900" s="5" t="s">
        <v>45</v>
      </c>
      <c r="N1900" s="5" t="s">
        <v>70</v>
      </c>
      <c r="O1900" s="5" t="s">
        <v>59</v>
      </c>
      <c r="P1900" s="10" t="s">
        <v>60</v>
      </c>
      <c r="Q1900" s="10" t="s">
        <v>5178</v>
      </c>
      <c r="R1900" s="10" t="s">
        <v>408</v>
      </c>
      <c r="S1900" s="5">
        <v>0</v>
      </c>
      <c r="T1900" s="37">
        <v>0</v>
      </c>
      <c r="U1900" s="5">
        <v>0</v>
      </c>
      <c r="V1900" s="37">
        <v>0</v>
      </c>
      <c r="W1900" s="5">
        <v>0</v>
      </c>
      <c r="X1900" s="5">
        <v>0</v>
      </c>
      <c r="Y1900" s="5">
        <v>0</v>
      </c>
      <c r="Z1900" s="37">
        <v>0</v>
      </c>
      <c r="AA1900" s="5">
        <v>0</v>
      </c>
      <c r="AB1900" s="5">
        <v>0</v>
      </c>
      <c r="AC1900" s="5">
        <v>0</v>
      </c>
      <c r="AD1900" s="5">
        <v>0</v>
      </c>
      <c r="AE1900" s="10" t="s">
        <v>73</v>
      </c>
      <c r="AF1900" s="10"/>
      <c r="AG1900" s="10" t="s">
        <v>114</v>
      </c>
      <c r="AH1900" s="10">
        <v>41971</v>
      </c>
      <c r="AI1900" s="5">
        <v>2</v>
      </c>
      <c r="AJ1900" s="10" t="s">
        <v>10602</v>
      </c>
      <c r="AK1900" s="10" t="s">
        <v>10603</v>
      </c>
    </row>
    <row r="1901" spans="1:37" ht="36.75" customHeight="1" x14ac:dyDescent="0.35">
      <c r="A1901" s="5"/>
      <c r="B1901" s="5" t="s">
        <v>37</v>
      </c>
      <c r="C1901" s="73" t="str">
        <f t="shared" si="29"/>
        <v>Closed</v>
      </c>
      <c r="D1901" s="45" t="s">
        <v>10604</v>
      </c>
      <c r="E1901" s="54" t="s">
        <v>10605</v>
      </c>
      <c r="F1901" s="5" t="s">
        <v>1553</v>
      </c>
      <c r="G1901" s="10">
        <f>DATE(2014,11,30)</f>
        <v>41973</v>
      </c>
      <c r="H1901" s="35">
        <v>1.90625</v>
      </c>
      <c r="I1901" s="5" t="s">
        <v>55</v>
      </c>
      <c r="J1901" s="10" t="s">
        <v>10606</v>
      </c>
      <c r="K1901" s="5" t="s">
        <v>1555</v>
      </c>
      <c r="L1901" s="5" t="s">
        <v>10607</v>
      </c>
      <c r="M1901" s="5" t="s">
        <v>45</v>
      </c>
      <c r="N1901" s="5" t="s">
        <v>80</v>
      </c>
      <c r="O1901" s="5" t="s">
        <v>46</v>
      </c>
      <c r="P1901" s="10" t="s">
        <v>60</v>
      </c>
      <c r="Q1901" s="10" t="s">
        <v>7910</v>
      </c>
      <c r="R1901" s="10" t="s">
        <v>6413</v>
      </c>
      <c r="S1901" s="5">
        <v>0</v>
      </c>
      <c r="T1901" s="37">
        <v>0</v>
      </c>
      <c r="U1901" s="5">
        <v>0</v>
      </c>
      <c r="V1901" s="37">
        <v>0</v>
      </c>
      <c r="W1901" s="5">
        <v>0</v>
      </c>
      <c r="X1901" s="5">
        <v>0</v>
      </c>
      <c r="Y1901" s="5">
        <v>0</v>
      </c>
      <c r="Z1901" s="37">
        <v>0</v>
      </c>
      <c r="AA1901" s="5">
        <v>0</v>
      </c>
      <c r="AB1901" s="5">
        <v>0</v>
      </c>
      <c r="AC1901" s="5">
        <v>0</v>
      </c>
      <c r="AD1901" s="5">
        <v>0</v>
      </c>
      <c r="AE1901" s="10" t="s">
        <v>73</v>
      </c>
      <c r="AF1901" s="10"/>
      <c r="AG1901" s="10" t="s">
        <v>333</v>
      </c>
      <c r="AH1901" s="10">
        <v>41975</v>
      </c>
      <c r="AI1901" s="5">
        <v>0</v>
      </c>
      <c r="AJ1901" s="10" t="s">
        <v>10608</v>
      </c>
      <c r="AK1901" s="10" t="s">
        <v>10609</v>
      </c>
    </row>
    <row r="1902" spans="1:37" ht="36.75" customHeight="1" x14ac:dyDescent="0.35">
      <c r="A1902" s="5"/>
      <c r="B1902" s="5" t="s">
        <v>37</v>
      </c>
      <c r="C1902" s="73" t="str">
        <f t="shared" si="29"/>
        <v>Closed</v>
      </c>
      <c r="D1902" s="45" t="s">
        <v>10610</v>
      </c>
      <c r="E1902" s="54" t="s">
        <v>10611</v>
      </c>
      <c r="F1902" s="5" t="s">
        <v>404</v>
      </c>
      <c r="G1902" s="10">
        <f>DATE(2014,12,1)</f>
        <v>41974</v>
      </c>
      <c r="H1902" s="35">
        <v>1.3638888888888889</v>
      </c>
      <c r="I1902" s="5" t="s">
        <v>55</v>
      </c>
      <c r="J1902" s="10" t="s">
        <v>10612</v>
      </c>
      <c r="K1902" s="5" t="s">
        <v>406</v>
      </c>
      <c r="L1902" s="5" t="s">
        <v>10613</v>
      </c>
      <c r="M1902" s="5" t="s">
        <v>45</v>
      </c>
      <c r="N1902" s="5" t="s">
        <v>123</v>
      </c>
      <c r="O1902" s="5" t="s">
        <v>46</v>
      </c>
      <c r="P1902" s="10" t="s">
        <v>60</v>
      </c>
      <c r="Q1902" s="10" t="s">
        <v>2562</v>
      </c>
      <c r="R1902" s="10" t="s">
        <v>3083</v>
      </c>
      <c r="S1902" s="5">
        <v>0</v>
      </c>
      <c r="T1902" s="37">
        <v>0</v>
      </c>
      <c r="U1902" s="5">
        <v>0</v>
      </c>
      <c r="V1902" s="37">
        <v>0</v>
      </c>
      <c r="W1902" s="5">
        <v>0</v>
      </c>
      <c r="X1902" s="5">
        <v>0</v>
      </c>
      <c r="Y1902" s="5">
        <v>0</v>
      </c>
      <c r="Z1902" s="37">
        <v>0</v>
      </c>
      <c r="AA1902" s="5">
        <v>0</v>
      </c>
      <c r="AB1902" s="5">
        <v>0</v>
      </c>
      <c r="AC1902" s="5">
        <v>0</v>
      </c>
      <c r="AD1902" s="5">
        <v>0</v>
      </c>
      <c r="AE1902" s="10" t="s">
        <v>375</v>
      </c>
      <c r="AF1902" s="10"/>
      <c r="AG1902" s="10" t="s">
        <v>114</v>
      </c>
      <c r="AH1902" s="10">
        <v>41710</v>
      </c>
      <c r="AI1902" s="5">
        <v>3</v>
      </c>
      <c r="AJ1902" s="10" t="s">
        <v>10614</v>
      </c>
      <c r="AK1902" s="10" t="s">
        <v>10615</v>
      </c>
    </row>
    <row r="1903" spans="1:37" ht="36.75" customHeight="1" x14ac:dyDescent="0.35">
      <c r="A1903" s="5"/>
      <c r="B1903" s="5" t="s">
        <v>37</v>
      </c>
      <c r="C1903" s="73" t="str">
        <f t="shared" si="29"/>
        <v>Closed</v>
      </c>
      <c r="D1903" s="45" t="s">
        <v>10616</v>
      </c>
      <c r="E1903" s="54" t="s">
        <v>10617</v>
      </c>
      <c r="F1903" s="5" t="s">
        <v>563</v>
      </c>
      <c r="G1903" s="10">
        <f>DATE(2014,12,2)</f>
        <v>41975</v>
      </c>
      <c r="H1903" s="35">
        <v>0</v>
      </c>
      <c r="I1903" s="5" t="s">
        <v>55</v>
      </c>
      <c r="J1903" s="10" t="s">
        <v>10618</v>
      </c>
      <c r="K1903" s="5" t="s">
        <v>565</v>
      </c>
      <c r="L1903" s="5" t="s">
        <v>10619</v>
      </c>
      <c r="M1903" s="5" t="s">
        <v>45</v>
      </c>
      <c r="N1903" s="5" t="s">
        <v>123</v>
      </c>
      <c r="O1903" s="5" t="s">
        <v>59</v>
      </c>
      <c r="P1903" s="10" t="s">
        <v>60</v>
      </c>
      <c r="Q1903" s="10" t="s">
        <v>10620</v>
      </c>
      <c r="R1903" s="10" t="s">
        <v>568</v>
      </c>
      <c r="S1903" s="5">
        <v>0</v>
      </c>
      <c r="T1903" s="37">
        <v>0</v>
      </c>
      <c r="U1903" s="5">
        <v>0</v>
      </c>
      <c r="V1903" s="37">
        <v>0</v>
      </c>
      <c r="W1903" s="5">
        <v>0</v>
      </c>
      <c r="X1903" s="5">
        <v>0</v>
      </c>
      <c r="Y1903" s="5">
        <v>0</v>
      </c>
      <c r="Z1903" s="37">
        <v>0</v>
      </c>
      <c r="AA1903" s="5">
        <v>0</v>
      </c>
      <c r="AB1903" s="5">
        <v>0</v>
      </c>
      <c r="AC1903" s="5">
        <v>0</v>
      </c>
      <c r="AD1903" s="5">
        <v>0</v>
      </c>
      <c r="AE1903" s="10" t="s">
        <v>375</v>
      </c>
      <c r="AF1903" s="10"/>
      <c r="AG1903" s="10" t="s">
        <v>114</v>
      </c>
      <c r="AH1903" s="10">
        <v>41981</v>
      </c>
      <c r="AI1903" s="5">
        <v>0</v>
      </c>
      <c r="AJ1903" s="10" t="s">
        <v>10621</v>
      </c>
      <c r="AK1903" s="10" t="s">
        <v>1215</v>
      </c>
    </row>
    <row r="1904" spans="1:37" ht="36.75" customHeight="1" x14ac:dyDescent="0.35">
      <c r="A1904" s="5"/>
      <c r="B1904" s="5" t="s">
        <v>37</v>
      </c>
      <c r="C1904" s="73" t="str">
        <f t="shared" si="29"/>
        <v>Closed</v>
      </c>
      <c r="D1904" s="45" t="s">
        <v>10622</v>
      </c>
      <c r="E1904" s="54" t="s">
        <v>10623</v>
      </c>
      <c r="F1904" s="5" t="s">
        <v>563</v>
      </c>
      <c r="G1904" s="10">
        <f>DATE(2014,12,2)</f>
        <v>41975</v>
      </c>
      <c r="H1904" s="35">
        <v>0</v>
      </c>
      <c r="I1904" s="5" t="s">
        <v>97</v>
      </c>
      <c r="J1904" s="10" t="s">
        <v>10624</v>
      </c>
      <c r="K1904" s="5" t="s">
        <v>565</v>
      </c>
      <c r="L1904" s="5" t="s">
        <v>10625</v>
      </c>
      <c r="M1904" s="5" t="s">
        <v>45</v>
      </c>
      <c r="N1904" s="5" t="s">
        <v>123</v>
      </c>
      <c r="O1904" s="5" t="s">
        <v>46</v>
      </c>
      <c r="P1904" s="10" t="s">
        <v>146</v>
      </c>
      <c r="Q1904" s="10" t="s">
        <v>3883</v>
      </c>
      <c r="R1904" s="10" t="s">
        <v>568</v>
      </c>
      <c r="S1904" s="5">
        <v>0</v>
      </c>
      <c r="T1904" s="37">
        <v>0</v>
      </c>
      <c r="U1904" s="5">
        <v>0</v>
      </c>
      <c r="V1904" s="37">
        <v>0</v>
      </c>
      <c r="W1904" s="5">
        <v>0</v>
      </c>
      <c r="X1904" s="5">
        <v>0</v>
      </c>
      <c r="Y1904" s="5">
        <v>0</v>
      </c>
      <c r="Z1904" s="37">
        <v>0</v>
      </c>
      <c r="AA1904" s="5">
        <v>1</v>
      </c>
      <c r="AB1904" s="5">
        <v>0</v>
      </c>
      <c r="AC1904" s="5">
        <v>0</v>
      </c>
      <c r="AD1904" s="5">
        <v>1</v>
      </c>
      <c r="AE1904" s="10" t="s">
        <v>73</v>
      </c>
      <c r="AF1904" s="10"/>
      <c r="AG1904" s="10" t="s">
        <v>333</v>
      </c>
      <c r="AH1904" s="10">
        <v>41992</v>
      </c>
      <c r="AI1904" s="5">
        <v>0</v>
      </c>
      <c r="AJ1904" s="10" t="s">
        <v>10626</v>
      </c>
      <c r="AK1904" s="10" t="s">
        <v>1215</v>
      </c>
    </row>
    <row r="1905" spans="1:37" ht="36.75" customHeight="1" x14ac:dyDescent="0.35">
      <c r="A1905" s="5"/>
      <c r="B1905" s="5" t="s">
        <v>37</v>
      </c>
      <c r="C1905" s="73" t="str">
        <f t="shared" si="29"/>
        <v>Closed</v>
      </c>
      <c r="D1905" s="45" t="s">
        <v>10627</v>
      </c>
      <c r="E1905" s="54" t="s">
        <v>10628</v>
      </c>
      <c r="F1905" s="5" t="s">
        <v>816</v>
      </c>
      <c r="G1905" s="10">
        <f>DATE(2014,12,3)</f>
        <v>41976</v>
      </c>
      <c r="H1905" s="35">
        <v>1.6180555555555556</v>
      </c>
      <c r="I1905" s="5" t="s">
        <v>85</v>
      </c>
      <c r="J1905" s="10" t="s">
        <v>10629</v>
      </c>
      <c r="K1905" s="5" t="s">
        <v>818</v>
      </c>
      <c r="L1905" s="5" t="s">
        <v>10630</v>
      </c>
      <c r="M1905" s="5" t="s">
        <v>45</v>
      </c>
      <c r="N1905" s="5" t="s">
        <v>70</v>
      </c>
      <c r="O1905" s="5" t="s">
        <v>59</v>
      </c>
      <c r="P1905" s="10" t="s">
        <v>146</v>
      </c>
      <c r="Q1905" s="10" t="s">
        <v>2142</v>
      </c>
      <c r="R1905" s="10" t="s">
        <v>821</v>
      </c>
      <c r="S1905" s="5">
        <v>0</v>
      </c>
      <c r="T1905" s="37">
        <v>0</v>
      </c>
      <c r="U1905" s="5">
        <v>0</v>
      </c>
      <c r="V1905" s="37">
        <v>0</v>
      </c>
      <c r="W1905" s="5">
        <v>0</v>
      </c>
      <c r="X1905" s="5">
        <v>0</v>
      </c>
      <c r="Y1905" s="5">
        <v>0</v>
      </c>
      <c r="Z1905" s="37">
        <v>0</v>
      </c>
      <c r="AA1905" s="5">
        <v>0</v>
      </c>
      <c r="AB1905" s="5">
        <v>0</v>
      </c>
      <c r="AC1905" s="5">
        <v>0</v>
      </c>
      <c r="AD1905" s="5">
        <v>0</v>
      </c>
      <c r="AE1905" s="10" t="s">
        <v>73</v>
      </c>
      <c r="AF1905" s="10"/>
      <c r="AG1905" s="10" t="s">
        <v>333</v>
      </c>
      <c r="AH1905" s="10">
        <v>41978</v>
      </c>
      <c r="AI1905" s="5">
        <v>0</v>
      </c>
      <c r="AJ1905" s="10" t="s">
        <v>10631</v>
      </c>
      <c r="AK1905" s="10" t="s">
        <v>10632</v>
      </c>
    </row>
    <row r="1906" spans="1:37" ht="36.75" customHeight="1" x14ac:dyDescent="0.35">
      <c r="A1906" s="5"/>
      <c r="B1906" s="5" t="s">
        <v>37</v>
      </c>
      <c r="C1906" s="73" t="str">
        <f t="shared" si="29"/>
        <v>Closed</v>
      </c>
      <c r="D1906" s="45" t="s">
        <v>10633</v>
      </c>
      <c r="E1906" s="54" t="s">
        <v>10634</v>
      </c>
      <c r="F1906" s="5" t="s">
        <v>1553</v>
      </c>
      <c r="G1906" s="10">
        <f>DATE(2014,12,7)</f>
        <v>41980</v>
      </c>
      <c r="H1906" s="35">
        <v>1.9791666666666665</v>
      </c>
      <c r="I1906" s="5" t="s">
        <v>106</v>
      </c>
      <c r="J1906" s="10" t="s">
        <v>10635</v>
      </c>
      <c r="K1906" s="5" t="s">
        <v>1555</v>
      </c>
      <c r="L1906" s="5" t="s">
        <v>10636</v>
      </c>
      <c r="M1906" s="5" t="s">
        <v>45</v>
      </c>
      <c r="N1906" s="5" t="s">
        <v>123</v>
      </c>
      <c r="O1906" s="5" t="s">
        <v>46</v>
      </c>
      <c r="P1906" s="10" t="s">
        <v>60</v>
      </c>
      <c r="Q1906" s="10" t="s">
        <v>6072</v>
      </c>
      <c r="R1906" s="10" t="s">
        <v>4899</v>
      </c>
      <c r="S1906" s="5">
        <v>0</v>
      </c>
      <c r="T1906" s="37">
        <v>0</v>
      </c>
      <c r="U1906" s="5">
        <v>0</v>
      </c>
      <c r="V1906" s="37">
        <v>0</v>
      </c>
      <c r="W1906" s="5">
        <v>0</v>
      </c>
      <c r="X1906" s="5">
        <v>0</v>
      </c>
      <c r="Y1906" s="5">
        <v>0</v>
      </c>
      <c r="Z1906" s="37">
        <v>1</v>
      </c>
      <c r="AA1906" s="5">
        <v>0</v>
      </c>
      <c r="AB1906" s="5">
        <v>0</v>
      </c>
      <c r="AC1906" s="5">
        <v>0</v>
      </c>
      <c r="AD1906" s="5">
        <v>1</v>
      </c>
      <c r="AE1906" s="10" t="s">
        <v>73</v>
      </c>
      <c r="AF1906" s="10"/>
      <c r="AG1906" s="10" t="s">
        <v>64</v>
      </c>
      <c r="AH1906" s="10">
        <v>41982</v>
      </c>
      <c r="AI1906" s="5">
        <v>2</v>
      </c>
      <c r="AJ1906" s="10" t="s">
        <v>10637</v>
      </c>
      <c r="AK1906" s="10" t="s">
        <v>10638</v>
      </c>
    </row>
    <row r="1907" spans="1:37" ht="36.75" customHeight="1" x14ac:dyDescent="0.35">
      <c r="A1907" s="5"/>
      <c r="B1907" s="5" t="s">
        <v>37</v>
      </c>
      <c r="C1907" s="73" t="str">
        <f t="shared" si="29"/>
        <v>Closed</v>
      </c>
      <c r="D1907" s="45" t="s">
        <v>10639</v>
      </c>
      <c r="E1907" s="54" t="s">
        <v>10640</v>
      </c>
      <c r="F1907" s="5" t="s">
        <v>96</v>
      </c>
      <c r="G1907" s="10">
        <f>DATE(2014,12,9)</f>
        <v>41982</v>
      </c>
      <c r="H1907" s="35">
        <v>1.2583333333333333</v>
      </c>
      <c r="I1907" s="5" t="s">
        <v>41</v>
      </c>
      <c r="J1907" s="10" t="s">
        <v>10641</v>
      </c>
      <c r="K1907" s="5" t="s">
        <v>99</v>
      </c>
      <c r="L1907" s="5" t="s">
        <v>10642</v>
      </c>
      <c r="M1907" s="5" t="s">
        <v>45</v>
      </c>
      <c r="N1907" s="5" t="s">
        <v>70</v>
      </c>
      <c r="O1907" s="5" t="s">
        <v>59</v>
      </c>
      <c r="P1907" s="10" t="s">
        <v>6881</v>
      </c>
      <c r="Q1907" s="10" t="s">
        <v>101</v>
      </c>
      <c r="R1907" s="10" t="s">
        <v>102</v>
      </c>
      <c r="S1907" s="5">
        <v>0</v>
      </c>
      <c r="T1907" s="37">
        <v>0</v>
      </c>
      <c r="U1907" s="5">
        <v>0</v>
      </c>
      <c r="V1907" s="37">
        <v>0</v>
      </c>
      <c r="W1907" s="5">
        <v>0</v>
      </c>
      <c r="X1907" s="5">
        <v>0</v>
      </c>
      <c r="Y1907" s="5">
        <v>0</v>
      </c>
      <c r="Z1907" s="37">
        <v>0</v>
      </c>
      <c r="AA1907" s="5">
        <v>0</v>
      </c>
      <c r="AB1907" s="5">
        <v>0</v>
      </c>
      <c r="AC1907" s="5">
        <v>0</v>
      </c>
      <c r="AD1907" s="5">
        <v>0</v>
      </c>
      <c r="AE1907" s="10" t="s">
        <v>73</v>
      </c>
      <c r="AF1907" s="10"/>
      <c r="AG1907" s="10" t="s">
        <v>570</v>
      </c>
      <c r="AH1907" s="10">
        <v>41983</v>
      </c>
      <c r="AI1907" s="5">
        <v>4</v>
      </c>
      <c r="AJ1907" s="10" t="s">
        <v>10643</v>
      </c>
      <c r="AK1907" s="10" t="s">
        <v>10644</v>
      </c>
    </row>
    <row r="1908" spans="1:37" ht="36.75" customHeight="1" x14ac:dyDescent="0.35">
      <c r="A1908" s="5"/>
      <c r="B1908" s="5" t="s">
        <v>37</v>
      </c>
      <c r="C1908" s="73" t="str">
        <f t="shared" si="29"/>
        <v>Closed</v>
      </c>
      <c r="D1908" s="45" t="s">
        <v>10645</v>
      </c>
      <c r="E1908" s="54" t="s">
        <v>10646</v>
      </c>
      <c r="F1908" s="5" t="s">
        <v>96</v>
      </c>
      <c r="G1908" s="10">
        <f>DATE(2014,12,9)</f>
        <v>41982</v>
      </c>
      <c r="H1908" s="35">
        <v>1.7694444444444444</v>
      </c>
      <c r="I1908" s="5" t="s">
        <v>9004</v>
      </c>
      <c r="J1908" s="10" t="s">
        <v>10647</v>
      </c>
      <c r="K1908" s="5" t="s">
        <v>99</v>
      </c>
      <c r="L1908" s="5" t="s">
        <v>10648</v>
      </c>
      <c r="M1908" s="5" t="s">
        <v>45</v>
      </c>
      <c r="N1908" s="5" t="s">
        <v>123</v>
      </c>
      <c r="O1908" s="5" t="s">
        <v>46</v>
      </c>
      <c r="P1908" s="10" t="s">
        <v>6920</v>
      </c>
      <c r="Q1908" s="10" t="s">
        <v>99</v>
      </c>
      <c r="R1908" s="10" t="s">
        <v>99</v>
      </c>
      <c r="S1908" s="5">
        <v>0</v>
      </c>
      <c r="T1908" s="37">
        <v>0</v>
      </c>
      <c r="U1908" s="5">
        <v>0</v>
      </c>
      <c r="V1908" s="37">
        <v>0</v>
      </c>
      <c r="W1908" s="5">
        <v>0</v>
      </c>
      <c r="X1908" s="5">
        <v>0</v>
      </c>
      <c r="Y1908" s="5">
        <v>0</v>
      </c>
      <c r="Z1908" s="37">
        <v>0</v>
      </c>
      <c r="AA1908" s="5">
        <v>0</v>
      </c>
      <c r="AB1908" s="5">
        <v>0</v>
      </c>
      <c r="AC1908" s="5">
        <v>0</v>
      </c>
      <c r="AD1908" s="5">
        <v>0</v>
      </c>
      <c r="AE1908" s="10" t="s">
        <v>375</v>
      </c>
      <c r="AF1908" s="10"/>
      <c r="AG1908" s="10" t="s">
        <v>333</v>
      </c>
      <c r="AH1908" s="10">
        <v>41983</v>
      </c>
      <c r="AI1908" s="5">
        <v>3</v>
      </c>
      <c r="AJ1908" s="10" t="s">
        <v>10649</v>
      </c>
      <c r="AK1908" s="10" t="s">
        <v>10650</v>
      </c>
    </row>
    <row r="1909" spans="1:37" ht="36.75" customHeight="1" x14ac:dyDescent="0.35">
      <c r="A1909" s="5"/>
      <c r="B1909" s="5" t="s">
        <v>37</v>
      </c>
      <c r="C1909" s="73" t="str">
        <f t="shared" si="29"/>
        <v>Closed</v>
      </c>
      <c r="D1909" s="45" t="s">
        <v>10651</v>
      </c>
      <c r="E1909" s="54" t="s">
        <v>10652</v>
      </c>
      <c r="F1909" s="5" t="s">
        <v>1553</v>
      </c>
      <c r="G1909" s="10">
        <f>DATE(2014,12,12)</f>
        <v>41985</v>
      </c>
      <c r="H1909" s="35">
        <v>1.1388888888888888</v>
      </c>
      <c r="I1909" s="5" t="s">
        <v>55</v>
      </c>
      <c r="J1909" s="10" t="s">
        <v>10653</v>
      </c>
      <c r="K1909" s="5" t="s">
        <v>1555</v>
      </c>
      <c r="L1909" s="5" t="s">
        <v>10654</v>
      </c>
      <c r="M1909" s="5" t="s">
        <v>45</v>
      </c>
      <c r="N1909" s="5" t="s">
        <v>80</v>
      </c>
      <c r="O1909" s="5" t="s">
        <v>46</v>
      </c>
      <c r="P1909" s="10" t="s">
        <v>60</v>
      </c>
      <c r="Q1909" s="10" t="s">
        <v>7910</v>
      </c>
      <c r="R1909" s="10" t="s">
        <v>6413</v>
      </c>
      <c r="S1909" s="5">
        <v>0</v>
      </c>
      <c r="T1909" s="37">
        <v>0</v>
      </c>
      <c r="U1909" s="5">
        <v>0</v>
      </c>
      <c r="V1909" s="37">
        <v>0</v>
      </c>
      <c r="W1909" s="5">
        <v>0</v>
      </c>
      <c r="X1909" s="5">
        <v>0</v>
      </c>
      <c r="Y1909" s="5">
        <v>0</v>
      </c>
      <c r="Z1909" s="37">
        <v>0</v>
      </c>
      <c r="AA1909" s="5">
        <v>0</v>
      </c>
      <c r="AB1909" s="5">
        <v>0</v>
      </c>
      <c r="AC1909" s="5">
        <v>0</v>
      </c>
      <c r="AD1909" s="5">
        <v>0</v>
      </c>
      <c r="AE1909" s="10" t="s">
        <v>73</v>
      </c>
      <c r="AF1909" s="10"/>
      <c r="AG1909" s="10" t="s">
        <v>114</v>
      </c>
      <c r="AH1909" s="10">
        <v>41985</v>
      </c>
      <c r="AI1909" s="5">
        <v>0</v>
      </c>
      <c r="AJ1909" s="10" t="s">
        <v>10655</v>
      </c>
      <c r="AK1909" s="10" t="s">
        <v>10656</v>
      </c>
    </row>
    <row r="1910" spans="1:37" ht="36.75" customHeight="1" x14ac:dyDescent="0.35">
      <c r="A1910" s="5"/>
      <c r="B1910" s="5" t="s">
        <v>37</v>
      </c>
      <c r="C1910" s="73" t="str">
        <f t="shared" si="29"/>
        <v>Closed</v>
      </c>
      <c r="D1910" s="45" t="s">
        <v>10657</v>
      </c>
      <c r="E1910" s="54" t="s">
        <v>10658</v>
      </c>
      <c r="F1910" s="5" t="s">
        <v>178</v>
      </c>
      <c r="G1910" s="11">
        <f>DATE(2014,12,15)</f>
        <v>41988</v>
      </c>
      <c r="H1910" s="35">
        <v>1.2868055555555555</v>
      </c>
      <c r="I1910" s="5" t="s">
        <v>259</v>
      </c>
      <c r="J1910" s="10" t="s">
        <v>10659</v>
      </c>
      <c r="K1910" s="5" t="s">
        <v>181</v>
      </c>
      <c r="L1910" s="5" t="s">
        <v>10660</v>
      </c>
      <c r="M1910" s="5" t="s">
        <v>45</v>
      </c>
      <c r="N1910" s="5" t="s">
        <v>80</v>
      </c>
      <c r="O1910" s="5" t="s">
        <v>6854</v>
      </c>
      <c r="P1910" s="10" t="s">
        <v>72</v>
      </c>
      <c r="Q1910" s="10" t="s">
        <v>2433</v>
      </c>
      <c r="R1910" s="10">
        <v>0</v>
      </c>
      <c r="S1910" s="5">
        <v>0</v>
      </c>
      <c r="T1910" s="37">
        <v>1</v>
      </c>
      <c r="U1910" s="5">
        <v>0</v>
      </c>
      <c r="V1910" s="37">
        <v>0</v>
      </c>
      <c r="W1910" s="5">
        <v>0</v>
      </c>
      <c r="X1910" s="5">
        <v>1</v>
      </c>
      <c r="Y1910" s="5">
        <v>0</v>
      </c>
      <c r="Z1910" s="37">
        <v>0</v>
      </c>
      <c r="AA1910" s="5">
        <v>0</v>
      </c>
      <c r="AB1910" s="5">
        <v>0</v>
      </c>
      <c r="AC1910" s="5">
        <v>0</v>
      </c>
      <c r="AD1910" s="5">
        <v>0</v>
      </c>
      <c r="AE1910" s="10" t="s">
        <v>73</v>
      </c>
      <c r="AF1910" s="10"/>
      <c r="AG1910" s="10" t="s">
        <v>114</v>
      </c>
      <c r="AH1910" s="10">
        <v>41991</v>
      </c>
      <c r="AI1910" s="5">
        <v>4</v>
      </c>
      <c r="AJ1910" s="10" t="s">
        <v>10661</v>
      </c>
      <c r="AK1910" s="10" t="s">
        <v>1215</v>
      </c>
    </row>
    <row r="1911" spans="1:37" ht="36.75" customHeight="1" x14ac:dyDescent="0.35">
      <c r="A1911" s="5"/>
      <c r="B1911" s="5" t="s">
        <v>37</v>
      </c>
      <c r="C1911" s="73" t="str">
        <f t="shared" si="29"/>
        <v>Closed</v>
      </c>
      <c r="D1911" s="45" t="s">
        <v>10662</v>
      </c>
      <c r="E1911" s="54" t="s">
        <v>10663</v>
      </c>
      <c r="F1911" s="5" t="s">
        <v>404</v>
      </c>
      <c r="G1911" s="10">
        <f>DATE(2014,12,15)</f>
        <v>41988</v>
      </c>
      <c r="H1911" s="35">
        <v>1.848611111111111</v>
      </c>
      <c r="I1911" s="5" t="s">
        <v>137</v>
      </c>
      <c r="J1911" s="10" t="s">
        <v>10664</v>
      </c>
      <c r="K1911" s="5" t="s">
        <v>406</v>
      </c>
      <c r="L1911" s="5" t="s">
        <v>10665</v>
      </c>
      <c r="M1911" s="5" t="s">
        <v>45</v>
      </c>
      <c r="N1911" s="5" t="s">
        <v>70</v>
      </c>
      <c r="O1911" s="5" t="s">
        <v>59</v>
      </c>
      <c r="P1911" s="10" t="s">
        <v>10666</v>
      </c>
      <c r="Q1911" s="10" t="s">
        <v>10667</v>
      </c>
      <c r="R1911" s="10" t="s">
        <v>3083</v>
      </c>
      <c r="S1911" s="5">
        <v>0</v>
      </c>
      <c r="T1911" s="37">
        <v>0</v>
      </c>
      <c r="U1911" s="5">
        <v>0</v>
      </c>
      <c r="V1911" s="37">
        <v>0</v>
      </c>
      <c r="W1911" s="5">
        <v>0</v>
      </c>
      <c r="X1911" s="5">
        <v>0</v>
      </c>
      <c r="Y1911" s="5">
        <v>0</v>
      </c>
      <c r="Z1911" s="37">
        <v>0</v>
      </c>
      <c r="AA1911" s="5">
        <v>0</v>
      </c>
      <c r="AB1911" s="5">
        <v>0</v>
      </c>
      <c r="AC1911" s="5">
        <v>0</v>
      </c>
      <c r="AD1911" s="5">
        <v>0</v>
      </c>
      <c r="AE1911" s="10" t="s">
        <v>73</v>
      </c>
      <c r="AF1911" s="10"/>
      <c r="AG1911" s="10" t="s">
        <v>64</v>
      </c>
      <c r="AH1911" s="10">
        <v>41988</v>
      </c>
      <c r="AI1911" s="5">
        <v>2</v>
      </c>
      <c r="AJ1911" s="10" t="s">
        <v>10668</v>
      </c>
      <c r="AK1911" s="10" t="s">
        <v>10669</v>
      </c>
    </row>
    <row r="1912" spans="1:37" ht="36.75" customHeight="1" x14ac:dyDescent="0.35">
      <c r="A1912" s="5"/>
      <c r="B1912" s="5" t="s">
        <v>37</v>
      </c>
      <c r="C1912" s="73" t="str">
        <f t="shared" si="29"/>
        <v>Closed</v>
      </c>
      <c r="D1912" s="45" t="s">
        <v>10670</v>
      </c>
      <c r="E1912" s="54" t="s">
        <v>10671</v>
      </c>
      <c r="F1912" s="5" t="s">
        <v>96</v>
      </c>
      <c r="G1912" s="10">
        <f>DATE(2014,12,15)</f>
        <v>41988</v>
      </c>
      <c r="H1912" s="35">
        <v>1.3597222222222223</v>
      </c>
      <c r="I1912" s="5" t="s">
        <v>179</v>
      </c>
      <c r="J1912" s="10" t="s">
        <v>10672</v>
      </c>
      <c r="K1912" s="5" t="s">
        <v>99</v>
      </c>
      <c r="L1912" s="5" t="s">
        <v>10673</v>
      </c>
      <c r="M1912" s="5" t="s">
        <v>45</v>
      </c>
      <c r="N1912" s="5" t="s">
        <v>70</v>
      </c>
      <c r="O1912" s="5" t="s">
        <v>59</v>
      </c>
      <c r="P1912" s="10" t="s">
        <v>10674</v>
      </c>
      <c r="Q1912" s="10" t="s">
        <v>101</v>
      </c>
      <c r="R1912" s="10" t="s">
        <v>102</v>
      </c>
      <c r="S1912" s="5">
        <v>0</v>
      </c>
      <c r="T1912" s="37">
        <v>0</v>
      </c>
      <c r="U1912" s="5">
        <v>0</v>
      </c>
      <c r="V1912" s="37">
        <v>0</v>
      </c>
      <c r="W1912" s="5">
        <v>0</v>
      </c>
      <c r="X1912" s="5">
        <v>0</v>
      </c>
      <c r="Y1912" s="5">
        <v>0</v>
      </c>
      <c r="Z1912" s="37">
        <v>0</v>
      </c>
      <c r="AA1912" s="5">
        <v>0</v>
      </c>
      <c r="AB1912" s="5">
        <v>0</v>
      </c>
      <c r="AC1912" s="5">
        <v>0</v>
      </c>
      <c r="AD1912" s="5">
        <v>0</v>
      </c>
      <c r="AE1912" s="10" t="s">
        <v>73</v>
      </c>
      <c r="AF1912" s="10"/>
      <c r="AG1912" s="10" t="s">
        <v>114</v>
      </c>
      <c r="AH1912" s="10">
        <v>41989</v>
      </c>
      <c r="AI1912" s="5">
        <v>1</v>
      </c>
      <c r="AJ1912" s="10" t="s">
        <v>10675</v>
      </c>
      <c r="AK1912" s="10" t="s">
        <v>1215</v>
      </c>
    </row>
    <row r="1913" spans="1:37" ht="36.75" customHeight="1" x14ac:dyDescent="0.35">
      <c r="A1913" s="5"/>
      <c r="B1913" s="5" t="s">
        <v>37</v>
      </c>
      <c r="C1913" s="73" t="str">
        <f t="shared" si="29"/>
        <v>Closed</v>
      </c>
      <c r="D1913" s="45" t="s">
        <v>10676</v>
      </c>
      <c r="E1913" s="54" t="s">
        <v>10677</v>
      </c>
      <c r="F1913" s="5" t="s">
        <v>816</v>
      </c>
      <c r="G1913" s="10">
        <f>DATE(2014,12,16)</f>
        <v>41989</v>
      </c>
      <c r="H1913" s="35">
        <v>0</v>
      </c>
      <c r="I1913" s="5" t="s">
        <v>85</v>
      </c>
      <c r="J1913" s="10" t="s">
        <v>10678</v>
      </c>
      <c r="K1913" s="5" t="s">
        <v>818</v>
      </c>
      <c r="L1913" s="5" t="s">
        <v>10679</v>
      </c>
      <c r="M1913" s="5" t="s">
        <v>45</v>
      </c>
      <c r="N1913" s="5" t="s">
        <v>70</v>
      </c>
      <c r="O1913" s="5" t="s">
        <v>59</v>
      </c>
      <c r="P1913" s="10" t="s">
        <v>67</v>
      </c>
      <c r="Q1913" s="10" t="s">
        <v>2142</v>
      </c>
      <c r="R1913" s="10" t="s">
        <v>821</v>
      </c>
      <c r="S1913" s="5">
        <v>0</v>
      </c>
      <c r="T1913" s="37">
        <v>0</v>
      </c>
      <c r="U1913" s="5">
        <v>0</v>
      </c>
      <c r="V1913" s="37">
        <v>0</v>
      </c>
      <c r="W1913" s="5">
        <v>0</v>
      </c>
      <c r="X1913" s="5">
        <v>0</v>
      </c>
      <c r="Y1913" s="5">
        <v>0</v>
      </c>
      <c r="Z1913" s="37">
        <v>0</v>
      </c>
      <c r="AA1913" s="5">
        <v>0</v>
      </c>
      <c r="AB1913" s="5">
        <v>0</v>
      </c>
      <c r="AC1913" s="5">
        <v>0</v>
      </c>
      <c r="AD1913" s="5">
        <v>0</v>
      </c>
      <c r="AE1913" s="10" t="s">
        <v>73</v>
      </c>
      <c r="AF1913" s="10"/>
      <c r="AG1913" s="10" t="s">
        <v>333</v>
      </c>
      <c r="AH1913" s="10">
        <v>41989</v>
      </c>
      <c r="AI1913" s="5">
        <v>1</v>
      </c>
      <c r="AJ1913" s="10" t="s">
        <v>10680</v>
      </c>
      <c r="AK1913" s="10" t="s">
        <v>10681</v>
      </c>
    </row>
    <row r="1914" spans="1:37" ht="36.75" customHeight="1" x14ac:dyDescent="0.35">
      <c r="A1914" s="5"/>
      <c r="B1914" s="5" t="s">
        <v>37</v>
      </c>
      <c r="C1914" s="73" t="str">
        <f t="shared" si="29"/>
        <v>Closed</v>
      </c>
      <c r="D1914" s="45" t="s">
        <v>10682</v>
      </c>
      <c r="E1914" s="54" t="s">
        <v>10683</v>
      </c>
      <c r="F1914" s="5" t="s">
        <v>816</v>
      </c>
      <c r="G1914" s="10">
        <f>DATE(2014,12,17)</f>
        <v>41990</v>
      </c>
      <c r="H1914" s="35">
        <v>1.3812500000000001</v>
      </c>
      <c r="I1914" s="5" t="s">
        <v>5473</v>
      </c>
      <c r="J1914" s="10" t="s">
        <v>10684</v>
      </c>
      <c r="K1914" s="5" t="s">
        <v>818</v>
      </c>
      <c r="L1914" s="5" t="s">
        <v>10685</v>
      </c>
      <c r="M1914" s="5" t="s">
        <v>236</v>
      </c>
      <c r="N1914" s="5" t="s">
        <v>123</v>
      </c>
      <c r="O1914" s="5" t="s">
        <v>46</v>
      </c>
      <c r="P1914" s="10" t="s">
        <v>6531</v>
      </c>
      <c r="Q1914" s="10" t="s">
        <v>4190</v>
      </c>
      <c r="R1914" s="10" t="s">
        <v>4190</v>
      </c>
      <c r="S1914" s="5">
        <v>0</v>
      </c>
      <c r="T1914" s="37">
        <v>0</v>
      </c>
      <c r="U1914" s="5">
        <v>0</v>
      </c>
      <c r="V1914" s="37">
        <v>0</v>
      </c>
      <c r="W1914" s="5">
        <v>0</v>
      </c>
      <c r="X1914" s="5">
        <v>0</v>
      </c>
      <c r="Y1914" s="5">
        <v>0</v>
      </c>
      <c r="Z1914" s="37">
        <v>0</v>
      </c>
      <c r="AA1914" s="5">
        <v>0</v>
      </c>
      <c r="AB1914" s="5">
        <v>0</v>
      </c>
      <c r="AC1914" s="5">
        <v>0</v>
      </c>
      <c r="AD1914" s="5">
        <v>0</v>
      </c>
      <c r="AE1914" s="10" t="s">
        <v>73</v>
      </c>
      <c r="AF1914" s="10"/>
      <c r="AG1914" s="10" t="s">
        <v>348</v>
      </c>
      <c r="AH1914" s="10">
        <v>41990</v>
      </c>
      <c r="AI1914" s="5">
        <v>0</v>
      </c>
      <c r="AJ1914" s="10" t="s">
        <v>10686</v>
      </c>
      <c r="AK1914" s="10" t="s">
        <v>50</v>
      </c>
    </row>
    <row r="1915" spans="1:37" ht="36.75" customHeight="1" x14ac:dyDescent="0.35">
      <c r="A1915" s="5"/>
      <c r="B1915" s="5" t="s">
        <v>37</v>
      </c>
      <c r="C1915" s="73" t="str">
        <f t="shared" si="29"/>
        <v>Closed</v>
      </c>
      <c r="D1915" s="45" t="s">
        <v>10687</v>
      </c>
      <c r="E1915" s="54" t="s">
        <v>10688</v>
      </c>
      <c r="F1915" s="5" t="s">
        <v>816</v>
      </c>
      <c r="G1915" s="10">
        <f>DATE(2014,12,17)</f>
        <v>41990</v>
      </c>
      <c r="H1915" s="35">
        <v>1.3972222222222221</v>
      </c>
      <c r="I1915" s="5" t="s">
        <v>137</v>
      </c>
      <c r="J1915" s="10" t="s">
        <v>10689</v>
      </c>
      <c r="K1915" s="5" t="s">
        <v>818</v>
      </c>
      <c r="L1915" s="5" t="s">
        <v>10690</v>
      </c>
      <c r="M1915" s="5" t="s">
        <v>45</v>
      </c>
      <c r="N1915" s="5" t="s">
        <v>123</v>
      </c>
      <c r="O1915" s="5" t="s">
        <v>59</v>
      </c>
      <c r="P1915" s="10" t="s">
        <v>47</v>
      </c>
      <c r="Q1915" s="10" t="s">
        <v>2142</v>
      </c>
      <c r="R1915" s="10" t="s">
        <v>821</v>
      </c>
      <c r="S1915" s="5">
        <v>0</v>
      </c>
      <c r="T1915" s="37">
        <v>0</v>
      </c>
      <c r="U1915" s="5">
        <v>0</v>
      </c>
      <c r="V1915" s="37">
        <v>0</v>
      </c>
      <c r="W1915" s="5">
        <v>0</v>
      </c>
      <c r="X1915" s="5">
        <v>0</v>
      </c>
      <c r="Y1915" s="5">
        <v>0</v>
      </c>
      <c r="Z1915" s="37">
        <v>0</v>
      </c>
      <c r="AA1915" s="5">
        <v>0</v>
      </c>
      <c r="AB1915" s="5">
        <v>0</v>
      </c>
      <c r="AC1915" s="5">
        <v>0</v>
      </c>
      <c r="AD1915" s="5">
        <v>0</v>
      </c>
      <c r="AE1915" s="10" t="s">
        <v>73</v>
      </c>
      <c r="AF1915" s="10"/>
      <c r="AG1915" s="10" t="s">
        <v>570</v>
      </c>
      <c r="AH1915" s="10">
        <v>41996</v>
      </c>
      <c r="AI1915" s="5">
        <v>0</v>
      </c>
      <c r="AJ1915" s="10" t="s">
        <v>10691</v>
      </c>
      <c r="AK1915" s="10" t="s">
        <v>50</v>
      </c>
    </row>
    <row r="1916" spans="1:37" ht="36.75" customHeight="1" x14ac:dyDescent="0.35">
      <c r="A1916" s="5"/>
      <c r="B1916" s="5" t="s">
        <v>37</v>
      </c>
      <c r="C1916" s="73" t="str">
        <f t="shared" si="29"/>
        <v>Closed</v>
      </c>
      <c r="D1916" s="45" t="s">
        <v>10692</v>
      </c>
      <c r="E1916" s="54" t="s">
        <v>10693</v>
      </c>
      <c r="F1916" s="5" t="s">
        <v>358</v>
      </c>
      <c r="G1916" s="10">
        <f>DATE(2014,12,17)</f>
        <v>41990</v>
      </c>
      <c r="H1916" s="35">
        <v>1.7916666666666665</v>
      </c>
      <c r="I1916" s="5" t="s">
        <v>179</v>
      </c>
      <c r="J1916" s="10" t="s">
        <v>10694</v>
      </c>
      <c r="K1916" s="5" t="s">
        <v>360</v>
      </c>
      <c r="L1916" s="5" t="s">
        <v>10695</v>
      </c>
      <c r="M1916" s="5" t="s">
        <v>45</v>
      </c>
      <c r="N1916" s="5" t="s">
        <v>123</v>
      </c>
      <c r="O1916" s="5" t="s">
        <v>59</v>
      </c>
      <c r="P1916" s="10" t="s">
        <v>72</v>
      </c>
      <c r="Q1916" s="10" t="s">
        <v>3889</v>
      </c>
      <c r="R1916" s="10" t="s">
        <v>363</v>
      </c>
      <c r="S1916" s="5">
        <v>0</v>
      </c>
      <c r="T1916" s="37">
        <v>0</v>
      </c>
      <c r="U1916" s="5">
        <v>0</v>
      </c>
      <c r="V1916" s="37">
        <v>0</v>
      </c>
      <c r="W1916" s="5">
        <v>0</v>
      </c>
      <c r="X1916" s="5">
        <v>0</v>
      </c>
      <c r="Y1916" s="5">
        <v>0</v>
      </c>
      <c r="Z1916" s="37">
        <v>0</v>
      </c>
      <c r="AA1916" s="5">
        <v>0</v>
      </c>
      <c r="AB1916" s="5">
        <v>0</v>
      </c>
      <c r="AC1916" s="5">
        <v>0</v>
      </c>
      <c r="AD1916" s="5">
        <v>0</v>
      </c>
      <c r="AE1916" s="10" t="s">
        <v>73</v>
      </c>
      <c r="AF1916" s="10"/>
      <c r="AG1916" s="10" t="s">
        <v>114</v>
      </c>
      <c r="AH1916" s="10">
        <v>41997</v>
      </c>
      <c r="AI1916" s="5">
        <v>2</v>
      </c>
      <c r="AJ1916" s="10" t="s">
        <v>10696</v>
      </c>
      <c r="AK1916" s="10" t="s">
        <v>10697</v>
      </c>
    </row>
    <row r="1917" spans="1:37" ht="36.75" customHeight="1" x14ac:dyDescent="0.35">
      <c r="A1917" s="5"/>
      <c r="B1917" s="5" t="s">
        <v>37</v>
      </c>
      <c r="C1917" s="73" t="str">
        <f t="shared" si="29"/>
        <v>Closed</v>
      </c>
      <c r="D1917" s="45" t="s">
        <v>10698</v>
      </c>
      <c r="E1917" s="54" t="s">
        <v>10699</v>
      </c>
      <c r="F1917" s="5" t="s">
        <v>1553</v>
      </c>
      <c r="G1917" s="10">
        <f>DATE(2014,12,17)</f>
        <v>41990</v>
      </c>
      <c r="H1917" s="35">
        <v>1.8263888888888888</v>
      </c>
      <c r="I1917" s="5" t="s">
        <v>55</v>
      </c>
      <c r="J1917" s="10" t="s">
        <v>10700</v>
      </c>
      <c r="K1917" s="5" t="s">
        <v>1555</v>
      </c>
      <c r="L1917" s="5" t="s">
        <v>10701</v>
      </c>
      <c r="M1917" s="5" t="s">
        <v>45</v>
      </c>
      <c r="N1917" s="5" t="s">
        <v>80</v>
      </c>
      <c r="O1917" s="5" t="s">
        <v>59</v>
      </c>
      <c r="P1917" s="10" t="s">
        <v>60</v>
      </c>
      <c r="Q1917" s="10" t="s">
        <v>6003</v>
      </c>
      <c r="R1917" s="10" t="s">
        <v>2541</v>
      </c>
      <c r="S1917" s="5">
        <v>0</v>
      </c>
      <c r="T1917" s="37">
        <v>0</v>
      </c>
      <c r="U1917" s="5">
        <v>0</v>
      </c>
      <c r="V1917" s="37">
        <v>0</v>
      </c>
      <c r="W1917" s="5">
        <v>0</v>
      </c>
      <c r="X1917" s="5">
        <v>0</v>
      </c>
      <c r="Y1917" s="5">
        <v>0</v>
      </c>
      <c r="Z1917" s="37">
        <v>0</v>
      </c>
      <c r="AA1917" s="5">
        <v>0</v>
      </c>
      <c r="AB1917" s="5">
        <v>0</v>
      </c>
      <c r="AC1917" s="5">
        <v>0</v>
      </c>
      <c r="AD1917" s="5">
        <v>0</v>
      </c>
      <c r="AE1917" s="10" t="s">
        <v>73</v>
      </c>
      <c r="AF1917" s="10"/>
      <c r="AG1917" s="10" t="s">
        <v>114</v>
      </c>
      <c r="AH1917" s="10">
        <v>41991</v>
      </c>
      <c r="AI1917" s="5">
        <v>1</v>
      </c>
      <c r="AJ1917" s="10" t="s">
        <v>10702</v>
      </c>
      <c r="AK1917" s="10" t="s">
        <v>10703</v>
      </c>
    </row>
    <row r="1918" spans="1:37" ht="36.75" customHeight="1" x14ac:dyDescent="0.35">
      <c r="A1918" s="5"/>
      <c r="B1918" s="5" t="s">
        <v>37</v>
      </c>
      <c r="C1918" s="73" t="str">
        <f t="shared" si="29"/>
        <v>Closed</v>
      </c>
      <c r="D1918" s="45" t="s">
        <v>10704</v>
      </c>
      <c r="E1918" s="54" t="s">
        <v>10705</v>
      </c>
      <c r="F1918" s="5" t="s">
        <v>1553</v>
      </c>
      <c r="G1918" s="10">
        <f>DATE(2014,12,18)</f>
        <v>41991</v>
      </c>
      <c r="H1918" s="35">
        <v>1.9166666666666665</v>
      </c>
      <c r="I1918" s="5" t="s">
        <v>55</v>
      </c>
      <c r="J1918" s="10" t="s">
        <v>10706</v>
      </c>
      <c r="K1918" s="5" t="s">
        <v>1555</v>
      </c>
      <c r="L1918" s="5" t="s">
        <v>9052</v>
      </c>
      <c r="M1918" s="5" t="s">
        <v>45</v>
      </c>
      <c r="N1918" s="5" t="s">
        <v>123</v>
      </c>
      <c r="O1918" s="5" t="s">
        <v>59</v>
      </c>
      <c r="P1918" s="10" t="s">
        <v>60</v>
      </c>
      <c r="Q1918" s="10" t="s">
        <v>9053</v>
      </c>
      <c r="R1918" s="10" t="s">
        <v>6413</v>
      </c>
      <c r="S1918" s="5">
        <v>0</v>
      </c>
      <c r="T1918" s="37">
        <v>0</v>
      </c>
      <c r="U1918" s="5">
        <v>0</v>
      </c>
      <c r="V1918" s="37">
        <v>0</v>
      </c>
      <c r="W1918" s="5">
        <v>0</v>
      </c>
      <c r="X1918" s="5">
        <v>0</v>
      </c>
      <c r="Y1918" s="5">
        <v>0</v>
      </c>
      <c r="Z1918" s="37">
        <v>0</v>
      </c>
      <c r="AA1918" s="5">
        <v>0</v>
      </c>
      <c r="AB1918" s="5">
        <v>0</v>
      </c>
      <c r="AC1918" s="5">
        <v>0</v>
      </c>
      <c r="AD1918" s="5">
        <v>0</v>
      </c>
      <c r="AE1918" s="10" t="s">
        <v>73</v>
      </c>
      <c r="AF1918" s="10"/>
      <c r="AG1918" s="10" t="s">
        <v>114</v>
      </c>
      <c r="AH1918" s="10">
        <v>41992</v>
      </c>
      <c r="AI1918" s="5">
        <v>0</v>
      </c>
      <c r="AJ1918" s="10" t="s">
        <v>10707</v>
      </c>
      <c r="AK1918" s="10" t="s">
        <v>10708</v>
      </c>
    </row>
    <row r="1919" spans="1:37" ht="36.75" customHeight="1" x14ac:dyDescent="0.35">
      <c r="A1919" s="5"/>
      <c r="B1919" s="5" t="s">
        <v>37</v>
      </c>
      <c r="C1919" s="73" t="str">
        <f t="shared" si="29"/>
        <v>Closed</v>
      </c>
      <c r="D1919" s="45" t="s">
        <v>10709</v>
      </c>
      <c r="E1919" s="54" t="s">
        <v>10710</v>
      </c>
      <c r="F1919" s="5" t="s">
        <v>816</v>
      </c>
      <c r="G1919" s="10">
        <f>DATE(2014,12,22)</f>
        <v>41995</v>
      </c>
      <c r="H1919" s="35">
        <v>1.2791666666666668</v>
      </c>
      <c r="I1919" s="5" t="s">
        <v>55</v>
      </c>
      <c r="J1919" s="10" t="s">
        <v>10711</v>
      </c>
      <c r="K1919" s="5" t="s">
        <v>818</v>
      </c>
      <c r="L1919" s="5" t="s">
        <v>10712</v>
      </c>
      <c r="M1919" s="5" t="s">
        <v>236</v>
      </c>
      <c r="N1919" s="5" t="s">
        <v>123</v>
      </c>
      <c r="O1919" s="5" t="s">
        <v>59</v>
      </c>
      <c r="P1919" s="10" t="s">
        <v>6531</v>
      </c>
      <c r="Q1919" s="10" t="s">
        <v>4190</v>
      </c>
      <c r="R1919" s="10" t="s">
        <v>4190</v>
      </c>
      <c r="S1919" s="5">
        <v>0</v>
      </c>
      <c r="T1919" s="37">
        <v>0</v>
      </c>
      <c r="U1919" s="5">
        <v>0</v>
      </c>
      <c r="V1919" s="37">
        <v>0</v>
      </c>
      <c r="W1919" s="5">
        <v>0</v>
      </c>
      <c r="X1919" s="5">
        <v>0</v>
      </c>
      <c r="Y1919" s="5">
        <v>0</v>
      </c>
      <c r="Z1919" s="37">
        <v>0</v>
      </c>
      <c r="AA1919" s="5">
        <v>0</v>
      </c>
      <c r="AB1919" s="5">
        <v>0</v>
      </c>
      <c r="AC1919" s="5">
        <v>0</v>
      </c>
      <c r="AD1919" s="5">
        <v>0</v>
      </c>
      <c r="AE1919" s="10" t="s">
        <v>73</v>
      </c>
      <c r="AF1919" s="10"/>
      <c r="AG1919" s="10" t="s">
        <v>333</v>
      </c>
      <c r="AH1919" s="10">
        <v>41995</v>
      </c>
      <c r="AI1919" s="5">
        <v>0</v>
      </c>
      <c r="AJ1919" s="10" t="s">
        <v>10713</v>
      </c>
      <c r="AK1919" s="10" t="s">
        <v>50</v>
      </c>
    </row>
    <row r="1920" spans="1:37" ht="36.75" customHeight="1" x14ac:dyDescent="0.35">
      <c r="A1920" s="5"/>
      <c r="B1920" s="5" t="s">
        <v>37</v>
      </c>
      <c r="C1920" s="73" t="str">
        <f t="shared" si="29"/>
        <v>Closed</v>
      </c>
      <c r="D1920" s="45" t="s">
        <v>10714</v>
      </c>
      <c r="E1920" s="54" t="s">
        <v>10715</v>
      </c>
      <c r="F1920" s="5" t="s">
        <v>2581</v>
      </c>
      <c r="G1920" s="10">
        <f>DATE(2014,12,23)</f>
        <v>41996</v>
      </c>
      <c r="H1920" s="35">
        <v>1.2951388888888888</v>
      </c>
      <c r="I1920" s="5" t="s">
        <v>55</v>
      </c>
      <c r="J1920" s="10" t="s">
        <v>10716</v>
      </c>
      <c r="K1920" s="5" t="s">
        <v>2583</v>
      </c>
      <c r="L1920" s="5" t="s">
        <v>10717</v>
      </c>
      <c r="M1920" s="5" t="s">
        <v>45</v>
      </c>
      <c r="N1920" s="5" t="s">
        <v>70</v>
      </c>
      <c r="O1920" s="5" t="s">
        <v>59</v>
      </c>
      <c r="P1920" s="10" t="s">
        <v>60</v>
      </c>
      <c r="Q1920" s="10" t="s">
        <v>10718</v>
      </c>
      <c r="R1920" s="10" t="s">
        <v>2586</v>
      </c>
      <c r="S1920" s="5">
        <v>0</v>
      </c>
      <c r="T1920" s="37">
        <v>0</v>
      </c>
      <c r="U1920" s="5">
        <v>0</v>
      </c>
      <c r="V1920" s="37">
        <v>0</v>
      </c>
      <c r="W1920" s="5">
        <v>0</v>
      </c>
      <c r="X1920" s="5">
        <v>0</v>
      </c>
      <c r="Y1920" s="5">
        <v>0</v>
      </c>
      <c r="Z1920" s="37">
        <v>0</v>
      </c>
      <c r="AA1920" s="5">
        <v>0</v>
      </c>
      <c r="AB1920" s="5">
        <v>0</v>
      </c>
      <c r="AC1920" s="5">
        <v>0</v>
      </c>
      <c r="AD1920" s="5">
        <v>0</v>
      </c>
      <c r="AE1920" s="10" t="s">
        <v>375</v>
      </c>
      <c r="AF1920" s="10"/>
      <c r="AG1920" s="10" t="s">
        <v>570</v>
      </c>
      <c r="AH1920" s="10">
        <v>41996</v>
      </c>
      <c r="AI1920" s="5">
        <v>2</v>
      </c>
      <c r="AJ1920" s="10" t="s">
        <v>10719</v>
      </c>
      <c r="AK1920" s="10" t="s">
        <v>10720</v>
      </c>
    </row>
    <row r="1921" spans="1:37" ht="36.75" customHeight="1" x14ac:dyDescent="0.35">
      <c r="A1921" s="5"/>
      <c r="B1921" s="5" t="s">
        <v>37</v>
      </c>
      <c r="C1921" s="73" t="str">
        <f t="shared" si="29"/>
        <v>Closed</v>
      </c>
      <c r="D1921" s="45" t="s">
        <v>10721</v>
      </c>
      <c r="E1921" s="54" t="s">
        <v>10722</v>
      </c>
      <c r="F1921" s="5" t="s">
        <v>1553</v>
      </c>
      <c r="G1921" s="10">
        <f>DATE(2014,12,23)</f>
        <v>41996</v>
      </c>
      <c r="H1921" s="35">
        <v>1.0854166666666667</v>
      </c>
      <c r="I1921" s="5" t="s">
        <v>55</v>
      </c>
      <c r="J1921" s="10" t="s">
        <v>10723</v>
      </c>
      <c r="K1921" s="5" t="s">
        <v>1555</v>
      </c>
      <c r="L1921" s="5" t="s">
        <v>9586</v>
      </c>
      <c r="M1921" s="5" t="s">
        <v>45</v>
      </c>
      <c r="N1921" s="5" t="s">
        <v>123</v>
      </c>
      <c r="O1921" s="5" t="s">
        <v>59</v>
      </c>
      <c r="P1921" s="10" t="s">
        <v>60</v>
      </c>
      <c r="Q1921" s="10" t="s">
        <v>6072</v>
      </c>
      <c r="R1921" s="10" t="s">
        <v>4899</v>
      </c>
      <c r="S1921" s="5">
        <v>0</v>
      </c>
      <c r="T1921" s="37">
        <v>0</v>
      </c>
      <c r="U1921" s="5">
        <v>0</v>
      </c>
      <c r="V1921" s="37">
        <v>0</v>
      </c>
      <c r="W1921" s="5">
        <v>0</v>
      </c>
      <c r="X1921" s="5">
        <v>0</v>
      </c>
      <c r="Y1921" s="5">
        <v>0</v>
      </c>
      <c r="Z1921" s="37">
        <v>0</v>
      </c>
      <c r="AA1921" s="5">
        <v>0</v>
      </c>
      <c r="AB1921" s="5">
        <v>0</v>
      </c>
      <c r="AC1921" s="5">
        <v>0</v>
      </c>
      <c r="AD1921" s="5">
        <v>0</v>
      </c>
      <c r="AE1921" s="10" t="s">
        <v>73</v>
      </c>
      <c r="AF1921" s="10"/>
      <c r="AG1921" s="10" t="s">
        <v>114</v>
      </c>
      <c r="AH1921" s="10">
        <v>41996</v>
      </c>
      <c r="AI1921" s="5">
        <v>1</v>
      </c>
      <c r="AJ1921" s="10" t="s">
        <v>10724</v>
      </c>
      <c r="AK1921" s="10" t="s">
        <v>10725</v>
      </c>
    </row>
    <row r="1922" spans="1:37" ht="36.75" customHeight="1" x14ac:dyDescent="0.35">
      <c r="A1922" s="5"/>
      <c r="B1922" s="5" t="s">
        <v>37</v>
      </c>
      <c r="C1922" s="73" t="str">
        <f t="shared" ref="C1922:C1985" si="30">IF(B1922="Notification","Open",IF(B1922="Interim Statement","In progress","Closed"))</f>
        <v>Closed</v>
      </c>
      <c r="D1922" s="45" t="s">
        <v>10726</v>
      </c>
      <c r="E1922" s="54" t="s">
        <v>10727</v>
      </c>
      <c r="F1922" s="5" t="s">
        <v>214</v>
      </c>
      <c r="G1922" s="10">
        <f>DATE(2014,12,28)</f>
        <v>42001</v>
      </c>
      <c r="H1922" s="35">
        <v>1.4201388888888888</v>
      </c>
      <c r="I1922" s="5" t="s">
        <v>259</v>
      </c>
      <c r="J1922" s="10" t="s">
        <v>10728</v>
      </c>
      <c r="K1922" s="5" t="s">
        <v>216</v>
      </c>
      <c r="L1922" s="5" t="s">
        <v>10729</v>
      </c>
      <c r="M1922" s="5" t="s">
        <v>45</v>
      </c>
      <c r="N1922" s="5" t="s">
        <v>70</v>
      </c>
      <c r="O1922" s="5" t="s">
        <v>46</v>
      </c>
      <c r="P1922" s="10" t="s">
        <v>6920</v>
      </c>
      <c r="Q1922" s="10" t="s">
        <v>9926</v>
      </c>
      <c r="R1922" s="10" t="s">
        <v>219</v>
      </c>
      <c r="S1922" s="5">
        <v>0</v>
      </c>
      <c r="T1922" s="37">
        <v>0</v>
      </c>
      <c r="U1922" s="5">
        <v>0</v>
      </c>
      <c r="V1922" s="37">
        <v>0</v>
      </c>
      <c r="W1922" s="5">
        <v>0</v>
      </c>
      <c r="X1922" s="5">
        <v>0</v>
      </c>
      <c r="Y1922" s="5">
        <v>0</v>
      </c>
      <c r="Z1922" s="37">
        <v>0</v>
      </c>
      <c r="AA1922" s="5">
        <v>0</v>
      </c>
      <c r="AB1922" s="5">
        <v>0</v>
      </c>
      <c r="AC1922" s="5">
        <v>0</v>
      </c>
      <c r="AD1922" s="5">
        <v>0</v>
      </c>
      <c r="AE1922" s="10" t="s">
        <v>73</v>
      </c>
      <c r="AF1922" s="10"/>
      <c r="AG1922" s="10" t="s">
        <v>114</v>
      </c>
      <c r="AH1922" s="10">
        <v>42016</v>
      </c>
      <c r="AI1922" s="5">
        <v>4</v>
      </c>
      <c r="AJ1922" s="10" t="s">
        <v>10730</v>
      </c>
      <c r="AK1922" s="10" t="s">
        <v>10731</v>
      </c>
    </row>
    <row r="1923" spans="1:37" ht="36.75" customHeight="1" x14ac:dyDescent="0.35">
      <c r="A1923" s="5"/>
      <c r="B1923" s="5" t="s">
        <v>37</v>
      </c>
      <c r="C1923" s="73" t="str">
        <f t="shared" si="30"/>
        <v>Closed</v>
      </c>
      <c r="D1923" s="45" t="s">
        <v>10732</v>
      </c>
      <c r="E1923" s="54" t="s">
        <v>10733</v>
      </c>
      <c r="F1923" s="5" t="s">
        <v>404</v>
      </c>
      <c r="G1923" s="10">
        <f>DATE(2014,12,30)</f>
        <v>42003</v>
      </c>
      <c r="H1923" s="35">
        <v>1.6041666666666665</v>
      </c>
      <c r="I1923" s="5" t="s">
        <v>179</v>
      </c>
      <c r="J1923" s="10" t="s">
        <v>10734</v>
      </c>
      <c r="K1923" s="5" t="s">
        <v>406</v>
      </c>
      <c r="L1923" s="5" t="s">
        <v>10735</v>
      </c>
      <c r="M1923" s="5" t="s">
        <v>45</v>
      </c>
      <c r="N1923" s="5" t="s">
        <v>70</v>
      </c>
      <c r="O1923" s="5" t="s">
        <v>59</v>
      </c>
      <c r="P1923" s="10" t="s">
        <v>5303</v>
      </c>
      <c r="Q1923" s="10" t="s">
        <v>4531</v>
      </c>
      <c r="R1923" s="10" t="s">
        <v>3083</v>
      </c>
      <c r="S1923" s="5">
        <v>0</v>
      </c>
      <c r="T1923" s="37">
        <v>0</v>
      </c>
      <c r="U1923" s="5">
        <v>0</v>
      </c>
      <c r="V1923" s="37">
        <v>0</v>
      </c>
      <c r="W1923" s="5">
        <v>0</v>
      </c>
      <c r="X1923" s="5">
        <v>0</v>
      </c>
      <c r="Y1923" s="5">
        <v>0</v>
      </c>
      <c r="Z1923" s="37">
        <v>0</v>
      </c>
      <c r="AA1923" s="5">
        <v>0</v>
      </c>
      <c r="AB1923" s="5">
        <v>0</v>
      </c>
      <c r="AC1923" s="5">
        <v>0</v>
      </c>
      <c r="AD1923" s="5">
        <v>0</v>
      </c>
      <c r="AE1923" s="10" t="s">
        <v>375</v>
      </c>
      <c r="AF1923" s="10"/>
      <c r="AG1923" s="10" t="s">
        <v>114</v>
      </c>
      <c r="AH1923" s="10">
        <v>42156</v>
      </c>
      <c r="AI1923" s="5">
        <v>3</v>
      </c>
      <c r="AJ1923" s="10" t="s">
        <v>10736</v>
      </c>
      <c r="AK1923" s="10" t="s">
        <v>10737</v>
      </c>
    </row>
    <row r="1924" spans="1:37" ht="36.75" customHeight="1" x14ac:dyDescent="0.35">
      <c r="A1924" s="5"/>
      <c r="B1924" s="5" t="s">
        <v>37</v>
      </c>
      <c r="C1924" s="73" t="str">
        <f t="shared" si="30"/>
        <v>Closed</v>
      </c>
      <c r="D1924" s="45" t="s">
        <v>10738</v>
      </c>
      <c r="E1924" s="54" t="s">
        <v>10739</v>
      </c>
      <c r="F1924" s="5" t="s">
        <v>816</v>
      </c>
      <c r="G1924" s="10">
        <f>DATE(2014,12,30)</f>
        <v>42003</v>
      </c>
      <c r="H1924" s="35">
        <v>1.3368055555555556</v>
      </c>
      <c r="I1924" s="5" t="s">
        <v>55</v>
      </c>
      <c r="J1924" s="10" t="s">
        <v>10740</v>
      </c>
      <c r="K1924" s="5" t="s">
        <v>818</v>
      </c>
      <c r="L1924" s="5" t="s">
        <v>10741</v>
      </c>
      <c r="M1924" s="5" t="s">
        <v>236</v>
      </c>
      <c r="N1924" s="5" t="s">
        <v>123</v>
      </c>
      <c r="O1924" s="5" t="s">
        <v>46</v>
      </c>
      <c r="P1924" s="10" t="s">
        <v>6531</v>
      </c>
      <c r="Q1924" s="10" t="s">
        <v>4190</v>
      </c>
      <c r="R1924" s="10" t="s">
        <v>4190</v>
      </c>
      <c r="S1924" s="5">
        <v>0</v>
      </c>
      <c r="T1924" s="37">
        <v>0</v>
      </c>
      <c r="U1924" s="5">
        <v>0</v>
      </c>
      <c r="V1924" s="37">
        <v>0</v>
      </c>
      <c r="W1924" s="5">
        <v>0</v>
      </c>
      <c r="X1924" s="5">
        <v>0</v>
      </c>
      <c r="Y1924" s="5">
        <v>0</v>
      </c>
      <c r="Z1924" s="37">
        <v>0</v>
      </c>
      <c r="AA1924" s="5">
        <v>0</v>
      </c>
      <c r="AB1924" s="5">
        <v>0</v>
      </c>
      <c r="AC1924" s="5">
        <v>0</v>
      </c>
      <c r="AD1924" s="5">
        <v>0</v>
      </c>
      <c r="AE1924" s="10" t="s">
        <v>73</v>
      </c>
      <c r="AF1924" s="10"/>
      <c r="AG1924" s="10" t="s">
        <v>570</v>
      </c>
      <c r="AH1924" s="10">
        <v>42003</v>
      </c>
      <c r="AI1924" s="5">
        <v>0</v>
      </c>
      <c r="AJ1924" s="10" t="s">
        <v>9658</v>
      </c>
      <c r="AK1924" s="10" t="s">
        <v>50</v>
      </c>
    </row>
    <row r="1925" spans="1:37" ht="36.75" customHeight="1" x14ac:dyDescent="0.35">
      <c r="A1925" s="5"/>
      <c r="B1925" s="5" t="s">
        <v>37</v>
      </c>
      <c r="C1925" s="73" t="str">
        <f t="shared" si="30"/>
        <v>Closed</v>
      </c>
      <c r="D1925" s="45" t="s">
        <v>10742</v>
      </c>
      <c r="E1925" s="54" t="s">
        <v>10743</v>
      </c>
      <c r="F1925" s="5" t="s">
        <v>432</v>
      </c>
      <c r="G1925" s="10">
        <f>DATE(2015,1,6)</f>
        <v>42010</v>
      </c>
      <c r="H1925" s="35">
        <v>1.7527777777777778</v>
      </c>
      <c r="I1925" s="5" t="s">
        <v>97</v>
      </c>
      <c r="J1925" s="10" t="s">
        <v>10744</v>
      </c>
      <c r="K1925" s="5" t="s">
        <v>434</v>
      </c>
      <c r="L1925" s="5" t="s">
        <v>10745</v>
      </c>
      <c r="M1925" s="5" t="s">
        <v>45</v>
      </c>
      <c r="N1925" s="5" t="s">
        <v>80</v>
      </c>
      <c r="O1925" s="5" t="s">
        <v>46</v>
      </c>
      <c r="P1925" s="10" t="s">
        <v>47</v>
      </c>
      <c r="Q1925" s="10" t="s">
        <v>552</v>
      </c>
      <c r="R1925" s="10" t="s">
        <v>553</v>
      </c>
      <c r="S1925" s="5">
        <v>0</v>
      </c>
      <c r="T1925" s="37">
        <v>0</v>
      </c>
      <c r="U1925" s="5">
        <v>1</v>
      </c>
      <c r="V1925" s="37">
        <v>0</v>
      </c>
      <c r="W1925" s="5">
        <v>0</v>
      </c>
      <c r="X1925" s="5">
        <v>1</v>
      </c>
      <c r="Y1925" s="5">
        <v>0</v>
      </c>
      <c r="Z1925" s="37">
        <v>0</v>
      </c>
      <c r="AA1925" s="5">
        <v>0</v>
      </c>
      <c r="AB1925" s="5">
        <v>0</v>
      </c>
      <c r="AC1925" s="5">
        <v>0</v>
      </c>
      <c r="AD1925" s="5">
        <v>0</v>
      </c>
      <c r="AE1925" s="10" t="s">
        <v>73</v>
      </c>
      <c r="AF1925" s="10"/>
      <c r="AG1925" s="10" t="s">
        <v>64</v>
      </c>
      <c r="AH1925" s="10">
        <v>42012</v>
      </c>
      <c r="AI1925" s="5">
        <v>0</v>
      </c>
      <c r="AJ1925" s="10" t="s">
        <v>10746</v>
      </c>
      <c r="AK1925" s="10" t="s">
        <v>1215</v>
      </c>
    </row>
    <row r="1926" spans="1:37" ht="36.75" customHeight="1" x14ac:dyDescent="0.35">
      <c r="A1926" s="5"/>
      <c r="B1926" s="5" t="s">
        <v>37</v>
      </c>
      <c r="C1926" s="73" t="str">
        <f t="shared" si="30"/>
        <v>Closed</v>
      </c>
      <c r="D1926" s="45" t="s">
        <v>10747</v>
      </c>
      <c r="E1926" s="54" t="s">
        <v>10748</v>
      </c>
      <c r="F1926" s="5" t="s">
        <v>816</v>
      </c>
      <c r="G1926" s="10">
        <f>DATE(2015,1,6)</f>
        <v>42010</v>
      </c>
      <c r="H1926" s="35">
        <v>1.7291666666666665</v>
      </c>
      <c r="I1926" s="5" t="s">
        <v>55</v>
      </c>
      <c r="J1926" s="10" t="s">
        <v>10749</v>
      </c>
      <c r="K1926" s="5" t="s">
        <v>818</v>
      </c>
      <c r="L1926" s="5" t="s">
        <v>10750</v>
      </c>
      <c r="M1926" s="5" t="s">
        <v>45</v>
      </c>
      <c r="N1926" s="5" t="s">
        <v>123</v>
      </c>
      <c r="O1926" s="5" t="s">
        <v>46</v>
      </c>
      <c r="P1926" s="10" t="s">
        <v>6881</v>
      </c>
      <c r="Q1926" s="10" t="s">
        <v>4190</v>
      </c>
      <c r="R1926" s="10" t="s">
        <v>4190</v>
      </c>
      <c r="S1926" s="5">
        <v>0</v>
      </c>
      <c r="T1926" s="37">
        <v>0</v>
      </c>
      <c r="U1926" s="5">
        <v>0</v>
      </c>
      <c r="V1926" s="37">
        <v>0</v>
      </c>
      <c r="W1926" s="5">
        <v>0</v>
      </c>
      <c r="X1926" s="5">
        <v>0</v>
      </c>
      <c r="Y1926" s="5">
        <v>0</v>
      </c>
      <c r="Z1926" s="37">
        <v>0</v>
      </c>
      <c r="AA1926" s="5">
        <v>0</v>
      </c>
      <c r="AB1926" s="5">
        <v>0</v>
      </c>
      <c r="AC1926" s="5">
        <v>0</v>
      </c>
      <c r="AD1926" s="5">
        <v>0</v>
      </c>
      <c r="AE1926" s="10" t="s">
        <v>73</v>
      </c>
      <c r="AF1926" s="10"/>
      <c r="AG1926" s="10" t="s">
        <v>114</v>
      </c>
      <c r="AH1926" s="10">
        <v>42010</v>
      </c>
      <c r="AI1926" s="5">
        <v>1</v>
      </c>
      <c r="AJ1926" s="10" t="s">
        <v>10751</v>
      </c>
      <c r="AK1926" s="10" t="s">
        <v>50</v>
      </c>
    </row>
    <row r="1927" spans="1:37" ht="36.75" customHeight="1" x14ac:dyDescent="0.35">
      <c r="A1927" s="5"/>
      <c r="B1927" s="5" t="s">
        <v>37</v>
      </c>
      <c r="C1927" s="73" t="str">
        <f t="shared" si="30"/>
        <v>Closed</v>
      </c>
      <c r="D1927" s="45" t="s">
        <v>10752</v>
      </c>
      <c r="E1927" s="54" t="s">
        <v>10753</v>
      </c>
      <c r="F1927" s="5" t="s">
        <v>105</v>
      </c>
      <c r="G1927" s="10">
        <f>DATE(2015,1,6)</f>
        <v>42010</v>
      </c>
      <c r="H1927" s="35">
        <v>1</v>
      </c>
      <c r="I1927" s="5" t="s">
        <v>41</v>
      </c>
      <c r="J1927" s="10" t="s">
        <v>10754</v>
      </c>
      <c r="K1927" s="5" t="s">
        <v>108</v>
      </c>
      <c r="L1927" s="5" t="s">
        <v>10755</v>
      </c>
      <c r="M1927" s="5" t="s">
        <v>45</v>
      </c>
      <c r="N1927" s="5" t="s">
        <v>80</v>
      </c>
      <c r="O1927" s="5" t="s">
        <v>59</v>
      </c>
      <c r="P1927" s="10" t="s">
        <v>6920</v>
      </c>
      <c r="Q1927" s="10" t="s">
        <v>210</v>
      </c>
      <c r="R1927" s="10" t="s">
        <v>148</v>
      </c>
      <c r="S1927" s="5">
        <v>0</v>
      </c>
      <c r="T1927" s="37">
        <v>0</v>
      </c>
      <c r="U1927" s="5">
        <v>0</v>
      </c>
      <c r="V1927" s="37">
        <v>0</v>
      </c>
      <c r="W1927" s="5">
        <v>0</v>
      </c>
      <c r="X1927" s="5">
        <v>0</v>
      </c>
      <c r="Y1927" s="5">
        <v>0</v>
      </c>
      <c r="Z1927" s="37">
        <v>0</v>
      </c>
      <c r="AA1927" s="5">
        <v>0</v>
      </c>
      <c r="AB1927" s="5">
        <v>0</v>
      </c>
      <c r="AC1927" s="5">
        <v>0</v>
      </c>
      <c r="AD1927" s="5">
        <v>0</v>
      </c>
      <c r="AE1927" s="10" t="s">
        <v>73</v>
      </c>
      <c r="AF1927" s="10"/>
      <c r="AG1927" s="10" t="s">
        <v>570</v>
      </c>
      <c r="AH1927" s="10">
        <v>42017</v>
      </c>
      <c r="AI1927" s="5">
        <v>0</v>
      </c>
      <c r="AJ1927" s="10" t="s">
        <v>10756</v>
      </c>
      <c r="AK1927" s="10" t="s">
        <v>1215</v>
      </c>
    </row>
    <row r="1928" spans="1:37" ht="36.75" customHeight="1" x14ac:dyDescent="0.35">
      <c r="A1928" s="5"/>
      <c r="B1928" s="5" t="s">
        <v>37</v>
      </c>
      <c r="C1928" s="73" t="str">
        <f t="shared" si="30"/>
        <v>Closed</v>
      </c>
      <c r="D1928" s="45" t="s">
        <v>10757</v>
      </c>
      <c r="E1928" s="54" t="s">
        <v>10758</v>
      </c>
      <c r="F1928" s="5" t="s">
        <v>40</v>
      </c>
      <c r="G1928" s="10">
        <f>DATE(2015,1,7)</f>
        <v>42011</v>
      </c>
      <c r="H1928" s="35">
        <v>0</v>
      </c>
      <c r="I1928" s="5" t="s">
        <v>6754</v>
      </c>
      <c r="J1928" s="10" t="s">
        <v>10759</v>
      </c>
      <c r="K1928" s="5" t="s">
        <v>43</v>
      </c>
      <c r="L1928" s="5" t="s">
        <v>43</v>
      </c>
      <c r="M1928" s="5" t="s">
        <v>45</v>
      </c>
      <c r="N1928" s="5" t="s">
        <v>70</v>
      </c>
      <c r="O1928" s="5" t="s">
        <v>67</v>
      </c>
      <c r="P1928" s="10" t="s">
        <v>6920</v>
      </c>
      <c r="Q1928" s="10" t="s">
        <v>48</v>
      </c>
      <c r="R1928" s="10" t="s">
        <v>49</v>
      </c>
      <c r="S1928" s="5">
        <v>0</v>
      </c>
      <c r="T1928" s="37">
        <v>0</v>
      </c>
      <c r="U1928" s="5">
        <v>0</v>
      </c>
      <c r="V1928" s="37">
        <v>0</v>
      </c>
      <c r="W1928" s="5">
        <v>0</v>
      </c>
      <c r="X1928" s="5">
        <v>0</v>
      </c>
      <c r="Y1928" s="5">
        <v>0</v>
      </c>
      <c r="Z1928" s="37">
        <v>0</v>
      </c>
      <c r="AA1928" s="5">
        <v>0</v>
      </c>
      <c r="AB1928" s="5">
        <v>0</v>
      </c>
      <c r="AC1928" s="5">
        <v>0</v>
      </c>
      <c r="AD1928" s="5">
        <v>0</v>
      </c>
      <c r="AE1928" s="10" t="s">
        <v>73</v>
      </c>
      <c r="AF1928" s="10"/>
      <c r="AG1928" s="10" t="s">
        <v>333</v>
      </c>
      <c r="AH1928" s="10">
        <v>42011</v>
      </c>
      <c r="AI1928" s="5">
        <v>5</v>
      </c>
      <c r="AJ1928" s="10" t="s">
        <v>10760</v>
      </c>
      <c r="AK1928" s="10" t="s">
        <v>10761</v>
      </c>
    </row>
    <row r="1929" spans="1:37" ht="36.75" customHeight="1" x14ac:dyDescent="0.35">
      <c r="A1929" s="5"/>
      <c r="B1929" s="5" t="s">
        <v>37</v>
      </c>
      <c r="C1929" s="73" t="str">
        <f t="shared" si="30"/>
        <v>Closed</v>
      </c>
      <c r="D1929" s="45" t="s">
        <v>10762</v>
      </c>
      <c r="E1929" s="54" t="s">
        <v>10763</v>
      </c>
      <c r="F1929" s="5" t="s">
        <v>404</v>
      </c>
      <c r="G1929" s="10">
        <f>DATE(2015,1,11)</f>
        <v>42015</v>
      </c>
      <c r="H1929" s="35">
        <v>1.2881944444444444</v>
      </c>
      <c r="I1929" s="5" t="s">
        <v>137</v>
      </c>
      <c r="J1929" s="10" t="s">
        <v>10764</v>
      </c>
      <c r="K1929" s="5" t="s">
        <v>406</v>
      </c>
      <c r="L1929" s="5" t="s">
        <v>10765</v>
      </c>
      <c r="M1929" s="5" t="s">
        <v>45</v>
      </c>
      <c r="N1929" s="5" t="s">
        <v>80</v>
      </c>
      <c r="O1929" s="5" t="s">
        <v>46</v>
      </c>
      <c r="P1929" s="10" t="s">
        <v>146</v>
      </c>
      <c r="Q1929" s="10" t="s">
        <v>4531</v>
      </c>
      <c r="R1929" s="10" t="s">
        <v>3083</v>
      </c>
      <c r="S1929" s="5">
        <v>0</v>
      </c>
      <c r="T1929" s="37">
        <v>0</v>
      </c>
      <c r="U1929" s="5">
        <v>0</v>
      </c>
      <c r="V1929" s="37">
        <v>0</v>
      </c>
      <c r="W1929" s="5">
        <v>0</v>
      </c>
      <c r="X1929" s="5">
        <v>0</v>
      </c>
      <c r="Y1929" s="5">
        <v>0</v>
      </c>
      <c r="Z1929" s="37">
        <v>0</v>
      </c>
      <c r="AA1929" s="5">
        <v>0</v>
      </c>
      <c r="AB1929" s="5">
        <v>0</v>
      </c>
      <c r="AC1929" s="5">
        <v>0</v>
      </c>
      <c r="AD1929" s="5">
        <v>0</v>
      </c>
      <c r="AE1929" s="10" t="s">
        <v>73</v>
      </c>
      <c r="AF1929" s="10"/>
      <c r="AG1929" s="10" t="s">
        <v>114</v>
      </c>
      <c r="AH1929" s="10">
        <v>42032</v>
      </c>
      <c r="AI1929" s="5">
        <v>2</v>
      </c>
      <c r="AJ1929" s="10" t="s">
        <v>10766</v>
      </c>
      <c r="AK1929" s="10" t="s">
        <v>10767</v>
      </c>
    </row>
    <row r="1930" spans="1:37" ht="36.75" customHeight="1" x14ac:dyDescent="0.35">
      <c r="A1930" s="5"/>
      <c r="B1930" s="5" t="s">
        <v>37</v>
      </c>
      <c r="C1930" s="73" t="str">
        <f t="shared" si="30"/>
        <v>Closed</v>
      </c>
      <c r="D1930" s="45" t="s">
        <v>10768</v>
      </c>
      <c r="E1930" s="54" t="s">
        <v>10769</v>
      </c>
      <c r="F1930" s="5" t="s">
        <v>619</v>
      </c>
      <c r="G1930" s="10">
        <f>DATE(2015,1,12)</f>
        <v>42016</v>
      </c>
      <c r="H1930" s="35">
        <v>1.8847222222222224</v>
      </c>
      <c r="I1930" s="5" t="s">
        <v>85</v>
      </c>
      <c r="J1930" s="10" t="s">
        <v>10770</v>
      </c>
      <c r="K1930" s="5" t="s">
        <v>621</v>
      </c>
      <c r="L1930" s="5" t="s">
        <v>10771</v>
      </c>
      <c r="M1930" s="5" t="s">
        <v>45</v>
      </c>
      <c r="N1930" s="5" t="s">
        <v>123</v>
      </c>
      <c r="O1930" s="5" t="s">
        <v>59</v>
      </c>
      <c r="P1930" s="10" t="s">
        <v>6881</v>
      </c>
      <c r="Q1930" s="10" t="s">
        <v>623</v>
      </c>
      <c r="R1930" s="10" t="s">
        <v>624</v>
      </c>
      <c r="S1930" s="5">
        <v>0</v>
      </c>
      <c r="T1930" s="37">
        <v>0</v>
      </c>
      <c r="U1930" s="5">
        <v>0</v>
      </c>
      <c r="V1930" s="37">
        <v>0</v>
      </c>
      <c r="W1930" s="5">
        <v>0</v>
      </c>
      <c r="X1930" s="5">
        <v>0</v>
      </c>
      <c r="Y1930" s="5">
        <v>0</v>
      </c>
      <c r="Z1930" s="37">
        <v>0</v>
      </c>
      <c r="AA1930" s="5">
        <v>0</v>
      </c>
      <c r="AB1930" s="5">
        <v>0</v>
      </c>
      <c r="AC1930" s="5">
        <v>0</v>
      </c>
      <c r="AD1930" s="5">
        <v>0</v>
      </c>
      <c r="AE1930" s="10" t="s">
        <v>73</v>
      </c>
      <c r="AF1930" s="10"/>
      <c r="AG1930" s="10" t="s">
        <v>333</v>
      </c>
      <c r="AH1930" s="10">
        <v>42045</v>
      </c>
      <c r="AI1930" s="5">
        <v>3</v>
      </c>
      <c r="AJ1930" s="10" t="s">
        <v>10772</v>
      </c>
      <c r="AK1930" s="10" t="s">
        <v>50</v>
      </c>
    </row>
    <row r="1931" spans="1:37" ht="36.75" customHeight="1" x14ac:dyDescent="0.35">
      <c r="A1931" s="5"/>
      <c r="B1931" s="5" t="s">
        <v>37</v>
      </c>
      <c r="C1931" s="73" t="str">
        <f t="shared" si="30"/>
        <v>Closed</v>
      </c>
      <c r="D1931" s="45" t="s">
        <v>10773</v>
      </c>
      <c r="E1931" s="54" t="s">
        <v>10774</v>
      </c>
      <c r="F1931" s="5" t="s">
        <v>9767</v>
      </c>
      <c r="G1931" s="10">
        <f>DATE(2015,1,12)</f>
        <v>42016</v>
      </c>
      <c r="H1931" s="35">
        <v>1.4111111111111112</v>
      </c>
      <c r="I1931" s="5" t="s">
        <v>9004</v>
      </c>
      <c r="J1931" s="10" t="s">
        <v>10775</v>
      </c>
      <c r="K1931" s="5" t="s">
        <v>9769</v>
      </c>
      <c r="L1931" s="5" t="s">
        <v>10776</v>
      </c>
      <c r="M1931" s="5" t="s">
        <v>45</v>
      </c>
      <c r="N1931" s="5" t="s">
        <v>80</v>
      </c>
      <c r="O1931" s="5" t="s">
        <v>46</v>
      </c>
      <c r="P1931" s="10" t="s">
        <v>6920</v>
      </c>
      <c r="Q1931" s="10" t="s">
        <v>9938</v>
      </c>
      <c r="R1931" s="10" t="s">
        <v>9772</v>
      </c>
      <c r="S1931" s="5">
        <v>0</v>
      </c>
      <c r="T1931" s="37">
        <v>0</v>
      </c>
      <c r="U1931" s="5">
        <v>0</v>
      </c>
      <c r="V1931" s="37">
        <v>0</v>
      </c>
      <c r="W1931" s="5">
        <v>0</v>
      </c>
      <c r="X1931" s="5">
        <v>0</v>
      </c>
      <c r="Y1931" s="5">
        <v>0</v>
      </c>
      <c r="Z1931" s="37">
        <v>0</v>
      </c>
      <c r="AA1931" s="5">
        <v>0</v>
      </c>
      <c r="AB1931" s="5">
        <v>0</v>
      </c>
      <c r="AC1931" s="5">
        <v>0</v>
      </c>
      <c r="AD1931" s="5">
        <v>0</v>
      </c>
      <c r="AE1931" s="10" t="s">
        <v>375</v>
      </c>
      <c r="AF1931" s="10"/>
      <c r="AG1931" s="10" t="s">
        <v>1489</v>
      </c>
      <c r="AH1931" s="10">
        <v>42016</v>
      </c>
      <c r="AI1931" s="5">
        <v>1</v>
      </c>
      <c r="AJ1931" s="10" t="s">
        <v>10777</v>
      </c>
      <c r="AK1931" s="10" t="s">
        <v>10778</v>
      </c>
    </row>
    <row r="1932" spans="1:37" ht="36.75" customHeight="1" x14ac:dyDescent="0.35">
      <c r="A1932" s="5"/>
      <c r="B1932" s="5" t="s">
        <v>37</v>
      </c>
      <c r="C1932" s="73" t="str">
        <f t="shared" si="30"/>
        <v>Closed</v>
      </c>
      <c r="D1932" s="45" t="s">
        <v>10779</v>
      </c>
      <c r="E1932" s="54" t="s">
        <v>10780</v>
      </c>
      <c r="F1932" s="5" t="s">
        <v>816</v>
      </c>
      <c r="G1932" s="10">
        <f>DATE(2015,1,16)</f>
        <v>42020</v>
      </c>
      <c r="H1932" s="35">
        <v>1.2270833333333333</v>
      </c>
      <c r="I1932" s="5" t="s">
        <v>55</v>
      </c>
      <c r="J1932" s="10" t="s">
        <v>10781</v>
      </c>
      <c r="K1932" s="5" t="s">
        <v>818</v>
      </c>
      <c r="L1932" s="5" t="s">
        <v>10782</v>
      </c>
      <c r="M1932" s="5" t="s">
        <v>45</v>
      </c>
      <c r="N1932" s="5" t="s">
        <v>123</v>
      </c>
      <c r="O1932" s="5" t="s">
        <v>71</v>
      </c>
      <c r="P1932" s="10" t="s">
        <v>60</v>
      </c>
      <c r="Q1932" s="10" t="s">
        <v>10783</v>
      </c>
      <c r="R1932" s="10" t="s">
        <v>821</v>
      </c>
      <c r="S1932" s="5">
        <v>0</v>
      </c>
      <c r="T1932" s="37">
        <v>0</v>
      </c>
      <c r="U1932" s="5">
        <v>0</v>
      </c>
      <c r="V1932" s="37">
        <v>0</v>
      </c>
      <c r="W1932" s="5">
        <v>0</v>
      </c>
      <c r="X1932" s="5">
        <v>0</v>
      </c>
      <c r="Y1932" s="5">
        <v>0</v>
      </c>
      <c r="Z1932" s="37">
        <v>0</v>
      </c>
      <c r="AA1932" s="5">
        <v>0</v>
      </c>
      <c r="AB1932" s="5">
        <v>0</v>
      </c>
      <c r="AC1932" s="5">
        <v>0</v>
      </c>
      <c r="AD1932" s="5">
        <v>0</v>
      </c>
      <c r="AE1932" s="10" t="s">
        <v>73</v>
      </c>
      <c r="AF1932" s="10"/>
      <c r="AG1932" s="10" t="s">
        <v>333</v>
      </c>
      <c r="AH1932" s="10">
        <v>42020</v>
      </c>
      <c r="AI1932" s="5">
        <v>0</v>
      </c>
      <c r="AJ1932" s="10" t="s">
        <v>10784</v>
      </c>
      <c r="AK1932" s="10" t="s">
        <v>50</v>
      </c>
    </row>
    <row r="1933" spans="1:37" ht="36.75" customHeight="1" x14ac:dyDescent="0.35">
      <c r="A1933" s="5"/>
      <c r="B1933" s="5" t="s">
        <v>37</v>
      </c>
      <c r="C1933" s="73" t="str">
        <f t="shared" si="30"/>
        <v>Closed</v>
      </c>
      <c r="D1933" s="45" t="s">
        <v>10785</v>
      </c>
      <c r="E1933" s="54" t="s">
        <v>10786</v>
      </c>
      <c r="F1933" s="5" t="s">
        <v>96</v>
      </c>
      <c r="G1933" s="10">
        <f>DATE(2015,1,17)</f>
        <v>42021</v>
      </c>
      <c r="H1933" s="35">
        <v>1.5208333333333335</v>
      </c>
      <c r="I1933" s="5" t="s">
        <v>106</v>
      </c>
      <c r="J1933" s="10" t="s">
        <v>10787</v>
      </c>
      <c r="K1933" s="5" t="s">
        <v>10788</v>
      </c>
      <c r="L1933" s="5" t="s">
        <v>10789</v>
      </c>
      <c r="M1933" s="5" t="s">
        <v>45</v>
      </c>
      <c r="N1933" s="5" t="s">
        <v>123</v>
      </c>
      <c r="O1933" s="5" t="s">
        <v>67</v>
      </c>
      <c r="P1933" s="10" t="s">
        <v>60</v>
      </c>
      <c r="Q1933" s="10">
        <v>0</v>
      </c>
      <c r="R1933" s="10">
        <v>0</v>
      </c>
      <c r="S1933" s="5">
        <v>0</v>
      </c>
      <c r="T1933" s="37">
        <v>0</v>
      </c>
      <c r="U1933" s="5">
        <v>0</v>
      </c>
      <c r="V1933" s="37">
        <v>0</v>
      </c>
      <c r="W1933" s="5">
        <v>0</v>
      </c>
      <c r="X1933" s="5">
        <v>0</v>
      </c>
      <c r="Y1933" s="5">
        <v>0</v>
      </c>
      <c r="Z1933" s="37">
        <v>0</v>
      </c>
      <c r="AA1933" s="5">
        <v>0</v>
      </c>
      <c r="AB1933" s="5">
        <v>0</v>
      </c>
      <c r="AC1933" s="5">
        <v>0</v>
      </c>
      <c r="AD1933" s="5">
        <v>0</v>
      </c>
      <c r="AE1933" s="10" t="s">
        <v>126</v>
      </c>
      <c r="AF1933" s="10"/>
      <c r="AG1933" s="10" t="s">
        <v>64</v>
      </c>
      <c r="AH1933" s="10">
        <v>42024</v>
      </c>
      <c r="AI1933" s="5">
        <v>6</v>
      </c>
      <c r="AJ1933" s="10" t="s">
        <v>10790</v>
      </c>
      <c r="AK1933" s="10" t="s">
        <v>10791</v>
      </c>
    </row>
    <row r="1934" spans="1:37" ht="36.75" customHeight="1" x14ac:dyDescent="0.35">
      <c r="A1934" s="5"/>
      <c r="B1934" s="5" t="s">
        <v>37</v>
      </c>
      <c r="C1934" s="73" t="str">
        <f t="shared" si="30"/>
        <v>Closed</v>
      </c>
      <c r="D1934" s="45" t="s">
        <v>10792</v>
      </c>
      <c r="E1934" s="54" t="s">
        <v>10793</v>
      </c>
      <c r="F1934" s="5" t="s">
        <v>816</v>
      </c>
      <c r="G1934" s="10">
        <f>DATE(2015,1,19)</f>
        <v>42023</v>
      </c>
      <c r="H1934" s="35">
        <v>1.7166666666666668</v>
      </c>
      <c r="I1934" s="5" t="s">
        <v>55</v>
      </c>
      <c r="J1934" s="10" t="s">
        <v>10794</v>
      </c>
      <c r="K1934" s="5" t="s">
        <v>818</v>
      </c>
      <c r="L1934" s="5" t="s">
        <v>10795</v>
      </c>
      <c r="M1934" s="5" t="s">
        <v>236</v>
      </c>
      <c r="N1934" s="5" t="s">
        <v>123</v>
      </c>
      <c r="O1934" s="5" t="s">
        <v>59</v>
      </c>
      <c r="P1934" s="10" t="s">
        <v>6531</v>
      </c>
      <c r="Q1934" s="10" t="s">
        <v>4190</v>
      </c>
      <c r="R1934" s="10" t="s">
        <v>4190</v>
      </c>
      <c r="S1934" s="5">
        <v>0</v>
      </c>
      <c r="T1934" s="37">
        <v>0</v>
      </c>
      <c r="U1934" s="5">
        <v>0</v>
      </c>
      <c r="V1934" s="37">
        <v>0</v>
      </c>
      <c r="W1934" s="5">
        <v>0</v>
      </c>
      <c r="X1934" s="5">
        <v>0</v>
      </c>
      <c r="Y1934" s="5">
        <v>0</v>
      </c>
      <c r="Z1934" s="37">
        <v>0</v>
      </c>
      <c r="AA1934" s="5">
        <v>0</v>
      </c>
      <c r="AB1934" s="5">
        <v>0</v>
      </c>
      <c r="AC1934" s="5">
        <v>0</v>
      </c>
      <c r="AD1934" s="5">
        <v>0</v>
      </c>
      <c r="AE1934" s="10" t="s">
        <v>73</v>
      </c>
      <c r="AF1934" s="10"/>
      <c r="AG1934" s="10" t="s">
        <v>333</v>
      </c>
      <c r="AH1934" s="10">
        <v>42024</v>
      </c>
      <c r="AI1934" s="5">
        <v>0</v>
      </c>
      <c r="AJ1934" s="10" t="s">
        <v>10796</v>
      </c>
      <c r="AK1934" s="10" t="s">
        <v>50</v>
      </c>
    </row>
    <row r="1935" spans="1:37" ht="36.75" customHeight="1" x14ac:dyDescent="0.35">
      <c r="A1935" s="5"/>
      <c r="B1935" s="5" t="s">
        <v>37</v>
      </c>
      <c r="C1935" s="73" t="str">
        <f t="shared" si="30"/>
        <v>Closed</v>
      </c>
      <c r="D1935" s="45" t="s">
        <v>10797</v>
      </c>
      <c r="E1935" s="54" t="s">
        <v>10798</v>
      </c>
      <c r="F1935" s="5" t="s">
        <v>1553</v>
      </c>
      <c r="G1935" s="10">
        <f>DATE(2015,1,24)</f>
        <v>42028</v>
      </c>
      <c r="H1935" s="35">
        <v>1.2152777777777777</v>
      </c>
      <c r="I1935" s="5" t="s">
        <v>106</v>
      </c>
      <c r="J1935" s="10" t="s">
        <v>10799</v>
      </c>
      <c r="K1935" s="5" t="s">
        <v>1555</v>
      </c>
      <c r="L1935" s="5" t="s">
        <v>10800</v>
      </c>
      <c r="M1935" s="5" t="s">
        <v>45</v>
      </c>
      <c r="N1935" s="5" t="s">
        <v>80</v>
      </c>
      <c r="O1935" s="5" t="s">
        <v>59</v>
      </c>
      <c r="P1935" s="10" t="s">
        <v>60</v>
      </c>
      <c r="Q1935" s="10" t="s">
        <v>7910</v>
      </c>
      <c r="R1935" s="10" t="s">
        <v>6413</v>
      </c>
      <c r="S1935" s="5">
        <v>0</v>
      </c>
      <c r="T1935" s="37">
        <v>0</v>
      </c>
      <c r="U1935" s="5">
        <v>0</v>
      </c>
      <c r="V1935" s="37">
        <v>0</v>
      </c>
      <c r="W1935" s="5">
        <v>0</v>
      </c>
      <c r="X1935" s="5">
        <v>0</v>
      </c>
      <c r="Y1935" s="5">
        <v>0</v>
      </c>
      <c r="Z1935" s="37">
        <v>0</v>
      </c>
      <c r="AA1935" s="5">
        <v>0</v>
      </c>
      <c r="AB1935" s="5">
        <v>0</v>
      </c>
      <c r="AC1935" s="5">
        <v>0</v>
      </c>
      <c r="AD1935" s="5">
        <v>0</v>
      </c>
      <c r="AE1935" s="10" t="s">
        <v>73</v>
      </c>
      <c r="AF1935" s="10"/>
      <c r="AG1935" s="10" t="s">
        <v>570</v>
      </c>
      <c r="AH1935" s="10">
        <v>42030</v>
      </c>
      <c r="AI1935" s="5">
        <v>2</v>
      </c>
      <c r="AJ1935" s="10" t="s">
        <v>10801</v>
      </c>
      <c r="AK1935" s="10" t="s">
        <v>10802</v>
      </c>
    </row>
    <row r="1936" spans="1:37" ht="36.75" customHeight="1" x14ac:dyDescent="0.35">
      <c r="A1936" s="5"/>
      <c r="B1936" s="5" t="s">
        <v>37</v>
      </c>
      <c r="C1936" s="73" t="str">
        <f t="shared" si="30"/>
        <v>Closed</v>
      </c>
      <c r="D1936" s="45" t="s">
        <v>10803</v>
      </c>
      <c r="E1936" s="54" t="s">
        <v>10804</v>
      </c>
      <c r="F1936" s="5" t="s">
        <v>404</v>
      </c>
      <c r="G1936" s="10">
        <f>DATE(2015,1,28)</f>
        <v>42032</v>
      </c>
      <c r="H1936" s="35">
        <v>1.2729166666666667</v>
      </c>
      <c r="I1936" s="5" t="s">
        <v>137</v>
      </c>
      <c r="J1936" s="10" t="s">
        <v>10805</v>
      </c>
      <c r="K1936" s="5" t="s">
        <v>406</v>
      </c>
      <c r="L1936" s="5" t="s">
        <v>10806</v>
      </c>
      <c r="M1936" s="5" t="s">
        <v>45</v>
      </c>
      <c r="N1936" s="5" t="s">
        <v>80</v>
      </c>
      <c r="O1936" s="5" t="s">
        <v>46</v>
      </c>
      <c r="P1936" s="10" t="s">
        <v>146</v>
      </c>
      <c r="Q1936" s="10" t="s">
        <v>4531</v>
      </c>
      <c r="R1936" s="10" t="s">
        <v>3083</v>
      </c>
      <c r="S1936" s="5">
        <v>0</v>
      </c>
      <c r="T1936" s="37">
        <v>0</v>
      </c>
      <c r="U1936" s="5">
        <v>0</v>
      </c>
      <c r="V1936" s="37">
        <v>0</v>
      </c>
      <c r="W1936" s="5">
        <v>0</v>
      </c>
      <c r="X1936" s="5">
        <v>0</v>
      </c>
      <c r="Y1936" s="5">
        <v>0</v>
      </c>
      <c r="Z1936" s="37">
        <v>1</v>
      </c>
      <c r="AA1936" s="5">
        <v>0</v>
      </c>
      <c r="AB1936" s="5">
        <v>0</v>
      </c>
      <c r="AC1936" s="5">
        <v>0</v>
      </c>
      <c r="AD1936" s="5">
        <v>1</v>
      </c>
      <c r="AE1936" s="10" t="s">
        <v>73</v>
      </c>
      <c r="AF1936" s="10"/>
      <c r="AG1936" s="10" t="s">
        <v>64</v>
      </c>
      <c r="AH1936" s="10">
        <v>42065</v>
      </c>
      <c r="AI1936" s="5">
        <v>2</v>
      </c>
      <c r="AJ1936" s="10" t="s">
        <v>10807</v>
      </c>
      <c r="AK1936" s="10" t="s">
        <v>10808</v>
      </c>
    </row>
    <row r="1937" spans="1:37" ht="36.75" customHeight="1" x14ac:dyDescent="0.35">
      <c r="A1937" s="5"/>
      <c r="B1937" s="5" t="s">
        <v>37</v>
      </c>
      <c r="C1937" s="73" t="str">
        <f t="shared" si="30"/>
        <v>Closed</v>
      </c>
      <c r="D1937" s="45" t="s">
        <v>10809</v>
      </c>
      <c r="E1937" s="54" t="s">
        <v>10810</v>
      </c>
      <c r="F1937" s="5" t="s">
        <v>96</v>
      </c>
      <c r="G1937" s="10">
        <f>DATE(2015,1,28)</f>
        <v>42032</v>
      </c>
      <c r="H1937" s="35">
        <v>1.7361111111111112</v>
      </c>
      <c r="I1937" s="5" t="s">
        <v>55</v>
      </c>
      <c r="J1937" s="10" t="s">
        <v>10811</v>
      </c>
      <c r="K1937" s="5" t="s">
        <v>99</v>
      </c>
      <c r="L1937" s="5" t="s">
        <v>10812</v>
      </c>
      <c r="M1937" s="5" t="s">
        <v>45</v>
      </c>
      <c r="N1937" s="5" t="s">
        <v>70</v>
      </c>
      <c r="O1937" s="5" t="s">
        <v>59</v>
      </c>
      <c r="P1937" s="10" t="s">
        <v>72</v>
      </c>
      <c r="Q1937" s="10" t="s">
        <v>101</v>
      </c>
      <c r="R1937" s="10" t="s">
        <v>102</v>
      </c>
      <c r="S1937" s="5">
        <v>0</v>
      </c>
      <c r="T1937" s="37">
        <v>0</v>
      </c>
      <c r="U1937" s="5">
        <v>0</v>
      </c>
      <c r="V1937" s="37">
        <v>0</v>
      </c>
      <c r="W1937" s="5">
        <v>0</v>
      </c>
      <c r="X1937" s="5">
        <v>0</v>
      </c>
      <c r="Y1937" s="5">
        <v>0</v>
      </c>
      <c r="Z1937" s="37">
        <v>0</v>
      </c>
      <c r="AA1937" s="5">
        <v>0</v>
      </c>
      <c r="AB1937" s="5">
        <v>0</v>
      </c>
      <c r="AC1937" s="5">
        <v>0</v>
      </c>
      <c r="AD1937" s="5">
        <v>0</v>
      </c>
      <c r="AE1937" s="10" t="s">
        <v>375</v>
      </c>
      <c r="AF1937" s="10"/>
      <c r="AG1937" s="10" t="s">
        <v>64</v>
      </c>
      <c r="AH1937" s="10">
        <v>42033</v>
      </c>
      <c r="AI1937" s="5">
        <v>3</v>
      </c>
      <c r="AJ1937" s="10" t="s">
        <v>10813</v>
      </c>
      <c r="AK1937" s="10" t="s">
        <v>10814</v>
      </c>
    </row>
    <row r="1938" spans="1:37" ht="36.75" customHeight="1" x14ac:dyDescent="0.35">
      <c r="A1938" s="5"/>
      <c r="B1938" s="5" t="s">
        <v>37</v>
      </c>
      <c r="C1938" s="73" t="str">
        <f t="shared" si="30"/>
        <v>Closed</v>
      </c>
      <c r="D1938" s="45" t="s">
        <v>10815</v>
      </c>
      <c r="E1938" s="54" t="s">
        <v>10816</v>
      </c>
      <c r="F1938" s="5" t="s">
        <v>575</v>
      </c>
      <c r="G1938" s="10">
        <f>DATE(2015,1,28)</f>
        <v>42032</v>
      </c>
      <c r="H1938" s="35">
        <v>1.3527777777777779</v>
      </c>
      <c r="I1938" s="5" t="s">
        <v>97</v>
      </c>
      <c r="J1938" s="10" t="s">
        <v>10817</v>
      </c>
      <c r="K1938" s="5" t="s">
        <v>577</v>
      </c>
      <c r="L1938" s="5" t="s">
        <v>10818</v>
      </c>
      <c r="M1938" s="5" t="s">
        <v>45</v>
      </c>
      <c r="N1938" s="5" t="s">
        <v>80</v>
      </c>
      <c r="O1938" s="5" t="s">
        <v>46</v>
      </c>
      <c r="P1938" s="10" t="s">
        <v>146</v>
      </c>
      <c r="Q1938" s="10" t="s">
        <v>10507</v>
      </c>
      <c r="R1938" s="10" t="s">
        <v>580</v>
      </c>
      <c r="S1938" s="5">
        <v>0</v>
      </c>
      <c r="T1938" s="37">
        <v>0</v>
      </c>
      <c r="U1938" s="5">
        <v>1</v>
      </c>
      <c r="V1938" s="37">
        <v>0</v>
      </c>
      <c r="W1938" s="5">
        <v>0</v>
      </c>
      <c r="X1938" s="5">
        <v>1</v>
      </c>
      <c r="Y1938" s="5">
        <v>0</v>
      </c>
      <c r="Z1938" s="37">
        <v>0</v>
      </c>
      <c r="AA1938" s="5">
        <v>0</v>
      </c>
      <c r="AB1938" s="5">
        <v>0</v>
      </c>
      <c r="AC1938" s="5">
        <v>0</v>
      </c>
      <c r="AD1938" s="5">
        <v>0</v>
      </c>
      <c r="AE1938" s="10" t="s">
        <v>73</v>
      </c>
      <c r="AF1938" s="10"/>
      <c r="AG1938" s="10" t="s">
        <v>333</v>
      </c>
      <c r="AH1938" s="10">
        <v>42311</v>
      </c>
      <c r="AI1938" s="5">
        <v>16</v>
      </c>
      <c r="AJ1938" s="10" t="s">
        <v>10819</v>
      </c>
      <c r="AK1938" s="10" t="s">
        <v>10820</v>
      </c>
    </row>
    <row r="1939" spans="1:37" ht="36.75" customHeight="1" x14ac:dyDescent="0.35">
      <c r="A1939" s="5"/>
      <c r="B1939" s="5" t="s">
        <v>37</v>
      </c>
      <c r="C1939" s="73" t="str">
        <f t="shared" si="30"/>
        <v>Closed</v>
      </c>
      <c r="D1939" s="45" t="s">
        <v>10821</v>
      </c>
      <c r="E1939" s="54" t="s">
        <v>10822</v>
      </c>
      <c r="F1939" s="5" t="s">
        <v>214</v>
      </c>
      <c r="G1939" s="10">
        <f>DATE(2015,1,28)</f>
        <v>42032</v>
      </c>
      <c r="H1939" s="35">
        <v>1.2694444444444444</v>
      </c>
      <c r="I1939" s="5" t="s">
        <v>137</v>
      </c>
      <c r="J1939" s="10" t="s">
        <v>10823</v>
      </c>
      <c r="K1939" s="5" t="s">
        <v>216</v>
      </c>
      <c r="L1939" s="5" t="s">
        <v>10824</v>
      </c>
      <c r="M1939" s="5" t="s">
        <v>45</v>
      </c>
      <c r="N1939" s="5" t="s">
        <v>123</v>
      </c>
      <c r="O1939" s="5" t="s">
        <v>59</v>
      </c>
      <c r="P1939" s="10" t="s">
        <v>146</v>
      </c>
      <c r="Q1939" s="10" t="s">
        <v>427</v>
      </c>
      <c r="R1939" s="10" t="s">
        <v>219</v>
      </c>
      <c r="S1939" s="5">
        <v>0</v>
      </c>
      <c r="T1939" s="37">
        <v>0</v>
      </c>
      <c r="U1939" s="5">
        <v>0</v>
      </c>
      <c r="V1939" s="37">
        <v>0</v>
      </c>
      <c r="W1939" s="5">
        <v>0</v>
      </c>
      <c r="X1939" s="5">
        <v>0</v>
      </c>
      <c r="Y1939" s="5">
        <v>0</v>
      </c>
      <c r="Z1939" s="37">
        <v>0</v>
      </c>
      <c r="AA1939" s="5">
        <v>0</v>
      </c>
      <c r="AB1939" s="5">
        <v>0</v>
      </c>
      <c r="AC1939" s="5">
        <v>0</v>
      </c>
      <c r="AD1939" s="5">
        <v>0</v>
      </c>
      <c r="AE1939" s="10" t="s">
        <v>73</v>
      </c>
      <c r="AF1939" s="10"/>
      <c r="AG1939" s="10" t="s">
        <v>114</v>
      </c>
      <c r="AH1939" s="10">
        <v>42051</v>
      </c>
      <c r="AI1939" s="5">
        <v>2</v>
      </c>
      <c r="AJ1939" s="10" t="s">
        <v>10825</v>
      </c>
      <c r="AK1939" s="10" t="s">
        <v>10826</v>
      </c>
    </row>
    <row r="1940" spans="1:37" ht="36.75" customHeight="1" x14ac:dyDescent="0.35">
      <c r="A1940" s="5"/>
      <c r="B1940" s="5" t="s">
        <v>37</v>
      </c>
      <c r="C1940" s="73" t="str">
        <f t="shared" si="30"/>
        <v>Closed</v>
      </c>
      <c r="D1940" s="45" t="s">
        <v>10827</v>
      </c>
      <c r="E1940" s="54" t="s">
        <v>10828</v>
      </c>
      <c r="F1940" s="5" t="s">
        <v>214</v>
      </c>
      <c r="G1940" s="10">
        <f>DATE(2015,1,30)</f>
        <v>42034</v>
      </c>
      <c r="H1940" s="35">
        <v>1.8298611111111112</v>
      </c>
      <c r="I1940" s="5" t="s">
        <v>106</v>
      </c>
      <c r="J1940" s="10" t="s">
        <v>10829</v>
      </c>
      <c r="K1940" s="5" t="s">
        <v>216</v>
      </c>
      <c r="L1940" s="5" t="s">
        <v>10830</v>
      </c>
      <c r="M1940" s="5" t="s">
        <v>45</v>
      </c>
      <c r="N1940" s="5" t="s">
        <v>123</v>
      </c>
      <c r="O1940" s="5" t="s">
        <v>46</v>
      </c>
      <c r="P1940" s="10" t="s">
        <v>146</v>
      </c>
      <c r="Q1940" s="10" t="s">
        <v>1063</v>
      </c>
      <c r="R1940" s="10" t="s">
        <v>219</v>
      </c>
      <c r="S1940" s="5">
        <v>0</v>
      </c>
      <c r="T1940" s="37">
        <v>0</v>
      </c>
      <c r="U1940" s="5">
        <v>0</v>
      </c>
      <c r="V1940" s="37">
        <v>0</v>
      </c>
      <c r="W1940" s="5">
        <v>0</v>
      </c>
      <c r="X1940" s="5">
        <v>0</v>
      </c>
      <c r="Y1940" s="5">
        <v>0</v>
      </c>
      <c r="Z1940" s="37">
        <v>0</v>
      </c>
      <c r="AA1940" s="5">
        <v>0</v>
      </c>
      <c r="AB1940" s="5">
        <v>0</v>
      </c>
      <c r="AC1940" s="5">
        <v>0</v>
      </c>
      <c r="AD1940" s="5">
        <v>0</v>
      </c>
      <c r="AE1940" s="10" t="s">
        <v>73</v>
      </c>
      <c r="AF1940" s="10"/>
      <c r="AG1940" s="10" t="s">
        <v>570</v>
      </c>
      <c r="AH1940" s="10">
        <v>42044</v>
      </c>
      <c r="AI1940" s="5">
        <v>4</v>
      </c>
      <c r="AJ1940" s="10" t="s">
        <v>10831</v>
      </c>
      <c r="AK1940" s="10" t="s">
        <v>10832</v>
      </c>
    </row>
    <row r="1941" spans="1:37" ht="36.75" customHeight="1" x14ac:dyDescent="0.35">
      <c r="A1941" s="5"/>
      <c r="B1941" s="5" t="s">
        <v>37</v>
      </c>
      <c r="C1941" s="73" t="str">
        <f t="shared" si="30"/>
        <v>Closed</v>
      </c>
      <c r="D1941" s="45" t="s">
        <v>10833</v>
      </c>
      <c r="E1941" s="54" t="s">
        <v>10834</v>
      </c>
      <c r="F1941" s="5" t="s">
        <v>563</v>
      </c>
      <c r="G1941" s="10">
        <f>DATE(2015,1,31)</f>
        <v>42035</v>
      </c>
      <c r="H1941" s="35">
        <v>1.8263888888888888</v>
      </c>
      <c r="I1941" s="5" t="s">
        <v>259</v>
      </c>
      <c r="J1941" s="10" t="s">
        <v>10835</v>
      </c>
      <c r="K1941" s="5" t="s">
        <v>565</v>
      </c>
      <c r="L1941" s="5" t="s">
        <v>10836</v>
      </c>
      <c r="M1941" s="5" t="s">
        <v>45</v>
      </c>
      <c r="N1941" s="5" t="s">
        <v>123</v>
      </c>
      <c r="O1941" s="5" t="s">
        <v>59</v>
      </c>
      <c r="P1941" s="10" t="s">
        <v>6920</v>
      </c>
      <c r="Q1941" s="10" t="s">
        <v>4467</v>
      </c>
      <c r="R1941" s="10" t="s">
        <v>568</v>
      </c>
      <c r="S1941" s="5">
        <v>1</v>
      </c>
      <c r="T1941" s="37">
        <v>0</v>
      </c>
      <c r="U1941" s="5">
        <v>0</v>
      </c>
      <c r="V1941" s="37">
        <v>0</v>
      </c>
      <c r="W1941" s="5">
        <v>0</v>
      </c>
      <c r="X1941" s="5">
        <v>1</v>
      </c>
      <c r="Y1941" s="5">
        <v>0</v>
      </c>
      <c r="Z1941" s="37">
        <v>0</v>
      </c>
      <c r="AA1941" s="5">
        <v>0</v>
      </c>
      <c r="AB1941" s="5">
        <v>0</v>
      </c>
      <c r="AC1941" s="5">
        <v>0</v>
      </c>
      <c r="AD1941" s="5">
        <v>0</v>
      </c>
      <c r="AE1941" s="10" t="s">
        <v>73</v>
      </c>
      <c r="AF1941" s="10"/>
      <c r="AG1941" s="10" t="s">
        <v>114</v>
      </c>
      <c r="AH1941" s="10">
        <v>42060</v>
      </c>
      <c r="AI1941" s="5">
        <v>0</v>
      </c>
      <c r="AJ1941" s="10" t="s">
        <v>10837</v>
      </c>
      <c r="AK1941" s="10" t="s">
        <v>1215</v>
      </c>
    </row>
    <row r="1942" spans="1:37" ht="36.75" customHeight="1" x14ac:dyDescent="0.35">
      <c r="A1942" s="5"/>
      <c r="B1942" s="5" t="s">
        <v>37</v>
      </c>
      <c r="C1942" s="73" t="str">
        <f t="shared" si="30"/>
        <v>Closed</v>
      </c>
      <c r="D1942" s="45" t="s">
        <v>10838</v>
      </c>
      <c r="E1942" s="54" t="s">
        <v>10839</v>
      </c>
      <c r="F1942" s="5" t="s">
        <v>2581</v>
      </c>
      <c r="G1942" s="10">
        <f>DATE(2015,2,1)</f>
        <v>42036</v>
      </c>
      <c r="H1942" s="35">
        <v>1.3805555555555555</v>
      </c>
      <c r="I1942" s="5" t="s">
        <v>55</v>
      </c>
      <c r="J1942" s="10" t="s">
        <v>10840</v>
      </c>
      <c r="K1942" s="5" t="s">
        <v>2583</v>
      </c>
      <c r="L1942" s="5" t="s">
        <v>10841</v>
      </c>
      <c r="M1942" s="5" t="s">
        <v>45</v>
      </c>
      <c r="N1942" s="5" t="s">
        <v>70</v>
      </c>
      <c r="O1942" s="5" t="s">
        <v>59</v>
      </c>
      <c r="P1942" s="10" t="s">
        <v>146</v>
      </c>
      <c r="Q1942" s="10" t="s">
        <v>6321</v>
      </c>
      <c r="R1942" s="10" t="s">
        <v>2586</v>
      </c>
      <c r="S1942" s="5">
        <v>0</v>
      </c>
      <c r="T1942" s="37">
        <v>0</v>
      </c>
      <c r="U1942" s="5">
        <v>0</v>
      </c>
      <c r="V1942" s="37">
        <v>0</v>
      </c>
      <c r="W1942" s="5">
        <v>0</v>
      </c>
      <c r="X1942" s="5">
        <v>0</v>
      </c>
      <c r="Y1942" s="5">
        <v>0</v>
      </c>
      <c r="Z1942" s="37">
        <v>0</v>
      </c>
      <c r="AA1942" s="5">
        <v>0</v>
      </c>
      <c r="AB1942" s="5">
        <v>0</v>
      </c>
      <c r="AC1942" s="5">
        <v>0</v>
      </c>
      <c r="AD1942" s="5">
        <v>0</v>
      </c>
      <c r="AE1942" s="10" t="s">
        <v>73</v>
      </c>
      <c r="AF1942" s="10"/>
      <c r="AG1942" s="10" t="s">
        <v>114</v>
      </c>
      <c r="AH1942" s="10">
        <v>42037</v>
      </c>
      <c r="AI1942" s="5">
        <v>2</v>
      </c>
      <c r="AJ1942" s="10" t="s">
        <v>10842</v>
      </c>
      <c r="AK1942" s="10" t="s">
        <v>10843</v>
      </c>
    </row>
    <row r="1943" spans="1:37" ht="36.75" customHeight="1" x14ac:dyDescent="0.35">
      <c r="A1943" s="5"/>
      <c r="B1943" s="5" t="s">
        <v>37</v>
      </c>
      <c r="C1943" s="73" t="str">
        <f t="shared" si="30"/>
        <v>Closed</v>
      </c>
      <c r="D1943" s="45" t="s">
        <v>10844</v>
      </c>
      <c r="E1943" s="54" t="s">
        <v>10845</v>
      </c>
      <c r="F1943" s="5" t="s">
        <v>40</v>
      </c>
      <c r="G1943" s="10">
        <f>DATE(2015,2,6)</f>
        <v>42041</v>
      </c>
      <c r="H1943" s="35">
        <v>1.3847222222222222</v>
      </c>
      <c r="I1943" s="5" t="s">
        <v>9004</v>
      </c>
      <c r="J1943" s="10" t="s">
        <v>10846</v>
      </c>
      <c r="K1943" s="5" t="s">
        <v>43</v>
      </c>
      <c r="L1943" s="5" t="s">
        <v>10847</v>
      </c>
      <c r="M1943" s="5" t="s">
        <v>45</v>
      </c>
      <c r="N1943" s="5" t="s">
        <v>80</v>
      </c>
      <c r="O1943" s="5" t="s">
        <v>46</v>
      </c>
      <c r="P1943" s="10" t="s">
        <v>6920</v>
      </c>
      <c r="Q1943" s="10" t="s">
        <v>10848</v>
      </c>
      <c r="R1943" s="10" t="s">
        <v>49</v>
      </c>
      <c r="S1943" s="5">
        <v>0</v>
      </c>
      <c r="T1943" s="37">
        <v>0</v>
      </c>
      <c r="U1943" s="5">
        <v>0</v>
      </c>
      <c r="V1943" s="37">
        <v>0</v>
      </c>
      <c r="W1943" s="5">
        <v>0</v>
      </c>
      <c r="X1943" s="5">
        <v>0</v>
      </c>
      <c r="Y1943" s="5">
        <v>0</v>
      </c>
      <c r="Z1943" s="37">
        <v>1</v>
      </c>
      <c r="AA1943" s="5">
        <v>1</v>
      </c>
      <c r="AB1943" s="5">
        <v>0</v>
      </c>
      <c r="AC1943" s="5">
        <v>0</v>
      </c>
      <c r="AD1943" s="5">
        <v>2</v>
      </c>
      <c r="AE1943" s="10" t="s">
        <v>375</v>
      </c>
      <c r="AF1943" s="10"/>
      <c r="AG1943" s="10" t="s">
        <v>114</v>
      </c>
      <c r="AH1943" s="10">
        <v>42045</v>
      </c>
      <c r="AI1943" s="5">
        <v>3</v>
      </c>
      <c r="AJ1943" s="10" t="s">
        <v>10849</v>
      </c>
      <c r="AK1943" s="10" t="s">
        <v>10850</v>
      </c>
    </row>
    <row r="1944" spans="1:37" ht="36.75" customHeight="1" x14ac:dyDescent="0.35">
      <c r="A1944" s="5"/>
      <c r="B1944" s="5" t="s">
        <v>37</v>
      </c>
      <c r="C1944" s="73" t="str">
        <f t="shared" si="30"/>
        <v>Closed</v>
      </c>
      <c r="D1944" s="45" t="s">
        <v>10851</v>
      </c>
      <c r="E1944" s="54" t="s">
        <v>10852</v>
      </c>
      <c r="F1944" s="5" t="s">
        <v>1553</v>
      </c>
      <c r="G1944" s="10">
        <f>DATE(2015,2,7)</f>
        <v>42042</v>
      </c>
      <c r="H1944" s="35">
        <v>1.59375</v>
      </c>
      <c r="I1944" s="5" t="s">
        <v>55</v>
      </c>
      <c r="J1944" s="10" t="s">
        <v>10853</v>
      </c>
      <c r="K1944" s="5" t="s">
        <v>1555</v>
      </c>
      <c r="L1944" s="5" t="s">
        <v>10854</v>
      </c>
      <c r="M1944" s="5" t="s">
        <v>45</v>
      </c>
      <c r="N1944" s="5" t="s">
        <v>80</v>
      </c>
      <c r="O1944" s="5" t="s">
        <v>46</v>
      </c>
      <c r="P1944" s="10" t="s">
        <v>60</v>
      </c>
      <c r="Q1944" s="10" t="s">
        <v>6072</v>
      </c>
      <c r="R1944" s="10" t="s">
        <v>2541</v>
      </c>
      <c r="S1944" s="5">
        <v>0</v>
      </c>
      <c r="T1944" s="37">
        <v>0</v>
      </c>
      <c r="U1944" s="5">
        <v>0</v>
      </c>
      <c r="V1944" s="37">
        <v>0</v>
      </c>
      <c r="W1944" s="5">
        <v>0</v>
      </c>
      <c r="X1944" s="5">
        <v>0</v>
      </c>
      <c r="Y1944" s="5">
        <v>0</v>
      </c>
      <c r="Z1944" s="37">
        <v>0</v>
      </c>
      <c r="AA1944" s="5">
        <v>0</v>
      </c>
      <c r="AB1944" s="5">
        <v>0</v>
      </c>
      <c r="AC1944" s="5">
        <v>0</v>
      </c>
      <c r="AD1944" s="5">
        <v>0</v>
      </c>
      <c r="AE1944" s="10" t="s">
        <v>73</v>
      </c>
      <c r="AF1944" s="10"/>
      <c r="AG1944" s="10" t="s">
        <v>114</v>
      </c>
      <c r="AH1944" s="10">
        <v>42044</v>
      </c>
      <c r="AI1944" s="5">
        <v>1</v>
      </c>
      <c r="AJ1944" s="10" t="s">
        <v>10855</v>
      </c>
      <c r="AK1944" s="10" t="s">
        <v>10856</v>
      </c>
    </row>
    <row r="1945" spans="1:37" ht="36.75" customHeight="1" x14ac:dyDescent="0.35">
      <c r="A1945" s="5"/>
      <c r="B1945" s="5" t="s">
        <v>37</v>
      </c>
      <c r="C1945" s="73" t="str">
        <f t="shared" si="30"/>
        <v>Closed</v>
      </c>
      <c r="D1945" s="45" t="s">
        <v>10857</v>
      </c>
      <c r="E1945" s="54" t="s">
        <v>10858</v>
      </c>
      <c r="F1945" s="5" t="s">
        <v>619</v>
      </c>
      <c r="G1945" s="10">
        <f>DATE(2015,2,9)</f>
        <v>42044</v>
      </c>
      <c r="H1945" s="35">
        <v>1.3868055555555556</v>
      </c>
      <c r="I1945" s="5" t="s">
        <v>137</v>
      </c>
      <c r="J1945" s="10" t="s">
        <v>10859</v>
      </c>
      <c r="K1945" s="5" t="s">
        <v>621</v>
      </c>
      <c r="L1945" s="5" t="s">
        <v>10860</v>
      </c>
      <c r="M1945" s="5" t="s">
        <v>45</v>
      </c>
      <c r="N1945" s="5" t="s">
        <v>80</v>
      </c>
      <c r="O1945" s="5" t="s">
        <v>71</v>
      </c>
      <c r="P1945" s="10" t="s">
        <v>72</v>
      </c>
      <c r="Q1945" s="10" t="s">
        <v>4884</v>
      </c>
      <c r="R1945" s="10" t="s">
        <v>624</v>
      </c>
      <c r="S1945" s="5">
        <v>0</v>
      </c>
      <c r="T1945" s="37">
        <v>0</v>
      </c>
      <c r="U1945" s="5">
        <v>0</v>
      </c>
      <c r="V1945" s="37">
        <v>0</v>
      </c>
      <c r="W1945" s="5">
        <v>0</v>
      </c>
      <c r="X1945" s="5">
        <v>0</v>
      </c>
      <c r="Y1945" s="5">
        <v>0</v>
      </c>
      <c r="Z1945" s="37">
        <v>0</v>
      </c>
      <c r="AA1945" s="5">
        <v>0</v>
      </c>
      <c r="AB1945" s="5">
        <v>0</v>
      </c>
      <c r="AC1945" s="5">
        <v>0</v>
      </c>
      <c r="AD1945" s="5">
        <v>0</v>
      </c>
      <c r="AE1945" s="10" t="s">
        <v>73</v>
      </c>
      <c r="AF1945" s="10"/>
      <c r="AG1945" s="10" t="s">
        <v>333</v>
      </c>
      <c r="AH1945" s="10">
        <v>42087</v>
      </c>
      <c r="AI1945" s="5">
        <v>0</v>
      </c>
      <c r="AJ1945" s="10" t="s">
        <v>10861</v>
      </c>
      <c r="AK1945" s="10" t="s">
        <v>50</v>
      </c>
    </row>
    <row r="1946" spans="1:37" ht="36.75" customHeight="1" x14ac:dyDescent="0.35">
      <c r="A1946" s="5"/>
      <c r="B1946" s="5" t="s">
        <v>37</v>
      </c>
      <c r="C1946" s="73" t="str">
        <f t="shared" si="30"/>
        <v>Closed</v>
      </c>
      <c r="D1946" s="45" t="s">
        <v>10862</v>
      </c>
      <c r="E1946" s="54" t="s">
        <v>10863</v>
      </c>
      <c r="F1946" s="5" t="s">
        <v>105</v>
      </c>
      <c r="G1946" s="10">
        <f>DATE(2015,2,9)</f>
        <v>42044</v>
      </c>
      <c r="H1946" s="35">
        <v>1.3659722222222221</v>
      </c>
      <c r="I1946" s="5" t="s">
        <v>137</v>
      </c>
      <c r="J1946" s="10" t="s">
        <v>10864</v>
      </c>
      <c r="K1946" s="5" t="s">
        <v>108</v>
      </c>
      <c r="L1946" s="5" t="s">
        <v>10865</v>
      </c>
      <c r="M1946" s="5" t="s">
        <v>45</v>
      </c>
      <c r="N1946" s="5" t="s">
        <v>70</v>
      </c>
      <c r="O1946" s="5" t="s">
        <v>59</v>
      </c>
      <c r="P1946" s="10" t="s">
        <v>146</v>
      </c>
      <c r="Q1946" s="10" t="s">
        <v>210</v>
      </c>
      <c r="R1946" s="10" t="s">
        <v>148</v>
      </c>
      <c r="S1946" s="5">
        <v>0</v>
      </c>
      <c r="T1946" s="37">
        <v>0</v>
      </c>
      <c r="U1946" s="5">
        <v>0</v>
      </c>
      <c r="V1946" s="37">
        <v>0</v>
      </c>
      <c r="W1946" s="5">
        <v>0</v>
      </c>
      <c r="X1946" s="5">
        <v>0</v>
      </c>
      <c r="Y1946" s="5">
        <v>0</v>
      </c>
      <c r="Z1946" s="37">
        <v>0</v>
      </c>
      <c r="AA1946" s="5">
        <v>0</v>
      </c>
      <c r="AB1946" s="5">
        <v>0</v>
      </c>
      <c r="AC1946" s="5">
        <v>0</v>
      </c>
      <c r="AD1946" s="5">
        <v>0</v>
      </c>
      <c r="AE1946" s="10" t="s">
        <v>73</v>
      </c>
      <c r="AF1946" s="10"/>
      <c r="AG1946" s="10" t="s">
        <v>114</v>
      </c>
      <c r="AH1946" s="10">
        <v>42048</v>
      </c>
      <c r="AI1946" s="5">
        <v>1</v>
      </c>
      <c r="AJ1946" s="10" t="s">
        <v>10866</v>
      </c>
      <c r="AK1946" s="10" t="s">
        <v>50</v>
      </c>
    </row>
    <row r="1947" spans="1:37" ht="36.75" customHeight="1" x14ac:dyDescent="0.35">
      <c r="A1947" s="5"/>
      <c r="B1947" s="5" t="s">
        <v>37</v>
      </c>
      <c r="C1947" s="73" t="str">
        <f t="shared" si="30"/>
        <v>Closed</v>
      </c>
      <c r="D1947" s="45" t="s">
        <v>10867</v>
      </c>
      <c r="E1947" s="54" t="s">
        <v>10868</v>
      </c>
      <c r="F1947" s="5" t="s">
        <v>105</v>
      </c>
      <c r="G1947" s="10">
        <f>DATE(2015,2,9)</f>
        <v>42044</v>
      </c>
      <c r="H1947" s="35">
        <v>1.3472222222222223</v>
      </c>
      <c r="I1947" s="5" t="s">
        <v>55</v>
      </c>
      <c r="J1947" s="10" t="s">
        <v>10869</v>
      </c>
      <c r="K1947" s="5" t="s">
        <v>108</v>
      </c>
      <c r="L1947" s="5" t="s">
        <v>10870</v>
      </c>
      <c r="M1947" s="5" t="s">
        <v>45</v>
      </c>
      <c r="N1947" s="5" t="s">
        <v>80</v>
      </c>
      <c r="O1947" s="5" t="s">
        <v>46</v>
      </c>
      <c r="P1947" s="10" t="s">
        <v>60</v>
      </c>
      <c r="Q1947" s="10" t="s">
        <v>382</v>
      </c>
      <c r="R1947" s="10" t="s">
        <v>148</v>
      </c>
      <c r="S1947" s="5">
        <v>0</v>
      </c>
      <c r="T1947" s="37">
        <v>0</v>
      </c>
      <c r="U1947" s="5">
        <v>0</v>
      </c>
      <c r="V1947" s="37">
        <v>0</v>
      </c>
      <c r="W1947" s="5">
        <v>0</v>
      </c>
      <c r="X1947" s="5">
        <v>0</v>
      </c>
      <c r="Y1947" s="5">
        <v>0</v>
      </c>
      <c r="Z1947" s="37">
        <v>0</v>
      </c>
      <c r="AA1947" s="5">
        <v>0</v>
      </c>
      <c r="AB1947" s="5">
        <v>0</v>
      </c>
      <c r="AC1947" s="5">
        <v>0</v>
      </c>
      <c r="AD1947" s="5">
        <v>0</v>
      </c>
      <c r="AE1947" s="10" t="s">
        <v>375</v>
      </c>
      <c r="AF1947" s="10"/>
      <c r="AG1947" s="10" t="s">
        <v>64</v>
      </c>
      <c r="AH1947" s="10">
        <v>42054</v>
      </c>
      <c r="AI1947" s="5">
        <v>1</v>
      </c>
      <c r="AJ1947" s="10" t="s">
        <v>10871</v>
      </c>
      <c r="AK1947" s="10" t="s">
        <v>50</v>
      </c>
    </row>
    <row r="1948" spans="1:37" ht="36.75" customHeight="1" x14ac:dyDescent="0.35">
      <c r="A1948" s="5"/>
      <c r="B1948" s="5" t="s">
        <v>37</v>
      </c>
      <c r="C1948" s="73" t="str">
        <f t="shared" si="30"/>
        <v>Closed</v>
      </c>
      <c r="D1948" s="45" t="s">
        <v>10872</v>
      </c>
      <c r="E1948" s="54" t="s">
        <v>10873</v>
      </c>
      <c r="F1948" s="5" t="s">
        <v>619</v>
      </c>
      <c r="G1948" s="10">
        <f>DATE(2015,2,13)</f>
        <v>42048</v>
      </c>
      <c r="H1948" s="35">
        <v>1.6083333333333334</v>
      </c>
      <c r="I1948" s="5" t="s">
        <v>55</v>
      </c>
      <c r="J1948" s="10" t="s">
        <v>10874</v>
      </c>
      <c r="K1948" s="5" t="s">
        <v>621</v>
      </c>
      <c r="L1948" s="5" t="s">
        <v>10875</v>
      </c>
      <c r="M1948" s="5" t="s">
        <v>45</v>
      </c>
      <c r="N1948" s="5" t="s">
        <v>123</v>
      </c>
      <c r="O1948" s="5" t="s">
        <v>59</v>
      </c>
      <c r="P1948" s="10" t="s">
        <v>47</v>
      </c>
      <c r="Q1948" s="10">
        <v>0</v>
      </c>
      <c r="R1948" s="10" t="s">
        <v>624</v>
      </c>
      <c r="S1948" s="5">
        <v>0</v>
      </c>
      <c r="T1948" s="37">
        <v>0</v>
      </c>
      <c r="U1948" s="5">
        <v>0</v>
      </c>
      <c r="V1948" s="37">
        <v>0</v>
      </c>
      <c r="W1948" s="5">
        <v>0</v>
      </c>
      <c r="X1948" s="5">
        <v>0</v>
      </c>
      <c r="Y1948" s="5">
        <v>0</v>
      </c>
      <c r="Z1948" s="37">
        <v>0</v>
      </c>
      <c r="AA1948" s="5">
        <v>0</v>
      </c>
      <c r="AB1948" s="5">
        <v>0</v>
      </c>
      <c r="AC1948" s="5">
        <v>0</v>
      </c>
      <c r="AD1948" s="5">
        <v>0</v>
      </c>
      <c r="AE1948" s="10" t="s">
        <v>73</v>
      </c>
      <c r="AF1948" s="10"/>
      <c r="AG1948" s="10" t="s">
        <v>333</v>
      </c>
      <c r="AH1948" s="10">
        <v>42087</v>
      </c>
      <c r="AI1948" s="5">
        <v>2</v>
      </c>
      <c r="AJ1948" s="10" t="s">
        <v>10876</v>
      </c>
      <c r="AK1948" s="10" t="s">
        <v>50</v>
      </c>
    </row>
    <row r="1949" spans="1:37" ht="36.75" customHeight="1" x14ac:dyDescent="0.35">
      <c r="A1949" s="5"/>
      <c r="B1949" s="5" t="s">
        <v>37</v>
      </c>
      <c r="C1949" s="73" t="str">
        <f t="shared" si="30"/>
        <v>Closed</v>
      </c>
      <c r="D1949" s="45" t="s">
        <v>10877</v>
      </c>
      <c r="E1949" s="54" t="s">
        <v>10878</v>
      </c>
      <c r="F1949" s="5" t="s">
        <v>1553</v>
      </c>
      <c r="G1949" s="10">
        <f>DATE(2015,2,14)</f>
        <v>42049</v>
      </c>
      <c r="H1949" s="35">
        <v>1.1909722222222223</v>
      </c>
      <c r="I1949" s="5" t="s">
        <v>55</v>
      </c>
      <c r="J1949" s="10" t="s">
        <v>10879</v>
      </c>
      <c r="K1949" s="5" t="s">
        <v>1555</v>
      </c>
      <c r="L1949" s="5" t="s">
        <v>10880</v>
      </c>
      <c r="M1949" s="5" t="s">
        <v>45</v>
      </c>
      <c r="N1949" s="5" t="s">
        <v>80</v>
      </c>
      <c r="O1949" s="5" t="s">
        <v>46</v>
      </c>
      <c r="P1949" s="10" t="s">
        <v>60</v>
      </c>
      <c r="Q1949" s="10" t="s">
        <v>7910</v>
      </c>
      <c r="R1949" s="10" t="s">
        <v>2541</v>
      </c>
      <c r="S1949" s="5">
        <v>0</v>
      </c>
      <c r="T1949" s="37">
        <v>0</v>
      </c>
      <c r="U1949" s="5">
        <v>0</v>
      </c>
      <c r="V1949" s="37">
        <v>0</v>
      </c>
      <c r="W1949" s="5">
        <v>0</v>
      </c>
      <c r="X1949" s="5">
        <v>0</v>
      </c>
      <c r="Y1949" s="5">
        <v>0</v>
      </c>
      <c r="Z1949" s="37">
        <v>0</v>
      </c>
      <c r="AA1949" s="5">
        <v>0</v>
      </c>
      <c r="AB1949" s="5">
        <v>0</v>
      </c>
      <c r="AC1949" s="5">
        <v>0</v>
      </c>
      <c r="AD1949" s="5">
        <v>0</v>
      </c>
      <c r="AE1949" s="10" t="s">
        <v>73</v>
      </c>
      <c r="AF1949" s="10"/>
      <c r="AG1949" s="10" t="s">
        <v>114</v>
      </c>
      <c r="AH1949" s="10">
        <v>42051</v>
      </c>
      <c r="AI1949" s="5">
        <v>1</v>
      </c>
      <c r="AJ1949" s="10" t="s">
        <v>10881</v>
      </c>
      <c r="AK1949" s="10" t="s">
        <v>10882</v>
      </c>
    </row>
    <row r="1950" spans="1:37" ht="36.75" customHeight="1" x14ac:dyDescent="0.35">
      <c r="A1950" s="5"/>
      <c r="B1950" s="5" t="s">
        <v>37</v>
      </c>
      <c r="C1950" s="73" t="str">
        <f t="shared" si="30"/>
        <v>Closed</v>
      </c>
      <c r="D1950" s="45" t="s">
        <v>10883</v>
      </c>
      <c r="E1950" s="54" t="s">
        <v>10884</v>
      </c>
      <c r="F1950" s="5" t="s">
        <v>404</v>
      </c>
      <c r="G1950" s="10">
        <f>DATE(2015,2,16)</f>
        <v>42051</v>
      </c>
      <c r="H1950" s="35">
        <v>1.5562499999999999</v>
      </c>
      <c r="I1950" s="5" t="s">
        <v>179</v>
      </c>
      <c r="J1950" s="10" t="s">
        <v>10885</v>
      </c>
      <c r="K1950" s="5" t="s">
        <v>406</v>
      </c>
      <c r="L1950" s="5" t="s">
        <v>10886</v>
      </c>
      <c r="M1950" s="5" t="s">
        <v>45</v>
      </c>
      <c r="N1950" s="5" t="s">
        <v>70</v>
      </c>
      <c r="O1950" s="5" t="s">
        <v>59</v>
      </c>
      <c r="P1950" s="10" t="s">
        <v>2531</v>
      </c>
      <c r="Q1950" s="10" t="s">
        <v>2562</v>
      </c>
      <c r="R1950" s="10" t="s">
        <v>3083</v>
      </c>
      <c r="S1950" s="5">
        <v>0</v>
      </c>
      <c r="T1950" s="37">
        <v>0</v>
      </c>
      <c r="U1950" s="5">
        <v>0</v>
      </c>
      <c r="V1950" s="37">
        <v>0</v>
      </c>
      <c r="W1950" s="5">
        <v>0</v>
      </c>
      <c r="X1950" s="5">
        <v>0</v>
      </c>
      <c r="Y1950" s="5">
        <v>0</v>
      </c>
      <c r="Z1950" s="37">
        <v>0</v>
      </c>
      <c r="AA1950" s="5">
        <v>0</v>
      </c>
      <c r="AB1950" s="5">
        <v>0</v>
      </c>
      <c r="AC1950" s="5">
        <v>0</v>
      </c>
      <c r="AD1950" s="5">
        <v>0</v>
      </c>
      <c r="AE1950" s="10" t="s">
        <v>375</v>
      </c>
      <c r="AF1950" s="10"/>
      <c r="AG1950" s="10" t="s">
        <v>570</v>
      </c>
      <c r="AH1950" s="10">
        <v>42280</v>
      </c>
      <c r="AI1950" s="5">
        <v>2</v>
      </c>
      <c r="AJ1950" s="10" t="s">
        <v>10887</v>
      </c>
      <c r="AK1950" s="10" t="s">
        <v>10888</v>
      </c>
    </row>
    <row r="1951" spans="1:37" ht="36.75" customHeight="1" x14ac:dyDescent="0.35">
      <c r="A1951" s="5"/>
      <c r="B1951" s="5" t="s">
        <v>37</v>
      </c>
      <c r="C1951" s="73" t="str">
        <f t="shared" si="30"/>
        <v>Closed</v>
      </c>
      <c r="D1951" s="45" t="s">
        <v>10889</v>
      </c>
      <c r="E1951" s="54" t="s">
        <v>10890</v>
      </c>
      <c r="F1951" s="5" t="s">
        <v>358</v>
      </c>
      <c r="G1951" s="10">
        <f>DATE(2015,2,16)</f>
        <v>42051</v>
      </c>
      <c r="H1951" s="35">
        <v>1.5222222222222221</v>
      </c>
      <c r="I1951" s="5" t="s">
        <v>179</v>
      </c>
      <c r="J1951" s="10" t="s">
        <v>10891</v>
      </c>
      <c r="K1951" s="5" t="s">
        <v>360</v>
      </c>
      <c r="L1951" s="5" t="s">
        <v>10892</v>
      </c>
      <c r="M1951" s="5" t="s">
        <v>45</v>
      </c>
      <c r="N1951" s="5" t="s">
        <v>123</v>
      </c>
      <c r="O1951" s="5" t="s">
        <v>46</v>
      </c>
      <c r="P1951" s="10" t="s">
        <v>1893</v>
      </c>
      <c r="Q1951" s="10" t="s">
        <v>10893</v>
      </c>
      <c r="R1951" s="10" t="s">
        <v>363</v>
      </c>
      <c r="S1951" s="5">
        <v>0</v>
      </c>
      <c r="T1951" s="37">
        <v>0</v>
      </c>
      <c r="U1951" s="5">
        <v>0</v>
      </c>
      <c r="V1951" s="37">
        <v>0</v>
      </c>
      <c r="W1951" s="5">
        <v>0</v>
      </c>
      <c r="X1951" s="5">
        <v>0</v>
      </c>
      <c r="Y1951" s="5">
        <v>0</v>
      </c>
      <c r="Z1951" s="37">
        <v>0</v>
      </c>
      <c r="AA1951" s="5">
        <v>0</v>
      </c>
      <c r="AB1951" s="5">
        <v>0</v>
      </c>
      <c r="AC1951" s="5">
        <v>0</v>
      </c>
      <c r="AD1951" s="5">
        <v>0</v>
      </c>
      <c r="AE1951" s="10" t="s">
        <v>375</v>
      </c>
      <c r="AF1951" s="10"/>
      <c r="AG1951" s="10" t="s">
        <v>114</v>
      </c>
      <c r="AH1951" s="10">
        <v>42052</v>
      </c>
      <c r="AI1951" s="5">
        <v>6</v>
      </c>
      <c r="AJ1951" s="10" t="s">
        <v>10894</v>
      </c>
      <c r="AK1951" s="10" t="s">
        <v>10895</v>
      </c>
    </row>
    <row r="1952" spans="1:37" ht="36.75" customHeight="1" x14ac:dyDescent="0.35">
      <c r="A1952" s="5"/>
      <c r="B1952" s="5" t="s">
        <v>37</v>
      </c>
      <c r="C1952" s="73" t="str">
        <f t="shared" si="30"/>
        <v>Closed</v>
      </c>
      <c r="D1952" s="45" t="s">
        <v>10896</v>
      </c>
      <c r="E1952" s="54" t="s">
        <v>10897</v>
      </c>
      <c r="F1952" s="5" t="s">
        <v>619</v>
      </c>
      <c r="G1952" s="10">
        <f>DATE(2015,2,17)</f>
        <v>42052</v>
      </c>
      <c r="H1952" s="35">
        <v>1.6458333333333335</v>
      </c>
      <c r="I1952" s="5" t="s">
        <v>85</v>
      </c>
      <c r="J1952" s="10" t="s">
        <v>10898</v>
      </c>
      <c r="K1952" s="5" t="s">
        <v>621</v>
      </c>
      <c r="L1952" s="5" t="s">
        <v>6897</v>
      </c>
      <c r="M1952" s="5" t="s">
        <v>45</v>
      </c>
      <c r="N1952" s="5" t="s">
        <v>123</v>
      </c>
      <c r="O1952" s="5" t="s">
        <v>59</v>
      </c>
      <c r="P1952" s="10" t="s">
        <v>6920</v>
      </c>
      <c r="Q1952" s="10">
        <v>0</v>
      </c>
      <c r="R1952" s="10" t="s">
        <v>624</v>
      </c>
      <c r="S1952" s="5">
        <v>0</v>
      </c>
      <c r="T1952" s="37">
        <v>0</v>
      </c>
      <c r="U1952" s="5">
        <v>0</v>
      </c>
      <c r="V1952" s="37">
        <v>0</v>
      </c>
      <c r="W1952" s="5">
        <v>0</v>
      </c>
      <c r="X1952" s="5">
        <v>0</v>
      </c>
      <c r="Y1952" s="5">
        <v>0</v>
      </c>
      <c r="Z1952" s="37">
        <v>0</v>
      </c>
      <c r="AA1952" s="5">
        <v>0</v>
      </c>
      <c r="AB1952" s="5">
        <v>0</v>
      </c>
      <c r="AC1952" s="5">
        <v>0</v>
      </c>
      <c r="AD1952" s="5">
        <v>0</v>
      </c>
      <c r="AE1952" s="10" t="s">
        <v>73</v>
      </c>
      <c r="AF1952" s="10"/>
      <c r="AG1952" s="10" t="s">
        <v>333</v>
      </c>
      <c r="AH1952" s="10">
        <v>42087</v>
      </c>
      <c r="AI1952" s="5">
        <v>0</v>
      </c>
      <c r="AJ1952" s="10" t="s">
        <v>10899</v>
      </c>
      <c r="AK1952" s="10" t="s">
        <v>50</v>
      </c>
    </row>
    <row r="1953" spans="1:37" ht="36.75" customHeight="1" x14ac:dyDescent="0.35">
      <c r="A1953" s="5"/>
      <c r="B1953" s="5" t="s">
        <v>37</v>
      </c>
      <c r="C1953" s="73" t="str">
        <f t="shared" si="30"/>
        <v>Closed</v>
      </c>
      <c r="D1953" s="45" t="s">
        <v>10900</v>
      </c>
      <c r="E1953" s="54" t="s">
        <v>10901</v>
      </c>
      <c r="F1953" s="5" t="s">
        <v>1553</v>
      </c>
      <c r="G1953" s="10">
        <f>DATE(2015,2,17)</f>
        <v>42052</v>
      </c>
      <c r="H1953" s="35">
        <v>1.4652777777777777</v>
      </c>
      <c r="I1953" s="5" t="s">
        <v>1022</v>
      </c>
      <c r="J1953" s="10" t="s">
        <v>10902</v>
      </c>
      <c r="K1953" s="5" t="s">
        <v>1555</v>
      </c>
      <c r="L1953" s="5" t="s">
        <v>10903</v>
      </c>
      <c r="M1953" s="5" t="s">
        <v>45</v>
      </c>
      <c r="N1953" s="5" t="s">
        <v>80</v>
      </c>
      <c r="O1953" s="5" t="s">
        <v>59</v>
      </c>
      <c r="P1953" s="10" t="s">
        <v>6920</v>
      </c>
      <c r="Q1953" s="10" t="s">
        <v>2393</v>
      </c>
      <c r="R1953" s="10" t="s">
        <v>6413</v>
      </c>
      <c r="S1953" s="5">
        <v>0</v>
      </c>
      <c r="T1953" s="37">
        <v>0</v>
      </c>
      <c r="U1953" s="5">
        <v>0</v>
      </c>
      <c r="V1953" s="37">
        <v>0</v>
      </c>
      <c r="W1953" s="5">
        <v>0</v>
      </c>
      <c r="X1953" s="5">
        <v>0</v>
      </c>
      <c r="Y1953" s="5">
        <v>0</v>
      </c>
      <c r="Z1953" s="37">
        <v>0</v>
      </c>
      <c r="AA1953" s="5">
        <v>0</v>
      </c>
      <c r="AB1953" s="5">
        <v>0</v>
      </c>
      <c r="AC1953" s="5">
        <v>0</v>
      </c>
      <c r="AD1953" s="5">
        <v>0</v>
      </c>
      <c r="AE1953" s="10" t="s">
        <v>73</v>
      </c>
      <c r="AF1953" s="10"/>
      <c r="AG1953" s="10" t="s">
        <v>570</v>
      </c>
      <c r="AH1953" s="10">
        <v>42055</v>
      </c>
      <c r="AI1953" s="5">
        <v>2</v>
      </c>
      <c r="AJ1953" s="10" t="s">
        <v>10904</v>
      </c>
      <c r="AK1953" s="10" t="s">
        <v>10905</v>
      </c>
    </row>
    <row r="1954" spans="1:37" ht="36.75" customHeight="1" x14ac:dyDescent="0.35">
      <c r="A1954" s="5"/>
      <c r="B1954" s="5" t="s">
        <v>37</v>
      </c>
      <c r="C1954" s="73" t="str">
        <f t="shared" si="30"/>
        <v>Closed</v>
      </c>
      <c r="D1954" s="45" t="s">
        <v>10906</v>
      </c>
      <c r="E1954" s="54" t="s">
        <v>10907</v>
      </c>
      <c r="F1954" s="5" t="s">
        <v>6434</v>
      </c>
      <c r="G1954" s="10">
        <f>DATE(2015,2,18)</f>
        <v>42053</v>
      </c>
      <c r="H1954" s="35">
        <v>1.5416666666666665</v>
      </c>
      <c r="I1954" s="5" t="s">
        <v>2059</v>
      </c>
      <c r="J1954" s="10" t="s">
        <v>10908</v>
      </c>
      <c r="K1954" s="5" t="s">
        <v>565</v>
      </c>
      <c r="L1954" s="5" t="s">
        <v>10909</v>
      </c>
      <c r="M1954" s="5" t="s">
        <v>45</v>
      </c>
      <c r="N1954" s="5" t="s">
        <v>123</v>
      </c>
      <c r="O1954" s="5" t="s">
        <v>46</v>
      </c>
      <c r="P1954" s="10" t="s">
        <v>146</v>
      </c>
      <c r="Q1954" s="10" t="s">
        <v>4467</v>
      </c>
      <c r="R1954" s="10" t="s">
        <v>568</v>
      </c>
      <c r="S1954" s="5">
        <v>0</v>
      </c>
      <c r="T1954" s="37">
        <v>0</v>
      </c>
      <c r="U1954" s="5">
        <v>0</v>
      </c>
      <c r="V1954" s="37">
        <v>0</v>
      </c>
      <c r="W1954" s="5">
        <v>0</v>
      </c>
      <c r="X1954" s="5">
        <v>0</v>
      </c>
      <c r="Y1954" s="5">
        <v>0</v>
      </c>
      <c r="Z1954" s="37">
        <v>0</v>
      </c>
      <c r="AA1954" s="5">
        <v>0</v>
      </c>
      <c r="AB1954" s="5">
        <v>0</v>
      </c>
      <c r="AC1954" s="5">
        <v>0</v>
      </c>
      <c r="AD1954" s="5">
        <v>0</v>
      </c>
      <c r="AE1954" s="10" t="s">
        <v>73</v>
      </c>
      <c r="AF1954" s="10" t="s">
        <v>10910</v>
      </c>
      <c r="AG1954" s="10" t="s">
        <v>8837</v>
      </c>
      <c r="AH1954" s="10">
        <v>42132</v>
      </c>
      <c r="AI1954" s="5">
        <v>0</v>
      </c>
      <c r="AJ1954" s="10" t="s">
        <v>10911</v>
      </c>
      <c r="AK1954" s="10" t="s">
        <v>10547</v>
      </c>
    </row>
    <row r="1955" spans="1:37" ht="36.75" customHeight="1" x14ac:dyDescent="0.35">
      <c r="A1955" s="5"/>
      <c r="B1955" s="5" t="s">
        <v>37</v>
      </c>
      <c r="C1955" s="73" t="str">
        <f t="shared" si="30"/>
        <v>Closed</v>
      </c>
      <c r="D1955" s="45" t="s">
        <v>10912</v>
      </c>
      <c r="E1955" s="54" t="s">
        <v>10913</v>
      </c>
      <c r="F1955" s="5" t="s">
        <v>404</v>
      </c>
      <c r="G1955" s="10">
        <f>DATE(2015,2,19)</f>
        <v>42054</v>
      </c>
      <c r="H1955" s="35">
        <v>1.6805555555555554</v>
      </c>
      <c r="I1955" s="5" t="s">
        <v>2059</v>
      </c>
      <c r="J1955" s="10" t="s">
        <v>10914</v>
      </c>
      <c r="K1955" s="5" t="s">
        <v>406</v>
      </c>
      <c r="L1955" s="5" t="s">
        <v>10915</v>
      </c>
      <c r="M1955" s="5" t="s">
        <v>45</v>
      </c>
      <c r="N1955" s="5" t="s">
        <v>70</v>
      </c>
      <c r="O1955" s="5" t="s">
        <v>6854</v>
      </c>
      <c r="P1955" s="10" t="s">
        <v>72</v>
      </c>
      <c r="Q1955" s="10" t="s">
        <v>5178</v>
      </c>
      <c r="R1955" s="10" t="s">
        <v>5179</v>
      </c>
      <c r="S1955" s="5">
        <v>0</v>
      </c>
      <c r="T1955" s="37">
        <v>0</v>
      </c>
      <c r="U1955" s="5">
        <v>0</v>
      </c>
      <c r="V1955" s="37">
        <v>0</v>
      </c>
      <c r="W1955" s="5">
        <v>0</v>
      </c>
      <c r="X1955" s="5">
        <v>0</v>
      </c>
      <c r="Y1955" s="5">
        <v>0</v>
      </c>
      <c r="Z1955" s="37">
        <v>0</v>
      </c>
      <c r="AA1955" s="5">
        <v>0</v>
      </c>
      <c r="AB1955" s="5">
        <v>0</v>
      </c>
      <c r="AC1955" s="5">
        <v>0</v>
      </c>
      <c r="AD1955" s="5">
        <v>0</v>
      </c>
      <c r="AE1955" s="10" t="s">
        <v>375</v>
      </c>
      <c r="AF1955" s="10"/>
      <c r="AG1955" s="10" t="s">
        <v>114</v>
      </c>
      <c r="AH1955" s="10">
        <v>42055</v>
      </c>
      <c r="AI1955" s="5">
        <v>3</v>
      </c>
      <c r="AJ1955" s="10" t="s">
        <v>10916</v>
      </c>
      <c r="AK1955" s="10" t="s">
        <v>10917</v>
      </c>
    </row>
    <row r="1956" spans="1:37" ht="36.75" customHeight="1" x14ac:dyDescent="0.35">
      <c r="A1956" s="5"/>
      <c r="B1956" s="5" t="s">
        <v>37</v>
      </c>
      <c r="C1956" s="73" t="str">
        <f t="shared" si="30"/>
        <v>Closed</v>
      </c>
      <c r="D1956" s="45" t="s">
        <v>10918</v>
      </c>
      <c r="E1956" s="54" t="s">
        <v>10919</v>
      </c>
      <c r="F1956" s="5" t="s">
        <v>214</v>
      </c>
      <c r="G1956" s="10">
        <f>DATE(2015,2,22)</f>
        <v>42057</v>
      </c>
      <c r="H1956" s="35">
        <v>1.7333333333333334</v>
      </c>
      <c r="I1956" s="5" t="s">
        <v>137</v>
      </c>
      <c r="J1956" s="10" t="s">
        <v>10920</v>
      </c>
      <c r="K1956" s="5" t="s">
        <v>216</v>
      </c>
      <c r="L1956" s="5" t="s">
        <v>10921</v>
      </c>
      <c r="M1956" s="5" t="s">
        <v>45</v>
      </c>
      <c r="N1956" s="5" t="s">
        <v>123</v>
      </c>
      <c r="O1956" s="5" t="s">
        <v>46</v>
      </c>
      <c r="P1956" s="10" t="s">
        <v>6920</v>
      </c>
      <c r="Q1956" s="10" t="s">
        <v>1410</v>
      </c>
      <c r="R1956" s="10" t="s">
        <v>219</v>
      </c>
      <c r="S1956" s="5">
        <v>0</v>
      </c>
      <c r="T1956" s="37">
        <v>0</v>
      </c>
      <c r="U1956" s="5">
        <v>0</v>
      </c>
      <c r="V1956" s="37">
        <v>0</v>
      </c>
      <c r="W1956" s="5">
        <v>0</v>
      </c>
      <c r="X1956" s="5">
        <v>0</v>
      </c>
      <c r="Y1956" s="5">
        <v>0</v>
      </c>
      <c r="Z1956" s="37">
        <v>0</v>
      </c>
      <c r="AA1956" s="5">
        <v>0</v>
      </c>
      <c r="AB1956" s="5">
        <v>0</v>
      </c>
      <c r="AC1956" s="5">
        <v>0</v>
      </c>
      <c r="AD1956" s="5">
        <v>0</v>
      </c>
      <c r="AE1956" s="10" t="s">
        <v>73</v>
      </c>
      <c r="AF1956" s="10"/>
      <c r="AG1956" s="10" t="s">
        <v>114</v>
      </c>
      <c r="AH1956" s="10">
        <v>42065</v>
      </c>
      <c r="AI1956" s="5">
        <v>4</v>
      </c>
      <c r="AJ1956" s="10" t="s">
        <v>10922</v>
      </c>
      <c r="AK1956" s="10" t="s">
        <v>10923</v>
      </c>
    </row>
    <row r="1957" spans="1:37" ht="36.75" customHeight="1" x14ac:dyDescent="0.35">
      <c r="A1957" s="5"/>
      <c r="B1957" s="5" t="s">
        <v>37</v>
      </c>
      <c r="C1957" s="73" t="str">
        <f t="shared" si="30"/>
        <v>Closed</v>
      </c>
      <c r="D1957" s="45" t="s">
        <v>10924</v>
      </c>
      <c r="E1957" s="54" t="s">
        <v>10925</v>
      </c>
      <c r="F1957" s="5" t="s">
        <v>404</v>
      </c>
      <c r="G1957" s="10">
        <f>DATE(2015,2,27)</f>
        <v>42062</v>
      </c>
      <c r="H1957" s="35">
        <v>1.7916666666666665</v>
      </c>
      <c r="I1957" s="5" t="s">
        <v>259</v>
      </c>
      <c r="J1957" s="10" t="s">
        <v>10926</v>
      </c>
      <c r="K1957" s="5" t="s">
        <v>406</v>
      </c>
      <c r="L1957" s="5" t="s">
        <v>10927</v>
      </c>
      <c r="M1957" s="5" t="s">
        <v>45</v>
      </c>
      <c r="N1957" s="5" t="s">
        <v>123</v>
      </c>
      <c r="O1957" s="5" t="s">
        <v>59</v>
      </c>
      <c r="P1957" s="10" t="s">
        <v>146</v>
      </c>
      <c r="Q1957" s="10" t="s">
        <v>408</v>
      </c>
      <c r="R1957" s="10" t="s">
        <v>3083</v>
      </c>
      <c r="S1957" s="5">
        <v>0</v>
      </c>
      <c r="T1957" s="37">
        <v>0</v>
      </c>
      <c r="U1957" s="5">
        <v>0</v>
      </c>
      <c r="V1957" s="37">
        <v>0</v>
      </c>
      <c r="W1957" s="5">
        <v>0</v>
      </c>
      <c r="X1957" s="5">
        <v>0</v>
      </c>
      <c r="Y1957" s="5">
        <v>0</v>
      </c>
      <c r="Z1957" s="37">
        <v>0</v>
      </c>
      <c r="AA1957" s="5">
        <v>0</v>
      </c>
      <c r="AB1957" s="5">
        <v>0</v>
      </c>
      <c r="AC1957" s="5">
        <v>0</v>
      </c>
      <c r="AD1957" s="5">
        <v>0</v>
      </c>
      <c r="AE1957" s="10" t="s">
        <v>73</v>
      </c>
      <c r="AF1957" s="10"/>
      <c r="AG1957" s="10" t="s">
        <v>570</v>
      </c>
      <c r="AH1957" s="10">
        <v>42280</v>
      </c>
      <c r="AI1957" s="5">
        <v>2</v>
      </c>
      <c r="AJ1957" s="10" t="s">
        <v>10928</v>
      </c>
      <c r="AK1957" s="10" t="s">
        <v>10929</v>
      </c>
    </row>
    <row r="1958" spans="1:37" ht="36.75" customHeight="1" x14ac:dyDescent="0.35">
      <c r="A1958" s="5"/>
      <c r="B1958" s="5" t="s">
        <v>37</v>
      </c>
      <c r="C1958" s="73" t="str">
        <f t="shared" si="30"/>
        <v>Closed</v>
      </c>
      <c r="D1958" s="45" t="s">
        <v>10930</v>
      </c>
      <c r="E1958" s="54" t="s">
        <v>10931</v>
      </c>
      <c r="F1958" s="5" t="s">
        <v>9767</v>
      </c>
      <c r="G1958" s="10">
        <f>DATE(2015,2,27)</f>
        <v>42062</v>
      </c>
      <c r="H1958" s="35">
        <v>1.75</v>
      </c>
      <c r="I1958" s="5" t="s">
        <v>97</v>
      </c>
      <c r="J1958" s="10" t="s">
        <v>10932</v>
      </c>
      <c r="K1958" s="5" t="s">
        <v>9769</v>
      </c>
      <c r="L1958" s="5" t="s">
        <v>10933</v>
      </c>
      <c r="M1958" s="5" t="s">
        <v>45</v>
      </c>
      <c r="N1958" s="5" t="s">
        <v>80</v>
      </c>
      <c r="O1958" s="5" t="s">
        <v>46</v>
      </c>
      <c r="P1958" s="10" t="s">
        <v>60</v>
      </c>
      <c r="Q1958" s="10" t="s">
        <v>10235</v>
      </c>
      <c r="R1958" s="10" t="s">
        <v>9772</v>
      </c>
      <c r="S1958" s="5">
        <v>0</v>
      </c>
      <c r="T1958" s="37">
        <v>0</v>
      </c>
      <c r="U1958" s="5">
        <v>0</v>
      </c>
      <c r="V1958" s="37">
        <v>0</v>
      </c>
      <c r="W1958" s="5">
        <v>0</v>
      </c>
      <c r="X1958" s="5">
        <v>0</v>
      </c>
      <c r="Y1958" s="5">
        <v>0</v>
      </c>
      <c r="Z1958" s="37">
        <v>0</v>
      </c>
      <c r="AA1958" s="5">
        <v>0</v>
      </c>
      <c r="AB1958" s="5">
        <v>0</v>
      </c>
      <c r="AC1958" s="5">
        <v>0</v>
      </c>
      <c r="AD1958" s="5">
        <v>0</v>
      </c>
      <c r="AE1958" s="10" t="s">
        <v>375</v>
      </c>
      <c r="AF1958" s="10"/>
      <c r="AG1958" s="10" t="s">
        <v>333</v>
      </c>
      <c r="AH1958" s="10">
        <v>42063</v>
      </c>
      <c r="AI1958" s="5">
        <v>5</v>
      </c>
      <c r="AJ1958" s="10" t="s">
        <v>10934</v>
      </c>
      <c r="AK1958" s="10" t="s">
        <v>10935</v>
      </c>
    </row>
    <row r="1959" spans="1:37" ht="36.75" customHeight="1" x14ac:dyDescent="0.35">
      <c r="A1959" s="5"/>
      <c r="B1959" s="5" t="s">
        <v>37</v>
      </c>
      <c r="C1959" s="73" t="str">
        <f t="shared" si="30"/>
        <v>Closed</v>
      </c>
      <c r="D1959" s="45" t="s">
        <v>10936</v>
      </c>
      <c r="E1959" s="54" t="s">
        <v>10937</v>
      </c>
      <c r="F1959" s="5" t="s">
        <v>6434</v>
      </c>
      <c r="G1959" s="10">
        <f>DATE(2015,3,3)</f>
        <v>42066</v>
      </c>
      <c r="H1959" s="35">
        <v>1.3812500000000001</v>
      </c>
      <c r="I1959" s="5" t="s">
        <v>2059</v>
      </c>
      <c r="J1959" s="10" t="s">
        <v>10938</v>
      </c>
      <c r="K1959" s="5" t="s">
        <v>565</v>
      </c>
      <c r="L1959" s="5" t="s">
        <v>10939</v>
      </c>
      <c r="M1959" s="5" t="s">
        <v>45</v>
      </c>
      <c r="N1959" s="5" t="s">
        <v>80</v>
      </c>
      <c r="O1959" s="5" t="s">
        <v>59</v>
      </c>
      <c r="P1959" s="10" t="s">
        <v>146</v>
      </c>
      <c r="Q1959" s="10" t="s">
        <v>10940</v>
      </c>
      <c r="R1959" s="10" t="s">
        <v>568</v>
      </c>
      <c r="S1959" s="5">
        <v>0</v>
      </c>
      <c r="T1959" s="37">
        <v>0</v>
      </c>
      <c r="U1959" s="5">
        <v>0</v>
      </c>
      <c r="V1959" s="37">
        <v>0</v>
      </c>
      <c r="W1959" s="5">
        <v>0</v>
      </c>
      <c r="X1959" s="5">
        <v>0</v>
      </c>
      <c r="Y1959" s="5">
        <v>0</v>
      </c>
      <c r="Z1959" s="37">
        <v>0</v>
      </c>
      <c r="AA1959" s="5">
        <v>0</v>
      </c>
      <c r="AB1959" s="5">
        <v>0</v>
      </c>
      <c r="AC1959" s="5">
        <v>0</v>
      </c>
      <c r="AD1959" s="5">
        <v>0</v>
      </c>
      <c r="AE1959" s="10" t="s">
        <v>73</v>
      </c>
      <c r="AF1959" s="10" t="s">
        <v>10941</v>
      </c>
      <c r="AG1959" s="10" t="s">
        <v>8837</v>
      </c>
      <c r="AH1959" s="10">
        <v>42104</v>
      </c>
      <c r="AI1959" s="5">
        <v>0</v>
      </c>
      <c r="AJ1959" s="10" t="s">
        <v>10942</v>
      </c>
      <c r="AK1959" s="10" t="s">
        <v>10943</v>
      </c>
    </row>
    <row r="1960" spans="1:37" ht="36.75" customHeight="1" x14ac:dyDescent="0.35">
      <c r="A1960" s="5"/>
      <c r="B1960" s="5" t="s">
        <v>37</v>
      </c>
      <c r="C1960" s="73" t="str">
        <f t="shared" si="30"/>
        <v>Closed</v>
      </c>
      <c r="D1960" s="45" t="s">
        <v>10944</v>
      </c>
      <c r="E1960" s="54" t="s">
        <v>10945</v>
      </c>
      <c r="F1960" s="5" t="s">
        <v>619</v>
      </c>
      <c r="G1960" s="10">
        <f>DATE(2015,3,4)</f>
        <v>42067</v>
      </c>
      <c r="H1960" s="35">
        <v>1.8034722222222221</v>
      </c>
      <c r="I1960" s="5" t="s">
        <v>55</v>
      </c>
      <c r="J1960" s="10" t="s">
        <v>10946</v>
      </c>
      <c r="K1960" s="5" t="s">
        <v>621</v>
      </c>
      <c r="L1960" s="5" t="s">
        <v>10947</v>
      </c>
      <c r="M1960" s="5" t="s">
        <v>45</v>
      </c>
      <c r="N1960" s="5" t="s">
        <v>80</v>
      </c>
      <c r="O1960" s="5" t="s">
        <v>46</v>
      </c>
      <c r="P1960" s="10" t="s">
        <v>6920</v>
      </c>
      <c r="Q1960" s="10">
        <v>0</v>
      </c>
      <c r="R1960" s="10" t="s">
        <v>624</v>
      </c>
      <c r="S1960" s="5">
        <v>0</v>
      </c>
      <c r="T1960" s="37">
        <v>0</v>
      </c>
      <c r="U1960" s="5">
        <v>0</v>
      </c>
      <c r="V1960" s="37">
        <v>0</v>
      </c>
      <c r="W1960" s="5">
        <v>0</v>
      </c>
      <c r="X1960" s="5">
        <v>0</v>
      </c>
      <c r="Y1960" s="5">
        <v>0</v>
      </c>
      <c r="Z1960" s="37">
        <v>0</v>
      </c>
      <c r="AA1960" s="5">
        <v>0</v>
      </c>
      <c r="AB1960" s="5">
        <v>0</v>
      </c>
      <c r="AC1960" s="5">
        <v>0</v>
      </c>
      <c r="AD1960" s="5">
        <v>0</v>
      </c>
      <c r="AE1960" s="10" t="s">
        <v>73</v>
      </c>
      <c r="AF1960" s="10"/>
      <c r="AG1960" s="10" t="s">
        <v>333</v>
      </c>
      <c r="AH1960" s="10">
        <v>42080</v>
      </c>
      <c r="AI1960" s="5">
        <v>2</v>
      </c>
      <c r="AJ1960" s="10" t="s">
        <v>10948</v>
      </c>
      <c r="AK1960" s="10" t="s">
        <v>50</v>
      </c>
    </row>
    <row r="1961" spans="1:37" ht="36.75" customHeight="1" x14ac:dyDescent="0.35">
      <c r="A1961" s="5"/>
      <c r="B1961" s="5" t="s">
        <v>37</v>
      </c>
      <c r="C1961" s="73" t="str">
        <f t="shared" si="30"/>
        <v>Closed</v>
      </c>
      <c r="D1961" s="45" t="s">
        <v>10949</v>
      </c>
      <c r="E1961" s="54" t="s">
        <v>10950</v>
      </c>
      <c r="F1961" s="5" t="s">
        <v>54</v>
      </c>
      <c r="G1961" s="10">
        <f>DATE(2015,3,6)</f>
        <v>42069</v>
      </c>
      <c r="H1961" s="35">
        <v>1.6979166666666665</v>
      </c>
      <c r="I1961" s="5" t="s">
        <v>179</v>
      </c>
      <c r="J1961" s="10" t="s">
        <v>10951</v>
      </c>
      <c r="K1961" s="5" t="s">
        <v>57</v>
      </c>
      <c r="L1961" s="5" t="s">
        <v>10952</v>
      </c>
      <c r="M1961" s="5" t="s">
        <v>45</v>
      </c>
      <c r="N1961" s="5" t="s">
        <v>70</v>
      </c>
      <c r="O1961" s="5" t="s">
        <v>59</v>
      </c>
      <c r="P1961" s="10" t="s">
        <v>10666</v>
      </c>
      <c r="Q1961" s="10">
        <v>0</v>
      </c>
      <c r="R1961" s="10" t="s">
        <v>57</v>
      </c>
      <c r="S1961" s="5">
        <v>0</v>
      </c>
      <c r="T1961" s="36">
        <v>0</v>
      </c>
      <c r="U1961" s="5">
        <v>0</v>
      </c>
      <c r="V1961" s="36">
        <v>0</v>
      </c>
      <c r="W1961" s="5">
        <v>0</v>
      </c>
      <c r="X1961" s="5">
        <v>0</v>
      </c>
      <c r="Y1961" s="5">
        <v>0</v>
      </c>
      <c r="Z1961" s="36">
        <v>0</v>
      </c>
      <c r="AA1961" s="5">
        <v>0</v>
      </c>
      <c r="AB1961" s="5">
        <v>0</v>
      </c>
      <c r="AC1961" s="5">
        <v>0</v>
      </c>
      <c r="AD1961" s="5">
        <v>0</v>
      </c>
      <c r="AE1961" s="10" t="s">
        <v>375</v>
      </c>
      <c r="AF1961" s="10"/>
      <c r="AG1961" s="10" t="s">
        <v>114</v>
      </c>
      <c r="AH1961" s="10">
        <v>42073</v>
      </c>
      <c r="AI1961" s="5">
        <v>6</v>
      </c>
      <c r="AJ1961" s="10" t="s">
        <v>10953</v>
      </c>
      <c r="AK1961" s="10" t="s">
        <v>50</v>
      </c>
    </row>
    <row r="1962" spans="1:37" ht="36.75" customHeight="1" x14ac:dyDescent="0.35">
      <c r="A1962" s="23" t="s">
        <v>4890</v>
      </c>
      <c r="B1962" s="5" t="s">
        <v>37</v>
      </c>
      <c r="C1962" s="73" t="str">
        <f t="shared" si="30"/>
        <v>Closed</v>
      </c>
      <c r="D1962" s="45" t="s">
        <v>10954</v>
      </c>
      <c r="E1962" s="54" t="s">
        <v>10955</v>
      </c>
      <c r="F1962" s="5" t="s">
        <v>563</v>
      </c>
      <c r="G1962" s="10">
        <f>DATE(2015,3,7)</f>
        <v>42070</v>
      </c>
      <c r="H1962" s="35">
        <v>1.911111111111111</v>
      </c>
      <c r="I1962" s="5" t="s">
        <v>97</v>
      </c>
      <c r="J1962" s="10" t="s">
        <v>10956</v>
      </c>
      <c r="K1962" s="5" t="s">
        <v>565</v>
      </c>
      <c r="L1962" s="5" t="s">
        <v>10957</v>
      </c>
      <c r="M1962" s="5" t="s">
        <v>45</v>
      </c>
      <c r="N1962" s="5" t="s">
        <v>123</v>
      </c>
      <c r="O1962" s="5" t="s">
        <v>46</v>
      </c>
      <c r="P1962" s="10" t="s">
        <v>146</v>
      </c>
      <c r="Q1962" s="10" t="s">
        <v>4467</v>
      </c>
      <c r="R1962" s="10" t="s">
        <v>568</v>
      </c>
      <c r="S1962" s="5">
        <v>0</v>
      </c>
      <c r="T1962" s="58">
        <v>0</v>
      </c>
      <c r="U1962" s="5">
        <v>0</v>
      </c>
      <c r="V1962" s="58">
        <v>0</v>
      </c>
      <c r="W1962" s="5">
        <v>0</v>
      </c>
      <c r="X1962" s="5">
        <v>0</v>
      </c>
      <c r="Y1962" s="5">
        <v>0</v>
      </c>
      <c r="Z1962" s="58">
        <v>0</v>
      </c>
      <c r="AA1962" s="5">
        <v>0</v>
      </c>
      <c r="AB1962" s="5">
        <v>0</v>
      </c>
      <c r="AC1962" s="5">
        <v>0</v>
      </c>
      <c r="AD1962" s="5">
        <v>0</v>
      </c>
      <c r="AE1962" s="10" t="s">
        <v>375</v>
      </c>
      <c r="AF1962" s="10"/>
      <c r="AG1962" s="10" t="s">
        <v>333</v>
      </c>
      <c r="AH1962" s="10">
        <v>42139</v>
      </c>
      <c r="AI1962" s="5">
        <v>0</v>
      </c>
      <c r="AJ1962" s="10" t="s">
        <v>50</v>
      </c>
      <c r="AK1962" s="10" t="s">
        <v>50</v>
      </c>
    </row>
    <row r="1963" spans="1:37" ht="36.75" customHeight="1" x14ac:dyDescent="0.35">
      <c r="A1963" s="5"/>
      <c r="B1963" s="5" t="s">
        <v>37</v>
      </c>
      <c r="C1963" s="73" t="str">
        <f t="shared" si="30"/>
        <v>Closed</v>
      </c>
      <c r="D1963" s="45" t="s">
        <v>10958</v>
      </c>
      <c r="E1963" s="54" t="s">
        <v>10959</v>
      </c>
      <c r="F1963" s="5" t="s">
        <v>432</v>
      </c>
      <c r="G1963" s="10">
        <f>DATE(2015,3,7)</f>
        <v>42070</v>
      </c>
      <c r="H1963" s="35">
        <v>1.0833333333333333</v>
      </c>
      <c r="I1963" s="5" t="s">
        <v>259</v>
      </c>
      <c r="J1963" s="10" t="s">
        <v>10960</v>
      </c>
      <c r="K1963" s="5" t="s">
        <v>434</v>
      </c>
      <c r="L1963" s="5" t="s">
        <v>10961</v>
      </c>
      <c r="M1963" s="5" t="s">
        <v>45</v>
      </c>
      <c r="N1963" s="5" t="s">
        <v>123</v>
      </c>
      <c r="O1963" s="5" t="s">
        <v>59</v>
      </c>
      <c r="P1963" s="10" t="s">
        <v>60</v>
      </c>
      <c r="Q1963" s="10" t="s">
        <v>10962</v>
      </c>
      <c r="R1963" s="10" t="s">
        <v>553</v>
      </c>
      <c r="S1963" s="5">
        <v>0</v>
      </c>
      <c r="T1963" s="37">
        <v>0</v>
      </c>
      <c r="U1963" s="5">
        <v>0</v>
      </c>
      <c r="V1963" s="37">
        <v>1</v>
      </c>
      <c r="W1963" s="5">
        <v>0</v>
      </c>
      <c r="X1963" s="5">
        <v>1</v>
      </c>
      <c r="Y1963" s="5">
        <v>0</v>
      </c>
      <c r="Z1963" s="37">
        <v>0</v>
      </c>
      <c r="AA1963" s="5">
        <v>0</v>
      </c>
      <c r="AB1963" s="5">
        <v>0</v>
      </c>
      <c r="AC1963" s="5">
        <v>0</v>
      </c>
      <c r="AD1963" s="5">
        <v>0</v>
      </c>
      <c r="AE1963" s="10" t="s">
        <v>73</v>
      </c>
      <c r="AF1963" s="10"/>
      <c r="AG1963" s="10" t="s">
        <v>64</v>
      </c>
      <c r="AH1963" s="10">
        <v>42072</v>
      </c>
      <c r="AI1963" s="5">
        <v>0</v>
      </c>
      <c r="AJ1963" s="10" t="s">
        <v>10963</v>
      </c>
      <c r="AK1963" s="10" t="s">
        <v>50</v>
      </c>
    </row>
    <row r="1964" spans="1:37" ht="36.75" customHeight="1" x14ac:dyDescent="0.35">
      <c r="A1964" s="5"/>
      <c r="B1964" s="5" t="s">
        <v>37</v>
      </c>
      <c r="C1964" s="73" t="str">
        <f t="shared" si="30"/>
        <v>Closed</v>
      </c>
      <c r="D1964" s="45" t="s">
        <v>10964</v>
      </c>
      <c r="E1964" s="54" t="s">
        <v>10965</v>
      </c>
      <c r="F1964" s="5" t="s">
        <v>214</v>
      </c>
      <c r="G1964" s="10">
        <f>DATE(2015,3,7)</f>
        <v>42070</v>
      </c>
      <c r="H1964" s="35">
        <v>1.7263888888888888</v>
      </c>
      <c r="I1964" s="5" t="s">
        <v>85</v>
      </c>
      <c r="J1964" s="10" t="s">
        <v>10966</v>
      </c>
      <c r="K1964" s="5" t="s">
        <v>216</v>
      </c>
      <c r="L1964" s="5" t="s">
        <v>10967</v>
      </c>
      <c r="M1964" s="5" t="s">
        <v>45</v>
      </c>
      <c r="N1964" s="5" t="s">
        <v>70</v>
      </c>
      <c r="O1964" s="5" t="s">
        <v>46</v>
      </c>
      <c r="P1964" s="10" t="s">
        <v>6920</v>
      </c>
      <c r="Q1964" s="10" t="s">
        <v>8346</v>
      </c>
      <c r="R1964" s="10" t="s">
        <v>219</v>
      </c>
      <c r="S1964" s="5">
        <v>0</v>
      </c>
      <c r="T1964" s="37">
        <v>0</v>
      </c>
      <c r="U1964" s="5">
        <v>0</v>
      </c>
      <c r="V1964" s="37">
        <v>0</v>
      </c>
      <c r="W1964" s="5">
        <v>0</v>
      </c>
      <c r="X1964" s="5">
        <v>0</v>
      </c>
      <c r="Y1964" s="5">
        <v>0</v>
      </c>
      <c r="Z1964" s="37">
        <v>0</v>
      </c>
      <c r="AA1964" s="5">
        <v>0</v>
      </c>
      <c r="AB1964" s="5">
        <v>0</v>
      </c>
      <c r="AC1964" s="5">
        <v>0</v>
      </c>
      <c r="AD1964" s="5">
        <v>0</v>
      </c>
      <c r="AE1964" s="10" t="s">
        <v>73</v>
      </c>
      <c r="AF1964" s="10"/>
      <c r="AG1964" s="10" t="s">
        <v>114</v>
      </c>
      <c r="AH1964" s="10">
        <v>42072</v>
      </c>
      <c r="AI1964" s="5">
        <v>5</v>
      </c>
      <c r="AJ1964" s="10" t="s">
        <v>10968</v>
      </c>
      <c r="AK1964" s="10" t="s">
        <v>10969</v>
      </c>
    </row>
    <row r="1965" spans="1:37" ht="36.75" customHeight="1" x14ac:dyDescent="0.35">
      <c r="A1965" s="5"/>
      <c r="B1965" s="5" t="s">
        <v>37</v>
      </c>
      <c r="C1965" s="73" t="str">
        <f t="shared" si="30"/>
        <v>Closed</v>
      </c>
      <c r="D1965" s="45" t="s">
        <v>10970</v>
      </c>
      <c r="E1965" s="54" t="s">
        <v>10971</v>
      </c>
      <c r="F1965" s="5" t="s">
        <v>214</v>
      </c>
      <c r="G1965" s="10">
        <f>DATE(2015,3,7)</f>
        <v>42070</v>
      </c>
      <c r="H1965" s="35">
        <v>1.0972222222222223</v>
      </c>
      <c r="I1965" s="5" t="s">
        <v>5473</v>
      </c>
      <c r="J1965" s="10" t="s">
        <v>10972</v>
      </c>
      <c r="K1965" s="5" t="s">
        <v>216</v>
      </c>
      <c r="L1965" s="5" t="s">
        <v>10973</v>
      </c>
      <c r="M1965" s="5" t="s">
        <v>45</v>
      </c>
      <c r="N1965" s="5" t="s">
        <v>123</v>
      </c>
      <c r="O1965" s="5" t="s">
        <v>46</v>
      </c>
      <c r="P1965" s="10" t="s">
        <v>60</v>
      </c>
      <c r="Q1965" s="10" t="s">
        <v>415</v>
      </c>
      <c r="R1965" s="10" t="s">
        <v>216</v>
      </c>
      <c r="S1965" s="5">
        <v>0</v>
      </c>
      <c r="T1965" s="37">
        <v>0</v>
      </c>
      <c r="U1965" s="5">
        <v>0</v>
      </c>
      <c r="V1965" s="37">
        <v>0</v>
      </c>
      <c r="W1965" s="5">
        <v>0</v>
      </c>
      <c r="X1965" s="5">
        <v>0</v>
      </c>
      <c r="Y1965" s="5">
        <v>0</v>
      </c>
      <c r="Z1965" s="37">
        <v>0</v>
      </c>
      <c r="AA1965" s="5">
        <v>0</v>
      </c>
      <c r="AB1965" s="5">
        <v>0</v>
      </c>
      <c r="AC1965" s="5">
        <v>0</v>
      </c>
      <c r="AD1965" s="5">
        <v>0</v>
      </c>
      <c r="AE1965" s="10" t="s">
        <v>73</v>
      </c>
      <c r="AF1965" s="10"/>
      <c r="AG1965" s="10" t="s">
        <v>114</v>
      </c>
      <c r="AH1965" s="10">
        <v>42086</v>
      </c>
      <c r="AI1965" s="5">
        <v>0</v>
      </c>
      <c r="AJ1965" s="10" t="s">
        <v>10974</v>
      </c>
      <c r="AK1965" s="10" t="s">
        <v>50</v>
      </c>
    </row>
    <row r="1966" spans="1:37" ht="36.75" customHeight="1" x14ac:dyDescent="0.35">
      <c r="A1966" s="5"/>
      <c r="B1966" s="5" t="s">
        <v>37</v>
      </c>
      <c r="C1966" s="73" t="str">
        <f t="shared" si="30"/>
        <v>Closed</v>
      </c>
      <c r="D1966" s="45" t="s">
        <v>10975</v>
      </c>
      <c r="E1966" s="54" t="s">
        <v>10976</v>
      </c>
      <c r="F1966" s="5" t="s">
        <v>105</v>
      </c>
      <c r="G1966" s="10">
        <f>DATE(2015,3,10)</f>
        <v>42073</v>
      </c>
      <c r="H1966" s="35">
        <v>1.4583333333333333</v>
      </c>
      <c r="I1966" s="5" t="s">
        <v>179</v>
      </c>
      <c r="J1966" s="10" t="s">
        <v>10977</v>
      </c>
      <c r="K1966" s="5" t="s">
        <v>108</v>
      </c>
      <c r="L1966" s="5" t="s">
        <v>10978</v>
      </c>
      <c r="M1966" s="5" t="s">
        <v>45</v>
      </c>
      <c r="N1966" s="5" t="s">
        <v>123</v>
      </c>
      <c r="O1966" s="5" t="s">
        <v>46</v>
      </c>
      <c r="P1966" s="10" t="s">
        <v>10674</v>
      </c>
      <c r="Q1966" s="10" t="s">
        <v>10979</v>
      </c>
      <c r="R1966" s="10" t="s">
        <v>148</v>
      </c>
      <c r="S1966" s="5">
        <v>0</v>
      </c>
      <c r="T1966" s="37">
        <v>0</v>
      </c>
      <c r="U1966" s="5">
        <v>0</v>
      </c>
      <c r="V1966" s="37">
        <v>0</v>
      </c>
      <c r="W1966" s="5">
        <v>0</v>
      </c>
      <c r="X1966" s="5">
        <v>0</v>
      </c>
      <c r="Y1966" s="5">
        <v>0</v>
      </c>
      <c r="Z1966" s="37">
        <v>0</v>
      </c>
      <c r="AA1966" s="5">
        <v>0</v>
      </c>
      <c r="AB1966" s="5">
        <v>0</v>
      </c>
      <c r="AC1966" s="5">
        <v>0</v>
      </c>
      <c r="AD1966" s="5">
        <v>0</v>
      </c>
      <c r="AE1966" s="10" t="s">
        <v>73</v>
      </c>
      <c r="AF1966" s="10"/>
      <c r="AG1966" s="10" t="s">
        <v>114</v>
      </c>
      <c r="AH1966" s="10">
        <v>42081</v>
      </c>
      <c r="AI1966" s="5">
        <v>1</v>
      </c>
      <c r="AJ1966" s="10" t="s">
        <v>10980</v>
      </c>
      <c r="AK1966" s="10" t="s">
        <v>50</v>
      </c>
    </row>
    <row r="1967" spans="1:37" ht="36.75" customHeight="1" x14ac:dyDescent="0.35">
      <c r="A1967" s="5"/>
      <c r="B1967" s="5" t="s">
        <v>37</v>
      </c>
      <c r="C1967" s="73" t="str">
        <f t="shared" si="30"/>
        <v>Closed</v>
      </c>
      <c r="D1967" s="45" t="s">
        <v>10981</v>
      </c>
      <c r="E1967" s="54" t="s">
        <v>10982</v>
      </c>
      <c r="F1967" s="5" t="s">
        <v>40</v>
      </c>
      <c r="G1967" s="10">
        <f>DATE(2015,3,12)</f>
        <v>42075</v>
      </c>
      <c r="H1967" s="35">
        <v>1.5541666666666667</v>
      </c>
      <c r="I1967" s="5" t="s">
        <v>2244</v>
      </c>
      <c r="J1967" s="10" t="s">
        <v>10983</v>
      </c>
      <c r="K1967" s="5" t="s">
        <v>43</v>
      </c>
      <c r="L1967" s="5" t="s">
        <v>10984</v>
      </c>
      <c r="M1967" s="5" t="s">
        <v>45</v>
      </c>
      <c r="N1967" s="5" t="s">
        <v>70</v>
      </c>
      <c r="O1967" s="5" t="s">
        <v>46</v>
      </c>
      <c r="P1967" s="10" t="s">
        <v>6881</v>
      </c>
      <c r="Q1967" s="10" t="s">
        <v>10848</v>
      </c>
      <c r="R1967" s="10" t="s">
        <v>49</v>
      </c>
      <c r="S1967" s="5">
        <v>0</v>
      </c>
      <c r="T1967" s="37">
        <v>0</v>
      </c>
      <c r="U1967" s="5">
        <v>0</v>
      </c>
      <c r="V1967" s="37">
        <v>0</v>
      </c>
      <c r="W1967" s="5">
        <v>0</v>
      </c>
      <c r="X1967" s="5">
        <v>0</v>
      </c>
      <c r="Y1967" s="5">
        <v>0</v>
      </c>
      <c r="Z1967" s="37">
        <v>0</v>
      </c>
      <c r="AA1967" s="5">
        <v>0</v>
      </c>
      <c r="AB1967" s="5">
        <v>0</v>
      </c>
      <c r="AC1967" s="5">
        <v>0</v>
      </c>
      <c r="AD1967" s="5">
        <v>0</v>
      </c>
      <c r="AE1967" s="10" t="s">
        <v>73</v>
      </c>
      <c r="AF1967" s="10"/>
      <c r="AG1967" s="10" t="s">
        <v>114</v>
      </c>
      <c r="AH1967" s="10">
        <v>42076</v>
      </c>
      <c r="AI1967" s="5">
        <v>3</v>
      </c>
      <c r="AJ1967" s="10" t="s">
        <v>10985</v>
      </c>
      <c r="AK1967" s="10" t="s">
        <v>10986</v>
      </c>
    </row>
    <row r="1968" spans="1:37" ht="36.75" customHeight="1" x14ac:dyDescent="0.35">
      <c r="A1968" s="5"/>
      <c r="B1968" s="5" t="s">
        <v>37</v>
      </c>
      <c r="C1968" s="73" t="str">
        <f t="shared" si="30"/>
        <v>Closed</v>
      </c>
      <c r="D1968" s="45" t="s">
        <v>10987</v>
      </c>
      <c r="E1968" s="54" t="s">
        <v>10988</v>
      </c>
      <c r="F1968" s="5" t="s">
        <v>214</v>
      </c>
      <c r="G1968" s="10">
        <f>DATE(2015,3,12)</f>
        <v>42075</v>
      </c>
      <c r="H1968" s="35">
        <v>1.3326388888888889</v>
      </c>
      <c r="I1968" s="5" t="s">
        <v>259</v>
      </c>
      <c r="J1968" s="10" t="s">
        <v>10989</v>
      </c>
      <c r="K1968" s="5" t="s">
        <v>216</v>
      </c>
      <c r="L1968" s="5" t="s">
        <v>10990</v>
      </c>
      <c r="M1968" s="5" t="s">
        <v>110</v>
      </c>
      <c r="N1968" s="5" t="s">
        <v>80</v>
      </c>
      <c r="O1968" s="5" t="s">
        <v>59</v>
      </c>
      <c r="P1968" s="10" t="s">
        <v>110</v>
      </c>
      <c r="Q1968" s="10" t="s">
        <v>664</v>
      </c>
      <c r="R1968" s="10" t="s">
        <v>664</v>
      </c>
      <c r="S1968" s="5">
        <v>0</v>
      </c>
      <c r="T1968" s="37">
        <v>0</v>
      </c>
      <c r="U1968" s="5">
        <v>0</v>
      </c>
      <c r="V1968" s="37">
        <v>0</v>
      </c>
      <c r="W1968" s="5">
        <v>0</v>
      </c>
      <c r="X1968" s="5">
        <v>0</v>
      </c>
      <c r="Y1968" s="5">
        <v>1</v>
      </c>
      <c r="Z1968" s="37">
        <v>0</v>
      </c>
      <c r="AA1968" s="5">
        <v>0</v>
      </c>
      <c r="AB1968" s="5">
        <v>0</v>
      </c>
      <c r="AC1968" s="5">
        <v>0</v>
      </c>
      <c r="AD1968" s="5">
        <v>1</v>
      </c>
      <c r="AE1968" s="10" t="s">
        <v>73</v>
      </c>
      <c r="AF1968" s="10"/>
      <c r="AG1968" s="10" t="s">
        <v>114</v>
      </c>
      <c r="AH1968" s="10">
        <v>42079</v>
      </c>
      <c r="AI1968" s="5">
        <v>1</v>
      </c>
      <c r="AJ1968" s="10" t="s">
        <v>10991</v>
      </c>
      <c r="AK1968" s="10" t="s">
        <v>10992</v>
      </c>
    </row>
    <row r="1969" spans="1:37" ht="36.75" customHeight="1" x14ac:dyDescent="0.35">
      <c r="A1969" s="5"/>
      <c r="B1969" s="5" t="s">
        <v>37</v>
      </c>
      <c r="C1969" s="73" t="str">
        <f t="shared" si="30"/>
        <v>Closed</v>
      </c>
      <c r="D1969" s="45" t="s">
        <v>10993</v>
      </c>
      <c r="E1969" s="54" t="s">
        <v>10994</v>
      </c>
      <c r="F1969" s="5" t="s">
        <v>619</v>
      </c>
      <c r="G1969" s="10">
        <f>DATE(2015,3,18)</f>
        <v>42081</v>
      </c>
      <c r="H1969" s="35">
        <v>1.6770833333333335</v>
      </c>
      <c r="I1969" s="5" t="s">
        <v>468</v>
      </c>
      <c r="J1969" s="10" t="s">
        <v>10995</v>
      </c>
      <c r="K1969" s="5" t="s">
        <v>621</v>
      </c>
      <c r="L1969" s="5" t="s">
        <v>10996</v>
      </c>
      <c r="M1969" s="5" t="s">
        <v>45</v>
      </c>
      <c r="N1969" s="5" t="s">
        <v>80</v>
      </c>
      <c r="O1969" s="5" t="s">
        <v>59</v>
      </c>
      <c r="P1969" s="10" t="s">
        <v>362</v>
      </c>
      <c r="Q1969" s="10">
        <v>0</v>
      </c>
      <c r="R1969" s="10" t="s">
        <v>624</v>
      </c>
      <c r="S1969" s="5">
        <v>0</v>
      </c>
      <c r="T1969" s="37">
        <v>0</v>
      </c>
      <c r="U1969" s="5">
        <v>0</v>
      </c>
      <c r="V1969" s="37">
        <v>0</v>
      </c>
      <c r="W1969" s="5">
        <v>0</v>
      </c>
      <c r="X1969" s="5">
        <v>0</v>
      </c>
      <c r="Y1969" s="5">
        <v>0</v>
      </c>
      <c r="Z1969" s="37">
        <v>0</v>
      </c>
      <c r="AA1969" s="5">
        <v>0</v>
      </c>
      <c r="AB1969" s="5">
        <v>0</v>
      </c>
      <c r="AC1969" s="5">
        <v>0</v>
      </c>
      <c r="AD1969" s="5">
        <v>0</v>
      </c>
      <c r="AE1969" s="10" t="s">
        <v>73</v>
      </c>
      <c r="AF1969" s="10"/>
      <c r="AG1969" s="10" t="s">
        <v>114</v>
      </c>
      <c r="AH1969" s="10">
        <v>42087</v>
      </c>
      <c r="AI1969" s="5">
        <v>6</v>
      </c>
      <c r="AJ1969" s="10" t="s">
        <v>10997</v>
      </c>
      <c r="AK1969" s="10" t="s">
        <v>50</v>
      </c>
    </row>
    <row r="1970" spans="1:37" ht="36.75" customHeight="1" x14ac:dyDescent="0.35">
      <c r="A1970" s="5"/>
      <c r="B1970" s="5" t="s">
        <v>37</v>
      </c>
      <c r="C1970" s="73" t="str">
        <f t="shared" si="30"/>
        <v>Closed</v>
      </c>
      <c r="D1970" s="45" t="s">
        <v>10998</v>
      </c>
      <c r="E1970" s="54" t="s">
        <v>10999</v>
      </c>
      <c r="F1970" s="5" t="s">
        <v>40</v>
      </c>
      <c r="G1970" s="10">
        <f>DATE(2015,3,18)</f>
        <v>42081</v>
      </c>
      <c r="H1970" s="35">
        <v>1.6236111111111111</v>
      </c>
      <c r="I1970" s="5" t="s">
        <v>2059</v>
      </c>
      <c r="J1970" s="10" t="s">
        <v>11000</v>
      </c>
      <c r="K1970" s="5" t="s">
        <v>43</v>
      </c>
      <c r="L1970" s="5" t="s">
        <v>11001</v>
      </c>
      <c r="M1970" s="5" t="s">
        <v>45</v>
      </c>
      <c r="N1970" s="5" t="s">
        <v>123</v>
      </c>
      <c r="O1970" s="5" t="s">
        <v>59</v>
      </c>
      <c r="P1970" s="10" t="s">
        <v>6881</v>
      </c>
      <c r="Q1970" s="10" t="s">
        <v>10848</v>
      </c>
      <c r="R1970" s="10" t="s">
        <v>49</v>
      </c>
      <c r="S1970" s="5">
        <v>0</v>
      </c>
      <c r="T1970" s="37">
        <v>0</v>
      </c>
      <c r="U1970" s="5">
        <v>0</v>
      </c>
      <c r="V1970" s="37">
        <v>0</v>
      </c>
      <c r="W1970" s="5">
        <v>0</v>
      </c>
      <c r="X1970" s="5">
        <v>0</v>
      </c>
      <c r="Y1970" s="5">
        <v>0</v>
      </c>
      <c r="Z1970" s="37">
        <v>0</v>
      </c>
      <c r="AA1970" s="5">
        <v>0</v>
      </c>
      <c r="AB1970" s="5">
        <v>0</v>
      </c>
      <c r="AC1970" s="5">
        <v>0</v>
      </c>
      <c r="AD1970" s="5">
        <v>0</v>
      </c>
      <c r="AE1970" s="10" t="s">
        <v>73</v>
      </c>
      <c r="AF1970" s="10"/>
      <c r="AG1970" s="10" t="s">
        <v>114</v>
      </c>
      <c r="AH1970" s="10">
        <v>42088</v>
      </c>
      <c r="AI1970" s="5">
        <v>6</v>
      </c>
      <c r="AJ1970" s="10" t="s">
        <v>11002</v>
      </c>
      <c r="AK1970" s="10" t="s">
        <v>11003</v>
      </c>
    </row>
    <row r="1971" spans="1:37" ht="36.75" customHeight="1" x14ac:dyDescent="0.35">
      <c r="A1971" s="5"/>
      <c r="B1971" s="5" t="s">
        <v>37</v>
      </c>
      <c r="C1971" s="73" t="str">
        <f t="shared" si="30"/>
        <v>Closed</v>
      </c>
      <c r="D1971" s="45" t="s">
        <v>11004</v>
      </c>
      <c r="E1971" s="54" t="s">
        <v>11005</v>
      </c>
      <c r="F1971" s="5" t="s">
        <v>9767</v>
      </c>
      <c r="G1971" s="10">
        <f>DATE(2015,3,19)</f>
        <v>42082</v>
      </c>
      <c r="H1971" s="35">
        <v>1.7743055555555554</v>
      </c>
      <c r="I1971" s="5" t="s">
        <v>137</v>
      </c>
      <c r="J1971" s="10" t="s">
        <v>11006</v>
      </c>
      <c r="K1971" s="5" t="s">
        <v>9769</v>
      </c>
      <c r="L1971" s="5" t="s">
        <v>11007</v>
      </c>
      <c r="M1971" s="5" t="s">
        <v>45</v>
      </c>
      <c r="N1971" s="5" t="s">
        <v>80</v>
      </c>
      <c r="O1971" s="5" t="s">
        <v>46</v>
      </c>
      <c r="P1971" s="10" t="s">
        <v>6920</v>
      </c>
      <c r="Q1971" s="10" t="s">
        <v>9938</v>
      </c>
      <c r="R1971" s="10" t="s">
        <v>9772</v>
      </c>
      <c r="S1971" s="5">
        <v>0</v>
      </c>
      <c r="T1971" s="37">
        <v>0</v>
      </c>
      <c r="U1971" s="5">
        <v>0</v>
      </c>
      <c r="V1971" s="37">
        <v>0</v>
      </c>
      <c r="W1971" s="5">
        <v>0</v>
      </c>
      <c r="X1971" s="5">
        <v>0</v>
      </c>
      <c r="Y1971" s="5">
        <v>0</v>
      </c>
      <c r="Z1971" s="37">
        <v>0</v>
      </c>
      <c r="AA1971" s="5">
        <v>0</v>
      </c>
      <c r="AB1971" s="5">
        <v>0</v>
      </c>
      <c r="AC1971" s="5">
        <v>0</v>
      </c>
      <c r="AD1971" s="5">
        <v>0</v>
      </c>
      <c r="AE1971" s="10" t="s">
        <v>73</v>
      </c>
      <c r="AF1971" s="10"/>
      <c r="AG1971" s="10" t="s">
        <v>11008</v>
      </c>
      <c r="AH1971" s="10">
        <v>42087</v>
      </c>
      <c r="AI1971" s="5">
        <v>0</v>
      </c>
      <c r="AJ1971" s="10" t="s">
        <v>11009</v>
      </c>
      <c r="AK1971" s="10" t="s">
        <v>11010</v>
      </c>
    </row>
    <row r="1972" spans="1:37" ht="36.75" customHeight="1" x14ac:dyDescent="0.35">
      <c r="A1972" s="5"/>
      <c r="B1972" s="5" t="s">
        <v>37</v>
      </c>
      <c r="C1972" s="73" t="str">
        <f t="shared" si="30"/>
        <v>Closed</v>
      </c>
      <c r="D1972" s="45" t="s">
        <v>11011</v>
      </c>
      <c r="E1972" s="54" t="s">
        <v>11012</v>
      </c>
      <c r="F1972" s="5" t="s">
        <v>214</v>
      </c>
      <c r="G1972" s="10">
        <f>DATE(2015,3,23)</f>
        <v>42086</v>
      </c>
      <c r="H1972" s="35">
        <v>1.3618055555555555</v>
      </c>
      <c r="I1972" s="5" t="s">
        <v>55</v>
      </c>
      <c r="J1972" s="10" t="s">
        <v>11013</v>
      </c>
      <c r="K1972" s="5" t="s">
        <v>216</v>
      </c>
      <c r="L1972" s="5" t="s">
        <v>1037</v>
      </c>
      <c r="M1972" s="5" t="s">
        <v>45</v>
      </c>
      <c r="N1972" s="5" t="s">
        <v>70</v>
      </c>
      <c r="O1972" s="5" t="s">
        <v>46</v>
      </c>
      <c r="P1972" s="10" t="s">
        <v>60</v>
      </c>
      <c r="Q1972" s="10" t="s">
        <v>415</v>
      </c>
      <c r="R1972" s="10" t="s">
        <v>219</v>
      </c>
      <c r="S1972" s="5">
        <v>0</v>
      </c>
      <c r="T1972" s="37">
        <v>0</v>
      </c>
      <c r="U1972" s="5">
        <v>0</v>
      </c>
      <c r="V1972" s="37">
        <v>0</v>
      </c>
      <c r="W1972" s="5">
        <v>0</v>
      </c>
      <c r="X1972" s="5">
        <v>0</v>
      </c>
      <c r="Y1972" s="5">
        <v>0</v>
      </c>
      <c r="Z1972" s="37">
        <v>0</v>
      </c>
      <c r="AA1972" s="5">
        <v>0</v>
      </c>
      <c r="AB1972" s="5">
        <v>0</v>
      </c>
      <c r="AC1972" s="5">
        <v>0</v>
      </c>
      <c r="AD1972" s="5">
        <v>0</v>
      </c>
      <c r="AE1972" s="10" t="s">
        <v>73</v>
      </c>
      <c r="AF1972" s="10"/>
      <c r="AG1972" s="10" t="s">
        <v>114</v>
      </c>
      <c r="AH1972" s="10">
        <v>42093</v>
      </c>
      <c r="AI1972" s="5">
        <v>3</v>
      </c>
      <c r="AJ1972" s="10" t="s">
        <v>11014</v>
      </c>
      <c r="AK1972" s="10" t="s">
        <v>11015</v>
      </c>
    </row>
    <row r="1973" spans="1:37" ht="36.75" customHeight="1" x14ac:dyDescent="0.35">
      <c r="A1973" s="5"/>
      <c r="B1973" s="5" t="s">
        <v>37</v>
      </c>
      <c r="C1973" s="73" t="str">
        <f t="shared" si="30"/>
        <v>Closed</v>
      </c>
      <c r="D1973" s="45" t="s">
        <v>11016</v>
      </c>
      <c r="E1973" s="54" t="s">
        <v>11017</v>
      </c>
      <c r="F1973" s="5" t="s">
        <v>404</v>
      </c>
      <c r="G1973" s="10">
        <f>DATE(2015,3,24)</f>
        <v>42087</v>
      </c>
      <c r="H1973" s="35">
        <v>1.2909722222222222</v>
      </c>
      <c r="I1973" s="5" t="s">
        <v>97</v>
      </c>
      <c r="J1973" s="10" t="s">
        <v>11018</v>
      </c>
      <c r="K1973" s="5" t="s">
        <v>406</v>
      </c>
      <c r="L1973" s="5" t="s">
        <v>11019</v>
      </c>
      <c r="M1973" s="5" t="s">
        <v>45</v>
      </c>
      <c r="N1973" s="5" t="s">
        <v>80</v>
      </c>
      <c r="O1973" s="5" t="s">
        <v>46</v>
      </c>
      <c r="P1973" s="10" t="s">
        <v>146</v>
      </c>
      <c r="Q1973" s="10" t="s">
        <v>4531</v>
      </c>
      <c r="R1973" s="10" t="s">
        <v>3083</v>
      </c>
      <c r="S1973" s="5">
        <v>0</v>
      </c>
      <c r="T1973" s="37">
        <v>0</v>
      </c>
      <c r="U1973" s="5">
        <v>0</v>
      </c>
      <c r="V1973" s="37">
        <v>0</v>
      </c>
      <c r="W1973" s="5">
        <v>0</v>
      </c>
      <c r="X1973" s="5">
        <v>0</v>
      </c>
      <c r="Y1973" s="5">
        <v>0</v>
      </c>
      <c r="Z1973" s="37">
        <v>0</v>
      </c>
      <c r="AA1973" s="5">
        <v>0</v>
      </c>
      <c r="AB1973" s="5">
        <v>0</v>
      </c>
      <c r="AC1973" s="5">
        <v>0</v>
      </c>
      <c r="AD1973" s="5">
        <v>0</v>
      </c>
      <c r="AE1973" s="10" t="s">
        <v>375</v>
      </c>
      <c r="AF1973" s="10"/>
      <c r="AG1973" s="10" t="s">
        <v>570</v>
      </c>
      <c r="AH1973" s="10">
        <v>42087</v>
      </c>
      <c r="AI1973" s="5">
        <v>3</v>
      </c>
      <c r="AJ1973" s="10" t="s">
        <v>11020</v>
      </c>
      <c r="AK1973" s="10" t="s">
        <v>11021</v>
      </c>
    </row>
    <row r="1974" spans="1:37" ht="36.75" customHeight="1" x14ac:dyDescent="0.35">
      <c r="A1974" s="5"/>
      <c r="B1974" s="5" t="s">
        <v>37</v>
      </c>
      <c r="C1974" s="73" t="str">
        <f t="shared" si="30"/>
        <v>Closed</v>
      </c>
      <c r="D1974" s="45" t="s">
        <v>11022</v>
      </c>
      <c r="E1974" s="54" t="s">
        <v>11023</v>
      </c>
      <c r="F1974" s="5" t="s">
        <v>404</v>
      </c>
      <c r="G1974" s="10">
        <f>DATE(2015,3,28)</f>
        <v>42091</v>
      </c>
      <c r="H1974" s="35">
        <v>1.3597222222222223</v>
      </c>
      <c r="I1974" s="5" t="s">
        <v>179</v>
      </c>
      <c r="J1974" s="10" t="s">
        <v>11024</v>
      </c>
      <c r="K1974" s="5" t="s">
        <v>406</v>
      </c>
      <c r="L1974" s="5" t="s">
        <v>11025</v>
      </c>
      <c r="M1974" s="5" t="s">
        <v>45</v>
      </c>
      <c r="N1974" s="5" t="s">
        <v>123</v>
      </c>
      <c r="O1974" s="5" t="s">
        <v>46</v>
      </c>
      <c r="P1974" s="10" t="s">
        <v>60</v>
      </c>
      <c r="Q1974" s="10" t="s">
        <v>2562</v>
      </c>
      <c r="R1974" s="10" t="s">
        <v>3083</v>
      </c>
      <c r="S1974" s="5">
        <v>0</v>
      </c>
      <c r="T1974" s="37">
        <v>0</v>
      </c>
      <c r="U1974" s="5">
        <v>0</v>
      </c>
      <c r="V1974" s="37">
        <v>0</v>
      </c>
      <c r="W1974" s="5">
        <v>0</v>
      </c>
      <c r="X1974" s="5">
        <v>0</v>
      </c>
      <c r="Y1974" s="5">
        <v>0</v>
      </c>
      <c r="Z1974" s="37">
        <v>0</v>
      </c>
      <c r="AA1974" s="5">
        <v>0</v>
      </c>
      <c r="AB1974" s="5">
        <v>0</v>
      </c>
      <c r="AC1974" s="5">
        <v>0</v>
      </c>
      <c r="AD1974" s="5">
        <v>0</v>
      </c>
      <c r="AE1974" s="10" t="s">
        <v>375</v>
      </c>
      <c r="AF1974" s="10"/>
      <c r="AG1974" s="10" t="s">
        <v>64</v>
      </c>
      <c r="AH1974" s="10">
        <v>42091</v>
      </c>
      <c r="AI1974" s="5">
        <v>3</v>
      </c>
      <c r="AJ1974" s="10" t="s">
        <v>11026</v>
      </c>
      <c r="AK1974" s="10" t="s">
        <v>11027</v>
      </c>
    </row>
    <row r="1975" spans="1:37" ht="36.75" customHeight="1" x14ac:dyDescent="0.35">
      <c r="A1975" s="5"/>
      <c r="B1975" s="5" t="s">
        <v>37</v>
      </c>
      <c r="C1975" s="73" t="str">
        <f t="shared" si="30"/>
        <v>Closed</v>
      </c>
      <c r="D1975" s="45" t="s">
        <v>11028</v>
      </c>
      <c r="E1975" s="54" t="s">
        <v>11029</v>
      </c>
      <c r="F1975" s="5" t="s">
        <v>619</v>
      </c>
      <c r="G1975" s="10">
        <f>DATE(2015,3,31)</f>
        <v>42094</v>
      </c>
      <c r="H1975" s="35">
        <v>1.1506944444444445</v>
      </c>
      <c r="I1975" s="5" t="s">
        <v>55</v>
      </c>
      <c r="J1975" s="10" t="s">
        <v>11030</v>
      </c>
      <c r="K1975" s="5" t="s">
        <v>621</v>
      </c>
      <c r="L1975" s="5" t="s">
        <v>11031</v>
      </c>
      <c r="M1975" s="5" t="s">
        <v>45</v>
      </c>
      <c r="N1975" s="5" t="s">
        <v>123</v>
      </c>
      <c r="O1975" s="5" t="s">
        <v>59</v>
      </c>
      <c r="P1975" s="10" t="s">
        <v>60</v>
      </c>
      <c r="Q1975" s="10" t="s">
        <v>3419</v>
      </c>
      <c r="R1975" s="10" t="s">
        <v>624</v>
      </c>
      <c r="S1975" s="5">
        <v>0</v>
      </c>
      <c r="T1975" s="37">
        <v>0</v>
      </c>
      <c r="U1975" s="5">
        <v>0</v>
      </c>
      <c r="V1975" s="37">
        <v>0</v>
      </c>
      <c r="W1975" s="5">
        <v>0</v>
      </c>
      <c r="X1975" s="5">
        <v>0</v>
      </c>
      <c r="Y1975" s="5">
        <v>0</v>
      </c>
      <c r="Z1975" s="37">
        <v>0</v>
      </c>
      <c r="AA1975" s="5">
        <v>0</v>
      </c>
      <c r="AB1975" s="5">
        <v>0</v>
      </c>
      <c r="AC1975" s="5">
        <v>0</v>
      </c>
      <c r="AD1975" s="5">
        <v>0</v>
      </c>
      <c r="AE1975" s="10" t="s">
        <v>73</v>
      </c>
      <c r="AF1975" s="10"/>
      <c r="AG1975" s="10" t="s">
        <v>333</v>
      </c>
      <c r="AH1975" s="10">
        <v>42122</v>
      </c>
      <c r="AI1975" s="5">
        <v>2</v>
      </c>
      <c r="AJ1975" s="10" t="s">
        <v>11032</v>
      </c>
      <c r="AK1975" s="10" t="s">
        <v>50</v>
      </c>
    </row>
    <row r="1976" spans="1:37" ht="36.75" customHeight="1" x14ac:dyDescent="0.35">
      <c r="A1976" s="5"/>
      <c r="B1976" s="5" t="s">
        <v>37</v>
      </c>
      <c r="C1976" s="73" t="str">
        <f t="shared" si="30"/>
        <v>Closed</v>
      </c>
      <c r="D1976" s="45" t="s">
        <v>11033</v>
      </c>
      <c r="E1976" s="54" t="s">
        <v>11034</v>
      </c>
      <c r="F1976" s="5" t="s">
        <v>816</v>
      </c>
      <c r="G1976" s="10">
        <f>DATE(2015,4,5)</f>
        <v>42099</v>
      </c>
      <c r="H1976" s="35">
        <v>1.2729166666666667</v>
      </c>
      <c r="I1976" s="5" t="s">
        <v>137</v>
      </c>
      <c r="J1976" s="10" t="s">
        <v>11035</v>
      </c>
      <c r="K1976" s="5" t="s">
        <v>818</v>
      </c>
      <c r="L1976" s="5" t="s">
        <v>11036</v>
      </c>
      <c r="M1976" s="5" t="s">
        <v>45</v>
      </c>
      <c r="N1976" s="5" t="s">
        <v>123</v>
      </c>
      <c r="O1976" s="5" t="s">
        <v>59</v>
      </c>
      <c r="P1976" s="10" t="s">
        <v>6881</v>
      </c>
      <c r="Q1976" s="10" t="s">
        <v>2142</v>
      </c>
      <c r="R1976" s="10" t="s">
        <v>821</v>
      </c>
      <c r="S1976" s="5">
        <v>0</v>
      </c>
      <c r="T1976" s="37">
        <v>0</v>
      </c>
      <c r="U1976" s="5">
        <v>0</v>
      </c>
      <c r="V1976" s="37">
        <v>0</v>
      </c>
      <c r="W1976" s="5">
        <v>0</v>
      </c>
      <c r="X1976" s="5">
        <v>0</v>
      </c>
      <c r="Y1976" s="5">
        <v>1</v>
      </c>
      <c r="Z1976" s="37">
        <v>0</v>
      </c>
      <c r="AA1976" s="5">
        <v>0</v>
      </c>
      <c r="AB1976" s="5">
        <v>0</v>
      </c>
      <c r="AC1976" s="5">
        <v>0</v>
      </c>
      <c r="AD1976" s="5">
        <v>1</v>
      </c>
      <c r="AE1976" s="10" t="s">
        <v>73</v>
      </c>
      <c r="AF1976" s="10"/>
      <c r="AG1976" s="10" t="s">
        <v>51</v>
      </c>
      <c r="AH1976" s="10">
        <v>42099</v>
      </c>
      <c r="AI1976" s="5">
        <v>0</v>
      </c>
      <c r="AJ1976" s="10" t="s">
        <v>11037</v>
      </c>
      <c r="AK1976" s="10" t="s">
        <v>50</v>
      </c>
    </row>
    <row r="1977" spans="1:37" ht="36.75" customHeight="1" x14ac:dyDescent="0.35">
      <c r="A1977" s="5" t="s">
        <v>4890</v>
      </c>
      <c r="B1977" s="5" t="s">
        <v>37</v>
      </c>
      <c r="C1977" s="73" t="str">
        <f t="shared" si="30"/>
        <v>Closed</v>
      </c>
      <c r="D1977" s="45" t="s">
        <v>11038</v>
      </c>
      <c r="E1977" s="54" t="s">
        <v>11039</v>
      </c>
      <c r="F1977" s="5" t="s">
        <v>563</v>
      </c>
      <c r="G1977" s="10">
        <f>DATE(2015,4,7)</f>
        <v>42101</v>
      </c>
      <c r="H1977" s="35">
        <v>0</v>
      </c>
      <c r="I1977" s="5" t="s">
        <v>55</v>
      </c>
      <c r="J1977" s="10" t="s">
        <v>11040</v>
      </c>
      <c r="K1977" s="5" t="s">
        <v>565</v>
      </c>
      <c r="L1977" s="5" t="s">
        <v>11041</v>
      </c>
      <c r="M1977" s="5" t="s">
        <v>45</v>
      </c>
      <c r="N1977" s="5" t="s">
        <v>123</v>
      </c>
      <c r="O1977" s="5" t="s">
        <v>59</v>
      </c>
      <c r="P1977" s="10" t="s">
        <v>6920</v>
      </c>
      <c r="Q1977" s="10" t="s">
        <v>11042</v>
      </c>
      <c r="R1977" s="10" t="s">
        <v>568</v>
      </c>
      <c r="S1977" s="5">
        <v>0</v>
      </c>
      <c r="T1977" s="37">
        <v>0</v>
      </c>
      <c r="U1977" s="5">
        <v>0</v>
      </c>
      <c r="V1977" s="37">
        <v>0</v>
      </c>
      <c r="W1977" s="5">
        <v>0</v>
      </c>
      <c r="X1977" s="5">
        <v>0</v>
      </c>
      <c r="Y1977" s="5">
        <v>0</v>
      </c>
      <c r="Z1977" s="37">
        <v>0</v>
      </c>
      <c r="AA1977" s="5">
        <v>0</v>
      </c>
      <c r="AB1977" s="5">
        <v>0</v>
      </c>
      <c r="AC1977" s="5">
        <v>0</v>
      </c>
      <c r="AD1977" s="5">
        <v>0</v>
      </c>
      <c r="AE1977" s="10" t="s">
        <v>375</v>
      </c>
      <c r="AF1977" s="10"/>
      <c r="AG1977" s="10" t="s">
        <v>114</v>
      </c>
      <c r="AH1977" s="10">
        <v>42101</v>
      </c>
      <c r="AI1977" s="5">
        <v>0</v>
      </c>
      <c r="AJ1977" s="10" t="s">
        <v>11043</v>
      </c>
      <c r="AK1977" s="10" t="s">
        <v>1215</v>
      </c>
    </row>
    <row r="1978" spans="1:37" ht="36.75" customHeight="1" x14ac:dyDescent="0.35">
      <c r="A1978" s="5"/>
      <c r="B1978" s="5" t="s">
        <v>37</v>
      </c>
      <c r="C1978" s="73" t="str">
        <f t="shared" si="30"/>
        <v>Closed</v>
      </c>
      <c r="D1978" s="45" t="s">
        <v>11044</v>
      </c>
      <c r="E1978" s="54" t="s">
        <v>11045</v>
      </c>
      <c r="F1978" s="5" t="s">
        <v>816</v>
      </c>
      <c r="G1978" s="10">
        <f>DATE(2015,4,7)</f>
        <v>42101</v>
      </c>
      <c r="H1978" s="35">
        <v>1.6124999999999998</v>
      </c>
      <c r="I1978" s="5" t="s">
        <v>55</v>
      </c>
      <c r="J1978" s="10" t="s">
        <v>11046</v>
      </c>
      <c r="K1978" s="5" t="s">
        <v>818</v>
      </c>
      <c r="L1978" s="5" t="s">
        <v>11047</v>
      </c>
      <c r="M1978" s="5" t="s">
        <v>9897</v>
      </c>
      <c r="N1978" s="5" t="s">
        <v>80</v>
      </c>
      <c r="O1978" s="5" t="s">
        <v>59</v>
      </c>
      <c r="P1978" s="10" t="s">
        <v>146</v>
      </c>
      <c r="Q1978" s="10" t="s">
        <v>11048</v>
      </c>
      <c r="R1978" s="10" t="s">
        <v>821</v>
      </c>
      <c r="S1978" s="5">
        <v>0</v>
      </c>
      <c r="T1978" s="37">
        <v>0</v>
      </c>
      <c r="U1978" s="5">
        <v>0</v>
      </c>
      <c r="V1978" s="37">
        <v>0</v>
      </c>
      <c r="W1978" s="5">
        <v>0</v>
      </c>
      <c r="X1978" s="5">
        <v>0</v>
      </c>
      <c r="Y1978" s="5">
        <v>0</v>
      </c>
      <c r="Z1978" s="37">
        <v>0</v>
      </c>
      <c r="AA1978" s="5">
        <v>0</v>
      </c>
      <c r="AB1978" s="5">
        <v>0</v>
      </c>
      <c r="AC1978" s="5">
        <v>0</v>
      </c>
      <c r="AD1978" s="5">
        <v>0</v>
      </c>
      <c r="AE1978" s="10" t="s">
        <v>73</v>
      </c>
      <c r="AF1978" s="10"/>
      <c r="AG1978" s="10" t="s">
        <v>333</v>
      </c>
      <c r="AH1978" s="10">
        <v>42101</v>
      </c>
      <c r="AI1978" s="5">
        <v>1</v>
      </c>
      <c r="AJ1978" s="10" t="s">
        <v>11049</v>
      </c>
      <c r="AK1978" s="10" t="s">
        <v>50</v>
      </c>
    </row>
    <row r="1979" spans="1:37" ht="36.75" customHeight="1" x14ac:dyDescent="0.35">
      <c r="A1979" s="5"/>
      <c r="B1979" s="5" t="s">
        <v>37</v>
      </c>
      <c r="C1979" s="73" t="str">
        <f t="shared" si="30"/>
        <v>Closed</v>
      </c>
      <c r="D1979" s="45" t="s">
        <v>11050</v>
      </c>
      <c r="E1979" s="54" t="s">
        <v>11051</v>
      </c>
      <c r="F1979" s="5" t="s">
        <v>178</v>
      </c>
      <c r="G1979" s="10">
        <f>DATE(2015,4,8)</f>
        <v>42102</v>
      </c>
      <c r="H1979" s="35">
        <v>0</v>
      </c>
      <c r="I1979" s="5" t="s">
        <v>137</v>
      </c>
      <c r="J1979" s="10" t="s">
        <v>11052</v>
      </c>
      <c r="K1979" s="5" t="s">
        <v>181</v>
      </c>
      <c r="L1979" s="5" t="s">
        <v>11053</v>
      </c>
      <c r="M1979" s="5" t="s">
        <v>45</v>
      </c>
      <c r="N1979" s="5" t="s">
        <v>70</v>
      </c>
      <c r="O1979" s="5" t="s">
        <v>46</v>
      </c>
      <c r="P1979" s="10" t="s">
        <v>60</v>
      </c>
      <c r="Q1979" s="10" t="s">
        <v>2433</v>
      </c>
      <c r="R1979" s="10" t="s">
        <v>184</v>
      </c>
      <c r="S1979" s="5">
        <v>0</v>
      </c>
      <c r="T1979" s="37">
        <v>0</v>
      </c>
      <c r="U1979" s="5">
        <v>0</v>
      </c>
      <c r="V1979" s="37">
        <v>0</v>
      </c>
      <c r="W1979" s="5">
        <v>1</v>
      </c>
      <c r="X1979" s="5">
        <v>1</v>
      </c>
      <c r="Y1979" s="5">
        <v>0</v>
      </c>
      <c r="Z1979" s="37">
        <v>0</v>
      </c>
      <c r="AA1979" s="5">
        <v>0</v>
      </c>
      <c r="AB1979" s="5">
        <v>0</v>
      </c>
      <c r="AC1979" s="5">
        <v>0</v>
      </c>
      <c r="AD1979" s="5">
        <v>0</v>
      </c>
      <c r="AE1979" s="10" t="s">
        <v>73</v>
      </c>
      <c r="AF1979" s="10"/>
      <c r="AG1979" s="10" t="s">
        <v>114</v>
      </c>
      <c r="AH1979" s="10">
        <v>42139</v>
      </c>
      <c r="AI1979" s="5">
        <v>1</v>
      </c>
      <c r="AJ1979" s="10" t="s">
        <v>11054</v>
      </c>
      <c r="AK1979" s="10" t="s">
        <v>1215</v>
      </c>
    </row>
    <row r="1980" spans="1:37" ht="36.75" customHeight="1" x14ac:dyDescent="0.35">
      <c r="A1980" s="5"/>
      <c r="B1980" s="5" t="s">
        <v>37</v>
      </c>
      <c r="C1980" s="73" t="str">
        <f t="shared" si="30"/>
        <v>Closed</v>
      </c>
      <c r="D1980" s="45" t="s">
        <v>11055</v>
      </c>
      <c r="E1980" s="54" t="s">
        <v>11056</v>
      </c>
      <c r="F1980" s="5" t="s">
        <v>816</v>
      </c>
      <c r="G1980" s="10">
        <f>DATE(2015,4,8)</f>
        <v>42102</v>
      </c>
      <c r="H1980" s="35">
        <v>1.3166666666666667</v>
      </c>
      <c r="I1980" s="5" t="s">
        <v>55</v>
      </c>
      <c r="J1980" s="10" t="s">
        <v>11057</v>
      </c>
      <c r="K1980" s="5" t="s">
        <v>818</v>
      </c>
      <c r="L1980" s="5" t="s">
        <v>11058</v>
      </c>
      <c r="M1980" s="5" t="s">
        <v>45</v>
      </c>
      <c r="N1980" s="5" t="s">
        <v>80</v>
      </c>
      <c r="O1980" s="5" t="s">
        <v>59</v>
      </c>
      <c r="P1980" s="10" t="s">
        <v>60</v>
      </c>
      <c r="Q1980" s="10" t="s">
        <v>11059</v>
      </c>
      <c r="R1980" s="10" t="s">
        <v>821</v>
      </c>
      <c r="S1980" s="5">
        <v>0</v>
      </c>
      <c r="T1980" s="37">
        <v>0</v>
      </c>
      <c r="U1980" s="5">
        <v>0</v>
      </c>
      <c r="V1980" s="37">
        <v>0</v>
      </c>
      <c r="W1980" s="5">
        <v>0</v>
      </c>
      <c r="X1980" s="5">
        <v>0</v>
      </c>
      <c r="Y1980" s="5">
        <v>0</v>
      </c>
      <c r="Z1980" s="37">
        <v>0</v>
      </c>
      <c r="AA1980" s="5">
        <v>0</v>
      </c>
      <c r="AB1980" s="5">
        <v>0</v>
      </c>
      <c r="AC1980" s="5">
        <v>0</v>
      </c>
      <c r="AD1980" s="5">
        <v>0</v>
      </c>
      <c r="AE1980" s="10" t="s">
        <v>73</v>
      </c>
      <c r="AF1980" s="10"/>
      <c r="AG1980" s="10" t="s">
        <v>570</v>
      </c>
      <c r="AH1980" s="10">
        <v>42109</v>
      </c>
      <c r="AI1980" s="5">
        <v>1</v>
      </c>
      <c r="AJ1980" s="10" t="s">
        <v>11060</v>
      </c>
      <c r="AK1980" s="10" t="s">
        <v>11061</v>
      </c>
    </row>
    <row r="1981" spans="1:37" ht="36.75" customHeight="1" x14ac:dyDescent="0.35">
      <c r="A1981" s="5"/>
      <c r="B1981" s="5" t="s">
        <v>37</v>
      </c>
      <c r="C1981" s="73" t="str">
        <f t="shared" si="30"/>
        <v>Closed</v>
      </c>
      <c r="D1981" s="45" t="s">
        <v>11062</v>
      </c>
      <c r="E1981" s="54" t="s">
        <v>11063</v>
      </c>
      <c r="F1981" s="5" t="s">
        <v>214</v>
      </c>
      <c r="G1981" s="10">
        <f>DATE(2015,4,10)</f>
        <v>42104</v>
      </c>
      <c r="H1981" s="35">
        <v>1.4826388888888888</v>
      </c>
      <c r="I1981" s="5" t="s">
        <v>259</v>
      </c>
      <c r="J1981" s="10" t="s">
        <v>11064</v>
      </c>
      <c r="K1981" s="5" t="s">
        <v>216</v>
      </c>
      <c r="L1981" s="5" t="s">
        <v>11065</v>
      </c>
      <c r="M1981" s="5" t="s">
        <v>45</v>
      </c>
      <c r="N1981" s="5" t="s">
        <v>123</v>
      </c>
      <c r="O1981" s="5" t="s">
        <v>59</v>
      </c>
      <c r="P1981" s="10" t="s">
        <v>146</v>
      </c>
      <c r="Q1981" s="10" t="s">
        <v>1503</v>
      </c>
      <c r="R1981" s="10" t="s">
        <v>219</v>
      </c>
      <c r="S1981" s="5">
        <v>0</v>
      </c>
      <c r="T1981" s="37">
        <v>0</v>
      </c>
      <c r="U1981" s="5">
        <v>0</v>
      </c>
      <c r="V1981" s="37">
        <v>0</v>
      </c>
      <c r="W1981" s="5">
        <v>0</v>
      </c>
      <c r="X1981" s="5">
        <v>0</v>
      </c>
      <c r="Y1981" s="5">
        <v>1</v>
      </c>
      <c r="Z1981" s="37">
        <v>0</v>
      </c>
      <c r="AA1981" s="5">
        <v>0</v>
      </c>
      <c r="AB1981" s="5">
        <v>0</v>
      </c>
      <c r="AC1981" s="5">
        <v>0</v>
      </c>
      <c r="AD1981" s="5">
        <v>1</v>
      </c>
      <c r="AE1981" s="10" t="s">
        <v>73</v>
      </c>
      <c r="AF1981" s="10"/>
      <c r="AG1981" s="10" t="s">
        <v>114</v>
      </c>
      <c r="AH1981" s="10">
        <v>42107</v>
      </c>
      <c r="AI1981" s="5">
        <v>2</v>
      </c>
      <c r="AJ1981" s="10" t="s">
        <v>11066</v>
      </c>
      <c r="AK1981" s="10" t="s">
        <v>11067</v>
      </c>
    </row>
    <row r="1982" spans="1:37" ht="36.75" customHeight="1" x14ac:dyDescent="0.35">
      <c r="A1982" s="5"/>
      <c r="B1982" s="5" t="s">
        <v>37</v>
      </c>
      <c r="C1982" s="73" t="str">
        <f t="shared" si="30"/>
        <v>Closed</v>
      </c>
      <c r="D1982" s="45" t="s">
        <v>11068</v>
      </c>
      <c r="E1982" s="54" t="s">
        <v>11069</v>
      </c>
      <c r="F1982" s="5" t="s">
        <v>1553</v>
      </c>
      <c r="G1982" s="10">
        <f>DATE(2015,4,14)</f>
        <v>42108</v>
      </c>
      <c r="H1982" s="35">
        <v>1.6458333333333335</v>
      </c>
      <c r="I1982" s="5" t="s">
        <v>6851</v>
      </c>
      <c r="J1982" s="10" t="s">
        <v>11070</v>
      </c>
      <c r="K1982" s="5" t="s">
        <v>1555</v>
      </c>
      <c r="L1982" s="5" t="s">
        <v>8678</v>
      </c>
      <c r="M1982" s="5" t="s">
        <v>45</v>
      </c>
      <c r="N1982" s="5" t="s">
        <v>123</v>
      </c>
      <c r="O1982" s="5" t="s">
        <v>59</v>
      </c>
      <c r="P1982" s="10" t="s">
        <v>60</v>
      </c>
      <c r="Q1982" s="10" t="s">
        <v>2635</v>
      </c>
      <c r="R1982" s="10" t="s">
        <v>6413</v>
      </c>
      <c r="S1982" s="5">
        <v>0</v>
      </c>
      <c r="T1982" s="37">
        <v>0</v>
      </c>
      <c r="U1982" s="5">
        <v>0</v>
      </c>
      <c r="V1982" s="37">
        <v>0</v>
      </c>
      <c r="W1982" s="5">
        <v>0</v>
      </c>
      <c r="X1982" s="5">
        <v>0</v>
      </c>
      <c r="Y1982" s="5">
        <v>0</v>
      </c>
      <c r="Z1982" s="37">
        <v>0</v>
      </c>
      <c r="AA1982" s="5">
        <v>0</v>
      </c>
      <c r="AB1982" s="5">
        <v>0</v>
      </c>
      <c r="AC1982" s="5">
        <v>0</v>
      </c>
      <c r="AD1982" s="5">
        <v>0</v>
      </c>
      <c r="AE1982" s="10" t="s">
        <v>73</v>
      </c>
      <c r="AF1982" s="10"/>
      <c r="AG1982" s="10" t="s">
        <v>114</v>
      </c>
      <c r="AH1982" s="10">
        <v>42109</v>
      </c>
      <c r="AI1982" s="5">
        <v>1</v>
      </c>
      <c r="AJ1982" s="10" t="s">
        <v>11071</v>
      </c>
      <c r="AK1982" s="10" t="s">
        <v>11072</v>
      </c>
    </row>
    <row r="1983" spans="1:37" ht="36.75" customHeight="1" x14ac:dyDescent="0.35">
      <c r="A1983" s="5"/>
      <c r="B1983" s="5" t="s">
        <v>37</v>
      </c>
      <c r="C1983" s="73" t="str">
        <f t="shared" si="30"/>
        <v>Closed</v>
      </c>
      <c r="D1983" s="45" t="s">
        <v>11073</v>
      </c>
      <c r="E1983" s="54" t="s">
        <v>11074</v>
      </c>
      <c r="F1983" s="5" t="s">
        <v>563</v>
      </c>
      <c r="G1983" s="10">
        <f>DATE(2015,4,15)</f>
        <v>42109</v>
      </c>
      <c r="H1983" s="35">
        <v>0</v>
      </c>
      <c r="I1983" s="5" t="s">
        <v>179</v>
      </c>
      <c r="J1983" s="10" t="s">
        <v>11075</v>
      </c>
      <c r="K1983" s="5" t="s">
        <v>565</v>
      </c>
      <c r="L1983" s="5" t="s">
        <v>11076</v>
      </c>
      <c r="M1983" s="5" t="s">
        <v>45</v>
      </c>
      <c r="N1983" s="5" t="s">
        <v>123</v>
      </c>
      <c r="O1983" s="5" t="s">
        <v>59</v>
      </c>
      <c r="P1983" s="10" t="s">
        <v>60</v>
      </c>
      <c r="Q1983" s="10" t="s">
        <v>11077</v>
      </c>
      <c r="R1983" s="10" t="s">
        <v>568</v>
      </c>
      <c r="S1983" s="5">
        <v>0</v>
      </c>
      <c r="T1983" s="37">
        <v>0</v>
      </c>
      <c r="U1983" s="5">
        <v>0</v>
      </c>
      <c r="V1983" s="37">
        <v>0</v>
      </c>
      <c r="W1983" s="5">
        <v>0</v>
      </c>
      <c r="X1983" s="5">
        <v>0</v>
      </c>
      <c r="Y1983" s="5">
        <v>0</v>
      </c>
      <c r="Z1983" s="37">
        <v>0</v>
      </c>
      <c r="AA1983" s="5">
        <v>0</v>
      </c>
      <c r="AB1983" s="5">
        <v>0</v>
      </c>
      <c r="AC1983" s="5">
        <v>0</v>
      </c>
      <c r="AD1983" s="5">
        <v>0</v>
      </c>
      <c r="AE1983" s="10" t="s">
        <v>375</v>
      </c>
      <c r="AF1983" s="10"/>
      <c r="AG1983" s="10" t="s">
        <v>114</v>
      </c>
      <c r="AH1983" s="10">
        <v>42116</v>
      </c>
      <c r="AI1983" s="5">
        <v>0</v>
      </c>
      <c r="AJ1983" s="10" t="s">
        <v>11078</v>
      </c>
      <c r="AK1983" s="10" t="s">
        <v>1215</v>
      </c>
    </row>
    <row r="1984" spans="1:37" ht="36.75" customHeight="1" x14ac:dyDescent="0.35">
      <c r="A1984" s="5"/>
      <c r="B1984" s="5" t="s">
        <v>37</v>
      </c>
      <c r="C1984" s="73" t="str">
        <f t="shared" si="30"/>
        <v>Closed</v>
      </c>
      <c r="D1984" s="45" t="s">
        <v>11079</v>
      </c>
      <c r="E1984" s="54" t="s">
        <v>11080</v>
      </c>
      <c r="F1984" s="5" t="s">
        <v>575</v>
      </c>
      <c r="G1984" s="10">
        <f>DATE(2015,4,17)</f>
        <v>42111</v>
      </c>
      <c r="H1984" s="35">
        <v>1.3354166666666667</v>
      </c>
      <c r="I1984" s="5" t="s">
        <v>2398</v>
      </c>
      <c r="J1984" s="10" t="s">
        <v>11081</v>
      </c>
      <c r="K1984" s="5" t="s">
        <v>577</v>
      </c>
      <c r="L1984" s="5" t="s">
        <v>11082</v>
      </c>
      <c r="M1984" s="5" t="s">
        <v>45</v>
      </c>
      <c r="N1984" s="5" t="s">
        <v>80</v>
      </c>
      <c r="O1984" s="5" t="s">
        <v>46</v>
      </c>
      <c r="P1984" s="10" t="s">
        <v>146</v>
      </c>
      <c r="Q1984" s="10" t="s">
        <v>10507</v>
      </c>
      <c r="R1984" s="10" t="s">
        <v>580</v>
      </c>
      <c r="S1984" s="5">
        <v>0</v>
      </c>
      <c r="T1984" s="37">
        <v>0</v>
      </c>
      <c r="U1984" s="5">
        <v>0</v>
      </c>
      <c r="V1984" s="37">
        <v>0</v>
      </c>
      <c r="W1984" s="5">
        <v>0</v>
      </c>
      <c r="X1984" s="5">
        <v>0</v>
      </c>
      <c r="Y1984" s="5">
        <v>0</v>
      </c>
      <c r="Z1984" s="37">
        <v>0</v>
      </c>
      <c r="AA1984" s="5">
        <v>0</v>
      </c>
      <c r="AB1984" s="5">
        <v>0</v>
      </c>
      <c r="AC1984" s="5">
        <v>0</v>
      </c>
      <c r="AD1984" s="5">
        <v>0</v>
      </c>
      <c r="AE1984" s="10" t="s">
        <v>73</v>
      </c>
      <c r="AF1984" s="10"/>
      <c r="AG1984" s="10" t="s">
        <v>114</v>
      </c>
      <c r="AH1984" s="10">
        <v>42116</v>
      </c>
      <c r="AI1984" s="5">
        <v>8</v>
      </c>
      <c r="AJ1984" s="10" t="s">
        <v>11083</v>
      </c>
      <c r="AK1984" s="10" t="s">
        <v>11084</v>
      </c>
    </row>
    <row r="1985" spans="1:37" ht="36.75" customHeight="1" x14ac:dyDescent="0.35">
      <c r="A1985" s="5"/>
      <c r="B1985" s="5" t="s">
        <v>37</v>
      </c>
      <c r="C1985" s="73" t="str">
        <f t="shared" si="30"/>
        <v>Closed</v>
      </c>
      <c r="D1985" s="45" t="s">
        <v>11085</v>
      </c>
      <c r="E1985" s="54" t="s">
        <v>11086</v>
      </c>
      <c r="F1985" s="5" t="s">
        <v>563</v>
      </c>
      <c r="G1985" s="10">
        <f>DATE(2015,4,19)</f>
        <v>42113</v>
      </c>
      <c r="H1985" s="35">
        <v>0</v>
      </c>
      <c r="I1985" s="5" t="s">
        <v>55</v>
      </c>
      <c r="J1985" s="10" t="s">
        <v>11087</v>
      </c>
      <c r="K1985" s="5" t="s">
        <v>565</v>
      </c>
      <c r="L1985" s="5" t="s">
        <v>11088</v>
      </c>
      <c r="M1985" s="5" t="s">
        <v>45</v>
      </c>
      <c r="N1985" s="5" t="s">
        <v>123</v>
      </c>
      <c r="O1985" s="5" t="s">
        <v>59</v>
      </c>
      <c r="P1985" s="10" t="s">
        <v>6920</v>
      </c>
      <c r="Q1985" s="10" t="s">
        <v>11089</v>
      </c>
      <c r="R1985" s="10" t="s">
        <v>568</v>
      </c>
      <c r="S1985" s="5">
        <v>0</v>
      </c>
      <c r="T1985" s="37">
        <v>0</v>
      </c>
      <c r="U1985" s="5">
        <v>0</v>
      </c>
      <c r="V1985" s="37">
        <v>0</v>
      </c>
      <c r="W1985" s="5">
        <v>0</v>
      </c>
      <c r="X1985" s="5">
        <v>0</v>
      </c>
      <c r="Y1985" s="5">
        <v>0</v>
      </c>
      <c r="Z1985" s="37">
        <v>0</v>
      </c>
      <c r="AA1985" s="5">
        <v>0</v>
      </c>
      <c r="AB1985" s="5">
        <v>0</v>
      </c>
      <c r="AC1985" s="5">
        <v>0</v>
      </c>
      <c r="AD1985" s="5">
        <v>0</v>
      </c>
      <c r="AE1985" s="10" t="s">
        <v>375</v>
      </c>
      <c r="AF1985" s="10"/>
      <c r="AG1985" s="10" t="s">
        <v>114</v>
      </c>
      <c r="AH1985" s="10">
        <v>42117</v>
      </c>
      <c r="AI1985" s="5">
        <v>0</v>
      </c>
      <c r="AJ1985" s="10" t="s">
        <v>11090</v>
      </c>
      <c r="AK1985" s="10" t="s">
        <v>1215</v>
      </c>
    </row>
    <row r="1986" spans="1:37" ht="36.75" customHeight="1" x14ac:dyDescent="0.35">
      <c r="A1986" s="5"/>
      <c r="B1986" s="5" t="s">
        <v>37</v>
      </c>
      <c r="C1986" s="73" t="str">
        <f t="shared" ref="C1986:C2049" si="31">IF(B1986="Notification","Open",IF(B1986="Interim Statement","In progress","Closed"))</f>
        <v>Closed</v>
      </c>
      <c r="D1986" s="45" t="s">
        <v>11091</v>
      </c>
      <c r="E1986" s="54" t="s">
        <v>11092</v>
      </c>
      <c r="F1986" s="5" t="s">
        <v>96</v>
      </c>
      <c r="G1986" s="10">
        <f>DATE(2015,4,20)</f>
        <v>42114</v>
      </c>
      <c r="H1986" s="35">
        <v>1.3611111111111112</v>
      </c>
      <c r="I1986" s="5" t="s">
        <v>97</v>
      </c>
      <c r="J1986" s="10" t="s">
        <v>11093</v>
      </c>
      <c r="K1986" s="5" t="s">
        <v>99</v>
      </c>
      <c r="L1986" s="5" t="s">
        <v>11094</v>
      </c>
      <c r="M1986" s="5" t="s">
        <v>45</v>
      </c>
      <c r="N1986" s="5" t="s">
        <v>123</v>
      </c>
      <c r="O1986" s="5" t="s">
        <v>46</v>
      </c>
      <c r="P1986" s="10" t="s">
        <v>6920</v>
      </c>
      <c r="Q1986" s="10" t="s">
        <v>101</v>
      </c>
      <c r="R1986" s="10" t="s">
        <v>102</v>
      </c>
      <c r="S1986" s="5">
        <v>0</v>
      </c>
      <c r="T1986" s="37">
        <v>0</v>
      </c>
      <c r="U1986" s="5">
        <v>0</v>
      </c>
      <c r="V1986" s="37">
        <v>0</v>
      </c>
      <c r="W1986" s="5">
        <v>0</v>
      </c>
      <c r="X1986" s="5">
        <v>0</v>
      </c>
      <c r="Y1986" s="5">
        <v>2</v>
      </c>
      <c r="Z1986" s="37">
        <v>1</v>
      </c>
      <c r="AA1986" s="5">
        <v>0</v>
      </c>
      <c r="AB1986" s="5">
        <v>0</v>
      </c>
      <c r="AC1986" s="5">
        <v>0</v>
      </c>
      <c r="AD1986" s="5">
        <v>3</v>
      </c>
      <c r="AE1986" s="10" t="s">
        <v>126</v>
      </c>
      <c r="AF1986" s="10"/>
      <c r="AG1986" s="10" t="s">
        <v>229</v>
      </c>
      <c r="AH1986" s="10">
        <v>42115</v>
      </c>
      <c r="AI1986" s="5">
        <v>3</v>
      </c>
      <c r="AJ1986" s="10" t="s">
        <v>11095</v>
      </c>
      <c r="AK1986" s="10" t="s">
        <v>11096</v>
      </c>
    </row>
    <row r="1987" spans="1:37" ht="36.75" customHeight="1" x14ac:dyDescent="0.35">
      <c r="A1987" s="5"/>
      <c r="B1987" s="5" t="s">
        <v>37</v>
      </c>
      <c r="C1987" s="73" t="str">
        <f t="shared" si="31"/>
        <v>Closed</v>
      </c>
      <c r="D1987" s="45" t="s">
        <v>11097</v>
      </c>
      <c r="E1987" s="54" t="s">
        <v>11098</v>
      </c>
      <c r="F1987" s="5" t="s">
        <v>816</v>
      </c>
      <c r="G1987" s="10">
        <f>DATE(2015,4,20)</f>
        <v>42114</v>
      </c>
      <c r="H1987" s="35">
        <v>1.0020833333333334</v>
      </c>
      <c r="I1987" s="5" t="s">
        <v>55</v>
      </c>
      <c r="J1987" s="10" t="s">
        <v>11099</v>
      </c>
      <c r="K1987" s="5" t="s">
        <v>818</v>
      </c>
      <c r="L1987" s="5" t="s">
        <v>11100</v>
      </c>
      <c r="M1987" s="5" t="s">
        <v>45</v>
      </c>
      <c r="N1987" s="5" t="s">
        <v>123</v>
      </c>
      <c r="O1987" s="5" t="s">
        <v>59</v>
      </c>
      <c r="P1987" s="10" t="s">
        <v>60</v>
      </c>
      <c r="Q1987" s="10" t="s">
        <v>4688</v>
      </c>
      <c r="R1987" s="10" t="s">
        <v>821</v>
      </c>
      <c r="S1987" s="5">
        <v>0</v>
      </c>
      <c r="T1987" s="37">
        <v>0</v>
      </c>
      <c r="U1987" s="5">
        <v>0</v>
      </c>
      <c r="V1987" s="37">
        <v>0</v>
      </c>
      <c r="W1987" s="5">
        <v>0</v>
      </c>
      <c r="X1987" s="5">
        <v>0</v>
      </c>
      <c r="Y1987" s="5">
        <v>0</v>
      </c>
      <c r="Z1987" s="37">
        <v>0</v>
      </c>
      <c r="AA1987" s="5">
        <v>0</v>
      </c>
      <c r="AB1987" s="5">
        <v>0</v>
      </c>
      <c r="AC1987" s="5">
        <v>0</v>
      </c>
      <c r="AD1987" s="5">
        <v>0</v>
      </c>
      <c r="AE1987" s="10" t="s">
        <v>375</v>
      </c>
      <c r="AF1987" s="10"/>
      <c r="AG1987" s="10" t="s">
        <v>333</v>
      </c>
      <c r="AH1987" s="10">
        <v>42114</v>
      </c>
      <c r="AI1987" s="5">
        <v>0</v>
      </c>
      <c r="AJ1987" s="10" t="s">
        <v>11101</v>
      </c>
      <c r="AK1987" s="10" t="e">
        <v>#NAME?</v>
      </c>
    </row>
    <row r="1988" spans="1:37" ht="36.75" customHeight="1" x14ac:dyDescent="0.35">
      <c r="A1988" s="5"/>
      <c r="B1988" s="5" t="s">
        <v>37</v>
      </c>
      <c r="C1988" s="73" t="str">
        <f t="shared" si="31"/>
        <v>Closed</v>
      </c>
      <c r="D1988" s="45" t="s">
        <v>11102</v>
      </c>
      <c r="E1988" s="54" t="s">
        <v>11103</v>
      </c>
      <c r="F1988" s="5" t="s">
        <v>563</v>
      </c>
      <c r="G1988" s="10">
        <f>DATE(2015,4,21)</f>
        <v>42115</v>
      </c>
      <c r="H1988" s="35">
        <v>0</v>
      </c>
      <c r="I1988" s="5" t="s">
        <v>55</v>
      </c>
      <c r="J1988" s="10" t="s">
        <v>11104</v>
      </c>
      <c r="K1988" s="5" t="s">
        <v>565</v>
      </c>
      <c r="L1988" s="5" t="s">
        <v>11105</v>
      </c>
      <c r="M1988" s="5" t="s">
        <v>45</v>
      </c>
      <c r="N1988" s="5" t="s">
        <v>123</v>
      </c>
      <c r="O1988" s="5" t="s">
        <v>59</v>
      </c>
      <c r="P1988" s="10" t="s">
        <v>60</v>
      </c>
      <c r="Q1988" s="10" t="s">
        <v>567</v>
      </c>
      <c r="R1988" s="10" t="s">
        <v>568</v>
      </c>
      <c r="S1988" s="5">
        <v>0</v>
      </c>
      <c r="T1988" s="37">
        <v>0</v>
      </c>
      <c r="U1988" s="5">
        <v>0</v>
      </c>
      <c r="V1988" s="37">
        <v>0</v>
      </c>
      <c r="W1988" s="5">
        <v>0</v>
      </c>
      <c r="X1988" s="5">
        <v>0</v>
      </c>
      <c r="Y1988" s="5">
        <v>0</v>
      </c>
      <c r="Z1988" s="37">
        <v>0</v>
      </c>
      <c r="AA1988" s="5">
        <v>0</v>
      </c>
      <c r="AB1988" s="5">
        <v>0</v>
      </c>
      <c r="AC1988" s="5">
        <v>0</v>
      </c>
      <c r="AD1988" s="5">
        <v>0</v>
      </c>
      <c r="AE1988" s="10" t="s">
        <v>375</v>
      </c>
      <c r="AF1988" s="10"/>
      <c r="AG1988" s="10" t="s">
        <v>114</v>
      </c>
      <c r="AH1988" s="10">
        <v>42117</v>
      </c>
      <c r="AI1988" s="5">
        <v>0</v>
      </c>
      <c r="AJ1988" s="10" t="s">
        <v>11106</v>
      </c>
      <c r="AK1988" s="10" t="s">
        <v>1215</v>
      </c>
    </row>
    <row r="1989" spans="1:37" ht="36.75" customHeight="1" x14ac:dyDescent="0.35">
      <c r="A1989" s="5"/>
      <c r="B1989" s="5" t="s">
        <v>37</v>
      </c>
      <c r="C1989" s="73" t="str">
        <f t="shared" si="31"/>
        <v>Closed</v>
      </c>
      <c r="D1989" s="45" t="s">
        <v>11107</v>
      </c>
      <c r="E1989" s="54" t="s">
        <v>11108</v>
      </c>
      <c r="F1989" s="5" t="s">
        <v>563</v>
      </c>
      <c r="G1989" s="10">
        <f>DATE(2015,4,24)</f>
        <v>42118</v>
      </c>
      <c r="H1989" s="35">
        <v>0.94791666666666663</v>
      </c>
      <c r="I1989" s="5" t="s">
        <v>85</v>
      </c>
      <c r="J1989" s="10" t="s">
        <v>11109</v>
      </c>
      <c r="K1989" s="5" t="s">
        <v>565</v>
      </c>
      <c r="L1989" s="5" t="s">
        <v>11110</v>
      </c>
      <c r="M1989" s="5" t="s">
        <v>45</v>
      </c>
      <c r="N1989" s="5" t="s">
        <v>123</v>
      </c>
      <c r="O1989" s="5" t="s">
        <v>59</v>
      </c>
      <c r="P1989" s="10" t="s">
        <v>60</v>
      </c>
      <c r="Q1989" s="10" t="s">
        <v>11111</v>
      </c>
      <c r="R1989" s="10" t="s">
        <v>568</v>
      </c>
      <c r="S1989" s="5">
        <v>0</v>
      </c>
      <c r="T1989" s="37">
        <v>0</v>
      </c>
      <c r="U1989" s="5">
        <v>0</v>
      </c>
      <c r="V1989" s="37">
        <v>0</v>
      </c>
      <c r="W1989" s="5">
        <v>0</v>
      </c>
      <c r="X1989" s="5">
        <v>0</v>
      </c>
      <c r="Y1989" s="5">
        <v>0</v>
      </c>
      <c r="Z1989" s="37">
        <v>0</v>
      </c>
      <c r="AA1989" s="5">
        <v>0</v>
      </c>
      <c r="AB1989" s="5">
        <v>0</v>
      </c>
      <c r="AC1989" s="5">
        <v>0</v>
      </c>
      <c r="AD1989" s="5">
        <v>0</v>
      </c>
      <c r="AE1989" s="10" t="s">
        <v>73</v>
      </c>
      <c r="AF1989" s="10" t="s">
        <v>11112</v>
      </c>
      <c r="AG1989" s="10" t="s">
        <v>8837</v>
      </c>
      <c r="AH1989" s="10">
        <v>42139</v>
      </c>
      <c r="AI1989" s="5">
        <v>0</v>
      </c>
      <c r="AJ1989" s="10" t="s">
        <v>11113</v>
      </c>
      <c r="AK1989" s="10" t="s">
        <v>10547</v>
      </c>
    </row>
    <row r="1990" spans="1:37" ht="36.75" customHeight="1" x14ac:dyDescent="0.35">
      <c r="A1990" s="5"/>
      <c r="B1990" s="5" t="s">
        <v>37</v>
      </c>
      <c r="C1990" s="73" t="str">
        <f t="shared" si="31"/>
        <v>Closed</v>
      </c>
      <c r="D1990" s="45" t="s">
        <v>11114</v>
      </c>
      <c r="E1990" s="54" t="s">
        <v>11115</v>
      </c>
      <c r="F1990" s="5" t="s">
        <v>563</v>
      </c>
      <c r="G1990" s="10">
        <f>DATE(2015,4,25)</f>
        <v>42119</v>
      </c>
      <c r="H1990" s="35">
        <v>1.3576388888888888</v>
      </c>
      <c r="I1990" s="5" t="s">
        <v>106</v>
      </c>
      <c r="J1990" s="10" t="s">
        <v>11116</v>
      </c>
      <c r="K1990" s="5" t="s">
        <v>565</v>
      </c>
      <c r="L1990" s="5" t="s">
        <v>11117</v>
      </c>
      <c r="M1990" s="5" t="s">
        <v>45</v>
      </c>
      <c r="N1990" s="5" t="s">
        <v>123</v>
      </c>
      <c r="O1990" s="5" t="s">
        <v>59</v>
      </c>
      <c r="P1990" s="10" t="s">
        <v>60</v>
      </c>
      <c r="Q1990" s="10" t="s">
        <v>11111</v>
      </c>
      <c r="R1990" s="10" t="s">
        <v>568</v>
      </c>
      <c r="S1990" s="5">
        <v>0</v>
      </c>
      <c r="T1990" s="37">
        <v>0</v>
      </c>
      <c r="U1990" s="5">
        <v>0</v>
      </c>
      <c r="V1990" s="37">
        <v>0</v>
      </c>
      <c r="W1990" s="5">
        <v>0</v>
      </c>
      <c r="X1990" s="5">
        <v>0</v>
      </c>
      <c r="Y1990" s="5">
        <v>0</v>
      </c>
      <c r="Z1990" s="37">
        <v>0</v>
      </c>
      <c r="AA1990" s="5">
        <v>0</v>
      </c>
      <c r="AB1990" s="5">
        <v>0</v>
      </c>
      <c r="AC1990" s="5">
        <v>0</v>
      </c>
      <c r="AD1990" s="5">
        <v>0</v>
      </c>
      <c r="AE1990" s="10" t="s">
        <v>73</v>
      </c>
      <c r="AF1990" s="10" t="s">
        <v>11112</v>
      </c>
      <c r="AG1990" s="10" t="s">
        <v>333</v>
      </c>
      <c r="AH1990" s="10">
        <v>42132</v>
      </c>
      <c r="AI1990" s="5">
        <v>1</v>
      </c>
      <c r="AJ1990" s="10" t="s">
        <v>11118</v>
      </c>
      <c r="AK1990" s="10" t="s">
        <v>1215</v>
      </c>
    </row>
    <row r="1991" spans="1:37" ht="36.75" customHeight="1" x14ac:dyDescent="0.35">
      <c r="A1991" s="5"/>
      <c r="B1991" s="5" t="s">
        <v>37</v>
      </c>
      <c r="C1991" s="73" t="str">
        <f t="shared" si="31"/>
        <v>Closed</v>
      </c>
      <c r="D1991" s="45" t="s">
        <v>11119</v>
      </c>
      <c r="E1991" s="54" t="s">
        <v>11120</v>
      </c>
      <c r="F1991" s="5" t="s">
        <v>563</v>
      </c>
      <c r="G1991" s="10">
        <f>DATE(2015,4,26)</f>
        <v>42120</v>
      </c>
      <c r="H1991" s="35">
        <v>1.7513888888888891</v>
      </c>
      <c r="I1991" s="5" t="s">
        <v>55</v>
      </c>
      <c r="J1991" s="10" t="s">
        <v>11121</v>
      </c>
      <c r="K1991" s="5" t="s">
        <v>565</v>
      </c>
      <c r="L1991" s="5" t="s">
        <v>11110</v>
      </c>
      <c r="M1991" s="5" t="s">
        <v>45</v>
      </c>
      <c r="N1991" s="5" t="s">
        <v>123</v>
      </c>
      <c r="O1991" s="5" t="s">
        <v>59</v>
      </c>
      <c r="P1991" s="10" t="s">
        <v>146</v>
      </c>
      <c r="Q1991" s="10" t="s">
        <v>4467</v>
      </c>
      <c r="R1991" s="10" t="s">
        <v>568</v>
      </c>
      <c r="S1991" s="5">
        <v>0</v>
      </c>
      <c r="T1991" s="37">
        <v>0</v>
      </c>
      <c r="U1991" s="5">
        <v>0</v>
      </c>
      <c r="V1991" s="37">
        <v>0</v>
      </c>
      <c r="W1991" s="5">
        <v>0</v>
      </c>
      <c r="X1991" s="5">
        <v>0</v>
      </c>
      <c r="Y1991" s="5">
        <v>0</v>
      </c>
      <c r="Z1991" s="37">
        <v>0</v>
      </c>
      <c r="AA1991" s="5">
        <v>0</v>
      </c>
      <c r="AB1991" s="5">
        <v>0</v>
      </c>
      <c r="AC1991" s="5">
        <v>0</v>
      </c>
      <c r="AD1991" s="5">
        <v>0</v>
      </c>
      <c r="AE1991" s="10" t="s">
        <v>73</v>
      </c>
      <c r="AF1991" s="10" t="s">
        <v>11122</v>
      </c>
      <c r="AG1991" s="10" t="s">
        <v>8837</v>
      </c>
      <c r="AH1991" s="10">
        <v>42132</v>
      </c>
      <c r="AI1991" s="5">
        <v>0</v>
      </c>
      <c r="AJ1991" s="10" t="s">
        <v>11123</v>
      </c>
      <c r="AK1991" s="10" t="s">
        <v>10547</v>
      </c>
    </row>
    <row r="1992" spans="1:37" ht="36.75" customHeight="1" x14ac:dyDescent="0.35">
      <c r="A1992" s="5"/>
      <c r="B1992" s="5" t="s">
        <v>37</v>
      </c>
      <c r="C1992" s="73" t="str">
        <f t="shared" si="31"/>
        <v>Closed</v>
      </c>
      <c r="D1992" s="45" t="s">
        <v>11124</v>
      </c>
      <c r="E1992" s="54" t="s">
        <v>11125</v>
      </c>
      <c r="F1992" s="5" t="s">
        <v>1553</v>
      </c>
      <c r="G1992" s="10">
        <f>DATE(2015,4,27)</f>
        <v>42121</v>
      </c>
      <c r="H1992" s="35">
        <v>1.1458333333333333</v>
      </c>
      <c r="I1992" s="5" t="s">
        <v>106</v>
      </c>
      <c r="J1992" s="10" t="s">
        <v>11126</v>
      </c>
      <c r="K1992" s="5" t="s">
        <v>1555</v>
      </c>
      <c r="L1992" s="5" t="s">
        <v>11127</v>
      </c>
      <c r="M1992" s="5" t="s">
        <v>45</v>
      </c>
      <c r="N1992" s="5" t="s">
        <v>80</v>
      </c>
      <c r="O1992" s="5" t="s">
        <v>59</v>
      </c>
      <c r="P1992" s="10" t="s">
        <v>146</v>
      </c>
      <c r="Q1992" s="10" t="s">
        <v>4467</v>
      </c>
      <c r="R1992" s="10" t="s">
        <v>568</v>
      </c>
      <c r="S1992" s="5">
        <v>0</v>
      </c>
      <c r="T1992" s="37">
        <v>0</v>
      </c>
      <c r="U1992" s="5">
        <v>0</v>
      </c>
      <c r="V1992" s="37">
        <v>0</v>
      </c>
      <c r="W1992" s="5">
        <v>0</v>
      </c>
      <c r="X1992" s="5">
        <v>0</v>
      </c>
      <c r="Y1992" s="5">
        <v>0</v>
      </c>
      <c r="Z1992" s="37">
        <v>0</v>
      </c>
      <c r="AA1992" s="5">
        <v>0</v>
      </c>
      <c r="AB1992" s="5">
        <v>0</v>
      </c>
      <c r="AC1992" s="5">
        <v>0</v>
      </c>
      <c r="AD1992" s="5">
        <v>0</v>
      </c>
      <c r="AE1992" s="10" t="s">
        <v>73</v>
      </c>
      <c r="AF1992" s="10" t="s">
        <v>11122</v>
      </c>
      <c r="AG1992" s="10" t="s">
        <v>114</v>
      </c>
      <c r="AH1992" s="10">
        <v>42121</v>
      </c>
      <c r="AI1992" s="5">
        <v>1</v>
      </c>
      <c r="AJ1992" s="10" t="s">
        <v>11128</v>
      </c>
      <c r="AK1992" s="10" t="s">
        <v>11129</v>
      </c>
    </row>
    <row r="1993" spans="1:37" ht="36.75" customHeight="1" x14ac:dyDescent="0.35">
      <c r="A1993" s="5"/>
      <c r="B1993" s="5" t="s">
        <v>37</v>
      </c>
      <c r="C1993" s="73" t="str">
        <f t="shared" si="31"/>
        <v>Closed</v>
      </c>
      <c r="D1993" s="45" t="s">
        <v>11130</v>
      </c>
      <c r="E1993" s="54" t="s">
        <v>11131</v>
      </c>
      <c r="F1993" s="5" t="s">
        <v>1553</v>
      </c>
      <c r="G1993" s="10">
        <f>DATE(2015,4,28)</f>
        <v>42122</v>
      </c>
      <c r="H1993" s="35">
        <v>0</v>
      </c>
      <c r="I1993" s="5" t="s">
        <v>67</v>
      </c>
      <c r="J1993" s="10" t="s">
        <v>11132</v>
      </c>
      <c r="K1993" s="5" t="s">
        <v>1555</v>
      </c>
      <c r="L1993" s="5" t="s">
        <v>11133</v>
      </c>
      <c r="M1993" s="5" t="s">
        <v>45</v>
      </c>
      <c r="N1993" s="5" t="s">
        <v>123</v>
      </c>
      <c r="O1993" s="5" t="s">
        <v>59</v>
      </c>
      <c r="P1993" s="10" t="s">
        <v>146</v>
      </c>
      <c r="Q1993" s="10" t="s">
        <v>4467</v>
      </c>
      <c r="R1993" s="10" t="s">
        <v>568</v>
      </c>
      <c r="S1993" s="5">
        <v>0</v>
      </c>
      <c r="T1993" s="37">
        <v>0</v>
      </c>
      <c r="U1993" s="5">
        <v>0</v>
      </c>
      <c r="V1993" s="37">
        <v>0</v>
      </c>
      <c r="W1993" s="5">
        <v>0</v>
      </c>
      <c r="X1993" s="5">
        <v>0</v>
      </c>
      <c r="Y1993" s="5">
        <v>0</v>
      </c>
      <c r="Z1993" s="37">
        <v>0</v>
      </c>
      <c r="AA1993" s="5">
        <v>0</v>
      </c>
      <c r="AB1993" s="5">
        <v>0</v>
      </c>
      <c r="AC1993" s="5">
        <v>0</v>
      </c>
      <c r="AD1993" s="5">
        <v>0</v>
      </c>
      <c r="AE1993" s="10" t="s">
        <v>73</v>
      </c>
      <c r="AF1993" s="10" t="s">
        <v>11122</v>
      </c>
      <c r="AG1993" s="10" t="s">
        <v>1489</v>
      </c>
      <c r="AH1993" s="10">
        <v>42131</v>
      </c>
      <c r="AI1993" s="5">
        <v>1</v>
      </c>
      <c r="AJ1993" s="10" t="s">
        <v>11134</v>
      </c>
      <c r="AK1993" s="10" t="s">
        <v>1215</v>
      </c>
    </row>
    <row r="1994" spans="1:37" ht="36.75" customHeight="1" x14ac:dyDescent="0.35">
      <c r="A1994" s="5"/>
      <c r="B1994" s="5" t="s">
        <v>37</v>
      </c>
      <c r="C1994" s="73" t="str">
        <f t="shared" si="31"/>
        <v>Closed</v>
      </c>
      <c r="D1994" s="45" t="s">
        <v>11135</v>
      </c>
      <c r="E1994" s="54" t="s">
        <v>11136</v>
      </c>
      <c r="F1994" s="5" t="s">
        <v>404</v>
      </c>
      <c r="G1994" s="10">
        <f>DATE(2015,5,4)</f>
        <v>42128</v>
      </c>
      <c r="H1994" s="35">
        <v>1.3722222222222222</v>
      </c>
      <c r="I1994" s="5" t="s">
        <v>137</v>
      </c>
      <c r="J1994" s="10" t="s">
        <v>11137</v>
      </c>
      <c r="K1994" s="5" t="s">
        <v>406</v>
      </c>
      <c r="L1994" s="5" t="s">
        <v>11138</v>
      </c>
      <c r="M1994" s="5" t="s">
        <v>45</v>
      </c>
      <c r="N1994" s="5" t="s">
        <v>80</v>
      </c>
      <c r="O1994" s="5" t="s">
        <v>59</v>
      </c>
      <c r="P1994" s="10" t="s">
        <v>146</v>
      </c>
      <c r="Q1994" s="10" t="s">
        <v>4467</v>
      </c>
      <c r="R1994" s="10" t="s">
        <v>568</v>
      </c>
      <c r="S1994" s="5">
        <v>0</v>
      </c>
      <c r="T1994" s="37">
        <v>0</v>
      </c>
      <c r="U1994" s="5">
        <v>0</v>
      </c>
      <c r="V1994" s="37">
        <v>0</v>
      </c>
      <c r="W1994" s="5">
        <v>0</v>
      </c>
      <c r="X1994" s="5">
        <v>0</v>
      </c>
      <c r="Y1994" s="5">
        <v>0</v>
      </c>
      <c r="Z1994" s="37">
        <v>0</v>
      </c>
      <c r="AA1994" s="5">
        <v>0</v>
      </c>
      <c r="AB1994" s="5">
        <v>0</v>
      </c>
      <c r="AC1994" s="5">
        <v>0</v>
      </c>
      <c r="AD1994" s="5">
        <v>0</v>
      </c>
      <c r="AE1994" s="10" t="s">
        <v>73</v>
      </c>
      <c r="AF1994" s="10" t="s">
        <v>11122</v>
      </c>
      <c r="AG1994" s="10" t="s">
        <v>114</v>
      </c>
      <c r="AH1994" s="10">
        <v>42190</v>
      </c>
      <c r="AI1994" s="5">
        <v>0</v>
      </c>
      <c r="AJ1994" s="10" t="s">
        <v>11139</v>
      </c>
      <c r="AK1994" s="10" t="s">
        <v>11140</v>
      </c>
    </row>
    <row r="1995" spans="1:37" ht="36.75" customHeight="1" x14ac:dyDescent="0.35">
      <c r="A1995" s="5"/>
      <c r="B1995" s="5" t="s">
        <v>37</v>
      </c>
      <c r="C1995" s="73" t="str">
        <f t="shared" si="31"/>
        <v>Closed</v>
      </c>
      <c r="D1995" s="45" t="s">
        <v>11141</v>
      </c>
      <c r="E1995" s="54" t="s">
        <v>11142</v>
      </c>
      <c r="F1995" s="5" t="s">
        <v>563</v>
      </c>
      <c r="G1995" s="10">
        <f>DATE(2015,5,4)</f>
        <v>42128</v>
      </c>
      <c r="H1995" s="35">
        <v>1.3138888888888889</v>
      </c>
      <c r="I1995" s="5" t="s">
        <v>55</v>
      </c>
      <c r="J1995" s="10" t="s">
        <v>11143</v>
      </c>
      <c r="K1995" s="5" t="s">
        <v>565</v>
      </c>
      <c r="L1995" s="5" t="s">
        <v>11144</v>
      </c>
      <c r="M1995" s="5" t="s">
        <v>45</v>
      </c>
      <c r="N1995" s="5" t="s">
        <v>123</v>
      </c>
      <c r="O1995" s="5" t="s">
        <v>59</v>
      </c>
      <c r="P1995" s="10" t="s">
        <v>146</v>
      </c>
      <c r="Q1995" s="10" t="s">
        <v>4467</v>
      </c>
      <c r="R1995" s="10" t="s">
        <v>568</v>
      </c>
      <c r="S1995" s="5">
        <v>0</v>
      </c>
      <c r="T1995" s="37">
        <v>0</v>
      </c>
      <c r="U1995" s="5">
        <v>0</v>
      </c>
      <c r="V1995" s="37">
        <v>0</v>
      </c>
      <c r="W1995" s="5">
        <v>0</v>
      </c>
      <c r="X1995" s="5">
        <v>0</v>
      </c>
      <c r="Y1995" s="5">
        <v>0</v>
      </c>
      <c r="Z1995" s="37">
        <v>0</v>
      </c>
      <c r="AA1995" s="5">
        <v>0</v>
      </c>
      <c r="AB1995" s="5">
        <v>0</v>
      </c>
      <c r="AC1995" s="5">
        <v>0</v>
      </c>
      <c r="AD1995" s="5">
        <v>0</v>
      </c>
      <c r="AE1995" s="10" t="s">
        <v>73</v>
      </c>
      <c r="AF1995" s="10" t="s">
        <v>11122</v>
      </c>
      <c r="AG1995" s="10" t="s">
        <v>114</v>
      </c>
      <c r="AH1995" s="10">
        <v>42132</v>
      </c>
      <c r="AI1995" s="5">
        <v>0</v>
      </c>
      <c r="AJ1995" s="10" t="s">
        <v>11145</v>
      </c>
      <c r="AK1995" s="10" t="s">
        <v>1215</v>
      </c>
    </row>
    <row r="1996" spans="1:37" ht="36.75" customHeight="1" x14ac:dyDescent="0.35">
      <c r="A1996" s="5"/>
      <c r="B1996" s="5" t="s">
        <v>37</v>
      </c>
      <c r="C1996" s="73" t="str">
        <f t="shared" si="31"/>
        <v>Closed</v>
      </c>
      <c r="D1996" s="45" t="s">
        <v>11146</v>
      </c>
      <c r="E1996" s="54" t="s">
        <v>11147</v>
      </c>
      <c r="F1996" s="5" t="s">
        <v>178</v>
      </c>
      <c r="G1996" s="10">
        <f>DATE(2015,5,6)</f>
        <v>42130</v>
      </c>
      <c r="H1996" s="35">
        <v>1.425</v>
      </c>
      <c r="I1996" s="5" t="s">
        <v>85</v>
      </c>
      <c r="J1996" s="10" t="s">
        <v>11148</v>
      </c>
      <c r="K1996" s="5" t="s">
        <v>181</v>
      </c>
      <c r="L1996" s="5" t="s">
        <v>11149</v>
      </c>
      <c r="M1996" s="5" t="s">
        <v>45</v>
      </c>
      <c r="N1996" s="5" t="s">
        <v>80</v>
      </c>
      <c r="O1996" s="5" t="s">
        <v>46</v>
      </c>
      <c r="P1996" s="10" t="s">
        <v>146</v>
      </c>
      <c r="Q1996" s="10" t="s">
        <v>4467</v>
      </c>
      <c r="R1996" s="10" t="s">
        <v>568</v>
      </c>
      <c r="S1996" s="5">
        <v>0</v>
      </c>
      <c r="T1996" s="37">
        <v>0</v>
      </c>
      <c r="U1996" s="5">
        <v>0</v>
      </c>
      <c r="V1996" s="37">
        <v>0</v>
      </c>
      <c r="W1996" s="5">
        <v>0</v>
      </c>
      <c r="X1996" s="5">
        <v>0</v>
      </c>
      <c r="Y1996" s="5">
        <v>0</v>
      </c>
      <c r="Z1996" s="37">
        <v>0</v>
      </c>
      <c r="AA1996" s="5">
        <v>0</v>
      </c>
      <c r="AB1996" s="5">
        <v>0</v>
      </c>
      <c r="AC1996" s="5">
        <v>0</v>
      </c>
      <c r="AD1996" s="5">
        <v>0</v>
      </c>
      <c r="AE1996" s="10" t="s">
        <v>73</v>
      </c>
      <c r="AF1996" s="10" t="s">
        <v>11122</v>
      </c>
      <c r="AG1996" s="10" t="s">
        <v>64</v>
      </c>
      <c r="AH1996" s="10">
        <v>42145</v>
      </c>
      <c r="AI1996" s="5">
        <v>4</v>
      </c>
      <c r="AJ1996" s="10" t="s">
        <v>11150</v>
      </c>
      <c r="AK1996" s="10" t="s">
        <v>1215</v>
      </c>
    </row>
    <row r="1997" spans="1:37" ht="36.75" customHeight="1" x14ac:dyDescent="0.35">
      <c r="A1997" s="5"/>
      <c r="B1997" s="5" t="s">
        <v>37</v>
      </c>
      <c r="C1997" s="73" t="str">
        <f t="shared" si="31"/>
        <v>Closed</v>
      </c>
      <c r="D1997" s="45" t="s">
        <v>11151</v>
      </c>
      <c r="E1997" s="54" t="s">
        <v>11152</v>
      </c>
      <c r="F1997" s="5" t="s">
        <v>6434</v>
      </c>
      <c r="G1997" s="10">
        <f>DATE(2015,5,6)</f>
        <v>42130</v>
      </c>
      <c r="H1997" s="35">
        <v>0.46527777777777773</v>
      </c>
      <c r="I1997" s="5" t="s">
        <v>137</v>
      </c>
      <c r="J1997" s="10" t="s">
        <v>11153</v>
      </c>
      <c r="K1997" s="5" t="s">
        <v>565</v>
      </c>
      <c r="L1997" s="5" t="s">
        <v>11154</v>
      </c>
      <c r="M1997" s="5" t="s">
        <v>45</v>
      </c>
      <c r="N1997" s="5" t="s">
        <v>123</v>
      </c>
      <c r="O1997" s="5" t="s">
        <v>46</v>
      </c>
      <c r="P1997" s="10" t="s">
        <v>443</v>
      </c>
      <c r="Q1997" s="10" t="s">
        <v>4810</v>
      </c>
      <c r="R1997" s="10" t="s">
        <v>568</v>
      </c>
      <c r="S1997" s="5">
        <v>0</v>
      </c>
      <c r="T1997" s="37">
        <v>0</v>
      </c>
      <c r="U1997" s="5">
        <v>0</v>
      </c>
      <c r="V1997" s="37">
        <v>0</v>
      </c>
      <c r="W1997" s="5">
        <v>0</v>
      </c>
      <c r="X1997" s="5">
        <v>0</v>
      </c>
      <c r="Y1997" s="5">
        <v>0</v>
      </c>
      <c r="Z1997" s="37">
        <v>0</v>
      </c>
      <c r="AA1997" s="5">
        <v>0</v>
      </c>
      <c r="AB1997" s="5">
        <v>0</v>
      </c>
      <c r="AC1997" s="5">
        <v>0</v>
      </c>
      <c r="AD1997" s="5">
        <v>0</v>
      </c>
      <c r="AE1997" s="10" t="s">
        <v>73</v>
      </c>
      <c r="AF1997" s="10" t="s">
        <v>11155</v>
      </c>
      <c r="AG1997" s="10" t="s">
        <v>8837</v>
      </c>
      <c r="AH1997" s="10">
        <v>42132</v>
      </c>
      <c r="AI1997" s="5">
        <v>0</v>
      </c>
      <c r="AJ1997" s="10" t="s">
        <v>11156</v>
      </c>
      <c r="AK1997" s="10" t="s">
        <v>50</v>
      </c>
    </row>
    <row r="1998" spans="1:37" ht="36.75" customHeight="1" x14ac:dyDescent="0.35">
      <c r="A1998" s="5"/>
      <c r="B1998" s="5" t="s">
        <v>37</v>
      </c>
      <c r="C1998" s="73" t="str">
        <f t="shared" si="31"/>
        <v>Closed</v>
      </c>
      <c r="D1998" s="45" t="s">
        <v>11157</v>
      </c>
      <c r="E1998" s="54" t="s">
        <v>11158</v>
      </c>
      <c r="F1998" s="5" t="s">
        <v>1553</v>
      </c>
      <c r="G1998" s="10">
        <f>DATE(2015,5,7)</f>
        <v>42131</v>
      </c>
      <c r="H1998" s="35">
        <v>1.6145833333333335</v>
      </c>
      <c r="I1998" s="5" t="s">
        <v>55</v>
      </c>
      <c r="J1998" s="10" t="s">
        <v>11159</v>
      </c>
      <c r="K1998" s="5" t="s">
        <v>1555</v>
      </c>
      <c r="L1998" s="5" t="s">
        <v>11160</v>
      </c>
      <c r="M1998" s="5" t="s">
        <v>45</v>
      </c>
      <c r="N1998" s="5" t="s">
        <v>123</v>
      </c>
      <c r="O1998" s="5" t="s">
        <v>46</v>
      </c>
      <c r="P1998" s="10" t="s">
        <v>146</v>
      </c>
      <c r="Q1998" s="10" t="s">
        <v>4467</v>
      </c>
      <c r="R1998" s="10" t="s">
        <v>568</v>
      </c>
      <c r="S1998" s="5">
        <v>0</v>
      </c>
      <c r="T1998" s="37">
        <v>0</v>
      </c>
      <c r="U1998" s="5">
        <v>0</v>
      </c>
      <c r="V1998" s="37">
        <v>0</v>
      </c>
      <c r="W1998" s="5">
        <v>0</v>
      </c>
      <c r="X1998" s="5">
        <v>0</v>
      </c>
      <c r="Y1998" s="5">
        <v>0</v>
      </c>
      <c r="Z1998" s="37">
        <v>0</v>
      </c>
      <c r="AA1998" s="5">
        <v>0</v>
      </c>
      <c r="AB1998" s="5">
        <v>0</v>
      </c>
      <c r="AC1998" s="5">
        <v>0</v>
      </c>
      <c r="AD1998" s="5">
        <v>0</v>
      </c>
      <c r="AE1998" s="10" t="s">
        <v>73</v>
      </c>
      <c r="AF1998" s="10" t="s">
        <v>11122</v>
      </c>
      <c r="AG1998" s="10" t="s">
        <v>333</v>
      </c>
      <c r="AH1998" s="10">
        <v>42135</v>
      </c>
      <c r="AI1998" s="5">
        <v>0</v>
      </c>
      <c r="AJ1998" s="10" t="s">
        <v>11161</v>
      </c>
      <c r="AK1998" s="10" t="s">
        <v>11162</v>
      </c>
    </row>
    <row r="1999" spans="1:37" ht="36.75" customHeight="1" x14ac:dyDescent="0.35">
      <c r="A1999" s="5"/>
      <c r="B1999" s="5" t="s">
        <v>37</v>
      </c>
      <c r="C1999" s="73" t="str">
        <f t="shared" si="31"/>
        <v>Closed</v>
      </c>
      <c r="D1999" s="45" t="s">
        <v>11163</v>
      </c>
      <c r="E1999" s="54" t="s">
        <v>11164</v>
      </c>
      <c r="F1999" s="5" t="s">
        <v>619</v>
      </c>
      <c r="G1999" s="10">
        <f>DATE(2015,5,10)</f>
        <v>42134</v>
      </c>
      <c r="H1999" s="35">
        <v>1.932638888888889</v>
      </c>
      <c r="I1999" s="5" t="s">
        <v>85</v>
      </c>
      <c r="J1999" s="10" t="s">
        <v>11165</v>
      </c>
      <c r="K1999" s="5" t="s">
        <v>621</v>
      </c>
      <c r="L1999" s="5" t="s">
        <v>9183</v>
      </c>
      <c r="M1999" s="5" t="s">
        <v>45</v>
      </c>
      <c r="N1999" s="5" t="s">
        <v>123</v>
      </c>
      <c r="O1999" s="5" t="s">
        <v>59</v>
      </c>
      <c r="P1999" s="10" t="s">
        <v>146</v>
      </c>
      <c r="Q1999" s="10" t="s">
        <v>4467</v>
      </c>
      <c r="R1999" s="10" t="s">
        <v>568</v>
      </c>
      <c r="S1999" s="5">
        <v>0</v>
      </c>
      <c r="T1999" s="37">
        <v>0</v>
      </c>
      <c r="U1999" s="5">
        <v>0</v>
      </c>
      <c r="V1999" s="37">
        <v>0</v>
      </c>
      <c r="W1999" s="5">
        <v>0</v>
      </c>
      <c r="X1999" s="5">
        <v>0</v>
      </c>
      <c r="Y1999" s="5">
        <v>0</v>
      </c>
      <c r="Z1999" s="37">
        <v>0</v>
      </c>
      <c r="AA1999" s="5">
        <v>0</v>
      </c>
      <c r="AB1999" s="5">
        <v>0</v>
      </c>
      <c r="AC1999" s="5">
        <v>0</v>
      </c>
      <c r="AD1999" s="5">
        <v>0</v>
      </c>
      <c r="AE1999" s="10" t="s">
        <v>73</v>
      </c>
      <c r="AF1999" s="10" t="s">
        <v>11122</v>
      </c>
      <c r="AG1999" s="10" t="s">
        <v>333</v>
      </c>
      <c r="AH1999" s="10">
        <v>42199</v>
      </c>
      <c r="AI1999" s="5">
        <v>1</v>
      </c>
      <c r="AJ1999" s="10" t="s">
        <v>11166</v>
      </c>
      <c r="AK1999" s="10" t="s">
        <v>50</v>
      </c>
    </row>
    <row r="2000" spans="1:37" ht="36.75" customHeight="1" x14ac:dyDescent="0.35">
      <c r="A2000" s="5"/>
      <c r="B2000" s="5" t="s">
        <v>37</v>
      </c>
      <c r="C2000" s="73" t="str">
        <f t="shared" si="31"/>
        <v>Closed</v>
      </c>
      <c r="D2000" s="45" t="s">
        <v>11167</v>
      </c>
      <c r="E2000" s="54" t="s">
        <v>11168</v>
      </c>
      <c r="F2000" s="5" t="s">
        <v>816</v>
      </c>
      <c r="G2000" s="10">
        <f>DATE(2015,5,12)</f>
        <v>42136</v>
      </c>
      <c r="H2000" s="35">
        <v>1.71875</v>
      </c>
      <c r="I2000" s="5" t="s">
        <v>55</v>
      </c>
      <c r="J2000" s="10" t="s">
        <v>11169</v>
      </c>
      <c r="K2000" s="5" t="s">
        <v>818</v>
      </c>
      <c r="L2000" s="5" t="s">
        <v>11047</v>
      </c>
      <c r="M2000" s="5" t="s">
        <v>9897</v>
      </c>
      <c r="N2000" s="5" t="s">
        <v>80</v>
      </c>
      <c r="O2000" s="5" t="s">
        <v>46</v>
      </c>
      <c r="P2000" s="10" t="s">
        <v>146</v>
      </c>
      <c r="Q2000" s="10" t="s">
        <v>4467</v>
      </c>
      <c r="R2000" s="10" t="s">
        <v>568</v>
      </c>
      <c r="S2000" s="5">
        <v>0</v>
      </c>
      <c r="T2000" s="37">
        <v>0</v>
      </c>
      <c r="U2000" s="5">
        <v>0</v>
      </c>
      <c r="V2000" s="37">
        <v>0</v>
      </c>
      <c r="W2000" s="5">
        <v>0</v>
      </c>
      <c r="X2000" s="5">
        <v>0</v>
      </c>
      <c r="Y2000" s="5">
        <v>0</v>
      </c>
      <c r="Z2000" s="37">
        <v>0</v>
      </c>
      <c r="AA2000" s="5">
        <v>0</v>
      </c>
      <c r="AB2000" s="5">
        <v>0</v>
      </c>
      <c r="AC2000" s="5">
        <v>0</v>
      </c>
      <c r="AD2000" s="5">
        <v>0</v>
      </c>
      <c r="AE2000" s="10" t="s">
        <v>73</v>
      </c>
      <c r="AF2000" s="10" t="s">
        <v>11122</v>
      </c>
      <c r="AG2000" s="10" t="s">
        <v>333</v>
      </c>
      <c r="AH2000" s="10">
        <v>42136</v>
      </c>
      <c r="AI2000" s="5">
        <v>0</v>
      </c>
      <c r="AJ2000" s="10" t="s">
        <v>11170</v>
      </c>
      <c r="AK2000" s="10" t="s">
        <v>50</v>
      </c>
    </row>
    <row r="2001" spans="1:37" ht="36.75" customHeight="1" x14ac:dyDescent="0.35">
      <c r="A2001" s="5"/>
      <c r="B2001" s="5" t="s">
        <v>37</v>
      </c>
      <c r="C2001" s="73" t="str">
        <f t="shared" si="31"/>
        <v>Closed</v>
      </c>
      <c r="D2001" s="45" t="s">
        <v>11171</v>
      </c>
      <c r="E2001" s="54" t="s">
        <v>11172</v>
      </c>
      <c r="F2001" s="5" t="s">
        <v>214</v>
      </c>
      <c r="G2001" s="10">
        <f>DATE(2015,5,12)</f>
        <v>42136</v>
      </c>
      <c r="H2001" s="35">
        <v>1.46875</v>
      </c>
      <c r="I2001" s="5" t="s">
        <v>259</v>
      </c>
      <c r="J2001" s="10" t="s">
        <v>11173</v>
      </c>
      <c r="K2001" s="5" t="s">
        <v>216</v>
      </c>
      <c r="L2001" s="5" t="s">
        <v>11174</v>
      </c>
      <c r="M2001" s="5" t="s">
        <v>236</v>
      </c>
      <c r="N2001" s="5" t="s">
        <v>80</v>
      </c>
      <c r="O2001" s="5" t="s">
        <v>46</v>
      </c>
      <c r="P2001" s="10" t="s">
        <v>146</v>
      </c>
      <c r="Q2001" s="10" t="s">
        <v>4467</v>
      </c>
      <c r="R2001" s="10" t="s">
        <v>568</v>
      </c>
      <c r="S2001" s="5">
        <v>0</v>
      </c>
      <c r="T2001" s="37">
        <v>0</v>
      </c>
      <c r="U2001" s="5">
        <v>0</v>
      </c>
      <c r="V2001" s="37">
        <v>0</v>
      </c>
      <c r="W2001" s="5">
        <v>0</v>
      </c>
      <c r="X2001" s="5">
        <v>0</v>
      </c>
      <c r="Y2001" s="5">
        <v>0</v>
      </c>
      <c r="Z2001" s="37">
        <v>0</v>
      </c>
      <c r="AA2001" s="5">
        <v>0</v>
      </c>
      <c r="AB2001" s="5">
        <v>0</v>
      </c>
      <c r="AC2001" s="5">
        <v>0</v>
      </c>
      <c r="AD2001" s="5">
        <v>0</v>
      </c>
      <c r="AE2001" s="10" t="s">
        <v>73</v>
      </c>
      <c r="AF2001" s="10" t="s">
        <v>11122</v>
      </c>
      <c r="AG2001" s="10" t="s">
        <v>114</v>
      </c>
      <c r="AH2001" s="10">
        <v>42177</v>
      </c>
      <c r="AI2001" s="5">
        <v>3</v>
      </c>
      <c r="AJ2001" s="10" t="s">
        <v>11175</v>
      </c>
      <c r="AK2001" s="10" t="s">
        <v>11176</v>
      </c>
    </row>
    <row r="2002" spans="1:37" ht="36.75" customHeight="1" x14ac:dyDescent="0.35">
      <c r="A2002" s="5"/>
      <c r="B2002" s="5" t="s">
        <v>37</v>
      </c>
      <c r="C2002" s="73" t="str">
        <f t="shared" si="31"/>
        <v>Closed</v>
      </c>
      <c r="D2002" s="45" t="s">
        <v>11177</v>
      </c>
      <c r="E2002" s="54" t="s">
        <v>11178</v>
      </c>
      <c r="F2002" s="5" t="s">
        <v>214</v>
      </c>
      <c r="G2002" s="10">
        <f>DATE(2015,5,14)</f>
        <v>42138</v>
      </c>
      <c r="H2002" s="35">
        <v>1.7625000000000002</v>
      </c>
      <c r="I2002" s="5" t="s">
        <v>97</v>
      </c>
      <c r="J2002" s="10" t="s">
        <v>11179</v>
      </c>
      <c r="K2002" s="5" t="s">
        <v>216</v>
      </c>
      <c r="L2002" s="5" t="s">
        <v>11180</v>
      </c>
      <c r="M2002" s="5" t="s">
        <v>45</v>
      </c>
      <c r="N2002" s="5" t="s">
        <v>80</v>
      </c>
      <c r="O2002" s="5" t="s">
        <v>46</v>
      </c>
      <c r="P2002" s="10" t="s">
        <v>146</v>
      </c>
      <c r="Q2002" s="10" t="s">
        <v>4467</v>
      </c>
      <c r="R2002" s="10" t="s">
        <v>568</v>
      </c>
      <c r="S2002" s="5">
        <v>0</v>
      </c>
      <c r="T2002" s="37">
        <v>0</v>
      </c>
      <c r="U2002" s="5">
        <v>0</v>
      </c>
      <c r="V2002" s="37">
        <v>0</v>
      </c>
      <c r="W2002" s="5">
        <v>0</v>
      </c>
      <c r="X2002" s="5">
        <v>0</v>
      </c>
      <c r="Y2002" s="5">
        <v>0</v>
      </c>
      <c r="Z2002" s="37">
        <v>0</v>
      </c>
      <c r="AA2002" s="5">
        <v>0</v>
      </c>
      <c r="AB2002" s="5">
        <v>0</v>
      </c>
      <c r="AC2002" s="5">
        <v>0</v>
      </c>
      <c r="AD2002" s="5">
        <v>0</v>
      </c>
      <c r="AE2002" s="10" t="s">
        <v>73</v>
      </c>
      <c r="AF2002" s="10" t="s">
        <v>11122</v>
      </c>
      <c r="AG2002" s="10" t="s">
        <v>114</v>
      </c>
      <c r="AH2002" s="10">
        <v>42150</v>
      </c>
      <c r="AI2002" s="5">
        <v>3</v>
      </c>
      <c r="AJ2002" s="10" t="s">
        <v>11181</v>
      </c>
      <c r="AK2002" s="10" t="s">
        <v>11182</v>
      </c>
    </row>
    <row r="2003" spans="1:37" ht="36.75" customHeight="1" x14ac:dyDescent="0.35">
      <c r="A2003" s="5"/>
      <c r="B2003" s="5" t="s">
        <v>37</v>
      </c>
      <c r="C2003" s="73" t="str">
        <f t="shared" si="31"/>
        <v>Closed</v>
      </c>
      <c r="D2003" s="45" t="s">
        <v>11183</v>
      </c>
      <c r="E2003" s="54" t="s">
        <v>11184</v>
      </c>
      <c r="F2003" s="5" t="s">
        <v>1553</v>
      </c>
      <c r="G2003" s="10">
        <f>DATE(2015,5,15)</f>
        <v>42139</v>
      </c>
      <c r="H2003" s="35">
        <v>1.5173611111111112</v>
      </c>
      <c r="I2003" s="5" t="s">
        <v>106</v>
      </c>
      <c r="J2003" s="10" t="s">
        <v>11185</v>
      </c>
      <c r="K2003" s="5" t="s">
        <v>1555</v>
      </c>
      <c r="L2003" s="5" t="s">
        <v>11186</v>
      </c>
      <c r="M2003" s="5" t="s">
        <v>45</v>
      </c>
      <c r="N2003" s="5" t="s">
        <v>123</v>
      </c>
      <c r="O2003" s="5" t="s">
        <v>46</v>
      </c>
      <c r="P2003" s="10" t="s">
        <v>146</v>
      </c>
      <c r="Q2003" s="10" t="s">
        <v>4467</v>
      </c>
      <c r="R2003" s="10" t="s">
        <v>568</v>
      </c>
      <c r="S2003" s="5">
        <v>0</v>
      </c>
      <c r="T2003" s="37">
        <v>0</v>
      </c>
      <c r="U2003" s="5">
        <v>0</v>
      </c>
      <c r="V2003" s="37">
        <v>0</v>
      </c>
      <c r="W2003" s="5">
        <v>0</v>
      </c>
      <c r="X2003" s="5">
        <v>0</v>
      </c>
      <c r="Y2003" s="5">
        <v>0</v>
      </c>
      <c r="Z2003" s="37">
        <v>0</v>
      </c>
      <c r="AA2003" s="5">
        <v>0</v>
      </c>
      <c r="AB2003" s="5">
        <v>0</v>
      </c>
      <c r="AC2003" s="5">
        <v>0</v>
      </c>
      <c r="AD2003" s="5">
        <v>0</v>
      </c>
      <c r="AE2003" s="10" t="s">
        <v>73</v>
      </c>
      <c r="AF2003" s="10" t="s">
        <v>11122</v>
      </c>
      <c r="AG2003" s="10" t="s">
        <v>114</v>
      </c>
      <c r="AH2003" s="10">
        <v>42142</v>
      </c>
      <c r="AI2003" s="5">
        <v>0</v>
      </c>
      <c r="AJ2003" s="10" t="s">
        <v>11187</v>
      </c>
      <c r="AK2003" s="10" t="s">
        <v>11188</v>
      </c>
    </row>
    <row r="2004" spans="1:37" ht="36.75" customHeight="1" x14ac:dyDescent="0.35">
      <c r="A2004" s="5"/>
      <c r="B2004" s="5" t="s">
        <v>37</v>
      </c>
      <c r="C2004" s="73" t="str">
        <f t="shared" si="31"/>
        <v>Closed</v>
      </c>
      <c r="D2004" s="45" t="s">
        <v>11189</v>
      </c>
      <c r="E2004" s="54" t="s">
        <v>11190</v>
      </c>
      <c r="F2004" s="5" t="s">
        <v>563</v>
      </c>
      <c r="G2004" s="10">
        <f>DATE(2015,5,16)</f>
        <v>42140</v>
      </c>
      <c r="H2004" s="35">
        <v>0</v>
      </c>
      <c r="I2004" s="5" t="s">
        <v>55</v>
      </c>
      <c r="J2004" s="10" t="s">
        <v>11191</v>
      </c>
      <c r="K2004" s="5" t="s">
        <v>565</v>
      </c>
      <c r="L2004" s="5" t="s">
        <v>11192</v>
      </c>
      <c r="M2004" s="5" t="s">
        <v>45</v>
      </c>
      <c r="N2004" s="5" t="s">
        <v>123</v>
      </c>
      <c r="O2004" s="5" t="s">
        <v>59</v>
      </c>
      <c r="P2004" s="10" t="s">
        <v>146</v>
      </c>
      <c r="Q2004" s="10" t="s">
        <v>4467</v>
      </c>
      <c r="R2004" s="10" t="s">
        <v>568</v>
      </c>
      <c r="S2004" s="5">
        <v>0</v>
      </c>
      <c r="T2004" s="37">
        <v>0</v>
      </c>
      <c r="U2004" s="5">
        <v>0</v>
      </c>
      <c r="V2004" s="37">
        <v>0</v>
      </c>
      <c r="W2004" s="5">
        <v>0</v>
      </c>
      <c r="X2004" s="5">
        <v>0</v>
      </c>
      <c r="Y2004" s="5">
        <v>0</v>
      </c>
      <c r="Z2004" s="37">
        <v>0</v>
      </c>
      <c r="AA2004" s="5">
        <v>0</v>
      </c>
      <c r="AB2004" s="5">
        <v>0</v>
      </c>
      <c r="AC2004" s="5">
        <v>0</v>
      </c>
      <c r="AD2004" s="5">
        <v>0</v>
      </c>
      <c r="AE2004" s="10" t="s">
        <v>73</v>
      </c>
      <c r="AF2004" s="10" t="s">
        <v>11122</v>
      </c>
      <c r="AG2004" s="10" t="s">
        <v>114</v>
      </c>
      <c r="AH2004" s="10">
        <v>42142</v>
      </c>
      <c r="AI2004" s="5">
        <v>0</v>
      </c>
      <c r="AJ2004" s="10" t="s">
        <v>11193</v>
      </c>
      <c r="AK2004" s="10" t="s">
        <v>1215</v>
      </c>
    </row>
    <row r="2005" spans="1:37" ht="36.75" customHeight="1" x14ac:dyDescent="0.35">
      <c r="A2005" s="5"/>
      <c r="B2005" s="5" t="s">
        <v>37</v>
      </c>
      <c r="C2005" s="73" t="str">
        <f t="shared" si="31"/>
        <v>Closed</v>
      </c>
      <c r="D2005" s="45" t="s">
        <v>11194</v>
      </c>
      <c r="E2005" s="54" t="s">
        <v>11195</v>
      </c>
      <c r="F2005" s="5" t="s">
        <v>1553</v>
      </c>
      <c r="G2005" s="10">
        <f>DATE(2015,5,16)</f>
        <v>42140</v>
      </c>
      <c r="H2005" s="35">
        <v>1.7430555555555554</v>
      </c>
      <c r="I2005" s="5" t="s">
        <v>55</v>
      </c>
      <c r="J2005" s="10" t="s">
        <v>11196</v>
      </c>
      <c r="K2005" s="5" t="s">
        <v>1555</v>
      </c>
      <c r="L2005" s="5" t="s">
        <v>11197</v>
      </c>
      <c r="M2005" s="5" t="s">
        <v>45</v>
      </c>
      <c r="N2005" s="5" t="s">
        <v>80</v>
      </c>
      <c r="O2005" s="5" t="s">
        <v>46</v>
      </c>
      <c r="P2005" s="10" t="s">
        <v>146</v>
      </c>
      <c r="Q2005" s="10" t="s">
        <v>4467</v>
      </c>
      <c r="R2005" s="10" t="s">
        <v>568</v>
      </c>
      <c r="S2005" s="5">
        <v>0</v>
      </c>
      <c r="T2005" s="37">
        <v>0</v>
      </c>
      <c r="U2005" s="5">
        <v>0</v>
      </c>
      <c r="V2005" s="37">
        <v>0</v>
      </c>
      <c r="W2005" s="5">
        <v>0</v>
      </c>
      <c r="X2005" s="5">
        <v>0</v>
      </c>
      <c r="Y2005" s="5">
        <v>0</v>
      </c>
      <c r="Z2005" s="37">
        <v>0</v>
      </c>
      <c r="AA2005" s="5">
        <v>0</v>
      </c>
      <c r="AB2005" s="5">
        <v>0</v>
      </c>
      <c r="AC2005" s="5">
        <v>0</v>
      </c>
      <c r="AD2005" s="5">
        <v>0</v>
      </c>
      <c r="AE2005" s="10" t="s">
        <v>73</v>
      </c>
      <c r="AF2005" s="10" t="s">
        <v>11122</v>
      </c>
      <c r="AG2005" s="10" t="s">
        <v>114</v>
      </c>
      <c r="AH2005" s="10">
        <v>42142</v>
      </c>
      <c r="AI2005" s="5">
        <v>1</v>
      </c>
      <c r="AJ2005" s="10" t="s">
        <v>11198</v>
      </c>
      <c r="AK2005" s="10" t="s">
        <v>11199</v>
      </c>
    </row>
    <row r="2006" spans="1:37" ht="36.75" customHeight="1" x14ac:dyDescent="0.35">
      <c r="A2006" s="5"/>
      <c r="B2006" s="5" t="s">
        <v>37</v>
      </c>
      <c r="C2006" s="73" t="str">
        <f t="shared" si="31"/>
        <v>Closed</v>
      </c>
      <c r="D2006" s="45" t="s">
        <v>11200</v>
      </c>
      <c r="E2006" s="54" t="s">
        <v>11201</v>
      </c>
      <c r="F2006" s="5" t="s">
        <v>816</v>
      </c>
      <c r="G2006" s="10">
        <f>DATE(2015,5,19)</f>
        <v>42143</v>
      </c>
      <c r="H2006" s="35">
        <v>1.9861111111111112</v>
      </c>
      <c r="I2006" s="5" t="s">
        <v>97</v>
      </c>
      <c r="J2006" s="10" t="s">
        <v>11202</v>
      </c>
      <c r="K2006" s="5" t="s">
        <v>818</v>
      </c>
      <c r="L2006" s="5" t="s">
        <v>8425</v>
      </c>
      <c r="M2006" s="5" t="s">
        <v>45</v>
      </c>
      <c r="N2006" s="5" t="s">
        <v>80</v>
      </c>
      <c r="O2006" s="5" t="s">
        <v>46</v>
      </c>
      <c r="P2006" s="10" t="s">
        <v>146</v>
      </c>
      <c r="Q2006" s="10" t="s">
        <v>4467</v>
      </c>
      <c r="R2006" s="10" t="s">
        <v>568</v>
      </c>
      <c r="S2006" s="5">
        <v>0</v>
      </c>
      <c r="T2006" s="37">
        <v>0</v>
      </c>
      <c r="U2006" s="5">
        <v>0</v>
      </c>
      <c r="V2006" s="37">
        <v>0</v>
      </c>
      <c r="W2006" s="5">
        <v>0</v>
      </c>
      <c r="X2006" s="5">
        <v>0</v>
      </c>
      <c r="Y2006" s="5">
        <v>0</v>
      </c>
      <c r="Z2006" s="37">
        <v>0</v>
      </c>
      <c r="AA2006" s="5">
        <v>0</v>
      </c>
      <c r="AB2006" s="5">
        <v>0</v>
      </c>
      <c r="AC2006" s="5">
        <v>0</v>
      </c>
      <c r="AD2006" s="5">
        <v>0</v>
      </c>
      <c r="AE2006" s="10" t="s">
        <v>73</v>
      </c>
      <c r="AF2006" s="10" t="s">
        <v>11122</v>
      </c>
      <c r="AG2006" s="10" t="s">
        <v>333</v>
      </c>
      <c r="AH2006" s="10">
        <v>42153</v>
      </c>
      <c r="AI2006" s="5">
        <v>0</v>
      </c>
      <c r="AJ2006" s="10" t="s">
        <v>8619</v>
      </c>
      <c r="AK2006" s="10" t="s">
        <v>50</v>
      </c>
    </row>
    <row r="2007" spans="1:37" ht="36.75" customHeight="1" x14ac:dyDescent="0.35">
      <c r="A2007" s="5"/>
      <c r="B2007" s="5" t="s">
        <v>37</v>
      </c>
      <c r="C2007" s="73" t="str">
        <f t="shared" si="31"/>
        <v>Closed</v>
      </c>
      <c r="D2007" s="45" t="s">
        <v>11203</v>
      </c>
      <c r="E2007" s="54" t="s">
        <v>11204</v>
      </c>
      <c r="F2007" s="5" t="s">
        <v>105</v>
      </c>
      <c r="G2007" s="10">
        <f>DATE(2015,5,20)</f>
        <v>42144</v>
      </c>
      <c r="H2007" s="35">
        <v>0</v>
      </c>
      <c r="I2007" s="5" t="s">
        <v>55</v>
      </c>
      <c r="J2007" s="10" t="s">
        <v>11205</v>
      </c>
      <c r="K2007" s="5" t="s">
        <v>108</v>
      </c>
      <c r="L2007" s="5" t="s">
        <v>11206</v>
      </c>
      <c r="M2007" s="5" t="s">
        <v>45</v>
      </c>
      <c r="N2007" s="5" t="s">
        <v>123</v>
      </c>
      <c r="O2007" s="5" t="s">
        <v>46</v>
      </c>
      <c r="P2007" s="10" t="s">
        <v>146</v>
      </c>
      <c r="Q2007" s="10" t="s">
        <v>4467</v>
      </c>
      <c r="R2007" s="10" t="s">
        <v>568</v>
      </c>
      <c r="S2007" s="5">
        <v>0</v>
      </c>
      <c r="T2007" s="37">
        <v>0</v>
      </c>
      <c r="U2007" s="5">
        <v>0</v>
      </c>
      <c r="V2007" s="37">
        <v>0</v>
      </c>
      <c r="W2007" s="5">
        <v>0</v>
      </c>
      <c r="X2007" s="5">
        <v>0</v>
      </c>
      <c r="Y2007" s="5">
        <v>0</v>
      </c>
      <c r="Z2007" s="37">
        <v>0</v>
      </c>
      <c r="AA2007" s="5">
        <v>0</v>
      </c>
      <c r="AB2007" s="5">
        <v>0</v>
      </c>
      <c r="AC2007" s="5">
        <v>0</v>
      </c>
      <c r="AD2007" s="5">
        <v>0</v>
      </c>
      <c r="AE2007" s="10" t="s">
        <v>73</v>
      </c>
      <c r="AF2007" s="10" t="s">
        <v>11122</v>
      </c>
      <c r="AG2007" s="10" t="s">
        <v>64</v>
      </c>
      <c r="AH2007" s="10">
        <v>42145</v>
      </c>
      <c r="AI2007" s="5">
        <v>2</v>
      </c>
      <c r="AJ2007" s="10" t="s">
        <v>11207</v>
      </c>
      <c r="AK2007" s="10" t="s">
        <v>11208</v>
      </c>
    </row>
    <row r="2008" spans="1:37" ht="36.75" customHeight="1" x14ac:dyDescent="0.35">
      <c r="A2008" s="5"/>
      <c r="B2008" s="5" t="s">
        <v>37</v>
      </c>
      <c r="C2008" s="73" t="str">
        <f t="shared" si="31"/>
        <v>Closed</v>
      </c>
      <c r="D2008" s="45" t="s">
        <v>11209</v>
      </c>
      <c r="E2008" s="54" t="s">
        <v>11210</v>
      </c>
      <c r="F2008" s="5" t="s">
        <v>178</v>
      </c>
      <c r="G2008" s="10">
        <f>DATE(2015,5,22)</f>
        <v>42146</v>
      </c>
      <c r="H2008" s="35">
        <v>1.7833333333333332</v>
      </c>
      <c r="I2008" s="5" t="s">
        <v>97</v>
      </c>
      <c r="J2008" s="10" t="s">
        <v>11211</v>
      </c>
      <c r="K2008" s="5" t="s">
        <v>181</v>
      </c>
      <c r="L2008" s="5" t="s">
        <v>11212</v>
      </c>
      <c r="M2008" s="5" t="s">
        <v>45</v>
      </c>
      <c r="N2008" s="5" t="s">
        <v>80</v>
      </c>
      <c r="O2008" s="5" t="s">
        <v>46</v>
      </c>
      <c r="P2008" s="10" t="s">
        <v>146</v>
      </c>
      <c r="Q2008" s="10" t="s">
        <v>183</v>
      </c>
      <c r="R2008" s="10" t="s">
        <v>184</v>
      </c>
      <c r="S2008" s="5">
        <v>0</v>
      </c>
      <c r="T2008" s="37">
        <v>0</v>
      </c>
      <c r="U2008" s="5">
        <v>5</v>
      </c>
      <c r="V2008" s="37">
        <v>0</v>
      </c>
      <c r="W2008" s="5">
        <v>0</v>
      </c>
      <c r="X2008" s="5">
        <v>5</v>
      </c>
      <c r="Y2008" s="5">
        <v>0</v>
      </c>
      <c r="Z2008" s="37">
        <v>0</v>
      </c>
      <c r="AA2008" s="5">
        <v>3</v>
      </c>
      <c r="AB2008" s="5">
        <v>0</v>
      </c>
      <c r="AC2008" s="5">
        <v>0</v>
      </c>
      <c r="AD2008" s="5">
        <v>3</v>
      </c>
      <c r="AE2008" s="10" t="s">
        <v>73</v>
      </c>
      <c r="AF2008" s="10"/>
      <c r="AG2008" s="10" t="s">
        <v>114</v>
      </c>
      <c r="AH2008" s="10">
        <v>42150</v>
      </c>
      <c r="AI2008" s="5">
        <v>9</v>
      </c>
      <c r="AJ2008" s="10" t="s">
        <v>11213</v>
      </c>
      <c r="AK2008" s="10" t="s">
        <v>1215</v>
      </c>
    </row>
    <row r="2009" spans="1:37" ht="36.75" customHeight="1" x14ac:dyDescent="0.35">
      <c r="A2009" s="5"/>
      <c r="B2009" s="5" t="s">
        <v>37</v>
      </c>
      <c r="C2009" s="73" t="str">
        <f t="shared" si="31"/>
        <v>Closed</v>
      </c>
      <c r="D2009" s="45" t="s">
        <v>11214</v>
      </c>
      <c r="E2009" s="54" t="s">
        <v>11215</v>
      </c>
      <c r="F2009" s="5" t="s">
        <v>619</v>
      </c>
      <c r="G2009" s="10">
        <f>DATE(2015,5,22)</f>
        <v>42146</v>
      </c>
      <c r="H2009" s="35">
        <v>1.8930555555555557</v>
      </c>
      <c r="I2009" s="5" t="s">
        <v>85</v>
      </c>
      <c r="J2009" s="10" t="s">
        <v>11216</v>
      </c>
      <c r="K2009" s="5" t="s">
        <v>621</v>
      </c>
      <c r="L2009" s="5" t="s">
        <v>11217</v>
      </c>
      <c r="M2009" s="5" t="s">
        <v>45</v>
      </c>
      <c r="N2009" s="5" t="s">
        <v>123</v>
      </c>
      <c r="O2009" s="5" t="s">
        <v>59</v>
      </c>
      <c r="P2009" s="10" t="s">
        <v>3410</v>
      </c>
      <c r="Q2009" s="10" t="s">
        <v>11218</v>
      </c>
      <c r="R2009" s="10" t="s">
        <v>624</v>
      </c>
      <c r="S2009" s="5">
        <v>0</v>
      </c>
      <c r="T2009" s="37">
        <v>0</v>
      </c>
      <c r="U2009" s="5">
        <v>0</v>
      </c>
      <c r="V2009" s="37">
        <v>0</v>
      </c>
      <c r="W2009" s="5">
        <v>0</v>
      </c>
      <c r="X2009" s="5">
        <v>0</v>
      </c>
      <c r="Y2009" s="5">
        <v>0</v>
      </c>
      <c r="Z2009" s="37">
        <v>0</v>
      </c>
      <c r="AA2009" s="5">
        <v>0</v>
      </c>
      <c r="AB2009" s="5">
        <v>0</v>
      </c>
      <c r="AC2009" s="5">
        <v>0</v>
      </c>
      <c r="AD2009" s="5">
        <v>0</v>
      </c>
      <c r="AE2009" s="10" t="s">
        <v>73</v>
      </c>
      <c r="AF2009" s="10"/>
      <c r="AG2009" s="10" t="s">
        <v>333</v>
      </c>
      <c r="AH2009" s="10">
        <v>42199</v>
      </c>
      <c r="AI2009" s="5">
        <v>2</v>
      </c>
      <c r="AJ2009" s="10" t="s">
        <v>11219</v>
      </c>
      <c r="AK2009" s="10" t="s">
        <v>11220</v>
      </c>
    </row>
    <row r="2010" spans="1:37" ht="36.75" customHeight="1" x14ac:dyDescent="0.35">
      <c r="A2010" s="5"/>
      <c r="B2010" s="5" t="s">
        <v>37</v>
      </c>
      <c r="C2010" s="73" t="str">
        <f t="shared" si="31"/>
        <v>Closed</v>
      </c>
      <c r="D2010" s="45" t="s">
        <v>11221</v>
      </c>
      <c r="E2010" s="54" t="s">
        <v>11222</v>
      </c>
      <c r="F2010" s="5" t="s">
        <v>1553</v>
      </c>
      <c r="G2010" s="10">
        <f>DATE(2015,5,22)</f>
        <v>42146</v>
      </c>
      <c r="H2010" s="35">
        <v>1.1527777777777777</v>
      </c>
      <c r="I2010" s="5" t="s">
        <v>55</v>
      </c>
      <c r="J2010" s="10" t="s">
        <v>11223</v>
      </c>
      <c r="K2010" s="5" t="s">
        <v>1555</v>
      </c>
      <c r="L2010" s="5" t="s">
        <v>11224</v>
      </c>
      <c r="M2010" s="5" t="s">
        <v>45</v>
      </c>
      <c r="N2010" s="5" t="s">
        <v>123</v>
      </c>
      <c r="O2010" s="5" t="s">
        <v>59</v>
      </c>
      <c r="P2010" s="10" t="s">
        <v>60</v>
      </c>
      <c r="Q2010" s="10" t="s">
        <v>2635</v>
      </c>
      <c r="R2010" s="10" t="s">
        <v>6413</v>
      </c>
      <c r="S2010" s="5">
        <v>0</v>
      </c>
      <c r="T2010" s="37">
        <v>0</v>
      </c>
      <c r="U2010" s="5">
        <v>0</v>
      </c>
      <c r="V2010" s="37">
        <v>0</v>
      </c>
      <c r="W2010" s="5">
        <v>0</v>
      </c>
      <c r="X2010" s="5">
        <v>0</v>
      </c>
      <c r="Y2010" s="5">
        <v>0</v>
      </c>
      <c r="Z2010" s="37">
        <v>0</v>
      </c>
      <c r="AA2010" s="5">
        <v>0</v>
      </c>
      <c r="AB2010" s="5">
        <v>0</v>
      </c>
      <c r="AC2010" s="5">
        <v>0</v>
      </c>
      <c r="AD2010" s="5">
        <v>0</v>
      </c>
      <c r="AE2010" s="10" t="s">
        <v>73</v>
      </c>
      <c r="AF2010" s="10"/>
      <c r="AG2010" s="10" t="s">
        <v>114</v>
      </c>
      <c r="AH2010" s="10">
        <v>42149</v>
      </c>
      <c r="AI2010" s="5">
        <v>2</v>
      </c>
      <c r="AJ2010" s="10" t="s">
        <v>11225</v>
      </c>
      <c r="AK2010" s="10" t="s">
        <v>11226</v>
      </c>
    </row>
    <row r="2011" spans="1:37" ht="36.75" customHeight="1" x14ac:dyDescent="0.35">
      <c r="A2011" s="5"/>
      <c r="B2011" s="5" t="s">
        <v>37</v>
      </c>
      <c r="C2011" s="73" t="str">
        <f t="shared" si="31"/>
        <v>Closed</v>
      </c>
      <c r="D2011" s="45" t="s">
        <v>11227</v>
      </c>
      <c r="E2011" s="54" t="s">
        <v>11228</v>
      </c>
      <c r="F2011" s="5" t="s">
        <v>404</v>
      </c>
      <c r="G2011" s="10">
        <f>DATE(2015,5,25)</f>
        <v>42149</v>
      </c>
      <c r="H2011" s="35">
        <v>1.46875</v>
      </c>
      <c r="I2011" s="5" t="s">
        <v>97</v>
      </c>
      <c r="J2011" s="10" t="s">
        <v>11229</v>
      </c>
      <c r="K2011" s="5" t="s">
        <v>406</v>
      </c>
      <c r="L2011" s="5" t="s">
        <v>11230</v>
      </c>
      <c r="M2011" s="5" t="s">
        <v>45</v>
      </c>
      <c r="N2011" s="5" t="s">
        <v>80</v>
      </c>
      <c r="O2011" s="5" t="s">
        <v>46</v>
      </c>
      <c r="P2011" s="10" t="s">
        <v>146</v>
      </c>
      <c r="Q2011" s="10" t="s">
        <v>408</v>
      </c>
      <c r="R2011" s="10" t="s">
        <v>3083</v>
      </c>
      <c r="S2011" s="5">
        <v>0</v>
      </c>
      <c r="T2011" s="37">
        <v>0</v>
      </c>
      <c r="U2011" s="5">
        <v>0</v>
      </c>
      <c r="V2011" s="37">
        <v>0</v>
      </c>
      <c r="W2011" s="5">
        <v>0</v>
      </c>
      <c r="X2011" s="5">
        <v>0</v>
      </c>
      <c r="Y2011" s="5">
        <v>2</v>
      </c>
      <c r="Z2011" s="37">
        <v>0</v>
      </c>
      <c r="AA2011" s="5">
        <v>1</v>
      </c>
      <c r="AB2011" s="5">
        <v>0</v>
      </c>
      <c r="AC2011" s="5">
        <v>0</v>
      </c>
      <c r="AD2011" s="5">
        <v>3</v>
      </c>
      <c r="AE2011" s="10" t="s">
        <v>73</v>
      </c>
      <c r="AF2011" s="10"/>
      <c r="AG2011" s="10" t="s">
        <v>333</v>
      </c>
      <c r="AH2011" s="10">
        <v>42150</v>
      </c>
      <c r="AI2011" s="5">
        <v>4</v>
      </c>
      <c r="AJ2011" s="10" t="s">
        <v>11231</v>
      </c>
      <c r="AK2011" s="10" t="s">
        <v>11232</v>
      </c>
    </row>
    <row r="2012" spans="1:37" ht="36.75" customHeight="1" x14ac:dyDescent="0.35">
      <c r="A2012" s="5"/>
      <c r="B2012" s="5" t="s">
        <v>37</v>
      </c>
      <c r="C2012" s="73" t="str">
        <f t="shared" si="31"/>
        <v>Closed</v>
      </c>
      <c r="D2012" s="45" t="s">
        <v>11233</v>
      </c>
      <c r="E2012" s="54" t="s">
        <v>11234</v>
      </c>
      <c r="F2012" s="5" t="s">
        <v>1553</v>
      </c>
      <c r="G2012" s="10">
        <f>DATE(2015,5,26)</f>
        <v>42150</v>
      </c>
      <c r="H2012" s="35">
        <v>1.2604166666666667</v>
      </c>
      <c r="I2012" s="5" t="s">
        <v>55</v>
      </c>
      <c r="J2012" s="10" t="s">
        <v>11235</v>
      </c>
      <c r="K2012" s="5" t="s">
        <v>1555</v>
      </c>
      <c r="L2012" s="5" t="s">
        <v>11236</v>
      </c>
      <c r="M2012" s="5" t="s">
        <v>45</v>
      </c>
      <c r="N2012" s="5" t="s">
        <v>123</v>
      </c>
      <c r="O2012" s="5" t="s">
        <v>59</v>
      </c>
      <c r="P2012" s="10" t="s">
        <v>60</v>
      </c>
      <c r="Q2012" s="10" t="s">
        <v>9053</v>
      </c>
      <c r="R2012" s="10" t="s">
        <v>6413</v>
      </c>
      <c r="S2012" s="5">
        <v>0</v>
      </c>
      <c r="T2012" s="37">
        <v>0</v>
      </c>
      <c r="U2012" s="5">
        <v>0</v>
      </c>
      <c r="V2012" s="37">
        <v>0</v>
      </c>
      <c r="W2012" s="5">
        <v>0</v>
      </c>
      <c r="X2012" s="5">
        <v>0</v>
      </c>
      <c r="Y2012" s="5">
        <v>0</v>
      </c>
      <c r="Z2012" s="37">
        <v>0</v>
      </c>
      <c r="AA2012" s="5">
        <v>0</v>
      </c>
      <c r="AB2012" s="5">
        <v>0</v>
      </c>
      <c r="AC2012" s="5">
        <v>0</v>
      </c>
      <c r="AD2012" s="5">
        <v>0</v>
      </c>
      <c r="AE2012" s="10" t="s">
        <v>375</v>
      </c>
      <c r="AF2012" s="10"/>
      <c r="AG2012" s="10" t="s">
        <v>114</v>
      </c>
      <c r="AH2012" s="10">
        <v>42152</v>
      </c>
      <c r="AI2012" s="5">
        <v>3</v>
      </c>
      <c r="AJ2012" s="10" t="s">
        <v>11237</v>
      </c>
      <c r="AK2012" s="10" t="s">
        <v>11238</v>
      </c>
    </row>
    <row r="2013" spans="1:37" ht="36.75" customHeight="1" x14ac:dyDescent="0.35">
      <c r="A2013" s="5"/>
      <c r="B2013" s="5" t="s">
        <v>37</v>
      </c>
      <c r="C2013" s="73" t="str">
        <f t="shared" si="31"/>
        <v>Closed</v>
      </c>
      <c r="D2013" s="45" t="s">
        <v>11239</v>
      </c>
      <c r="E2013" s="54" t="s">
        <v>11240</v>
      </c>
      <c r="F2013" s="5" t="s">
        <v>1553</v>
      </c>
      <c r="G2013" s="10">
        <f>DATE(2015,5,27)</f>
        <v>42151</v>
      </c>
      <c r="H2013" s="35">
        <v>1.9479166666666665</v>
      </c>
      <c r="I2013" s="5" t="s">
        <v>179</v>
      </c>
      <c r="J2013" s="10" t="s">
        <v>11241</v>
      </c>
      <c r="K2013" s="5" t="s">
        <v>1555</v>
      </c>
      <c r="L2013" s="5" t="s">
        <v>11242</v>
      </c>
      <c r="M2013" s="5" t="s">
        <v>45</v>
      </c>
      <c r="N2013" s="5" t="s">
        <v>123</v>
      </c>
      <c r="O2013" s="5" t="s">
        <v>46</v>
      </c>
      <c r="P2013" s="10" t="s">
        <v>282</v>
      </c>
      <c r="Q2013" s="10" t="s">
        <v>2635</v>
      </c>
      <c r="R2013" s="10" t="s">
        <v>6413</v>
      </c>
      <c r="S2013" s="5">
        <v>0</v>
      </c>
      <c r="T2013" s="37">
        <v>0</v>
      </c>
      <c r="U2013" s="5">
        <v>0</v>
      </c>
      <c r="V2013" s="37">
        <v>0</v>
      </c>
      <c r="W2013" s="5">
        <v>0</v>
      </c>
      <c r="X2013" s="5">
        <v>0</v>
      </c>
      <c r="Y2013" s="5">
        <v>0</v>
      </c>
      <c r="Z2013" s="37">
        <v>0</v>
      </c>
      <c r="AA2013" s="5">
        <v>0</v>
      </c>
      <c r="AB2013" s="5">
        <v>0</v>
      </c>
      <c r="AC2013" s="5">
        <v>0</v>
      </c>
      <c r="AD2013" s="5">
        <v>0</v>
      </c>
      <c r="AE2013" s="10" t="s">
        <v>73</v>
      </c>
      <c r="AF2013" s="10"/>
      <c r="AG2013" s="10" t="s">
        <v>114</v>
      </c>
      <c r="AH2013" s="10">
        <v>42152</v>
      </c>
      <c r="AI2013" s="5">
        <v>2</v>
      </c>
      <c r="AJ2013" s="10" t="s">
        <v>11243</v>
      </c>
      <c r="AK2013" s="10" t="s">
        <v>11244</v>
      </c>
    </row>
    <row r="2014" spans="1:37" ht="36.75" customHeight="1" x14ac:dyDescent="0.35">
      <c r="A2014" s="5"/>
      <c r="B2014" s="5" t="s">
        <v>37</v>
      </c>
      <c r="C2014" s="73" t="str">
        <f t="shared" si="31"/>
        <v>Closed</v>
      </c>
      <c r="D2014" s="45" t="s">
        <v>11245</v>
      </c>
      <c r="E2014" s="54" t="s">
        <v>11246</v>
      </c>
      <c r="F2014" s="5" t="s">
        <v>816</v>
      </c>
      <c r="G2014" s="10">
        <f>DATE(2015,5,29)</f>
        <v>42153</v>
      </c>
      <c r="H2014" s="35">
        <v>1.1006944444444444</v>
      </c>
      <c r="I2014" s="5" t="s">
        <v>137</v>
      </c>
      <c r="J2014" s="10" t="s">
        <v>11247</v>
      </c>
      <c r="K2014" s="5" t="s">
        <v>818</v>
      </c>
      <c r="L2014" s="5" t="s">
        <v>11248</v>
      </c>
      <c r="M2014" s="5" t="s">
        <v>45</v>
      </c>
      <c r="N2014" s="5" t="s">
        <v>123</v>
      </c>
      <c r="O2014" s="5" t="s">
        <v>59</v>
      </c>
      <c r="P2014" s="10" t="s">
        <v>60</v>
      </c>
      <c r="Q2014" s="10" t="s">
        <v>4688</v>
      </c>
      <c r="R2014" s="10" t="s">
        <v>821</v>
      </c>
      <c r="S2014" s="5">
        <v>0</v>
      </c>
      <c r="T2014" s="37">
        <v>0</v>
      </c>
      <c r="U2014" s="5">
        <v>0</v>
      </c>
      <c r="V2014" s="37">
        <v>0</v>
      </c>
      <c r="W2014" s="5">
        <v>0</v>
      </c>
      <c r="X2014" s="5">
        <v>0</v>
      </c>
      <c r="Y2014" s="5">
        <v>0</v>
      </c>
      <c r="Z2014" s="37">
        <v>0</v>
      </c>
      <c r="AA2014" s="5">
        <v>0</v>
      </c>
      <c r="AB2014" s="5">
        <v>0</v>
      </c>
      <c r="AC2014" s="5">
        <v>0</v>
      </c>
      <c r="AD2014" s="5">
        <v>0</v>
      </c>
      <c r="AE2014" s="10" t="s">
        <v>73</v>
      </c>
      <c r="AF2014" s="10"/>
      <c r="AG2014" s="10" t="s">
        <v>7474</v>
      </c>
      <c r="AH2014" s="10">
        <v>42191</v>
      </c>
      <c r="AI2014" s="5">
        <v>0</v>
      </c>
      <c r="AJ2014" s="10" t="s">
        <v>10691</v>
      </c>
      <c r="AK2014" s="10" t="s">
        <v>50</v>
      </c>
    </row>
    <row r="2015" spans="1:37" ht="36.75" customHeight="1" x14ac:dyDescent="0.35">
      <c r="A2015" s="5"/>
      <c r="B2015" s="5" t="s">
        <v>37</v>
      </c>
      <c r="C2015" s="73" t="str">
        <f t="shared" si="31"/>
        <v>Closed</v>
      </c>
      <c r="D2015" s="45" t="s">
        <v>11249</v>
      </c>
      <c r="E2015" s="54" t="s">
        <v>11250</v>
      </c>
      <c r="F2015" s="5" t="s">
        <v>816</v>
      </c>
      <c r="G2015" s="10">
        <f>DATE(2015,6,1)</f>
        <v>42156</v>
      </c>
      <c r="H2015" s="35">
        <v>1.2965277777777777</v>
      </c>
      <c r="I2015" s="5" t="s">
        <v>137</v>
      </c>
      <c r="J2015" s="10" t="s">
        <v>11251</v>
      </c>
      <c r="K2015" s="5" t="s">
        <v>818</v>
      </c>
      <c r="L2015" s="5" t="s">
        <v>11252</v>
      </c>
      <c r="M2015" s="5" t="s">
        <v>45</v>
      </c>
      <c r="N2015" s="5" t="s">
        <v>123</v>
      </c>
      <c r="O2015" s="5" t="s">
        <v>59</v>
      </c>
      <c r="P2015" s="10" t="s">
        <v>6881</v>
      </c>
      <c r="Q2015" s="10" t="s">
        <v>2142</v>
      </c>
      <c r="R2015" s="10" t="s">
        <v>821</v>
      </c>
      <c r="S2015" s="5">
        <v>0</v>
      </c>
      <c r="T2015" s="37">
        <v>0</v>
      </c>
      <c r="U2015" s="5">
        <v>0</v>
      </c>
      <c r="V2015" s="37">
        <v>0</v>
      </c>
      <c r="W2015" s="5">
        <v>0</v>
      </c>
      <c r="X2015" s="5">
        <v>0</v>
      </c>
      <c r="Y2015" s="5">
        <v>0</v>
      </c>
      <c r="Z2015" s="37">
        <v>0</v>
      </c>
      <c r="AA2015" s="5">
        <v>0</v>
      </c>
      <c r="AB2015" s="5">
        <v>0</v>
      </c>
      <c r="AC2015" s="5">
        <v>0</v>
      </c>
      <c r="AD2015" s="5">
        <v>0</v>
      </c>
      <c r="AE2015" s="10" t="s">
        <v>73</v>
      </c>
      <c r="AF2015" s="10"/>
      <c r="AG2015" s="10" t="s">
        <v>333</v>
      </c>
      <c r="AH2015" s="10">
        <v>42157</v>
      </c>
      <c r="AI2015" s="5">
        <v>0</v>
      </c>
      <c r="AJ2015" s="10" t="s">
        <v>11253</v>
      </c>
      <c r="AK2015" s="10" t="s">
        <v>1215</v>
      </c>
    </row>
    <row r="2016" spans="1:37" ht="36.75" customHeight="1" x14ac:dyDescent="0.35">
      <c r="A2016" s="5"/>
      <c r="B2016" s="5" t="s">
        <v>37</v>
      </c>
      <c r="C2016" s="73" t="str">
        <f t="shared" si="31"/>
        <v>Closed</v>
      </c>
      <c r="D2016" s="45" t="s">
        <v>11254</v>
      </c>
      <c r="E2016" s="54" t="s">
        <v>11255</v>
      </c>
      <c r="F2016" s="5" t="s">
        <v>2316</v>
      </c>
      <c r="G2016" s="10">
        <f>DATE(2015,6,3)</f>
        <v>42158</v>
      </c>
      <c r="H2016" s="35">
        <v>1.65625</v>
      </c>
      <c r="I2016" s="5" t="s">
        <v>97</v>
      </c>
      <c r="J2016" s="10" t="s">
        <v>11256</v>
      </c>
      <c r="K2016" s="5" t="s">
        <v>2318</v>
      </c>
      <c r="L2016" s="5" t="s">
        <v>11257</v>
      </c>
      <c r="M2016" s="5" t="s">
        <v>45</v>
      </c>
      <c r="N2016" s="5" t="s">
        <v>80</v>
      </c>
      <c r="O2016" s="5" t="s">
        <v>46</v>
      </c>
      <c r="P2016" s="10" t="s">
        <v>6920</v>
      </c>
      <c r="Q2016" s="10" t="s">
        <v>11258</v>
      </c>
      <c r="R2016" s="10" t="s">
        <v>2321</v>
      </c>
      <c r="S2016" s="5">
        <v>2</v>
      </c>
      <c r="T2016" s="37">
        <v>0</v>
      </c>
      <c r="U2016" s="5">
        <v>0</v>
      </c>
      <c r="V2016" s="37">
        <v>0</v>
      </c>
      <c r="W2016" s="5">
        <v>0</v>
      </c>
      <c r="X2016" s="5">
        <v>2</v>
      </c>
      <c r="Y2016" s="5">
        <v>2</v>
      </c>
      <c r="Z2016" s="37">
        <v>0</v>
      </c>
      <c r="AA2016" s="5">
        <v>0</v>
      </c>
      <c r="AB2016" s="5">
        <v>0</v>
      </c>
      <c r="AC2016" s="5">
        <v>0</v>
      </c>
      <c r="AD2016" s="5">
        <v>2</v>
      </c>
      <c r="AE2016" s="10" t="s">
        <v>73</v>
      </c>
      <c r="AF2016" s="10"/>
      <c r="AG2016" s="10" t="s">
        <v>64</v>
      </c>
      <c r="AH2016" s="10">
        <v>42171</v>
      </c>
      <c r="AI2016" s="5">
        <v>7</v>
      </c>
      <c r="AJ2016" s="10" t="s">
        <v>11259</v>
      </c>
      <c r="AK2016" s="10" t="s">
        <v>11260</v>
      </c>
    </row>
    <row r="2017" spans="1:37" ht="36.75" customHeight="1" x14ac:dyDescent="0.35">
      <c r="A2017" s="5"/>
      <c r="B2017" s="5" t="s">
        <v>37</v>
      </c>
      <c r="C2017" s="73" t="str">
        <f t="shared" si="31"/>
        <v>Closed</v>
      </c>
      <c r="D2017" s="45" t="s">
        <v>11261</v>
      </c>
      <c r="E2017" s="54" t="s">
        <v>11262</v>
      </c>
      <c r="F2017" s="5" t="s">
        <v>214</v>
      </c>
      <c r="G2017" s="10">
        <f>DATE(2015,6,3)</f>
        <v>42158</v>
      </c>
      <c r="H2017" s="35">
        <v>1.5090277777777779</v>
      </c>
      <c r="I2017" s="5" t="s">
        <v>55</v>
      </c>
      <c r="J2017" s="10" t="s">
        <v>11263</v>
      </c>
      <c r="K2017" s="5" t="s">
        <v>216</v>
      </c>
      <c r="L2017" s="5" t="s">
        <v>9751</v>
      </c>
      <c r="M2017" s="5" t="s">
        <v>45</v>
      </c>
      <c r="N2017" s="5" t="s">
        <v>80</v>
      </c>
      <c r="O2017" s="5" t="s">
        <v>46</v>
      </c>
      <c r="P2017" s="10" t="s">
        <v>60</v>
      </c>
      <c r="Q2017" s="10" t="s">
        <v>2739</v>
      </c>
      <c r="R2017" s="10" t="s">
        <v>216</v>
      </c>
      <c r="S2017" s="5">
        <v>0</v>
      </c>
      <c r="T2017" s="37">
        <v>0</v>
      </c>
      <c r="U2017" s="5">
        <v>0</v>
      </c>
      <c r="V2017" s="37">
        <v>0</v>
      </c>
      <c r="W2017" s="5">
        <v>0</v>
      </c>
      <c r="X2017" s="5">
        <v>0</v>
      </c>
      <c r="Y2017" s="5">
        <v>0</v>
      </c>
      <c r="Z2017" s="37">
        <v>0</v>
      </c>
      <c r="AA2017" s="5">
        <v>0</v>
      </c>
      <c r="AB2017" s="5">
        <v>0</v>
      </c>
      <c r="AC2017" s="5">
        <v>0</v>
      </c>
      <c r="AD2017" s="5">
        <v>0</v>
      </c>
      <c r="AE2017" s="10" t="s">
        <v>73</v>
      </c>
      <c r="AF2017" s="10"/>
      <c r="AG2017" s="10" t="s">
        <v>114</v>
      </c>
      <c r="AH2017" s="10">
        <v>42184</v>
      </c>
      <c r="AI2017" s="5">
        <v>3</v>
      </c>
      <c r="AJ2017" s="10" t="s">
        <v>11264</v>
      </c>
      <c r="AK2017" s="10" t="s">
        <v>11265</v>
      </c>
    </row>
    <row r="2018" spans="1:37" ht="36.75" customHeight="1" x14ac:dyDescent="0.35">
      <c r="A2018" s="5"/>
      <c r="B2018" s="5" t="s">
        <v>37</v>
      </c>
      <c r="C2018" s="73" t="str">
        <f t="shared" si="31"/>
        <v>Closed</v>
      </c>
      <c r="D2018" s="45" t="s">
        <v>11266</v>
      </c>
      <c r="E2018" s="54" t="s">
        <v>11267</v>
      </c>
      <c r="F2018" s="5" t="s">
        <v>1553</v>
      </c>
      <c r="G2018" s="10">
        <f>DATE(2015,6,5)</f>
        <v>42160</v>
      </c>
      <c r="H2018" s="35">
        <v>1.1041666666666667</v>
      </c>
      <c r="I2018" s="5" t="s">
        <v>55</v>
      </c>
      <c r="J2018" s="10" t="s">
        <v>11268</v>
      </c>
      <c r="K2018" s="5" t="s">
        <v>1555</v>
      </c>
      <c r="L2018" s="5" t="s">
        <v>11269</v>
      </c>
      <c r="M2018" s="5" t="s">
        <v>45</v>
      </c>
      <c r="N2018" s="5" t="s">
        <v>123</v>
      </c>
      <c r="O2018" s="5" t="s">
        <v>46</v>
      </c>
      <c r="P2018" s="10" t="s">
        <v>60</v>
      </c>
      <c r="Q2018" s="10" t="s">
        <v>2635</v>
      </c>
      <c r="R2018" s="10" t="s">
        <v>6413</v>
      </c>
      <c r="S2018" s="5">
        <v>0</v>
      </c>
      <c r="T2018" s="37">
        <v>0</v>
      </c>
      <c r="U2018" s="5">
        <v>0</v>
      </c>
      <c r="V2018" s="37">
        <v>0</v>
      </c>
      <c r="W2018" s="5">
        <v>0</v>
      </c>
      <c r="X2018" s="5">
        <v>0</v>
      </c>
      <c r="Y2018" s="5">
        <v>0</v>
      </c>
      <c r="Z2018" s="37">
        <v>0</v>
      </c>
      <c r="AA2018" s="5">
        <v>0</v>
      </c>
      <c r="AB2018" s="5">
        <v>0</v>
      </c>
      <c r="AC2018" s="5">
        <v>0</v>
      </c>
      <c r="AD2018" s="5">
        <v>0</v>
      </c>
      <c r="AE2018" s="10" t="s">
        <v>375</v>
      </c>
      <c r="AF2018" s="10"/>
      <c r="AG2018" s="10" t="s">
        <v>114</v>
      </c>
      <c r="AH2018" s="10">
        <v>42163</v>
      </c>
      <c r="AI2018" s="5">
        <v>2</v>
      </c>
      <c r="AJ2018" s="10" t="s">
        <v>11270</v>
      </c>
      <c r="AK2018" s="10" t="s">
        <v>11271</v>
      </c>
    </row>
    <row r="2019" spans="1:37" ht="36.75" customHeight="1" x14ac:dyDescent="0.35">
      <c r="A2019" s="5"/>
      <c r="B2019" s="5" t="s">
        <v>37</v>
      </c>
      <c r="C2019" s="73" t="str">
        <f t="shared" si="31"/>
        <v>Closed</v>
      </c>
      <c r="D2019" s="45" t="s">
        <v>11272</v>
      </c>
      <c r="E2019" s="54" t="s">
        <v>11273</v>
      </c>
      <c r="F2019" s="5" t="s">
        <v>563</v>
      </c>
      <c r="G2019" s="10">
        <f>DATE(2015,6,10)</f>
        <v>42165</v>
      </c>
      <c r="H2019" s="35">
        <v>1.5381944444444444</v>
      </c>
      <c r="I2019" s="5" t="s">
        <v>97</v>
      </c>
      <c r="J2019" s="10" t="s">
        <v>11274</v>
      </c>
      <c r="K2019" s="5" t="s">
        <v>565</v>
      </c>
      <c r="L2019" s="5" t="s">
        <v>11275</v>
      </c>
      <c r="M2019" s="5" t="s">
        <v>45</v>
      </c>
      <c r="N2019" s="5" t="s">
        <v>123</v>
      </c>
      <c r="O2019" s="5" t="s">
        <v>46</v>
      </c>
      <c r="P2019" s="10" t="s">
        <v>6920</v>
      </c>
      <c r="Q2019" s="10" t="s">
        <v>11276</v>
      </c>
      <c r="R2019" s="10" t="s">
        <v>568</v>
      </c>
      <c r="S2019" s="5">
        <v>0</v>
      </c>
      <c r="T2019" s="37">
        <v>0</v>
      </c>
      <c r="U2019" s="5">
        <v>0</v>
      </c>
      <c r="V2019" s="37">
        <v>0</v>
      </c>
      <c r="W2019" s="5">
        <v>0</v>
      </c>
      <c r="X2019" s="5">
        <v>0</v>
      </c>
      <c r="Y2019" s="5">
        <v>0</v>
      </c>
      <c r="Z2019" s="37">
        <v>0</v>
      </c>
      <c r="AA2019" s="5">
        <v>0</v>
      </c>
      <c r="AB2019" s="5">
        <v>0</v>
      </c>
      <c r="AC2019" s="5">
        <v>0</v>
      </c>
      <c r="AD2019" s="5">
        <v>0</v>
      </c>
      <c r="AE2019" s="10" t="s">
        <v>73</v>
      </c>
      <c r="AF2019" s="10"/>
      <c r="AG2019" s="10" t="s">
        <v>333</v>
      </c>
      <c r="AH2019" s="10">
        <v>42198</v>
      </c>
      <c r="AI2019" s="5">
        <v>0</v>
      </c>
      <c r="AJ2019" s="10" t="s">
        <v>11277</v>
      </c>
      <c r="AK2019" s="10" t="s">
        <v>1215</v>
      </c>
    </row>
    <row r="2020" spans="1:37" ht="36.75" customHeight="1" x14ac:dyDescent="0.35">
      <c r="A2020" s="5"/>
      <c r="B2020" s="5" t="s">
        <v>37</v>
      </c>
      <c r="C2020" s="73" t="str">
        <f t="shared" si="31"/>
        <v>Closed</v>
      </c>
      <c r="D2020" s="45" t="s">
        <v>11278</v>
      </c>
      <c r="E2020" s="54" t="s">
        <v>11279</v>
      </c>
      <c r="F2020" s="5" t="s">
        <v>575</v>
      </c>
      <c r="G2020" s="10">
        <f>DATE(2015,6,14)</f>
        <v>42169</v>
      </c>
      <c r="H2020" s="35">
        <v>0</v>
      </c>
      <c r="I2020" s="5" t="s">
        <v>5473</v>
      </c>
      <c r="J2020" s="10" t="s">
        <v>11280</v>
      </c>
      <c r="K2020" s="5" t="s">
        <v>577</v>
      </c>
      <c r="L2020" s="5" t="s">
        <v>11281</v>
      </c>
      <c r="M2020" s="5" t="s">
        <v>45</v>
      </c>
      <c r="N2020" s="5" t="s">
        <v>80</v>
      </c>
      <c r="O2020" s="5" t="s">
        <v>59</v>
      </c>
      <c r="P2020" s="10" t="s">
        <v>47</v>
      </c>
      <c r="Q2020" s="10" t="s">
        <v>10507</v>
      </c>
      <c r="R2020" s="10">
        <v>0</v>
      </c>
      <c r="S2020" s="5">
        <v>0</v>
      </c>
      <c r="T2020" s="37">
        <v>0</v>
      </c>
      <c r="U2020" s="5">
        <v>0</v>
      </c>
      <c r="V2020" s="37">
        <v>0</v>
      </c>
      <c r="W2020" s="5">
        <v>0</v>
      </c>
      <c r="X2020" s="5">
        <v>0</v>
      </c>
      <c r="Y2020" s="5">
        <v>0</v>
      </c>
      <c r="Z2020" s="37">
        <v>0</v>
      </c>
      <c r="AA2020" s="5">
        <v>0</v>
      </c>
      <c r="AB2020" s="5">
        <v>0</v>
      </c>
      <c r="AC2020" s="5">
        <v>0</v>
      </c>
      <c r="AD2020" s="5">
        <v>0</v>
      </c>
      <c r="AE2020" s="10" t="s">
        <v>73</v>
      </c>
      <c r="AF2020" s="10"/>
      <c r="AG2020" s="10" t="s">
        <v>114</v>
      </c>
      <c r="AH2020" s="10">
        <v>42162</v>
      </c>
      <c r="AI2020" s="5">
        <v>3</v>
      </c>
      <c r="AJ2020" s="10" t="s">
        <v>11282</v>
      </c>
      <c r="AK2020" s="10" t="s">
        <v>11283</v>
      </c>
    </row>
    <row r="2021" spans="1:37" ht="36.75" customHeight="1" x14ac:dyDescent="0.35">
      <c r="A2021" s="5"/>
      <c r="B2021" s="5" t="s">
        <v>37</v>
      </c>
      <c r="C2021" s="73" t="str">
        <f t="shared" si="31"/>
        <v>Closed</v>
      </c>
      <c r="D2021" s="45" t="s">
        <v>11284</v>
      </c>
      <c r="E2021" s="54" t="s">
        <v>11285</v>
      </c>
      <c r="F2021" s="5" t="s">
        <v>563</v>
      </c>
      <c r="G2021" s="10">
        <f>DATE(2015,6,18)</f>
        <v>42173</v>
      </c>
      <c r="H2021" s="35">
        <v>1.6305555555555555</v>
      </c>
      <c r="I2021" s="5" t="s">
        <v>179</v>
      </c>
      <c r="J2021" s="10" t="s">
        <v>11286</v>
      </c>
      <c r="K2021" s="5" t="s">
        <v>565</v>
      </c>
      <c r="L2021" s="5" t="s">
        <v>11287</v>
      </c>
      <c r="M2021" s="5" t="s">
        <v>45</v>
      </c>
      <c r="N2021" s="5" t="s">
        <v>123</v>
      </c>
      <c r="O2021" s="5" t="s">
        <v>59</v>
      </c>
      <c r="P2021" s="10" t="s">
        <v>72</v>
      </c>
      <c r="Q2021" s="10" t="s">
        <v>4467</v>
      </c>
      <c r="R2021" s="10" t="s">
        <v>568</v>
      </c>
      <c r="S2021" s="5">
        <v>0</v>
      </c>
      <c r="T2021" s="37">
        <v>0</v>
      </c>
      <c r="U2021" s="5">
        <v>0</v>
      </c>
      <c r="V2021" s="37">
        <v>0</v>
      </c>
      <c r="W2021" s="5">
        <v>0</v>
      </c>
      <c r="X2021" s="5">
        <v>0</v>
      </c>
      <c r="Y2021" s="5">
        <v>0</v>
      </c>
      <c r="Z2021" s="37">
        <v>0</v>
      </c>
      <c r="AA2021" s="5">
        <v>0</v>
      </c>
      <c r="AB2021" s="5">
        <v>0</v>
      </c>
      <c r="AC2021" s="5">
        <v>0</v>
      </c>
      <c r="AD2021" s="5">
        <v>0</v>
      </c>
      <c r="AE2021" s="10" t="s">
        <v>73</v>
      </c>
      <c r="AF2021" s="10"/>
      <c r="AG2021" s="10" t="s">
        <v>114</v>
      </c>
      <c r="AH2021" s="10">
        <v>42188</v>
      </c>
      <c r="AI2021" s="5">
        <v>0</v>
      </c>
      <c r="AJ2021" s="10" t="s">
        <v>11288</v>
      </c>
      <c r="AK2021" s="10" t="s">
        <v>1215</v>
      </c>
    </row>
    <row r="2022" spans="1:37" ht="36.75" customHeight="1" x14ac:dyDescent="0.35">
      <c r="A2022" s="5"/>
      <c r="B2022" s="5" t="s">
        <v>37</v>
      </c>
      <c r="C2022" s="73" t="str">
        <f t="shared" si="31"/>
        <v>Closed</v>
      </c>
      <c r="D2022" s="45" t="s">
        <v>11289</v>
      </c>
      <c r="E2022" s="54" t="s">
        <v>11290</v>
      </c>
      <c r="F2022" s="5" t="s">
        <v>404</v>
      </c>
      <c r="G2022" s="10">
        <f>DATE(2015,6,24)</f>
        <v>42179</v>
      </c>
      <c r="H2022" s="35">
        <v>1.5562499999999999</v>
      </c>
      <c r="I2022" s="5" t="s">
        <v>97</v>
      </c>
      <c r="J2022" s="10" t="s">
        <v>11291</v>
      </c>
      <c r="K2022" s="5" t="s">
        <v>406</v>
      </c>
      <c r="L2022" s="5" t="s">
        <v>11292</v>
      </c>
      <c r="M2022" s="5" t="s">
        <v>45</v>
      </c>
      <c r="N2022" s="5" t="s">
        <v>80</v>
      </c>
      <c r="O2022" s="5" t="s">
        <v>46</v>
      </c>
      <c r="P2022" s="10" t="s">
        <v>146</v>
      </c>
      <c r="Q2022" s="10" t="s">
        <v>4531</v>
      </c>
      <c r="R2022" s="10" t="s">
        <v>3083</v>
      </c>
      <c r="S2022" s="5">
        <v>0</v>
      </c>
      <c r="T2022" s="36">
        <v>0</v>
      </c>
      <c r="U2022" s="5">
        <v>1</v>
      </c>
      <c r="V2022" s="36">
        <v>0</v>
      </c>
      <c r="W2022" s="5">
        <v>0</v>
      </c>
      <c r="X2022" s="5">
        <v>1</v>
      </c>
      <c r="Y2022" s="5">
        <v>0</v>
      </c>
      <c r="Z2022" s="36">
        <v>0</v>
      </c>
      <c r="AA2022" s="5">
        <v>0</v>
      </c>
      <c r="AB2022" s="5">
        <v>0</v>
      </c>
      <c r="AC2022" s="5">
        <v>0</v>
      </c>
      <c r="AD2022" s="5">
        <v>0</v>
      </c>
      <c r="AE2022" s="10" t="s">
        <v>73</v>
      </c>
      <c r="AF2022" s="10"/>
      <c r="AG2022" s="10" t="s">
        <v>855</v>
      </c>
      <c r="AH2022" s="10">
        <v>42179</v>
      </c>
      <c r="AI2022" s="5">
        <v>4</v>
      </c>
      <c r="AJ2022" s="10" t="s">
        <v>11293</v>
      </c>
      <c r="AK2022" s="10" t="s">
        <v>11294</v>
      </c>
    </row>
    <row r="2023" spans="1:37" ht="36.75" customHeight="1" x14ac:dyDescent="0.35">
      <c r="A2023" s="5"/>
      <c r="B2023" s="5" t="s">
        <v>37</v>
      </c>
      <c r="C2023" s="73" t="str">
        <f t="shared" si="31"/>
        <v>Closed</v>
      </c>
      <c r="D2023" s="45" t="s">
        <v>11295</v>
      </c>
      <c r="E2023" s="54" t="s">
        <v>11296</v>
      </c>
      <c r="F2023" s="5" t="s">
        <v>404</v>
      </c>
      <c r="G2023" s="10">
        <f>DATE(2015,6,29)</f>
        <v>42184</v>
      </c>
      <c r="H2023" s="35">
        <v>1.6131944444444444</v>
      </c>
      <c r="I2023" s="5" t="s">
        <v>55</v>
      </c>
      <c r="J2023" s="10" t="s">
        <v>11297</v>
      </c>
      <c r="K2023" s="5" t="s">
        <v>406</v>
      </c>
      <c r="L2023" s="5" t="s">
        <v>11298</v>
      </c>
      <c r="M2023" s="5" t="s">
        <v>45</v>
      </c>
      <c r="N2023" s="5" t="s">
        <v>123</v>
      </c>
      <c r="O2023" s="5" t="s">
        <v>46</v>
      </c>
      <c r="P2023" s="10" t="s">
        <v>60</v>
      </c>
      <c r="Q2023" s="10" t="s">
        <v>2562</v>
      </c>
      <c r="R2023" s="10" t="s">
        <v>3083</v>
      </c>
      <c r="S2023" s="5">
        <v>0</v>
      </c>
      <c r="T2023" s="37">
        <v>0</v>
      </c>
      <c r="U2023" s="5">
        <v>0</v>
      </c>
      <c r="V2023" s="37">
        <v>0</v>
      </c>
      <c r="W2023" s="5">
        <v>0</v>
      </c>
      <c r="X2023" s="5">
        <v>0</v>
      </c>
      <c r="Y2023" s="5">
        <v>0</v>
      </c>
      <c r="Z2023" s="37">
        <v>0</v>
      </c>
      <c r="AA2023" s="5">
        <v>0</v>
      </c>
      <c r="AB2023" s="5">
        <v>0</v>
      </c>
      <c r="AC2023" s="5">
        <v>0</v>
      </c>
      <c r="AD2023" s="5">
        <v>0</v>
      </c>
      <c r="AE2023" s="10" t="s">
        <v>375</v>
      </c>
      <c r="AF2023" s="10"/>
      <c r="AG2023" s="10" t="s">
        <v>64</v>
      </c>
      <c r="AH2023" s="10">
        <v>42184</v>
      </c>
      <c r="AI2023" s="5">
        <v>3</v>
      </c>
      <c r="AJ2023" s="10" t="s">
        <v>11299</v>
      </c>
      <c r="AK2023" s="10" t="s">
        <v>11300</v>
      </c>
    </row>
    <row r="2024" spans="1:37" ht="36.75" customHeight="1" x14ac:dyDescent="0.35">
      <c r="A2024" s="23" t="s">
        <v>4890</v>
      </c>
      <c r="B2024" s="5" t="s">
        <v>37</v>
      </c>
      <c r="C2024" s="73" t="str">
        <f t="shared" si="31"/>
        <v>Closed</v>
      </c>
      <c r="D2024" s="45" t="s">
        <v>11301</v>
      </c>
      <c r="E2024" s="54" t="s">
        <v>11302</v>
      </c>
      <c r="F2024" s="5" t="s">
        <v>563</v>
      </c>
      <c r="G2024" s="10">
        <f>DATE(2015,6,29)</f>
        <v>42184</v>
      </c>
      <c r="H2024" s="35">
        <v>0</v>
      </c>
      <c r="I2024" s="5" t="s">
        <v>179</v>
      </c>
      <c r="J2024" s="10" t="s">
        <v>11303</v>
      </c>
      <c r="K2024" s="5" t="s">
        <v>565</v>
      </c>
      <c r="L2024" s="5" t="s">
        <v>11304</v>
      </c>
      <c r="M2024" s="5" t="s">
        <v>45</v>
      </c>
      <c r="N2024" s="5" t="s">
        <v>123</v>
      </c>
      <c r="O2024" s="5" t="s">
        <v>59</v>
      </c>
      <c r="P2024" s="10" t="s">
        <v>146</v>
      </c>
      <c r="Q2024" s="10" t="s">
        <v>1283</v>
      </c>
      <c r="R2024" s="10" t="s">
        <v>568</v>
      </c>
      <c r="S2024" s="5">
        <v>0</v>
      </c>
      <c r="T2024" s="58">
        <v>0</v>
      </c>
      <c r="U2024" s="5">
        <v>0</v>
      </c>
      <c r="V2024" s="58">
        <v>0</v>
      </c>
      <c r="W2024" s="5">
        <v>0</v>
      </c>
      <c r="X2024" s="5">
        <v>0</v>
      </c>
      <c r="Y2024" s="5">
        <v>0</v>
      </c>
      <c r="Z2024" s="58">
        <v>0</v>
      </c>
      <c r="AA2024" s="5">
        <v>0</v>
      </c>
      <c r="AB2024" s="5">
        <v>0</v>
      </c>
      <c r="AC2024" s="5">
        <v>0</v>
      </c>
      <c r="AD2024" s="5">
        <v>0</v>
      </c>
      <c r="AE2024" s="10" t="s">
        <v>126</v>
      </c>
      <c r="AF2024" s="10"/>
      <c r="AG2024" s="10" t="s">
        <v>64</v>
      </c>
      <c r="AH2024" s="10">
        <v>42188</v>
      </c>
      <c r="AI2024" s="5">
        <v>0</v>
      </c>
      <c r="AJ2024" s="10" t="s">
        <v>11305</v>
      </c>
      <c r="AK2024" s="10" t="s">
        <v>1215</v>
      </c>
    </row>
    <row r="2025" spans="1:37" ht="36.75" customHeight="1" x14ac:dyDescent="0.35">
      <c r="A2025" s="5"/>
      <c r="B2025" s="5" t="s">
        <v>37</v>
      </c>
      <c r="C2025" s="73" t="str">
        <f t="shared" si="31"/>
        <v>Closed</v>
      </c>
      <c r="D2025" s="45" t="s">
        <v>11306</v>
      </c>
      <c r="E2025" s="54" t="s">
        <v>11307</v>
      </c>
      <c r="F2025" s="5" t="s">
        <v>816</v>
      </c>
      <c r="G2025" s="10">
        <f>DATE(2015,6,29)</f>
        <v>42184</v>
      </c>
      <c r="H2025" s="35">
        <v>1.3756944444444446</v>
      </c>
      <c r="I2025" s="5" t="s">
        <v>106</v>
      </c>
      <c r="J2025" s="10" t="s">
        <v>11308</v>
      </c>
      <c r="K2025" s="5" t="s">
        <v>818</v>
      </c>
      <c r="L2025" s="5" t="s">
        <v>11309</v>
      </c>
      <c r="M2025" s="5" t="s">
        <v>45</v>
      </c>
      <c r="N2025" s="5" t="s">
        <v>70</v>
      </c>
      <c r="O2025" s="5" t="s">
        <v>59</v>
      </c>
      <c r="P2025" s="10" t="s">
        <v>60</v>
      </c>
      <c r="Q2025" s="10" t="s">
        <v>4688</v>
      </c>
      <c r="R2025" s="10" t="s">
        <v>821</v>
      </c>
      <c r="S2025" s="5">
        <v>0</v>
      </c>
      <c r="T2025" s="37">
        <v>0</v>
      </c>
      <c r="U2025" s="5">
        <v>0</v>
      </c>
      <c r="V2025" s="37">
        <v>0</v>
      </c>
      <c r="W2025" s="5">
        <v>0</v>
      </c>
      <c r="X2025" s="5">
        <v>0</v>
      </c>
      <c r="Y2025" s="5">
        <v>0</v>
      </c>
      <c r="Z2025" s="37">
        <v>0</v>
      </c>
      <c r="AA2025" s="5">
        <v>0</v>
      </c>
      <c r="AB2025" s="5">
        <v>0</v>
      </c>
      <c r="AC2025" s="5">
        <v>0</v>
      </c>
      <c r="AD2025" s="5">
        <v>0</v>
      </c>
      <c r="AE2025" s="10" t="s">
        <v>73</v>
      </c>
      <c r="AF2025" s="10"/>
      <c r="AG2025" s="10" t="s">
        <v>333</v>
      </c>
      <c r="AH2025" s="10">
        <v>42187</v>
      </c>
      <c r="AI2025" s="5">
        <v>2</v>
      </c>
      <c r="AJ2025" s="10" t="s">
        <v>11310</v>
      </c>
      <c r="AK2025" s="10" t="s">
        <v>1215</v>
      </c>
    </row>
    <row r="2026" spans="1:37" ht="36.75" customHeight="1" x14ac:dyDescent="0.35">
      <c r="A2026" s="5"/>
      <c r="B2026" s="5" t="s">
        <v>37</v>
      </c>
      <c r="C2026" s="73" t="str">
        <f t="shared" si="31"/>
        <v>Closed</v>
      </c>
      <c r="D2026" s="45" t="s">
        <v>11311</v>
      </c>
      <c r="E2026" s="54" t="s">
        <v>11312</v>
      </c>
      <c r="F2026" s="5" t="s">
        <v>6434</v>
      </c>
      <c r="G2026" s="10">
        <f>DATE(2015,6,30)</f>
        <v>42185</v>
      </c>
      <c r="H2026" s="35">
        <v>1.5173611111111112</v>
      </c>
      <c r="I2026" s="5" t="s">
        <v>55</v>
      </c>
      <c r="J2026" s="10" t="s">
        <v>11313</v>
      </c>
      <c r="K2026" s="5" t="s">
        <v>565</v>
      </c>
      <c r="L2026" s="5" t="s">
        <v>11314</v>
      </c>
      <c r="M2026" s="5" t="s">
        <v>45</v>
      </c>
      <c r="N2026" s="5" t="s">
        <v>123</v>
      </c>
      <c r="O2026" s="5" t="s">
        <v>46</v>
      </c>
      <c r="P2026" s="10" t="s">
        <v>60</v>
      </c>
      <c r="Q2026" s="10" t="s">
        <v>11077</v>
      </c>
      <c r="R2026" s="10" t="s">
        <v>568</v>
      </c>
      <c r="S2026" s="5">
        <v>0</v>
      </c>
      <c r="T2026" s="37">
        <v>0</v>
      </c>
      <c r="U2026" s="5">
        <v>0</v>
      </c>
      <c r="V2026" s="37">
        <v>0</v>
      </c>
      <c r="W2026" s="5">
        <v>0</v>
      </c>
      <c r="X2026" s="5">
        <v>0</v>
      </c>
      <c r="Y2026" s="5">
        <v>0</v>
      </c>
      <c r="Z2026" s="37">
        <v>0</v>
      </c>
      <c r="AA2026" s="5">
        <v>0</v>
      </c>
      <c r="AB2026" s="5">
        <v>0</v>
      </c>
      <c r="AC2026" s="5">
        <v>0</v>
      </c>
      <c r="AD2026" s="5">
        <v>0</v>
      </c>
      <c r="AE2026" s="10" t="s">
        <v>375</v>
      </c>
      <c r="AF2026" s="10" t="s">
        <v>11315</v>
      </c>
      <c r="AG2026" s="10" t="s">
        <v>8837</v>
      </c>
      <c r="AH2026" s="10">
        <v>42186</v>
      </c>
      <c r="AI2026" s="5">
        <v>0</v>
      </c>
      <c r="AJ2026" s="10" t="s">
        <v>11316</v>
      </c>
      <c r="AK2026" s="10" t="s">
        <v>10547</v>
      </c>
    </row>
    <row r="2027" spans="1:37" ht="36.75" customHeight="1" x14ac:dyDescent="0.35">
      <c r="A2027" s="5"/>
      <c r="B2027" s="5" t="s">
        <v>37</v>
      </c>
      <c r="C2027" s="73" t="str">
        <f t="shared" si="31"/>
        <v>Closed</v>
      </c>
      <c r="D2027" s="45" t="s">
        <v>11317</v>
      </c>
      <c r="E2027" s="54" t="s">
        <v>11318</v>
      </c>
      <c r="F2027" s="5" t="s">
        <v>9767</v>
      </c>
      <c r="G2027" s="10">
        <f>DATE(2015,6,30)</f>
        <v>42185</v>
      </c>
      <c r="H2027" s="35">
        <v>1.3229166666666667</v>
      </c>
      <c r="I2027" s="5" t="s">
        <v>259</v>
      </c>
      <c r="J2027" s="10" t="s">
        <v>11319</v>
      </c>
      <c r="K2027" s="5" t="s">
        <v>9769</v>
      </c>
      <c r="L2027" s="5" t="s">
        <v>11320</v>
      </c>
      <c r="M2027" s="5" t="s">
        <v>45</v>
      </c>
      <c r="N2027" s="5" t="s">
        <v>70</v>
      </c>
      <c r="O2027" s="5" t="s">
        <v>59</v>
      </c>
      <c r="P2027" s="10" t="s">
        <v>72</v>
      </c>
      <c r="Q2027" s="10" t="s">
        <v>9938</v>
      </c>
      <c r="R2027" s="10" t="s">
        <v>9772</v>
      </c>
      <c r="S2027" s="5">
        <v>0</v>
      </c>
      <c r="T2027" s="37">
        <v>1</v>
      </c>
      <c r="U2027" s="5">
        <v>0</v>
      </c>
      <c r="V2027" s="37">
        <v>0</v>
      </c>
      <c r="W2027" s="5">
        <v>0</v>
      </c>
      <c r="X2027" s="5">
        <v>1</v>
      </c>
      <c r="Y2027" s="5">
        <v>0</v>
      </c>
      <c r="Z2027" s="37">
        <v>0</v>
      </c>
      <c r="AA2027" s="5">
        <v>0</v>
      </c>
      <c r="AB2027" s="5">
        <v>0</v>
      </c>
      <c r="AC2027" s="5">
        <v>0</v>
      </c>
      <c r="AD2027" s="5">
        <v>0</v>
      </c>
      <c r="AE2027" s="10" t="s">
        <v>73</v>
      </c>
      <c r="AF2027" s="10"/>
      <c r="AG2027" s="10" t="s">
        <v>64</v>
      </c>
      <c r="AH2027" s="10">
        <v>42185</v>
      </c>
      <c r="AI2027" s="5">
        <v>1</v>
      </c>
      <c r="AJ2027" s="10" t="s">
        <v>11321</v>
      </c>
      <c r="AK2027" s="10" t="s">
        <v>11322</v>
      </c>
    </row>
    <row r="2028" spans="1:37" ht="36.75" customHeight="1" x14ac:dyDescent="0.35">
      <c r="A2028" s="5"/>
      <c r="B2028" s="5" t="s">
        <v>37</v>
      </c>
      <c r="C2028" s="73" t="str">
        <f t="shared" si="31"/>
        <v>Closed</v>
      </c>
      <c r="D2028" s="45" t="s">
        <v>11323</v>
      </c>
      <c r="E2028" s="54" t="s">
        <v>11324</v>
      </c>
      <c r="F2028" s="5" t="s">
        <v>358</v>
      </c>
      <c r="G2028" s="10">
        <f>DATE(2015,6,30)</f>
        <v>42185</v>
      </c>
      <c r="H2028" s="35">
        <v>1.3472222222222223</v>
      </c>
      <c r="I2028" s="5" t="s">
        <v>2398</v>
      </c>
      <c r="J2028" s="10" t="s">
        <v>11325</v>
      </c>
      <c r="K2028" s="5" t="s">
        <v>360</v>
      </c>
      <c r="L2028" s="5" t="s">
        <v>11326</v>
      </c>
      <c r="M2028" s="5" t="s">
        <v>45</v>
      </c>
      <c r="N2028" s="5" t="s">
        <v>80</v>
      </c>
      <c r="O2028" s="5" t="s">
        <v>46</v>
      </c>
      <c r="P2028" s="10" t="s">
        <v>146</v>
      </c>
      <c r="Q2028" s="10" t="s">
        <v>2886</v>
      </c>
      <c r="R2028" s="10" t="s">
        <v>363</v>
      </c>
      <c r="S2028" s="5">
        <v>0</v>
      </c>
      <c r="T2028" s="37">
        <v>0</v>
      </c>
      <c r="U2028" s="5">
        <v>0</v>
      </c>
      <c r="V2028" s="37">
        <v>0</v>
      </c>
      <c r="W2028" s="5">
        <v>0</v>
      </c>
      <c r="X2028" s="5">
        <v>0</v>
      </c>
      <c r="Y2028" s="5">
        <v>0</v>
      </c>
      <c r="Z2028" s="37">
        <v>0</v>
      </c>
      <c r="AA2028" s="5">
        <v>0</v>
      </c>
      <c r="AB2028" s="5">
        <v>0</v>
      </c>
      <c r="AC2028" s="5">
        <v>0</v>
      </c>
      <c r="AD2028" s="5">
        <v>0</v>
      </c>
      <c r="AE2028" s="10" t="s">
        <v>73</v>
      </c>
      <c r="AF2028" s="10"/>
      <c r="AG2028" s="10" t="s">
        <v>1439</v>
      </c>
      <c r="AH2028" s="10">
        <v>42319</v>
      </c>
      <c r="AI2028" s="5">
        <v>11</v>
      </c>
      <c r="AJ2028" s="10" t="s">
        <v>11327</v>
      </c>
      <c r="AK2028" s="10" t="s">
        <v>11328</v>
      </c>
    </row>
    <row r="2029" spans="1:37" ht="36.75" customHeight="1" x14ac:dyDescent="0.35">
      <c r="A2029" s="5"/>
      <c r="B2029" s="5" t="s">
        <v>37</v>
      </c>
      <c r="C2029" s="73" t="str">
        <f t="shared" si="31"/>
        <v>Closed</v>
      </c>
      <c r="D2029" s="45" t="s">
        <v>11329</v>
      </c>
      <c r="E2029" s="54" t="s">
        <v>11330</v>
      </c>
      <c r="F2029" s="5" t="s">
        <v>214</v>
      </c>
      <c r="G2029" s="10">
        <f>DATE(2015,6,30)</f>
        <v>42185</v>
      </c>
      <c r="H2029" s="35">
        <v>1.6041666666666665</v>
      </c>
      <c r="I2029" s="5" t="s">
        <v>55</v>
      </c>
      <c r="J2029" s="10" t="s">
        <v>11331</v>
      </c>
      <c r="K2029" s="5" t="s">
        <v>216</v>
      </c>
      <c r="L2029" s="5" t="s">
        <v>11332</v>
      </c>
      <c r="M2029" s="5" t="s">
        <v>45</v>
      </c>
      <c r="N2029" s="5" t="s">
        <v>123</v>
      </c>
      <c r="O2029" s="5" t="s">
        <v>46</v>
      </c>
      <c r="P2029" s="10" t="s">
        <v>60</v>
      </c>
      <c r="Q2029" s="10" t="s">
        <v>4022</v>
      </c>
      <c r="R2029" s="10" t="s">
        <v>216</v>
      </c>
      <c r="S2029" s="5">
        <v>0</v>
      </c>
      <c r="T2029" s="37">
        <v>0</v>
      </c>
      <c r="U2029" s="5">
        <v>0</v>
      </c>
      <c r="V2029" s="37">
        <v>0</v>
      </c>
      <c r="W2029" s="5">
        <v>0</v>
      </c>
      <c r="X2029" s="5">
        <v>0</v>
      </c>
      <c r="Y2029" s="5">
        <v>0</v>
      </c>
      <c r="Z2029" s="37">
        <v>0</v>
      </c>
      <c r="AA2029" s="5">
        <v>0</v>
      </c>
      <c r="AB2029" s="5">
        <v>0</v>
      </c>
      <c r="AC2029" s="5">
        <v>0</v>
      </c>
      <c r="AD2029" s="5">
        <v>0</v>
      </c>
      <c r="AE2029" s="10" t="s">
        <v>126</v>
      </c>
      <c r="AF2029" s="10"/>
      <c r="AG2029" s="10" t="s">
        <v>64</v>
      </c>
      <c r="AH2029" s="10">
        <v>42191</v>
      </c>
      <c r="AI2029" s="5">
        <v>4</v>
      </c>
      <c r="AJ2029" s="10" t="s">
        <v>11333</v>
      </c>
      <c r="AK2029" s="10" t="s">
        <v>11334</v>
      </c>
    </row>
    <row r="2030" spans="1:37" ht="36.75" customHeight="1" x14ac:dyDescent="0.35">
      <c r="A2030" s="5"/>
      <c r="B2030" s="5" t="s">
        <v>37</v>
      </c>
      <c r="C2030" s="73" t="str">
        <f t="shared" si="31"/>
        <v>Closed</v>
      </c>
      <c r="D2030" s="45" t="s">
        <v>11335</v>
      </c>
      <c r="E2030" s="54" t="s">
        <v>11336</v>
      </c>
      <c r="F2030" s="5" t="s">
        <v>816</v>
      </c>
      <c r="G2030" s="10">
        <f>DATE(2015,7,1)</f>
        <v>42186</v>
      </c>
      <c r="H2030" s="35">
        <v>1.71875</v>
      </c>
      <c r="I2030" s="5" t="s">
        <v>41</v>
      </c>
      <c r="J2030" s="10" t="s">
        <v>11337</v>
      </c>
      <c r="K2030" s="5" t="s">
        <v>818</v>
      </c>
      <c r="L2030" s="5" t="s">
        <v>11338</v>
      </c>
      <c r="M2030" s="5" t="s">
        <v>45</v>
      </c>
      <c r="N2030" s="5" t="s">
        <v>70</v>
      </c>
      <c r="O2030" s="5" t="s">
        <v>59</v>
      </c>
      <c r="P2030" s="10" t="s">
        <v>1893</v>
      </c>
      <c r="Q2030" s="10" t="s">
        <v>2142</v>
      </c>
      <c r="R2030" s="10" t="s">
        <v>821</v>
      </c>
      <c r="S2030" s="5">
        <v>0</v>
      </c>
      <c r="T2030" s="37">
        <v>0</v>
      </c>
      <c r="U2030" s="5">
        <v>0</v>
      </c>
      <c r="V2030" s="37">
        <v>0</v>
      </c>
      <c r="W2030" s="5">
        <v>0</v>
      </c>
      <c r="X2030" s="5">
        <v>0</v>
      </c>
      <c r="Y2030" s="5">
        <v>0</v>
      </c>
      <c r="Z2030" s="37">
        <v>0</v>
      </c>
      <c r="AA2030" s="5">
        <v>0</v>
      </c>
      <c r="AB2030" s="5">
        <v>0</v>
      </c>
      <c r="AC2030" s="5">
        <v>0</v>
      </c>
      <c r="AD2030" s="5">
        <v>0</v>
      </c>
      <c r="AE2030" s="10" t="s">
        <v>73</v>
      </c>
      <c r="AF2030" s="10"/>
      <c r="AG2030" s="10" t="s">
        <v>333</v>
      </c>
      <c r="AH2030" s="10">
        <v>42187</v>
      </c>
      <c r="AI2030" s="5">
        <v>0</v>
      </c>
      <c r="AJ2030" s="10" t="s">
        <v>10691</v>
      </c>
      <c r="AK2030" s="10" t="s">
        <v>50</v>
      </c>
    </row>
    <row r="2031" spans="1:37" ht="36.75" customHeight="1" x14ac:dyDescent="0.35">
      <c r="A2031" s="5"/>
      <c r="B2031" s="5" t="s">
        <v>37</v>
      </c>
      <c r="C2031" s="73" t="str">
        <f t="shared" si="31"/>
        <v>Closed</v>
      </c>
      <c r="D2031" s="45" t="s">
        <v>11339</v>
      </c>
      <c r="E2031" s="54" t="s">
        <v>11340</v>
      </c>
      <c r="F2031" s="5" t="s">
        <v>816</v>
      </c>
      <c r="G2031" s="10">
        <f>DATE(2015,7,1)</f>
        <v>42186</v>
      </c>
      <c r="H2031" s="35">
        <v>1.0138888888888888</v>
      </c>
      <c r="I2031" s="5" t="s">
        <v>2059</v>
      </c>
      <c r="J2031" s="10" t="s">
        <v>11341</v>
      </c>
      <c r="K2031" s="5" t="s">
        <v>818</v>
      </c>
      <c r="L2031" s="5" t="s">
        <v>11342</v>
      </c>
      <c r="M2031" s="5" t="s">
        <v>45</v>
      </c>
      <c r="N2031" s="5" t="s">
        <v>123</v>
      </c>
      <c r="O2031" s="5" t="s">
        <v>59</v>
      </c>
      <c r="P2031" s="10" t="s">
        <v>2531</v>
      </c>
      <c r="Q2031" s="10" t="s">
        <v>11343</v>
      </c>
      <c r="R2031" s="10" t="s">
        <v>821</v>
      </c>
      <c r="S2031" s="5">
        <v>0</v>
      </c>
      <c r="T2031" s="37">
        <v>0</v>
      </c>
      <c r="U2031" s="5">
        <v>0</v>
      </c>
      <c r="V2031" s="37">
        <v>0</v>
      </c>
      <c r="W2031" s="5">
        <v>0</v>
      </c>
      <c r="X2031" s="5">
        <v>0</v>
      </c>
      <c r="Y2031" s="5">
        <v>0</v>
      </c>
      <c r="Z2031" s="37">
        <v>0</v>
      </c>
      <c r="AA2031" s="5">
        <v>0</v>
      </c>
      <c r="AB2031" s="5">
        <v>0</v>
      </c>
      <c r="AC2031" s="5">
        <v>0</v>
      </c>
      <c r="AD2031" s="5">
        <v>0</v>
      </c>
      <c r="AE2031" s="10" t="s">
        <v>73</v>
      </c>
      <c r="AF2031" s="10"/>
      <c r="AG2031" s="10" t="s">
        <v>333</v>
      </c>
      <c r="AH2031" s="10">
        <v>42188</v>
      </c>
      <c r="AI2031" s="5">
        <v>0</v>
      </c>
      <c r="AJ2031" s="10" t="s">
        <v>11344</v>
      </c>
      <c r="AK2031" s="10" t="s">
        <v>11345</v>
      </c>
    </row>
    <row r="2032" spans="1:37" ht="36.75" customHeight="1" x14ac:dyDescent="0.35">
      <c r="A2032" s="5"/>
      <c r="B2032" s="5" t="s">
        <v>37</v>
      </c>
      <c r="C2032" s="73" t="str">
        <f t="shared" si="31"/>
        <v>Closed</v>
      </c>
      <c r="D2032" s="45" t="s">
        <v>11346</v>
      </c>
      <c r="E2032" s="54" t="s">
        <v>11347</v>
      </c>
      <c r="F2032" s="5" t="s">
        <v>1553</v>
      </c>
      <c r="G2032" s="10">
        <f>DATE(2015,7,2)</f>
        <v>42187</v>
      </c>
      <c r="H2032" s="35">
        <v>1.9618055555555554</v>
      </c>
      <c r="I2032" s="5" t="s">
        <v>55</v>
      </c>
      <c r="J2032" s="10" t="s">
        <v>11348</v>
      </c>
      <c r="K2032" s="5" t="s">
        <v>1555</v>
      </c>
      <c r="L2032" s="5" t="s">
        <v>11349</v>
      </c>
      <c r="M2032" s="5" t="s">
        <v>45</v>
      </c>
      <c r="N2032" s="5" t="s">
        <v>123</v>
      </c>
      <c r="O2032" s="5" t="s">
        <v>59</v>
      </c>
      <c r="P2032" s="10" t="s">
        <v>60</v>
      </c>
      <c r="Q2032" s="10" t="s">
        <v>7910</v>
      </c>
      <c r="R2032" s="10" t="s">
        <v>6413</v>
      </c>
      <c r="S2032" s="5">
        <v>0</v>
      </c>
      <c r="T2032" s="37">
        <v>0</v>
      </c>
      <c r="U2032" s="5">
        <v>0</v>
      </c>
      <c r="V2032" s="37">
        <v>0</v>
      </c>
      <c r="W2032" s="5">
        <v>0</v>
      </c>
      <c r="X2032" s="5">
        <v>0</v>
      </c>
      <c r="Y2032" s="5">
        <v>0</v>
      </c>
      <c r="Z2032" s="37">
        <v>0</v>
      </c>
      <c r="AA2032" s="5">
        <v>0</v>
      </c>
      <c r="AB2032" s="5">
        <v>0</v>
      </c>
      <c r="AC2032" s="5">
        <v>0</v>
      </c>
      <c r="AD2032" s="5">
        <v>0</v>
      </c>
      <c r="AE2032" s="10" t="s">
        <v>73</v>
      </c>
      <c r="AF2032" s="10"/>
      <c r="AG2032" s="10" t="s">
        <v>114</v>
      </c>
      <c r="AH2032" s="10">
        <v>42188</v>
      </c>
      <c r="AI2032" s="5">
        <v>0</v>
      </c>
      <c r="AJ2032" s="10" t="s">
        <v>11350</v>
      </c>
      <c r="AK2032" s="10" t="s">
        <v>11351</v>
      </c>
    </row>
    <row r="2033" spans="1:37" ht="36.75" customHeight="1" x14ac:dyDescent="0.35">
      <c r="A2033" s="5"/>
      <c r="B2033" s="5" t="s">
        <v>37</v>
      </c>
      <c r="C2033" s="73" t="str">
        <f t="shared" si="31"/>
        <v>Closed</v>
      </c>
      <c r="D2033" s="45" t="s">
        <v>11352</v>
      </c>
      <c r="E2033" s="54" t="s">
        <v>11353</v>
      </c>
      <c r="F2033" s="5" t="s">
        <v>404</v>
      </c>
      <c r="G2033" s="10">
        <f>DATE(2015,7,3)</f>
        <v>42188</v>
      </c>
      <c r="H2033" s="35">
        <v>1.4826388888888888</v>
      </c>
      <c r="I2033" s="5" t="s">
        <v>55</v>
      </c>
      <c r="J2033" s="10" t="s">
        <v>11354</v>
      </c>
      <c r="K2033" s="5" t="s">
        <v>406</v>
      </c>
      <c r="L2033" s="5" t="s">
        <v>11355</v>
      </c>
      <c r="M2033" s="5" t="s">
        <v>45</v>
      </c>
      <c r="N2033" s="5" t="s">
        <v>123</v>
      </c>
      <c r="O2033" s="5" t="s">
        <v>59</v>
      </c>
      <c r="P2033" s="10" t="s">
        <v>60</v>
      </c>
      <c r="Q2033" s="10" t="s">
        <v>2562</v>
      </c>
      <c r="R2033" s="10" t="s">
        <v>3083</v>
      </c>
      <c r="S2033" s="5">
        <v>0</v>
      </c>
      <c r="T2033" s="37">
        <v>0</v>
      </c>
      <c r="U2033" s="5">
        <v>0</v>
      </c>
      <c r="V2033" s="37">
        <v>0</v>
      </c>
      <c r="W2033" s="5">
        <v>0</v>
      </c>
      <c r="X2033" s="5">
        <v>0</v>
      </c>
      <c r="Y2033" s="5">
        <v>0</v>
      </c>
      <c r="Z2033" s="37">
        <v>0</v>
      </c>
      <c r="AA2033" s="5">
        <v>0</v>
      </c>
      <c r="AB2033" s="5">
        <v>0</v>
      </c>
      <c r="AC2033" s="5">
        <v>0</v>
      </c>
      <c r="AD2033" s="5">
        <v>0</v>
      </c>
      <c r="AE2033" s="10" t="s">
        <v>73</v>
      </c>
      <c r="AF2033" s="10"/>
      <c r="AG2033" s="10" t="s">
        <v>114</v>
      </c>
      <c r="AH2033" s="10">
        <v>42192</v>
      </c>
      <c r="AI2033" s="5">
        <v>0</v>
      </c>
      <c r="AJ2033" s="10" t="s">
        <v>11356</v>
      </c>
      <c r="AK2033" s="10" t="s">
        <v>11357</v>
      </c>
    </row>
    <row r="2034" spans="1:37" ht="36.75" customHeight="1" x14ac:dyDescent="0.35">
      <c r="A2034" s="5"/>
      <c r="B2034" s="5" t="s">
        <v>37</v>
      </c>
      <c r="C2034" s="73" t="str">
        <f t="shared" si="31"/>
        <v>Closed</v>
      </c>
      <c r="D2034" s="45" t="s">
        <v>11358</v>
      </c>
      <c r="E2034" s="54" t="s">
        <v>11359</v>
      </c>
      <c r="F2034" s="5" t="s">
        <v>816</v>
      </c>
      <c r="G2034" s="10">
        <f>DATE(2015,7,3)</f>
        <v>42188</v>
      </c>
      <c r="H2034" s="35">
        <v>1.6708333333333334</v>
      </c>
      <c r="I2034" s="5" t="s">
        <v>2059</v>
      </c>
      <c r="J2034" s="10" t="s">
        <v>11360</v>
      </c>
      <c r="K2034" s="5" t="s">
        <v>818</v>
      </c>
      <c r="L2034" s="5" t="s">
        <v>11361</v>
      </c>
      <c r="M2034" s="5" t="s">
        <v>45</v>
      </c>
      <c r="N2034" s="5" t="s">
        <v>80</v>
      </c>
      <c r="O2034" s="5" t="s">
        <v>59</v>
      </c>
      <c r="P2034" s="10" t="s">
        <v>146</v>
      </c>
      <c r="Q2034" s="10" t="s">
        <v>2142</v>
      </c>
      <c r="R2034" s="10" t="s">
        <v>821</v>
      </c>
      <c r="S2034" s="5">
        <v>0</v>
      </c>
      <c r="T2034" s="37">
        <v>0</v>
      </c>
      <c r="U2034" s="5">
        <v>0</v>
      </c>
      <c r="V2034" s="37">
        <v>0</v>
      </c>
      <c r="W2034" s="5">
        <v>0</v>
      </c>
      <c r="X2034" s="5">
        <v>0</v>
      </c>
      <c r="Y2034" s="5">
        <v>0</v>
      </c>
      <c r="Z2034" s="37">
        <v>0</v>
      </c>
      <c r="AA2034" s="5">
        <v>0</v>
      </c>
      <c r="AB2034" s="5">
        <v>0</v>
      </c>
      <c r="AC2034" s="5">
        <v>0</v>
      </c>
      <c r="AD2034" s="5">
        <v>0</v>
      </c>
      <c r="AE2034" s="10" t="s">
        <v>73</v>
      </c>
      <c r="AF2034" s="10"/>
      <c r="AG2034" s="10" t="s">
        <v>333</v>
      </c>
      <c r="AH2034" s="10">
        <v>42191</v>
      </c>
      <c r="AI2034" s="5">
        <v>0</v>
      </c>
      <c r="AJ2034" s="10" t="s">
        <v>11362</v>
      </c>
      <c r="AK2034" s="10" t="s">
        <v>50</v>
      </c>
    </row>
    <row r="2035" spans="1:37" ht="36.75" customHeight="1" x14ac:dyDescent="0.35">
      <c r="A2035" s="5"/>
      <c r="B2035" s="5" t="s">
        <v>37</v>
      </c>
      <c r="C2035" s="73" t="str">
        <f t="shared" si="31"/>
        <v>Closed</v>
      </c>
      <c r="D2035" s="45" t="s">
        <v>11363</v>
      </c>
      <c r="E2035" s="54" t="s">
        <v>11364</v>
      </c>
      <c r="F2035" s="5" t="s">
        <v>1553</v>
      </c>
      <c r="G2035" s="10">
        <f>DATE(2015,7,5)</f>
        <v>42190</v>
      </c>
      <c r="H2035" s="35">
        <v>1.6909722222222223</v>
      </c>
      <c r="I2035" s="5" t="s">
        <v>55</v>
      </c>
      <c r="J2035" s="10" t="s">
        <v>11365</v>
      </c>
      <c r="K2035" s="5" t="s">
        <v>1555</v>
      </c>
      <c r="L2035" s="5" t="s">
        <v>11366</v>
      </c>
      <c r="M2035" s="5" t="s">
        <v>45</v>
      </c>
      <c r="N2035" s="5" t="s">
        <v>123</v>
      </c>
      <c r="O2035" s="5" t="s">
        <v>46</v>
      </c>
      <c r="P2035" s="10" t="s">
        <v>60</v>
      </c>
      <c r="Q2035" s="10" t="s">
        <v>9439</v>
      </c>
      <c r="R2035" s="10" t="s">
        <v>6413</v>
      </c>
      <c r="S2035" s="5">
        <v>0</v>
      </c>
      <c r="T2035" s="37">
        <v>0</v>
      </c>
      <c r="U2035" s="5">
        <v>0</v>
      </c>
      <c r="V2035" s="37">
        <v>0</v>
      </c>
      <c r="W2035" s="5">
        <v>0</v>
      </c>
      <c r="X2035" s="5">
        <v>0</v>
      </c>
      <c r="Y2035" s="5">
        <v>0</v>
      </c>
      <c r="Z2035" s="37">
        <v>0</v>
      </c>
      <c r="AA2035" s="5">
        <v>0</v>
      </c>
      <c r="AB2035" s="5">
        <v>0</v>
      </c>
      <c r="AC2035" s="5">
        <v>0</v>
      </c>
      <c r="AD2035" s="5">
        <v>0</v>
      </c>
      <c r="AE2035" s="10" t="s">
        <v>73</v>
      </c>
      <c r="AF2035" s="10"/>
      <c r="AG2035" s="10" t="s">
        <v>114</v>
      </c>
      <c r="AH2035" s="10">
        <v>42192</v>
      </c>
      <c r="AI2035" s="5">
        <v>0</v>
      </c>
      <c r="AJ2035" s="10" t="s">
        <v>11367</v>
      </c>
      <c r="AK2035" s="10" t="s">
        <v>11368</v>
      </c>
    </row>
    <row r="2036" spans="1:37" ht="36.75" customHeight="1" x14ac:dyDescent="0.35">
      <c r="A2036" s="5"/>
      <c r="B2036" s="5" t="s">
        <v>37</v>
      </c>
      <c r="C2036" s="73" t="str">
        <f t="shared" si="31"/>
        <v>Closed</v>
      </c>
      <c r="D2036" s="45" t="s">
        <v>11369</v>
      </c>
      <c r="E2036" s="54" t="s">
        <v>11370</v>
      </c>
      <c r="F2036" s="5" t="s">
        <v>1553</v>
      </c>
      <c r="G2036" s="10">
        <f>DATE(2015,7,6)</f>
        <v>42191</v>
      </c>
      <c r="H2036" s="35">
        <v>1.7708333333333335</v>
      </c>
      <c r="I2036" s="5" t="s">
        <v>55</v>
      </c>
      <c r="J2036" s="10" t="s">
        <v>11371</v>
      </c>
      <c r="K2036" s="5" t="s">
        <v>1555</v>
      </c>
      <c r="L2036" s="5" t="s">
        <v>10584</v>
      </c>
      <c r="M2036" s="5" t="s">
        <v>45</v>
      </c>
      <c r="N2036" s="5" t="s">
        <v>80</v>
      </c>
      <c r="O2036" s="5" t="s">
        <v>59</v>
      </c>
      <c r="P2036" s="10" t="s">
        <v>60</v>
      </c>
      <c r="Q2036" s="10" t="s">
        <v>9053</v>
      </c>
      <c r="R2036" s="10" t="s">
        <v>6413</v>
      </c>
      <c r="S2036" s="5">
        <v>0</v>
      </c>
      <c r="T2036" s="37">
        <v>0</v>
      </c>
      <c r="U2036" s="5">
        <v>0</v>
      </c>
      <c r="V2036" s="37">
        <v>0</v>
      </c>
      <c r="W2036" s="5">
        <v>0</v>
      </c>
      <c r="X2036" s="5">
        <v>0</v>
      </c>
      <c r="Y2036" s="5">
        <v>0</v>
      </c>
      <c r="Z2036" s="37">
        <v>0</v>
      </c>
      <c r="AA2036" s="5">
        <v>0</v>
      </c>
      <c r="AB2036" s="5">
        <v>0</v>
      </c>
      <c r="AC2036" s="5">
        <v>0</v>
      </c>
      <c r="AD2036" s="5">
        <v>0</v>
      </c>
      <c r="AE2036" s="10" t="s">
        <v>73</v>
      </c>
      <c r="AF2036" s="10"/>
      <c r="AG2036" s="10" t="s">
        <v>114</v>
      </c>
      <c r="AH2036" s="10">
        <v>42192</v>
      </c>
      <c r="AI2036" s="5">
        <v>0</v>
      </c>
      <c r="AJ2036" s="10" t="s">
        <v>11372</v>
      </c>
      <c r="AK2036" s="10" t="s">
        <v>11373</v>
      </c>
    </row>
    <row r="2037" spans="1:37" ht="36.75" customHeight="1" x14ac:dyDescent="0.35">
      <c r="A2037" s="5"/>
      <c r="B2037" s="5" t="s">
        <v>37</v>
      </c>
      <c r="C2037" s="73" t="str">
        <f t="shared" si="31"/>
        <v>Closed</v>
      </c>
      <c r="D2037" s="45" t="s">
        <v>11374</v>
      </c>
      <c r="E2037" s="54" t="s">
        <v>11375</v>
      </c>
      <c r="F2037" s="5" t="s">
        <v>816</v>
      </c>
      <c r="G2037" s="10">
        <f>DATE(2015,7,7)</f>
        <v>42192</v>
      </c>
      <c r="H2037" s="35">
        <v>1.1125</v>
      </c>
      <c r="I2037" s="5" t="s">
        <v>55</v>
      </c>
      <c r="J2037" s="10" t="s">
        <v>11376</v>
      </c>
      <c r="K2037" s="5" t="s">
        <v>818</v>
      </c>
      <c r="L2037" s="5" t="s">
        <v>11377</v>
      </c>
      <c r="M2037" s="5" t="s">
        <v>45</v>
      </c>
      <c r="N2037" s="5" t="s">
        <v>80</v>
      </c>
      <c r="O2037" s="5" t="s">
        <v>59</v>
      </c>
      <c r="P2037" s="10" t="s">
        <v>60</v>
      </c>
      <c r="Q2037" s="10" t="s">
        <v>4688</v>
      </c>
      <c r="R2037" s="10" t="s">
        <v>821</v>
      </c>
      <c r="S2037" s="5">
        <v>0</v>
      </c>
      <c r="T2037" s="37">
        <v>0</v>
      </c>
      <c r="U2037" s="5">
        <v>0</v>
      </c>
      <c r="V2037" s="37">
        <v>0</v>
      </c>
      <c r="W2037" s="5">
        <v>0</v>
      </c>
      <c r="X2037" s="5">
        <v>0</v>
      </c>
      <c r="Y2037" s="5">
        <v>0</v>
      </c>
      <c r="Z2037" s="37">
        <v>0</v>
      </c>
      <c r="AA2037" s="5">
        <v>0</v>
      </c>
      <c r="AB2037" s="5">
        <v>0</v>
      </c>
      <c r="AC2037" s="5">
        <v>0</v>
      </c>
      <c r="AD2037" s="5">
        <v>0</v>
      </c>
      <c r="AE2037" s="10" t="s">
        <v>73</v>
      </c>
      <c r="AF2037" s="10"/>
      <c r="AG2037" s="10" t="s">
        <v>333</v>
      </c>
      <c r="AH2037" s="10">
        <v>42192</v>
      </c>
      <c r="AI2037" s="5">
        <v>0</v>
      </c>
      <c r="AJ2037" s="10" t="s">
        <v>11378</v>
      </c>
      <c r="AK2037" s="10" t="s">
        <v>11379</v>
      </c>
    </row>
    <row r="2038" spans="1:37" ht="36.75" customHeight="1" x14ac:dyDescent="0.35">
      <c r="A2038" s="5"/>
      <c r="B2038" s="5" t="s">
        <v>37</v>
      </c>
      <c r="C2038" s="73" t="str">
        <f t="shared" si="31"/>
        <v>Closed</v>
      </c>
      <c r="D2038" s="45" t="s">
        <v>11380</v>
      </c>
      <c r="E2038" s="54" t="s">
        <v>11381</v>
      </c>
      <c r="F2038" s="5" t="s">
        <v>9767</v>
      </c>
      <c r="G2038" s="10">
        <f>DATE(2015,7,10)</f>
        <v>42195</v>
      </c>
      <c r="H2038" s="35">
        <v>1.6770833333333335</v>
      </c>
      <c r="I2038" s="5" t="s">
        <v>9004</v>
      </c>
      <c r="J2038" s="10" t="s">
        <v>11382</v>
      </c>
      <c r="K2038" s="5" t="s">
        <v>9769</v>
      </c>
      <c r="L2038" s="5" t="s">
        <v>11383</v>
      </c>
      <c r="M2038" s="5" t="s">
        <v>45</v>
      </c>
      <c r="N2038" s="5" t="s">
        <v>80</v>
      </c>
      <c r="O2038" s="5" t="s">
        <v>46</v>
      </c>
      <c r="P2038" s="10" t="s">
        <v>6920</v>
      </c>
      <c r="Q2038" s="10" t="s">
        <v>9938</v>
      </c>
      <c r="R2038" s="10" t="s">
        <v>9772</v>
      </c>
      <c r="S2038" s="5">
        <v>0</v>
      </c>
      <c r="T2038" s="37">
        <v>0</v>
      </c>
      <c r="U2038" s="5">
        <v>1</v>
      </c>
      <c r="V2038" s="37">
        <v>0</v>
      </c>
      <c r="W2038" s="5">
        <v>0</v>
      </c>
      <c r="X2038" s="5">
        <v>1</v>
      </c>
      <c r="Y2038" s="5">
        <v>0</v>
      </c>
      <c r="Z2038" s="37">
        <v>0</v>
      </c>
      <c r="AA2038" s="5">
        <v>1</v>
      </c>
      <c r="AB2038" s="5">
        <v>0</v>
      </c>
      <c r="AC2038" s="5">
        <v>0</v>
      </c>
      <c r="AD2038" s="5">
        <v>1</v>
      </c>
      <c r="AE2038" s="10" t="s">
        <v>73</v>
      </c>
      <c r="AF2038" s="10"/>
      <c r="AG2038" s="10" t="s">
        <v>64</v>
      </c>
      <c r="AH2038" s="10">
        <v>42198</v>
      </c>
      <c r="AI2038" s="5">
        <v>5</v>
      </c>
      <c r="AJ2038" s="10" t="s">
        <v>11384</v>
      </c>
      <c r="AK2038" s="10" t="s">
        <v>11385</v>
      </c>
    </row>
    <row r="2039" spans="1:37" ht="36.75" customHeight="1" x14ac:dyDescent="0.35">
      <c r="A2039" s="5"/>
      <c r="B2039" s="5" t="s">
        <v>37</v>
      </c>
      <c r="C2039" s="73" t="str">
        <f t="shared" si="31"/>
        <v>Closed</v>
      </c>
      <c r="D2039" s="45" t="s">
        <v>11386</v>
      </c>
      <c r="E2039" s="54" t="s">
        <v>11387</v>
      </c>
      <c r="F2039" s="5" t="s">
        <v>2316</v>
      </c>
      <c r="G2039" s="10">
        <f>DATE(2015,7,11)</f>
        <v>42196</v>
      </c>
      <c r="H2039" s="35">
        <v>1.7152777777777777</v>
      </c>
      <c r="I2039" s="5" t="s">
        <v>97</v>
      </c>
      <c r="J2039" s="10" t="s">
        <v>11388</v>
      </c>
      <c r="K2039" s="5" t="s">
        <v>2318</v>
      </c>
      <c r="L2039" s="5" t="s">
        <v>11389</v>
      </c>
      <c r="M2039" s="5" t="s">
        <v>45</v>
      </c>
      <c r="N2039" s="5" t="s">
        <v>123</v>
      </c>
      <c r="O2039" s="5" t="s">
        <v>46</v>
      </c>
      <c r="P2039" s="10" t="s">
        <v>47</v>
      </c>
      <c r="Q2039" s="10" t="s">
        <v>2925</v>
      </c>
      <c r="R2039" s="10" t="s">
        <v>2321</v>
      </c>
      <c r="S2039" s="5">
        <v>0</v>
      </c>
      <c r="T2039" s="37">
        <v>0</v>
      </c>
      <c r="U2039" s="5">
        <v>2</v>
      </c>
      <c r="V2039" s="37">
        <v>0</v>
      </c>
      <c r="W2039" s="5">
        <v>0</v>
      </c>
      <c r="X2039" s="5">
        <v>2</v>
      </c>
      <c r="Y2039" s="5">
        <v>0</v>
      </c>
      <c r="Z2039" s="37">
        <v>0</v>
      </c>
      <c r="AA2039" s="5">
        <v>1</v>
      </c>
      <c r="AB2039" s="5">
        <v>0</v>
      </c>
      <c r="AC2039" s="5">
        <v>0</v>
      </c>
      <c r="AD2039" s="5">
        <v>1</v>
      </c>
      <c r="AE2039" s="10" t="s">
        <v>73</v>
      </c>
      <c r="AF2039" s="10"/>
      <c r="AG2039" s="10" t="s">
        <v>64</v>
      </c>
      <c r="AH2039" s="10">
        <v>42201</v>
      </c>
      <c r="AI2039" s="5">
        <v>12</v>
      </c>
      <c r="AJ2039" s="10" t="s">
        <v>11390</v>
      </c>
      <c r="AK2039" s="10" t="s">
        <v>11391</v>
      </c>
    </row>
    <row r="2040" spans="1:37" ht="36.75" customHeight="1" x14ac:dyDescent="0.35">
      <c r="A2040" s="5"/>
      <c r="B2040" s="5" t="s">
        <v>37</v>
      </c>
      <c r="C2040" s="73" t="str">
        <f t="shared" si="31"/>
        <v>Closed</v>
      </c>
      <c r="D2040" s="45" t="s">
        <v>11392</v>
      </c>
      <c r="E2040" s="54" t="s">
        <v>11393</v>
      </c>
      <c r="F2040" s="5" t="s">
        <v>404</v>
      </c>
      <c r="G2040" s="10">
        <f>DATE(2015,7,14)</f>
        <v>42199</v>
      </c>
      <c r="H2040" s="35">
        <v>1.9673611111111109</v>
      </c>
      <c r="I2040" s="5" t="s">
        <v>137</v>
      </c>
      <c r="J2040" s="10" t="s">
        <v>11394</v>
      </c>
      <c r="K2040" s="5" t="s">
        <v>406</v>
      </c>
      <c r="L2040" s="5" t="s">
        <v>11395</v>
      </c>
      <c r="M2040" s="5" t="s">
        <v>45</v>
      </c>
      <c r="N2040" s="5" t="s">
        <v>70</v>
      </c>
      <c r="O2040" s="5" t="s">
        <v>59</v>
      </c>
      <c r="P2040" s="10" t="s">
        <v>146</v>
      </c>
      <c r="Q2040" s="10" t="s">
        <v>4531</v>
      </c>
      <c r="R2040" s="10" t="s">
        <v>3083</v>
      </c>
      <c r="S2040" s="5">
        <v>0</v>
      </c>
      <c r="T2040" s="37">
        <v>0</v>
      </c>
      <c r="U2040" s="5">
        <v>0</v>
      </c>
      <c r="V2040" s="37">
        <v>0</v>
      </c>
      <c r="W2040" s="5">
        <v>0</v>
      </c>
      <c r="X2040" s="5">
        <v>0</v>
      </c>
      <c r="Y2040" s="5">
        <v>0</v>
      </c>
      <c r="Z2040" s="37">
        <v>0</v>
      </c>
      <c r="AA2040" s="5">
        <v>0</v>
      </c>
      <c r="AB2040" s="5">
        <v>0</v>
      </c>
      <c r="AC2040" s="5">
        <v>0</v>
      </c>
      <c r="AD2040" s="5">
        <v>0</v>
      </c>
      <c r="AE2040" s="10" t="s">
        <v>126</v>
      </c>
      <c r="AF2040" s="10"/>
      <c r="AG2040" s="10" t="s">
        <v>114</v>
      </c>
      <c r="AH2040" s="10">
        <v>42200</v>
      </c>
      <c r="AI2040" s="5">
        <v>2</v>
      </c>
      <c r="AJ2040" s="10" t="s">
        <v>11396</v>
      </c>
      <c r="AK2040" s="10" t="s">
        <v>11397</v>
      </c>
    </row>
    <row r="2041" spans="1:37" ht="36.75" customHeight="1" x14ac:dyDescent="0.35">
      <c r="A2041" s="5"/>
      <c r="B2041" s="5" t="s">
        <v>37</v>
      </c>
      <c r="C2041" s="73" t="str">
        <f t="shared" si="31"/>
        <v>Closed</v>
      </c>
      <c r="D2041" s="45" t="s">
        <v>11398</v>
      </c>
      <c r="E2041" s="54" t="s">
        <v>11399</v>
      </c>
      <c r="F2041" s="5" t="s">
        <v>178</v>
      </c>
      <c r="G2041" s="10">
        <f>DATE(2015,7,15)</f>
        <v>42200</v>
      </c>
      <c r="H2041" s="35">
        <v>1.336111111111111</v>
      </c>
      <c r="I2041" s="5" t="s">
        <v>85</v>
      </c>
      <c r="J2041" s="10" t="s">
        <v>11400</v>
      </c>
      <c r="K2041" s="5" t="s">
        <v>181</v>
      </c>
      <c r="L2041" s="5" t="s">
        <v>11401</v>
      </c>
      <c r="M2041" s="5" t="s">
        <v>45</v>
      </c>
      <c r="N2041" s="5" t="s">
        <v>70</v>
      </c>
      <c r="O2041" s="5" t="s">
        <v>59</v>
      </c>
      <c r="P2041" s="10" t="s">
        <v>8003</v>
      </c>
      <c r="Q2041" s="10" t="s">
        <v>11402</v>
      </c>
      <c r="R2041" s="10" t="s">
        <v>184</v>
      </c>
      <c r="S2041" s="5">
        <v>0</v>
      </c>
      <c r="T2041" s="37">
        <v>0</v>
      </c>
      <c r="U2041" s="5">
        <v>0</v>
      </c>
      <c r="V2041" s="37">
        <v>0</v>
      </c>
      <c r="W2041" s="5">
        <v>0</v>
      </c>
      <c r="X2041" s="5">
        <v>0</v>
      </c>
      <c r="Y2041" s="5">
        <v>0</v>
      </c>
      <c r="Z2041" s="37">
        <v>0</v>
      </c>
      <c r="AA2041" s="5">
        <v>0</v>
      </c>
      <c r="AB2041" s="5">
        <v>0</v>
      </c>
      <c r="AC2041" s="5">
        <v>0</v>
      </c>
      <c r="AD2041" s="5">
        <v>0</v>
      </c>
      <c r="AE2041" s="10" t="s">
        <v>126</v>
      </c>
      <c r="AF2041" s="10"/>
      <c r="AG2041" s="10" t="s">
        <v>64</v>
      </c>
      <c r="AH2041" s="10">
        <v>42202</v>
      </c>
      <c r="AI2041" s="5">
        <v>2</v>
      </c>
      <c r="AJ2041" s="10" t="s">
        <v>11403</v>
      </c>
      <c r="AK2041" s="10" t="s">
        <v>1215</v>
      </c>
    </row>
    <row r="2042" spans="1:37" ht="36.75" customHeight="1" x14ac:dyDescent="0.35">
      <c r="A2042" s="5"/>
      <c r="B2042" s="5" t="s">
        <v>37</v>
      </c>
      <c r="C2042" s="73" t="str">
        <f t="shared" si="31"/>
        <v>Closed</v>
      </c>
      <c r="D2042" s="45" t="s">
        <v>11404</v>
      </c>
      <c r="E2042" s="54" t="s">
        <v>11405</v>
      </c>
      <c r="F2042" s="5" t="s">
        <v>358</v>
      </c>
      <c r="G2042" s="10">
        <f>DATE(2015,7,20)</f>
        <v>42205</v>
      </c>
      <c r="H2042" s="35">
        <v>1.5902777777777777</v>
      </c>
      <c r="I2042" s="5" t="s">
        <v>5473</v>
      </c>
      <c r="J2042" s="10" t="s">
        <v>11406</v>
      </c>
      <c r="K2042" s="5" t="s">
        <v>360</v>
      </c>
      <c r="L2042" s="5" t="s">
        <v>11407</v>
      </c>
      <c r="M2042" s="5" t="s">
        <v>45</v>
      </c>
      <c r="N2042" s="5" t="s">
        <v>123</v>
      </c>
      <c r="O2042" s="5" t="s">
        <v>46</v>
      </c>
      <c r="P2042" s="10" t="s">
        <v>146</v>
      </c>
      <c r="Q2042" s="10" t="s">
        <v>2886</v>
      </c>
      <c r="R2042" s="10" t="s">
        <v>363</v>
      </c>
      <c r="S2042" s="5">
        <v>0</v>
      </c>
      <c r="T2042" s="37">
        <v>0</v>
      </c>
      <c r="U2042" s="5">
        <v>0</v>
      </c>
      <c r="V2042" s="37">
        <v>0</v>
      </c>
      <c r="W2042" s="5">
        <v>0</v>
      </c>
      <c r="X2042" s="5">
        <v>0</v>
      </c>
      <c r="Y2042" s="5">
        <v>0</v>
      </c>
      <c r="Z2042" s="37">
        <v>0</v>
      </c>
      <c r="AA2042" s="5">
        <v>0</v>
      </c>
      <c r="AB2042" s="5">
        <v>0</v>
      </c>
      <c r="AC2042" s="5">
        <v>0</v>
      </c>
      <c r="AD2042" s="5">
        <v>0</v>
      </c>
      <c r="AE2042" s="10" t="s">
        <v>73</v>
      </c>
      <c r="AF2042" s="10"/>
      <c r="AG2042" s="10" t="s">
        <v>114</v>
      </c>
      <c r="AH2042" s="10">
        <v>42213</v>
      </c>
      <c r="AI2042" s="5">
        <v>3</v>
      </c>
      <c r="AJ2042" s="10" t="s">
        <v>11408</v>
      </c>
      <c r="AK2042" s="10" t="s">
        <v>11409</v>
      </c>
    </row>
    <row r="2043" spans="1:37" ht="36.75" customHeight="1" x14ac:dyDescent="0.35">
      <c r="A2043" s="5"/>
      <c r="B2043" s="5" t="s">
        <v>37</v>
      </c>
      <c r="C2043" s="73" t="str">
        <f t="shared" si="31"/>
        <v>Closed</v>
      </c>
      <c r="D2043" s="45" t="s">
        <v>11410</v>
      </c>
      <c r="E2043" s="54" t="s">
        <v>11411</v>
      </c>
      <c r="F2043" s="5" t="s">
        <v>1553</v>
      </c>
      <c r="G2043" s="10">
        <f>DATE(2015,7,20)</f>
        <v>42205</v>
      </c>
      <c r="H2043" s="35">
        <v>1.6805555555555554</v>
      </c>
      <c r="I2043" s="5" t="s">
        <v>55</v>
      </c>
      <c r="J2043" s="10" t="s">
        <v>11412</v>
      </c>
      <c r="K2043" s="5" t="s">
        <v>1555</v>
      </c>
      <c r="L2043" s="5" t="s">
        <v>11413</v>
      </c>
      <c r="M2043" s="5" t="s">
        <v>45</v>
      </c>
      <c r="N2043" s="5" t="s">
        <v>80</v>
      </c>
      <c r="O2043" s="5" t="s">
        <v>46</v>
      </c>
      <c r="P2043" s="10" t="s">
        <v>60</v>
      </c>
      <c r="Q2043" s="10" t="s">
        <v>5598</v>
      </c>
      <c r="R2043" s="10" t="s">
        <v>6413</v>
      </c>
      <c r="S2043" s="5">
        <v>0</v>
      </c>
      <c r="T2043" s="37">
        <v>0</v>
      </c>
      <c r="U2043" s="5">
        <v>0</v>
      </c>
      <c r="V2043" s="37">
        <v>0</v>
      </c>
      <c r="W2043" s="5">
        <v>0</v>
      </c>
      <c r="X2043" s="5">
        <v>0</v>
      </c>
      <c r="Y2043" s="5">
        <v>0</v>
      </c>
      <c r="Z2043" s="37">
        <v>0</v>
      </c>
      <c r="AA2043" s="5">
        <v>0</v>
      </c>
      <c r="AB2043" s="5">
        <v>0</v>
      </c>
      <c r="AC2043" s="5">
        <v>0</v>
      </c>
      <c r="AD2043" s="5">
        <v>0</v>
      </c>
      <c r="AE2043" s="10" t="s">
        <v>73</v>
      </c>
      <c r="AF2043" s="10"/>
      <c r="AG2043" s="10" t="s">
        <v>114</v>
      </c>
      <c r="AH2043" s="10">
        <v>42206</v>
      </c>
      <c r="AI2043" s="5">
        <v>1</v>
      </c>
      <c r="AJ2043" s="10" t="s">
        <v>11414</v>
      </c>
      <c r="AK2043" s="10" t="s">
        <v>11415</v>
      </c>
    </row>
    <row r="2044" spans="1:37" ht="36.75" customHeight="1" x14ac:dyDescent="0.35">
      <c r="A2044" s="5"/>
      <c r="B2044" s="5" t="s">
        <v>887</v>
      </c>
      <c r="C2044" s="73" t="str">
        <f t="shared" si="31"/>
        <v>Open</v>
      </c>
      <c r="D2044" s="45" t="s">
        <v>11416</v>
      </c>
      <c r="E2044" s="54" t="s">
        <v>11417</v>
      </c>
      <c r="F2044" s="5" t="s">
        <v>575</v>
      </c>
      <c r="G2044" s="10">
        <f>DATE(2015,7,21)</f>
        <v>42206</v>
      </c>
      <c r="H2044" s="35">
        <v>0</v>
      </c>
      <c r="I2044" s="5" t="s">
        <v>55</v>
      </c>
      <c r="J2044" s="10" t="s">
        <v>11418</v>
      </c>
      <c r="K2044" s="5" t="s">
        <v>577</v>
      </c>
      <c r="L2044" s="5" t="s">
        <v>11419</v>
      </c>
      <c r="M2044" s="5" t="s">
        <v>45</v>
      </c>
      <c r="N2044" s="5" t="s">
        <v>80</v>
      </c>
      <c r="O2044" s="5" t="s">
        <v>46</v>
      </c>
      <c r="P2044" s="10" t="s">
        <v>60</v>
      </c>
      <c r="Q2044" s="10" t="s">
        <v>5100</v>
      </c>
      <c r="R2044" s="10" t="s">
        <v>580</v>
      </c>
      <c r="S2044" s="5">
        <v>0</v>
      </c>
      <c r="T2044" s="37">
        <v>0</v>
      </c>
      <c r="U2044" s="5">
        <v>0</v>
      </c>
      <c r="V2044" s="37">
        <v>0</v>
      </c>
      <c r="W2044" s="5">
        <v>0</v>
      </c>
      <c r="X2044" s="5">
        <v>0</v>
      </c>
      <c r="Y2044" s="5">
        <v>0</v>
      </c>
      <c r="Z2044" s="37">
        <v>0</v>
      </c>
      <c r="AA2044" s="5">
        <v>0</v>
      </c>
      <c r="AB2044" s="5">
        <v>0</v>
      </c>
      <c r="AC2044" s="5">
        <v>0</v>
      </c>
      <c r="AD2044" s="5">
        <v>0</v>
      </c>
      <c r="AE2044" s="10" t="s">
        <v>73</v>
      </c>
      <c r="AF2044" s="10"/>
      <c r="AG2044" s="10" t="s">
        <v>11420</v>
      </c>
      <c r="AH2044" s="10">
        <v>42071</v>
      </c>
      <c r="AI2044" s="5">
        <v>0</v>
      </c>
      <c r="AJ2044" s="10" t="s">
        <v>50</v>
      </c>
      <c r="AK2044" s="10" t="s">
        <v>50</v>
      </c>
    </row>
    <row r="2045" spans="1:37" ht="36.75" customHeight="1" x14ac:dyDescent="0.35">
      <c r="A2045" s="5"/>
      <c r="B2045" s="5" t="s">
        <v>37</v>
      </c>
      <c r="C2045" s="73" t="str">
        <f t="shared" si="31"/>
        <v>Closed</v>
      </c>
      <c r="D2045" s="45" t="s">
        <v>11421</v>
      </c>
      <c r="E2045" s="54" t="s">
        <v>11422</v>
      </c>
      <c r="F2045" s="5" t="s">
        <v>404</v>
      </c>
      <c r="G2045" s="10">
        <f>DATE(2015,7,22)</f>
        <v>42207</v>
      </c>
      <c r="H2045" s="35">
        <v>1.320138888888889</v>
      </c>
      <c r="I2045" s="5" t="s">
        <v>97</v>
      </c>
      <c r="J2045" s="10" t="s">
        <v>11423</v>
      </c>
      <c r="K2045" s="5" t="s">
        <v>406</v>
      </c>
      <c r="L2045" s="5" t="s">
        <v>11424</v>
      </c>
      <c r="M2045" s="5" t="s">
        <v>45</v>
      </c>
      <c r="N2045" s="5" t="s">
        <v>70</v>
      </c>
      <c r="O2045" s="5" t="s">
        <v>46</v>
      </c>
      <c r="P2045" s="10" t="s">
        <v>47</v>
      </c>
      <c r="Q2045" s="10" t="s">
        <v>4531</v>
      </c>
      <c r="R2045" s="10" t="s">
        <v>3083</v>
      </c>
      <c r="S2045" s="5">
        <v>3</v>
      </c>
      <c r="T2045" s="37">
        <v>0</v>
      </c>
      <c r="U2045" s="5">
        <v>0</v>
      </c>
      <c r="V2045" s="37">
        <v>0</v>
      </c>
      <c r="W2045" s="5">
        <v>0</v>
      </c>
      <c r="X2045" s="5">
        <v>3</v>
      </c>
      <c r="Y2045" s="5">
        <v>4</v>
      </c>
      <c r="Z2045" s="37">
        <v>1</v>
      </c>
      <c r="AA2045" s="5">
        <v>0</v>
      </c>
      <c r="AB2045" s="5">
        <v>0</v>
      </c>
      <c r="AC2045" s="5">
        <v>0</v>
      </c>
      <c r="AD2045" s="5">
        <v>5</v>
      </c>
      <c r="AE2045" s="10" t="s">
        <v>126</v>
      </c>
      <c r="AF2045" s="10"/>
      <c r="AG2045" s="10" t="s">
        <v>64</v>
      </c>
      <c r="AH2045" s="10">
        <v>42207</v>
      </c>
      <c r="AI2045" s="5">
        <v>4</v>
      </c>
      <c r="AJ2045" s="10" t="s">
        <v>11425</v>
      </c>
      <c r="AK2045" s="10" t="s">
        <v>11426</v>
      </c>
    </row>
    <row r="2046" spans="1:37" ht="36.75" customHeight="1" x14ac:dyDescent="0.35">
      <c r="A2046" s="5"/>
      <c r="B2046" s="5" t="s">
        <v>37</v>
      </c>
      <c r="C2046" s="73" t="str">
        <f t="shared" si="31"/>
        <v>Closed</v>
      </c>
      <c r="D2046" s="45" t="s">
        <v>11427</v>
      </c>
      <c r="E2046" s="54" t="s">
        <v>11428</v>
      </c>
      <c r="F2046" s="5" t="s">
        <v>816</v>
      </c>
      <c r="G2046" s="10">
        <f>DATE(2015,7,23)</f>
        <v>42208</v>
      </c>
      <c r="H2046" s="35">
        <v>1.4652777777777777</v>
      </c>
      <c r="I2046" s="5" t="s">
        <v>97</v>
      </c>
      <c r="J2046" s="10" t="s">
        <v>11429</v>
      </c>
      <c r="K2046" s="5" t="s">
        <v>818</v>
      </c>
      <c r="L2046" s="5" t="s">
        <v>11430</v>
      </c>
      <c r="M2046" s="5" t="s">
        <v>45</v>
      </c>
      <c r="N2046" s="5" t="s">
        <v>80</v>
      </c>
      <c r="O2046" s="5" t="s">
        <v>59</v>
      </c>
      <c r="P2046" s="10" t="s">
        <v>146</v>
      </c>
      <c r="Q2046" s="10" t="s">
        <v>2777</v>
      </c>
      <c r="R2046" s="10" t="s">
        <v>2777</v>
      </c>
      <c r="S2046" s="5">
        <v>0</v>
      </c>
      <c r="T2046" s="37">
        <v>0</v>
      </c>
      <c r="U2046" s="5">
        <v>4</v>
      </c>
      <c r="V2046" s="37">
        <v>0</v>
      </c>
      <c r="W2046" s="5">
        <v>0</v>
      </c>
      <c r="X2046" s="5">
        <v>4</v>
      </c>
      <c r="Y2046" s="5">
        <v>0</v>
      </c>
      <c r="Z2046" s="37">
        <v>0</v>
      </c>
      <c r="AA2046" s="5">
        <v>0</v>
      </c>
      <c r="AB2046" s="5">
        <v>0</v>
      </c>
      <c r="AC2046" s="5">
        <v>0</v>
      </c>
      <c r="AD2046" s="5">
        <v>0</v>
      </c>
      <c r="AE2046" s="10" t="s">
        <v>73</v>
      </c>
      <c r="AF2046" s="10"/>
      <c r="AG2046" s="10" t="s">
        <v>114</v>
      </c>
      <c r="AH2046" s="10">
        <v>42209</v>
      </c>
      <c r="AI2046" s="5">
        <v>1</v>
      </c>
      <c r="AJ2046" s="10" t="s">
        <v>9087</v>
      </c>
      <c r="AK2046" s="10" t="s">
        <v>50</v>
      </c>
    </row>
    <row r="2047" spans="1:37" ht="36.75" customHeight="1" x14ac:dyDescent="0.35">
      <c r="A2047" s="5"/>
      <c r="B2047" s="5" t="s">
        <v>37</v>
      </c>
      <c r="C2047" s="73" t="str">
        <f t="shared" si="31"/>
        <v>Closed</v>
      </c>
      <c r="D2047" s="45" t="s">
        <v>11431</v>
      </c>
      <c r="E2047" s="54" t="s">
        <v>11432</v>
      </c>
      <c r="F2047" s="5" t="s">
        <v>563</v>
      </c>
      <c r="G2047" s="10">
        <f>DATE(2015,7,25)</f>
        <v>42210</v>
      </c>
      <c r="H2047" s="35">
        <v>1.8055555555555554</v>
      </c>
      <c r="I2047" s="5" t="s">
        <v>137</v>
      </c>
      <c r="J2047" s="10" t="s">
        <v>11433</v>
      </c>
      <c r="K2047" s="5" t="s">
        <v>565</v>
      </c>
      <c r="L2047" s="5" t="s">
        <v>11434</v>
      </c>
      <c r="M2047" s="5" t="s">
        <v>45</v>
      </c>
      <c r="N2047" s="5" t="s">
        <v>123</v>
      </c>
      <c r="O2047" s="5" t="s">
        <v>46</v>
      </c>
      <c r="P2047" s="10" t="s">
        <v>6920</v>
      </c>
      <c r="Q2047" s="10" t="s">
        <v>11435</v>
      </c>
      <c r="R2047" s="10" t="s">
        <v>568</v>
      </c>
      <c r="S2047" s="5">
        <v>0</v>
      </c>
      <c r="T2047" s="37">
        <v>0</v>
      </c>
      <c r="U2047" s="5">
        <v>0</v>
      </c>
      <c r="V2047" s="37">
        <v>0</v>
      </c>
      <c r="W2047" s="5">
        <v>0</v>
      </c>
      <c r="X2047" s="5">
        <v>0</v>
      </c>
      <c r="Y2047" s="5">
        <v>0</v>
      </c>
      <c r="Z2047" s="37">
        <v>0</v>
      </c>
      <c r="AA2047" s="5">
        <v>0</v>
      </c>
      <c r="AB2047" s="5">
        <v>0</v>
      </c>
      <c r="AC2047" s="5">
        <v>0</v>
      </c>
      <c r="AD2047" s="5">
        <v>0</v>
      </c>
      <c r="AE2047" s="10" t="s">
        <v>126</v>
      </c>
      <c r="AF2047" s="10"/>
      <c r="AG2047" s="10" t="s">
        <v>64</v>
      </c>
      <c r="AH2047" s="10">
        <v>42247</v>
      </c>
      <c r="AI2047" s="5">
        <v>0</v>
      </c>
      <c r="AJ2047" s="10" t="s">
        <v>11436</v>
      </c>
      <c r="AK2047" s="10" t="s">
        <v>1215</v>
      </c>
    </row>
    <row r="2048" spans="1:37" ht="36.75" customHeight="1" x14ac:dyDescent="0.35">
      <c r="A2048" s="5"/>
      <c r="B2048" s="5" t="s">
        <v>37</v>
      </c>
      <c r="C2048" s="73" t="str">
        <f t="shared" si="31"/>
        <v>Closed</v>
      </c>
      <c r="D2048" s="45" t="s">
        <v>11437</v>
      </c>
      <c r="E2048" s="54" t="s">
        <v>11438</v>
      </c>
      <c r="F2048" s="5" t="s">
        <v>214</v>
      </c>
      <c r="G2048" s="10">
        <f>DATE(2015,7,25)</f>
        <v>42210</v>
      </c>
      <c r="H2048" s="35">
        <v>1.5486111111111112</v>
      </c>
      <c r="I2048" s="5" t="s">
        <v>259</v>
      </c>
      <c r="J2048" s="10" t="s">
        <v>11439</v>
      </c>
      <c r="K2048" s="5" t="s">
        <v>216</v>
      </c>
      <c r="L2048" s="5" t="s">
        <v>11440</v>
      </c>
      <c r="M2048" s="5" t="s">
        <v>45</v>
      </c>
      <c r="N2048" s="5" t="s">
        <v>123</v>
      </c>
      <c r="O2048" s="5" t="s">
        <v>59</v>
      </c>
      <c r="P2048" s="10" t="s">
        <v>6920</v>
      </c>
      <c r="Q2048" s="10" t="s">
        <v>1410</v>
      </c>
      <c r="R2048" s="10" t="s">
        <v>216</v>
      </c>
      <c r="S2048" s="5">
        <v>0</v>
      </c>
      <c r="T2048" s="37">
        <v>0</v>
      </c>
      <c r="U2048" s="5">
        <v>0</v>
      </c>
      <c r="V2048" s="37">
        <v>0</v>
      </c>
      <c r="W2048" s="5">
        <v>0</v>
      </c>
      <c r="X2048" s="5">
        <v>0</v>
      </c>
      <c r="Y2048" s="5">
        <v>0</v>
      </c>
      <c r="Z2048" s="37">
        <v>0</v>
      </c>
      <c r="AA2048" s="5">
        <v>0</v>
      </c>
      <c r="AB2048" s="5">
        <v>0</v>
      </c>
      <c r="AC2048" s="5">
        <v>0</v>
      </c>
      <c r="AD2048" s="5">
        <v>0</v>
      </c>
      <c r="AE2048" s="10" t="s">
        <v>73</v>
      </c>
      <c r="AF2048" s="10"/>
      <c r="AG2048" s="10" t="s">
        <v>114</v>
      </c>
      <c r="AH2048" s="10">
        <v>42248</v>
      </c>
      <c r="AI2048" s="5">
        <v>2</v>
      </c>
      <c r="AJ2048" s="10" t="s">
        <v>11441</v>
      </c>
      <c r="AK2048" s="10" t="s">
        <v>11442</v>
      </c>
    </row>
    <row r="2049" spans="1:37" ht="36.75" customHeight="1" x14ac:dyDescent="0.35">
      <c r="A2049" s="5"/>
      <c r="B2049" s="5" t="s">
        <v>37</v>
      </c>
      <c r="C2049" s="73" t="str">
        <f t="shared" si="31"/>
        <v>Closed</v>
      </c>
      <c r="D2049" s="45" t="s">
        <v>11443</v>
      </c>
      <c r="E2049" s="54" t="s">
        <v>11444</v>
      </c>
      <c r="F2049" s="5" t="s">
        <v>214</v>
      </c>
      <c r="G2049" s="10">
        <f>DATE(2015,7,26)</f>
        <v>42211</v>
      </c>
      <c r="H2049" s="35">
        <v>1.9048611111111109</v>
      </c>
      <c r="I2049" s="5" t="s">
        <v>55</v>
      </c>
      <c r="J2049" s="10" t="s">
        <v>11445</v>
      </c>
      <c r="K2049" s="5" t="s">
        <v>216</v>
      </c>
      <c r="L2049" s="5" t="s">
        <v>11446</v>
      </c>
      <c r="M2049" s="5" t="s">
        <v>45</v>
      </c>
      <c r="N2049" s="5" t="s">
        <v>123</v>
      </c>
      <c r="O2049" s="5" t="s">
        <v>46</v>
      </c>
      <c r="P2049" s="10" t="s">
        <v>146</v>
      </c>
      <c r="Q2049" s="10" t="s">
        <v>1503</v>
      </c>
      <c r="R2049" s="10" t="s">
        <v>216</v>
      </c>
      <c r="S2049" s="5">
        <v>0</v>
      </c>
      <c r="T2049" s="37">
        <v>0</v>
      </c>
      <c r="U2049" s="5">
        <v>0</v>
      </c>
      <c r="V2049" s="37">
        <v>0</v>
      </c>
      <c r="W2049" s="5">
        <v>0</v>
      </c>
      <c r="X2049" s="5">
        <v>0</v>
      </c>
      <c r="Y2049" s="5">
        <v>0</v>
      </c>
      <c r="Z2049" s="37">
        <v>0</v>
      </c>
      <c r="AA2049" s="5">
        <v>0</v>
      </c>
      <c r="AB2049" s="5">
        <v>0</v>
      </c>
      <c r="AC2049" s="5">
        <v>0</v>
      </c>
      <c r="AD2049" s="5">
        <v>0</v>
      </c>
      <c r="AE2049" s="10" t="s">
        <v>73</v>
      </c>
      <c r="AF2049" s="10"/>
      <c r="AG2049" s="10" t="s">
        <v>114</v>
      </c>
      <c r="AH2049" s="10">
        <v>42219</v>
      </c>
      <c r="AI2049" s="5">
        <v>5</v>
      </c>
      <c r="AJ2049" s="10" t="s">
        <v>11447</v>
      </c>
      <c r="AK2049" s="10" t="s">
        <v>11448</v>
      </c>
    </row>
    <row r="2050" spans="1:37" ht="36.75" customHeight="1" x14ac:dyDescent="0.35">
      <c r="A2050" s="5"/>
      <c r="B2050" s="5" t="s">
        <v>37</v>
      </c>
      <c r="C2050" s="73" t="str">
        <f t="shared" ref="C2050:C2113" si="32">IF(B2050="Notification","Open",IF(B2050="Interim Statement","In progress","Closed"))</f>
        <v>Closed</v>
      </c>
      <c r="D2050" s="45" t="s">
        <v>11449</v>
      </c>
      <c r="E2050" s="54" t="s">
        <v>11450</v>
      </c>
      <c r="F2050" s="5" t="s">
        <v>816</v>
      </c>
      <c r="G2050" s="10">
        <f>DATE(2015,7,27)</f>
        <v>42212</v>
      </c>
      <c r="H2050" s="35">
        <v>1.0034722222222223</v>
      </c>
      <c r="I2050" s="5" t="s">
        <v>55</v>
      </c>
      <c r="J2050" s="10" t="s">
        <v>11451</v>
      </c>
      <c r="K2050" s="5" t="s">
        <v>818</v>
      </c>
      <c r="L2050" s="5" t="s">
        <v>11452</v>
      </c>
      <c r="M2050" s="5" t="s">
        <v>45</v>
      </c>
      <c r="N2050" s="5" t="s">
        <v>80</v>
      </c>
      <c r="O2050" s="5" t="s">
        <v>46</v>
      </c>
      <c r="P2050" s="10" t="s">
        <v>60</v>
      </c>
      <c r="Q2050" s="10" t="s">
        <v>4688</v>
      </c>
      <c r="R2050" s="10" t="s">
        <v>821</v>
      </c>
      <c r="S2050" s="5">
        <v>0</v>
      </c>
      <c r="T2050" s="37">
        <v>0</v>
      </c>
      <c r="U2050" s="5">
        <v>0</v>
      </c>
      <c r="V2050" s="37">
        <v>0</v>
      </c>
      <c r="W2050" s="5">
        <v>0</v>
      </c>
      <c r="X2050" s="5">
        <v>0</v>
      </c>
      <c r="Y2050" s="5">
        <v>0</v>
      </c>
      <c r="Z2050" s="37">
        <v>0</v>
      </c>
      <c r="AA2050" s="5">
        <v>0</v>
      </c>
      <c r="AB2050" s="5">
        <v>0</v>
      </c>
      <c r="AC2050" s="5">
        <v>0</v>
      </c>
      <c r="AD2050" s="5">
        <v>0</v>
      </c>
      <c r="AE2050" s="10" t="s">
        <v>73</v>
      </c>
      <c r="AF2050" s="10"/>
      <c r="AG2050" s="10" t="s">
        <v>333</v>
      </c>
      <c r="AH2050" s="10">
        <v>42213</v>
      </c>
      <c r="AI2050" s="5">
        <v>0</v>
      </c>
      <c r="AJ2050" s="10" t="s">
        <v>11453</v>
      </c>
      <c r="AK2050" s="10" t="s">
        <v>11454</v>
      </c>
    </row>
    <row r="2051" spans="1:37" ht="36.75" customHeight="1" x14ac:dyDescent="0.35">
      <c r="A2051" s="5"/>
      <c r="B2051" s="5" t="s">
        <v>37</v>
      </c>
      <c r="C2051" s="73" t="str">
        <f t="shared" si="32"/>
        <v>Closed</v>
      </c>
      <c r="D2051" s="45" t="s">
        <v>11455</v>
      </c>
      <c r="E2051" s="54" t="s">
        <v>11456</v>
      </c>
      <c r="F2051" s="5" t="s">
        <v>816</v>
      </c>
      <c r="G2051" s="10">
        <f>DATE(2015,7,28)</f>
        <v>42213</v>
      </c>
      <c r="H2051" s="35">
        <v>1.7583333333333333</v>
      </c>
      <c r="I2051" s="5" t="s">
        <v>55</v>
      </c>
      <c r="J2051" s="10" t="s">
        <v>11457</v>
      </c>
      <c r="K2051" s="5" t="s">
        <v>818</v>
      </c>
      <c r="L2051" s="5" t="s">
        <v>11458</v>
      </c>
      <c r="M2051" s="5" t="s">
        <v>45</v>
      </c>
      <c r="N2051" s="5" t="s">
        <v>123</v>
      </c>
      <c r="O2051" s="5" t="s">
        <v>59</v>
      </c>
      <c r="P2051" s="10" t="s">
        <v>60</v>
      </c>
      <c r="Q2051" s="10" t="s">
        <v>11459</v>
      </c>
      <c r="R2051" s="10" t="s">
        <v>821</v>
      </c>
      <c r="S2051" s="5">
        <v>0</v>
      </c>
      <c r="T2051" s="36">
        <v>0</v>
      </c>
      <c r="U2051" s="5">
        <v>0</v>
      </c>
      <c r="V2051" s="36">
        <v>0</v>
      </c>
      <c r="W2051" s="5">
        <v>0</v>
      </c>
      <c r="X2051" s="5">
        <v>0</v>
      </c>
      <c r="Y2051" s="5">
        <v>0</v>
      </c>
      <c r="Z2051" s="36">
        <v>0</v>
      </c>
      <c r="AA2051" s="5">
        <v>0</v>
      </c>
      <c r="AB2051" s="5">
        <v>0</v>
      </c>
      <c r="AC2051" s="5">
        <v>0</v>
      </c>
      <c r="AD2051" s="5">
        <v>0</v>
      </c>
      <c r="AE2051" s="10" t="s">
        <v>73</v>
      </c>
      <c r="AF2051" s="10"/>
      <c r="AG2051" s="10" t="s">
        <v>333</v>
      </c>
      <c r="AH2051" s="10">
        <v>42214</v>
      </c>
      <c r="AI2051" s="5">
        <v>0</v>
      </c>
      <c r="AJ2051" s="10" t="s">
        <v>11460</v>
      </c>
      <c r="AK2051" s="10" t="s">
        <v>50</v>
      </c>
    </row>
    <row r="2052" spans="1:37" ht="36.75" customHeight="1" x14ac:dyDescent="0.35">
      <c r="A2052" s="5"/>
      <c r="B2052" s="5" t="s">
        <v>37</v>
      </c>
      <c r="C2052" s="73" t="str">
        <f t="shared" si="32"/>
        <v>Closed</v>
      </c>
      <c r="D2052" s="45" t="s">
        <v>11461</v>
      </c>
      <c r="E2052" s="54" t="s">
        <v>11462</v>
      </c>
      <c r="F2052" s="5" t="s">
        <v>214</v>
      </c>
      <c r="G2052" s="10">
        <f>DATE(2015,8,1)</f>
        <v>42217</v>
      </c>
      <c r="H2052" s="35">
        <v>1.4736111111111112</v>
      </c>
      <c r="I2052" s="5" t="s">
        <v>179</v>
      </c>
      <c r="J2052" s="10" t="s">
        <v>11463</v>
      </c>
      <c r="K2052" s="5" t="s">
        <v>216</v>
      </c>
      <c r="L2052" s="5" t="s">
        <v>11464</v>
      </c>
      <c r="M2052" s="5" t="s">
        <v>45</v>
      </c>
      <c r="N2052" s="5" t="s">
        <v>123</v>
      </c>
      <c r="O2052" s="5" t="s">
        <v>46</v>
      </c>
      <c r="P2052" s="10" t="s">
        <v>282</v>
      </c>
      <c r="Q2052" s="10" t="s">
        <v>7287</v>
      </c>
      <c r="R2052" s="10" t="s">
        <v>216</v>
      </c>
      <c r="S2052" s="5">
        <v>0</v>
      </c>
      <c r="T2052" s="37">
        <v>0</v>
      </c>
      <c r="U2052" s="5">
        <v>0</v>
      </c>
      <c r="V2052" s="37">
        <v>0</v>
      </c>
      <c r="W2052" s="5">
        <v>0</v>
      </c>
      <c r="X2052" s="5">
        <v>0</v>
      </c>
      <c r="Y2052" s="5">
        <v>0</v>
      </c>
      <c r="Z2052" s="37">
        <v>0</v>
      </c>
      <c r="AA2052" s="5">
        <v>0</v>
      </c>
      <c r="AB2052" s="5">
        <v>0</v>
      </c>
      <c r="AC2052" s="5">
        <v>0</v>
      </c>
      <c r="AD2052" s="5">
        <v>0</v>
      </c>
      <c r="AE2052" s="10" t="s">
        <v>126</v>
      </c>
      <c r="AF2052" s="10"/>
      <c r="AG2052" s="10" t="s">
        <v>64</v>
      </c>
      <c r="AH2052" s="10">
        <v>42226</v>
      </c>
      <c r="AI2052" s="5">
        <v>4</v>
      </c>
      <c r="AJ2052" s="10" t="s">
        <v>11465</v>
      </c>
      <c r="AK2052" s="10" t="s">
        <v>11466</v>
      </c>
    </row>
    <row r="2053" spans="1:37" ht="36.75" customHeight="1" x14ac:dyDescent="0.35">
      <c r="A2053" s="23" t="s">
        <v>4890</v>
      </c>
      <c r="B2053" s="5" t="s">
        <v>37</v>
      </c>
      <c r="C2053" s="73" t="str">
        <f t="shared" si="32"/>
        <v>Closed</v>
      </c>
      <c r="D2053" s="45" t="s">
        <v>11467</v>
      </c>
      <c r="E2053" s="54" t="s">
        <v>11468</v>
      </c>
      <c r="F2053" s="5" t="s">
        <v>563</v>
      </c>
      <c r="G2053" s="10">
        <f>DATE(2015,8,2)</f>
        <v>42218</v>
      </c>
      <c r="H2053" s="35">
        <v>1.2083333333333333</v>
      </c>
      <c r="I2053" s="5" t="s">
        <v>55</v>
      </c>
      <c r="J2053" s="10" t="s">
        <v>11469</v>
      </c>
      <c r="K2053" s="5" t="s">
        <v>565</v>
      </c>
      <c r="L2053" s="5" t="s">
        <v>11470</v>
      </c>
      <c r="M2053" s="5" t="s">
        <v>45</v>
      </c>
      <c r="N2053" s="5" t="s">
        <v>123</v>
      </c>
      <c r="O2053" s="5" t="s">
        <v>46</v>
      </c>
      <c r="P2053" s="10" t="s">
        <v>282</v>
      </c>
      <c r="Q2053" s="10" t="s">
        <v>11471</v>
      </c>
      <c r="R2053" s="10" t="s">
        <v>568</v>
      </c>
      <c r="S2053" s="5">
        <v>0</v>
      </c>
      <c r="T2053" s="58">
        <v>0</v>
      </c>
      <c r="U2053" s="5">
        <v>0</v>
      </c>
      <c r="V2053" s="58">
        <v>0</v>
      </c>
      <c r="W2053" s="5">
        <v>0</v>
      </c>
      <c r="X2053" s="5">
        <v>0</v>
      </c>
      <c r="Y2053" s="5">
        <v>0</v>
      </c>
      <c r="Z2053" s="58">
        <v>0</v>
      </c>
      <c r="AA2053" s="5">
        <v>0</v>
      </c>
      <c r="AB2053" s="5">
        <v>0</v>
      </c>
      <c r="AC2053" s="5">
        <v>0</v>
      </c>
      <c r="AD2053" s="5">
        <v>0</v>
      </c>
      <c r="AE2053" s="10" t="s">
        <v>375</v>
      </c>
      <c r="AF2053" s="10"/>
      <c r="AG2053" s="10" t="s">
        <v>114</v>
      </c>
      <c r="AH2053" s="10">
        <v>42247</v>
      </c>
      <c r="AI2053" s="5">
        <v>0</v>
      </c>
      <c r="AJ2053" s="10" t="s">
        <v>50</v>
      </c>
      <c r="AK2053" s="10" t="s">
        <v>50</v>
      </c>
    </row>
    <row r="2054" spans="1:37" ht="36.75" customHeight="1" x14ac:dyDescent="0.35">
      <c r="A2054" s="5"/>
      <c r="B2054" s="5" t="s">
        <v>37</v>
      </c>
      <c r="C2054" s="73" t="str">
        <f t="shared" si="32"/>
        <v>Closed</v>
      </c>
      <c r="D2054" s="45" t="s">
        <v>11472</v>
      </c>
      <c r="E2054" s="54" t="s">
        <v>11473</v>
      </c>
      <c r="F2054" s="5" t="s">
        <v>605</v>
      </c>
      <c r="G2054" s="10">
        <f>DATE(2015,8,3)</f>
        <v>42219</v>
      </c>
      <c r="H2054" s="35">
        <v>1.2493055555555554</v>
      </c>
      <c r="I2054" s="5" t="s">
        <v>85</v>
      </c>
      <c r="J2054" s="10" t="s">
        <v>4590</v>
      </c>
      <c r="K2054" s="5" t="s">
        <v>607</v>
      </c>
      <c r="L2054" s="5" t="s">
        <v>11474</v>
      </c>
      <c r="M2054" s="5" t="s">
        <v>45</v>
      </c>
      <c r="N2054" s="5" t="s">
        <v>123</v>
      </c>
      <c r="O2054" s="5" t="s">
        <v>59</v>
      </c>
      <c r="P2054" s="10" t="s">
        <v>146</v>
      </c>
      <c r="Q2054" s="10" t="s">
        <v>7160</v>
      </c>
      <c r="R2054" s="10" t="s">
        <v>610</v>
      </c>
      <c r="S2054" s="5">
        <v>0</v>
      </c>
      <c r="T2054" s="37">
        <v>0</v>
      </c>
      <c r="U2054" s="5">
        <v>0</v>
      </c>
      <c r="V2054" s="37">
        <v>0</v>
      </c>
      <c r="W2054" s="5">
        <v>0</v>
      </c>
      <c r="X2054" s="5">
        <v>0</v>
      </c>
      <c r="Y2054" s="5">
        <v>0</v>
      </c>
      <c r="Z2054" s="37">
        <v>0</v>
      </c>
      <c r="AA2054" s="5">
        <v>0</v>
      </c>
      <c r="AB2054" s="5">
        <v>0</v>
      </c>
      <c r="AC2054" s="5">
        <v>0</v>
      </c>
      <c r="AD2054" s="5">
        <v>0</v>
      </c>
      <c r="AE2054" s="10" t="s">
        <v>73</v>
      </c>
      <c r="AF2054" s="10"/>
      <c r="AG2054" s="10" t="s">
        <v>333</v>
      </c>
      <c r="AH2054" s="10">
        <v>42071</v>
      </c>
      <c r="AI2054" s="5">
        <v>2</v>
      </c>
      <c r="AJ2054" s="10" t="s">
        <v>4590</v>
      </c>
      <c r="AK2054" s="10" t="s">
        <v>50</v>
      </c>
    </row>
    <row r="2055" spans="1:37" ht="36.75" customHeight="1" x14ac:dyDescent="0.35">
      <c r="A2055" s="5"/>
      <c r="B2055" s="5" t="s">
        <v>37</v>
      </c>
      <c r="C2055" s="73" t="str">
        <f t="shared" si="32"/>
        <v>Closed</v>
      </c>
      <c r="D2055" s="45" t="s">
        <v>11475</v>
      </c>
      <c r="E2055" s="54" t="s">
        <v>11476</v>
      </c>
      <c r="F2055" s="5" t="s">
        <v>404</v>
      </c>
      <c r="G2055" s="10">
        <f>DATE(2015,8,4)</f>
        <v>42220</v>
      </c>
      <c r="H2055" s="35">
        <v>1.5548611111111112</v>
      </c>
      <c r="I2055" s="5" t="s">
        <v>179</v>
      </c>
      <c r="J2055" s="10" t="s">
        <v>11477</v>
      </c>
      <c r="K2055" s="5" t="s">
        <v>406</v>
      </c>
      <c r="L2055" s="5" t="s">
        <v>11478</v>
      </c>
      <c r="M2055" s="5" t="s">
        <v>45</v>
      </c>
      <c r="N2055" s="5" t="s">
        <v>123</v>
      </c>
      <c r="O2055" s="5" t="s">
        <v>59</v>
      </c>
      <c r="P2055" s="10" t="s">
        <v>47</v>
      </c>
      <c r="Q2055" s="10" t="s">
        <v>4531</v>
      </c>
      <c r="R2055" s="10" t="s">
        <v>3083</v>
      </c>
      <c r="S2055" s="5">
        <v>0</v>
      </c>
      <c r="T2055" s="37">
        <v>0</v>
      </c>
      <c r="U2055" s="5">
        <v>0</v>
      </c>
      <c r="V2055" s="37">
        <v>0</v>
      </c>
      <c r="W2055" s="5">
        <v>0</v>
      </c>
      <c r="X2055" s="5">
        <v>0</v>
      </c>
      <c r="Y2055" s="5">
        <v>5</v>
      </c>
      <c r="Z2055" s="37">
        <v>1</v>
      </c>
      <c r="AA2055" s="5">
        <v>0</v>
      </c>
      <c r="AB2055" s="5">
        <v>0</v>
      </c>
      <c r="AC2055" s="5">
        <v>0</v>
      </c>
      <c r="AD2055" s="5">
        <v>6</v>
      </c>
      <c r="AE2055" s="10" t="s">
        <v>375</v>
      </c>
      <c r="AF2055" s="10"/>
      <c r="AG2055" s="10" t="s">
        <v>64</v>
      </c>
      <c r="AH2055" s="10">
        <v>42102</v>
      </c>
      <c r="AI2055" s="5">
        <v>2</v>
      </c>
      <c r="AJ2055" s="10" t="s">
        <v>11479</v>
      </c>
      <c r="AK2055" s="10" t="s">
        <v>11480</v>
      </c>
    </row>
    <row r="2056" spans="1:37" ht="36.75" customHeight="1" x14ac:dyDescent="0.35">
      <c r="A2056" s="5"/>
      <c r="B2056" s="5" t="s">
        <v>37</v>
      </c>
      <c r="C2056" s="73" t="str">
        <f t="shared" si="32"/>
        <v>Closed</v>
      </c>
      <c r="D2056" s="45" t="s">
        <v>11481</v>
      </c>
      <c r="E2056" s="54" t="s">
        <v>11482</v>
      </c>
      <c r="F2056" s="5" t="s">
        <v>6434</v>
      </c>
      <c r="G2056" s="10">
        <f>DATE(2015,8,4)</f>
        <v>42220</v>
      </c>
      <c r="H2056" s="35">
        <v>1.6506944444444445</v>
      </c>
      <c r="I2056" s="5" t="s">
        <v>97</v>
      </c>
      <c r="J2056" s="10" t="s">
        <v>11483</v>
      </c>
      <c r="K2056" s="5" t="s">
        <v>565</v>
      </c>
      <c r="L2056" s="5" t="s">
        <v>11484</v>
      </c>
      <c r="M2056" s="5" t="s">
        <v>45</v>
      </c>
      <c r="N2056" s="5" t="s">
        <v>123</v>
      </c>
      <c r="O2056" s="5" t="s">
        <v>46</v>
      </c>
      <c r="P2056" s="10" t="s">
        <v>146</v>
      </c>
      <c r="Q2056" s="10" t="s">
        <v>11485</v>
      </c>
      <c r="R2056" s="10" t="s">
        <v>568</v>
      </c>
      <c r="S2056" s="5">
        <v>0</v>
      </c>
      <c r="T2056" s="37">
        <v>0</v>
      </c>
      <c r="U2056" s="5">
        <v>0</v>
      </c>
      <c r="V2056" s="37">
        <v>0</v>
      </c>
      <c r="W2056" s="5">
        <v>0</v>
      </c>
      <c r="X2056" s="5">
        <v>0</v>
      </c>
      <c r="Y2056" s="5">
        <v>0</v>
      </c>
      <c r="Z2056" s="37">
        <v>0</v>
      </c>
      <c r="AA2056" s="5">
        <v>0</v>
      </c>
      <c r="AB2056" s="5">
        <v>0</v>
      </c>
      <c r="AC2056" s="5">
        <v>0</v>
      </c>
      <c r="AD2056" s="5">
        <v>0</v>
      </c>
      <c r="AE2056" s="10" t="s">
        <v>375</v>
      </c>
      <c r="AF2056" s="10" t="s">
        <v>11486</v>
      </c>
      <c r="AG2056" s="10" t="s">
        <v>8837</v>
      </c>
      <c r="AH2056" s="10">
        <v>42247</v>
      </c>
      <c r="AI2056" s="5">
        <v>0</v>
      </c>
      <c r="AJ2056" s="10" t="s">
        <v>11487</v>
      </c>
      <c r="AK2056" s="10" t="s">
        <v>10547</v>
      </c>
    </row>
    <row r="2057" spans="1:37" ht="36.75" customHeight="1" x14ac:dyDescent="0.35">
      <c r="A2057" s="5"/>
      <c r="B2057" s="5" t="s">
        <v>37</v>
      </c>
      <c r="C2057" s="73" t="str">
        <f t="shared" si="32"/>
        <v>Closed</v>
      </c>
      <c r="D2057" s="45" t="s">
        <v>11488</v>
      </c>
      <c r="E2057" s="54" t="s">
        <v>11489</v>
      </c>
      <c r="F2057" s="5" t="s">
        <v>2581</v>
      </c>
      <c r="G2057" s="10">
        <f>DATE(2015,8,9)</f>
        <v>42225</v>
      </c>
      <c r="H2057" s="35">
        <v>1.9076388888888891</v>
      </c>
      <c r="I2057" s="5" t="s">
        <v>179</v>
      </c>
      <c r="J2057" s="10" t="s">
        <v>11490</v>
      </c>
      <c r="K2057" s="5" t="s">
        <v>2583</v>
      </c>
      <c r="L2057" s="5" t="s">
        <v>11491</v>
      </c>
      <c r="M2057" s="5" t="s">
        <v>45</v>
      </c>
      <c r="N2057" s="5" t="s">
        <v>70</v>
      </c>
      <c r="O2057" s="5" t="s">
        <v>59</v>
      </c>
      <c r="P2057" s="10" t="s">
        <v>72</v>
      </c>
      <c r="Q2057" s="10" t="s">
        <v>6321</v>
      </c>
      <c r="R2057" s="10" t="s">
        <v>2586</v>
      </c>
      <c r="S2057" s="5">
        <v>0</v>
      </c>
      <c r="T2057" s="37">
        <v>0</v>
      </c>
      <c r="U2057" s="5">
        <v>0</v>
      </c>
      <c r="V2057" s="37">
        <v>0</v>
      </c>
      <c r="W2057" s="5">
        <v>0</v>
      </c>
      <c r="X2057" s="5">
        <v>0</v>
      </c>
      <c r="Y2057" s="5">
        <v>1</v>
      </c>
      <c r="Z2057" s="37">
        <v>0</v>
      </c>
      <c r="AA2057" s="5">
        <v>0</v>
      </c>
      <c r="AB2057" s="5">
        <v>0</v>
      </c>
      <c r="AC2057" s="5">
        <v>0</v>
      </c>
      <c r="AD2057" s="5">
        <v>1</v>
      </c>
      <c r="AE2057" s="10" t="s">
        <v>73</v>
      </c>
      <c r="AF2057" s="10"/>
      <c r="AG2057" s="10" t="s">
        <v>11492</v>
      </c>
      <c r="AH2057" s="10">
        <v>42230</v>
      </c>
      <c r="AI2057" s="5">
        <v>3</v>
      </c>
      <c r="AJ2057" s="10" t="s">
        <v>11493</v>
      </c>
      <c r="AK2057" s="10" t="s">
        <v>11494</v>
      </c>
    </row>
    <row r="2058" spans="1:37" ht="36.75" customHeight="1" x14ac:dyDescent="0.35">
      <c r="A2058" s="5"/>
      <c r="B2058" s="5" t="s">
        <v>37</v>
      </c>
      <c r="C2058" s="73" t="str">
        <f t="shared" si="32"/>
        <v>Closed</v>
      </c>
      <c r="D2058" s="45" t="s">
        <v>11495</v>
      </c>
      <c r="E2058" s="54" t="s">
        <v>11496</v>
      </c>
      <c r="F2058" s="5" t="s">
        <v>816</v>
      </c>
      <c r="G2058" s="10">
        <f>DATE(2015,8,9)</f>
        <v>42225</v>
      </c>
      <c r="H2058" s="35">
        <v>1.7340277777777779</v>
      </c>
      <c r="I2058" s="5" t="s">
        <v>85</v>
      </c>
      <c r="J2058" s="10" t="s">
        <v>11497</v>
      </c>
      <c r="K2058" s="5" t="s">
        <v>818</v>
      </c>
      <c r="L2058" s="5" t="s">
        <v>11498</v>
      </c>
      <c r="M2058" s="5" t="s">
        <v>45</v>
      </c>
      <c r="N2058" s="5" t="s">
        <v>123</v>
      </c>
      <c r="O2058" s="5" t="s">
        <v>59</v>
      </c>
      <c r="P2058" s="10" t="s">
        <v>146</v>
      </c>
      <c r="Q2058" s="10" t="s">
        <v>2142</v>
      </c>
      <c r="R2058" s="10" t="s">
        <v>821</v>
      </c>
      <c r="S2058" s="5">
        <v>0</v>
      </c>
      <c r="T2058" s="37">
        <v>0</v>
      </c>
      <c r="U2058" s="5">
        <v>0</v>
      </c>
      <c r="V2058" s="37">
        <v>0</v>
      </c>
      <c r="W2058" s="5">
        <v>0</v>
      </c>
      <c r="X2058" s="5">
        <v>0</v>
      </c>
      <c r="Y2058" s="5">
        <v>0</v>
      </c>
      <c r="Z2058" s="37">
        <v>0</v>
      </c>
      <c r="AA2058" s="5">
        <v>0</v>
      </c>
      <c r="AB2058" s="5">
        <v>0</v>
      </c>
      <c r="AC2058" s="5">
        <v>0</v>
      </c>
      <c r="AD2058" s="5">
        <v>0</v>
      </c>
      <c r="AE2058" s="10" t="s">
        <v>73</v>
      </c>
      <c r="AF2058" s="10"/>
      <c r="AG2058" s="10" t="s">
        <v>333</v>
      </c>
      <c r="AH2058" s="10">
        <v>42229</v>
      </c>
      <c r="AI2058" s="5">
        <v>0</v>
      </c>
      <c r="AJ2058" s="10" t="s">
        <v>11499</v>
      </c>
      <c r="AK2058" s="10" t="s">
        <v>11500</v>
      </c>
    </row>
    <row r="2059" spans="1:37" ht="36.75" customHeight="1" x14ac:dyDescent="0.35">
      <c r="A2059" s="5"/>
      <c r="B2059" s="5" t="s">
        <v>37</v>
      </c>
      <c r="C2059" s="73" t="str">
        <f t="shared" si="32"/>
        <v>Closed</v>
      </c>
      <c r="D2059" s="45" t="s">
        <v>11501</v>
      </c>
      <c r="E2059" s="54" t="s">
        <v>11502</v>
      </c>
      <c r="F2059" s="5" t="s">
        <v>816</v>
      </c>
      <c r="G2059" s="10">
        <f>DATE(2015,8,11)</f>
        <v>42227</v>
      </c>
      <c r="H2059" s="35">
        <v>1.6006944444444444</v>
      </c>
      <c r="I2059" s="5" t="s">
        <v>85</v>
      </c>
      <c r="J2059" s="10" t="s">
        <v>11503</v>
      </c>
      <c r="K2059" s="5" t="s">
        <v>818</v>
      </c>
      <c r="L2059" s="5" t="s">
        <v>11504</v>
      </c>
      <c r="M2059" s="5" t="s">
        <v>45</v>
      </c>
      <c r="N2059" s="5" t="s">
        <v>70</v>
      </c>
      <c r="O2059" s="5" t="s">
        <v>59</v>
      </c>
      <c r="P2059" s="10" t="s">
        <v>60</v>
      </c>
      <c r="Q2059" s="10" t="s">
        <v>4688</v>
      </c>
      <c r="R2059" s="10" t="s">
        <v>821</v>
      </c>
      <c r="S2059" s="5">
        <v>0</v>
      </c>
      <c r="T2059" s="37">
        <v>0</v>
      </c>
      <c r="U2059" s="5">
        <v>0</v>
      </c>
      <c r="V2059" s="37">
        <v>0</v>
      </c>
      <c r="W2059" s="5">
        <v>0</v>
      </c>
      <c r="X2059" s="5">
        <v>0</v>
      </c>
      <c r="Y2059" s="5">
        <v>0</v>
      </c>
      <c r="Z2059" s="37">
        <v>0</v>
      </c>
      <c r="AA2059" s="5">
        <v>0</v>
      </c>
      <c r="AB2059" s="5">
        <v>0</v>
      </c>
      <c r="AC2059" s="5">
        <v>0</v>
      </c>
      <c r="AD2059" s="5">
        <v>0</v>
      </c>
      <c r="AE2059" s="10" t="s">
        <v>73</v>
      </c>
      <c r="AF2059" s="10"/>
      <c r="AG2059" s="10" t="s">
        <v>333</v>
      </c>
      <c r="AH2059" s="10">
        <v>42229</v>
      </c>
      <c r="AI2059" s="5">
        <v>0</v>
      </c>
      <c r="AJ2059" s="10" t="s">
        <v>11505</v>
      </c>
      <c r="AK2059" s="10" t="s">
        <v>11506</v>
      </c>
    </row>
    <row r="2060" spans="1:37" ht="36.75" customHeight="1" x14ac:dyDescent="0.35">
      <c r="A2060" s="5"/>
      <c r="B2060" s="5" t="s">
        <v>37</v>
      </c>
      <c r="C2060" s="73" t="str">
        <f t="shared" si="32"/>
        <v>Closed</v>
      </c>
      <c r="D2060" s="45" t="s">
        <v>11507</v>
      </c>
      <c r="E2060" s="54" t="s">
        <v>11508</v>
      </c>
      <c r="F2060" s="5" t="s">
        <v>1553</v>
      </c>
      <c r="G2060" s="10">
        <f>DATE(2015,8,11)</f>
        <v>42227</v>
      </c>
      <c r="H2060" s="35">
        <v>1.7916666666666665</v>
      </c>
      <c r="I2060" s="5" t="s">
        <v>106</v>
      </c>
      <c r="J2060" s="10" t="s">
        <v>11509</v>
      </c>
      <c r="K2060" s="5" t="s">
        <v>1555</v>
      </c>
      <c r="L2060" s="5" t="s">
        <v>11510</v>
      </c>
      <c r="M2060" s="5" t="s">
        <v>45</v>
      </c>
      <c r="N2060" s="5" t="s">
        <v>123</v>
      </c>
      <c r="O2060" s="5" t="s">
        <v>46</v>
      </c>
      <c r="P2060" s="10" t="s">
        <v>60</v>
      </c>
      <c r="Q2060" s="10" t="s">
        <v>4899</v>
      </c>
      <c r="R2060" s="10" t="s">
        <v>6413</v>
      </c>
      <c r="S2060" s="5">
        <v>0</v>
      </c>
      <c r="T2060" s="37">
        <v>0</v>
      </c>
      <c r="U2060" s="5">
        <v>0</v>
      </c>
      <c r="V2060" s="37">
        <v>0</v>
      </c>
      <c r="W2060" s="5">
        <v>0</v>
      </c>
      <c r="X2060" s="5">
        <v>0</v>
      </c>
      <c r="Y2060" s="5">
        <v>0</v>
      </c>
      <c r="Z2060" s="37">
        <v>0</v>
      </c>
      <c r="AA2060" s="5">
        <v>0</v>
      </c>
      <c r="AB2060" s="5">
        <v>0</v>
      </c>
      <c r="AC2060" s="5">
        <v>0</v>
      </c>
      <c r="AD2060" s="5">
        <v>0</v>
      </c>
      <c r="AE2060" s="10" t="s">
        <v>375</v>
      </c>
      <c r="AF2060" s="10"/>
      <c r="AG2060" s="10" t="s">
        <v>114</v>
      </c>
      <c r="AH2060" s="10">
        <v>42228</v>
      </c>
      <c r="AI2060" s="5">
        <v>1</v>
      </c>
      <c r="AJ2060" s="10" t="s">
        <v>11511</v>
      </c>
      <c r="AK2060" s="10" t="s">
        <v>11512</v>
      </c>
    </row>
    <row r="2061" spans="1:37" ht="36.75" customHeight="1" x14ac:dyDescent="0.35">
      <c r="A2061" s="5"/>
      <c r="B2061" s="5" t="s">
        <v>37</v>
      </c>
      <c r="C2061" s="73" t="str">
        <f t="shared" si="32"/>
        <v>Closed</v>
      </c>
      <c r="D2061" s="45" t="s">
        <v>11513</v>
      </c>
      <c r="E2061" s="54" t="s">
        <v>11514</v>
      </c>
      <c r="F2061" s="5" t="s">
        <v>605</v>
      </c>
      <c r="G2061" s="10">
        <f>DATE(2015,8,13)</f>
        <v>42229</v>
      </c>
      <c r="H2061" s="35">
        <v>1.3736111111111111</v>
      </c>
      <c r="I2061" s="5" t="s">
        <v>97</v>
      </c>
      <c r="J2061" s="10" t="s">
        <v>97</v>
      </c>
      <c r="K2061" s="5" t="s">
        <v>607</v>
      </c>
      <c r="L2061" s="5" t="s">
        <v>11515</v>
      </c>
      <c r="M2061" s="5" t="s">
        <v>45</v>
      </c>
      <c r="N2061" s="5" t="s">
        <v>80</v>
      </c>
      <c r="O2061" s="5" t="s">
        <v>46</v>
      </c>
      <c r="P2061" s="10" t="s">
        <v>60</v>
      </c>
      <c r="Q2061" s="10" t="s">
        <v>11516</v>
      </c>
      <c r="R2061" s="10" t="s">
        <v>610</v>
      </c>
      <c r="S2061" s="5">
        <v>0</v>
      </c>
      <c r="T2061" s="37">
        <v>0</v>
      </c>
      <c r="U2061" s="5">
        <v>0</v>
      </c>
      <c r="V2061" s="37">
        <v>0</v>
      </c>
      <c r="W2061" s="5">
        <v>0</v>
      </c>
      <c r="X2061" s="5">
        <v>0</v>
      </c>
      <c r="Y2061" s="5">
        <v>0</v>
      </c>
      <c r="Z2061" s="37">
        <v>0</v>
      </c>
      <c r="AA2061" s="5">
        <v>0</v>
      </c>
      <c r="AB2061" s="5">
        <v>0</v>
      </c>
      <c r="AC2061" s="5">
        <v>0</v>
      </c>
      <c r="AD2061" s="5">
        <v>0</v>
      </c>
      <c r="AE2061" s="10" t="s">
        <v>73</v>
      </c>
      <c r="AF2061" s="10"/>
      <c r="AG2061" s="10" t="s">
        <v>333</v>
      </c>
      <c r="AH2061" s="10">
        <v>42229</v>
      </c>
      <c r="AI2061" s="5">
        <v>4</v>
      </c>
      <c r="AJ2061" s="10" t="s">
        <v>11517</v>
      </c>
      <c r="AK2061" s="10" t="s">
        <v>50</v>
      </c>
    </row>
    <row r="2062" spans="1:37" ht="36.75" customHeight="1" x14ac:dyDescent="0.35">
      <c r="A2062" s="5"/>
      <c r="B2062" s="5" t="s">
        <v>37</v>
      </c>
      <c r="C2062" s="73" t="str">
        <f t="shared" si="32"/>
        <v>Closed</v>
      </c>
      <c r="D2062" s="45" t="s">
        <v>11518</v>
      </c>
      <c r="E2062" s="54" t="s">
        <v>11519</v>
      </c>
      <c r="F2062" s="5" t="s">
        <v>404</v>
      </c>
      <c r="G2062" s="10">
        <f>DATE(2015,8,14)</f>
        <v>42230</v>
      </c>
      <c r="H2062" s="35">
        <v>1.620138888888889</v>
      </c>
      <c r="I2062" s="5" t="s">
        <v>97</v>
      </c>
      <c r="J2062" s="10" t="s">
        <v>11520</v>
      </c>
      <c r="K2062" s="5" t="s">
        <v>406</v>
      </c>
      <c r="L2062" s="5" t="s">
        <v>11521</v>
      </c>
      <c r="M2062" s="5" t="s">
        <v>45</v>
      </c>
      <c r="N2062" s="5" t="s">
        <v>80</v>
      </c>
      <c r="O2062" s="5" t="s">
        <v>46</v>
      </c>
      <c r="P2062" s="10" t="s">
        <v>60</v>
      </c>
      <c r="Q2062" s="10" t="s">
        <v>2562</v>
      </c>
      <c r="R2062" s="10" t="s">
        <v>3083</v>
      </c>
      <c r="S2062" s="5">
        <v>0</v>
      </c>
      <c r="T2062" s="37">
        <v>0</v>
      </c>
      <c r="U2062" s="5">
        <v>2</v>
      </c>
      <c r="V2062" s="37">
        <v>0</v>
      </c>
      <c r="W2062" s="5">
        <v>0</v>
      </c>
      <c r="X2062" s="5">
        <v>2</v>
      </c>
      <c r="Y2062" s="5">
        <v>0</v>
      </c>
      <c r="Z2062" s="37">
        <v>0</v>
      </c>
      <c r="AA2062" s="5">
        <v>2</v>
      </c>
      <c r="AB2062" s="5">
        <v>0</v>
      </c>
      <c r="AC2062" s="5">
        <v>0</v>
      </c>
      <c r="AD2062" s="5">
        <v>2</v>
      </c>
      <c r="AE2062" s="10" t="s">
        <v>73</v>
      </c>
      <c r="AF2062" s="10"/>
      <c r="AG2062" s="10" t="s">
        <v>114</v>
      </c>
      <c r="AH2062" s="10">
        <v>42225</v>
      </c>
      <c r="AI2062" s="5">
        <v>3</v>
      </c>
      <c r="AJ2062" s="10" t="s">
        <v>11522</v>
      </c>
      <c r="AK2062" s="10" t="s">
        <v>11523</v>
      </c>
    </row>
    <row r="2063" spans="1:37" ht="36.75" customHeight="1" x14ac:dyDescent="0.35">
      <c r="A2063" s="5"/>
      <c r="B2063" s="5" t="s">
        <v>37</v>
      </c>
      <c r="C2063" s="73" t="str">
        <f t="shared" si="32"/>
        <v>Closed</v>
      </c>
      <c r="D2063" s="45" t="s">
        <v>11524</v>
      </c>
      <c r="E2063" s="54" t="s">
        <v>11525</v>
      </c>
      <c r="F2063" s="5" t="s">
        <v>816</v>
      </c>
      <c r="G2063" s="10">
        <f>DATE(2015,8,16)</f>
        <v>42232</v>
      </c>
      <c r="H2063" s="35">
        <v>1.3590277777777777</v>
      </c>
      <c r="I2063" s="5" t="s">
        <v>179</v>
      </c>
      <c r="J2063" s="10" t="s">
        <v>11526</v>
      </c>
      <c r="K2063" s="5" t="s">
        <v>818</v>
      </c>
      <c r="L2063" s="5" t="s">
        <v>11527</v>
      </c>
      <c r="M2063" s="5" t="s">
        <v>45</v>
      </c>
      <c r="N2063" s="5" t="s">
        <v>80</v>
      </c>
      <c r="O2063" s="5" t="s">
        <v>46</v>
      </c>
      <c r="P2063" s="10" t="s">
        <v>146</v>
      </c>
      <c r="Q2063" s="10" t="s">
        <v>2142</v>
      </c>
      <c r="R2063" s="10" t="s">
        <v>821</v>
      </c>
      <c r="S2063" s="5">
        <v>0</v>
      </c>
      <c r="T2063" s="37">
        <v>0</v>
      </c>
      <c r="U2063" s="5">
        <v>0</v>
      </c>
      <c r="V2063" s="37">
        <v>0</v>
      </c>
      <c r="W2063" s="5">
        <v>0</v>
      </c>
      <c r="X2063" s="5">
        <v>0</v>
      </c>
      <c r="Y2063" s="5">
        <v>3</v>
      </c>
      <c r="Z2063" s="37">
        <v>1</v>
      </c>
      <c r="AA2063" s="5">
        <v>0</v>
      </c>
      <c r="AB2063" s="5">
        <v>0</v>
      </c>
      <c r="AC2063" s="5">
        <v>0</v>
      </c>
      <c r="AD2063" s="5">
        <v>4</v>
      </c>
      <c r="AE2063" s="10" t="s">
        <v>375</v>
      </c>
      <c r="AF2063" s="10"/>
      <c r="AG2063" s="10" t="s">
        <v>114</v>
      </c>
      <c r="AH2063" s="10">
        <v>42232</v>
      </c>
      <c r="AI2063" s="5">
        <v>1</v>
      </c>
      <c r="AJ2063" s="10" t="s">
        <v>11528</v>
      </c>
      <c r="AK2063" s="10" t="s">
        <v>11529</v>
      </c>
    </row>
    <row r="2064" spans="1:37" ht="36.75" customHeight="1" x14ac:dyDescent="0.35">
      <c r="A2064" s="5"/>
      <c r="B2064" s="5" t="s">
        <v>37</v>
      </c>
      <c r="C2064" s="73" t="str">
        <f t="shared" si="32"/>
        <v>Closed</v>
      </c>
      <c r="D2064" s="45" t="s">
        <v>11530</v>
      </c>
      <c r="E2064" s="54" t="s">
        <v>11531</v>
      </c>
      <c r="F2064" s="5" t="s">
        <v>1553</v>
      </c>
      <c r="G2064" s="10">
        <f>DATE(2015,8,22)</f>
        <v>42238</v>
      </c>
      <c r="H2064" s="35">
        <v>1.6944444444444446</v>
      </c>
      <c r="I2064" s="5" t="s">
        <v>106</v>
      </c>
      <c r="J2064" s="10" t="s">
        <v>11532</v>
      </c>
      <c r="K2064" s="5" t="s">
        <v>1555</v>
      </c>
      <c r="L2064" s="5" t="s">
        <v>11533</v>
      </c>
      <c r="M2064" s="5" t="s">
        <v>45</v>
      </c>
      <c r="N2064" s="5" t="s">
        <v>80</v>
      </c>
      <c r="O2064" s="5" t="s">
        <v>46</v>
      </c>
      <c r="P2064" s="10" t="s">
        <v>60</v>
      </c>
      <c r="Q2064" s="10" t="s">
        <v>6072</v>
      </c>
      <c r="R2064" s="10" t="s">
        <v>11534</v>
      </c>
      <c r="S2064" s="5">
        <v>0</v>
      </c>
      <c r="T2064" s="37">
        <v>0</v>
      </c>
      <c r="U2064" s="5">
        <v>0</v>
      </c>
      <c r="V2064" s="37">
        <v>0</v>
      </c>
      <c r="W2064" s="5">
        <v>0</v>
      </c>
      <c r="X2064" s="5">
        <v>0</v>
      </c>
      <c r="Y2064" s="5">
        <v>0</v>
      </c>
      <c r="Z2064" s="37">
        <v>0</v>
      </c>
      <c r="AA2064" s="5">
        <v>0</v>
      </c>
      <c r="AB2064" s="5">
        <v>0</v>
      </c>
      <c r="AC2064" s="5">
        <v>0</v>
      </c>
      <c r="AD2064" s="5">
        <v>0</v>
      </c>
      <c r="AE2064" s="10" t="s">
        <v>73</v>
      </c>
      <c r="AF2064" s="10"/>
      <c r="AG2064" s="10" t="s">
        <v>114</v>
      </c>
      <c r="AH2064" s="10">
        <v>42240</v>
      </c>
      <c r="AI2064" s="5">
        <v>0</v>
      </c>
      <c r="AJ2064" s="10" t="s">
        <v>11535</v>
      </c>
      <c r="AK2064" s="10" t="s">
        <v>11536</v>
      </c>
    </row>
    <row r="2065" spans="1:37" ht="36.75" customHeight="1" x14ac:dyDescent="0.35">
      <c r="A2065" s="5"/>
      <c r="B2065" s="5" t="s">
        <v>37</v>
      </c>
      <c r="C2065" s="73" t="str">
        <f t="shared" si="32"/>
        <v>Closed</v>
      </c>
      <c r="D2065" s="45" t="s">
        <v>11537</v>
      </c>
      <c r="E2065" s="54" t="s">
        <v>11538</v>
      </c>
      <c r="F2065" s="5" t="s">
        <v>619</v>
      </c>
      <c r="G2065" s="10">
        <f>DATE(2015,8,27)</f>
        <v>42243</v>
      </c>
      <c r="H2065" s="35">
        <v>1.8624999999999998</v>
      </c>
      <c r="I2065" s="5" t="s">
        <v>106</v>
      </c>
      <c r="J2065" s="10" t="s">
        <v>11539</v>
      </c>
      <c r="K2065" s="5" t="s">
        <v>621</v>
      </c>
      <c r="L2065" s="5" t="s">
        <v>11540</v>
      </c>
      <c r="M2065" s="5" t="s">
        <v>45</v>
      </c>
      <c r="N2065" s="5" t="s">
        <v>80</v>
      </c>
      <c r="O2065" s="5" t="s">
        <v>59</v>
      </c>
      <c r="P2065" s="10" t="s">
        <v>6920</v>
      </c>
      <c r="Q2065" s="10" t="s">
        <v>623</v>
      </c>
      <c r="R2065" s="10" t="s">
        <v>624</v>
      </c>
      <c r="S2065" s="5">
        <v>0</v>
      </c>
      <c r="T2065" s="37">
        <v>0</v>
      </c>
      <c r="U2065" s="5">
        <v>0</v>
      </c>
      <c r="V2065" s="37">
        <v>0</v>
      </c>
      <c r="W2065" s="5">
        <v>0</v>
      </c>
      <c r="X2065" s="5">
        <v>0</v>
      </c>
      <c r="Y2065" s="5">
        <v>0</v>
      </c>
      <c r="Z2065" s="37">
        <v>0</v>
      </c>
      <c r="AA2065" s="5">
        <v>0</v>
      </c>
      <c r="AB2065" s="5">
        <v>0</v>
      </c>
      <c r="AC2065" s="5">
        <v>0</v>
      </c>
      <c r="AD2065" s="5">
        <v>0</v>
      </c>
      <c r="AE2065" s="10" t="s">
        <v>73</v>
      </c>
      <c r="AF2065" s="10"/>
      <c r="AG2065" s="10" t="s">
        <v>333</v>
      </c>
      <c r="AH2065" s="10">
        <v>42269</v>
      </c>
      <c r="AI2065" s="5">
        <v>2</v>
      </c>
      <c r="AJ2065" s="10" t="s">
        <v>11541</v>
      </c>
      <c r="AK2065" s="10" t="s">
        <v>50</v>
      </c>
    </row>
    <row r="2066" spans="1:37" ht="36.75" customHeight="1" x14ac:dyDescent="0.35">
      <c r="A2066" s="5"/>
      <c r="B2066" s="5" t="s">
        <v>37</v>
      </c>
      <c r="C2066" s="73" t="str">
        <f t="shared" si="32"/>
        <v>Closed</v>
      </c>
      <c r="D2066" s="45" t="s">
        <v>11542</v>
      </c>
      <c r="E2066" s="54" t="s">
        <v>11543</v>
      </c>
      <c r="F2066" s="5" t="s">
        <v>816</v>
      </c>
      <c r="G2066" s="10">
        <f>DATE(2015,8,27)</f>
        <v>42243</v>
      </c>
      <c r="H2066" s="35">
        <v>1.4930555555555556</v>
      </c>
      <c r="I2066" s="5" t="s">
        <v>85</v>
      </c>
      <c r="J2066" s="10" t="s">
        <v>11544</v>
      </c>
      <c r="K2066" s="5" t="s">
        <v>818</v>
      </c>
      <c r="L2066" s="5" t="s">
        <v>11545</v>
      </c>
      <c r="M2066" s="5" t="s">
        <v>45</v>
      </c>
      <c r="N2066" s="5" t="s">
        <v>80</v>
      </c>
      <c r="O2066" s="5" t="s">
        <v>59</v>
      </c>
      <c r="P2066" s="10" t="s">
        <v>146</v>
      </c>
      <c r="Q2066" s="10" t="s">
        <v>2777</v>
      </c>
      <c r="R2066" s="10" t="s">
        <v>2777</v>
      </c>
      <c r="S2066" s="5">
        <v>0</v>
      </c>
      <c r="T2066" s="37">
        <v>0</v>
      </c>
      <c r="U2066" s="5">
        <v>0</v>
      </c>
      <c r="V2066" s="37">
        <v>0</v>
      </c>
      <c r="W2066" s="5">
        <v>0</v>
      </c>
      <c r="X2066" s="5">
        <v>0</v>
      </c>
      <c r="Y2066" s="5">
        <v>0</v>
      </c>
      <c r="Z2066" s="37">
        <v>0</v>
      </c>
      <c r="AA2066" s="5">
        <v>0</v>
      </c>
      <c r="AB2066" s="5">
        <v>0</v>
      </c>
      <c r="AC2066" s="5">
        <v>0</v>
      </c>
      <c r="AD2066" s="5">
        <v>0</v>
      </c>
      <c r="AE2066" s="10" t="s">
        <v>73</v>
      </c>
      <c r="AF2066" s="10"/>
      <c r="AG2066" s="10" t="s">
        <v>333</v>
      </c>
      <c r="AH2066" s="10">
        <v>42243</v>
      </c>
      <c r="AI2066" s="5">
        <v>0</v>
      </c>
      <c r="AJ2066" s="10" t="s">
        <v>11546</v>
      </c>
      <c r="AK2066" s="10" t="s">
        <v>50</v>
      </c>
    </row>
    <row r="2067" spans="1:37" ht="36.75" customHeight="1" x14ac:dyDescent="0.35">
      <c r="A2067" s="5"/>
      <c r="B2067" s="5" t="s">
        <v>37</v>
      </c>
      <c r="C2067" s="73" t="str">
        <f t="shared" si="32"/>
        <v>Closed</v>
      </c>
      <c r="D2067" s="45" t="s">
        <v>11547</v>
      </c>
      <c r="E2067" s="54" t="s">
        <v>11548</v>
      </c>
      <c r="F2067" s="5" t="s">
        <v>619</v>
      </c>
      <c r="G2067" s="10">
        <f>DATE(2015,9,2)</f>
        <v>42249</v>
      </c>
      <c r="H2067" s="35">
        <v>1.2013888888888888</v>
      </c>
      <c r="I2067" s="5" t="s">
        <v>137</v>
      </c>
      <c r="J2067" s="10" t="s">
        <v>11549</v>
      </c>
      <c r="K2067" s="5" t="s">
        <v>621</v>
      </c>
      <c r="L2067" s="5" t="s">
        <v>11550</v>
      </c>
      <c r="M2067" s="5" t="s">
        <v>45</v>
      </c>
      <c r="N2067" s="5" t="s">
        <v>80</v>
      </c>
      <c r="O2067" s="5" t="s">
        <v>46</v>
      </c>
      <c r="P2067" s="10" t="s">
        <v>60</v>
      </c>
      <c r="Q2067" s="10" t="s">
        <v>4884</v>
      </c>
      <c r="R2067" s="10" t="s">
        <v>624</v>
      </c>
      <c r="S2067" s="5">
        <v>0</v>
      </c>
      <c r="T2067" s="37">
        <v>0</v>
      </c>
      <c r="U2067" s="5">
        <v>0</v>
      </c>
      <c r="V2067" s="37">
        <v>0</v>
      </c>
      <c r="W2067" s="5">
        <v>0</v>
      </c>
      <c r="X2067" s="5">
        <v>0</v>
      </c>
      <c r="Y2067" s="5">
        <v>0</v>
      </c>
      <c r="Z2067" s="37">
        <v>0</v>
      </c>
      <c r="AA2067" s="5">
        <v>0</v>
      </c>
      <c r="AB2067" s="5">
        <v>0</v>
      </c>
      <c r="AC2067" s="5">
        <v>0</v>
      </c>
      <c r="AD2067" s="5">
        <v>0</v>
      </c>
      <c r="AE2067" s="10" t="s">
        <v>375</v>
      </c>
      <c r="AF2067" s="10"/>
      <c r="AG2067" s="10" t="s">
        <v>114</v>
      </c>
      <c r="AH2067" s="10">
        <v>42269</v>
      </c>
      <c r="AI2067" s="5">
        <v>1</v>
      </c>
      <c r="AJ2067" s="10" t="s">
        <v>11551</v>
      </c>
      <c r="AK2067" s="10" t="s">
        <v>50</v>
      </c>
    </row>
    <row r="2068" spans="1:37" ht="36.75" customHeight="1" x14ac:dyDescent="0.35">
      <c r="A2068" s="5"/>
      <c r="B2068" s="5" t="s">
        <v>37</v>
      </c>
      <c r="C2068" s="73" t="str">
        <f t="shared" si="32"/>
        <v>Closed</v>
      </c>
      <c r="D2068" s="45" t="s">
        <v>11552</v>
      </c>
      <c r="E2068" s="54" t="s">
        <v>11553</v>
      </c>
      <c r="F2068" s="5" t="s">
        <v>119</v>
      </c>
      <c r="G2068" s="10">
        <f>DATE(2015,9,5)</f>
        <v>42252</v>
      </c>
      <c r="H2068" s="35">
        <v>1.6312500000000001</v>
      </c>
      <c r="I2068" s="5" t="s">
        <v>259</v>
      </c>
      <c r="J2068" s="10" t="s">
        <v>11554</v>
      </c>
      <c r="K2068" s="5" t="s">
        <v>121</v>
      </c>
      <c r="L2068" s="5" t="s">
        <v>11555</v>
      </c>
      <c r="M2068" s="5" t="s">
        <v>45</v>
      </c>
      <c r="N2068" s="5" t="s">
        <v>70</v>
      </c>
      <c r="O2068" s="5" t="s">
        <v>46</v>
      </c>
      <c r="P2068" s="10" t="s">
        <v>362</v>
      </c>
      <c r="Q2068" s="10" t="s">
        <v>124</v>
      </c>
      <c r="R2068" s="10" t="s">
        <v>4913</v>
      </c>
      <c r="S2068" s="5">
        <v>0</v>
      </c>
      <c r="T2068" s="37">
        <v>0</v>
      </c>
      <c r="U2068" s="5">
        <v>0</v>
      </c>
      <c r="V2068" s="37">
        <v>0</v>
      </c>
      <c r="W2068" s="5">
        <v>0</v>
      </c>
      <c r="X2068" s="5">
        <v>0</v>
      </c>
      <c r="Y2068" s="5">
        <v>0</v>
      </c>
      <c r="Z2068" s="37">
        <v>1</v>
      </c>
      <c r="AA2068" s="5">
        <v>0</v>
      </c>
      <c r="AB2068" s="5">
        <v>0</v>
      </c>
      <c r="AC2068" s="5">
        <v>0</v>
      </c>
      <c r="AD2068" s="5">
        <v>1</v>
      </c>
      <c r="AE2068" s="10" t="s">
        <v>73</v>
      </c>
      <c r="AF2068" s="10"/>
      <c r="AG2068" s="10" t="s">
        <v>855</v>
      </c>
      <c r="AH2068" s="10">
        <v>42257</v>
      </c>
      <c r="AI2068" s="5">
        <v>1</v>
      </c>
      <c r="AJ2068" s="10" t="s">
        <v>11556</v>
      </c>
      <c r="AK2068" s="10" t="s">
        <v>11557</v>
      </c>
    </row>
    <row r="2069" spans="1:37" ht="36.75" customHeight="1" x14ac:dyDescent="0.35">
      <c r="A2069" s="5"/>
      <c r="B2069" s="5" t="s">
        <v>37</v>
      </c>
      <c r="C2069" s="73" t="str">
        <f t="shared" si="32"/>
        <v>Closed</v>
      </c>
      <c r="D2069" s="45" t="s">
        <v>11558</v>
      </c>
      <c r="E2069" s="54" t="s">
        <v>11559</v>
      </c>
      <c r="F2069" s="5" t="s">
        <v>816</v>
      </c>
      <c r="G2069" s="10">
        <f>DATE(2015,9,6)</f>
        <v>42253</v>
      </c>
      <c r="H2069" s="35">
        <v>1.1701388888888888</v>
      </c>
      <c r="I2069" s="5" t="s">
        <v>179</v>
      </c>
      <c r="J2069" s="10" t="s">
        <v>11560</v>
      </c>
      <c r="K2069" s="5" t="s">
        <v>818</v>
      </c>
      <c r="L2069" s="5" t="s">
        <v>11561</v>
      </c>
      <c r="M2069" s="5" t="s">
        <v>45</v>
      </c>
      <c r="N2069" s="5" t="s">
        <v>123</v>
      </c>
      <c r="O2069" s="5" t="s">
        <v>59</v>
      </c>
      <c r="P2069" s="10" t="s">
        <v>60</v>
      </c>
      <c r="Q2069" s="10" t="s">
        <v>11562</v>
      </c>
      <c r="R2069" s="10" t="s">
        <v>821</v>
      </c>
      <c r="S2069" s="5">
        <v>0</v>
      </c>
      <c r="T2069" s="37">
        <v>0</v>
      </c>
      <c r="U2069" s="5">
        <v>0</v>
      </c>
      <c r="V2069" s="37">
        <v>0</v>
      </c>
      <c r="W2069" s="5">
        <v>0</v>
      </c>
      <c r="X2069" s="5">
        <v>0</v>
      </c>
      <c r="Y2069" s="5">
        <v>0</v>
      </c>
      <c r="Z2069" s="37">
        <v>0</v>
      </c>
      <c r="AA2069" s="5">
        <v>0</v>
      </c>
      <c r="AB2069" s="5">
        <v>0</v>
      </c>
      <c r="AC2069" s="5">
        <v>0</v>
      </c>
      <c r="AD2069" s="5">
        <v>0</v>
      </c>
      <c r="AE2069" s="10" t="s">
        <v>73</v>
      </c>
      <c r="AF2069" s="10"/>
      <c r="AG2069" s="10" t="s">
        <v>1489</v>
      </c>
      <c r="AH2069" s="10">
        <v>42253</v>
      </c>
      <c r="AI2069" s="5">
        <v>0</v>
      </c>
      <c r="AJ2069" s="10" t="s">
        <v>11563</v>
      </c>
      <c r="AK2069" s="10" t="s">
        <v>50</v>
      </c>
    </row>
    <row r="2070" spans="1:37" ht="36.75" customHeight="1" x14ac:dyDescent="0.35">
      <c r="A2070" s="5"/>
      <c r="B2070" s="5" t="s">
        <v>37</v>
      </c>
      <c r="C2070" s="73" t="str">
        <f t="shared" si="32"/>
        <v>Closed</v>
      </c>
      <c r="D2070" s="45" t="s">
        <v>11564</v>
      </c>
      <c r="E2070" s="54" t="s">
        <v>11565</v>
      </c>
      <c r="F2070" s="5" t="s">
        <v>1553</v>
      </c>
      <c r="G2070" s="10">
        <f>DATE(2015,9,6)</f>
        <v>42253</v>
      </c>
      <c r="H2070" s="35">
        <v>1.9194444444444443</v>
      </c>
      <c r="I2070" s="5" t="s">
        <v>55</v>
      </c>
      <c r="J2070" s="10" t="s">
        <v>11566</v>
      </c>
      <c r="K2070" s="5" t="s">
        <v>1555</v>
      </c>
      <c r="L2070" s="5" t="s">
        <v>11567</v>
      </c>
      <c r="M2070" s="5" t="s">
        <v>45</v>
      </c>
      <c r="N2070" s="5" t="s">
        <v>80</v>
      </c>
      <c r="O2070" s="5" t="s">
        <v>46</v>
      </c>
      <c r="P2070" s="10" t="s">
        <v>60</v>
      </c>
      <c r="Q2070" s="10" t="s">
        <v>6072</v>
      </c>
      <c r="R2070" s="10" t="s">
        <v>6413</v>
      </c>
      <c r="S2070" s="5">
        <v>0</v>
      </c>
      <c r="T2070" s="37">
        <v>0</v>
      </c>
      <c r="U2070" s="5">
        <v>0</v>
      </c>
      <c r="V2070" s="37">
        <v>0</v>
      </c>
      <c r="W2070" s="5">
        <v>0</v>
      </c>
      <c r="X2070" s="5">
        <v>0</v>
      </c>
      <c r="Y2070" s="5">
        <v>0</v>
      </c>
      <c r="Z2070" s="37">
        <v>0</v>
      </c>
      <c r="AA2070" s="5">
        <v>0</v>
      </c>
      <c r="AB2070" s="5">
        <v>0</v>
      </c>
      <c r="AC2070" s="5">
        <v>0</v>
      </c>
      <c r="AD2070" s="5">
        <v>0</v>
      </c>
      <c r="AE2070" s="10" t="s">
        <v>375</v>
      </c>
      <c r="AF2070" s="10"/>
      <c r="AG2070" s="10" t="s">
        <v>114</v>
      </c>
      <c r="AH2070" s="10">
        <v>42256</v>
      </c>
      <c r="AI2070" s="5">
        <v>1</v>
      </c>
      <c r="AJ2070" s="10" t="s">
        <v>11568</v>
      </c>
      <c r="AK2070" s="10" t="s">
        <v>11569</v>
      </c>
    </row>
    <row r="2071" spans="1:37" ht="36.75" customHeight="1" x14ac:dyDescent="0.35">
      <c r="A2071" s="5"/>
      <c r="B2071" s="5" t="s">
        <v>37</v>
      </c>
      <c r="C2071" s="73" t="str">
        <f t="shared" si="32"/>
        <v>Closed</v>
      </c>
      <c r="D2071" s="45" t="s">
        <v>11570</v>
      </c>
      <c r="E2071" s="54" t="s">
        <v>11571</v>
      </c>
      <c r="F2071" s="5" t="s">
        <v>404</v>
      </c>
      <c r="G2071" s="10">
        <f>DATE(2015,9,7)</f>
        <v>42254</v>
      </c>
      <c r="H2071" s="35">
        <v>1.6770833333333335</v>
      </c>
      <c r="I2071" s="5" t="s">
        <v>97</v>
      </c>
      <c r="J2071" s="10" t="s">
        <v>11572</v>
      </c>
      <c r="K2071" s="5" t="s">
        <v>406</v>
      </c>
      <c r="L2071" s="5" t="s">
        <v>11573</v>
      </c>
      <c r="M2071" s="5" t="s">
        <v>45</v>
      </c>
      <c r="N2071" s="5" t="s">
        <v>80</v>
      </c>
      <c r="O2071" s="5" t="s">
        <v>59</v>
      </c>
      <c r="P2071" s="10" t="s">
        <v>146</v>
      </c>
      <c r="Q2071" s="10" t="s">
        <v>4531</v>
      </c>
      <c r="R2071" s="10" t="s">
        <v>3083</v>
      </c>
      <c r="S2071" s="5">
        <v>0</v>
      </c>
      <c r="T2071" s="37">
        <v>0</v>
      </c>
      <c r="U2071" s="5">
        <v>0</v>
      </c>
      <c r="V2071" s="37">
        <v>0</v>
      </c>
      <c r="W2071" s="5">
        <v>0</v>
      </c>
      <c r="X2071" s="5">
        <v>0</v>
      </c>
      <c r="Y2071" s="5">
        <v>0</v>
      </c>
      <c r="Z2071" s="37">
        <v>1</v>
      </c>
      <c r="AA2071" s="5">
        <v>0</v>
      </c>
      <c r="AB2071" s="5">
        <v>0</v>
      </c>
      <c r="AC2071" s="5">
        <v>0</v>
      </c>
      <c r="AD2071" s="5">
        <v>1</v>
      </c>
      <c r="AE2071" s="10" t="s">
        <v>375</v>
      </c>
      <c r="AF2071" s="10"/>
      <c r="AG2071" s="10" t="s">
        <v>114</v>
      </c>
      <c r="AH2071" s="10">
        <v>42269</v>
      </c>
      <c r="AI2071" s="5">
        <v>4</v>
      </c>
      <c r="AJ2071" s="10" t="s">
        <v>11574</v>
      </c>
      <c r="AK2071" s="10" t="s">
        <v>11575</v>
      </c>
    </row>
    <row r="2072" spans="1:37" ht="36.75" customHeight="1" x14ac:dyDescent="0.35">
      <c r="A2072" s="5"/>
      <c r="B2072" s="5" t="s">
        <v>37</v>
      </c>
      <c r="C2072" s="73" t="str">
        <f t="shared" si="32"/>
        <v>Closed</v>
      </c>
      <c r="D2072" s="45" t="s">
        <v>11576</v>
      </c>
      <c r="E2072" s="54" t="s">
        <v>11577</v>
      </c>
      <c r="F2072" s="5" t="s">
        <v>6434</v>
      </c>
      <c r="G2072" s="10">
        <f>DATE(2015,9,8)</f>
        <v>42255</v>
      </c>
      <c r="H2072" s="35">
        <v>1.9909722222222221</v>
      </c>
      <c r="I2072" s="5" t="s">
        <v>55</v>
      </c>
      <c r="J2072" s="10" t="s">
        <v>11578</v>
      </c>
      <c r="K2072" s="5" t="s">
        <v>565</v>
      </c>
      <c r="L2072" s="5" t="s">
        <v>11579</v>
      </c>
      <c r="M2072" s="5" t="s">
        <v>45</v>
      </c>
      <c r="N2072" s="5" t="s">
        <v>123</v>
      </c>
      <c r="O2072" s="5" t="s">
        <v>59</v>
      </c>
      <c r="P2072" s="10" t="s">
        <v>146</v>
      </c>
      <c r="Q2072" s="10" t="s">
        <v>4467</v>
      </c>
      <c r="R2072" s="10" t="s">
        <v>568</v>
      </c>
      <c r="S2072" s="5">
        <v>0</v>
      </c>
      <c r="T2072" s="37">
        <v>0</v>
      </c>
      <c r="U2072" s="5">
        <v>0</v>
      </c>
      <c r="V2072" s="37">
        <v>0</v>
      </c>
      <c r="W2072" s="5">
        <v>0</v>
      </c>
      <c r="X2072" s="5">
        <v>0</v>
      </c>
      <c r="Y2072" s="5">
        <v>0</v>
      </c>
      <c r="Z2072" s="37">
        <v>0</v>
      </c>
      <c r="AA2072" s="5">
        <v>0</v>
      </c>
      <c r="AB2072" s="5">
        <v>0</v>
      </c>
      <c r="AC2072" s="5">
        <v>0</v>
      </c>
      <c r="AD2072" s="5">
        <v>0</v>
      </c>
      <c r="AE2072" s="10" t="s">
        <v>73</v>
      </c>
      <c r="AF2072" s="10" t="s">
        <v>11580</v>
      </c>
      <c r="AG2072" s="10" t="s">
        <v>8837</v>
      </c>
      <c r="AH2072" s="10">
        <v>42265</v>
      </c>
      <c r="AI2072" s="5">
        <v>0</v>
      </c>
      <c r="AJ2072" s="10" t="s">
        <v>11581</v>
      </c>
      <c r="AK2072" s="10" t="s">
        <v>10547</v>
      </c>
    </row>
    <row r="2073" spans="1:37" ht="36.75" customHeight="1" x14ac:dyDescent="0.35">
      <c r="A2073" s="5"/>
      <c r="B2073" s="5" t="s">
        <v>37</v>
      </c>
      <c r="C2073" s="73" t="str">
        <f t="shared" si="32"/>
        <v>Closed</v>
      </c>
      <c r="D2073" s="45" t="s">
        <v>11582</v>
      </c>
      <c r="E2073" s="54" t="s">
        <v>11583</v>
      </c>
      <c r="F2073" s="5" t="s">
        <v>404</v>
      </c>
      <c r="G2073" s="10">
        <f>DATE(2015,9,9)</f>
        <v>42256</v>
      </c>
      <c r="H2073" s="35">
        <v>1.3854166666666667</v>
      </c>
      <c r="I2073" s="5" t="s">
        <v>259</v>
      </c>
      <c r="J2073" s="10" t="s">
        <v>11584</v>
      </c>
      <c r="K2073" s="5" t="s">
        <v>406</v>
      </c>
      <c r="L2073" s="5" t="s">
        <v>11585</v>
      </c>
      <c r="M2073" s="5" t="s">
        <v>45</v>
      </c>
      <c r="N2073" s="5" t="s">
        <v>70</v>
      </c>
      <c r="O2073" s="5" t="s">
        <v>59</v>
      </c>
      <c r="P2073" s="10" t="s">
        <v>282</v>
      </c>
      <c r="Q2073" s="10" t="s">
        <v>7562</v>
      </c>
      <c r="R2073" s="10" t="s">
        <v>3083</v>
      </c>
      <c r="S2073" s="5">
        <v>0</v>
      </c>
      <c r="T2073" s="37">
        <v>1</v>
      </c>
      <c r="U2073" s="5">
        <v>0</v>
      </c>
      <c r="V2073" s="37">
        <v>0</v>
      </c>
      <c r="W2073" s="5">
        <v>0</v>
      </c>
      <c r="X2073" s="5">
        <v>1</v>
      </c>
      <c r="Y2073" s="5">
        <v>0</v>
      </c>
      <c r="Z2073" s="37">
        <v>1</v>
      </c>
      <c r="AA2073" s="5">
        <v>0</v>
      </c>
      <c r="AB2073" s="5">
        <v>0</v>
      </c>
      <c r="AC2073" s="5">
        <v>0</v>
      </c>
      <c r="AD2073" s="5">
        <v>1</v>
      </c>
      <c r="AE2073" s="10" t="s">
        <v>73</v>
      </c>
      <c r="AF2073" s="10"/>
      <c r="AG2073" s="10" t="s">
        <v>114</v>
      </c>
      <c r="AH2073" s="10">
        <v>42256</v>
      </c>
      <c r="AI2073" s="5">
        <v>2</v>
      </c>
      <c r="AJ2073" s="10" t="s">
        <v>11586</v>
      </c>
      <c r="AK2073" s="10" t="s">
        <v>11587</v>
      </c>
    </row>
    <row r="2074" spans="1:37" ht="36.75" customHeight="1" x14ac:dyDescent="0.35">
      <c r="A2074" s="5"/>
      <c r="B2074" s="5" t="s">
        <v>37</v>
      </c>
      <c r="C2074" s="73" t="str">
        <f t="shared" si="32"/>
        <v>Closed</v>
      </c>
      <c r="D2074" s="45" t="s">
        <v>11588</v>
      </c>
      <c r="E2074" s="54" t="s">
        <v>11589</v>
      </c>
      <c r="F2074" s="5" t="s">
        <v>1751</v>
      </c>
      <c r="G2074" s="10">
        <f>DATE(2015,9,10)</f>
        <v>42257</v>
      </c>
      <c r="H2074" s="35">
        <v>1.7062499999999998</v>
      </c>
      <c r="I2074" s="5" t="s">
        <v>55</v>
      </c>
      <c r="J2074" s="10" t="s">
        <v>11590</v>
      </c>
      <c r="K2074" s="5" t="s">
        <v>1753</v>
      </c>
      <c r="L2074" s="5" t="s">
        <v>4589</v>
      </c>
      <c r="M2074" s="5" t="s">
        <v>45</v>
      </c>
      <c r="N2074" s="5" t="s">
        <v>70</v>
      </c>
      <c r="O2074" s="5" t="s">
        <v>46</v>
      </c>
      <c r="P2074" s="10" t="s">
        <v>146</v>
      </c>
      <c r="Q2074" s="10" t="s">
        <v>4269</v>
      </c>
      <c r="R2074" s="10" t="s">
        <v>1756</v>
      </c>
      <c r="S2074" s="5">
        <v>0</v>
      </c>
      <c r="T2074" s="37">
        <v>0</v>
      </c>
      <c r="U2074" s="5">
        <v>0</v>
      </c>
      <c r="V2074" s="37">
        <v>0</v>
      </c>
      <c r="W2074" s="5">
        <v>0</v>
      </c>
      <c r="X2074" s="5">
        <v>0</v>
      </c>
      <c r="Y2074" s="5">
        <v>0</v>
      </c>
      <c r="Z2074" s="37">
        <v>0</v>
      </c>
      <c r="AA2074" s="5">
        <v>0</v>
      </c>
      <c r="AB2074" s="5">
        <v>0</v>
      </c>
      <c r="AC2074" s="5">
        <v>0</v>
      </c>
      <c r="AD2074" s="5">
        <v>0</v>
      </c>
      <c r="AE2074" s="10" t="s">
        <v>73</v>
      </c>
      <c r="AF2074" s="10"/>
      <c r="AG2074" s="10" t="s">
        <v>114</v>
      </c>
      <c r="AH2074" s="10">
        <v>42257</v>
      </c>
      <c r="AI2074" s="5">
        <v>4</v>
      </c>
      <c r="AJ2074" s="10" t="s">
        <v>11591</v>
      </c>
      <c r="AK2074" s="10" t="s">
        <v>11592</v>
      </c>
    </row>
    <row r="2075" spans="1:37" ht="36.75" customHeight="1" x14ac:dyDescent="0.35">
      <c r="A2075" s="5"/>
      <c r="B2075" s="5" t="s">
        <v>37</v>
      </c>
      <c r="C2075" s="73" t="str">
        <f t="shared" si="32"/>
        <v>Closed</v>
      </c>
      <c r="D2075" s="45" t="s">
        <v>11593</v>
      </c>
      <c r="E2075" s="54" t="s">
        <v>11594</v>
      </c>
      <c r="F2075" s="5" t="s">
        <v>563</v>
      </c>
      <c r="G2075" s="10">
        <f>DATE(2015,9,11)</f>
        <v>42258</v>
      </c>
      <c r="H2075" s="35">
        <v>1.9347222222222222</v>
      </c>
      <c r="I2075" s="5" t="s">
        <v>55</v>
      </c>
      <c r="J2075" s="10" t="s">
        <v>11595</v>
      </c>
      <c r="K2075" s="5" t="s">
        <v>565</v>
      </c>
      <c r="L2075" s="5" t="s">
        <v>11596</v>
      </c>
      <c r="M2075" s="5" t="s">
        <v>45</v>
      </c>
      <c r="N2075" s="5" t="s">
        <v>123</v>
      </c>
      <c r="O2075" s="5" t="s">
        <v>46</v>
      </c>
      <c r="P2075" s="10" t="s">
        <v>60</v>
      </c>
      <c r="Q2075" s="10" t="s">
        <v>567</v>
      </c>
      <c r="R2075" s="10" t="s">
        <v>568</v>
      </c>
      <c r="S2075" s="5">
        <v>0</v>
      </c>
      <c r="T2075" s="37">
        <v>0</v>
      </c>
      <c r="U2075" s="5">
        <v>0</v>
      </c>
      <c r="V2075" s="37">
        <v>0</v>
      </c>
      <c r="W2075" s="5">
        <v>0</v>
      </c>
      <c r="X2075" s="5">
        <v>0</v>
      </c>
      <c r="Y2075" s="5">
        <v>0</v>
      </c>
      <c r="Z2075" s="37">
        <v>0</v>
      </c>
      <c r="AA2075" s="5">
        <v>0</v>
      </c>
      <c r="AB2075" s="5">
        <v>0</v>
      </c>
      <c r="AC2075" s="5">
        <v>0</v>
      </c>
      <c r="AD2075" s="5">
        <v>0</v>
      </c>
      <c r="AE2075" s="10" t="s">
        <v>375</v>
      </c>
      <c r="AF2075" s="10"/>
      <c r="AG2075" s="10" t="s">
        <v>114</v>
      </c>
      <c r="AH2075" s="10">
        <v>42265</v>
      </c>
      <c r="AI2075" s="5">
        <v>1</v>
      </c>
      <c r="AJ2075" s="10" t="s">
        <v>11597</v>
      </c>
      <c r="AK2075" s="10" t="s">
        <v>1215</v>
      </c>
    </row>
    <row r="2076" spans="1:37" ht="36.75" customHeight="1" x14ac:dyDescent="0.35">
      <c r="A2076" s="5"/>
      <c r="B2076" s="5" t="s">
        <v>37</v>
      </c>
      <c r="C2076" s="73" t="str">
        <f t="shared" si="32"/>
        <v>Closed</v>
      </c>
      <c r="D2076" s="45" t="s">
        <v>11598</v>
      </c>
      <c r="E2076" s="54" t="s">
        <v>11599</v>
      </c>
      <c r="F2076" s="5" t="s">
        <v>1553</v>
      </c>
      <c r="G2076" s="10">
        <f>DATE(2015,9,11)</f>
        <v>42258</v>
      </c>
      <c r="H2076" s="35">
        <v>1.0590277777777777</v>
      </c>
      <c r="I2076" s="5" t="s">
        <v>55</v>
      </c>
      <c r="J2076" s="10" t="s">
        <v>11600</v>
      </c>
      <c r="K2076" s="5" t="s">
        <v>1555</v>
      </c>
      <c r="L2076" s="5" t="s">
        <v>11601</v>
      </c>
      <c r="M2076" s="5" t="s">
        <v>45</v>
      </c>
      <c r="N2076" s="5" t="s">
        <v>80</v>
      </c>
      <c r="O2076" s="5" t="s">
        <v>59</v>
      </c>
      <c r="P2076" s="10" t="s">
        <v>60</v>
      </c>
      <c r="Q2076" s="10" t="s">
        <v>7910</v>
      </c>
      <c r="R2076" s="10" t="s">
        <v>2541</v>
      </c>
      <c r="S2076" s="5">
        <v>0</v>
      </c>
      <c r="T2076" s="37">
        <v>0</v>
      </c>
      <c r="U2076" s="5">
        <v>0</v>
      </c>
      <c r="V2076" s="37">
        <v>0</v>
      </c>
      <c r="W2076" s="5">
        <v>0</v>
      </c>
      <c r="X2076" s="5">
        <v>0</v>
      </c>
      <c r="Y2076" s="5">
        <v>0</v>
      </c>
      <c r="Z2076" s="37">
        <v>0</v>
      </c>
      <c r="AA2076" s="5">
        <v>0</v>
      </c>
      <c r="AB2076" s="5">
        <v>0</v>
      </c>
      <c r="AC2076" s="5">
        <v>0</v>
      </c>
      <c r="AD2076" s="5">
        <v>0</v>
      </c>
      <c r="AE2076" s="10" t="s">
        <v>73</v>
      </c>
      <c r="AF2076" s="10"/>
      <c r="AG2076" s="10" t="s">
        <v>114</v>
      </c>
      <c r="AH2076" s="10">
        <v>42258</v>
      </c>
      <c r="AI2076" s="5">
        <v>0</v>
      </c>
      <c r="AJ2076" s="10" t="s">
        <v>11602</v>
      </c>
      <c r="AK2076" s="10" t="s">
        <v>11603</v>
      </c>
    </row>
    <row r="2077" spans="1:37" ht="36.75" customHeight="1" x14ac:dyDescent="0.35">
      <c r="A2077" s="5"/>
      <c r="B2077" s="5" t="s">
        <v>37</v>
      </c>
      <c r="C2077" s="73" t="str">
        <f t="shared" si="32"/>
        <v>Closed</v>
      </c>
      <c r="D2077" s="45" t="s">
        <v>11604</v>
      </c>
      <c r="E2077" s="54" t="s">
        <v>11605</v>
      </c>
      <c r="F2077" s="5" t="s">
        <v>214</v>
      </c>
      <c r="G2077" s="10">
        <f>DATE(2015,9,11)</f>
        <v>42258</v>
      </c>
      <c r="H2077" s="35">
        <v>1.7416666666666667</v>
      </c>
      <c r="I2077" s="5" t="s">
        <v>2059</v>
      </c>
      <c r="J2077" s="10" t="s">
        <v>11606</v>
      </c>
      <c r="K2077" s="5" t="s">
        <v>216</v>
      </c>
      <c r="L2077" s="5" t="s">
        <v>11607</v>
      </c>
      <c r="M2077" s="5" t="s">
        <v>45</v>
      </c>
      <c r="N2077" s="5" t="s">
        <v>123</v>
      </c>
      <c r="O2077" s="5" t="s">
        <v>46</v>
      </c>
      <c r="P2077" s="10" t="s">
        <v>6920</v>
      </c>
      <c r="Q2077" s="10" t="s">
        <v>216</v>
      </c>
      <c r="R2077" s="10" t="s">
        <v>216</v>
      </c>
      <c r="S2077" s="5">
        <v>0</v>
      </c>
      <c r="T2077" s="36">
        <v>0</v>
      </c>
      <c r="U2077" s="5">
        <v>0</v>
      </c>
      <c r="V2077" s="36">
        <v>0</v>
      </c>
      <c r="W2077" s="5">
        <v>0</v>
      </c>
      <c r="X2077" s="5">
        <v>0</v>
      </c>
      <c r="Y2077" s="5">
        <v>0</v>
      </c>
      <c r="Z2077" s="36">
        <v>0</v>
      </c>
      <c r="AA2077" s="5">
        <v>0</v>
      </c>
      <c r="AB2077" s="5">
        <v>0</v>
      </c>
      <c r="AC2077" s="5">
        <v>0</v>
      </c>
      <c r="AD2077" s="5">
        <v>0</v>
      </c>
      <c r="AE2077" s="7" t="s">
        <v>73</v>
      </c>
      <c r="AF2077" s="10"/>
      <c r="AG2077" s="10" t="s">
        <v>114</v>
      </c>
      <c r="AH2077" s="10">
        <v>42282</v>
      </c>
      <c r="AI2077" s="5">
        <v>5</v>
      </c>
      <c r="AJ2077" s="10" t="s">
        <v>11608</v>
      </c>
      <c r="AK2077" s="10" t="s">
        <v>11609</v>
      </c>
    </row>
    <row r="2078" spans="1:37" ht="36.75" customHeight="1" x14ac:dyDescent="0.35">
      <c r="A2078" s="5"/>
      <c r="B2078" s="5" t="s">
        <v>37</v>
      </c>
      <c r="C2078" s="73" t="str">
        <f t="shared" si="32"/>
        <v>Closed</v>
      </c>
      <c r="D2078" s="45" t="s">
        <v>11610</v>
      </c>
      <c r="E2078" s="54" t="s">
        <v>11611</v>
      </c>
      <c r="F2078" s="5" t="s">
        <v>404</v>
      </c>
      <c r="G2078" s="10">
        <f>DATE(2015,9,12)</f>
        <v>42259</v>
      </c>
      <c r="H2078" s="35">
        <v>1.14375</v>
      </c>
      <c r="I2078" s="5" t="s">
        <v>137</v>
      </c>
      <c r="J2078" s="10" t="s">
        <v>11612</v>
      </c>
      <c r="K2078" s="5" t="s">
        <v>406</v>
      </c>
      <c r="L2078" s="5" t="s">
        <v>11613</v>
      </c>
      <c r="M2078" s="5" t="s">
        <v>45</v>
      </c>
      <c r="N2078" s="5" t="s">
        <v>70</v>
      </c>
      <c r="O2078" s="5" t="s">
        <v>59</v>
      </c>
      <c r="P2078" s="10" t="s">
        <v>60</v>
      </c>
      <c r="Q2078" s="10" t="s">
        <v>2562</v>
      </c>
      <c r="R2078" s="10" t="s">
        <v>3083</v>
      </c>
      <c r="S2078" s="5">
        <v>0</v>
      </c>
      <c r="T2078" s="37">
        <v>0</v>
      </c>
      <c r="U2078" s="5">
        <v>0</v>
      </c>
      <c r="V2078" s="37">
        <v>0</v>
      </c>
      <c r="W2078" s="5">
        <v>0</v>
      </c>
      <c r="X2078" s="5">
        <v>0</v>
      </c>
      <c r="Y2078" s="5">
        <v>0</v>
      </c>
      <c r="Z2078" s="37">
        <v>0</v>
      </c>
      <c r="AA2078" s="5">
        <v>0</v>
      </c>
      <c r="AB2078" s="5">
        <v>0</v>
      </c>
      <c r="AC2078" s="5">
        <v>0</v>
      </c>
      <c r="AD2078" s="5">
        <v>0</v>
      </c>
      <c r="AE2078" s="10" t="s">
        <v>73</v>
      </c>
      <c r="AF2078" s="10"/>
      <c r="AG2078" s="10" t="s">
        <v>333</v>
      </c>
      <c r="AH2078" s="10">
        <v>42331</v>
      </c>
      <c r="AI2078" s="5">
        <v>0</v>
      </c>
      <c r="AJ2078" s="10" t="s">
        <v>11614</v>
      </c>
      <c r="AK2078" s="10" t="s">
        <v>11615</v>
      </c>
    </row>
    <row r="2079" spans="1:37" ht="36.75" customHeight="1" x14ac:dyDescent="0.35">
      <c r="A2079" s="23" t="s">
        <v>4890</v>
      </c>
      <c r="B2079" s="5" t="s">
        <v>37</v>
      </c>
      <c r="C2079" s="73" t="str">
        <f t="shared" si="32"/>
        <v>Closed</v>
      </c>
      <c r="D2079" s="45" t="s">
        <v>11616</v>
      </c>
      <c r="E2079" s="54" t="s">
        <v>11617</v>
      </c>
      <c r="F2079" s="5" t="s">
        <v>563</v>
      </c>
      <c r="G2079" s="10">
        <f>DATE(2015,9,12)</f>
        <v>42259</v>
      </c>
      <c r="H2079" s="35">
        <v>1.5597222222222222</v>
      </c>
      <c r="I2079" s="5" t="s">
        <v>2059</v>
      </c>
      <c r="J2079" s="10" t="s">
        <v>11618</v>
      </c>
      <c r="K2079" s="5" t="s">
        <v>565</v>
      </c>
      <c r="L2079" s="5" t="s">
        <v>11619</v>
      </c>
      <c r="M2079" s="5" t="s">
        <v>45</v>
      </c>
      <c r="N2079" s="5" t="s">
        <v>123</v>
      </c>
      <c r="O2079" s="5" t="s">
        <v>46</v>
      </c>
      <c r="P2079" s="10" t="s">
        <v>6920</v>
      </c>
      <c r="Q2079" s="10" t="s">
        <v>4467</v>
      </c>
      <c r="R2079" s="10" t="s">
        <v>568</v>
      </c>
      <c r="S2079" s="5">
        <v>0</v>
      </c>
      <c r="T2079" s="58">
        <v>0</v>
      </c>
      <c r="U2079" s="5">
        <v>0</v>
      </c>
      <c r="V2079" s="58">
        <v>0</v>
      </c>
      <c r="W2079" s="5">
        <v>0</v>
      </c>
      <c r="X2079" s="5">
        <v>0</v>
      </c>
      <c r="Y2079" s="5">
        <v>0</v>
      </c>
      <c r="Z2079" s="58">
        <v>0</v>
      </c>
      <c r="AA2079" s="5">
        <v>0</v>
      </c>
      <c r="AB2079" s="5">
        <v>0</v>
      </c>
      <c r="AC2079" s="5">
        <v>0</v>
      </c>
      <c r="AD2079" s="5">
        <v>0</v>
      </c>
      <c r="AE2079" s="54" t="s">
        <v>73</v>
      </c>
      <c r="AF2079" s="10"/>
      <c r="AG2079" s="10" t="s">
        <v>1489</v>
      </c>
      <c r="AH2079" s="10">
        <v>42265</v>
      </c>
      <c r="AI2079" s="5">
        <v>0</v>
      </c>
      <c r="AJ2079" s="10" t="s">
        <v>50</v>
      </c>
      <c r="AK2079" s="10" t="s">
        <v>50</v>
      </c>
    </row>
    <row r="2080" spans="1:37" ht="36.75" customHeight="1" x14ac:dyDescent="0.35">
      <c r="A2080" s="5"/>
      <c r="B2080" s="5" t="s">
        <v>37</v>
      </c>
      <c r="C2080" s="73" t="str">
        <f t="shared" si="32"/>
        <v>Closed</v>
      </c>
      <c r="D2080" s="45" t="s">
        <v>11620</v>
      </c>
      <c r="E2080" s="54" t="s">
        <v>11621</v>
      </c>
      <c r="F2080" s="5" t="s">
        <v>563</v>
      </c>
      <c r="G2080" s="10">
        <f>DATE(2015,9,12)</f>
        <v>42259</v>
      </c>
      <c r="H2080" s="35">
        <v>0</v>
      </c>
      <c r="I2080" s="5" t="s">
        <v>97</v>
      </c>
      <c r="J2080" s="10" t="s">
        <v>11622</v>
      </c>
      <c r="K2080" s="5" t="s">
        <v>565</v>
      </c>
      <c r="L2080" s="5" t="s">
        <v>11623</v>
      </c>
      <c r="M2080" s="5" t="s">
        <v>45</v>
      </c>
      <c r="N2080" s="5" t="s">
        <v>123</v>
      </c>
      <c r="O2080" s="5" t="s">
        <v>46</v>
      </c>
      <c r="P2080" s="10" t="s">
        <v>146</v>
      </c>
      <c r="Q2080" s="10" t="s">
        <v>11624</v>
      </c>
      <c r="R2080" s="10" t="s">
        <v>568</v>
      </c>
      <c r="S2080" s="5">
        <v>0</v>
      </c>
      <c r="T2080" s="37">
        <v>0</v>
      </c>
      <c r="U2080" s="5">
        <v>5</v>
      </c>
      <c r="V2080" s="37">
        <v>0</v>
      </c>
      <c r="W2080" s="5">
        <v>0</v>
      </c>
      <c r="X2080" s="5">
        <v>5</v>
      </c>
      <c r="Y2080" s="5">
        <v>0</v>
      </c>
      <c r="Z2080" s="37">
        <v>0</v>
      </c>
      <c r="AA2080" s="5">
        <v>0</v>
      </c>
      <c r="AB2080" s="5">
        <v>0</v>
      </c>
      <c r="AC2080" s="5">
        <v>0</v>
      </c>
      <c r="AD2080" s="5">
        <v>0</v>
      </c>
      <c r="AE2080" s="10" t="s">
        <v>375</v>
      </c>
      <c r="AF2080" s="10"/>
      <c r="AG2080" s="10" t="s">
        <v>64</v>
      </c>
      <c r="AH2080" s="10">
        <v>42259</v>
      </c>
      <c r="AI2080" s="5">
        <v>0</v>
      </c>
      <c r="AJ2080" s="10" t="s">
        <v>11625</v>
      </c>
      <c r="AK2080" s="10" t="s">
        <v>1215</v>
      </c>
    </row>
    <row r="2081" spans="1:37" ht="36.75" customHeight="1" x14ac:dyDescent="0.35">
      <c r="A2081" s="5"/>
      <c r="B2081" s="5" t="s">
        <v>37</v>
      </c>
      <c r="C2081" s="73" t="str">
        <f t="shared" si="32"/>
        <v>Closed</v>
      </c>
      <c r="D2081" s="45" t="s">
        <v>11626</v>
      </c>
      <c r="E2081" s="54" t="s">
        <v>11627</v>
      </c>
      <c r="F2081" s="5" t="s">
        <v>1919</v>
      </c>
      <c r="G2081" s="10">
        <f>DATE(2015,9,12)</f>
        <v>42259</v>
      </c>
      <c r="H2081" s="35">
        <v>0</v>
      </c>
      <c r="I2081" s="5" t="s">
        <v>6754</v>
      </c>
      <c r="J2081" s="10" t="s">
        <v>11628</v>
      </c>
      <c r="K2081" s="5" t="s">
        <v>1921</v>
      </c>
      <c r="L2081" s="5" t="s">
        <v>11629</v>
      </c>
      <c r="M2081" s="5" t="s">
        <v>45</v>
      </c>
      <c r="N2081" s="5" t="s">
        <v>123</v>
      </c>
      <c r="O2081" s="5" t="s">
        <v>46</v>
      </c>
      <c r="P2081" s="10" t="s">
        <v>146</v>
      </c>
      <c r="Q2081" s="10" t="s">
        <v>1923</v>
      </c>
      <c r="R2081" s="10" t="s">
        <v>1921</v>
      </c>
      <c r="S2081" s="5">
        <v>0</v>
      </c>
      <c r="T2081" s="37">
        <v>0</v>
      </c>
      <c r="U2081" s="5">
        <v>0</v>
      </c>
      <c r="V2081" s="37">
        <v>0</v>
      </c>
      <c r="W2081" s="5">
        <v>0</v>
      </c>
      <c r="X2081" s="5">
        <v>0</v>
      </c>
      <c r="Y2081" s="5">
        <v>0</v>
      </c>
      <c r="Z2081" s="37">
        <v>0</v>
      </c>
      <c r="AA2081" s="5">
        <v>0</v>
      </c>
      <c r="AB2081" s="5">
        <v>0</v>
      </c>
      <c r="AC2081" s="5">
        <v>0</v>
      </c>
      <c r="AD2081" s="5">
        <v>0</v>
      </c>
      <c r="AE2081" s="10" t="s">
        <v>73</v>
      </c>
      <c r="AF2081" s="10"/>
      <c r="AG2081" s="10" t="s">
        <v>570</v>
      </c>
      <c r="AH2081" s="10">
        <v>42275</v>
      </c>
      <c r="AI2081" s="5">
        <v>2</v>
      </c>
      <c r="AJ2081" s="10" t="s">
        <v>11630</v>
      </c>
      <c r="AK2081" s="10" t="s">
        <v>50</v>
      </c>
    </row>
    <row r="2082" spans="1:37" ht="36.75" customHeight="1" x14ac:dyDescent="0.35">
      <c r="A2082" s="5"/>
      <c r="B2082" s="5" t="s">
        <v>37</v>
      </c>
      <c r="C2082" s="73" t="str">
        <f t="shared" si="32"/>
        <v>Closed</v>
      </c>
      <c r="D2082" s="45" t="s">
        <v>11631</v>
      </c>
      <c r="E2082" s="54" t="s">
        <v>11632</v>
      </c>
      <c r="F2082" s="5" t="s">
        <v>404</v>
      </c>
      <c r="G2082" s="10">
        <f>DATE(2015,9,14)</f>
        <v>42261</v>
      </c>
      <c r="H2082" s="35">
        <v>1.3506944444444444</v>
      </c>
      <c r="I2082" s="5" t="s">
        <v>55</v>
      </c>
      <c r="J2082" s="10" t="s">
        <v>11633</v>
      </c>
      <c r="K2082" s="5" t="s">
        <v>406</v>
      </c>
      <c r="L2082" s="5" t="s">
        <v>11634</v>
      </c>
      <c r="M2082" s="5" t="s">
        <v>45</v>
      </c>
      <c r="N2082" s="5" t="s">
        <v>70</v>
      </c>
      <c r="O2082" s="5" t="s">
        <v>59</v>
      </c>
      <c r="P2082" s="10" t="s">
        <v>60</v>
      </c>
      <c r="Q2082" s="10" t="s">
        <v>2562</v>
      </c>
      <c r="R2082" s="10" t="s">
        <v>3083</v>
      </c>
      <c r="S2082" s="5">
        <v>0</v>
      </c>
      <c r="T2082" s="37">
        <v>0</v>
      </c>
      <c r="U2082" s="5">
        <v>0</v>
      </c>
      <c r="V2082" s="37">
        <v>0</v>
      </c>
      <c r="W2082" s="5">
        <v>0</v>
      </c>
      <c r="X2082" s="5">
        <v>0</v>
      </c>
      <c r="Y2082" s="5">
        <v>0</v>
      </c>
      <c r="Z2082" s="37">
        <v>0</v>
      </c>
      <c r="AA2082" s="5">
        <v>0</v>
      </c>
      <c r="AB2082" s="5">
        <v>0</v>
      </c>
      <c r="AC2082" s="5">
        <v>0</v>
      </c>
      <c r="AD2082" s="5">
        <v>0</v>
      </c>
      <c r="AE2082" s="10" t="s">
        <v>73</v>
      </c>
      <c r="AF2082" s="10"/>
      <c r="AG2082" s="10" t="s">
        <v>333</v>
      </c>
      <c r="AH2082" s="10">
        <v>42261</v>
      </c>
      <c r="AI2082" s="5">
        <v>2</v>
      </c>
      <c r="AJ2082" s="10" t="s">
        <v>11635</v>
      </c>
      <c r="AK2082" s="10" t="s">
        <v>860</v>
      </c>
    </row>
    <row r="2083" spans="1:37" ht="36.75" customHeight="1" x14ac:dyDescent="0.35">
      <c r="A2083" s="5"/>
      <c r="B2083" s="5" t="s">
        <v>37</v>
      </c>
      <c r="C2083" s="73" t="str">
        <f t="shared" si="32"/>
        <v>Closed</v>
      </c>
      <c r="D2083" s="45" t="s">
        <v>11636</v>
      </c>
      <c r="E2083" s="54" t="s">
        <v>11637</v>
      </c>
      <c r="F2083" s="5" t="s">
        <v>816</v>
      </c>
      <c r="G2083" s="10">
        <f>DATE(2015,9,15)</f>
        <v>42262</v>
      </c>
      <c r="H2083" s="35">
        <v>1.9534722222222221</v>
      </c>
      <c r="I2083" s="5" t="s">
        <v>55</v>
      </c>
      <c r="J2083" s="10" t="s">
        <v>11638</v>
      </c>
      <c r="K2083" s="5" t="s">
        <v>818</v>
      </c>
      <c r="L2083" s="5" t="s">
        <v>11639</v>
      </c>
      <c r="M2083" s="5" t="s">
        <v>45</v>
      </c>
      <c r="N2083" s="5" t="s">
        <v>80</v>
      </c>
      <c r="O2083" s="5" t="s">
        <v>46</v>
      </c>
      <c r="P2083" s="10" t="s">
        <v>60</v>
      </c>
      <c r="Q2083" s="10" t="s">
        <v>4688</v>
      </c>
      <c r="R2083" s="10" t="s">
        <v>821</v>
      </c>
      <c r="S2083" s="5">
        <v>0</v>
      </c>
      <c r="T2083" s="37">
        <v>0</v>
      </c>
      <c r="U2083" s="5">
        <v>0</v>
      </c>
      <c r="V2083" s="37">
        <v>0</v>
      </c>
      <c r="W2083" s="5">
        <v>0</v>
      </c>
      <c r="X2083" s="5">
        <v>0</v>
      </c>
      <c r="Y2083" s="5">
        <v>0</v>
      </c>
      <c r="Z2083" s="37">
        <v>0</v>
      </c>
      <c r="AA2083" s="5">
        <v>0</v>
      </c>
      <c r="AB2083" s="5">
        <v>0</v>
      </c>
      <c r="AC2083" s="5">
        <v>0</v>
      </c>
      <c r="AD2083" s="5">
        <v>0</v>
      </c>
      <c r="AE2083" s="10" t="s">
        <v>73</v>
      </c>
      <c r="AF2083" s="10"/>
      <c r="AG2083" s="10" t="s">
        <v>333</v>
      </c>
      <c r="AH2083" s="10">
        <v>42263</v>
      </c>
      <c r="AI2083" s="5">
        <v>0</v>
      </c>
      <c r="AJ2083" s="10" t="s">
        <v>11640</v>
      </c>
      <c r="AK2083" s="10" t="s">
        <v>11641</v>
      </c>
    </row>
    <row r="2084" spans="1:37" ht="36.75" customHeight="1" x14ac:dyDescent="0.35">
      <c r="A2084" s="5"/>
      <c r="B2084" s="5" t="s">
        <v>37</v>
      </c>
      <c r="C2084" s="73" t="str">
        <f t="shared" si="32"/>
        <v>Closed</v>
      </c>
      <c r="D2084" s="45" t="s">
        <v>11642</v>
      </c>
      <c r="E2084" s="54" t="s">
        <v>11643</v>
      </c>
      <c r="F2084" s="5" t="s">
        <v>563</v>
      </c>
      <c r="G2084" s="10">
        <f>DATE(2015,9,16)</f>
        <v>42263</v>
      </c>
      <c r="H2084" s="35">
        <v>1.3215277777777779</v>
      </c>
      <c r="I2084" s="5" t="s">
        <v>97</v>
      </c>
      <c r="J2084" s="10" t="s">
        <v>11644</v>
      </c>
      <c r="K2084" s="5" t="s">
        <v>565</v>
      </c>
      <c r="L2084" s="5" t="s">
        <v>11645</v>
      </c>
      <c r="M2084" s="5" t="s">
        <v>45</v>
      </c>
      <c r="N2084" s="5" t="s">
        <v>80</v>
      </c>
      <c r="O2084" s="5" t="s">
        <v>46</v>
      </c>
      <c r="P2084" s="10" t="s">
        <v>146</v>
      </c>
      <c r="Q2084" s="10" t="s">
        <v>9145</v>
      </c>
      <c r="R2084" s="10" t="s">
        <v>568</v>
      </c>
      <c r="S2084" s="5">
        <v>0</v>
      </c>
      <c r="T2084" s="37">
        <v>0</v>
      </c>
      <c r="U2084" s="5">
        <v>0</v>
      </c>
      <c r="V2084" s="37">
        <v>0</v>
      </c>
      <c r="W2084" s="5">
        <v>0</v>
      </c>
      <c r="X2084" s="5">
        <v>0</v>
      </c>
      <c r="Y2084" s="5">
        <v>0</v>
      </c>
      <c r="Z2084" s="37">
        <v>0</v>
      </c>
      <c r="AA2084" s="5">
        <v>0</v>
      </c>
      <c r="AB2084" s="5">
        <v>0</v>
      </c>
      <c r="AC2084" s="5">
        <v>0</v>
      </c>
      <c r="AD2084" s="5">
        <v>0</v>
      </c>
      <c r="AE2084" s="10" t="s">
        <v>375</v>
      </c>
      <c r="AF2084" s="10"/>
      <c r="AG2084" s="10" t="s">
        <v>114</v>
      </c>
      <c r="AH2084" s="10">
        <v>42263</v>
      </c>
      <c r="AI2084" s="5">
        <v>0</v>
      </c>
      <c r="AJ2084" s="10" t="s">
        <v>11646</v>
      </c>
      <c r="AK2084" s="10" t="s">
        <v>1215</v>
      </c>
    </row>
    <row r="2085" spans="1:37" ht="36.75" customHeight="1" x14ac:dyDescent="0.35">
      <c r="A2085" s="5"/>
      <c r="B2085" s="5" t="s">
        <v>37</v>
      </c>
      <c r="C2085" s="73" t="str">
        <f t="shared" si="32"/>
        <v>Closed</v>
      </c>
      <c r="D2085" s="45" t="s">
        <v>11647</v>
      </c>
      <c r="E2085" s="54" t="s">
        <v>11648</v>
      </c>
      <c r="F2085" s="5" t="s">
        <v>214</v>
      </c>
      <c r="G2085" s="10">
        <f>DATE(2015,9,17)</f>
        <v>42264</v>
      </c>
      <c r="H2085" s="35">
        <v>1.5125000000000002</v>
      </c>
      <c r="I2085" s="5" t="s">
        <v>137</v>
      </c>
      <c r="J2085" s="10" t="s">
        <v>11649</v>
      </c>
      <c r="K2085" s="5" t="s">
        <v>216</v>
      </c>
      <c r="L2085" s="5" t="s">
        <v>11650</v>
      </c>
      <c r="M2085" s="5" t="s">
        <v>45</v>
      </c>
      <c r="N2085" s="5" t="s">
        <v>80</v>
      </c>
      <c r="O2085" s="5" t="s">
        <v>59</v>
      </c>
      <c r="P2085" s="10" t="s">
        <v>6881</v>
      </c>
      <c r="Q2085" s="10" t="s">
        <v>450</v>
      </c>
      <c r="R2085" s="10" t="s">
        <v>216</v>
      </c>
      <c r="S2085" s="5">
        <v>0</v>
      </c>
      <c r="T2085" s="37">
        <v>0</v>
      </c>
      <c r="U2085" s="5">
        <v>0</v>
      </c>
      <c r="V2085" s="37">
        <v>0</v>
      </c>
      <c r="W2085" s="5">
        <v>0</v>
      </c>
      <c r="X2085" s="5">
        <v>0</v>
      </c>
      <c r="Y2085" s="5">
        <v>0</v>
      </c>
      <c r="Z2085" s="37">
        <v>0</v>
      </c>
      <c r="AA2085" s="5">
        <v>0</v>
      </c>
      <c r="AB2085" s="5">
        <v>0</v>
      </c>
      <c r="AC2085" s="5">
        <v>0</v>
      </c>
      <c r="AD2085" s="5">
        <v>0</v>
      </c>
      <c r="AE2085" s="10" t="s">
        <v>73</v>
      </c>
      <c r="AF2085" s="10"/>
      <c r="AG2085" s="10" t="s">
        <v>114</v>
      </c>
      <c r="AH2085" s="10">
        <v>42268</v>
      </c>
      <c r="AI2085" s="5">
        <v>2</v>
      </c>
      <c r="AJ2085" s="10" t="s">
        <v>11651</v>
      </c>
      <c r="AK2085" s="10" t="s">
        <v>11652</v>
      </c>
    </row>
    <row r="2086" spans="1:37" ht="36.75" customHeight="1" x14ac:dyDescent="0.35">
      <c r="A2086" s="5"/>
      <c r="B2086" s="5" t="s">
        <v>37</v>
      </c>
      <c r="C2086" s="73" t="str">
        <f t="shared" si="32"/>
        <v>Closed</v>
      </c>
      <c r="D2086" s="45" t="s">
        <v>11653</v>
      </c>
      <c r="E2086" s="54" t="s">
        <v>11654</v>
      </c>
      <c r="F2086" s="5" t="s">
        <v>605</v>
      </c>
      <c r="G2086" s="10">
        <f>DATE(2015,9,22)</f>
        <v>42269</v>
      </c>
      <c r="H2086" s="35">
        <v>1.8333333333333335</v>
      </c>
      <c r="I2086" s="5" t="s">
        <v>85</v>
      </c>
      <c r="J2086" s="10" t="s">
        <v>4590</v>
      </c>
      <c r="K2086" s="5" t="s">
        <v>607</v>
      </c>
      <c r="L2086" s="5" t="s">
        <v>11655</v>
      </c>
      <c r="M2086" s="5" t="s">
        <v>45</v>
      </c>
      <c r="N2086" s="5" t="s">
        <v>80</v>
      </c>
      <c r="O2086" s="5" t="s">
        <v>59</v>
      </c>
      <c r="P2086" s="10" t="s">
        <v>60</v>
      </c>
      <c r="Q2086" s="10" t="s">
        <v>11656</v>
      </c>
      <c r="R2086" s="10" t="s">
        <v>610</v>
      </c>
      <c r="S2086" s="5">
        <v>0</v>
      </c>
      <c r="T2086" s="37">
        <v>0</v>
      </c>
      <c r="U2086" s="5">
        <v>0</v>
      </c>
      <c r="V2086" s="37">
        <v>0</v>
      </c>
      <c r="W2086" s="5">
        <v>0</v>
      </c>
      <c r="X2086" s="5">
        <v>0</v>
      </c>
      <c r="Y2086" s="5">
        <v>0</v>
      </c>
      <c r="Z2086" s="37">
        <v>0</v>
      </c>
      <c r="AA2086" s="5">
        <v>0</v>
      </c>
      <c r="AB2086" s="5">
        <v>0</v>
      </c>
      <c r="AC2086" s="5">
        <v>0</v>
      </c>
      <c r="AD2086" s="5">
        <v>0</v>
      </c>
      <c r="AE2086" s="10" t="s">
        <v>73</v>
      </c>
      <c r="AF2086" s="10"/>
      <c r="AG2086" s="10" t="s">
        <v>333</v>
      </c>
      <c r="AH2086" s="10">
        <v>42269</v>
      </c>
      <c r="AI2086" s="5">
        <v>1</v>
      </c>
      <c r="AJ2086" s="10" t="s">
        <v>7930</v>
      </c>
      <c r="AK2086" s="10" t="s">
        <v>50</v>
      </c>
    </row>
    <row r="2087" spans="1:37" ht="36.75" customHeight="1" x14ac:dyDescent="0.35">
      <c r="A2087" s="5"/>
      <c r="B2087" s="5" t="s">
        <v>37</v>
      </c>
      <c r="C2087" s="73" t="str">
        <f t="shared" si="32"/>
        <v>Closed</v>
      </c>
      <c r="D2087" s="45" t="s">
        <v>11657</v>
      </c>
      <c r="E2087" s="54" t="s">
        <v>11658</v>
      </c>
      <c r="F2087" s="5" t="s">
        <v>605</v>
      </c>
      <c r="G2087" s="10">
        <f>DATE(2015,9,26)</f>
        <v>42273</v>
      </c>
      <c r="H2087" s="35">
        <v>1.6645833333333333</v>
      </c>
      <c r="I2087" s="5" t="s">
        <v>55</v>
      </c>
      <c r="J2087" s="10" t="s">
        <v>55</v>
      </c>
      <c r="K2087" s="5" t="s">
        <v>607</v>
      </c>
      <c r="L2087" s="5" t="s">
        <v>11659</v>
      </c>
      <c r="M2087" s="5" t="s">
        <v>45</v>
      </c>
      <c r="N2087" s="5" t="s">
        <v>123</v>
      </c>
      <c r="O2087" s="5" t="s">
        <v>59</v>
      </c>
      <c r="P2087" s="10" t="s">
        <v>60</v>
      </c>
      <c r="Q2087" s="10" t="s">
        <v>9652</v>
      </c>
      <c r="R2087" s="10" t="s">
        <v>610</v>
      </c>
      <c r="S2087" s="5">
        <v>0</v>
      </c>
      <c r="T2087" s="37">
        <v>0</v>
      </c>
      <c r="U2087" s="5">
        <v>0</v>
      </c>
      <c r="V2087" s="37">
        <v>0</v>
      </c>
      <c r="W2087" s="5">
        <v>0</v>
      </c>
      <c r="X2087" s="5">
        <v>0</v>
      </c>
      <c r="Y2087" s="5">
        <v>0</v>
      </c>
      <c r="Z2087" s="37">
        <v>0</v>
      </c>
      <c r="AA2087" s="5">
        <v>0</v>
      </c>
      <c r="AB2087" s="5">
        <v>0</v>
      </c>
      <c r="AC2087" s="5">
        <v>0</v>
      </c>
      <c r="AD2087" s="5">
        <v>0</v>
      </c>
      <c r="AE2087" s="10" t="s">
        <v>73</v>
      </c>
      <c r="AF2087" s="10"/>
      <c r="AG2087" s="10" t="s">
        <v>333</v>
      </c>
      <c r="AH2087" s="10">
        <v>42273</v>
      </c>
      <c r="AI2087" s="5">
        <v>1</v>
      </c>
      <c r="AJ2087" s="10" t="s">
        <v>11660</v>
      </c>
      <c r="AK2087" s="10" t="s">
        <v>50</v>
      </c>
    </row>
    <row r="2088" spans="1:37" ht="36.75" customHeight="1" x14ac:dyDescent="0.35">
      <c r="A2088" s="5"/>
      <c r="B2088" s="5" t="s">
        <v>37</v>
      </c>
      <c r="C2088" s="73" t="str">
        <f t="shared" si="32"/>
        <v>Closed</v>
      </c>
      <c r="D2088" s="45" t="s">
        <v>11661</v>
      </c>
      <c r="E2088" s="54" t="s">
        <v>11662</v>
      </c>
      <c r="F2088" s="5" t="s">
        <v>432</v>
      </c>
      <c r="G2088" s="10">
        <f>DATE(2015,9,28)</f>
        <v>42275</v>
      </c>
      <c r="H2088" s="35">
        <v>1.3347222222222221</v>
      </c>
      <c r="I2088" s="5" t="s">
        <v>97</v>
      </c>
      <c r="J2088" s="10" t="s">
        <v>11663</v>
      </c>
      <c r="K2088" s="5" t="s">
        <v>434</v>
      </c>
      <c r="L2088" s="5" t="s">
        <v>11664</v>
      </c>
      <c r="M2088" s="5" t="s">
        <v>45</v>
      </c>
      <c r="N2088" s="5" t="s">
        <v>80</v>
      </c>
      <c r="O2088" s="5" t="s">
        <v>46</v>
      </c>
      <c r="P2088" s="10" t="s">
        <v>146</v>
      </c>
      <c r="Q2088" s="10" t="s">
        <v>10391</v>
      </c>
      <c r="R2088" s="10" t="s">
        <v>10392</v>
      </c>
      <c r="S2088" s="5">
        <v>0</v>
      </c>
      <c r="T2088" s="37">
        <v>1</v>
      </c>
      <c r="U2088" s="5">
        <v>0</v>
      </c>
      <c r="V2088" s="37">
        <v>0</v>
      </c>
      <c r="W2088" s="5">
        <v>0</v>
      </c>
      <c r="X2088" s="5">
        <v>1</v>
      </c>
      <c r="Y2088" s="5">
        <v>0</v>
      </c>
      <c r="Z2088" s="37">
        <v>0</v>
      </c>
      <c r="AA2088" s="5">
        <v>0</v>
      </c>
      <c r="AB2088" s="5">
        <v>0</v>
      </c>
      <c r="AC2088" s="5">
        <v>0</v>
      </c>
      <c r="AD2088" s="5">
        <v>0</v>
      </c>
      <c r="AE2088" s="10" t="s">
        <v>73</v>
      </c>
      <c r="AF2088" s="10"/>
      <c r="AG2088" s="10" t="s">
        <v>64</v>
      </c>
      <c r="AH2088" s="10">
        <v>42275</v>
      </c>
      <c r="AI2088" s="5">
        <v>0</v>
      </c>
      <c r="AJ2088" s="10" t="s">
        <v>11665</v>
      </c>
      <c r="AK2088" s="10" t="s">
        <v>50</v>
      </c>
    </row>
    <row r="2089" spans="1:37" ht="36.75" customHeight="1" x14ac:dyDescent="0.35">
      <c r="A2089" s="5"/>
      <c r="B2089" s="5" t="s">
        <v>37</v>
      </c>
      <c r="C2089" s="73" t="str">
        <f t="shared" si="32"/>
        <v>Closed</v>
      </c>
      <c r="D2089" s="45" t="s">
        <v>11666</v>
      </c>
      <c r="E2089" s="54" t="s">
        <v>11667</v>
      </c>
      <c r="F2089" s="5" t="s">
        <v>404</v>
      </c>
      <c r="G2089" s="10">
        <f>DATE(2015,9,30)</f>
        <v>42277</v>
      </c>
      <c r="H2089" s="35">
        <v>1.0381944444444444</v>
      </c>
      <c r="I2089" s="5" t="s">
        <v>179</v>
      </c>
      <c r="J2089" s="10" t="s">
        <v>11668</v>
      </c>
      <c r="K2089" s="5" t="s">
        <v>406</v>
      </c>
      <c r="L2089" s="5" t="s">
        <v>11669</v>
      </c>
      <c r="M2089" s="5" t="s">
        <v>45</v>
      </c>
      <c r="N2089" s="5" t="s">
        <v>70</v>
      </c>
      <c r="O2089" s="5" t="s">
        <v>6854</v>
      </c>
      <c r="P2089" s="10" t="s">
        <v>72</v>
      </c>
      <c r="Q2089" s="10" t="s">
        <v>8754</v>
      </c>
      <c r="R2089" s="10" t="s">
        <v>8754</v>
      </c>
      <c r="S2089" s="5">
        <v>0</v>
      </c>
      <c r="T2089" s="37">
        <v>1</v>
      </c>
      <c r="U2089" s="5">
        <v>0</v>
      </c>
      <c r="V2089" s="37">
        <v>0</v>
      </c>
      <c r="W2089" s="5">
        <v>0</v>
      </c>
      <c r="X2089" s="5">
        <v>1</v>
      </c>
      <c r="Y2089" s="5">
        <v>0</v>
      </c>
      <c r="Z2089" s="37">
        <v>0</v>
      </c>
      <c r="AA2089" s="5">
        <v>0</v>
      </c>
      <c r="AB2089" s="5">
        <v>0</v>
      </c>
      <c r="AC2089" s="5">
        <v>0</v>
      </c>
      <c r="AD2089" s="5">
        <v>0</v>
      </c>
      <c r="AE2089" s="10" t="s">
        <v>73</v>
      </c>
      <c r="AF2089" s="10"/>
      <c r="AG2089" s="10" t="s">
        <v>114</v>
      </c>
      <c r="AH2089" s="10">
        <v>42074</v>
      </c>
      <c r="AI2089" s="5">
        <v>0</v>
      </c>
      <c r="AJ2089" s="10" t="s">
        <v>11670</v>
      </c>
      <c r="AK2089" s="10" t="s">
        <v>11671</v>
      </c>
    </row>
    <row r="2090" spans="1:37" ht="36.75" customHeight="1" x14ac:dyDescent="0.35">
      <c r="A2090" s="5"/>
      <c r="B2090" s="5" t="s">
        <v>37</v>
      </c>
      <c r="C2090" s="73" t="str">
        <f t="shared" si="32"/>
        <v>Closed</v>
      </c>
      <c r="D2090" s="45" t="s">
        <v>11672</v>
      </c>
      <c r="E2090" s="54" t="s">
        <v>11673</v>
      </c>
      <c r="F2090" s="5" t="s">
        <v>605</v>
      </c>
      <c r="G2090" s="10">
        <f>DATE(2015,10,1)</f>
        <v>42278</v>
      </c>
      <c r="H2090" s="35">
        <v>1.8930555555555557</v>
      </c>
      <c r="I2090" s="5" t="s">
        <v>85</v>
      </c>
      <c r="J2090" s="10" t="s">
        <v>4590</v>
      </c>
      <c r="K2090" s="5" t="s">
        <v>607</v>
      </c>
      <c r="L2090" s="5" t="s">
        <v>11674</v>
      </c>
      <c r="M2090" s="5" t="s">
        <v>45</v>
      </c>
      <c r="N2090" s="5" t="s">
        <v>123</v>
      </c>
      <c r="O2090" s="5" t="s">
        <v>59</v>
      </c>
      <c r="P2090" s="10" t="s">
        <v>60</v>
      </c>
      <c r="Q2090" s="10" t="s">
        <v>11675</v>
      </c>
      <c r="R2090" s="10" t="s">
        <v>610</v>
      </c>
      <c r="S2090" s="5">
        <v>0</v>
      </c>
      <c r="T2090" s="37">
        <v>0</v>
      </c>
      <c r="U2090" s="5">
        <v>0</v>
      </c>
      <c r="V2090" s="37">
        <v>0</v>
      </c>
      <c r="W2090" s="5">
        <v>0</v>
      </c>
      <c r="X2090" s="5">
        <v>0</v>
      </c>
      <c r="Y2090" s="5">
        <v>0</v>
      </c>
      <c r="Z2090" s="37">
        <v>0</v>
      </c>
      <c r="AA2090" s="5">
        <v>0</v>
      </c>
      <c r="AB2090" s="5">
        <v>0</v>
      </c>
      <c r="AC2090" s="5">
        <v>0</v>
      </c>
      <c r="AD2090" s="5">
        <v>0</v>
      </c>
      <c r="AE2090" s="10" t="s">
        <v>73</v>
      </c>
      <c r="AF2090" s="10"/>
      <c r="AG2090" s="10" t="s">
        <v>333</v>
      </c>
      <c r="AH2090" s="10">
        <v>42014</v>
      </c>
      <c r="AI2090" s="5">
        <v>1</v>
      </c>
      <c r="AJ2090" s="10" t="s">
        <v>7930</v>
      </c>
      <c r="AK2090" s="10" t="s">
        <v>50</v>
      </c>
    </row>
    <row r="2091" spans="1:37" ht="36.75" customHeight="1" x14ac:dyDescent="0.35">
      <c r="A2091" s="5"/>
      <c r="B2091" s="5" t="s">
        <v>37</v>
      </c>
      <c r="C2091" s="73" t="str">
        <f t="shared" si="32"/>
        <v>Closed</v>
      </c>
      <c r="D2091" s="45" t="s">
        <v>11676</v>
      </c>
      <c r="E2091" s="54" t="s">
        <v>11677</v>
      </c>
      <c r="F2091" s="5" t="s">
        <v>619</v>
      </c>
      <c r="G2091" s="10">
        <f>DATE(2015,10,5)</f>
        <v>42282</v>
      </c>
      <c r="H2091" s="35">
        <v>1.7534722222222223</v>
      </c>
      <c r="I2091" s="5" t="s">
        <v>179</v>
      </c>
      <c r="J2091" s="10" t="s">
        <v>11678</v>
      </c>
      <c r="K2091" s="5" t="s">
        <v>621</v>
      </c>
      <c r="L2091" s="5" t="s">
        <v>11679</v>
      </c>
      <c r="M2091" s="5" t="s">
        <v>45</v>
      </c>
      <c r="N2091" s="5" t="s">
        <v>80</v>
      </c>
      <c r="O2091" s="5" t="s">
        <v>59</v>
      </c>
      <c r="P2091" s="10" t="s">
        <v>72</v>
      </c>
      <c r="Q2091" s="10" t="s">
        <v>3419</v>
      </c>
      <c r="R2091" s="10" t="s">
        <v>624</v>
      </c>
      <c r="S2091" s="5">
        <v>0</v>
      </c>
      <c r="T2091" s="37">
        <v>0</v>
      </c>
      <c r="U2091" s="5">
        <v>0</v>
      </c>
      <c r="V2091" s="37">
        <v>0</v>
      </c>
      <c r="W2091" s="5">
        <v>0</v>
      </c>
      <c r="X2091" s="5">
        <v>0</v>
      </c>
      <c r="Y2091" s="5">
        <v>0</v>
      </c>
      <c r="Z2091" s="37">
        <v>0</v>
      </c>
      <c r="AA2091" s="5">
        <v>0</v>
      </c>
      <c r="AB2091" s="5">
        <v>0</v>
      </c>
      <c r="AC2091" s="5">
        <v>0</v>
      </c>
      <c r="AD2091" s="5">
        <v>0</v>
      </c>
      <c r="AE2091" s="10" t="s">
        <v>73</v>
      </c>
      <c r="AF2091" s="10"/>
      <c r="AG2091" s="10" t="s">
        <v>333</v>
      </c>
      <c r="AH2091" s="10">
        <v>42299</v>
      </c>
      <c r="AI2091" s="5">
        <v>3</v>
      </c>
      <c r="AJ2091" s="10" t="s">
        <v>11680</v>
      </c>
      <c r="AK2091" s="10" t="s">
        <v>50</v>
      </c>
    </row>
    <row r="2092" spans="1:37" ht="36.75" customHeight="1" x14ac:dyDescent="0.35">
      <c r="A2092" s="5"/>
      <c r="B2092" s="5" t="s">
        <v>37</v>
      </c>
      <c r="C2092" s="73" t="str">
        <f t="shared" si="32"/>
        <v>Closed</v>
      </c>
      <c r="D2092" s="45" t="s">
        <v>11681</v>
      </c>
      <c r="E2092" s="54" t="s">
        <v>11682</v>
      </c>
      <c r="F2092" s="5" t="s">
        <v>105</v>
      </c>
      <c r="G2092" s="10">
        <f>DATE(2015,10,5)</f>
        <v>42282</v>
      </c>
      <c r="H2092" s="35">
        <v>1.7395833333333335</v>
      </c>
      <c r="I2092" s="5" t="s">
        <v>468</v>
      </c>
      <c r="J2092" s="10" t="s">
        <v>11683</v>
      </c>
      <c r="K2092" s="5" t="s">
        <v>108</v>
      </c>
      <c r="L2092" s="5" t="s">
        <v>11684</v>
      </c>
      <c r="M2092" s="5" t="s">
        <v>45</v>
      </c>
      <c r="N2092" s="5" t="s">
        <v>70</v>
      </c>
      <c r="O2092" s="5" t="s">
        <v>6854</v>
      </c>
      <c r="P2092" s="10" t="s">
        <v>362</v>
      </c>
      <c r="Q2092" s="10" t="s">
        <v>382</v>
      </c>
      <c r="R2092" s="10" t="s">
        <v>148</v>
      </c>
      <c r="S2092" s="5">
        <v>0</v>
      </c>
      <c r="T2092" s="37">
        <v>0</v>
      </c>
      <c r="U2092" s="5">
        <v>0</v>
      </c>
      <c r="V2092" s="37">
        <v>0</v>
      </c>
      <c r="W2092" s="5">
        <v>0</v>
      </c>
      <c r="X2092" s="5">
        <v>0</v>
      </c>
      <c r="Y2092" s="5">
        <v>0</v>
      </c>
      <c r="Z2092" s="37">
        <v>0</v>
      </c>
      <c r="AA2092" s="5">
        <v>0</v>
      </c>
      <c r="AB2092" s="5">
        <v>0</v>
      </c>
      <c r="AC2092" s="5">
        <v>0</v>
      </c>
      <c r="AD2092" s="5">
        <v>0</v>
      </c>
      <c r="AE2092" s="10" t="s">
        <v>73</v>
      </c>
      <c r="AF2092" s="10"/>
      <c r="AG2092" s="10" t="s">
        <v>114</v>
      </c>
      <c r="AH2092" s="10">
        <v>42289</v>
      </c>
      <c r="AI2092" s="5">
        <v>1</v>
      </c>
      <c r="AJ2092" s="10" t="s">
        <v>11685</v>
      </c>
      <c r="AK2092" s="10" t="s">
        <v>11686</v>
      </c>
    </row>
    <row r="2093" spans="1:37" ht="36.75" customHeight="1" x14ac:dyDescent="0.35">
      <c r="A2093" s="5"/>
      <c r="B2093" s="5" t="s">
        <v>37</v>
      </c>
      <c r="C2093" s="73" t="str">
        <f t="shared" si="32"/>
        <v>Closed</v>
      </c>
      <c r="D2093" s="45" t="s">
        <v>11687</v>
      </c>
      <c r="E2093" s="54" t="s">
        <v>11688</v>
      </c>
      <c r="F2093" s="5" t="s">
        <v>816</v>
      </c>
      <c r="G2093" s="10">
        <f>DATE(2015,10,7)</f>
        <v>42284</v>
      </c>
      <c r="H2093" s="35">
        <v>1.4513888888888888</v>
      </c>
      <c r="I2093" s="5" t="s">
        <v>97</v>
      </c>
      <c r="J2093" s="10" t="s">
        <v>11689</v>
      </c>
      <c r="K2093" s="5" t="s">
        <v>818</v>
      </c>
      <c r="L2093" s="5" t="s">
        <v>11690</v>
      </c>
      <c r="M2093" s="5" t="s">
        <v>45</v>
      </c>
      <c r="N2093" s="5" t="s">
        <v>80</v>
      </c>
      <c r="O2093" s="5" t="s">
        <v>59</v>
      </c>
      <c r="P2093" s="10" t="s">
        <v>146</v>
      </c>
      <c r="Q2093" s="10" t="s">
        <v>2777</v>
      </c>
      <c r="R2093" s="10" t="s">
        <v>2777</v>
      </c>
      <c r="S2093" s="5">
        <v>0</v>
      </c>
      <c r="T2093" s="37">
        <v>0</v>
      </c>
      <c r="U2093" s="5">
        <v>1</v>
      </c>
      <c r="V2093" s="37">
        <v>0</v>
      </c>
      <c r="W2093" s="5">
        <v>0</v>
      </c>
      <c r="X2093" s="5">
        <v>1</v>
      </c>
      <c r="Y2093" s="5">
        <v>0</v>
      </c>
      <c r="Z2093" s="37">
        <v>0</v>
      </c>
      <c r="AA2093" s="5">
        <v>0</v>
      </c>
      <c r="AB2093" s="5">
        <v>0</v>
      </c>
      <c r="AC2093" s="5">
        <v>0</v>
      </c>
      <c r="AD2093" s="5">
        <v>0</v>
      </c>
      <c r="AE2093" s="10" t="s">
        <v>73</v>
      </c>
      <c r="AF2093" s="10"/>
      <c r="AG2093" s="10" t="s">
        <v>333</v>
      </c>
      <c r="AH2093" s="10">
        <v>42284</v>
      </c>
      <c r="AI2093" s="5">
        <v>0</v>
      </c>
      <c r="AJ2093" s="10" t="s">
        <v>11691</v>
      </c>
      <c r="AK2093" s="10" t="s">
        <v>50</v>
      </c>
    </row>
    <row r="2094" spans="1:37" ht="36.75" customHeight="1" x14ac:dyDescent="0.35">
      <c r="A2094" s="5"/>
      <c r="B2094" s="5" t="s">
        <v>37</v>
      </c>
      <c r="C2094" s="73" t="str">
        <f t="shared" si="32"/>
        <v>Closed</v>
      </c>
      <c r="D2094" s="45" t="s">
        <v>11692</v>
      </c>
      <c r="E2094" s="54" t="s">
        <v>11693</v>
      </c>
      <c r="F2094" s="5" t="s">
        <v>563</v>
      </c>
      <c r="G2094" s="10">
        <f>DATE(2015,10,9)</f>
        <v>42286</v>
      </c>
      <c r="H2094" s="35">
        <v>1.5069444444444444</v>
      </c>
      <c r="I2094" s="5" t="s">
        <v>55</v>
      </c>
      <c r="J2094" s="10" t="s">
        <v>11694</v>
      </c>
      <c r="K2094" s="5" t="s">
        <v>565</v>
      </c>
      <c r="L2094" s="5" t="s">
        <v>11695</v>
      </c>
      <c r="M2094" s="5" t="s">
        <v>45</v>
      </c>
      <c r="N2094" s="5" t="s">
        <v>123</v>
      </c>
      <c r="O2094" s="5" t="s">
        <v>59</v>
      </c>
      <c r="P2094" s="10" t="s">
        <v>146</v>
      </c>
      <c r="Q2094" s="10" t="s">
        <v>4467</v>
      </c>
      <c r="R2094" s="10" t="s">
        <v>568</v>
      </c>
      <c r="S2094" s="5">
        <v>0</v>
      </c>
      <c r="T2094" s="37">
        <v>0</v>
      </c>
      <c r="U2094" s="5">
        <v>0</v>
      </c>
      <c r="V2094" s="37">
        <v>0</v>
      </c>
      <c r="W2094" s="5">
        <v>0</v>
      </c>
      <c r="X2094" s="5">
        <v>0</v>
      </c>
      <c r="Y2094" s="5">
        <v>0</v>
      </c>
      <c r="Z2094" s="37">
        <v>0</v>
      </c>
      <c r="AA2094" s="5">
        <v>0</v>
      </c>
      <c r="AB2094" s="5">
        <v>0</v>
      </c>
      <c r="AC2094" s="5">
        <v>0</v>
      </c>
      <c r="AD2094" s="5">
        <v>0</v>
      </c>
      <c r="AE2094" s="10" t="s">
        <v>375</v>
      </c>
      <c r="AF2094" s="10"/>
      <c r="AG2094" s="10" t="s">
        <v>114</v>
      </c>
      <c r="AH2094" s="10">
        <v>42289</v>
      </c>
      <c r="AI2094" s="5">
        <v>0</v>
      </c>
      <c r="AJ2094" s="10" t="s">
        <v>11696</v>
      </c>
      <c r="AK2094" s="10" t="s">
        <v>1215</v>
      </c>
    </row>
    <row r="2095" spans="1:37" ht="36.75" customHeight="1" x14ac:dyDescent="0.35">
      <c r="A2095" s="5"/>
      <c r="B2095" s="5" t="s">
        <v>37</v>
      </c>
      <c r="C2095" s="73" t="str">
        <f t="shared" si="32"/>
        <v>Closed</v>
      </c>
      <c r="D2095" s="45" t="s">
        <v>11697</v>
      </c>
      <c r="E2095" s="54" t="s">
        <v>11698</v>
      </c>
      <c r="F2095" s="5" t="s">
        <v>96</v>
      </c>
      <c r="G2095" s="10">
        <f>DATE(2015,10,12)</f>
        <v>42289</v>
      </c>
      <c r="H2095" s="35">
        <v>1.2361111111111112</v>
      </c>
      <c r="I2095" s="5" t="s">
        <v>55</v>
      </c>
      <c r="J2095" s="10" t="s">
        <v>11699</v>
      </c>
      <c r="K2095" s="5" t="s">
        <v>99</v>
      </c>
      <c r="L2095" s="5" t="s">
        <v>11700</v>
      </c>
      <c r="M2095" s="5" t="s">
        <v>45</v>
      </c>
      <c r="N2095" s="5" t="s">
        <v>80</v>
      </c>
      <c r="O2095" s="5" t="s">
        <v>59</v>
      </c>
      <c r="P2095" s="10" t="s">
        <v>6920</v>
      </c>
      <c r="Q2095" s="10" t="s">
        <v>99</v>
      </c>
      <c r="R2095" s="10" t="s">
        <v>99</v>
      </c>
      <c r="S2095" s="5">
        <v>0</v>
      </c>
      <c r="T2095" s="37">
        <v>0</v>
      </c>
      <c r="U2095" s="5">
        <v>0</v>
      </c>
      <c r="V2095" s="37">
        <v>0</v>
      </c>
      <c r="W2095" s="5">
        <v>0</v>
      </c>
      <c r="X2095" s="5">
        <v>0</v>
      </c>
      <c r="Y2095" s="5">
        <v>0</v>
      </c>
      <c r="Z2095" s="37">
        <v>0</v>
      </c>
      <c r="AA2095" s="5">
        <v>0</v>
      </c>
      <c r="AB2095" s="5">
        <v>0</v>
      </c>
      <c r="AC2095" s="5">
        <v>0</v>
      </c>
      <c r="AD2095" s="5">
        <v>0</v>
      </c>
      <c r="AE2095" s="10" t="s">
        <v>73</v>
      </c>
      <c r="AF2095" s="10"/>
      <c r="AG2095" s="10" t="s">
        <v>333</v>
      </c>
      <c r="AH2095" s="10">
        <v>42290</v>
      </c>
      <c r="AI2095" s="5">
        <v>5</v>
      </c>
      <c r="AJ2095" s="10" t="s">
        <v>11701</v>
      </c>
      <c r="AK2095" s="10" t="s">
        <v>11702</v>
      </c>
    </row>
    <row r="2096" spans="1:37" ht="36.75" customHeight="1" x14ac:dyDescent="0.35">
      <c r="A2096" s="5"/>
      <c r="B2096" s="5" t="s">
        <v>37</v>
      </c>
      <c r="C2096" s="73" t="str">
        <f t="shared" si="32"/>
        <v>Closed</v>
      </c>
      <c r="D2096" s="45" t="s">
        <v>11703</v>
      </c>
      <c r="E2096" s="54" t="s">
        <v>11704</v>
      </c>
      <c r="F2096" s="5" t="s">
        <v>2581</v>
      </c>
      <c r="G2096" s="10">
        <f>DATE(2015,10,13)</f>
        <v>42290</v>
      </c>
      <c r="H2096" s="35">
        <v>1.375</v>
      </c>
      <c r="I2096" s="5" t="s">
        <v>106</v>
      </c>
      <c r="J2096" s="10" t="s">
        <v>11705</v>
      </c>
      <c r="K2096" s="5" t="s">
        <v>2583</v>
      </c>
      <c r="L2096" s="5" t="s">
        <v>11706</v>
      </c>
      <c r="M2096" s="5" t="s">
        <v>45</v>
      </c>
      <c r="N2096" s="5" t="s">
        <v>123</v>
      </c>
      <c r="O2096" s="5" t="s">
        <v>46</v>
      </c>
      <c r="P2096" s="10" t="s">
        <v>443</v>
      </c>
      <c r="Q2096" s="10" t="s">
        <v>6321</v>
      </c>
      <c r="R2096" s="10" t="s">
        <v>2586</v>
      </c>
      <c r="S2096" s="5">
        <v>0</v>
      </c>
      <c r="T2096" s="37">
        <v>0</v>
      </c>
      <c r="U2096" s="5">
        <v>0</v>
      </c>
      <c r="V2096" s="37">
        <v>0</v>
      </c>
      <c r="W2096" s="5">
        <v>0</v>
      </c>
      <c r="X2096" s="5">
        <v>0</v>
      </c>
      <c r="Y2096" s="5">
        <v>0</v>
      </c>
      <c r="Z2096" s="37">
        <v>0</v>
      </c>
      <c r="AA2096" s="5">
        <v>0</v>
      </c>
      <c r="AB2096" s="5">
        <v>0</v>
      </c>
      <c r="AC2096" s="5">
        <v>0</v>
      </c>
      <c r="AD2096" s="5">
        <v>0</v>
      </c>
      <c r="AE2096" s="10" t="s">
        <v>73</v>
      </c>
      <c r="AF2096" s="10"/>
      <c r="AG2096" s="10" t="s">
        <v>333</v>
      </c>
      <c r="AH2096" s="10">
        <v>42293</v>
      </c>
      <c r="AI2096" s="5">
        <v>3</v>
      </c>
      <c r="AJ2096" s="10" t="s">
        <v>11707</v>
      </c>
      <c r="AK2096" s="10" t="s">
        <v>50</v>
      </c>
    </row>
    <row r="2097" spans="1:37" ht="36.75" customHeight="1" x14ac:dyDescent="0.35">
      <c r="A2097" s="5"/>
      <c r="B2097" s="5" t="s">
        <v>37</v>
      </c>
      <c r="C2097" s="73" t="str">
        <f t="shared" si="32"/>
        <v>Closed</v>
      </c>
      <c r="D2097" s="45" t="s">
        <v>11708</v>
      </c>
      <c r="E2097" s="54" t="s">
        <v>11709</v>
      </c>
      <c r="F2097" s="5" t="s">
        <v>619</v>
      </c>
      <c r="G2097" s="10">
        <f>DATE(2015,10,14)</f>
        <v>42291</v>
      </c>
      <c r="H2097" s="35">
        <v>1.6958333333333333</v>
      </c>
      <c r="I2097" s="5" t="s">
        <v>5473</v>
      </c>
      <c r="J2097" s="10" t="s">
        <v>11710</v>
      </c>
      <c r="K2097" s="5" t="s">
        <v>621</v>
      </c>
      <c r="L2097" s="5" t="s">
        <v>11711</v>
      </c>
      <c r="M2097" s="5" t="s">
        <v>45</v>
      </c>
      <c r="N2097" s="5" t="s">
        <v>80</v>
      </c>
      <c r="O2097" s="5" t="s">
        <v>59</v>
      </c>
      <c r="P2097" s="10" t="s">
        <v>6920</v>
      </c>
      <c r="Q2097" s="10" t="s">
        <v>623</v>
      </c>
      <c r="R2097" s="10" t="s">
        <v>624</v>
      </c>
      <c r="S2097" s="5">
        <v>0</v>
      </c>
      <c r="T2097" s="37">
        <v>0</v>
      </c>
      <c r="U2097" s="5">
        <v>0</v>
      </c>
      <c r="V2097" s="37">
        <v>0</v>
      </c>
      <c r="W2097" s="5">
        <v>0</v>
      </c>
      <c r="X2097" s="5">
        <v>0</v>
      </c>
      <c r="Y2097" s="5">
        <v>0</v>
      </c>
      <c r="Z2097" s="37">
        <v>0</v>
      </c>
      <c r="AA2097" s="5">
        <v>0</v>
      </c>
      <c r="AB2097" s="5">
        <v>0</v>
      </c>
      <c r="AC2097" s="5">
        <v>0</v>
      </c>
      <c r="AD2097" s="5">
        <v>0</v>
      </c>
      <c r="AE2097" s="10" t="s">
        <v>73</v>
      </c>
      <c r="AF2097" s="10"/>
      <c r="AG2097" s="10" t="s">
        <v>114</v>
      </c>
      <c r="AH2097" s="10">
        <v>42299</v>
      </c>
      <c r="AI2097" s="5">
        <v>5</v>
      </c>
      <c r="AJ2097" s="10" t="s">
        <v>11712</v>
      </c>
      <c r="AK2097" s="10" t="s">
        <v>50</v>
      </c>
    </row>
    <row r="2098" spans="1:37" ht="36.75" customHeight="1" x14ac:dyDescent="0.35">
      <c r="A2098" s="5"/>
      <c r="B2098" s="5" t="s">
        <v>37</v>
      </c>
      <c r="C2098" s="73" t="str">
        <f t="shared" si="32"/>
        <v>Closed</v>
      </c>
      <c r="D2098" s="45" t="s">
        <v>11713</v>
      </c>
      <c r="E2098" s="54" t="s">
        <v>11714</v>
      </c>
      <c r="F2098" s="5" t="s">
        <v>1553</v>
      </c>
      <c r="G2098" s="10">
        <f>DATE(2015,10,14)</f>
        <v>42291</v>
      </c>
      <c r="H2098" s="35">
        <v>1.2465277777777777</v>
      </c>
      <c r="I2098" s="5" t="s">
        <v>55</v>
      </c>
      <c r="J2098" s="10" t="s">
        <v>11715</v>
      </c>
      <c r="K2098" s="5" t="s">
        <v>1555</v>
      </c>
      <c r="L2098" s="5" t="s">
        <v>11716</v>
      </c>
      <c r="M2098" s="5" t="s">
        <v>45</v>
      </c>
      <c r="N2098" s="5" t="s">
        <v>123</v>
      </c>
      <c r="O2098" s="5" t="s">
        <v>46</v>
      </c>
      <c r="P2098" s="10" t="s">
        <v>60</v>
      </c>
      <c r="Q2098" s="10" t="s">
        <v>6072</v>
      </c>
      <c r="R2098" s="10" t="s">
        <v>6413</v>
      </c>
      <c r="S2098" s="5">
        <v>0</v>
      </c>
      <c r="T2098" s="37">
        <v>0</v>
      </c>
      <c r="U2098" s="5">
        <v>0</v>
      </c>
      <c r="V2098" s="37">
        <v>0</v>
      </c>
      <c r="W2098" s="5">
        <v>0</v>
      </c>
      <c r="X2098" s="5">
        <v>0</v>
      </c>
      <c r="Y2098" s="5">
        <v>0</v>
      </c>
      <c r="Z2098" s="37">
        <v>0</v>
      </c>
      <c r="AA2098" s="5">
        <v>0</v>
      </c>
      <c r="AB2098" s="5">
        <v>0</v>
      </c>
      <c r="AC2098" s="5">
        <v>0</v>
      </c>
      <c r="AD2098" s="5">
        <v>0</v>
      </c>
      <c r="AE2098" s="10" t="s">
        <v>375</v>
      </c>
      <c r="AF2098" s="10"/>
      <c r="AG2098" s="10" t="s">
        <v>114</v>
      </c>
      <c r="AH2098" s="10">
        <v>42291</v>
      </c>
      <c r="AI2098" s="5">
        <v>1</v>
      </c>
      <c r="AJ2098" s="10" t="s">
        <v>11717</v>
      </c>
      <c r="AK2098" s="10" t="s">
        <v>11718</v>
      </c>
    </row>
    <row r="2099" spans="1:37" ht="36.75" customHeight="1" x14ac:dyDescent="0.35">
      <c r="A2099" s="5"/>
      <c r="B2099" s="5" t="s">
        <v>37</v>
      </c>
      <c r="C2099" s="73" t="str">
        <f t="shared" si="32"/>
        <v>Closed</v>
      </c>
      <c r="D2099" s="45" t="s">
        <v>11719</v>
      </c>
      <c r="E2099" s="54" t="s">
        <v>11720</v>
      </c>
      <c r="F2099" s="5" t="s">
        <v>1553</v>
      </c>
      <c r="G2099" s="10">
        <f>DATE(2015,10,15)</f>
        <v>42292</v>
      </c>
      <c r="H2099" s="35">
        <v>1.8333333333333335</v>
      </c>
      <c r="I2099" s="5" t="s">
        <v>55</v>
      </c>
      <c r="J2099" s="10" t="s">
        <v>11721</v>
      </c>
      <c r="K2099" s="5" t="s">
        <v>1555</v>
      </c>
      <c r="L2099" s="5" t="s">
        <v>11722</v>
      </c>
      <c r="M2099" s="5" t="s">
        <v>45</v>
      </c>
      <c r="N2099" s="5" t="s">
        <v>123</v>
      </c>
      <c r="O2099" s="5" t="s">
        <v>59</v>
      </c>
      <c r="P2099" s="10" t="s">
        <v>6920</v>
      </c>
      <c r="Q2099" s="10" t="s">
        <v>2393</v>
      </c>
      <c r="R2099" s="10" t="s">
        <v>6413</v>
      </c>
      <c r="S2099" s="5">
        <v>0</v>
      </c>
      <c r="T2099" s="37">
        <v>0</v>
      </c>
      <c r="U2099" s="5">
        <v>0</v>
      </c>
      <c r="V2099" s="37">
        <v>0</v>
      </c>
      <c r="W2099" s="5">
        <v>0</v>
      </c>
      <c r="X2099" s="5">
        <v>0</v>
      </c>
      <c r="Y2099" s="5">
        <v>0</v>
      </c>
      <c r="Z2099" s="37">
        <v>0</v>
      </c>
      <c r="AA2099" s="5">
        <v>0</v>
      </c>
      <c r="AB2099" s="5">
        <v>0</v>
      </c>
      <c r="AC2099" s="5">
        <v>0</v>
      </c>
      <c r="AD2099" s="5">
        <v>0</v>
      </c>
      <c r="AE2099" s="10" t="s">
        <v>73</v>
      </c>
      <c r="AF2099" s="10"/>
      <c r="AG2099" s="10" t="s">
        <v>114</v>
      </c>
      <c r="AH2099" s="10">
        <v>42293</v>
      </c>
      <c r="AI2099" s="5">
        <v>0</v>
      </c>
      <c r="AJ2099" s="10" t="s">
        <v>11723</v>
      </c>
      <c r="AK2099" s="10" t="s">
        <v>11724</v>
      </c>
    </row>
    <row r="2100" spans="1:37" ht="36.75" customHeight="1" x14ac:dyDescent="0.35">
      <c r="A2100" s="5"/>
      <c r="B2100" s="5" t="s">
        <v>37</v>
      </c>
      <c r="C2100" s="73" t="str">
        <f t="shared" si="32"/>
        <v>Closed</v>
      </c>
      <c r="D2100" s="45" t="s">
        <v>11725</v>
      </c>
      <c r="E2100" s="54" t="s">
        <v>11726</v>
      </c>
      <c r="F2100" s="5" t="s">
        <v>96</v>
      </c>
      <c r="G2100" s="10">
        <f>DATE(2015,10,20)</f>
        <v>42297</v>
      </c>
      <c r="H2100" s="35">
        <v>0</v>
      </c>
      <c r="I2100" s="5" t="s">
        <v>137</v>
      </c>
      <c r="J2100" s="10" t="s">
        <v>11727</v>
      </c>
      <c r="K2100" s="5" t="s">
        <v>99</v>
      </c>
      <c r="L2100" s="5" t="s">
        <v>11728</v>
      </c>
      <c r="M2100" s="5" t="s">
        <v>45</v>
      </c>
      <c r="N2100" s="5" t="s">
        <v>123</v>
      </c>
      <c r="O2100" s="5" t="s">
        <v>46</v>
      </c>
      <c r="P2100" s="10" t="s">
        <v>6920</v>
      </c>
      <c r="Q2100" s="10" t="s">
        <v>99</v>
      </c>
      <c r="R2100" s="10" t="s">
        <v>99</v>
      </c>
      <c r="S2100" s="5">
        <v>0</v>
      </c>
      <c r="T2100" s="37">
        <v>0</v>
      </c>
      <c r="U2100" s="5">
        <v>0</v>
      </c>
      <c r="V2100" s="37">
        <v>0</v>
      </c>
      <c r="W2100" s="5">
        <v>0</v>
      </c>
      <c r="X2100" s="5">
        <v>0</v>
      </c>
      <c r="Y2100" s="5">
        <v>0</v>
      </c>
      <c r="Z2100" s="37">
        <v>0</v>
      </c>
      <c r="AA2100" s="5">
        <v>0</v>
      </c>
      <c r="AB2100" s="5">
        <v>0</v>
      </c>
      <c r="AC2100" s="5">
        <v>0</v>
      </c>
      <c r="AD2100" s="5">
        <v>0</v>
      </c>
      <c r="AE2100" s="10" t="s">
        <v>73</v>
      </c>
      <c r="AF2100" s="10"/>
      <c r="AG2100" s="10" t="s">
        <v>114</v>
      </c>
      <c r="AH2100" s="10">
        <v>42299</v>
      </c>
      <c r="AI2100" s="5">
        <v>2</v>
      </c>
      <c r="AJ2100" s="10" t="s">
        <v>11729</v>
      </c>
      <c r="AK2100" s="10" t="s">
        <v>50</v>
      </c>
    </row>
    <row r="2101" spans="1:37" ht="36.75" customHeight="1" x14ac:dyDescent="0.35">
      <c r="A2101" s="5"/>
      <c r="B2101" s="5" t="s">
        <v>37</v>
      </c>
      <c r="C2101" s="73" t="str">
        <f t="shared" si="32"/>
        <v>Closed</v>
      </c>
      <c r="D2101" s="45" t="s">
        <v>11730</v>
      </c>
      <c r="E2101" s="54" t="s">
        <v>11731</v>
      </c>
      <c r="F2101" s="5" t="s">
        <v>816</v>
      </c>
      <c r="G2101" s="10">
        <f>DATE(2015,10,21)</f>
        <v>42298</v>
      </c>
      <c r="H2101" s="35">
        <v>1.5881944444444445</v>
      </c>
      <c r="I2101" s="5" t="s">
        <v>5473</v>
      </c>
      <c r="J2101" s="10" t="s">
        <v>11732</v>
      </c>
      <c r="K2101" s="5" t="s">
        <v>818</v>
      </c>
      <c r="L2101" s="5" t="s">
        <v>11733</v>
      </c>
      <c r="M2101" s="5" t="s">
        <v>45</v>
      </c>
      <c r="N2101" s="5" t="s">
        <v>80</v>
      </c>
      <c r="O2101" s="5" t="s">
        <v>59</v>
      </c>
      <c r="P2101" s="10" t="s">
        <v>72</v>
      </c>
      <c r="Q2101" s="10" t="s">
        <v>4688</v>
      </c>
      <c r="R2101" s="10" t="s">
        <v>821</v>
      </c>
      <c r="S2101" s="5">
        <v>0</v>
      </c>
      <c r="T2101" s="37">
        <v>0</v>
      </c>
      <c r="U2101" s="5">
        <v>0</v>
      </c>
      <c r="V2101" s="37">
        <v>0</v>
      </c>
      <c r="W2101" s="5">
        <v>0</v>
      </c>
      <c r="X2101" s="5">
        <v>0</v>
      </c>
      <c r="Y2101" s="5">
        <v>0</v>
      </c>
      <c r="Z2101" s="37">
        <v>0</v>
      </c>
      <c r="AA2101" s="5">
        <v>0</v>
      </c>
      <c r="AB2101" s="5">
        <v>0</v>
      </c>
      <c r="AC2101" s="5">
        <v>0</v>
      </c>
      <c r="AD2101" s="5">
        <v>0</v>
      </c>
      <c r="AE2101" s="10" t="s">
        <v>73</v>
      </c>
      <c r="AF2101" s="10"/>
      <c r="AG2101" s="10" t="s">
        <v>114</v>
      </c>
      <c r="AH2101" s="10">
        <v>42298</v>
      </c>
      <c r="AI2101" s="5">
        <v>0</v>
      </c>
      <c r="AJ2101" s="10" t="s">
        <v>11734</v>
      </c>
      <c r="AK2101" s="10" t="s">
        <v>1215</v>
      </c>
    </row>
    <row r="2102" spans="1:37" ht="36.75" customHeight="1" x14ac:dyDescent="0.35">
      <c r="A2102" s="5"/>
      <c r="B2102" s="5" t="s">
        <v>37</v>
      </c>
      <c r="C2102" s="73" t="str">
        <f t="shared" si="32"/>
        <v>Closed</v>
      </c>
      <c r="D2102" s="45" t="s">
        <v>11735</v>
      </c>
      <c r="E2102" s="54" t="s">
        <v>11736</v>
      </c>
      <c r="F2102" s="5" t="s">
        <v>619</v>
      </c>
      <c r="G2102" s="10">
        <f>DATE(2015,10,22)</f>
        <v>42299</v>
      </c>
      <c r="H2102" s="35">
        <v>1.2749999999999999</v>
      </c>
      <c r="I2102" s="5" t="s">
        <v>85</v>
      </c>
      <c r="J2102" s="10" t="s">
        <v>11737</v>
      </c>
      <c r="K2102" s="5" t="s">
        <v>621</v>
      </c>
      <c r="L2102" s="5" t="s">
        <v>7439</v>
      </c>
      <c r="M2102" s="5" t="s">
        <v>45</v>
      </c>
      <c r="N2102" s="5" t="s">
        <v>80</v>
      </c>
      <c r="O2102" s="5" t="s">
        <v>6854</v>
      </c>
      <c r="P2102" s="10" t="s">
        <v>60</v>
      </c>
      <c r="Q2102" s="10" t="s">
        <v>11738</v>
      </c>
      <c r="R2102" s="10" t="s">
        <v>624</v>
      </c>
      <c r="S2102" s="5">
        <v>0</v>
      </c>
      <c r="T2102" s="37">
        <v>0</v>
      </c>
      <c r="U2102" s="5">
        <v>0</v>
      </c>
      <c r="V2102" s="37">
        <v>0</v>
      </c>
      <c r="W2102" s="5">
        <v>0</v>
      </c>
      <c r="X2102" s="5">
        <v>0</v>
      </c>
      <c r="Y2102" s="5">
        <v>0</v>
      </c>
      <c r="Z2102" s="37">
        <v>0</v>
      </c>
      <c r="AA2102" s="5">
        <v>0</v>
      </c>
      <c r="AB2102" s="5">
        <v>0</v>
      </c>
      <c r="AC2102" s="5">
        <v>0</v>
      </c>
      <c r="AD2102" s="5">
        <v>0</v>
      </c>
      <c r="AE2102" s="10" t="s">
        <v>73</v>
      </c>
      <c r="AF2102" s="10"/>
      <c r="AG2102" s="10" t="s">
        <v>333</v>
      </c>
      <c r="AH2102" s="10">
        <v>42332</v>
      </c>
      <c r="AI2102" s="5">
        <v>3</v>
      </c>
      <c r="AJ2102" s="10" t="s">
        <v>11739</v>
      </c>
      <c r="AK2102" s="10" t="s">
        <v>50</v>
      </c>
    </row>
    <row r="2103" spans="1:37" ht="36.75" customHeight="1" x14ac:dyDescent="0.35">
      <c r="A2103" s="5"/>
      <c r="B2103" s="5" t="s">
        <v>37</v>
      </c>
      <c r="C2103" s="73" t="str">
        <f t="shared" si="32"/>
        <v>Closed</v>
      </c>
      <c r="D2103" s="45" t="s">
        <v>11740</v>
      </c>
      <c r="E2103" s="54" t="s">
        <v>11741</v>
      </c>
      <c r="F2103" s="5" t="s">
        <v>214</v>
      </c>
      <c r="G2103" s="10">
        <f>DATE(2015,10,22)</f>
        <v>42299</v>
      </c>
      <c r="H2103" s="35">
        <v>1.3541666666666667</v>
      </c>
      <c r="I2103" s="5" t="s">
        <v>179</v>
      </c>
      <c r="J2103" s="10" t="s">
        <v>11742</v>
      </c>
      <c r="K2103" s="5" t="s">
        <v>216</v>
      </c>
      <c r="L2103" s="5" t="s">
        <v>11743</v>
      </c>
      <c r="M2103" s="5" t="s">
        <v>236</v>
      </c>
      <c r="N2103" s="5" t="s">
        <v>80</v>
      </c>
      <c r="O2103" s="5" t="s">
        <v>59</v>
      </c>
      <c r="P2103" s="10" t="s">
        <v>6531</v>
      </c>
      <c r="Q2103" s="10" t="s">
        <v>254</v>
      </c>
      <c r="R2103" s="10" t="s">
        <v>216</v>
      </c>
      <c r="S2103" s="5">
        <v>0</v>
      </c>
      <c r="T2103" s="37">
        <v>0</v>
      </c>
      <c r="U2103" s="5">
        <v>0</v>
      </c>
      <c r="V2103" s="37">
        <v>0</v>
      </c>
      <c r="W2103" s="5">
        <v>0</v>
      </c>
      <c r="X2103" s="5">
        <v>0</v>
      </c>
      <c r="Y2103" s="5">
        <v>0</v>
      </c>
      <c r="Z2103" s="37">
        <v>0</v>
      </c>
      <c r="AA2103" s="5">
        <v>0</v>
      </c>
      <c r="AB2103" s="5">
        <v>0</v>
      </c>
      <c r="AC2103" s="5">
        <v>0</v>
      </c>
      <c r="AD2103" s="5">
        <v>0</v>
      </c>
      <c r="AE2103" s="10" t="s">
        <v>73</v>
      </c>
      <c r="AF2103" s="10"/>
      <c r="AG2103" s="10" t="s">
        <v>114</v>
      </c>
      <c r="AH2103" s="10">
        <v>42319</v>
      </c>
      <c r="AI2103" s="5">
        <v>1</v>
      </c>
      <c r="AJ2103" s="10" t="s">
        <v>11744</v>
      </c>
      <c r="AK2103" s="10" t="s">
        <v>11745</v>
      </c>
    </row>
    <row r="2104" spans="1:37" ht="36.75" customHeight="1" x14ac:dyDescent="0.35">
      <c r="A2104" s="5"/>
      <c r="B2104" s="5" t="s">
        <v>37</v>
      </c>
      <c r="C2104" s="73" t="str">
        <f t="shared" si="32"/>
        <v>Closed</v>
      </c>
      <c r="D2104" s="45" t="s">
        <v>11746</v>
      </c>
      <c r="E2104" s="54" t="s">
        <v>11747</v>
      </c>
      <c r="F2104" s="5" t="s">
        <v>6434</v>
      </c>
      <c r="G2104" s="10">
        <f>DATE(2015,10,23)</f>
        <v>42300</v>
      </c>
      <c r="H2104" s="35">
        <v>1.1090277777777777</v>
      </c>
      <c r="I2104" s="5" t="s">
        <v>55</v>
      </c>
      <c r="J2104" s="10" t="s">
        <v>11748</v>
      </c>
      <c r="K2104" s="5" t="s">
        <v>565</v>
      </c>
      <c r="L2104" s="5" t="s">
        <v>11749</v>
      </c>
      <c r="M2104" s="5" t="s">
        <v>45</v>
      </c>
      <c r="N2104" s="5" t="s">
        <v>123</v>
      </c>
      <c r="O2104" s="5" t="s">
        <v>59</v>
      </c>
      <c r="P2104" s="10" t="s">
        <v>60</v>
      </c>
      <c r="Q2104" s="10" t="s">
        <v>11750</v>
      </c>
      <c r="R2104" s="10" t="s">
        <v>568</v>
      </c>
      <c r="S2104" s="5">
        <v>0</v>
      </c>
      <c r="T2104" s="37">
        <v>0</v>
      </c>
      <c r="U2104" s="5">
        <v>0</v>
      </c>
      <c r="V2104" s="37">
        <v>0</v>
      </c>
      <c r="W2104" s="5">
        <v>0</v>
      </c>
      <c r="X2104" s="5">
        <v>0</v>
      </c>
      <c r="Y2104" s="5">
        <v>0</v>
      </c>
      <c r="Z2104" s="37">
        <v>0</v>
      </c>
      <c r="AA2104" s="5">
        <v>0</v>
      </c>
      <c r="AB2104" s="5">
        <v>0</v>
      </c>
      <c r="AC2104" s="5">
        <v>0</v>
      </c>
      <c r="AD2104" s="5">
        <v>0</v>
      </c>
      <c r="AE2104" s="10" t="s">
        <v>375</v>
      </c>
      <c r="AF2104" s="10" t="s">
        <v>11751</v>
      </c>
      <c r="AG2104" s="10" t="s">
        <v>8837</v>
      </c>
      <c r="AH2104" s="10">
        <v>42307</v>
      </c>
      <c r="AI2104" s="5">
        <v>0</v>
      </c>
      <c r="AJ2104" s="10" t="s">
        <v>11752</v>
      </c>
      <c r="AK2104" s="10" t="s">
        <v>10547</v>
      </c>
    </row>
    <row r="2105" spans="1:37" ht="36.75" customHeight="1" x14ac:dyDescent="0.35">
      <c r="A2105" s="5"/>
      <c r="B2105" s="5" t="s">
        <v>37</v>
      </c>
      <c r="C2105" s="73" t="str">
        <f t="shared" si="32"/>
        <v>Closed</v>
      </c>
      <c r="D2105" s="45" t="s">
        <v>11753</v>
      </c>
      <c r="E2105" s="54" t="s">
        <v>11754</v>
      </c>
      <c r="F2105" s="5" t="s">
        <v>1919</v>
      </c>
      <c r="G2105" s="10">
        <f>DATE(2015,10,23)</f>
        <v>42300</v>
      </c>
      <c r="H2105" s="35">
        <v>0</v>
      </c>
      <c r="I2105" s="5" t="s">
        <v>85</v>
      </c>
      <c r="J2105" s="10" t="s">
        <v>11755</v>
      </c>
      <c r="K2105" s="5" t="s">
        <v>1921</v>
      </c>
      <c r="L2105" s="5" t="s">
        <v>11756</v>
      </c>
      <c r="M2105" s="5" t="s">
        <v>45</v>
      </c>
      <c r="N2105" s="5" t="s">
        <v>80</v>
      </c>
      <c r="O2105" s="5" t="s">
        <v>46</v>
      </c>
      <c r="P2105" s="10" t="s">
        <v>146</v>
      </c>
      <c r="Q2105" s="10" t="s">
        <v>1923</v>
      </c>
      <c r="R2105" s="10" t="s">
        <v>1921</v>
      </c>
      <c r="S2105" s="5">
        <v>0</v>
      </c>
      <c r="T2105" s="37">
        <v>0</v>
      </c>
      <c r="U2105" s="5">
        <v>0</v>
      </c>
      <c r="V2105" s="37">
        <v>0</v>
      </c>
      <c r="W2105" s="5">
        <v>0</v>
      </c>
      <c r="X2105" s="5">
        <v>0</v>
      </c>
      <c r="Y2105" s="5">
        <v>0</v>
      </c>
      <c r="Z2105" s="37">
        <v>0</v>
      </c>
      <c r="AA2105" s="5">
        <v>0</v>
      </c>
      <c r="AB2105" s="5">
        <v>0</v>
      </c>
      <c r="AC2105" s="5">
        <v>0</v>
      </c>
      <c r="AD2105" s="5">
        <v>0</v>
      </c>
      <c r="AE2105" s="10" t="s">
        <v>73</v>
      </c>
      <c r="AF2105" s="10" t="s">
        <v>11757</v>
      </c>
      <c r="AG2105" s="10" t="s">
        <v>570</v>
      </c>
      <c r="AH2105" s="10">
        <v>42318</v>
      </c>
      <c r="AI2105" s="5">
        <v>1</v>
      </c>
      <c r="AJ2105" s="10" t="s">
        <v>11758</v>
      </c>
      <c r="AK2105" s="10" t="s">
        <v>11759</v>
      </c>
    </row>
    <row r="2106" spans="1:37" ht="36.75" customHeight="1" x14ac:dyDescent="0.35">
      <c r="A2106" s="5"/>
      <c r="B2106" s="5" t="s">
        <v>37</v>
      </c>
      <c r="C2106" s="73" t="str">
        <f t="shared" si="32"/>
        <v>Closed</v>
      </c>
      <c r="D2106" s="45" t="s">
        <v>11760</v>
      </c>
      <c r="E2106" s="54" t="s">
        <v>11761</v>
      </c>
      <c r="F2106" s="5" t="s">
        <v>563</v>
      </c>
      <c r="G2106" s="10">
        <f>DATE(2015,10,28)</f>
        <v>42305</v>
      </c>
      <c r="H2106" s="35">
        <v>1.2256944444444444</v>
      </c>
      <c r="I2106" s="5" t="s">
        <v>179</v>
      </c>
      <c r="J2106" s="10" t="s">
        <v>11762</v>
      </c>
      <c r="K2106" s="5" t="s">
        <v>565</v>
      </c>
      <c r="L2106" s="5" t="s">
        <v>11763</v>
      </c>
      <c r="M2106" s="5" t="s">
        <v>45</v>
      </c>
      <c r="N2106" s="5" t="s">
        <v>123</v>
      </c>
      <c r="O2106" s="5" t="s">
        <v>59</v>
      </c>
      <c r="P2106" s="10" t="s">
        <v>146</v>
      </c>
      <c r="Q2106" s="10" t="s">
        <v>11764</v>
      </c>
      <c r="R2106" s="10" t="s">
        <v>568</v>
      </c>
      <c r="S2106" s="5">
        <v>0</v>
      </c>
      <c r="T2106" s="37">
        <v>0</v>
      </c>
      <c r="U2106" s="5">
        <v>0</v>
      </c>
      <c r="V2106" s="37">
        <v>0</v>
      </c>
      <c r="W2106" s="5">
        <v>0</v>
      </c>
      <c r="X2106" s="5">
        <v>0</v>
      </c>
      <c r="Y2106" s="5">
        <v>0</v>
      </c>
      <c r="Z2106" s="37">
        <v>0</v>
      </c>
      <c r="AA2106" s="5">
        <v>0</v>
      </c>
      <c r="AB2106" s="5">
        <v>0</v>
      </c>
      <c r="AC2106" s="5">
        <v>0</v>
      </c>
      <c r="AD2106" s="5">
        <v>0</v>
      </c>
      <c r="AE2106" s="10" t="s">
        <v>73</v>
      </c>
      <c r="AF2106" s="10" t="s">
        <v>11765</v>
      </c>
      <c r="AG2106" s="10" t="s">
        <v>8837</v>
      </c>
      <c r="AH2106" s="10">
        <v>42307</v>
      </c>
      <c r="AI2106" s="5">
        <v>0</v>
      </c>
      <c r="AJ2106" s="10" t="s">
        <v>11766</v>
      </c>
      <c r="AK2106" s="10" t="s">
        <v>10547</v>
      </c>
    </row>
    <row r="2107" spans="1:37" ht="36.75" customHeight="1" x14ac:dyDescent="0.35">
      <c r="A2107" s="5"/>
      <c r="B2107" s="5" t="s">
        <v>37</v>
      </c>
      <c r="C2107" s="73" t="str">
        <f t="shared" si="32"/>
        <v>Closed</v>
      </c>
      <c r="D2107" s="45" t="s">
        <v>11767</v>
      </c>
      <c r="E2107" s="54" t="s">
        <v>11768</v>
      </c>
      <c r="F2107" s="5" t="s">
        <v>404</v>
      </c>
      <c r="G2107" s="10">
        <f>DATE(2015,10,30)</f>
        <v>42307</v>
      </c>
      <c r="H2107" s="35">
        <v>1.20625</v>
      </c>
      <c r="I2107" s="5" t="s">
        <v>179</v>
      </c>
      <c r="J2107" s="10" t="s">
        <v>11769</v>
      </c>
      <c r="K2107" s="5" t="s">
        <v>406</v>
      </c>
      <c r="L2107" s="5" t="s">
        <v>11770</v>
      </c>
      <c r="M2107" s="5" t="s">
        <v>45</v>
      </c>
      <c r="N2107" s="5" t="s">
        <v>123</v>
      </c>
      <c r="O2107" s="5" t="s">
        <v>59</v>
      </c>
      <c r="P2107" s="10" t="s">
        <v>60</v>
      </c>
      <c r="Q2107" s="10" t="s">
        <v>11771</v>
      </c>
      <c r="R2107" s="10" t="s">
        <v>3083</v>
      </c>
      <c r="S2107" s="5">
        <v>0</v>
      </c>
      <c r="T2107" s="37">
        <v>1</v>
      </c>
      <c r="U2107" s="5">
        <v>0</v>
      </c>
      <c r="V2107" s="37">
        <v>0</v>
      </c>
      <c r="W2107" s="5">
        <v>0</v>
      </c>
      <c r="X2107" s="5">
        <v>1</v>
      </c>
      <c r="Y2107" s="5">
        <v>0</v>
      </c>
      <c r="Z2107" s="37">
        <v>0</v>
      </c>
      <c r="AA2107" s="5">
        <v>0</v>
      </c>
      <c r="AB2107" s="5">
        <v>0</v>
      </c>
      <c r="AC2107" s="5">
        <v>0</v>
      </c>
      <c r="AD2107" s="5">
        <v>0</v>
      </c>
      <c r="AE2107" s="10" t="s">
        <v>375</v>
      </c>
      <c r="AF2107" s="10"/>
      <c r="AG2107" s="10" t="s">
        <v>114</v>
      </c>
      <c r="AH2107" s="10">
        <v>42307</v>
      </c>
      <c r="AI2107" s="5">
        <v>3</v>
      </c>
      <c r="AJ2107" s="10" t="s">
        <v>11772</v>
      </c>
      <c r="AK2107" s="10" t="s">
        <v>11773</v>
      </c>
    </row>
    <row r="2108" spans="1:37" ht="36.75" customHeight="1" x14ac:dyDescent="0.35">
      <c r="A2108" s="5"/>
      <c r="B2108" s="5" t="s">
        <v>37</v>
      </c>
      <c r="C2108" s="73" t="str">
        <f t="shared" si="32"/>
        <v>Closed</v>
      </c>
      <c r="D2108" s="45" t="s">
        <v>11774</v>
      </c>
      <c r="E2108" s="54" t="s">
        <v>11775</v>
      </c>
      <c r="F2108" s="5" t="s">
        <v>1751</v>
      </c>
      <c r="G2108" s="10">
        <f>DATE(2015,11,1)</f>
        <v>42309</v>
      </c>
      <c r="H2108" s="35">
        <v>1.4506944444444445</v>
      </c>
      <c r="I2108" s="5" t="s">
        <v>85</v>
      </c>
      <c r="J2108" s="10" t="s">
        <v>11776</v>
      </c>
      <c r="K2108" s="5" t="s">
        <v>1753</v>
      </c>
      <c r="L2108" s="5" t="s">
        <v>11777</v>
      </c>
      <c r="M2108" s="5" t="s">
        <v>45</v>
      </c>
      <c r="N2108" s="5" t="s">
        <v>70</v>
      </c>
      <c r="O2108" s="5" t="s">
        <v>46</v>
      </c>
      <c r="P2108" s="10" t="s">
        <v>47</v>
      </c>
      <c r="Q2108" s="10" t="s">
        <v>4269</v>
      </c>
      <c r="R2108" s="10" t="s">
        <v>1756</v>
      </c>
      <c r="S2108" s="5">
        <v>0</v>
      </c>
      <c r="T2108" s="37">
        <v>0</v>
      </c>
      <c r="U2108" s="5">
        <v>0</v>
      </c>
      <c r="V2108" s="37">
        <v>0</v>
      </c>
      <c r="W2108" s="5">
        <v>0</v>
      </c>
      <c r="X2108" s="5">
        <v>0</v>
      </c>
      <c r="Y2108" s="5">
        <v>0</v>
      </c>
      <c r="Z2108" s="37">
        <v>0</v>
      </c>
      <c r="AA2108" s="5">
        <v>0</v>
      </c>
      <c r="AB2108" s="5">
        <v>0</v>
      </c>
      <c r="AC2108" s="5">
        <v>0</v>
      </c>
      <c r="AD2108" s="5">
        <v>0</v>
      </c>
      <c r="AE2108" s="10" t="s">
        <v>73</v>
      </c>
      <c r="AF2108" s="10"/>
      <c r="AG2108" s="10" t="s">
        <v>333</v>
      </c>
      <c r="AH2108" s="10">
        <v>42313</v>
      </c>
      <c r="AI2108" s="5">
        <v>4</v>
      </c>
      <c r="AJ2108" s="10" t="s">
        <v>11778</v>
      </c>
      <c r="AK2108" s="10" t="s">
        <v>11779</v>
      </c>
    </row>
    <row r="2109" spans="1:37" ht="36.75" customHeight="1" x14ac:dyDescent="0.35">
      <c r="A2109" s="5"/>
      <c r="B2109" s="5" t="s">
        <v>37</v>
      </c>
      <c r="C2109" s="73" t="str">
        <f t="shared" si="32"/>
        <v>Closed</v>
      </c>
      <c r="D2109" s="45" t="s">
        <v>11780</v>
      </c>
      <c r="E2109" s="54" t="s">
        <v>11781</v>
      </c>
      <c r="F2109" s="5" t="s">
        <v>816</v>
      </c>
      <c r="G2109" s="10">
        <f>DATE(2015,11,1)</f>
        <v>42309</v>
      </c>
      <c r="H2109" s="35">
        <v>1.9388888888888891</v>
      </c>
      <c r="I2109" s="5" t="s">
        <v>55</v>
      </c>
      <c r="J2109" s="10" t="s">
        <v>11782</v>
      </c>
      <c r="K2109" s="5" t="s">
        <v>818</v>
      </c>
      <c r="L2109" s="5" t="s">
        <v>11783</v>
      </c>
      <c r="M2109" s="5" t="s">
        <v>236</v>
      </c>
      <c r="N2109" s="5" t="s">
        <v>80</v>
      </c>
      <c r="O2109" s="5" t="s">
        <v>59</v>
      </c>
      <c r="P2109" s="10" t="s">
        <v>6531</v>
      </c>
      <c r="Q2109" s="10" t="s">
        <v>4190</v>
      </c>
      <c r="R2109" s="10" t="s">
        <v>4190</v>
      </c>
      <c r="S2109" s="5">
        <v>0</v>
      </c>
      <c r="T2109" s="37">
        <v>0</v>
      </c>
      <c r="U2109" s="5">
        <v>0</v>
      </c>
      <c r="V2109" s="37">
        <v>0</v>
      </c>
      <c r="W2109" s="5">
        <v>0</v>
      </c>
      <c r="X2109" s="5">
        <v>0</v>
      </c>
      <c r="Y2109" s="5">
        <v>0</v>
      </c>
      <c r="Z2109" s="37">
        <v>0</v>
      </c>
      <c r="AA2109" s="5">
        <v>0</v>
      </c>
      <c r="AB2109" s="5">
        <v>0</v>
      </c>
      <c r="AC2109" s="5">
        <v>0</v>
      </c>
      <c r="AD2109" s="5">
        <v>0</v>
      </c>
      <c r="AE2109" s="10" t="s">
        <v>73</v>
      </c>
      <c r="AF2109" s="10"/>
      <c r="AG2109" s="10" t="s">
        <v>114</v>
      </c>
      <c r="AH2109" s="10">
        <v>42309</v>
      </c>
      <c r="AI2109" s="5">
        <v>1</v>
      </c>
      <c r="AJ2109" s="10" t="s">
        <v>11784</v>
      </c>
      <c r="AK2109" s="10" t="s">
        <v>50</v>
      </c>
    </row>
    <row r="2110" spans="1:37" ht="36.75" customHeight="1" x14ac:dyDescent="0.35">
      <c r="A2110" s="5"/>
      <c r="B2110" s="5" t="s">
        <v>37</v>
      </c>
      <c r="C2110" s="73" t="str">
        <f t="shared" si="32"/>
        <v>Closed</v>
      </c>
      <c r="D2110" s="45" t="s">
        <v>11785</v>
      </c>
      <c r="E2110" s="54" t="s">
        <v>11786</v>
      </c>
      <c r="F2110" s="5" t="s">
        <v>432</v>
      </c>
      <c r="G2110" s="10">
        <f>DATE(2015,11,2)</f>
        <v>42310</v>
      </c>
      <c r="H2110" s="35">
        <v>1.7569444444444446</v>
      </c>
      <c r="I2110" s="5" t="s">
        <v>97</v>
      </c>
      <c r="J2110" s="10" t="s">
        <v>11787</v>
      </c>
      <c r="K2110" s="5" t="s">
        <v>434</v>
      </c>
      <c r="L2110" s="5" t="s">
        <v>11788</v>
      </c>
      <c r="M2110" s="5" t="s">
        <v>45</v>
      </c>
      <c r="N2110" s="5" t="s">
        <v>80</v>
      </c>
      <c r="O2110" s="5" t="s">
        <v>59</v>
      </c>
      <c r="P2110" s="10" t="s">
        <v>146</v>
      </c>
      <c r="Q2110" s="10" t="s">
        <v>552</v>
      </c>
      <c r="R2110" s="10" t="s">
        <v>553</v>
      </c>
      <c r="S2110" s="5">
        <v>0</v>
      </c>
      <c r="T2110" s="37">
        <v>0</v>
      </c>
      <c r="U2110" s="5">
        <v>1</v>
      </c>
      <c r="V2110" s="37">
        <v>0</v>
      </c>
      <c r="W2110" s="5">
        <v>0</v>
      </c>
      <c r="X2110" s="5">
        <v>1</v>
      </c>
      <c r="Y2110" s="5">
        <v>0</v>
      </c>
      <c r="Z2110" s="37">
        <v>0</v>
      </c>
      <c r="AA2110" s="5">
        <v>0</v>
      </c>
      <c r="AB2110" s="5">
        <v>0</v>
      </c>
      <c r="AC2110" s="5">
        <v>0</v>
      </c>
      <c r="AD2110" s="5">
        <v>0</v>
      </c>
      <c r="AE2110" s="10" t="s">
        <v>73</v>
      </c>
      <c r="AF2110" s="10"/>
      <c r="AG2110" s="10" t="s">
        <v>64</v>
      </c>
      <c r="AH2110" s="10">
        <v>42310</v>
      </c>
      <c r="AI2110" s="5">
        <v>0</v>
      </c>
      <c r="AJ2110" s="10" t="s">
        <v>11789</v>
      </c>
      <c r="AK2110" s="10" t="s">
        <v>1215</v>
      </c>
    </row>
    <row r="2111" spans="1:37" ht="36.75" customHeight="1" x14ac:dyDescent="0.35">
      <c r="A2111" s="5"/>
      <c r="B2111" s="5" t="s">
        <v>37</v>
      </c>
      <c r="C2111" s="73" t="str">
        <f t="shared" si="32"/>
        <v>Closed</v>
      </c>
      <c r="D2111" s="45" t="s">
        <v>11790</v>
      </c>
      <c r="E2111" s="54" t="s">
        <v>11791</v>
      </c>
      <c r="F2111" s="5" t="s">
        <v>9767</v>
      </c>
      <c r="G2111" s="10">
        <f>DATE(2015,11,2)</f>
        <v>42310</v>
      </c>
      <c r="H2111" s="35">
        <v>1.3368055555555556</v>
      </c>
      <c r="I2111" s="5" t="s">
        <v>259</v>
      </c>
      <c r="J2111" s="10" t="s">
        <v>11792</v>
      </c>
      <c r="K2111" s="5" t="s">
        <v>9769</v>
      </c>
      <c r="L2111" s="5" t="s">
        <v>11793</v>
      </c>
      <c r="M2111" s="5" t="s">
        <v>45</v>
      </c>
      <c r="N2111" s="5" t="s">
        <v>123</v>
      </c>
      <c r="O2111" s="5" t="s">
        <v>46</v>
      </c>
      <c r="P2111" s="10" t="s">
        <v>6920</v>
      </c>
      <c r="Q2111" s="10" t="s">
        <v>9938</v>
      </c>
      <c r="R2111" s="10" t="s">
        <v>9772</v>
      </c>
      <c r="S2111" s="5">
        <v>0</v>
      </c>
      <c r="T2111" s="37">
        <v>0</v>
      </c>
      <c r="U2111" s="5">
        <v>0</v>
      </c>
      <c r="V2111" s="37">
        <v>0</v>
      </c>
      <c r="W2111" s="5">
        <v>0</v>
      </c>
      <c r="X2111" s="5">
        <v>0</v>
      </c>
      <c r="Y2111" s="5">
        <v>0</v>
      </c>
      <c r="Z2111" s="37">
        <v>1</v>
      </c>
      <c r="AA2111" s="5">
        <v>0</v>
      </c>
      <c r="AB2111" s="5">
        <v>0</v>
      </c>
      <c r="AC2111" s="5">
        <v>0</v>
      </c>
      <c r="AD2111" s="5">
        <v>1</v>
      </c>
      <c r="AE2111" s="10" t="s">
        <v>73</v>
      </c>
      <c r="AF2111" s="10"/>
      <c r="AG2111" s="10" t="s">
        <v>11008</v>
      </c>
      <c r="AH2111" s="10">
        <v>42313</v>
      </c>
      <c r="AI2111" s="5">
        <v>0</v>
      </c>
      <c r="AJ2111" s="10" t="s">
        <v>11794</v>
      </c>
      <c r="AK2111" s="10" t="s">
        <v>11795</v>
      </c>
    </row>
    <row r="2112" spans="1:37" ht="36.75" customHeight="1" x14ac:dyDescent="0.35">
      <c r="A2112" s="5"/>
      <c r="B2112" s="5" t="s">
        <v>37</v>
      </c>
      <c r="C2112" s="73" t="str">
        <f t="shared" si="32"/>
        <v>Closed</v>
      </c>
      <c r="D2112" s="45" t="s">
        <v>11796</v>
      </c>
      <c r="E2112" s="54" t="s">
        <v>11797</v>
      </c>
      <c r="F2112" s="5" t="s">
        <v>575</v>
      </c>
      <c r="G2112" s="10">
        <f>DATE(2015,11,2)</f>
        <v>42310</v>
      </c>
      <c r="H2112" s="35">
        <v>1.6041666666666665</v>
      </c>
      <c r="I2112" s="5" t="s">
        <v>55</v>
      </c>
      <c r="J2112" s="10" t="s">
        <v>11798</v>
      </c>
      <c r="K2112" s="5" t="s">
        <v>577</v>
      </c>
      <c r="L2112" s="5" t="s">
        <v>11799</v>
      </c>
      <c r="M2112" s="5" t="s">
        <v>45</v>
      </c>
      <c r="N2112" s="5" t="s">
        <v>123</v>
      </c>
      <c r="O2112" s="5" t="s">
        <v>46</v>
      </c>
      <c r="P2112" s="10" t="s">
        <v>60</v>
      </c>
      <c r="Q2112" s="10" t="s">
        <v>5100</v>
      </c>
      <c r="R2112" s="10" t="s">
        <v>580</v>
      </c>
      <c r="S2112" s="5">
        <v>0</v>
      </c>
      <c r="T2112" s="37">
        <v>0</v>
      </c>
      <c r="U2112" s="5">
        <v>0</v>
      </c>
      <c r="V2112" s="37">
        <v>0</v>
      </c>
      <c r="W2112" s="5">
        <v>0</v>
      </c>
      <c r="X2112" s="5">
        <v>0</v>
      </c>
      <c r="Y2112" s="5">
        <v>0</v>
      </c>
      <c r="Z2112" s="37">
        <v>0</v>
      </c>
      <c r="AA2112" s="5">
        <v>0</v>
      </c>
      <c r="AB2112" s="5">
        <v>0</v>
      </c>
      <c r="AC2112" s="5">
        <v>0</v>
      </c>
      <c r="AD2112" s="5">
        <v>0</v>
      </c>
      <c r="AE2112" s="10" t="s">
        <v>375</v>
      </c>
      <c r="AF2112" s="10"/>
      <c r="AG2112" s="10" t="s">
        <v>114</v>
      </c>
      <c r="AH2112" s="10">
        <v>42324</v>
      </c>
      <c r="AI2112" s="5">
        <v>5</v>
      </c>
      <c r="AJ2112" s="10" t="s">
        <v>11800</v>
      </c>
      <c r="AK2112" s="10" t="s">
        <v>11801</v>
      </c>
    </row>
    <row r="2113" spans="1:37" ht="36.75" customHeight="1" x14ac:dyDescent="0.35">
      <c r="A2113" s="5"/>
      <c r="B2113" s="5" t="s">
        <v>37</v>
      </c>
      <c r="C2113" s="73" t="str">
        <f t="shared" si="32"/>
        <v>Closed</v>
      </c>
      <c r="D2113" s="45" t="s">
        <v>11802</v>
      </c>
      <c r="E2113" s="54" t="s">
        <v>11803</v>
      </c>
      <c r="F2113" s="5" t="s">
        <v>404</v>
      </c>
      <c r="G2113" s="10">
        <f>DATE(2015,11,3)</f>
        <v>42311</v>
      </c>
      <c r="H2113" s="35">
        <v>1.7923611111111111</v>
      </c>
      <c r="I2113" s="5" t="s">
        <v>179</v>
      </c>
      <c r="J2113" s="10" t="s">
        <v>11804</v>
      </c>
      <c r="K2113" s="5" t="s">
        <v>406</v>
      </c>
      <c r="L2113" s="5" t="s">
        <v>10038</v>
      </c>
      <c r="M2113" s="5" t="s">
        <v>45</v>
      </c>
      <c r="N2113" s="5" t="s">
        <v>123</v>
      </c>
      <c r="O2113" s="5" t="s">
        <v>59</v>
      </c>
      <c r="P2113" s="10" t="s">
        <v>72</v>
      </c>
      <c r="Q2113" s="10" t="s">
        <v>2562</v>
      </c>
      <c r="R2113" s="10" t="s">
        <v>3083</v>
      </c>
      <c r="S2113" s="5">
        <v>0</v>
      </c>
      <c r="T2113" s="37">
        <v>0</v>
      </c>
      <c r="U2113" s="5">
        <v>0</v>
      </c>
      <c r="V2113" s="37">
        <v>0</v>
      </c>
      <c r="W2113" s="5">
        <v>0</v>
      </c>
      <c r="X2113" s="5">
        <v>0</v>
      </c>
      <c r="Y2113" s="5">
        <v>0</v>
      </c>
      <c r="Z2113" s="37">
        <v>0</v>
      </c>
      <c r="AA2113" s="5">
        <v>0</v>
      </c>
      <c r="AB2113" s="5">
        <v>0</v>
      </c>
      <c r="AC2113" s="5">
        <v>0</v>
      </c>
      <c r="AD2113" s="5">
        <v>0</v>
      </c>
      <c r="AE2113" s="10" t="s">
        <v>375</v>
      </c>
      <c r="AF2113" s="10"/>
      <c r="AG2113" s="10" t="s">
        <v>114</v>
      </c>
      <c r="AH2113" s="10">
        <v>42331</v>
      </c>
      <c r="AI2113" s="5">
        <v>0</v>
      </c>
      <c r="AJ2113" s="10" t="s">
        <v>11805</v>
      </c>
      <c r="AK2113" s="10" t="s">
        <v>11806</v>
      </c>
    </row>
    <row r="2114" spans="1:37" ht="36.75" customHeight="1" x14ac:dyDescent="0.35">
      <c r="A2114" s="5"/>
      <c r="B2114" s="5" t="s">
        <v>37</v>
      </c>
      <c r="C2114" s="73" t="str">
        <f t="shared" ref="C2114:C2177" si="33">IF(B2114="Notification","Open",IF(B2114="Interim Statement","In progress","Closed"))</f>
        <v>Closed</v>
      </c>
      <c r="D2114" s="45" t="s">
        <v>11807</v>
      </c>
      <c r="E2114" s="54" t="s">
        <v>11808</v>
      </c>
      <c r="F2114" s="5" t="s">
        <v>605</v>
      </c>
      <c r="G2114" s="10">
        <f>DATE(2015,11,3)</f>
        <v>42311</v>
      </c>
      <c r="H2114" s="35">
        <v>1.8361111111111112</v>
      </c>
      <c r="I2114" s="5" t="s">
        <v>97</v>
      </c>
      <c r="J2114" s="10" t="s">
        <v>9004</v>
      </c>
      <c r="K2114" s="5" t="s">
        <v>607</v>
      </c>
      <c r="L2114" s="5" t="s">
        <v>11809</v>
      </c>
      <c r="M2114" s="5" t="s">
        <v>45</v>
      </c>
      <c r="N2114" s="5" t="s">
        <v>80</v>
      </c>
      <c r="O2114" s="5" t="s">
        <v>46</v>
      </c>
      <c r="P2114" s="10" t="s">
        <v>443</v>
      </c>
      <c r="Q2114" s="10" t="s">
        <v>7160</v>
      </c>
      <c r="R2114" s="10" t="s">
        <v>610</v>
      </c>
      <c r="S2114" s="5">
        <v>0</v>
      </c>
      <c r="T2114" s="37">
        <v>1</v>
      </c>
      <c r="U2114" s="5">
        <v>0</v>
      </c>
      <c r="V2114" s="37">
        <v>0</v>
      </c>
      <c r="W2114" s="5">
        <v>0</v>
      </c>
      <c r="X2114" s="5">
        <v>1</v>
      </c>
      <c r="Y2114" s="5">
        <v>0</v>
      </c>
      <c r="Z2114" s="37">
        <v>0</v>
      </c>
      <c r="AA2114" s="5">
        <v>0</v>
      </c>
      <c r="AB2114" s="5">
        <v>0</v>
      </c>
      <c r="AC2114" s="5">
        <v>0</v>
      </c>
      <c r="AD2114" s="5">
        <v>0</v>
      </c>
      <c r="AE2114" s="10" t="s">
        <v>375</v>
      </c>
      <c r="AF2114" s="10"/>
      <c r="AG2114" s="10" t="s">
        <v>64</v>
      </c>
      <c r="AH2114" s="10">
        <v>42074</v>
      </c>
      <c r="AI2114" s="5">
        <v>8</v>
      </c>
      <c r="AJ2114" s="10" t="s">
        <v>11810</v>
      </c>
      <c r="AK2114" s="10" t="s">
        <v>50</v>
      </c>
    </row>
    <row r="2115" spans="1:37" ht="36.75" customHeight="1" x14ac:dyDescent="0.35">
      <c r="A2115" s="5"/>
      <c r="B2115" s="5" t="s">
        <v>37</v>
      </c>
      <c r="C2115" s="73" t="str">
        <f t="shared" si="33"/>
        <v>Closed</v>
      </c>
      <c r="D2115" s="45" t="s">
        <v>11811</v>
      </c>
      <c r="E2115" s="54" t="s">
        <v>11812</v>
      </c>
      <c r="F2115" s="5" t="s">
        <v>214</v>
      </c>
      <c r="G2115" s="10">
        <f>DATE(2015,11,3)</f>
        <v>42311</v>
      </c>
      <c r="H2115" s="35">
        <v>1.2611111111111111</v>
      </c>
      <c r="I2115" s="5" t="s">
        <v>85</v>
      </c>
      <c r="J2115" s="10" t="s">
        <v>11813</v>
      </c>
      <c r="K2115" s="5" t="s">
        <v>216</v>
      </c>
      <c r="L2115" s="5" t="s">
        <v>11814</v>
      </c>
      <c r="M2115" s="5" t="s">
        <v>45</v>
      </c>
      <c r="N2115" s="5" t="s">
        <v>70</v>
      </c>
      <c r="O2115" s="5" t="s">
        <v>46</v>
      </c>
      <c r="P2115" s="10" t="s">
        <v>60</v>
      </c>
      <c r="Q2115" s="10" t="s">
        <v>4022</v>
      </c>
      <c r="R2115" s="10" t="s">
        <v>216</v>
      </c>
      <c r="S2115" s="5">
        <v>0</v>
      </c>
      <c r="T2115" s="37">
        <v>0</v>
      </c>
      <c r="U2115" s="5">
        <v>0</v>
      </c>
      <c r="V2115" s="37">
        <v>0</v>
      </c>
      <c r="W2115" s="5">
        <v>0</v>
      </c>
      <c r="X2115" s="5">
        <v>0</v>
      </c>
      <c r="Y2115" s="5">
        <v>0</v>
      </c>
      <c r="Z2115" s="37">
        <v>0</v>
      </c>
      <c r="AA2115" s="5">
        <v>0</v>
      </c>
      <c r="AB2115" s="5">
        <v>0</v>
      </c>
      <c r="AC2115" s="5">
        <v>0</v>
      </c>
      <c r="AD2115" s="5">
        <v>0</v>
      </c>
      <c r="AE2115" s="10" t="s">
        <v>73</v>
      </c>
      <c r="AF2115" s="10"/>
      <c r="AG2115" s="10" t="s">
        <v>114</v>
      </c>
      <c r="AH2115" s="10">
        <v>42331</v>
      </c>
      <c r="AI2115" s="5">
        <v>3</v>
      </c>
      <c r="AJ2115" s="10" t="s">
        <v>11815</v>
      </c>
      <c r="AK2115" s="10" t="s">
        <v>11816</v>
      </c>
    </row>
    <row r="2116" spans="1:37" ht="36.75" customHeight="1" x14ac:dyDescent="0.35">
      <c r="A2116" s="5"/>
      <c r="B2116" s="5" t="s">
        <v>37</v>
      </c>
      <c r="C2116" s="73" t="str">
        <f t="shared" si="33"/>
        <v>Closed</v>
      </c>
      <c r="D2116" s="45" t="s">
        <v>11817</v>
      </c>
      <c r="E2116" s="54" t="s">
        <v>11818</v>
      </c>
      <c r="F2116" s="5" t="s">
        <v>816</v>
      </c>
      <c r="G2116" s="10">
        <f>DATE(2015,11,4)</f>
        <v>42312</v>
      </c>
      <c r="H2116" s="35">
        <v>1.8145833333333332</v>
      </c>
      <c r="I2116" s="5" t="s">
        <v>106</v>
      </c>
      <c r="J2116" s="10" t="s">
        <v>11819</v>
      </c>
      <c r="K2116" s="5" t="s">
        <v>818</v>
      </c>
      <c r="L2116" s="5" t="s">
        <v>11820</v>
      </c>
      <c r="M2116" s="5" t="s">
        <v>45</v>
      </c>
      <c r="N2116" s="5" t="s">
        <v>123</v>
      </c>
      <c r="O2116" s="5" t="s">
        <v>46</v>
      </c>
      <c r="P2116" s="10" t="s">
        <v>60</v>
      </c>
      <c r="Q2116" s="10" t="s">
        <v>2142</v>
      </c>
      <c r="R2116" s="10" t="s">
        <v>821</v>
      </c>
      <c r="S2116" s="5">
        <v>0</v>
      </c>
      <c r="T2116" s="37">
        <v>0</v>
      </c>
      <c r="U2116" s="5">
        <v>0</v>
      </c>
      <c r="V2116" s="37">
        <v>0</v>
      </c>
      <c r="W2116" s="5">
        <v>0</v>
      </c>
      <c r="X2116" s="5">
        <v>0</v>
      </c>
      <c r="Y2116" s="5">
        <v>0</v>
      </c>
      <c r="Z2116" s="37">
        <v>0</v>
      </c>
      <c r="AA2116" s="5">
        <v>0</v>
      </c>
      <c r="AB2116" s="5">
        <v>0</v>
      </c>
      <c r="AC2116" s="5">
        <v>0</v>
      </c>
      <c r="AD2116" s="5">
        <v>0</v>
      </c>
      <c r="AE2116" s="10" t="s">
        <v>73</v>
      </c>
      <c r="AF2116" s="10"/>
      <c r="AG2116" s="10" t="s">
        <v>333</v>
      </c>
      <c r="AH2116" s="10">
        <v>42313</v>
      </c>
      <c r="AI2116" s="5">
        <v>0</v>
      </c>
      <c r="AJ2116" s="10" t="s">
        <v>11821</v>
      </c>
      <c r="AK2116" s="10" t="s">
        <v>50</v>
      </c>
    </row>
    <row r="2117" spans="1:37" ht="36.75" customHeight="1" x14ac:dyDescent="0.35">
      <c r="A2117" s="5"/>
      <c r="B2117" s="5" t="s">
        <v>37</v>
      </c>
      <c r="C2117" s="73" t="str">
        <f t="shared" si="33"/>
        <v>Closed</v>
      </c>
      <c r="D2117" s="45" t="s">
        <v>11822</v>
      </c>
      <c r="E2117" s="54" t="s">
        <v>11823</v>
      </c>
      <c r="F2117" s="5" t="s">
        <v>563</v>
      </c>
      <c r="G2117" s="10">
        <f>DATE(2015,11,5)</f>
        <v>42313</v>
      </c>
      <c r="H2117" s="35">
        <v>1.9131944444444446</v>
      </c>
      <c r="I2117" s="5" t="s">
        <v>97</v>
      </c>
      <c r="J2117" s="10" t="s">
        <v>11824</v>
      </c>
      <c r="K2117" s="5" t="s">
        <v>565</v>
      </c>
      <c r="L2117" s="5" t="s">
        <v>11825</v>
      </c>
      <c r="M2117" s="5" t="s">
        <v>45</v>
      </c>
      <c r="N2117" s="5" t="s">
        <v>123</v>
      </c>
      <c r="O2117" s="5" t="s">
        <v>46</v>
      </c>
      <c r="P2117" s="10" t="s">
        <v>146</v>
      </c>
      <c r="Q2117" s="10" t="s">
        <v>4467</v>
      </c>
      <c r="R2117" s="10" t="s">
        <v>568</v>
      </c>
      <c r="S2117" s="5">
        <v>0</v>
      </c>
      <c r="T2117" s="37">
        <v>1</v>
      </c>
      <c r="U2117" s="5">
        <v>1</v>
      </c>
      <c r="V2117" s="37">
        <v>0</v>
      </c>
      <c r="W2117" s="5">
        <v>0</v>
      </c>
      <c r="X2117" s="5">
        <v>2</v>
      </c>
      <c r="Y2117" s="5">
        <v>4</v>
      </c>
      <c r="Z2117" s="37">
        <v>0</v>
      </c>
      <c r="AA2117" s="5">
        <v>0</v>
      </c>
      <c r="AB2117" s="5">
        <v>0</v>
      </c>
      <c r="AC2117" s="5">
        <v>0</v>
      </c>
      <c r="AD2117" s="5">
        <v>4</v>
      </c>
      <c r="AE2117" s="10" t="s">
        <v>126</v>
      </c>
      <c r="AF2117" s="10"/>
      <c r="AG2117" s="10" t="s">
        <v>64</v>
      </c>
      <c r="AH2117" s="10">
        <v>42314</v>
      </c>
      <c r="AI2117" s="5">
        <v>0</v>
      </c>
      <c r="AJ2117" s="10" t="s">
        <v>11826</v>
      </c>
      <c r="AK2117" s="10" t="s">
        <v>1215</v>
      </c>
    </row>
    <row r="2118" spans="1:37" ht="36.75" customHeight="1" x14ac:dyDescent="0.35">
      <c r="A2118" s="5"/>
      <c r="B2118" s="5" t="s">
        <v>37</v>
      </c>
      <c r="C2118" s="73" t="str">
        <f t="shared" si="33"/>
        <v>Closed</v>
      </c>
      <c r="D2118" s="45" t="s">
        <v>11827</v>
      </c>
      <c r="E2118" s="54" t="s">
        <v>11828</v>
      </c>
      <c r="F2118" s="5" t="s">
        <v>563</v>
      </c>
      <c r="G2118" s="10">
        <f>DATE(2015,11,7)</f>
        <v>42315</v>
      </c>
      <c r="H2118" s="35">
        <v>1.7486111111111109</v>
      </c>
      <c r="I2118" s="5" t="s">
        <v>97</v>
      </c>
      <c r="J2118" s="10" t="s">
        <v>11829</v>
      </c>
      <c r="K2118" s="5" t="s">
        <v>565</v>
      </c>
      <c r="L2118" s="5" t="s">
        <v>11830</v>
      </c>
      <c r="M2118" s="5" t="s">
        <v>45</v>
      </c>
      <c r="N2118" s="5" t="s">
        <v>123</v>
      </c>
      <c r="O2118" s="5" t="s">
        <v>46</v>
      </c>
      <c r="P2118" s="10" t="s">
        <v>60</v>
      </c>
      <c r="Q2118" s="10" t="s">
        <v>567</v>
      </c>
      <c r="R2118" s="10" t="s">
        <v>568</v>
      </c>
      <c r="S2118" s="5">
        <v>0</v>
      </c>
      <c r="T2118" s="37">
        <v>0</v>
      </c>
      <c r="U2118" s="5">
        <v>0</v>
      </c>
      <c r="V2118" s="37">
        <v>0</v>
      </c>
      <c r="W2118" s="5">
        <v>0</v>
      </c>
      <c r="X2118" s="5">
        <v>0</v>
      </c>
      <c r="Y2118" s="5">
        <v>0</v>
      </c>
      <c r="Z2118" s="37">
        <v>0</v>
      </c>
      <c r="AA2118" s="5">
        <v>2</v>
      </c>
      <c r="AB2118" s="5">
        <v>0</v>
      </c>
      <c r="AC2118" s="5">
        <v>0</v>
      </c>
      <c r="AD2118" s="5">
        <v>2</v>
      </c>
      <c r="AE2118" s="10" t="s">
        <v>375</v>
      </c>
      <c r="AF2118" s="10" t="s">
        <v>11831</v>
      </c>
      <c r="AG2118" s="10" t="s">
        <v>8837</v>
      </c>
      <c r="AH2118" s="10">
        <v>42384</v>
      </c>
      <c r="AI2118" s="5">
        <v>0</v>
      </c>
      <c r="AJ2118" s="10" t="s">
        <v>11832</v>
      </c>
      <c r="AK2118" s="10" t="s">
        <v>10547</v>
      </c>
    </row>
    <row r="2119" spans="1:37" ht="36.75" customHeight="1" x14ac:dyDescent="0.35">
      <c r="A2119" s="5"/>
      <c r="B2119" s="5" t="s">
        <v>37</v>
      </c>
      <c r="C2119" s="73" t="str">
        <f t="shared" si="33"/>
        <v>Closed</v>
      </c>
      <c r="D2119" s="45" t="s">
        <v>11833</v>
      </c>
      <c r="E2119" s="54" t="s">
        <v>11834</v>
      </c>
      <c r="F2119" s="5" t="s">
        <v>214</v>
      </c>
      <c r="G2119" s="10">
        <f>DATE(2015,11,7)</f>
        <v>42315</v>
      </c>
      <c r="H2119" s="35">
        <v>1.3083333333333333</v>
      </c>
      <c r="I2119" s="5" t="s">
        <v>55</v>
      </c>
      <c r="J2119" s="10" t="s">
        <v>11835</v>
      </c>
      <c r="K2119" s="5" t="s">
        <v>216</v>
      </c>
      <c r="L2119" s="5" t="s">
        <v>11836</v>
      </c>
      <c r="M2119" s="5" t="s">
        <v>45</v>
      </c>
      <c r="N2119" s="5" t="s">
        <v>123</v>
      </c>
      <c r="O2119" s="5" t="s">
        <v>46</v>
      </c>
      <c r="P2119" s="10" t="s">
        <v>6920</v>
      </c>
      <c r="Q2119" s="10" t="s">
        <v>427</v>
      </c>
      <c r="R2119" s="10" t="s">
        <v>216</v>
      </c>
      <c r="S2119" s="5">
        <v>0</v>
      </c>
      <c r="T2119" s="37">
        <v>0</v>
      </c>
      <c r="U2119" s="5">
        <v>0</v>
      </c>
      <c r="V2119" s="37">
        <v>0</v>
      </c>
      <c r="W2119" s="5">
        <v>0</v>
      </c>
      <c r="X2119" s="5">
        <v>0</v>
      </c>
      <c r="Y2119" s="5">
        <v>0</v>
      </c>
      <c r="Z2119" s="37">
        <v>0</v>
      </c>
      <c r="AA2119" s="5">
        <v>0</v>
      </c>
      <c r="AB2119" s="5">
        <v>0</v>
      </c>
      <c r="AC2119" s="5">
        <v>0</v>
      </c>
      <c r="AD2119" s="5">
        <v>0</v>
      </c>
      <c r="AE2119" s="10" t="s">
        <v>73</v>
      </c>
      <c r="AF2119" s="10"/>
      <c r="AG2119" s="10" t="s">
        <v>114</v>
      </c>
      <c r="AH2119" s="10">
        <v>42317</v>
      </c>
      <c r="AI2119" s="5">
        <v>1</v>
      </c>
      <c r="AJ2119" s="10" t="s">
        <v>11837</v>
      </c>
      <c r="AK2119" s="10" t="s">
        <v>11838</v>
      </c>
    </row>
    <row r="2120" spans="1:37" ht="36.75" customHeight="1" x14ac:dyDescent="0.35">
      <c r="A2120" s="5"/>
      <c r="B2120" s="5" t="s">
        <v>37</v>
      </c>
      <c r="C2120" s="73" t="str">
        <f t="shared" si="33"/>
        <v>Closed</v>
      </c>
      <c r="D2120" s="45" t="s">
        <v>11839</v>
      </c>
      <c r="E2120" s="54" t="s">
        <v>11840</v>
      </c>
      <c r="F2120" s="5" t="s">
        <v>404</v>
      </c>
      <c r="G2120" s="10">
        <f>DATE(2015,11,8)</f>
        <v>42316</v>
      </c>
      <c r="H2120" s="35">
        <v>1.9118055555555555</v>
      </c>
      <c r="I2120" s="5" t="s">
        <v>55</v>
      </c>
      <c r="J2120" s="10" t="s">
        <v>11841</v>
      </c>
      <c r="K2120" s="5" t="s">
        <v>406</v>
      </c>
      <c r="L2120" s="5" t="s">
        <v>11842</v>
      </c>
      <c r="M2120" s="5" t="s">
        <v>45</v>
      </c>
      <c r="N2120" s="5" t="s">
        <v>123</v>
      </c>
      <c r="O2120" s="5" t="s">
        <v>59</v>
      </c>
      <c r="P2120" s="10" t="s">
        <v>60</v>
      </c>
      <c r="Q2120" s="10" t="s">
        <v>11843</v>
      </c>
      <c r="R2120" s="10" t="s">
        <v>3083</v>
      </c>
      <c r="S2120" s="5">
        <v>0</v>
      </c>
      <c r="T2120" s="37">
        <v>0</v>
      </c>
      <c r="U2120" s="5">
        <v>0</v>
      </c>
      <c r="V2120" s="37">
        <v>0</v>
      </c>
      <c r="W2120" s="5">
        <v>0</v>
      </c>
      <c r="X2120" s="5">
        <v>0</v>
      </c>
      <c r="Y2120" s="5">
        <v>0</v>
      </c>
      <c r="Z2120" s="37">
        <v>0</v>
      </c>
      <c r="AA2120" s="5">
        <v>0</v>
      </c>
      <c r="AB2120" s="5">
        <v>0</v>
      </c>
      <c r="AC2120" s="5">
        <v>0</v>
      </c>
      <c r="AD2120" s="5">
        <v>0</v>
      </c>
      <c r="AE2120" s="10" t="s">
        <v>375</v>
      </c>
      <c r="AF2120" s="10"/>
      <c r="AG2120" s="10" t="s">
        <v>114</v>
      </c>
      <c r="AH2120" s="10">
        <v>42258</v>
      </c>
      <c r="AI2120" s="5">
        <v>2</v>
      </c>
      <c r="AJ2120" s="10" t="s">
        <v>11844</v>
      </c>
      <c r="AK2120" s="10" t="s">
        <v>11845</v>
      </c>
    </row>
    <row r="2121" spans="1:37" ht="36.75" customHeight="1" x14ac:dyDescent="0.35">
      <c r="A2121" s="5"/>
      <c r="B2121" s="5" t="s">
        <v>37</v>
      </c>
      <c r="C2121" s="73" t="str">
        <f t="shared" si="33"/>
        <v>Closed</v>
      </c>
      <c r="D2121" s="45" t="s">
        <v>11846</v>
      </c>
      <c r="E2121" s="54" t="s">
        <v>11847</v>
      </c>
      <c r="F2121" s="5" t="s">
        <v>816</v>
      </c>
      <c r="G2121" s="10">
        <f>DATE(2015,11,9)</f>
        <v>42317</v>
      </c>
      <c r="H2121" s="35">
        <v>1.6909722222222223</v>
      </c>
      <c r="I2121" s="5" t="s">
        <v>179</v>
      </c>
      <c r="J2121" s="10" t="s">
        <v>11848</v>
      </c>
      <c r="K2121" s="5" t="s">
        <v>818</v>
      </c>
      <c r="L2121" s="5" t="s">
        <v>11849</v>
      </c>
      <c r="M2121" s="5" t="s">
        <v>236</v>
      </c>
      <c r="N2121" s="5" t="s">
        <v>123</v>
      </c>
      <c r="O2121" s="5" t="s">
        <v>46</v>
      </c>
      <c r="P2121" s="10" t="s">
        <v>6531</v>
      </c>
      <c r="Q2121" s="10" t="s">
        <v>4190</v>
      </c>
      <c r="R2121" s="10" t="s">
        <v>4190</v>
      </c>
      <c r="S2121" s="5">
        <v>0</v>
      </c>
      <c r="T2121" s="37">
        <v>0</v>
      </c>
      <c r="U2121" s="5">
        <v>0</v>
      </c>
      <c r="V2121" s="37">
        <v>0</v>
      </c>
      <c r="W2121" s="5">
        <v>0</v>
      </c>
      <c r="X2121" s="5">
        <v>0</v>
      </c>
      <c r="Y2121" s="5">
        <v>0</v>
      </c>
      <c r="Z2121" s="37">
        <v>0</v>
      </c>
      <c r="AA2121" s="5">
        <v>0</v>
      </c>
      <c r="AB2121" s="5">
        <v>0</v>
      </c>
      <c r="AC2121" s="5">
        <v>0</v>
      </c>
      <c r="AD2121" s="5">
        <v>0</v>
      </c>
      <c r="AE2121" s="10" t="s">
        <v>73</v>
      </c>
      <c r="AF2121" s="10"/>
      <c r="AG2121" s="10" t="s">
        <v>348</v>
      </c>
      <c r="AH2121" s="10">
        <v>42318</v>
      </c>
      <c r="AI2121" s="5">
        <v>0</v>
      </c>
      <c r="AJ2121" s="10" t="s">
        <v>11850</v>
      </c>
      <c r="AK2121" s="10" t="s">
        <v>11851</v>
      </c>
    </row>
    <row r="2122" spans="1:37" ht="36.75" customHeight="1" x14ac:dyDescent="0.35">
      <c r="A2122" s="5"/>
      <c r="B2122" s="5" t="s">
        <v>37</v>
      </c>
      <c r="C2122" s="73" t="str">
        <f t="shared" si="33"/>
        <v>Closed</v>
      </c>
      <c r="D2122" s="45" t="s">
        <v>11852</v>
      </c>
      <c r="E2122" s="54" t="s">
        <v>11853</v>
      </c>
      <c r="F2122" s="5" t="s">
        <v>816</v>
      </c>
      <c r="G2122" s="10">
        <f>DATE(2015,11,10)</f>
        <v>42318</v>
      </c>
      <c r="H2122" s="35">
        <v>1.4569444444444444</v>
      </c>
      <c r="I2122" s="5" t="s">
        <v>179</v>
      </c>
      <c r="J2122" s="10" t="s">
        <v>11854</v>
      </c>
      <c r="K2122" s="5" t="s">
        <v>818</v>
      </c>
      <c r="L2122" s="5" t="s">
        <v>11855</v>
      </c>
      <c r="M2122" s="5" t="s">
        <v>236</v>
      </c>
      <c r="N2122" s="5" t="s">
        <v>123</v>
      </c>
      <c r="O2122" s="5" t="s">
        <v>67</v>
      </c>
      <c r="P2122" s="10" t="s">
        <v>6531</v>
      </c>
      <c r="Q2122" s="10" t="s">
        <v>11856</v>
      </c>
      <c r="R2122" s="10" t="s">
        <v>11856</v>
      </c>
      <c r="S2122" s="5">
        <v>0</v>
      </c>
      <c r="T2122" s="37">
        <v>0</v>
      </c>
      <c r="U2122" s="5">
        <v>0</v>
      </c>
      <c r="V2122" s="37">
        <v>0</v>
      </c>
      <c r="W2122" s="5">
        <v>0</v>
      </c>
      <c r="X2122" s="5">
        <v>0</v>
      </c>
      <c r="Y2122" s="5">
        <v>0</v>
      </c>
      <c r="Z2122" s="37">
        <v>0</v>
      </c>
      <c r="AA2122" s="5">
        <v>0</v>
      </c>
      <c r="AB2122" s="5">
        <v>0</v>
      </c>
      <c r="AC2122" s="5">
        <v>0</v>
      </c>
      <c r="AD2122" s="5">
        <v>0</v>
      </c>
      <c r="AE2122" s="10" t="s">
        <v>73</v>
      </c>
      <c r="AF2122" s="10"/>
      <c r="AG2122" s="10" t="s">
        <v>114</v>
      </c>
      <c r="AH2122" s="10">
        <v>42318</v>
      </c>
      <c r="AI2122" s="5">
        <v>1</v>
      </c>
      <c r="AJ2122" s="10" t="s">
        <v>11857</v>
      </c>
      <c r="AK2122" s="10" t="s">
        <v>50</v>
      </c>
    </row>
    <row r="2123" spans="1:37" ht="36.75" customHeight="1" x14ac:dyDescent="0.35">
      <c r="A2123" s="5"/>
      <c r="B2123" s="5" t="s">
        <v>37</v>
      </c>
      <c r="C2123" s="73" t="str">
        <f t="shared" si="33"/>
        <v>Closed</v>
      </c>
      <c r="D2123" s="45" t="s">
        <v>11858</v>
      </c>
      <c r="E2123" s="54" t="s">
        <v>11859</v>
      </c>
      <c r="F2123" s="5" t="s">
        <v>6434</v>
      </c>
      <c r="G2123" s="10">
        <f>DATE(2015,11,11)</f>
        <v>42319</v>
      </c>
      <c r="H2123" s="35">
        <v>1.9861111111111112</v>
      </c>
      <c r="I2123" s="5" t="s">
        <v>55</v>
      </c>
      <c r="J2123" s="10" t="s">
        <v>11860</v>
      </c>
      <c r="K2123" s="5" t="s">
        <v>565</v>
      </c>
      <c r="L2123" s="5" t="s">
        <v>11861</v>
      </c>
      <c r="M2123" s="5" t="s">
        <v>45</v>
      </c>
      <c r="N2123" s="5" t="s">
        <v>80</v>
      </c>
      <c r="O2123" s="5" t="s">
        <v>46</v>
      </c>
      <c r="P2123" s="10" t="s">
        <v>60</v>
      </c>
      <c r="Q2123" s="10" t="s">
        <v>567</v>
      </c>
      <c r="R2123" s="10" t="s">
        <v>568</v>
      </c>
      <c r="S2123" s="5">
        <v>0</v>
      </c>
      <c r="T2123" s="37">
        <v>0</v>
      </c>
      <c r="U2123" s="5">
        <v>0</v>
      </c>
      <c r="V2123" s="37">
        <v>0</v>
      </c>
      <c r="W2123" s="5">
        <v>0</v>
      </c>
      <c r="X2123" s="5">
        <v>0</v>
      </c>
      <c r="Y2123" s="5">
        <v>0</v>
      </c>
      <c r="Z2123" s="37">
        <v>0</v>
      </c>
      <c r="AA2123" s="5">
        <v>0</v>
      </c>
      <c r="AB2123" s="5">
        <v>0</v>
      </c>
      <c r="AC2123" s="5">
        <v>0</v>
      </c>
      <c r="AD2123" s="5">
        <v>0</v>
      </c>
      <c r="AE2123" s="10" t="s">
        <v>375</v>
      </c>
      <c r="AF2123" s="10" t="s">
        <v>11862</v>
      </c>
      <c r="AG2123" s="10" t="s">
        <v>8837</v>
      </c>
      <c r="AH2123" s="10">
        <v>42321</v>
      </c>
      <c r="AI2123" s="5">
        <v>0</v>
      </c>
      <c r="AJ2123" s="10" t="s">
        <v>11863</v>
      </c>
      <c r="AK2123" s="10" t="s">
        <v>50</v>
      </c>
    </row>
    <row r="2124" spans="1:37" ht="36.75" customHeight="1" x14ac:dyDescent="0.35">
      <c r="A2124" s="5"/>
      <c r="B2124" s="5" t="s">
        <v>37</v>
      </c>
      <c r="C2124" s="73" t="str">
        <f t="shared" si="33"/>
        <v>Closed</v>
      </c>
      <c r="D2124" s="45" t="s">
        <v>11864</v>
      </c>
      <c r="E2124" s="54" t="s">
        <v>11865</v>
      </c>
      <c r="F2124" s="5" t="s">
        <v>96</v>
      </c>
      <c r="G2124" s="10">
        <f>DATE(2015,11,14)</f>
        <v>42322</v>
      </c>
      <c r="H2124" s="35">
        <v>1.6277777777777778</v>
      </c>
      <c r="I2124" s="5" t="s">
        <v>55</v>
      </c>
      <c r="J2124" s="10" t="s">
        <v>11866</v>
      </c>
      <c r="K2124" s="5" t="s">
        <v>99</v>
      </c>
      <c r="L2124" s="5" t="s">
        <v>11867</v>
      </c>
      <c r="M2124" s="5" t="s">
        <v>45</v>
      </c>
      <c r="N2124" s="5" t="s">
        <v>123</v>
      </c>
      <c r="O2124" s="5" t="s">
        <v>46</v>
      </c>
      <c r="P2124" s="10" t="s">
        <v>67</v>
      </c>
      <c r="Q2124" s="10" t="s">
        <v>99</v>
      </c>
      <c r="R2124" s="10" t="s">
        <v>99</v>
      </c>
      <c r="S2124" s="5">
        <v>2</v>
      </c>
      <c r="T2124" s="37">
        <v>9</v>
      </c>
      <c r="U2124" s="5">
        <v>0</v>
      </c>
      <c r="V2124" s="37">
        <v>0</v>
      </c>
      <c r="W2124" s="5">
        <v>0</v>
      </c>
      <c r="X2124" s="5">
        <v>11</v>
      </c>
      <c r="Y2124" s="5">
        <v>7</v>
      </c>
      <c r="Z2124" s="37">
        <v>14</v>
      </c>
      <c r="AA2124" s="5">
        <v>0</v>
      </c>
      <c r="AB2124" s="5">
        <v>0</v>
      </c>
      <c r="AC2124" s="5">
        <v>0</v>
      </c>
      <c r="AD2124" s="5">
        <v>21</v>
      </c>
      <c r="AE2124" s="10" t="s">
        <v>126</v>
      </c>
      <c r="AF2124" s="10"/>
      <c r="AG2124" s="10" t="s">
        <v>11868</v>
      </c>
      <c r="AH2124" s="10">
        <v>42324</v>
      </c>
      <c r="AI2124" s="5">
        <v>6</v>
      </c>
      <c r="AJ2124" s="10" t="s">
        <v>11869</v>
      </c>
      <c r="AK2124" s="10" t="s">
        <v>11870</v>
      </c>
    </row>
    <row r="2125" spans="1:37" ht="36.75" customHeight="1" x14ac:dyDescent="0.35">
      <c r="A2125" s="5"/>
      <c r="B2125" s="5" t="s">
        <v>37</v>
      </c>
      <c r="C2125" s="73" t="str">
        <f t="shared" si="33"/>
        <v>Closed</v>
      </c>
      <c r="D2125" s="45" t="s">
        <v>11871</v>
      </c>
      <c r="E2125" s="54" t="s">
        <v>11872</v>
      </c>
      <c r="F2125" s="5" t="s">
        <v>563</v>
      </c>
      <c r="G2125" s="10">
        <f>DATE(2015,11,16)</f>
        <v>42324</v>
      </c>
      <c r="H2125" s="35">
        <v>1.7097222222222221</v>
      </c>
      <c r="I2125" s="5" t="s">
        <v>179</v>
      </c>
      <c r="J2125" s="10" t="s">
        <v>11873</v>
      </c>
      <c r="K2125" s="5" t="s">
        <v>565</v>
      </c>
      <c r="L2125" s="5" t="s">
        <v>11874</v>
      </c>
      <c r="M2125" s="5" t="s">
        <v>45</v>
      </c>
      <c r="N2125" s="5" t="s">
        <v>123</v>
      </c>
      <c r="O2125" s="5" t="s">
        <v>59</v>
      </c>
      <c r="P2125" s="10" t="s">
        <v>146</v>
      </c>
      <c r="Q2125" s="10" t="s">
        <v>11875</v>
      </c>
      <c r="R2125" s="10" t="s">
        <v>568</v>
      </c>
      <c r="S2125" s="5">
        <v>0</v>
      </c>
      <c r="T2125" s="37">
        <v>0</v>
      </c>
      <c r="U2125" s="5">
        <v>0</v>
      </c>
      <c r="V2125" s="37">
        <v>0</v>
      </c>
      <c r="W2125" s="5">
        <v>0</v>
      </c>
      <c r="X2125" s="5">
        <v>0</v>
      </c>
      <c r="Y2125" s="5">
        <v>0</v>
      </c>
      <c r="Z2125" s="37">
        <v>0</v>
      </c>
      <c r="AA2125" s="5">
        <v>0</v>
      </c>
      <c r="AB2125" s="5">
        <v>0</v>
      </c>
      <c r="AC2125" s="5">
        <v>0</v>
      </c>
      <c r="AD2125" s="5">
        <v>0</v>
      </c>
      <c r="AE2125" s="10" t="s">
        <v>73</v>
      </c>
      <c r="AF2125" s="10"/>
      <c r="AG2125" s="10" t="s">
        <v>114</v>
      </c>
      <c r="AH2125" s="10">
        <v>42324</v>
      </c>
      <c r="AI2125" s="5">
        <v>0</v>
      </c>
      <c r="AJ2125" s="10" t="s">
        <v>11876</v>
      </c>
      <c r="AK2125" s="10" t="s">
        <v>1215</v>
      </c>
    </row>
    <row r="2126" spans="1:37" ht="36.75" customHeight="1" x14ac:dyDescent="0.35">
      <c r="A2126" s="5"/>
      <c r="B2126" s="5" t="s">
        <v>37</v>
      </c>
      <c r="C2126" s="73" t="str">
        <f t="shared" si="33"/>
        <v>Closed</v>
      </c>
      <c r="D2126" s="45" t="s">
        <v>11877</v>
      </c>
      <c r="E2126" s="54" t="s">
        <v>11878</v>
      </c>
      <c r="F2126" s="5" t="s">
        <v>563</v>
      </c>
      <c r="G2126" s="10">
        <f>DATE(2015,11,17)</f>
        <v>42325</v>
      </c>
      <c r="H2126" s="35">
        <v>1.9402777777777778</v>
      </c>
      <c r="I2126" s="5" t="s">
        <v>179</v>
      </c>
      <c r="J2126" s="10" t="s">
        <v>11879</v>
      </c>
      <c r="K2126" s="5" t="s">
        <v>565</v>
      </c>
      <c r="L2126" s="5" t="s">
        <v>11880</v>
      </c>
      <c r="M2126" s="5" t="s">
        <v>45</v>
      </c>
      <c r="N2126" s="5" t="s">
        <v>123</v>
      </c>
      <c r="O2126" s="5" t="s">
        <v>59</v>
      </c>
      <c r="P2126" s="10" t="s">
        <v>146</v>
      </c>
      <c r="Q2126" s="10" t="s">
        <v>11881</v>
      </c>
      <c r="R2126" s="10" t="s">
        <v>568</v>
      </c>
      <c r="S2126" s="5">
        <v>0</v>
      </c>
      <c r="T2126" s="37">
        <v>0</v>
      </c>
      <c r="U2126" s="5">
        <v>0</v>
      </c>
      <c r="V2126" s="37">
        <v>0</v>
      </c>
      <c r="W2126" s="5">
        <v>0</v>
      </c>
      <c r="X2126" s="5">
        <v>0</v>
      </c>
      <c r="Y2126" s="5">
        <v>0</v>
      </c>
      <c r="Z2126" s="37">
        <v>0</v>
      </c>
      <c r="AA2126" s="5">
        <v>0</v>
      </c>
      <c r="AB2126" s="5">
        <v>0</v>
      </c>
      <c r="AC2126" s="5">
        <v>0</v>
      </c>
      <c r="AD2126" s="5">
        <v>0</v>
      </c>
      <c r="AE2126" s="10" t="s">
        <v>73</v>
      </c>
      <c r="AF2126" s="10"/>
      <c r="AG2126" s="10" t="s">
        <v>114</v>
      </c>
      <c r="AH2126" s="10">
        <v>42325</v>
      </c>
      <c r="AI2126" s="5">
        <v>0</v>
      </c>
      <c r="AJ2126" s="10" t="s">
        <v>11882</v>
      </c>
      <c r="AK2126" s="10" t="s">
        <v>1215</v>
      </c>
    </row>
    <row r="2127" spans="1:37" ht="36.75" customHeight="1" x14ac:dyDescent="0.35">
      <c r="A2127" s="5"/>
      <c r="B2127" s="5" t="s">
        <v>37</v>
      </c>
      <c r="C2127" s="73" t="str">
        <f t="shared" si="33"/>
        <v>Closed</v>
      </c>
      <c r="D2127" s="45" t="s">
        <v>11883</v>
      </c>
      <c r="E2127" s="54" t="s">
        <v>11884</v>
      </c>
      <c r="F2127" s="5" t="s">
        <v>1553</v>
      </c>
      <c r="G2127" s="10">
        <f>DATE(2015,11,17)</f>
        <v>42325</v>
      </c>
      <c r="H2127" s="35">
        <v>0</v>
      </c>
      <c r="I2127" s="5" t="s">
        <v>67</v>
      </c>
      <c r="J2127" s="10" t="s">
        <v>11885</v>
      </c>
      <c r="K2127" s="5" t="s">
        <v>1555</v>
      </c>
      <c r="L2127" s="5" t="s">
        <v>11886</v>
      </c>
      <c r="M2127" s="5" t="s">
        <v>45</v>
      </c>
      <c r="N2127" s="5" t="s">
        <v>123</v>
      </c>
      <c r="O2127" s="5" t="s">
        <v>46</v>
      </c>
      <c r="P2127" s="10" t="s">
        <v>60</v>
      </c>
      <c r="Q2127" s="10" t="s">
        <v>2635</v>
      </c>
      <c r="R2127" s="10" t="s">
        <v>6413</v>
      </c>
      <c r="S2127" s="5">
        <v>0</v>
      </c>
      <c r="T2127" s="37">
        <v>0</v>
      </c>
      <c r="U2127" s="5">
        <v>0</v>
      </c>
      <c r="V2127" s="37">
        <v>0</v>
      </c>
      <c r="W2127" s="5">
        <v>0</v>
      </c>
      <c r="X2127" s="5">
        <v>0</v>
      </c>
      <c r="Y2127" s="5">
        <v>0</v>
      </c>
      <c r="Z2127" s="37">
        <v>0</v>
      </c>
      <c r="AA2127" s="5">
        <v>0</v>
      </c>
      <c r="AB2127" s="5">
        <v>0</v>
      </c>
      <c r="AC2127" s="5">
        <v>0</v>
      </c>
      <c r="AD2127" s="5">
        <v>0</v>
      </c>
      <c r="AE2127" s="10" t="s">
        <v>73</v>
      </c>
      <c r="AF2127" s="10"/>
      <c r="AG2127" s="10" t="s">
        <v>333</v>
      </c>
      <c r="AH2127" s="10">
        <v>42332</v>
      </c>
      <c r="AI2127" s="5">
        <v>2</v>
      </c>
      <c r="AJ2127" s="10" t="s">
        <v>11887</v>
      </c>
      <c r="AK2127" s="10" t="s">
        <v>11888</v>
      </c>
    </row>
    <row r="2128" spans="1:37" ht="36.75" customHeight="1" x14ac:dyDescent="0.35">
      <c r="A2128" s="5"/>
      <c r="B2128" s="5" t="s">
        <v>37</v>
      </c>
      <c r="C2128" s="73" t="str">
        <f t="shared" si="33"/>
        <v>Closed</v>
      </c>
      <c r="D2128" s="45" t="s">
        <v>11889</v>
      </c>
      <c r="E2128" s="54" t="s">
        <v>11890</v>
      </c>
      <c r="F2128" s="5" t="s">
        <v>816</v>
      </c>
      <c r="G2128" s="10">
        <f>DATE(2015,11,19)</f>
        <v>42327</v>
      </c>
      <c r="H2128" s="35">
        <v>1.5444444444444443</v>
      </c>
      <c r="I2128" s="5" t="s">
        <v>55</v>
      </c>
      <c r="J2128" s="10" t="s">
        <v>11891</v>
      </c>
      <c r="K2128" s="5" t="s">
        <v>818</v>
      </c>
      <c r="L2128" s="5" t="s">
        <v>11892</v>
      </c>
      <c r="M2128" s="5" t="s">
        <v>45</v>
      </c>
      <c r="N2128" s="5" t="s">
        <v>123</v>
      </c>
      <c r="O2128" s="5" t="s">
        <v>71</v>
      </c>
      <c r="P2128" s="10" t="s">
        <v>60</v>
      </c>
      <c r="Q2128" s="10" t="s">
        <v>6560</v>
      </c>
      <c r="R2128" s="10" t="s">
        <v>821</v>
      </c>
      <c r="S2128" s="5">
        <v>0</v>
      </c>
      <c r="T2128" s="37">
        <v>0</v>
      </c>
      <c r="U2128" s="5">
        <v>0</v>
      </c>
      <c r="V2128" s="37">
        <v>0</v>
      </c>
      <c r="W2128" s="5">
        <v>0</v>
      </c>
      <c r="X2128" s="5">
        <v>0</v>
      </c>
      <c r="Y2128" s="5">
        <v>0</v>
      </c>
      <c r="Z2128" s="37">
        <v>0</v>
      </c>
      <c r="AA2128" s="5">
        <v>0</v>
      </c>
      <c r="AB2128" s="5">
        <v>0</v>
      </c>
      <c r="AC2128" s="5">
        <v>0</v>
      </c>
      <c r="AD2128" s="5">
        <v>0</v>
      </c>
      <c r="AE2128" s="10" t="s">
        <v>73</v>
      </c>
      <c r="AF2128" s="10"/>
      <c r="AG2128" s="10" t="s">
        <v>333</v>
      </c>
      <c r="AH2128" s="10">
        <v>42327</v>
      </c>
      <c r="AI2128" s="5">
        <v>1</v>
      </c>
      <c r="AJ2128" s="10" t="s">
        <v>11893</v>
      </c>
      <c r="AK2128" s="10" t="s">
        <v>50</v>
      </c>
    </row>
    <row r="2129" spans="1:37" ht="36.75" customHeight="1" x14ac:dyDescent="0.35">
      <c r="A2129" s="5"/>
      <c r="B2129" s="5" t="s">
        <v>37</v>
      </c>
      <c r="C2129" s="73" t="str">
        <f t="shared" si="33"/>
        <v>Closed</v>
      </c>
      <c r="D2129" s="45" t="s">
        <v>11894</v>
      </c>
      <c r="E2129" s="54" t="s">
        <v>11895</v>
      </c>
      <c r="F2129" s="5" t="s">
        <v>1553</v>
      </c>
      <c r="G2129" s="10">
        <f>DATE(2015,11,19)</f>
        <v>42327</v>
      </c>
      <c r="H2129" s="35">
        <v>1.0694444444444444</v>
      </c>
      <c r="I2129" s="5" t="s">
        <v>55</v>
      </c>
      <c r="J2129" s="10" t="s">
        <v>11896</v>
      </c>
      <c r="K2129" s="5" t="s">
        <v>1555</v>
      </c>
      <c r="L2129" s="5" t="s">
        <v>11897</v>
      </c>
      <c r="M2129" s="5" t="s">
        <v>45</v>
      </c>
      <c r="N2129" s="5" t="s">
        <v>123</v>
      </c>
      <c r="O2129" s="5" t="s">
        <v>46</v>
      </c>
      <c r="P2129" s="10" t="s">
        <v>60</v>
      </c>
      <c r="Q2129" s="10" t="s">
        <v>1565</v>
      </c>
      <c r="R2129" s="10" t="s">
        <v>6413</v>
      </c>
      <c r="S2129" s="5">
        <v>0</v>
      </c>
      <c r="T2129" s="37">
        <v>0</v>
      </c>
      <c r="U2129" s="5">
        <v>0</v>
      </c>
      <c r="V2129" s="37">
        <v>0</v>
      </c>
      <c r="W2129" s="5">
        <v>0</v>
      </c>
      <c r="X2129" s="5">
        <v>0</v>
      </c>
      <c r="Y2129" s="5">
        <v>0</v>
      </c>
      <c r="Z2129" s="37">
        <v>0</v>
      </c>
      <c r="AA2129" s="5">
        <v>0</v>
      </c>
      <c r="AB2129" s="5">
        <v>0</v>
      </c>
      <c r="AC2129" s="5">
        <v>0</v>
      </c>
      <c r="AD2129" s="5">
        <v>0</v>
      </c>
      <c r="AE2129" s="10" t="s">
        <v>375</v>
      </c>
      <c r="AF2129" s="10"/>
      <c r="AG2129" s="10" t="s">
        <v>114</v>
      </c>
      <c r="AH2129" s="10">
        <v>42331</v>
      </c>
      <c r="AI2129" s="5">
        <v>0</v>
      </c>
      <c r="AJ2129" s="10" t="s">
        <v>11898</v>
      </c>
      <c r="AK2129" s="10" t="s">
        <v>11899</v>
      </c>
    </row>
    <row r="2130" spans="1:37" ht="36.75" customHeight="1" x14ac:dyDescent="0.35">
      <c r="A2130" s="5"/>
      <c r="B2130" s="5" t="s">
        <v>37</v>
      </c>
      <c r="C2130" s="73" t="str">
        <f t="shared" si="33"/>
        <v>Closed</v>
      </c>
      <c r="D2130" s="45" t="s">
        <v>11900</v>
      </c>
      <c r="E2130" s="54" t="s">
        <v>11901</v>
      </c>
      <c r="F2130" s="5" t="s">
        <v>563</v>
      </c>
      <c r="G2130" s="10">
        <f>DATE(2015,11,20)</f>
        <v>42328</v>
      </c>
      <c r="H2130" s="35">
        <v>1.5722222222222222</v>
      </c>
      <c r="I2130" s="5" t="s">
        <v>179</v>
      </c>
      <c r="J2130" s="10" t="s">
        <v>11902</v>
      </c>
      <c r="K2130" s="5" t="s">
        <v>565</v>
      </c>
      <c r="L2130" s="5" t="s">
        <v>11903</v>
      </c>
      <c r="M2130" s="5" t="s">
        <v>45</v>
      </c>
      <c r="N2130" s="5" t="s">
        <v>123</v>
      </c>
      <c r="O2130" s="5" t="s">
        <v>59</v>
      </c>
      <c r="P2130" s="10" t="s">
        <v>60</v>
      </c>
      <c r="Q2130" s="10" t="s">
        <v>567</v>
      </c>
      <c r="R2130" s="10" t="s">
        <v>568</v>
      </c>
      <c r="S2130" s="5">
        <v>0</v>
      </c>
      <c r="T2130" s="37">
        <v>0</v>
      </c>
      <c r="U2130" s="5">
        <v>0</v>
      </c>
      <c r="V2130" s="37">
        <v>0</v>
      </c>
      <c r="W2130" s="5">
        <v>0</v>
      </c>
      <c r="X2130" s="5">
        <v>0</v>
      </c>
      <c r="Y2130" s="5">
        <v>0</v>
      </c>
      <c r="Z2130" s="37">
        <v>0</v>
      </c>
      <c r="AA2130" s="5">
        <v>0</v>
      </c>
      <c r="AB2130" s="5">
        <v>0</v>
      </c>
      <c r="AC2130" s="5">
        <v>0</v>
      </c>
      <c r="AD2130" s="5">
        <v>0</v>
      </c>
      <c r="AE2130" s="10" t="s">
        <v>73</v>
      </c>
      <c r="AF2130" s="10"/>
      <c r="AG2130" s="10" t="s">
        <v>114</v>
      </c>
      <c r="AH2130" s="10">
        <v>42328</v>
      </c>
      <c r="AI2130" s="5">
        <v>0</v>
      </c>
      <c r="AJ2130" s="10" t="s">
        <v>11904</v>
      </c>
      <c r="AK2130" s="10" t="s">
        <v>1215</v>
      </c>
    </row>
    <row r="2131" spans="1:37" ht="36.75" customHeight="1" x14ac:dyDescent="0.35">
      <c r="A2131" s="5"/>
      <c r="B2131" s="5" t="s">
        <v>37</v>
      </c>
      <c r="C2131" s="73" t="str">
        <f t="shared" si="33"/>
        <v>Closed</v>
      </c>
      <c r="D2131" s="45" t="s">
        <v>11905</v>
      </c>
      <c r="E2131" s="54" t="s">
        <v>11906</v>
      </c>
      <c r="F2131" s="5" t="s">
        <v>619</v>
      </c>
      <c r="G2131" s="10">
        <f>DATE(2015,11,20)</f>
        <v>42328</v>
      </c>
      <c r="H2131" s="35">
        <v>1.8493055555555555</v>
      </c>
      <c r="I2131" s="5" t="s">
        <v>55</v>
      </c>
      <c r="J2131" s="10" t="s">
        <v>11907</v>
      </c>
      <c r="K2131" s="5" t="s">
        <v>621</v>
      </c>
      <c r="L2131" s="5" t="s">
        <v>11908</v>
      </c>
      <c r="M2131" s="5" t="s">
        <v>45</v>
      </c>
      <c r="N2131" s="5" t="s">
        <v>80</v>
      </c>
      <c r="O2131" s="5" t="s">
        <v>46</v>
      </c>
      <c r="P2131" s="10" t="s">
        <v>60</v>
      </c>
      <c r="Q2131" s="10" t="s">
        <v>4884</v>
      </c>
      <c r="R2131" s="10" t="s">
        <v>624</v>
      </c>
      <c r="S2131" s="5">
        <v>0</v>
      </c>
      <c r="T2131" s="37">
        <v>0</v>
      </c>
      <c r="U2131" s="5">
        <v>0</v>
      </c>
      <c r="V2131" s="37">
        <v>0</v>
      </c>
      <c r="W2131" s="5">
        <v>0</v>
      </c>
      <c r="X2131" s="5">
        <v>0</v>
      </c>
      <c r="Y2131" s="5">
        <v>0</v>
      </c>
      <c r="Z2131" s="37">
        <v>0</v>
      </c>
      <c r="AA2131" s="5">
        <v>0</v>
      </c>
      <c r="AB2131" s="5">
        <v>0</v>
      </c>
      <c r="AC2131" s="5">
        <v>0</v>
      </c>
      <c r="AD2131" s="5">
        <v>0</v>
      </c>
      <c r="AE2131" s="10" t="s">
        <v>73</v>
      </c>
      <c r="AF2131" s="10"/>
      <c r="AG2131" s="10" t="s">
        <v>333</v>
      </c>
      <c r="AH2131" s="10">
        <v>42360</v>
      </c>
      <c r="AI2131" s="5">
        <v>2</v>
      </c>
      <c r="AJ2131" s="10" t="s">
        <v>11909</v>
      </c>
      <c r="AK2131" s="10" t="s">
        <v>50</v>
      </c>
    </row>
    <row r="2132" spans="1:37" ht="36.75" customHeight="1" x14ac:dyDescent="0.35">
      <c r="A2132" s="5"/>
      <c r="B2132" s="5" t="s">
        <v>37</v>
      </c>
      <c r="C2132" s="73" t="str">
        <f t="shared" si="33"/>
        <v>Closed</v>
      </c>
      <c r="D2132" s="45" t="s">
        <v>11910</v>
      </c>
      <c r="E2132" s="54" t="s">
        <v>11911</v>
      </c>
      <c r="F2132" s="5" t="s">
        <v>816</v>
      </c>
      <c r="G2132" s="10">
        <f>DATE(2015,11,24)</f>
        <v>42332</v>
      </c>
      <c r="H2132" s="35">
        <v>1.5694444444444444</v>
      </c>
      <c r="I2132" s="5" t="s">
        <v>2059</v>
      </c>
      <c r="J2132" s="10" t="s">
        <v>11912</v>
      </c>
      <c r="K2132" s="5" t="s">
        <v>818</v>
      </c>
      <c r="L2132" s="5" t="s">
        <v>11913</v>
      </c>
      <c r="M2132" s="5" t="s">
        <v>45</v>
      </c>
      <c r="N2132" s="5" t="s">
        <v>80</v>
      </c>
      <c r="O2132" s="5" t="s">
        <v>46</v>
      </c>
      <c r="P2132" s="10" t="s">
        <v>11914</v>
      </c>
      <c r="Q2132" s="10" t="s">
        <v>11915</v>
      </c>
      <c r="R2132" s="10" t="s">
        <v>821</v>
      </c>
      <c r="S2132" s="5">
        <v>0</v>
      </c>
      <c r="T2132" s="37">
        <v>0</v>
      </c>
      <c r="U2132" s="5">
        <v>0</v>
      </c>
      <c r="V2132" s="37">
        <v>0</v>
      </c>
      <c r="W2132" s="5">
        <v>0</v>
      </c>
      <c r="X2132" s="5">
        <v>0</v>
      </c>
      <c r="Y2132" s="5">
        <v>0</v>
      </c>
      <c r="Z2132" s="37">
        <v>0</v>
      </c>
      <c r="AA2132" s="5">
        <v>0</v>
      </c>
      <c r="AB2132" s="5">
        <v>0</v>
      </c>
      <c r="AC2132" s="5">
        <v>0</v>
      </c>
      <c r="AD2132" s="5">
        <v>0</v>
      </c>
      <c r="AE2132" s="10" t="s">
        <v>73</v>
      </c>
      <c r="AF2132" s="10"/>
      <c r="AG2132" s="10" t="s">
        <v>114</v>
      </c>
      <c r="AH2132" s="10">
        <v>42332</v>
      </c>
      <c r="AI2132" s="5">
        <v>0</v>
      </c>
      <c r="AJ2132" s="10" t="s">
        <v>8619</v>
      </c>
      <c r="AK2132" s="10" t="s">
        <v>50</v>
      </c>
    </row>
    <row r="2133" spans="1:37" ht="36.75" customHeight="1" x14ac:dyDescent="0.35">
      <c r="A2133" s="5"/>
      <c r="B2133" s="5" t="s">
        <v>37</v>
      </c>
      <c r="C2133" s="73" t="str">
        <f t="shared" si="33"/>
        <v>Closed</v>
      </c>
      <c r="D2133" s="45" t="s">
        <v>11916</v>
      </c>
      <c r="E2133" s="54" t="s">
        <v>11917</v>
      </c>
      <c r="F2133" s="5" t="s">
        <v>1751</v>
      </c>
      <c r="G2133" s="10">
        <f>DATE(2015,11,25)</f>
        <v>42333</v>
      </c>
      <c r="H2133" s="35">
        <v>1.5590277777777777</v>
      </c>
      <c r="I2133" s="5" t="s">
        <v>97</v>
      </c>
      <c r="J2133" s="10" t="s">
        <v>11918</v>
      </c>
      <c r="K2133" s="5" t="s">
        <v>1753</v>
      </c>
      <c r="L2133" s="5" t="s">
        <v>11919</v>
      </c>
      <c r="M2133" s="5" t="s">
        <v>45</v>
      </c>
      <c r="N2133" s="5" t="s">
        <v>123</v>
      </c>
      <c r="O2133" s="5" t="s">
        <v>46</v>
      </c>
      <c r="P2133" s="10" t="s">
        <v>146</v>
      </c>
      <c r="Q2133" s="10" t="s">
        <v>4269</v>
      </c>
      <c r="R2133" s="10" t="s">
        <v>1756</v>
      </c>
      <c r="S2133" s="5">
        <v>0</v>
      </c>
      <c r="T2133" s="37">
        <v>0</v>
      </c>
      <c r="U2133" s="5">
        <v>1</v>
      </c>
      <c r="V2133" s="37">
        <v>0</v>
      </c>
      <c r="W2133" s="5">
        <v>0</v>
      </c>
      <c r="X2133" s="5">
        <v>1</v>
      </c>
      <c r="Y2133" s="5">
        <v>0</v>
      </c>
      <c r="Z2133" s="37">
        <v>0</v>
      </c>
      <c r="AA2133" s="5">
        <v>0</v>
      </c>
      <c r="AB2133" s="5">
        <v>0</v>
      </c>
      <c r="AC2133" s="5">
        <v>0</v>
      </c>
      <c r="AD2133" s="5">
        <v>0</v>
      </c>
      <c r="AE2133" s="10" t="s">
        <v>375</v>
      </c>
      <c r="AF2133" s="10"/>
      <c r="AG2133" s="10" t="s">
        <v>64</v>
      </c>
      <c r="AH2133" s="10">
        <v>42340</v>
      </c>
      <c r="AI2133" s="5">
        <v>0</v>
      </c>
      <c r="AJ2133" s="10" t="s">
        <v>11920</v>
      </c>
      <c r="AK2133" s="10" t="s">
        <v>11921</v>
      </c>
    </row>
    <row r="2134" spans="1:37" ht="36.75" customHeight="1" x14ac:dyDescent="0.35">
      <c r="A2134" s="5"/>
      <c r="B2134" s="5" t="s">
        <v>37</v>
      </c>
      <c r="C2134" s="73" t="str">
        <f t="shared" si="33"/>
        <v>Closed</v>
      </c>
      <c r="D2134" s="45" t="s">
        <v>11922</v>
      </c>
      <c r="E2134" s="54" t="s">
        <v>11923</v>
      </c>
      <c r="F2134" s="5" t="s">
        <v>432</v>
      </c>
      <c r="G2134" s="10">
        <f>DATE(2015,11,26)</f>
        <v>42334</v>
      </c>
      <c r="H2134" s="35">
        <v>1.0888888888888888</v>
      </c>
      <c r="I2134" s="5" t="s">
        <v>259</v>
      </c>
      <c r="J2134" s="10" t="s">
        <v>11924</v>
      </c>
      <c r="K2134" s="5" t="s">
        <v>434</v>
      </c>
      <c r="L2134" s="5" t="s">
        <v>11925</v>
      </c>
      <c r="M2134" s="5" t="s">
        <v>45</v>
      </c>
      <c r="N2134" s="5" t="s">
        <v>123</v>
      </c>
      <c r="O2134" s="5" t="s">
        <v>59</v>
      </c>
      <c r="P2134" s="10" t="s">
        <v>47</v>
      </c>
      <c r="Q2134" s="10" t="s">
        <v>552</v>
      </c>
      <c r="R2134" s="10" t="s">
        <v>553</v>
      </c>
      <c r="S2134" s="5">
        <v>0</v>
      </c>
      <c r="T2134" s="37">
        <v>0</v>
      </c>
      <c r="U2134" s="5">
        <v>0</v>
      </c>
      <c r="V2134" s="37">
        <v>1</v>
      </c>
      <c r="W2134" s="5">
        <v>0</v>
      </c>
      <c r="X2134" s="5">
        <v>1</v>
      </c>
      <c r="Y2134" s="5">
        <v>0</v>
      </c>
      <c r="Z2134" s="37">
        <v>0</v>
      </c>
      <c r="AA2134" s="5">
        <v>0</v>
      </c>
      <c r="AB2134" s="5">
        <v>0</v>
      </c>
      <c r="AC2134" s="5">
        <v>0</v>
      </c>
      <c r="AD2134" s="5">
        <v>0</v>
      </c>
      <c r="AE2134" s="10" t="s">
        <v>73</v>
      </c>
      <c r="AF2134" s="10"/>
      <c r="AG2134" s="10" t="s">
        <v>64</v>
      </c>
      <c r="AH2134" s="10">
        <v>42338</v>
      </c>
      <c r="AI2134" s="5">
        <v>0</v>
      </c>
      <c r="AJ2134" s="10" t="s">
        <v>11926</v>
      </c>
      <c r="AK2134" s="10" t="s">
        <v>50</v>
      </c>
    </row>
    <row r="2135" spans="1:37" ht="36.75" customHeight="1" x14ac:dyDescent="0.35">
      <c r="A2135" s="5"/>
      <c r="B2135" s="5" t="s">
        <v>37</v>
      </c>
      <c r="C2135" s="73" t="str">
        <f t="shared" si="33"/>
        <v>Closed</v>
      </c>
      <c r="D2135" s="45" t="s">
        <v>11927</v>
      </c>
      <c r="E2135" s="54" t="s">
        <v>11928</v>
      </c>
      <c r="F2135" s="5" t="s">
        <v>6434</v>
      </c>
      <c r="G2135" s="10">
        <f>DATE(2015,11,28)</f>
        <v>42336</v>
      </c>
      <c r="H2135" s="35">
        <v>1.0881944444444445</v>
      </c>
      <c r="I2135" s="5" t="s">
        <v>179</v>
      </c>
      <c r="J2135" s="10" t="s">
        <v>11929</v>
      </c>
      <c r="K2135" s="5" t="s">
        <v>565</v>
      </c>
      <c r="L2135" s="5" t="s">
        <v>11930</v>
      </c>
      <c r="M2135" s="5" t="s">
        <v>45</v>
      </c>
      <c r="N2135" s="5" t="s">
        <v>123</v>
      </c>
      <c r="O2135" s="5" t="s">
        <v>59</v>
      </c>
      <c r="P2135" s="10" t="s">
        <v>60</v>
      </c>
      <c r="Q2135" s="10" t="s">
        <v>11931</v>
      </c>
      <c r="R2135" s="10" t="s">
        <v>568</v>
      </c>
      <c r="S2135" s="5">
        <v>0</v>
      </c>
      <c r="T2135" s="37">
        <v>1</v>
      </c>
      <c r="U2135" s="5">
        <v>0</v>
      </c>
      <c r="V2135" s="37">
        <v>0</v>
      </c>
      <c r="W2135" s="5">
        <v>0</v>
      </c>
      <c r="X2135" s="5">
        <v>1</v>
      </c>
      <c r="Y2135" s="5">
        <v>0</v>
      </c>
      <c r="Z2135" s="37">
        <v>0</v>
      </c>
      <c r="AA2135" s="5">
        <v>0</v>
      </c>
      <c r="AB2135" s="5">
        <v>0</v>
      </c>
      <c r="AC2135" s="5">
        <v>0</v>
      </c>
      <c r="AD2135" s="5">
        <v>0</v>
      </c>
      <c r="AE2135" s="10" t="s">
        <v>73</v>
      </c>
      <c r="AF2135" s="10" t="s">
        <v>11932</v>
      </c>
      <c r="AG2135" s="10" t="s">
        <v>6438</v>
      </c>
      <c r="AH2135" s="10">
        <v>42336</v>
      </c>
      <c r="AI2135" s="5">
        <v>0</v>
      </c>
      <c r="AJ2135" s="10" t="s">
        <v>11933</v>
      </c>
      <c r="AK2135" s="10" t="s">
        <v>10547</v>
      </c>
    </row>
    <row r="2136" spans="1:37" ht="36.75" customHeight="1" x14ac:dyDescent="0.35">
      <c r="A2136" s="5"/>
      <c r="B2136" s="5" t="s">
        <v>37</v>
      </c>
      <c r="C2136" s="73" t="str">
        <f t="shared" si="33"/>
        <v>Closed</v>
      </c>
      <c r="D2136" s="45" t="s">
        <v>11934</v>
      </c>
      <c r="E2136" s="54" t="s">
        <v>11935</v>
      </c>
      <c r="F2136" s="5" t="s">
        <v>816</v>
      </c>
      <c r="G2136" s="10">
        <f>DATE(2015,11,28)</f>
        <v>42336</v>
      </c>
      <c r="H2136" s="35">
        <v>1.5729166666666665</v>
      </c>
      <c r="I2136" s="5" t="s">
        <v>55</v>
      </c>
      <c r="J2136" s="10" t="s">
        <v>11936</v>
      </c>
      <c r="K2136" s="5" t="s">
        <v>818</v>
      </c>
      <c r="L2136" s="5" t="s">
        <v>11937</v>
      </c>
      <c r="M2136" s="5" t="s">
        <v>9897</v>
      </c>
      <c r="N2136" s="5" t="s">
        <v>80</v>
      </c>
      <c r="O2136" s="5" t="s">
        <v>46</v>
      </c>
      <c r="P2136" s="10" t="s">
        <v>146</v>
      </c>
      <c r="Q2136" s="10" t="s">
        <v>2142</v>
      </c>
      <c r="R2136" s="10" t="s">
        <v>821</v>
      </c>
      <c r="S2136" s="5">
        <v>0</v>
      </c>
      <c r="T2136" s="37">
        <v>0</v>
      </c>
      <c r="U2136" s="5">
        <v>0</v>
      </c>
      <c r="V2136" s="37">
        <v>0</v>
      </c>
      <c r="W2136" s="5">
        <v>0</v>
      </c>
      <c r="X2136" s="5">
        <v>0</v>
      </c>
      <c r="Y2136" s="5">
        <v>0</v>
      </c>
      <c r="Z2136" s="37">
        <v>0</v>
      </c>
      <c r="AA2136" s="5">
        <v>0</v>
      </c>
      <c r="AB2136" s="5">
        <v>0</v>
      </c>
      <c r="AC2136" s="5">
        <v>0</v>
      </c>
      <c r="AD2136" s="5">
        <v>0</v>
      </c>
      <c r="AE2136" s="10" t="s">
        <v>73</v>
      </c>
      <c r="AF2136" s="10"/>
      <c r="AG2136" s="10" t="s">
        <v>333</v>
      </c>
      <c r="AH2136" s="10">
        <v>42336</v>
      </c>
      <c r="AI2136" s="5">
        <v>0</v>
      </c>
      <c r="AJ2136" s="10" t="s">
        <v>11938</v>
      </c>
      <c r="AK2136" s="10" t="s">
        <v>50</v>
      </c>
    </row>
    <row r="2137" spans="1:37" ht="36.75" customHeight="1" x14ac:dyDescent="0.35">
      <c r="A2137" s="5"/>
      <c r="B2137" s="5" t="s">
        <v>37</v>
      </c>
      <c r="C2137" s="73" t="str">
        <f t="shared" si="33"/>
        <v>Closed</v>
      </c>
      <c r="D2137" s="45" t="s">
        <v>11939</v>
      </c>
      <c r="E2137" s="54" t="s">
        <v>11940</v>
      </c>
      <c r="F2137" s="5" t="s">
        <v>816</v>
      </c>
      <c r="G2137" s="10">
        <f>DATE(2015,11,30)</f>
        <v>42338</v>
      </c>
      <c r="H2137" s="35">
        <v>1.6263888888888889</v>
      </c>
      <c r="I2137" s="5" t="s">
        <v>97</v>
      </c>
      <c r="J2137" s="10" t="s">
        <v>11941</v>
      </c>
      <c r="K2137" s="5" t="s">
        <v>818</v>
      </c>
      <c r="L2137" s="5" t="s">
        <v>11942</v>
      </c>
      <c r="M2137" s="5" t="s">
        <v>45</v>
      </c>
      <c r="N2137" s="5" t="s">
        <v>80</v>
      </c>
      <c r="O2137" s="5" t="s">
        <v>46</v>
      </c>
      <c r="P2137" s="10" t="s">
        <v>146</v>
      </c>
      <c r="Q2137" s="10" t="s">
        <v>2777</v>
      </c>
      <c r="R2137" s="10" t="s">
        <v>2777</v>
      </c>
      <c r="S2137" s="5">
        <v>0</v>
      </c>
      <c r="T2137" s="37">
        <v>0</v>
      </c>
      <c r="U2137" s="5">
        <v>1</v>
      </c>
      <c r="V2137" s="37">
        <v>0</v>
      </c>
      <c r="W2137" s="5">
        <v>0</v>
      </c>
      <c r="X2137" s="5">
        <v>1</v>
      </c>
      <c r="Y2137" s="5">
        <v>0</v>
      </c>
      <c r="Z2137" s="37">
        <v>0</v>
      </c>
      <c r="AA2137" s="5">
        <v>0</v>
      </c>
      <c r="AB2137" s="5">
        <v>0</v>
      </c>
      <c r="AC2137" s="5">
        <v>0</v>
      </c>
      <c r="AD2137" s="5">
        <v>0</v>
      </c>
      <c r="AE2137" s="10" t="s">
        <v>73</v>
      </c>
      <c r="AF2137" s="10"/>
      <c r="AG2137" s="10" t="s">
        <v>333</v>
      </c>
      <c r="AH2137" s="10">
        <v>42339</v>
      </c>
      <c r="AI2137" s="5">
        <v>0</v>
      </c>
      <c r="AJ2137" s="10" t="s">
        <v>11691</v>
      </c>
      <c r="AK2137" s="10" t="s">
        <v>50</v>
      </c>
    </row>
    <row r="2138" spans="1:37" ht="36.75" customHeight="1" x14ac:dyDescent="0.35">
      <c r="A2138" s="5"/>
      <c r="B2138" s="5" t="s">
        <v>37</v>
      </c>
      <c r="C2138" s="73" t="str">
        <f t="shared" si="33"/>
        <v>Closed</v>
      </c>
      <c r="D2138" s="45" t="s">
        <v>11943</v>
      </c>
      <c r="E2138" s="54" t="s">
        <v>11944</v>
      </c>
      <c r="F2138" s="5" t="s">
        <v>178</v>
      </c>
      <c r="G2138" s="10">
        <f>DATE(2015,12,1)</f>
        <v>42339</v>
      </c>
      <c r="H2138" s="35">
        <v>1.3548611111111111</v>
      </c>
      <c r="I2138" s="5" t="s">
        <v>179</v>
      </c>
      <c r="J2138" s="10" t="s">
        <v>11945</v>
      </c>
      <c r="K2138" s="5" t="s">
        <v>181</v>
      </c>
      <c r="L2138" s="5" t="s">
        <v>11946</v>
      </c>
      <c r="M2138" s="5" t="s">
        <v>45</v>
      </c>
      <c r="N2138" s="5" t="s">
        <v>123</v>
      </c>
      <c r="O2138" s="5" t="s">
        <v>46</v>
      </c>
      <c r="P2138" s="10" t="s">
        <v>793</v>
      </c>
      <c r="Q2138" s="10" t="s">
        <v>11947</v>
      </c>
      <c r="R2138" s="10" t="s">
        <v>184</v>
      </c>
      <c r="S2138" s="5">
        <v>0</v>
      </c>
      <c r="T2138" s="37">
        <v>0</v>
      </c>
      <c r="U2138" s="5">
        <v>0</v>
      </c>
      <c r="V2138" s="37">
        <v>0</v>
      </c>
      <c r="W2138" s="5">
        <v>0</v>
      </c>
      <c r="X2138" s="5">
        <v>0</v>
      </c>
      <c r="Y2138" s="5">
        <v>0</v>
      </c>
      <c r="Z2138" s="37">
        <v>1</v>
      </c>
      <c r="AA2138" s="5">
        <v>0</v>
      </c>
      <c r="AB2138" s="5">
        <v>0</v>
      </c>
      <c r="AC2138" s="5">
        <v>0</v>
      </c>
      <c r="AD2138" s="5">
        <v>1</v>
      </c>
      <c r="AE2138" s="10" t="s">
        <v>126</v>
      </c>
      <c r="AF2138" s="10"/>
      <c r="AG2138" s="10" t="s">
        <v>64</v>
      </c>
      <c r="AH2138" s="10">
        <v>42340</v>
      </c>
      <c r="AI2138" s="5">
        <v>0</v>
      </c>
      <c r="AJ2138" s="10" t="s">
        <v>11948</v>
      </c>
      <c r="AK2138" s="10" t="s">
        <v>1215</v>
      </c>
    </row>
    <row r="2139" spans="1:37" ht="36.75" customHeight="1" x14ac:dyDescent="0.35">
      <c r="A2139" s="5"/>
      <c r="B2139" s="5" t="s">
        <v>37</v>
      </c>
      <c r="C2139" s="73" t="str">
        <f t="shared" si="33"/>
        <v>Closed</v>
      </c>
      <c r="D2139" s="45" t="s">
        <v>11949</v>
      </c>
      <c r="E2139" s="54" t="s">
        <v>11950</v>
      </c>
      <c r="F2139" s="5" t="s">
        <v>96</v>
      </c>
      <c r="G2139" s="10">
        <f>DATE(2015,12,1)</f>
        <v>42339</v>
      </c>
      <c r="H2139" s="35">
        <v>1.3368055555555556</v>
      </c>
      <c r="I2139" s="5" t="s">
        <v>55</v>
      </c>
      <c r="J2139" s="10" t="s">
        <v>11951</v>
      </c>
      <c r="K2139" s="5" t="s">
        <v>99</v>
      </c>
      <c r="L2139" s="5" t="s">
        <v>11952</v>
      </c>
      <c r="M2139" s="5" t="s">
        <v>45</v>
      </c>
      <c r="N2139" s="5" t="s">
        <v>123</v>
      </c>
      <c r="O2139" s="5" t="s">
        <v>59</v>
      </c>
      <c r="P2139" s="10" t="s">
        <v>6920</v>
      </c>
      <c r="Q2139" s="10" t="s">
        <v>99</v>
      </c>
      <c r="R2139" s="10" t="s">
        <v>102</v>
      </c>
      <c r="S2139" s="5">
        <v>0</v>
      </c>
      <c r="T2139" s="37">
        <v>0</v>
      </c>
      <c r="U2139" s="5">
        <v>0</v>
      </c>
      <c r="V2139" s="37">
        <v>0</v>
      </c>
      <c r="W2139" s="5">
        <v>0</v>
      </c>
      <c r="X2139" s="5">
        <v>0</v>
      </c>
      <c r="Y2139" s="5">
        <v>0</v>
      </c>
      <c r="Z2139" s="37">
        <v>0</v>
      </c>
      <c r="AA2139" s="5">
        <v>0</v>
      </c>
      <c r="AB2139" s="5">
        <v>0</v>
      </c>
      <c r="AC2139" s="5">
        <v>0</v>
      </c>
      <c r="AD2139" s="5">
        <v>0</v>
      </c>
      <c r="AE2139" s="10" t="s">
        <v>73</v>
      </c>
      <c r="AF2139" s="10"/>
      <c r="AG2139" s="10" t="s">
        <v>376</v>
      </c>
      <c r="AH2139" s="10">
        <v>42348</v>
      </c>
      <c r="AI2139" s="5">
        <v>2</v>
      </c>
      <c r="AJ2139" s="10" t="s">
        <v>11953</v>
      </c>
      <c r="AK2139" s="10" t="s">
        <v>11954</v>
      </c>
    </row>
    <row r="2140" spans="1:37" ht="36.75" customHeight="1" x14ac:dyDescent="0.35">
      <c r="A2140" s="5"/>
      <c r="B2140" s="5" t="s">
        <v>37</v>
      </c>
      <c r="C2140" s="73" t="str">
        <f t="shared" si="33"/>
        <v>Closed</v>
      </c>
      <c r="D2140" s="45" t="s">
        <v>11955</v>
      </c>
      <c r="E2140" s="54" t="s">
        <v>11956</v>
      </c>
      <c r="F2140" s="5" t="s">
        <v>816</v>
      </c>
      <c r="G2140" s="10">
        <f>DATE(2015,12,1)</f>
        <v>42339</v>
      </c>
      <c r="H2140" s="35">
        <v>1.557638888888889</v>
      </c>
      <c r="I2140" s="5" t="s">
        <v>55</v>
      </c>
      <c r="J2140" s="10" t="s">
        <v>11957</v>
      </c>
      <c r="K2140" s="5" t="s">
        <v>818</v>
      </c>
      <c r="L2140" s="5" t="s">
        <v>11958</v>
      </c>
      <c r="M2140" s="5" t="s">
        <v>45</v>
      </c>
      <c r="N2140" s="5" t="s">
        <v>123</v>
      </c>
      <c r="O2140" s="5" t="s">
        <v>59</v>
      </c>
      <c r="P2140" s="10" t="s">
        <v>60</v>
      </c>
      <c r="Q2140" s="10" t="s">
        <v>4688</v>
      </c>
      <c r="R2140" s="10" t="s">
        <v>821</v>
      </c>
      <c r="S2140" s="5">
        <v>0</v>
      </c>
      <c r="T2140" s="37">
        <v>0</v>
      </c>
      <c r="U2140" s="5">
        <v>0</v>
      </c>
      <c r="V2140" s="37">
        <v>0</v>
      </c>
      <c r="W2140" s="5">
        <v>0</v>
      </c>
      <c r="X2140" s="5">
        <v>0</v>
      </c>
      <c r="Y2140" s="5">
        <v>0</v>
      </c>
      <c r="Z2140" s="37">
        <v>0</v>
      </c>
      <c r="AA2140" s="5">
        <v>0</v>
      </c>
      <c r="AB2140" s="5">
        <v>0</v>
      </c>
      <c r="AC2140" s="5">
        <v>0</v>
      </c>
      <c r="AD2140" s="5">
        <v>0</v>
      </c>
      <c r="AE2140" s="10" t="s">
        <v>73</v>
      </c>
      <c r="AF2140" s="10"/>
      <c r="AG2140" s="10" t="s">
        <v>333</v>
      </c>
      <c r="AH2140" s="10">
        <v>42347</v>
      </c>
      <c r="AI2140" s="5">
        <v>0</v>
      </c>
      <c r="AJ2140" s="10" t="s">
        <v>11959</v>
      </c>
      <c r="AK2140" s="10" t="s">
        <v>50</v>
      </c>
    </row>
    <row r="2141" spans="1:37" ht="36.75" customHeight="1" x14ac:dyDescent="0.35">
      <c r="A2141" s="5"/>
      <c r="B2141" s="5" t="s">
        <v>37</v>
      </c>
      <c r="C2141" s="73" t="str">
        <f t="shared" si="33"/>
        <v>Closed</v>
      </c>
      <c r="D2141" s="45" t="s">
        <v>11960</v>
      </c>
      <c r="E2141" s="54" t="s">
        <v>11961</v>
      </c>
      <c r="F2141" s="5" t="s">
        <v>404</v>
      </c>
      <c r="G2141" s="10">
        <f>DATE(2015,12,4)</f>
        <v>42342</v>
      </c>
      <c r="H2141" s="35">
        <v>1.3666666666666667</v>
      </c>
      <c r="I2141" s="5" t="s">
        <v>97</v>
      </c>
      <c r="J2141" s="10" t="s">
        <v>11962</v>
      </c>
      <c r="K2141" s="5" t="s">
        <v>406</v>
      </c>
      <c r="L2141" s="5" t="s">
        <v>11963</v>
      </c>
      <c r="M2141" s="5" t="s">
        <v>45</v>
      </c>
      <c r="N2141" s="5" t="s">
        <v>80</v>
      </c>
      <c r="O2141" s="5" t="s">
        <v>46</v>
      </c>
      <c r="P2141" s="10" t="s">
        <v>146</v>
      </c>
      <c r="Q2141" s="10" t="s">
        <v>4531</v>
      </c>
      <c r="R2141" s="10" t="s">
        <v>3083</v>
      </c>
      <c r="S2141" s="5">
        <v>0</v>
      </c>
      <c r="T2141" s="37">
        <v>0</v>
      </c>
      <c r="U2141" s="5">
        <v>3</v>
      </c>
      <c r="V2141" s="37">
        <v>0</v>
      </c>
      <c r="W2141" s="5">
        <v>0</v>
      </c>
      <c r="X2141" s="5">
        <v>3</v>
      </c>
      <c r="Y2141" s="5">
        <v>0</v>
      </c>
      <c r="Z2141" s="37">
        <v>0</v>
      </c>
      <c r="AA2141" s="5">
        <v>1</v>
      </c>
      <c r="AB2141" s="5">
        <v>0</v>
      </c>
      <c r="AC2141" s="5">
        <v>0</v>
      </c>
      <c r="AD2141" s="5">
        <v>1</v>
      </c>
      <c r="AE2141" s="10" t="s">
        <v>73</v>
      </c>
      <c r="AF2141" s="10"/>
      <c r="AG2141" s="10" t="s">
        <v>114</v>
      </c>
      <c r="AH2141" s="10">
        <v>42354</v>
      </c>
      <c r="AI2141" s="5">
        <v>3</v>
      </c>
      <c r="AJ2141" s="10" t="s">
        <v>11964</v>
      </c>
      <c r="AK2141" s="10" t="s">
        <v>11965</v>
      </c>
    </row>
    <row r="2142" spans="1:37" ht="36.75" customHeight="1" x14ac:dyDescent="0.35">
      <c r="A2142" s="5"/>
      <c r="B2142" s="5" t="s">
        <v>37</v>
      </c>
      <c r="C2142" s="73" t="str">
        <f t="shared" si="33"/>
        <v>Closed</v>
      </c>
      <c r="D2142" s="45" t="s">
        <v>11966</v>
      </c>
      <c r="E2142" s="54" t="s">
        <v>11967</v>
      </c>
      <c r="F2142" s="5" t="s">
        <v>404</v>
      </c>
      <c r="G2142" s="10">
        <f>DATE(2015,12,11)</f>
        <v>42349</v>
      </c>
      <c r="H2142" s="35">
        <v>1.3180555555555555</v>
      </c>
      <c r="I2142" s="5" t="s">
        <v>97</v>
      </c>
      <c r="J2142" s="10" t="s">
        <v>11968</v>
      </c>
      <c r="K2142" s="5" t="s">
        <v>406</v>
      </c>
      <c r="L2142" s="5" t="s">
        <v>11969</v>
      </c>
      <c r="M2142" s="5" t="s">
        <v>45</v>
      </c>
      <c r="N2142" s="5" t="s">
        <v>80</v>
      </c>
      <c r="O2142" s="5" t="s">
        <v>46</v>
      </c>
      <c r="P2142" s="10" t="s">
        <v>146</v>
      </c>
      <c r="Q2142" s="10" t="s">
        <v>4531</v>
      </c>
      <c r="R2142" s="10" t="s">
        <v>3083</v>
      </c>
      <c r="S2142" s="5">
        <v>0</v>
      </c>
      <c r="T2142" s="37">
        <v>0</v>
      </c>
      <c r="U2142" s="5">
        <v>0</v>
      </c>
      <c r="V2142" s="37">
        <v>0</v>
      </c>
      <c r="W2142" s="5">
        <v>0</v>
      </c>
      <c r="X2142" s="5">
        <v>0</v>
      </c>
      <c r="Y2142" s="5">
        <v>0</v>
      </c>
      <c r="Z2142" s="37">
        <v>0</v>
      </c>
      <c r="AA2142" s="5">
        <v>0</v>
      </c>
      <c r="AB2142" s="5">
        <v>0</v>
      </c>
      <c r="AC2142" s="5">
        <v>0</v>
      </c>
      <c r="AD2142" s="5">
        <v>0</v>
      </c>
      <c r="AE2142" s="10" t="s">
        <v>73</v>
      </c>
      <c r="AF2142" s="10"/>
      <c r="AG2142" s="10" t="s">
        <v>855</v>
      </c>
      <c r="AH2142" s="10">
        <v>42354</v>
      </c>
      <c r="AI2142" s="5">
        <v>4</v>
      </c>
      <c r="AJ2142" s="10" t="s">
        <v>11970</v>
      </c>
      <c r="AK2142" s="10" t="s">
        <v>11971</v>
      </c>
    </row>
    <row r="2143" spans="1:37" ht="36.75" customHeight="1" x14ac:dyDescent="0.35">
      <c r="A2143" s="5"/>
      <c r="B2143" s="5" t="s">
        <v>37</v>
      </c>
      <c r="C2143" s="73" t="str">
        <f t="shared" si="33"/>
        <v>Closed</v>
      </c>
      <c r="D2143" s="45" t="s">
        <v>11972</v>
      </c>
      <c r="E2143" s="54" t="s">
        <v>11973</v>
      </c>
      <c r="F2143" s="5" t="s">
        <v>816</v>
      </c>
      <c r="G2143" s="10">
        <f>DATE(2015,12,19)</f>
        <v>42357</v>
      </c>
      <c r="H2143" s="35">
        <v>1.6736111111111112</v>
      </c>
      <c r="I2143" s="5" t="s">
        <v>85</v>
      </c>
      <c r="J2143" s="10" t="s">
        <v>11974</v>
      </c>
      <c r="K2143" s="5" t="s">
        <v>818</v>
      </c>
      <c r="L2143" s="5" t="s">
        <v>11975</v>
      </c>
      <c r="M2143" s="5" t="s">
        <v>45</v>
      </c>
      <c r="N2143" s="5" t="s">
        <v>80</v>
      </c>
      <c r="O2143" s="5" t="s">
        <v>59</v>
      </c>
      <c r="P2143" s="10" t="s">
        <v>60</v>
      </c>
      <c r="Q2143" s="10" t="s">
        <v>6259</v>
      </c>
      <c r="R2143" s="10" t="s">
        <v>821</v>
      </c>
      <c r="S2143" s="5">
        <v>0</v>
      </c>
      <c r="T2143" s="37">
        <v>0</v>
      </c>
      <c r="U2143" s="5">
        <v>0</v>
      </c>
      <c r="V2143" s="37">
        <v>0</v>
      </c>
      <c r="W2143" s="5">
        <v>0</v>
      </c>
      <c r="X2143" s="5">
        <v>0</v>
      </c>
      <c r="Y2143" s="5">
        <v>0</v>
      </c>
      <c r="Z2143" s="37">
        <v>0</v>
      </c>
      <c r="AA2143" s="5">
        <v>0</v>
      </c>
      <c r="AB2143" s="5">
        <v>0</v>
      </c>
      <c r="AC2143" s="5">
        <v>0</v>
      </c>
      <c r="AD2143" s="5">
        <v>0</v>
      </c>
      <c r="AE2143" s="10" t="s">
        <v>73</v>
      </c>
      <c r="AF2143" s="10"/>
      <c r="AG2143" s="10" t="s">
        <v>333</v>
      </c>
      <c r="AH2143" s="10">
        <v>42367</v>
      </c>
      <c r="AI2143" s="5">
        <v>0</v>
      </c>
      <c r="AJ2143" s="10" t="s">
        <v>11976</v>
      </c>
      <c r="AK2143" s="10" t="s">
        <v>50</v>
      </c>
    </row>
    <row r="2144" spans="1:37" ht="36.75" customHeight="1" x14ac:dyDescent="0.35">
      <c r="A2144" s="5"/>
      <c r="B2144" s="5" t="s">
        <v>37</v>
      </c>
      <c r="C2144" s="73" t="str">
        <f t="shared" si="33"/>
        <v>Closed</v>
      </c>
      <c r="D2144" s="45" t="s">
        <v>11977</v>
      </c>
      <c r="E2144" s="54" t="s">
        <v>11978</v>
      </c>
      <c r="F2144" s="5" t="s">
        <v>1553</v>
      </c>
      <c r="G2144" s="10">
        <f>DATE(2015,12,27)</f>
        <v>42365</v>
      </c>
      <c r="H2144" s="35">
        <v>1.6006944444444444</v>
      </c>
      <c r="I2144" s="5" t="s">
        <v>67</v>
      </c>
      <c r="J2144" s="10" t="s">
        <v>11979</v>
      </c>
      <c r="K2144" s="5" t="s">
        <v>1555</v>
      </c>
      <c r="L2144" s="5" t="s">
        <v>11980</v>
      </c>
      <c r="M2144" s="5" t="s">
        <v>45</v>
      </c>
      <c r="N2144" s="5" t="s">
        <v>123</v>
      </c>
      <c r="O2144" s="5" t="s">
        <v>59</v>
      </c>
      <c r="P2144" s="10" t="s">
        <v>72</v>
      </c>
      <c r="Q2144" s="10" t="s">
        <v>2393</v>
      </c>
      <c r="R2144" s="10" t="s">
        <v>6413</v>
      </c>
      <c r="S2144" s="5">
        <v>0</v>
      </c>
      <c r="T2144" s="37">
        <v>0</v>
      </c>
      <c r="U2144" s="5">
        <v>0</v>
      </c>
      <c r="V2144" s="37">
        <v>0</v>
      </c>
      <c r="W2144" s="5">
        <v>0</v>
      </c>
      <c r="X2144" s="5">
        <v>0</v>
      </c>
      <c r="Y2144" s="5">
        <v>0</v>
      </c>
      <c r="Z2144" s="37">
        <v>0</v>
      </c>
      <c r="AA2144" s="5">
        <v>0</v>
      </c>
      <c r="AB2144" s="5">
        <v>0</v>
      </c>
      <c r="AC2144" s="5">
        <v>0</v>
      </c>
      <c r="AD2144" s="5">
        <v>0</v>
      </c>
      <c r="AE2144" s="10" t="s">
        <v>375</v>
      </c>
      <c r="AF2144" s="10"/>
      <c r="AG2144" s="10" t="s">
        <v>114</v>
      </c>
      <c r="AH2144" s="10">
        <v>42366</v>
      </c>
      <c r="AI2144" s="5">
        <v>0</v>
      </c>
      <c r="AJ2144" s="10" t="s">
        <v>11981</v>
      </c>
      <c r="AK2144" s="10" t="s">
        <v>11982</v>
      </c>
    </row>
    <row r="2145" spans="1:37" ht="36.75" customHeight="1" x14ac:dyDescent="0.35">
      <c r="A2145" s="5"/>
      <c r="B2145" s="5" t="s">
        <v>37</v>
      </c>
      <c r="C2145" s="73" t="str">
        <f t="shared" si="33"/>
        <v>Closed</v>
      </c>
      <c r="D2145" s="45" t="s">
        <v>11983</v>
      </c>
      <c r="E2145" s="54" t="s">
        <v>11984</v>
      </c>
      <c r="F2145" s="5" t="s">
        <v>9767</v>
      </c>
      <c r="G2145" s="10">
        <f>DATE(2015,12,28)</f>
        <v>42366</v>
      </c>
      <c r="H2145" s="35">
        <v>1.5548611111111112</v>
      </c>
      <c r="I2145" s="5" t="s">
        <v>97</v>
      </c>
      <c r="J2145" s="10" t="s">
        <v>11985</v>
      </c>
      <c r="K2145" s="5" t="s">
        <v>9769</v>
      </c>
      <c r="L2145" s="5" t="s">
        <v>11986</v>
      </c>
      <c r="M2145" s="5" t="s">
        <v>45</v>
      </c>
      <c r="N2145" s="5" t="s">
        <v>80</v>
      </c>
      <c r="O2145" s="5" t="s">
        <v>46</v>
      </c>
      <c r="P2145" s="10" t="s">
        <v>146</v>
      </c>
      <c r="Q2145" s="10" t="s">
        <v>9938</v>
      </c>
      <c r="R2145" s="10" t="s">
        <v>9772</v>
      </c>
      <c r="S2145" s="5">
        <v>0</v>
      </c>
      <c r="T2145" s="37">
        <v>0</v>
      </c>
      <c r="U2145" s="5">
        <v>2</v>
      </c>
      <c r="V2145" s="37">
        <v>0</v>
      </c>
      <c r="W2145" s="5">
        <v>0</v>
      </c>
      <c r="X2145" s="5">
        <v>2</v>
      </c>
      <c r="Y2145" s="5">
        <v>0</v>
      </c>
      <c r="Z2145" s="37">
        <v>0</v>
      </c>
      <c r="AA2145" s="5">
        <v>4</v>
      </c>
      <c r="AB2145" s="5">
        <v>0</v>
      </c>
      <c r="AC2145" s="5">
        <v>0</v>
      </c>
      <c r="AD2145" s="5">
        <v>4</v>
      </c>
      <c r="AE2145" s="10" t="s">
        <v>73</v>
      </c>
      <c r="AF2145" s="10"/>
      <c r="AG2145" s="10" t="s">
        <v>64</v>
      </c>
      <c r="AH2145" s="10">
        <v>42367</v>
      </c>
      <c r="AI2145" s="5">
        <v>2</v>
      </c>
      <c r="AJ2145" s="10" t="s">
        <v>11987</v>
      </c>
      <c r="AK2145" s="10" t="s">
        <v>11988</v>
      </c>
    </row>
    <row r="2146" spans="1:37" ht="36.75" customHeight="1" x14ac:dyDescent="0.35">
      <c r="A2146" s="5"/>
      <c r="B2146" s="5" t="s">
        <v>37</v>
      </c>
      <c r="C2146" s="73" t="str">
        <f t="shared" si="33"/>
        <v>Closed</v>
      </c>
      <c r="D2146" s="45" t="s">
        <v>11989</v>
      </c>
      <c r="E2146" s="54" t="s">
        <v>11990</v>
      </c>
      <c r="F2146" s="5" t="s">
        <v>214</v>
      </c>
      <c r="G2146" s="10">
        <f>DATE(2015,12,31)</f>
        <v>42369</v>
      </c>
      <c r="H2146" s="35">
        <v>1.3159722222222223</v>
      </c>
      <c r="I2146" s="5" t="s">
        <v>5473</v>
      </c>
      <c r="J2146" s="10" t="s">
        <v>11991</v>
      </c>
      <c r="K2146" s="5" t="s">
        <v>216</v>
      </c>
      <c r="L2146" s="5" t="s">
        <v>11992</v>
      </c>
      <c r="M2146" s="5" t="s">
        <v>45</v>
      </c>
      <c r="N2146" s="5" t="s">
        <v>123</v>
      </c>
      <c r="O2146" s="5" t="s">
        <v>67</v>
      </c>
      <c r="P2146" s="10" t="s">
        <v>443</v>
      </c>
      <c r="Q2146" s="10" t="s">
        <v>1577</v>
      </c>
      <c r="R2146" s="10" t="s">
        <v>216</v>
      </c>
      <c r="S2146" s="5">
        <v>0</v>
      </c>
      <c r="T2146" s="37">
        <v>0</v>
      </c>
      <c r="U2146" s="5">
        <v>0</v>
      </c>
      <c r="V2146" s="37">
        <v>0</v>
      </c>
      <c r="W2146" s="5">
        <v>0</v>
      </c>
      <c r="X2146" s="5">
        <v>0</v>
      </c>
      <c r="Y2146" s="5">
        <v>0</v>
      </c>
      <c r="Z2146" s="37">
        <v>0</v>
      </c>
      <c r="AA2146" s="5">
        <v>0</v>
      </c>
      <c r="AB2146" s="5">
        <v>0</v>
      </c>
      <c r="AC2146" s="5">
        <v>0</v>
      </c>
      <c r="AD2146" s="5">
        <v>0</v>
      </c>
      <c r="AE2146" s="10" t="s">
        <v>73</v>
      </c>
      <c r="AF2146" s="10"/>
      <c r="AG2146" s="10" t="s">
        <v>114</v>
      </c>
      <c r="AH2146" s="10">
        <v>42387</v>
      </c>
      <c r="AI2146" s="5">
        <v>3</v>
      </c>
      <c r="AJ2146" s="10" t="s">
        <v>11993</v>
      </c>
      <c r="AK2146" s="10" t="s">
        <v>11994</v>
      </c>
    </row>
    <row r="2147" spans="1:37" ht="36.75" customHeight="1" x14ac:dyDescent="0.35">
      <c r="A2147" s="5"/>
      <c r="B2147" s="5" t="s">
        <v>37</v>
      </c>
      <c r="C2147" s="73" t="str">
        <f t="shared" si="33"/>
        <v>Closed</v>
      </c>
      <c r="D2147" s="45" t="s">
        <v>11995</v>
      </c>
      <c r="E2147" s="54" t="s">
        <v>11996</v>
      </c>
      <c r="F2147" s="5" t="s">
        <v>214</v>
      </c>
      <c r="G2147" s="10">
        <f>DATE(2016,1,5)</f>
        <v>42374</v>
      </c>
      <c r="H2147" s="35">
        <v>1.3486111111111112</v>
      </c>
      <c r="I2147" s="5" t="s">
        <v>412</v>
      </c>
      <c r="J2147" s="10" t="s">
        <v>11997</v>
      </c>
      <c r="K2147" s="5" t="s">
        <v>216</v>
      </c>
      <c r="L2147" s="5" t="s">
        <v>11998</v>
      </c>
      <c r="M2147" s="5" t="s">
        <v>45</v>
      </c>
      <c r="N2147" s="5" t="s">
        <v>123</v>
      </c>
      <c r="O2147" s="5" t="s">
        <v>46</v>
      </c>
      <c r="P2147" s="10" t="s">
        <v>146</v>
      </c>
      <c r="Q2147" s="10" t="s">
        <v>10436</v>
      </c>
      <c r="R2147" s="10" t="s">
        <v>216</v>
      </c>
      <c r="S2147" s="5">
        <v>0</v>
      </c>
      <c r="T2147" s="37">
        <v>0</v>
      </c>
      <c r="U2147" s="5">
        <v>0</v>
      </c>
      <c r="V2147" s="37">
        <v>0</v>
      </c>
      <c r="W2147" s="5">
        <v>0</v>
      </c>
      <c r="X2147" s="5">
        <v>0</v>
      </c>
      <c r="Y2147" s="5">
        <v>0</v>
      </c>
      <c r="Z2147" s="37">
        <v>0</v>
      </c>
      <c r="AA2147" s="5">
        <v>0</v>
      </c>
      <c r="AB2147" s="5">
        <v>0</v>
      </c>
      <c r="AC2147" s="5">
        <v>0</v>
      </c>
      <c r="AD2147" s="5">
        <v>0</v>
      </c>
      <c r="AE2147" s="10" t="s">
        <v>73</v>
      </c>
      <c r="AF2147" s="10"/>
      <c r="AG2147" s="10" t="s">
        <v>114</v>
      </c>
      <c r="AH2147" s="10">
        <v>42380</v>
      </c>
      <c r="AI2147" s="5">
        <v>3</v>
      </c>
      <c r="AJ2147" s="10" t="s">
        <v>11999</v>
      </c>
      <c r="AK2147" s="10" t="s">
        <v>12000</v>
      </c>
    </row>
    <row r="2148" spans="1:37" ht="36.75" customHeight="1" x14ac:dyDescent="0.35">
      <c r="A2148" s="5"/>
      <c r="B2148" s="5" t="s">
        <v>37</v>
      </c>
      <c r="C2148" s="73" t="str">
        <f t="shared" si="33"/>
        <v>Closed</v>
      </c>
      <c r="D2148" s="91" t="s">
        <v>12001</v>
      </c>
      <c r="E2148" s="54" t="s">
        <v>12002</v>
      </c>
      <c r="F2148" s="5" t="s">
        <v>6434</v>
      </c>
      <c r="G2148" s="10">
        <f>DATE(2016,1,6)</f>
        <v>42375</v>
      </c>
      <c r="H2148" s="35">
        <v>1.8333333333333335</v>
      </c>
      <c r="I2148" s="5" t="s">
        <v>106</v>
      </c>
      <c r="J2148" s="10" t="s">
        <v>12003</v>
      </c>
      <c r="K2148" s="5" t="s">
        <v>565</v>
      </c>
      <c r="L2148" s="5" t="s">
        <v>12004</v>
      </c>
      <c r="M2148" s="5" t="s">
        <v>45</v>
      </c>
      <c r="N2148" s="5" t="s">
        <v>123</v>
      </c>
      <c r="O2148" s="5" t="s">
        <v>46</v>
      </c>
      <c r="P2148" s="10" t="s">
        <v>146</v>
      </c>
      <c r="Q2148" s="10" t="s">
        <v>12005</v>
      </c>
      <c r="R2148" s="10" t="s">
        <v>568</v>
      </c>
      <c r="S2148" s="5">
        <v>0</v>
      </c>
      <c r="T2148" s="37">
        <v>0</v>
      </c>
      <c r="U2148" s="5">
        <v>0</v>
      </c>
      <c r="V2148" s="37">
        <v>0</v>
      </c>
      <c r="W2148" s="5">
        <v>0</v>
      </c>
      <c r="X2148" s="5">
        <v>0</v>
      </c>
      <c r="Y2148" s="5">
        <v>0</v>
      </c>
      <c r="Z2148" s="37">
        <v>0</v>
      </c>
      <c r="AA2148" s="5">
        <v>0</v>
      </c>
      <c r="AB2148" s="5">
        <v>0</v>
      </c>
      <c r="AC2148" s="5">
        <v>0</v>
      </c>
      <c r="AD2148" s="5">
        <v>0</v>
      </c>
      <c r="AE2148" s="10" t="s">
        <v>126</v>
      </c>
      <c r="AF2148" s="10"/>
      <c r="AG2148" s="10" t="s">
        <v>6438</v>
      </c>
      <c r="AH2148" s="10">
        <v>42377</v>
      </c>
      <c r="AI2148" s="5">
        <v>0</v>
      </c>
      <c r="AJ2148" s="10" t="s">
        <v>12006</v>
      </c>
      <c r="AK2148" s="10" t="s">
        <v>50</v>
      </c>
    </row>
    <row r="2149" spans="1:37" ht="36.75" customHeight="1" x14ac:dyDescent="0.35">
      <c r="A2149" s="5"/>
      <c r="B2149" s="5" t="s">
        <v>37</v>
      </c>
      <c r="C2149" s="73" t="str">
        <f t="shared" si="33"/>
        <v>Closed</v>
      </c>
      <c r="D2149" s="45" t="s">
        <v>12007</v>
      </c>
      <c r="E2149" s="54" t="s">
        <v>12008</v>
      </c>
      <c r="F2149" s="5" t="s">
        <v>816</v>
      </c>
      <c r="G2149" s="10">
        <f>DATE(2016,1,6)</f>
        <v>42375</v>
      </c>
      <c r="H2149" s="35">
        <v>1.4555555555555555</v>
      </c>
      <c r="I2149" s="5" t="s">
        <v>259</v>
      </c>
      <c r="J2149" s="10" t="s">
        <v>12009</v>
      </c>
      <c r="K2149" s="5" t="s">
        <v>818</v>
      </c>
      <c r="L2149" s="5" t="s">
        <v>12010</v>
      </c>
      <c r="M2149" s="5" t="s">
        <v>45</v>
      </c>
      <c r="N2149" s="5" t="s">
        <v>123</v>
      </c>
      <c r="O2149" s="5" t="s">
        <v>59</v>
      </c>
      <c r="P2149" s="10" t="s">
        <v>47</v>
      </c>
      <c r="Q2149" s="10" t="s">
        <v>2142</v>
      </c>
      <c r="R2149" s="10" t="s">
        <v>821</v>
      </c>
      <c r="S2149" s="5">
        <v>0</v>
      </c>
      <c r="T2149" s="37">
        <v>0</v>
      </c>
      <c r="U2149" s="5">
        <v>0</v>
      </c>
      <c r="V2149" s="37">
        <v>0</v>
      </c>
      <c r="W2149" s="5">
        <v>0</v>
      </c>
      <c r="X2149" s="5">
        <v>0</v>
      </c>
      <c r="Y2149" s="5">
        <v>0</v>
      </c>
      <c r="Z2149" s="37">
        <v>0</v>
      </c>
      <c r="AA2149" s="5">
        <v>0</v>
      </c>
      <c r="AB2149" s="5">
        <v>0</v>
      </c>
      <c r="AC2149" s="5">
        <v>0</v>
      </c>
      <c r="AD2149" s="5">
        <v>0</v>
      </c>
      <c r="AE2149" s="10" t="s">
        <v>73</v>
      </c>
      <c r="AF2149" s="10"/>
      <c r="AG2149" s="10" t="s">
        <v>1489</v>
      </c>
      <c r="AH2149" s="10">
        <v>42375</v>
      </c>
      <c r="AI2149" s="5">
        <v>1</v>
      </c>
      <c r="AJ2149" s="10" t="s">
        <v>12011</v>
      </c>
      <c r="AK2149" s="10" t="s">
        <v>50</v>
      </c>
    </row>
    <row r="2150" spans="1:37" ht="36.75" customHeight="1" x14ac:dyDescent="0.35">
      <c r="A2150" s="5"/>
      <c r="B2150" s="5" t="s">
        <v>37</v>
      </c>
      <c r="C2150" s="73" t="str">
        <f t="shared" si="33"/>
        <v>Closed</v>
      </c>
      <c r="D2150" s="45" t="s">
        <v>12012</v>
      </c>
      <c r="E2150" s="54" t="s">
        <v>12013</v>
      </c>
      <c r="F2150" s="5" t="s">
        <v>816</v>
      </c>
      <c r="G2150" s="10">
        <f>DATE(2016,1,8)</f>
        <v>42377</v>
      </c>
      <c r="H2150" s="35">
        <v>1.9652777777777777</v>
      </c>
      <c r="I2150" s="5" t="s">
        <v>55</v>
      </c>
      <c r="J2150" s="10" t="s">
        <v>12014</v>
      </c>
      <c r="K2150" s="5" t="s">
        <v>818</v>
      </c>
      <c r="L2150" s="5" t="s">
        <v>12015</v>
      </c>
      <c r="M2150" s="5" t="s">
        <v>45</v>
      </c>
      <c r="N2150" s="5" t="s">
        <v>123</v>
      </c>
      <c r="O2150" s="5" t="s">
        <v>59</v>
      </c>
      <c r="P2150" s="10" t="s">
        <v>60</v>
      </c>
      <c r="Q2150" s="10" t="s">
        <v>4688</v>
      </c>
      <c r="R2150" s="10" t="s">
        <v>821</v>
      </c>
      <c r="S2150" s="5">
        <v>0</v>
      </c>
      <c r="T2150" s="37">
        <v>0</v>
      </c>
      <c r="U2150" s="5">
        <v>0</v>
      </c>
      <c r="V2150" s="37">
        <v>0</v>
      </c>
      <c r="W2150" s="5">
        <v>0</v>
      </c>
      <c r="X2150" s="5">
        <v>0</v>
      </c>
      <c r="Y2150" s="5">
        <v>0</v>
      </c>
      <c r="Z2150" s="37">
        <v>0</v>
      </c>
      <c r="AA2150" s="5">
        <v>0</v>
      </c>
      <c r="AB2150" s="5">
        <v>0</v>
      </c>
      <c r="AC2150" s="5">
        <v>0</v>
      </c>
      <c r="AD2150" s="5">
        <v>0</v>
      </c>
      <c r="AE2150" s="10" t="s">
        <v>73</v>
      </c>
      <c r="AF2150" s="10"/>
      <c r="AG2150" s="10" t="s">
        <v>333</v>
      </c>
      <c r="AH2150" s="10">
        <v>42377</v>
      </c>
      <c r="AI2150" s="5">
        <v>0</v>
      </c>
      <c r="AJ2150" s="10" t="s">
        <v>12016</v>
      </c>
      <c r="AK2150" s="10" t="s">
        <v>12017</v>
      </c>
    </row>
    <row r="2151" spans="1:37" ht="36.75" customHeight="1" x14ac:dyDescent="0.35">
      <c r="A2151" s="5"/>
      <c r="B2151" s="5" t="s">
        <v>37</v>
      </c>
      <c r="C2151" s="73" t="str">
        <f t="shared" si="33"/>
        <v>Closed</v>
      </c>
      <c r="D2151" s="45" t="s">
        <v>12018</v>
      </c>
      <c r="E2151" s="54" t="s">
        <v>12019</v>
      </c>
      <c r="F2151" s="5" t="s">
        <v>1553</v>
      </c>
      <c r="G2151" s="10">
        <f>DATE(2016,1,11)</f>
        <v>42380</v>
      </c>
      <c r="H2151" s="35">
        <v>1.8958333333333335</v>
      </c>
      <c r="I2151" s="5" t="s">
        <v>55</v>
      </c>
      <c r="J2151" s="10" t="s">
        <v>12020</v>
      </c>
      <c r="K2151" s="5" t="s">
        <v>1555</v>
      </c>
      <c r="L2151" s="5" t="s">
        <v>12021</v>
      </c>
      <c r="M2151" s="5" t="s">
        <v>45</v>
      </c>
      <c r="N2151" s="5" t="s">
        <v>123</v>
      </c>
      <c r="O2151" s="5" t="s">
        <v>59</v>
      </c>
      <c r="P2151" s="10" t="s">
        <v>60</v>
      </c>
      <c r="Q2151" s="10" t="s">
        <v>6003</v>
      </c>
      <c r="R2151" s="10" t="s">
        <v>6413</v>
      </c>
      <c r="S2151" s="5">
        <v>0</v>
      </c>
      <c r="T2151" s="37">
        <v>0</v>
      </c>
      <c r="U2151" s="5">
        <v>0</v>
      </c>
      <c r="V2151" s="37">
        <v>0</v>
      </c>
      <c r="W2151" s="5">
        <v>0</v>
      </c>
      <c r="X2151" s="5">
        <v>0</v>
      </c>
      <c r="Y2151" s="5">
        <v>0</v>
      </c>
      <c r="Z2151" s="37">
        <v>0</v>
      </c>
      <c r="AA2151" s="5">
        <v>0</v>
      </c>
      <c r="AB2151" s="5">
        <v>0</v>
      </c>
      <c r="AC2151" s="5">
        <v>0</v>
      </c>
      <c r="AD2151" s="5">
        <v>0</v>
      </c>
      <c r="AE2151" s="10" t="s">
        <v>73</v>
      </c>
      <c r="AF2151" s="10"/>
      <c r="AG2151" s="10" t="s">
        <v>333</v>
      </c>
      <c r="AH2151" s="10">
        <v>42382</v>
      </c>
      <c r="AI2151" s="5">
        <v>0</v>
      </c>
      <c r="AJ2151" s="10" t="s">
        <v>12022</v>
      </c>
      <c r="AK2151" s="10" t="s">
        <v>12023</v>
      </c>
    </row>
    <row r="2152" spans="1:37" ht="36.75" customHeight="1" x14ac:dyDescent="0.35">
      <c r="A2152" s="5"/>
      <c r="B2152" s="5" t="s">
        <v>37</v>
      </c>
      <c r="C2152" s="73" t="str">
        <f t="shared" si="33"/>
        <v>Closed</v>
      </c>
      <c r="D2152" s="45" t="s">
        <v>12024</v>
      </c>
      <c r="E2152" s="54" t="s">
        <v>12025</v>
      </c>
      <c r="F2152" s="5" t="s">
        <v>1751</v>
      </c>
      <c r="G2152" s="10">
        <f>DATE(2016,1,13)</f>
        <v>42382</v>
      </c>
      <c r="H2152" s="35">
        <v>1.870138888888889</v>
      </c>
      <c r="I2152" s="5" t="s">
        <v>179</v>
      </c>
      <c r="J2152" s="10" t="s">
        <v>12026</v>
      </c>
      <c r="K2152" s="5" t="s">
        <v>1753</v>
      </c>
      <c r="L2152" s="5" t="s">
        <v>12027</v>
      </c>
      <c r="M2152" s="5" t="s">
        <v>45</v>
      </c>
      <c r="N2152" s="5" t="s">
        <v>80</v>
      </c>
      <c r="O2152" s="5" t="s">
        <v>59</v>
      </c>
      <c r="P2152" s="10" t="s">
        <v>146</v>
      </c>
      <c r="Q2152" s="10" t="s">
        <v>4269</v>
      </c>
      <c r="R2152" s="10" t="s">
        <v>1756</v>
      </c>
      <c r="S2152" s="5">
        <v>0</v>
      </c>
      <c r="T2152" s="37">
        <v>0</v>
      </c>
      <c r="U2152" s="5">
        <v>0</v>
      </c>
      <c r="V2152" s="37">
        <v>0</v>
      </c>
      <c r="W2152" s="5">
        <v>0</v>
      </c>
      <c r="X2152" s="5">
        <v>0</v>
      </c>
      <c r="Y2152" s="5">
        <v>0</v>
      </c>
      <c r="Z2152" s="37">
        <v>0</v>
      </c>
      <c r="AA2152" s="5">
        <v>0</v>
      </c>
      <c r="AB2152" s="5">
        <v>0</v>
      </c>
      <c r="AC2152" s="5">
        <v>0</v>
      </c>
      <c r="AD2152" s="5">
        <v>0</v>
      </c>
      <c r="AE2152" s="10" t="s">
        <v>73</v>
      </c>
      <c r="AF2152" s="10"/>
      <c r="AG2152" s="10" t="s">
        <v>333</v>
      </c>
      <c r="AH2152" s="10">
        <v>42384</v>
      </c>
      <c r="AI2152" s="5">
        <v>2</v>
      </c>
      <c r="AJ2152" s="10" t="s">
        <v>12028</v>
      </c>
      <c r="AK2152" s="10" t="s">
        <v>12029</v>
      </c>
    </row>
    <row r="2153" spans="1:37" ht="36.75" customHeight="1" x14ac:dyDescent="0.35">
      <c r="A2153" s="5"/>
      <c r="B2153" s="5" t="s">
        <v>37</v>
      </c>
      <c r="C2153" s="73" t="str">
        <f t="shared" si="33"/>
        <v>Closed</v>
      </c>
      <c r="D2153" s="45" t="s">
        <v>12030</v>
      </c>
      <c r="E2153" s="54" t="s">
        <v>12031</v>
      </c>
      <c r="F2153" s="5" t="s">
        <v>96</v>
      </c>
      <c r="G2153" s="10">
        <f>DATE(2016,1,14)</f>
        <v>42383</v>
      </c>
      <c r="H2153" s="35">
        <v>1.1701388888888888</v>
      </c>
      <c r="I2153" s="5" t="s">
        <v>97</v>
      </c>
      <c r="J2153" s="10" t="s">
        <v>12032</v>
      </c>
      <c r="K2153" s="5" t="s">
        <v>99</v>
      </c>
      <c r="L2153" s="5" t="s">
        <v>12033</v>
      </c>
      <c r="M2153" s="5" t="s">
        <v>45</v>
      </c>
      <c r="N2153" s="5" t="s">
        <v>123</v>
      </c>
      <c r="O2153" s="5" t="s">
        <v>46</v>
      </c>
      <c r="P2153" s="10" t="s">
        <v>60</v>
      </c>
      <c r="Q2153" s="10" t="s">
        <v>101</v>
      </c>
      <c r="R2153" s="10" t="s">
        <v>102</v>
      </c>
      <c r="S2153" s="5">
        <v>0</v>
      </c>
      <c r="T2153" s="37">
        <v>0</v>
      </c>
      <c r="U2153" s="5">
        <v>0</v>
      </c>
      <c r="V2153" s="37">
        <v>0</v>
      </c>
      <c r="W2153" s="5">
        <v>0</v>
      </c>
      <c r="X2153" s="5">
        <v>0</v>
      </c>
      <c r="Y2153" s="5">
        <v>0</v>
      </c>
      <c r="Z2153" s="37">
        <v>1</v>
      </c>
      <c r="AA2153" s="5">
        <v>0</v>
      </c>
      <c r="AB2153" s="5">
        <v>0</v>
      </c>
      <c r="AC2153" s="5">
        <v>0</v>
      </c>
      <c r="AD2153" s="5">
        <v>1</v>
      </c>
      <c r="AE2153" s="10" t="s">
        <v>126</v>
      </c>
      <c r="AF2153" s="10"/>
      <c r="AG2153" s="10" t="s">
        <v>64</v>
      </c>
      <c r="AH2153" s="10">
        <v>42383</v>
      </c>
      <c r="AI2153" s="5">
        <v>0</v>
      </c>
      <c r="AJ2153" s="10" t="s">
        <v>12034</v>
      </c>
      <c r="AK2153" s="10" t="s">
        <v>12035</v>
      </c>
    </row>
    <row r="2154" spans="1:37" ht="36.75" customHeight="1" x14ac:dyDescent="0.35">
      <c r="A2154" s="5"/>
      <c r="B2154" s="5" t="s">
        <v>37</v>
      </c>
      <c r="C2154" s="73" t="str">
        <f t="shared" si="33"/>
        <v>Closed</v>
      </c>
      <c r="D2154" s="45" t="s">
        <v>12036</v>
      </c>
      <c r="E2154" s="54" t="s">
        <v>12037</v>
      </c>
      <c r="F2154" s="5" t="s">
        <v>105</v>
      </c>
      <c r="G2154" s="10">
        <f>DATE(2016,1,18)</f>
        <v>42387</v>
      </c>
      <c r="H2154" s="35">
        <v>0</v>
      </c>
      <c r="I2154" s="5" t="s">
        <v>5473</v>
      </c>
      <c r="J2154" s="10" t="s">
        <v>12038</v>
      </c>
      <c r="K2154" s="5" t="s">
        <v>108</v>
      </c>
      <c r="L2154" s="5" t="s">
        <v>12039</v>
      </c>
      <c r="M2154" s="5" t="s">
        <v>45</v>
      </c>
      <c r="N2154" s="5" t="s">
        <v>80</v>
      </c>
      <c r="O2154" s="5" t="s">
        <v>46</v>
      </c>
      <c r="P2154" s="10" t="s">
        <v>282</v>
      </c>
      <c r="Q2154" s="10" t="s">
        <v>210</v>
      </c>
      <c r="R2154" s="10" t="s">
        <v>148</v>
      </c>
      <c r="S2154" s="5">
        <v>0</v>
      </c>
      <c r="T2154" s="37">
        <v>0</v>
      </c>
      <c r="U2154" s="5">
        <v>0</v>
      </c>
      <c r="V2154" s="37">
        <v>0</v>
      </c>
      <c r="W2154" s="5">
        <v>0</v>
      </c>
      <c r="X2154" s="5">
        <v>0</v>
      </c>
      <c r="Y2154" s="5">
        <v>0</v>
      </c>
      <c r="Z2154" s="37">
        <v>1</v>
      </c>
      <c r="AA2154" s="5">
        <v>0</v>
      </c>
      <c r="AB2154" s="5">
        <v>0</v>
      </c>
      <c r="AC2154" s="5">
        <v>0</v>
      </c>
      <c r="AD2154" s="5">
        <v>1</v>
      </c>
      <c r="AE2154" s="10" t="s">
        <v>375</v>
      </c>
      <c r="AF2154" s="10"/>
      <c r="AG2154" s="10" t="s">
        <v>570</v>
      </c>
      <c r="AH2154" s="10">
        <v>42387</v>
      </c>
      <c r="AI2154" s="5">
        <v>2</v>
      </c>
      <c r="AJ2154" s="10" t="s">
        <v>12040</v>
      </c>
      <c r="AK2154" s="10" t="s">
        <v>50</v>
      </c>
    </row>
    <row r="2155" spans="1:37" ht="36.75" customHeight="1" x14ac:dyDescent="0.35">
      <c r="A2155" s="5"/>
      <c r="B2155" s="5" t="s">
        <v>37</v>
      </c>
      <c r="C2155" s="73" t="str">
        <f t="shared" si="33"/>
        <v>Closed</v>
      </c>
      <c r="D2155" s="45" t="s">
        <v>12041</v>
      </c>
      <c r="E2155" s="54" t="s">
        <v>12042</v>
      </c>
      <c r="F2155" s="5" t="s">
        <v>9767</v>
      </c>
      <c r="G2155" s="10">
        <f>DATE(2016,1,20)</f>
        <v>42389</v>
      </c>
      <c r="H2155" s="35">
        <v>0</v>
      </c>
      <c r="I2155" s="5" t="s">
        <v>1022</v>
      </c>
      <c r="J2155" s="10" t="s">
        <v>12043</v>
      </c>
      <c r="K2155" s="5" t="s">
        <v>9769</v>
      </c>
      <c r="L2155" s="5" t="s">
        <v>12044</v>
      </c>
      <c r="M2155" s="5" t="s">
        <v>45</v>
      </c>
      <c r="N2155" s="5" t="s">
        <v>70</v>
      </c>
      <c r="O2155" s="5" t="s">
        <v>59</v>
      </c>
      <c r="P2155" s="10" t="s">
        <v>60</v>
      </c>
      <c r="Q2155" s="10" t="s">
        <v>10235</v>
      </c>
      <c r="R2155" s="10" t="s">
        <v>9772</v>
      </c>
      <c r="S2155" s="5">
        <v>0</v>
      </c>
      <c r="T2155" s="37">
        <v>0</v>
      </c>
      <c r="U2155" s="5">
        <v>0</v>
      </c>
      <c r="V2155" s="37">
        <v>0</v>
      </c>
      <c r="W2155" s="5">
        <v>0</v>
      </c>
      <c r="X2155" s="5">
        <v>0</v>
      </c>
      <c r="Y2155" s="5">
        <v>0</v>
      </c>
      <c r="Z2155" s="37">
        <v>0</v>
      </c>
      <c r="AA2155" s="5">
        <v>0</v>
      </c>
      <c r="AB2155" s="5">
        <v>0</v>
      </c>
      <c r="AC2155" s="5">
        <v>0</v>
      </c>
      <c r="AD2155" s="5">
        <v>0</v>
      </c>
      <c r="AE2155" s="10" t="s">
        <v>73</v>
      </c>
      <c r="AF2155" s="10"/>
      <c r="AG2155" s="10" t="s">
        <v>12045</v>
      </c>
      <c r="AH2155" s="10">
        <v>42410</v>
      </c>
      <c r="AI2155" s="5">
        <v>0</v>
      </c>
      <c r="AJ2155" s="10" t="s">
        <v>12046</v>
      </c>
      <c r="AK2155" s="10" t="s">
        <v>12047</v>
      </c>
    </row>
    <row r="2156" spans="1:37" ht="36.75" customHeight="1" x14ac:dyDescent="0.35">
      <c r="A2156" s="5"/>
      <c r="B2156" s="5" t="s">
        <v>37</v>
      </c>
      <c r="C2156" s="73" t="str">
        <f t="shared" si="33"/>
        <v>Closed</v>
      </c>
      <c r="D2156" s="45" t="s">
        <v>12048</v>
      </c>
      <c r="E2156" s="54" t="s">
        <v>12049</v>
      </c>
      <c r="F2156" s="5" t="s">
        <v>5406</v>
      </c>
      <c r="G2156" s="10">
        <f>DATE(2016,1,20)</f>
        <v>42389</v>
      </c>
      <c r="H2156" s="35">
        <v>1.3840277777777779</v>
      </c>
      <c r="I2156" s="5" t="s">
        <v>85</v>
      </c>
      <c r="J2156" s="10" t="s">
        <v>12050</v>
      </c>
      <c r="K2156" s="5" t="s">
        <v>577</v>
      </c>
      <c r="L2156" s="5" t="s">
        <v>12051</v>
      </c>
      <c r="M2156" s="5" t="s">
        <v>45</v>
      </c>
      <c r="N2156" s="5" t="s">
        <v>70</v>
      </c>
      <c r="O2156" s="5" t="s">
        <v>59</v>
      </c>
      <c r="P2156" s="10" t="s">
        <v>67</v>
      </c>
      <c r="Q2156" s="10" t="s">
        <v>12052</v>
      </c>
      <c r="R2156" s="10" t="s">
        <v>12052</v>
      </c>
      <c r="S2156" s="5">
        <v>0</v>
      </c>
      <c r="T2156" s="37">
        <v>0</v>
      </c>
      <c r="U2156" s="5">
        <v>0</v>
      </c>
      <c r="V2156" s="37">
        <v>0</v>
      </c>
      <c r="W2156" s="5">
        <v>0</v>
      </c>
      <c r="X2156" s="5">
        <v>0</v>
      </c>
      <c r="Y2156" s="5">
        <v>0</v>
      </c>
      <c r="Z2156" s="37">
        <v>0</v>
      </c>
      <c r="AA2156" s="5">
        <v>0</v>
      </c>
      <c r="AB2156" s="5">
        <v>0</v>
      </c>
      <c r="AC2156" s="5">
        <v>0</v>
      </c>
      <c r="AD2156" s="5">
        <v>0</v>
      </c>
      <c r="AE2156" s="10" t="s">
        <v>73</v>
      </c>
      <c r="AF2156" s="10"/>
      <c r="AG2156" s="10" t="s">
        <v>114</v>
      </c>
      <c r="AH2156" s="10">
        <v>42415</v>
      </c>
      <c r="AI2156" s="5">
        <v>8</v>
      </c>
      <c r="AJ2156" s="10" t="s">
        <v>12053</v>
      </c>
      <c r="AK2156" s="10" t="s">
        <v>12054</v>
      </c>
    </row>
    <row r="2157" spans="1:37" ht="36.75" customHeight="1" x14ac:dyDescent="0.35">
      <c r="A2157" s="5"/>
      <c r="B2157" s="5" t="s">
        <v>37</v>
      </c>
      <c r="C2157" s="73" t="str">
        <f t="shared" si="33"/>
        <v>Closed</v>
      </c>
      <c r="D2157" s="45" t="s">
        <v>12055</v>
      </c>
      <c r="E2157" s="54" t="s">
        <v>12056</v>
      </c>
      <c r="F2157" s="5" t="s">
        <v>2581</v>
      </c>
      <c r="G2157" s="10">
        <f>DATE(2016,1,23)</f>
        <v>42392</v>
      </c>
      <c r="H2157" s="35">
        <v>1.0027777777777778</v>
      </c>
      <c r="I2157" s="5" t="s">
        <v>55</v>
      </c>
      <c r="J2157" s="10" t="s">
        <v>12057</v>
      </c>
      <c r="K2157" s="5" t="s">
        <v>2583</v>
      </c>
      <c r="L2157" s="5" t="s">
        <v>12058</v>
      </c>
      <c r="M2157" s="5" t="s">
        <v>45</v>
      </c>
      <c r="N2157" s="5" t="s">
        <v>70</v>
      </c>
      <c r="O2157" s="5" t="s">
        <v>59</v>
      </c>
      <c r="P2157" s="10" t="s">
        <v>60</v>
      </c>
      <c r="Q2157" s="10" t="s">
        <v>4793</v>
      </c>
      <c r="R2157" s="10" t="s">
        <v>2586</v>
      </c>
      <c r="S2157" s="5">
        <v>0</v>
      </c>
      <c r="T2157" s="37">
        <v>0</v>
      </c>
      <c r="U2157" s="5">
        <v>0</v>
      </c>
      <c r="V2157" s="37">
        <v>0</v>
      </c>
      <c r="W2157" s="5">
        <v>0</v>
      </c>
      <c r="X2157" s="5">
        <v>0</v>
      </c>
      <c r="Y2157" s="5">
        <v>0</v>
      </c>
      <c r="Z2157" s="37">
        <v>0</v>
      </c>
      <c r="AA2157" s="5">
        <v>0</v>
      </c>
      <c r="AB2157" s="5">
        <v>0</v>
      </c>
      <c r="AC2157" s="5">
        <v>0</v>
      </c>
      <c r="AD2157" s="5">
        <v>0</v>
      </c>
      <c r="AE2157" s="10" t="s">
        <v>375</v>
      </c>
      <c r="AF2157" s="10"/>
      <c r="AG2157" s="10" t="s">
        <v>114</v>
      </c>
      <c r="AH2157" s="10">
        <v>42392</v>
      </c>
      <c r="AI2157" s="5">
        <v>7</v>
      </c>
      <c r="AJ2157" s="10" t="s">
        <v>12059</v>
      </c>
      <c r="AK2157" s="10" t="s">
        <v>50</v>
      </c>
    </row>
    <row r="2158" spans="1:37" ht="36.75" customHeight="1" x14ac:dyDescent="0.35">
      <c r="A2158" s="5"/>
      <c r="B2158" s="5" t="s">
        <v>37</v>
      </c>
      <c r="C2158" s="73" t="str">
        <f t="shared" si="33"/>
        <v>Closed</v>
      </c>
      <c r="D2158" s="45" t="s">
        <v>12060</v>
      </c>
      <c r="E2158" s="54" t="s">
        <v>12061</v>
      </c>
      <c r="F2158" s="5" t="s">
        <v>619</v>
      </c>
      <c r="G2158" s="10">
        <f>DATE(2016,1,23)</f>
        <v>42392</v>
      </c>
      <c r="H2158" s="35">
        <v>1.5118055555555556</v>
      </c>
      <c r="I2158" s="5" t="s">
        <v>55</v>
      </c>
      <c r="J2158" s="10" t="s">
        <v>12062</v>
      </c>
      <c r="K2158" s="5" t="s">
        <v>621</v>
      </c>
      <c r="L2158" s="5" t="s">
        <v>12063</v>
      </c>
      <c r="M2158" s="5" t="s">
        <v>45</v>
      </c>
      <c r="N2158" s="5" t="s">
        <v>80</v>
      </c>
      <c r="O2158" s="5" t="s">
        <v>59</v>
      </c>
      <c r="P2158" s="10" t="s">
        <v>60</v>
      </c>
      <c r="Q2158" s="10" t="s">
        <v>12064</v>
      </c>
      <c r="R2158" s="10" t="s">
        <v>624</v>
      </c>
      <c r="S2158" s="5">
        <v>0</v>
      </c>
      <c r="T2158" s="37">
        <v>0</v>
      </c>
      <c r="U2158" s="5">
        <v>0</v>
      </c>
      <c r="V2158" s="37">
        <v>0</v>
      </c>
      <c r="W2158" s="5">
        <v>0</v>
      </c>
      <c r="X2158" s="5">
        <v>0</v>
      </c>
      <c r="Y2158" s="5">
        <v>0</v>
      </c>
      <c r="Z2158" s="37">
        <v>0</v>
      </c>
      <c r="AA2158" s="5">
        <v>0</v>
      </c>
      <c r="AB2158" s="5">
        <v>0</v>
      </c>
      <c r="AC2158" s="5">
        <v>0</v>
      </c>
      <c r="AD2158" s="5">
        <v>0</v>
      </c>
      <c r="AE2158" s="10" t="s">
        <v>73</v>
      </c>
      <c r="AF2158" s="10"/>
      <c r="AG2158" s="10" t="s">
        <v>333</v>
      </c>
      <c r="AH2158" s="10">
        <v>42423</v>
      </c>
      <c r="AI2158" s="5">
        <v>2</v>
      </c>
      <c r="AJ2158" s="10" t="s">
        <v>12065</v>
      </c>
      <c r="AK2158" s="10" t="s">
        <v>12066</v>
      </c>
    </row>
    <row r="2159" spans="1:37" ht="36.75" customHeight="1" x14ac:dyDescent="0.35">
      <c r="A2159" s="5"/>
      <c r="B2159" s="5" t="s">
        <v>37</v>
      </c>
      <c r="C2159" s="73" t="str">
        <f t="shared" si="33"/>
        <v>Closed</v>
      </c>
      <c r="D2159" s="45" t="s">
        <v>12067</v>
      </c>
      <c r="E2159" s="54" t="s">
        <v>12068</v>
      </c>
      <c r="F2159" s="5" t="s">
        <v>1553</v>
      </c>
      <c r="G2159" s="10">
        <f>DATE(2016,1,23)</f>
        <v>42392</v>
      </c>
      <c r="H2159" s="35">
        <v>1.25</v>
      </c>
      <c r="I2159" s="5" t="s">
        <v>106</v>
      </c>
      <c r="J2159" s="10" t="s">
        <v>12069</v>
      </c>
      <c r="K2159" s="5" t="s">
        <v>1555</v>
      </c>
      <c r="L2159" s="5" t="s">
        <v>12070</v>
      </c>
      <c r="M2159" s="5" t="s">
        <v>45</v>
      </c>
      <c r="N2159" s="5" t="s">
        <v>80</v>
      </c>
      <c r="O2159" s="5" t="s">
        <v>59</v>
      </c>
      <c r="P2159" s="10" t="s">
        <v>6920</v>
      </c>
      <c r="Q2159" s="10" t="s">
        <v>2393</v>
      </c>
      <c r="R2159" s="10" t="s">
        <v>6413</v>
      </c>
      <c r="S2159" s="5">
        <v>0</v>
      </c>
      <c r="T2159" s="37">
        <v>0</v>
      </c>
      <c r="U2159" s="5">
        <v>0</v>
      </c>
      <c r="V2159" s="37">
        <v>0</v>
      </c>
      <c r="W2159" s="5">
        <v>0</v>
      </c>
      <c r="X2159" s="5">
        <v>0</v>
      </c>
      <c r="Y2159" s="5">
        <v>0</v>
      </c>
      <c r="Z2159" s="37">
        <v>0</v>
      </c>
      <c r="AA2159" s="5">
        <v>0</v>
      </c>
      <c r="AB2159" s="5">
        <v>0</v>
      </c>
      <c r="AC2159" s="5">
        <v>0</v>
      </c>
      <c r="AD2159" s="5">
        <v>0</v>
      </c>
      <c r="AE2159" s="10" t="s">
        <v>73</v>
      </c>
      <c r="AF2159" s="10"/>
      <c r="AG2159" s="10" t="s">
        <v>114</v>
      </c>
      <c r="AH2159" s="10">
        <v>42395</v>
      </c>
      <c r="AI2159" s="5">
        <v>0</v>
      </c>
      <c r="AJ2159" s="10" t="s">
        <v>12071</v>
      </c>
      <c r="AK2159" s="10" t="s">
        <v>12072</v>
      </c>
    </row>
    <row r="2160" spans="1:37" ht="36.75" customHeight="1" x14ac:dyDescent="0.35">
      <c r="A2160" s="5"/>
      <c r="B2160" s="5" t="s">
        <v>37</v>
      </c>
      <c r="C2160" s="73" t="str">
        <f t="shared" si="33"/>
        <v>Closed</v>
      </c>
      <c r="D2160" s="45" t="s">
        <v>12073</v>
      </c>
      <c r="E2160" s="54" t="s">
        <v>12074</v>
      </c>
      <c r="F2160" s="5" t="s">
        <v>563</v>
      </c>
      <c r="G2160" s="10">
        <f>DATE(2016,1,25)</f>
        <v>42394</v>
      </c>
      <c r="H2160" s="35">
        <v>1.7534722222222223</v>
      </c>
      <c r="I2160" s="5" t="s">
        <v>97</v>
      </c>
      <c r="J2160" s="10" t="s">
        <v>12075</v>
      </c>
      <c r="K2160" s="5" t="s">
        <v>565</v>
      </c>
      <c r="L2160" s="5" t="s">
        <v>12076</v>
      </c>
      <c r="M2160" s="5" t="s">
        <v>45</v>
      </c>
      <c r="N2160" s="5" t="s">
        <v>123</v>
      </c>
      <c r="O2160" s="5" t="s">
        <v>59</v>
      </c>
      <c r="P2160" s="10" t="s">
        <v>146</v>
      </c>
      <c r="Q2160" s="10" t="s">
        <v>12077</v>
      </c>
      <c r="R2160" s="10" t="s">
        <v>568</v>
      </c>
      <c r="S2160" s="5">
        <v>0</v>
      </c>
      <c r="T2160" s="37">
        <v>0</v>
      </c>
      <c r="U2160" s="5">
        <v>0</v>
      </c>
      <c r="V2160" s="37">
        <v>0</v>
      </c>
      <c r="W2160" s="5">
        <v>0</v>
      </c>
      <c r="X2160" s="5">
        <v>0</v>
      </c>
      <c r="Y2160" s="5">
        <v>0</v>
      </c>
      <c r="Z2160" s="37">
        <v>0</v>
      </c>
      <c r="AA2160" s="5">
        <v>0</v>
      </c>
      <c r="AB2160" s="5">
        <v>0</v>
      </c>
      <c r="AC2160" s="5">
        <v>0</v>
      </c>
      <c r="AD2160" s="5">
        <v>0</v>
      </c>
      <c r="AE2160" s="10" t="s">
        <v>73</v>
      </c>
      <c r="AF2160" s="10"/>
      <c r="AG2160" s="10" t="s">
        <v>114</v>
      </c>
      <c r="AH2160" s="10">
        <v>42410</v>
      </c>
      <c r="AI2160" s="5">
        <v>0</v>
      </c>
      <c r="AJ2160" s="10" t="s">
        <v>12078</v>
      </c>
      <c r="AK2160" s="10" t="s">
        <v>1215</v>
      </c>
    </row>
    <row r="2161" spans="1:37" ht="36.75" customHeight="1" x14ac:dyDescent="0.35">
      <c r="A2161" s="5"/>
      <c r="B2161" s="5" t="s">
        <v>37</v>
      </c>
      <c r="C2161" s="73" t="str">
        <f t="shared" si="33"/>
        <v>Closed</v>
      </c>
      <c r="D2161" s="45" t="s">
        <v>12079</v>
      </c>
      <c r="E2161" s="54" t="s">
        <v>12080</v>
      </c>
      <c r="F2161" s="5" t="s">
        <v>619</v>
      </c>
      <c r="G2161" s="10">
        <f>DATE(2016,1,25)</f>
        <v>42394</v>
      </c>
      <c r="H2161" s="35">
        <v>1.9777777777777779</v>
      </c>
      <c r="I2161" s="5" t="s">
        <v>85</v>
      </c>
      <c r="J2161" s="10" t="s">
        <v>12081</v>
      </c>
      <c r="K2161" s="5" t="s">
        <v>621</v>
      </c>
      <c r="L2161" s="5" t="s">
        <v>12082</v>
      </c>
      <c r="M2161" s="5" t="s">
        <v>45</v>
      </c>
      <c r="N2161" s="5" t="s">
        <v>80</v>
      </c>
      <c r="O2161" s="5" t="s">
        <v>59</v>
      </c>
      <c r="P2161" s="10" t="s">
        <v>282</v>
      </c>
      <c r="Q2161" s="10" t="s">
        <v>1997</v>
      </c>
      <c r="R2161" s="10" t="s">
        <v>624</v>
      </c>
      <c r="S2161" s="5">
        <v>0</v>
      </c>
      <c r="T2161" s="37">
        <v>0</v>
      </c>
      <c r="U2161" s="5">
        <v>0</v>
      </c>
      <c r="V2161" s="37">
        <v>0</v>
      </c>
      <c r="W2161" s="5">
        <v>0</v>
      </c>
      <c r="X2161" s="5">
        <v>0</v>
      </c>
      <c r="Y2161" s="5">
        <v>0</v>
      </c>
      <c r="Z2161" s="37">
        <v>0</v>
      </c>
      <c r="AA2161" s="5">
        <v>0</v>
      </c>
      <c r="AB2161" s="5">
        <v>0</v>
      </c>
      <c r="AC2161" s="5">
        <v>0</v>
      </c>
      <c r="AD2161" s="5">
        <v>0</v>
      </c>
      <c r="AE2161" s="10" t="s">
        <v>73</v>
      </c>
      <c r="AF2161" s="10"/>
      <c r="AG2161" s="10" t="s">
        <v>333</v>
      </c>
      <c r="AH2161" s="10">
        <v>42423</v>
      </c>
      <c r="AI2161" s="5">
        <v>0</v>
      </c>
      <c r="AJ2161" s="10" t="s">
        <v>12083</v>
      </c>
      <c r="AK2161" s="10" t="s">
        <v>50</v>
      </c>
    </row>
    <row r="2162" spans="1:37" ht="36.75" customHeight="1" x14ac:dyDescent="0.35">
      <c r="A2162" s="5"/>
      <c r="B2162" s="5" t="s">
        <v>37</v>
      </c>
      <c r="C2162" s="73" t="str">
        <f t="shared" si="33"/>
        <v>Closed</v>
      </c>
      <c r="D2162" s="45" t="s">
        <v>12084</v>
      </c>
      <c r="E2162" s="54" t="s">
        <v>12085</v>
      </c>
      <c r="F2162" s="5" t="s">
        <v>1553</v>
      </c>
      <c r="G2162" s="10">
        <f>DATE(2016,1,25)</f>
        <v>42394</v>
      </c>
      <c r="H2162" s="35">
        <v>1.3805555555555555</v>
      </c>
      <c r="I2162" s="5" t="s">
        <v>5473</v>
      </c>
      <c r="J2162" s="10" t="s">
        <v>12086</v>
      </c>
      <c r="K2162" s="5" t="s">
        <v>1555</v>
      </c>
      <c r="L2162" s="5" t="s">
        <v>12087</v>
      </c>
      <c r="M2162" s="5" t="s">
        <v>45</v>
      </c>
      <c r="N2162" s="5" t="s">
        <v>70</v>
      </c>
      <c r="O2162" s="5" t="s">
        <v>59</v>
      </c>
      <c r="P2162" s="10" t="s">
        <v>72</v>
      </c>
      <c r="Q2162" s="10" t="s">
        <v>2393</v>
      </c>
      <c r="R2162" s="10" t="s">
        <v>6413</v>
      </c>
      <c r="S2162" s="5">
        <v>0</v>
      </c>
      <c r="T2162" s="37">
        <v>0</v>
      </c>
      <c r="U2162" s="5">
        <v>0</v>
      </c>
      <c r="V2162" s="37">
        <v>0</v>
      </c>
      <c r="W2162" s="5">
        <v>0</v>
      </c>
      <c r="X2162" s="5">
        <v>0</v>
      </c>
      <c r="Y2162" s="5">
        <v>0</v>
      </c>
      <c r="Z2162" s="37">
        <v>0</v>
      </c>
      <c r="AA2162" s="5">
        <v>0</v>
      </c>
      <c r="AB2162" s="5">
        <v>0</v>
      </c>
      <c r="AC2162" s="5">
        <v>0</v>
      </c>
      <c r="AD2162" s="5">
        <v>0</v>
      </c>
      <c r="AE2162" s="10" t="s">
        <v>73</v>
      </c>
      <c r="AF2162" s="10"/>
      <c r="AG2162" s="10" t="s">
        <v>114</v>
      </c>
      <c r="AH2162" s="10">
        <v>42408</v>
      </c>
      <c r="AI2162" s="5">
        <v>0</v>
      </c>
      <c r="AJ2162" s="10" t="s">
        <v>12088</v>
      </c>
      <c r="AK2162" s="10" t="s">
        <v>12089</v>
      </c>
    </row>
    <row r="2163" spans="1:37" ht="36.75" customHeight="1" x14ac:dyDescent="0.35">
      <c r="A2163" s="5"/>
      <c r="B2163" s="5" t="s">
        <v>37</v>
      </c>
      <c r="C2163" s="73" t="str">
        <f t="shared" si="33"/>
        <v>Closed</v>
      </c>
      <c r="D2163" s="45" t="s">
        <v>12090</v>
      </c>
      <c r="E2163" s="54" t="s">
        <v>12091</v>
      </c>
      <c r="F2163" s="5" t="s">
        <v>816</v>
      </c>
      <c r="G2163" s="10">
        <f>DATE(2016,2,2)</f>
        <v>42402</v>
      </c>
      <c r="H2163" s="35">
        <v>1.3465277777777778</v>
      </c>
      <c r="I2163" s="5" t="s">
        <v>85</v>
      </c>
      <c r="J2163" s="10" t="s">
        <v>12092</v>
      </c>
      <c r="K2163" s="5" t="s">
        <v>818</v>
      </c>
      <c r="L2163" s="5" t="s">
        <v>12093</v>
      </c>
      <c r="M2163" s="5" t="s">
        <v>236</v>
      </c>
      <c r="N2163" s="5" t="s">
        <v>123</v>
      </c>
      <c r="O2163" s="5" t="s">
        <v>59</v>
      </c>
      <c r="P2163" s="10" t="s">
        <v>6531</v>
      </c>
      <c r="Q2163" s="10" t="s">
        <v>4190</v>
      </c>
      <c r="R2163" s="10" t="s">
        <v>4190</v>
      </c>
      <c r="S2163" s="5">
        <v>0</v>
      </c>
      <c r="T2163" s="37">
        <v>0</v>
      </c>
      <c r="U2163" s="5">
        <v>0</v>
      </c>
      <c r="V2163" s="37">
        <v>0</v>
      </c>
      <c r="W2163" s="5">
        <v>0</v>
      </c>
      <c r="X2163" s="5">
        <v>0</v>
      </c>
      <c r="Y2163" s="5">
        <v>0</v>
      </c>
      <c r="Z2163" s="37">
        <v>0</v>
      </c>
      <c r="AA2163" s="5">
        <v>0</v>
      </c>
      <c r="AB2163" s="5">
        <v>0</v>
      </c>
      <c r="AC2163" s="5">
        <v>0</v>
      </c>
      <c r="AD2163" s="5">
        <v>0</v>
      </c>
      <c r="AE2163" s="10" t="s">
        <v>73</v>
      </c>
      <c r="AF2163" s="10"/>
      <c r="AG2163" s="10" t="s">
        <v>570</v>
      </c>
      <c r="AH2163" s="10">
        <v>42404</v>
      </c>
      <c r="AI2163" s="5">
        <v>0</v>
      </c>
      <c r="AJ2163" s="10" t="s">
        <v>12094</v>
      </c>
      <c r="AK2163" s="10" t="s">
        <v>1215</v>
      </c>
    </row>
    <row r="2164" spans="1:37" ht="36.75" customHeight="1" x14ac:dyDescent="0.35">
      <c r="A2164" s="5"/>
      <c r="B2164" s="5" t="s">
        <v>37</v>
      </c>
      <c r="C2164" s="73" t="str">
        <f t="shared" si="33"/>
        <v>Closed</v>
      </c>
      <c r="D2164" s="45" t="s">
        <v>12095</v>
      </c>
      <c r="E2164" s="54" t="s">
        <v>12096</v>
      </c>
      <c r="F2164" s="5" t="s">
        <v>40</v>
      </c>
      <c r="G2164" s="10">
        <f>DATE(2016,2,3)</f>
        <v>42403</v>
      </c>
      <c r="H2164" s="35">
        <v>1.3395833333333333</v>
      </c>
      <c r="I2164" s="5" t="s">
        <v>259</v>
      </c>
      <c r="J2164" s="10" t="s">
        <v>12097</v>
      </c>
      <c r="K2164" s="5" t="s">
        <v>43</v>
      </c>
      <c r="L2164" s="5" t="s">
        <v>12098</v>
      </c>
      <c r="M2164" s="5" t="s">
        <v>45</v>
      </c>
      <c r="N2164" s="5" t="s">
        <v>80</v>
      </c>
      <c r="O2164" s="5" t="s">
        <v>59</v>
      </c>
      <c r="P2164" s="10" t="s">
        <v>6920</v>
      </c>
      <c r="Q2164" s="10" t="s">
        <v>10848</v>
      </c>
      <c r="R2164" s="10" t="s">
        <v>49</v>
      </c>
      <c r="S2164" s="5">
        <v>0</v>
      </c>
      <c r="T2164" s="37">
        <v>0</v>
      </c>
      <c r="U2164" s="5">
        <v>0</v>
      </c>
      <c r="V2164" s="37">
        <v>0</v>
      </c>
      <c r="W2164" s="5">
        <v>0</v>
      </c>
      <c r="X2164" s="5">
        <v>0</v>
      </c>
      <c r="Y2164" s="5">
        <v>0</v>
      </c>
      <c r="Z2164" s="37">
        <v>0</v>
      </c>
      <c r="AA2164" s="5">
        <v>0</v>
      </c>
      <c r="AB2164" s="5">
        <v>0</v>
      </c>
      <c r="AC2164" s="5">
        <v>1</v>
      </c>
      <c r="AD2164" s="5">
        <v>1</v>
      </c>
      <c r="AE2164" s="10" t="s">
        <v>73</v>
      </c>
      <c r="AF2164" s="10"/>
      <c r="AG2164" s="10" t="s">
        <v>333</v>
      </c>
      <c r="AH2164" s="10">
        <v>42403</v>
      </c>
      <c r="AI2164" s="5">
        <v>2</v>
      </c>
      <c r="AJ2164" s="10" t="s">
        <v>12099</v>
      </c>
      <c r="AK2164" s="10" t="s">
        <v>12100</v>
      </c>
    </row>
    <row r="2165" spans="1:37" ht="36.75" customHeight="1" x14ac:dyDescent="0.35">
      <c r="A2165" s="5"/>
      <c r="B2165" s="5" t="s">
        <v>37</v>
      </c>
      <c r="C2165" s="73" t="str">
        <f t="shared" si="33"/>
        <v>Closed</v>
      </c>
      <c r="D2165" s="45" t="s">
        <v>12101</v>
      </c>
      <c r="E2165" s="54" t="s">
        <v>12102</v>
      </c>
      <c r="F2165" s="5" t="s">
        <v>214</v>
      </c>
      <c r="G2165" s="10">
        <f>DATE(2016,2,4)</f>
        <v>42404</v>
      </c>
      <c r="H2165" s="35">
        <v>1.2965277777777777</v>
      </c>
      <c r="I2165" s="5" t="s">
        <v>137</v>
      </c>
      <c r="J2165" s="10" t="s">
        <v>12103</v>
      </c>
      <c r="K2165" s="5" t="s">
        <v>216</v>
      </c>
      <c r="L2165" s="5" t="s">
        <v>12104</v>
      </c>
      <c r="M2165" s="5" t="s">
        <v>45</v>
      </c>
      <c r="N2165" s="5" t="s">
        <v>123</v>
      </c>
      <c r="O2165" s="5" t="s">
        <v>46</v>
      </c>
      <c r="P2165" s="10" t="s">
        <v>146</v>
      </c>
      <c r="Q2165" s="10" t="s">
        <v>656</v>
      </c>
      <c r="R2165" s="10" t="s">
        <v>216</v>
      </c>
      <c r="S2165" s="5">
        <v>0</v>
      </c>
      <c r="T2165" s="37">
        <v>0</v>
      </c>
      <c r="U2165" s="5">
        <v>0</v>
      </c>
      <c r="V2165" s="37">
        <v>0</v>
      </c>
      <c r="W2165" s="5">
        <v>0</v>
      </c>
      <c r="X2165" s="5">
        <v>0</v>
      </c>
      <c r="Y2165" s="5">
        <v>0</v>
      </c>
      <c r="Z2165" s="37">
        <v>0</v>
      </c>
      <c r="AA2165" s="5">
        <v>0</v>
      </c>
      <c r="AB2165" s="5">
        <v>0</v>
      </c>
      <c r="AC2165" s="5">
        <v>0</v>
      </c>
      <c r="AD2165" s="5">
        <v>0</v>
      </c>
      <c r="AE2165" s="10" t="s">
        <v>73</v>
      </c>
      <c r="AF2165" s="10"/>
      <c r="AG2165" s="10" t="s">
        <v>114</v>
      </c>
      <c r="AH2165" s="10">
        <v>42408</v>
      </c>
      <c r="AI2165" s="5">
        <v>2</v>
      </c>
      <c r="AJ2165" s="10" t="s">
        <v>12105</v>
      </c>
      <c r="AK2165" s="10" t="s">
        <v>12106</v>
      </c>
    </row>
    <row r="2166" spans="1:37" ht="36.75" customHeight="1" x14ac:dyDescent="0.35">
      <c r="A2166" s="5"/>
      <c r="B2166" s="5" t="s">
        <v>37</v>
      </c>
      <c r="C2166" s="73" t="str">
        <f t="shared" si="33"/>
        <v>Closed</v>
      </c>
      <c r="D2166" s="45" t="s">
        <v>12107</v>
      </c>
      <c r="E2166" s="54" t="s">
        <v>12108</v>
      </c>
      <c r="F2166" s="5" t="s">
        <v>1553</v>
      </c>
      <c r="G2166" s="10">
        <f>DATE(2016,2,6)</f>
        <v>42406</v>
      </c>
      <c r="H2166" s="35">
        <v>1.0368055555555555</v>
      </c>
      <c r="I2166" s="5" t="s">
        <v>55</v>
      </c>
      <c r="J2166" s="10" t="s">
        <v>12109</v>
      </c>
      <c r="K2166" s="5" t="s">
        <v>1555</v>
      </c>
      <c r="L2166" s="5" t="s">
        <v>12110</v>
      </c>
      <c r="M2166" s="5" t="s">
        <v>45</v>
      </c>
      <c r="N2166" s="5" t="s">
        <v>123</v>
      </c>
      <c r="O2166" s="5" t="s">
        <v>59</v>
      </c>
      <c r="P2166" s="10" t="s">
        <v>60</v>
      </c>
      <c r="Q2166" s="10" t="s">
        <v>2635</v>
      </c>
      <c r="R2166" s="10" t="s">
        <v>6413</v>
      </c>
      <c r="S2166" s="5">
        <v>0</v>
      </c>
      <c r="T2166" s="37">
        <v>0</v>
      </c>
      <c r="U2166" s="5">
        <v>0</v>
      </c>
      <c r="V2166" s="37">
        <v>0</v>
      </c>
      <c r="W2166" s="5">
        <v>0</v>
      </c>
      <c r="X2166" s="5">
        <v>0</v>
      </c>
      <c r="Y2166" s="5">
        <v>0</v>
      </c>
      <c r="Z2166" s="37">
        <v>0</v>
      </c>
      <c r="AA2166" s="5">
        <v>0</v>
      </c>
      <c r="AB2166" s="5">
        <v>0</v>
      </c>
      <c r="AC2166" s="5">
        <v>0</v>
      </c>
      <c r="AD2166" s="5">
        <v>0</v>
      </c>
      <c r="AE2166" s="10" t="s">
        <v>375</v>
      </c>
      <c r="AF2166" s="10"/>
      <c r="AG2166" s="10" t="s">
        <v>114</v>
      </c>
      <c r="AH2166" s="10">
        <v>42408</v>
      </c>
      <c r="AI2166" s="5">
        <v>0</v>
      </c>
      <c r="AJ2166" s="10" t="s">
        <v>12111</v>
      </c>
      <c r="AK2166" s="10" t="s">
        <v>12112</v>
      </c>
    </row>
    <row r="2167" spans="1:37" ht="36.75" customHeight="1" x14ac:dyDescent="0.35">
      <c r="A2167" s="5"/>
      <c r="B2167" s="5" t="s">
        <v>37</v>
      </c>
      <c r="C2167" s="73" t="str">
        <f t="shared" si="33"/>
        <v>Closed</v>
      </c>
      <c r="D2167" s="45" t="s">
        <v>12113</v>
      </c>
      <c r="E2167" s="54" t="s">
        <v>12114</v>
      </c>
      <c r="F2167" s="5" t="s">
        <v>1553</v>
      </c>
      <c r="G2167" s="10">
        <f>DATE(2016,2,8)</f>
        <v>42408</v>
      </c>
      <c r="H2167" s="35">
        <v>1.75</v>
      </c>
      <c r="I2167" s="5" t="s">
        <v>55</v>
      </c>
      <c r="J2167" s="10" t="s">
        <v>12115</v>
      </c>
      <c r="K2167" s="5" t="s">
        <v>1555</v>
      </c>
      <c r="L2167" s="5" t="s">
        <v>12116</v>
      </c>
      <c r="M2167" s="5" t="s">
        <v>45</v>
      </c>
      <c r="N2167" s="5" t="s">
        <v>80</v>
      </c>
      <c r="O2167" s="5" t="s">
        <v>46</v>
      </c>
      <c r="P2167" s="10" t="s">
        <v>6920</v>
      </c>
      <c r="Q2167" s="10" t="s">
        <v>5149</v>
      </c>
      <c r="R2167" s="10" t="s">
        <v>2541</v>
      </c>
      <c r="S2167" s="5">
        <v>0</v>
      </c>
      <c r="T2167" s="37">
        <v>0</v>
      </c>
      <c r="U2167" s="5">
        <v>0</v>
      </c>
      <c r="V2167" s="37">
        <v>0</v>
      </c>
      <c r="W2167" s="5">
        <v>0</v>
      </c>
      <c r="X2167" s="5">
        <v>0</v>
      </c>
      <c r="Y2167" s="5">
        <v>0</v>
      </c>
      <c r="Z2167" s="37">
        <v>0</v>
      </c>
      <c r="AA2167" s="5">
        <v>0</v>
      </c>
      <c r="AB2167" s="5">
        <v>0</v>
      </c>
      <c r="AC2167" s="5">
        <v>0</v>
      </c>
      <c r="AD2167" s="5">
        <v>0</v>
      </c>
      <c r="AE2167" s="10" t="s">
        <v>73</v>
      </c>
      <c r="AF2167" s="10"/>
      <c r="AG2167" s="10" t="s">
        <v>114</v>
      </c>
      <c r="AH2167" s="10">
        <v>42412</v>
      </c>
      <c r="AI2167" s="5">
        <v>0</v>
      </c>
      <c r="AJ2167" s="10" t="s">
        <v>12117</v>
      </c>
      <c r="AK2167" s="10" t="s">
        <v>12118</v>
      </c>
    </row>
    <row r="2168" spans="1:37" ht="36.75" customHeight="1" x14ac:dyDescent="0.35">
      <c r="A2168" s="5"/>
      <c r="B2168" s="5" t="s">
        <v>37</v>
      </c>
      <c r="C2168" s="73" t="str">
        <f t="shared" si="33"/>
        <v>Closed</v>
      </c>
      <c r="D2168" s="45" t="s">
        <v>12119</v>
      </c>
      <c r="E2168" s="54" t="s">
        <v>12120</v>
      </c>
      <c r="F2168" s="5" t="s">
        <v>563</v>
      </c>
      <c r="G2168" s="10">
        <f>DATE(2016,2,9)</f>
        <v>42409</v>
      </c>
      <c r="H2168" s="35">
        <v>1.2847222222222223</v>
      </c>
      <c r="I2168" s="5" t="s">
        <v>179</v>
      </c>
      <c r="J2168" s="10" t="s">
        <v>12121</v>
      </c>
      <c r="K2168" s="5" t="s">
        <v>565</v>
      </c>
      <c r="L2168" s="5" t="s">
        <v>12122</v>
      </c>
      <c r="M2168" s="5" t="s">
        <v>45</v>
      </c>
      <c r="N2168" s="5" t="s">
        <v>80</v>
      </c>
      <c r="O2168" s="5" t="s">
        <v>46</v>
      </c>
      <c r="P2168" s="10" t="s">
        <v>146</v>
      </c>
      <c r="Q2168" s="10" t="s">
        <v>12123</v>
      </c>
      <c r="R2168" s="10" t="s">
        <v>568</v>
      </c>
      <c r="S2168" s="5">
        <v>7</v>
      </c>
      <c r="T2168" s="37">
        <v>4</v>
      </c>
      <c r="U2168" s="5">
        <v>0</v>
      </c>
      <c r="V2168" s="37">
        <v>0</v>
      </c>
      <c r="W2168" s="5">
        <v>0</v>
      </c>
      <c r="X2168" s="5">
        <v>11</v>
      </c>
      <c r="Y2168" s="5">
        <v>27</v>
      </c>
      <c r="Z2168" s="37">
        <v>0</v>
      </c>
      <c r="AA2168" s="5">
        <v>0</v>
      </c>
      <c r="AB2168" s="5">
        <v>0</v>
      </c>
      <c r="AC2168" s="5">
        <v>0</v>
      </c>
      <c r="AD2168" s="5">
        <v>27</v>
      </c>
      <c r="AE2168" s="10" t="s">
        <v>126</v>
      </c>
      <c r="AF2168" s="10"/>
      <c r="AG2168" s="10" t="s">
        <v>64</v>
      </c>
      <c r="AH2168" s="10">
        <v>42409</v>
      </c>
      <c r="AI2168" s="5">
        <v>0</v>
      </c>
      <c r="AJ2168" s="10" t="s">
        <v>12124</v>
      </c>
      <c r="AK2168" s="10" t="s">
        <v>1215</v>
      </c>
    </row>
    <row r="2169" spans="1:37" ht="36.75" customHeight="1" x14ac:dyDescent="0.35">
      <c r="A2169" s="5"/>
      <c r="B2169" s="5" t="s">
        <v>37</v>
      </c>
      <c r="C2169" s="73" t="str">
        <f t="shared" si="33"/>
        <v>Closed</v>
      </c>
      <c r="D2169" s="45" t="s">
        <v>12125</v>
      </c>
      <c r="E2169" s="54" t="s">
        <v>12126</v>
      </c>
      <c r="F2169" s="5" t="s">
        <v>816</v>
      </c>
      <c r="G2169" s="10">
        <f>DATE(2016,2,12)</f>
        <v>42412</v>
      </c>
      <c r="H2169" s="35">
        <v>1.5569444444444445</v>
      </c>
      <c r="I2169" s="5" t="s">
        <v>106</v>
      </c>
      <c r="J2169" s="10" t="s">
        <v>12127</v>
      </c>
      <c r="K2169" s="5" t="s">
        <v>818</v>
      </c>
      <c r="L2169" s="5" t="s">
        <v>12128</v>
      </c>
      <c r="M2169" s="5" t="s">
        <v>45</v>
      </c>
      <c r="N2169" s="5" t="s">
        <v>70</v>
      </c>
      <c r="O2169" s="5" t="s">
        <v>59</v>
      </c>
      <c r="P2169" s="10" t="s">
        <v>60</v>
      </c>
      <c r="Q2169" s="10" t="s">
        <v>4688</v>
      </c>
      <c r="R2169" s="10" t="s">
        <v>821</v>
      </c>
      <c r="S2169" s="5">
        <v>0</v>
      </c>
      <c r="T2169" s="37">
        <v>0</v>
      </c>
      <c r="U2169" s="5">
        <v>0</v>
      </c>
      <c r="V2169" s="37">
        <v>0</v>
      </c>
      <c r="W2169" s="5">
        <v>0</v>
      </c>
      <c r="X2169" s="5">
        <v>0</v>
      </c>
      <c r="Y2169" s="5">
        <v>0</v>
      </c>
      <c r="Z2169" s="37">
        <v>0</v>
      </c>
      <c r="AA2169" s="5">
        <v>0</v>
      </c>
      <c r="AB2169" s="5">
        <v>0</v>
      </c>
      <c r="AC2169" s="5">
        <v>0</v>
      </c>
      <c r="AD2169" s="5">
        <v>0</v>
      </c>
      <c r="AE2169" s="10" t="s">
        <v>73</v>
      </c>
      <c r="AF2169" s="10"/>
      <c r="AG2169" s="10" t="s">
        <v>114</v>
      </c>
      <c r="AH2169" s="10">
        <v>42412</v>
      </c>
      <c r="AI2169" s="5">
        <v>2</v>
      </c>
      <c r="AJ2169" s="10" t="s">
        <v>11310</v>
      </c>
      <c r="AK2169" s="10" t="s">
        <v>1215</v>
      </c>
    </row>
    <row r="2170" spans="1:37" ht="36.75" customHeight="1" x14ac:dyDescent="0.35">
      <c r="A2170" s="5"/>
      <c r="B2170" s="5" t="s">
        <v>37</v>
      </c>
      <c r="C2170" s="73" t="str">
        <f t="shared" si="33"/>
        <v>Closed</v>
      </c>
      <c r="D2170" s="45" t="s">
        <v>12129</v>
      </c>
      <c r="E2170" s="54" t="s">
        <v>12130</v>
      </c>
      <c r="F2170" s="5" t="s">
        <v>214</v>
      </c>
      <c r="G2170" s="10">
        <f>DATE(2016,2,14)</f>
        <v>42414</v>
      </c>
      <c r="H2170" s="35">
        <v>1.4340277777777777</v>
      </c>
      <c r="I2170" s="5" t="s">
        <v>137</v>
      </c>
      <c r="J2170" s="10" t="s">
        <v>12131</v>
      </c>
      <c r="K2170" s="5" t="s">
        <v>216</v>
      </c>
      <c r="L2170" s="5" t="s">
        <v>12132</v>
      </c>
      <c r="M2170" s="5" t="s">
        <v>45</v>
      </c>
      <c r="N2170" s="5" t="s">
        <v>70</v>
      </c>
      <c r="O2170" s="5" t="s">
        <v>46</v>
      </c>
      <c r="P2170" s="10" t="s">
        <v>146</v>
      </c>
      <c r="Q2170" s="10" t="s">
        <v>2518</v>
      </c>
      <c r="R2170" s="10" t="s">
        <v>216</v>
      </c>
      <c r="S2170" s="5">
        <v>0</v>
      </c>
      <c r="T2170" s="37">
        <v>0</v>
      </c>
      <c r="U2170" s="5">
        <v>0</v>
      </c>
      <c r="V2170" s="37">
        <v>0</v>
      </c>
      <c r="W2170" s="5">
        <v>0</v>
      </c>
      <c r="X2170" s="5">
        <v>0</v>
      </c>
      <c r="Y2170" s="5">
        <v>0</v>
      </c>
      <c r="Z2170" s="37">
        <v>1</v>
      </c>
      <c r="AA2170" s="5">
        <v>0</v>
      </c>
      <c r="AB2170" s="5">
        <v>0</v>
      </c>
      <c r="AC2170" s="5">
        <v>0</v>
      </c>
      <c r="AD2170" s="5">
        <v>1</v>
      </c>
      <c r="AE2170" s="10" t="s">
        <v>73</v>
      </c>
      <c r="AF2170" s="10"/>
      <c r="AG2170" s="10" t="s">
        <v>114</v>
      </c>
      <c r="AH2170" s="10">
        <v>42412</v>
      </c>
      <c r="AI2170" s="5">
        <v>4</v>
      </c>
      <c r="AJ2170" s="10" t="s">
        <v>12133</v>
      </c>
      <c r="AK2170" s="10" t="s">
        <v>12134</v>
      </c>
    </row>
    <row r="2171" spans="1:37" ht="36.75" customHeight="1" x14ac:dyDescent="0.35">
      <c r="A2171" s="5"/>
      <c r="B2171" s="5" t="s">
        <v>37</v>
      </c>
      <c r="C2171" s="73" t="str">
        <f t="shared" si="33"/>
        <v>Closed</v>
      </c>
      <c r="D2171" s="45" t="s">
        <v>12135</v>
      </c>
      <c r="E2171" s="54" t="s">
        <v>12136</v>
      </c>
      <c r="F2171" s="5" t="s">
        <v>1751</v>
      </c>
      <c r="G2171" s="10">
        <f>DATE(2016,2,18)</f>
        <v>42418</v>
      </c>
      <c r="H2171" s="35">
        <v>1.8576388888888888</v>
      </c>
      <c r="I2171" s="5" t="s">
        <v>468</v>
      </c>
      <c r="J2171" s="10" t="s">
        <v>12137</v>
      </c>
      <c r="K2171" s="5" t="s">
        <v>1753</v>
      </c>
      <c r="L2171" s="5" t="s">
        <v>12138</v>
      </c>
      <c r="M2171" s="5" t="s">
        <v>45</v>
      </c>
      <c r="N2171" s="5" t="s">
        <v>70</v>
      </c>
      <c r="O2171" s="5" t="s">
        <v>46</v>
      </c>
      <c r="P2171" s="10" t="s">
        <v>146</v>
      </c>
      <c r="Q2171" s="10" t="s">
        <v>4269</v>
      </c>
      <c r="R2171" s="10" t="s">
        <v>1756</v>
      </c>
      <c r="S2171" s="5">
        <v>0</v>
      </c>
      <c r="T2171" s="37">
        <v>0</v>
      </c>
      <c r="U2171" s="5">
        <v>0</v>
      </c>
      <c r="V2171" s="37">
        <v>0</v>
      </c>
      <c r="W2171" s="5">
        <v>0</v>
      </c>
      <c r="X2171" s="5">
        <v>0</v>
      </c>
      <c r="Y2171" s="5">
        <v>0</v>
      </c>
      <c r="Z2171" s="37">
        <v>0</v>
      </c>
      <c r="AA2171" s="5">
        <v>0</v>
      </c>
      <c r="AB2171" s="5">
        <v>0</v>
      </c>
      <c r="AC2171" s="5">
        <v>0</v>
      </c>
      <c r="AD2171" s="5">
        <v>0</v>
      </c>
      <c r="AE2171" s="10" t="s">
        <v>73</v>
      </c>
      <c r="AF2171" s="10"/>
      <c r="AG2171" s="10" t="s">
        <v>333</v>
      </c>
      <c r="AH2171" s="10">
        <v>42424</v>
      </c>
      <c r="AI2171" s="5">
        <v>1</v>
      </c>
      <c r="AJ2171" s="10" t="s">
        <v>12139</v>
      </c>
      <c r="AK2171" s="10" t="s">
        <v>12140</v>
      </c>
    </row>
    <row r="2172" spans="1:37" ht="36.75" customHeight="1" x14ac:dyDescent="0.35">
      <c r="A2172" s="5"/>
      <c r="B2172" s="5" t="s">
        <v>37</v>
      </c>
      <c r="C2172" s="73" t="str">
        <f t="shared" si="33"/>
        <v>Closed</v>
      </c>
      <c r="D2172" s="45" t="s">
        <v>12141</v>
      </c>
      <c r="E2172" s="54" t="s">
        <v>12142</v>
      </c>
      <c r="F2172" s="5" t="s">
        <v>1553</v>
      </c>
      <c r="G2172" s="10">
        <f>DATE(2016,2,18)</f>
        <v>42418</v>
      </c>
      <c r="H2172" s="35">
        <v>1.5499999999999998</v>
      </c>
      <c r="I2172" s="5" t="s">
        <v>55</v>
      </c>
      <c r="J2172" s="10" t="s">
        <v>12143</v>
      </c>
      <c r="K2172" s="5" t="s">
        <v>1555</v>
      </c>
      <c r="L2172" s="5" t="s">
        <v>12144</v>
      </c>
      <c r="M2172" s="5" t="s">
        <v>45</v>
      </c>
      <c r="N2172" s="5" t="s">
        <v>80</v>
      </c>
      <c r="O2172" s="5" t="s">
        <v>59</v>
      </c>
      <c r="P2172" s="10" t="s">
        <v>6920</v>
      </c>
      <c r="Q2172" s="10" t="s">
        <v>2393</v>
      </c>
      <c r="R2172" s="10" t="s">
        <v>6413</v>
      </c>
      <c r="S2172" s="5">
        <v>0</v>
      </c>
      <c r="T2172" s="37">
        <v>0</v>
      </c>
      <c r="U2172" s="5">
        <v>0</v>
      </c>
      <c r="V2172" s="37">
        <v>0</v>
      </c>
      <c r="W2172" s="5">
        <v>0</v>
      </c>
      <c r="X2172" s="5">
        <v>0</v>
      </c>
      <c r="Y2172" s="5">
        <v>0</v>
      </c>
      <c r="Z2172" s="37">
        <v>0</v>
      </c>
      <c r="AA2172" s="5">
        <v>0</v>
      </c>
      <c r="AB2172" s="5">
        <v>0</v>
      </c>
      <c r="AC2172" s="5">
        <v>0</v>
      </c>
      <c r="AD2172" s="5">
        <v>0</v>
      </c>
      <c r="AE2172" s="10" t="s">
        <v>73</v>
      </c>
      <c r="AF2172" s="10"/>
      <c r="AG2172" s="10" t="s">
        <v>114</v>
      </c>
      <c r="AH2172" s="10">
        <v>42419</v>
      </c>
      <c r="AI2172" s="5">
        <v>1</v>
      </c>
      <c r="AJ2172" s="10" t="s">
        <v>12145</v>
      </c>
      <c r="AK2172" s="10" t="s">
        <v>12146</v>
      </c>
    </row>
    <row r="2173" spans="1:37" ht="36.75" customHeight="1" x14ac:dyDescent="0.35">
      <c r="A2173" s="5"/>
      <c r="B2173" s="5" t="s">
        <v>37</v>
      </c>
      <c r="C2173" s="73" t="str">
        <f t="shared" si="33"/>
        <v>Closed</v>
      </c>
      <c r="D2173" s="45" t="s">
        <v>12147</v>
      </c>
      <c r="E2173" s="54" t="s">
        <v>12148</v>
      </c>
      <c r="F2173" s="5" t="s">
        <v>816</v>
      </c>
      <c r="G2173" s="10">
        <f>DATE(2016,2,21)</f>
        <v>42421</v>
      </c>
      <c r="H2173" s="35">
        <v>1.6319444444444444</v>
      </c>
      <c r="I2173" s="5" t="s">
        <v>55</v>
      </c>
      <c r="J2173" s="10" t="s">
        <v>12149</v>
      </c>
      <c r="K2173" s="5" t="s">
        <v>818</v>
      </c>
      <c r="L2173" s="5" t="s">
        <v>12150</v>
      </c>
      <c r="M2173" s="5" t="s">
        <v>45</v>
      </c>
      <c r="N2173" s="5" t="s">
        <v>80</v>
      </c>
      <c r="O2173" s="5" t="s">
        <v>59</v>
      </c>
      <c r="P2173" s="10" t="s">
        <v>60</v>
      </c>
      <c r="Q2173" s="10" t="s">
        <v>3757</v>
      </c>
      <c r="R2173" s="10" t="s">
        <v>2777</v>
      </c>
      <c r="S2173" s="5">
        <v>0</v>
      </c>
      <c r="T2173" s="37">
        <v>0</v>
      </c>
      <c r="U2173" s="5">
        <v>0</v>
      </c>
      <c r="V2173" s="37">
        <v>0</v>
      </c>
      <c r="W2173" s="5">
        <v>0</v>
      </c>
      <c r="X2173" s="5">
        <v>0</v>
      </c>
      <c r="Y2173" s="5">
        <v>0</v>
      </c>
      <c r="Z2173" s="37">
        <v>0</v>
      </c>
      <c r="AA2173" s="5">
        <v>0</v>
      </c>
      <c r="AB2173" s="5">
        <v>0</v>
      </c>
      <c r="AC2173" s="5">
        <v>0</v>
      </c>
      <c r="AD2173" s="5">
        <v>0</v>
      </c>
      <c r="AE2173" s="10" t="s">
        <v>73</v>
      </c>
      <c r="AF2173" s="10"/>
      <c r="AG2173" s="10" t="s">
        <v>114</v>
      </c>
      <c r="AH2173" s="10">
        <v>42421</v>
      </c>
      <c r="AI2173" s="5">
        <v>0</v>
      </c>
      <c r="AJ2173" s="10" t="s">
        <v>12151</v>
      </c>
      <c r="AK2173" s="10" t="s">
        <v>50</v>
      </c>
    </row>
    <row r="2174" spans="1:37" ht="36.75" customHeight="1" x14ac:dyDescent="0.35">
      <c r="A2174" s="5"/>
      <c r="B2174" s="5" t="s">
        <v>37</v>
      </c>
      <c r="C2174" s="73" t="str">
        <f t="shared" si="33"/>
        <v>Closed</v>
      </c>
      <c r="D2174" s="45" t="s">
        <v>12152</v>
      </c>
      <c r="E2174" s="54" t="s">
        <v>12153</v>
      </c>
      <c r="F2174" s="5" t="s">
        <v>563</v>
      </c>
      <c r="G2174" s="10">
        <f>DATE(2016,2,23)</f>
        <v>42423</v>
      </c>
      <c r="H2174" s="35">
        <v>1.6555555555555554</v>
      </c>
      <c r="I2174" s="5" t="s">
        <v>2059</v>
      </c>
      <c r="J2174" s="10" t="s">
        <v>12154</v>
      </c>
      <c r="K2174" s="5" t="s">
        <v>565</v>
      </c>
      <c r="L2174" s="5" t="s">
        <v>12155</v>
      </c>
      <c r="M2174" s="5" t="s">
        <v>45</v>
      </c>
      <c r="N2174" s="5" t="s">
        <v>123</v>
      </c>
      <c r="O2174" s="5" t="s">
        <v>46</v>
      </c>
      <c r="P2174" s="10" t="s">
        <v>146</v>
      </c>
      <c r="Q2174" s="10" t="s">
        <v>4467</v>
      </c>
      <c r="R2174" s="10" t="s">
        <v>568</v>
      </c>
      <c r="S2174" s="5">
        <v>0</v>
      </c>
      <c r="T2174" s="37">
        <v>0</v>
      </c>
      <c r="U2174" s="5">
        <v>0</v>
      </c>
      <c r="V2174" s="37">
        <v>0</v>
      </c>
      <c r="W2174" s="5">
        <v>0</v>
      </c>
      <c r="X2174" s="5">
        <v>0</v>
      </c>
      <c r="Y2174" s="5">
        <v>0</v>
      </c>
      <c r="Z2174" s="37">
        <v>0</v>
      </c>
      <c r="AA2174" s="5">
        <v>0</v>
      </c>
      <c r="AB2174" s="5">
        <v>0</v>
      </c>
      <c r="AC2174" s="5">
        <v>0</v>
      </c>
      <c r="AD2174" s="5">
        <v>0</v>
      </c>
      <c r="AE2174" s="10" t="s">
        <v>73</v>
      </c>
      <c r="AF2174" s="10"/>
      <c r="AG2174" s="10" t="s">
        <v>114</v>
      </c>
      <c r="AH2174" s="10">
        <v>42488</v>
      </c>
      <c r="AI2174" s="5">
        <v>0</v>
      </c>
      <c r="AJ2174" s="10" t="s">
        <v>12156</v>
      </c>
      <c r="AK2174" s="10" t="s">
        <v>1215</v>
      </c>
    </row>
    <row r="2175" spans="1:37" ht="36.75" customHeight="1" x14ac:dyDescent="0.35">
      <c r="A2175" s="5"/>
      <c r="B2175" s="5" t="s">
        <v>37</v>
      </c>
      <c r="C2175" s="73" t="str">
        <f t="shared" si="33"/>
        <v>Closed</v>
      </c>
      <c r="D2175" s="45" t="s">
        <v>12157</v>
      </c>
      <c r="E2175" s="54" t="s">
        <v>12158</v>
      </c>
      <c r="F2175" s="5" t="s">
        <v>54</v>
      </c>
      <c r="G2175" s="10">
        <f>DATE(2016,2,23)</f>
        <v>42423</v>
      </c>
      <c r="H2175" s="35">
        <v>1.3666666666666667</v>
      </c>
      <c r="I2175" s="5" t="s">
        <v>97</v>
      </c>
      <c r="J2175" s="10" t="s">
        <v>12159</v>
      </c>
      <c r="K2175" s="5" t="s">
        <v>57</v>
      </c>
      <c r="L2175" s="5" t="s">
        <v>12160</v>
      </c>
      <c r="M2175" s="5" t="s">
        <v>45</v>
      </c>
      <c r="N2175" s="5" t="s">
        <v>80</v>
      </c>
      <c r="O2175" s="5" t="s">
        <v>46</v>
      </c>
      <c r="P2175" s="10" t="s">
        <v>6920</v>
      </c>
      <c r="Q2175" s="10" t="s">
        <v>12161</v>
      </c>
      <c r="R2175" s="10" t="s">
        <v>62</v>
      </c>
      <c r="S2175" s="5">
        <v>0</v>
      </c>
      <c r="T2175" s="37">
        <v>1</v>
      </c>
      <c r="U2175" s="5">
        <v>0</v>
      </c>
      <c r="V2175" s="37">
        <v>0</v>
      </c>
      <c r="W2175" s="5">
        <v>0</v>
      </c>
      <c r="X2175" s="5">
        <v>1</v>
      </c>
      <c r="Y2175" s="5">
        <v>0</v>
      </c>
      <c r="Z2175" s="37">
        <v>0</v>
      </c>
      <c r="AA2175" s="5">
        <v>0</v>
      </c>
      <c r="AB2175" s="5">
        <v>0</v>
      </c>
      <c r="AC2175" s="5">
        <v>0</v>
      </c>
      <c r="AD2175" s="5">
        <v>0</v>
      </c>
      <c r="AE2175" s="10" t="s">
        <v>375</v>
      </c>
      <c r="AF2175" s="10"/>
      <c r="AG2175" s="10" t="s">
        <v>64</v>
      </c>
      <c r="AH2175" s="10">
        <v>42423</v>
      </c>
      <c r="AI2175" s="5">
        <v>6</v>
      </c>
      <c r="AJ2175" s="10" t="s">
        <v>12162</v>
      </c>
      <c r="AK2175" s="10" t="s">
        <v>12163</v>
      </c>
    </row>
    <row r="2176" spans="1:37" ht="36.75" customHeight="1" x14ac:dyDescent="0.35">
      <c r="A2176" s="5"/>
      <c r="B2176" s="5" t="s">
        <v>37</v>
      </c>
      <c r="C2176" s="73" t="str">
        <f t="shared" si="33"/>
        <v>Closed</v>
      </c>
      <c r="D2176" s="45" t="s">
        <v>12164</v>
      </c>
      <c r="E2176" s="54" t="s">
        <v>12165</v>
      </c>
      <c r="F2176" s="5" t="s">
        <v>214</v>
      </c>
      <c r="G2176" s="10">
        <f>DATE(2016,2,23)</f>
        <v>42423</v>
      </c>
      <c r="H2176" s="35">
        <v>1.5173611111111112</v>
      </c>
      <c r="I2176" s="5" t="s">
        <v>97</v>
      </c>
      <c r="J2176" s="10" t="s">
        <v>12166</v>
      </c>
      <c r="K2176" s="5" t="s">
        <v>216</v>
      </c>
      <c r="L2176" s="5" t="s">
        <v>12167</v>
      </c>
      <c r="M2176" s="5" t="s">
        <v>45</v>
      </c>
      <c r="N2176" s="5" t="s">
        <v>80</v>
      </c>
      <c r="O2176" s="5" t="s">
        <v>46</v>
      </c>
      <c r="P2176" s="10" t="s">
        <v>47</v>
      </c>
      <c r="Q2176" s="10" t="s">
        <v>216</v>
      </c>
      <c r="R2176" s="10" t="s">
        <v>216</v>
      </c>
      <c r="S2176" s="5">
        <v>0</v>
      </c>
      <c r="T2176" s="37">
        <v>0</v>
      </c>
      <c r="U2176" s="5">
        <v>1</v>
      </c>
      <c r="V2176" s="37">
        <v>0</v>
      </c>
      <c r="W2176" s="5">
        <v>0</v>
      </c>
      <c r="X2176" s="5">
        <v>1</v>
      </c>
      <c r="Y2176" s="5">
        <v>0</v>
      </c>
      <c r="Z2176" s="37">
        <v>0</v>
      </c>
      <c r="AA2176" s="5">
        <v>0</v>
      </c>
      <c r="AB2176" s="5">
        <v>0</v>
      </c>
      <c r="AC2176" s="5">
        <v>0</v>
      </c>
      <c r="AD2176" s="5">
        <v>0</v>
      </c>
      <c r="AE2176" s="10" t="s">
        <v>73</v>
      </c>
      <c r="AF2176" s="10"/>
      <c r="AG2176" s="10" t="s">
        <v>64</v>
      </c>
      <c r="AH2176" s="10">
        <v>42429</v>
      </c>
      <c r="AI2176" s="5">
        <v>2</v>
      </c>
      <c r="AJ2176" s="10" t="s">
        <v>12168</v>
      </c>
      <c r="AK2176" s="10" t="s">
        <v>12169</v>
      </c>
    </row>
    <row r="2177" spans="1:37" ht="36.75" customHeight="1" x14ac:dyDescent="0.35">
      <c r="A2177" s="5"/>
      <c r="B2177" s="5" t="s">
        <v>37</v>
      </c>
      <c r="C2177" s="73" t="str">
        <f t="shared" si="33"/>
        <v>Closed</v>
      </c>
      <c r="D2177" s="45" t="s">
        <v>12170</v>
      </c>
      <c r="E2177" s="54" t="s">
        <v>12171</v>
      </c>
      <c r="F2177" s="5" t="s">
        <v>563</v>
      </c>
      <c r="G2177" s="10">
        <f>DATE(2016,2,24)</f>
        <v>42424</v>
      </c>
      <c r="H2177" s="35">
        <v>1.6041666666666665</v>
      </c>
      <c r="I2177" s="5" t="s">
        <v>6754</v>
      </c>
      <c r="J2177" s="10" t="s">
        <v>12172</v>
      </c>
      <c r="K2177" s="5" t="s">
        <v>565</v>
      </c>
      <c r="L2177" s="5" t="s">
        <v>12173</v>
      </c>
      <c r="M2177" s="5" t="s">
        <v>45</v>
      </c>
      <c r="N2177" s="5" t="s">
        <v>80</v>
      </c>
      <c r="O2177" s="5" t="s">
        <v>59</v>
      </c>
      <c r="P2177" s="10" t="s">
        <v>146</v>
      </c>
      <c r="Q2177" s="10" t="s">
        <v>11089</v>
      </c>
      <c r="R2177" s="10" t="s">
        <v>568</v>
      </c>
      <c r="S2177" s="5">
        <v>0</v>
      </c>
      <c r="T2177" s="37">
        <v>0</v>
      </c>
      <c r="U2177" s="5">
        <v>0</v>
      </c>
      <c r="V2177" s="37">
        <v>0</v>
      </c>
      <c r="W2177" s="5">
        <v>0</v>
      </c>
      <c r="X2177" s="5">
        <v>0</v>
      </c>
      <c r="Y2177" s="5">
        <v>0</v>
      </c>
      <c r="Z2177" s="37">
        <v>0</v>
      </c>
      <c r="AA2177" s="5">
        <v>0</v>
      </c>
      <c r="AB2177" s="5">
        <v>0</v>
      </c>
      <c r="AC2177" s="5">
        <v>0</v>
      </c>
      <c r="AD2177" s="5">
        <v>0</v>
      </c>
      <c r="AE2177" s="10" t="s">
        <v>73</v>
      </c>
      <c r="AF2177" s="10"/>
      <c r="AG2177" s="10" t="s">
        <v>114</v>
      </c>
      <c r="AH2177" s="10">
        <v>42431</v>
      </c>
      <c r="AI2177" s="5">
        <v>0</v>
      </c>
      <c r="AJ2177" s="10" t="s">
        <v>12174</v>
      </c>
      <c r="AK2177" s="10" t="s">
        <v>1215</v>
      </c>
    </row>
    <row r="2178" spans="1:37" ht="36.75" customHeight="1" x14ac:dyDescent="0.35">
      <c r="A2178" s="5"/>
      <c r="B2178" s="5" t="s">
        <v>37</v>
      </c>
      <c r="C2178" s="73" t="str">
        <f t="shared" ref="C2178:C2241" si="34">IF(B2178="Notification","Open",IF(B2178="Interim Statement","In progress","Closed"))</f>
        <v>Closed</v>
      </c>
      <c r="D2178" s="45" t="s">
        <v>12175</v>
      </c>
      <c r="E2178" s="54" t="s">
        <v>12176</v>
      </c>
      <c r="F2178" s="5" t="s">
        <v>105</v>
      </c>
      <c r="G2178" s="10">
        <f>DATE(2016,2,26)</f>
        <v>42426</v>
      </c>
      <c r="H2178" s="35">
        <v>1.0534722222222221</v>
      </c>
      <c r="I2178" s="5" t="s">
        <v>468</v>
      </c>
      <c r="J2178" s="10" t="s">
        <v>12177</v>
      </c>
      <c r="K2178" s="5" t="s">
        <v>108</v>
      </c>
      <c r="L2178" s="5" t="s">
        <v>12178</v>
      </c>
      <c r="M2178" s="5" t="s">
        <v>110</v>
      </c>
      <c r="N2178" s="5" t="s">
        <v>123</v>
      </c>
      <c r="O2178" s="5" t="s">
        <v>46</v>
      </c>
      <c r="P2178" s="10" t="s">
        <v>282</v>
      </c>
      <c r="Q2178" s="10" t="s">
        <v>10097</v>
      </c>
      <c r="R2178" s="10" t="s">
        <v>112</v>
      </c>
      <c r="S2178" s="5">
        <v>0</v>
      </c>
      <c r="T2178" s="37">
        <v>0</v>
      </c>
      <c r="U2178" s="5">
        <v>0</v>
      </c>
      <c r="V2178" s="37">
        <v>0</v>
      </c>
      <c r="W2178" s="5">
        <v>0</v>
      </c>
      <c r="X2178" s="5">
        <v>0</v>
      </c>
      <c r="Y2178" s="5">
        <v>0</v>
      </c>
      <c r="Z2178" s="37">
        <v>0</v>
      </c>
      <c r="AA2178" s="5">
        <v>0</v>
      </c>
      <c r="AB2178" s="5">
        <v>0</v>
      </c>
      <c r="AC2178" s="5">
        <v>0</v>
      </c>
      <c r="AD2178" s="5">
        <v>0</v>
      </c>
      <c r="AE2178" s="10" t="s">
        <v>73</v>
      </c>
      <c r="AF2178" s="10"/>
      <c r="AG2178" s="10" t="s">
        <v>7474</v>
      </c>
      <c r="AH2178" s="10">
        <v>42436</v>
      </c>
      <c r="AI2178" s="5">
        <v>1</v>
      </c>
      <c r="AJ2178" s="10" t="s">
        <v>12179</v>
      </c>
      <c r="AK2178" s="10" t="s">
        <v>12180</v>
      </c>
    </row>
    <row r="2179" spans="1:37" ht="36.75" customHeight="1" x14ac:dyDescent="0.35">
      <c r="A2179" s="5"/>
      <c r="B2179" s="5" t="s">
        <v>37</v>
      </c>
      <c r="C2179" s="73" t="str">
        <f t="shared" si="34"/>
        <v>Closed</v>
      </c>
      <c r="D2179" s="45" t="s">
        <v>12181</v>
      </c>
      <c r="E2179" s="54" t="s">
        <v>12182</v>
      </c>
      <c r="F2179" s="5" t="s">
        <v>214</v>
      </c>
      <c r="G2179" s="10">
        <f>DATE(2016,3,2)</f>
        <v>42431</v>
      </c>
      <c r="H2179" s="35">
        <v>1.0638888888888889</v>
      </c>
      <c r="I2179" s="5" t="s">
        <v>55</v>
      </c>
      <c r="J2179" s="10" t="s">
        <v>12183</v>
      </c>
      <c r="K2179" s="5" t="s">
        <v>216</v>
      </c>
      <c r="L2179" s="5" t="s">
        <v>12184</v>
      </c>
      <c r="M2179" s="5" t="s">
        <v>110</v>
      </c>
      <c r="N2179" s="5" t="s">
        <v>80</v>
      </c>
      <c r="O2179" s="5" t="s">
        <v>46</v>
      </c>
      <c r="P2179" s="10" t="s">
        <v>110</v>
      </c>
      <c r="Q2179" s="10" t="s">
        <v>664</v>
      </c>
      <c r="R2179" s="10" t="s">
        <v>216</v>
      </c>
      <c r="S2179" s="5">
        <v>0</v>
      </c>
      <c r="T2179" s="37">
        <v>0</v>
      </c>
      <c r="U2179" s="5">
        <v>0</v>
      </c>
      <c r="V2179" s="37">
        <v>0</v>
      </c>
      <c r="W2179" s="5">
        <v>0</v>
      </c>
      <c r="X2179" s="5">
        <v>0</v>
      </c>
      <c r="Y2179" s="5">
        <v>0</v>
      </c>
      <c r="Z2179" s="37">
        <v>0</v>
      </c>
      <c r="AA2179" s="5">
        <v>0</v>
      </c>
      <c r="AB2179" s="5">
        <v>0</v>
      </c>
      <c r="AC2179" s="5">
        <v>0</v>
      </c>
      <c r="AD2179" s="5">
        <v>0</v>
      </c>
      <c r="AE2179" s="10" t="s">
        <v>73</v>
      </c>
      <c r="AF2179" s="10"/>
      <c r="AG2179" s="10" t="s">
        <v>114</v>
      </c>
      <c r="AH2179" s="10">
        <v>42436</v>
      </c>
      <c r="AI2179" s="5">
        <v>3</v>
      </c>
      <c r="AJ2179" s="10" t="s">
        <v>12185</v>
      </c>
      <c r="AK2179" s="10" t="s">
        <v>12186</v>
      </c>
    </row>
    <row r="2180" spans="1:37" ht="36.75" customHeight="1" x14ac:dyDescent="0.35">
      <c r="A2180" s="5"/>
      <c r="B2180" s="5" t="s">
        <v>37</v>
      </c>
      <c r="C2180" s="73" t="str">
        <f t="shared" si="34"/>
        <v>Closed</v>
      </c>
      <c r="D2180" s="45" t="s">
        <v>12187</v>
      </c>
      <c r="E2180" s="54" t="s">
        <v>12188</v>
      </c>
      <c r="F2180" s="5" t="s">
        <v>816</v>
      </c>
      <c r="G2180" s="10">
        <f>DATE(2016,3,7)</f>
        <v>42436</v>
      </c>
      <c r="H2180" s="35">
        <v>1.3194444444444444</v>
      </c>
      <c r="I2180" s="5" t="s">
        <v>85</v>
      </c>
      <c r="J2180" s="10" t="s">
        <v>12189</v>
      </c>
      <c r="K2180" s="5" t="s">
        <v>818</v>
      </c>
      <c r="L2180" s="5" t="s">
        <v>12190</v>
      </c>
      <c r="M2180" s="5" t="s">
        <v>45</v>
      </c>
      <c r="N2180" s="5" t="s">
        <v>80</v>
      </c>
      <c r="O2180" s="5" t="s">
        <v>59</v>
      </c>
      <c r="P2180" s="10" t="s">
        <v>60</v>
      </c>
      <c r="Q2180" s="10" t="s">
        <v>11459</v>
      </c>
      <c r="R2180" s="10" t="s">
        <v>2777</v>
      </c>
      <c r="S2180" s="5">
        <v>0</v>
      </c>
      <c r="T2180" s="37">
        <v>0</v>
      </c>
      <c r="U2180" s="5">
        <v>0</v>
      </c>
      <c r="V2180" s="37">
        <v>0</v>
      </c>
      <c r="W2180" s="5">
        <v>0</v>
      </c>
      <c r="X2180" s="5">
        <v>0</v>
      </c>
      <c r="Y2180" s="5">
        <v>0</v>
      </c>
      <c r="Z2180" s="37">
        <v>0</v>
      </c>
      <c r="AA2180" s="5">
        <v>0</v>
      </c>
      <c r="AB2180" s="5">
        <v>0</v>
      </c>
      <c r="AC2180" s="5">
        <v>0</v>
      </c>
      <c r="AD2180" s="5">
        <v>0</v>
      </c>
      <c r="AE2180" s="10" t="s">
        <v>73</v>
      </c>
      <c r="AF2180" s="10"/>
      <c r="AG2180" s="10" t="s">
        <v>114</v>
      </c>
      <c r="AH2180" s="10">
        <v>42436</v>
      </c>
      <c r="AI2180" s="5">
        <v>0</v>
      </c>
      <c r="AJ2180" s="10" t="s">
        <v>12191</v>
      </c>
      <c r="AK2180" s="10" t="s">
        <v>1215</v>
      </c>
    </row>
    <row r="2181" spans="1:37" ht="36.75" customHeight="1" x14ac:dyDescent="0.35">
      <c r="A2181" s="5"/>
      <c r="B2181" s="5" t="s">
        <v>37</v>
      </c>
      <c r="C2181" s="73" t="str">
        <f t="shared" si="34"/>
        <v>Closed</v>
      </c>
      <c r="D2181" s="45" t="s">
        <v>12192</v>
      </c>
      <c r="E2181" s="54" t="s">
        <v>12193</v>
      </c>
      <c r="F2181" s="5" t="s">
        <v>1553</v>
      </c>
      <c r="G2181" s="10">
        <f>DATE(2016,3,9)</f>
        <v>42438</v>
      </c>
      <c r="H2181" s="35">
        <v>1.3854166666666667</v>
      </c>
      <c r="I2181" s="5" t="s">
        <v>106</v>
      </c>
      <c r="J2181" s="10" t="s">
        <v>12194</v>
      </c>
      <c r="K2181" s="5" t="s">
        <v>1555</v>
      </c>
      <c r="L2181" s="5" t="s">
        <v>11127</v>
      </c>
      <c r="M2181" s="5" t="s">
        <v>45</v>
      </c>
      <c r="N2181" s="5" t="s">
        <v>123</v>
      </c>
      <c r="O2181" s="5" t="s">
        <v>59</v>
      </c>
      <c r="P2181" s="10" t="s">
        <v>60</v>
      </c>
      <c r="Q2181" s="10" t="s">
        <v>2635</v>
      </c>
      <c r="R2181" s="10" t="s">
        <v>6413</v>
      </c>
      <c r="S2181" s="5">
        <v>0</v>
      </c>
      <c r="T2181" s="37">
        <v>0</v>
      </c>
      <c r="U2181" s="5">
        <v>0</v>
      </c>
      <c r="V2181" s="37">
        <v>0</v>
      </c>
      <c r="W2181" s="5">
        <v>0</v>
      </c>
      <c r="X2181" s="5">
        <v>0</v>
      </c>
      <c r="Y2181" s="5">
        <v>0</v>
      </c>
      <c r="Z2181" s="37">
        <v>0</v>
      </c>
      <c r="AA2181" s="5">
        <v>0</v>
      </c>
      <c r="AB2181" s="5">
        <v>0</v>
      </c>
      <c r="AC2181" s="5">
        <v>0</v>
      </c>
      <c r="AD2181" s="5">
        <v>0</v>
      </c>
      <c r="AE2181" s="10" t="s">
        <v>73</v>
      </c>
      <c r="AF2181" s="10"/>
      <c r="AG2181" s="10" t="s">
        <v>114</v>
      </c>
      <c r="AH2181" s="10">
        <v>42443</v>
      </c>
      <c r="AI2181" s="5">
        <v>1</v>
      </c>
      <c r="AJ2181" s="10" t="s">
        <v>12195</v>
      </c>
      <c r="AK2181" s="10" t="s">
        <v>12196</v>
      </c>
    </row>
    <row r="2182" spans="1:37" ht="36.75" customHeight="1" x14ac:dyDescent="0.35">
      <c r="A2182" s="5"/>
      <c r="B2182" s="5" t="s">
        <v>37</v>
      </c>
      <c r="C2182" s="73" t="str">
        <f t="shared" si="34"/>
        <v>Closed</v>
      </c>
      <c r="D2182" s="45" t="s">
        <v>12197</v>
      </c>
      <c r="E2182" s="54" t="s">
        <v>12198</v>
      </c>
      <c r="F2182" s="5" t="s">
        <v>1553</v>
      </c>
      <c r="G2182" s="10">
        <f>DATE(2016,3,10)</f>
        <v>42439</v>
      </c>
      <c r="H2182" s="35">
        <v>1.3854166666666667</v>
      </c>
      <c r="I2182" s="5" t="s">
        <v>55</v>
      </c>
      <c r="J2182" s="10" t="s">
        <v>12199</v>
      </c>
      <c r="K2182" s="5" t="s">
        <v>1555</v>
      </c>
      <c r="L2182" s="5" t="s">
        <v>12200</v>
      </c>
      <c r="M2182" s="5" t="s">
        <v>45</v>
      </c>
      <c r="N2182" s="5" t="s">
        <v>80</v>
      </c>
      <c r="O2182" s="5" t="s">
        <v>59</v>
      </c>
      <c r="P2182" s="10" t="s">
        <v>60</v>
      </c>
      <c r="Q2182" s="10" t="s">
        <v>2635</v>
      </c>
      <c r="R2182" s="10" t="s">
        <v>6413</v>
      </c>
      <c r="S2182" s="5">
        <v>0</v>
      </c>
      <c r="T2182" s="37">
        <v>0</v>
      </c>
      <c r="U2182" s="5">
        <v>0</v>
      </c>
      <c r="V2182" s="37">
        <v>0</v>
      </c>
      <c r="W2182" s="5">
        <v>0</v>
      </c>
      <c r="X2182" s="5">
        <v>0</v>
      </c>
      <c r="Y2182" s="5">
        <v>0</v>
      </c>
      <c r="Z2182" s="37">
        <v>0</v>
      </c>
      <c r="AA2182" s="5">
        <v>0</v>
      </c>
      <c r="AB2182" s="5">
        <v>0</v>
      </c>
      <c r="AC2182" s="5">
        <v>0</v>
      </c>
      <c r="AD2182" s="5">
        <v>0</v>
      </c>
      <c r="AE2182" s="10" t="s">
        <v>73</v>
      </c>
      <c r="AF2182" s="10"/>
      <c r="AG2182" s="10" t="s">
        <v>114</v>
      </c>
      <c r="AH2182" s="10">
        <v>42443</v>
      </c>
      <c r="AI2182" s="5">
        <v>0</v>
      </c>
      <c r="AJ2182" s="10" t="s">
        <v>12201</v>
      </c>
      <c r="AK2182" s="10" t="s">
        <v>12202</v>
      </c>
    </row>
    <row r="2183" spans="1:37" ht="36.75" customHeight="1" x14ac:dyDescent="0.35">
      <c r="A2183" s="5"/>
      <c r="B2183" s="5" t="s">
        <v>37</v>
      </c>
      <c r="C2183" s="73" t="str">
        <f t="shared" si="34"/>
        <v>Closed</v>
      </c>
      <c r="D2183" s="45" t="s">
        <v>12203</v>
      </c>
      <c r="E2183" s="54" t="s">
        <v>12204</v>
      </c>
      <c r="F2183" s="5" t="s">
        <v>1553</v>
      </c>
      <c r="G2183" s="10">
        <f>DATE(2016,3,12)</f>
        <v>42441</v>
      </c>
      <c r="H2183" s="35">
        <v>1.8763888888888891</v>
      </c>
      <c r="I2183" s="5" t="s">
        <v>55</v>
      </c>
      <c r="J2183" s="10" t="s">
        <v>12205</v>
      </c>
      <c r="K2183" s="5" t="s">
        <v>1555</v>
      </c>
      <c r="L2183" s="5" t="s">
        <v>12206</v>
      </c>
      <c r="M2183" s="5" t="s">
        <v>45</v>
      </c>
      <c r="N2183" s="5" t="s">
        <v>80</v>
      </c>
      <c r="O2183" s="5" t="s">
        <v>59</v>
      </c>
      <c r="P2183" s="10" t="s">
        <v>60</v>
      </c>
      <c r="Q2183" s="10" t="s">
        <v>9439</v>
      </c>
      <c r="R2183" s="10" t="s">
        <v>6413</v>
      </c>
      <c r="S2183" s="5">
        <v>0</v>
      </c>
      <c r="T2183" s="37">
        <v>0</v>
      </c>
      <c r="U2183" s="5">
        <v>0</v>
      </c>
      <c r="V2183" s="37">
        <v>0</v>
      </c>
      <c r="W2183" s="5">
        <v>0</v>
      </c>
      <c r="X2183" s="5">
        <v>0</v>
      </c>
      <c r="Y2183" s="5">
        <v>0</v>
      </c>
      <c r="Z2183" s="37">
        <v>0</v>
      </c>
      <c r="AA2183" s="5">
        <v>0</v>
      </c>
      <c r="AB2183" s="5">
        <v>0</v>
      </c>
      <c r="AC2183" s="5">
        <v>0</v>
      </c>
      <c r="AD2183" s="5">
        <v>0</v>
      </c>
      <c r="AE2183" s="10" t="s">
        <v>375</v>
      </c>
      <c r="AF2183" s="10"/>
      <c r="AG2183" s="10" t="s">
        <v>114</v>
      </c>
      <c r="AH2183" s="10">
        <v>42443</v>
      </c>
      <c r="AI2183" s="5">
        <v>0</v>
      </c>
      <c r="AJ2183" s="10" t="s">
        <v>12207</v>
      </c>
      <c r="AK2183" s="10" t="s">
        <v>12208</v>
      </c>
    </row>
    <row r="2184" spans="1:37" ht="36.75" customHeight="1" x14ac:dyDescent="0.35">
      <c r="A2184" s="5"/>
      <c r="B2184" s="5" t="s">
        <v>37</v>
      </c>
      <c r="C2184" s="73" t="str">
        <f t="shared" si="34"/>
        <v>Closed</v>
      </c>
      <c r="D2184" s="45" t="s">
        <v>12209</v>
      </c>
      <c r="E2184" s="54" t="s">
        <v>12210</v>
      </c>
      <c r="F2184" s="5" t="s">
        <v>1553</v>
      </c>
      <c r="G2184" s="10">
        <f>DATE(2016,3,12)</f>
        <v>42441</v>
      </c>
      <c r="H2184" s="35">
        <v>1.25</v>
      </c>
      <c r="I2184" s="5" t="s">
        <v>5473</v>
      </c>
      <c r="J2184" s="10" t="s">
        <v>12211</v>
      </c>
      <c r="K2184" s="5" t="s">
        <v>1555</v>
      </c>
      <c r="L2184" s="5" t="s">
        <v>12212</v>
      </c>
      <c r="M2184" s="5" t="s">
        <v>45</v>
      </c>
      <c r="N2184" s="5" t="s">
        <v>123</v>
      </c>
      <c r="O2184" s="5" t="s">
        <v>46</v>
      </c>
      <c r="P2184" s="10" t="s">
        <v>6920</v>
      </c>
      <c r="Q2184" s="10" t="s">
        <v>2393</v>
      </c>
      <c r="R2184" s="10" t="s">
        <v>6413</v>
      </c>
      <c r="S2184" s="5">
        <v>0</v>
      </c>
      <c r="T2184" s="37">
        <v>0</v>
      </c>
      <c r="U2184" s="5">
        <v>0</v>
      </c>
      <c r="V2184" s="37">
        <v>0</v>
      </c>
      <c r="W2184" s="5">
        <v>0</v>
      </c>
      <c r="X2184" s="5">
        <v>0</v>
      </c>
      <c r="Y2184" s="5">
        <v>0</v>
      </c>
      <c r="Z2184" s="37">
        <v>0</v>
      </c>
      <c r="AA2184" s="5">
        <v>0</v>
      </c>
      <c r="AB2184" s="5">
        <v>0</v>
      </c>
      <c r="AC2184" s="5">
        <v>0</v>
      </c>
      <c r="AD2184" s="5">
        <v>0</v>
      </c>
      <c r="AE2184" s="10" t="s">
        <v>73</v>
      </c>
      <c r="AF2184" s="10"/>
      <c r="AG2184" s="10" t="s">
        <v>114</v>
      </c>
      <c r="AH2184" s="10">
        <v>42444</v>
      </c>
      <c r="AI2184" s="5">
        <v>0</v>
      </c>
      <c r="AJ2184" s="10" t="s">
        <v>12213</v>
      </c>
      <c r="AK2184" s="10" t="s">
        <v>12214</v>
      </c>
    </row>
    <row r="2185" spans="1:37" ht="36.75" customHeight="1" x14ac:dyDescent="0.35">
      <c r="A2185" s="5"/>
      <c r="B2185" s="5" t="s">
        <v>37</v>
      </c>
      <c r="C2185" s="73" t="str">
        <f t="shared" si="34"/>
        <v>Closed</v>
      </c>
      <c r="D2185" s="45" t="s">
        <v>12215</v>
      </c>
      <c r="E2185" s="54" t="s">
        <v>12216</v>
      </c>
      <c r="F2185" s="5" t="s">
        <v>619</v>
      </c>
      <c r="G2185" s="10">
        <f>DATE(2016,3,15)</f>
        <v>42444</v>
      </c>
      <c r="H2185" s="35">
        <v>1.7215277777777778</v>
      </c>
      <c r="I2185" s="5" t="s">
        <v>137</v>
      </c>
      <c r="J2185" s="10" t="s">
        <v>12217</v>
      </c>
      <c r="K2185" s="5" t="s">
        <v>621</v>
      </c>
      <c r="L2185" s="5" t="s">
        <v>12218</v>
      </c>
      <c r="M2185" s="5" t="s">
        <v>45</v>
      </c>
      <c r="N2185" s="5" t="s">
        <v>80</v>
      </c>
      <c r="O2185" s="5" t="s">
        <v>46</v>
      </c>
      <c r="P2185" s="10" t="s">
        <v>47</v>
      </c>
      <c r="Q2185" s="10" t="s">
        <v>623</v>
      </c>
      <c r="R2185" s="10" t="s">
        <v>624</v>
      </c>
      <c r="S2185" s="5">
        <v>0</v>
      </c>
      <c r="T2185" s="37">
        <v>0</v>
      </c>
      <c r="U2185" s="5">
        <v>0</v>
      </c>
      <c r="V2185" s="37">
        <v>0</v>
      </c>
      <c r="W2185" s="5">
        <v>0</v>
      </c>
      <c r="X2185" s="5">
        <v>0</v>
      </c>
      <c r="Y2185" s="5">
        <v>0</v>
      </c>
      <c r="Z2185" s="37">
        <v>0</v>
      </c>
      <c r="AA2185" s="5">
        <v>0</v>
      </c>
      <c r="AB2185" s="5">
        <v>0</v>
      </c>
      <c r="AC2185" s="5">
        <v>0</v>
      </c>
      <c r="AD2185" s="5">
        <v>0</v>
      </c>
      <c r="AE2185" s="10" t="s">
        <v>73</v>
      </c>
      <c r="AF2185" s="10"/>
      <c r="AG2185" s="10" t="s">
        <v>114</v>
      </c>
      <c r="AH2185" s="10">
        <v>42460</v>
      </c>
      <c r="AI2185" s="5">
        <v>1</v>
      </c>
      <c r="AJ2185" s="10" t="s">
        <v>12219</v>
      </c>
      <c r="AK2185" s="10" t="s">
        <v>12220</v>
      </c>
    </row>
    <row r="2186" spans="1:37" ht="36.75" customHeight="1" x14ac:dyDescent="0.35">
      <c r="A2186" s="5"/>
      <c r="B2186" s="5" t="s">
        <v>37</v>
      </c>
      <c r="C2186" s="73" t="str">
        <f t="shared" si="34"/>
        <v>Closed</v>
      </c>
      <c r="D2186" s="45" t="s">
        <v>12221</v>
      </c>
      <c r="E2186" s="54" t="s">
        <v>12222</v>
      </c>
      <c r="F2186" s="5" t="s">
        <v>619</v>
      </c>
      <c r="G2186" s="10">
        <f>DATE(2016,3,16)</f>
        <v>42445</v>
      </c>
      <c r="H2186" s="35">
        <v>1.3590277777777777</v>
      </c>
      <c r="I2186" s="5" t="s">
        <v>85</v>
      </c>
      <c r="J2186" s="10" t="s">
        <v>12223</v>
      </c>
      <c r="K2186" s="5" t="s">
        <v>621</v>
      </c>
      <c r="L2186" s="5" t="s">
        <v>12224</v>
      </c>
      <c r="M2186" s="5" t="s">
        <v>45</v>
      </c>
      <c r="N2186" s="5" t="s">
        <v>123</v>
      </c>
      <c r="O2186" s="5" t="s">
        <v>6854</v>
      </c>
      <c r="P2186" s="10" t="s">
        <v>60</v>
      </c>
      <c r="Q2186" s="10" t="s">
        <v>12225</v>
      </c>
      <c r="R2186" s="10" t="s">
        <v>624</v>
      </c>
      <c r="S2186" s="5">
        <v>0</v>
      </c>
      <c r="T2186" s="37">
        <v>0</v>
      </c>
      <c r="U2186" s="5">
        <v>0</v>
      </c>
      <c r="V2186" s="37">
        <v>0</v>
      </c>
      <c r="W2186" s="5">
        <v>0</v>
      </c>
      <c r="X2186" s="5">
        <v>0</v>
      </c>
      <c r="Y2186" s="5">
        <v>0</v>
      </c>
      <c r="Z2186" s="37">
        <v>0</v>
      </c>
      <c r="AA2186" s="5">
        <v>0</v>
      </c>
      <c r="AB2186" s="5">
        <v>0</v>
      </c>
      <c r="AC2186" s="5">
        <v>0</v>
      </c>
      <c r="AD2186" s="5">
        <v>0</v>
      </c>
      <c r="AE2186" s="10" t="s">
        <v>73</v>
      </c>
      <c r="AF2186" s="10"/>
      <c r="AG2186" s="10" t="s">
        <v>333</v>
      </c>
      <c r="AH2186" s="10">
        <v>42460</v>
      </c>
      <c r="AI2186" s="5">
        <v>2</v>
      </c>
      <c r="AJ2186" s="10" t="s">
        <v>12226</v>
      </c>
      <c r="AK2186" s="10" t="s">
        <v>50</v>
      </c>
    </row>
    <row r="2187" spans="1:37" ht="36.75" customHeight="1" x14ac:dyDescent="0.35">
      <c r="A2187" s="5"/>
      <c r="B2187" s="5" t="s">
        <v>37</v>
      </c>
      <c r="C2187" s="73" t="str">
        <f t="shared" si="34"/>
        <v>Closed</v>
      </c>
      <c r="D2187" s="45" t="s">
        <v>12227</v>
      </c>
      <c r="E2187" s="54" t="s">
        <v>12228</v>
      </c>
      <c r="F2187" s="5" t="s">
        <v>563</v>
      </c>
      <c r="G2187" s="10">
        <f>DATE(2016,3,20)</f>
        <v>42449</v>
      </c>
      <c r="H2187" s="35">
        <v>1.3381944444444445</v>
      </c>
      <c r="I2187" s="5" t="s">
        <v>179</v>
      </c>
      <c r="J2187" s="10" t="s">
        <v>12229</v>
      </c>
      <c r="K2187" s="5" t="s">
        <v>565</v>
      </c>
      <c r="L2187" s="5" t="s">
        <v>12230</v>
      </c>
      <c r="M2187" s="5" t="s">
        <v>45</v>
      </c>
      <c r="N2187" s="5" t="s">
        <v>123</v>
      </c>
      <c r="O2187" s="5" t="s">
        <v>46</v>
      </c>
      <c r="P2187" s="10" t="s">
        <v>146</v>
      </c>
      <c r="Q2187" s="10" t="s">
        <v>12231</v>
      </c>
      <c r="R2187" s="10" t="s">
        <v>568</v>
      </c>
      <c r="S2187" s="5">
        <v>0</v>
      </c>
      <c r="T2187" s="37">
        <v>0</v>
      </c>
      <c r="U2187" s="5">
        <v>0</v>
      </c>
      <c r="V2187" s="37">
        <v>0</v>
      </c>
      <c r="W2187" s="5">
        <v>0</v>
      </c>
      <c r="X2187" s="5">
        <v>0</v>
      </c>
      <c r="Y2187" s="5">
        <v>0</v>
      </c>
      <c r="Z2187" s="37">
        <v>0</v>
      </c>
      <c r="AA2187" s="5">
        <v>0</v>
      </c>
      <c r="AB2187" s="5">
        <v>0</v>
      </c>
      <c r="AC2187" s="5">
        <v>0</v>
      </c>
      <c r="AD2187" s="5">
        <v>0</v>
      </c>
      <c r="AE2187" s="10" t="s">
        <v>73</v>
      </c>
      <c r="AF2187" s="10"/>
      <c r="AG2187" s="10" t="s">
        <v>114</v>
      </c>
      <c r="AH2187" s="10">
        <v>42451</v>
      </c>
      <c r="AI2187" s="5">
        <v>0</v>
      </c>
      <c r="AJ2187" s="10" t="s">
        <v>12232</v>
      </c>
      <c r="AK2187" s="10" t="s">
        <v>1215</v>
      </c>
    </row>
    <row r="2188" spans="1:37" ht="36.75" customHeight="1" x14ac:dyDescent="0.35">
      <c r="A2188" s="5"/>
      <c r="B2188" s="5" t="s">
        <v>37</v>
      </c>
      <c r="C2188" s="73" t="str">
        <f t="shared" si="34"/>
        <v>Closed</v>
      </c>
      <c r="D2188" s="45" t="s">
        <v>12233</v>
      </c>
      <c r="E2188" s="54" t="s">
        <v>12234</v>
      </c>
      <c r="F2188" s="5" t="s">
        <v>404</v>
      </c>
      <c r="G2188" s="10">
        <f>DATE(2016,3,21)</f>
        <v>42450</v>
      </c>
      <c r="H2188" s="35">
        <v>1.2972222222222223</v>
      </c>
      <c r="I2188" s="5" t="s">
        <v>97</v>
      </c>
      <c r="J2188" s="10" t="s">
        <v>12235</v>
      </c>
      <c r="K2188" s="5" t="s">
        <v>406</v>
      </c>
      <c r="L2188" s="5" t="s">
        <v>12236</v>
      </c>
      <c r="M2188" s="5" t="s">
        <v>45</v>
      </c>
      <c r="N2188" s="5" t="s">
        <v>123</v>
      </c>
      <c r="O2188" s="5" t="s">
        <v>46</v>
      </c>
      <c r="P2188" s="10" t="s">
        <v>72</v>
      </c>
      <c r="Q2188" s="10" t="s">
        <v>12237</v>
      </c>
      <c r="R2188" s="10" t="s">
        <v>3083</v>
      </c>
      <c r="S2188" s="5">
        <v>0</v>
      </c>
      <c r="T2188" s="37">
        <v>0</v>
      </c>
      <c r="U2188" s="5">
        <v>2</v>
      </c>
      <c r="V2188" s="37">
        <v>0</v>
      </c>
      <c r="W2188" s="5">
        <v>0</v>
      </c>
      <c r="X2188" s="5">
        <v>2</v>
      </c>
      <c r="Y2188" s="5">
        <v>0</v>
      </c>
      <c r="Z2188" s="37">
        <v>0</v>
      </c>
      <c r="AA2188" s="5">
        <v>0</v>
      </c>
      <c r="AB2188" s="5">
        <v>0</v>
      </c>
      <c r="AC2188" s="5">
        <v>0</v>
      </c>
      <c r="AD2188" s="5">
        <v>0</v>
      </c>
      <c r="AE2188" s="10" t="s">
        <v>73</v>
      </c>
      <c r="AF2188" s="10"/>
      <c r="AG2188" s="10" t="s">
        <v>114</v>
      </c>
      <c r="AH2188" s="10">
        <v>42450</v>
      </c>
      <c r="AI2188" s="5">
        <v>3</v>
      </c>
      <c r="AJ2188" s="10" t="s">
        <v>12238</v>
      </c>
      <c r="AK2188" s="10" t="s">
        <v>12239</v>
      </c>
    </row>
    <row r="2189" spans="1:37" ht="36.75" customHeight="1" x14ac:dyDescent="0.35">
      <c r="A2189" s="5"/>
      <c r="B2189" s="5" t="s">
        <v>37</v>
      </c>
      <c r="C2189" s="73" t="str">
        <f t="shared" si="34"/>
        <v>Closed</v>
      </c>
      <c r="D2189" s="45" t="s">
        <v>12240</v>
      </c>
      <c r="E2189" s="54" t="s">
        <v>12241</v>
      </c>
      <c r="F2189" s="5" t="s">
        <v>1553</v>
      </c>
      <c r="G2189" s="10">
        <f>DATE(2016,3,21)</f>
        <v>42450</v>
      </c>
      <c r="H2189" s="35">
        <v>1.4131944444444444</v>
      </c>
      <c r="I2189" s="5" t="s">
        <v>55</v>
      </c>
      <c r="J2189" s="10" t="s">
        <v>12242</v>
      </c>
      <c r="K2189" s="5" t="s">
        <v>1555</v>
      </c>
      <c r="L2189" s="5" t="s">
        <v>12243</v>
      </c>
      <c r="M2189" s="5" t="s">
        <v>45</v>
      </c>
      <c r="N2189" s="5" t="s">
        <v>123</v>
      </c>
      <c r="O2189" s="5" t="s">
        <v>59</v>
      </c>
      <c r="P2189" s="10" t="s">
        <v>6920</v>
      </c>
      <c r="Q2189" s="10" t="s">
        <v>2393</v>
      </c>
      <c r="R2189" s="10" t="s">
        <v>6413</v>
      </c>
      <c r="S2189" s="5">
        <v>0</v>
      </c>
      <c r="T2189" s="37">
        <v>0</v>
      </c>
      <c r="U2189" s="5">
        <v>0</v>
      </c>
      <c r="V2189" s="37">
        <v>0</v>
      </c>
      <c r="W2189" s="5">
        <v>0</v>
      </c>
      <c r="X2189" s="5">
        <v>0</v>
      </c>
      <c r="Y2189" s="5">
        <v>0</v>
      </c>
      <c r="Z2189" s="37">
        <v>0</v>
      </c>
      <c r="AA2189" s="5">
        <v>0</v>
      </c>
      <c r="AB2189" s="5">
        <v>0</v>
      </c>
      <c r="AC2189" s="5">
        <v>0</v>
      </c>
      <c r="AD2189" s="5">
        <v>0</v>
      </c>
      <c r="AE2189" s="10" t="s">
        <v>73</v>
      </c>
      <c r="AF2189" s="10"/>
      <c r="AG2189" s="10" t="s">
        <v>114</v>
      </c>
      <c r="AH2189" s="10">
        <v>42451</v>
      </c>
      <c r="AI2189" s="5">
        <v>0</v>
      </c>
      <c r="AJ2189" s="10" t="s">
        <v>12244</v>
      </c>
      <c r="AK2189" s="10" t="s">
        <v>12245</v>
      </c>
    </row>
    <row r="2190" spans="1:37" ht="36.75" customHeight="1" x14ac:dyDescent="0.35">
      <c r="A2190" s="5"/>
      <c r="B2190" s="5" t="s">
        <v>37</v>
      </c>
      <c r="C2190" s="73" t="str">
        <f t="shared" si="34"/>
        <v>Closed</v>
      </c>
      <c r="D2190" s="45" t="s">
        <v>12246</v>
      </c>
      <c r="E2190" s="54" t="s">
        <v>12247</v>
      </c>
      <c r="F2190" s="5" t="s">
        <v>40</v>
      </c>
      <c r="G2190" s="10">
        <f>DATE(2016,3,22)</f>
        <v>42451</v>
      </c>
      <c r="H2190" s="35">
        <v>1.4951388888888888</v>
      </c>
      <c r="I2190" s="5" t="s">
        <v>137</v>
      </c>
      <c r="J2190" s="10" t="s">
        <v>12248</v>
      </c>
      <c r="K2190" s="5" t="s">
        <v>43</v>
      </c>
      <c r="L2190" s="5" t="s">
        <v>12249</v>
      </c>
      <c r="M2190" s="5" t="s">
        <v>45</v>
      </c>
      <c r="N2190" s="5" t="s">
        <v>123</v>
      </c>
      <c r="O2190" s="5" t="s">
        <v>46</v>
      </c>
      <c r="P2190" s="10" t="s">
        <v>60</v>
      </c>
      <c r="Q2190" s="10" t="s">
        <v>48</v>
      </c>
      <c r="R2190" s="10" t="s">
        <v>49</v>
      </c>
      <c r="S2190" s="5">
        <v>0</v>
      </c>
      <c r="T2190" s="37">
        <v>0</v>
      </c>
      <c r="U2190" s="5">
        <v>0</v>
      </c>
      <c r="V2190" s="37">
        <v>0</v>
      </c>
      <c r="W2190" s="5">
        <v>0</v>
      </c>
      <c r="X2190" s="5">
        <v>0</v>
      </c>
      <c r="Y2190" s="5">
        <v>0</v>
      </c>
      <c r="Z2190" s="37">
        <v>0</v>
      </c>
      <c r="AA2190" s="5">
        <v>0</v>
      </c>
      <c r="AB2190" s="5">
        <v>0</v>
      </c>
      <c r="AC2190" s="5">
        <v>0</v>
      </c>
      <c r="AD2190" s="5">
        <v>0</v>
      </c>
      <c r="AE2190" s="10" t="s">
        <v>375</v>
      </c>
      <c r="AF2190" s="10"/>
      <c r="AG2190" s="10" t="s">
        <v>114</v>
      </c>
      <c r="AH2190" s="10">
        <v>42453</v>
      </c>
      <c r="AI2190" s="5">
        <v>3</v>
      </c>
      <c r="AJ2190" s="10" t="s">
        <v>12250</v>
      </c>
      <c r="AK2190" s="10" t="s">
        <v>12251</v>
      </c>
    </row>
    <row r="2191" spans="1:37" ht="36.75" customHeight="1" x14ac:dyDescent="0.35">
      <c r="A2191" s="5"/>
      <c r="B2191" s="5" t="s">
        <v>37</v>
      </c>
      <c r="C2191" s="73" t="str">
        <f t="shared" si="34"/>
        <v>Closed</v>
      </c>
      <c r="D2191" s="45" t="s">
        <v>12252</v>
      </c>
      <c r="E2191" s="54" t="s">
        <v>12253</v>
      </c>
      <c r="F2191" s="5" t="s">
        <v>2316</v>
      </c>
      <c r="G2191" s="10">
        <f>DATE(2016,3,26)</f>
        <v>42455</v>
      </c>
      <c r="H2191" s="35">
        <v>1.3152777777777778</v>
      </c>
      <c r="I2191" s="5" t="s">
        <v>97</v>
      </c>
      <c r="J2191" s="10" t="s">
        <v>12254</v>
      </c>
      <c r="K2191" s="5" t="s">
        <v>2318</v>
      </c>
      <c r="L2191" s="5" t="s">
        <v>12255</v>
      </c>
      <c r="M2191" s="5" t="s">
        <v>45</v>
      </c>
      <c r="N2191" s="5" t="s">
        <v>123</v>
      </c>
      <c r="O2191" s="5" t="s">
        <v>59</v>
      </c>
      <c r="P2191" s="10" t="s">
        <v>6920</v>
      </c>
      <c r="Q2191" s="10" t="s">
        <v>2925</v>
      </c>
      <c r="R2191" s="10" t="s">
        <v>2321</v>
      </c>
      <c r="S2191" s="5">
        <v>0</v>
      </c>
      <c r="T2191" s="37">
        <v>0</v>
      </c>
      <c r="U2191" s="5">
        <v>2</v>
      </c>
      <c r="V2191" s="37">
        <v>0</v>
      </c>
      <c r="W2191" s="5">
        <v>0</v>
      </c>
      <c r="X2191" s="5">
        <v>2</v>
      </c>
      <c r="Y2191" s="5">
        <v>0</v>
      </c>
      <c r="Z2191" s="37">
        <v>0</v>
      </c>
      <c r="AA2191" s="5">
        <v>0</v>
      </c>
      <c r="AB2191" s="5">
        <v>0</v>
      </c>
      <c r="AC2191" s="5">
        <v>0</v>
      </c>
      <c r="AD2191" s="5">
        <v>0</v>
      </c>
      <c r="AE2191" s="10" t="s">
        <v>73</v>
      </c>
      <c r="AF2191" s="10"/>
      <c r="AG2191" s="10" t="s">
        <v>64</v>
      </c>
      <c r="AH2191" s="10">
        <v>42464</v>
      </c>
      <c r="AI2191" s="5">
        <v>3</v>
      </c>
      <c r="AJ2191" s="10" t="s">
        <v>12256</v>
      </c>
      <c r="AK2191" s="10" t="s">
        <v>12257</v>
      </c>
    </row>
    <row r="2192" spans="1:37" ht="36.75" customHeight="1" x14ac:dyDescent="0.35">
      <c r="A2192" s="5"/>
      <c r="B2192" s="5" t="s">
        <v>37</v>
      </c>
      <c r="C2192" s="73" t="str">
        <f t="shared" si="34"/>
        <v>Closed</v>
      </c>
      <c r="D2192" s="45" t="s">
        <v>12258</v>
      </c>
      <c r="E2192" s="54" t="s">
        <v>12259</v>
      </c>
      <c r="F2192" s="5" t="s">
        <v>178</v>
      </c>
      <c r="G2192" s="10">
        <f>DATE(2016,3,28)</f>
        <v>42457</v>
      </c>
      <c r="H2192" s="35">
        <v>1.2298611111111111</v>
      </c>
      <c r="I2192" s="5" t="s">
        <v>55</v>
      </c>
      <c r="J2192" s="10" t="s">
        <v>12260</v>
      </c>
      <c r="K2192" s="5" t="s">
        <v>181</v>
      </c>
      <c r="L2192" s="5" t="s">
        <v>12261</v>
      </c>
      <c r="M2192" s="5" t="s">
        <v>45</v>
      </c>
      <c r="N2192" s="5" t="s">
        <v>123</v>
      </c>
      <c r="O2192" s="5" t="s">
        <v>59</v>
      </c>
      <c r="P2192" s="10" t="s">
        <v>6920</v>
      </c>
      <c r="Q2192" s="10" t="s">
        <v>183</v>
      </c>
      <c r="R2192" s="10" t="s">
        <v>184</v>
      </c>
      <c r="S2192" s="5">
        <v>0</v>
      </c>
      <c r="T2192" s="37">
        <v>0</v>
      </c>
      <c r="U2192" s="5">
        <v>0</v>
      </c>
      <c r="V2192" s="37">
        <v>0</v>
      </c>
      <c r="W2192" s="5">
        <v>0</v>
      </c>
      <c r="X2192" s="5">
        <v>0</v>
      </c>
      <c r="Y2192" s="5">
        <v>0</v>
      </c>
      <c r="Z2192" s="37">
        <v>0</v>
      </c>
      <c r="AA2192" s="5">
        <v>0</v>
      </c>
      <c r="AB2192" s="5">
        <v>0</v>
      </c>
      <c r="AC2192" s="5">
        <v>0</v>
      </c>
      <c r="AD2192" s="5">
        <v>0</v>
      </c>
      <c r="AE2192" s="10" t="s">
        <v>375</v>
      </c>
      <c r="AF2192" s="10"/>
      <c r="AG2192" s="10" t="s">
        <v>1489</v>
      </c>
      <c r="AH2192" s="10">
        <v>42458</v>
      </c>
      <c r="AI2192" s="5">
        <v>1</v>
      </c>
      <c r="AJ2192" s="10" t="s">
        <v>12262</v>
      </c>
      <c r="AK2192" s="10" t="s">
        <v>1215</v>
      </c>
    </row>
    <row r="2193" spans="1:37" ht="36.75" customHeight="1" x14ac:dyDescent="0.35">
      <c r="A2193" s="5"/>
      <c r="B2193" s="5" t="s">
        <v>37</v>
      </c>
      <c r="C2193" s="73" t="str">
        <f t="shared" si="34"/>
        <v>Closed</v>
      </c>
      <c r="D2193" s="45" t="s">
        <v>12263</v>
      </c>
      <c r="E2193" s="54" t="s">
        <v>12264</v>
      </c>
      <c r="F2193" s="5" t="s">
        <v>105</v>
      </c>
      <c r="G2193" s="10">
        <f>DATE(2016,3,30)</f>
        <v>42459</v>
      </c>
      <c r="H2193" s="35">
        <v>0</v>
      </c>
      <c r="I2193" s="5" t="s">
        <v>97</v>
      </c>
      <c r="J2193" s="10" t="s">
        <v>12265</v>
      </c>
      <c r="K2193" s="5" t="s">
        <v>108</v>
      </c>
      <c r="L2193" s="5" t="s">
        <v>12266</v>
      </c>
      <c r="M2193" s="5" t="s">
        <v>45</v>
      </c>
      <c r="N2193" s="5" t="s">
        <v>80</v>
      </c>
      <c r="O2193" s="5" t="s">
        <v>59</v>
      </c>
      <c r="P2193" s="10" t="s">
        <v>47</v>
      </c>
      <c r="Q2193" s="10" t="s">
        <v>210</v>
      </c>
      <c r="R2193" s="10" t="s">
        <v>148</v>
      </c>
      <c r="S2193" s="5">
        <v>0</v>
      </c>
      <c r="T2193" s="37">
        <v>0</v>
      </c>
      <c r="U2193" s="5">
        <v>1</v>
      </c>
      <c r="V2193" s="37">
        <v>0</v>
      </c>
      <c r="W2193" s="5">
        <v>0</v>
      </c>
      <c r="X2193" s="5">
        <v>1</v>
      </c>
      <c r="Y2193" s="5">
        <v>0</v>
      </c>
      <c r="Z2193" s="37">
        <v>0</v>
      </c>
      <c r="AA2193" s="5">
        <v>0</v>
      </c>
      <c r="AB2193" s="5">
        <v>0</v>
      </c>
      <c r="AC2193" s="5">
        <v>0</v>
      </c>
      <c r="AD2193" s="5">
        <v>0</v>
      </c>
      <c r="AE2193" s="10" t="s">
        <v>73</v>
      </c>
      <c r="AF2193" s="10"/>
      <c r="AG2193" s="10" t="s">
        <v>64</v>
      </c>
      <c r="AH2193" s="10">
        <v>42461</v>
      </c>
      <c r="AI2193" s="5">
        <v>2</v>
      </c>
      <c r="AJ2193" s="10" t="s">
        <v>12267</v>
      </c>
      <c r="AK2193" s="10" t="s">
        <v>1215</v>
      </c>
    </row>
    <row r="2194" spans="1:37" ht="36.75" customHeight="1" x14ac:dyDescent="0.35">
      <c r="A2194" s="5"/>
      <c r="B2194" s="5" t="s">
        <v>37</v>
      </c>
      <c r="C2194" s="73" t="str">
        <f t="shared" si="34"/>
        <v>Closed</v>
      </c>
      <c r="D2194" s="45" t="s">
        <v>12268</v>
      </c>
      <c r="E2194" s="54" t="s">
        <v>12269</v>
      </c>
      <c r="F2194" s="5" t="s">
        <v>816</v>
      </c>
      <c r="G2194" s="10">
        <f>DATE(2016,3,31)</f>
        <v>42460</v>
      </c>
      <c r="H2194" s="35">
        <v>1.6027777777777779</v>
      </c>
      <c r="I2194" s="5" t="s">
        <v>55</v>
      </c>
      <c r="J2194" s="10" t="s">
        <v>12270</v>
      </c>
      <c r="K2194" s="5" t="s">
        <v>818</v>
      </c>
      <c r="L2194" s="5" t="s">
        <v>12271</v>
      </c>
      <c r="M2194" s="5" t="s">
        <v>236</v>
      </c>
      <c r="N2194" s="5" t="s">
        <v>123</v>
      </c>
      <c r="O2194" s="5" t="s">
        <v>46</v>
      </c>
      <c r="P2194" s="10" t="s">
        <v>6531</v>
      </c>
      <c r="Q2194" s="10" t="s">
        <v>4190</v>
      </c>
      <c r="R2194" s="10" t="s">
        <v>4190</v>
      </c>
      <c r="S2194" s="5">
        <v>0</v>
      </c>
      <c r="T2194" s="37">
        <v>0</v>
      </c>
      <c r="U2194" s="5">
        <v>0</v>
      </c>
      <c r="V2194" s="37">
        <v>0</v>
      </c>
      <c r="W2194" s="5">
        <v>0</v>
      </c>
      <c r="X2194" s="5">
        <v>0</v>
      </c>
      <c r="Y2194" s="5">
        <v>0</v>
      </c>
      <c r="Z2194" s="37">
        <v>0</v>
      </c>
      <c r="AA2194" s="5">
        <v>0</v>
      </c>
      <c r="AB2194" s="5">
        <v>0</v>
      </c>
      <c r="AC2194" s="5">
        <v>0</v>
      </c>
      <c r="AD2194" s="5">
        <v>0</v>
      </c>
      <c r="AE2194" s="10" t="s">
        <v>73</v>
      </c>
      <c r="AF2194" s="10"/>
      <c r="AG2194" s="10" t="s">
        <v>333</v>
      </c>
      <c r="AH2194" s="10">
        <v>42464</v>
      </c>
      <c r="AI2194" s="5">
        <v>0</v>
      </c>
      <c r="AJ2194" s="10" t="s">
        <v>12272</v>
      </c>
      <c r="AK2194" s="10" t="s">
        <v>50</v>
      </c>
    </row>
    <row r="2195" spans="1:37" ht="36.75" customHeight="1" x14ac:dyDescent="0.35">
      <c r="A2195" s="5"/>
      <c r="B2195" s="5" t="s">
        <v>37</v>
      </c>
      <c r="C2195" s="73" t="str">
        <f t="shared" si="34"/>
        <v>Closed</v>
      </c>
      <c r="D2195" s="45" t="s">
        <v>12273</v>
      </c>
      <c r="E2195" s="54" t="s">
        <v>12274</v>
      </c>
      <c r="F2195" s="5" t="s">
        <v>214</v>
      </c>
      <c r="G2195" s="10">
        <f>DATE(2016,4,3)</f>
        <v>42463</v>
      </c>
      <c r="H2195" s="35">
        <v>1.6493055555555556</v>
      </c>
      <c r="I2195" s="5" t="s">
        <v>179</v>
      </c>
      <c r="J2195" s="10" t="s">
        <v>12275</v>
      </c>
      <c r="K2195" s="5" t="s">
        <v>216</v>
      </c>
      <c r="L2195" s="5" t="s">
        <v>12276</v>
      </c>
      <c r="M2195" s="5" t="s">
        <v>45</v>
      </c>
      <c r="N2195" s="5" t="s">
        <v>70</v>
      </c>
      <c r="O2195" s="5" t="s">
        <v>59</v>
      </c>
      <c r="P2195" s="10" t="s">
        <v>6920</v>
      </c>
      <c r="Q2195" s="10" t="s">
        <v>1410</v>
      </c>
      <c r="R2195" s="10" t="s">
        <v>216</v>
      </c>
      <c r="S2195" s="5">
        <v>0</v>
      </c>
      <c r="T2195" s="37">
        <v>0</v>
      </c>
      <c r="U2195" s="5">
        <v>0</v>
      </c>
      <c r="V2195" s="37">
        <v>0</v>
      </c>
      <c r="W2195" s="5">
        <v>0</v>
      </c>
      <c r="X2195" s="5">
        <v>0</v>
      </c>
      <c r="Y2195" s="5">
        <v>2</v>
      </c>
      <c r="Z2195" s="37">
        <v>1</v>
      </c>
      <c r="AA2195" s="5">
        <v>0</v>
      </c>
      <c r="AB2195" s="5">
        <v>0</v>
      </c>
      <c r="AC2195" s="5">
        <v>0</v>
      </c>
      <c r="AD2195" s="5">
        <v>3</v>
      </c>
      <c r="AE2195" s="10" t="s">
        <v>73</v>
      </c>
      <c r="AF2195" s="10"/>
      <c r="AG2195" s="10" t="s">
        <v>114</v>
      </c>
      <c r="AH2195" s="10">
        <v>42471</v>
      </c>
      <c r="AI2195" s="5">
        <v>3</v>
      </c>
      <c r="AJ2195" s="10" t="s">
        <v>12277</v>
      </c>
      <c r="AK2195" s="10" t="s">
        <v>12278</v>
      </c>
    </row>
    <row r="2196" spans="1:37" ht="36.75" customHeight="1" x14ac:dyDescent="0.35">
      <c r="A2196" s="5"/>
      <c r="B2196" s="5" t="s">
        <v>37</v>
      </c>
      <c r="C2196" s="73" t="str">
        <f t="shared" si="34"/>
        <v>Closed</v>
      </c>
      <c r="D2196" s="45" t="s">
        <v>12279</v>
      </c>
      <c r="E2196" s="54" t="s">
        <v>12280</v>
      </c>
      <c r="F2196" s="5" t="s">
        <v>214</v>
      </c>
      <c r="G2196" s="10">
        <f>DATE(2016,4,7)</f>
        <v>42467</v>
      </c>
      <c r="H2196" s="35">
        <v>1.4520833333333334</v>
      </c>
      <c r="I2196" s="5" t="s">
        <v>259</v>
      </c>
      <c r="J2196" s="10" t="s">
        <v>12281</v>
      </c>
      <c r="K2196" s="5" t="s">
        <v>216</v>
      </c>
      <c r="L2196" s="5" t="s">
        <v>12282</v>
      </c>
      <c r="M2196" s="5" t="s">
        <v>45</v>
      </c>
      <c r="N2196" s="5" t="s">
        <v>123</v>
      </c>
      <c r="O2196" s="5" t="s">
        <v>59</v>
      </c>
      <c r="P2196" s="10" t="s">
        <v>60</v>
      </c>
      <c r="Q2196" s="10" t="s">
        <v>216</v>
      </c>
      <c r="R2196" s="10" t="s">
        <v>216</v>
      </c>
      <c r="S2196" s="5">
        <v>0</v>
      </c>
      <c r="T2196" s="37">
        <v>0</v>
      </c>
      <c r="U2196" s="5">
        <v>0</v>
      </c>
      <c r="V2196" s="37">
        <v>0</v>
      </c>
      <c r="W2196" s="5">
        <v>0</v>
      </c>
      <c r="X2196" s="5">
        <v>0</v>
      </c>
      <c r="Y2196" s="5">
        <v>0</v>
      </c>
      <c r="Z2196" s="37">
        <v>0</v>
      </c>
      <c r="AA2196" s="5">
        <v>0</v>
      </c>
      <c r="AB2196" s="5">
        <v>0</v>
      </c>
      <c r="AC2196" s="5">
        <v>0</v>
      </c>
      <c r="AD2196" s="5">
        <v>0</v>
      </c>
      <c r="AE2196" s="10" t="s">
        <v>73</v>
      </c>
      <c r="AF2196" s="10"/>
      <c r="AG2196" s="10" t="s">
        <v>114</v>
      </c>
      <c r="AH2196" s="10">
        <v>42508</v>
      </c>
      <c r="AI2196" s="5">
        <v>5</v>
      </c>
      <c r="AJ2196" s="10" t="s">
        <v>12283</v>
      </c>
      <c r="AK2196" s="10" t="s">
        <v>12284</v>
      </c>
    </row>
    <row r="2197" spans="1:37" ht="36.75" customHeight="1" x14ac:dyDescent="0.35">
      <c r="A2197" s="5"/>
      <c r="B2197" s="5" t="s">
        <v>37</v>
      </c>
      <c r="C2197" s="73" t="str">
        <f t="shared" si="34"/>
        <v>Closed</v>
      </c>
      <c r="D2197" s="45" t="s">
        <v>12285</v>
      </c>
      <c r="E2197" s="54" t="s">
        <v>12286</v>
      </c>
      <c r="F2197" s="5" t="s">
        <v>214</v>
      </c>
      <c r="G2197" s="10">
        <f>DATE(2016,4,10)</f>
        <v>42470</v>
      </c>
      <c r="H2197" s="35">
        <v>1.5208333333333335</v>
      </c>
      <c r="I2197" s="5" t="s">
        <v>97</v>
      </c>
      <c r="J2197" s="10" t="s">
        <v>12287</v>
      </c>
      <c r="K2197" s="5" t="s">
        <v>216</v>
      </c>
      <c r="L2197" s="5" t="s">
        <v>12288</v>
      </c>
      <c r="M2197" s="5" t="s">
        <v>45</v>
      </c>
      <c r="N2197" s="5" t="s">
        <v>123</v>
      </c>
      <c r="O2197" s="5" t="s">
        <v>67</v>
      </c>
      <c r="P2197" s="10" t="s">
        <v>6920</v>
      </c>
      <c r="Q2197" s="10" t="s">
        <v>699</v>
      </c>
      <c r="R2197" s="10" t="s">
        <v>216</v>
      </c>
      <c r="S2197" s="5">
        <v>0</v>
      </c>
      <c r="T2197" s="37">
        <v>0</v>
      </c>
      <c r="U2197" s="5">
        <v>0</v>
      </c>
      <c r="V2197" s="37">
        <v>0</v>
      </c>
      <c r="W2197" s="5">
        <v>0</v>
      </c>
      <c r="X2197" s="5">
        <v>0</v>
      </c>
      <c r="Y2197" s="5">
        <v>0</v>
      </c>
      <c r="Z2197" s="37">
        <v>0</v>
      </c>
      <c r="AA2197" s="5">
        <v>1</v>
      </c>
      <c r="AB2197" s="5">
        <v>0</v>
      </c>
      <c r="AC2197" s="5">
        <v>0</v>
      </c>
      <c r="AD2197" s="5">
        <v>1</v>
      </c>
      <c r="AE2197" s="10" t="s">
        <v>73</v>
      </c>
      <c r="AF2197" s="10"/>
      <c r="AG2197" s="10" t="s">
        <v>114</v>
      </c>
      <c r="AH2197" s="10">
        <v>42478</v>
      </c>
      <c r="AI2197" s="5">
        <v>3</v>
      </c>
      <c r="AJ2197" s="10" t="s">
        <v>12289</v>
      </c>
      <c r="AK2197" s="10" t="s">
        <v>12290</v>
      </c>
    </row>
    <row r="2198" spans="1:37" ht="36.75" customHeight="1" x14ac:dyDescent="0.35">
      <c r="A2198" s="5"/>
      <c r="B2198" s="5" t="s">
        <v>37</v>
      </c>
      <c r="C2198" s="73" t="str">
        <f t="shared" si="34"/>
        <v>Closed</v>
      </c>
      <c r="D2198" s="45" t="s">
        <v>12291</v>
      </c>
      <c r="E2198" s="54" t="s">
        <v>12292</v>
      </c>
      <c r="F2198" s="5" t="s">
        <v>2581</v>
      </c>
      <c r="G2198" s="10">
        <f>DATE(2016,4,13)</f>
        <v>42473</v>
      </c>
      <c r="H2198" s="35">
        <v>1.9631944444444445</v>
      </c>
      <c r="I2198" s="5" t="s">
        <v>106</v>
      </c>
      <c r="J2198" s="10" t="s">
        <v>12293</v>
      </c>
      <c r="K2198" s="5" t="s">
        <v>2583</v>
      </c>
      <c r="L2198" s="5" t="s">
        <v>12294</v>
      </c>
      <c r="M2198" s="5" t="s">
        <v>45</v>
      </c>
      <c r="N2198" s="5" t="s">
        <v>123</v>
      </c>
      <c r="O2198" s="5" t="s">
        <v>46</v>
      </c>
      <c r="P2198" s="10" t="s">
        <v>146</v>
      </c>
      <c r="Q2198" s="10" t="s">
        <v>6321</v>
      </c>
      <c r="R2198" s="10" t="s">
        <v>2586</v>
      </c>
      <c r="S2198" s="5">
        <v>0</v>
      </c>
      <c r="T2198" s="37">
        <v>0</v>
      </c>
      <c r="U2198" s="5">
        <v>0</v>
      </c>
      <c r="V2198" s="37">
        <v>0</v>
      </c>
      <c r="W2198" s="5">
        <v>0</v>
      </c>
      <c r="X2198" s="5">
        <v>0</v>
      </c>
      <c r="Y2198" s="5">
        <v>0</v>
      </c>
      <c r="Z2198" s="37">
        <v>0</v>
      </c>
      <c r="AA2198" s="5">
        <v>0</v>
      </c>
      <c r="AB2198" s="5">
        <v>0</v>
      </c>
      <c r="AC2198" s="5">
        <v>0</v>
      </c>
      <c r="AD2198" s="5">
        <v>0</v>
      </c>
      <c r="AE2198" s="10" t="s">
        <v>375</v>
      </c>
      <c r="AF2198" s="10"/>
      <c r="AG2198" s="10" t="s">
        <v>12295</v>
      </c>
      <c r="AH2198" s="10">
        <v>42479</v>
      </c>
      <c r="AI2198" s="5">
        <v>8</v>
      </c>
      <c r="AJ2198" s="10" t="s">
        <v>12296</v>
      </c>
      <c r="AK2198" s="10" t="s">
        <v>12297</v>
      </c>
    </row>
    <row r="2199" spans="1:37" ht="36.75" customHeight="1" x14ac:dyDescent="0.35">
      <c r="A2199" s="5"/>
      <c r="B2199" s="5" t="s">
        <v>37</v>
      </c>
      <c r="C2199" s="73" t="str">
        <f t="shared" si="34"/>
        <v>Closed</v>
      </c>
      <c r="D2199" s="45" t="s">
        <v>12298</v>
      </c>
      <c r="E2199" s="54" t="s">
        <v>12299</v>
      </c>
      <c r="F2199" s="5" t="s">
        <v>404</v>
      </c>
      <c r="G2199" s="10">
        <f>DATE(2016,4,13)</f>
        <v>42473</v>
      </c>
      <c r="H2199" s="35">
        <v>1.7243055555555555</v>
      </c>
      <c r="I2199" s="5" t="s">
        <v>85</v>
      </c>
      <c r="J2199" s="10" t="s">
        <v>12300</v>
      </c>
      <c r="K2199" s="5" t="s">
        <v>406</v>
      </c>
      <c r="L2199" s="5" t="s">
        <v>12301</v>
      </c>
      <c r="M2199" s="5" t="s">
        <v>45</v>
      </c>
      <c r="N2199" s="5" t="s">
        <v>123</v>
      </c>
      <c r="O2199" s="5" t="s">
        <v>59</v>
      </c>
      <c r="P2199" s="10" t="s">
        <v>362</v>
      </c>
      <c r="Q2199" s="10" t="s">
        <v>12302</v>
      </c>
      <c r="R2199" s="10" t="s">
        <v>3083</v>
      </c>
      <c r="S2199" s="5">
        <v>0</v>
      </c>
      <c r="T2199" s="37">
        <v>0</v>
      </c>
      <c r="U2199" s="5">
        <v>0</v>
      </c>
      <c r="V2199" s="37">
        <v>0</v>
      </c>
      <c r="W2199" s="5">
        <v>0</v>
      </c>
      <c r="X2199" s="5">
        <v>0</v>
      </c>
      <c r="Y2199" s="5">
        <v>0</v>
      </c>
      <c r="Z2199" s="37">
        <v>0</v>
      </c>
      <c r="AA2199" s="5">
        <v>0</v>
      </c>
      <c r="AB2199" s="5">
        <v>0</v>
      </c>
      <c r="AC2199" s="5">
        <v>0</v>
      </c>
      <c r="AD2199" s="5">
        <v>0</v>
      </c>
      <c r="AE2199" s="10" t="s">
        <v>73</v>
      </c>
      <c r="AF2199" s="10"/>
      <c r="AG2199" s="10" t="s">
        <v>333</v>
      </c>
      <c r="AH2199" s="10">
        <v>42697</v>
      </c>
      <c r="AI2199" s="5">
        <v>1</v>
      </c>
      <c r="AJ2199" s="10" t="s">
        <v>12303</v>
      </c>
      <c r="AK2199" s="10" t="s">
        <v>12304</v>
      </c>
    </row>
    <row r="2200" spans="1:37" ht="36.75" customHeight="1" x14ac:dyDescent="0.35">
      <c r="A2200" s="5"/>
      <c r="B2200" s="5" t="s">
        <v>37</v>
      </c>
      <c r="C2200" s="73" t="str">
        <f t="shared" si="34"/>
        <v>Closed</v>
      </c>
      <c r="D2200" s="45" t="s">
        <v>12305</v>
      </c>
      <c r="E2200" s="54" t="s">
        <v>12306</v>
      </c>
      <c r="F2200" s="5" t="s">
        <v>1553</v>
      </c>
      <c r="G2200" s="10">
        <f>DATE(2016,4,15)</f>
        <v>42475</v>
      </c>
      <c r="H2200" s="35">
        <v>1.2145833333333333</v>
      </c>
      <c r="I2200" s="5" t="s">
        <v>55</v>
      </c>
      <c r="J2200" s="10" t="s">
        <v>12307</v>
      </c>
      <c r="K2200" s="5" t="s">
        <v>1555</v>
      </c>
      <c r="L2200" s="5" t="s">
        <v>12308</v>
      </c>
      <c r="M2200" s="5" t="s">
        <v>45</v>
      </c>
      <c r="N2200" s="5" t="s">
        <v>123</v>
      </c>
      <c r="O2200" s="5" t="s">
        <v>59</v>
      </c>
      <c r="P2200" s="10" t="s">
        <v>60</v>
      </c>
      <c r="Q2200" s="10" t="s">
        <v>2635</v>
      </c>
      <c r="R2200" s="10" t="s">
        <v>6413</v>
      </c>
      <c r="S2200" s="5">
        <v>0</v>
      </c>
      <c r="T2200" s="37">
        <v>0</v>
      </c>
      <c r="U2200" s="5">
        <v>0</v>
      </c>
      <c r="V2200" s="37">
        <v>0</v>
      </c>
      <c r="W2200" s="5">
        <v>0</v>
      </c>
      <c r="X2200" s="5">
        <v>0</v>
      </c>
      <c r="Y2200" s="5">
        <v>0</v>
      </c>
      <c r="Z2200" s="37">
        <v>0</v>
      </c>
      <c r="AA2200" s="5">
        <v>0</v>
      </c>
      <c r="AB2200" s="5">
        <v>0</v>
      </c>
      <c r="AC2200" s="5">
        <v>0</v>
      </c>
      <c r="AD2200" s="5">
        <v>0</v>
      </c>
      <c r="AE2200" s="10" t="s">
        <v>73</v>
      </c>
      <c r="AF2200" s="10"/>
      <c r="AG2200" s="10" t="s">
        <v>114</v>
      </c>
      <c r="AH2200" s="10">
        <v>42478</v>
      </c>
      <c r="AI2200" s="5">
        <v>1</v>
      </c>
      <c r="AJ2200" s="10" t="s">
        <v>12309</v>
      </c>
      <c r="AK2200" s="10" t="s">
        <v>12310</v>
      </c>
    </row>
    <row r="2201" spans="1:37" ht="36.75" customHeight="1" x14ac:dyDescent="0.35">
      <c r="A2201" s="5"/>
      <c r="B2201" s="5" t="s">
        <v>37</v>
      </c>
      <c r="C2201" s="73" t="str">
        <f t="shared" si="34"/>
        <v>Closed</v>
      </c>
      <c r="D2201" s="45" t="s">
        <v>12311</v>
      </c>
      <c r="E2201" s="54" t="s">
        <v>12312</v>
      </c>
      <c r="F2201" s="5" t="s">
        <v>619</v>
      </c>
      <c r="G2201" s="10">
        <f>DATE(2016,4,17)</f>
        <v>42477</v>
      </c>
      <c r="H2201" s="35">
        <v>1.8972222222222221</v>
      </c>
      <c r="I2201" s="5" t="s">
        <v>179</v>
      </c>
      <c r="J2201" s="10" t="s">
        <v>12313</v>
      </c>
      <c r="K2201" s="5" t="s">
        <v>621</v>
      </c>
      <c r="L2201" s="5" t="s">
        <v>12314</v>
      </c>
      <c r="M2201" s="5" t="s">
        <v>45</v>
      </c>
      <c r="N2201" s="5" t="s">
        <v>123</v>
      </c>
      <c r="O2201" s="5" t="s">
        <v>59</v>
      </c>
      <c r="P2201" s="10" t="s">
        <v>10666</v>
      </c>
      <c r="Q2201" s="10" t="s">
        <v>5825</v>
      </c>
      <c r="R2201" s="10" t="s">
        <v>624</v>
      </c>
      <c r="S2201" s="5">
        <v>0</v>
      </c>
      <c r="T2201" s="37">
        <v>0</v>
      </c>
      <c r="U2201" s="5">
        <v>0</v>
      </c>
      <c r="V2201" s="37">
        <v>0</v>
      </c>
      <c r="W2201" s="5">
        <v>0</v>
      </c>
      <c r="X2201" s="5">
        <v>0</v>
      </c>
      <c r="Y2201" s="5">
        <v>0</v>
      </c>
      <c r="Z2201" s="37">
        <v>0</v>
      </c>
      <c r="AA2201" s="5">
        <v>0</v>
      </c>
      <c r="AB2201" s="5">
        <v>0</v>
      </c>
      <c r="AC2201" s="5">
        <v>0</v>
      </c>
      <c r="AD2201" s="5">
        <v>0</v>
      </c>
      <c r="AE2201" s="10" t="s">
        <v>73</v>
      </c>
      <c r="AF2201" s="10"/>
      <c r="AG2201" s="10" t="s">
        <v>333</v>
      </c>
      <c r="AH2201" s="10">
        <v>42486</v>
      </c>
      <c r="AI2201" s="5">
        <v>4</v>
      </c>
      <c r="AJ2201" s="10" t="s">
        <v>12315</v>
      </c>
      <c r="AK2201" s="10" t="s">
        <v>12316</v>
      </c>
    </row>
    <row r="2202" spans="1:37" ht="36.75" customHeight="1" x14ac:dyDescent="0.35">
      <c r="A2202" s="5"/>
      <c r="B2202" s="5" t="s">
        <v>37</v>
      </c>
      <c r="C2202" s="73" t="str">
        <f t="shared" si="34"/>
        <v>Closed</v>
      </c>
      <c r="D2202" s="45" t="s">
        <v>12317</v>
      </c>
      <c r="E2202" s="54" t="s">
        <v>12318</v>
      </c>
      <c r="F2202" s="5" t="s">
        <v>404</v>
      </c>
      <c r="G2202" s="10">
        <f>DATE(2016,4,19)</f>
        <v>42479</v>
      </c>
      <c r="H2202" s="35">
        <v>1.3798611111111112</v>
      </c>
      <c r="I2202" s="5" t="s">
        <v>259</v>
      </c>
      <c r="J2202" s="10" t="s">
        <v>12319</v>
      </c>
      <c r="K2202" s="5" t="s">
        <v>406</v>
      </c>
      <c r="L2202" s="5" t="s">
        <v>12320</v>
      </c>
      <c r="M2202" s="5" t="s">
        <v>45</v>
      </c>
      <c r="N2202" s="5" t="s">
        <v>80</v>
      </c>
      <c r="O2202" s="5" t="s">
        <v>6854</v>
      </c>
      <c r="P2202" s="10" t="s">
        <v>72</v>
      </c>
      <c r="Q2202" s="10" t="s">
        <v>7562</v>
      </c>
      <c r="R2202" s="10" t="s">
        <v>408</v>
      </c>
      <c r="S2202" s="5">
        <v>0</v>
      </c>
      <c r="T2202" s="37">
        <v>1</v>
      </c>
      <c r="U2202" s="5">
        <v>0</v>
      </c>
      <c r="V2202" s="37">
        <v>0</v>
      </c>
      <c r="W2202" s="5">
        <v>0</v>
      </c>
      <c r="X2202" s="5">
        <v>1</v>
      </c>
      <c r="Y2202" s="5">
        <v>0</v>
      </c>
      <c r="Z2202" s="37">
        <v>0</v>
      </c>
      <c r="AA2202" s="5">
        <v>0</v>
      </c>
      <c r="AB2202" s="5">
        <v>0</v>
      </c>
      <c r="AC2202" s="5">
        <v>0</v>
      </c>
      <c r="AD2202" s="5">
        <v>0</v>
      </c>
      <c r="AE2202" s="10" t="s">
        <v>73</v>
      </c>
      <c r="AF2202" s="10"/>
      <c r="AG2202" s="10" t="s">
        <v>114</v>
      </c>
      <c r="AH2202" s="10">
        <v>42485</v>
      </c>
      <c r="AI2202" s="5">
        <v>4</v>
      </c>
      <c r="AJ2202" s="10" t="s">
        <v>12321</v>
      </c>
      <c r="AK2202" s="10" t="s">
        <v>12322</v>
      </c>
    </row>
    <row r="2203" spans="1:37" ht="36.75" customHeight="1" x14ac:dyDescent="0.35">
      <c r="A2203" s="5"/>
      <c r="B2203" s="5" t="s">
        <v>37</v>
      </c>
      <c r="C2203" s="73" t="str">
        <f t="shared" si="34"/>
        <v>Closed</v>
      </c>
      <c r="D2203" s="45" t="s">
        <v>12323</v>
      </c>
      <c r="E2203" s="54" t="s">
        <v>12324</v>
      </c>
      <c r="F2203" s="5" t="s">
        <v>1553</v>
      </c>
      <c r="G2203" s="10">
        <f>DATE(2016,4,22)</f>
        <v>42482</v>
      </c>
      <c r="H2203" s="35">
        <v>1.0972222222222223</v>
      </c>
      <c r="I2203" s="5" t="s">
        <v>55</v>
      </c>
      <c r="J2203" s="10" t="s">
        <v>12325</v>
      </c>
      <c r="K2203" s="5" t="s">
        <v>1555</v>
      </c>
      <c r="L2203" s="5" t="s">
        <v>12326</v>
      </c>
      <c r="M2203" s="5" t="s">
        <v>45</v>
      </c>
      <c r="N2203" s="5" t="s">
        <v>123</v>
      </c>
      <c r="O2203" s="5" t="s">
        <v>59</v>
      </c>
      <c r="P2203" s="10" t="s">
        <v>60</v>
      </c>
      <c r="Q2203" s="10" t="s">
        <v>2635</v>
      </c>
      <c r="R2203" s="10" t="s">
        <v>6413</v>
      </c>
      <c r="S2203" s="5">
        <v>0</v>
      </c>
      <c r="T2203" s="37">
        <v>0</v>
      </c>
      <c r="U2203" s="5">
        <v>0</v>
      </c>
      <c r="V2203" s="37">
        <v>0</v>
      </c>
      <c r="W2203" s="5">
        <v>0</v>
      </c>
      <c r="X2203" s="5">
        <v>0</v>
      </c>
      <c r="Y2203" s="5">
        <v>0</v>
      </c>
      <c r="Z2203" s="37">
        <v>0</v>
      </c>
      <c r="AA2203" s="5">
        <v>0</v>
      </c>
      <c r="AB2203" s="5">
        <v>0</v>
      </c>
      <c r="AC2203" s="5">
        <v>0</v>
      </c>
      <c r="AD2203" s="5">
        <v>0</v>
      </c>
      <c r="AE2203" s="10" t="s">
        <v>73</v>
      </c>
      <c r="AF2203" s="10"/>
      <c r="AG2203" s="10" t="s">
        <v>114</v>
      </c>
      <c r="AH2203" s="10">
        <v>42485</v>
      </c>
      <c r="AI2203" s="5">
        <v>0</v>
      </c>
      <c r="AJ2203" s="10" t="s">
        <v>12327</v>
      </c>
      <c r="AK2203" s="10" t="s">
        <v>12328</v>
      </c>
    </row>
    <row r="2204" spans="1:37" ht="36.75" customHeight="1" x14ac:dyDescent="0.35">
      <c r="A2204" s="5"/>
      <c r="B2204" s="5" t="s">
        <v>37</v>
      </c>
      <c r="C2204" s="73" t="str">
        <f t="shared" si="34"/>
        <v>Closed</v>
      </c>
      <c r="D2204" s="45" t="s">
        <v>12329</v>
      </c>
      <c r="E2204" s="54" t="s">
        <v>12330</v>
      </c>
      <c r="F2204" s="5" t="s">
        <v>1553</v>
      </c>
      <c r="G2204" s="10">
        <f>DATE(2016,4,26)</f>
        <v>42486</v>
      </c>
      <c r="H2204" s="35">
        <v>1.4618055555555556</v>
      </c>
      <c r="I2204" s="5" t="s">
        <v>55</v>
      </c>
      <c r="J2204" s="10" t="s">
        <v>12331</v>
      </c>
      <c r="K2204" s="5" t="s">
        <v>1555</v>
      </c>
      <c r="L2204" s="5" t="s">
        <v>12332</v>
      </c>
      <c r="M2204" s="5" t="s">
        <v>45</v>
      </c>
      <c r="N2204" s="5" t="s">
        <v>123</v>
      </c>
      <c r="O2204" s="5" t="s">
        <v>59</v>
      </c>
      <c r="P2204" s="10" t="s">
        <v>60</v>
      </c>
      <c r="Q2204" s="10" t="s">
        <v>9439</v>
      </c>
      <c r="R2204" s="10" t="s">
        <v>6413</v>
      </c>
      <c r="S2204" s="5">
        <v>0</v>
      </c>
      <c r="T2204" s="37">
        <v>0</v>
      </c>
      <c r="U2204" s="5">
        <v>0</v>
      </c>
      <c r="V2204" s="37">
        <v>0</v>
      </c>
      <c r="W2204" s="5">
        <v>0</v>
      </c>
      <c r="X2204" s="5">
        <v>0</v>
      </c>
      <c r="Y2204" s="5">
        <v>0</v>
      </c>
      <c r="Z2204" s="37">
        <v>0</v>
      </c>
      <c r="AA2204" s="5">
        <v>0</v>
      </c>
      <c r="AB2204" s="5">
        <v>0</v>
      </c>
      <c r="AC2204" s="5">
        <v>0</v>
      </c>
      <c r="AD2204" s="5">
        <v>0</v>
      </c>
      <c r="AE2204" s="10" t="s">
        <v>375</v>
      </c>
      <c r="AF2204" s="10"/>
      <c r="AG2204" s="10" t="s">
        <v>114</v>
      </c>
      <c r="AH2204" s="10">
        <v>42487</v>
      </c>
      <c r="AI2204" s="5">
        <v>0</v>
      </c>
      <c r="AJ2204" s="10" t="s">
        <v>12333</v>
      </c>
      <c r="AK2204" s="10" t="s">
        <v>12334</v>
      </c>
    </row>
    <row r="2205" spans="1:37" ht="36.75" customHeight="1" x14ac:dyDescent="0.35">
      <c r="A2205" s="5"/>
      <c r="B2205" s="5" t="s">
        <v>37</v>
      </c>
      <c r="C2205" s="73" t="str">
        <f t="shared" si="34"/>
        <v>Closed</v>
      </c>
      <c r="D2205" s="45" t="s">
        <v>12335</v>
      </c>
      <c r="E2205" s="54" t="s">
        <v>12336</v>
      </c>
      <c r="F2205" s="5" t="s">
        <v>105</v>
      </c>
      <c r="G2205" s="10">
        <f>DATE(2016,4,29)</f>
        <v>42489</v>
      </c>
      <c r="H2205" s="35">
        <v>1.1527777777777777</v>
      </c>
      <c r="I2205" s="5" t="s">
        <v>179</v>
      </c>
      <c r="J2205" s="10" t="s">
        <v>12337</v>
      </c>
      <c r="K2205" s="5" t="s">
        <v>108</v>
      </c>
      <c r="L2205" s="5" t="s">
        <v>12338</v>
      </c>
      <c r="M2205" s="5" t="s">
        <v>45</v>
      </c>
      <c r="N2205" s="5" t="s">
        <v>70</v>
      </c>
      <c r="O2205" s="5" t="s">
        <v>71</v>
      </c>
      <c r="P2205" s="10" t="s">
        <v>12339</v>
      </c>
      <c r="Q2205" s="10" t="s">
        <v>124</v>
      </c>
      <c r="R2205" s="10" t="s">
        <v>148</v>
      </c>
      <c r="S2205" s="5">
        <v>0</v>
      </c>
      <c r="T2205" s="37">
        <v>0</v>
      </c>
      <c r="U2205" s="5">
        <v>0</v>
      </c>
      <c r="V2205" s="37">
        <v>0</v>
      </c>
      <c r="W2205" s="5">
        <v>0</v>
      </c>
      <c r="X2205" s="5">
        <v>0</v>
      </c>
      <c r="Y2205" s="5">
        <v>0</v>
      </c>
      <c r="Z2205" s="37">
        <v>0</v>
      </c>
      <c r="AA2205" s="5">
        <v>0</v>
      </c>
      <c r="AB2205" s="5">
        <v>0</v>
      </c>
      <c r="AC2205" s="5">
        <v>0</v>
      </c>
      <c r="AD2205" s="5">
        <v>0</v>
      </c>
      <c r="AE2205" s="10" t="s">
        <v>375</v>
      </c>
      <c r="AF2205" s="10"/>
      <c r="AG2205" s="10" t="s">
        <v>114</v>
      </c>
      <c r="AH2205" s="10">
        <v>42494</v>
      </c>
      <c r="AI2205" s="5">
        <v>1</v>
      </c>
      <c r="AJ2205" s="10" t="s">
        <v>12340</v>
      </c>
      <c r="AK2205" s="10" t="s">
        <v>12341</v>
      </c>
    </row>
    <row r="2206" spans="1:37" ht="36.75" customHeight="1" x14ac:dyDescent="0.35">
      <c r="A2206" s="5"/>
      <c r="B2206" s="5" t="s">
        <v>37</v>
      </c>
      <c r="C2206" s="73" t="str">
        <f t="shared" si="34"/>
        <v>Closed</v>
      </c>
      <c r="D2206" s="45" t="s">
        <v>12342</v>
      </c>
      <c r="E2206" s="54" t="s">
        <v>12343</v>
      </c>
      <c r="F2206" s="5" t="s">
        <v>1553</v>
      </c>
      <c r="G2206" s="10">
        <f>DATE(2016,5,3)</f>
        <v>42493</v>
      </c>
      <c r="H2206" s="35">
        <v>1.7430555555555554</v>
      </c>
      <c r="I2206" s="5" t="s">
        <v>55</v>
      </c>
      <c r="J2206" s="10" t="s">
        <v>12344</v>
      </c>
      <c r="K2206" s="5" t="s">
        <v>1555</v>
      </c>
      <c r="L2206" s="5" t="s">
        <v>12345</v>
      </c>
      <c r="M2206" s="5" t="s">
        <v>45</v>
      </c>
      <c r="N2206" s="5" t="s">
        <v>80</v>
      </c>
      <c r="O2206" s="5" t="s">
        <v>46</v>
      </c>
      <c r="P2206" s="10" t="s">
        <v>60</v>
      </c>
      <c r="Q2206" s="10" t="s">
        <v>2635</v>
      </c>
      <c r="R2206" s="10" t="s">
        <v>6413</v>
      </c>
      <c r="S2206" s="5">
        <v>0</v>
      </c>
      <c r="T2206" s="37">
        <v>0</v>
      </c>
      <c r="U2206" s="5">
        <v>0</v>
      </c>
      <c r="V2206" s="37">
        <v>0</v>
      </c>
      <c r="W2206" s="5">
        <v>0</v>
      </c>
      <c r="X2206" s="5">
        <v>0</v>
      </c>
      <c r="Y2206" s="5">
        <v>0</v>
      </c>
      <c r="Z2206" s="37">
        <v>0</v>
      </c>
      <c r="AA2206" s="5">
        <v>0</v>
      </c>
      <c r="AB2206" s="5">
        <v>0</v>
      </c>
      <c r="AC2206" s="5">
        <v>0</v>
      </c>
      <c r="AD2206" s="5">
        <v>0</v>
      </c>
      <c r="AE2206" s="10" t="s">
        <v>73</v>
      </c>
      <c r="AF2206" s="10"/>
      <c r="AG2206" s="10" t="s">
        <v>114</v>
      </c>
      <c r="AH2206" s="10">
        <v>42495</v>
      </c>
      <c r="AI2206" s="5">
        <v>0</v>
      </c>
      <c r="AJ2206" s="10" t="s">
        <v>12346</v>
      </c>
      <c r="AK2206" s="10" t="s">
        <v>12347</v>
      </c>
    </row>
    <row r="2207" spans="1:37" ht="36.75" customHeight="1" x14ac:dyDescent="0.35">
      <c r="A2207" s="5"/>
      <c r="B2207" s="5" t="s">
        <v>37</v>
      </c>
      <c r="C2207" s="73" t="str">
        <f t="shared" si="34"/>
        <v>Closed</v>
      </c>
      <c r="D2207" s="45" t="s">
        <v>12348</v>
      </c>
      <c r="E2207" s="54" t="s">
        <v>12349</v>
      </c>
      <c r="F2207" s="5" t="s">
        <v>816</v>
      </c>
      <c r="G2207" s="10">
        <f>DATE(2016,5,5)</f>
        <v>42495</v>
      </c>
      <c r="H2207" s="35">
        <v>1.6979166666666665</v>
      </c>
      <c r="I2207" s="5" t="s">
        <v>97</v>
      </c>
      <c r="J2207" s="10" t="s">
        <v>12350</v>
      </c>
      <c r="K2207" s="5" t="s">
        <v>818</v>
      </c>
      <c r="L2207" s="5" t="s">
        <v>12351</v>
      </c>
      <c r="M2207" s="5" t="s">
        <v>45</v>
      </c>
      <c r="N2207" s="5" t="s">
        <v>80</v>
      </c>
      <c r="O2207" s="5" t="s">
        <v>59</v>
      </c>
      <c r="P2207" s="10" t="s">
        <v>146</v>
      </c>
      <c r="Q2207" s="10" t="s">
        <v>2142</v>
      </c>
      <c r="R2207" s="10" t="s">
        <v>821</v>
      </c>
      <c r="S2207" s="5">
        <v>0</v>
      </c>
      <c r="T2207" s="37">
        <v>0</v>
      </c>
      <c r="U2207" s="5">
        <v>1</v>
      </c>
      <c r="V2207" s="37">
        <v>0</v>
      </c>
      <c r="W2207" s="5">
        <v>0</v>
      </c>
      <c r="X2207" s="5">
        <v>1</v>
      </c>
      <c r="Y2207" s="5">
        <v>0</v>
      </c>
      <c r="Z2207" s="37">
        <v>0</v>
      </c>
      <c r="AA2207" s="5">
        <v>0</v>
      </c>
      <c r="AB2207" s="5">
        <v>0</v>
      </c>
      <c r="AC2207" s="5">
        <v>0</v>
      </c>
      <c r="AD2207" s="5">
        <v>0</v>
      </c>
      <c r="AE2207" s="10" t="s">
        <v>73</v>
      </c>
      <c r="AF2207" s="10"/>
      <c r="AG2207" s="10" t="s">
        <v>333</v>
      </c>
      <c r="AH2207" s="10">
        <v>42496</v>
      </c>
      <c r="AI2207" s="5">
        <v>1</v>
      </c>
      <c r="AJ2207" s="10" t="s">
        <v>12352</v>
      </c>
      <c r="AK2207" s="10" t="s">
        <v>50</v>
      </c>
    </row>
    <row r="2208" spans="1:37" ht="36.75" customHeight="1" x14ac:dyDescent="0.35">
      <c r="A2208" s="5"/>
      <c r="B2208" s="5" t="s">
        <v>37</v>
      </c>
      <c r="C2208" s="73" t="str">
        <f t="shared" si="34"/>
        <v>Closed</v>
      </c>
      <c r="D2208" s="45" t="s">
        <v>12353</v>
      </c>
      <c r="E2208" s="54" t="s">
        <v>12354</v>
      </c>
      <c r="F2208" s="5" t="s">
        <v>9767</v>
      </c>
      <c r="G2208" s="10">
        <f>DATE(2016,5,8)</f>
        <v>42498</v>
      </c>
      <c r="H2208" s="35">
        <v>1.7083333333333335</v>
      </c>
      <c r="I2208" s="5" t="s">
        <v>55</v>
      </c>
      <c r="J2208" s="10" t="s">
        <v>12355</v>
      </c>
      <c r="K2208" s="5" t="s">
        <v>9769</v>
      </c>
      <c r="L2208" s="5" t="s">
        <v>12356</v>
      </c>
      <c r="M2208" s="5" t="s">
        <v>45</v>
      </c>
      <c r="N2208" s="5" t="s">
        <v>70</v>
      </c>
      <c r="O2208" s="5" t="s">
        <v>71</v>
      </c>
      <c r="P2208" s="10"/>
      <c r="Q2208" s="10" t="s">
        <v>10235</v>
      </c>
      <c r="R2208" s="10" t="s">
        <v>12357</v>
      </c>
      <c r="S2208" s="5">
        <v>0</v>
      </c>
      <c r="T2208" s="37">
        <v>0</v>
      </c>
      <c r="U2208" s="5">
        <v>0</v>
      </c>
      <c r="V2208" s="37">
        <v>0</v>
      </c>
      <c r="W2208" s="5">
        <v>0</v>
      </c>
      <c r="X2208" s="5">
        <v>0</v>
      </c>
      <c r="Y2208" s="5">
        <v>0</v>
      </c>
      <c r="Z2208" s="37">
        <v>0</v>
      </c>
      <c r="AA2208" s="5">
        <v>0</v>
      </c>
      <c r="AB2208" s="5">
        <v>0</v>
      </c>
      <c r="AC2208" s="5">
        <v>0</v>
      </c>
      <c r="AD2208" s="5">
        <v>0</v>
      </c>
      <c r="AE2208" s="10" t="s">
        <v>73</v>
      </c>
      <c r="AF2208" s="10"/>
      <c r="AG2208" s="10" t="s">
        <v>12358</v>
      </c>
      <c r="AH2208" s="10">
        <v>42499</v>
      </c>
      <c r="AI2208" s="5">
        <v>0</v>
      </c>
      <c r="AJ2208" s="10" t="s">
        <v>12359</v>
      </c>
      <c r="AK2208" s="10" t="s">
        <v>12360</v>
      </c>
    </row>
    <row r="2209" spans="1:37" ht="36.75" customHeight="1" x14ac:dyDescent="0.35">
      <c r="A2209" s="5"/>
      <c r="B2209" s="5" t="s">
        <v>37</v>
      </c>
      <c r="C2209" s="73" t="str">
        <f t="shared" si="34"/>
        <v>Closed</v>
      </c>
      <c r="D2209" s="45" t="s">
        <v>12361</v>
      </c>
      <c r="E2209" s="54" t="s">
        <v>12362</v>
      </c>
      <c r="F2209" s="5" t="s">
        <v>105</v>
      </c>
      <c r="G2209" s="10">
        <f>DATE(2016,5,8)</f>
        <v>42498</v>
      </c>
      <c r="H2209" s="35">
        <v>1.1458333333333333</v>
      </c>
      <c r="I2209" s="5" t="s">
        <v>10353</v>
      </c>
      <c r="J2209" s="10" t="s">
        <v>12363</v>
      </c>
      <c r="K2209" s="5" t="s">
        <v>108</v>
      </c>
      <c r="L2209" s="5" t="s">
        <v>12364</v>
      </c>
      <c r="M2209" s="5" t="s">
        <v>45</v>
      </c>
      <c r="N2209" s="5" t="s">
        <v>80</v>
      </c>
      <c r="O2209" s="5" t="s">
        <v>46</v>
      </c>
      <c r="P2209" s="10" t="s">
        <v>282</v>
      </c>
      <c r="Q2209" s="10" t="s">
        <v>6221</v>
      </c>
      <c r="R2209" s="10" t="s">
        <v>148</v>
      </c>
      <c r="S2209" s="5">
        <v>0</v>
      </c>
      <c r="T2209" s="37">
        <v>0</v>
      </c>
      <c r="U2209" s="5">
        <v>0</v>
      </c>
      <c r="V2209" s="37">
        <v>1</v>
      </c>
      <c r="W2209" s="5">
        <v>0</v>
      </c>
      <c r="X2209" s="5">
        <v>1</v>
      </c>
      <c r="Y2209" s="5">
        <v>0</v>
      </c>
      <c r="Z2209" s="37">
        <v>0</v>
      </c>
      <c r="AA2209" s="5">
        <v>0</v>
      </c>
      <c r="AB2209" s="5">
        <v>0</v>
      </c>
      <c r="AC2209" s="5">
        <v>0</v>
      </c>
      <c r="AD2209" s="5">
        <v>0</v>
      </c>
      <c r="AE2209" s="10" t="s">
        <v>73</v>
      </c>
      <c r="AF2209" s="10"/>
      <c r="AG2209" s="10" t="s">
        <v>64</v>
      </c>
      <c r="AH2209" s="10">
        <v>42502</v>
      </c>
      <c r="AI2209" s="5">
        <v>1</v>
      </c>
      <c r="AJ2209" s="10" t="s">
        <v>12365</v>
      </c>
      <c r="AK2209" s="10" t="s">
        <v>50</v>
      </c>
    </row>
    <row r="2210" spans="1:37" ht="36.75" customHeight="1" x14ac:dyDescent="0.35">
      <c r="A2210" s="5"/>
      <c r="B2210" s="5" t="s">
        <v>37</v>
      </c>
      <c r="C2210" s="73" t="str">
        <f t="shared" si="34"/>
        <v>Closed</v>
      </c>
      <c r="D2210" s="45" t="s">
        <v>12366</v>
      </c>
      <c r="E2210" s="54" t="s">
        <v>12367</v>
      </c>
      <c r="F2210" s="5" t="s">
        <v>1553</v>
      </c>
      <c r="G2210" s="10">
        <f>DATE(2016,5,8)</f>
        <v>42498</v>
      </c>
      <c r="H2210" s="35">
        <v>1.9500000000000002</v>
      </c>
      <c r="I2210" s="5" t="s">
        <v>106</v>
      </c>
      <c r="J2210" s="10" t="s">
        <v>12368</v>
      </c>
      <c r="K2210" s="5" t="s">
        <v>1555</v>
      </c>
      <c r="L2210" s="5" t="s">
        <v>12369</v>
      </c>
      <c r="M2210" s="5" t="s">
        <v>45</v>
      </c>
      <c r="N2210" s="5" t="s">
        <v>123</v>
      </c>
      <c r="O2210" s="5" t="s">
        <v>46</v>
      </c>
      <c r="P2210" s="10" t="s">
        <v>60</v>
      </c>
      <c r="Q2210" s="10" t="s">
        <v>1565</v>
      </c>
      <c r="R2210" s="10" t="s">
        <v>6413</v>
      </c>
      <c r="S2210" s="5">
        <v>0</v>
      </c>
      <c r="T2210" s="37">
        <v>0</v>
      </c>
      <c r="U2210" s="5">
        <v>0</v>
      </c>
      <c r="V2210" s="37">
        <v>0</v>
      </c>
      <c r="W2210" s="5">
        <v>0</v>
      </c>
      <c r="X2210" s="5">
        <v>0</v>
      </c>
      <c r="Y2210" s="5">
        <v>0</v>
      </c>
      <c r="Z2210" s="37">
        <v>0</v>
      </c>
      <c r="AA2210" s="5">
        <v>0</v>
      </c>
      <c r="AB2210" s="5">
        <v>0</v>
      </c>
      <c r="AC2210" s="5">
        <v>0</v>
      </c>
      <c r="AD2210" s="5">
        <v>0</v>
      </c>
      <c r="AE2210" s="10" t="s">
        <v>375</v>
      </c>
      <c r="AF2210" s="10"/>
      <c r="AG2210" s="10" t="s">
        <v>114</v>
      </c>
      <c r="AH2210" s="10">
        <v>42500</v>
      </c>
      <c r="AI2210" s="5">
        <v>0</v>
      </c>
      <c r="AJ2210" s="10" t="s">
        <v>12370</v>
      </c>
      <c r="AK2210" s="10" t="s">
        <v>12371</v>
      </c>
    </row>
    <row r="2211" spans="1:37" ht="36.75" customHeight="1" x14ac:dyDescent="0.35">
      <c r="A2211" s="5"/>
      <c r="B2211" s="5" t="s">
        <v>37</v>
      </c>
      <c r="C2211" s="73" t="str">
        <f t="shared" si="34"/>
        <v>Closed</v>
      </c>
      <c r="D2211" s="45" t="s">
        <v>12372</v>
      </c>
      <c r="E2211" s="54" t="s">
        <v>12373</v>
      </c>
      <c r="F2211" s="5" t="s">
        <v>9767</v>
      </c>
      <c r="G2211" s="10">
        <f>DATE(2016,5,12)</f>
        <v>42502</v>
      </c>
      <c r="H2211" s="35">
        <v>1.8791666666666669</v>
      </c>
      <c r="I2211" s="5" t="s">
        <v>9397</v>
      </c>
      <c r="J2211" s="10" t="s">
        <v>12374</v>
      </c>
      <c r="K2211" s="5" t="s">
        <v>9769</v>
      </c>
      <c r="L2211" s="5" t="s">
        <v>12375</v>
      </c>
      <c r="M2211" s="5" t="s">
        <v>45</v>
      </c>
      <c r="N2211" s="5" t="s">
        <v>80</v>
      </c>
      <c r="O2211" s="5" t="s">
        <v>59</v>
      </c>
      <c r="P2211" s="10" t="s">
        <v>146</v>
      </c>
      <c r="Q2211" s="10" t="s">
        <v>9938</v>
      </c>
      <c r="R2211" s="10" t="s">
        <v>9772</v>
      </c>
      <c r="S2211" s="5">
        <v>0</v>
      </c>
      <c r="T2211" s="37">
        <v>0</v>
      </c>
      <c r="U2211" s="5">
        <v>0</v>
      </c>
      <c r="V2211" s="37">
        <v>0</v>
      </c>
      <c r="W2211" s="5">
        <v>0</v>
      </c>
      <c r="X2211" s="5">
        <v>0</v>
      </c>
      <c r="Y2211" s="5">
        <v>0</v>
      </c>
      <c r="Z2211" s="37">
        <v>0</v>
      </c>
      <c r="AA2211" s="5">
        <v>0</v>
      </c>
      <c r="AB2211" s="5">
        <v>0</v>
      </c>
      <c r="AC2211" s="5">
        <v>0</v>
      </c>
      <c r="AD2211" s="5">
        <v>0</v>
      </c>
      <c r="AE2211" s="10" t="s">
        <v>73</v>
      </c>
      <c r="AF2211" s="10"/>
      <c r="AG2211" s="10" t="s">
        <v>114</v>
      </c>
      <c r="AH2211" s="10">
        <v>42503</v>
      </c>
      <c r="AI2211" s="5">
        <v>1</v>
      </c>
      <c r="AJ2211" s="10" t="s">
        <v>12376</v>
      </c>
      <c r="AK2211" s="10" t="s">
        <v>12377</v>
      </c>
    </row>
    <row r="2212" spans="1:37" ht="36.75" customHeight="1" x14ac:dyDescent="0.35">
      <c r="A2212" s="5"/>
      <c r="B2212" s="5" t="s">
        <v>37</v>
      </c>
      <c r="C2212" s="73" t="str">
        <f t="shared" si="34"/>
        <v>Closed</v>
      </c>
      <c r="D2212" s="45" t="s">
        <v>12378</v>
      </c>
      <c r="E2212" s="54" t="s">
        <v>12379</v>
      </c>
      <c r="F2212" s="5" t="s">
        <v>816</v>
      </c>
      <c r="G2212" s="10">
        <f>DATE(2016,5,16)</f>
        <v>42506</v>
      </c>
      <c r="H2212" s="35">
        <v>1.5013888888888889</v>
      </c>
      <c r="I2212" s="5" t="s">
        <v>97</v>
      </c>
      <c r="J2212" s="10" t="s">
        <v>12380</v>
      </c>
      <c r="K2212" s="5" t="s">
        <v>818</v>
      </c>
      <c r="L2212" s="5" t="s">
        <v>12381</v>
      </c>
      <c r="M2212" s="5" t="s">
        <v>45</v>
      </c>
      <c r="N2212" s="5" t="s">
        <v>80</v>
      </c>
      <c r="O2212" s="5" t="s">
        <v>46</v>
      </c>
      <c r="P2212" s="10" t="s">
        <v>6881</v>
      </c>
      <c r="Q2212" s="10" t="s">
        <v>2142</v>
      </c>
      <c r="R2212" s="10" t="s">
        <v>821</v>
      </c>
      <c r="S2212" s="5">
        <v>0</v>
      </c>
      <c r="T2212" s="37">
        <v>0</v>
      </c>
      <c r="U2212" s="5">
        <v>0</v>
      </c>
      <c r="V2212" s="37">
        <v>0</v>
      </c>
      <c r="W2212" s="5">
        <v>0</v>
      </c>
      <c r="X2212" s="5">
        <v>0</v>
      </c>
      <c r="Y2212" s="5">
        <v>0</v>
      </c>
      <c r="Z2212" s="37">
        <v>0</v>
      </c>
      <c r="AA2212" s="5">
        <v>1</v>
      </c>
      <c r="AB2212" s="5">
        <v>0</v>
      </c>
      <c r="AC2212" s="5">
        <v>0</v>
      </c>
      <c r="AD2212" s="5">
        <v>1</v>
      </c>
      <c r="AE2212" s="10" t="s">
        <v>73</v>
      </c>
      <c r="AF2212" s="10"/>
      <c r="AG2212" s="10" t="s">
        <v>333</v>
      </c>
      <c r="AH2212" s="10">
        <v>42538</v>
      </c>
      <c r="AI2212" s="5">
        <v>1</v>
      </c>
      <c r="AJ2212" s="10" t="s">
        <v>12382</v>
      </c>
      <c r="AK2212" s="10" t="s">
        <v>12383</v>
      </c>
    </row>
    <row r="2213" spans="1:37" ht="36.75" customHeight="1" x14ac:dyDescent="0.35">
      <c r="A2213" s="5"/>
      <c r="B2213" s="5" t="s">
        <v>37</v>
      </c>
      <c r="C2213" s="73" t="str">
        <f t="shared" si="34"/>
        <v>Closed</v>
      </c>
      <c r="D2213" s="45" t="s">
        <v>12384</v>
      </c>
      <c r="E2213" s="54" t="s">
        <v>12385</v>
      </c>
      <c r="F2213" s="5" t="s">
        <v>6434</v>
      </c>
      <c r="G2213" s="10">
        <f>DATE(2016,5,19)</f>
        <v>42509</v>
      </c>
      <c r="H2213" s="35">
        <v>1.6416666666666666</v>
      </c>
      <c r="I2213" s="5" t="s">
        <v>137</v>
      </c>
      <c r="J2213" s="10" t="s">
        <v>12386</v>
      </c>
      <c r="K2213" s="5" t="s">
        <v>565</v>
      </c>
      <c r="L2213" s="5" t="s">
        <v>12387</v>
      </c>
      <c r="M2213" s="5" t="s">
        <v>45</v>
      </c>
      <c r="N2213" s="5" t="s">
        <v>123</v>
      </c>
      <c r="O2213" s="5" t="s">
        <v>46</v>
      </c>
      <c r="P2213" s="10" t="s">
        <v>443</v>
      </c>
      <c r="Q2213" s="10" t="s">
        <v>4810</v>
      </c>
      <c r="R2213" s="10" t="s">
        <v>568</v>
      </c>
      <c r="S2213" s="5">
        <v>0</v>
      </c>
      <c r="T2213" s="37">
        <v>0</v>
      </c>
      <c r="U2213" s="5">
        <v>0</v>
      </c>
      <c r="V2213" s="37">
        <v>0</v>
      </c>
      <c r="W2213" s="5">
        <v>0</v>
      </c>
      <c r="X2213" s="5">
        <v>0</v>
      </c>
      <c r="Y2213" s="5">
        <v>0</v>
      </c>
      <c r="Z2213" s="37">
        <v>0</v>
      </c>
      <c r="AA2213" s="5">
        <v>0</v>
      </c>
      <c r="AB2213" s="5">
        <v>0</v>
      </c>
      <c r="AC2213" s="5">
        <v>0</v>
      </c>
      <c r="AD2213" s="5">
        <v>0</v>
      </c>
      <c r="AE2213" s="10" t="s">
        <v>375</v>
      </c>
      <c r="AF2213" s="10" t="s">
        <v>12388</v>
      </c>
      <c r="AG2213" s="10" t="s">
        <v>8837</v>
      </c>
      <c r="AH2213" s="10">
        <v>42517</v>
      </c>
      <c r="AI2213" s="5">
        <v>0</v>
      </c>
      <c r="AJ2213" s="10" t="s">
        <v>12389</v>
      </c>
      <c r="AK2213" s="10" t="s">
        <v>50</v>
      </c>
    </row>
    <row r="2214" spans="1:37" ht="36.75" customHeight="1" x14ac:dyDescent="0.35">
      <c r="A2214" s="5"/>
      <c r="B2214" s="5" t="s">
        <v>37</v>
      </c>
      <c r="C2214" s="73" t="str">
        <f t="shared" si="34"/>
        <v>Closed</v>
      </c>
      <c r="D2214" s="45" t="s">
        <v>12390</v>
      </c>
      <c r="E2214" s="54" t="s">
        <v>12391</v>
      </c>
      <c r="F2214" s="5" t="s">
        <v>1553</v>
      </c>
      <c r="G2214" s="10">
        <f>DATE(2016,5,21)</f>
        <v>42511</v>
      </c>
      <c r="H2214" s="35">
        <v>1.2569444444444444</v>
      </c>
      <c r="I2214" s="5" t="s">
        <v>55</v>
      </c>
      <c r="J2214" s="10" t="s">
        <v>12392</v>
      </c>
      <c r="K2214" s="5" t="s">
        <v>1555</v>
      </c>
      <c r="L2214" s="5" t="s">
        <v>12393</v>
      </c>
      <c r="M2214" s="5" t="s">
        <v>45</v>
      </c>
      <c r="N2214" s="5" t="s">
        <v>80</v>
      </c>
      <c r="O2214" s="5" t="s">
        <v>59</v>
      </c>
      <c r="P2214" s="10" t="s">
        <v>60</v>
      </c>
      <c r="Q2214" s="10" t="s">
        <v>2635</v>
      </c>
      <c r="R2214" s="10" t="s">
        <v>6413</v>
      </c>
      <c r="S2214" s="5">
        <v>0</v>
      </c>
      <c r="T2214" s="37">
        <v>0</v>
      </c>
      <c r="U2214" s="5">
        <v>0</v>
      </c>
      <c r="V2214" s="37">
        <v>0</v>
      </c>
      <c r="W2214" s="5">
        <v>0</v>
      </c>
      <c r="X2214" s="5">
        <v>0</v>
      </c>
      <c r="Y2214" s="5">
        <v>0</v>
      </c>
      <c r="Z2214" s="37">
        <v>0</v>
      </c>
      <c r="AA2214" s="5">
        <v>0</v>
      </c>
      <c r="AB2214" s="5">
        <v>0</v>
      </c>
      <c r="AC2214" s="5">
        <v>0</v>
      </c>
      <c r="AD2214" s="5">
        <v>0</v>
      </c>
      <c r="AE2214" s="10" t="s">
        <v>73</v>
      </c>
      <c r="AF2214" s="10"/>
      <c r="AG2214" s="10" t="s">
        <v>114</v>
      </c>
      <c r="AH2214" s="10">
        <v>42513</v>
      </c>
      <c r="AI2214" s="5">
        <v>0</v>
      </c>
      <c r="AJ2214" s="10" t="s">
        <v>12394</v>
      </c>
      <c r="AK2214" s="10" t="s">
        <v>12395</v>
      </c>
    </row>
    <row r="2215" spans="1:37" ht="36.75" customHeight="1" x14ac:dyDescent="0.35">
      <c r="A2215" s="5"/>
      <c r="B2215" s="5" t="s">
        <v>37</v>
      </c>
      <c r="C2215" s="73" t="str">
        <f t="shared" si="34"/>
        <v>Closed</v>
      </c>
      <c r="D2215" s="45" t="s">
        <v>12396</v>
      </c>
      <c r="E2215" s="54" t="s">
        <v>12397</v>
      </c>
      <c r="F2215" s="5" t="s">
        <v>816</v>
      </c>
      <c r="G2215" s="10">
        <f>DATE(2016,5,22)</f>
        <v>42512</v>
      </c>
      <c r="H2215" s="35">
        <v>1.6722222222222221</v>
      </c>
      <c r="I2215" s="5" t="s">
        <v>55</v>
      </c>
      <c r="J2215" s="10" t="s">
        <v>12398</v>
      </c>
      <c r="K2215" s="5" t="s">
        <v>818</v>
      </c>
      <c r="L2215" s="5" t="s">
        <v>12399</v>
      </c>
      <c r="M2215" s="5" t="s">
        <v>236</v>
      </c>
      <c r="N2215" s="5" t="s">
        <v>80</v>
      </c>
      <c r="O2215" s="5" t="s">
        <v>59</v>
      </c>
      <c r="P2215" s="10" t="s">
        <v>6531</v>
      </c>
      <c r="Q2215" s="10" t="s">
        <v>4190</v>
      </c>
      <c r="R2215" s="10" t="s">
        <v>4190</v>
      </c>
      <c r="S2215" s="5">
        <v>0</v>
      </c>
      <c r="T2215" s="37">
        <v>0</v>
      </c>
      <c r="U2215" s="5">
        <v>0</v>
      </c>
      <c r="V2215" s="37">
        <v>0</v>
      </c>
      <c r="W2215" s="5">
        <v>0</v>
      </c>
      <c r="X2215" s="5">
        <v>0</v>
      </c>
      <c r="Y2215" s="5">
        <v>0</v>
      </c>
      <c r="Z2215" s="37">
        <v>0</v>
      </c>
      <c r="AA2215" s="5">
        <v>0</v>
      </c>
      <c r="AB2215" s="5">
        <v>0</v>
      </c>
      <c r="AC2215" s="5">
        <v>0</v>
      </c>
      <c r="AD2215" s="5">
        <v>0</v>
      </c>
      <c r="AE2215" s="10" t="s">
        <v>73</v>
      </c>
      <c r="AF2215" s="10"/>
      <c r="AG2215" s="10" t="s">
        <v>114</v>
      </c>
      <c r="AH2215" s="10">
        <v>42512</v>
      </c>
      <c r="AI2215" s="5">
        <v>0</v>
      </c>
      <c r="AJ2215" s="10" t="s">
        <v>12400</v>
      </c>
      <c r="AK2215" s="10" t="s">
        <v>50</v>
      </c>
    </row>
    <row r="2216" spans="1:37" ht="36.75" customHeight="1" x14ac:dyDescent="0.35">
      <c r="A2216" s="5"/>
      <c r="B2216" s="5" t="s">
        <v>37</v>
      </c>
      <c r="C2216" s="73" t="str">
        <f t="shared" si="34"/>
        <v>Closed</v>
      </c>
      <c r="D2216" s="45" t="s">
        <v>12401</v>
      </c>
      <c r="E2216" s="54" t="s">
        <v>12402</v>
      </c>
      <c r="F2216" s="5" t="s">
        <v>432</v>
      </c>
      <c r="G2216" s="10">
        <f>DATE(2016,5,23)</f>
        <v>42513</v>
      </c>
      <c r="H2216" s="35">
        <v>1.7166666666666668</v>
      </c>
      <c r="I2216" s="5" t="s">
        <v>97</v>
      </c>
      <c r="J2216" s="10" t="s">
        <v>12403</v>
      </c>
      <c r="K2216" s="5" t="s">
        <v>434</v>
      </c>
      <c r="L2216" s="5" t="s">
        <v>12404</v>
      </c>
      <c r="M2216" s="5" t="s">
        <v>45</v>
      </c>
      <c r="N2216" s="5" t="s">
        <v>80</v>
      </c>
      <c r="O2216" s="5" t="s">
        <v>59</v>
      </c>
      <c r="P2216" s="10" t="s">
        <v>146</v>
      </c>
      <c r="Q2216" s="10" t="s">
        <v>552</v>
      </c>
      <c r="R2216" s="10" t="s">
        <v>553</v>
      </c>
      <c r="S2216" s="5">
        <v>0</v>
      </c>
      <c r="T2216" s="37">
        <v>0</v>
      </c>
      <c r="U2216" s="5">
        <v>1</v>
      </c>
      <c r="V2216" s="37">
        <v>0</v>
      </c>
      <c r="W2216" s="5">
        <v>0</v>
      </c>
      <c r="X2216" s="5">
        <v>1</v>
      </c>
      <c r="Y2216" s="5">
        <v>0</v>
      </c>
      <c r="Z2216" s="37">
        <v>0</v>
      </c>
      <c r="AA2216" s="5">
        <v>0</v>
      </c>
      <c r="AB2216" s="5">
        <v>0</v>
      </c>
      <c r="AC2216" s="5">
        <v>0</v>
      </c>
      <c r="AD2216" s="5">
        <v>0</v>
      </c>
      <c r="AE2216" s="10" t="s">
        <v>73</v>
      </c>
      <c r="AF2216" s="10"/>
      <c r="AG2216" s="10" t="s">
        <v>64</v>
      </c>
      <c r="AH2216" s="10">
        <v>42513</v>
      </c>
      <c r="AI2216" s="5">
        <v>3</v>
      </c>
      <c r="AJ2216" s="10" t="s">
        <v>12405</v>
      </c>
      <c r="AK2216" s="10" t="s">
        <v>12406</v>
      </c>
    </row>
    <row r="2217" spans="1:37" ht="36.75" customHeight="1" x14ac:dyDescent="0.35">
      <c r="A2217" s="5"/>
      <c r="B2217" s="5" t="s">
        <v>37</v>
      </c>
      <c r="C2217" s="73" t="str">
        <f t="shared" si="34"/>
        <v>Closed</v>
      </c>
      <c r="D2217" s="45" t="s">
        <v>12407</v>
      </c>
      <c r="E2217" s="54" t="s">
        <v>12408</v>
      </c>
      <c r="F2217" s="5" t="s">
        <v>1553</v>
      </c>
      <c r="G2217" s="10">
        <f>DATE(2016,5,25)</f>
        <v>42515</v>
      </c>
      <c r="H2217" s="35">
        <v>1.6979166666666665</v>
      </c>
      <c r="I2217" s="5" t="s">
        <v>55</v>
      </c>
      <c r="J2217" s="10" t="s">
        <v>12409</v>
      </c>
      <c r="K2217" s="5" t="s">
        <v>1555</v>
      </c>
      <c r="L2217" s="5" t="s">
        <v>12410</v>
      </c>
      <c r="M2217" s="5" t="s">
        <v>45</v>
      </c>
      <c r="N2217" s="5" t="s">
        <v>80</v>
      </c>
      <c r="O2217" s="5" t="s">
        <v>46</v>
      </c>
      <c r="P2217" s="10" t="s">
        <v>60</v>
      </c>
      <c r="Q2217" s="10" t="s">
        <v>9439</v>
      </c>
      <c r="R2217" s="10" t="s">
        <v>6413</v>
      </c>
      <c r="S2217" s="5">
        <v>0</v>
      </c>
      <c r="T2217" s="37">
        <v>0</v>
      </c>
      <c r="U2217" s="5">
        <v>0</v>
      </c>
      <c r="V2217" s="37">
        <v>0</v>
      </c>
      <c r="W2217" s="5">
        <v>0</v>
      </c>
      <c r="X2217" s="5">
        <v>0</v>
      </c>
      <c r="Y2217" s="5">
        <v>0</v>
      </c>
      <c r="Z2217" s="37">
        <v>0</v>
      </c>
      <c r="AA2217" s="5">
        <v>0</v>
      </c>
      <c r="AB2217" s="5">
        <v>0</v>
      </c>
      <c r="AC2217" s="5">
        <v>0</v>
      </c>
      <c r="AD2217" s="5">
        <v>0</v>
      </c>
      <c r="AE2217" s="10" t="s">
        <v>375</v>
      </c>
      <c r="AF2217" s="10"/>
      <c r="AG2217" s="10" t="s">
        <v>114</v>
      </c>
      <c r="AH2217" s="10">
        <v>42516</v>
      </c>
      <c r="AI2217" s="5">
        <v>0</v>
      </c>
      <c r="AJ2217" s="10" t="s">
        <v>12411</v>
      </c>
      <c r="AK2217" s="10" t="s">
        <v>12412</v>
      </c>
    </row>
    <row r="2218" spans="1:37" ht="36.75" customHeight="1" x14ac:dyDescent="0.35">
      <c r="A2218" s="5"/>
      <c r="B2218" s="5" t="s">
        <v>37</v>
      </c>
      <c r="C2218" s="73" t="str">
        <f t="shared" si="34"/>
        <v>Closed</v>
      </c>
      <c r="D2218" s="45" t="s">
        <v>12413</v>
      </c>
      <c r="E2218" s="54" t="s">
        <v>12414</v>
      </c>
      <c r="F2218" s="5" t="s">
        <v>119</v>
      </c>
      <c r="G2218" s="10">
        <f>DATE(2016,5,25)</f>
        <v>42515</v>
      </c>
      <c r="H2218" s="35">
        <v>1.0173611111111112</v>
      </c>
      <c r="I2218" s="5" t="s">
        <v>259</v>
      </c>
      <c r="J2218" s="10" t="s">
        <v>12415</v>
      </c>
      <c r="K2218" s="5" t="s">
        <v>121</v>
      </c>
      <c r="L2218" s="5" t="s">
        <v>12416</v>
      </c>
      <c r="M2218" s="5" t="s">
        <v>45</v>
      </c>
      <c r="N2218" s="5" t="s">
        <v>70</v>
      </c>
      <c r="O2218" s="5" t="s">
        <v>59</v>
      </c>
      <c r="P2218" s="10" t="s">
        <v>6920</v>
      </c>
      <c r="Q2218" s="10" t="s">
        <v>2015</v>
      </c>
      <c r="R2218" s="10" t="s">
        <v>4913</v>
      </c>
      <c r="S2218" s="5">
        <v>0</v>
      </c>
      <c r="T2218" s="37">
        <v>0</v>
      </c>
      <c r="U2218" s="5">
        <v>0</v>
      </c>
      <c r="V2218" s="37">
        <v>0</v>
      </c>
      <c r="W2218" s="5">
        <v>0</v>
      </c>
      <c r="X2218" s="5">
        <v>0</v>
      </c>
      <c r="Y2218" s="5">
        <v>0</v>
      </c>
      <c r="Z2218" s="37">
        <v>1</v>
      </c>
      <c r="AA2218" s="5">
        <v>0</v>
      </c>
      <c r="AB2218" s="5">
        <v>0</v>
      </c>
      <c r="AC2218" s="5">
        <v>0</v>
      </c>
      <c r="AD2218" s="5">
        <v>1</v>
      </c>
      <c r="AE2218" s="10" t="s">
        <v>73</v>
      </c>
      <c r="AF2218" s="10"/>
      <c r="AG2218" s="10" t="s">
        <v>64</v>
      </c>
      <c r="AH2218" s="10">
        <v>42517</v>
      </c>
      <c r="AI2218" s="5">
        <v>0</v>
      </c>
      <c r="AJ2218" s="10" t="s">
        <v>12417</v>
      </c>
      <c r="AK2218" s="10" t="s">
        <v>12418</v>
      </c>
    </row>
    <row r="2219" spans="1:37" ht="36.75" customHeight="1" x14ac:dyDescent="0.35">
      <c r="A2219" s="5"/>
      <c r="B2219" s="5" t="s">
        <v>37</v>
      </c>
      <c r="C2219" s="73" t="str">
        <f t="shared" si="34"/>
        <v>Closed</v>
      </c>
      <c r="D2219" s="45" t="s">
        <v>12419</v>
      </c>
      <c r="E2219" s="54" t="s">
        <v>12420</v>
      </c>
      <c r="F2219" s="5" t="s">
        <v>404</v>
      </c>
      <c r="G2219" s="10">
        <f>DATE(2016,5,26)</f>
        <v>42516</v>
      </c>
      <c r="H2219" s="35">
        <v>1.2743055555555556</v>
      </c>
      <c r="I2219" s="5" t="s">
        <v>55</v>
      </c>
      <c r="J2219" s="10" t="s">
        <v>12421</v>
      </c>
      <c r="K2219" s="5" t="s">
        <v>406</v>
      </c>
      <c r="L2219" s="5" t="s">
        <v>12422</v>
      </c>
      <c r="M2219" s="5" t="s">
        <v>45</v>
      </c>
      <c r="N2219" s="5" t="s">
        <v>80</v>
      </c>
      <c r="O2219" s="5" t="s">
        <v>46</v>
      </c>
      <c r="P2219" s="10" t="s">
        <v>60</v>
      </c>
      <c r="Q2219" s="10" t="s">
        <v>2562</v>
      </c>
      <c r="R2219" s="10" t="s">
        <v>3083</v>
      </c>
      <c r="S2219" s="5">
        <v>0</v>
      </c>
      <c r="T2219" s="37">
        <v>0</v>
      </c>
      <c r="U2219" s="5">
        <v>0</v>
      </c>
      <c r="V2219" s="37">
        <v>0</v>
      </c>
      <c r="W2219" s="5">
        <v>0</v>
      </c>
      <c r="X2219" s="5">
        <v>0</v>
      </c>
      <c r="Y2219" s="5">
        <v>0</v>
      </c>
      <c r="Z2219" s="37">
        <v>0</v>
      </c>
      <c r="AA2219" s="5">
        <v>0</v>
      </c>
      <c r="AB2219" s="5">
        <v>0</v>
      </c>
      <c r="AC2219" s="5">
        <v>0</v>
      </c>
      <c r="AD2219" s="5">
        <v>0</v>
      </c>
      <c r="AE2219" s="10" t="s">
        <v>375</v>
      </c>
      <c r="AF2219" s="10"/>
      <c r="AG2219" s="10" t="s">
        <v>64</v>
      </c>
      <c r="AH2219" s="10">
        <v>42516</v>
      </c>
      <c r="AI2219" s="5">
        <v>1</v>
      </c>
      <c r="AJ2219" s="10" t="s">
        <v>12423</v>
      </c>
      <c r="AK2219" s="10" t="s">
        <v>12424</v>
      </c>
    </row>
    <row r="2220" spans="1:37" ht="36.75" customHeight="1" x14ac:dyDescent="0.35">
      <c r="A2220" s="5"/>
      <c r="B2220" s="5" t="s">
        <v>37</v>
      </c>
      <c r="C2220" s="73" t="str">
        <f t="shared" si="34"/>
        <v>Closed</v>
      </c>
      <c r="D2220" s="45" t="s">
        <v>12425</v>
      </c>
      <c r="E2220" s="54" t="s">
        <v>12426</v>
      </c>
      <c r="F2220" s="5" t="s">
        <v>404</v>
      </c>
      <c r="G2220" s="10">
        <f>DATE(2016,5,27)</f>
        <v>42517</v>
      </c>
      <c r="H2220" s="35">
        <v>1.4638888888888888</v>
      </c>
      <c r="I2220" s="5" t="s">
        <v>55</v>
      </c>
      <c r="J2220" s="10" t="s">
        <v>12427</v>
      </c>
      <c r="K2220" s="5" t="s">
        <v>406</v>
      </c>
      <c r="L2220" s="5" t="s">
        <v>12428</v>
      </c>
      <c r="M2220" s="5" t="s">
        <v>45</v>
      </c>
      <c r="N2220" s="5" t="s">
        <v>123</v>
      </c>
      <c r="O2220" s="5" t="s">
        <v>59</v>
      </c>
      <c r="P2220" s="10" t="s">
        <v>47</v>
      </c>
      <c r="Q2220" s="10" t="s">
        <v>4531</v>
      </c>
      <c r="R2220" s="10" t="s">
        <v>3083</v>
      </c>
      <c r="S2220" s="5">
        <v>0</v>
      </c>
      <c r="T2220" s="37">
        <v>0</v>
      </c>
      <c r="U2220" s="5">
        <v>0</v>
      </c>
      <c r="V2220" s="37">
        <v>0</v>
      </c>
      <c r="W2220" s="5">
        <v>0</v>
      </c>
      <c r="X2220" s="5">
        <v>0</v>
      </c>
      <c r="Y2220" s="5">
        <v>0</v>
      </c>
      <c r="Z2220" s="37">
        <v>0</v>
      </c>
      <c r="AA2220" s="5">
        <v>0</v>
      </c>
      <c r="AB2220" s="5">
        <v>0</v>
      </c>
      <c r="AC2220" s="5">
        <v>0</v>
      </c>
      <c r="AD2220" s="5">
        <v>0</v>
      </c>
      <c r="AE2220" s="10" t="s">
        <v>73</v>
      </c>
      <c r="AF2220" s="10"/>
      <c r="AG2220" s="10" t="s">
        <v>333</v>
      </c>
      <c r="AH2220" s="10">
        <v>42566</v>
      </c>
      <c r="AI2220" s="5">
        <v>1</v>
      </c>
      <c r="AJ2220" s="10" t="s">
        <v>12429</v>
      </c>
      <c r="AK2220" s="10" t="s">
        <v>12430</v>
      </c>
    </row>
    <row r="2221" spans="1:37" ht="36.75" customHeight="1" x14ac:dyDescent="0.35">
      <c r="A2221" s="5"/>
      <c r="B2221" s="5" t="s">
        <v>37</v>
      </c>
      <c r="C2221" s="73" t="str">
        <f t="shared" si="34"/>
        <v>Closed</v>
      </c>
      <c r="D2221" s="45" t="s">
        <v>12431</v>
      </c>
      <c r="E2221" s="54" t="s">
        <v>12432</v>
      </c>
      <c r="F2221" s="5" t="s">
        <v>619</v>
      </c>
      <c r="G2221" s="10">
        <f>DATE(2016,5,28)</f>
        <v>42518</v>
      </c>
      <c r="H2221" s="35">
        <v>1.4104166666666667</v>
      </c>
      <c r="I2221" s="5" t="s">
        <v>85</v>
      </c>
      <c r="J2221" s="10" t="s">
        <v>12433</v>
      </c>
      <c r="K2221" s="5" t="s">
        <v>621</v>
      </c>
      <c r="L2221" s="5" t="s">
        <v>12434</v>
      </c>
      <c r="M2221" s="5" t="s">
        <v>45</v>
      </c>
      <c r="N2221" s="5" t="s">
        <v>123</v>
      </c>
      <c r="O2221" s="5" t="s">
        <v>59</v>
      </c>
      <c r="P2221" s="10" t="s">
        <v>146</v>
      </c>
      <c r="Q2221" s="10" t="s">
        <v>623</v>
      </c>
      <c r="R2221" s="10" t="s">
        <v>624</v>
      </c>
      <c r="S2221" s="5">
        <v>0</v>
      </c>
      <c r="T2221" s="37">
        <v>0</v>
      </c>
      <c r="U2221" s="5">
        <v>0</v>
      </c>
      <c r="V2221" s="37">
        <v>0</v>
      </c>
      <c r="W2221" s="5">
        <v>0</v>
      </c>
      <c r="X2221" s="5">
        <v>0</v>
      </c>
      <c r="Y2221" s="5">
        <v>0</v>
      </c>
      <c r="Z2221" s="37">
        <v>0</v>
      </c>
      <c r="AA2221" s="5">
        <v>0</v>
      </c>
      <c r="AB2221" s="5">
        <v>0</v>
      </c>
      <c r="AC2221" s="5">
        <v>0</v>
      </c>
      <c r="AD2221" s="5">
        <v>0</v>
      </c>
      <c r="AE2221" s="10" t="s">
        <v>73</v>
      </c>
      <c r="AF2221" s="10"/>
      <c r="AG2221" s="10" t="s">
        <v>333</v>
      </c>
      <c r="AH2221" s="10">
        <v>42549</v>
      </c>
      <c r="AI2221" s="5">
        <v>1</v>
      </c>
      <c r="AJ2221" s="10" t="s">
        <v>12435</v>
      </c>
      <c r="AK2221" s="10" t="s">
        <v>12436</v>
      </c>
    </row>
    <row r="2222" spans="1:37" ht="36.75" customHeight="1" x14ac:dyDescent="0.35">
      <c r="A2222" s="5"/>
      <c r="B2222" s="5" t="s">
        <v>37</v>
      </c>
      <c r="C2222" s="73" t="str">
        <f t="shared" si="34"/>
        <v>Closed</v>
      </c>
      <c r="D2222" s="45" t="s">
        <v>12437</v>
      </c>
      <c r="E2222" s="54" t="s">
        <v>12438</v>
      </c>
      <c r="F2222" s="5" t="s">
        <v>1553</v>
      </c>
      <c r="G2222" s="10">
        <f>DATE(2016,5,28)</f>
        <v>42518</v>
      </c>
      <c r="H2222" s="35">
        <v>1.6944444444444446</v>
      </c>
      <c r="I2222" s="5" t="s">
        <v>55</v>
      </c>
      <c r="J2222" s="10" t="s">
        <v>12439</v>
      </c>
      <c r="K2222" s="5" t="s">
        <v>1555</v>
      </c>
      <c r="L2222" s="5" t="s">
        <v>12440</v>
      </c>
      <c r="M2222" s="5" t="s">
        <v>45</v>
      </c>
      <c r="N2222" s="5" t="s">
        <v>80</v>
      </c>
      <c r="O2222" s="5" t="s">
        <v>46</v>
      </c>
      <c r="P2222" s="10" t="s">
        <v>60</v>
      </c>
      <c r="Q2222" s="10" t="s">
        <v>2635</v>
      </c>
      <c r="R2222" s="10" t="s">
        <v>6413</v>
      </c>
      <c r="S2222" s="5">
        <v>0</v>
      </c>
      <c r="T2222" s="37">
        <v>0</v>
      </c>
      <c r="U2222" s="5">
        <v>0</v>
      </c>
      <c r="V2222" s="37">
        <v>0</v>
      </c>
      <c r="W2222" s="5">
        <v>0</v>
      </c>
      <c r="X2222" s="5">
        <v>0</v>
      </c>
      <c r="Y2222" s="5">
        <v>0</v>
      </c>
      <c r="Z2222" s="37">
        <v>0</v>
      </c>
      <c r="AA2222" s="5">
        <v>0</v>
      </c>
      <c r="AB2222" s="5">
        <v>0</v>
      </c>
      <c r="AC2222" s="5">
        <v>0</v>
      </c>
      <c r="AD2222" s="5">
        <v>0</v>
      </c>
      <c r="AE2222" s="10" t="s">
        <v>73</v>
      </c>
      <c r="AF2222" s="10"/>
      <c r="AG2222" s="10" t="s">
        <v>114</v>
      </c>
      <c r="AH2222" s="10">
        <v>42520</v>
      </c>
      <c r="AI2222" s="5">
        <v>0</v>
      </c>
      <c r="AJ2222" s="10" t="s">
        <v>12441</v>
      </c>
      <c r="AK2222" s="10" t="s">
        <v>12442</v>
      </c>
    </row>
    <row r="2223" spans="1:37" ht="36.75" customHeight="1" x14ac:dyDescent="0.35">
      <c r="A2223" s="5"/>
      <c r="B2223" s="5" t="s">
        <v>37</v>
      </c>
      <c r="C2223" s="73" t="str">
        <f t="shared" si="34"/>
        <v>Closed</v>
      </c>
      <c r="D2223" s="45" t="s">
        <v>12443</v>
      </c>
      <c r="E2223" s="54" t="s">
        <v>12444</v>
      </c>
      <c r="F2223" s="5" t="s">
        <v>105</v>
      </c>
      <c r="G2223" s="10">
        <f>DATE(2016,5,31)</f>
        <v>42521</v>
      </c>
      <c r="H2223" s="35">
        <v>0</v>
      </c>
      <c r="I2223" s="5" t="s">
        <v>55</v>
      </c>
      <c r="J2223" s="10" t="s">
        <v>12445</v>
      </c>
      <c r="K2223" s="5" t="s">
        <v>108</v>
      </c>
      <c r="L2223" s="5" t="s">
        <v>12446</v>
      </c>
      <c r="M2223" s="5" t="s">
        <v>45</v>
      </c>
      <c r="N2223" s="5" t="s">
        <v>80</v>
      </c>
      <c r="O2223" s="5" t="s">
        <v>46</v>
      </c>
      <c r="P2223" s="10" t="s">
        <v>60</v>
      </c>
      <c r="Q2223" s="10" t="s">
        <v>124</v>
      </c>
      <c r="R2223" s="10" t="s">
        <v>148</v>
      </c>
      <c r="S2223" s="5">
        <v>0</v>
      </c>
      <c r="T2223" s="37">
        <v>0</v>
      </c>
      <c r="U2223" s="5">
        <v>0</v>
      </c>
      <c r="V2223" s="37">
        <v>0</v>
      </c>
      <c r="W2223" s="5">
        <v>0</v>
      </c>
      <c r="X2223" s="5">
        <v>0</v>
      </c>
      <c r="Y2223" s="5">
        <v>0</v>
      </c>
      <c r="Z2223" s="37">
        <v>0</v>
      </c>
      <c r="AA2223" s="5">
        <v>0</v>
      </c>
      <c r="AB2223" s="5">
        <v>0</v>
      </c>
      <c r="AC2223" s="5">
        <v>0</v>
      </c>
      <c r="AD2223" s="5">
        <v>0</v>
      </c>
      <c r="AE2223" s="10" t="s">
        <v>375</v>
      </c>
      <c r="AF2223" s="10"/>
      <c r="AG2223" s="10" t="s">
        <v>64</v>
      </c>
      <c r="AH2223" s="10">
        <v>42522</v>
      </c>
      <c r="AI2223" s="5">
        <v>2</v>
      </c>
      <c r="AJ2223" s="10" t="s">
        <v>12447</v>
      </c>
      <c r="AK2223" s="10" t="s">
        <v>50</v>
      </c>
    </row>
    <row r="2224" spans="1:37" ht="36.75" customHeight="1" x14ac:dyDescent="0.35">
      <c r="A2224" s="5" t="s">
        <v>12448</v>
      </c>
      <c r="B2224" s="5" t="s">
        <v>37</v>
      </c>
      <c r="C2224" s="73" t="str">
        <f t="shared" si="34"/>
        <v>Closed</v>
      </c>
      <c r="D2224" s="47" t="s">
        <v>12449</v>
      </c>
      <c r="E2224" s="54" t="s">
        <v>12450</v>
      </c>
      <c r="F2224" s="5" t="s">
        <v>12451</v>
      </c>
      <c r="G2224" s="10">
        <f>DATE(2016,5,31)</f>
        <v>42521</v>
      </c>
      <c r="H2224" s="50">
        <v>1.3326388888888889</v>
      </c>
      <c r="I2224" s="5" t="s">
        <v>137</v>
      </c>
      <c r="J2224" s="54" t="s">
        <v>12452</v>
      </c>
      <c r="K2224" s="5" t="s">
        <v>181</v>
      </c>
      <c r="L2224" s="5" t="s">
        <v>12453</v>
      </c>
      <c r="M2224" s="5" t="s">
        <v>45</v>
      </c>
      <c r="N2224" s="5" t="s">
        <v>70</v>
      </c>
      <c r="O2224" s="5" t="s">
        <v>59</v>
      </c>
      <c r="P2224" s="54" t="s">
        <v>12454</v>
      </c>
      <c r="Q2224" s="54" t="s">
        <v>12455</v>
      </c>
      <c r="R2224" s="54" t="s">
        <v>184</v>
      </c>
      <c r="S2224" s="5">
        <v>0</v>
      </c>
      <c r="T2224" s="54">
        <v>0</v>
      </c>
      <c r="U2224" s="5">
        <v>0</v>
      </c>
      <c r="V2224" s="54">
        <v>0</v>
      </c>
      <c r="W2224" s="5">
        <v>0</v>
      </c>
      <c r="X2224" s="5">
        <v>0</v>
      </c>
      <c r="Y2224" s="5">
        <v>0</v>
      </c>
      <c r="Z2224" s="54">
        <v>0</v>
      </c>
      <c r="AA2224" s="5">
        <v>0</v>
      </c>
      <c r="AB2224" s="5">
        <v>0</v>
      </c>
      <c r="AC2224" s="5">
        <v>0</v>
      </c>
      <c r="AD2224" s="5">
        <v>0</v>
      </c>
      <c r="AE2224" s="54" t="s">
        <v>73</v>
      </c>
      <c r="AF2224" s="54" t="s">
        <v>12456</v>
      </c>
      <c r="AG2224" s="54" t="s">
        <v>12457</v>
      </c>
      <c r="AH2224" s="56">
        <v>42523</v>
      </c>
      <c r="AI2224" s="5"/>
      <c r="AJ2224" s="54" t="s">
        <v>12458</v>
      </c>
      <c r="AK2224" s="54"/>
    </row>
    <row r="2225" spans="1:37" ht="36.75" customHeight="1" x14ac:dyDescent="0.35">
      <c r="A2225" s="5"/>
      <c r="B2225" s="5" t="s">
        <v>37</v>
      </c>
      <c r="C2225" s="73" t="str">
        <f t="shared" si="34"/>
        <v>Closed</v>
      </c>
      <c r="D2225" s="45" t="s">
        <v>12459</v>
      </c>
      <c r="E2225" s="54" t="s">
        <v>12460</v>
      </c>
      <c r="F2225" s="5" t="s">
        <v>816</v>
      </c>
      <c r="G2225" s="10">
        <f>DATE(2016,6,2)</f>
        <v>42523</v>
      </c>
      <c r="H2225" s="35">
        <v>1.6722222222222221</v>
      </c>
      <c r="I2225" s="5" t="s">
        <v>97</v>
      </c>
      <c r="J2225" s="10" t="s">
        <v>12461</v>
      </c>
      <c r="K2225" s="5" t="s">
        <v>818</v>
      </c>
      <c r="L2225" s="5" t="s">
        <v>12462</v>
      </c>
      <c r="M2225" s="5" t="s">
        <v>45</v>
      </c>
      <c r="N2225" s="5" t="s">
        <v>80</v>
      </c>
      <c r="O2225" s="5" t="s">
        <v>46</v>
      </c>
      <c r="P2225" s="10" t="s">
        <v>6920</v>
      </c>
      <c r="Q2225" s="10" t="s">
        <v>2142</v>
      </c>
      <c r="R2225" s="10" t="s">
        <v>821</v>
      </c>
      <c r="S2225" s="5">
        <v>0</v>
      </c>
      <c r="T2225" s="37">
        <v>0</v>
      </c>
      <c r="U2225" s="5">
        <v>1</v>
      </c>
      <c r="V2225" s="37">
        <v>0</v>
      </c>
      <c r="W2225" s="5">
        <v>0</v>
      </c>
      <c r="X2225" s="5">
        <v>1</v>
      </c>
      <c r="Y2225" s="5">
        <v>0</v>
      </c>
      <c r="Z2225" s="37">
        <v>0</v>
      </c>
      <c r="AA2225" s="5">
        <v>0</v>
      </c>
      <c r="AB2225" s="5">
        <v>0</v>
      </c>
      <c r="AC2225" s="5">
        <v>0</v>
      </c>
      <c r="AD2225" s="5">
        <v>0</v>
      </c>
      <c r="AE2225" s="10" t="s">
        <v>73</v>
      </c>
      <c r="AF2225" s="10"/>
      <c r="AG2225" s="10" t="s">
        <v>1489</v>
      </c>
      <c r="AH2225" s="10">
        <v>42527</v>
      </c>
      <c r="AI2225" s="5">
        <v>1</v>
      </c>
      <c r="AJ2225" s="10" t="s">
        <v>12463</v>
      </c>
      <c r="AK2225" s="10" t="s">
        <v>1215</v>
      </c>
    </row>
    <row r="2226" spans="1:37" ht="36.75" customHeight="1" x14ac:dyDescent="0.35">
      <c r="A2226" s="5"/>
      <c r="B2226" s="5" t="s">
        <v>37</v>
      </c>
      <c r="C2226" s="73" t="str">
        <f t="shared" si="34"/>
        <v>Closed</v>
      </c>
      <c r="D2226" s="45" t="s">
        <v>12464</v>
      </c>
      <c r="E2226" s="54" t="s">
        <v>12465</v>
      </c>
      <c r="F2226" s="5" t="s">
        <v>1751</v>
      </c>
      <c r="G2226" s="10">
        <f>DATE(2016,6,5)</f>
        <v>42526</v>
      </c>
      <c r="H2226" s="35">
        <v>1.9618055555555554</v>
      </c>
      <c r="I2226" s="5" t="s">
        <v>179</v>
      </c>
      <c r="J2226" s="10" t="s">
        <v>12466</v>
      </c>
      <c r="K2226" s="5" t="s">
        <v>1753</v>
      </c>
      <c r="L2226" s="5" t="s">
        <v>3006</v>
      </c>
      <c r="M2226" s="5" t="s">
        <v>45</v>
      </c>
      <c r="N2226" s="5" t="s">
        <v>123</v>
      </c>
      <c r="O2226" s="5" t="s">
        <v>46</v>
      </c>
      <c r="P2226" s="10" t="s">
        <v>197</v>
      </c>
      <c r="Q2226" s="10" t="s">
        <v>12467</v>
      </c>
      <c r="R2226" s="10" t="s">
        <v>1756</v>
      </c>
      <c r="S2226" s="5">
        <v>2</v>
      </c>
      <c r="T2226" s="37">
        <v>1</v>
      </c>
      <c r="U2226" s="5">
        <v>0</v>
      </c>
      <c r="V2226" s="37">
        <v>0</v>
      </c>
      <c r="W2226" s="5">
        <v>0</v>
      </c>
      <c r="X2226" s="5">
        <v>3</v>
      </c>
      <c r="Y2226" s="5">
        <v>10</v>
      </c>
      <c r="Z2226" s="37">
        <v>0</v>
      </c>
      <c r="AA2226" s="5">
        <v>0</v>
      </c>
      <c r="AB2226" s="5">
        <v>0</v>
      </c>
      <c r="AC2226" s="5">
        <v>0</v>
      </c>
      <c r="AD2226" s="5">
        <v>10</v>
      </c>
      <c r="AE2226" s="10" t="s">
        <v>73</v>
      </c>
      <c r="AF2226" s="10"/>
      <c r="AG2226" s="10" t="s">
        <v>64</v>
      </c>
      <c r="AH2226" s="10">
        <v>42526</v>
      </c>
      <c r="AI2226" s="5">
        <v>2</v>
      </c>
      <c r="AJ2226" s="10" t="s">
        <v>12468</v>
      </c>
      <c r="AK2226" s="10" t="s">
        <v>12469</v>
      </c>
    </row>
    <row r="2227" spans="1:37" ht="36.75" customHeight="1" x14ac:dyDescent="0.35">
      <c r="A2227" s="5"/>
      <c r="B2227" s="5" t="s">
        <v>37</v>
      </c>
      <c r="C2227" s="73" t="str">
        <f t="shared" si="34"/>
        <v>Closed</v>
      </c>
      <c r="D2227" s="45" t="s">
        <v>12470</v>
      </c>
      <c r="E2227" s="54" t="s">
        <v>12471</v>
      </c>
      <c r="F2227" s="5" t="s">
        <v>119</v>
      </c>
      <c r="G2227" s="10">
        <f>DATE(2016,6,7)</f>
        <v>42528</v>
      </c>
      <c r="H2227" s="35">
        <v>1.9416666666666669</v>
      </c>
      <c r="I2227" s="5" t="s">
        <v>2244</v>
      </c>
      <c r="J2227" s="10" t="s">
        <v>12472</v>
      </c>
      <c r="K2227" s="5" t="s">
        <v>121</v>
      </c>
      <c r="L2227" s="5" t="s">
        <v>12473</v>
      </c>
      <c r="M2227" s="5" t="s">
        <v>45</v>
      </c>
      <c r="N2227" s="5" t="s">
        <v>70</v>
      </c>
      <c r="O2227" s="5" t="s">
        <v>59</v>
      </c>
      <c r="P2227" s="10" t="s">
        <v>12474</v>
      </c>
      <c r="Q2227" s="10" t="s">
        <v>2015</v>
      </c>
      <c r="R2227" s="10" t="s">
        <v>4913</v>
      </c>
      <c r="S2227" s="5">
        <v>0</v>
      </c>
      <c r="T2227" s="37">
        <v>0</v>
      </c>
      <c r="U2227" s="5">
        <v>0</v>
      </c>
      <c r="V2227" s="37">
        <v>0</v>
      </c>
      <c r="W2227" s="5">
        <v>0</v>
      </c>
      <c r="X2227" s="5">
        <v>0</v>
      </c>
      <c r="Y2227" s="5">
        <v>0</v>
      </c>
      <c r="Z2227" s="37">
        <v>0</v>
      </c>
      <c r="AA2227" s="5">
        <v>0</v>
      </c>
      <c r="AB2227" s="5">
        <v>0</v>
      </c>
      <c r="AC2227" s="5">
        <v>0</v>
      </c>
      <c r="AD2227" s="5">
        <v>0</v>
      </c>
      <c r="AE2227" s="10" t="s">
        <v>73</v>
      </c>
      <c r="AF2227" s="10"/>
      <c r="AG2227" s="10" t="s">
        <v>64</v>
      </c>
      <c r="AH2227" s="10">
        <v>42534</v>
      </c>
      <c r="AI2227" s="5">
        <v>0</v>
      </c>
      <c r="AJ2227" s="10" t="s">
        <v>12475</v>
      </c>
      <c r="AK2227" s="10" t="s">
        <v>12476</v>
      </c>
    </row>
    <row r="2228" spans="1:37" ht="36.75" customHeight="1" x14ac:dyDescent="0.35">
      <c r="A2228" s="5"/>
      <c r="B2228" s="5" t="s">
        <v>37</v>
      </c>
      <c r="C2228" s="73" t="str">
        <f t="shared" si="34"/>
        <v>Closed</v>
      </c>
      <c r="D2228" s="45" t="s">
        <v>12477</v>
      </c>
      <c r="E2228" s="54" t="s">
        <v>12478</v>
      </c>
      <c r="F2228" s="5" t="s">
        <v>214</v>
      </c>
      <c r="G2228" s="10">
        <f>DATE(2016,6,7)</f>
        <v>42528</v>
      </c>
      <c r="H2228" s="35">
        <v>1.7395833333333335</v>
      </c>
      <c r="I2228" s="5" t="s">
        <v>67</v>
      </c>
      <c r="J2228" s="10" t="s">
        <v>12479</v>
      </c>
      <c r="K2228" s="5" t="s">
        <v>216</v>
      </c>
      <c r="L2228" s="5" t="s">
        <v>12480</v>
      </c>
      <c r="M2228" s="5" t="s">
        <v>45</v>
      </c>
      <c r="N2228" s="5" t="s">
        <v>80</v>
      </c>
      <c r="O2228" s="5" t="s">
        <v>46</v>
      </c>
      <c r="P2228" s="10" t="s">
        <v>6920</v>
      </c>
      <c r="Q2228" s="10" t="s">
        <v>216</v>
      </c>
      <c r="R2228" s="10" t="s">
        <v>216</v>
      </c>
      <c r="S2228" s="5">
        <v>0</v>
      </c>
      <c r="T2228" s="37">
        <v>0</v>
      </c>
      <c r="U2228" s="5">
        <v>0</v>
      </c>
      <c r="V2228" s="37">
        <v>0</v>
      </c>
      <c r="W2228" s="5">
        <v>0</v>
      </c>
      <c r="X2228" s="5">
        <v>0</v>
      </c>
      <c r="Y2228" s="5">
        <v>0</v>
      </c>
      <c r="Z2228" s="37">
        <v>0</v>
      </c>
      <c r="AA2228" s="5">
        <v>0</v>
      </c>
      <c r="AB2228" s="5">
        <v>0</v>
      </c>
      <c r="AC2228" s="5">
        <v>0</v>
      </c>
      <c r="AD2228" s="5">
        <v>0</v>
      </c>
      <c r="AE2228" s="10" t="s">
        <v>73</v>
      </c>
      <c r="AF2228" s="10"/>
      <c r="AG2228" s="10" t="s">
        <v>114</v>
      </c>
      <c r="AH2228" s="10">
        <v>42557</v>
      </c>
      <c r="AI2228" s="5">
        <v>3</v>
      </c>
      <c r="AJ2228" s="10" t="s">
        <v>12481</v>
      </c>
      <c r="AK2228" s="10" t="s">
        <v>12482</v>
      </c>
    </row>
    <row r="2229" spans="1:37" ht="36.75" customHeight="1" x14ac:dyDescent="0.35">
      <c r="A2229" s="5"/>
      <c r="B2229" s="5" t="s">
        <v>37</v>
      </c>
      <c r="C2229" s="73" t="str">
        <f t="shared" si="34"/>
        <v>Closed</v>
      </c>
      <c r="D2229" s="45" t="s">
        <v>12483</v>
      </c>
      <c r="E2229" s="54" t="s">
        <v>12484</v>
      </c>
      <c r="F2229" s="5" t="s">
        <v>9767</v>
      </c>
      <c r="G2229" s="10">
        <f>DATE(2016,6,8)</f>
        <v>42529</v>
      </c>
      <c r="H2229" s="35">
        <v>1.3680555555555556</v>
      </c>
      <c r="I2229" s="5" t="s">
        <v>55</v>
      </c>
      <c r="J2229" s="10" t="s">
        <v>12485</v>
      </c>
      <c r="K2229" s="5" t="s">
        <v>9769</v>
      </c>
      <c r="L2229" s="5" t="s">
        <v>12486</v>
      </c>
      <c r="M2229" s="5" t="s">
        <v>45</v>
      </c>
      <c r="N2229" s="5" t="s">
        <v>80</v>
      </c>
      <c r="O2229" s="5" t="s">
        <v>46</v>
      </c>
      <c r="P2229" s="10"/>
      <c r="Q2229" s="10" t="s">
        <v>9816</v>
      </c>
      <c r="R2229" s="10" t="s">
        <v>12357</v>
      </c>
      <c r="S2229" s="5">
        <v>0</v>
      </c>
      <c r="T2229" s="37">
        <v>0</v>
      </c>
      <c r="U2229" s="5">
        <v>0</v>
      </c>
      <c r="V2229" s="37">
        <v>0</v>
      </c>
      <c r="W2229" s="5">
        <v>0</v>
      </c>
      <c r="X2229" s="5">
        <v>0</v>
      </c>
      <c r="Y2229" s="5">
        <v>0</v>
      </c>
      <c r="Z2229" s="37">
        <v>2</v>
      </c>
      <c r="AA2229" s="5">
        <v>0</v>
      </c>
      <c r="AB2229" s="5">
        <v>0</v>
      </c>
      <c r="AC2229" s="5">
        <v>0</v>
      </c>
      <c r="AD2229" s="5">
        <v>2</v>
      </c>
      <c r="AE2229" s="10" t="s">
        <v>73</v>
      </c>
      <c r="AF2229" s="10"/>
      <c r="AG2229" s="10" t="s">
        <v>333</v>
      </c>
      <c r="AH2229" s="10">
        <v>42562</v>
      </c>
      <c r="AI2229" s="5">
        <v>0</v>
      </c>
      <c r="AJ2229" s="10" t="s">
        <v>12487</v>
      </c>
      <c r="AK2229" s="10" t="s">
        <v>12488</v>
      </c>
    </row>
    <row r="2230" spans="1:37" ht="36.75" customHeight="1" x14ac:dyDescent="0.35">
      <c r="A2230" s="5"/>
      <c r="B2230" s="5" t="s">
        <v>37</v>
      </c>
      <c r="C2230" s="73" t="str">
        <f t="shared" si="34"/>
        <v>Closed</v>
      </c>
      <c r="D2230" s="45" t="s">
        <v>12489</v>
      </c>
      <c r="E2230" s="54" t="s">
        <v>12490</v>
      </c>
      <c r="F2230" s="5" t="s">
        <v>1553</v>
      </c>
      <c r="G2230" s="10">
        <f>DATE(2016,6,14)</f>
        <v>42535</v>
      </c>
      <c r="H2230" s="35">
        <v>1.6979166666666665</v>
      </c>
      <c r="I2230" s="5" t="s">
        <v>106</v>
      </c>
      <c r="J2230" s="10" t="s">
        <v>12491</v>
      </c>
      <c r="K2230" s="5" t="s">
        <v>1555</v>
      </c>
      <c r="L2230" s="5" t="s">
        <v>12492</v>
      </c>
      <c r="M2230" s="5" t="s">
        <v>45</v>
      </c>
      <c r="N2230" s="5" t="s">
        <v>123</v>
      </c>
      <c r="O2230" s="5" t="s">
        <v>46</v>
      </c>
      <c r="P2230" s="10" t="s">
        <v>6920</v>
      </c>
      <c r="Q2230" s="10" t="s">
        <v>2393</v>
      </c>
      <c r="R2230" s="10" t="s">
        <v>6413</v>
      </c>
      <c r="S2230" s="5">
        <v>0</v>
      </c>
      <c r="T2230" s="37">
        <v>0</v>
      </c>
      <c r="U2230" s="5">
        <v>0</v>
      </c>
      <c r="V2230" s="37">
        <v>0</v>
      </c>
      <c r="W2230" s="5">
        <v>0</v>
      </c>
      <c r="X2230" s="5">
        <v>0</v>
      </c>
      <c r="Y2230" s="5">
        <v>0</v>
      </c>
      <c r="Z2230" s="37">
        <v>0</v>
      </c>
      <c r="AA2230" s="5">
        <v>0</v>
      </c>
      <c r="AB2230" s="5">
        <v>0</v>
      </c>
      <c r="AC2230" s="5">
        <v>0</v>
      </c>
      <c r="AD2230" s="5">
        <v>0</v>
      </c>
      <c r="AE2230" s="10" t="s">
        <v>375</v>
      </c>
      <c r="AF2230" s="10"/>
      <c r="AG2230" s="10" t="s">
        <v>114</v>
      </c>
      <c r="AH2230" s="10">
        <v>42536</v>
      </c>
      <c r="AI2230" s="5">
        <v>1</v>
      </c>
      <c r="AJ2230" s="10" t="s">
        <v>12493</v>
      </c>
      <c r="AK2230" s="10" t="s">
        <v>12494</v>
      </c>
    </row>
    <row r="2231" spans="1:37" ht="36.75" customHeight="1" x14ac:dyDescent="0.35">
      <c r="A2231" s="5"/>
      <c r="B2231" s="5" t="s">
        <v>37</v>
      </c>
      <c r="C2231" s="73" t="str">
        <f t="shared" si="34"/>
        <v>Closed</v>
      </c>
      <c r="D2231" s="45" t="s">
        <v>12495</v>
      </c>
      <c r="E2231" s="54" t="s">
        <v>12496</v>
      </c>
      <c r="F2231" s="5" t="s">
        <v>214</v>
      </c>
      <c r="G2231" s="10">
        <f>DATE(2016,6,14)</f>
        <v>42535</v>
      </c>
      <c r="H2231" s="35">
        <v>1.5590277777777777</v>
      </c>
      <c r="I2231" s="5" t="s">
        <v>2398</v>
      </c>
      <c r="J2231" s="10" t="s">
        <v>12497</v>
      </c>
      <c r="K2231" s="5" t="s">
        <v>216</v>
      </c>
      <c r="L2231" s="5" t="s">
        <v>12498</v>
      </c>
      <c r="M2231" s="5" t="s">
        <v>45</v>
      </c>
      <c r="N2231" s="5" t="s">
        <v>80</v>
      </c>
      <c r="O2231" s="5" t="s">
        <v>46</v>
      </c>
      <c r="P2231" s="10" t="s">
        <v>146</v>
      </c>
      <c r="Q2231" s="10" t="s">
        <v>216</v>
      </c>
      <c r="R2231" s="10" t="s">
        <v>216</v>
      </c>
      <c r="S2231" s="5">
        <v>0</v>
      </c>
      <c r="T2231" s="37">
        <v>0</v>
      </c>
      <c r="U2231" s="5">
        <v>0</v>
      </c>
      <c r="V2231" s="37">
        <v>0</v>
      </c>
      <c r="W2231" s="5">
        <v>0</v>
      </c>
      <c r="X2231" s="5">
        <v>0</v>
      </c>
      <c r="Y2231" s="5">
        <v>0</v>
      </c>
      <c r="Z2231" s="37">
        <v>0</v>
      </c>
      <c r="AA2231" s="5">
        <v>0</v>
      </c>
      <c r="AB2231" s="5">
        <v>0</v>
      </c>
      <c r="AC2231" s="5">
        <v>0</v>
      </c>
      <c r="AD2231" s="5">
        <v>0</v>
      </c>
      <c r="AE2231" s="10" t="s">
        <v>73</v>
      </c>
      <c r="AF2231" s="10"/>
      <c r="AG2231" s="10" t="s">
        <v>114</v>
      </c>
      <c r="AH2231" s="10">
        <v>42555</v>
      </c>
      <c r="AI2231" s="5">
        <v>4</v>
      </c>
      <c r="AJ2231" s="10" t="s">
        <v>12499</v>
      </c>
      <c r="AK2231" s="10" t="s">
        <v>12500</v>
      </c>
    </row>
    <row r="2232" spans="1:37" ht="36.75" customHeight="1" x14ac:dyDescent="0.35">
      <c r="A2232" s="5"/>
      <c r="B2232" s="5" t="s">
        <v>37</v>
      </c>
      <c r="C2232" s="73" t="str">
        <f t="shared" si="34"/>
        <v>Closed</v>
      </c>
      <c r="D2232" s="45" t="s">
        <v>12501</v>
      </c>
      <c r="E2232" s="54" t="s">
        <v>12502</v>
      </c>
      <c r="F2232" s="5" t="s">
        <v>2581</v>
      </c>
      <c r="G2232" s="10">
        <f>DATE(2016,6,16)</f>
        <v>42537</v>
      </c>
      <c r="H2232" s="35">
        <v>1.5111111111111111</v>
      </c>
      <c r="I2232" s="5" t="s">
        <v>106</v>
      </c>
      <c r="J2232" s="10" t="s">
        <v>12503</v>
      </c>
      <c r="K2232" s="5" t="s">
        <v>2583</v>
      </c>
      <c r="L2232" s="5" t="s">
        <v>12504</v>
      </c>
      <c r="M2232" s="5" t="s">
        <v>45</v>
      </c>
      <c r="N2232" s="5" t="s">
        <v>70</v>
      </c>
      <c r="O2232" s="5" t="s">
        <v>59</v>
      </c>
      <c r="P2232" s="10" t="s">
        <v>443</v>
      </c>
      <c r="Q2232" s="10" t="s">
        <v>6321</v>
      </c>
      <c r="R2232" s="10" t="s">
        <v>2586</v>
      </c>
      <c r="S2232" s="5">
        <v>0</v>
      </c>
      <c r="T2232" s="37">
        <v>0</v>
      </c>
      <c r="U2232" s="5">
        <v>0</v>
      </c>
      <c r="V2232" s="37">
        <v>0</v>
      </c>
      <c r="W2232" s="5">
        <v>0</v>
      </c>
      <c r="X2232" s="5">
        <v>0</v>
      </c>
      <c r="Y2232" s="5">
        <v>0</v>
      </c>
      <c r="Z2232" s="37">
        <v>0</v>
      </c>
      <c r="AA2232" s="5">
        <v>0</v>
      </c>
      <c r="AB2232" s="5">
        <v>0</v>
      </c>
      <c r="AC2232" s="5">
        <v>0</v>
      </c>
      <c r="AD2232" s="5">
        <v>0</v>
      </c>
      <c r="AE2232" s="10" t="s">
        <v>73</v>
      </c>
      <c r="AF2232" s="10"/>
      <c r="AG2232" s="10" t="s">
        <v>333</v>
      </c>
      <c r="AH2232" s="10">
        <v>42537</v>
      </c>
      <c r="AI2232" s="5">
        <v>5</v>
      </c>
      <c r="AJ2232" s="10" t="s">
        <v>12505</v>
      </c>
      <c r="AK2232" s="10" t="s">
        <v>12506</v>
      </c>
    </row>
    <row r="2233" spans="1:37" ht="36.75" customHeight="1" x14ac:dyDescent="0.35">
      <c r="A2233" s="5"/>
      <c r="B2233" s="5" t="s">
        <v>37</v>
      </c>
      <c r="C2233" s="73" t="str">
        <f t="shared" si="34"/>
        <v>Closed</v>
      </c>
      <c r="D2233" s="45" t="s">
        <v>12507</v>
      </c>
      <c r="E2233" s="54" t="s">
        <v>12508</v>
      </c>
      <c r="F2233" s="5" t="s">
        <v>1553</v>
      </c>
      <c r="G2233" s="10">
        <f>DATE(2016,6,22)</f>
        <v>42543</v>
      </c>
      <c r="H2233" s="35">
        <v>1.7416666666666667</v>
      </c>
      <c r="I2233" s="5" t="s">
        <v>55</v>
      </c>
      <c r="J2233" s="10" t="s">
        <v>12509</v>
      </c>
      <c r="K2233" s="5" t="s">
        <v>1555</v>
      </c>
      <c r="L2233" s="5" t="s">
        <v>12510</v>
      </c>
      <c r="M2233" s="5" t="s">
        <v>45</v>
      </c>
      <c r="N2233" s="5" t="s">
        <v>80</v>
      </c>
      <c r="O2233" s="5" t="s">
        <v>46</v>
      </c>
      <c r="P2233" s="10" t="s">
        <v>60</v>
      </c>
      <c r="Q2233" s="10" t="s">
        <v>2635</v>
      </c>
      <c r="R2233" s="10" t="s">
        <v>6413</v>
      </c>
      <c r="S2233" s="5">
        <v>0</v>
      </c>
      <c r="T2233" s="37">
        <v>0</v>
      </c>
      <c r="U2233" s="5">
        <v>0</v>
      </c>
      <c r="V2233" s="37">
        <v>0</v>
      </c>
      <c r="W2233" s="5">
        <v>0</v>
      </c>
      <c r="X2233" s="5">
        <v>0</v>
      </c>
      <c r="Y2233" s="5">
        <v>0</v>
      </c>
      <c r="Z2233" s="37">
        <v>0</v>
      </c>
      <c r="AA2233" s="5">
        <v>0</v>
      </c>
      <c r="AB2233" s="5">
        <v>0</v>
      </c>
      <c r="AC2233" s="5">
        <v>0</v>
      </c>
      <c r="AD2233" s="5">
        <v>0</v>
      </c>
      <c r="AE2233" s="10" t="s">
        <v>73</v>
      </c>
      <c r="AF2233" s="10"/>
      <c r="AG2233" s="10" t="s">
        <v>114</v>
      </c>
      <c r="AH2233" s="10">
        <v>42544</v>
      </c>
      <c r="AI2233" s="5">
        <v>0</v>
      </c>
      <c r="AJ2233" s="10" t="s">
        <v>12511</v>
      </c>
      <c r="AK2233" s="10" t="s">
        <v>12512</v>
      </c>
    </row>
    <row r="2234" spans="1:37" ht="36.75" customHeight="1" x14ac:dyDescent="0.35">
      <c r="A2234" s="5"/>
      <c r="B2234" s="5" t="s">
        <v>37</v>
      </c>
      <c r="C2234" s="73" t="str">
        <f t="shared" si="34"/>
        <v>Closed</v>
      </c>
      <c r="D2234" s="45" t="s">
        <v>12513</v>
      </c>
      <c r="E2234" s="54" t="s">
        <v>12514</v>
      </c>
      <c r="F2234" s="5" t="s">
        <v>214</v>
      </c>
      <c r="G2234" s="10">
        <f>DATE(2016,6,24)</f>
        <v>42545</v>
      </c>
      <c r="H2234" s="35">
        <v>1.5180555555555557</v>
      </c>
      <c r="I2234" s="5" t="s">
        <v>259</v>
      </c>
      <c r="J2234" s="10" t="s">
        <v>12515</v>
      </c>
      <c r="K2234" s="5" t="s">
        <v>216</v>
      </c>
      <c r="L2234" s="5" t="s">
        <v>12516</v>
      </c>
      <c r="M2234" s="5" t="s">
        <v>45</v>
      </c>
      <c r="N2234" s="5" t="s">
        <v>123</v>
      </c>
      <c r="O2234" s="5" t="s">
        <v>46</v>
      </c>
      <c r="P2234" s="10" t="s">
        <v>443</v>
      </c>
      <c r="Q2234" s="10" t="s">
        <v>332</v>
      </c>
      <c r="R2234" s="10" t="s">
        <v>216</v>
      </c>
      <c r="S2234" s="5">
        <v>0</v>
      </c>
      <c r="T2234" s="37">
        <v>0</v>
      </c>
      <c r="U2234" s="5">
        <v>0</v>
      </c>
      <c r="V2234" s="37">
        <v>0</v>
      </c>
      <c r="W2234" s="5">
        <v>0</v>
      </c>
      <c r="X2234" s="5">
        <v>0</v>
      </c>
      <c r="Y2234" s="5">
        <v>0</v>
      </c>
      <c r="Z2234" s="37">
        <v>0</v>
      </c>
      <c r="AA2234" s="5">
        <v>0</v>
      </c>
      <c r="AB2234" s="5">
        <v>0</v>
      </c>
      <c r="AC2234" s="5">
        <v>0</v>
      </c>
      <c r="AD2234" s="5">
        <v>0</v>
      </c>
      <c r="AE2234" s="10" t="s">
        <v>73</v>
      </c>
      <c r="AF2234" s="10"/>
      <c r="AG2234" s="10" t="s">
        <v>114</v>
      </c>
      <c r="AH2234" s="10">
        <v>42576</v>
      </c>
      <c r="AI2234" s="5">
        <v>3</v>
      </c>
      <c r="AJ2234" s="10" t="s">
        <v>12517</v>
      </c>
      <c r="AK2234" s="10" t="s">
        <v>12518</v>
      </c>
    </row>
    <row r="2235" spans="1:37" ht="36.75" customHeight="1" x14ac:dyDescent="0.35">
      <c r="A2235" s="5"/>
      <c r="B2235" s="5" t="s">
        <v>37</v>
      </c>
      <c r="C2235" s="73" t="str">
        <f t="shared" si="34"/>
        <v>Closed</v>
      </c>
      <c r="D2235" s="45" t="s">
        <v>12519</v>
      </c>
      <c r="E2235" s="54" t="s">
        <v>12520</v>
      </c>
      <c r="F2235" s="5" t="s">
        <v>404</v>
      </c>
      <c r="G2235" s="10">
        <f>DATE(2016,6,25)</f>
        <v>42546</v>
      </c>
      <c r="H2235" s="35">
        <v>1.2569444444444444</v>
      </c>
      <c r="I2235" s="5" t="s">
        <v>179</v>
      </c>
      <c r="J2235" s="10" t="s">
        <v>12521</v>
      </c>
      <c r="K2235" s="5" t="s">
        <v>406</v>
      </c>
      <c r="L2235" s="5" t="s">
        <v>12522</v>
      </c>
      <c r="M2235" s="5" t="s">
        <v>45</v>
      </c>
      <c r="N2235" s="5" t="s">
        <v>123</v>
      </c>
      <c r="O2235" s="5" t="s">
        <v>59</v>
      </c>
      <c r="P2235" s="10" t="s">
        <v>72</v>
      </c>
      <c r="Q2235" s="10" t="s">
        <v>4531</v>
      </c>
      <c r="R2235" s="10" t="s">
        <v>3083</v>
      </c>
      <c r="S2235" s="5">
        <v>0</v>
      </c>
      <c r="T2235" s="37">
        <v>0</v>
      </c>
      <c r="U2235" s="5">
        <v>0</v>
      </c>
      <c r="V2235" s="37">
        <v>0</v>
      </c>
      <c r="W2235" s="5">
        <v>0</v>
      </c>
      <c r="X2235" s="5">
        <v>0</v>
      </c>
      <c r="Y2235" s="5">
        <v>0</v>
      </c>
      <c r="Z2235" s="37">
        <v>0</v>
      </c>
      <c r="AA2235" s="5">
        <v>0</v>
      </c>
      <c r="AB2235" s="5">
        <v>0</v>
      </c>
      <c r="AC2235" s="5">
        <v>0</v>
      </c>
      <c r="AD2235" s="5">
        <v>0</v>
      </c>
      <c r="AE2235" s="10" t="s">
        <v>375</v>
      </c>
      <c r="AF2235" s="10"/>
      <c r="AG2235" s="10" t="s">
        <v>114</v>
      </c>
      <c r="AH2235" s="10">
        <v>42569</v>
      </c>
      <c r="AI2235" s="5">
        <v>0</v>
      </c>
      <c r="AJ2235" s="10" t="s">
        <v>12523</v>
      </c>
      <c r="AK2235" s="10" t="s">
        <v>12524</v>
      </c>
    </row>
    <row r="2236" spans="1:37" ht="36.75" customHeight="1" x14ac:dyDescent="0.35">
      <c r="A2236" s="5"/>
      <c r="B2236" s="5" t="s">
        <v>37</v>
      </c>
      <c r="C2236" s="73" t="str">
        <f t="shared" si="34"/>
        <v>Closed</v>
      </c>
      <c r="D2236" s="45" t="s">
        <v>12525</v>
      </c>
      <c r="E2236" s="54" t="s">
        <v>12526</v>
      </c>
      <c r="F2236" s="5" t="s">
        <v>816</v>
      </c>
      <c r="G2236" s="10">
        <f>DATE(2016,6,25)</f>
        <v>42546</v>
      </c>
      <c r="H2236" s="35">
        <v>1.9569444444444444</v>
      </c>
      <c r="I2236" s="5" t="s">
        <v>179</v>
      </c>
      <c r="J2236" s="10" t="s">
        <v>12527</v>
      </c>
      <c r="K2236" s="5" t="s">
        <v>818</v>
      </c>
      <c r="L2236" s="5" t="s">
        <v>9339</v>
      </c>
      <c r="M2236" s="5" t="s">
        <v>45</v>
      </c>
      <c r="N2236" s="5" t="s">
        <v>123</v>
      </c>
      <c r="O2236" s="5" t="s">
        <v>59</v>
      </c>
      <c r="P2236" s="10" t="s">
        <v>3076</v>
      </c>
      <c r="Q2236" s="10" t="s">
        <v>2142</v>
      </c>
      <c r="R2236" s="10" t="s">
        <v>821</v>
      </c>
      <c r="S2236" s="5">
        <v>0</v>
      </c>
      <c r="T2236" s="37">
        <v>0</v>
      </c>
      <c r="U2236" s="5">
        <v>0</v>
      </c>
      <c r="V2236" s="37">
        <v>0</v>
      </c>
      <c r="W2236" s="5">
        <v>0</v>
      </c>
      <c r="X2236" s="5">
        <v>0</v>
      </c>
      <c r="Y2236" s="5">
        <v>0</v>
      </c>
      <c r="Z2236" s="37">
        <v>0</v>
      </c>
      <c r="AA2236" s="5">
        <v>0</v>
      </c>
      <c r="AB2236" s="5">
        <v>0</v>
      </c>
      <c r="AC2236" s="5">
        <v>0</v>
      </c>
      <c r="AD2236" s="5">
        <v>0</v>
      </c>
      <c r="AE2236" s="10" t="s">
        <v>375</v>
      </c>
      <c r="AF2236" s="10"/>
      <c r="AG2236" s="10" t="s">
        <v>114</v>
      </c>
      <c r="AH2236" s="10">
        <v>42546</v>
      </c>
      <c r="AI2236" s="5">
        <v>3</v>
      </c>
      <c r="AJ2236" s="10" t="s">
        <v>12528</v>
      </c>
      <c r="AK2236" s="10" t="s">
        <v>50</v>
      </c>
    </row>
    <row r="2237" spans="1:37" ht="36.75" customHeight="1" x14ac:dyDescent="0.35">
      <c r="A2237" s="5"/>
      <c r="B2237" s="5" t="s">
        <v>37</v>
      </c>
      <c r="C2237" s="73" t="str">
        <f t="shared" si="34"/>
        <v>Closed</v>
      </c>
      <c r="D2237" s="45" t="s">
        <v>12529</v>
      </c>
      <c r="E2237" s="54" t="s">
        <v>12530</v>
      </c>
      <c r="F2237" s="5" t="s">
        <v>816</v>
      </c>
      <c r="G2237" s="10">
        <f>DATE(2016,6,27)</f>
        <v>42548</v>
      </c>
      <c r="H2237" s="35">
        <v>1.4347222222222222</v>
      </c>
      <c r="I2237" s="5" t="s">
        <v>97</v>
      </c>
      <c r="J2237" s="10" t="s">
        <v>12531</v>
      </c>
      <c r="K2237" s="5" t="s">
        <v>818</v>
      </c>
      <c r="L2237" s="5" t="s">
        <v>12532</v>
      </c>
      <c r="M2237" s="5" t="s">
        <v>45</v>
      </c>
      <c r="N2237" s="5" t="s">
        <v>80</v>
      </c>
      <c r="O2237" s="5" t="s">
        <v>46</v>
      </c>
      <c r="P2237" s="10" t="s">
        <v>6881</v>
      </c>
      <c r="Q2237" s="10" t="s">
        <v>4190</v>
      </c>
      <c r="R2237" s="10" t="s">
        <v>4190</v>
      </c>
      <c r="S2237" s="5">
        <v>0</v>
      </c>
      <c r="T2237" s="37">
        <v>0</v>
      </c>
      <c r="U2237" s="5">
        <v>0</v>
      </c>
      <c r="V2237" s="37">
        <v>0</v>
      </c>
      <c r="W2237" s="5">
        <v>0</v>
      </c>
      <c r="X2237" s="5">
        <v>0</v>
      </c>
      <c r="Y2237" s="5">
        <v>0</v>
      </c>
      <c r="Z2237" s="37">
        <v>0</v>
      </c>
      <c r="AA2237" s="5">
        <v>0</v>
      </c>
      <c r="AB2237" s="5">
        <v>0</v>
      </c>
      <c r="AC2237" s="5">
        <v>0</v>
      </c>
      <c r="AD2237" s="5">
        <v>0</v>
      </c>
      <c r="AE2237" s="10" t="s">
        <v>73</v>
      </c>
      <c r="AF2237" s="10"/>
      <c r="AG2237" s="10" t="s">
        <v>333</v>
      </c>
      <c r="AH2237" s="10">
        <v>42549</v>
      </c>
      <c r="AI2237" s="5">
        <v>2</v>
      </c>
      <c r="AJ2237" s="10" t="s">
        <v>12533</v>
      </c>
      <c r="AK2237" s="10" t="s">
        <v>12534</v>
      </c>
    </row>
    <row r="2238" spans="1:37" ht="36.75" customHeight="1" x14ac:dyDescent="0.35">
      <c r="A2238" s="5"/>
      <c r="B2238" s="5" t="s">
        <v>887</v>
      </c>
      <c r="C2238" s="73" t="str">
        <f t="shared" si="34"/>
        <v>Open</v>
      </c>
      <c r="D2238" s="45" t="s">
        <v>12535</v>
      </c>
      <c r="E2238" s="54" t="s">
        <v>12536</v>
      </c>
      <c r="F2238" s="5" t="s">
        <v>575</v>
      </c>
      <c r="G2238" s="10">
        <f>DATE(2016,7,3)</f>
        <v>42554</v>
      </c>
      <c r="H2238" s="35">
        <v>1.7611111111111111</v>
      </c>
      <c r="I2238" s="5" t="s">
        <v>55</v>
      </c>
      <c r="J2238" s="10" t="s">
        <v>12537</v>
      </c>
      <c r="K2238" s="5" t="s">
        <v>577</v>
      </c>
      <c r="L2238" s="5" t="s">
        <v>12538</v>
      </c>
      <c r="M2238" s="5" t="s">
        <v>45</v>
      </c>
      <c r="N2238" s="5" t="s">
        <v>80</v>
      </c>
      <c r="O2238" s="5" t="s">
        <v>46</v>
      </c>
      <c r="P2238" s="10" t="s">
        <v>146</v>
      </c>
      <c r="Q2238" s="10" t="s">
        <v>10507</v>
      </c>
      <c r="R2238" s="10" t="s">
        <v>12052</v>
      </c>
      <c r="S2238" s="5">
        <v>0</v>
      </c>
      <c r="T2238" s="37">
        <v>0</v>
      </c>
      <c r="U2238" s="5">
        <v>0</v>
      </c>
      <c r="V2238" s="37">
        <v>0</v>
      </c>
      <c r="W2238" s="5">
        <v>0</v>
      </c>
      <c r="X2238" s="5">
        <v>0</v>
      </c>
      <c r="Y2238" s="5">
        <v>0</v>
      </c>
      <c r="Z2238" s="37">
        <v>0</v>
      </c>
      <c r="AA2238" s="5">
        <v>0</v>
      </c>
      <c r="AB2238" s="5">
        <v>0</v>
      </c>
      <c r="AC2238" s="5">
        <v>0</v>
      </c>
      <c r="AD2238" s="5">
        <v>0</v>
      </c>
      <c r="AE2238" s="10" t="s">
        <v>73</v>
      </c>
      <c r="AF2238" s="10"/>
      <c r="AG2238" s="10" t="s">
        <v>570</v>
      </c>
      <c r="AH2238" s="10">
        <v>42576</v>
      </c>
      <c r="AI2238" s="5">
        <v>0</v>
      </c>
      <c r="AJ2238" s="10" t="s">
        <v>50</v>
      </c>
      <c r="AK2238" s="10" t="s">
        <v>50</v>
      </c>
    </row>
    <row r="2239" spans="1:37" ht="36.75" customHeight="1" x14ac:dyDescent="0.35">
      <c r="A2239" s="5"/>
      <c r="B2239" s="5" t="s">
        <v>37</v>
      </c>
      <c r="C2239" s="73" t="str">
        <f t="shared" si="34"/>
        <v>Closed</v>
      </c>
      <c r="D2239" s="45" t="s">
        <v>12539</v>
      </c>
      <c r="E2239" s="54" t="s">
        <v>12540</v>
      </c>
      <c r="F2239" s="5" t="s">
        <v>178</v>
      </c>
      <c r="G2239" s="10">
        <f>DATE(2016,7,5)</f>
        <v>42556</v>
      </c>
      <c r="H2239" s="35">
        <v>1.2409722222222221</v>
      </c>
      <c r="I2239" s="5" t="s">
        <v>9004</v>
      </c>
      <c r="J2239" s="10" t="s">
        <v>12541</v>
      </c>
      <c r="K2239" s="5" t="s">
        <v>181</v>
      </c>
      <c r="L2239" s="5" t="s">
        <v>12542</v>
      </c>
      <c r="M2239" s="5" t="s">
        <v>45</v>
      </c>
      <c r="N2239" s="5" t="s">
        <v>80</v>
      </c>
      <c r="O2239" s="5" t="s">
        <v>46</v>
      </c>
      <c r="P2239" s="10" t="s">
        <v>146</v>
      </c>
      <c r="Q2239" s="10" t="s">
        <v>183</v>
      </c>
      <c r="R2239" s="10" t="s">
        <v>184</v>
      </c>
      <c r="S2239" s="5">
        <v>0</v>
      </c>
      <c r="T2239" s="37">
        <v>0</v>
      </c>
      <c r="U2239" s="5">
        <v>0</v>
      </c>
      <c r="V2239" s="37">
        <v>0</v>
      </c>
      <c r="W2239" s="5">
        <v>0</v>
      </c>
      <c r="X2239" s="5">
        <v>0</v>
      </c>
      <c r="Y2239" s="5">
        <v>0</v>
      </c>
      <c r="Z2239" s="37">
        <v>0</v>
      </c>
      <c r="AA2239" s="5">
        <v>1</v>
      </c>
      <c r="AB2239" s="5">
        <v>0</v>
      </c>
      <c r="AC2239" s="5">
        <v>0</v>
      </c>
      <c r="AD2239" s="5">
        <v>1</v>
      </c>
      <c r="AE2239" s="10" t="s">
        <v>375</v>
      </c>
      <c r="AF2239" s="10"/>
      <c r="AG2239" s="10" t="s">
        <v>570</v>
      </c>
      <c r="AH2239" s="10">
        <v>42583</v>
      </c>
      <c r="AI2239" s="5">
        <v>0</v>
      </c>
      <c r="AJ2239" s="10" t="s">
        <v>12543</v>
      </c>
      <c r="AK2239" s="10" t="s">
        <v>1215</v>
      </c>
    </row>
    <row r="2240" spans="1:37" ht="36.75" customHeight="1" x14ac:dyDescent="0.35">
      <c r="A2240" s="5"/>
      <c r="B2240" s="5" t="s">
        <v>37</v>
      </c>
      <c r="C2240" s="73" t="str">
        <f t="shared" si="34"/>
        <v>Closed</v>
      </c>
      <c r="D2240" s="45" t="s">
        <v>12544</v>
      </c>
      <c r="E2240" s="54" t="s">
        <v>12545</v>
      </c>
      <c r="F2240" s="5" t="s">
        <v>2581</v>
      </c>
      <c r="G2240" s="10">
        <f>DATE(2016,7,8)</f>
        <v>42559</v>
      </c>
      <c r="H2240" s="35">
        <v>1.5034722222222223</v>
      </c>
      <c r="I2240" s="5" t="s">
        <v>106</v>
      </c>
      <c r="J2240" s="10" t="s">
        <v>12546</v>
      </c>
      <c r="K2240" s="5" t="s">
        <v>2583</v>
      </c>
      <c r="L2240" s="5" t="s">
        <v>12547</v>
      </c>
      <c r="M2240" s="5" t="s">
        <v>45</v>
      </c>
      <c r="N2240" s="5" t="s">
        <v>80</v>
      </c>
      <c r="O2240" s="5" t="s">
        <v>46</v>
      </c>
      <c r="P2240" s="10" t="s">
        <v>443</v>
      </c>
      <c r="Q2240" s="10" t="s">
        <v>6321</v>
      </c>
      <c r="R2240" s="10" t="s">
        <v>2586</v>
      </c>
      <c r="S2240" s="5">
        <v>0</v>
      </c>
      <c r="T2240" s="37">
        <v>0</v>
      </c>
      <c r="U2240" s="5">
        <v>0</v>
      </c>
      <c r="V2240" s="37">
        <v>0</v>
      </c>
      <c r="W2240" s="5">
        <v>0</v>
      </c>
      <c r="X2240" s="5">
        <v>0</v>
      </c>
      <c r="Y2240" s="5">
        <v>0</v>
      </c>
      <c r="Z2240" s="37">
        <v>0</v>
      </c>
      <c r="AA2240" s="5">
        <v>0</v>
      </c>
      <c r="AB2240" s="5">
        <v>0</v>
      </c>
      <c r="AC2240" s="5">
        <v>0</v>
      </c>
      <c r="AD2240" s="5">
        <v>0</v>
      </c>
      <c r="AE2240" s="10" t="s">
        <v>375</v>
      </c>
      <c r="AF2240" s="10"/>
      <c r="AG2240" s="10" t="s">
        <v>12295</v>
      </c>
      <c r="AH2240" s="10">
        <v>42565</v>
      </c>
      <c r="AI2240" s="5">
        <v>5</v>
      </c>
      <c r="AJ2240" s="10" t="s">
        <v>12548</v>
      </c>
      <c r="AK2240" s="10" t="s">
        <v>12549</v>
      </c>
    </row>
    <row r="2241" spans="1:37" ht="36.75" customHeight="1" x14ac:dyDescent="0.35">
      <c r="A2241" s="5"/>
      <c r="B2241" s="5" t="s">
        <v>37</v>
      </c>
      <c r="C2241" s="73" t="str">
        <f t="shared" si="34"/>
        <v>Closed</v>
      </c>
      <c r="D2241" s="45" t="s">
        <v>12550</v>
      </c>
      <c r="E2241" s="54" t="s">
        <v>12551</v>
      </c>
      <c r="F2241" s="5" t="s">
        <v>40</v>
      </c>
      <c r="G2241" s="10">
        <f>DATE(2016,7,8)</f>
        <v>42559</v>
      </c>
      <c r="H2241" s="35">
        <v>1.8958333333333335</v>
      </c>
      <c r="I2241" s="5" t="s">
        <v>137</v>
      </c>
      <c r="J2241" s="10" t="s">
        <v>12552</v>
      </c>
      <c r="K2241" s="5" t="s">
        <v>43</v>
      </c>
      <c r="L2241" s="5" t="s">
        <v>12553</v>
      </c>
      <c r="M2241" s="5" t="s">
        <v>45</v>
      </c>
      <c r="N2241" s="5" t="s">
        <v>70</v>
      </c>
      <c r="O2241" s="5" t="s">
        <v>71</v>
      </c>
      <c r="P2241" s="10" t="s">
        <v>72</v>
      </c>
      <c r="Q2241" s="10" t="s">
        <v>10848</v>
      </c>
      <c r="R2241" s="10" t="s">
        <v>43</v>
      </c>
      <c r="S2241" s="5">
        <v>0</v>
      </c>
      <c r="T2241" s="37">
        <v>0</v>
      </c>
      <c r="U2241" s="5">
        <v>0</v>
      </c>
      <c r="V2241" s="37">
        <v>0</v>
      </c>
      <c r="W2241" s="5">
        <v>0</v>
      </c>
      <c r="X2241" s="5">
        <v>0</v>
      </c>
      <c r="Y2241" s="5">
        <v>0</v>
      </c>
      <c r="Z2241" s="37">
        <v>0</v>
      </c>
      <c r="AA2241" s="5">
        <v>0</v>
      </c>
      <c r="AB2241" s="5">
        <v>0</v>
      </c>
      <c r="AC2241" s="5">
        <v>0</v>
      </c>
      <c r="AD2241" s="5">
        <v>0</v>
      </c>
      <c r="AE2241" s="10" t="s">
        <v>73</v>
      </c>
      <c r="AF2241" s="10"/>
      <c r="AG2241" s="10" t="s">
        <v>333</v>
      </c>
      <c r="AH2241" s="10">
        <v>42564</v>
      </c>
      <c r="AI2241" s="5">
        <v>4</v>
      </c>
      <c r="AJ2241" s="10" t="s">
        <v>12554</v>
      </c>
      <c r="AK2241" s="10" t="s">
        <v>12555</v>
      </c>
    </row>
    <row r="2242" spans="1:37" ht="36.75" customHeight="1" x14ac:dyDescent="0.35">
      <c r="A2242" s="5"/>
      <c r="B2242" s="5" t="s">
        <v>37</v>
      </c>
      <c r="C2242" s="73" t="str">
        <f t="shared" ref="C2242:C2305" si="35">IF(B2242="Notification","Open",IF(B2242="Interim Statement","In progress","Closed"))</f>
        <v>Closed</v>
      </c>
      <c r="D2242" s="45" t="s">
        <v>12556</v>
      </c>
      <c r="E2242" s="54" t="s">
        <v>12557</v>
      </c>
      <c r="F2242" s="5" t="s">
        <v>404</v>
      </c>
      <c r="G2242" s="10">
        <f>DATE(2016,7,10)</f>
        <v>42561</v>
      </c>
      <c r="H2242" s="35">
        <v>1.2902777777777779</v>
      </c>
      <c r="I2242" s="5" t="s">
        <v>179</v>
      </c>
      <c r="J2242" s="10" t="s">
        <v>12558</v>
      </c>
      <c r="K2242" s="5" t="s">
        <v>406</v>
      </c>
      <c r="L2242" s="5" t="s">
        <v>12559</v>
      </c>
      <c r="M2242" s="5" t="s">
        <v>45</v>
      </c>
      <c r="N2242" s="5" t="s">
        <v>80</v>
      </c>
      <c r="O2242" s="5" t="s">
        <v>59</v>
      </c>
      <c r="P2242" s="10" t="s">
        <v>146</v>
      </c>
      <c r="Q2242" s="10" t="s">
        <v>12560</v>
      </c>
      <c r="R2242" s="10" t="s">
        <v>12561</v>
      </c>
      <c r="S2242" s="5">
        <v>0</v>
      </c>
      <c r="T2242" s="37">
        <v>0</v>
      </c>
      <c r="U2242" s="5">
        <v>0</v>
      </c>
      <c r="V2242" s="37">
        <v>0</v>
      </c>
      <c r="W2242" s="5">
        <v>0</v>
      </c>
      <c r="X2242" s="5">
        <v>0</v>
      </c>
      <c r="Y2242" s="5">
        <v>0</v>
      </c>
      <c r="Z2242" s="37">
        <v>0</v>
      </c>
      <c r="AA2242" s="5">
        <v>0</v>
      </c>
      <c r="AB2242" s="5">
        <v>0</v>
      </c>
      <c r="AC2242" s="5">
        <v>0</v>
      </c>
      <c r="AD2242" s="5">
        <v>0</v>
      </c>
      <c r="AE2242" s="10" t="s">
        <v>73</v>
      </c>
      <c r="AF2242" s="10"/>
      <c r="AG2242" s="10" t="s">
        <v>64</v>
      </c>
      <c r="AH2242" s="10">
        <v>42561</v>
      </c>
      <c r="AI2242" s="5">
        <v>4</v>
      </c>
      <c r="AJ2242" s="10" t="s">
        <v>12562</v>
      </c>
      <c r="AK2242" s="10" t="s">
        <v>12563</v>
      </c>
    </row>
    <row r="2243" spans="1:37" ht="36.75" customHeight="1" x14ac:dyDescent="0.35">
      <c r="A2243" s="5"/>
      <c r="B2243" s="5" t="s">
        <v>37</v>
      </c>
      <c r="C2243" s="73" t="str">
        <f t="shared" si="35"/>
        <v>Closed</v>
      </c>
      <c r="D2243" s="45" t="s">
        <v>12564</v>
      </c>
      <c r="E2243" s="54" t="s">
        <v>12565</v>
      </c>
      <c r="F2243" s="5" t="s">
        <v>1553</v>
      </c>
      <c r="G2243" s="10">
        <f>DATE(2016,7,10)</f>
        <v>42561</v>
      </c>
      <c r="H2243" s="35">
        <v>1.4861111111111112</v>
      </c>
      <c r="I2243" s="5" t="s">
        <v>55</v>
      </c>
      <c r="J2243" s="10" t="s">
        <v>12566</v>
      </c>
      <c r="K2243" s="5" t="s">
        <v>1555</v>
      </c>
      <c r="L2243" s="5" t="s">
        <v>7922</v>
      </c>
      <c r="M2243" s="5" t="s">
        <v>45</v>
      </c>
      <c r="N2243" s="5" t="s">
        <v>123</v>
      </c>
      <c r="O2243" s="5" t="s">
        <v>59</v>
      </c>
      <c r="P2243" s="10" t="s">
        <v>60</v>
      </c>
      <c r="Q2243" s="10" t="s">
        <v>2635</v>
      </c>
      <c r="R2243" s="10" t="s">
        <v>6413</v>
      </c>
      <c r="S2243" s="5">
        <v>0</v>
      </c>
      <c r="T2243" s="37">
        <v>0</v>
      </c>
      <c r="U2243" s="5">
        <v>0</v>
      </c>
      <c r="V2243" s="37">
        <v>0</v>
      </c>
      <c r="W2243" s="5">
        <v>0</v>
      </c>
      <c r="X2243" s="5">
        <v>0</v>
      </c>
      <c r="Y2243" s="5">
        <v>0</v>
      </c>
      <c r="Z2243" s="37">
        <v>0</v>
      </c>
      <c r="AA2243" s="5">
        <v>0</v>
      </c>
      <c r="AB2243" s="5">
        <v>0</v>
      </c>
      <c r="AC2243" s="5">
        <v>0</v>
      </c>
      <c r="AD2243" s="5">
        <v>0</v>
      </c>
      <c r="AE2243" s="10" t="s">
        <v>73</v>
      </c>
      <c r="AF2243" s="10"/>
      <c r="AG2243" s="10" t="s">
        <v>114</v>
      </c>
      <c r="AH2243" s="10">
        <v>42562</v>
      </c>
      <c r="AI2243" s="5">
        <v>0</v>
      </c>
      <c r="AJ2243" s="10" t="s">
        <v>12567</v>
      </c>
      <c r="AK2243" s="10" t="s">
        <v>12568</v>
      </c>
    </row>
    <row r="2244" spans="1:37" ht="36.75" customHeight="1" x14ac:dyDescent="0.35">
      <c r="A2244" s="5"/>
      <c r="B2244" s="5" t="s">
        <v>37</v>
      </c>
      <c r="C2244" s="73" t="str">
        <f t="shared" si="35"/>
        <v>Closed</v>
      </c>
      <c r="D2244" s="45" t="s">
        <v>12569</v>
      </c>
      <c r="E2244" s="54" t="s">
        <v>12570</v>
      </c>
      <c r="F2244" s="5" t="s">
        <v>358</v>
      </c>
      <c r="G2244" s="10">
        <f>DATE(2016,7,12)</f>
        <v>42563</v>
      </c>
      <c r="H2244" s="35">
        <v>1.4618055555555556</v>
      </c>
      <c r="I2244" s="5" t="s">
        <v>179</v>
      </c>
      <c r="J2244" s="10" t="s">
        <v>12571</v>
      </c>
      <c r="K2244" s="5" t="s">
        <v>360</v>
      </c>
      <c r="L2244" s="5" t="s">
        <v>12572</v>
      </c>
      <c r="M2244" s="5" t="s">
        <v>45</v>
      </c>
      <c r="N2244" s="5" t="s">
        <v>80</v>
      </c>
      <c r="O2244" s="5" t="s">
        <v>46</v>
      </c>
      <c r="P2244" s="10" t="s">
        <v>146</v>
      </c>
      <c r="Q2244" s="10" t="s">
        <v>12573</v>
      </c>
      <c r="R2244" s="10" t="s">
        <v>12574</v>
      </c>
      <c r="S2244" s="5">
        <v>19</v>
      </c>
      <c r="T2244" s="37">
        <v>3</v>
      </c>
      <c r="U2244" s="5">
        <v>0</v>
      </c>
      <c r="V2244" s="37">
        <v>0</v>
      </c>
      <c r="W2244" s="5">
        <v>1</v>
      </c>
      <c r="X2244" s="5">
        <v>23</v>
      </c>
      <c r="Y2244" s="5">
        <v>50</v>
      </c>
      <c r="Z2244" s="37">
        <v>0</v>
      </c>
      <c r="AA2244" s="5">
        <v>0</v>
      </c>
      <c r="AB2244" s="5">
        <v>0</v>
      </c>
      <c r="AC2244" s="5">
        <v>0</v>
      </c>
      <c r="AD2244" s="5">
        <v>50</v>
      </c>
      <c r="AE2244" s="10" t="s">
        <v>126</v>
      </c>
      <c r="AF2244" s="10"/>
      <c r="AG2244" s="10" t="s">
        <v>64</v>
      </c>
      <c r="AH2244" s="10">
        <v>42563</v>
      </c>
      <c r="AI2244" s="5">
        <v>7</v>
      </c>
      <c r="AJ2244" s="10" t="s">
        <v>12575</v>
      </c>
      <c r="AK2244" s="10" t="s">
        <v>12576</v>
      </c>
    </row>
    <row r="2245" spans="1:37" ht="36.75" customHeight="1" x14ac:dyDescent="0.35">
      <c r="A2245" s="5"/>
      <c r="B2245" s="5" t="s">
        <v>887</v>
      </c>
      <c r="C2245" s="73" t="str">
        <f t="shared" si="35"/>
        <v>Open</v>
      </c>
      <c r="D2245" s="45" t="s">
        <v>12577</v>
      </c>
      <c r="E2245" s="54" t="s">
        <v>12578</v>
      </c>
      <c r="F2245" s="5" t="s">
        <v>575</v>
      </c>
      <c r="G2245" s="10">
        <f>DATE(2016,7,15)</f>
        <v>42566</v>
      </c>
      <c r="H2245" s="35">
        <v>1.6659722222222222</v>
      </c>
      <c r="I2245" s="5" t="s">
        <v>55</v>
      </c>
      <c r="J2245" s="10" t="s">
        <v>12579</v>
      </c>
      <c r="K2245" s="5" t="s">
        <v>577</v>
      </c>
      <c r="L2245" s="5" t="s">
        <v>12580</v>
      </c>
      <c r="M2245" s="5" t="s">
        <v>45</v>
      </c>
      <c r="N2245" s="5" t="s">
        <v>80</v>
      </c>
      <c r="O2245" s="5" t="s">
        <v>46</v>
      </c>
      <c r="P2245" s="10" t="s">
        <v>60</v>
      </c>
      <c r="Q2245" s="10" t="s">
        <v>5100</v>
      </c>
      <c r="R2245" s="10" t="s">
        <v>12052</v>
      </c>
      <c r="S2245" s="5">
        <v>0</v>
      </c>
      <c r="T2245" s="37">
        <v>0</v>
      </c>
      <c r="U2245" s="5">
        <v>0</v>
      </c>
      <c r="V2245" s="37">
        <v>0</v>
      </c>
      <c r="W2245" s="5">
        <v>0</v>
      </c>
      <c r="X2245" s="5">
        <v>0</v>
      </c>
      <c r="Y2245" s="5">
        <v>0</v>
      </c>
      <c r="Z2245" s="37">
        <v>0</v>
      </c>
      <c r="AA2245" s="5">
        <v>0</v>
      </c>
      <c r="AB2245" s="5">
        <v>0</v>
      </c>
      <c r="AC2245" s="5">
        <v>0</v>
      </c>
      <c r="AD2245" s="5">
        <v>0</v>
      </c>
      <c r="AE2245" s="10" t="s">
        <v>375</v>
      </c>
      <c r="AF2245" s="10"/>
      <c r="AG2245" s="10" t="s">
        <v>570</v>
      </c>
      <c r="AH2245" s="10">
        <v>42569</v>
      </c>
      <c r="AI2245" s="5">
        <v>0</v>
      </c>
      <c r="AJ2245" s="10" t="s">
        <v>50</v>
      </c>
      <c r="AK2245" s="10" t="s">
        <v>50</v>
      </c>
    </row>
    <row r="2246" spans="1:37" ht="36.75" customHeight="1" x14ac:dyDescent="0.35">
      <c r="A2246" s="5"/>
      <c r="B2246" s="5" t="s">
        <v>37</v>
      </c>
      <c r="C2246" s="73" t="str">
        <f t="shared" si="35"/>
        <v>Closed</v>
      </c>
      <c r="D2246" s="45" t="s">
        <v>12581</v>
      </c>
      <c r="E2246" s="54" t="s">
        <v>12582</v>
      </c>
      <c r="F2246" s="5" t="s">
        <v>9767</v>
      </c>
      <c r="G2246" s="10">
        <f>DATE(2016,7,16)</f>
        <v>42567</v>
      </c>
      <c r="H2246" s="35">
        <v>1.23125</v>
      </c>
      <c r="I2246" s="5" t="s">
        <v>55</v>
      </c>
      <c r="J2246" s="10" t="s">
        <v>12583</v>
      </c>
      <c r="K2246" s="5" t="s">
        <v>9769</v>
      </c>
      <c r="L2246" s="5" t="s">
        <v>12584</v>
      </c>
      <c r="M2246" s="5" t="s">
        <v>45</v>
      </c>
      <c r="N2246" s="5" t="s">
        <v>80</v>
      </c>
      <c r="O2246" s="5" t="s">
        <v>46</v>
      </c>
      <c r="P2246" s="10" t="s">
        <v>60</v>
      </c>
      <c r="Q2246" s="10" t="s">
        <v>10235</v>
      </c>
      <c r="R2246" s="10" t="s">
        <v>9772</v>
      </c>
      <c r="S2246" s="5">
        <v>0</v>
      </c>
      <c r="T2246" s="37">
        <v>0</v>
      </c>
      <c r="U2246" s="5">
        <v>0</v>
      </c>
      <c r="V2246" s="37">
        <v>0</v>
      </c>
      <c r="W2246" s="5">
        <v>0</v>
      </c>
      <c r="X2246" s="5">
        <v>0</v>
      </c>
      <c r="Y2246" s="5">
        <v>0</v>
      </c>
      <c r="Z2246" s="37">
        <v>0</v>
      </c>
      <c r="AA2246" s="5">
        <v>0</v>
      </c>
      <c r="AB2246" s="5">
        <v>0</v>
      </c>
      <c r="AC2246" s="5">
        <v>0</v>
      </c>
      <c r="AD2246" s="5">
        <v>0</v>
      </c>
      <c r="AE2246" s="10" t="s">
        <v>73</v>
      </c>
      <c r="AF2246" s="10"/>
      <c r="AG2246" s="10" t="s">
        <v>12585</v>
      </c>
      <c r="AH2246" s="10">
        <v>42570</v>
      </c>
      <c r="AI2246" s="5">
        <v>1</v>
      </c>
      <c r="AJ2246" s="10" t="s">
        <v>12586</v>
      </c>
      <c r="AK2246" s="10" t="s">
        <v>12587</v>
      </c>
    </row>
    <row r="2247" spans="1:37" ht="36.75" customHeight="1" x14ac:dyDescent="0.35">
      <c r="A2247" s="5"/>
      <c r="B2247" s="5" t="s">
        <v>37</v>
      </c>
      <c r="C2247" s="73" t="str">
        <f t="shared" si="35"/>
        <v>Closed</v>
      </c>
      <c r="D2247" s="45" t="s">
        <v>12588</v>
      </c>
      <c r="E2247" s="54" t="s">
        <v>12589</v>
      </c>
      <c r="F2247" s="5" t="s">
        <v>619</v>
      </c>
      <c r="G2247" s="10">
        <f>DATE(2016,7,18)</f>
        <v>42569</v>
      </c>
      <c r="H2247" s="35">
        <v>1.3493055555555555</v>
      </c>
      <c r="I2247" s="5" t="s">
        <v>85</v>
      </c>
      <c r="J2247" s="10" t="s">
        <v>12590</v>
      </c>
      <c r="K2247" s="5" t="s">
        <v>621</v>
      </c>
      <c r="L2247" s="5" t="s">
        <v>12591</v>
      </c>
      <c r="M2247" s="5" t="s">
        <v>45</v>
      </c>
      <c r="N2247" s="5" t="s">
        <v>80</v>
      </c>
      <c r="O2247" s="5" t="s">
        <v>67</v>
      </c>
      <c r="P2247" s="10" t="s">
        <v>72</v>
      </c>
      <c r="Q2247" s="10" t="s">
        <v>623</v>
      </c>
      <c r="R2247" s="10" t="s">
        <v>624</v>
      </c>
      <c r="S2247" s="5">
        <v>0</v>
      </c>
      <c r="T2247" s="37">
        <v>0</v>
      </c>
      <c r="U2247" s="5">
        <v>0</v>
      </c>
      <c r="V2247" s="37">
        <v>0</v>
      </c>
      <c r="W2247" s="5">
        <v>0</v>
      </c>
      <c r="X2247" s="5">
        <v>0</v>
      </c>
      <c r="Y2247" s="5">
        <v>0</v>
      </c>
      <c r="Z2247" s="37">
        <v>0</v>
      </c>
      <c r="AA2247" s="5">
        <v>0</v>
      </c>
      <c r="AB2247" s="5">
        <v>0</v>
      </c>
      <c r="AC2247" s="5">
        <v>0</v>
      </c>
      <c r="AD2247" s="5">
        <v>0</v>
      </c>
      <c r="AE2247" s="10" t="s">
        <v>73</v>
      </c>
      <c r="AF2247" s="10"/>
      <c r="AG2247" s="10" t="s">
        <v>333</v>
      </c>
      <c r="AH2247" s="10">
        <v>42640</v>
      </c>
      <c r="AI2247" s="5">
        <v>2</v>
      </c>
      <c r="AJ2247" s="10" t="s">
        <v>12592</v>
      </c>
      <c r="AK2247" s="10" t="s">
        <v>50</v>
      </c>
    </row>
    <row r="2248" spans="1:37" ht="36.75" customHeight="1" x14ac:dyDescent="0.35">
      <c r="A2248" s="5"/>
      <c r="B2248" s="5" t="s">
        <v>37</v>
      </c>
      <c r="C2248" s="73" t="str">
        <f t="shared" si="35"/>
        <v>Closed</v>
      </c>
      <c r="D2248" s="45" t="s">
        <v>12593</v>
      </c>
      <c r="E2248" s="54" t="s">
        <v>12594</v>
      </c>
      <c r="F2248" s="5" t="s">
        <v>563</v>
      </c>
      <c r="G2248" s="10">
        <f>DATE(2016,7,22)</f>
        <v>42573</v>
      </c>
      <c r="H2248" s="35">
        <v>1.3256944444444445</v>
      </c>
      <c r="I2248" s="5" t="s">
        <v>179</v>
      </c>
      <c r="J2248" s="10" t="s">
        <v>12595</v>
      </c>
      <c r="K2248" s="5" t="s">
        <v>565</v>
      </c>
      <c r="L2248" s="5" t="s">
        <v>12596</v>
      </c>
      <c r="M2248" s="5" t="s">
        <v>45</v>
      </c>
      <c r="N2248" s="5" t="s">
        <v>123</v>
      </c>
      <c r="O2248" s="5" t="s">
        <v>59</v>
      </c>
      <c r="P2248" s="10" t="s">
        <v>146</v>
      </c>
      <c r="Q2248" s="10" t="s">
        <v>10940</v>
      </c>
      <c r="R2248" s="10" t="s">
        <v>568</v>
      </c>
      <c r="S2248" s="5">
        <v>0</v>
      </c>
      <c r="T2248" s="37">
        <v>0</v>
      </c>
      <c r="U2248" s="5">
        <v>0</v>
      </c>
      <c r="V2248" s="37">
        <v>0</v>
      </c>
      <c r="W2248" s="5">
        <v>0</v>
      </c>
      <c r="X2248" s="5">
        <v>0</v>
      </c>
      <c r="Y2248" s="5">
        <v>0</v>
      </c>
      <c r="Z2248" s="37">
        <v>0</v>
      </c>
      <c r="AA2248" s="5">
        <v>0</v>
      </c>
      <c r="AB2248" s="5">
        <v>0</v>
      </c>
      <c r="AC2248" s="5">
        <v>0</v>
      </c>
      <c r="AD2248" s="5">
        <v>0</v>
      </c>
      <c r="AE2248" s="10" t="s">
        <v>375</v>
      </c>
      <c r="AF2248" s="10"/>
      <c r="AG2248" s="10" t="s">
        <v>114</v>
      </c>
      <c r="AH2248" s="10">
        <v>42577</v>
      </c>
      <c r="AI2248" s="5">
        <v>0</v>
      </c>
      <c r="AJ2248" s="10" t="s">
        <v>12597</v>
      </c>
      <c r="AK2248" s="10" t="s">
        <v>1215</v>
      </c>
    </row>
    <row r="2249" spans="1:37" ht="36.75" customHeight="1" x14ac:dyDescent="0.35">
      <c r="A2249" s="5"/>
      <c r="B2249" s="5" t="s">
        <v>37</v>
      </c>
      <c r="C2249" s="73" t="str">
        <f t="shared" si="35"/>
        <v>Closed</v>
      </c>
      <c r="D2249" s="45" t="s">
        <v>12598</v>
      </c>
      <c r="E2249" s="54" t="s">
        <v>12599</v>
      </c>
      <c r="F2249" s="5" t="s">
        <v>404</v>
      </c>
      <c r="G2249" s="10">
        <f>DATE(2016,7,24)</f>
        <v>42575</v>
      </c>
      <c r="H2249" s="35">
        <v>1.692361111111111</v>
      </c>
      <c r="I2249" s="5" t="s">
        <v>259</v>
      </c>
      <c r="J2249" s="10" t="s">
        <v>12600</v>
      </c>
      <c r="K2249" s="5" t="s">
        <v>406</v>
      </c>
      <c r="L2249" s="5" t="s">
        <v>12601</v>
      </c>
      <c r="M2249" s="5" t="s">
        <v>45</v>
      </c>
      <c r="N2249" s="5" t="s">
        <v>123</v>
      </c>
      <c r="O2249" s="5" t="s">
        <v>46</v>
      </c>
      <c r="P2249" s="10" t="s">
        <v>47</v>
      </c>
      <c r="Q2249" s="10" t="s">
        <v>4531</v>
      </c>
      <c r="R2249" s="10" t="s">
        <v>3083</v>
      </c>
      <c r="S2249" s="5">
        <v>1</v>
      </c>
      <c r="T2249" s="37">
        <v>0</v>
      </c>
      <c r="U2249" s="5">
        <v>0</v>
      </c>
      <c r="V2249" s="37">
        <v>0</v>
      </c>
      <c r="W2249" s="5">
        <v>0</v>
      </c>
      <c r="X2249" s="5">
        <v>1</v>
      </c>
      <c r="Y2249" s="5">
        <v>0</v>
      </c>
      <c r="Z2249" s="37">
        <v>0</v>
      </c>
      <c r="AA2249" s="5">
        <v>0</v>
      </c>
      <c r="AB2249" s="5">
        <v>0</v>
      </c>
      <c r="AC2249" s="5">
        <v>0</v>
      </c>
      <c r="AD2249" s="5">
        <v>0</v>
      </c>
      <c r="AE2249" s="10" t="s">
        <v>73</v>
      </c>
      <c r="AF2249" s="10"/>
      <c r="AG2249" s="10" t="s">
        <v>114</v>
      </c>
      <c r="AH2249" s="10">
        <v>42577</v>
      </c>
      <c r="AI2249" s="5">
        <v>2</v>
      </c>
      <c r="AJ2249" s="10" t="s">
        <v>12602</v>
      </c>
      <c r="AK2249" s="10" t="s">
        <v>12603</v>
      </c>
    </row>
    <row r="2250" spans="1:37" ht="36.75" customHeight="1" x14ac:dyDescent="0.35">
      <c r="A2250" s="5"/>
      <c r="B2250" s="5" t="s">
        <v>37</v>
      </c>
      <c r="C2250" s="73" t="str">
        <f t="shared" si="35"/>
        <v>Closed</v>
      </c>
      <c r="D2250" s="45" t="s">
        <v>12604</v>
      </c>
      <c r="E2250" s="54" t="s">
        <v>12605</v>
      </c>
      <c r="F2250" s="5" t="s">
        <v>816</v>
      </c>
      <c r="G2250" s="10">
        <f>DATE(2016,7,25)</f>
        <v>42576</v>
      </c>
      <c r="H2250" s="35">
        <v>1.5166666666666666</v>
      </c>
      <c r="I2250" s="5" t="s">
        <v>97</v>
      </c>
      <c r="J2250" s="10" t="s">
        <v>12606</v>
      </c>
      <c r="K2250" s="5" t="s">
        <v>818</v>
      </c>
      <c r="L2250" s="5" t="s">
        <v>12607</v>
      </c>
      <c r="M2250" s="5" t="s">
        <v>45</v>
      </c>
      <c r="N2250" s="5" t="s">
        <v>80</v>
      </c>
      <c r="O2250" s="5" t="s">
        <v>46</v>
      </c>
      <c r="P2250" s="10" t="s">
        <v>47</v>
      </c>
      <c r="Q2250" s="10" t="s">
        <v>2142</v>
      </c>
      <c r="R2250" s="10" t="s">
        <v>821</v>
      </c>
      <c r="S2250" s="5">
        <v>0</v>
      </c>
      <c r="T2250" s="37">
        <v>0</v>
      </c>
      <c r="U2250" s="5">
        <v>1</v>
      </c>
      <c r="V2250" s="37">
        <v>0</v>
      </c>
      <c r="W2250" s="5">
        <v>0</v>
      </c>
      <c r="X2250" s="5">
        <v>1</v>
      </c>
      <c r="Y2250" s="5">
        <v>0</v>
      </c>
      <c r="Z2250" s="37">
        <v>0</v>
      </c>
      <c r="AA2250" s="5">
        <v>0</v>
      </c>
      <c r="AB2250" s="5">
        <v>0</v>
      </c>
      <c r="AC2250" s="5">
        <v>0</v>
      </c>
      <c r="AD2250" s="5">
        <v>0</v>
      </c>
      <c r="AE2250" s="10" t="s">
        <v>73</v>
      </c>
      <c r="AF2250" s="10"/>
      <c r="AG2250" s="10" t="s">
        <v>333</v>
      </c>
      <c r="AH2250" s="10">
        <v>42577</v>
      </c>
      <c r="AI2250" s="5">
        <v>1</v>
      </c>
      <c r="AJ2250" s="10" t="s">
        <v>12608</v>
      </c>
      <c r="AK2250" s="10" t="s">
        <v>1215</v>
      </c>
    </row>
    <row r="2251" spans="1:37" ht="36.75" customHeight="1" x14ac:dyDescent="0.35">
      <c r="A2251" s="5"/>
      <c r="B2251" s="5" t="s">
        <v>37</v>
      </c>
      <c r="C2251" s="73" t="str">
        <f t="shared" si="35"/>
        <v>Closed</v>
      </c>
      <c r="D2251" s="45" t="s">
        <v>12609</v>
      </c>
      <c r="E2251" s="54" t="s">
        <v>12610</v>
      </c>
      <c r="F2251" s="5" t="s">
        <v>40</v>
      </c>
      <c r="G2251" s="10">
        <f>DATE(2016,7,27)</f>
        <v>42578</v>
      </c>
      <c r="H2251" s="35">
        <v>1.0833333333333333</v>
      </c>
      <c r="I2251" s="5" t="s">
        <v>179</v>
      </c>
      <c r="J2251" s="10" t="s">
        <v>12611</v>
      </c>
      <c r="K2251" s="5" t="s">
        <v>43</v>
      </c>
      <c r="L2251" s="5" t="s">
        <v>12612</v>
      </c>
      <c r="M2251" s="5" t="s">
        <v>110</v>
      </c>
      <c r="N2251" s="5" t="s">
        <v>70</v>
      </c>
      <c r="O2251" s="5" t="s">
        <v>59</v>
      </c>
      <c r="P2251" s="10" t="s">
        <v>110</v>
      </c>
      <c r="Q2251" s="10" t="s">
        <v>12613</v>
      </c>
      <c r="R2251" s="10" t="s">
        <v>2942</v>
      </c>
      <c r="S2251" s="5">
        <v>0</v>
      </c>
      <c r="T2251" s="37">
        <v>0</v>
      </c>
      <c r="U2251" s="5">
        <v>0</v>
      </c>
      <c r="V2251" s="37">
        <v>0</v>
      </c>
      <c r="W2251" s="5">
        <v>0</v>
      </c>
      <c r="X2251" s="5">
        <v>0</v>
      </c>
      <c r="Y2251" s="5">
        <v>0</v>
      </c>
      <c r="Z2251" s="37">
        <v>0</v>
      </c>
      <c r="AA2251" s="5">
        <v>0</v>
      </c>
      <c r="AB2251" s="5">
        <v>0</v>
      </c>
      <c r="AC2251" s="5">
        <v>0</v>
      </c>
      <c r="AD2251" s="5">
        <v>0</v>
      </c>
      <c r="AE2251" s="10" t="s">
        <v>375</v>
      </c>
      <c r="AF2251" s="10"/>
      <c r="AG2251" s="10" t="s">
        <v>348</v>
      </c>
      <c r="AH2251" s="10">
        <v>42579</v>
      </c>
      <c r="AI2251" s="5">
        <v>4</v>
      </c>
      <c r="AJ2251" s="10" t="s">
        <v>12614</v>
      </c>
      <c r="AK2251" s="10" t="s">
        <v>12615</v>
      </c>
    </row>
    <row r="2252" spans="1:37" ht="36.75" customHeight="1" x14ac:dyDescent="0.35">
      <c r="A2252" s="5"/>
      <c r="B2252" s="5" t="s">
        <v>37</v>
      </c>
      <c r="C2252" s="73" t="str">
        <f t="shared" si="35"/>
        <v>Closed</v>
      </c>
      <c r="D2252" s="45" t="s">
        <v>12616</v>
      </c>
      <c r="E2252" s="54" t="s">
        <v>12617</v>
      </c>
      <c r="F2252" s="5" t="s">
        <v>214</v>
      </c>
      <c r="G2252" s="10">
        <f>DATE(2016,8,1)</f>
        <v>42583</v>
      </c>
      <c r="H2252" s="35">
        <v>1.9972222222222222</v>
      </c>
      <c r="I2252" s="5" t="s">
        <v>5473</v>
      </c>
      <c r="J2252" s="10" t="s">
        <v>12618</v>
      </c>
      <c r="K2252" s="5" t="s">
        <v>216</v>
      </c>
      <c r="L2252" s="5" t="s">
        <v>12619</v>
      </c>
      <c r="M2252" s="5" t="s">
        <v>45</v>
      </c>
      <c r="N2252" s="5" t="s">
        <v>123</v>
      </c>
      <c r="O2252" s="5" t="s">
        <v>67</v>
      </c>
      <c r="P2252" s="10" t="s">
        <v>67</v>
      </c>
      <c r="Q2252" s="10" t="s">
        <v>699</v>
      </c>
      <c r="R2252" s="10" t="s">
        <v>216</v>
      </c>
      <c r="S2252" s="5">
        <v>0</v>
      </c>
      <c r="T2252" s="37">
        <v>0</v>
      </c>
      <c r="U2252" s="5">
        <v>0</v>
      </c>
      <c r="V2252" s="37">
        <v>0</v>
      </c>
      <c r="W2252" s="5">
        <v>0</v>
      </c>
      <c r="X2252" s="5">
        <v>0</v>
      </c>
      <c r="Y2252" s="5">
        <v>0</v>
      </c>
      <c r="Z2252" s="37">
        <v>0</v>
      </c>
      <c r="AA2252" s="5">
        <v>0</v>
      </c>
      <c r="AB2252" s="5">
        <v>0</v>
      </c>
      <c r="AC2252" s="5">
        <v>0</v>
      </c>
      <c r="AD2252" s="5">
        <v>0</v>
      </c>
      <c r="AE2252" s="10" t="s">
        <v>375</v>
      </c>
      <c r="AF2252" s="10"/>
      <c r="AG2252" s="10" t="s">
        <v>114</v>
      </c>
      <c r="AH2252" s="10">
        <v>42597</v>
      </c>
      <c r="AI2252" s="5">
        <v>3</v>
      </c>
      <c r="AJ2252" s="10" t="s">
        <v>12620</v>
      </c>
      <c r="AK2252" s="10" t="s">
        <v>12621</v>
      </c>
    </row>
    <row r="2253" spans="1:37" ht="36.75" customHeight="1" x14ac:dyDescent="0.35">
      <c r="A2253" s="5"/>
      <c r="B2253" s="5" t="s">
        <v>37</v>
      </c>
      <c r="C2253" s="73" t="str">
        <f t="shared" si="35"/>
        <v>Closed</v>
      </c>
      <c r="D2253" s="45" t="s">
        <v>12622</v>
      </c>
      <c r="E2253" s="54" t="s">
        <v>12623</v>
      </c>
      <c r="F2253" s="5" t="s">
        <v>1553</v>
      </c>
      <c r="G2253" s="10">
        <f>DATE(2016,8,2)</f>
        <v>42584</v>
      </c>
      <c r="H2253" s="35">
        <v>1.2847222222222223</v>
      </c>
      <c r="I2253" s="5" t="s">
        <v>55</v>
      </c>
      <c r="J2253" s="10" t="s">
        <v>12624</v>
      </c>
      <c r="K2253" s="5" t="s">
        <v>1555</v>
      </c>
      <c r="L2253" s="5" t="s">
        <v>12625</v>
      </c>
      <c r="M2253" s="5" t="s">
        <v>45</v>
      </c>
      <c r="N2253" s="5" t="s">
        <v>80</v>
      </c>
      <c r="O2253" s="5" t="s">
        <v>59</v>
      </c>
      <c r="P2253" s="10" t="s">
        <v>60</v>
      </c>
      <c r="Q2253" s="10" t="s">
        <v>2635</v>
      </c>
      <c r="R2253" s="10" t="s">
        <v>6413</v>
      </c>
      <c r="S2253" s="5">
        <v>0</v>
      </c>
      <c r="T2253" s="37">
        <v>0</v>
      </c>
      <c r="U2253" s="5">
        <v>0</v>
      </c>
      <c r="V2253" s="37">
        <v>0</v>
      </c>
      <c r="W2253" s="5">
        <v>0</v>
      </c>
      <c r="X2253" s="5">
        <v>0</v>
      </c>
      <c r="Y2253" s="5">
        <v>0</v>
      </c>
      <c r="Z2253" s="37">
        <v>0</v>
      </c>
      <c r="AA2253" s="5">
        <v>0</v>
      </c>
      <c r="AB2253" s="5">
        <v>0</v>
      </c>
      <c r="AC2253" s="5">
        <v>0</v>
      </c>
      <c r="AD2253" s="5">
        <v>0</v>
      </c>
      <c r="AE2253" s="10" t="s">
        <v>73</v>
      </c>
      <c r="AF2253" s="10"/>
      <c r="AG2253" s="10" t="s">
        <v>114</v>
      </c>
      <c r="AH2253" s="10">
        <v>42584</v>
      </c>
      <c r="AI2253" s="5">
        <v>0</v>
      </c>
      <c r="AJ2253" s="10" t="s">
        <v>12626</v>
      </c>
      <c r="AK2253" s="10" t="s">
        <v>12627</v>
      </c>
    </row>
    <row r="2254" spans="1:37" ht="36.75" customHeight="1" x14ac:dyDescent="0.35">
      <c r="A2254" s="5"/>
      <c r="B2254" s="5" t="s">
        <v>37</v>
      </c>
      <c r="C2254" s="73" t="str">
        <f t="shared" si="35"/>
        <v>Closed</v>
      </c>
      <c r="D2254" s="45" t="s">
        <v>12628</v>
      </c>
      <c r="E2254" s="54" t="s">
        <v>12629</v>
      </c>
      <c r="F2254" s="5" t="s">
        <v>1553</v>
      </c>
      <c r="G2254" s="10">
        <f>DATE(2016,8,5)</f>
        <v>42587</v>
      </c>
      <c r="H2254" s="35">
        <v>1.723611111111111</v>
      </c>
      <c r="I2254" s="5" t="s">
        <v>106</v>
      </c>
      <c r="J2254" s="10" t="s">
        <v>12630</v>
      </c>
      <c r="K2254" s="5" t="s">
        <v>1555</v>
      </c>
      <c r="L2254" s="5" t="s">
        <v>12631</v>
      </c>
      <c r="M2254" s="5" t="s">
        <v>45</v>
      </c>
      <c r="N2254" s="5" t="s">
        <v>123</v>
      </c>
      <c r="O2254" s="5" t="s">
        <v>46</v>
      </c>
      <c r="P2254" s="10" t="s">
        <v>6920</v>
      </c>
      <c r="Q2254" s="10" t="s">
        <v>2393</v>
      </c>
      <c r="R2254" s="10" t="s">
        <v>6413</v>
      </c>
      <c r="S2254" s="5">
        <v>0</v>
      </c>
      <c r="T2254" s="37">
        <v>0</v>
      </c>
      <c r="U2254" s="5">
        <v>0</v>
      </c>
      <c r="V2254" s="37">
        <v>0</v>
      </c>
      <c r="W2254" s="5">
        <v>0</v>
      </c>
      <c r="X2254" s="5">
        <v>0</v>
      </c>
      <c r="Y2254" s="5">
        <v>0</v>
      </c>
      <c r="Z2254" s="37">
        <v>0</v>
      </c>
      <c r="AA2254" s="5">
        <v>0</v>
      </c>
      <c r="AB2254" s="5">
        <v>0</v>
      </c>
      <c r="AC2254" s="5">
        <v>0</v>
      </c>
      <c r="AD2254" s="5">
        <v>0</v>
      </c>
      <c r="AE2254" s="10" t="s">
        <v>375</v>
      </c>
      <c r="AF2254" s="10"/>
      <c r="AG2254" s="10" t="s">
        <v>114</v>
      </c>
      <c r="AH2254" s="10">
        <v>42590</v>
      </c>
      <c r="AI2254" s="5">
        <v>6</v>
      </c>
      <c r="AJ2254" s="10" t="s">
        <v>12632</v>
      </c>
      <c r="AK2254" s="10" t="s">
        <v>12633</v>
      </c>
    </row>
    <row r="2255" spans="1:37" ht="36.75" customHeight="1" x14ac:dyDescent="0.35">
      <c r="A2255" s="5"/>
      <c r="B2255" s="5" t="s">
        <v>37</v>
      </c>
      <c r="C2255" s="73" t="str">
        <f t="shared" si="35"/>
        <v>Closed</v>
      </c>
      <c r="D2255" s="45" t="s">
        <v>12634</v>
      </c>
      <c r="E2255" s="54" t="s">
        <v>12635</v>
      </c>
      <c r="F2255" s="5" t="s">
        <v>214</v>
      </c>
      <c r="G2255" s="10">
        <f>DATE(2016,8,7)</f>
        <v>42589</v>
      </c>
      <c r="H2255" s="35">
        <v>1.7256944444444446</v>
      </c>
      <c r="I2255" s="5" t="s">
        <v>259</v>
      </c>
      <c r="J2255" s="10" t="s">
        <v>12636</v>
      </c>
      <c r="K2255" s="5" t="s">
        <v>216</v>
      </c>
      <c r="L2255" s="5" t="s">
        <v>12637</v>
      </c>
      <c r="M2255" s="5" t="s">
        <v>45</v>
      </c>
      <c r="N2255" s="5" t="s">
        <v>70</v>
      </c>
      <c r="O2255" s="5" t="s">
        <v>46</v>
      </c>
      <c r="P2255" s="10" t="s">
        <v>443</v>
      </c>
      <c r="Q2255" s="10" t="s">
        <v>450</v>
      </c>
      <c r="R2255" s="10" t="s">
        <v>216</v>
      </c>
      <c r="S2255" s="5">
        <v>1</v>
      </c>
      <c r="T2255" s="37">
        <v>0</v>
      </c>
      <c r="U2255" s="5">
        <v>0</v>
      </c>
      <c r="V2255" s="37">
        <v>0</v>
      </c>
      <c r="W2255" s="5">
        <v>0</v>
      </c>
      <c r="X2255" s="5">
        <v>1</v>
      </c>
      <c r="Y2255" s="5">
        <v>0</v>
      </c>
      <c r="Z2255" s="37">
        <v>0</v>
      </c>
      <c r="AA2255" s="5">
        <v>0</v>
      </c>
      <c r="AB2255" s="5">
        <v>0</v>
      </c>
      <c r="AC2255" s="5">
        <v>0</v>
      </c>
      <c r="AD2255" s="5">
        <v>0</v>
      </c>
      <c r="AE2255" s="10" t="s">
        <v>73</v>
      </c>
      <c r="AF2255" s="10"/>
      <c r="AG2255" s="10" t="s">
        <v>64</v>
      </c>
      <c r="AH2255" s="10">
        <v>42597</v>
      </c>
      <c r="AI2255" s="5">
        <v>2</v>
      </c>
      <c r="AJ2255" s="10" t="s">
        <v>12638</v>
      </c>
      <c r="AK2255" s="10" t="s">
        <v>12639</v>
      </c>
    </row>
    <row r="2256" spans="1:37" ht="36.75" customHeight="1" x14ac:dyDescent="0.35">
      <c r="A2256" s="5"/>
      <c r="B2256" s="5" t="s">
        <v>37</v>
      </c>
      <c r="C2256" s="73" t="str">
        <f t="shared" si="35"/>
        <v>Closed</v>
      </c>
      <c r="D2256" s="45" t="s">
        <v>12640</v>
      </c>
      <c r="E2256" s="54" t="s">
        <v>12641</v>
      </c>
      <c r="F2256" s="5" t="s">
        <v>40</v>
      </c>
      <c r="G2256" s="10">
        <f>DATE(2016,8,13)</f>
        <v>42595</v>
      </c>
      <c r="H2256" s="35">
        <v>1.7006944444444443</v>
      </c>
      <c r="I2256" s="5" t="s">
        <v>137</v>
      </c>
      <c r="J2256" s="10" t="s">
        <v>12642</v>
      </c>
      <c r="K2256" s="5" t="s">
        <v>43</v>
      </c>
      <c r="L2256" s="5" t="s">
        <v>12643</v>
      </c>
      <c r="M2256" s="5" t="s">
        <v>45</v>
      </c>
      <c r="N2256" s="5" t="s">
        <v>70</v>
      </c>
      <c r="O2256" s="5" t="s">
        <v>71</v>
      </c>
      <c r="P2256" s="10" t="s">
        <v>60</v>
      </c>
      <c r="Q2256" s="10" t="s">
        <v>10848</v>
      </c>
      <c r="R2256" s="10" t="s">
        <v>49</v>
      </c>
      <c r="S2256" s="5">
        <v>0</v>
      </c>
      <c r="T2256" s="37">
        <v>0</v>
      </c>
      <c r="U2256" s="5">
        <v>0</v>
      </c>
      <c r="V2256" s="37">
        <v>0</v>
      </c>
      <c r="W2256" s="5">
        <v>0</v>
      </c>
      <c r="X2256" s="5">
        <v>0</v>
      </c>
      <c r="Y2256" s="5">
        <v>0</v>
      </c>
      <c r="Z2256" s="37">
        <v>0</v>
      </c>
      <c r="AA2256" s="5">
        <v>0</v>
      </c>
      <c r="AB2256" s="5">
        <v>0</v>
      </c>
      <c r="AC2256" s="5">
        <v>0</v>
      </c>
      <c r="AD2256" s="5">
        <v>0</v>
      </c>
      <c r="AE2256" s="10" t="s">
        <v>375</v>
      </c>
      <c r="AF2256" s="10"/>
      <c r="AG2256" s="10" t="s">
        <v>64</v>
      </c>
      <c r="AH2256" s="10">
        <v>42604</v>
      </c>
      <c r="AI2256" s="5">
        <v>3</v>
      </c>
      <c r="AJ2256" s="10" t="s">
        <v>12644</v>
      </c>
      <c r="AK2256" s="10" t="s">
        <v>12645</v>
      </c>
    </row>
    <row r="2257" spans="1:37" ht="36.75" customHeight="1" x14ac:dyDescent="0.35">
      <c r="A2257" s="5"/>
      <c r="B2257" s="5" t="s">
        <v>37</v>
      </c>
      <c r="C2257" s="73" t="str">
        <f t="shared" si="35"/>
        <v>Closed</v>
      </c>
      <c r="D2257" s="45" t="s">
        <v>12646</v>
      </c>
      <c r="E2257" s="54" t="s">
        <v>12647</v>
      </c>
      <c r="F2257" s="5" t="s">
        <v>816</v>
      </c>
      <c r="G2257" s="10">
        <f>DATE(2016,8,14)</f>
        <v>42596</v>
      </c>
      <c r="H2257" s="35">
        <v>1.7166666666666668</v>
      </c>
      <c r="I2257" s="5" t="s">
        <v>55</v>
      </c>
      <c r="J2257" s="10" t="s">
        <v>12648</v>
      </c>
      <c r="K2257" s="5" t="s">
        <v>818</v>
      </c>
      <c r="L2257" s="5" t="s">
        <v>12649</v>
      </c>
      <c r="M2257" s="5" t="s">
        <v>45</v>
      </c>
      <c r="N2257" s="5" t="s">
        <v>80</v>
      </c>
      <c r="O2257" s="5" t="s">
        <v>59</v>
      </c>
      <c r="P2257" s="10" t="s">
        <v>146</v>
      </c>
      <c r="Q2257" s="10" t="s">
        <v>2142</v>
      </c>
      <c r="R2257" s="10" t="s">
        <v>821</v>
      </c>
      <c r="S2257" s="5">
        <v>0</v>
      </c>
      <c r="T2257" s="37">
        <v>0</v>
      </c>
      <c r="U2257" s="5">
        <v>0</v>
      </c>
      <c r="V2257" s="37">
        <v>0</v>
      </c>
      <c r="W2257" s="5">
        <v>0</v>
      </c>
      <c r="X2257" s="5">
        <v>0</v>
      </c>
      <c r="Y2257" s="5">
        <v>0</v>
      </c>
      <c r="Z2257" s="37">
        <v>0</v>
      </c>
      <c r="AA2257" s="5">
        <v>0</v>
      </c>
      <c r="AB2257" s="5">
        <v>0</v>
      </c>
      <c r="AC2257" s="5">
        <v>0</v>
      </c>
      <c r="AD2257" s="5">
        <v>0</v>
      </c>
      <c r="AE2257" s="10" t="s">
        <v>73</v>
      </c>
      <c r="AF2257" s="10"/>
      <c r="AG2257" s="10" t="s">
        <v>114</v>
      </c>
      <c r="AH2257" s="10">
        <v>42597</v>
      </c>
      <c r="AI2257" s="5">
        <v>3</v>
      </c>
      <c r="AJ2257" s="10" t="s">
        <v>12650</v>
      </c>
      <c r="AK2257" s="10" t="s">
        <v>1215</v>
      </c>
    </row>
    <row r="2258" spans="1:37" ht="36.75" customHeight="1" x14ac:dyDescent="0.35">
      <c r="A2258" s="5"/>
      <c r="B2258" s="5" t="s">
        <v>37</v>
      </c>
      <c r="C2258" s="73" t="str">
        <f t="shared" si="35"/>
        <v>Closed</v>
      </c>
      <c r="D2258" s="45" t="s">
        <v>12651</v>
      </c>
      <c r="E2258" s="54" t="s">
        <v>12652</v>
      </c>
      <c r="F2258" s="5" t="s">
        <v>214</v>
      </c>
      <c r="G2258" s="10">
        <f>DATE(2016,8,15)</f>
        <v>42597</v>
      </c>
      <c r="H2258" s="35">
        <v>1.9791666666666665</v>
      </c>
      <c r="I2258" s="5" t="s">
        <v>259</v>
      </c>
      <c r="J2258" s="10" t="s">
        <v>12653</v>
      </c>
      <c r="K2258" s="5" t="s">
        <v>216</v>
      </c>
      <c r="L2258" s="5" t="s">
        <v>12654</v>
      </c>
      <c r="M2258" s="5" t="s">
        <v>236</v>
      </c>
      <c r="N2258" s="5" t="s">
        <v>123</v>
      </c>
      <c r="O2258" s="5" t="s">
        <v>46</v>
      </c>
      <c r="P2258" s="10" t="s">
        <v>6531</v>
      </c>
      <c r="Q2258" s="10" t="s">
        <v>699</v>
      </c>
      <c r="R2258" s="10" t="s">
        <v>216</v>
      </c>
      <c r="S2258" s="5">
        <v>0</v>
      </c>
      <c r="T2258" s="37">
        <v>0</v>
      </c>
      <c r="U2258" s="5">
        <v>0</v>
      </c>
      <c r="V2258" s="37">
        <v>1</v>
      </c>
      <c r="W2258" s="5">
        <v>0</v>
      </c>
      <c r="X2258" s="5">
        <v>1</v>
      </c>
      <c r="Y2258" s="5">
        <v>0</v>
      </c>
      <c r="Z2258" s="37">
        <v>0</v>
      </c>
      <c r="AA2258" s="5">
        <v>0</v>
      </c>
      <c r="AB2258" s="5">
        <v>0</v>
      </c>
      <c r="AC2258" s="5">
        <v>0</v>
      </c>
      <c r="AD2258" s="5">
        <v>0</v>
      </c>
      <c r="AE2258" s="10" t="s">
        <v>73</v>
      </c>
      <c r="AF2258" s="10"/>
      <c r="AG2258" s="10" t="s">
        <v>114</v>
      </c>
      <c r="AH2258" s="10">
        <v>42604</v>
      </c>
      <c r="AI2258" s="5">
        <v>1</v>
      </c>
      <c r="AJ2258" s="10" t="s">
        <v>12655</v>
      </c>
      <c r="AK2258" s="10" t="s">
        <v>12656</v>
      </c>
    </row>
    <row r="2259" spans="1:37" ht="36.75" customHeight="1" x14ac:dyDescent="0.35">
      <c r="A2259" s="5"/>
      <c r="B2259" s="5" t="s">
        <v>37</v>
      </c>
      <c r="C2259" s="73" t="str">
        <f t="shared" si="35"/>
        <v>Closed</v>
      </c>
      <c r="D2259" s="45" t="s">
        <v>12657</v>
      </c>
      <c r="E2259" s="54" t="s">
        <v>12658</v>
      </c>
      <c r="F2259" s="5" t="s">
        <v>96</v>
      </c>
      <c r="G2259" s="10">
        <f>DATE(2016,8,17)</f>
        <v>42599</v>
      </c>
      <c r="H2259" s="35">
        <v>1.6409722222222221</v>
      </c>
      <c r="I2259" s="5" t="s">
        <v>137</v>
      </c>
      <c r="J2259" s="10" t="s">
        <v>12659</v>
      </c>
      <c r="K2259" s="5" t="s">
        <v>99</v>
      </c>
      <c r="L2259" s="5" t="s">
        <v>12660</v>
      </c>
      <c r="M2259" s="5" t="s">
        <v>45</v>
      </c>
      <c r="N2259" s="5" t="s">
        <v>123</v>
      </c>
      <c r="O2259" s="5" t="s">
        <v>46</v>
      </c>
      <c r="P2259" s="10" t="s">
        <v>146</v>
      </c>
      <c r="Q2259" s="10" t="s">
        <v>101</v>
      </c>
      <c r="R2259" s="10" t="s">
        <v>102</v>
      </c>
      <c r="S2259" s="5">
        <v>0</v>
      </c>
      <c r="T2259" s="37">
        <v>0</v>
      </c>
      <c r="U2259" s="5">
        <v>0</v>
      </c>
      <c r="V2259" s="37">
        <v>0</v>
      </c>
      <c r="W2259" s="5">
        <v>0</v>
      </c>
      <c r="X2259" s="5">
        <v>0</v>
      </c>
      <c r="Y2259" s="5">
        <v>1</v>
      </c>
      <c r="Z2259" s="37">
        <v>0</v>
      </c>
      <c r="AA2259" s="5">
        <v>0</v>
      </c>
      <c r="AB2259" s="5">
        <v>0</v>
      </c>
      <c r="AC2259" s="5">
        <v>0</v>
      </c>
      <c r="AD2259" s="5">
        <v>1</v>
      </c>
      <c r="AE2259" s="10" t="s">
        <v>375</v>
      </c>
      <c r="AF2259" s="10"/>
      <c r="AG2259" s="10" t="s">
        <v>114</v>
      </c>
      <c r="AH2259" s="10">
        <v>42601</v>
      </c>
      <c r="AI2259" s="5">
        <v>0</v>
      </c>
      <c r="AJ2259" s="10" t="s">
        <v>12661</v>
      </c>
      <c r="AK2259" s="10" t="s">
        <v>50</v>
      </c>
    </row>
    <row r="2260" spans="1:37" ht="36.75" customHeight="1" x14ac:dyDescent="0.35">
      <c r="A2260" s="5"/>
      <c r="B2260" s="5" t="s">
        <v>37</v>
      </c>
      <c r="C2260" s="73" t="str">
        <f t="shared" si="35"/>
        <v>Closed</v>
      </c>
      <c r="D2260" s="45" t="s">
        <v>12662</v>
      </c>
      <c r="E2260" s="54" t="s">
        <v>12663</v>
      </c>
      <c r="F2260" s="5" t="s">
        <v>816</v>
      </c>
      <c r="G2260" s="10">
        <f>DATE(2016,8,23)</f>
        <v>42605</v>
      </c>
      <c r="H2260" s="35">
        <v>1.3888888888888888</v>
      </c>
      <c r="I2260" s="5" t="s">
        <v>2244</v>
      </c>
      <c r="J2260" s="10" t="s">
        <v>12664</v>
      </c>
      <c r="K2260" s="5" t="s">
        <v>818</v>
      </c>
      <c r="L2260" s="5" t="s">
        <v>12665</v>
      </c>
      <c r="M2260" s="5" t="s">
        <v>45</v>
      </c>
      <c r="N2260" s="5" t="s">
        <v>123</v>
      </c>
      <c r="O2260" s="5" t="s">
        <v>59</v>
      </c>
      <c r="P2260" s="10" t="s">
        <v>2531</v>
      </c>
      <c r="Q2260" s="10" t="s">
        <v>12666</v>
      </c>
      <c r="R2260" s="10" t="s">
        <v>821</v>
      </c>
      <c r="S2260" s="5">
        <v>0</v>
      </c>
      <c r="T2260" s="37">
        <v>0</v>
      </c>
      <c r="U2260" s="5">
        <v>0</v>
      </c>
      <c r="V2260" s="37">
        <v>0</v>
      </c>
      <c r="W2260" s="5">
        <v>0</v>
      </c>
      <c r="X2260" s="5">
        <v>0</v>
      </c>
      <c r="Y2260" s="5">
        <v>0</v>
      </c>
      <c r="Z2260" s="37">
        <v>0</v>
      </c>
      <c r="AA2260" s="5">
        <v>0</v>
      </c>
      <c r="AB2260" s="5">
        <v>0</v>
      </c>
      <c r="AC2260" s="5">
        <v>0</v>
      </c>
      <c r="AD2260" s="5">
        <v>0</v>
      </c>
      <c r="AE2260" s="10" t="s">
        <v>73</v>
      </c>
      <c r="AF2260" s="10"/>
      <c r="AG2260" s="10" t="s">
        <v>333</v>
      </c>
      <c r="AH2260" s="10">
        <v>42605</v>
      </c>
      <c r="AI2260" s="5">
        <v>0</v>
      </c>
      <c r="AJ2260" s="10" t="s">
        <v>12667</v>
      </c>
      <c r="AK2260" s="10" t="s">
        <v>1215</v>
      </c>
    </row>
    <row r="2261" spans="1:37" ht="36.75" customHeight="1" x14ac:dyDescent="0.35">
      <c r="A2261" s="5"/>
      <c r="B2261" s="5" t="s">
        <v>37</v>
      </c>
      <c r="C2261" s="73" t="str">
        <f t="shared" si="35"/>
        <v>Closed</v>
      </c>
      <c r="D2261" s="45" t="s">
        <v>12668</v>
      </c>
      <c r="E2261" s="54" t="s">
        <v>12669</v>
      </c>
      <c r="F2261" s="5" t="s">
        <v>432</v>
      </c>
      <c r="G2261" s="10">
        <f>DATE(2016,8,26)</f>
        <v>42608</v>
      </c>
      <c r="H2261" s="35">
        <v>0</v>
      </c>
      <c r="I2261" s="5" t="s">
        <v>259</v>
      </c>
      <c r="J2261" s="10" t="s">
        <v>12670</v>
      </c>
      <c r="K2261" s="5" t="s">
        <v>434</v>
      </c>
      <c r="L2261" s="5" t="s">
        <v>12671</v>
      </c>
      <c r="M2261" s="5" t="s">
        <v>45</v>
      </c>
      <c r="N2261" s="5" t="s">
        <v>123</v>
      </c>
      <c r="O2261" s="5" t="s">
        <v>59</v>
      </c>
      <c r="P2261" s="10" t="s">
        <v>6881</v>
      </c>
      <c r="Q2261" s="10" t="s">
        <v>12672</v>
      </c>
      <c r="R2261" s="10" t="s">
        <v>553</v>
      </c>
      <c r="S2261" s="5">
        <v>1</v>
      </c>
      <c r="T2261" s="37">
        <v>0</v>
      </c>
      <c r="U2261" s="5">
        <v>0</v>
      </c>
      <c r="V2261" s="37">
        <v>0</v>
      </c>
      <c r="W2261" s="5">
        <v>0</v>
      </c>
      <c r="X2261" s="5">
        <v>1</v>
      </c>
      <c r="Y2261" s="5">
        <v>0</v>
      </c>
      <c r="Z2261" s="37">
        <v>0</v>
      </c>
      <c r="AA2261" s="5">
        <v>0</v>
      </c>
      <c r="AB2261" s="5">
        <v>0</v>
      </c>
      <c r="AC2261" s="5">
        <v>0</v>
      </c>
      <c r="AD2261" s="5">
        <v>0</v>
      </c>
      <c r="AE2261" s="10" t="s">
        <v>73</v>
      </c>
      <c r="AF2261" s="10"/>
      <c r="AG2261" s="10" t="s">
        <v>64</v>
      </c>
      <c r="AH2261" s="10">
        <v>42618</v>
      </c>
      <c r="AI2261" s="5">
        <v>0</v>
      </c>
      <c r="AJ2261" s="10" t="s">
        <v>12673</v>
      </c>
      <c r="AK2261" s="10" t="s">
        <v>50</v>
      </c>
    </row>
    <row r="2262" spans="1:37" ht="36.75" customHeight="1" x14ac:dyDescent="0.35">
      <c r="A2262" s="5"/>
      <c r="B2262" s="5" t="s">
        <v>37</v>
      </c>
      <c r="C2262" s="73" t="str">
        <f t="shared" si="35"/>
        <v>Closed</v>
      </c>
      <c r="D2262" s="45" t="s">
        <v>12674</v>
      </c>
      <c r="E2262" s="54" t="s">
        <v>12675</v>
      </c>
      <c r="F2262" s="5" t="s">
        <v>1553</v>
      </c>
      <c r="G2262" s="10">
        <f>DATE(2016,8,26)</f>
        <v>42608</v>
      </c>
      <c r="H2262" s="35">
        <v>1.65625</v>
      </c>
      <c r="I2262" s="5" t="s">
        <v>106</v>
      </c>
      <c r="J2262" s="10" t="s">
        <v>12676</v>
      </c>
      <c r="K2262" s="5" t="s">
        <v>1555</v>
      </c>
      <c r="L2262" s="5" t="s">
        <v>12677</v>
      </c>
      <c r="M2262" s="5" t="s">
        <v>45</v>
      </c>
      <c r="N2262" s="5" t="s">
        <v>80</v>
      </c>
      <c r="O2262" s="5" t="s">
        <v>46</v>
      </c>
      <c r="P2262" s="10" t="s">
        <v>60</v>
      </c>
      <c r="Q2262" s="10" t="s">
        <v>2635</v>
      </c>
      <c r="R2262" s="10" t="s">
        <v>6413</v>
      </c>
      <c r="S2262" s="5">
        <v>0</v>
      </c>
      <c r="T2262" s="37">
        <v>0</v>
      </c>
      <c r="U2262" s="5">
        <v>0</v>
      </c>
      <c r="V2262" s="37">
        <v>0</v>
      </c>
      <c r="W2262" s="5">
        <v>0</v>
      </c>
      <c r="X2262" s="5">
        <v>0</v>
      </c>
      <c r="Y2262" s="5">
        <v>0</v>
      </c>
      <c r="Z2262" s="37">
        <v>0</v>
      </c>
      <c r="AA2262" s="5">
        <v>0</v>
      </c>
      <c r="AB2262" s="5">
        <v>0</v>
      </c>
      <c r="AC2262" s="5">
        <v>0</v>
      </c>
      <c r="AD2262" s="5">
        <v>0</v>
      </c>
      <c r="AE2262" s="10" t="s">
        <v>73</v>
      </c>
      <c r="AF2262" s="10"/>
      <c r="AG2262" s="10" t="s">
        <v>114</v>
      </c>
      <c r="AH2262" s="10">
        <v>42611</v>
      </c>
      <c r="AI2262" s="5">
        <v>1</v>
      </c>
      <c r="AJ2262" s="10" t="s">
        <v>12678</v>
      </c>
      <c r="AK2262" s="10" t="s">
        <v>12679</v>
      </c>
    </row>
    <row r="2263" spans="1:37" ht="36.75" customHeight="1" x14ac:dyDescent="0.35">
      <c r="A2263" s="5"/>
      <c r="B2263" s="5" t="s">
        <v>37</v>
      </c>
      <c r="C2263" s="73" t="str">
        <f t="shared" si="35"/>
        <v>Closed</v>
      </c>
      <c r="D2263" s="45" t="s">
        <v>12680</v>
      </c>
      <c r="E2263" s="54" t="s">
        <v>12681</v>
      </c>
      <c r="F2263" s="5" t="s">
        <v>2581</v>
      </c>
      <c r="G2263" s="10">
        <f>DATE(2016,8,28)</f>
        <v>42610</v>
      </c>
      <c r="H2263" s="35">
        <v>1.6749999999999998</v>
      </c>
      <c r="I2263" s="5" t="s">
        <v>55</v>
      </c>
      <c r="J2263" s="10" t="s">
        <v>12682</v>
      </c>
      <c r="K2263" s="5" t="s">
        <v>2583</v>
      </c>
      <c r="L2263" s="5" t="s">
        <v>12683</v>
      </c>
      <c r="M2263" s="5" t="s">
        <v>45</v>
      </c>
      <c r="N2263" s="5" t="s">
        <v>80</v>
      </c>
      <c r="O2263" s="5" t="s">
        <v>46</v>
      </c>
      <c r="P2263" s="10" t="s">
        <v>60</v>
      </c>
      <c r="Q2263" s="10" t="s">
        <v>4793</v>
      </c>
      <c r="R2263" s="10" t="s">
        <v>2586</v>
      </c>
      <c r="S2263" s="5">
        <v>0</v>
      </c>
      <c r="T2263" s="37">
        <v>0</v>
      </c>
      <c r="U2263" s="5">
        <v>0</v>
      </c>
      <c r="V2263" s="37">
        <v>0</v>
      </c>
      <c r="W2263" s="5">
        <v>0</v>
      </c>
      <c r="X2263" s="5">
        <v>0</v>
      </c>
      <c r="Y2263" s="5">
        <v>0</v>
      </c>
      <c r="Z2263" s="37">
        <v>0</v>
      </c>
      <c r="AA2263" s="5">
        <v>0</v>
      </c>
      <c r="AB2263" s="5">
        <v>0</v>
      </c>
      <c r="AC2263" s="5">
        <v>0</v>
      </c>
      <c r="AD2263" s="5">
        <v>0</v>
      </c>
      <c r="AE2263" s="10" t="s">
        <v>375</v>
      </c>
      <c r="AF2263" s="10"/>
      <c r="AG2263" s="10" t="s">
        <v>114</v>
      </c>
      <c r="AH2263" s="10">
        <v>42611</v>
      </c>
      <c r="AI2263" s="5">
        <v>2</v>
      </c>
      <c r="AJ2263" s="10" t="s">
        <v>12684</v>
      </c>
      <c r="AK2263" s="10" t="s">
        <v>12685</v>
      </c>
    </row>
    <row r="2264" spans="1:37" ht="36.75" customHeight="1" x14ac:dyDescent="0.35">
      <c r="A2264" s="5"/>
      <c r="B2264" s="5" t="s">
        <v>37</v>
      </c>
      <c r="C2264" s="73" t="str">
        <f t="shared" si="35"/>
        <v>Closed</v>
      </c>
      <c r="D2264" s="45" t="s">
        <v>12686</v>
      </c>
      <c r="E2264" s="54" t="s">
        <v>12687</v>
      </c>
      <c r="F2264" s="5" t="s">
        <v>404</v>
      </c>
      <c r="G2264" s="10">
        <f>DATE(2016,8,30)</f>
        <v>42612</v>
      </c>
      <c r="H2264" s="35">
        <v>1.307638888888889</v>
      </c>
      <c r="I2264" s="5" t="s">
        <v>179</v>
      </c>
      <c r="J2264" s="10" t="s">
        <v>12688</v>
      </c>
      <c r="K2264" s="5" t="s">
        <v>406</v>
      </c>
      <c r="L2264" s="5" t="s">
        <v>12689</v>
      </c>
      <c r="M2264" s="5" t="s">
        <v>45</v>
      </c>
      <c r="N2264" s="5" t="s">
        <v>80</v>
      </c>
      <c r="O2264" s="5" t="s">
        <v>46</v>
      </c>
      <c r="P2264" s="10" t="s">
        <v>146</v>
      </c>
      <c r="Q2264" s="10" t="s">
        <v>12690</v>
      </c>
      <c r="R2264" s="10" t="s">
        <v>12690</v>
      </c>
      <c r="S2264" s="5">
        <v>0</v>
      </c>
      <c r="T2264" s="37">
        <v>0</v>
      </c>
      <c r="U2264" s="5">
        <v>0</v>
      </c>
      <c r="V2264" s="37">
        <v>0</v>
      </c>
      <c r="W2264" s="5">
        <v>0</v>
      </c>
      <c r="X2264" s="5">
        <v>0</v>
      </c>
      <c r="Y2264" s="5">
        <v>0</v>
      </c>
      <c r="Z2264" s="37">
        <v>0</v>
      </c>
      <c r="AA2264" s="5">
        <v>0</v>
      </c>
      <c r="AB2264" s="5">
        <v>0</v>
      </c>
      <c r="AC2264" s="5">
        <v>0</v>
      </c>
      <c r="AD2264" s="5">
        <v>0</v>
      </c>
      <c r="AE2264" s="10" t="s">
        <v>375</v>
      </c>
      <c r="AF2264" s="10"/>
      <c r="AG2264" s="10" t="s">
        <v>64</v>
      </c>
      <c r="AH2264" s="10">
        <v>42612</v>
      </c>
      <c r="AI2264" s="5">
        <v>1</v>
      </c>
      <c r="AJ2264" s="10" t="s">
        <v>12691</v>
      </c>
      <c r="AK2264" s="10" t="s">
        <v>12692</v>
      </c>
    </row>
    <row r="2265" spans="1:37" ht="36.75" customHeight="1" x14ac:dyDescent="0.35">
      <c r="A2265" s="5"/>
      <c r="B2265" s="5" t="s">
        <v>37</v>
      </c>
      <c r="C2265" s="73" t="str">
        <f t="shared" si="35"/>
        <v>Closed</v>
      </c>
      <c r="D2265" s="45" t="s">
        <v>12693</v>
      </c>
      <c r="E2265" s="54" t="s">
        <v>12694</v>
      </c>
      <c r="F2265" s="5" t="s">
        <v>404</v>
      </c>
      <c r="G2265" s="10">
        <f>DATE(2016,8,30)</f>
        <v>42612</v>
      </c>
      <c r="H2265" s="35">
        <v>1.3055555555555556</v>
      </c>
      <c r="I2265" s="5" t="s">
        <v>55</v>
      </c>
      <c r="J2265" s="10" t="s">
        <v>12695</v>
      </c>
      <c r="K2265" s="5" t="s">
        <v>406</v>
      </c>
      <c r="L2265" s="5" t="s">
        <v>12696</v>
      </c>
      <c r="M2265" s="5" t="s">
        <v>45</v>
      </c>
      <c r="N2265" s="5" t="s">
        <v>123</v>
      </c>
      <c r="O2265" s="5" t="s">
        <v>59</v>
      </c>
      <c r="P2265" s="10" t="s">
        <v>60</v>
      </c>
      <c r="Q2265" s="10" t="s">
        <v>2562</v>
      </c>
      <c r="R2265" s="10" t="s">
        <v>3083</v>
      </c>
      <c r="S2265" s="5">
        <v>0</v>
      </c>
      <c r="T2265" s="37">
        <v>0</v>
      </c>
      <c r="U2265" s="5">
        <v>0</v>
      </c>
      <c r="V2265" s="37">
        <v>0</v>
      </c>
      <c r="W2265" s="5">
        <v>0</v>
      </c>
      <c r="X2265" s="5">
        <v>0</v>
      </c>
      <c r="Y2265" s="5">
        <v>0</v>
      </c>
      <c r="Z2265" s="37">
        <v>0</v>
      </c>
      <c r="AA2265" s="5">
        <v>0</v>
      </c>
      <c r="AB2265" s="5">
        <v>0</v>
      </c>
      <c r="AC2265" s="5">
        <v>0</v>
      </c>
      <c r="AD2265" s="5">
        <v>0</v>
      </c>
      <c r="AE2265" s="10" t="s">
        <v>73</v>
      </c>
      <c r="AF2265" s="10"/>
      <c r="AG2265" s="10" t="s">
        <v>333</v>
      </c>
      <c r="AH2265" s="10">
        <v>42612</v>
      </c>
      <c r="AI2265" s="5">
        <v>1</v>
      </c>
      <c r="AJ2265" s="10" t="s">
        <v>12697</v>
      </c>
      <c r="AK2265" s="10" t="s">
        <v>12698</v>
      </c>
    </row>
    <row r="2266" spans="1:37" ht="36.75" customHeight="1" x14ac:dyDescent="0.35">
      <c r="A2266" s="5"/>
      <c r="B2266" s="5" t="s">
        <v>37</v>
      </c>
      <c r="C2266" s="73" t="str">
        <f t="shared" si="35"/>
        <v>Closed</v>
      </c>
      <c r="D2266" s="45" t="s">
        <v>12699</v>
      </c>
      <c r="E2266" s="54" t="s">
        <v>12700</v>
      </c>
      <c r="F2266" s="5" t="s">
        <v>816</v>
      </c>
      <c r="G2266" s="10">
        <f>DATE(2016,8,30)</f>
        <v>42612</v>
      </c>
      <c r="H2266" s="35">
        <v>1.7444444444444445</v>
      </c>
      <c r="I2266" s="5" t="s">
        <v>55</v>
      </c>
      <c r="J2266" s="10" t="s">
        <v>12701</v>
      </c>
      <c r="K2266" s="5" t="s">
        <v>818</v>
      </c>
      <c r="L2266" s="5" t="s">
        <v>12702</v>
      </c>
      <c r="M2266" s="5" t="s">
        <v>236</v>
      </c>
      <c r="N2266" s="5" t="s">
        <v>123</v>
      </c>
      <c r="O2266" s="5" t="s">
        <v>59</v>
      </c>
      <c r="P2266" s="10" t="s">
        <v>6531</v>
      </c>
      <c r="Q2266" s="10" t="s">
        <v>4190</v>
      </c>
      <c r="R2266" s="10" t="s">
        <v>4190</v>
      </c>
      <c r="S2266" s="5">
        <v>0</v>
      </c>
      <c r="T2266" s="37">
        <v>0</v>
      </c>
      <c r="U2266" s="5">
        <v>0</v>
      </c>
      <c r="V2266" s="37">
        <v>0</v>
      </c>
      <c r="W2266" s="5">
        <v>0</v>
      </c>
      <c r="X2266" s="5">
        <v>0</v>
      </c>
      <c r="Y2266" s="5">
        <v>0</v>
      </c>
      <c r="Z2266" s="37">
        <v>0</v>
      </c>
      <c r="AA2266" s="5">
        <v>0</v>
      </c>
      <c r="AB2266" s="5">
        <v>0</v>
      </c>
      <c r="AC2266" s="5">
        <v>0</v>
      </c>
      <c r="AD2266" s="5">
        <v>0</v>
      </c>
      <c r="AE2266" s="10" t="s">
        <v>73</v>
      </c>
      <c r="AF2266" s="10"/>
      <c r="AG2266" s="10" t="s">
        <v>114</v>
      </c>
      <c r="AH2266" s="10">
        <v>42612</v>
      </c>
      <c r="AI2266" s="5">
        <v>0</v>
      </c>
      <c r="AJ2266" s="10" t="s">
        <v>11857</v>
      </c>
      <c r="AK2266" s="10" t="s">
        <v>50</v>
      </c>
    </row>
    <row r="2267" spans="1:37" ht="36.75" customHeight="1" x14ac:dyDescent="0.35">
      <c r="A2267" s="5"/>
      <c r="B2267" s="5" t="s">
        <v>37</v>
      </c>
      <c r="C2267" s="73" t="str">
        <f t="shared" si="35"/>
        <v>Closed</v>
      </c>
      <c r="D2267" s="45" t="s">
        <v>12703</v>
      </c>
      <c r="E2267" s="54" t="s">
        <v>12704</v>
      </c>
      <c r="F2267" s="5" t="s">
        <v>105</v>
      </c>
      <c r="G2267" s="10">
        <f>DATE(2016,9,2)</f>
        <v>42615</v>
      </c>
      <c r="H2267" s="35">
        <v>0</v>
      </c>
      <c r="I2267" s="5" t="s">
        <v>55</v>
      </c>
      <c r="J2267" s="10" t="s">
        <v>12705</v>
      </c>
      <c r="K2267" s="5" t="s">
        <v>108</v>
      </c>
      <c r="L2267" s="5" t="s">
        <v>12706</v>
      </c>
      <c r="M2267" s="5" t="s">
        <v>110</v>
      </c>
      <c r="N2267" s="5" t="s">
        <v>123</v>
      </c>
      <c r="O2267" s="5" t="s">
        <v>59</v>
      </c>
      <c r="P2267" s="10" t="s">
        <v>110</v>
      </c>
      <c r="Q2267" s="10" t="s">
        <v>10097</v>
      </c>
      <c r="R2267" s="10" t="s">
        <v>112</v>
      </c>
      <c r="S2267" s="5">
        <v>0</v>
      </c>
      <c r="T2267" s="37">
        <v>0</v>
      </c>
      <c r="U2267" s="5">
        <v>0</v>
      </c>
      <c r="V2267" s="37">
        <v>0</v>
      </c>
      <c r="W2267" s="5">
        <v>0</v>
      </c>
      <c r="X2267" s="5">
        <v>0</v>
      </c>
      <c r="Y2267" s="5">
        <v>0</v>
      </c>
      <c r="Z2267" s="37">
        <v>0</v>
      </c>
      <c r="AA2267" s="5">
        <v>0</v>
      </c>
      <c r="AB2267" s="5">
        <v>0</v>
      </c>
      <c r="AC2267" s="5">
        <v>0</v>
      </c>
      <c r="AD2267" s="5">
        <v>0</v>
      </c>
      <c r="AE2267" s="10" t="s">
        <v>73</v>
      </c>
      <c r="AF2267" s="10"/>
      <c r="AG2267" s="10" t="s">
        <v>51</v>
      </c>
      <c r="AH2267" s="10">
        <v>42622</v>
      </c>
      <c r="AI2267" s="5">
        <v>0</v>
      </c>
      <c r="AJ2267" s="10" t="s">
        <v>12707</v>
      </c>
      <c r="AK2267" s="10" t="s">
        <v>12708</v>
      </c>
    </row>
    <row r="2268" spans="1:37" ht="36.75" customHeight="1" x14ac:dyDescent="0.35">
      <c r="A2268" s="5"/>
      <c r="B2268" s="5" t="s">
        <v>37</v>
      </c>
      <c r="C2268" s="73" t="str">
        <f t="shared" si="35"/>
        <v>Closed</v>
      </c>
      <c r="D2268" s="45" t="s">
        <v>12709</v>
      </c>
      <c r="E2268" s="54" t="s">
        <v>12710</v>
      </c>
      <c r="F2268" s="5" t="s">
        <v>1553</v>
      </c>
      <c r="G2268" s="10">
        <f>DATE(2016,9,2)</f>
        <v>42615</v>
      </c>
      <c r="H2268" s="35">
        <v>1.3902777777777777</v>
      </c>
      <c r="I2268" s="5" t="s">
        <v>55</v>
      </c>
      <c r="J2268" s="10" t="s">
        <v>12711</v>
      </c>
      <c r="K2268" s="5" t="s">
        <v>1555</v>
      </c>
      <c r="L2268" s="5" t="s">
        <v>12712</v>
      </c>
      <c r="M2268" s="5" t="s">
        <v>45</v>
      </c>
      <c r="N2268" s="5" t="s">
        <v>123</v>
      </c>
      <c r="O2268" s="5" t="s">
        <v>59</v>
      </c>
      <c r="P2268" s="10" t="s">
        <v>60</v>
      </c>
      <c r="Q2268" s="10" t="s">
        <v>2635</v>
      </c>
      <c r="R2268" s="10" t="s">
        <v>6413</v>
      </c>
      <c r="S2268" s="5">
        <v>0</v>
      </c>
      <c r="T2268" s="37">
        <v>0</v>
      </c>
      <c r="U2268" s="5">
        <v>0</v>
      </c>
      <c r="V2268" s="37">
        <v>0</v>
      </c>
      <c r="W2268" s="5">
        <v>0</v>
      </c>
      <c r="X2268" s="5">
        <v>0</v>
      </c>
      <c r="Y2268" s="5">
        <v>0</v>
      </c>
      <c r="Z2268" s="37">
        <v>0</v>
      </c>
      <c r="AA2268" s="5">
        <v>0</v>
      </c>
      <c r="AB2268" s="5">
        <v>0</v>
      </c>
      <c r="AC2268" s="5">
        <v>0</v>
      </c>
      <c r="AD2268" s="5">
        <v>0</v>
      </c>
      <c r="AE2268" s="10" t="s">
        <v>73</v>
      </c>
      <c r="AF2268" s="10"/>
      <c r="AG2268" s="10" t="s">
        <v>114</v>
      </c>
      <c r="AH2268" s="10">
        <v>42618</v>
      </c>
      <c r="AI2268" s="5">
        <v>0</v>
      </c>
      <c r="AJ2268" s="10" t="s">
        <v>12713</v>
      </c>
      <c r="AK2268" s="10" t="s">
        <v>12714</v>
      </c>
    </row>
    <row r="2269" spans="1:37" ht="36.75" customHeight="1" x14ac:dyDescent="0.35">
      <c r="A2269" s="5"/>
      <c r="B2269" s="5" t="s">
        <v>37</v>
      </c>
      <c r="C2269" s="73" t="str">
        <f t="shared" si="35"/>
        <v>Closed</v>
      </c>
      <c r="D2269" s="45" t="s">
        <v>12715</v>
      </c>
      <c r="E2269" s="54" t="s">
        <v>12716</v>
      </c>
      <c r="F2269" s="5" t="s">
        <v>2581</v>
      </c>
      <c r="G2269" s="10">
        <f>DATE(2016,9,3)</f>
        <v>42616</v>
      </c>
      <c r="H2269" s="35">
        <v>1.2708333333333333</v>
      </c>
      <c r="I2269" s="5" t="s">
        <v>55</v>
      </c>
      <c r="J2269" s="10" t="s">
        <v>12717</v>
      </c>
      <c r="K2269" s="5" t="s">
        <v>2583</v>
      </c>
      <c r="L2269" s="5" t="s">
        <v>12718</v>
      </c>
      <c r="M2269" s="5" t="s">
        <v>45</v>
      </c>
      <c r="N2269" s="5" t="s">
        <v>80</v>
      </c>
      <c r="O2269" s="5" t="s">
        <v>46</v>
      </c>
      <c r="P2269" s="10" t="s">
        <v>60</v>
      </c>
      <c r="Q2269" s="10" t="s">
        <v>4793</v>
      </c>
      <c r="R2269" s="10" t="s">
        <v>2586</v>
      </c>
      <c r="S2269" s="5">
        <v>0</v>
      </c>
      <c r="T2269" s="37">
        <v>0</v>
      </c>
      <c r="U2269" s="5">
        <v>0</v>
      </c>
      <c r="V2269" s="37">
        <v>0</v>
      </c>
      <c r="W2269" s="5">
        <v>0</v>
      </c>
      <c r="X2269" s="5">
        <v>0</v>
      </c>
      <c r="Y2269" s="5">
        <v>0</v>
      </c>
      <c r="Z2269" s="37">
        <v>0</v>
      </c>
      <c r="AA2269" s="5">
        <v>0</v>
      </c>
      <c r="AB2269" s="5">
        <v>0</v>
      </c>
      <c r="AC2269" s="5">
        <v>0</v>
      </c>
      <c r="AD2269" s="5">
        <v>0</v>
      </c>
      <c r="AE2269" s="10" t="s">
        <v>375</v>
      </c>
      <c r="AF2269" s="10"/>
      <c r="AG2269" s="10" t="s">
        <v>114</v>
      </c>
      <c r="AH2269" s="10">
        <v>42618</v>
      </c>
      <c r="AI2269" s="5">
        <v>4</v>
      </c>
      <c r="AJ2269" s="10" t="s">
        <v>12719</v>
      </c>
      <c r="AK2269" s="10" t="s">
        <v>50</v>
      </c>
    </row>
    <row r="2270" spans="1:37" ht="36.75" customHeight="1" x14ac:dyDescent="0.35">
      <c r="A2270" s="5"/>
      <c r="B2270" s="5" t="s">
        <v>37</v>
      </c>
      <c r="C2270" s="73" t="str">
        <f t="shared" si="35"/>
        <v>Closed</v>
      </c>
      <c r="D2270" s="45" t="s">
        <v>12720</v>
      </c>
      <c r="E2270" s="54" t="s">
        <v>12721</v>
      </c>
      <c r="F2270" s="5" t="s">
        <v>816</v>
      </c>
      <c r="G2270" s="10">
        <f>DATE(2016,9,3)</f>
        <v>42616</v>
      </c>
      <c r="H2270" s="35">
        <v>1.3993055555555556</v>
      </c>
      <c r="I2270" s="5" t="s">
        <v>259</v>
      </c>
      <c r="J2270" s="10" t="s">
        <v>12722</v>
      </c>
      <c r="K2270" s="5" t="s">
        <v>818</v>
      </c>
      <c r="L2270" s="5" t="s">
        <v>12723</v>
      </c>
      <c r="M2270" s="5" t="s">
        <v>45</v>
      </c>
      <c r="N2270" s="5" t="s">
        <v>70</v>
      </c>
      <c r="O2270" s="5" t="s">
        <v>59</v>
      </c>
      <c r="P2270" s="10" t="s">
        <v>146</v>
      </c>
      <c r="Q2270" s="10" t="s">
        <v>2142</v>
      </c>
      <c r="R2270" s="10" t="s">
        <v>821</v>
      </c>
      <c r="S2270" s="5">
        <v>0</v>
      </c>
      <c r="T2270" s="37">
        <v>0</v>
      </c>
      <c r="U2270" s="5">
        <v>0</v>
      </c>
      <c r="V2270" s="37">
        <v>0</v>
      </c>
      <c r="W2270" s="5">
        <v>0</v>
      </c>
      <c r="X2270" s="5">
        <v>0</v>
      </c>
      <c r="Y2270" s="5">
        <v>0</v>
      </c>
      <c r="Z2270" s="37">
        <v>0</v>
      </c>
      <c r="AA2270" s="5">
        <v>0</v>
      </c>
      <c r="AB2270" s="5">
        <v>0</v>
      </c>
      <c r="AC2270" s="5">
        <v>0</v>
      </c>
      <c r="AD2270" s="5">
        <v>0</v>
      </c>
      <c r="AE2270" s="10" t="s">
        <v>73</v>
      </c>
      <c r="AF2270" s="10"/>
      <c r="AG2270" s="10" t="s">
        <v>333</v>
      </c>
      <c r="AH2270" s="10">
        <v>42618</v>
      </c>
      <c r="AI2270" s="5">
        <v>1</v>
      </c>
      <c r="AJ2270" s="10" t="s">
        <v>12724</v>
      </c>
      <c r="AK2270" s="10" t="s">
        <v>1215</v>
      </c>
    </row>
    <row r="2271" spans="1:37" ht="36.75" customHeight="1" x14ac:dyDescent="0.35">
      <c r="A2271" s="5"/>
      <c r="B2271" s="5" t="s">
        <v>37</v>
      </c>
      <c r="C2271" s="73" t="str">
        <f t="shared" si="35"/>
        <v>Closed</v>
      </c>
      <c r="D2271" s="45" t="s">
        <v>12725</v>
      </c>
      <c r="E2271" s="54" t="s">
        <v>12726</v>
      </c>
      <c r="F2271" s="5" t="s">
        <v>9767</v>
      </c>
      <c r="G2271" s="10">
        <f>DATE(2016,9,5)</f>
        <v>42618</v>
      </c>
      <c r="H2271" s="35">
        <v>1.3534722222222222</v>
      </c>
      <c r="I2271" s="5" t="s">
        <v>179</v>
      </c>
      <c r="J2271" s="10" t="s">
        <v>12727</v>
      </c>
      <c r="K2271" s="5" t="s">
        <v>9769</v>
      </c>
      <c r="L2271" s="5" t="s">
        <v>12728</v>
      </c>
      <c r="M2271" s="5" t="s">
        <v>45</v>
      </c>
      <c r="N2271" s="5" t="s">
        <v>80</v>
      </c>
      <c r="O2271" s="5" t="s">
        <v>67</v>
      </c>
      <c r="P2271" s="10" t="s">
        <v>282</v>
      </c>
      <c r="Q2271" s="10" t="s">
        <v>9816</v>
      </c>
      <c r="R2271" s="10" t="s">
        <v>9772</v>
      </c>
      <c r="S2271" s="5">
        <v>0</v>
      </c>
      <c r="T2271" s="37">
        <v>0</v>
      </c>
      <c r="U2271" s="5">
        <v>0</v>
      </c>
      <c r="V2271" s="37">
        <v>0</v>
      </c>
      <c r="W2271" s="5">
        <v>0</v>
      </c>
      <c r="X2271" s="5">
        <v>0</v>
      </c>
      <c r="Y2271" s="5">
        <v>0</v>
      </c>
      <c r="Z2271" s="37">
        <v>0</v>
      </c>
      <c r="AA2271" s="5">
        <v>0</v>
      </c>
      <c r="AB2271" s="5">
        <v>0</v>
      </c>
      <c r="AC2271" s="5">
        <v>0</v>
      </c>
      <c r="AD2271" s="5">
        <v>0</v>
      </c>
      <c r="AE2271" s="10" t="s">
        <v>73</v>
      </c>
      <c r="AF2271" s="10"/>
      <c r="AG2271" s="10" t="s">
        <v>11008</v>
      </c>
      <c r="AH2271" s="10">
        <v>42619</v>
      </c>
      <c r="AI2271" s="5">
        <v>1</v>
      </c>
      <c r="AJ2271" s="10" t="s">
        <v>12729</v>
      </c>
      <c r="AK2271" s="10" t="s">
        <v>12730</v>
      </c>
    </row>
    <row r="2272" spans="1:37" ht="36.75" customHeight="1" x14ac:dyDescent="0.35">
      <c r="A2272" s="5"/>
      <c r="B2272" s="5" t="s">
        <v>37</v>
      </c>
      <c r="C2272" s="73" t="str">
        <f t="shared" si="35"/>
        <v>Closed</v>
      </c>
      <c r="D2272" s="45" t="s">
        <v>12731</v>
      </c>
      <c r="E2272" s="54" t="s">
        <v>12732</v>
      </c>
      <c r="F2272" s="5" t="s">
        <v>816</v>
      </c>
      <c r="G2272" s="10">
        <f>DATE(2016,9,8)</f>
        <v>42621</v>
      </c>
      <c r="H2272" s="35">
        <v>1.3875</v>
      </c>
      <c r="I2272" s="5" t="s">
        <v>55</v>
      </c>
      <c r="J2272" s="10" t="s">
        <v>12733</v>
      </c>
      <c r="K2272" s="5" t="s">
        <v>818</v>
      </c>
      <c r="L2272" s="5" t="s">
        <v>12734</v>
      </c>
      <c r="M2272" s="5" t="s">
        <v>236</v>
      </c>
      <c r="N2272" s="5" t="s">
        <v>80</v>
      </c>
      <c r="O2272" s="5" t="s">
        <v>59</v>
      </c>
      <c r="P2272" s="10" t="s">
        <v>6531</v>
      </c>
      <c r="Q2272" s="10" t="s">
        <v>4190</v>
      </c>
      <c r="R2272" s="10" t="s">
        <v>4190</v>
      </c>
      <c r="S2272" s="5">
        <v>0</v>
      </c>
      <c r="T2272" s="37">
        <v>0</v>
      </c>
      <c r="U2272" s="5">
        <v>0</v>
      </c>
      <c r="V2272" s="37">
        <v>0</v>
      </c>
      <c r="W2272" s="5">
        <v>0</v>
      </c>
      <c r="X2272" s="5">
        <v>0</v>
      </c>
      <c r="Y2272" s="5">
        <v>0</v>
      </c>
      <c r="Z2272" s="37">
        <v>0</v>
      </c>
      <c r="AA2272" s="5">
        <v>0</v>
      </c>
      <c r="AB2272" s="5">
        <v>0</v>
      </c>
      <c r="AC2272" s="5">
        <v>0</v>
      </c>
      <c r="AD2272" s="5">
        <v>0</v>
      </c>
      <c r="AE2272" s="10" t="s">
        <v>73</v>
      </c>
      <c r="AF2272" s="10"/>
      <c r="AG2272" s="10" t="s">
        <v>114</v>
      </c>
      <c r="AH2272" s="10">
        <v>42621</v>
      </c>
      <c r="AI2272" s="5">
        <v>0</v>
      </c>
      <c r="AJ2272" s="10" t="s">
        <v>12735</v>
      </c>
      <c r="AK2272" s="10" t="s">
        <v>50</v>
      </c>
    </row>
    <row r="2273" spans="1:37" ht="36.75" customHeight="1" x14ac:dyDescent="0.35">
      <c r="A2273" s="5"/>
      <c r="B2273" s="5" t="s">
        <v>37</v>
      </c>
      <c r="C2273" s="73" t="str">
        <f t="shared" si="35"/>
        <v>Closed</v>
      </c>
      <c r="D2273" s="45" t="s">
        <v>12736</v>
      </c>
      <c r="E2273" s="54" t="s">
        <v>12737</v>
      </c>
      <c r="F2273" s="5" t="s">
        <v>619</v>
      </c>
      <c r="G2273" s="10">
        <f>DATE(2016,9,9)</f>
        <v>42622</v>
      </c>
      <c r="H2273" s="35">
        <v>1.3923611111111112</v>
      </c>
      <c r="I2273" s="5" t="s">
        <v>55</v>
      </c>
      <c r="J2273" s="10" t="s">
        <v>12738</v>
      </c>
      <c r="K2273" s="5" t="s">
        <v>621</v>
      </c>
      <c r="L2273" s="5" t="s">
        <v>12739</v>
      </c>
      <c r="M2273" s="5" t="s">
        <v>45</v>
      </c>
      <c r="N2273" s="5" t="s">
        <v>80</v>
      </c>
      <c r="O2273" s="5" t="s">
        <v>59</v>
      </c>
      <c r="P2273" s="10" t="s">
        <v>146</v>
      </c>
      <c r="Q2273" s="10" t="s">
        <v>1167</v>
      </c>
      <c r="R2273" s="10" t="s">
        <v>624</v>
      </c>
      <c r="S2273" s="5">
        <v>2</v>
      </c>
      <c r="T2273" s="37">
        <v>2</v>
      </c>
      <c r="U2273" s="5">
        <v>0</v>
      </c>
      <c r="V2273" s="37">
        <v>0</v>
      </c>
      <c r="W2273" s="5">
        <v>0</v>
      </c>
      <c r="X2273" s="5">
        <v>4</v>
      </c>
      <c r="Y2273" s="5">
        <v>13</v>
      </c>
      <c r="Z2273" s="37">
        <v>0</v>
      </c>
      <c r="AA2273" s="5">
        <v>0</v>
      </c>
      <c r="AB2273" s="5">
        <v>0</v>
      </c>
      <c r="AC2273" s="5">
        <v>0</v>
      </c>
      <c r="AD2273" s="5">
        <v>13</v>
      </c>
      <c r="AE2273" s="10" t="s">
        <v>73</v>
      </c>
      <c r="AF2273" s="10"/>
      <c r="AG2273" s="10" t="s">
        <v>64</v>
      </c>
      <c r="AH2273" s="10">
        <v>42622</v>
      </c>
      <c r="AI2273" s="5">
        <v>6</v>
      </c>
      <c r="AJ2273" s="10" t="s">
        <v>12740</v>
      </c>
      <c r="AK2273" s="10" t="s">
        <v>12741</v>
      </c>
    </row>
    <row r="2274" spans="1:37" ht="36.75" customHeight="1" x14ac:dyDescent="0.35">
      <c r="A2274" s="5"/>
      <c r="B2274" s="5" t="s">
        <v>37</v>
      </c>
      <c r="C2274" s="73" t="str">
        <f t="shared" si="35"/>
        <v>Closed</v>
      </c>
      <c r="D2274" s="45" t="s">
        <v>12742</v>
      </c>
      <c r="E2274" s="54" t="s">
        <v>12743</v>
      </c>
      <c r="F2274" s="5" t="s">
        <v>404</v>
      </c>
      <c r="G2274" s="10">
        <f>DATE(2016,9,13)</f>
        <v>42626</v>
      </c>
      <c r="H2274" s="35">
        <v>1.5506944444444444</v>
      </c>
      <c r="I2274" s="5" t="s">
        <v>97</v>
      </c>
      <c r="J2274" s="10" t="s">
        <v>12744</v>
      </c>
      <c r="K2274" s="5" t="s">
        <v>406</v>
      </c>
      <c r="L2274" s="5" t="s">
        <v>12745</v>
      </c>
      <c r="M2274" s="5" t="s">
        <v>45</v>
      </c>
      <c r="N2274" s="5" t="s">
        <v>80</v>
      </c>
      <c r="O2274" s="5" t="s">
        <v>46</v>
      </c>
      <c r="P2274" s="10" t="s">
        <v>146</v>
      </c>
      <c r="Q2274" s="10" t="s">
        <v>4531</v>
      </c>
      <c r="R2274" s="10" t="s">
        <v>3083</v>
      </c>
      <c r="S2274" s="5">
        <v>0</v>
      </c>
      <c r="T2274" s="37">
        <v>0</v>
      </c>
      <c r="U2274" s="5">
        <v>1</v>
      </c>
      <c r="V2274" s="37">
        <v>0</v>
      </c>
      <c r="W2274" s="5">
        <v>0</v>
      </c>
      <c r="X2274" s="5">
        <v>1</v>
      </c>
      <c r="Y2274" s="5">
        <v>0</v>
      </c>
      <c r="Z2274" s="37">
        <v>0</v>
      </c>
      <c r="AA2274" s="5">
        <v>0</v>
      </c>
      <c r="AB2274" s="5">
        <v>0</v>
      </c>
      <c r="AC2274" s="5">
        <v>0</v>
      </c>
      <c r="AD2274" s="5">
        <v>0</v>
      </c>
      <c r="AE2274" s="10" t="s">
        <v>375</v>
      </c>
      <c r="AF2274" s="10"/>
      <c r="AG2274" s="10" t="s">
        <v>570</v>
      </c>
      <c r="AH2274" s="10">
        <v>42626</v>
      </c>
      <c r="AI2274" s="5">
        <v>3</v>
      </c>
      <c r="AJ2274" s="10" t="s">
        <v>12746</v>
      </c>
      <c r="AK2274" s="10" t="s">
        <v>12747</v>
      </c>
    </row>
    <row r="2275" spans="1:37" ht="36.75" customHeight="1" x14ac:dyDescent="0.35">
      <c r="A2275" s="5"/>
      <c r="B2275" s="5" t="s">
        <v>37</v>
      </c>
      <c r="C2275" s="73" t="str">
        <f t="shared" si="35"/>
        <v>Closed</v>
      </c>
      <c r="D2275" s="45" t="s">
        <v>12748</v>
      </c>
      <c r="E2275" s="54" t="s">
        <v>12749</v>
      </c>
      <c r="F2275" s="5" t="s">
        <v>2581</v>
      </c>
      <c r="G2275" s="10">
        <f>DATE(2016,9,14)</f>
        <v>42627</v>
      </c>
      <c r="H2275" s="35">
        <v>1.625</v>
      </c>
      <c r="I2275" s="5" t="s">
        <v>106</v>
      </c>
      <c r="J2275" s="10" t="s">
        <v>12750</v>
      </c>
      <c r="K2275" s="5" t="s">
        <v>2583</v>
      </c>
      <c r="L2275" s="5" t="s">
        <v>12751</v>
      </c>
      <c r="M2275" s="5" t="s">
        <v>45</v>
      </c>
      <c r="N2275" s="5" t="s">
        <v>123</v>
      </c>
      <c r="O2275" s="5" t="s">
        <v>46</v>
      </c>
      <c r="P2275" s="10" t="s">
        <v>146</v>
      </c>
      <c r="Q2275" s="10" t="s">
        <v>6321</v>
      </c>
      <c r="R2275" s="10" t="s">
        <v>2586</v>
      </c>
      <c r="S2275" s="5">
        <v>0</v>
      </c>
      <c r="T2275" s="37">
        <v>0</v>
      </c>
      <c r="U2275" s="5">
        <v>0</v>
      </c>
      <c r="V2275" s="37">
        <v>0</v>
      </c>
      <c r="W2275" s="5">
        <v>0</v>
      </c>
      <c r="X2275" s="5">
        <v>0</v>
      </c>
      <c r="Y2275" s="5">
        <v>0</v>
      </c>
      <c r="Z2275" s="37">
        <v>0</v>
      </c>
      <c r="AA2275" s="5">
        <v>0</v>
      </c>
      <c r="AB2275" s="5">
        <v>0</v>
      </c>
      <c r="AC2275" s="5">
        <v>0</v>
      </c>
      <c r="AD2275" s="5">
        <v>0</v>
      </c>
      <c r="AE2275" s="10" t="s">
        <v>73</v>
      </c>
      <c r="AF2275" s="10"/>
      <c r="AG2275" s="10" t="s">
        <v>114</v>
      </c>
      <c r="AH2275" s="10">
        <v>42628</v>
      </c>
      <c r="AI2275" s="5">
        <v>2</v>
      </c>
      <c r="AJ2275" s="10" t="s">
        <v>12752</v>
      </c>
      <c r="AK2275" s="10" t="s">
        <v>12753</v>
      </c>
    </row>
    <row r="2276" spans="1:37" ht="36.75" customHeight="1" x14ac:dyDescent="0.35">
      <c r="A2276" s="5"/>
      <c r="B2276" s="5" t="s">
        <v>37</v>
      </c>
      <c r="C2276" s="73" t="str">
        <f t="shared" si="35"/>
        <v>Closed</v>
      </c>
      <c r="D2276" s="45" t="s">
        <v>12754</v>
      </c>
      <c r="E2276" s="54" t="s">
        <v>12755</v>
      </c>
      <c r="F2276" s="5" t="s">
        <v>214</v>
      </c>
      <c r="G2276" s="10">
        <f>DATE(2016,9,16)</f>
        <v>42629</v>
      </c>
      <c r="H2276" s="35">
        <v>1.2923611111111111</v>
      </c>
      <c r="I2276" s="5" t="s">
        <v>9397</v>
      </c>
      <c r="J2276" s="10" t="s">
        <v>12756</v>
      </c>
      <c r="K2276" s="5" t="s">
        <v>216</v>
      </c>
      <c r="L2276" s="5" t="s">
        <v>12757</v>
      </c>
      <c r="M2276" s="5" t="s">
        <v>45</v>
      </c>
      <c r="N2276" s="5" t="s">
        <v>123</v>
      </c>
      <c r="O2276" s="5" t="s">
        <v>46</v>
      </c>
      <c r="P2276" s="10" t="s">
        <v>6881</v>
      </c>
      <c r="Q2276" s="10" t="s">
        <v>10436</v>
      </c>
      <c r="R2276" s="10" t="s">
        <v>216</v>
      </c>
      <c r="S2276" s="5">
        <v>0</v>
      </c>
      <c r="T2276" s="37">
        <v>0</v>
      </c>
      <c r="U2276" s="5">
        <v>0</v>
      </c>
      <c r="V2276" s="37">
        <v>0</v>
      </c>
      <c r="W2276" s="5">
        <v>0</v>
      </c>
      <c r="X2276" s="5">
        <v>0</v>
      </c>
      <c r="Y2276" s="5">
        <v>0</v>
      </c>
      <c r="Z2276" s="37">
        <v>0</v>
      </c>
      <c r="AA2276" s="5">
        <v>0</v>
      </c>
      <c r="AB2276" s="5">
        <v>0</v>
      </c>
      <c r="AC2276" s="5">
        <v>0</v>
      </c>
      <c r="AD2276" s="5">
        <v>0</v>
      </c>
      <c r="AE2276" s="10" t="s">
        <v>375</v>
      </c>
      <c r="AF2276" s="10"/>
      <c r="AG2276" s="10" t="s">
        <v>114</v>
      </c>
      <c r="AH2276" s="10">
        <v>42632</v>
      </c>
      <c r="AI2276" s="5">
        <v>6</v>
      </c>
      <c r="AJ2276" s="10" t="s">
        <v>12758</v>
      </c>
      <c r="AK2276" s="10" t="s">
        <v>12759</v>
      </c>
    </row>
    <row r="2277" spans="1:37" ht="36.75" customHeight="1" x14ac:dyDescent="0.35">
      <c r="A2277" s="5"/>
      <c r="B2277" s="5" t="s">
        <v>37</v>
      </c>
      <c r="C2277" s="73" t="str">
        <f t="shared" si="35"/>
        <v>Closed</v>
      </c>
      <c r="D2277" s="45" t="s">
        <v>12760</v>
      </c>
      <c r="E2277" s="54" t="s">
        <v>12761</v>
      </c>
      <c r="F2277" s="5" t="s">
        <v>816</v>
      </c>
      <c r="G2277" s="10">
        <f>DATE(2016,9,17)</f>
        <v>42630</v>
      </c>
      <c r="H2277" s="35">
        <v>1.3812500000000001</v>
      </c>
      <c r="I2277" s="5" t="s">
        <v>468</v>
      </c>
      <c r="J2277" s="10" t="s">
        <v>12762</v>
      </c>
      <c r="K2277" s="5" t="s">
        <v>818</v>
      </c>
      <c r="L2277" s="5" t="s">
        <v>12763</v>
      </c>
      <c r="M2277" s="5" t="s">
        <v>45</v>
      </c>
      <c r="N2277" s="5" t="s">
        <v>70</v>
      </c>
      <c r="O2277" s="5" t="s">
        <v>59</v>
      </c>
      <c r="P2277" s="10" t="s">
        <v>67</v>
      </c>
      <c r="Q2277" s="10" t="s">
        <v>12764</v>
      </c>
      <c r="R2277" s="10" t="s">
        <v>821</v>
      </c>
      <c r="S2277" s="5">
        <v>0</v>
      </c>
      <c r="T2277" s="37">
        <v>0</v>
      </c>
      <c r="U2277" s="5">
        <v>0</v>
      </c>
      <c r="V2277" s="37">
        <v>0</v>
      </c>
      <c r="W2277" s="5">
        <v>0</v>
      </c>
      <c r="X2277" s="5">
        <v>0</v>
      </c>
      <c r="Y2277" s="5">
        <v>0</v>
      </c>
      <c r="Z2277" s="37">
        <v>0</v>
      </c>
      <c r="AA2277" s="5">
        <v>0</v>
      </c>
      <c r="AB2277" s="5">
        <v>0</v>
      </c>
      <c r="AC2277" s="5">
        <v>0</v>
      </c>
      <c r="AD2277" s="5">
        <v>0</v>
      </c>
      <c r="AE2277" s="10" t="s">
        <v>73</v>
      </c>
      <c r="AF2277" s="10"/>
      <c r="AG2277" s="10" t="s">
        <v>333</v>
      </c>
      <c r="AH2277" s="10">
        <v>42630</v>
      </c>
      <c r="AI2277" s="5">
        <v>0</v>
      </c>
      <c r="AJ2277" s="10" t="s">
        <v>12765</v>
      </c>
      <c r="AK2277" s="10" t="s">
        <v>1215</v>
      </c>
    </row>
    <row r="2278" spans="1:37" ht="36.75" customHeight="1" x14ac:dyDescent="0.35">
      <c r="A2278" s="5"/>
      <c r="B2278" s="5" t="s">
        <v>37</v>
      </c>
      <c r="C2278" s="73" t="str">
        <f t="shared" si="35"/>
        <v>Closed</v>
      </c>
      <c r="D2278" s="45" t="s">
        <v>12766</v>
      </c>
      <c r="E2278" s="54" t="s">
        <v>12767</v>
      </c>
      <c r="F2278" s="5" t="s">
        <v>119</v>
      </c>
      <c r="G2278" s="10">
        <f>DATE(2016,9,21)</f>
        <v>42634</v>
      </c>
      <c r="H2278" s="35">
        <v>1.7270833333333333</v>
      </c>
      <c r="I2278" s="5" t="s">
        <v>179</v>
      </c>
      <c r="J2278" s="10" t="s">
        <v>12768</v>
      </c>
      <c r="K2278" s="5" t="s">
        <v>121</v>
      </c>
      <c r="L2278" s="5" t="s">
        <v>12769</v>
      </c>
      <c r="M2278" s="5" t="s">
        <v>45</v>
      </c>
      <c r="N2278" s="5" t="s">
        <v>80</v>
      </c>
      <c r="O2278" s="5" t="s">
        <v>46</v>
      </c>
      <c r="P2278" s="10" t="s">
        <v>60</v>
      </c>
      <c r="Q2278" s="10" t="s">
        <v>124</v>
      </c>
      <c r="R2278" s="10" t="s">
        <v>4913</v>
      </c>
      <c r="S2278" s="5">
        <v>0</v>
      </c>
      <c r="T2278" s="37">
        <v>0</v>
      </c>
      <c r="U2278" s="5">
        <v>0</v>
      </c>
      <c r="V2278" s="37">
        <v>0</v>
      </c>
      <c r="W2278" s="5">
        <v>0</v>
      </c>
      <c r="X2278" s="5">
        <v>0</v>
      </c>
      <c r="Y2278" s="5">
        <v>0</v>
      </c>
      <c r="Z2278" s="37">
        <v>0</v>
      </c>
      <c r="AA2278" s="5">
        <v>0</v>
      </c>
      <c r="AB2278" s="5">
        <v>0</v>
      </c>
      <c r="AC2278" s="5">
        <v>0</v>
      </c>
      <c r="AD2278" s="5">
        <v>0</v>
      </c>
      <c r="AE2278" s="10" t="s">
        <v>73</v>
      </c>
      <c r="AF2278" s="10"/>
      <c r="AG2278" s="10" t="s">
        <v>64</v>
      </c>
      <c r="AH2278" s="10">
        <v>42635</v>
      </c>
      <c r="AI2278" s="5">
        <v>3</v>
      </c>
      <c r="AJ2278" s="10" t="s">
        <v>12770</v>
      </c>
      <c r="AK2278" s="10" t="s">
        <v>12771</v>
      </c>
    </row>
    <row r="2279" spans="1:37" ht="36.75" customHeight="1" x14ac:dyDescent="0.35">
      <c r="A2279" s="5"/>
      <c r="B2279" s="5" t="s">
        <v>37</v>
      </c>
      <c r="C2279" s="73" t="str">
        <f t="shared" si="35"/>
        <v>Closed</v>
      </c>
      <c r="D2279" s="45" t="s">
        <v>12772</v>
      </c>
      <c r="E2279" s="54" t="s">
        <v>12773</v>
      </c>
      <c r="F2279" s="5" t="s">
        <v>178</v>
      </c>
      <c r="G2279" s="10">
        <f>DATE(2016,9,23)</f>
        <v>42636</v>
      </c>
      <c r="H2279" s="35">
        <v>1.5527777777777778</v>
      </c>
      <c r="I2279" s="5" t="s">
        <v>137</v>
      </c>
      <c r="J2279" s="10" t="s">
        <v>12774</v>
      </c>
      <c r="K2279" s="5" t="s">
        <v>181</v>
      </c>
      <c r="L2279" s="5" t="s">
        <v>12775</v>
      </c>
      <c r="M2279" s="5" t="s">
        <v>45</v>
      </c>
      <c r="N2279" s="5" t="s">
        <v>123</v>
      </c>
      <c r="O2279" s="5" t="s">
        <v>46</v>
      </c>
      <c r="P2279" s="10" t="s">
        <v>443</v>
      </c>
      <c r="Q2279" s="10" t="s">
        <v>183</v>
      </c>
      <c r="R2279" s="10" t="s">
        <v>184</v>
      </c>
      <c r="S2279" s="5">
        <v>0</v>
      </c>
      <c r="T2279" s="37">
        <v>0</v>
      </c>
      <c r="U2279" s="5">
        <v>0</v>
      </c>
      <c r="V2279" s="37">
        <v>0</v>
      </c>
      <c r="W2279" s="5">
        <v>0</v>
      </c>
      <c r="X2279" s="5">
        <v>0</v>
      </c>
      <c r="Y2279" s="5">
        <v>0</v>
      </c>
      <c r="Z2279" s="37">
        <v>0</v>
      </c>
      <c r="AA2279" s="5">
        <v>0</v>
      </c>
      <c r="AB2279" s="5">
        <v>0</v>
      </c>
      <c r="AC2279" s="5">
        <v>0</v>
      </c>
      <c r="AD2279" s="5">
        <v>0</v>
      </c>
      <c r="AE2279" s="10" t="s">
        <v>73</v>
      </c>
      <c r="AF2279" s="10"/>
      <c r="AG2279" s="10" t="s">
        <v>114</v>
      </c>
      <c r="AH2279" s="10">
        <v>42639</v>
      </c>
      <c r="AI2279" s="5">
        <v>5</v>
      </c>
      <c r="AJ2279" s="10" t="s">
        <v>12776</v>
      </c>
      <c r="AK2279" s="10" t="s">
        <v>1215</v>
      </c>
    </row>
    <row r="2280" spans="1:37" ht="36.75" customHeight="1" x14ac:dyDescent="0.35">
      <c r="A2280" s="5"/>
      <c r="B2280" s="5" t="s">
        <v>37</v>
      </c>
      <c r="C2280" s="73" t="str">
        <f t="shared" si="35"/>
        <v>Closed</v>
      </c>
      <c r="D2280" s="45" t="s">
        <v>12777</v>
      </c>
      <c r="E2280" s="54" t="s">
        <v>12778</v>
      </c>
      <c r="F2280" s="5" t="s">
        <v>619</v>
      </c>
      <c r="G2280" s="10">
        <f>DATE(2016,9,30)</f>
        <v>42643</v>
      </c>
      <c r="H2280" s="35">
        <v>1.9006944444444445</v>
      </c>
      <c r="I2280" s="5" t="s">
        <v>55</v>
      </c>
      <c r="J2280" s="10" t="s">
        <v>12779</v>
      </c>
      <c r="K2280" s="5" t="s">
        <v>621</v>
      </c>
      <c r="L2280" s="5" t="s">
        <v>12780</v>
      </c>
      <c r="M2280" s="5" t="s">
        <v>45</v>
      </c>
      <c r="N2280" s="5" t="s">
        <v>80</v>
      </c>
      <c r="O2280" s="5" t="s">
        <v>46</v>
      </c>
      <c r="P2280" s="10" t="s">
        <v>47</v>
      </c>
      <c r="Q2280" s="10" t="s">
        <v>1167</v>
      </c>
      <c r="R2280" s="10" t="s">
        <v>624</v>
      </c>
      <c r="S2280" s="5">
        <v>0</v>
      </c>
      <c r="T2280" s="37">
        <v>0</v>
      </c>
      <c r="U2280" s="5">
        <v>0</v>
      </c>
      <c r="V2280" s="37">
        <v>0</v>
      </c>
      <c r="W2280" s="5">
        <v>0</v>
      </c>
      <c r="X2280" s="5">
        <v>0</v>
      </c>
      <c r="Y2280" s="5">
        <v>0</v>
      </c>
      <c r="Z2280" s="37">
        <v>0</v>
      </c>
      <c r="AA2280" s="5">
        <v>0</v>
      </c>
      <c r="AB2280" s="5">
        <v>0</v>
      </c>
      <c r="AC2280" s="5">
        <v>0</v>
      </c>
      <c r="AD2280" s="5">
        <v>0</v>
      </c>
      <c r="AE2280" s="10" t="s">
        <v>73</v>
      </c>
      <c r="AF2280" s="10"/>
      <c r="AG2280" s="10" t="s">
        <v>570</v>
      </c>
      <c r="AH2280" s="10">
        <v>42668</v>
      </c>
      <c r="AI2280" s="5">
        <v>2</v>
      </c>
      <c r="AJ2280" s="10" t="s">
        <v>12781</v>
      </c>
      <c r="AK2280" s="10" t="s">
        <v>12782</v>
      </c>
    </row>
    <row r="2281" spans="1:37" ht="36.75" customHeight="1" x14ac:dyDescent="0.35">
      <c r="A2281" s="5"/>
      <c r="B2281" s="5" t="s">
        <v>37</v>
      </c>
      <c r="C2281" s="73" t="str">
        <f t="shared" si="35"/>
        <v>Closed</v>
      </c>
      <c r="D2281" s="45" t="s">
        <v>12783</v>
      </c>
      <c r="E2281" s="54" t="s">
        <v>12784</v>
      </c>
      <c r="F2281" s="5" t="s">
        <v>119</v>
      </c>
      <c r="G2281" s="10">
        <f>DATE(2016,9,30)</f>
        <v>42643</v>
      </c>
      <c r="H2281" s="35">
        <v>1.3465277777777778</v>
      </c>
      <c r="I2281" s="5" t="s">
        <v>179</v>
      </c>
      <c r="J2281" s="10" t="s">
        <v>12785</v>
      </c>
      <c r="K2281" s="5" t="s">
        <v>121</v>
      </c>
      <c r="L2281" s="5" t="s">
        <v>12786</v>
      </c>
      <c r="M2281" s="5" t="s">
        <v>45</v>
      </c>
      <c r="N2281" s="5" t="s">
        <v>80</v>
      </c>
      <c r="O2281" s="5" t="s">
        <v>46</v>
      </c>
      <c r="P2281" s="10" t="s">
        <v>5578</v>
      </c>
      <c r="Q2281" s="10" t="s">
        <v>12787</v>
      </c>
      <c r="R2281" s="10" t="s">
        <v>4913</v>
      </c>
      <c r="S2281" s="5">
        <v>0</v>
      </c>
      <c r="T2281" s="37">
        <v>0</v>
      </c>
      <c r="U2281" s="5">
        <v>0</v>
      </c>
      <c r="V2281" s="37">
        <v>0</v>
      </c>
      <c r="W2281" s="5">
        <v>0</v>
      </c>
      <c r="X2281" s="5">
        <v>0</v>
      </c>
      <c r="Y2281" s="5">
        <v>0</v>
      </c>
      <c r="Z2281" s="37">
        <v>1</v>
      </c>
      <c r="AA2281" s="5">
        <v>0</v>
      </c>
      <c r="AB2281" s="5">
        <v>0</v>
      </c>
      <c r="AC2281" s="5">
        <v>0</v>
      </c>
      <c r="AD2281" s="5">
        <v>1</v>
      </c>
      <c r="AE2281" s="10" t="s">
        <v>126</v>
      </c>
      <c r="AF2281" s="10"/>
      <c r="AG2281" s="10" t="s">
        <v>64</v>
      </c>
      <c r="AH2281" s="10">
        <v>42649</v>
      </c>
      <c r="AI2281" s="5">
        <v>1</v>
      </c>
      <c r="AJ2281" s="10" t="s">
        <v>12788</v>
      </c>
      <c r="AK2281" s="10" t="s">
        <v>12789</v>
      </c>
    </row>
    <row r="2282" spans="1:37" ht="36.75" customHeight="1" x14ac:dyDescent="0.35">
      <c r="A2282" s="5"/>
      <c r="B2282" s="5" t="s">
        <v>37</v>
      </c>
      <c r="C2282" s="73" t="str">
        <f t="shared" si="35"/>
        <v>Closed</v>
      </c>
      <c r="D2282" s="45" t="s">
        <v>12790</v>
      </c>
      <c r="E2282" s="54" t="s">
        <v>12791</v>
      </c>
      <c r="F2282" s="5" t="s">
        <v>1553</v>
      </c>
      <c r="G2282" s="10">
        <f>DATE(2016,10,2)</f>
        <v>42645</v>
      </c>
      <c r="H2282" s="35">
        <v>1.1145833333333333</v>
      </c>
      <c r="I2282" s="5" t="s">
        <v>55</v>
      </c>
      <c r="J2282" s="10" t="s">
        <v>12792</v>
      </c>
      <c r="K2282" s="5" t="s">
        <v>1555</v>
      </c>
      <c r="L2282" s="5" t="s">
        <v>12793</v>
      </c>
      <c r="M2282" s="5" t="s">
        <v>45</v>
      </c>
      <c r="N2282" s="5" t="s">
        <v>80</v>
      </c>
      <c r="O2282" s="5" t="s">
        <v>46</v>
      </c>
      <c r="P2282" s="10" t="s">
        <v>6920</v>
      </c>
      <c r="Q2282" s="10" t="s">
        <v>2393</v>
      </c>
      <c r="R2282" s="10" t="s">
        <v>6413</v>
      </c>
      <c r="S2282" s="5">
        <v>0</v>
      </c>
      <c r="T2282" s="37">
        <v>0</v>
      </c>
      <c r="U2282" s="5">
        <v>0</v>
      </c>
      <c r="V2282" s="37">
        <v>0</v>
      </c>
      <c r="W2282" s="5">
        <v>0</v>
      </c>
      <c r="X2282" s="5">
        <v>0</v>
      </c>
      <c r="Y2282" s="5">
        <v>0</v>
      </c>
      <c r="Z2282" s="37">
        <v>0</v>
      </c>
      <c r="AA2282" s="5">
        <v>0</v>
      </c>
      <c r="AB2282" s="5">
        <v>0</v>
      </c>
      <c r="AC2282" s="5">
        <v>0</v>
      </c>
      <c r="AD2282" s="5">
        <v>0</v>
      </c>
      <c r="AE2282" s="10" t="s">
        <v>73</v>
      </c>
      <c r="AF2282" s="10"/>
      <c r="AG2282" s="10" t="s">
        <v>114</v>
      </c>
      <c r="AH2282" s="10">
        <v>42646</v>
      </c>
      <c r="AI2282" s="5">
        <v>1</v>
      </c>
      <c r="AJ2282" s="10" t="s">
        <v>12794</v>
      </c>
      <c r="AK2282" s="10" t="s">
        <v>12795</v>
      </c>
    </row>
    <row r="2283" spans="1:37" ht="36.75" customHeight="1" x14ac:dyDescent="0.35">
      <c r="A2283" s="5"/>
      <c r="B2283" s="5" t="s">
        <v>37</v>
      </c>
      <c r="C2283" s="73" t="str">
        <f t="shared" si="35"/>
        <v>Closed</v>
      </c>
      <c r="D2283" s="45" t="s">
        <v>12796</v>
      </c>
      <c r="E2283" s="54" t="s">
        <v>12797</v>
      </c>
      <c r="F2283" s="5" t="s">
        <v>105</v>
      </c>
      <c r="G2283" s="10">
        <f>DATE(2016,10,3)</f>
        <v>42646</v>
      </c>
      <c r="H2283" s="35">
        <v>1.9131944444444446</v>
      </c>
      <c r="I2283" s="5" t="s">
        <v>55</v>
      </c>
      <c r="J2283" s="10" t="s">
        <v>12798</v>
      </c>
      <c r="K2283" s="5" t="s">
        <v>108</v>
      </c>
      <c r="L2283" s="5" t="s">
        <v>12799</v>
      </c>
      <c r="M2283" s="5" t="s">
        <v>45</v>
      </c>
      <c r="N2283" s="5" t="s">
        <v>80</v>
      </c>
      <c r="O2283" s="5" t="s">
        <v>46</v>
      </c>
      <c r="P2283" s="10" t="s">
        <v>146</v>
      </c>
      <c r="Q2283" s="10" t="s">
        <v>210</v>
      </c>
      <c r="R2283" s="10" t="s">
        <v>148</v>
      </c>
      <c r="S2283" s="5">
        <v>0</v>
      </c>
      <c r="T2283" s="37">
        <v>0</v>
      </c>
      <c r="U2283" s="5">
        <v>0</v>
      </c>
      <c r="V2283" s="37">
        <v>0</v>
      </c>
      <c r="W2283" s="5">
        <v>0</v>
      </c>
      <c r="X2283" s="5">
        <v>0</v>
      </c>
      <c r="Y2283" s="5">
        <v>0</v>
      </c>
      <c r="Z2283" s="37">
        <v>0</v>
      </c>
      <c r="AA2283" s="5">
        <v>0</v>
      </c>
      <c r="AB2283" s="5">
        <v>0</v>
      </c>
      <c r="AC2283" s="5">
        <v>0</v>
      </c>
      <c r="AD2283" s="5">
        <v>0</v>
      </c>
      <c r="AE2283" s="10" t="s">
        <v>375</v>
      </c>
      <c r="AF2283" s="10"/>
      <c r="AG2283" s="10" t="s">
        <v>64</v>
      </c>
      <c r="AH2283" s="10">
        <v>42656</v>
      </c>
      <c r="AI2283" s="5">
        <v>1</v>
      </c>
      <c r="AJ2283" s="10" t="s">
        <v>12800</v>
      </c>
      <c r="AK2283" s="10" t="s">
        <v>50</v>
      </c>
    </row>
    <row r="2284" spans="1:37" ht="36.75" customHeight="1" x14ac:dyDescent="0.35">
      <c r="A2284" s="5"/>
      <c r="B2284" s="5" t="s">
        <v>37</v>
      </c>
      <c r="C2284" s="73" t="str">
        <f t="shared" si="35"/>
        <v>Closed</v>
      </c>
      <c r="D2284" s="45" t="s">
        <v>12801</v>
      </c>
      <c r="E2284" s="54" t="s">
        <v>12802</v>
      </c>
      <c r="F2284" s="5" t="s">
        <v>9767</v>
      </c>
      <c r="G2284" s="10">
        <f>DATE(2016,10,5)</f>
        <v>42648</v>
      </c>
      <c r="H2284" s="35">
        <v>1.9805555555555556</v>
      </c>
      <c r="I2284" s="5" t="s">
        <v>2398</v>
      </c>
      <c r="J2284" s="10" t="s">
        <v>12803</v>
      </c>
      <c r="K2284" s="5" t="s">
        <v>9769</v>
      </c>
      <c r="L2284" s="5" t="s">
        <v>12804</v>
      </c>
      <c r="M2284" s="5" t="s">
        <v>45</v>
      </c>
      <c r="N2284" s="5" t="s">
        <v>80</v>
      </c>
      <c r="O2284" s="5" t="s">
        <v>46</v>
      </c>
      <c r="P2284" s="10" t="s">
        <v>60</v>
      </c>
      <c r="Q2284" s="10" t="s">
        <v>12805</v>
      </c>
      <c r="R2284" s="10" t="s">
        <v>9772</v>
      </c>
      <c r="S2284" s="5">
        <v>0</v>
      </c>
      <c r="T2284" s="37">
        <v>0</v>
      </c>
      <c r="U2284" s="5">
        <v>0</v>
      </c>
      <c r="V2284" s="37">
        <v>0</v>
      </c>
      <c r="W2284" s="5">
        <v>0</v>
      </c>
      <c r="X2284" s="5">
        <v>0</v>
      </c>
      <c r="Y2284" s="5">
        <v>0</v>
      </c>
      <c r="Z2284" s="37">
        <v>0</v>
      </c>
      <c r="AA2284" s="5">
        <v>0</v>
      </c>
      <c r="AB2284" s="5">
        <v>0</v>
      </c>
      <c r="AC2284" s="5">
        <v>0</v>
      </c>
      <c r="AD2284" s="5">
        <v>0</v>
      </c>
      <c r="AE2284" s="10" t="s">
        <v>73</v>
      </c>
      <c r="AF2284" s="10"/>
      <c r="AG2284" s="10" t="s">
        <v>114</v>
      </c>
      <c r="AH2284" s="10">
        <v>42685</v>
      </c>
      <c r="AI2284" s="5">
        <v>4</v>
      </c>
      <c r="AJ2284" s="10" t="s">
        <v>12806</v>
      </c>
      <c r="AK2284" s="10" t="s">
        <v>12807</v>
      </c>
    </row>
    <row r="2285" spans="1:37" ht="36.75" customHeight="1" x14ac:dyDescent="0.35">
      <c r="A2285" s="5"/>
      <c r="B2285" s="5" t="s">
        <v>37</v>
      </c>
      <c r="C2285" s="73" t="str">
        <f t="shared" si="35"/>
        <v>Closed</v>
      </c>
      <c r="D2285" s="45" t="s">
        <v>12808</v>
      </c>
      <c r="E2285" s="54" t="s">
        <v>12809</v>
      </c>
      <c r="F2285" s="5" t="s">
        <v>816</v>
      </c>
      <c r="G2285" s="10">
        <f>DATE(2016,10,5)</f>
        <v>42648</v>
      </c>
      <c r="H2285" s="35">
        <v>0</v>
      </c>
      <c r="I2285" s="5" t="s">
        <v>137</v>
      </c>
      <c r="J2285" s="10" t="s">
        <v>12810</v>
      </c>
      <c r="K2285" s="5" t="s">
        <v>818</v>
      </c>
      <c r="L2285" s="5" t="s">
        <v>12811</v>
      </c>
      <c r="M2285" s="5" t="s">
        <v>45</v>
      </c>
      <c r="N2285" s="5" t="s">
        <v>80</v>
      </c>
      <c r="O2285" s="5" t="s">
        <v>71</v>
      </c>
      <c r="P2285" s="10" t="s">
        <v>146</v>
      </c>
      <c r="Q2285" s="10" t="s">
        <v>2142</v>
      </c>
      <c r="R2285" s="10" t="s">
        <v>821</v>
      </c>
      <c r="S2285" s="5">
        <v>0</v>
      </c>
      <c r="T2285" s="37">
        <v>0</v>
      </c>
      <c r="U2285" s="5">
        <v>0</v>
      </c>
      <c r="V2285" s="37">
        <v>0</v>
      </c>
      <c r="W2285" s="5">
        <v>0</v>
      </c>
      <c r="X2285" s="5">
        <v>0</v>
      </c>
      <c r="Y2285" s="5">
        <v>0</v>
      </c>
      <c r="Z2285" s="37">
        <v>0</v>
      </c>
      <c r="AA2285" s="5">
        <v>0</v>
      </c>
      <c r="AB2285" s="5">
        <v>0</v>
      </c>
      <c r="AC2285" s="5">
        <v>0</v>
      </c>
      <c r="AD2285" s="5">
        <v>0</v>
      </c>
      <c r="AE2285" s="10" t="s">
        <v>73</v>
      </c>
      <c r="AF2285" s="10"/>
      <c r="AG2285" s="10" t="s">
        <v>333</v>
      </c>
      <c r="AH2285" s="10">
        <v>42649</v>
      </c>
      <c r="AI2285" s="5">
        <v>0</v>
      </c>
      <c r="AJ2285" s="10" t="s">
        <v>12812</v>
      </c>
      <c r="AK2285" s="10" t="s">
        <v>12813</v>
      </c>
    </row>
    <row r="2286" spans="1:37" ht="36.75" customHeight="1" x14ac:dyDescent="0.35">
      <c r="A2286" s="5"/>
      <c r="B2286" s="5" t="s">
        <v>37</v>
      </c>
      <c r="C2286" s="73" t="str">
        <f t="shared" si="35"/>
        <v>Closed</v>
      </c>
      <c r="D2286" s="45" t="s">
        <v>12814</v>
      </c>
      <c r="E2286" s="54" t="s">
        <v>12815</v>
      </c>
      <c r="F2286" s="5" t="s">
        <v>214</v>
      </c>
      <c r="G2286" s="10">
        <f>DATE(2016,10,5)</f>
        <v>42648</v>
      </c>
      <c r="H2286" s="35">
        <v>1.6805555555555554</v>
      </c>
      <c r="I2286" s="5" t="s">
        <v>97</v>
      </c>
      <c r="J2286" s="10" t="s">
        <v>12816</v>
      </c>
      <c r="K2286" s="5" t="s">
        <v>216</v>
      </c>
      <c r="L2286" s="5" t="s">
        <v>12817</v>
      </c>
      <c r="M2286" s="5" t="s">
        <v>45</v>
      </c>
      <c r="N2286" s="5" t="s">
        <v>123</v>
      </c>
      <c r="O2286" s="5" t="s">
        <v>59</v>
      </c>
      <c r="P2286" s="10" t="s">
        <v>146</v>
      </c>
      <c r="Q2286" s="10" t="s">
        <v>332</v>
      </c>
      <c r="R2286" s="10" t="s">
        <v>216</v>
      </c>
      <c r="S2286" s="5">
        <v>0</v>
      </c>
      <c r="T2286" s="37">
        <v>0</v>
      </c>
      <c r="U2286" s="5">
        <v>1</v>
      </c>
      <c r="V2286" s="37">
        <v>0</v>
      </c>
      <c r="W2286" s="5">
        <v>0</v>
      </c>
      <c r="X2286" s="5">
        <v>1</v>
      </c>
      <c r="Y2286" s="5">
        <v>0</v>
      </c>
      <c r="Z2286" s="37">
        <v>0</v>
      </c>
      <c r="AA2286" s="5">
        <v>0</v>
      </c>
      <c r="AB2286" s="5">
        <v>0</v>
      </c>
      <c r="AC2286" s="5">
        <v>0</v>
      </c>
      <c r="AD2286" s="5">
        <v>0</v>
      </c>
      <c r="AE2286" s="10" t="s">
        <v>73</v>
      </c>
      <c r="AF2286" s="10"/>
      <c r="AG2286" s="10" t="s">
        <v>64</v>
      </c>
      <c r="AH2286" s="10">
        <v>42653</v>
      </c>
      <c r="AI2286" s="5">
        <v>1</v>
      </c>
      <c r="AJ2286" s="10" t="s">
        <v>12818</v>
      </c>
      <c r="AK2286" s="10" t="s">
        <v>12819</v>
      </c>
    </row>
    <row r="2287" spans="1:37" ht="36.75" customHeight="1" x14ac:dyDescent="0.35">
      <c r="A2287" s="5"/>
      <c r="B2287" s="5" t="s">
        <v>37</v>
      </c>
      <c r="C2287" s="73" t="str">
        <f t="shared" si="35"/>
        <v>Closed</v>
      </c>
      <c r="D2287" s="45" t="s">
        <v>12820</v>
      </c>
      <c r="E2287" s="54" t="s">
        <v>12821</v>
      </c>
      <c r="F2287" s="5" t="s">
        <v>816</v>
      </c>
      <c r="G2287" s="10">
        <f>DATE(2016,10,7)</f>
        <v>42650</v>
      </c>
      <c r="H2287" s="35">
        <v>1.5555555555555556</v>
      </c>
      <c r="I2287" s="5" t="s">
        <v>259</v>
      </c>
      <c r="J2287" s="10" t="s">
        <v>12822</v>
      </c>
      <c r="K2287" s="5" t="s">
        <v>818</v>
      </c>
      <c r="L2287" s="5" t="s">
        <v>12823</v>
      </c>
      <c r="M2287" s="5" t="s">
        <v>45</v>
      </c>
      <c r="N2287" s="5" t="s">
        <v>70</v>
      </c>
      <c r="O2287" s="5" t="s">
        <v>59</v>
      </c>
      <c r="P2287" s="10" t="s">
        <v>72</v>
      </c>
      <c r="Q2287" s="10" t="s">
        <v>2777</v>
      </c>
      <c r="R2287" s="10" t="s">
        <v>2777</v>
      </c>
      <c r="S2287" s="5">
        <v>2</v>
      </c>
      <c r="T2287" s="37">
        <v>0</v>
      </c>
      <c r="U2287" s="5">
        <v>0</v>
      </c>
      <c r="V2287" s="37">
        <v>0</v>
      </c>
      <c r="W2287" s="5">
        <v>0</v>
      </c>
      <c r="X2287" s="5">
        <v>2</v>
      </c>
      <c r="Y2287" s="5">
        <v>0</v>
      </c>
      <c r="Z2287" s="37">
        <v>0</v>
      </c>
      <c r="AA2287" s="5">
        <v>0</v>
      </c>
      <c r="AB2287" s="5">
        <v>0</v>
      </c>
      <c r="AC2287" s="5">
        <v>0</v>
      </c>
      <c r="AD2287" s="5">
        <v>0</v>
      </c>
      <c r="AE2287" s="10" t="s">
        <v>73</v>
      </c>
      <c r="AF2287" s="10"/>
      <c r="AG2287" s="10" t="s">
        <v>114</v>
      </c>
      <c r="AH2287" s="10">
        <v>42650</v>
      </c>
      <c r="AI2287" s="5">
        <v>0</v>
      </c>
      <c r="AJ2287" s="10" t="s">
        <v>12824</v>
      </c>
      <c r="AK2287" s="10" t="s">
        <v>12825</v>
      </c>
    </row>
    <row r="2288" spans="1:37" ht="36.75" customHeight="1" x14ac:dyDescent="0.35">
      <c r="A2288" s="5"/>
      <c r="B2288" s="5" t="s">
        <v>37</v>
      </c>
      <c r="C2288" s="73" t="str">
        <f t="shared" si="35"/>
        <v>Closed</v>
      </c>
      <c r="D2288" s="45" t="s">
        <v>12826</v>
      </c>
      <c r="E2288" s="54" t="s">
        <v>12827</v>
      </c>
      <c r="F2288" s="5" t="s">
        <v>105</v>
      </c>
      <c r="G2288" s="10">
        <f>DATE(2016,10,10)</f>
        <v>42653</v>
      </c>
      <c r="H2288" s="35">
        <v>0</v>
      </c>
      <c r="I2288" s="5" t="s">
        <v>5473</v>
      </c>
      <c r="J2288" s="10" t="s">
        <v>12828</v>
      </c>
      <c r="K2288" s="5" t="s">
        <v>108</v>
      </c>
      <c r="L2288" s="5" t="s">
        <v>12829</v>
      </c>
      <c r="M2288" s="5" t="s">
        <v>110</v>
      </c>
      <c r="N2288" s="5" t="s">
        <v>123</v>
      </c>
      <c r="O2288" s="5" t="s">
        <v>59</v>
      </c>
      <c r="P2288" s="10" t="s">
        <v>110</v>
      </c>
      <c r="Q2288" s="10" t="s">
        <v>10097</v>
      </c>
      <c r="R2288" s="10" t="s">
        <v>112</v>
      </c>
      <c r="S2288" s="5">
        <v>0</v>
      </c>
      <c r="T2288" s="37">
        <v>0</v>
      </c>
      <c r="U2288" s="5">
        <v>0</v>
      </c>
      <c r="V2288" s="37">
        <v>0</v>
      </c>
      <c r="W2288" s="5">
        <v>0</v>
      </c>
      <c r="X2288" s="5">
        <v>0</v>
      </c>
      <c r="Y2288" s="5">
        <v>1</v>
      </c>
      <c r="Z2288" s="37">
        <v>0</v>
      </c>
      <c r="AA2288" s="5">
        <v>0</v>
      </c>
      <c r="AB2288" s="5">
        <v>0</v>
      </c>
      <c r="AC2288" s="5">
        <v>0</v>
      </c>
      <c r="AD2288" s="5">
        <v>1</v>
      </c>
      <c r="AE2288" s="10" t="s">
        <v>73</v>
      </c>
      <c r="AF2288" s="10"/>
      <c r="AG2288" s="10" t="s">
        <v>64</v>
      </c>
      <c r="AH2288" s="10">
        <v>42660</v>
      </c>
      <c r="AI2288" s="5">
        <v>1</v>
      </c>
      <c r="AJ2288" s="10" t="s">
        <v>12830</v>
      </c>
      <c r="AK2288" s="10" t="s">
        <v>50</v>
      </c>
    </row>
    <row r="2289" spans="1:37" ht="36.75" customHeight="1" x14ac:dyDescent="0.35">
      <c r="A2289" s="5"/>
      <c r="B2289" s="5" t="s">
        <v>37</v>
      </c>
      <c r="C2289" s="73" t="str">
        <f t="shared" si="35"/>
        <v>Closed</v>
      </c>
      <c r="D2289" s="45" t="s">
        <v>12831</v>
      </c>
      <c r="E2289" s="54" t="s">
        <v>12832</v>
      </c>
      <c r="F2289" s="5" t="s">
        <v>575</v>
      </c>
      <c r="G2289" s="10">
        <f>DATE(2016,10,10)</f>
        <v>42653</v>
      </c>
      <c r="H2289" s="35">
        <v>1.2520833333333332</v>
      </c>
      <c r="I2289" s="5" t="s">
        <v>106</v>
      </c>
      <c r="J2289" s="10" t="s">
        <v>12833</v>
      </c>
      <c r="K2289" s="5" t="s">
        <v>577</v>
      </c>
      <c r="L2289" s="5" t="s">
        <v>12834</v>
      </c>
      <c r="M2289" s="5" t="s">
        <v>45</v>
      </c>
      <c r="N2289" s="5" t="s">
        <v>80</v>
      </c>
      <c r="O2289" s="5" t="s">
        <v>59</v>
      </c>
      <c r="P2289" s="10" t="s">
        <v>146</v>
      </c>
      <c r="Q2289" s="10" t="s">
        <v>10507</v>
      </c>
      <c r="R2289" s="10" t="s">
        <v>12052</v>
      </c>
      <c r="S2289" s="5">
        <v>0</v>
      </c>
      <c r="T2289" s="37">
        <v>0</v>
      </c>
      <c r="U2289" s="5">
        <v>0</v>
      </c>
      <c r="V2289" s="37">
        <v>0</v>
      </c>
      <c r="W2289" s="5">
        <v>0</v>
      </c>
      <c r="X2289" s="5">
        <v>0</v>
      </c>
      <c r="Y2289" s="5">
        <v>0</v>
      </c>
      <c r="Z2289" s="37">
        <v>0</v>
      </c>
      <c r="AA2289" s="5">
        <v>0</v>
      </c>
      <c r="AB2289" s="5">
        <v>0</v>
      </c>
      <c r="AC2289" s="5">
        <v>0</v>
      </c>
      <c r="AD2289" s="5">
        <v>0</v>
      </c>
      <c r="AE2289" s="10" t="s">
        <v>73</v>
      </c>
      <c r="AF2289" s="10"/>
      <c r="AG2289" s="10" t="s">
        <v>114</v>
      </c>
      <c r="AH2289" s="10">
        <v>42714</v>
      </c>
      <c r="AI2289" s="5">
        <v>2</v>
      </c>
      <c r="AJ2289" s="10" t="s">
        <v>12835</v>
      </c>
      <c r="AK2289" s="10" t="s">
        <v>12836</v>
      </c>
    </row>
    <row r="2290" spans="1:37" ht="36.75" customHeight="1" x14ac:dyDescent="0.35">
      <c r="A2290" s="5"/>
      <c r="B2290" s="5" t="s">
        <v>37</v>
      </c>
      <c r="C2290" s="73" t="str">
        <f t="shared" si="35"/>
        <v>Closed</v>
      </c>
      <c r="D2290" s="45" t="s">
        <v>12837</v>
      </c>
      <c r="E2290" s="54" t="s">
        <v>12838</v>
      </c>
      <c r="F2290" s="5" t="s">
        <v>119</v>
      </c>
      <c r="G2290" s="10">
        <f>DATE(2016,10,11)</f>
        <v>42654</v>
      </c>
      <c r="H2290" s="35">
        <v>1.7062499999999998</v>
      </c>
      <c r="I2290" s="5" t="s">
        <v>2244</v>
      </c>
      <c r="J2290" s="10" t="s">
        <v>12839</v>
      </c>
      <c r="K2290" s="5" t="s">
        <v>121</v>
      </c>
      <c r="L2290" s="5" t="s">
        <v>12840</v>
      </c>
      <c r="M2290" s="5" t="s">
        <v>45</v>
      </c>
      <c r="N2290" s="5" t="s">
        <v>123</v>
      </c>
      <c r="O2290" s="5" t="s">
        <v>59</v>
      </c>
      <c r="P2290" s="10" t="s">
        <v>60</v>
      </c>
      <c r="Q2290" s="10" t="s">
        <v>6110</v>
      </c>
      <c r="R2290" s="10" t="s">
        <v>4913</v>
      </c>
      <c r="S2290" s="5">
        <v>0</v>
      </c>
      <c r="T2290" s="37">
        <v>0</v>
      </c>
      <c r="U2290" s="5">
        <v>0</v>
      </c>
      <c r="V2290" s="37">
        <v>0</v>
      </c>
      <c r="W2290" s="5">
        <v>0</v>
      </c>
      <c r="X2290" s="5">
        <v>0</v>
      </c>
      <c r="Y2290" s="5">
        <v>0</v>
      </c>
      <c r="Z2290" s="37">
        <v>0</v>
      </c>
      <c r="AA2290" s="5">
        <v>0</v>
      </c>
      <c r="AB2290" s="5">
        <v>0</v>
      </c>
      <c r="AC2290" s="5">
        <v>0</v>
      </c>
      <c r="AD2290" s="5">
        <v>0</v>
      </c>
      <c r="AE2290" s="10" t="s">
        <v>73</v>
      </c>
      <c r="AF2290" s="10"/>
      <c r="AG2290" s="10" t="s">
        <v>64</v>
      </c>
      <c r="AH2290" s="10">
        <v>42664</v>
      </c>
      <c r="AI2290" s="5">
        <v>2</v>
      </c>
      <c r="AJ2290" s="10" t="s">
        <v>12841</v>
      </c>
      <c r="AK2290" s="10" t="s">
        <v>12842</v>
      </c>
    </row>
    <row r="2291" spans="1:37" ht="36.75" customHeight="1" x14ac:dyDescent="0.35">
      <c r="A2291" s="5"/>
      <c r="B2291" s="5" t="s">
        <v>37</v>
      </c>
      <c r="C2291" s="73" t="str">
        <f t="shared" si="35"/>
        <v>Closed</v>
      </c>
      <c r="D2291" s="45" t="s">
        <v>12843</v>
      </c>
      <c r="E2291" s="54" t="s">
        <v>12844</v>
      </c>
      <c r="F2291" s="5" t="s">
        <v>1751</v>
      </c>
      <c r="G2291" s="10">
        <f>DATE(2016,10,15)</f>
        <v>42658</v>
      </c>
      <c r="H2291" s="35">
        <v>0</v>
      </c>
      <c r="I2291" s="5" t="s">
        <v>137</v>
      </c>
      <c r="J2291" s="10" t="s">
        <v>12845</v>
      </c>
      <c r="K2291" s="5" t="s">
        <v>1753</v>
      </c>
      <c r="L2291" s="5" t="s">
        <v>7372</v>
      </c>
      <c r="M2291" s="5" t="s">
        <v>45</v>
      </c>
      <c r="N2291" s="5" t="s">
        <v>123</v>
      </c>
      <c r="O2291" s="5" t="s">
        <v>46</v>
      </c>
      <c r="P2291" s="10" t="s">
        <v>146</v>
      </c>
      <c r="Q2291" s="10" t="s">
        <v>4269</v>
      </c>
      <c r="R2291" s="10" t="s">
        <v>1756</v>
      </c>
      <c r="S2291" s="5">
        <v>0</v>
      </c>
      <c r="T2291" s="37">
        <v>0</v>
      </c>
      <c r="U2291" s="5">
        <v>0</v>
      </c>
      <c r="V2291" s="37">
        <v>0</v>
      </c>
      <c r="W2291" s="5">
        <v>0</v>
      </c>
      <c r="X2291" s="5">
        <v>0</v>
      </c>
      <c r="Y2291" s="5">
        <v>0</v>
      </c>
      <c r="Z2291" s="37">
        <v>0</v>
      </c>
      <c r="AA2291" s="5">
        <v>0</v>
      </c>
      <c r="AB2291" s="5">
        <v>0</v>
      </c>
      <c r="AC2291" s="5">
        <v>1</v>
      </c>
      <c r="AD2291" s="5">
        <v>1</v>
      </c>
      <c r="AE2291" s="10" t="s">
        <v>73</v>
      </c>
      <c r="AF2291" s="10"/>
      <c r="AG2291" s="10" t="s">
        <v>114</v>
      </c>
      <c r="AH2291" s="10">
        <v>42660</v>
      </c>
      <c r="AI2291" s="5">
        <v>7</v>
      </c>
      <c r="AJ2291" s="10" t="s">
        <v>12846</v>
      </c>
      <c r="AK2291" s="10" t="s">
        <v>12847</v>
      </c>
    </row>
    <row r="2292" spans="1:37" ht="36.75" customHeight="1" x14ac:dyDescent="0.35">
      <c r="A2292" s="5"/>
      <c r="B2292" s="5" t="s">
        <v>37</v>
      </c>
      <c r="C2292" s="73" t="str">
        <f t="shared" si="35"/>
        <v>Closed</v>
      </c>
      <c r="D2292" s="45" t="s">
        <v>12848</v>
      </c>
      <c r="E2292" s="54" t="s">
        <v>12849</v>
      </c>
      <c r="F2292" s="5" t="s">
        <v>9767</v>
      </c>
      <c r="G2292" s="10">
        <f>DATE(2016,10,17)</f>
        <v>42660</v>
      </c>
      <c r="H2292" s="35">
        <v>1.3451388888888889</v>
      </c>
      <c r="I2292" s="5" t="s">
        <v>97</v>
      </c>
      <c r="J2292" s="10" t="s">
        <v>12850</v>
      </c>
      <c r="K2292" s="5" t="s">
        <v>9769</v>
      </c>
      <c r="L2292" s="5" t="s">
        <v>12851</v>
      </c>
      <c r="M2292" s="5" t="s">
        <v>45</v>
      </c>
      <c r="N2292" s="5" t="s">
        <v>80</v>
      </c>
      <c r="O2292" s="5" t="s">
        <v>59</v>
      </c>
      <c r="P2292" s="10" t="s">
        <v>282</v>
      </c>
      <c r="Q2292" s="10" t="s">
        <v>9816</v>
      </c>
      <c r="R2292" s="10" t="s">
        <v>9772</v>
      </c>
      <c r="S2292" s="5">
        <v>0</v>
      </c>
      <c r="T2292" s="37">
        <v>0</v>
      </c>
      <c r="U2292" s="5">
        <v>0</v>
      </c>
      <c r="V2292" s="37">
        <v>0</v>
      </c>
      <c r="W2292" s="5">
        <v>0</v>
      </c>
      <c r="X2292" s="5">
        <v>0</v>
      </c>
      <c r="Y2292" s="5">
        <v>0</v>
      </c>
      <c r="Z2292" s="37">
        <v>0</v>
      </c>
      <c r="AA2292" s="5">
        <v>1</v>
      </c>
      <c r="AB2292" s="5">
        <v>0</v>
      </c>
      <c r="AC2292" s="5">
        <v>0</v>
      </c>
      <c r="AD2292" s="5">
        <v>1</v>
      </c>
      <c r="AE2292" s="10" t="s">
        <v>73</v>
      </c>
      <c r="AF2292" s="10"/>
      <c r="AG2292" s="10" t="s">
        <v>114</v>
      </c>
      <c r="AH2292" s="10">
        <v>42670</v>
      </c>
      <c r="AI2292" s="5">
        <v>2</v>
      </c>
      <c r="AJ2292" s="10" t="s">
        <v>12852</v>
      </c>
      <c r="AK2292" s="10" t="s">
        <v>12853</v>
      </c>
    </row>
    <row r="2293" spans="1:37" ht="36.75" customHeight="1" x14ac:dyDescent="0.35">
      <c r="A2293" s="5"/>
      <c r="B2293" s="5" t="s">
        <v>37</v>
      </c>
      <c r="C2293" s="73" t="str">
        <f t="shared" si="35"/>
        <v>Closed</v>
      </c>
      <c r="D2293" s="45" t="s">
        <v>12854</v>
      </c>
      <c r="E2293" s="54" t="s">
        <v>12855</v>
      </c>
      <c r="F2293" s="5" t="s">
        <v>12856</v>
      </c>
      <c r="G2293" s="10">
        <f>DATE(2016,10,18)</f>
        <v>42661</v>
      </c>
      <c r="H2293" s="35">
        <v>1.4166666666666667</v>
      </c>
      <c r="I2293" s="5" t="s">
        <v>259</v>
      </c>
      <c r="J2293" s="10" t="s">
        <v>12857</v>
      </c>
      <c r="K2293" s="5" t="s">
        <v>12858</v>
      </c>
      <c r="L2293" s="5" t="s">
        <v>12859</v>
      </c>
      <c r="M2293" s="5" t="s">
        <v>45</v>
      </c>
      <c r="N2293" s="5" t="s">
        <v>80</v>
      </c>
      <c r="O2293" s="5" t="s">
        <v>6854</v>
      </c>
      <c r="P2293" s="10" t="s">
        <v>72</v>
      </c>
      <c r="Q2293" s="10" t="s">
        <v>12860</v>
      </c>
      <c r="R2293" s="10" t="s">
        <v>12861</v>
      </c>
      <c r="S2293" s="5">
        <v>0</v>
      </c>
      <c r="T2293" s="37">
        <v>0</v>
      </c>
      <c r="U2293" s="5">
        <v>0</v>
      </c>
      <c r="V2293" s="37">
        <v>0</v>
      </c>
      <c r="W2293" s="5">
        <v>0</v>
      </c>
      <c r="X2293" s="5">
        <v>0</v>
      </c>
      <c r="Y2293" s="5">
        <v>0</v>
      </c>
      <c r="Z2293" s="37">
        <v>1</v>
      </c>
      <c r="AA2293" s="5">
        <v>0</v>
      </c>
      <c r="AB2293" s="5">
        <v>0</v>
      </c>
      <c r="AC2293" s="5">
        <v>0</v>
      </c>
      <c r="AD2293" s="5">
        <v>1</v>
      </c>
      <c r="AE2293" s="10" t="s">
        <v>73</v>
      </c>
      <c r="AF2293" s="10"/>
      <c r="AG2293" s="10" t="s">
        <v>114</v>
      </c>
      <c r="AH2293" s="10">
        <v>42674</v>
      </c>
      <c r="AI2293" s="5">
        <v>0</v>
      </c>
      <c r="AJ2293" s="10" t="s">
        <v>12862</v>
      </c>
      <c r="AK2293" s="10" t="s">
        <v>1215</v>
      </c>
    </row>
    <row r="2294" spans="1:37" ht="36.75" customHeight="1" x14ac:dyDescent="0.35">
      <c r="A2294" s="5"/>
      <c r="B2294" s="5" t="s">
        <v>37</v>
      </c>
      <c r="C2294" s="73" t="str">
        <f t="shared" si="35"/>
        <v>Closed</v>
      </c>
      <c r="D2294" s="45" t="s">
        <v>12863</v>
      </c>
      <c r="E2294" s="54" t="s">
        <v>12864</v>
      </c>
      <c r="F2294" s="5" t="s">
        <v>178</v>
      </c>
      <c r="G2294" s="10">
        <f>DATE(2016,10,19)</f>
        <v>42662</v>
      </c>
      <c r="H2294" s="35">
        <v>0</v>
      </c>
      <c r="I2294" s="5" t="s">
        <v>179</v>
      </c>
      <c r="J2294" s="10" t="s">
        <v>12865</v>
      </c>
      <c r="K2294" s="5" t="s">
        <v>181</v>
      </c>
      <c r="L2294" s="5" t="s">
        <v>12866</v>
      </c>
      <c r="M2294" s="5" t="s">
        <v>45</v>
      </c>
      <c r="N2294" s="5" t="s">
        <v>80</v>
      </c>
      <c r="O2294" s="5" t="s">
        <v>46</v>
      </c>
      <c r="P2294" s="10" t="s">
        <v>8003</v>
      </c>
      <c r="Q2294" s="10" t="s">
        <v>7078</v>
      </c>
      <c r="R2294" s="10" t="s">
        <v>184</v>
      </c>
      <c r="S2294" s="5">
        <v>0</v>
      </c>
      <c r="T2294" s="37">
        <v>0</v>
      </c>
      <c r="U2294" s="5">
        <v>0</v>
      </c>
      <c r="V2294" s="37">
        <v>0</v>
      </c>
      <c r="W2294" s="5">
        <v>0</v>
      </c>
      <c r="X2294" s="5">
        <v>0</v>
      </c>
      <c r="Y2294" s="5">
        <v>4</v>
      </c>
      <c r="Z2294" s="37">
        <v>1</v>
      </c>
      <c r="AA2294" s="5">
        <v>0</v>
      </c>
      <c r="AB2294" s="5">
        <v>0</v>
      </c>
      <c r="AC2294" s="5">
        <v>0</v>
      </c>
      <c r="AD2294" s="5">
        <v>5</v>
      </c>
      <c r="AE2294" s="10" t="s">
        <v>375</v>
      </c>
      <c r="AF2294" s="10"/>
      <c r="AG2294" s="10" t="s">
        <v>114</v>
      </c>
      <c r="AH2294" s="10">
        <v>42705</v>
      </c>
      <c r="AI2294" s="5">
        <v>2</v>
      </c>
      <c r="AJ2294" s="10" t="s">
        <v>12867</v>
      </c>
      <c r="AK2294" s="10" t="s">
        <v>50</v>
      </c>
    </row>
    <row r="2295" spans="1:37" ht="36.75" customHeight="1" x14ac:dyDescent="0.35">
      <c r="A2295" s="5"/>
      <c r="B2295" s="5" t="s">
        <v>37</v>
      </c>
      <c r="C2295" s="73" t="str">
        <f t="shared" si="35"/>
        <v>Closed</v>
      </c>
      <c r="D2295" s="45" t="s">
        <v>12868</v>
      </c>
      <c r="E2295" s="54" t="s">
        <v>12869</v>
      </c>
      <c r="F2295" s="5" t="s">
        <v>1553</v>
      </c>
      <c r="G2295" s="10">
        <f>DATE(2016,10,19)</f>
        <v>42662</v>
      </c>
      <c r="H2295" s="35">
        <v>1.9340277777777777</v>
      </c>
      <c r="I2295" s="5" t="s">
        <v>55</v>
      </c>
      <c r="J2295" s="10" t="s">
        <v>12870</v>
      </c>
      <c r="K2295" s="5" t="s">
        <v>1555</v>
      </c>
      <c r="L2295" s="5" t="s">
        <v>12871</v>
      </c>
      <c r="M2295" s="5" t="s">
        <v>45</v>
      </c>
      <c r="N2295" s="5" t="s">
        <v>80</v>
      </c>
      <c r="O2295" s="5" t="s">
        <v>59</v>
      </c>
      <c r="P2295" s="10" t="s">
        <v>60</v>
      </c>
      <c r="Q2295" s="10" t="s">
        <v>6072</v>
      </c>
      <c r="R2295" s="10" t="s">
        <v>6413</v>
      </c>
      <c r="S2295" s="5">
        <v>0</v>
      </c>
      <c r="T2295" s="37">
        <v>0</v>
      </c>
      <c r="U2295" s="5">
        <v>0</v>
      </c>
      <c r="V2295" s="37">
        <v>0</v>
      </c>
      <c r="W2295" s="5">
        <v>0</v>
      </c>
      <c r="X2295" s="5">
        <v>0</v>
      </c>
      <c r="Y2295" s="5">
        <v>0</v>
      </c>
      <c r="Z2295" s="37">
        <v>0</v>
      </c>
      <c r="AA2295" s="5">
        <v>0</v>
      </c>
      <c r="AB2295" s="5">
        <v>0</v>
      </c>
      <c r="AC2295" s="5">
        <v>0</v>
      </c>
      <c r="AD2295" s="5">
        <v>0</v>
      </c>
      <c r="AE2295" s="10" t="s">
        <v>73</v>
      </c>
      <c r="AF2295" s="10"/>
      <c r="AG2295" s="10" t="s">
        <v>114</v>
      </c>
      <c r="AH2295" s="10">
        <v>42664</v>
      </c>
      <c r="AI2295" s="5">
        <v>1</v>
      </c>
      <c r="AJ2295" s="10" t="s">
        <v>12872</v>
      </c>
      <c r="AK2295" s="10" t="s">
        <v>12873</v>
      </c>
    </row>
    <row r="2296" spans="1:37" ht="36.75" customHeight="1" x14ac:dyDescent="0.35">
      <c r="A2296" s="5"/>
      <c r="B2296" s="5" t="s">
        <v>37</v>
      </c>
      <c r="C2296" s="73" t="str">
        <f t="shared" si="35"/>
        <v>Closed</v>
      </c>
      <c r="D2296" s="45" t="s">
        <v>12874</v>
      </c>
      <c r="E2296" s="54" t="s">
        <v>12875</v>
      </c>
      <c r="F2296" s="5" t="s">
        <v>432</v>
      </c>
      <c r="G2296" s="10">
        <f>DATE(2016,10,20)</f>
        <v>42663</v>
      </c>
      <c r="H2296" s="35">
        <v>1.3770833333333334</v>
      </c>
      <c r="I2296" s="5" t="s">
        <v>106</v>
      </c>
      <c r="J2296" s="10" t="s">
        <v>12876</v>
      </c>
      <c r="K2296" s="5" t="s">
        <v>434</v>
      </c>
      <c r="L2296" s="5" t="s">
        <v>12877</v>
      </c>
      <c r="M2296" s="5" t="s">
        <v>45</v>
      </c>
      <c r="N2296" s="5" t="s">
        <v>123</v>
      </c>
      <c r="O2296" s="5" t="s">
        <v>59</v>
      </c>
      <c r="P2296" s="10" t="s">
        <v>47</v>
      </c>
      <c r="Q2296" s="10" t="s">
        <v>552</v>
      </c>
      <c r="R2296" s="10" t="s">
        <v>553</v>
      </c>
      <c r="S2296" s="5">
        <v>0</v>
      </c>
      <c r="T2296" s="37">
        <v>0</v>
      </c>
      <c r="U2296" s="5">
        <v>0</v>
      </c>
      <c r="V2296" s="37">
        <v>0</v>
      </c>
      <c r="W2296" s="5">
        <v>0</v>
      </c>
      <c r="X2296" s="5">
        <v>0</v>
      </c>
      <c r="Y2296" s="5">
        <v>0</v>
      </c>
      <c r="Z2296" s="37">
        <v>0</v>
      </c>
      <c r="AA2296" s="5">
        <v>0</v>
      </c>
      <c r="AB2296" s="5">
        <v>0</v>
      </c>
      <c r="AC2296" s="5">
        <v>0</v>
      </c>
      <c r="AD2296" s="5">
        <v>0</v>
      </c>
      <c r="AE2296" s="10" t="s">
        <v>126</v>
      </c>
      <c r="AF2296" s="10"/>
      <c r="AG2296" s="10" t="s">
        <v>64</v>
      </c>
      <c r="AH2296" s="10">
        <v>42663</v>
      </c>
      <c r="AI2296" s="5">
        <v>0</v>
      </c>
      <c r="AJ2296" s="10" t="s">
        <v>12878</v>
      </c>
      <c r="AK2296" s="10" t="s">
        <v>50</v>
      </c>
    </row>
    <row r="2297" spans="1:37" ht="36.75" customHeight="1" x14ac:dyDescent="0.35">
      <c r="A2297" s="5"/>
      <c r="B2297" s="5" t="s">
        <v>37</v>
      </c>
      <c r="C2297" s="73" t="str">
        <f t="shared" si="35"/>
        <v>Closed</v>
      </c>
      <c r="D2297" s="45" t="s">
        <v>12879</v>
      </c>
      <c r="E2297" s="54" t="s">
        <v>12880</v>
      </c>
      <c r="F2297" s="5" t="s">
        <v>6434</v>
      </c>
      <c r="G2297" s="10">
        <f>DATE(2016,10,21)</f>
        <v>42664</v>
      </c>
      <c r="H2297" s="35">
        <v>1.3854166666666667</v>
      </c>
      <c r="I2297" s="5" t="s">
        <v>97</v>
      </c>
      <c r="J2297" s="10" t="s">
        <v>12881</v>
      </c>
      <c r="K2297" s="5" t="s">
        <v>565</v>
      </c>
      <c r="L2297" s="5" t="s">
        <v>12882</v>
      </c>
      <c r="M2297" s="5" t="s">
        <v>45</v>
      </c>
      <c r="N2297" s="5" t="s">
        <v>123</v>
      </c>
      <c r="O2297" s="5" t="s">
        <v>46</v>
      </c>
      <c r="P2297" s="10" t="s">
        <v>146</v>
      </c>
      <c r="Q2297" s="10" t="s">
        <v>10940</v>
      </c>
      <c r="R2297" s="10" t="s">
        <v>568</v>
      </c>
      <c r="S2297" s="5">
        <v>0</v>
      </c>
      <c r="T2297" s="37">
        <v>0</v>
      </c>
      <c r="U2297" s="5">
        <v>1</v>
      </c>
      <c r="V2297" s="37">
        <v>0</v>
      </c>
      <c r="W2297" s="5">
        <v>0</v>
      </c>
      <c r="X2297" s="5">
        <v>1</v>
      </c>
      <c r="Y2297" s="5">
        <v>0</v>
      </c>
      <c r="Z2297" s="37">
        <v>0</v>
      </c>
      <c r="AA2297" s="5">
        <v>0</v>
      </c>
      <c r="AB2297" s="5">
        <v>0</v>
      </c>
      <c r="AC2297" s="5">
        <v>0</v>
      </c>
      <c r="AD2297" s="5">
        <v>0</v>
      </c>
      <c r="AE2297" s="10" t="s">
        <v>375</v>
      </c>
      <c r="AF2297" s="10" t="s">
        <v>12883</v>
      </c>
      <c r="AG2297" s="10" t="s">
        <v>6438</v>
      </c>
      <c r="AH2297" s="10">
        <v>42676</v>
      </c>
      <c r="AI2297" s="5">
        <v>0</v>
      </c>
      <c r="AJ2297" s="10" t="s">
        <v>12884</v>
      </c>
      <c r="AK2297" s="10" t="s">
        <v>10547</v>
      </c>
    </row>
    <row r="2298" spans="1:37" ht="36.75" customHeight="1" x14ac:dyDescent="0.35">
      <c r="A2298" s="5" t="s">
        <v>12448</v>
      </c>
      <c r="B2298" s="5" t="s">
        <v>37</v>
      </c>
      <c r="C2298" s="73" t="str">
        <f t="shared" si="35"/>
        <v>Closed</v>
      </c>
      <c r="D2298" s="47" t="s">
        <v>12885</v>
      </c>
      <c r="E2298" s="55" t="s">
        <v>12886</v>
      </c>
      <c r="F2298" s="15" t="s">
        <v>12887</v>
      </c>
      <c r="G2298" s="10">
        <f>DATE(2016,10,26)</f>
        <v>42669</v>
      </c>
      <c r="H2298" s="50">
        <v>4.9999999999999996E-2</v>
      </c>
      <c r="I2298" s="15" t="s">
        <v>55</v>
      </c>
      <c r="J2298" s="55"/>
      <c r="K2298" s="15" t="s">
        <v>434</v>
      </c>
      <c r="L2298" s="15" t="s">
        <v>12888</v>
      </c>
      <c r="M2298" s="15"/>
      <c r="N2298" s="15"/>
      <c r="O2298" s="15" t="s">
        <v>59</v>
      </c>
      <c r="P2298" s="55" t="s">
        <v>67</v>
      </c>
      <c r="Q2298" s="55" t="s">
        <v>12889</v>
      </c>
      <c r="R2298" s="55" t="s">
        <v>12890</v>
      </c>
      <c r="S2298" s="15">
        <v>0</v>
      </c>
      <c r="T2298" s="55">
        <v>0</v>
      </c>
      <c r="U2298" s="15">
        <v>0</v>
      </c>
      <c r="V2298" s="55">
        <v>0</v>
      </c>
      <c r="W2298" s="15">
        <v>0</v>
      </c>
      <c r="X2298" s="15">
        <v>0</v>
      </c>
      <c r="Y2298" s="15">
        <v>0</v>
      </c>
      <c r="Z2298" s="55">
        <v>0</v>
      </c>
      <c r="AA2298" s="15">
        <v>0</v>
      </c>
      <c r="AB2298" s="15">
        <v>0</v>
      </c>
      <c r="AC2298" s="15">
        <v>0</v>
      </c>
      <c r="AD2298" s="15">
        <v>0</v>
      </c>
      <c r="AE2298" s="55"/>
      <c r="AF2298" s="55"/>
      <c r="AG2298" s="55"/>
      <c r="AH2298" s="56" t="s">
        <v>50</v>
      </c>
      <c r="AI2298" s="15">
        <v>1</v>
      </c>
      <c r="AJ2298" s="55"/>
      <c r="AK2298" s="55"/>
    </row>
    <row r="2299" spans="1:37" ht="36.75" customHeight="1" x14ac:dyDescent="0.35">
      <c r="A2299" s="5"/>
      <c r="B2299" s="5" t="s">
        <v>37</v>
      </c>
      <c r="C2299" s="73" t="str">
        <f t="shared" si="35"/>
        <v>Closed</v>
      </c>
      <c r="D2299" s="45" t="s">
        <v>12891</v>
      </c>
      <c r="E2299" s="54" t="s">
        <v>12892</v>
      </c>
      <c r="F2299" s="5" t="s">
        <v>105</v>
      </c>
      <c r="G2299" s="10">
        <f>DATE(2016,10,27)</f>
        <v>42670</v>
      </c>
      <c r="H2299" s="35">
        <v>1.65625</v>
      </c>
      <c r="I2299" s="5" t="s">
        <v>55</v>
      </c>
      <c r="J2299" s="10" t="s">
        <v>12893</v>
      </c>
      <c r="K2299" s="5" t="s">
        <v>108</v>
      </c>
      <c r="L2299" s="5" t="s">
        <v>12894</v>
      </c>
      <c r="M2299" s="5" t="s">
        <v>45</v>
      </c>
      <c r="N2299" s="5" t="s">
        <v>80</v>
      </c>
      <c r="O2299" s="5" t="s">
        <v>46</v>
      </c>
      <c r="P2299" s="10" t="s">
        <v>282</v>
      </c>
      <c r="Q2299" s="10" t="s">
        <v>6221</v>
      </c>
      <c r="R2299" s="10" t="s">
        <v>148</v>
      </c>
      <c r="S2299" s="5">
        <v>0</v>
      </c>
      <c r="T2299" s="37">
        <v>0</v>
      </c>
      <c r="U2299" s="5">
        <v>0</v>
      </c>
      <c r="V2299" s="37">
        <v>0</v>
      </c>
      <c r="W2299" s="5">
        <v>0</v>
      </c>
      <c r="X2299" s="5">
        <v>0</v>
      </c>
      <c r="Y2299" s="5">
        <v>0</v>
      </c>
      <c r="Z2299" s="37">
        <v>0</v>
      </c>
      <c r="AA2299" s="5">
        <v>0</v>
      </c>
      <c r="AB2299" s="5">
        <v>0</v>
      </c>
      <c r="AC2299" s="5">
        <v>0</v>
      </c>
      <c r="AD2299" s="5">
        <v>0</v>
      </c>
      <c r="AE2299" s="10" t="s">
        <v>375</v>
      </c>
      <c r="AF2299" s="10"/>
      <c r="AG2299" s="10" t="s">
        <v>64</v>
      </c>
      <c r="AH2299" s="10">
        <v>42677</v>
      </c>
      <c r="AI2299" s="5">
        <v>1</v>
      </c>
      <c r="AJ2299" s="10" t="s">
        <v>12895</v>
      </c>
      <c r="AK2299" s="10" t="s">
        <v>12896</v>
      </c>
    </row>
    <row r="2300" spans="1:37" ht="36.75" customHeight="1" x14ac:dyDescent="0.35">
      <c r="A2300" s="5"/>
      <c r="B2300" s="5" t="s">
        <v>37</v>
      </c>
      <c r="C2300" s="73" t="str">
        <f t="shared" si="35"/>
        <v>Closed</v>
      </c>
      <c r="D2300" s="45" t="s">
        <v>12897</v>
      </c>
      <c r="E2300" s="54" t="s">
        <v>12898</v>
      </c>
      <c r="F2300" s="5" t="s">
        <v>563</v>
      </c>
      <c r="G2300" s="10">
        <f>DATE(2016,10,28)</f>
        <v>42671</v>
      </c>
      <c r="H2300" s="35">
        <v>1.2513888888888889</v>
      </c>
      <c r="I2300" s="5" t="s">
        <v>179</v>
      </c>
      <c r="J2300" s="10" t="s">
        <v>12899</v>
      </c>
      <c r="K2300" s="5" t="s">
        <v>565</v>
      </c>
      <c r="L2300" s="5" t="s">
        <v>12900</v>
      </c>
      <c r="M2300" s="5" t="s">
        <v>45</v>
      </c>
      <c r="N2300" s="5" t="s">
        <v>70</v>
      </c>
      <c r="O2300" s="5" t="s">
        <v>59</v>
      </c>
      <c r="P2300" s="10" t="s">
        <v>60</v>
      </c>
      <c r="Q2300" s="10" t="s">
        <v>567</v>
      </c>
      <c r="R2300" s="10" t="s">
        <v>568</v>
      </c>
      <c r="S2300" s="5">
        <v>0</v>
      </c>
      <c r="T2300" s="37">
        <v>0</v>
      </c>
      <c r="U2300" s="5">
        <v>0</v>
      </c>
      <c r="V2300" s="37">
        <v>0</v>
      </c>
      <c r="W2300" s="5">
        <v>0</v>
      </c>
      <c r="X2300" s="5">
        <v>0</v>
      </c>
      <c r="Y2300" s="5">
        <v>0</v>
      </c>
      <c r="Z2300" s="37">
        <v>0</v>
      </c>
      <c r="AA2300" s="5">
        <v>0</v>
      </c>
      <c r="AB2300" s="5">
        <v>0</v>
      </c>
      <c r="AC2300" s="5">
        <v>0</v>
      </c>
      <c r="AD2300" s="5">
        <v>0</v>
      </c>
      <c r="AE2300" s="10" t="s">
        <v>375</v>
      </c>
      <c r="AF2300" s="10"/>
      <c r="AG2300" s="10" t="s">
        <v>114</v>
      </c>
      <c r="AH2300" s="10">
        <v>42676</v>
      </c>
      <c r="AI2300" s="5">
        <v>0</v>
      </c>
      <c r="AJ2300" s="10" t="s">
        <v>12901</v>
      </c>
      <c r="AK2300" s="10" t="s">
        <v>1215</v>
      </c>
    </row>
    <row r="2301" spans="1:37" ht="36.75" customHeight="1" x14ac:dyDescent="0.35">
      <c r="A2301" s="5"/>
      <c r="B2301" s="5" t="s">
        <v>37</v>
      </c>
      <c r="C2301" s="73" t="str">
        <f t="shared" si="35"/>
        <v>Closed</v>
      </c>
      <c r="D2301" s="45" t="s">
        <v>12902</v>
      </c>
      <c r="E2301" s="54" t="s">
        <v>12903</v>
      </c>
      <c r="F2301" s="5" t="s">
        <v>816</v>
      </c>
      <c r="G2301" s="10">
        <f>DATE(2016,11,3)</f>
        <v>42677</v>
      </c>
      <c r="H2301" s="35">
        <v>1.9791666666666665</v>
      </c>
      <c r="I2301" s="5" t="s">
        <v>55</v>
      </c>
      <c r="J2301" s="10" t="s">
        <v>12904</v>
      </c>
      <c r="K2301" s="5" t="s">
        <v>818</v>
      </c>
      <c r="L2301" s="5" t="s">
        <v>12905</v>
      </c>
      <c r="M2301" s="5" t="s">
        <v>45</v>
      </c>
      <c r="N2301" s="5" t="s">
        <v>80</v>
      </c>
      <c r="O2301" s="5" t="s">
        <v>59</v>
      </c>
      <c r="P2301" s="10" t="s">
        <v>60</v>
      </c>
      <c r="Q2301" s="10" t="s">
        <v>12906</v>
      </c>
      <c r="R2301" s="10" t="s">
        <v>821</v>
      </c>
      <c r="S2301" s="5">
        <v>0</v>
      </c>
      <c r="T2301" s="37">
        <v>0</v>
      </c>
      <c r="U2301" s="5">
        <v>0</v>
      </c>
      <c r="V2301" s="37">
        <v>0</v>
      </c>
      <c r="W2301" s="5">
        <v>0</v>
      </c>
      <c r="X2301" s="5">
        <v>0</v>
      </c>
      <c r="Y2301" s="5">
        <v>0</v>
      </c>
      <c r="Z2301" s="37">
        <v>0</v>
      </c>
      <c r="AA2301" s="5">
        <v>0</v>
      </c>
      <c r="AB2301" s="5">
        <v>0</v>
      </c>
      <c r="AC2301" s="5">
        <v>0</v>
      </c>
      <c r="AD2301" s="5">
        <v>0</v>
      </c>
      <c r="AE2301" s="10" t="s">
        <v>73</v>
      </c>
      <c r="AF2301" s="10"/>
      <c r="AG2301" s="10" t="s">
        <v>333</v>
      </c>
      <c r="AH2301" s="10">
        <v>42677</v>
      </c>
      <c r="AI2301" s="5">
        <v>0</v>
      </c>
      <c r="AJ2301" s="10" t="s">
        <v>12907</v>
      </c>
      <c r="AK2301" s="10" t="s">
        <v>50</v>
      </c>
    </row>
    <row r="2302" spans="1:37" ht="36.75" customHeight="1" x14ac:dyDescent="0.35">
      <c r="A2302" s="5"/>
      <c r="B2302" s="5" t="s">
        <v>37</v>
      </c>
      <c r="C2302" s="73" t="str">
        <f t="shared" si="35"/>
        <v>Closed</v>
      </c>
      <c r="D2302" s="45" t="s">
        <v>12908</v>
      </c>
      <c r="E2302" s="54" t="s">
        <v>12909</v>
      </c>
      <c r="F2302" s="5" t="s">
        <v>619</v>
      </c>
      <c r="G2302" s="10">
        <f>DATE(2016,11,4)</f>
        <v>42678</v>
      </c>
      <c r="H2302" s="35">
        <v>1.9027777777777777</v>
      </c>
      <c r="I2302" s="5" t="s">
        <v>179</v>
      </c>
      <c r="J2302" s="10" t="s">
        <v>12910</v>
      </c>
      <c r="K2302" s="5" t="s">
        <v>621</v>
      </c>
      <c r="L2302" s="5" t="s">
        <v>12911</v>
      </c>
      <c r="M2302" s="5" t="s">
        <v>45</v>
      </c>
      <c r="N2302" s="5" t="s">
        <v>123</v>
      </c>
      <c r="O2302" s="5" t="s">
        <v>59</v>
      </c>
      <c r="P2302" s="10" t="s">
        <v>6881</v>
      </c>
      <c r="Q2302" s="10" t="s">
        <v>623</v>
      </c>
      <c r="R2302" s="10" t="s">
        <v>624</v>
      </c>
      <c r="S2302" s="5">
        <v>0</v>
      </c>
      <c r="T2302" s="37">
        <v>0</v>
      </c>
      <c r="U2302" s="5">
        <v>0</v>
      </c>
      <c r="V2302" s="37">
        <v>0</v>
      </c>
      <c r="W2302" s="5">
        <v>0</v>
      </c>
      <c r="X2302" s="5">
        <v>0</v>
      </c>
      <c r="Y2302" s="5">
        <v>0</v>
      </c>
      <c r="Z2302" s="37">
        <v>0</v>
      </c>
      <c r="AA2302" s="5">
        <v>0</v>
      </c>
      <c r="AB2302" s="5">
        <v>0</v>
      </c>
      <c r="AC2302" s="5">
        <v>0</v>
      </c>
      <c r="AD2302" s="5">
        <v>0</v>
      </c>
      <c r="AE2302" s="10" t="s">
        <v>73</v>
      </c>
      <c r="AF2302" s="10"/>
      <c r="AG2302" s="10" t="s">
        <v>114</v>
      </c>
      <c r="AH2302" s="10">
        <v>42703</v>
      </c>
      <c r="AI2302" s="5">
        <v>4</v>
      </c>
      <c r="AJ2302" s="10" t="s">
        <v>12912</v>
      </c>
      <c r="AK2302" s="10" t="s">
        <v>12913</v>
      </c>
    </row>
    <row r="2303" spans="1:37" ht="36.75" customHeight="1" x14ac:dyDescent="0.35">
      <c r="A2303" s="5"/>
      <c r="B2303" s="5" t="s">
        <v>37</v>
      </c>
      <c r="C2303" s="73" t="str">
        <f t="shared" si="35"/>
        <v>Closed</v>
      </c>
      <c r="D2303" s="45" t="s">
        <v>12914</v>
      </c>
      <c r="E2303" s="54" t="s">
        <v>12915</v>
      </c>
      <c r="F2303" s="5" t="s">
        <v>619</v>
      </c>
      <c r="G2303" s="10">
        <f>DATE(2016,11,4)</f>
        <v>42678</v>
      </c>
      <c r="H2303" s="35">
        <v>1.8736111111111109</v>
      </c>
      <c r="I2303" s="5" t="s">
        <v>106</v>
      </c>
      <c r="J2303" s="10" t="s">
        <v>12916</v>
      </c>
      <c r="K2303" s="5" t="s">
        <v>621</v>
      </c>
      <c r="L2303" s="5" t="s">
        <v>12917</v>
      </c>
      <c r="M2303" s="5" t="s">
        <v>45</v>
      </c>
      <c r="N2303" s="5" t="s">
        <v>80</v>
      </c>
      <c r="O2303" s="5" t="s">
        <v>59</v>
      </c>
      <c r="P2303" s="10" t="s">
        <v>6881</v>
      </c>
      <c r="Q2303" s="10" t="s">
        <v>623</v>
      </c>
      <c r="R2303" s="10" t="s">
        <v>624</v>
      </c>
      <c r="S2303" s="5">
        <v>0</v>
      </c>
      <c r="T2303" s="37">
        <v>0</v>
      </c>
      <c r="U2303" s="5">
        <v>0</v>
      </c>
      <c r="V2303" s="37">
        <v>0</v>
      </c>
      <c r="W2303" s="5">
        <v>0</v>
      </c>
      <c r="X2303" s="5">
        <v>0</v>
      </c>
      <c r="Y2303" s="5">
        <v>0</v>
      </c>
      <c r="Z2303" s="37">
        <v>0</v>
      </c>
      <c r="AA2303" s="5">
        <v>0</v>
      </c>
      <c r="AB2303" s="5">
        <v>0</v>
      </c>
      <c r="AC2303" s="5">
        <v>0</v>
      </c>
      <c r="AD2303" s="5">
        <v>0</v>
      </c>
      <c r="AE2303" s="10" t="s">
        <v>73</v>
      </c>
      <c r="AF2303" s="10"/>
      <c r="AG2303" s="10" t="s">
        <v>114</v>
      </c>
      <c r="AH2303" s="10">
        <v>42724</v>
      </c>
      <c r="AI2303" s="5">
        <v>2</v>
      </c>
      <c r="AJ2303" s="10" t="s">
        <v>12918</v>
      </c>
      <c r="AK2303" s="10" t="s">
        <v>50</v>
      </c>
    </row>
    <row r="2304" spans="1:37" ht="36.75" customHeight="1" x14ac:dyDescent="0.35">
      <c r="A2304" s="5"/>
      <c r="B2304" s="5" t="s">
        <v>37</v>
      </c>
      <c r="C2304" s="73" t="str">
        <f t="shared" si="35"/>
        <v>Closed</v>
      </c>
      <c r="D2304" s="45" t="s">
        <v>12919</v>
      </c>
      <c r="E2304" s="54" t="s">
        <v>12920</v>
      </c>
      <c r="F2304" s="5" t="s">
        <v>6434</v>
      </c>
      <c r="G2304" s="10">
        <f>DATE(2016,11,8)</f>
        <v>42682</v>
      </c>
      <c r="H2304" s="35">
        <v>1.5625</v>
      </c>
      <c r="I2304" s="5" t="s">
        <v>55</v>
      </c>
      <c r="J2304" s="10" t="s">
        <v>12921</v>
      </c>
      <c r="K2304" s="5" t="s">
        <v>565</v>
      </c>
      <c r="L2304" s="5" t="s">
        <v>12922</v>
      </c>
      <c r="M2304" s="5" t="s">
        <v>45</v>
      </c>
      <c r="N2304" s="5" t="s">
        <v>80</v>
      </c>
      <c r="O2304" s="5" t="s">
        <v>59</v>
      </c>
      <c r="P2304" s="10" t="s">
        <v>146</v>
      </c>
      <c r="Q2304" s="10" t="s">
        <v>12923</v>
      </c>
      <c r="R2304" s="10" t="s">
        <v>568</v>
      </c>
      <c r="S2304" s="5">
        <v>0</v>
      </c>
      <c r="T2304" s="37">
        <v>0</v>
      </c>
      <c r="U2304" s="5">
        <v>0</v>
      </c>
      <c r="V2304" s="37">
        <v>0</v>
      </c>
      <c r="W2304" s="5">
        <v>0</v>
      </c>
      <c r="X2304" s="5">
        <v>0</v>
      </c>
      <c r="Y2304" s="5">
        <v>0</v>
      </c>
      <c r="Z2304" s="37">
        <v>0</v>
      </c>
      <c r="AA2304" s="5">
        <v>0</v>
      </c>
      <c r="AB2304" s="5">
        <v>0</v>
      </c>
      <c r="AC2304" s="5">
        <v>0</v>
      </c>
      <c r="AD2304" s="5">
        <v>0</v>
      </c>
      <c r="AE2304" s="10" t="s">
        <v>375</v>
      </c>
      <c r="AF2304" s="10" t="s">
        <v>12924</v>
      </c>
      <c r="AG2304" s="10" t="s">
        <v>8837</v>
      </c>
      <c r="AH2304" s="10">
        <v>42705</v>
      </c>
      <c r="AI2304" s="5">
        <v>0</v>
      </c>
      <c r="AJ2304" s="10" t="s">
        <v>12925</v>
      </c>
      <c r="AK2304" s="10" t="s">
        <v>10547</v>
      </c>
    </row>
    <row r="2305" spans="1:37" ht="36.75" customHeight="1" x14ac:dyDescent="0.35">
      <c r="A2305" s="5"/>
      <c r="B2305" s="5" t="s">
        <v>37</v>
      </c>
      <c r="C2305" s="73" t="str">
        <f t="shared" si="35"/>
        <v>Closed</v>
      </c>
      <c r="D2305" s="45" t="s">
        <v>12926</v>
      </c>
      <c r="E2305" s="54" t="s">
        <v>12927</v>
      </c>
      <c r="F2305" s="5" t="s">
        <v>2316</v>
      </c>
      <c r="G2305" s="10">
        <f>DATE(2016,11,8)</f>
        <v>42682</v>
      </c>
      <c r="H2305" s="35">
        <v>1.2854166666666667</v>
      </c>
      <c r="I2305" s="5" t="s">
        <v>97</v>
      </c>
      <c r="J2305" s="10" t="s">
        <v>12928</v>
      </c>
      <c r="K2305" s="5" t="s">
        <v>2318</v>
      </c>
      <c r="L2305" s="5" t="s">
        <v>12929</v>
      </c>
      <c r="M2305" s="5" t="s">
        <v>45</v>
      </c>
      <c r="N2305" s="5" t="s">
        <v>70</v>
      </c>
      <c r="O2305" s="5" t="s">
        <v>46</v>
      </c>
      <c r="P2305" s="10" t="s">
        <v>6920</v>
      </c>
      <c r="Q2305" s="10" t="s">
        <v>2925</v>
      </c>
      <c r="R2305" s="10" t="s">
        <v>2321</v>
      </c>
      <c r="S2305" s="5">
        <v>0</v>
      </c>
      <c r="T2305" s="37">
        <v>0</v>
      </c>
      <c r="U2305" s="5">
        <v>1</v>
      </c>
      <c r="V2305" s="37">
        <v>0</v>
      </c>
      <c r="W2305" s="5">
        <v>0</v>
      </c>
      <c r="X2305" s="5">
        <v>1</v>
      </c>
      <c r="Y2305" s="5">
        <v>0</v>
      </c>
      <c r="Z2305" s="37">
        <v>0</v>
      </c>
      <c r="AA2305" s="5">
        <v>0</v>
      </c>
      <c r="AB2305" s="5">
        <v>0</v>
      </c>
      <c r="AC2305" s="5">
        <v>0</v>
      </c>
      <c r="AD2305" s="5">
        <v>0</v>
      </c>
      <c r="AE2305" s="10" t="s">
        <v>73</v>
      </c>
      <c r="AF2305" s="10"/>
      <c r="AG2305" s="10" t="s">
        <v>64</v>
      </c>
      <c r="AH2305" s="10">
        <v>42684</v>
      </c>
      <c r="AI2305" s="5">
        <v>11</v>
      </c>
      <c r="AJ2305" s="10" t="s">
        <v>12930</v>
      </c>
      <c r="AK2305" s="10" t="s">
        <v>12931</v>
      </c>
    </row>
    <row r="2306" spans="1:37" ht="36.75" customHeight="1" x14ac:dyDescent="0.35">
      <c r="A2306" s="5"/>
      <c r="B2306" s="5" t="s">
        <v>37</v>
      </c>
      <c r="C2306" s="73" t="str">
        <f t="shared" ref="C2306:C2369" si="36">IF(B2306="Notification","Open",IF(B2306="Interim Statement","In progress","Closed"))</f>
        <v>Closed</v>
      </c>
      <c r="D2306" s="45" t="s">
        <v>12932</v>
      </c>
      <c r="E2306" s="54" t="s">
        <v>12933</v>
      </c>
      <c r="F2306" s="5" t="s">
        <v>5406</v>
      </c>
      <c r="G2306" s="10">
        <f>DATE(2016,11,8)</f>
        <v>42682</v>
      </c>
      <c r="H2306" s="35">
        <v>1.7437499999999999</v>
      </c>
      <c r="I2306" s="5" t="s">
        <v>97</v>
      </c>
      <c r="J2306" s="10" t="s">
        <v>12934</v>
      </c>
      <c r="K2306" s="5" t="s">
        <v>577</v>
      </c>
      <c r="L2306" s="5" t="s">
        <v>12935</v>
      </c>
      <c r="M2306" s="5" t="s">
        <v>45</v>
      </c>
      <c r="N2306" s="5" t="s">
        <v>123</v>
      </c>
      <c r="O2306" s="5" t="s">
        <v>46</v>
      </c>
      <c r="P2306" s="10" t="s">
        <v>146</v>
      </c>
      <c r="Q2306" s="10" t="s">
        <v>10507</v>
      </c>
      <c r="R2306" s="10" t="s">
        <v>12052</v>
      </c>
      <c r="S2306" s="5">
        <v>0</v>
      </c>
      <c r="T2306" s="37">
        <v>0</v>
      </c>
      <c r="U2306" s="5">
        <v>1</v>
      </c>
      <c r="V2306" s="37">
        <v>0</v>
      </c>
      <c r="W2306" s="5">
        <v>0</v>
      </c>
      <c r="X2306" s="5">
        <v>1</v>
      </c>
      <c r="Y2306" s="5">
        <v>0</v>
      </c>
      <c r="Z2306" s="37">
        <v>0</v>
      </c>
      <c r="AA2306" s="5">
        <v>0</v>
      </c>
      <c r="AB2306" s="5">
        <v>0</v>
      </c>
      <c r="AC2306" s="5">
        <v>0</v>
      </c>
      <c r="AD2306" s="5">
        <v>0</v>
      </c>
      <c r="AE2306" s="10" t="s">
        <v>375</v>
      </c>
      <c r="AF2306" s="10"/>
      <c r="AG2306" s="10" t="s">
        <v>114</v>
      </c>
      <c r="AH2306" s="10">
        <v>42502</v>
      </c>
      <c r="AI2306" s="5">
        <v>8</v>
      </c>
      <c r="AJ2306" s="10" t="s">
        <v>12936</v>
      </c>
      <c r="AK2306" s="10" t="s">
        <v>12937</v>
      </c>
    </row>
    <row r="2307" spans="1:37" ht="36.75" customHeight="1" x14ac:dyDescent="0.35">
      <c r="A2307" s="5"/>
      <c r="B2307" s="5" t="s">
        <v>37</v>
      </c>
      <c r="C2307" s="73" t="str">
        <f t="shared" si="36"/>
        <v>Closed</v>
      </c>
      <c r="D2307" s="45" t="s">
        <v>12938</v>
      </c>
      <c r="E2307" s="54" t="s">
        <v>12939</v>
      </c>
      <c r="F2307" s="5" t="s">
        <v>816</v>
      </c>
      <c r="G2307" s="10">
        <f>DATE(2016,11,9)</f>
        <v>42683</v>
      </c>
      <c r="H2307" s="35">
        <v>1.7555555555555555</v>
      </c>
      <c r="I2307" s="5" t="s">
        <v>9004</v>
      </c>
      <c r="J2307" s="10" t="s">
        <v>12940</v>
      </c>
      <c r="K2307" s="5" t="s">
        <v>818</v>
      </c>
      <c r="L2307" s="5" t="s">
        <v>12941</v>
      </c>
      <c r="M2307" s="5" t="s">
        <v>45</v>
      </c>
      <c r="N2307" s="5" t="s">
        <v>123</v>
      </c>
      <c r="O2307" s="5" t="s">
        <v>46</v>
      </c>
      <c r="P2307" s="10" t="s">
        <v>6920</v>
      </c>
      <c r="Q2307" s="10" t="s">
        <v>2142</v>
      </c>
      <c r="R2307" s="10" t="s">
        <v>821</v>
      </c>
      <c r="S2307" s="5">
        <v>0</v>
      </c>
      <c r="T2307" s="37">
        <v>0</v>
      </c>
      <c r="U2307" s="5">
        <v>0</v>
      </c>
      <c r="V2307" s="37">
        <v>0</v>
      </c>
      <c r="W2307" s="5">
        <v>0</v>
      </c>
      <c r="X2307" s="5">
        <v>0</v>
      </c>
      <c r="Y2307" s="5">
        <v>0</v>
      </c>
      <c r="Z2307" s="37">
        <v>0</v>
      </c>
      <c r="AA2307" s="5">
        <v>0</v>
      </c>
      <c r="AB2307" s="5">
        <v>0</v>
      </c>
      <c r="AC2307" s="5">
        <v>0</v>
      </c>
      <c r="AD2307" s="5">
        <v>0</v>
      </c>
      <c r="AE2307" s="10" t="s">
        <v>73</v>
      </c>
      <c r="AF2307" s="10"/>
      <c r="AG2307" s="10" t="s">
        <v>333</v>
      </c>
      <c r="AH2307" s="10">
        <v>42797</v>
      </c>
      <c r="AI2307" s="5">
        <v>1</v>
      </c>
      <c r="AJ2307" s="10" t="s">
        <v>12942</v>
      </c>
      <c r="AK2307" s="10" t="s">
        <v>1215</v>
      </c>
    </row>
    <row r="2308" spans="1:37" ht="36.75" customHeight="1" x14ac:dyDescent="0.35">
      <c r="A2308" s="5"/>
      <c r="B2308" s="5" t="s">
        <v>37</v>
      </c>
      <c r="C2308" s="73" t="str">
        <f t="shared" si="36"/>
        <v>Closed</v>
      </c>
      <c r="D2308" s="45" t="s">
        <v>12943</v>
      </c>
      <c r="E2308" s="54" t="s">
        <v>12944</v>
      </c>
      <c r="F2308" s="5" t="s">
        <v>816</v>
      </c>
      <c r="G2308" s="10">
        <f>DATE(2016,11,9)</f>
        <v>42683</v>
      </c>
      <c r="H2308" s="35">
        <v>1.7520833333333332</v>
      </c>
      <c r="I2308" s="5" t="s">
        <v>97</v>
      </c>
      <c r="J2308" s="10" t="s">
        <v>12945</v>
      </c>
      <c r="K2308" s="5" t="s">
        <v>818</v>
      </c>
      <c r="L2308" s="5" t="s">
        <v>12946</v>
      </c>
      <c r="M2308" s="5" t="s">
        <v>45</v>
      </c>
      <c r="N2308" s="5" t="s">
        <v>123</v>
      </c>
      <c r="O2308" s="5" t="s">
        <v>46</v>
      </c>
      <c r="P2308" s="10" t="s">
        <v>47</v>
      </c>
      <c r="Q2308" s="10" t="s">
        <v>2142</v>
      </c>
      <c r="R2308" s="10" t="s">
        <v>821</v>
      </c>
      <c r="S2308" s="5">
        <v>0</v>
      </c>
      <c r="T2308" s="37">
        <v>0</v>
      </c>
      <c r="U2308" s="5">
        <v>0</v>
      </c>
      <c r="V2308" s="37">
        <v>0</v>
      </c>
      <c r="W2308" s="5">
        <v>0</v>
      </c>
      <c r="X2308" s="5">
        <v>0</v>
      </c>
      <c r="Y2308" s="5">
        <v>0</v>
      </c>
      <c r="Z2308" s="37">
        <v>0</v>
      </c>
      <c r="AA2308" s="5">
        <v>0</v>
      </c>
      <c r="AB2308" s="5">
        <v>0</v>
      </c>
      <c r="AC2308" s="5">
        <v>0</v>
      </c>
      <c r="AD2308" s="5">
        <v>0</v>
      </c>
      <c r="AE2308" s="10" t="s">
        <v>73</v>
      </c>
      <c r="AF2308" s="10"/>
      <c r="AG2308" s="10" t="s">
        <v>333</v>
      </c>
      <c r="AH2308" s="10">
        <v>43018</v>
      </c>
      <c r="AI2308" s="5">
        <v>1</v>
      </c>
      <c r="AJ2308" s="10" t="s">
        <v>12942</v>
      </c>
      <c r="AK2308" s="10" t="s">
        <v>12947</v>
      </c>
    </row>
    <row r="2309" spans="1:37" ht="36.75" customHeight="1" x14ac:dyDescent="0.35">
      <c r="A2309" s="5"/>
      <c r="B2309" s="5" t="s">
        <v>37</v>
      </c>
      <c r="C2309" s="73" t="str">
        <f t="shared" si="36"/>
        <v>Closed</v>
      </c>
      <c r="D2309" s="45" t="s">
        <v>12948</v>
      </c>
      <c r="E2309" s="54" t="s">
        <v>12949</v>
      </c>
      <c r="F2309" s="5" t="s">
        <v>214</v>
      </c>
      <c r="G2309" s="10">
        <f>DATE(2016,11,9)</f>
        <v>42683</v>
      </c>
      <c r="H2309" s="35">
        <v>1.2569444444444444</v>
      </c>
      <c r="I2309" s="5" t="s">
        <v>55</v>
      </c>
      <c r="J2309" s="10" t="s">
        <v>12950</v>
      </c>
      <c r="K2309" s="5" t="s">
        <v>216</v>
      </c>
      <c r="L2309" s="5" t="s">
        <v>12951</v>
      </c>
      <c r="M2309" s="5" t="s">
        <v>236</v>
      </c>
      <c r="N2309" s="5" t="s">
        <v>123</v>
      </c>
      <c r="O2309" s="5" t="s">
        <v>46</v>
      </c>
      <c r="P2309" s="10" t="s">
        <v>6531</v>
      </c>
      <c r="Q2309" s="10" t="s">
        <v>1875</v>
      </c>
      <c r="R2309" s="10" t="s">
        <v>216</v>
      </c>
      <c r="S2309" s="5">
        <v>7</v>
      </c>
      <c r="T2309" s="37">
        <v>0</v>
      </c>
      <c r="U2309" s="5">
        <v>0</v>
      </c>
      <c r="V2309" s="37">
        <v>0</v>
      </c>
      <c r="W2309" s="5">
        <v>0</v>
      </c>
      <c r="X2309" s="5">
        <v>7</v>
      </c>
      <c r="Y2309" s="5">
        <v>8</v>
      </c>
      <c r="Z2309" s="37">
        <v>0</v>
      </c>
      <c r="AA2309" s="5">
        <v>0</v>
      </c>
      <c r="AB2309" s="5">
        <v>0</v>
      </c>
      <c r="AC2309" s="5">
        <v>0</v>
      </c>
      <c r="AD2309" s="5">
        <v>8</v>
      </c>
      <c r="AE2309" s="10" t="s">
        <v>375</v>
      </c>
      <c r="AF2309" s="10"/>
      <c r="AG2309" s="10" t="s">
        <v>64</v>
      </c>
      <c r="AH2309" s="10">
        <v>42683</v>
      </c>
      <c r="AI2309" s="5">
        <v>15</v>
      </c>
      <c r="AJ2309" s="10" t="s">
        <v>12952</v>
      </c>
      <c r="AK2309" s="10" t="s">
        <v>12953</v>
      </c>
    </row>
    <row r="2310" spans="1:37" ht="36.75" customHeight="1" x14ac:dyDescent="0.35">
      <c r="A2310" s="5"/>
      <c r="B2310" s="5" t="s">
        <v>37</v>
      </c>
      <c r="C2310" s="73" t="str">
        <f t="shared" si="36"/>
        <v>Closed</v>
      </c>
      <c r="D2310" s="45" t="s">
        <v>12954</v>
      </c>
      <c r="E2310" s="54" t="s">
        <v>12955</v>
      </c>
      <c r="F2310" s="5" t="s">
        <v>432</v>
      </c>
      <c r="G2310" s="10">
        <f>DATE(2016,11,15)</f>
        <v>42689</v>
      </c>
      <c r="H2310" s="35">
        <v>1.6104166666666666</v>
      </c>
      <c r="I2310" s="5" t="s">
        <v>97</v>
      </c>
      <c r="J2310" s="10" t="s">
        <v>12956</v>
      </c>
      <c r="K2310" s="5" t="s">
        <v>434</v>
      </c>
      <c r="L2310" s="5" t="s">
        <v>12957</v>
      </c>
      <c r="M2310" s="5" t="s">
        <v>45</v>
      </c>
      <c r="N2310" s="5" t="s">
        <v>80</v>
      </c>
      <c r="O2310" s="5" t="s">
        <v>59</v>
      </c>
      <c r="P2310" s="10" t="s">
        <v>47</v>
      </c>
      <c r="Q2310" s="10" t="s">
        <v>552</v>
      </c>
      <c r="R2310" s="10" t="s">
        <v>553</v>
      </c>
      <c r="S2310" s="5">
        <v>0</v>
      </c>
      <c r="T2310" s="37">
        <v>0</v>
      </c>
      <c r="U2310" s="5">
        <v>1</v>
      </c>
      <c r="V2310" s="37">
        <v>0</v>
      </c>
      <c r="W2310" s="5">
        <v>0</v>
      </c>
      <c r="X2310" s="5">
        <v>1</v>
      </c>
      <c r="Y2310" s="5">
        <v>0</v>
      </c>
      <c r="Z2310" s="37">
        <v>0</v>
      </c>
      <c r="AA2310" s="5">
        <v>0</v>
      </c>
      <c r="AB2310" s="5">
        <v>0</v>
      </c>
      <c r="AC2310" s="5">
        <v>0</v>
      </c>
      <c r="AD2310" s="5">
        <v>0</v>
      </c>
      <c r="AE2310" s="10" t="s">
        <v>73</v>
      </c>
      <c r="AF2310" s="10"/>
      <c r="AG2310" s="10" t="s">
        <v>64</v>
      </c>
      <c r="AH2310" s="10">
        <v>42702</v>
      </c>
      <c r="AI2310" s="5">
        <v>0</v>
      </c>
      <c r="AJ2310" s="10" t="s">
        <v>12958</v>
      </c>
      <c r="AK2310" s="10" t="s">
        <v>50</v>
      </c>
    </row>
    <row r="2311" spans="1:37" ht="36.75" customHeight="1" x14ac:dyDescent="0.35">
      <c r="A2311" s="5"/>
      <c r="B2311" s="5" t="s">
        <v>37</v>
      </c>
      <c r="C2311" s="73" t="str">
        <f t="shared" si="36"/>
        <v>Closed</v>
      </c>
      <c r="D2311" s="45" t="s">
        <v>12959</v>
      </c>
      <c r="E2311" s="54" t="s">
        <v>12960</v>
      </c>
      <c r="F2311" s="5" t="s">
        <v>1553</v>
      </c>
      <c r="G2311" s="10">
        <f>DATE(2016,11,17)</f>
        <v>42691</v>
      </c>
      <c r="H2311" s="35">
        <v>1.5590277777777777</v>
      </c>
      <c r="I2311" s="5" t="s">
        <v>55</v>
      </c>
      <c r="J2311" s="10" t="s">
        <v>12961</v>
      </c>
      <c r="K2311" s="5" t="s">
        <v>1555</v>
      </c>
      <c r="L2311" s="5" t="s">
        <v>12962</v>
      </c>
      <c r="M2311" s="5" t="s">
        <v>45</v>
      </c>
      <c r="N2311" s="5" t="s">
        <v>80</v>
      </c>
      <c r="O2311" s="5" t="s">
        <v>59</v>
      </c>
      <c r="P2311" s="10" t="s">
        <v>60</v>
      </c>
      <c r="Q2311" s="10" t="s">
        <v>2635</v>
      </c>
      <c r="R2311" s="10" t="s">
        <v>6413</v>
      </c>
      <c r="S2311" s="5">
        <v>0</v>
      </c>
      <c r="T2311" s="37">
        <v>0</v>
      </c>
      <c r="U2311" s="5">
        <v>0</v>
      </c>
      <c r="V2311" s="37">
        <v>0</v>
      </c>
      <c r="W2311" s="5">
        <v>0</v>
      </c>
      <c r="X2311" s="5">
        <v>0</v>
      </c>
      <c r="Y2311" s="5">
        <v>0</v>
      </c>
      <c r="Z2311" s="37">
        <v>0</v>
      </c>
      <c r="AA2311" s="5">
        <v>0</v>
      </c>
      <c r="AB2311" s="5">
        <v>0</v>
      </c>
      <c r="AC2311" s="5">
        <v>0</v>
      </c>
      <c r="AD2311" s="5">
        <v>0</v>
      </c>
      <c r="AE2311" s="10" t="s">
        <v>73</v>
      </c>
      <c r="AF2311" s="10"/>
      <c r="AG2311" s="10" t="s">
        <v>114</v>
      </c>
      <c r="AH2311" s="10">
        <v>42692</v>
      </c>
      <c r="AI2311" s="5">
        <v>2</v>
      </c>
      <c r="AJ2311" s="10" t="s">
        <v>12963</v>
      </c>
      <c r="AK2311" s="10" t="s">
        <v>12964</v>
      </c>
    </row>
    <row r="2312" spans="1:37" ht="36.75" customHeight="1" x14ac:dyDescent="0.35">
      <c r="A2312" s="5"/>
      <c r="B2312" s="5" t="s">
        <v>37</v>
      </c>
      <c r="C2312" s="73" t="str">
        <f t="shared" si="36"/>
        <v>Closed</v>
      </c>
      <c r="D2312" s="45" t="s">
        <v>12965</v>
      </c>
      <c r="E2312" s="54" t="s">
        <v>12966</v>
      </c>
      <c r="F2312" s="5" t="s">
        <v>816</v>
      </c>
      <c r="G2312" s="10">
        <f>DATE(2016,11,18)</f>
        <v>42692</v>
      </c>
      <c r="H2312" s="35">
        <v>1.5111111111111111</v>
      </c>
      <c r="I2312" s="5" t="s">
        <v>55</v>
      </c>
      <c r="J2312" s="10" t="s">
        <v>12967</v>
      </c>
      <c r="K2312" s="5" t="s">
        <v>818</v>
      </c>
      <c r="L2312" s="5" t="s">
        <v>12968</v>
      </c>
      <c r="M2312" s="5" t="s">
        <v>236</v>
      </c>
      <c r="N2312" s="5" t="s">
        <v>123</v>
      </c>
      <c r="O2312" s="5" t="s">
        <v>46</v>
      </c>
      <c r="P2312" s="10" t="s">
        <v>6531</v>
      </c>
      <c r="Q2312" s="10" t="s">
        <v>4190</v>
      </c>
      <c r="R2312" s="10" t="s">
        <v>4190</v>
      </c>
      <c r="S2312" s="5">
        <v>0</v>
      </c>
      <c r="T2312" s="37">
        <v>0</v>
      </c>
      <c r="U2312" s="5">
        <v>0</v>
      </c>
      <c r="V2312" s="37">
        <v>0</v>
      </c>
      <c r="W2312" s="5">
        <v>0</v>
      </c>
      <c r="X2312" s="5">
        <v>0</v>
      </c>
      <c r="Y2312" s="5">
        <v>0</v>
      </c>
      <c r="Z2312" s="37">
        <v>0</v>
      </c>
      <c r="AA2312" s="5">
        <v>0</v>
      </c>
      <c r="AB2312" s="5">
        <v>0</v>
      </c>
      <c r="AC2312" s="5">
        <v>0</v>
      </c>
      <c r="AD2312" s="5">
        <v>0</v>
      </c>
      <c r="AE2312" s="10" t="s">
        <v>73</v>
      </c>
      <c r="AF2312" s="10"/>
      <c r="AG2312" s="10" t="s">
        <v>348</v>
      </c>
      <c r="AH2312" s="10">
        <v>42716</v>
      </c>
      <c r="AI2312" s="5">
        <v>0</v>
      </c>
      <c r="AJ2312" s="10" t="s">
        <v>12969</v>
      </c>
      <c r="AK2312" s="10" t="s">
        <v>12970</v>
      </c>
    </row>
    <row r="2313" spans="1:37" ht="36.75" customHeight="1" x14ac:dyDescent="0.35">
      <c r="A2313" s="5"/>
      <c r="B2313" s="5" t="s">
        <v>37</v>
      </c>
      <c r="C2313" s="73" t="str">
        <f t="shared" si="36"/>
        <v>Closed</v>
      </c>
      <c r="D2313" s="45" t="s">
        <v>12971</v>
      </c>
      <c r="E2313" s="54" t="s">
        <v>12972</v>
      </c>
      <c r="F2313" s="5" t="s">
        <v>1553</v>
      </c>
      <c r="G2313" s="10">
        <f>DATE(2016,11,24)</f>
        <v>42698</v>
      </c>
      <c r="H2313" s="35">
        <v>1.0694444444444444</v>
      </c>
      <c r="I2313" s="5" t="s">
        <v>67</v>
      </c>
      <c r="J2313" s="10" t="s">
        <v>12973</v>
      </c>
      <c r="K2313" s="5" t="s">
        <v>1555</v>
      </c>
      <c r="L2313" s="5" t="s">
        <v>11980</v>
      </c>
      <c r="M2313" s="5" t="s">
        <v>45</v>
      </c>
      <c r="N2313" s="5" t="s">
        <v>123</v>
      </c>
      <c r="O2313" s="5" t="s">
        <v>59</v>
      </c>
      <c r="P2313" s="10" t="s">
        <v>72</v>
      </c>
      <c r="Q2313" s="10" t="s">
        <v>1565</v>
      </c>
      <c r="R2313" s="10" t="s">
        <v>6413</v>
      </c>
      <c r="S2313" s="5">
        <v>0</v>
      </c>
      <c r="T2313" s="37">
        <v>0</v>
      </c>
      <c r="U2313" s="5">
        <v>0</v>
      </c>
      <c r="V2313" s="37">
        <v>0</v>
      </c>
      <c r="W2313" s="5">
        <v>0</v>
      </c>
      <c r="X2313" s="5">
        <v>0</v>
      </c>
      <c r="Y2313" s="5">
        <v>0</v>
      </c>
      <c r="Z2313" s="37">
        <v>0</v>
      </c>
      <c r="AA2313" s="5">
        <v>0</v>
      </c>
      <c r="AB2313" s="5">
        <v>0</v>
      </c>
      <c r="AC2313" s="5">
        <v>0</v>
      </c>
      <c r="AD2313" s="5">
        <v>0</v>
      </c>
      <c r="AE2313" s="10" t="s">
        <v>73</v>
      </c>
      <c r="AF2313" s="10"/>
      <c r="AG2313" s="10" t="s">
        <v>114</v>
      </c>
      <c r="AH2313" s="10">
        <v>42698</v>
      </c>
      <c r="AI2313" s="5">
        <v>0</v>
      </c>
      <c r="AJ2313" s="10" t="s">
        <v>12974</v>
      </c>
      <c r="AK2313" s="10" t="s">
        <v>12975</v>
      </c>
    </row>
    <row r="2314" spans="1:37" ht="36.75" customHeight="1" x14ac:dyDescent="0.35">
      <c r="A2314" s="5"/>
      <c r="B2314" s="5" t="s">
        <v>37</v>
      </c>
      <c r="C2314" s="73" t="str">
        <f t="shared" si="36"/>
        <v>Closed</v>
      </c>
      <c r="D2314" s="45" t="s">
        <v>12976</v>
      </c>
      <c r="E2314" s="54" t="s">
        <v>12977</v>
      </c>
      <c r="F2314" s="5" t="s">
        <v>605</v>
      </c>
      <c r="G2314" s="10">
        <f>DATE(2016,11,26)</f>
        <v>42700</v>
      </c>
      <c r="H2314" s="35">
        <v>0</v>
      </c>
      <c r="I2314" s="5" t="s">
        <v>55</v>
      </c>
      <c r="J2314" s="10" t="s">
        <v>55</v>
      </c>
      <c r="K2314" s="5" t="s">
        <v>607</v>
      </c>
      <c r="L2314" s="5" t="s">
        <v>7789</v>
      </c>
      <c r="M2314" s="5" t="s">
        <v>45</v>
      </c>
      <c r="N2314" s="5" t="s">
        <v>70</v>
      </c>
      <c r="O2314" s="5" t="s">
        <v>59</v>
      </c>
      <c r="P2314" s="10" t="s">
        <v>146</v>
      </c>
      <c r="Q2314" s="10" t="s">
        <v>7160</v>
      </c>
      <c r="R2314" s="10" t="s">
        <v>610</v>
      </c>
      <c r="S2314" s="5">
        <v>0</v>
      </c>
      <c r="T2314" s="37">
        <v>0</v>
      </c>
      <c r="U2314" s="5">
        <v>0</v>
      </c>
      <c r="V2314" s="37">
        <v>0</v>
      </c>
      <c r="W2314" s="5">
        <v>0</v>
      </c>
      <c r="X2314" s="5">
        <v>0</v>
      </c>
      <c r="Y2314" s="5">
        <v>0</v>
      </c>
      <c r="Z2314" s="37">
        <v>0</v>
      </c>
      <c r="AA2314" s="5">
        <v>0</v>
      </c>
      <c r="AB2314" s="5">
        <v>0</v>
      </c>
      <c r="AC2314" s="5">
        <v>0</v>
      </c>
      <c r="AD2314" s="5">
        <v>0</v>
      </c>
      <c r="AE2314" s="10" t="s">
        <v>73</v>
      </c>
      <c r="AF2314" s="10"/>
      <c r="AG2314" s="10" t="s">
        <v>333</v>
      </c>
      <c r="AH2314" s="10">
        <v>42700</v>
      </c>
      <c r="AI2314" s="5">
        <v>3</v>
      </c>
      <c r="AJ2314" s="10" t="s">
        <v>12978</v>
      </c>
      <c r="AK2314" s="10" t="s">
        <v>50</v>
      </c>
    </row>
    <row r="2315" spans="1:37" ht="36.75" customHeight="1" x14ac:dyDescent="0.35">
      <c r="A2315" s="5"/>
      <c r="B2315" s="5" t="s">
        <v>37</v>
      </c>
      <c r="C2315" s="73" t="str">
        <f t="shared" si="36"/>
        <v>Closed</v>
      </c>
      <c r="D2315" s="45" t="s">
        <v>12979</v>
      </c>
      <c r="E2315" s="54" t="s">
        <v>12980</v>
      </c>
      <c r="F2315" s="5" t="s">
        <v>816</v>
      </c>
      <c r="G2315" s="10">
        <f>DATE(2016,11,28)</f>
        <v>42702</v>
      </c>
      <c r="H2315" s="35">
        <v>1.3854166666666667</v>
      </c>
      <c r="I2315" s="5" t="s">
        <v>97</v>
      </c>
      <c r="J2315" s="10" t="s">
        <v>12981</v>
      </c>
      <c r="K2315" s="5" t="s">
        <v>818</v>
      </c>
      <c r="L2315" s="5" t="s">
        <v>12982</v>
      </c>
      <c r="M2315" s="5" t="s">
        <v>45</v>
      </c>
      <c r="N2315" s="5" t="s">
        <v>80</v>
      </c>
      <c r="O2315" s="5" t="s">
        <v>46</v>
      </c>
      <c r="P2315" s="10" t="s">
        <v>60</v>
      </c>
      <c r="Q2315" s="10" t="s">
        <v>3757</v>
      </c>
      <c r="R2315" s="10" t="s">
        <v>821</v>
      </c>
      <c r="S2315" s="5">
        <v>0</v>
      </c>
      <c r="T2315" s="37">
        <v>1</v>
      </c>
      <c r="U2315" s="5">
        <v>0</v>
      </c>
      <c r="V2315" s="37">
        <v>0</v>
      </c>
      <c r="W2315" s="5">
        <v>0</v>
      </c>
      <c r="X2315" s="5">
        <v>1</v>
      </c>
      <c r="Y2315" s="5">
        <v>0</v>
      </c>
      <c r="Z2315" s="37">
        <v>0</v>
      </c>
      <c r="AA2315" s="5">
        <v>0</v>
      </c>
      <c r="AB2315" s="5">
        <v>0</v>
      </c>
      <c r="AC2315" s="5">
        <v>0</v>
      </c>
      <c r="AD2315" s="5">
        <v>0</v>
      </c>
      <c r="AE2315" s="10" t="s">
        <v>73</v>
      </c>
      <c r="AF2315" s="10"/>
      <c r="AG2315" s="10" t="s">
        <v>333</v>
      </c>
      <c r="AH2315" s="10">
        <v>42702</v>
      </c>
      <c r="AI2315" s="5">
        <v>0</v>
      </c>
      <c r="AJ2315" s="10" t="s">
        <v>12983</v>
      </c>
      <c r="AK2315" s="10" t="s">
        <v>1215</v>
      </c>
    </row>
    <row r="2316" spans="1:37" ht="36.75" customHeight="1" x14ac:dyDescent="0.35">
      <c r="A2316" s="5"/>
      <c r="B2316" s="5" t="s">
        <v>37</v>
      </c>
      <c r="C2316" s="73" t="str">
        <f t="shared" si="36"/>
        <v>Closed</v>
      </c>
      <c r="D2316" s="45" t="s">
        <v>12984</v>
      </c>
      <c r="E2316" s="54" t="s">
        <v>12985</v>
      </c>
      <c r="F2316" s="5" t="s">
        <v>178</v>
      </c>
      <c r="G2316" s="10">
        <f>DATE(2016,11,29)</f>
        <v>42703</v>
      </c>
      <c r="H2316" s="35">
        <v>1.7868055555555555</v>
      </c>
      <c r="I2316" s="5" t="s">
        <v>179</v>
      </c>
      <c r="J2316" s="10" t="s">
        <v>12986</v>
      </c>
      <c r="K2316" s="5" t="s">
        <v>181</v>
      </c>
      <c r="L2316" s="5" t="s">
        <v>12987</v>
      </c>
      <c r="M2316" s="5" t="s">
        <v>45</v>
      </c>
      <c r="N2316" s="5" t="s">
        <v>70</v>
      </c>
      <c r="O2316" s="5" t="s">
        <v>46</v>
      </c>
      <c r="P2316" s="10" t="s">
        <v>8003</v>
      </c>
      <c r="Q2316" s="10" t="s">
        <v>12988</v>
      </c>
      <c r="R2316" s="10" t="s">
        <v>184</v>
      </c>
      <c r="S2316" s="5">
        <v>0</v>
      </c>
      <c r="T2316" s="37">
        <v>0</v>
      </c>
      <c r="U2316" s="5">
        <v>0</v>
      </c>
      <c r="V2316" s="37">
        <v>0</v>
      </c>
      <c r="W2316" s="5">
        <v>0</v>
      </c>
      <c r="X2316" s="5">
        <v>0</v>
      </c>
      <c r="Y2316" s="5">
        <v>2</v>
      </c>
      <c r="Z2316" s="37">
        <v>0</v>
      </c>
      <c r="AA2316" s="5">
        <v>0</v>
      </c>
      <c r="AB2316" s="5">
        <v>0</v>
      </c>
      <c r="AC2316" s="5">
        <v>0</v>
      </c>
      <c r="AD2316" s="5">
        <v>2</v>
      </c>
      <c r="AE2316" s="10" t="s">
        <v>73</v>
      </c>
      <c r="AF2316" s="10"/>
      <c r="AG2316" s="10" t="s">
        <v>333</v>
      </c>
      <c r="AH2316" s="10">
        <v>42713</v>
      </c>
      <c r="AI2316" s="5">
        <v>2</v>
      </c>
      <c r="AJ2316" s="10" t="s">
        <v>12989</v>
      </c>
      <c r="AK2316" s="10" t="s">
        <v>1215</v>
      </c>
    </row>
    <row r="2317" spans="1:37" ht="36.75" customHeight="1" x14ac:dyDescent="0.35">
      <c r="A2317" s="5"/>
      <c r="B2317" s="5" t="s">
        <v>37</v>
      </c>
      <c r="C2317" s="73" t="str">
        <f t="shared" si="36"/>
        <v>Closed</v>
      </c>
      <c r="D2317" s="45" t="s">
        <v>12990</v>
      </c>
      <c r="E2317" s="54" t="s">
        <v>12991</v>
      </c>
      <c r="F2317" s="5" t="s">
        <v>1553</v>
      </c>
      <c r="G2317" s="10">
        <f>DATE(2016,11,29)</f>
        <v>42703</v>
      </c>
      <c r="H2317" s="35">
        <v>1.5694444444444444</v>
      </c>
      <c r="I2317" s="5" t="s">
        <v>5473</v>
      </c>
      <c r="J2317" s="10" t="s">
        <v>12992</v>
      </c>
      <c r="K2317" s="5" t="s">
        <v>1555</v>
      </c>
      <c r="L2317" s="5" t="s">
        <v>12993</v>
      </c>
      <c r="M2317" s="5" t="s">
        <v>45</v>
      </c>
      <c r="N2317" s="5" t="s">
        <v>80</v>
      </c>
      <c r="O2317" s="5" t="s">
        <v>59</v>
      </c>
      <c r="P2317" s="10" t="s">
        <v>72</v>
      </c>
      <c r="Q2317" s="10" t="s">
        <v>2635</v>
      </c>
      <c r="R2317" s="10" t="s">
        <v>6413</v>
      </c>
      <c r="S2317" s="5">
        <v>0</v>
      </c>
      <c r="T2317" s="37">
        <v>2</v>
      </c>
      <c r="U2317" s="5">
        <v>0</v>
      </c>
      <c r="V2317" s="37">
        <v>0</v>
      </c>
      <c r="W2317" s="5">
        <v>0</v>
      </c>
      <c r="X2317" s="5">
        <v>2</v>
      </c>
      <c r="Y2317" s="5">
        <v>0</v>
      </c>
      <c r="Z2317" s="37">
        <v>0</v>
      </c>
      <c r="AA2317" s="5">
        <v>0</v>
      </c>
      <c r="AB2317" s="5">
        <v>0</v>
      </c>
      <c r="AC2317" s="5">
        <v>0</v>
      </c>
      <c r="AD2317" s="5">
        <v>0</v>
      </c>
      <c r="AE2317" s="10" t="s">
        <v>375</v>
      </c>
      <c r="AF2317" s="10"/>
      <c r="AG2317" s="10" t="s">
        <v>64</v>
      </c>
      <c r="AH2317" s="10">
        <v>42709</v>
      </c>
      <c r="AI2317" s="5">
        <v>4</v>
      </c>
      <c r="AJ2317" s="10" t="s">
        <v>12994</v>
      </c>
      <c r="AK2317" s="10" t="s">
        <v>12995</v>
      </c>
    </row>
    <row r="2318" spans="1:37" ht="36.75" customHeight="1" x14ac:dyDescent="0.35">
      <c r="A2318" s="5"/>
      <c r="B2318" s="5" t="s">
        <v>37</v>
      </c>
      <c r="C2318" s="73" t="str">
        <f t="shared" si="36"/>
        <v>Closed</v>
      </c>
      <c r="D2318" s="45" t="s">
        <v>12996</v>
      </c>
      <c r="E2318" s="54" t="s">
        <v>12997</v>
      </c>
      <c r="F2318" s="5" t="s">
        <v>1553</v>
      </c>
      <c r="G2318" s="10">
        <f>DATE(2016,11,29)</f>
        <v>42703</v>
      </c>
      <c r="H2318" s="35">
        <v>1.7430555555555554</v>
      </c>
      <c r="I2318" s="5" t="s">
        <v>106</v>
      </c>
      <c r="J2318" s="10" t="s">
        <v>12998</v>
      </c>
      <c r="K2318" s="5" t="s">
        <v>1555</v>
      </c>
      <c r="L2318" s="5" t="s">
        <v>12999</v>
      </c>
      <c r="M2318" s="5" t="s">
        <v>45</v>
      </c>
      <c r="N2318" s="5" t="s">
        <v>80</v>
      </c>
      <c r="O2318" s="5" t="s">
        <v>59</v>
      </c>
      <c r="P2318" s="10" t="s">
        <v>6920</v>
      </c>
      <c r="Q2318" s="10" t="s">
        <v>2393</v>
      </c>
      <c r="R2318" s="10" t="s">
        <v>6413</v>
      </c>
      <c r="S2318" s="5">
        <v>0</v>
      </c>
      <c r="T2318" s="37">
        <v>0</v>
      </c>
      <c r="U2318" s="5">
        <v>0</v>
      </c>
      <c r="V2318" s="37">
        <v>0</v>
      </c>
      <c r="W2318" s="5">
        <v>0</v>
      </c>
      <c r="X2318" s="5">
        <v>0</v>
      </c>
      <c r="Y2318" s="5">
        <v>0</v>
      </c>
      <c r="Z2318" s="37">
        <v>1</v>
      </c>
      <c r="AA2318" s="5">
        <v>0</v>
      </c>
      <c r="AB2318" s="5">
        <v>0</v>
      </c>
      <c r="AC2318" s="5">
        <v>0</v>
      </c>
      <c r="AD2318" s="5">
        <v>1</v>
      </c>
      <c r="AE2318" s="10" t="s">
        <v>73</v>
      </c>
      <c r="AF2318" s="10"/>
      <c r="AG2318" s="10" t="s">
        <v>114</v>
      </c>
      <c r="AH2318" s="10">
        <v>42709</v>
      </c>
      <c r="AI2318" s="5">
        <v>1</v>
      </c>
      <c r="AJ2318" s="10" t="s">
        <v>13000</v>
      </c>
      <c r="AK2318" s="10" t="s">
        <v>13001</v>
      </c>
    </row>
    <row r="2319" spans="1:37" ht="36.75" customHeight="1" x14ac:dyDescent="0.35">
      <c r="A2319" s="5"/>
      <c r="B2319" s="5" t="s">
        <v>37</v>
      </c>
      <c r="C2319" s="73" t="str">
        <f t="shared" si="36"/>
        <v>Closed</v>
      </c>
      <c r="D2319" s="45" t="s">
        <v>13002</v>
      </c>
      <c r="E2319" s="54" t="s">
        <v>13003</v>
      </c>
      <c r="F2319" s="5" t="s">
        <v>2316</v>
      </c>
      <c r="G2319" s="10">
        <f>DATE(2016,12,2)</f>
        <v>42706</v>
      </c>
      <c r="H2319" s="35">
        <v>1.1743055555555555</v>
      </c>
      <c r="I2319" s="5" t="s">
        <v>179</v>
      </c>
      <c r="J2319" s="10" t="s">
        <v>13004</v>
      </c>
      <c r="K2319" s="5" t="s">
        <v>2318</v>
      </c>
      <c r="L2319" s="5" t="s">
        <v>13005</v>
      </c>
      <c r="M2319" s="5" t="s">
        <v>45</v>
      </c>
      <c r="N2319" s="5" t="s">
        <v>123</v>
      </c>
      <c r="O2319" s="5" t="s">
        <v>46</v>
      </c>
      <c r="P2319" s="10" t="s">
        <v>60</v>
      </c>
      <c r="Q2319" s="10" t="s">
        <v>13006</v>
      </c>
      <c r="R2319" s="10" t="s">
        <v>2321</v>
      </c>
      <c r="S2319" s="5">
        <v>0</v>
      </c>
      <c r="T2319" s="37">
        <v>0</v>
      </c>
      <c r="U2319" s="5">
        <v>0</v>
      </c>
      <c r="V2319" s="37">
        <v>0</v>
      </c>
      <c r="W2319" s="5">
        <v>0</v>
      </c>
      <c r="X2319" s="5">
        <v>0</v>
      </c>
      <c r="Y2319" s="5">
        <v>0</v>
      </c>
      <c r="Z2319" s="37">
        <v>0</v>
      </c>
      <c r="AA2319" s="5">
        <v>0</v>
      </c>
      <c r="AB2319" s="5">
        <v>0</v>
      </c>
      <c r="AC2319" s="5">
        <v>0</v>
      </c>
      <c r="AD2319" s="5">
        <v>0</v>
      </c>
      <c r="AE2319" s="10" t="s">
        <v>375</v>
      </c>
      <c r="AF2319" s="10"/>
      <c r="AG2319" s="10" t="s">
        <v>570</v>
      </c>
      <c r="AH2319" s="10">
        <v>42912</v>
      </c>
      <c r="AI2319" s="5">
        <v>5</v>
      </c>
      <c r="AJ2319" s="10" t="s">
        <v>13007</v>
      </c>
      <c r="AK2319" s="10" t="s">
        <v>13008</v>
      </c>
    </row>
    <row r="2320" spans="1:37" ht="36.75" customHeight="1" x14ac:dyDescent="0.35">
      <c r="A2320" s="5"/>
      <c r="B2320" s="5" t="s">
        <v>37</v>
      </c>
      <c r="C2320" s="73" t="str">
        <f t="shared" si="36"/>
        <v>Closed</v>
      </c>
      <c r="D2320" s="45" t="s">
        <v>13009</v>
      </c>
      <c r="E2320" s="54" t="s">
        <v>13010</v>
      </c>
      <c r="F2320" s="5" t="s">
        <v>605</v>
      </c>
      <c r="G2320" s="10">
        <f>DATE(2016,12,2)</f>
        <v>42706</v>
      </c>
      <c r="H2320" s="35">
        <v>0</v>
      </c>
      <c r="I2320" s="5" t="s">
        <v>137</v>
      </c>
      <c r="J2320" s="10" t="s">
        <v>137</v>
      </c>
      <c r="K2320" s="5" t="s">
        <v>607</v>
      </c>
      <c r="L2320" s="5" t="s">
        <v>13011</v>
      </c>
      <c r="M2320" s="5" t="s">
        <v>45</v>
      </c>
      <c r="N2320" s="5" t="s">
        <v>123</v>
      </c>
      <c r="O2320" s="5" t="s">
        <v>46</v>
      </c>
      <c r="P2320" s="10" t="s">
        <v>47</v>
      </c>
      <c r="Q2320" s="10" t="s">
        <v>7160</v>
      </c>
      <c r="R2320" s="10" t="s">
        <v>610</v>
      </c>
      <c r="S2320" s="5">
        <v>0</v>
      </c>
      <c r="T2320" s="37">
        <v>0</v>
      </c>
      <c r="U2320" s="5">
        <v>0</v>
      </c>
      <c r="V2320" s="37">
        <v>0</v>
      </c>
      <c r="W2320" s="5">
        <v>0</v>
      </c>
      <c r="X2320" s="5">
        <v>0</v>
      </c>
      <c r="Y2320" s="5">
        <v>0</v>
      </c>
      <c r="Z2320" s="37">
        <v>0</v>
      </c>
      <c r="AA2320" s="5">
        <v>0</v>
      </c>
      <c r="AB2320" s="5">
        <v>0</v>
      </c>
      <c r="AC2320" s="5">
        <v>0</v>
      </c>
      <c r="AD2320" s="5">
        <v>0</v>
      </c>
      <c r="AE2320" s="10" t="s">
        <v>73</v>
      </c>
      <c r="AF2320" s="10"/>
      <c r="AG2320" s="10" t="s">
        <v>376</v>
      </c>
      <c r="AH2320" s="10">
        <v>42412</v>
      </c>
      <c r="AI2320" s="5">
        <v>1</v>
      </c>
      <c r="AJ2320" s="10" t="s">
        <v>13012</v>
      </c>
      <c r="AK2320" s="10" t="s">
        <v>50</v>
      </c>
    </row>
    <row r="2321" spans="1:37" ht="36.75" customHeight="1" x14ac:dyDescent="0.35">
      <c r="A2321" s="5"/>
      <c r="B2321" s="5" t="s">
        <v>37</v>
      </c>
      <c r="C2321" s="73" t="str">
        <f t="shared" si="36"/>
        <v>Closed</v>
      </c>
      <c r="D2321" s="45" t="s">
        <v>13013</v>
      </c>
      <c r="E2321" s="54" t="s">
        <v>13014</v>
      </c>
      <c r="F2321" s="5" t="s">
        <v>816</v>
      </c>
      <c r="G2321" s="10">
        <f>DATE(2016,12,5)</f>
        <v>42709</v>
      </c>
      <c r="H2321" s="35">
        <v>1.2854166666666667</v>
      </c>
      <c r="I2321" s="5" t="s">
        <v>179</v>
      </c>
      <c r="J2321" s="10" t="s">
        <v>13015</v>
      </c>
      <c r="K2321" s="5" t="s">
        <v>818</v>
      </c>
      <c r="L2321" s="5" t="s">
        <v>13016</v>
      </c>
      <c r="M2321" s="5" t="s">
        <v>110</v>
      </c>
      <c r="N2321" s="5" t="s">
        <v>123</v>
      </c>
      <c r="O2321" s="5" t="s">
        <v>59</v>
      </c>
      <c r="P2321" s="10" t="s">
        <v>110</v>
      </c>
      <c r="Q2321" s="10" t="s">
        <v>4190</v>
      </c>
      <c r="R2321" s="10" t="s">
        <v>4190</v>
      </c>
      <c r="S2321" s="5">
        <v>0</v>
      </c>
      <c r="T2321" s="37">
        <v>0</v>
      </c>
      <c r="U2321" s="5">
        <v>0</v>
      </c>
      <c r="V2321" s="37">
        <v>0</v>
      </c>
      <c r="W2321" s="5">
        <v>0</v>
      </c>
      <c r="X2321" s="5">
        <v>0</v>
      </c>
      <c r="Y2321" s="5">
        <v>2</v>
      </c>
      <c r="Z2321" s="37">
        <v>0</v>
      </c>
      <c r="AA2321" s="5">
        <v>0</v>
      </c>
      <c r="AB2321" s="5">
        <v>0</v>
      </c>
      <c r="AC2321" s="5">
        <v>0</v>
      </c>
      <c r="AD2321" s="5">
        <v>2</v>
      </c>
      <c r="AE2321" s="10" t="s">
        <v>375</v>
      </c>
      <c r="AF2321" s="10"/>
      <c r="AG2321" s="10" t="s">
        <v>114</v>
      </c>
      <c r="AH2321" s="10">
        <v>42709</v>
      </c>
      <c r="AI2321" s="5">
        <v>3</v>
      </c>
      <c r="AJ2321" s="10" t="s">
        <v>13017</v>
      </c>
      <c r="AK2321" s="10" t="s">
        <v>50</v>
      </c>
    </row>
    <row r="2322" spans="1:37" ht="36.75" customHeight="1" x14ac:dyDescent="0.35">
      <c r="A2322" s="5"/>
      <c r="B2322" s="5" t="s">
        <v>887</v>
      </c>
      <c r="C2322" s="73" t="str">
        <f t="shared" si="36"/>
        <v>Open</v>
      </c>
      <c r="D2322" s="45" t="s">
        <v>13018</v>
      </c>
      <c r="E2322" s="54" t="s">
        <v>13019</v>
      </c>
      <c r="F2322" s="5" t="s">
        <v>575</v>
      </c>
      <c r="G2322" s="10">
        <f>DATE(2016,12,6)</f>
        <v>42710</v>
      </c>
      <c r="H2322" s="35">
        <v>1.0034722222222223</v>
      </c>
      <c r="I2322" s="5" t="s">
        <v>2059</v>
      </c>
      <c r="J2322" s="10" t="s">
        <v>13020</v>
      </c>
      <c r="K2322" s="5" t="s">
        <v>577</v>
      </c>
      <c r="L2322" s="5" t="s">
        <v>13021</v>
      </c>
      <c r="M2322" s="5" t="s">
        <v>45</v>
      </c>
      <c r="N2322" s="5" t="s">
        <v>123</v>
      </c>
      <c r="O2322" s="5" t="s">
        <v>46</v>
      </c>
      <c r="P2322" s="10" t="s">
        <v>282</v>
      </c>
      <c r="Q2322" s="10" t="s">
        <v>12052</v>
      </c>
      <c r="R2322" s="10" t="s">
        <v>12052</v>
      </c>
      <c r="S2322" s="5">
        <v>0</v>
      </c>
      <c r="T2322" s="37">
        <v>0</v>
      </c>
      <c r="U2322" s="5">
        <v>0</v>
      </c>
      <c r="V2322" s="37">
        <v>0</v>
      </c>
      <c r="W2322" s="5">
        <v>0</v>
      </c>
      <c r="X2322" s="5">
        <v>0</v>
      </c>
      <c r="Y2322" s="5">
        <v>0</v>
      </c>
      <c r="Z2322" s="37">
        <v>0</v>
      </c>
      <c r="AA2322" s="5">
        <v>0</v>
      </c>
      <c r="AB2322" s="5">
        <v>0</v>
      </c>
      <c r="AC2322" s="5">
        <v>0</v>
      </c>
      <c r="AD2322" s="5">
        <v>0</v>
      </c>
      <c r="AE2322" s="10" t="s">
        <v>73</v>
      </c>
      <c r="AF2322" s="10"/>
      <c r="AG2322" s="10" t="s">
        <v>114</v>
      </c>
      <c r="AH2322" s="10">
        <v>43070</v>
      </c>
      <c r="AI2322" s="5">
        <v>0</v>
      </c>
      <c r="AJ2322" s="10" t="s">
        <v>50</v>
      </c>
      <c r="AK2322" s="10" t="s">
        <v>50</v>
      </c>
    </row>
    <row r="2323" spans="1:37" ht="36.75" customHeight="1" x14ac:dyDescent="0.35">
      <c r="A2323" s="5"/>
      <c r="B2323" s="5" t="s">
        <v>37</v>
      </c>
      <c r="C2323" s="73" t="str">
        <f t="shared" si="36"/>
        <v>Closed</v>
      </c>
      <c r="D2323" s="45" t="s">
        <v>13022</v>
      </c>
      <c r="E2323" s="54" t="s">
        <v>13023</v>
      </c>
      <c r="F2323" s="5" t="s">
        <v>2581</v>
      </c>
      <c r="G2323" s="10">
        <f>DATE(2016,12,10)</f>
        <v>42714</v>
      </c>
      <c r="H2323" s="35">
        <v>1.2340277777777777</v>
      </c>
      <c r="I2323" s="5" t="s">
        <v>55</v>
      </c>
      <c r="J2323" s="10" t="s">
        <v>13024</v>
      </c>
      <c r="K2323" s="5" t="s">
        <v>2583</v>
      </c>
      <c r="L2323" s="5" t="s">
        <v>13025</v>
      </c>
      <c r="M2323" s="5" t="s">
        <v>45</v>
      </c>
      <c r="N2323" s="5" t="s">
        <v>70</v>
      </c>
      <c r="O2323" s="5" t="s">
        <v>59</v>
      </c>
      <c r="P2323" s="10" t="s">
        <v>60</v>
      </c>
      <c r="Q2323" s="10" t="s">
        <v>13026</v>
      </c>
      <c r="R2323" s="10" t="s">
        <v>2586</v>
      </c>
      <c r="S2323" s="5">
        <v>0</v>
      </c>
      <c r="T2323" s="37">
        <v>0</v>
      </c>
      <c r="U2323" s="5">
        <v>0</v>
      </c>
      <c r="V2323" s="37">
        <v>0</v>
      </c>
      <c r="W2323" s="5">
        <v>7</v>
      </c>
      <c r="X2323" s="5">
        <v>7</v>
      </c>
      <c r="Y2323" s="5">
        <v>0</v>
      </c>
      <c r="Z2323" s="37">
        <v>0</v>
      </c>
      <c r="AA2323" s="5">
        <v>0</v>
      </c>
      <c r="AB2323" s="5">
        <v>0</v>
      </c>
      <c r="AC2323" s="5">
        <v>4</v>
      </c>
      <c r="AD2323" s="5">
        <v>4</v>
      </c>
      <c r="AE2323" s="10" t="s">
        <v>375</v>
      </c>
      <c r="AF2323" s="10"/>
      <c r="AG2323" s="10" t="s">
        <v>64</v>
      </c>
      <c r="AH2323" s="10">
        <v>42714</v>
      </c>
      <c r="AI2323" s="5">
        <v>16</v>
      </c>
      <c r="AJ2323" s="10" t="s">
        <v>13027</v>
      </c>
      <c r="AK2323" s="10" t="s">
        <v>13028</v>
      </c>
    </row>
    <row r="2324" spans="1:37" ht="36.75" customHeight="1" x14ac:dyDescent="0.35">
      <c r="A2324" s="5"/>
      <c r="B2324" s="5" t="s">
        <v>37</v>
      </c>
      <c r="C2324" s="73" t="str">
        <f t="shared" si="36"/>
        <v>Closed</v>
      </c>
      <c r="D2324" s="45" t="s">
        <v>13029</v>
      </c>
      <c r="E2324" s="54" t="s">
        <v>13030</v>
      </c>
      <c r="F2324" s="5" t="s">
        <v>432</v>
      </c>
      <c r="G2324" s="10">
        <f>DATE(2016,12,12)</f>
        <v>42716</v>
      </c>
      <c r="H2324" s="35">
        <v>0</v>
      </c>
      <c r="I2324" s="5" t="s">
        <v>259</v>
      </c>
      <c r="J2324" s="10" t="s">
        <v>13031</v>
      </c>
      <c r="K2324" s="5" t="s">
        <v>434</v>
      </c>
      <c r="L2324" s="5" t="s">
        <v>13032</v>
      </c>
      <c r="M2324" s="5" t="s">
        <v>45</v>
      </c>
      <c r="N2324" s="5" t="s">
        <v>80</v>
      </c>
      <c r="O2324" s="5" t="s">
        <v>71</v>
      </c>
      <c r="P2324" s="10" t="s">
        <v>72</v>
      </c>
      <c r="Q2324" s="10" t="s">
        <v>10962</v>
      </c>
      <c r="R2324" s="10" t="s">
        <v>553</v>
      </c>
      <c r="S2324" s="5">
        <v>0</v>
      </c>
      <c r="T2324" s="37">
        <v>1</v>
      </c>
      <c r="U2324" s="5">
        <v>0</v>
      </c>
      <c r="V2324" s="37">
        <v>0</v>
      </c>
      <c r="W2324" s="5">
        <v>0</v>
      </c>
      <c r="X2324" s="5">
        <v>1</v>
      </c>
      <c r="Y2324" s="5">
        <v>0</v>
      </c>
      <c r="Z2324" s="37">
        <v>0</v>
      </c>
      <c r="AA2324" s="5">
        <v>0</v>
      </c>
      <c r="AB2324" s="5">
        <v>0</v>
      </c>
      <c r="AC2324" s="5">
        <v>0</v>
      </c>
      <c r="AD2324" s="5">
        <v>0</v>
      </c>
      <c r="AE2324" s="10" t="s">
        <v>375</v>
      </c>
      <c r="AF2324" s="10"/>
      <c r="AG2324" s="10" t="s">
        <v>64</v>
      </c>
      <c r="AH2324" s="10">
        <v>42716</v>
      </c>
      <c r="AI2324" s="5">
        <v>3</v>
      </c>
      <c r="AJ2324" s="10" t="s">
        <v>13033</v>
      </c>
      <c r="AK2324" s="10" t="s">
        <v>50</v>
      </c>
    </row>
    <row r="2325" spans="1:37" ht="36.75" customHeight="1" x14ac:dyDescent="0.35">
      <c r="A2325" s="5"/>
      <c r="B2325" s="5" t="s">
        <v>37</v>
      </c>
      <c r="C2325" s="73" t="str">
        <f t="shared" si="36"/>
        <v>Closed</v>
      </c>
      <c r="D2325" s="45" t="s">
        <v>13034</v>
      </c>
      <c r="E2325" s="54" t="s">
        <v>13035</v>
      </c>
      <c r="F2325" s="5" t="s">
        <v>96</v>
      </c>
      <c r="G2325" s="10">
        <f>DATE(2016,12,13)</f>
        <v>42717</v>
      </c>
      <c r="H2325" s="35">
        <v>0</v>
      </c>
      <c r="I2325" s="5" t="s">
        <v>9397</v>
      </c>
      <c r="J2325" s="10" t="s">
        <v>13036</v>
      </c>
      <c r="K2325" s="5" t="s">
        <v>99</v>
      </c>
      <c r="L2325" s="5" t="s">
        <v>13037</v>
      </c>
      <c r="M2325" s="5" t="s">
        <v>45</v>
      </c>
      <c r="N2325" s="5" t="s">
        <v>123</v>
      </c>
      <c r="O2325" s="5" t="s">
        <v>46</v>
      </c>
      <c r="P2325" s="10" t="s">
        <v>60</v>
      </c>
      <c r="Q2325" s="10" t="s">
        <v>101</v>
      </c>
      <c r="R2325" s="10" t="s">
        <v>102</v>
      </c>
      <c r="S2325" s="5">
        <v>0</v>
      </c>
      <c r="T2325" s="37">
        <v>0</v>
      </c>
      <c r="U2325" s="5">
        <v>0</v>
      </c>
      <c r="V2325" s="37">
        <v>0</v>
      </c>
      <c r="W2325" s="5">
        <v>0</v>
      </c>
      <c r="X2325" s="5">
        <v>0</v>
      </c>
      <c r="Y2325" s="5">
        <v>0</v>
      </c>
      <c r="Z2325" s="37">
        <v>0</v>
      </c>
      <c r="AA2325" s="5">
        <v>0</v>
      </c>
      <c r="AB2325" s="5">
        <v>0</v>
      </c>
      <c r="AC2325" s="5">
        <v>0</v>
      </c>
      <c r="AD2325" s="5">
        <v>0</v>
      </c>
      <c r="AE2325" s="10" t="s">
        <v>73</v>
      </c>
      <c r="AF2325" s="10"/>
      <c r="AG2325" s="10" t="s">
        <v>333</v>
      </c>
      <c r="AH2325" s="10">
        <v>42719</v>
      </c>
      <c r="AI2325" s="5">
        <v>3</v>
      </c>
      <c r="AJ2325" s="10" t="s">
        <v>13038</v>
      </c>
      <c r="AK2325" s="10" t="s">
        <v>13039</v>
      </c>
    </row>
    <row r="2326" spans="1:37" ht="36.75" customHeight="1" x14ac:dyDescent="0.35">
      <c r="A2326" s="5"/>
      <c r="B2326" s="5" t="s">
        <v>37</v>
      </c>
      <c r="C2326" s="73" t="str">
        <f t="shared" si="36"/>
        <v>Closed</v>
      </c>
      <c r="D2326" s="45" t="s">
        <v>13040</v>
      </c>
      <c r="E2326" s="54" t="s">
        <v>13041</v>
      </c>
      <c r="F2326" s="5" t="s">
        <v>404</v>
      </c>
      <c r="G2326" s="10">
        <f>DATE(2016,12,15)</f>
        <v>42719</v>
      </c>
      <c r="H2326" s="35">
        <v>1.973611111111111</v>
      </c>
      <c r="I2326" s="5" t="s">
        <v>55</v>
      </c>
      <c r="J2326" s="10" t="s">
        <v>13042</v>
      </c>
      <c r="K2326" s="5" t="s">
        <v>406</v>
      </c>
      <c r="L2326" s="5" t="s">
        <v>13043</v>
      </c>
      <c r="M2326" s="5" t="s">
        <v>45</v>
      </c>
      <c r="N2326" s="5" t="s">
        <v>80</v>
      </c>
      <c r="O2326" s="5" t="s">
        <v>59</v>
      </c>
      <c r="P2326" s="10" t="s">
        <v>60</v>
      </c>
      <c r="Q2326" s="10" t="s">
        <v>2562</v>
      </c>
      <c r="R2326" s="10" t="s">
        <v>3083</v>
      </c>
      <c r="S2326" s="5">
        <v>0</v>
      </c>
      <c r="T2326" s="37">
        <v>0</v>
      </c>
      <c r="U2326" s="5">
        <v>0</v>
      </c>
      <c r="V2326" s="37">
        <v>0</v>
      </c>
      <c r="W2326" s="5">
        <v>0</v>
      </c>
      <c r="X2326" s="5">
        <v>0</v>
      </c>
      <c r="Y2326" s="5">
        <v>0</v>
      </c>
      <c r="Z2326" s="37">
        <v>0</v>
      </c>
      <c r="AA2326" s="5">
        <v>0</v>
      </c>
      <c r="AB2326" s="5">
        <v>0</v>
      </c>
      <c r="AC2326" s="5">
        <v>0</v>
      </c>
      <c r="AD2326" s="5">
        <v>0</v>
      </c>
      <c r="AE2326" s="10" t="s">
        <v>375</v>
      </c>
      <c r="AF2326" s="10"/>
      <c r="AG2326" s="10" t="s">
        <v>114</v>
      </c>
      <c r="AH2326" s="10">
        <v>42731</v>
      </c>
      <c r="AI2326" s="5">
        <v>1</v>
      </c>
      <c r="AJ2326" s="10" t="s">
        <v>13044</v>
      </c>
      <c r="AK2326" s="10" t="s">
        <v>13045</v>
      </c>
    </row>
    <row r="2327" spans="1:37" ht="36.75" customHeight="1" x14ac:dyDescent="0.35">
      <c r="A2327" s="5"/>
      <c r="B2327" s="5" t="s">
        <v>37</v>
      </c>
      <c r="C2327" s="73" t="str">
        <f t="shared" si="36"/>
        <v>Closed</v>
      </c>
      <c r="D2327" s="45" t="s">
        <v>13046</v>
      </c>
      <c r="E2327" s="54" t="s">
        <v>13047</v>
      </c>
      <c r="F2327" s="5" t="s">
        <v>563</v>
      </c>
      <c r="G2327" s="10">
        <f>DATE(2016,12,18)</f>
        <v>42722</v>
      </c>
      <c r="H2327" s="35">
        <v>1.5854166666666667</v>
      </c>
      <c r="I2327" s="5" t="s">
        <v>179</v>
      </c>
      <c r="J2327" s="10" t="s">
        <v>13048</v>
      </c>
      <c r="K2327" s="5" t="s">
        <v>565</v>
      </c>
      <c r="L2327" s="5" t="s">
        <v>13049</v>
      </c>
      <c r="M2327" s="5" t="s">
        <v>45</v>
      </c>
      <c r="N2327" s="5" t="s">
        <v>123</v>
      </c>
      <c r="O2327" s="5" t="s">
        <v>59</v>
      </c>
      <c r="P2327" s="10" t="s">
        <v>60</v>
      </c>
      <c r="Q2327" s="10" t="s">
        <v>11077</v>
      </c>
      <c r="R2327" s="10" t="s">
        <v>568</v>
      </c>
      <c r="S2327" s="5">
        <v>0</v>
      </c>
      <c r="T2327" s="37">
        <v>0</v>
      </c>
      <c r="U2327" s="5">
        <v>0</v>
      </c>
      <c r="V2327" s="37">
        <v>0</v>
      </c>
      <c r="W2327" s="5">
        <v>0</v>
      </c>
      <c r="X2327" s="5">
        <v>0</v>
      </c>
      <c r="Y2327" s="5">
        <v>0</v>
      </c>
      <c r="Z2327" s="37">
        <v>0</v>
      </c>
      <c r="AA2327" s="5">
        <v>0</v>
      </c>
      <c r="AB2327" s="5">
        <v>0</v>
      </c>
      <c r="AC2327" s="5">
        <v>0</v>
      </c>
      <c r="AD2327" s="5">
        <v>0</v>
      </c>
      <c r="AE2327" s="10" t="s">
        <v>73</v>
      </c>
      <c r="AF2327" s="10"/>
      <c r="AG2327" s="10" t="s">
        <v>114</v>
      </c>
      <c r="AH2327" s="10">
        <v>42732</v>
      </c>
      <c r="AI2327" s="5">
        <v>0</v>
      </c>
      <c r="AJ2327" s="10" t="s">
        <v>13050</v>
      </c>
      <c r="AK2327" s="10" t="s">
        <v>1215</v>
      </c>
    </row>
    <row r="2328" spans="1:37" ht="36.75" customHeight="1" x14ac:dyDescent="0.35">
      <c r="A2328" s="5"/>
      <c r="B2328" s="5" t="s">
        <v>37</v>
      </c>
      <c r="C2328" s="73" t="str">
        <f t="shared" si="36"/>
        <v>Closed</v>
      </c>
      <c r="D2328" s="45" t="s">
        <v>13051</v>
      </c>
      <c r="E2328" s="54" t="s">
        <v>13052</v>
      </c>
      <c r="F2328" s="5" t="s">
        <v>214</v>
      </c>
      <c r="G2328" s="10">
        <f>DATE(2016,12,22)</f>
        <v>42726</v>
      </c>
      <c r="H2328" s="35">
        <v>1.4180555555555556</v>
      </c>
      <c r="I2328" s="5" t="s">
        <v>259</v>
      </c>
      <c r="J2328" s="10" t="s">
        <v>13053</v>
      </c>
      <c r="K2328" s="5" t="s">
        <v>216</v>
      </c>
      <c r="L2328" s="5" t="s">
        <v>13054</v>
      </c>
      <c r="M2328" s="5" t="s">
        <v>236</v>
      </c>
      <c r="N2328" s="5" t="s">
        <v>123</v>
      </c>
      <c r="O2328" s="5" t="s">
        <v>67</v>
      </c>
      <c r="P2328" s="10" t="s">
        <v>6531</v>
      </c>
      <c r="Q2328" s="10" t="s">
        <v>254</v>
      </c>
      <c r="R2328" s="10" t="s">
        <v>216</v>
      </c>
      <c r="S2328" s="5">
        <v>0</v>
      </c>
      <c r="T2328" s="37">
        <v>0</v>
      </c>
      <c r="U2328" s="5">
        <v>1</v>
      </c>
      <c r="V2328" s="37">
        <v>0</v>
      </c>
      <c r="W2328" s="5">
        <v>0</v>
      </c>
      <c r="X2328" s="5">
        <v>1</v>
      </c>
      <c r="Y2328" s="5">
        <v>0</v>
      </c>
      <c r="Z2328" s="37">
        <v>0</v>
      </c>
      <c r="AA2328" s="5">
        <v>0</v>
      </c>
      <c r="AB2328" s="5">
        <v>0</v>
      </c>
      <c r="AC2328" s="5">
        <v>0</v>
      </c>
      <c r="AD2328" s="5">
        <v>0</v>
      </c>
      <c r="AE2328" s="10" t="s">
        <v>73</v>
      </c>
      <c r="AF2328" s="10"/>
      <c r="AG2328" s="10" t="s">
        <v>64</v>
      </c>
      <c r="AH2328" s="10">
        <v>42738</v>
      </c>
      <c r="AI2328" s="5">
        <v>2</v>
      </c>
      <c r="AJ2328" s="10" t="s">
        <v>13055</v>
      </c>
      <c r="AK2328" s="10" t="s">
        <v>13056</v>
      </c>
    </row>
    <row r="2329" spans="1:37" ht="36.75" customHeight="1" x14ac:dyDescent="0.35">
      <c r="A2329" s="5"/>
      <c r="B2329" s="5" t="s">
        <v>37</v>
      </c>
      <c r="C2329" s="73" t="str">
        <f t="shared" si="36"/>
        <v>Closed</v>
      </c>
      <c r="D2329" s="45" t="s">
        <v>13057</v>
      </c>
      <c r="E2329" s="54" t="s">
        <v>13058</v>
      </c>
      <c r="F2329" s="5" t="s">
        <v>178</v>
      </c>
      <c r="G2329" s="10">
        <f>DATE(2016,12,26)</f>
        <v>42730</v>
      </c>
      <c r="H2329" s="35">
        <v>0</v>
      </c>
      <c r="I2329" s="5" t="s">
        <v>55</v>
      </c>
      <c r="J2329" s="10" t="s">
        <v>13059</v>
      </c>
      <c r="K2329" s="5" t="s">
        <v>181</v>
      </c>
      <c r="L2329" s="5" t="s">
        <v>13060</v>
      </c>
      <c r="M2329" s="5" t="s">
        <v>45</v>
      </c>
      <c r="N2329" s="5" t="s">
        <v>70</v>
      </c>
      <c r="O2329" s="5" t="s">
        <v>59</v>
      </c>
      <c r="P2329" s="10" t="s">
        <v>60</v>
      </c>
      <c r="Q2329" s="10" t="s">
        <v>1697</v>
      </c>
      <c r="R2329" s="10" t="s">
        <v>184</v>
      </c>
      <c r="S2329" s="5">
        <v>0</v>
      </c>
      <c r="T2329" s="37">
        <v>0</v>
      </c>
      <c r="U2329" s="5">
        <v>0</v>
      </c>
      <c r="V2329" s="37">
        <v>0</v>
      </c>
      <c r="W2329" s="5">
        <v>0</v>
      </c>
      <c r="X2329" s="5">
        <v>0</v>
      </c>
      <c r="Y2329" s="5">
        <v>0</v>
      </c>
      <c r="Z2329" s="37">
        <v>0</v>
      </c>
      <c r="AA2329" s="5">
        <v>0</v>
      </c>
      <c r="AB2329" s="5">
        <v>0</v>
      </c>
      <c r="AC2329" s="5">
        <v>0</v>
      </c>
      <c r="AD2329" s="5">
        <v>0</v>
      </c>
      <c r="AE2329" s="10" t="s">
        <v>126</v>
      </c>
      <c r="AF2329" s="10"/>
      <c r="AG2329" s="10" t="s">
        <v>64</v>
      </c>
      <c r="AH2329" s="10">
        <v>42731</v>
      </c>
      <c r="AI2329" s="5">
        <v>2</v>
      </c>
      <c r="AJ2329" s="10" t="s">
        <v>13061</v>
      </c>
      <c r="AK2329" s="10" t="s">
        <v>1215</v>
      </c>
    </row>
    <row r="2330" spans="1:37" ht="36.75" customHeight="1" x14ac:dyDescent="0.35">
      <c r="A2330" s="5"/>
      <c r="B2330" s="5" t="s">
        <v>37</v>
      </c>
      <c r="C2330" s="73" t="str">
        <f t="shared" si="36"/>
        <v>Closed</v>
      </c>
      <c r="D2330" s="45" t="s">
        <v>13062</v>
      </c>
      <c r="E2330" s="54" t="s">
        <v>13063</v>
      </c>
      <c r="F2330" s="5" t="s">
        <v>96</v>
      </c>
      <c r="G2330" s="10">
        <f>DATE(2016,12,26)</f>
        <v>42730</v>
      </c>
      <c r="H2330" s="35">
        <v>1.6736111111111112</v>
      </c>
      <c r="I2330" s="5" t="s">
        <v>6754</v>
      </c>
      <c r="J2330" s="10" t="s">
        <v>13064</v>
      </c>
      <c r="K2330" s="5" t="s">
        <v>99</v>
      </c>
      <c r="L2330" s="5" t="s">
        <v>13065</v>
      </c>
      <c r="M2330" s="5" t="s">
        <v>45</v>
      </c>
      <c r="N2330" s="5" t="s">
        <v>70</v>
      </c>
      <c r="O2330" s="5" t="s">
        <v>46</v>
      </c>
      <c r="P2330" s="10" t="s">
        <v>6920</v>
      </c>
      <c r="Q2330" s="10" t="s">
        <v>101</v>
      </c>
      <c r="R2330" s="10" t="s">
        <v>102</v>
      </c>
      <c r="S2330" s="5">
        <v>0</v>
      </c>
      <c r="T2330" s="37">
        <v>0</v>
      </c>
      <c r="U2330" s="5">
        <v>0</v>
      </c>
      <c r="V2330" s="37">
        <v>0</v>
      </c>
      <c r="W2330" s="5">
        <v>0</v>
      </c>
      <c r="X2330" s="5">
        <v>0</v>
      </c>
      <c r="Y2330" s="5">
        <v>0</v>
      </c>
      <c r="Z2330" s="37">
        <v>0</v>
      </c>
      <c r="AA2330" s="5">
        <v>0</v>
      </c>
      <c r="AB2330" s="5">
        <v>0</v>
      </c>
      <c r="AC2330" s="5">
        <v>0</v>
      </c>
      <c r="AD2330" s="5">
        <v>0</v>
      </c>
      <c r="AE2330" s="10" t="s">
        <v>73</v>
      </c>
      <c r="AF2330" s="10"/>
      <c r="AG2330" s="10" t="s">
        <v>570</v>
      </c>
      <c r="AH2330" s="10">
        <v>42733</v>
      </c>
      <c r="AI2330" s="5">
        <v>2</v>
      </c>
      <c r="AJ2330" s="10" t="s">
        <v>13066</v>
      </c>
      <c r="AK2330" s="10" t="s">
        <v>13067</v>
      </c>
    </row>
    <row r="2331" spans="1:37" ht="36.75" customHeight="1" x14ac:dyDescent="0.35">
      <c r="A2331" s="5"/>
      <c r="B2331" s="5" t="s">
        <v>37</v>
      </c>
      <c r="C2331" s="73" t="str">
        <f t="shared" si="36"/>
        <v>Closed</v>
      </c>
      <c r="D2331" s="45" t="s">
        <v>13068</v>
      </c>
      <c r="E2331" s="54" t="s">
        <v>13069</v>
      </c>
      <c r="F2331" s="5" t="s">
        <v>214</v>
      </c>
      <c r="G2331" s="10">
        <f>DATE(2016,12,29)</f>
        <v>42733</v>
      </c>
      <c r="H2331" s="35">
        <v>1.3652777777777778</v>
      </c>
      <c r="I2331" s="5" t="s">
        <v>2059</v>
      </c>
      <c r="J2331" s="10" t="s">
        <v>13070</v>
      </c>
      <c r="K2331" s="5" t="s">
        <v>216</v>
      </c>
      <c r="L2331" s="5" t="s">
        <v>13071</v>
      </c>
      <c r="M2331" s="5" t="s">
        <v>45</v>
      </c>
      <c r="N2331" s="5" t="s">
        <v>70</v>
      </c>
      <c r="O2331" s="5" t="s">
        <v>67</v>
      </c>
      <c r="P2331" s="10" t="s">
        <v>146</v>
      </c>
      <c r="Q2331" s="10" t="s">
        <v>2154</v>
      </c>
      <c r="R2331" s="10" t="s">
        <v>216</v>
      </c>
      <c r="S2331" s="5">
        <v>0</v>
      </c>
      <c r="T2331" s="37">
        <v>0</v>
      </c>
      <c r="U2331" s="5">
        <v>0</v>
      </c>
      <c r="V2331" s="37">
        <v>0</v>
      </c>
      <c r="W2331" s="5">
        <v>0</v>
      </c>
      <c r="X2331" s="5">
        <v>0</v>
      </c>
      <c r="Y2331" s="5">
        <v>0</v>
      </c>
      <c r="Z2331" s="37">
        <v>0</v>
      </c>
      <c r="AA2331" s="5">
        <v>0</v>
      </c>
      <c r="AB2331" s="5">
        <v>0</v>
      </c>
      <c r="AC2331" s="5">
        <v>0</v>
      </c>
      <c r="AD2331" s="5">
        <v>0</v>
      </c>
      <c r="AE2331" s="10" t="s">
        <v>73</v>
      </c>
      <c r="AF2331" s="10"/>
      <c r="AG2331" s="10" t="s">
        <v>114</v>
      </c>
      <c r="AH2331" s="10">
        <v>42758</v>
      </c>
      <c r="AI2331" s="5">
        <v>3</v>
      </c>
      <c r="AJ2331" s="10" t="s">
        <v>13072</v>
      </c>
      <c r="AK2331" s="10" t="s">
        <v>13073</v>
      </c>
    </row>
    <row r="2332" spans="1:37" ht="36.75" customHeight="1" x14ac:dyDescent="0.35">
      <c r="A2332" s="5"/>
      <c r="B2332" s="5" t="s">
        <v>37</v>
      </c>
      <c r="C2332" s="73" t="str">
        <f t="shared" si="36"/>
        <v>Closed</v>
      </c>
      <c r="D2332" s="45" t="s">
        <v>13074</v>
      </c>
      <c r="E2332" s="54" t="s">
        <v>13075</v>
      </c>
      <c r="F2332" s="5" t="s">
        <v>1553</v>
      </c>
      <c r="G2332" s="10">
        <f>DATE(2016,12,30)</f>
        <v>42734</v>
      </c>
      <c r="H2332" s="35">
        <v>1.2326388888888888</v>
      </c>
      <c r="I2332" s="5" t="s">
        <v>55</v>
      </c>
      <c r="J2332" s="10" t="s">
        <v>13076</v>
      </c>
      <c r="K2332" s="5" t="s">
        <v>1555</v>
      </c>
      <c r="L2332" s="5" t="s">
        <v>13077</v>
      </c>
      <c r="M2332" s="5" t="s">
        <v>45</v>
      </c>
      <c r="N2332" s="5" t="s">
        <v>80</v>
      </c>
      <c r="O2332" s="5" t="s">
        <v>46</v>
      </c>
      <c r="P2332" s="10" t="s">
        <v>6920</v>
      </c>
      <c r="Q2332" s="10" t="s">
        <v>2393</v>
      </c>
      <c r="R2332" s="10" t="s">
        <v>6413</v>
      </c>
      <c r="S2332" s="5">
        <v>0</v>
      </c>
      <c r="T2332" s="37">
        <v>0</v>
      </c>
      <c r="U2332" s="5">
        <v>0</v>
      </c>
      <c r="V2332" s="37">
        <v>0</v>
      </c>
      <c r="W2332" s="5">
        <v>0</v>
      </c>
      <c r="X2332" s="5">
        <v>0</v>
      </c>
      <c r="Y2332" s="5">
        <v>0</v>
      </c>
      <c r="Z2332" s="37">
        <v>0</v>
      </c>
      <c r="AA2332" s="5">
        <v>0</v>
      </c>
      <c r="AB2332" s="5">
        <v>0</v>
      </c>
      <c r="AC2332" s="5">
        <v>0</v>
      </c>
      <c r="AD2332" s="5">
        <v>0</v>
      </c>
      <c r="AE2332" s="10" t="s">
        <v>73</v>
      </c>
      <c r="AF2332" s="10"/>
      <c r="AG2332" s="10" t="s">
        <v>114</v>
      </c>
      <c r="AH2332" s="10">
        <v>42738</v>
      </c>
      <c r="AI2332" s="5">
        <v>0</v>
      </c>
      <c r="AJ2332" s="10" t="s">
        <v>13078</v>
      </c>
      <c r="AK2332" s="10" t="s">
        <v>13079</v>
      </c>
    </row>
    <row r="2333" spans="1:37" ht="36.75" customHeight="1" x14ac:dyDescent="0.35">
      <c r="A2333" s="5"/>
      <c r="B2333" s="5" t="s">
        <v>37</v>
      </c>
      <c r="C2333" s="73" t="str">
        <f t="shared" si="36"/>
        <v>Closed</v>
      </c>
      <c r="D2333" s="45" t="s">
        <v>13080</v>
      </c>
      <c r="E2333" s="54" t="s">
        <v>13081</v>
      </c>
      <c r="F2333" s="5" t="s">
        <v>1553</v>
      </c>
      <c r="G2333" s="10">
        <f>DATE(2016,12,31)</f>
        <v>42735</v>
      </c>
      <c r="H2333" s="35">
        <v>1.2395833333333333</v>
      </c>
      <c r="I2333" s="5" t="s">
        <v>55</v>
      </c>
      <c r="J2333" s="10" t="s">
        <v>13082</v>
      </c>
      <c r="K2333" s="5" t="s">
        <v>1555</v>
      </c>
      <c r="L2333" s="5" t="s">
        <v>13083</v>
      </c>
      <c r="M2333" s="5" t="s">
        <v>45</v>
      </c>
      <c r="N2333" s="5" t="s">
        <v>80</v>
      </c>
      <c r="O2333" s="5" t="s">
        <v>46</v>
      </c>
      <c r="P2333" s="10" t="s">
        <v>6920</v>
      </c>
      <c r="Q2333" s="10" t="s">
        <v>2393</v>
      </c>
      <c r="R2333" s="10" t="s">
        <v>6413</v>
      </c>
      <c r="S2333" s="5">
        <v>0</v>
      </c>
      <c r="T2333" s="37">
        <v>0</v>
      </c>
      <c r="U2333" s="5">
        <v>0</v>
      </c>
      <c r="V2333" s="37">
        <v>0</v>
      </c>
      <c r="W2333" s="5">
        <v>0</v>
      </c>
      <c r="X2333" s="5">
        <v>0</v>
      </c>
      <c r="Y2333" s="5">
        <v>0</v>
      </c>
      <c r="Z2333" s="37">
        <v>0</v>
      </c>
      <c r="AA2333" s="5">
        <v>0</v>
      </c>
      <c r="AB2333" s="5">
        <v>0</v>
      </c>
      <c r="AC2333" s="5">
        <v>0</v>
      </c>
      <c r="AD2333" s="5">
        <v>0</v>
      </c>
      <c r="AE2333" s="10" t="s">
        <v>73</v>
      </c>
      <c r="AF2333" s="10"/>
      <c r="AG2333" s="10" t="s">
        <v>114</v>
      </c>
      <c r="AH2333" s="10">
        <v>42738</v>
      </c>
      <c r="AI2333" s="5">
        <v>2</v>
      </c>
      <c r="AJ2333" s="10" t="s">
        <v>13084</v>
      </c>
      <c r="AK2333" s="10" t="s">
        <v>13085</v>
      </c>
    </row>
    <row r="2334" spans="1:37" ht="36.75" customHeight="1" x14ac:dyDescent="0.35">
      <c r="A2334" s="5"/>
      <c r="B2334" s="5" t="s">
        <v>37</v>
      </c>
      <c r="C2334" s="73" t="str">
        <f t="shared" si="36"/>
        <v>Closed</v>
      </c>
      <c r="D2334" s="45" t="s">
        <v>13086</v>
      </c>
      <c r="E2334" s="54" t="s">
        <v>13087</v>
      </c>
      <c r="F2334" s="5" t="s">
        <v>1553</v>
      </c>
      <c r="G2334" s="10">
        <f>DATE(2017,1,1)</f>
        <v>42736</v>
      </c>
      <c r="H2334" s="35">
        <v>1.1215277777777777</v>
      </c>
      <c r="I2334" s="5" t="s">
        <v>55</v>
      </c>
      <c r="J2334" s="10" t="s">
        <v>13088</v>
      </c>
      <c r="K2334" s="5" t="s">
        <v>1555</v>
      </c>
      <c r="L2334" s="5" t="s">
        <v>13089</v>
      </c>
      <c r="M2334" s="5" t="s">
        <v>45</v>
      </c>
      <c r="N2334" s="5" t="s">
        <v>123</v>
      </c>
      <c r="O2334" s="5" t="s">
        <v>59</v>
      </c>
      <c r="P2334" s="10" t="s">
        <v>60</v>
      </c>
      <c r="Q2334" s="10" t="s">
        <v>2417</v>
      </c>
      <c r="R2334" s="10" t="s">
        <v>6413</v>
      </c>
      <c r="S2334" s="5">
        <v>0</v>
      </c>
      <c r="T2334" s="37">
        <v>0</v>
      </c>
      <c r="U2334" s="5">
        <v>0</v>
      </c>
      <c r="V2334" s="37">
        <v>0</v>
      </c>
      <c r="W2334" s="5">
        <v>0</v>
      </c>
      <c r="X2334" s="5">
        <v>0</v>
      </c>
      <c r="Y2334" s="5">
        <v>0</v>
      </c>
      <c r="Z2334" s="37">
        <v>0</v>
      </c>
      <c r="AA2334" s="5">
        <v>0</v>
      </c>
      <c r="AB2334" s="5">
        <v>0</v>
      </c>
      <c r="AC2334" s="5">
        <v>0</v>
      </c>
      <c r="AD2334" s="5">
        <v>0</v>
      </c>
      <c r="AE2334" s="10" t="s">
        <v>73</v>
      </c>
      <c r="AF2334" s="10"/>
      <c r="AG2334" s="10" t="s">
        <v>114</v>
      </c>
      <c r="AH2334" s="10">
        <v>42738</v>
      </c>
      <c r="AI2334" s="5">
        <v>1</v>
      </c>
      <c r="AJ2334" s="10" t="s">
        <v>13090</v>
      </c>
      <c r="AK2334" s="10" t="s">
        <v>13091</v>
      </c>
    </row>
    <row r="2335" spans="1:37" ht="36.75" customHeight="1" x14ac:dyDescent="0.35">
      <c r="A2335" s="5"/>
      <c r="B2335" s="5" t="s">
        <v>37</v>
      </c>
      <c r="C2335" s="73" t="str">
        <f t="shared" si="36"/>
        <v>Closed</v>
      </c>
      <c r="D2335" s="45" t="s">
        <v>13092</v>
      </c>
      <c r="E2335" s="54" t="s">
        <v>13093</v>
      </c>
      <c r="F2335" s="5" t="s">
        <v>816</v>
      </c>
      <c r="G2335" s="10">
        <f>DATE(2017,1,2)</f>
        <v>42737</v>
      </c>
      <c r="H2335" s="35">
        <v>1.7881944444444446</v>
      </c>
      <c r="I2335" s="5" t="s">
        <v>179</v>
      </c>
      <c r="J2335" s="10" t="s">
        <v>13094</v>
      </c>
      <c r="K2335" s="5" t="s">
        <v>818</v>
      </c>
      <c r="L2335" s="5" t="s">
        <v>13095</v>
      </c>
      <c r="M2335" s="5" t="s">
        <v>45</v>
      </c>
      <c r="N2335" s="5" t="s">
        <v>123</v>
      </c>
      <c r="O2335" s="5" t="s">
        <v>46</v>
      </c>
      <c r="P2335" s="10" t="s">
        <v>1198</v>
      </c>
      <c r="Q2335" s="10" t="s">
        <v>2142</v>
      </c>
      <c r="R2335" s="10" t="s">
        <v>821</v>
      </c>
      <c r="S2335" s="5">
        <v>0</v>
      </c>
      <c r="T2335" s="37">
        <v>0</v>
      </c>
      <c r="U2335" s="5">
        <v>0</v>
      </c>
      <c r="V2335" s="37">
        <v>0</v>
      </c>
      <c r="W2335" s="5">
        <v>0</v>
      </c>
      <c r="X2335" s="5">
        <v>0</v>
      </c>
      <c r="Y2335" s="5">
        <v>0</v>
      </c>
      <c r="Z2335" s="37">
        <v>2</v>
      </c>
      <c r="AA2335" s="5">
        <v>0</v>
      </c>
      <c r="AB2335" s="5">
        <v>0</v>
      </c>
      <c r="AC2335" s="5">
        <v>0</v>
      </c>
      <c r="AD2335" s="5">
        <v>2</v>
      </c>
      <c r="AE2335" s="10" t="s">
        <v>73</v>
      </c>
      <c r="AF2335" s="10"/>
      <c r="AG2335" s="10" t="s">
        <v>333</v>
      </c>
      <c r="AH2335" s="10">
        <v>42737</v>
      </c>
      <c r="AI2335" s="5">
        <v>0</v>
      </c>
      <c r="AJ2335" s="10" t="s">
        <v>13096</v>
      </c>
      <c r="AK2335" s="10" t="s">
        <v>13097</v>
      </c>
    </row>
    <row r="2336" spans="1:37" ht="36.75" customHeight="1" x14ac:dyDescent="0.35">
      <c r="A2336" s="5"/>
      <c r="B2336" s="5" t="s">
        <v>37</v>
      </c>
      <c r="C2336" s="73" t="str">
        <f t="shared" si="36"/>
        <v>Closed</v>
      </c>
      <c r="D2336" s="45" t="s">
        <v>13098</v>
      </c>
      <c r="E2336" s="54" t="s">
        <v>13099</v>
      </c>
      <c r="F2336" s="5" t="s">
        <v>6434</v>
      </c>
      <c r="G2336" s="10">
        <f>DATE(2017,1,6)</f>
        <v>42741</v>
      </c>
      <c r="H2336" s="35">
        <v>1.2763888888888888</v>
      </c>
      <c r="I2336" s="5" t="s">
        <v>55</v>
      </c>
      <c r="J2336" s="10" t="s">
        <v>13100</v>
      </c>
      <c r="K2336" s="5" t="s">
        <v>565</v>
      </c>
      <c r="L2336" s="5" t="s">
        <v>13101</v>
      </c>
      <c r="M2336" s="5" t="s">
        <v>45</v>
      </c>
      <c r="N2336" s="5" t="s">
        <v>80</v>
      </c>
      <c r="O2336" s="5" t="s">
        <v>59</v>
      </c>
      <c r="P2336" s="10" t="s">
        <v>146</v>
      </c>
      <c r="Q2336" s="10" t="s">
        <v>13102</v>
      </c>
      <c r="R2336" s="10" t="s">
        <v>13103</v>
      </c>
      <c r="S2336" s="5">
        <v>0</v>
      </c>
      <c r="T2336" s="37">
        <v>0</v>
      </c>
      <c r="U2336" s="5">
        <v>0</v>
      </c>
      <c r="V2336" s="37">
        <v>0</v>
      </c>
      <c r="W2336" s="5">
        <v>0</v>
      </c>
      <c r="X2336" s="5">
        <v>0</v>
      </c>
      <c r="Y2336" s="5">
        <v>0</v>
      </c>
      <c r="Z2336" s="37">
        <v>0</v>
      </c>
      <c r="AA2336" s="5">
        <v>0</v>
      </c>
      <c r="AB2336" s="5">
        <v>0</v>
      </c>
      <c r="AC2336" s="5">
        <v>0</v>
      </c>
      <c r="AD2336" s="5">
        <v>0</v>
      </c>
      <c r="AE2336" s="10" t="s">
        <v>73</v>
      </c>
      <c r="AF2336" s="10" t="s">
        <v>13104</v>
      </c>
      <c r="AG2336" s="10" t="s">
        <v>8837</v>
      </c>
      <c r="AH2336" s="10">
        <v>42746</v>
      </c>
      <c r="AI2336" s="5">
        <v>0</v>
      </c>
      <c r="AJ2336" s="10" t="s">
        <v>13105</v>
      </c>
      <c r="AK2336" s="10" t="s">
        <v>13106</v>
      </c>
    </row>
    <row r="2337" spans="1:37" ht="36.75" customHeight="1" x14ac:dyDescent="0.35">
      <c r="A2337" s="5"/>
      <c r="B2337" s="5" t="s">
        <v>37</v>
      </c>
      <c r="C2337" s="73" t="str">
        <f t="shared" si="36"/>
        <v>Closed</v>
      </c>
      <c r="D2337" s="45" t="s">
        <v>13107</v>
      </c>
      <c r="E2337" s="54" t="s">
        <v>13108</v>
      </c>
      <c r="F2337" s="5" t="s">
        <v>619</v>
      </c>
      <c r="G2337" s="10">
        <f>DATE(2017,1,6)</f>
        <v>42741</v>
      </c>
      <c r="H2337" s="35">
        <v>1.8812500000000001</v>
      </c>
      <c r="I2337" s="5" t="s">
        <v>55</v>
      </c>
      <c r="J2337" s="10" t="s">
        <v>13109</v>
      </c>
      <c r="K2337" s="5" t="s">
        <v>621</v>
      </c>
      <c r="L2337" s="5" t="s">
        <v>13110</v>
      </c>
      <c r="M2337" s="5" t="s">
        <v>45</v>
      </c>
      <c r="N2337" s="5" t="s">
        <v>123</v>
      </c>
      <c r="O2337" s="5" t="s">
        <v>46</v>
      </c>
      <c r="P2337" s="10" t="s">
        <v>47</v>
      </c>
      <c r="Q2337" s="10" t="s">
        <v>623</v>
      </c>
      <c r="R2337" s="10" t="s">
        <v>624</v>
      </c>
      <c r="S2337" s="5">
        <v>0</v>
      </c>
      <c r="T2337" s="37">
        <v>0</v>
      </c>
      <c r="U2337" s="5">
        <v>0</v>
      </c>
      <c r="V2337" s="37">
        <v>0</v>
      </c>
      <c r="W2337" s="5">
        <v>0</v>
      </c>
      <c r="X2337" s="5">
        <v>0</v>
      </c>
      <c r="Y2337" s="5">
        <v>0</v>
      </c>
      <c r="Z2337" s="37">
        <v>0</v>
      </c>
      <c r="AA2337" s="5">
        <v>0</v>
      </c>
      <c r="AB2337" s="5">
        <v>0</v>
      </c>
      <c r="AC2337" s="5">
        <v>0</v>
      </c>
      <c r="AD2337" s="5">
        <v>0</v>
      </c>
      <c r="AE2337" s="10" t="s">
        <v>73</v>
      </c>
      <c r="AF2337" s="10"/>
      <c r="AG2337" s="10" t="s">
        <v>570</v>
      </c>
      <c r="AH2337" s="10">
        <v>42766</v>
      </c>
      <c r="AI2337" s="5">
        <v>4</v>
      </c>
      <c r="AJ2337" s="10" t="s">
        <v>13111</v>
      </c>
      <c r="AK2337" s="10" t="s">
        <v>13112</v>
      </c>
    </row>
    <row r="2338" spans="1:37" ht="36.75" customHeight="1" x14ac:dyDescent="0.35">
      <c r="A2338" s="5"/>
      <c r="B2338" s="5" t="s">
        <v>887</v>
      </c>
      <c r="C2338" s="73" t="str">
        <f t="shared" si="36"/>
        <v>Open</v>
      </c>
      <c r="D2338" s="45" t="s">
        <v>13113</v>
      </c>
      <c r="E2338" s="54" t="s">
        <v>13114</v>
      </c>
      <c r="F2338" s="5" t="s">
        <v>5406</v>
      </c>
      <c r="G2338" s="10">
        <f>DATE(2017,1,6)</f>
        <v>42741</v>
      </c>
      <c r="H2338" s="35">
        <v>1.6854166666666668</v>
      </c>
      <c r="I2338" s="5" t="s">
        <v>55</v>
      </c>
      <c r="J2338" s="10" t="s">
        <v>13115</v>
      </c>
      <c r="K2338" s="5" t="s">
        <v>577</v>
      </c>
      <c r="L2338" s="5" t="s">
        <v>13116</v>
      </c>
      <c r="M2338" s="5" t="s">
        <v>45</v>
      </c>
      <c r="N2338" s="5" t="s">
        <v>80</v>
      </c>
      <c r="O2338" s="5" t="s">
        <v>59</v>
      </c>
      <c r="P2338" s="10" t="s">
        <v>60</v>
      </c>
      <c r="Q2338" s="10" t="s">
        <v>13117</v>
      </c>
      <c r="R2338" s="10" t="s">
        <v>12052</v>
      </c>
      <c r="S2338" s="5">
        <v>0</v>
      </c>
      <c r="T2338" s="37">
        <v>0</v>
      </c>
      <c r="U2338" s="5">
        <v>0</v>
      </c>
      <c r="V2338" s="37">
        <v>0</v>
      </c>
      <c r="W2338" s="5">
        <v>0</v>
      </c>
      <c r="X2338" s="5">
        <v>0</v>
      </c>
      <c r="Y2338" s="5">
        <v>0</v>
      </c>
      <c r="Z2338" s="37">
        <v>0</v>
      </c>
      <c r="AA2338" s="5">
        <v>0</v>
      </c>
      <c r="AB2338" s="5">
        <v>0</v>
      </c>
      <c r="AC2338" s="5">
        <v>0</v>
      </c>
      <c r="AD2338" s="5">
        <v>0</v>
      </c>
      <c r="AE2338" s="10" t="s">
        <v>73</v>
      </c>
      <c r="AF2338" s="10"/>
      <c r="AG2338" s="10" t="s">
        <v>114</v>
      </c>
      <c r="AH2338" s="10">
        <v>43046</v>
      </c>
      <c r="AI2338" s="5">
        <v>0</v>
      </c>
      <c r="AJ2338" s="10" t="s">
        <v>50</v>
      </c>
      <c r="AK2338" s="10" t="s">
        <v>50</v>
      </c>
    </row>
    <row r="2339" spans="1:37" ht="36.75" customHeight="1" x14ac:dyDescent="0.35">
      <c r="A2339" s="5"/>
      <c r="B2339" s="5" t="s">
        <v>37</v>
      </c>
      <c r="C2339" s="73" t="str">
        <f t="shared" si="36"/>
        <v>Closed</v>
      </c>
      <c r="D2339" s="45" t="s">
        <v>13118</v>
      </c>
      <c r="E2339" s="54" t="s">
        <v>13119</v>
      </c>
      <c r="F2339" s="5" t="s">
        <v>605</v>
      </c>
      <c r="G2339" s="10">
        <f>DATE(2017,1,7)</f>
        <v>42742</v>
      </c>
      <c r="H2339" s="35">
        <v>0</v>
      </c>
      <c r="I2339" s="5" t="s">
        <v>97</v>
      </c>
      <c r="J2339" s="10" t="s">
        <v>97</v>
      </c>
      <c r="K2339" s="5" t="s">
        <v>607</v>
      </c>
      <c r="L2339" s="5" t="s">
        <v>13120</v>
      </c>
      <c r="M2339" s="5" t="s">
        <v>45</v>
      </c>
      <c r="N2339" s="5" t="s">
        <v>70</v>
      </c>
      <c r="O2339" s="5" t="s">
        <v>59</v>
      </c>
      <c r="P2339" s="10" t="s">
        <v>146</v>
      </c>
      <c r="Q2339" s="10" t="s">
        <v>7160</v>
      </c>
      <c r="R2339" s="10" t="s">
        <v>610</v>
      </c>
      <c r="S2339" s="5">
        <v>0</v>
      </c>
      <c r="T2339" s="37">
        <v>0</v>
      </c>
      <c r="U2339" s="5">
        <v>0</v>
      </c>
      <c r="V2339" s="37">
        <v>0</v>
      </c>
      <c r="W2339" s="5">
        <v>0</v>
      </c>
      <c r="X2339" s="5">
        <v>0</v>
      </c>
      <c r="Y2339" s="5">
        <v>0</v>
      </c>
      <c r="Z2339" s="37">
        <v>0</v>
      </c>
      <c r="AA2339" s="5">
        <v>1</v>
      </c>
      <c r="AB2339" s="5">
        <v>0</v>
      </c>
      <c r="AC2339" s="5">
        <v>0</v>
      </c>
      <c r="AD2339" s="5">
        <v>1</v>
      </c>
      <c r="AE2339" s="10" t="s">
        <v>73</v>
      </c>
      <c r="AF2339" s="10"/>
      <c r="AG2339" s="10" t="s">
        <v>333</v>
      </c>
      <c r="AH2339" s="10">
        <v>42917</v>
      </c>
      <c r="AI2339" s="5">
        <v>4</v>
      </c>
      <c r="AJ2339" s="10" t="s">
        <v>13121</v>
      </c>
      <c r="AK2339" s="10" t="s">
        <v>50</v>
      </c>
    </row>
    <row r="2340" spans="1:37" ht="36.75" customHeight="1" x14ac:dyDescent="0.35">
      <c r="A2340" s="5"/>
      <c r="B2340" s="5" t="s">
        <v>37</v>
      </c>
      <c r="C2340" s="73" t="str">
        <f t="shared" si="36"/>
        <v>Closed</v>
      </c>
      <c r="D2340" s="45" t="s">
        <v>13122</v>
      </c>
      <c r="E2340" s="54" t="s">
        <v>13123</v>
      </c>
      <c r="F2340" s="5" t="s">
        <v>178</v>
      </c>
      <c r="G2340" s="10">
        <f>DATE(2017,1,8)</f>
        <v>42743</v>
      </c>
      <c r="H2340" s="35">
        <v>1.3645833333333333</v>
      </c>
      <c r="I2340" s="5" t="s">
        <v>97</v>
      </c>
      <c r="J2340" s="10" t="s">
        <v>13124</v>
      </c>
      <c r="K2340" s="5" t="s">
        <v>181</v>
      </c>
      <c r="L2340" s="5" t="s">
        <v>13125</v>
      </c>
      <c r="M2340" s="5" t="s">
        <v>45</v>
      </c>
      <c r="N2340" s="5" t="s">
        <v>80</v>
      </c>
      <c r="O2340" s="5" t="s">
        <v>46</v>
      </c>
      <c r="P2340" s="10" t="s">
        <v>146</v>
      </c>
      <c r="Q2340" s="10" t="s">
        <v>183</v>
      </c>
      <c r="R2340" s="10" t="s">
        <v>184</v>
      </c>
      <c r="S2340" s="5">
        <v>0</v>
      </c>
      <c r="T2340" s="37">
        <v>0</v>
      </c>
      <c r="U2340" s="5">
        <v>0</v>
      </c>
      <c r="V2340" s="37">
        <v>0</v>
      </c>
      <c r="W2340" s="5">
        <v>0</v>
      </c>
      <c r="X2340" s="5">
        <v>0</v>
      </c>
      <c r="Y2340" s="5">
        <v>0</v>
      </c>
      <c r="Z2340" s="37">
        <v>0</v>
      </c>
      <c r="AA2340" s="5">
        <v>1</v>
      </c>
      <c r="AB2340" s="5">
        <v>0</v>
      </c>
      <c r="AC2340" s="5">
        <v>0</v>
      </c>
      <c r="AD2340" s="5">
        <v>1</v>
      </c>
      <c r="AE2340" s="10" t="s">
        <v>73</v>
      </c>
      <c r="AF2340" s="10"/>
      <c r="AG2340" s="10" t="s">
        <v>333</v>
      </c>
      <c r="AH2340" s="10">
        <v>42751</v>
      </c>
      <c r="AI2340" s="5">
        <v>0</v>
      </c>
      <c r="AJ2340" s="10" t="s">
        <v>13126</v>
      </c>
      <c r="AK2340" s="10" t="s">
        <v>1215</v>
      </c>
    </row>
    <row r="2341" spans="1:37" ht="36.75" customHeight="1" x14ac:dyDescent="0.35">
      <c r="A2341" s="5"/>
      <c r="B2341" s="5" t="s">
        <v>37</v>
      </c>
      <c r="C2341" s="73" t="str">
        <f t="shared" si="36"/>
        <v>Closed</v>
      </c>
      <c r="D2341" s="45" t="s">
        <v>13127</v>
      </c>
      <c r="E2341" s="54" t="s">
        <v>13128</v>
      </c>
      <c r="F2341" s="5" t="s">
        <v>816</v>
      </c>
      <c r="G2341" s="10">
        <f>DATE(2017,1,10)</f>
        <v>42745</v>
      </c>
      <c r="H2341" s="35">
        <v>1.1979166666666667</v>
      </c>
      <c r="I2341" s="5" t="s">
        <v>55</v>
      </c>
      <c r="J2341" s="10" t="s">
        <v>13129</v>
      </c>
      <c r="K2341" s="5" t="s">
        <v>818</v>
      </c>
      <c r="L2341" s="5" t="s">
        <v>13130</v>
      </c>
      <c r="M2341" s="5" t="s">
        <v>45</v>
      </c>
      <c r="N2341" s="5" t="s">
        <v>123</v>
      </c>
      <c r="O2341" s="5" t="s">
        <v>59</v>
      </c>
      <c r="P2341" s="10" t="s">
        <v>60</v>
      </c>
      <c r="Q2341" s="10" t="s">
        <v>13131</v>
      </c>
      <c r="R2341" s="10" t="s">
        <v>821</v>
      </c>
      <c r="S2341" s="5">
        <v>0</v>
      </c>
      <c r="T2341" s="37">
        <v>0</v>
      </c>
      <c r="U2341" s="5">
        <v>0</v>
      </c>
      <c r="V2341" s="37">
        <v>0</v>
      </c>
      <c r="W2341" s="5">
        <v>0</v>
      </c>
      <c r="X2341" s="5">
        <v>0</v>
      </c>
      <c r="Y2341" s="5">
        <v>0</v>
      </c>
      <c r="Z2341" s="37">
        <v>0</v>
      </c>
      <c r="AA2341" s="5">
        <v>0</v>
      </c>
      <c r="AB2341" s="5">
        <v>0</v>
      </c>
      <c r="AC2341" s="5">
        <v>0</v>
      </c>
      <c r="AD2341" s="5">
        <v>0</v>
      </c>
      <c r="AE2341" s="10" t="s">
        <v>73</v>
      </c>
      <c r="AF2341" s="10"/>
      <c r="AG2341" s="10" t="s">
        <v>114</v>
      </c>
      <c r="AH2341" s="10">
        <v>42745</v>
      </c>
      <c r="AI2341" s="5">
        <v>1</v>
      </c>
      <c r="AJ2341" s="10" t="s">
        <v>13132</v>
      </c>
      <c r="AK2341" s="10" t="s">
        <v>50</v>
      </c>
    </row>
    <row r="2342" spans="1:37" ht="36.75" customHeight="1" x14ac:dyDescent="0.35">
      <c r="A2342" s="5"/>
      <c r="B2342" s="5" t="s">
        <v>37</v>
      </c>
      <c r="C2342" s="73" t="str">
        <f t="shared" si="36"/>
        <v>Closed</v>
      </c>
      <c r="D2342" s="45" t="s">
        <v>13133</v>
      </c>
      <c r="E2342" s="54" t="s">
        <v>13134</v>
      </c>
      <c r="F2342" s="5" t="s">
        <v>9767</v>
      </c>
      <c r="G2342" s="10">
        <f>DATE(2017,1,11)</f>
        <v>42746</v>
      </c>
      <c r="H2342" s="35">
        <v>1.8472222222222223</v>
      </c>
      <c r="I2342" s="5" t="s">
        <v>5473</v>
      </c>
      <c r="J2342" s="10" t="s">
        <v>13135</v>
      </c>
      <c r="K2342" s="5" t="s">
        <v>9769</v>
      </c>
      <c r="L2342" s="5" t="s">
        <v>13136</v>
      </c>
      <c r="M2342" s="5" t="s">
        <v>45</v>
      </c>
      <c r="N2342" s="5" t="s">
        <v>123</v>
      </c>
      <c r="O2342" s="5" t="s">
        <v>59</v>
      </c>
      <c r="P2342" s="10" t="s">
        <v>146</v>
      </c>
      <c r="Q2342" s="10" t="s">
        <v>9938</v>
      </c>
      <c r="R2342" s="10" t="s">
        <v>9772</v>
      </c>
      <c r="S2342" s="5">
        <v>0</v>
      </c>
      <c r="T2342" s="37">
        <v>0</v>
      </c>
      <c r="U2342" s="5">
        <v>0</v>
      </c>
      <c r="V2342" s="37">
        <v>0</v>
      </c>
      <c r="W2342" s="5">
        <v>0</v>
      </c>
      <c r="X2342" s="5">
        <v>0</v>
      </c>
      <c r="Y2342" s="5">
        <v>0</v>
      </c>
      <c r="Z2342" s="37">
        <v>0</v>
      </c>
      <c r="AA2342" s="5">
        <v>0</v>
      </c>
      <c r="AB2342" s="5">
        <v>0</v>
      </c>
      <c r="AC2342" s="5">
        <v>0</v>
      </c>
      <c r="AD2342" s="5">
        <v>0</v>
      </c>
      <c r="AE2342" s="10" t="s">
        <v>73</v>
      </c>
      <c r="AF2342" s="10"/>
      <c r="AG2342" s="10" t="s">
        <v>114</v>
      </c>
      <c r="AH2342" s="10">
        <v>42773</v>
      </c>
      <c r="AI2342" s="5">
        <v>0</v>
      </c>
      <c r="AJ2342" s="10" t="s">
        <v>13137</v>
      </c>
      <c r="AK2342" s="10" t="s">
        <v>13138</v>
      </c>
    </row>
    <row r="2343" spans="1:37" ht="36.75" customHeight="1" x14ac:dyDescent="0.35">
      <c r="A2343" s="23" t="s">
        <v>4890</v>
      </c>
      <c r="B2343" s="5" t="s">
        <v>37</v>
      </c>
      <c r="C2343" s="73" t="str">
        <f t="shared" si="36"/>
        <v>Closed</v>
      </c>
      <c r="D2343" s="45" t="s">
        <v>13139</v>
      </c>
      <c r="E2343" s="54" t="s">
        <v>13140</v>
      </c>
      <c r="F2343" s="5" t="s">
        <v>178</v>
      </c>
      <c r="G2343" s="10">
        <f>DATE(2017,1,12)</f>
        <v>42747</v>
      </c>
      <c r="H2343" s="35">
        <v>1.3423611111111111</v>
      </c>
      <c r="I2343" s="5" t="s">
        <v>259</v>
      </c>
      <c r="J2343" s="10" t="s">
        <v>13141</v>
      </c>
      <c r="K2343" s="5" t="s">
        <v>181</v>
      </c>
      <c r="L2343" s="5" t="s">
        <v>13142</v>
      </c>
      <c r="M2343" s="5" t="s">
        <v>45</v>
      </c>
      <c r="N2343" s="5" t="s">
        <v>70</v>
      </c>
      <c r="O2343" s="5" t="s">
        <v>67</v>
      </c>
      <c r="P2343" s="10" t="s">
        <v>146</v>
      </c>
      <c r="Q2343" s="10" t="s">
        <v>183</v>
      </c>
      <c r="R2343" s="10" t="s">
        <v>184</v>
      </c>
      <c r="S2343" s="5">
        <v>0</v>
      </c>
      <c r="T2343" s="37">
        <v>0</v>
      </c>
      <c r="U2343" s="5">
        <v>0</v>
      </c>
      <c r="V2343" s="37">
        <v>0</v>
      </c>
      <c r="W2343" s="5">
        <v>0</v>
      </c>
      <c r="X2343" s="5">
        <v>0</v>
      </c>
      <c r="Y2343" s="5">
        <v>0</v>
      </c>
      <c r="Z2343" s="37">
        <v>0</v>
      </c>
      <c r="AA2343" s="5">
        <v>0</v>
      </c>
      <c r="AB2343" s="5">
        <v>0</v>
      </c>
      <c r="AC2343" s="5">
        <v>1</v>
      </c>
      <c r="AD2343" s="5">
        <v>1</v>
      </c>
      <c r="AE2343" s="10" t="s">
        <v>73</v>
      </c>
      <c r="AF2343" s="10"/>
      <c r="AG2343" s="10" t="s">
        <v>114</v>
      </c>
      <c r="AH2343" s="10">
        <v>42752</v>
      </c>
      <c r="AI2343" s="5">
        <v>2</v>
      </c>
      <c r="AJ2343" s="10" t="s">
        <v>50</v>
      </c>
      <c r="AK2343" s="10" t="s">
        <v>50</v>
      </c>
    </row>
    <row r="2344" spans="1:37" ht="36.75" customHeight="1" x14ac:dyDescent="0.35">
      <c r="A2344" s="5"/>
      <c r="B2344" s="5" t="s">
        <v>37</v>
      </c>
      <c r="C2344" s="73" t="str">
        <f t="shared" si="36"/>
        <v>Closed</v>
      </c>
      <c r="D2344" s="45" t="s">
        <v>13143</v>
      </c>
      <c r="E2344" s="54" t="s">
        <v>13144</v>
      </c>
      <c r="F2344" s="5" t="s">
        <v>619</v>
      </c>
      <c r="G2344" s="10">
        <f>DATE(2017,1,15)</f>
        <v>42750</v>
      </c>
      <c r="H2344" s="35">
        <v>1.5291666666666668</v>
      </c>
      <c r="I2344" s="5" t="s">
        <v>5473</v>
      </c>
      <c r="J2344" s="10" t="s">
        <v>13145</v>
      </c>
      <c r="K2344" s="5" t="s">
        <v>621</v>
      </c>
      <c r="L2344" s="5" t="s">
        <v>13146</v>
      </c>
      <c r="M2344" s="5" t="s">
        <v>45</v>
      </c>
      <c r="N2344" s="5" t="s">
        <v>80</v>
      </c>
      <c r="O2344" s="5" t="s">
        <v>59</v>
      </c>
      <c r="P2344" s="10" t="s">
        <v>146</v>
      </c>
      <c r="Q2344" s="10" t="s">
        <v>623</v>
      </c>
      <c r="R2344" s="10" t="s">
        <v>624</v>
      </c>
      <c r="S2344" s="5">
        <v>0</v>
      </c>
      <c r="T2344" s="37">
        <v>0</v>
      </c>
      <c r="U2344" s="5">
        <v>0</v>
      </c>
      <c r="V2344" s="37">
        <v>0</v>
      </c>
      <c r="W2344" s="5">
        <v>0</v>
      </c>
      <c r="X2344" s="5">
        <v>0</v>
      </c>
      <c r="Y2344" s="5">
        <v>0</v>
      </c>
      <c r="Z2344" s="37">
        <v>0</v>
      </c>
      <c r="AA2344" s="5">
        <v>0</v>
      </c>
      <c r="AB2344" s="5">
        <v>0</v>
      </c>
      <c r="AC2344" s="5">
        <v>0</v>
      </c>
      <c r="AD2344" s="5">
        <v>0</v>
      </c>
      <c r="AE2344" s="10" t="s">
        <v>73</v>
      </c>
      <c r="AF2344" s="10"/>
      <c r="AG2344" s="10" t="s">
        <v>570</v>
      </c>
      <c r="AH2344" s="10">
        <v>42794</v>
      </c>
      <c r="AI2344" s="5">
        <v>2</v>
      </c>
      <c r="AJ2344" s="10" t="s">
        <v>13147</v>
      </c>
      <c r="AK2344" s="10" t="s">
        <v>13148</v>
      </c>
    </row>
    <row r="2345" spans="1:37" ht="36.75" customHeight="1" x14ac:dyDescent="0.35">
      <c r="A2345" s="5"/>
      <c r="B2345" s="5" t="s">
        <v>37</v>
      </c>
      <c r="C2345" s="73" t="str">
        <f t="shared" si="36"/>
        <v>Closed</v>
      </c>
      <c r="D2345" s="45" t="s">
        <v>13149</v>
      </c>
      <c r="E2345" s="54" t="s">
        <v>13150</v>
      </c>
      <c r="F2345" s="5" t="s">
        <v>575</v>
      </c>
      <c r="G2345" s="10">
        <f>DATE(2017,1,15)</f>
        <v>42750</v>
      </c>
      <c r="H2345" s="35">
        <v>1.4847222222222223</v>
      </c>
      <c r="I2345" s="5" t="s">
        <v>55</v>
      </c>
      <c r="J2345" s="10" t="s">
        <v>13151</v>
      </c>
      <c r="K2345" s="5" t="s">
        <v>577</v>
      </c>
      <c r="L2345" s="5" t="s">
        <v>13152</v>
      </c>
      <c r="M2345" s="5" t="s">
        <v>45</v>
      </c>
      <c r="N2345" s="5" t="s">
        <v>80</v>
      </c>
      <c r="O2345" s="5" t="s">
        <v>59</v>
      </c>
      <c r="P2345" s="10" t="s">
        <v>47</v>
      </c>
      <c r="Q2345" s="10" t="s">
        <v>10507</v>
      </c>
      <c r="R2345" s="10" t="s">
        <v>12052</v>
      </c>
      <c r="S2345" s="5">
        <v>0</v>
      </c>
      <c r="T2345" s="37">
        <v>0</v>
      </c>
      <c r="U2345" s="5">
        <v>0</v>
      </c>
      <c r="V2345" s="37">
        <v>0</v>
      </c>
      <c r="W2345" s="5">
        <v>0</v>
      </c>
      <c r="X2345" s="5">
        <v>0</v>
      </c>
      <c r="Y2345" s="5">
        <v>0</v>
      </c>
      <c r="Z2345" s="37">
        <v>0</v>
      </c>
      <c r="AA2345" s="5">
        <v>0</v>
      </c>
      <c r="AB2345" s="5">
        <v>0</v>
      </c>
      <c r="AC2345" s="5">
        <v>0</v>
      </c>
      <c r="AD2345" s="5">
        <v>0</v>
      </c>
      <c r="AE2345" s="10" t="s">
        <v>73</v>
      </c>
      <c r="AF2345" s="10"/>
      <c r="AG2345" s="10" t="s">
        <v>114</v>
      </c>
      <c r="AH2345" s="10">
        <v>42793</v>
      </c>
      <c r="AI2345" s="5">
        <v>4</v>
      </c>
      <c r="AJ2345" s="10" t="s">
        <v>13153</v>
      </c>
      <c r="AK2345" s="10" t="s">
        <v>13154</v>
      </c>
    </row>
    <row r="2346" spans="1:37" ht="36.75" customHeight="1" x14ac:dyDescent="0.35">
      <c r="A2346" s="5"/>
      <c r="B2346" s="5" t="s">
        <v>37</v>
      </c>
      <c r="C2346" s="73" t="str">
        <f t="shared" si="36"/>
        <v>Closed</v>
      </c>
      <c r="D2346" s="45" t="s">
        <v>13155</v>
      </c>
      <c r="E2346" s="54" t="s">
        <v>13156</v>
      </c>
      <c r="F2346" s="5" t="s">
        <v>432</v>
      </c>
      <c r="G2346" s="10">
        <f>DATE(2017,1,18)</f>
        <v>42753</v>
      </c>
      <c r="H2346" s="35">
        <v>0</v>
      </c>
      <c r="I2346" s="5" t="s">
        <v>259</v>
      </c>
      <c r="J2346" s="10" t="s">
        <v>13157</v>
      </c>
      <c r="K2346" s="5" t="s">
        <v>434</v>
      </c>
      <c r="L2346" s="5" t="s">
        <v>13158</v>
      </c>
      <c r="M2346" s="5" t="s">
        <v>110</v>
      </c>
      <c r="N2346" s="5" t="s">
        <v>123</v>
      </c>
      <c r="O2346" s="5" t="s">
        <v>59</v>
      </c>
      <c r="P2346" s="10" t="s">
        <v>6881</v>
      </c>
      <c r="Q2346" s="10" t="s">
        <v>12672</v>
      </c>
      <c r="R2346" s="10" t="s">
        <v>553</v>
      </c>
      <c r="S2346" s="5">
        <v>1</v>
      </c>
      <c r="T2346" s="37">
        <v>0</v>
      </c>
      <c r="U2346" s="5">
        <v>0</v>
      </c>
      <c r="V2346" s="37">
        <v>0</v>
      </c>
      <c r="W2346" s="5">
        <v>0</v>
      </c>
      <c r="X2346" s="5">
        <v>1</v>
      </c>
      <c r="Y2346" s="5">
        <v>0</v>
      </c>
      <c r="Z2346" s="37">
        <v>0</v>
      </c>
      <c r="AA2346" s="5">
        <v>0</v>
      </c>
      <c r="AB2346" s="5">
        <v>0</v>
      </c>
      <c r="AC2346" s="5">
        <v>0</v>
      </c>
      <c r="AD2346" s="5">
        <v>0</v>
      </c>
      <c r="AE2346" s="10" t="s">
        <v>73</v>
      </c>
      <c r="AF2346" s="10"/>
      <c r="AG2346" s="10" t="s">
        <v>64</v>
      </c>
      <c r="AH2346" s="10">
        <v>42753</v>
      </c>
      <c r="AI2346" s="5">
        <v>0</v>
      </c>
      <c r="AJ2346" s="10" t="s">
        <v>13159</v>
      </c>
      <c r="AK2346" s="10" t="s">
        <v>50</v>
      </c>
    </row>
    <row r="2347" spans="1:37" ht="36.75" customHeight="1" x14ac:dyDescent="0.35">
      <c r="A2347" s="5"/>
      <c r="B2347" s="5" t="s">
        <v>37</v>
      </c>
      <c r="C2347" s="73" t="str">
        <f t="shared" si="36"/>
        <v>Closed</v>
      </c>
      <c r="D2347" s="45" t="s">
        <v>13160</v>
      </c>
      <c r="E2347" s="54" t="s">
        <v>13161</v>
      </c>
      <c r="F2347" s="5" t="s">
        <v>178</v>
      </c>
      <c r="G2347" s="10">
        <f>DATE(2017,1,21)</f>
        <v>42756</v>
      </c>
      <c r="H2347" s="35">
        <v>0</v>
      </c>
      <c r="I2347" s="5" t="s">
        <v>97</v>
      </c>
      <c r="J2347" s="10" t="s">
        <v>13162</v>
      </c>
      <c r="K2347" s="5" t="s">
        <v>181</v>
      </c>
      <c r="L2347" s="5" t="s">
        <v>13163</v>
      </c>
      <c r="M2347" s="5" t="s">
        <v>45</v>
      </c>
      <c r="N2347" s="5" t="s">
        <v>80</v>
      </c>
      <c r="O2347" s="5" t="s">
        <v>46</v>
      </c>
      <c r="P2347" s="10" t="s">
        <v>146</v>
      </c>
      <c r="Q2347" s="10" t="s">
        <v>13164</v>
      </c>
      <c r="R2347" s="10" t="s">
        <v>184</v>
      </c>
      <c r="S2347" s="5">
        <v>0</v>
      </c>
      <c r="T2347" s="37">
        <v>0</v>
      </c>
      <c r="U2347" s="5">
        <v>0</v>
      </c>
      <c r="V2347" s="37">
        <v>0</v>
      </c>
      <c r="W2347" s="5">
        <v>0</v>
      </c>
      <c r="X2347" s="5">
        <v>0</v>
      </c>
      <c r="Y2347" s="5">
        <v>0</v>
      </c>
      <c r="Z2347" s="37">
        <v>0</v>
      </c>
      <c r="AA2347" s="5">
        <v>1</v>
      </c>
      <c r="AB2347" s="5">
        <v>0</v>
      </c>
      <c r="AC2347" s="5">
        <v>0</v>
      </c>
      <c r="AD2347" s="5">
        <v>1</v>
      </c>
      <c r="AE2347" s="10" t="s">
        <v>73</v>
      </c>
      <c r="AF2347" s="10"/>
      <c r="AG2347" s="10" t="s">
        <v>114</v>
      </c>
      <c r="AH2347" s="10">
        <v>42758</v>
      </c>
      <c r="AI2347" s="5">
        <v>0</v>
      </c>
      <c r="AJ2347" s="10" t="s">
        <v>13165</v>
      </c>
      <c r="AK2347" s="10" t="s">
        <v>1215</v>
      </c>
    </row>
    <row r="2348" spans="1:37" ht="36.75" customHeight="1" x14ac:dyDescent="0.35">
      <c r="A2348" s="5"/>
      <c r="B2348" s="5" t="s">
        <v>37</v>
      </c>
      <c r="C2348" s="73" t="str">
        <f t="shared" si="36"/>
        <v>Closed</v>
      </c>
      <c r="D2348" s="45" t="s">
        <v>13166</v>
      </c>
      <c r="E2348" s="54" t="s">
        <v>13167</v>
      </c>
      <c r="F2348" s="5" t="s">
        <v>404</v>
      </c>
      <c r="G2348" s="10">
        <f>DATE(2017,1,23)</f>
        <v>42758</v>
      </c>
      <c r="H2348" s="35">
        <v>1.23125</v>
      </c>
      <c r="I2348" s="5" t="s">
        <v>97</v>
      </c>
      <c r="J2348" s="10" t="s">
        <v>13168</v>
      </c>
      <c r="K2348" s="5" t="s">
        <v>406</v>
      </c>
      <c r="L2348" s="5" t="s">
        <v>13169</v>
      </c>
      <c r="M2348" s="5" t="s">
        <v>45</v>
      </c>
      <c r="N2348" s="5" t="s">
        <v>80</v>
      </c>
      <c r="O2348" s="5" t="s">
        <v>46</v>
      </c>
      <c r="P2348" s="10" t="s">
        <v>146</v>
      </c>
      <c r="Q2348" s="10" t="s">
        <v>4531</v>
      </c>
      <c r="R2348" s="10" t="s">
        <v>3083</v>
      </c>
      <c r="S2348" s="5">
        <v>0</v>
      </c>
      <c r="T2348" s="37">
        <v>0</v>
      </c>
      <c r="U2348" s="5">
        <v>3</v>
      </c>
      <c r="V2348" s="37">
        <v>0</v>
      </c>
      <c r="W2348" s="5">
        <v>0</v>
      </c>
      <c r="X2348" s="5">
        <v>3</v>
      </c>
      <c r="Y2348" s="5">
        <v>0</v>
      </c>
      <c r="Z2348" s="37">
        <v>0</v>
      </c>
      <c r="AA2348" s="5">
        <v>0</v>
      </c>
      <c r="AB2348" s="5">
        <v>0</v>
      </c>
      <c r="AC2348" s="5">
        <v>0</v>
      </c>
      <c r="AD2348" s="5">
        <v>0</v>
      </c>
      <c r="AE2348" s="10" t="s">
        <v>73</v>
      </c>
      <c r="AF2348" s="10"/>
      <c r="AG2348" s="10" t="s">
        <v>855</v>
      </c>
      <c r="AH2348" s="10">
        <v>42758</v>
      </c>
      <c r="AI2348" s="5">
        <v>1</v>
      </c>
      <c r="AJ2348" s="10" t="s">
        <v>12746</v>
      </c>
      <c r="AK2348" s="10" t="s">
        <v>13170</v>
      </c>
    </row>
    <row r="2349" spans="1:37" ht="36.75" customHeight="1" x14ac:dyDescent="0.35">
      <c r="A2349" s="5"/>
      <c r="B2349" s="5" t="s">
        <v>37</v>
      </c>
      <c r="C2349" s="73" t="str">
        <f t="shared" si="36"/>
        <v>Closed</v>
      </c>
      <c r="D2349" s="45" t="s">
        <v>13171</v>
      </c>
      <c r="E2349" s="54" t="s">
        <v>13172</v>
      </c>
      <c r="F2349" s="5" t="s">
        <v>404</v>
      </c>
      <c r="G2349" s="10">
        <f>DATE(2017,1,24)</f>
        <v>42759</v>
      </c>
      <c r="H2349" s="35">
        <v>1.7368055555555557</v>
      </c>
      <c r="I2349" s="5" t="s">
        <v>55</v>
      </c>
      <c r="J2349" s="10" t="s">
        <v>13173</v>
      </c>
      <c r="K2349" s="5" t="s">
        <v>406</v>
      </c>
      <c r="L2349" s="5" t="s">
        <v>13174</v>
      </c>
      <c r="M2349" s="5" t="s">
        <v>45</v>
      </c>
      <c r="N2349" s="5" t="s">
        <v>80</v>
      </c>
      <c r="O2349" s="5" t="s">
        <v>59</v>
      </c>
      <c r="P2349" s="10" t="s">
        <v>146</v>
      </c>
      <c r="Q2349" s="10" t="s">
        <v>4531</v>
      </c>
      <c r="R2349" s="10" t="s">
        <v>3083</v>
      </c>
      <c r="S2349" s="5">
        <v>0</v>
      </c>
      <c r="T2349" s="37">
        <v>0</v>
      </c>
      <c r="U2349" s="5">
        <v>0</v>
      </c>
      <c r="V2349" s="37">
        <v>0</v>
      </c>
      <c r="W2349" s="5">
        <v>0</v>
      </c>
      <c r="X2349" s="5">
        <v>0</v>
      </c>
      <c r="Y2349" s="5">
        <v>0</v>
      </c>
      <c r="Z2349" s="37">
        <v>0</v>
      </c>
      <c r="AA2349" s="5">
        <v>0</v>
      </c>
      <c r="AB2349" s="5">
        <v>0</v>
      </c>
      <c r="AC2349" s="5">
        <v>0</v>
      </c>
      <c r="AD2349" s="5">
        <v>0</v>
      </c>
      <c r="AE2349" s="10" t="s">
        <v>73</v>
      </c>
      <c r="AF2349" s="10"/>
      <c r="AG2349" s="10" t="s">
        <v>13175</v>
      </c>
      <c r="AH2349" s="10">
        <v>42918</v>
      </c>
      <c r="AI2349" s="5">
        <v>1</v>
      </c>
      <c r="AJ2349" s="10" t="s">
        <v>13176</v>
      </c>
      <c r="AK2349" s="10" t="s">
        <v>13177</v>
      </c>
    </row>
    <row r="2350" spans="1:37" ht="36.75" customHeight="1" x14ac:dyDescent="0.35">
      <c r="A2350" s="5"/>
      <c r="B2350" s="5" t="s">
        <v>37</v>
      </c>
      <c r="C2350" s="73" t="str">
        <f t="shared" si="36"/>
        <v>Closed</v>
      </c>
      <c r="D2350" s="45" t="s">
        <v>13178</v>
      </c>
      <c r="E2350" s="54" t="s">
        <v>13179</v>
      </c>
      <c r="F2350" s="5" t="s">
        <v>214</v>
      </c>
      <c r="G2350" s="10">
        <f>DATE(2017,1,24)</f>
        <v>42759</v>
      </c>
      <c r="H2350" s="35">
        <v>1.2326388888888888</v>
      </c>
      <c r="I2350" s="5" t="s">
        <v>55</v>
      </c>
      <c r="J2350" s="10" t="s">
        <v>13180</v>
      </c>
      <c r="K2350" s="5" t="s">
        <v>216</v>
      </c>
      <c r="L2350" s="5" t="s">
        <v>13181</v>
      </c>
      <c r="M2350" s="5" t="s">
        <v>45</v>
      </c>
      <c r="N2350" s="5" t="s">
        <v>123</v>
      </c>
      <c r="O2350" s="5" t="s">
        <v>46</v>
      </c>
      <c r="P2350" s="10" t="s">
        <v>60</v>
      </c>
      <c r="Q2350" s="10" t="s">
        <v>7287</v>
      </c>
      <c r="R2350" s="10" t="s">
        <v>216</v>
      </c>
      <c r="S2350" s="5">
        <v>0</v>
      </c>
      <c r="T2350" s="37">
        <v>0</v>
      </c>
      <c r="U2350" s="5">
        <v>0</v>
      </c>
      <c r="V2350" s="37">
        <v>0</v>
      </c>
      <c r="W2350" s="5">
        <v>0</v>
      </c>
      <c r="X2350" s="5">
        <v>0</v>
      </c>
      <c r="Y2350" s="5">
        <v>0</v>
      </c>
      <c r="Z2350" s="37">
        <v>0</v>
      </c>
      <c r="AA2350" s="5">
        <v>0</v>
      </c>
      <c r="AB2350" s="5">
        <v>0</v>
      </c>
      <c r="AC2350" s="5">
        <v>0</v>
      </c>
      <c r="AD2350" s="5">
        <v>0</v>
      </c>
      <c r="AE2350" s="10" t="s">
        <v>375</v>
      </c>
      <c r="AF2350" s="10"/>
      <c r="AG2350" s="10" t="s">
        <v>114</v>
      </c>
      <c r="AH2350" s="10">
        <v>42765</v>
      </c>
      <c r="AI2350" s="5">
        <v>5</v>
      </c>
      <c r="AJ2350" s="10" t="s">
        <v>13182</v>
      </c>
      <c r="AK2350" s="10" t="s">
        <v>13183</v>
      </c>
    </row>
    <row r="2351" spans="1:37" ht="36.75" customHeight="1" x14ac:dyDescent="0.35">
      <c r="A2351" s="5"/>
      <c r="B2351" s="5" t="s">
        <v>37</v>
      </c>
      <c r="C2351" s="73" t="str">
        <f t="shared" si="36"/>
        <v>Closed</v>
      </c>
      <c r="D2351" s="45" t="s">
        <v>13184</v>
      </c>
      <c r="E2351" s="54" t="s">
        <v>13185</v>
      </c>
      <c r="F2351" s="5" t="s">
        <v>816</v>
      </c>
      <c r="G2351" s="10">
        <f>DATE(2017,1,26)</f>
        <v>42761</v>
      </c>
      <c r="H2351" s="35">
        <v>1.3722222222222222</v>
      </c>
      <c r="I2351" s="5" t="s">
        <v>85</v>
      </c>
      <c r="J2351" s="10" t="s">
        <v>13186</v>
      </c>
      <c r="K2351" s="5" t="s">
        <v>818</v>
      </c>
      <c r="L2351" s="5" t="s">
        <v>13187</v>
      </c>
      <c r="M2351" s="5" t="s">
        <v>45</v>
      </c>
      <c r="N2351" s="5" t="s">
        <v>80</v>
      </c>
      <c r="O2351" s="5" t="s">
        <v>59</v>
      </c>
      <c r="P2351" s="10" t="s">
        <v>5303</v>
      </c>
      <c r="Q2351" s="10" t="s">
        <v>2142</v>
      </c>
      <c r="R2351" s="10" t="s">
        <v>821</v>
      </c>
      <c r="S2351" s="5">
        <v>0</v>
      </c>
      <c r="T2351" s="37">
        <v>0</v>
      </c>
      <c r="U2351" s="5">
        <v>0</v>
      </c>
      <c r="V2351" s="37">
        <v>0</v>
      </c>
      <c r="W2351" s="5">
        <v>0</v>
      </c>
      <c r="X2351" s="5">
        <v>0</v>
      </c>
      <c r="Y2351" s="5">
        <v>0</v>
      </c>
      <c r="Z2351" s="37">
        <v>0</v>
      </c>
      <c r="AA2351" s="5">
        <v>0</v>
      </c>
      <c r="AB2351" s="5">
        <v>0</v>
      </c>
      <c r="AC2351" s="5">
        <v>0</v>
      </c>
      <c r="AD2351" s="5">
        <v>0</v>
      </c>
      <c r="AE2351" s="10" t="s">
        <v>73</v>
      </c>
      <c r="AF2351" s="10"/>
      <c r="AG2351" s="10" t="s">
        <v>114</v>
      </c>
      <c r="AH2351" s="10">
        <v>42761</v>
      </c>
      <c r="AI2351" s="5">
        <v>0</v>
      </c>
      <c r="AJ2351" s="10" t="s">
        <v>13188</v>
      </c>
      <c r="AK2351" s="10" t="s">
        <v>1215</v>
      </c>
    </row>
    <row r="2352" spans="1:37" ht="36.75" customHeight="1" x14ac:dyDescent="0.35">
      <c r="A2352" s="5"/>
      <c r="B2352" s="5" t="s">
        <v>37</v>
      </c>
      <c r="C2352" s="73" t="str">
        <f t="shared" si="36"/>
        <v>Closed</v>
      </c>
      <c r="D2352" s="45" t="s">
        <v>13189</v>
      </c>
      <c r="E2352" s="54" t="s">
        <v>13190</v>
      </c>
      <c r="F2352" s="5" t="s">
        <v>404</v>
      </c>
      <c r="G2352" s="10">
        <f>DATE(2017,1,30)</f>
        <v>42765</v>
      </c>
      <c r="H2352" s="35">
        <v>1.5645833333333332</v>
      </c>
      <c r="I2352" s="5" t="s">
        <v>97</v>
      </c>
      <c r="J2352" s="10" t="s">
        <v>13191</v>
      </c>
      <c r="K2352" s="5" t="s">
        <v>406</v>
      </c>
      <c r="L2352" s="5" t="s">
        <v>13192</v>
      </c>
      <c r="M2352" s="5" t="s">
        <v>45</v>
      </c>
      <c r="N2352" s="5" t="s">
        <v>123</v>
      </c>
      <c r="O2352" s="5" t="s">
        <v>46</v>
      </c>
      <c r="P2352" s="10" t="s">
        <v>47</v>
      </c>
      <c r="Q2352" s="10" t="s">
        <v>13193</v>
      </c>
      <c r="R2352" s="10" t="s">
        <v>3083</v>
      </c>
      <c r="S2352" s="5">
        <v>0</v>
      </c>
      <c r="T2352" s="37">
        <v>0</v>
      </c>
      <c r="U2352" s="5">
        <v>0</v>
      </c>
      <c r="V2352" s="37">
        <v>0</v>
      </c>
      <c r="W2352" s="5">
        <v>0</v>
      </c>
      <c r="X2352" s="5">
        <v>0</v>
      </c>
      <c r="Y2352" s="5">
        <v>0</v>
      </c>
      <c r="Z2352" s="37">
        <v>0</v>
      </c>
      <c r="AA2352" s="5">
        <v>0</v>
      </c>
      <c r="AB2352" s="5">
        <v>0</v>
      </c>
      <c r="AC2352" s="5">
        <v>0</v>
      </c>
      <c r="AD2352" s="5">
        <v>0</v>
      </c>
      <c r="AE2352" s="10" t="s">
        <v>73</v>
      </c>
      <c r="AF2352" s="10"/>
      <c r="AG2352" s="10" t="s">
        <v>855</v>
      </c>
      <c r="AH2352" s="10">
        <v>42796</v>
      </c>
      <c r="AI2352" s="5">
        <v>3</v>
      </c>
      <c r="AJ2352" s="10" t="s">
        <v>13194</v>
      </c>
      <c r="AK2352" s="10" t="s">
        <v>13195</v>
      </c>
    </row>
    <row r="2353" spans="1:37" ht="36.75" customHeight="1" x14ac:dyDescent="0.35">
      <c r="A2353" s="5"/>
      <c r="B2353" s="5" t="s">
        <v>37</v>
      </c>
      <c r="C2353" s="73" t="str">
        <f t="shared" si="36"/>
        <v>Closed</v>
      </c>
      <c r="D2353" s="45" t="s">
        <v>13196</v>
      </c>
      <c r="E2353" s="54" t="s">
        <v>13197</v>
      </c>
      <c r="F2353" s="5" t="s">
        <v>404</v>
      </c>
      <c r="G2353" s="10">
        <f>DATE(2017,1,30)</f>
        <v>42765</v>
      </c>
      <c r="H2353" s="35">
        <v>1.2673611111111112</v>
      </c>
      <c r="I2353" s="5" t="s">
        <v>97</v>
      </c>
      <c r="J2353" s="10" t="s">
        <v>13198</v>
      </c>
      <c r="K2353" s="5" t="s">
        <v>406</v>
      </c>
      <c r="L2353" s="5" t="s">
        <v>13199</v>
      </c>
      <c r="M2353" s="5" t="s">
        <v>45</v>
      </c>
      <c r="N2353" s="5" t="s">
        <v>80</v>
      </c>
      <c r="O2353" s="5" t="s">
        <v>46</v>
      </c>
      <c r="P2353" s="10" t="s">
        <v>146</v>
      </c>
      <c r="Q2353" s="10" t="s">
        <v>4531</v>
      </c>
      <c r="R2353" s="10" t="s">
        <v>3083</v>
      </c>
      <c r="S2353" s="5">
        <v>0</v>
      </c>
      <c r="T2353" s="37">
        <v>0</v>
      </c>
      <c r="U2353" s="5">
        <v>1</v>
      </c>
      <c r="V2353" s="37">
        <v>0</v>
      </c>
      <c r="W2353" s="5">
        <v>0</v>
      </c>
      <c r="X2353" s="5">
        <v>1</v>
      </c>
      <c r="Y2353" s="5">
        <v>0</v>
      </c>
      <c r="Z2353" s="37">
        <v>0</v>
      </c>
      <c r="AA2353" s="5">
        <v>0</v>
      </c>
      <c r="AB2353" s="5">
        <v>0</v>
      </c>
      <c r="AC2353" s="5">
        <v>0</v>
      </c>
      <c r="AD2353" s="5">
        <v>0</v>
      </c>
      <c r="AE2353" s="10" t="s">
        <v>73</v>
      </c>
      <c r="AF2353" s="10"/>
      <c r="AG2353" s="10" t="s">
        <v>855</v>
      </c>
      <c r="AH2353" s="10">
        <v>42918</v>
      </c>
      <c r="AI2353" s="5">
        <v>1</v>
      </c>
      <c r="AJ2353" s="10" t="s">
        <v>13200</v>
      </c>
      <c r="AK2353" s="10" t="s">
        <v>13201</v>
      </c>
    </row>
    <row r="2354" spans="1:37" ht="36.75" customHeight="1" x14ac:dyDescent="0.35">
      <c r="A2354" s="5"/>
      <c r="B2354" s="5" t="s">
        <v>37</v>
      </c>
      <c r="C2354" s="73" t="str">
        <f t="shared" si="36"/>
        <v>Closed</v>
      </c>
      <c r="D2354" s="45" t="s">
        <v>13202</v>
      </c>
      <c r="E2354" s="54" t="s">
        <v>13203</v>
      </c>
      <c r="F2354" s="5" t="s">
        <v>1919</v>
      </c>
      <c r="G2354" s="10">
        <f>DATE(2017,1,31)</f>
        <v>42766</v>
      </c>
      <c r="H2354" s="35">
        <v>0</v>
      </c>
      <c r="I2354" s="5" t="s">
        <v>2398</v>
      </c>
      <c r="J2354" s="10" t="s">
        <v>13204</v>
      </c>
      <c r="K2354" s="5" t="s">
        <v>1921</v>
      </c>
      <c r="L2354" s="5" t="s">
        <v>13205</v>
      </c>
      <c r="M2354" s="5" t="s">
        <v>45</v>
      </c>
      <c r="N2354" s="5" t="s">
        <v>80</v>
      </c>
      <c r="O2354" s="5" t="s">
        <v>46</v>
      </c>
      <c r="P2354" s="10" t="s">
        <v>6920</v>
      </c>
      <c r="Q2354" s="10" t="s">
        <v>1921</v>
      </c>
      <c r="R2354" s="10" t="s">
        <v>1921</v>
      </c>
      <c r="S2354" s="5">
        <v>0</v>
      </c>
      <c r="T2354" s="37">
        <v>0</v>
      </c>
      <c r="U2354" s="5">
        <v>0</v>
      </c>
      <c r="V2354" s="37">
        <v>0</v>
      </c>
      <c r="W2354" s="5">
        <v>0</v>
      </c>
      <c r="X2354" s="5">
        <v>0</v>
      </c>
      <c r="Y2354" s="5">
        <v>0</v>
      </c>
      <c r="Z2354" s="37">
        <v>0</v>
      </c>
      <c r="AA2354" s="5">
        <v>0</v>
      </c>
      <c r="AB2354" s="5">
        <v>0</v>
      </c>
      <c r="AC2354" s="5">
        <v>0</v>
      </c>
      <c r="AD2354" s="5">
        <v>0</v>
      </c>
      <c r="AE2354" s="10" t="s">
        <v>73</v>
      </c>
      <c r="AF2354" s="10"/>
      <c r="AG2354" s="10" t="s">
        <v>114</v>
      </c>
      <c r="AH2354" s="10">
        <v>42769</v>
      </c>
      <c r="AI2354" s="5">
        <v>5</v>
      </c>
      <c r="AJ2354" s="10" t="s">
        <v>13206</v>
      </c>
      <c r="AK2354" s="10" t="s">
        <v>13207</v>
      </c>
    </row>
    <row r="2355" spans="1:37" ht="36.75" customHeight="1" x14ac:dyDescent="0.35">
      <c r="A2355" s="5"/>
      <c r="B2355" s="5" t="s">
        <v>37</v>
      </c>
      <c r="C2355" s="73" t="str">
        <f t="shared" si="36"/>
        <v>Closed</v>
      </c>
      <c r="D2355" s="45" t="s">
        <v>13208</v>
      </c>
      <c r="E2355" s="54" t="s">
        <v>13209</v>
      </c>
      <c r="F2355" s="5" t="s">
        <v>563</v>
      </c>
      <c r="G2355" s="10">
        <f>DATE(2017,2,1)</f>
        <v>42767</v>
      </c>
      <c r="H2355" s="35">
        <v>1.9541666666666666</v>
      </c>
      <c r="I2355" s="5" t="s">
        <v>2059</v>
      </c>
      <c r="J2355" s="10" t="s">
        <v>13210</v>
      </c>
      <c r="K2355" s="5" t="s">
        <v>565</v>
      </c>
      <c r="L2355" s="5" t="s">
        <v>13211</v>
      </c>
      <c r="M2355" s="5" t="s">
        <v>45</v>
      </c>
      <c r="N2355" s="5" t="s">
        <v>123</v>
      </c>
      <c r="O2355" s="5" t="s">
        <v>59</v>
      </c>
      <c r="P2355" s="10" t="s">
        <v>47</v>
      </c>
      <c r="Q2355" s="10" t="s">
        <v>2002</v>
      </c>
      <c r="R2355" s="10" t="s">
        <v>568</v>
      </c>
      <c r="S2355" s="5">
        <v>0</v>
      </c>
      <c r="T2355" s="37">
        <v>0</v>
      </c>
      <c r="U2355" s="5">
        <v>0</v>
      </c>
      <c r="V2355" s="37">
        <v>0</v>
      </c>
      <c r="W2355" s="5">
        <v>0</v>
      </c>
      <c r="X2355" s="5">
        <v>0</v>
      </c>
      <c r="Y2355" s="5">
        <v>0</v>
      </c>
      <c r="Z2355" s="37">
        <v>0</v>
      </c>
      <c r="AA2355" s="5">
        <v>0</v>
      </c>
      <c r="AB2355" s="5">
        <v>0</v>
      </c>
      <c r="AC2355" s="5">
        <v>0</v>
      </c>
      <c r="AD2355" s="5">
        <v>0</v>
      </c>
      <c r="AE2355" s="10" t="s">
        <v>73</v>
      </c>
      <c r="AF2355" s="10"/>
      <c r="AG2355" s="10" t="s">
        <v>114</v>
      </c>
      <c r="AH2355" s="10">
        <v>42768</v>
      </c>
      <c r="AI2355" s="5">
        <v>0</v>
      </c>
      <c r="AJ2355" s="10" t="s">
        <v>13212</v>
      </c>
      <c r="AK2355" s="10" t="s">
        <v>1215</v>
      </c>
    </row>
    <row r="2356" spans="1:37" ht="36.75" customHeight="1" x14ac:dyDescent="0.35">
      <c r="A2356" s="5"/>
      <c r="B2356" s="5" t="s">
        <v>37</v>
      </c>
      <c r="C2356" s="73" t="str">
        <f t="shared" si="36"/>
        <v>Closed</v>
      </c>
      <c r="D2356" s="45" t="s">
        <v>13213</v>
      </c>
      <c r="E2356" s="54" t="s">
        <v>13214</v>
      </c>
      <c r="F2356" s="5" t="s">
        <v>105</v>
      </c>
      <c r="G2356" s="10">
        <f>DATE(2017,2,2)</f>
        <v>42768</v>
      </c>
      <c r="H2356" s="35">
        <v>1.6770833333333335</v>
      </c>
      <c r="I2356" s="5" t="s">
        <v>259</v>
      </c>
      <c r="J2356" s="10" t="s">
        <v>13215</v>
      </c>
      <c r="K2356" s="5" t="s">
        <v>108</v>
      </c>
      <c r="L2356" s="5" t="s">
        <v>13216</v>
      </c>
      <c r="M2356" s="5" t="s">
        <v>110</v>
      </c>
      <c r="N2356" s="5" t="s">
        <v>123</v>
      </c>
      <c r="O2356" s="5" t="s">
        <v>59</v>
      </c>
      <c r="P2356" s="10" t="s">
        <v>110</v>
      </c>
      <c r="Q2356" s="10" t="s">
        <v>111</v>
      </c>
      <c r="R2356" s="10" t="s">
        <v>112</v>
      </c>
      <c r="S2356" s="5">
        <v>1</v>
      </c>
      <c r="T2356" s="37">
        <v>0</v>
      </c>
      <c r="U2356" s="5">
        <v>0</v>
      </c>
      <c r="V2356" s="37">
        <v>0</v>
      </c>
      <c r="W2356" s="5">
        <v>0</v>
      </c>
      <c r="X2356" s="5">
        <v>1</v>
      </c>
      <c r="Y2356" s="5">
        <v>0</v>
      </c>
      <c r="Z2356" s="37">
        <v>0</v>
      </c>
      <c r="AA2356" s="5">
        <v>0</v>
      </c>
      <c r="AB2356" s="5">
        <v>0</v>
      </c>
      <c r="AC2356" s="5">
        <v>0</v>
      </c>
      <c r="AD2356" s="5">
        <v>0</v>
      </c>
      <c r="AE2356" s="10" t="s">
        <v>73</v>
      </c>
      <c r="AF2356" s="10"/>
      <c r="AG2356" s="10" t="s">
        <v>348</v>
      </c>
      <c r="AH2356" s="10">
        <v>42769</v>
      </c>
      <c r="AI2356" s="5">
        <v>3</v>
      </c>
      <c r="AJ2356" s="10" t="s">
        <v>13217</v>
      </c>
      <c r="AK2356" s="10" t="s">
        <v>50</v>
      </c>
    </row>
    <row r="2357" spans="1:37" ht="36.75" customHeight="1" x14ac:dyDescent="0.35">
      <c r="A2357" s="5"/>
      <c r="B2357" s="5" t="s">
        <v>37</v>
      </c>
      <c r="C2357" s="73" t="str">
        <f t="shared" si="36"/>
        <v>Closed</v>
      </c>
      <c r="D2357" s="45" t="s">
        <v>13218</v>
      </c>
      <c r="E2357" s="54" t="s">
        <v>13219</v>
      </c>
      <c r="F2357" s="5" t="s">
        <v>816</v>
      </c>
      <c r="G2357" s="10">
        <f>DATE(2017,2,5)</f>
        <v>42771</v>
      </c>
      <c r="H2357" s="35">
        <v>1.7013888888888888</v>
      </c>
      <c r="I2357" s="5" t="s">
        <v>97</v>
      </c>
      <c r="J2357" s="10" t="s">
        <v>13220</v>
      </c>
      <c r="K2357" s="5" t="s">
        <v>818</v>
      </c>
      <c r="L2357" s="5" t="s">
        <v>13221</v>
      </c>
      <c r="M2357" s="5" t="s">
        <v>45</v>
      </c>
      <c r="N2357" s="5" t="s">
        <v>80</v>
      </c>
      <c r="O2357" s="5" t="s">
        <v>46</v>
      </c>
      <c r="P2357" s="10" t="s">
        <v>146</v>
      </c>
      <c r="Q2357" s="10" t="s">
        <v>2142</v>
      </c>
      <c r="R2357" s="10" t="s">
        <v>821</v>
      </c>
      <c r="S2357" s="5">
        <v>0</v>
      </c>
      <c r="T2357" s="37">
        <v>0</v>
      </c>
      <c r="U2357" s="5">
        <v>1</v>
      </c>
      <c r="V2357" s="37">
        <v>0</v>
      </c>
      <c r="W2357" s="5">
        <v>0</v>
      </c>
      <c r="X2357" s="5">
        <v>1</v>
      </c>
      <c r="Y2357" s="5">
        <v>0</v>
      </c>
      <c r="Z2357" s="37">
        <v>0</v>
      </c>
      <c r="AA2357" s="5">
        <v>1</v>
      </c>
      <c r="AB2357" s="5">
        <v>0</v>
      </c>
      <c r="AC2357" s="5">
        <v>0</v>
      </c>
      <c r="AD2357" s="5">
        <v>1</v>
      </c>
      <c r="AE2357" s="10" t="s">
        <v>73</v>
      </c>
      <c r="AF2357" s="10"/>
      <c r="AG2357" s="10" t="s">
        <v>333</v>
      </c>
      <c r="AH2357" s="10">
        <v>42772</v>
      </c>
      <c r="AI2357" s="5">
        <v>0</v>
      </c>
      <c r="AJ2357" s="10" t="s">
        <v>13222</v>
      </c>
      <c r="AK2357" s="10" t="s">
        <v>13223</v>
      </c>
    </row>
    <row r="2358" spans="1:37" ht="36.75" customHeight="1" x14ac:dyDescent="0.35">
      <c r="A2358" s="5"/>
      <c r="B2358" s="5" t="s">
        <v>37</v>
      </c>
      <c r="C2358" s="73" t="str">
        <f t="shared" si="36"/>
        <v>Closed</v>
      </c>
      <c r="D2358" s="45" t="s">
        <v>13224</v>
      </c>
      <c r="E2358" s="54" t="s">
        <v>13225</v>
      </c>
      <c r="F2358" s="5" t="s">
        <v>6434</v>
      </c>
      <c r="G2358" s="10">
        <f>DATE(2017,2,6)</f>
        <v>42772</v>
      </c>
      <c r="H2358" s="35">
        <v>1.8854166666666665</v>
      </c>
      <c r="I2358" s="5" t="s">
        <v>55</v>
      </c>
      <c r="J2358" s="10" t="s">
        <v>13226</v>
      </c>
      <c r="K2358" s="5" t="s">
        <v>565</v>
      </c>
      <c r="L2358" s="5" t="s">
        <v>13227</v>
      </c>
      <c r="M2358" s="5" t="s">
        <v>45</v>
      </c>
      <c r="N2358" s="5" t="s">
        <v>123</v>
      </c>
      <c r="O2358" s="5" t="s">
        <v>59</v>
      </c>
      <c r="P2358" s="10" t="s">
        <v>60</v>
      </c>
      <c r="Q2358" s="10" t="s">
        <v>4760</v>
      </c>
      <c r="R2358" s="10" t="s">
        <v>13228</v>
      </c>
      <c r="S2358" s="5">
        <v>0</v>
      </c>
      <c r="T2358" s="37">
        <v>0</v>
      </c>
      <c r="U2358" s="5">
        <v>0</v>
      </c>
      <c r="V2358" s="37">
        <v>0</v>
      </c>
      <c r="W2358" s="5">
        <v>0</v>
      </c>
      <c r="X2358" s="5">
        <v>0</v>
      </c>
      <c r="Y2358" s="5">
        <v>0</v>
      </c>
      <c r="Z2358" s="37">
        <v>0</v>
      </c>
      <c r="AA2358" s="5">
        <v>0</v>
      </c>
      <c r="AB2358" s="5">
        <v>0</v>
      </c>
      <c r="AC2358" s="5">
        <v>0</v>
      </c>
      <c r="AD2358" s="5">
        <v>0</v>
      </c>
      <c r="AE2358" s="10" t="s">
        <v>73</v>
      </c>
      <c r="AF2358" s="10" t="s">
        <v>13229</v>
      </c>
      <c r="AG2358" s="10" t="s">
        <v>8837</v>
      </c>
      <c r="AH2358" s="10">
        <v>42885</v>
      </c>
      <c r="AI2358" s="5">
        <v>0</v>
      </c>
      <c r="AJ2358" s="10" t="s">
        <v>13230</v>
      </c>
      <c r="AK2358" s="10" t="s">
        <v>10547</v>
      </c>
    </row>
    <row r="2359" spans="1:37" ht="36.75" customHeight="1" x14ac:dyDescent="0.35">
      <c r="A2359" s="5"/>
      <c r="B2359" s="5" t="s">
        <v>37</v>
      </c>
      <c r="C2359" s="73" t="str">
        <f t="shared" si="36"/>
        <v>Closed</v>
      </c>
      <c r="D2359" s="45" t="s">
        <v>13231</v>
      </c>
      <c r="E2359" s="54" t="s">
        <v>13232</v>
      </c>
      <c r="F2359" s="5" t="s">
        <v>214</v>
      </c>
      <c r="G2359" s="10">
        <f>DATE(2017,2,6)</f>
        <v>42772</v>
      </c>
      <c r="H2359" s="35">
        <v>1.8958333333333335</v>
      </c>
      <c r="I2359" s="5" t="s">
        <v>259</v>
      </c>
      <c r="J2359" s="10" t="s">
        <v>13233</v>
      </c>
      <c r="K2359" s="5" t="s">
        <v>216</v>
      </c>
      <c r="L2359" s="5" t="s">
        <v>13234</v>
      </c>
      <c r="M2359" s="5" t="s">
        <v>110</v>
      </c>
      <c r="N2359" s="5" t="s">
        <v>80</v>
      </c>
      <c r="O2359" s="5" t="s">
        <v>59</v>
      </c>
      <c r="P2359" s="10" t="s">
        <v>110</v>
      </c>
      <c r="Q2359" s="10" t="s">
        <v>2677</v>
      </c>
      <c r="R2359" s="10" t="s">
        <v>216</v>
      </c>
      <c r="S2359" s="5">
        <v>0</v>
      </c>
      <c r="T2359" s="37">
        <v>0</v>
      </c>
      <c r="U2359" s="5">
        <v>0</v>
      </c>
      <c r="V2359" s="37">
        <v>0</v>
      </c>
      <c r="W2359" s="5">
        <v>0</v>
      </c>
      <c r="X2359" s="5">
        <v>0</v>
      </c>
      <c r="Y2359" s="5">
        <v>0</v>
      </c>
      <c r="Z2359" s="37">
        <v>0</v>
      </c>
      <c r="AA2359" s="5">
        <v>0</v>
      </c>
      <c r="AB2359" s="5">
        <v>0</v>
      </c>
      <c r="AC2359" s="5">
        <v>0</v>
      </c>
      <c r="AD2359" s="5">
        <v>0</v>
      </c>
      <c r="AE2359" s="10" t="s">
        <v>73</v>
      </c>
      <c r="AF2359" s="10"/>
      <c r="AG2359" s="10" t="s">
        <v>114</v>
      </c>
      <c r="AH2359" s="10">
        <v>42786</v>
      </c>
      <c r="AI2359" s="5">
        <v>3</v>
      </c>
      <c r="AJ2359" s="10" t="s">
        <v>13235</v>
      </c>
      <c r="AK2359" s="10" t="s">
        <v>13236</v>
      </c>
    </row>
    <row r="2360" spans="1:37" ht="36.75" customHeight="1" x14ac:dyDescent="0.35">
      <c r="A2360" s="5"/>
      <c r="B2360" s="5" t="s">
        <v>37</v>
      </c>
      <c r="C2360" s="73" t="str">
        <f t="shared" si="36"/>
        <v>Closed</v>
      </c>
      <c r="D2360" s="45" t="s">
        <v>13237</v>
      </c>
      <c r="E2360" s="54" t="s">
        <v>13238</v>
      </c>
      <c r="F2360" s="5" t="s">
        <v>1553</v>
      </c>
      <c r="G2360" s="10">
        <f>DATE(2017,2,7)</f>
        <v>42773</v>
      </c>
      <c r="H2360" s="35">
        <v>1.6736111111111112</v>
      </c>
      <c r="I2360" s="5" t="s">
        <v>55</v>
      </c>
      <c r="J2360" s="10" t="s">
        <v>13239</v>
      </c>
      <c r="K2360" s="5" t="s">
        <v>1555</v>
      </c>
      <c r="L2360" s="5" t="s">
        <v>13240</v>
      </c>
      <c r="M2360" s="5" t="s">
        <v>45</v>
      </c>
      <c r="N2360" s="5" t="s">
        <v>80</v>
      </c>
      <c r="O2360" s="5" t="s">
        <v>46</v>
      </c>
      <c r="P2360" s="10" t="s">
        <v>6920</v>
      </c>
      <c r="Q2360" s="10" t="s">
        <v>5149</v>
      </c>
      <c r="R2360" s="10" t="s">
        <v>2541</v>
      </c>
      <c r="S2360" s="5">
        <v>0</v>
      </c>
      <c r="T2360" s="37">
        <v>0</v>
      </c>
      <c r="U2360" s="5">
        <v>0</v>
      </c>
      <c r="V2360" s="37">
        <v>0</v>
      </c>
      <c r="W2360" s="5">
        <v>0</v>
      </c>
      <c r="X2360" s="5">
        <v>0</v>
      </c>
      <c r="Y2360" s="5">
        <v>0</v>
      </c>
      <c r="Z2360" s="37">
        <v>0</v>
      </c>
      <c r="AA2360" s="5">
        <v>0</v>
      </c>
      <c r="AB2360" s="5">
        <v>0</v>
      </c>
      <c r="AC2360" s="5">
        <v>0</v>
      </c>
      <c r="AD2360" s="5">
        <v>0</v>
      </c>
      <c r="AE2360" s="10" t="s">
        <v>73</v>
      </c>
      <c r="AF2360" s="10"/>
      <c r="AG2360" s="10" t="s">
        <v>114</v>
      </c>
      <c r="AH2360" s="10">
        <v>42775</v>
      </c>
      <c r="AI2360" s="5">
        <v>1</v>
      </c>
      <c r="AJ2360" s="10" t="s">
        <v>13241</v>
      </c>
      <c r="AK2360" s="10" t="s">
        <v>13242</v>
      </c>
    </row>
    <row r="2361" spans="1:37" ht="36.75" customHeight="1" x14ac:dyDescent="0.35">
      <c r="A2361" s="5"/>
      <c r="B2361" s="5" t="s">
        <v>37</v>
      </c>
      <c r="C2361" s="73" t="str">
        <f t="shared" si="36"/>
        <v>Closed</v>
      </c>
      <c r="D2361" s="45" t="s">
        <v>13243</v>
      </c>
      <c r="E2361" s="54" t="s">
        <v>13244</v>
      </c>
      <c r="F2361" s="5" t="s">
        <v>2581</v>
      </c>
      <c r="G2361" s="10">
        <f>DATE(2017,2,9)</f>
        <v>42775</v>
      </c>
      <c r="H2361" s="35">
        <v>1.0263888888888888</v>
      </c>
      <c r="I2361" s="5" t="s">
        <v>55</v>
      </c>
      <c r="J2361" s="10" t="s">
        <v>13245</v>
      </c>
      <c r="K2361" s="5" t="s">
        <v>2583</v>
      </c>
      <c r="L2361" s="5" t="s">
        <v>13246</v>
      </c>
      <c r="M2361" s="5" t="s">
        <v>45</v>
      </c>
      <c r="N2361" s="5" t="s">
        <v>123</v>
      </c>
      <c r="O2361" s="5" t="s">
        <v>46</v>
      </c>
      <c r="P2361" s="10" t="s">
        <v>60</v>
      </c>
      <c r="Q2361" s="10" t="s">
        <v>13247</v>
      </c>
      <c r="R2361" s="10" t="s">
        <v>2586</v>
      </c>
      <c r="S2361" s="5">
        <v>0</v>
      </c>
      <c r="T2361" s="37">
        <v>0</v>
      </c>
      <c r="U2361" s="5">
        <v>0</v>
      </c>
      <c r="V2361" s="37">
        <v>0</v>
      </c>
      <c r="W2361" s="5">
        <v>0</v>
      </c>
      <c r="X2361" s="5">
        <v>0</v>
      </c>
      <c r="Y2361" s="5">
        <v>0</v>
      </c>
      <c r="Z2361" s="37">
        <v>0</v>
      </c>
      <c r="AA2361" s="5">
        <v>0</v>
      </c>
      <c r="AB2361" s="5">
        <v>0</v>
      </c>
      <c r="AC2361" s="5">
        <v>0</v>
      </c>
      <c r="AD2361" s="5">
        <v>0</v>
      </c>
      <c r="AE2361" s="10" t="s">
        <v>73</v>
      </c>
      <c r="AF2361" s="10"/>
      <c r="AG2361" s="10" t="s">
        <v>114</v>
      </c>
      <c r="AH2361" s="10">
        <v>42776</v>
      </c>
      <c r="AI2361" s="5">
        <v>3</v>
      </c>
      <c r="AJ2361" s="10" t="s">
        <v>13248</v>
      </c>
      <c r="AK2361" s="10" t="s">
        <v>13249</v>
      </c>
    </row>
    <row r="2362" spans="1:37" ht="36.75" customHeight="1" x14ac:dyDescent="0.35">
      <c r="A2362" s="5"/>
      <c r="B2362" s="5" t="s">
        <v>37</v>
      </c>
      <c r="C2362" s="73" t="str">
        <f t="shared" si="36"/>
        <v>Closed</v>
      </c>
      <c r="D2362" s="45" t="s">
        <v>13250</v>
      </c>
      <c r="E2362" s="54" t="s">
        <v>13251</v>
      </c>
      <c r="F2362" s="5" t="s">
        <v>2527</v>
      </c>
      <c r="G2362" s="10">
        <f>DATE(2017,2,9)</f>
        <v>42775</v>
      </c>
      <c r="H2362" s="35">
        <v>1.9701388888888891</v>
      </c>
      <c r="I2362" s="5" t="s">
        <v>106</v>
      </c>
      <c r="J2362" s="10" t="s">
        <v>13252</v>
      </c>
      <c r="K2362" s="5" t="s">
        <v>2529</v>
      </c>
      <c r="L2362" s="5" t="s">
        <v>13253</v>
      </c>
      <c r="M2362" s="5" t="s">
        <v>45</v>
      </c>
      <c r="N2362" s="5" t="s">
        <v>70</v>
      </c>
      <c r="O2362" s="5" t="s">
        <v>59</v>
      </c>
      <c r="P2362" s="10" t="s">
        <v>60</v>
      </c>
      <c r="Q2362" s="10" t="s">
        <v>3484</v>
      </c>
      <c r="R2362" s="10" t="s">
        <v>10282</v>
      </c>
      <c r="S2362" s="5">
        <v>0</v>
      </c>
      <c r="T2362" s="37">
        <v>0</v>
      </c>
      <c r="U2362" s="5">
        <v>0</v>
      </c>
      <c r="V2362" s="37">
        <v>0</v>
      </c>
      <c r="W2362" s="5">
        <v>0</v>
      </c>
      <c r="X2362" s="5">
        <v>0</v>
      </c>
      <c r="Y2362" s="5">
        <v>0</v>
      </c>
      <c r="Z2362" s="37">
        <v>0</v>
      </c>
      <c r="AA2362" s="5">
        <v>0</v>
      </c>
      <c r="AB2362" s="5">
        <v>0</v>
      </c>
      <c r="AC2362" s="5">
        <v>0</v>
      </c>
      <c r="AD2362" s="5">
        <v>0</v>
      </c>
      <c r="AE2362" s="10" t="s">
        <v>73</v>
      </c>
      <c r="AF2362" s="10"/>
      <c r="AG2362" s="10" t="s">
        <v>376</v>
      </c>
      <c r="AH2362" s="10">
        <v>42893</v>
      </c>
      <c r="AI2362" s="5">
        <v>3</v>
      </c>
      <c r="AJ2362" s="10" t="s">
        <v>13254</v>
      </c>
      <c r="AK2362" s="10" t="s">
        <v>13255</v>
      </c>
    </row>
    <row r="2363" spans="1:37" ht="36.75" customHeight="1" x14ac:dyDescent="0.35">
      <c r="A2363" s="5" t="s">
        <v>12448</v>
      </c>
      <c r="B2363" s="5" t="s">
        <v>37</v>
      </c>
      <c r="C2363" s="73" t="str">
        <f t="shared" si="36"/>
        <v>Closed</v>
      </c>
      <c r="D2363" s="47" t="s">
        <v>13256</v>
      </c>
      <c r="E2363" s="55" t="s">
        <v>13257</v>
      </c>
      <c r="F2363" s="15" t="s">
        <v>12887</v>
      </c>
      <c r="G2363" s="10">
        <f>DATE(2017,2,10)</f>
        <v>42776</v>
      </c>
      <c r="H2363" s="50">
        <v>0.40972222222222227</v>
      </c>
      <c r="I2363" s="15" t="s">
        <v>55</v>
      </c>
      <c r="J2363" s="55" t="s">
        <v>13258</v>
      </c>
      <c r="K2363" s="15" t="s">
        <v>434</v>
      </c>
      <c r="L2363" s="15" t="s">
        <v>13259</v>
      </c>
      <c r="M2363" s="15"/>
      <c r="N2363" s="15"/>
      <c r="O2363" s="15" t="s">
        <v>59</v>
      </c>
      <c r="P2363" s="55" t="s">
        <v>146</v>
      </c>
      <c r="Q2363" s="55" t="s">
        <v>13260</v>
      </c>
      <c r="R2363" s="55" t="s">
        <v>13261</v>
      </c>
      <c r="S2363" s="15">
        <v>0</v>
      </c>
      <c r="T2363" s="55">
        <v>0</v>
      </c>
      <c r="U2363" s="15">
        <v>0</v>
      </c>
      <c r="V2363" s="55">
        <v>0</v>
      </c>
      <c r="W2363" s="15">
        <v>0</v>
      </c>
      <c r="X2363" s="15">
        <v>0</v>
      </c>
      <c r="Y2363" s="15">
        <v>0</v>
      </c>
      <c r="Z2363" s="55">
        <v>0</v>
      </c>
      <c r="AA2363" s="15">
        <v>0</v>
      </c>
      <c r="AB2363" s="15">
        <v>0</v>
      </c>
      <c r="AC2363" s="15">
        <v>0</v>
      </c>
      <c r="AD2363" s="15">
        <v>0</v>
      </c>
      <c r="AE2363" s="55"/>
      <c r="AF2363" s="55" t="s">
        <v>13262</v>
      </c>
      <c r="AG2363" s="55"/>
      <c r="AH2363" s="55" t="s">
        <v>50</v>
      </c>
      <c r="AI2363" s="15">
        <v>2</v>
      </c>
      <c r="AJ2363" s="55"/>
      <c r="AK2363" s="55"/>
    </row>
    <row r="2364" spans="1:37" ht="36.75" customHeight="1" x14ac:dyDescent="0.35">
      <c r="A2364" s="5"/>
      <c r="B2364" s="5" t="s">
        <v>37</v>
      </c>
      <c r="C2364" s="73" t="str">
        <f t="shared" si="36"/>
        <v>Closed</v>
      </c>
      <c r="D2364" s="45" t="s">
        <v>13263</v>
      </c>
      <c r="E2364" s="54" t="s">
        <v>13264</v>
      </c>
      <c r="F2364" s="5" t="s">
        <v>619</v>
      </c>
      <c r="G2364" s="10">
        <f>DATE(2017,2,13)</f>
        <v>42779</v>
      </c>
      <c r="H2364" s="35">
        <v>1.9909722222222221</v>
      </c>
      <c r="I2364" s="5" t="s">
        <v>97</v>
      </c>
      <c r="J2364" s="10" t="s">
        <v>13265</v>
      </c>
      <c r="K2364" s="5" t="s">
        <v>621</v>
      </c>
      <c r="L2364" s="5" t="s">
        <v>13266</v>
      </c>
      <c r="M2364" s="5" t="s">
        <v>45</v>
      </c>
      <c r="N2364" s="5" t="s">
        <v>80</v>
      </c>
      <c r="O2364" s="5" t="s">
        <v>46</v>
      </c>
      <c r="P2364" s="10" t="s">
        <v>146</v>
      </c>
      <c r="Q2364" s="10" t="s">
        <v>623</v>
      </c>
      <c r="R2364" s="10" t="s">
        <v>624</v>
      </c>
      <c r="S2364" s="5">
        <v>0</v>
      </c>
      <c r="T2364" s="37">
        <v>0</v>
      </c>
      <c r="U2364" s="5">
        <v>1</v>
      </c>
      <c r="V2364" s="37">
        <v>0</v>
      </c>
      <c r="W2364" s="5">
        <v>0</v>
      </c>
      <c r="X2364" s="5">
        <v>1</v>
      </c>
      <c r="Y2364" s="5">
        <v>0</v>
      </c>
      <c r="Z2364" s="37">
        <v>0</v>
      </c>
      <c r="AA2364" s="5">
        <v>0</v>
      </c>
      <c r="AB2364" s="5">
        <v>0</v>
      </c>
      <c r="AC2364" s="5">
        <v>0</v>
      </c>
      <c r="AD2364" s="5">
        <v>0</v>
      </c>
      <c r="AE2364" s="10" t="s">
        <v>73</v>
      </c>
      <c r="AF2364" s="10"/>
      <c r="AG2364" s="10" t="s">
        <v>333</v>
      </c>
      <c r="AH2364" s="10">
        <v>42794</v>
      </c>
      <c r="AI2364" s="5">
        <v>2</v>
      </c>
      <c r="AJ2364" s="10" t="s">
        <v>13267</v>
      </c>
      <c r="AK2364" s="10" t="s">
        <v>13268</v>
      </c>
    </row>
    <row r="2365" spans="1:37" ht="36.75" customHeight="1" x14ac:dyDescent="0.35">
      <c r="A2365" s="5"/>
      <c r="B2365" s="5" t="s">
        <v>37</v>
      </c>
      <c r="C2365" s="73" t="str">
        <f t="shared" si="36"/>
        <v>Closed</v>
      </c>
      <c r="D2365" s="45" t="s">
        <v>13269</v>
      </c>
      <c r="E2365" s="54" t="s">
        <v>13270</v>
      </c>
      <c r="F2365" s="5" t="s">
        <v>816</v>
      </c>
      <c r="G2365" s="10">
        <f>DATE(2017,2,14)</f>
        <v>42780</v>
      </c>
      <c r="H2365" s="35">
        <v>1.7895833333333333</v>
      </c>
      <c r="I2365" s="5" t="s">
        <v>55</v>
      </c>
      <c r="J2365" s="10" t="s">
        <v>13271</v>
      </c>
      <c r="K2365" s="5" t="s">
        <v>818</v>
      </c>
      <c r="L2365" s="5" t="s">
        <v>13272</v>
      </c>
      <c r="M2365" s="5" t="s">
        <v>45</v>
      </c>
      <c r="N2365" s="5" t="s">
        <v>123</v>
      </c>
      <c r="O2365" s="5" t="s">
        <v>59</v>
      </c>
      <c r="P2365" s="10" t="s">
        <v>60</v>
      </c>
      <c r="Q2365" s="10" t="s">
        <v>4688</v>
      </c>
      <c r="R2365" s="10" t="s">
        <v>821</v>
      </c>
      <c r="S2365" s="5">
        <v>0</v>
      </c>
      <c r="T2365" s="37">
        <v>0</v>
      </c>
      <c r="U2365" s="5">
        <v>0</v>
      </c>
      <c r="V2365" s="37">
        <v>0</v>
      </c>
      <c r="W2365" s="5">
        <v>0</v>
      </c>
      <c r="X2365" s="5">
        <v>0</v>
      </c>
      <c r="Y2365" s="5">
        <v>0</v>
      </c>
      <c r="Z2365" s="37">
        <v>0</v>
      </c>
      <c r="AA2365" s="5">
        <v>0</v>
      </c>
      <c r="AB2365" s="5">
        <v>0</v>
      </c>
      <c r="AC2365" s="5">
        <v>0</v>
      </c>
      <c r="AD2365" s="5">
        <v>0</v>
      </c>
      <c r="AE2365" s="10" t="s">
        <v>73</v>
      </c>
      <c r="AF2365" s="10"/>
      <c r="AG2365" s="10" t="s">
        <v>333</v>
      </c>
      <c r="AH2365" s="10">
        <v>42782</v>
      </c>
      <c r="AI2365" s="5">
        <v>1</v>
      </c>
      <c r="AJ2365" s="10" t="s">
        <v>13273</v>
      </c>
      <c r="AK2365" s="10" t="s">
        <v>1215</v>
      </c>
    </row>
    <row r="2366" spans="1:37" ht="36.75" customHeight="1" x14ac:dyDescent="0.35">
      <c r="A2366" s="5"/>
      <c r="B2366" s="5" t="s">
        <v>37</v>
      </c>
      <c r="C2366" s="73" t="str">
        <f t="shared" si="36"/>
        <v>Closed</v>
      </c>
      <c r="D2366" s="45" t="s">
        <v>13274</v>
      </c>
      <c r="E2366" s="54" t="s">
        <v>13275</v>
      </c>
      <c r="F2366" s="5" t="s">
        <v>8759</v>
      </c>
      <c r="G2366" s="10">
        <f>DATE(2017,2,14)</f>
        <v>42780</v>
      </c>
      <c r="H2366" s="35">
        <v>1.3645833333333333</v>
      </c>
      <c r="I2366" s="5" t="s">
        <v>179</v>
      </c>
      <c r="J2366" s="10" t="s">
        <v>13276</v>
      </c>
      <c r="K2366" s="5" t="s">
        <v>8761</v>
      </c>
      <c r="L2366" s="5" t="s">
        <v>13277</v>
      </c>
      <c r="M2366" s="5" t="s">
        <v>45</v>
      </c>
      <c r="N2366" s="5" t="s">
        <v>70</v>
      </c>
      <c r="O2366" s="5" t="s">
        <v>46</v>
      </c>
      <c r="P2366" s="10" t="s">
        <v>8003</v>
      </c>
      <c r="Q2366" s="10" t="s">
        <v>8761</v>
      </c>
      <c r="R2366" s="10" t="s">
        <v>8761</v>
      </c>
      <c r="S2366" s="5">
        <v>0</v>
      </c>
      <c r="T2366" s="37">
        <v>1</v>
      </c>
      <c r="U2366" s="5">
        <v>0</v>
      </c>
      <c r="V2366" s="37">
        <v>0</v>
      </c>
      <c r="W2366" s="5">
        <v>0</v>
      </c>
      <c r="X2366" s="5">
        <v>1</v>
      </c>
      <c r="Y2366" s="5">
        <v>0</v>
      </c>
      <c r="Z2366" s="37">
        <v>1</v>
      </c>
      <c r="AA2366" s="5">
        <v>0</v>
      </c>
      <c r="AB2366" s="5">
        <v>0</v>
      </c>
      <c r="AC2366" s="5">
        <v>0</v>
      </c>
      <c r="AD2366" s="5">
        <v>1</v>
      </c>
      <c r="AE2366" s="10" t="s">
        <v>126</v>
      </c>
      <c r="AF2366" s="10"/>
      <c r="AG2366" s="10" t="s">
        <v>64</v>
      </c>
      <c r="AH2366" s="10">
        <v>42780</v>
      </c>
      <c r="AI2366" s="5">
        <v>11</v>
      </c>
      <c r="AJ2366" s="10" t="s">
        <v>13278</v>
      </c>
      <c r="AK2366" s="10" t="s">
        <v>13279</v>
      </c>
    </row>
    <row r="2367" spans="1:37" ht="36.75" customHeight="1" x14ac:dyDescent="0.35">
      <c r="A2367" s="5"/>
      <c r="B2367" s="5" t="s">
        <v>37</v>
      </c>
      <c r="C2367" s="73" t="str">
        <f t="shared" si="36"/>
        <v>Closed</v>
      </c>
      <c r="D2367" s="45" t="s">
        <v>13280</v>
      </c>
      <c r="E2367" s="54" t="s">
        <v>13281</v>
      </c>
      <c r="F2367" s="5" t="s">
        <v>1553</v>
      </c>
      <c r="G2367" s="10">
        <f>DATE(2017,2,15)</f>
        <v>42781</v>
      </c>
      <c r="H2367" s="35">
        <v>1.2680555555555555</v>
      </c>
      <c r="I2367" s="5" t="s">
        <v>55</v>
      </c>
      <c r="J2367" s="10" t="s">
        <v>13282</v>
      </c>
      <c r="K2367" s="5" t="s">
        <v>1555</v>
      </c>
      <c r="L2367" s="5" t="s">
        <v>13283</v>
      </c>
      <c r="M2367" s="5" t="s">
        <v>45</v>
      </c>
      <c r="N2367" s="5" t="s">
        <v>80</v>
      </c>
      <c r="O2367" s="5" t="s">
        <v>46</v>
      </c>
      <c r="P2367" s="10" t="s">
        <v>60</v>
      </c>
      <c r="Q2367" s="10" t="s">
        <v>9053</v>
      </c>
      <c r="R2367" s="10" t="s">
        <v>6413</v>
      </c>
      <c r="S2367" s="5">
        <v>0</v>
      </c>
      <c r="T2367" s="37">
        <v>0</v>
      </c>
      <c r="U2367" s="5">
        <v>0</v>
      </c>
      <c r="V2367" s="37">
        <v>0</v>
      </c>
      <c r="W2367" s="5">
        <v>0</v>
      </c>
      <c r="X2367" s="5">
        <v>0</v>
      </c>
      <c r="Y2367" s="5">
        <v>0</v>
      </c>
      <c r="Z2367" s="37">
        <v>0</v>
      </c>
      <c r="AA2367" s="5">
        <v>0</v>
      </c>
      <c r="AB2367" s="5">
        <v>0</v>
      </c>
      <c r="AC2367" s="5">
        <v>0</v>
      </c>
      <c r="AD2367" s="5">
        <v>0</v>
      </c>
      <c r="AE2367" s="10" t="s">
        <v>73</v>
      </c>
      <c r="AF2367" s="10"/>
      <c r="AG2367" s="10" t="s">
        <v>114</v>
      </c>
      <c r="AH2367" s="10">
        <v>42783</v>
      </c>
      <c r="AI2367" s="5">
        <v>2</v>
      </c>
      <c r="AJ2367" s="10" t="s">
        <v>13284</v>
      </c>
      <c r="AK2367" s="10" t="s">
        <v>13285</v>
      </c>
    </row>
    <row r="2368" spans="1:37" ht="36.75" customHeight="1" x14ac:dyDescent="0.35">
      <c r="A2368" s="5"/>
      <c r="B2368" s="5" t="s">
        <v>37</v>
      </c>
      <c r="C2368" s="73" t="str">
        <f t="shared" si="36"/>
        <v>Closed</v>
      </c>
      <c r="D2368" s="45" t="s">
        <v>13286</v>
      </c>
      <c r="E2368" s="54" t="s">
        <v>13287</v>
      </c>
      <c r="F2368" s="5" t="s">
        <v>563</v>
      </c>
      <c r="G2368" s="10">
        <f>DATE(2017,2,17)</f>
        <v>42783</v>
      </c>
      <c r="H2368" s="35">
        <v>1.0770833333333334</v>
      </c>
      <c r="I2368" s="5" t="s">
        <v>137</v>
      </c>
      <c r="J2368" s="10" t="s">
        <v>13288</v>
      </c>
      <c r="K2368" s="5" t="s">
        <v>565</v>
      </c>
      <c r="L2368" s="5" t="s">
        <v>13289</v>
      </c>
      <c r="M2368" s="5" t="s">
        <v>45</v>
      </c>
      <c r="N2368" s="5" t="s">
        <v>70</v>
      </c>
      <c r="O2368" s="5" t="s">
        <v>59</v>
      </c>
      <c r="P2368" s="10" t="s">
        <v>47</v>
      </c>
      <c r="Q2368" s="10" t="s">
        <v>4810</v>
      </c>
      <c r="R2368" s="10" t="s">
        <v>568</v>
      </c>
      <c r="S2368" s="5">
        <v>0</v>
      </c>
      <c r="T2368" s="37">
        <v>0</v>
      </c>
      <c r="U2368" s="5">
        <v>0</v>
      </c>
      <c r="V2368" s="37">
        <v>0</v>
      </c>
      <c r="W2368" s="5">
        <v>0</v>
      </c>
      <c r="X2368" s="5">
        <v>0</v>
      </c>
      <c r="Y2368" s="5">
        <v>0</v>
      </c>
      <c r="Z2368" s="37">
        <v>0</v>
      </c>
      <c r="AA2368" s="5">
        <v>0</v>
      </c>
      <c r="AB2368" s="5">
        <v>0</v>
      </c>
      <c r="AC2368" s="5">
        <v>0</v>
      </c>
      <c r="AD2368" s="5">
        <v>0</v>
      </c>
      <c r="AE2368" s="10" t="s">
        <v>375</v>
      </c>
      <c r="AF2368" s="10"/>
      <c r="AG2368" s="10" t="s">
        <v>114</v>
      </c>
      <c r="AH2368" s="10">
        <v>42804</v>
      </c>
      <c r="AI2368" s="5">
        <v>0</v>
      </c>
      <c r="AJ2368" s="10" t="s">
        <v>13290</v>
      </c>
      <c r="AK2368" s="10" t="s">
        <v>1215</v>
      </c>
    </row>
    <row r="2369" spans="1:37" ht="36.75" customHeight="1" x14ac:dyDescent="0.35">
      <c r="A2369" s="5"/>
      <c r="B2369" s="5" t="s">
        <v>37</v>
      </c>
      <c r="C2369" s="73" t="str">
        <f t="shared" si="36"/>
        <v>Closed</v>
      </c>
      <c r="D2369" s="45" t="s">
        <v>13291</v>
      </c>
      <c r="E2369" s="54" t="s">
        <v>13292</v>
      </c>
      <c r="F2369" s="5" t="s">
        <v>1751</v>
      </c>
      <c r="G2369" s="10">
        <f>DATE(2017,2,18)</f>
        <v>42784</v>
      </c>
      <c r="H2369" s="35">
        <v>1.5506944444444444</v>
      </c>
      <c r="I2369" s="5" t="s">
        <v>55</v>
      </c>
      <c r="J2369" s="10" t="s">
        <v>13293</v>
      </c>
      <c r="K2369" s="5" t="s">
        <v>1753</v>
      </c>
      <c r="L2369" s="5" t="s">
        <v>13294</v>
      </c>
      <c r="M2369" s="5" t="s">
        <v>45</v>
      </c>
      <c r="N2369" s="5" t="s">
        <v>70</v>
      </c>
      <c r="O2369" s="5" t="s">
        <v>46</v>
      </c>
      <c r="P2369" s="10" t="s">
        <v>47</v>
      </c>
      <c r="Q2369" s="10" t="s">
        <v>4269</v>
      </c>
      <c r="R2369" s="10" t="s">
        <v>1756</v>
      </c>
      <c r="S2369" s="5">
        <v>1</v>
      </c>
      <c r="T2369" s="37">
        <v>0</v>
      </c>
      <c r="U2369" s="5">
        <v>0</v>
      </c>
      <c r="V2369" s="37">
        <v>0</v>
      </c>
      <c r="W2369" s="5">
        <v>0</v>
      </c>
      <c r="X2369" s="5">
        <v>1</v>
      </c>
      <c r="Y2369" s="5">
        <v>3</v>
      </c>
      <c r="Z2369" s="37">
        <v>0</v>
      </c>
      <c r="AA2369" s="5">
        <v>0</v>
      </c>
      <c r="AB2369" s="5">
        <v>0</v>
      </c>
      <c r="AC2369" s="5">
        <v>0</v>
      </c>
      <c r="AD2369" s="5">
        <v>3</v>
      </c>
      <c r="AE2369" s="10" t="s">
        <v>375</v>
      </c>
      <c r="AF2369" s="10"/>
      <c r="AG2369" s="10" t="s">
        <v>64</v>
      </c>
      <c r="AH2369" s="10">
        <v>42784</v>
      </c>
      <c r="AI2369" s="5">
        <v>2</v>
      </c>
      <c r="AJ2369" s="10" t="s">
        <v>13295</v>
      </c>
      <c r="AK2369" s="10" t="s">
        <v>13296</v>
      </c>
    </row>
    <row r="2370" spans="1:37" ht="36.75" customHeight="1" x14ac:dyDescent="0.35">
      <c r="A2370" s="5"/>
      <c r="B2370" s="5" t="s">
        <v>37</v>
      </c>
      <c r="C2370" s="73" t="str">
        <f t="shared" ref="C2370:C2433" si="37">IF(B2370="Notification","Open",IF(B2370="Interim Statement","In progress","Closed"))</f>
        <v>Closed</v>
      </c>
      <c r="D2370" s="45" t="s">
        <v>13297</v>
      </c>
      <c r="E2370" s="54" t="s">
        <v>13298</v>
      </c>
      <c r="F2370" s="5" t="s">
        <v>9767</v>
      </c>
      <c r="G2370" s="10">
        <f>DATE(2017,2,19)</f>
        <v>42785</v>
      </c>
      <c r="H2370" s="35">
        <v>1.8423611111111109</v>
      </c>
      <c r="I2370" s="5" t="s">
        <v>55</v>
      </c>
      <c r="J2370" s="10" t="s">
        <v>13299</v>
      </c>
      <c r="K2370" s="5" t="s">
        <v>9769</v>
      </c>
      <c r="L2370" s="5" t="s">
        <v>13300</v>
      </c>
      <c r="M2370" s="5" t="s">
        <v>45</v>
      </c>
      <c r="N2370" s="5" t="s">
        <v>70</v>
      </c>
      <c r="O2370" s="5" t="s">
        <v>71</v>
      </c>
      <c r="P2370" s="10" t="s">
        <v>72</v>
      </c>
      <c r="Q2370" s="10" t="s">
        <v>10235</v>
      </c>
      <c r="R2370" s="10" t="s">
        <v>9772</v>
      </c>
      <c r="S2370" s="5">
        <v>0</v>
      </c>
      <c r="T2370" s="37">
        <v>0</v>
      </c>
      <c r="U2370" s="5">
        <v>0</v>
      </c>
      <c r="V2370" s="37">
        <v>0</v>
      </c>
      <c r="W2370" s="5">
        <v>0</v>
      </c>
      <c r="X2370" s="5">
        <v>0</v>
      </c>
      <c r="Y2370" s="5">
        <v>0</v>
      </c>
      <c r="Z2370" s="37">
        <v>0</v>
      </c>
      <c r="AA2370" s="5">
        <v>0</v>
      </c>
      <c r="AB2370" s="5">
        <v>0</v>
      </c>
      <c r="AC2370" s="5">
        <v>0</v>
      </c>
      <c r="AD2370" s="5">
        <v>0</v>
      </c>
      <c r="AE2370" s="10" t="s">
        <v>73</v>
      </c>
      <c r="AF2370" s="10"/>
      <c r="AG2370" s="10" t="s">
        <v>114</v>
      </c>
      <c r="AH2370" s="10">
        <v>42788</v>
      </c>
      <c r="AI2370" s="5">
        <v>0</v>
      </c>
      <c r="AJ2370" s="10" t="s">
        <v>13301</v>
      </c>
      <c r="AK2370" s="10" t="s">
        <v>13302</v>
      </c>
    </row>
    <row r="2371" spans="1:37" ht="36.75" customHeight="1" x14ac:dyDescent="0.35">
      <c r="A2371" s="5"/>
      <c r="B2371" s="5" t="s">
        <v>37</v>
      </c>
      <c r="C2371" s="73" t="str">
        <f t="shared" si="37"/>
        <v>Closed</v>
      </c>
      <c r="D2371" s="45" t="s">
        <v>13303</v>
      </c>
      <c r="E2371" s="54" t="s">
        <v>13304</v>
      </c>
      <c r="F2371" s="5" t="s">
        <v>1553</v>
      </c>
      <c r="G2371" s="10">
        <f>DATE(2017,2,28)</f>
        <v>42794</v>
      </c>
      <c r="H2371" s="35">
        <v>1.6493055555555556</v>
      </c>
      <c r="I2371" s="5" t="s">
        <v>55</v>
      </c>
      <c r="J2371" s="10" t="s">
        <v>13305</v>
      </c>
      <c r="K2371" s="5" t="s">
        <v>1555</v>
      </c>
      <c r="L2371" s="5" t="s">
        <v>13306</v>
      </c>
      <c r="M2371" s="5" t="s">
        <v>45</v>
      </c>
      <c r="N2371" s="5" t="s">
        <v>80</v>
      </c>
      <c r="O2371" s="5" t="s">
        <v>46</v>
      </c>
      <c r="P2371" s="10" t="s">
        <v>6920</v>
      </c>
      <c r="Q2371" s="10" t="s">
        <v>2393</v>
      </c>
      <c r="R2371" s="10" t="s">
        <v>6413</v>
      </c>
      <c r="S2371" s="5">
        <v>0</v>
      </c>
      <c r="T2371" s="37">
        <v>0</v>
      </c>
      <c r="U2371" s="5">
        <v>0</v>
      </c>
      <c r="V2371" s="37">
        <v>0</v>
      </c>
      <c r="W2371" s="5">
        <v>0</v>
      </c>
      <c r="X2371" s="5">
        <v>0</v>
      </c>
      <c r="Y2371" s="5">
        <v>0</v>
      </c>
      <c r="Z2371" s="37">
        <v>0</v>
      </c>
      <c r="AA2371" s="5">
        <v>0</v>
      </c>
      <c r="AB2371" s="5">
        <v>0</v>
      </c>
      <c r="AC2371" s="5">
        <v>0</v>
      </c>
      <c r="AD2371" s="5">
        <v>0</v>
      </c>
      <c r="AE2371" s="10" t="s">
        <v>73</v>
      </c>
      <c r="AF2371" s="10"/>
      <c r="AG2371" s="10" t="s">
        <v>114</v>
      </c>
      <c r="AH2371" s="10">
        <v>42801</v>
      </c>
      <c r="AI2371" s="5">
        <v>0</v>
      </c>
      <c r="AJ2371" s="10" t="s">
        <v>13307</v>
      </c>
      <c r="AK2371" s="10" t="s">
        <v>13308</v>
      </c>
    </row>
    <row r="2372" spans="1:37" ht="36.75" customHeight="1" x14ac:dyDescent="0.35">
      <c r="A2372" s="5"/>
      <c r="B2372" s="5" t="s">
        <v>37</v>
      </c>
      <c r="C2372" s="73" t="str">
        <f t="shared" si="37"/>
        <v>Closed</v>
      </c>
      <c r="D2372" s="45" t="s">
        <v>13309</v>
      </c>
      <c r="E2372" s="54" t="s">
        <v>13310</v>
      </c>
      <c r="F2372" s="5" t="s">
        <v>214</v>
      </c>
      <c r="G2372" s="10">
        <f>DATE(2017,2,28)</f>
        <v>42794</v>
      </c>
      <c r="H2372" s="35">
        <v>1.7347222222222221</v>
      </c>
      <c r="I2372" s="5" t="s">
        <v>67</v>
      </c>
      <c r="J2372" s="10" t="s">
        <v>13311</v>
      </c>
      <c r="K2372" s="5" t="s">
        <v>216</v>
      </c>
      <c r="L2372" s="5" t="s">
        <v>13312</v>
      </c>
      <c r="M2372" s="5" t="s">
        <v>45</v>
      </c>
      <c r="N2372" s="5" t="s">
        <v>70</v>
      </c>
      <c r="O2372" s="5" t="s">
        <v>46</v>
      </c>
      <c r="P2372" s="10" t="s">
        <v>146</v>
      </c>
      <c r="Q2372" s="10" t="s">
        <v>3332</v>
      </c>
      <c r="R2372" s="10" t="s">
        <v>216</v>
      </c>
      <c r="S2372" s="5">
        <v>0</v>
      </c>
      <c r="T2372" s="37">
        <v>0</v>
      </c>
      <c r="U2372" s="5">
        <v>0</v>
      </c>
      <c r="V2372" s="37">
        <v>0</v>
      </c>
      <c r="W2372" s="5">
        <v>0</v>
      </c>
      <c r="X2372" s="5">
        <v>0</v>
      </c>
      <c r="Y2372" s="5">
        <v>0</v>
      </c>
      <c r="Z2372" s="37">
        <v>0</v>
      </c>
      <c r="AA2372" s="5">
        <v>0</v>
      </c>
      <c r="AB2372" s="5">
        <v>0</v>
      </c>
      <c r="AC2372" s="5">
        <v>0</v>
      </c>
      <c r="AD2372" s="5">
        <v>0</v>
      </c>
      <c r="AE2372" s="10" t="s">
        <v>126</v>
      </c>
      <c r="AF2372" s="10"/>
      <c r="AG2372" s="10" t="s">
        <v>114</v>
      </c>
      <c r="AH2372" s="10">
        <v>42800</v>
      </c>
      <c r="AI2372" s="5">
        <v>2</v>
      </c>
      <c r="AJ2372" s="10" t="s">
        <v>13313</v>
      </c>
      <c r="AK2372" s="10" t="s">
        <v>13314</v>
      </c>
    </row>
    <row r="2373" spans="1:37" ht="36.75" customHeight="1" x14ac:dyDescent="0.35">
      <c r="A2373" s="5"/>
      <c r="B2373" s="5" t="s">
        <v>37</v>
      </c>
      <c r="C2373" s="73" t="str">
        <f t="shared" si="37"/>
        <v>Closed</v>
      </c>
      <c r="D2373" s="45" t="s">
        <v>13315</v>
      </c>
      <c r="E2373" s="54" t="s">
        <v>13316</v>
      </c>
      <c r="F2373" s="5" t="s">
        <v>214</v>
      </c>
      <c r="G2373" s="10">
        <f>DATE(2017,2,28)</f>
        <v>42794</v>
      </c>
      <c r="H2373" s="35">
        <v>1.0513888888888889</v>
      </c>
      <c r="I2373" s="5" t="s">
        <v>259</v>
      </c>
      <c r="J2373" s="10" t="s">
        <v>13317</v>
      </c>
      <c r="K2373" s="5" t="s">
        <v>216</v>
      </c>
      <c r="L2373" s="5" t="s">
        <v>13318</v>
      </c>
      <c r="M2373" s="5" t="s">
        <v>45</v>
      </c>
      <c r="N2373" s="5" t="s">
        <v>70</v>
      </c>
      <c r="O2373" s="5" t="s">
        <v>46</v>
      </c>
      <c r="P2373" s="10" t="s">
        <v>47</v>
      </c>
      <c r="Q2373" s="10" t="s">
        <v>7096</v>
      </c>
      <c r="R2373" s="10" t="s">
        <v>216</v>
      </c>
      <c r="S2373" s="5">
        <v>0</v>
      </c>
      <c r="T2373" s="37">
        <v>0</v>
      </c>
      <c r="U2373" s="5">
        <v>0</v>
      </c>
      <c r="V2373" s="37">
        <v>0</v>
      </c>
      <c r="W2373" s="5">
        <v>0</v>
      </c>
      <c r="X2373" s="5">
        <v>0</v>
      </c>
      <c r="Y2373" s="5">
        <v>0</v>
      </c>
      <c r="Z2373" s="37">
        <v>0</v>
      </c>
      <c r="AA2373" s="5">
        <v>0</v>
      </c>
      <c r="AB2373" s="5">
        <v>0</v>
      </c>
      <c r="AC2373" s="5">
        <v>0</v>
      </c>
      <c r="AD2373" s="5">
        <v>0</v>
      </c>
      <c r="AE2373" s="10" t="s">
        <v>73</v>
      </c>
      <c r="AF2373" s="10"/>
      <c r="AG2373" s="10" t="s">
        <v>114</v>
      </c>
      <c r="AH2373" s="10">
        <v>42814</v>
      </c>
      <c r="AI2373" s="5">
        <v>3</v>
      </c>
      <c r="AJ2373" s="10" t="s">
        <v>13319</v>
      </c>
      <c r="AK2373" s="10" t="s">
        <v>13320</v>
      </c>
    </row>
    <row r="2374" spans="1:37" ht="36.75" customHeight="1" x14ac:dyDescent="0.35">
      <c r="A2374" s="5"/>
      <c r="B2374" s="5" t="s">
        <v>37</v>
      </c>
      <c r="C2374" s="73" t="str">
        <f t="shared" si="37"/>
        <v>Closed</v>
      </c>
      <c r="D2374" s="45" t="s">
        <v>13321</v>
      </c>
      <c r="E2374" s="54" t="s">
        <v>13322</v>
      </c>
      <c r="F2374" s="5" t="s">
        <v>404</v>
      </c>
      <c r="G2374" s="10">
        <f>DATE(2017,3,1)</f>
        <v>42795</v>
      </c>
      <c r="H2374" s="35">
        <v>1.8729166666666668</v>
      </c>
      <c r="I2374" s="5" t="s">
        <v>179</v>
      </c>
      <c r="J2374" s="10" t="s">
        <v>13323</v>
      </c>
      <c r="K2374" s="5" t="s">
        <v>406</v>
      </c>
      <c r="L2374" s="5" t="s">
        <v>13324</v>
      </c>
      <c r="M2374" s="5" t="s">
        <v>45</v>
      </c>
      <c r="N2374" s="5" t="s">
        <v>123</v>
      </c>
      <c r="O2374" s="5" t="s">
        <v>59</v>
      </c>
      <c r="P2374" s="10" t="s">
        <v>12339</v>
      </c>
      <c r="Q2374" s="10" t="s">
        <v>10667</v>
      </c>
      <c r="R2374" s="10" t="s">
        <v>3083</v>
      </c>
      <c r="S2374" s="5">
        <v>0</v>
      </c>
      <c r="T2374" s="37">
        <v>0</v>
      </c>
      <c r="U2374" s="5">
        <v>0</v>
      </c>
      <c r="V2374" s="37">
        <v>0</v>
      </c>
      <c r="W2374" s="5">
        <v>0</v>
      </c>
      <c r="X2374" s="5">
        <v>0</v>
      </c>
      <c r="Y2374" s="5">
        <v>0</v>
      </c>
      <c r="Z2374" s="37">
        <v>0</v>
      </c>
      <c r="AA2374" s="5">
        <v>0</v>
      </c>
      <c r="AB2374" s="5">
        <v>0</v>
      </c>
      <c r="AC2374" s="5">
        <v>0</v>
      </c>
      <c r="AD2374" s="5">
        <v>0</v>
      </c>
      <c r="AE2374" s="10" t="s">
        <v>73</v>
      </c>
      <c r="AF2374" s="10"/>
      <c r="AG2374" s="10" t="s">
        <v>114</v>
      </c>
      <c r="AH2374" s="10">
        <v>42769</v>
      </c>
      <c r="AI2374" s="5">
        <v>0</v>
      </c>
      <c r="AJ2374" s="10" t="s">
        <v>13325</v>
      </c>
      <c r="AK2374" s="10" t="s">
        <v>13326</v>
      </c>
    </row>
    <row r="2375" spans="1:37" ht="36.75" customHeight="1" x14ac:dyDescent="0.35">
      <c r="A2375" s="5"/>
      <c r="B2375" s="5" t="s">
        <v>37</v>
      </c>
      <c r="C2375" s="73" t="str">
        <f t="shared" si="37"/>
        <v>Closed</v>
      </c>
      <c r="D2375" s="45" t="s">
        <v>13327</v>
      </c>
      <c r="E2375" s="54" t="s">
        <v>13328</v>
      </c>
      <c r="F2375" s="5" t="s">
        <v>358</v>
      </c>
      <c r="G2375" s="10">
        <f>DATE(2017,3,2)</f>
        <v>42796</v>
      </c>
      <c r="H2375" s="35">
        <v>1.3590277777777777</v>
      </c>
      <c r="I2375" s="5" t="s">
        <v>179</v>
      </c>
      <c r="J2375" s="10" t="s">
        <v>13329</v>
      </c>
      <c r="K2375" s="5" t="s">
        <v>360</v>
      </c>
      <c r="L2375" s="5" t="s">
        <v>13330</v>
      </c>
      <c r="M2375" s="5" t="s">
        <v>45</v>
      </c>
      <c r="N2375" s="5" t="s">
        <v>123</v>
      </c>
      <c r="O2375" s="5" t="s">
        <v>46</v>
      </c>
      <c r="P2375" s="10" t="s">
        <v>12339</v>
      </c>
      <c r="Q2375" s="10" t="s">
        <v>13331</v>
      </c>
      <c r="R2375" s="10" t="s">
        <v>363</v>
      </c>
      <c r="S2375" s="5">
        <v>0</v>
      </c>
      <c r="T2375" s="37">
        <v>0</v>
      </c>
      <c r="U2375" s="5">
        <v>0</v>
      </c>
      <c r="V2375" s="37">
        <v>0</v>
      </c>
      <c r="W2375" s="5">
        <v>0</v>
      </c>
      <c r="X2375" s="5">
        <v>0</v>
      </c>
      <c r="Y2375" s="5">
        <v>0</v>
      </c>
      <c r="Z2375" s="37">
        <v>0</v>
      </c>
      <c r="AA2375" s="5">
        <v>0</v>
      </c>
      <c r="AB2375" s="5">
        <v>0</v>
      </c>
      <c r="AC2375" s="5">
        <v>0</v>
      </c>
      <c r="AD2375" s="5">
        <v>0</v>
      </c>
      <c r="AE2375" s="10" t="s">
        <v>375</v>
      </c>
      <c r="AF2375" s="10"/>
      <c r="AG2375" s="10" t="s">
        <v>114</v>
      </c>
      <c r="AH2375" s="10">
        <v>42802</v>
      </c>
      <c r="AI2375" s="5">
        <v>4</v>
      </c>
      <c r="AJ2375" s="10" t="s">
        <v>13332</v>
      </c>
      <c r="AK2375" s="10" t="s">
        <v>13333</v>
      </c>
    </row>
    <row r="2376" spans="1:37" ht="36.75" customHeight="1" x14ac:dyDescent="0.35">
      <c r="A2376" s="5"/>
      <c r="B2376" s="5" t="s">
        <v>37</v>
      </c>
      <c r="C2376" s="73" t="str">
        <f t="shared" si="37"/>
        <v>Closed</v>
      </c>
      <c r="D2376" s="45" t="s">
        <v>13334</v>
      </c>
      <c r="E2376" s="54" t="s">
        <v>13335</v>
      </c>
      <c r="F2376" s="5" t="s">
        <v>1553</v>
      </c>
      <c r="G2376" s="10">
        <f>DATE(2017,3,4)</f>
        <v>42798</v>
      </c>
      <c r="H2376" s="35">
        <v>1.5833333333333335</v>
      </c>
      <c r="I2376" s="5" t="s">
        <v>55</v>
      </c>
      <c r="J2376" s="10" t="s">
        <v>13336</v>
      </c>
      <c r="K2376" s="5" t="s">
        <v>1555</v>
      </c>
      <c r="L2376" s="5" t="s">
        <v>13337</v>
      </c>
      <c r="M2376" s="5" t="s">
        <v>45</v>
      </c>
      <c r="N2376" s="5" t="s">
        <v>123</v>
      </c>
      <c r="O2376" s="5" t="s">
        <v>59</v>
      </c>
      <c r="P2376" s="10" t="s">
        <v>60</v>
      </c>
      <c r="Q2376" s="10" t="s">
        <v>7910</v>
      </c>
      <c r="R2376" s="10" t="s">
        <v>6413</v>
      </c>
      <c r="S2376" s="5">
        <v>0</v>
      </c>
      <c r="T2376" s="37">
        <v>0</v>
      </c>
      <c r="U2376" s="5">
        <v>0</v>
      </c>
      <c r="V2376" s="37">
        <v>0</v>
      </c>
      <c r="W2376" s="5">
        <v>0</v>
      </c>
      <c r="X2376" s="5">
        <v>0</v>
      </c>
      <c r="Y2376" s="5">
        <v>0</v>
      </c>
      <c r="Z2376" s="37">
        <v>0</v>
      </c>
      <c r="AA2376" s="5">
        <v>0</v>
      </c>
      <c r="AB2376" s="5">
        <v>0</v>
      </c>
      <c r="AC2376" s="5">
        <v>0</v>
      </c>
      <c r="AD2376" s="5">
        <v>0</v>
      </c>
      <c r="AE2376" s="10" t="s">
        <v>73</v>
      </c>
      <c r="AF2376" s="10"/>
      <c r="AG2376" s="10" t="s">
        <v>114</v>
      </c>
      <c r="AH2376" s="10">
        <v>42801</v>
      </c>
      <c r="AI2376" s="5">
        <v>0</v>
      </c>
      <c r="AJ2376" s="10" t="s">
        <v>13338</v>
      </c>
      <c r="AK2376" s="10" t="s">
        <v>13339</v>
      </c>
    </row>
    <row r="2377" spans="1:37" ht="36.75" customHeight="1" x14ac:dyDescent="0.35">
      <c r="A2377" s="5"/>
      <c r="B2377" s="5" t="s">
        <v>37</v>
      </c>
      <c r="C2377" s="73" t="str">
        <f t="shared" si="37"/>
        <v>Closed</v>
      </c>
      <c r="D2377" s="45" t="s">
        <v>13340</v>
      </c>
      <c r="E2377" s="54" t="s">
        <v>13341</v>
      </c>
      <c r="F2377" s="5" t="s">
        <v>605</v>
      </c>
      <c r="G2377" s="10">
        <f>DATE(2017,3,8)</f>
        <v>42802</v>
      </c>
      <c r="H2377" s="35">
        <v>0</v>
      </c>
      <c r="I2377" s="5" t="s">
        <v>85</v>
      </c>
      <c r="J2377" s="10" t="s">
        <v>4590</v>
      </c>
      <c r="K2377" s="5" t="s">
        <v>607</v>
      </c>
      <c r="L2377" s="5" t="s">
        <v>13342</v>
      </c>
      <c r="M2377" s="5" t="s">
        <v>45</v>
      </c>
      <c r="N2377" s="5" t="s">
        <v>70</v>
      </c>
      <c r="O2377" s="5" t="s">
        <v>59</v>
      </c>
      <c r="P2377" s="10" t="s">
        <v>362</v>
      </c>
      <c r="Q2377" s="10" t="s">
        <v>11656</v>
      </c>
      <c r="R2377" s="10" t="s">
        <v>610</v>
      </c>
      <c r="S2377" s="5">
        <v>0</v>
      </c>
      <c r="T2377" s="37">
        <v>0</v>
      </c>
      <c r="U2377" s="5">
        <v>0</v>
      </c>
      <c r="V2377" s="37">
        <v>0</v>
      </c>
      <c r="W2377" s="5">
        <v>0</v>
      </c>
      <c r="X2377" s="5">
        <v>0</v>
      </c>
      <c r="Y2377" s="5">
        <v>0</v>
      </c>
      <c r="Z2377" s="37">
        <v>0</v>
      </c>
      <c r="AA2377" s="5">
        <v>0</v>
      </c>
      <c r="AB2377" s="5">
        <v>0</v>
      </c>
      <c r="AC2377" s="5">
        <v>0</v>
      </c>
      <c r="AD2377" s="5">
        <v>0</v>
      </c>
      <c r="AE2377" s="10" t="s">
        <v>73</v>
      </c>
      <c r="AF2377" s="10"/>
      <c r="AG2377" s="10" t="s">
        <v>333</v>
      </c>
      <c r="AH2377" s="10">
        <v>42950</v>
      </c>
      <c r="AI2377" s="5">
        <v>1</v>
      </c>
      <c r="AJ2377" s="10" t="s">
        <v>13343</v>
      </c>
      <c r="AK2377" s="10" t="s">
        <v>50</v>
      </c>
    </row>
    <row r="2378" spans="1:37" ht="36.75" customHeight="1" x14ac:dyDescent="0.35">
      <c r="A2378" s="5"/>
      <c r="B2378" s="5" t="s">
        <v>37</v>
      </c>
      <c r="C2378" s="73" t="str">
        <f t="shared" si="37"/>
        <v>Closed</v>
      </c>
      <c r="D2378" s="45" t="s">
        <v>13344</v>
      </c>
      <c r="E2378" s="54" t="s">
        <v>13345</v>
      </c>
      <c r="F2378" s="5" t="s">
        <v>178</v>
      </c>
      <c r="G2378" s="10">
        <f>DATE(2017,3,9)</f>
        <v>42803</v>
      </c>
      <c r="H2378" s="35">
        <v>1.21875</v>
      </c>
      <c r="I2378" s="5" t="s">
        <v>468</v>
      </c>
      <c r="J2378" s="10" t="s">
        <v>13346</v>
      </c>
      <c r="K2378" s="5" t="s">
        <v>181</v>
      </c>
      <c r="L2378" s="5" t="s">
        <v>13347</v>
      </c>
      <c r="M2378" s="5" t="s">
        <v>45</v>
      </c>
      <c r="N2378" s="5" t="s">
        <v>123</v>
      </c>
      <c r="O2378" s="5" t="s">
        <v>59</v>
      </c>
      <c r="P2378" s="10" t="s">
        <v>67</v>
      </c>
      <c r="Q2378" s="10" t="s">
        <v>1697</v>
      </c>
      <c r="R2378" s="10" t="s">
        <v>184</v>
      </c>
      <c r="S2378" s="5">
        <v>0</v>
      </c>
      <c r="T2378" s="37">
        <v>0</v>
      </c>
      <c r="U2378" s="5">
        <v>0</v>
      </c>
      <c r="V2378" s="37">
        <v>0</v>
      </c>
      <c r="W2378" s="5">
        <v>0</v>
      </c>
      <c r="X2378" s="5">
        <v>0</v>
      </c>
      <c r="Y2378" s="5">
        <v>0</v>
      </c>
      <c r="Z2378" s="37">
        <v>0</v>
      </c>
      <c r="AA2378" s="5">
        <v>0</v>
      </c>
      <c r="AB2378" s="5">
        <v>0</v>
      </c>
      <c r="AC2378" s="5">
        <v>0</v>
      </c>
      <c r="AD2378" s="5">
        <v>0</v>
      </c>
      <c r="AE2378" s="10" t="s">
        <v>73</v>
      </c>
      <c r="AF2378" s="10"/>
      <c r="AG2378" s="10" t="s">
        <v>333</v>
      </c>
      <c r="AH2378" s="10">
        <v>42804</v>
      </c>
      <c r="AI2378" s="5">
        <v>1</v>
      </c>
      <c r="AJ2378" s="10" t="s">
        <v>13348</v>
      </c>
      <c r="AK2378" s="10" t="s">
        <v>1215</v>
      </c>
    </row>
    <row r="2379" spans="1:37" ht="36.75" customHeight="1" x14ac:dyDescent="0.35">
      <c r="A2379" s="5"/>
      <c r="B2379" s="5" t="s">
        <v>37</v>
      </c>
      <c r="C2379" s="73" t="str">
        <f t="shared" si="37"/>
        <v>Closed</v>
      </c>
      <c r="D2379" s="45" t="s">
        <v>13349</v>
      </c>
      <c r="E2379" s="54" t="s">
        <v>13350</v>
      </c>
      <c r="F2379" s="5" t="s">
        <v>9767</v>
      </c>
      <c r="G2379" s="10">
        <f>DATE(2017,3,10)</f>
        <v>42804</v>
      </c>
      <c r="H2379" s="35">
        <v>1.9986111111111109</v>
      </c>
      <c r="I2379" s="5" t="s">
        <v>55</v>
      </c>
      <c r="J2379" s="10" t="s">
        <v>13351</v>
      </c>
      <c r="K2379" s="5" t="s">
        <v>9769</v>
      </c>
      <c r="L2379" s="5" t="s">
        <v>13352</v>
      </c>
      <c r="M2379" s="5" t="s">
        <v>45</v>
      </c>
      <c r="N2379" s="5" t="s">
        <v>80</v>
      </c>
      <c r="O2379" s="5" t="s">
        <v>46</v>
      </c>
      <c r="P2379" s="10" t="s">
        <v>60</v>
      </c>
      <c r="Q2379" s="10" t="s">
        <v>10235</v>
      </c>
      <c r="R2379" s="10" t="s">
        <v>9772</v>
      </c>
      <c r="S2379" s="5">
        <v>0</v>
      </c>
      <c r="T2379" s="37">
        <v>0</v>
      </c>
      <c r="U2379" s="5">
        <v>0</v>
      </c>
      <c r="V2379" s="37">
        <v>0</v>
      </c>
      <c r="W2379" s="5">
        <v>0</v>
      </c>
      <c r="X2379" s="5">
        <v>0</v>
      </c>
      <c r="Y2379" s="5">
        <v>0</v>
      </c>
      <c r="Z2379" s="37">
        <v>0</v>
      </c>
      <c r="AA2379" s="5">
        <v>0</v>
      </c>
      <c r="AB2379" s="5">
        <v>0</v>
      </c>
      <c r="AC2379" s="5">
        <v>0</v>
      </c>
      <c r="AD2379" s="5">
        <v>0</v>
      </c>
      <c r="AE2379" s="10" t="s">
        <v>375</v>
      </c>
      <c r="AF2379" s="10"/>
      <c r="AG2379" s="10" t="s">
        <v>114</v>
      </c>
      <c r="AH2379" s="10">
        <v>42807</v>
      </c>
      <c r="AI2379" s="5">
        <v>0</v>
      </c>
      <c r="AJ2379" s="10" t="s">
        <v>13353</v>
      </c>
      <c r="AK2379" s="10" t="s">
        <v>13354</v>
      </c>
    </row>
    <row r="2380" spans="1:37" ht="36.75" customHeight="1" x14ac:dyDescent="0.35">
      <c r="A2380" s="5"/>
      <c r="B2380" s="5" t="s">
        <v>37</v>
      </c>
      <c r="C2380" s="73" t="str">
        <f t="shared" si="37"/>
        <v>Closed</v>
      </c>
      <c r="D2380" s="45" t="s">
        <v>13355</v>
      </c>
      <c r="E2380" s="54" t="s">
        <v>13356</v>
      </c>
      <c r="F2380" s="5" t="s">
        <v>105</v>
      </c>
      <c r="G2380" s="10">
        <f>DATE(2017,3,11)</f>
        <v>42805</v>
      </c>
      <c r="H2380" s="35">
        <v>1.2291666666666667</v>
      </c>
      <c r="I2380" s="5" t="s">
        <v>137</v>
      </c>
      <c r="J2380" s="10" t="s">
        <v>13357</v>
      </c>
      <c r="K2380" s="5" t="s">
        <v>108</v>
      </c>
      <c r="L2380" s="5" t="s">
        <v>13358</v>
      </c>
      <c r="M2380" s="5" t="s">
        <v>45</v>
      </c>
      <c r="N2380" s="5" t="s">
        <v>80</v>
      </c>
      <c r="O2380" s="5" t="s">
        <v>46</v>
      </c>
      <c r="P2380" s="10" t="s">
        <v>146</v>
      </c>
      <c r="Q2380" s="10" t="s">
        <v>210</v>
      </c>
      <c r="R2380" s="10" t="s">
        <v>148</v>
      </c>
      <c r="S2380" s="5">
        <v>0</v>
      </c>
      <c r="T2380" s="37">
        <v>0</v>
      </c>
      <c r="U2380" s="5">
        <v>0</v>
      </c>
      <c r="V2380" s="37">
        <v>0</v>
      </c>
      <c r="W2380" s="5">
        <v>0</v>
      </c>
      <c r="X2380" s="5">
        <v>0</v>
      </c>
      <c r="Y2380" s="5">
        <v>0</v>
      </c>
      <c r="Z2380" s="37">
        <v>0</v>
      </c>
      <c r="AA2380" s="5">
        <v>0</v>
      </c>
      <c r="AB2380" s="5">
        <v>0</v>
      </c>
      <c r="AC2380" s="5">
        <v>0</v>
      </c>
      <c r="AD2380" s="5">
        <v>0</v>
      </c>
      <c r="AE2380" s="10" t="s">
        <v>73</v>
      </c>
      <c r="AF2380" s="10"/>
      <c r="AG2380" s="10" t="s">
        <v>114</v>
      </c>
      <c r="AH2380" s="10">
        <v>42808</v>
      </c>
      <c r="AI2380" s="5">
        <v>1</v>
      </c>
      <c r="AJ2380" s="10" t="s">
        <v>13359</v>
      </c>
      <c r="AK2380" s="10" t="s">
        <v>1215</v>
      </c>
    </row>
    <row r="2381" spans="1:37" ht="36.75" customHeight="1" x14ac:dyDescent="0.35">
      <c r="A2381" s="5"/>
      <c r="B2381" s="5" t="s">
        <v>37</v>
      </c>
      <c r="C2381" s="73" t="str">
        <f t="shared" si="37"/>
        <v>Closed</v>
      </c>
      <c r="D2381" s="45" t="s">
        <v>13360</v>
      </c>
      <c r="E2381" s="54" t="s">
        <v>13361</v>
      </c>
      <c r="F2381" s="5" t="s">
        <v>1730</v>
      </c>
      <c r="G2381" s="10">
        <f>DATE(2017,3,12)</f>
        <v>42806</v>
      </c>
      <c r="H2381" s="35">
        <v>1.7284722222222224</v>
      </c>
      <c r="I2381" s="5" t="s">
        <v>97</v>
      </c>
      <c r="J2381" s="10" t="s">
        <v>13362</v>
      </c>
      <c r="K2381" s="5" t="s">
        <v>1732</v>
      </c>
      <c r="L2381" s="5" t="s">
        <v>13363</v>
      </c>
      <c r="M2381" s="5" t="s">
        <v>45</v>
      </c>
      <c r="N2381" s="5" t="s">
        <v>80</v>
      </c>
      <c r="O2381" s="5" t="s">
        <v>46</v>
      </c>
      <c r="P2381" s="10" t="s">
        <v>6920</v>
      </c>
      <c r="Q2381" s="10" t="s">
        <v>13364</v>
      </c>
      <c r="R2381" s="10" t="s">
        <v>1963</v>
      </c>
      <c r="S2381" s="5">
        <v>0</v>
      </c>
      <c r="T2381" s="37">
        <v>0</v>
      </c>
      <c r="U2381" s="5">
        <v>2</v>
      </c>
      <c r="V2381" s="37">
        <v>0</v>
      </c>
      <c r="W2381" s="5">
        <v>0</v>
      </c>
      <c r="X2381" s="5">
        <v>2</v>
      </c>
      <c r="Y2381" s="5">
        <v>0</v>
      </c>
      <c r="Z2381" s="37">
        <v>0</v>
      </c>
      <c r="AA2381" s="5">
        <v>0</v>
      </c>
      <c r="AB2381" s="5">
        <v>0</v>
      </c>
      <c r="AC2381" s="5">
        <v>0</v>
      </c>
      <c r="AD2381" s="5">
        <v>0</v>
      </c>
      <c r="AE2381" s="10" t="s">
        <v>73</v>
      </c>
      <c r="AF2381" s="10"/>
      <c r="AG2381" s="10" t="s">
        <v>229</v>
      </c>
      <c r="AH2381" s="10">
        <v>42807</v>
      </c>
      <c r="AI2381" s="5">
        <v>2</v>
      </c>
      <c r="AJ2381" s="10" t="s">
        <v>13365</v>
      </c>
      <c r="AK2381" s="10" t="s">
        <v>13366</v>
      </c>
    </row>
    <row r="2382" spans="1:37" ht="36.75" customHeight="1" x14ac:dyDescent="0.35">
      <c r="A2382" s="5"/>
      <c r="B2382" s="5" t="s">
        <v>37</v>
      </c>
      <c r="C2382" s="73" t="str">
        <f t="shared" si="37"/>
        <v>Closed</v>
      </c>
      <c r="D2382" s="45" t="s">
        <v>13367</v>
      </c>
      <c r="E2382" s="54" t="s">
        <v>13368</v>
      </c>
      <c r="F2382" s="5" t="s">
        <v>563</v>
      </c>
      <c r="G2382" s="10">
        <f>DATE(2017,3,13)</f>
        <v>42807</v>
      </c>
      <c r="H2382" s="35">
        <v>1.4111111111111112</v>
      </c>
      <c r="I2382" s="5" t="s">
        <v>259</v>
      </c>
      <c r="J2382" s="10" t="s">
        <v>13369</v>
      </c>
      <c r="K2382" s="5" t="s">
        <v>565</v>
      </c>
      <c r="L2382" s="5" t="s">
        <v>13370</v>
      </c>
      <c r="M2382" s="5" t="s">
        <v>45</v>
      </c>
      <c r="N2382" s="5" t="s">
        <v>123</v>
      </c>
      <c r="O2382" s="5" t="s">
        <v>59</v>
      </c>
      <c r="P2382" s="10" t="s">
        <v>146</v>
      </c>
      <c r="Q2382" s="10" t="s">
        <v>13371</v>
      </c>
      <c r="R2382" s="10" t="s">
        <v>568</v>
      </c>
      <c r="S2382" s="5">
        <v>0</v>
      </c>
      <c r="T2382" s="37">
        <v>1</v>
      </c>
      <c r="U2382" s="5">
        <v>0</v>
      </c>
      <c r="V2382" s="37">
        <v>0</v>
      </c>
      <c r="W2382" s="5">
        <v>0</v>
      </c>
      <c r="X2382" s="5">
        <v>1</v>
      </c>
      <c r="Y2382" s="5">
        <v>0</v>
      </c>
      <c r="Z2382" s="37">
        <v>0</v>
      </c>
      <c r="AA2382" s="5">
        <v>0</v>
      </c>
      <c r="AB2382" s="5">
        <v>0</v>
      </c>
      <c r="AC2382" s="5">
        <v>0</v>
      </c>
      <c r="AD2382" s="5">
        <v>0</v>
      </c>
      <c r="AE2382" s="10" t="s">
        <v>73</v>
      </c>
      <c r="AF2382" s="10"/>
      <c r="AG2382" s="10" t="s">
        <v>64</v>
      </c>
      <c r="AH2382" s="10">
        <v>42811</v>
      </c>
      <c r="AI2382" s="5">
        <v>0</v>
      </c>
      <c r="AJ2382" s="10" t="s">
        <v>13372</v>
      </c>
      <c r="AK2382" s="10" t="s">
        <v>1215</v>
      </c>
    </row>
    <row r="2383" spans="1:37" ht="36.75" customHeight="1" x14ac:dyDescent="0.35">
      <c r="A2383" s="5"/>
      <c r="B2383" s="5" t="s">
        <v>37</v>
      </c>
      <c r="C2383" s="73" t="str">
        <f t="shared" si="37"/>
        <v>Closed</v>
      </c>
      <c r="D2383" s="45" t="s">
        <v>13373</v>
      </c>
      <c r="E2383" s="54" t="s">
        <v>13374</v>
      </c>
      <c r="F2383" s="5" t="s">
        <v>96</v>
      </c>
      <c r="G2383" s="10">
        <f>DATE(2017,3,13)</f>
        <v>42807</v>
      </c>
      <c r="H2383" s="35">
        <v>1.1701388888888888</v>
      </c>
      <c r="I2383" s="5" t="s">
        <v>55</v>
      </c>
      <c r="J2383" s="10" t="s">
        <v>13375</v>
      </c>
      <c r="K2383" s="5" t="s">
        <v>99</v>
      </c>
      <c r="L2383" s="5" t="s">
        <v>13376</v>
      </c>
      <c r="M2383" s="5" t="s">
        <v>45</v>
      </c>
      <c r="N2383" s="5" t="s">
        <v>70</v>
      </c>
      <c r="O2383" s="5" t="s">
        <v>71</v>
      </c>
      <c r="P2383" s="10" t="s">
        <v>60</v>
      </c>
      <c r="Q2383" s="10" t="s">
        <v>101</v>
      </c>
      <c r="R2383" s="10" t="s">
        <v>102</v>
      </c>
      <c r="S2383" s="5">
        <v>0</v>
      </c>
      <c r="T2383" s="37">
        <v>0</v>
      </c>
      <c r="U2383" s="5">
        <v>0</v>
      </c>
      <c r="V2383" s="37">
        <v>0</v>
      </c>
      <c r="W2383" s="5">
        <v>0</v>
      </c>
      <c r="X2383" s="5">
        <v>0</v>
      </c>
      <c r="Y2383" s="5">
        <v>0</v>
      </c>
      <c r="Z2383" s="37">
        <v>0</v>
      </c>
      <c r="AA2383" s="5">
        <v>0</v>
      </c>
      <c r="AB2383" s="5">
        <v>0</v>
      </c>
      <c r="AC2383" s="5">
        <v>0</v>
      </c>
      <c r="AD2383" s="5">
        <v>0</v>
      </c>
      <c r="AE2383" s="10" t="s">
        <v>126</v>
      </c>
      <c r="AF2383" s="10"/>
      <c r="AG2383" s="10" t="s">
        <v>64</v>
      </c>
      <c r="AH2383" s="10">
        <v>42809</v>
      </c>
      <c r="AI2383" s="5">
        <v>2</v>
      </c>
      <c r="AJ2383" s="10" t="s">
        <v>13377</v>
      </c>
      <c r="AK2383" s="10" t="s">
        <v>13378</v>
      </c>
    </row>
    <row r="2384" spans="1:37" ht="36.75" customHeight="1" x14ac:dyDescent="0.35">
      <c r="A2384" s="5"/>
      <c r="B2384" s="5" t="s">
        <v>37</v>
      </c>
      <c r="C2384" s="73" t="str">
        <f t="shared" si="37"/>
        <v>Closed</v>
      </c>
      <c r="D2384" s="45" t="s">
        <v>13379</v>
      </c>
      <c r="E2384" s="54" t="s">
        <v>13380</v>
      </c>
      <c r="F2384" s="5" t="s">
        <v>1553</v>
      </c>
      <c r="G2384" s="10">
        <f>DATE(2017,3,15)</f>
        <v>42809</v>
      </c>
      <c r="H2384" s="35">
        <v>1.3993055555555556</v>
      </c>
      <c r="I2384" s="5" t="s">
        <v>55</v>
      </c>
      <c r="J2384" s="10" t="s">
        <v>13381</v>
      </c>
      <c r="K2384" s="5" t="s">
        <v>1555</v>
      </c>
      <c r="L2384" s="5" t="s">
        <v>13382</v>
      </c>
      <c r="M2384" s="5" t="s">
        <v>45</v>
      </c>
      <c r="N2384" s="5" t="s">
        <v>80</v>
      </c>
      <c r="O2384" s="5" t="s">
        <v>46</v>
      </c>
      <c r="P2384" s="10" t="s">
        <v>6920</v>
      </c>
      <c r="Q2384" s="10" t="s">
        <v>13383</v>
      </c>
      <c r="R2384" s="10" t="s">
        <v>6413</v>
      </c>
      <c r="S2384" s="5">
        <v>0</v>
      </c>
      <c r="T2384" s="37">
        <v>0</v>
      </c>
      <c r="U2384" s="5">
        <v>0</v>
      </c>
      <c r="V2384" s="37">
        <v>0</v>
      </c>
      <c r="W2384" s="5">
        <v>0</v>
      </c>
      <c r="X2384" s="5">
        <v>0</v>
      </c>
      <c r="Y2384" s="5">
        <v>0</v>
      </c>
      <c r="Z2384" s="37">
        <v>0</v>
      </c>
      <c r="AA2384" s="5">
        <v>0</v>
      </c>
      <c r="AB2384" s="5">
        <v>0</v>
      </c>
      <c r="AC2384" s="5">
        <v>0</v>
      </c>
      <c r="AD2384" s="5">
        <v>0</v>
      </c>
      <c r="AE2384" s="10" t="s">
        <v>73</v>
      </c>
      <c r="AF2384" s="10"/>
      <c r="AG2384" s="10" t="s">
        <v>114</v>
      </c>
      <c r="AH2384" s="10">
        <v>42810</v>
      </c>
      <c r="AI2384" s="5">
        <v>1</v>
      </c>
      <c r="AJ2384" s="10" t="s">
        <v>13384</v>
      </c>
      <c r="AK2384" s="10" t="s">
        <v>13385</v>
      </c>
    </row>
    <row r="2385" spans="1:37" ht="36.75" customHeight="1" x14ac:dyDescent="0.35">
      <c r="A2385" s="5"/>
      <c r="B2385" s="5" t="s">
        <v>37</v>
      </c>
      <c r="C2385" s="73" t="str">
        <f t="shared" si="37"/>
        <v>Closed</v>
      </c>
      <c r="D2385" s="45" t="s">
        <v>13386</v>
      </c>
      <c r="E2385" s="54" t="s">
        <v>13387</v>
      </c>
      <c r="F2385" s="5" t="s">
        <v>178</v>
      </c>
      <c r="G2385" s="10">
        <f>DATE(2017,3,17)</f>
        <v>42811</v>
      </c>
      <c r="H2385" s="35">
        <v>1.3680555555555556</v>
      </c>
      <c r="I2385" s="5" t="s">
        <v>5473</v>
      </c>
      <c r="J2385" s="10" t="s">
        <v>13388</v>
      </c>
      <c r="K2385" s="5" t="s">
        <v>181</v>
      </c>
      <c r="L2385" s="5" t="s">
        <v>13389</v>
      </c>
      <c r="M2385" s="5" t="s">
        <v>45</v>
      </c>
      <c r="N2385" s="5" t="s">
        <v>123</v>
      </c>
      <c r="O2385" s="5" t="s">
        <v>46</v>
      </c>
      <c r="P2385" s="10" t="s">
        <v>146</v>
      </c>
      <c r="Q2385" s="10" t="s">
        <v>183</v>
      </c>
      <c r="R2385" s="10" t="s">
        <v>184</v>
      </c>
      <c r="S2385" s="5">
        <v>0</v>
      </c>
      <c r="T2385" s="37">
        <v>0</v>
      </c>
      <c r="U2385" s="5">
        <v>0</v>
      </c>
      <c r="V2385" s="37">
        <v>0</v>
      </c>
      <c r="W2385" s="5">
        <v>0</v>
      </c>
      <c r="X2385" s="5">
        <v>0</v>
      </c>
      <c r="Y2385" s="5">
        <v>0</v>
      </c>
      <c r="Z2385" s="37">
        <v>0</v>
      </c>
      <c r="AA2385" s="5">
        <v>0</v>
      </c>
      <c r="AB2385" s="5">
        <v>0</v>
      </c>
      <c r="AC2385" s="5">
        <v>0</v>
      </c>
      <c r="AD2385" s="5">
        <v>0</v>
      </c>
      <c r="AE2385" s="10" t="s">
        <v>73</v>
      </c>
      <c r="AF2385" s="10"/>
      <c r="AG2385" s="10" t="s">
        <v>376</v>
      </c>
      <c r="AH2385" s="10">
        <v>42916</v>
      </c>
      <c r="AI2385" s="5">
        <v>0</v>
      </c>
      <c r="AJ2385" s="10" t="s">
        <v>13390</v>
      </c>
      <c r="AK2385" s="10" t="s">
        <v>1215</v>
      </c>
    </row>
    <row r="2386" spans="1:37" ht="36.75" customHeight="1" x14ac:dyDescent="0.35">
      <c r="A2386" s="5"/>
      <c r="B2386" s="5" t="s">
        <v>37</v>
      </c>
      <c r="C2386" s="73" t="str">
        <f t="shared" si="37"/>
        <v>Closed</v>
      </c>
      <c r="D2386" s="45" t="s">
        <v>13391</v>
      </c>
      <c r="E2386" s="54" t="s">
        <v>13392</v>
      </c>
      <c r="F2386" s="5" t="s">
        <v>404</v>
      </c>
      <c r="G2386" s="10">
        <f>DATE(2017,3,17)</f>
        <v>42811</v>
      </c>
      <c r="H2386" s="35">
        <v>1.78125</v>
      </c>
      <c r="I2386" s="5" t="s">
        <v>97</v>
      </c>
      <c r="J2386" s="10" t="s">
        <v>13393</v>
      </c>
      <c r="K2386" s="5" t="s">
        <v>406</v>
      </c>
      <c r="L2386" s="5" t="s">
        <v>13394</v>
      </c>
      <c r="M2386" s="5" t="s">
        <v>45</v>
      </c>
      <c r="N2386" s="5" t="s">
        <v>80</v>
      </c>
      <c r="O2386" s="5" t="s">
        <v>46</v>
      </c>
      <c r="P2386" s="10" t="s">
        <v>146</v>
      </c>
      <c r="Q2386" s="10" t="s">
        <v>4531</v>
      </c>
      <c r="R2386" s="10" t="s">
        <v>3083</v>
      </c>
      <c r="S2386" s="5">
        <v>0</v>
      </c>
      <c r="T2386" s="37">
        <v>0</v>
      </c>
      <c r="U2386" s="5">
        <v>0</v>
      </c>
      <c r="V2386" s="37">
        <v>0</v>
      </c>
      <c r="W2386" s="5">
        <v>0</v>
      </c>
      <c r="X2386" s="5">
        <v>0</v>
      </c>
      <c r="Y2386" s="5">
        <v>0</v>
      </c>
      <c r="Z2386" s="37">
        <v>0</v>
      </c>
      <c r="AA2386" s="5">
        <v>0</v>
      </c>
      <c r="AB2386" s="5">
        <v>0</v>
      </c>
      <c r="AC2386" s="5">
        <v>0</v>
      </c>
      <c r="AD2386" s="5">
        <v>0</v>
      </c>
      <c r="AE2386" s="10" t="s">
        <v>73</v>
      </c>
      <c r="AF2386" s="10"/>
      <c r="AG2386" s="10" t="s">
        <v>333</v>
      </c>
      <c r="AH2386" s="10">
        <v>42825</v>
      </c>
      <c r="AI2386" s="5">
        <v>1</v>
      </c>
      <c r="AJ2386" s="10" t="s">
        <v>13395</v>
      </c>
      <c r="AK2386" s="10" t="s">
        <v>13396</v>
      </c>
    </row>
    <row r="2387" spans="1:37" ht="36.75" customHeight="1" x14ac:dyDescent="0.35">
      <c r="A2387" s="5"/>
      <c r="B2387" s="5" t="s">
        <v>37</v>
      </c>
      <c r="C2387" s="73" t="str">
        <f t="shared" si="37"/>
        <v>Closed</v>
      </c>
      <c r="D2387" s="45" t="s">
        <v>13397</v>
      </c>
      <c r="E2387" s="54" t="s">
        <v>13398</v>
      </c>
      <c r="F2387" s="5" t="s">
        <v>178</v>
      </c>
      <c r="G2387" s="10">
        <f>DATE(2017,3,20)</f>
        <v>42814</v>
      </c>
      <c r="H2387" s="35">
        <v>1.8201388888888888</v>
      </c>
      <c r="I2387" s="5" t="s">
        <v>179</v>
      </c>
      <c r="J2387" s="10" t="s">
        <v>13399</v>
      </c>
      <c r="K2387" s="5" t="s">
        <v>181</v>
      </c>
      <c r="L2387" s="5" t="s">
        <v>13400</v>
      </c>
      <c r="M2387" s="5" t="s">
        <v>45</v>
      </c>
      <c r="N2387" s="5" t="s">
        <v>70</v>
      </c>
      <c r="O2387" s="5" t="s">
        <v>46</v>
      </c>
      <c r="P2387" s="10" t="s">
        <v>10132</v>
      </c>
      <c r="Q2387" s="10" t="s">
        <v>13401</v>
      </c>
      <c r="R2387" s="10" t="s">
        <v>184</v>
      </c>
      <c r="S2387" s="5">
        <v>0</v>
      </c>
      <c r="T2387" s="37">
        <v>0</v>
      </c>
      <c r="U2387" s="5">
        <v>0</v>
      </c>
      <c r="V2387" s="37">
        <v>0</v>
      </c>
      <c r="W2387" s="5">
        <v>0</v>
      </c>
      <c r="X2387" s="5">
        <v>0</v>
      </c>
      <c r="Y2387" s="5">
        <v>0</v>
      </c>
      <c r="Z2387" s="37">
        <v>0</v>
      </c>
      <c r="AA2387" s="5">
        <v>0</v>
      </c>
      <c r="AB2387" s="5">
        <v>0</v>
      </c>
      <c r="AC2387" s="5">
        <v>0</v>
      </c>
      <c r="AD2387" s="5">
        <v>0</v>
      </c>
      <c r="AE2387" s="10" t="s">
        <v>375</v>
      </c>
      <c r="AF2387" s="10"/>
      <c r="AG2387" s="10" t="s">
        <v>114</v>
      </c>
      <c r="AH2387" s="10">
        <v>42823</v>
      </c>
      <c r="AI2387" s="5">
        <v>2</v>
      </c>
      <c r="AJ2387" s="10" t="s">
        <v>50</v>
      </c>
      <c r="AK2387" s="10" t="s">
        <v>50</v>
      </c>
    </row>
    <row r="2388" spans="1:37" ht="36.75" customHeight="1" x14ac:dyDescent="0.35">
      <c r="A2388" s="5"/>
      <c r="B2388" s="5" t="s">
        <v>37</v>
      </c>
      <c r="C2388" s="73" t="str">
        <f t="shared" si="37"/>
        <v>Closed</v>
      </c>
      <c r="D2388" s="45" t="s">
        <v>13402</v>
      </c>
      <c r="E2388" s="54" t="s">
        <v>13403</v>
      </c>
      <c r="F2388" s="5" t="s">
        <v>214</v>
      </c>
      <c r="G2388" s="10">
        <f>DATE(2017,3,20)</f>
        <v>42814</v>
      </c>
      <c r="H2388" s="35">
        <v>1.7291666666666665</v>
      </c>
      <c r="I2388" s="5" t="s">
        <v>55</v>
      </c>
      <c r="J2388" s="10" t="s">
        <v>13404</v>
      </c>
      <c r="K2388" s="5" t="s">
        <v>216</v>
      </c>
      <c r="L2388" s="5" t="s">
        <v>13405</v>
      </c>
      <c r="M2388" s="5" t="s">
        <v>45</v>
      </c>
      <c r="N2388" s="5" t="s">
        <v>123</v>
      </c>
      <c r="O2388" s="5" t="s">
        <v>46</v>
      </c>
      <c r="P2388" s="10" t="s">
        <v>60</v>
      </c>
      <c r="Q2388" s="10" t="s">
        <v>4022</v>
      </c>
      <c r="R2388" s="10" t="s">
        <v>216</v>
      </c>
      <c r="S2388" s="5">
        <v>0</v>
      </c>
      <c r="T2388" s="37">
        <v>0</v>
      </c>
      <c r="U2388" s="5">
        <v>0</v>
      </c>
      <c r="V2388" s="37">
        <v>0</v>
      </c>
      <c r="W2388" s="5">
        <v>0</v>
      </c>
      <c r="X2388" s="5">
        <v>0</v>
      </c>
      <c r="Y2388" s="5">
        <v>0</v>
      </c>
      <c r="Z2388" s="37">
        <v>0</v>
      </c>
      <c r="AA2388" s="5">
        <v>0</v>
      </c>
      <c r="AB2388" s="5">
        <v>0</v>
      </c>
      <c r="AC2388" s="5">
        <v>0</v>
      </c>
      <c r="AD2388" s="5">
        <v>0</v>
      </c>
      <c r="AE2388" s="10" t="s">
        <v>126</v>
      </c>
      <c r="AF2388" s="10"/>
      <c r="AG2388" s="10" t="s">
        <v>114</v>
      </c>
      <c r="AH2388" s="10">
        <v>42821</v>
      </c>
      <c r="AI2388" s="5">
        <v>4</v>
      </c>
      <c r="AJ2388" s="10" t="s">
        <v>13406</v>
      </c>
      <c r="AK2388" s="10" t="s">
        <v>13407</v>
      </c>
    </row>
    <row r="2389" spans="1:37" ht="36.75" customHeight="1" x14ac:dyDescent="0.35">
      <c r="A2389" s="5"/>
      <c r="B2389" s="5" t="s">
        <v>37</v>
      </c>
      <c r="C2389" s="73" t="str">
        <f t="shared" si="37"/>
        <v>Closed</v>
      </c>
      <c r="D2389" s="45" t="s">
        <v>13408</v>
      </c>
      <c r="E2389" s="54" t="s">
        <v>13409</v>
      </c>
      <c r="F2389" s="5" t="s">
        <v>13410</v>
      </c>
      <c r="G2389" s="10">
        <f>DATE(2017,3,22)</f>
        <v>42816</v>
      </c>
      <c r="H2389" s="35">
        <v>1.5812499999999998</v>
      </c>
      <c r="I2389" s="5" t="s">
        <v>55</v>
      </c>
      <c r="J2389" s="10" t="s">
        <v>13411</v>
      </c>
      <c r="K2389" s="5" t="s">
        <v>13412</v>
      </c>
      <c r="L2389" s="5" t="s">
        <v>13413</v>
      </c>
      <c r="M2389" s="5" t="s">
        <v>45</v>
      </c>
      <c r="N2389" s="5" t="s">
        <v>70</v>
      </c>
      <c r="O2389" s="5" t="s">
        <v>59</v>
      </c>
      <c r="P2389" s="10" t="s">
        <v>6920</v>
      </c>
      <c r="Q2389" s="10" t="s">
        <v>13414</v>
      </c>
      <c r="R2389" s="10" t="s">
        <v>13415</v>
      </c>
      <c r="S2389" s="5">
        <v>0</v>
      </c>
      <c r="T2389" s="37">
        <v>0</v>
      </c>
      <c r="U2389" s="5">
        <v>0</v>
      </c>
      <c r="V2389" s="37">
        <v>0</v>
      </c>
      <c r="W2389" s="5">
        <v>0</v>
      </c>
      <c r="X2389" s="5">
        <v>0</v>
      </c>
      <c r="Y2389" s="5">
        <v>0</v>
      </c>
      <c r="Z2389" s="37">
        <v>0</v>
      </c>
      <c r="AA2389" s="5">
        <v>0</v>
      </c>
      <c r="AB2389" s="5">
        <v>0</v>
      </c>
      <c r="AC2389" s="5">
        <v>0</v>
      </c>
      <c r="AD2389" s="5">
        <v>0</v>
      </c>
      <c r="AE2389" s="10" t="s">
        <v>126</v>
      </c>
      <c r="AF2389" s="10"/>
      <c r="AG2389" s="10" t="s">
        <v>570</v>
      </c>
      <c r="AH2389" s="10">
        <v>42816</v>
      </c>
      <c r="AI2389" s="5">
        <v>0</v>
      </c>
      <c r="AJ2389" s="10" t="s">
        <v>13416</v>
      </c>
      <c r="AK2389" s="10" t="s">
        <v>50</v>
      </c>
    </row>
    <row r="2390" spans="1:37" ht="36.75" customHeight="1" x14ac:dyDescent="0.35">
      <c r="A2390" s="5"/>
      <c r="B2390" s="5" t="s">
        <v>37</v>
      </c>
      <c r="C2390" s="73" t="str">
        <f t="shared" si="37"/>
        <v>Closed</v>
      </c>
      <c r="D2390" s="45" t="s">
        <v>13417</v>
      </c>
      <c r="E2390" s="54" t="s">
        <v>13418</v>
      </c>
      <c r="F2390" s="5" t="s">
        <v>6434</v>
      </c>
      <c r="G2390" s="10">
        <f>DATE(2017,3,22)</f>
        <v>42816</v>
      </c>
      <c r="H2390" s="35">
        <v>0.3743055555555555</v>
      </c>
      <c r="I2390" s="5" t="s">
        <v>55</v>
      </c>
      <c r="J2390" s="10" t="s">
        <v>13419</v>
      </c>
      <c r="K2390" s="5" t="s">
        <v>565</v>
      </c>
      <c r="L2390" s="5" t="s">
        <v>13420</v>
      </c>
      <c r="M2390" s="5" t="s">
        <v>45</v>
      </c>
      <c r="N2390" s="5" t="s">
        <v>80</v>
      </c>
      <c r="O2390" s="5" t="s">
        <v>59</v>
      </c>
      <c r="P2390" s="10" t="s">
        <v>60</v>
      </c>
      <c r="Q2390" s="10" t="s">
        <v>13421</v>
      </c>
      <c r="R2390" s="10" t="s">
        <v>568</v>
      </c>
      <c r="S2390" s="5">
        <v>0</v>
      </c>
      <c r="T2390" s="37">
        <v>0</v>
      </c>
      <c r="U2390" s="5">
        <v>0</v>
      </c>
      <c r="V2390" s="37">
        <v>0</v>
      </c>
      <c r="W2390" s="5">
        <v>0</v>
      </c>
      <c r="X2390" s="5">
        <v>0</v>
      </c>
      <c r="Y2390" s="5">
        <v>0</v>
      </c>
      <c r="Z2390" s="37">
        <v>0</v>
      </c>
      <c r="AA2390" s="5">
        <v>0</v>
      </c>
      <c r="AB2390" s="5">
        <v>0</v>
      </c>
      <c r="AC2390" s="5">
        <v>0</v>
      </c>
      <c r="AD2390" s="5">
        <v>0</v>
      </c>
      <c r="AE2390" s="10" t="s">
        <v>375</v>
      </c>
      <c r="AF2390" s="10" t="s">
        <v>13422</v>
      </c>
      <c r="AG2390" s="10" t="s">
        <v>8837</v>
      </c>
      <c r="AH2390" s="10">
        <v>42817</v>
      </c>
      <c r="AI2390" s="5">
        <v>0</v>
      </c>
      <c r="AJ2390" s="10" t="s">
        <v>13423</v>
      </c>
      <c r="AK2390" s="10" t="s">
        <v>50</v>
      </c>
    </row>
    <row r="2391" spans="1:37" ht="36.75" customHeight="1" x14ac:dyDescent="0.35">
      <c r="A2391" s="5"/>
      <c r="B2391" s="5" t="s">
        <v>37</v>
      </c>
      <c r="C2391" s="73" t="str">
        <f t="shared" si="37"/>
        <v>Closed</v>
      </c>
      <c r="D2391" s="45" t="s">
        <v>13424</v>
      </c>
      <c r="E2391" s="54" t="s">
        <v>13425</v>
      </c>
      <c r="F2391" s="5" t="s">
        <v>619</v>
      </c>
      <c r="G2391" s="10">
        <f>DATE(2017,3,23)</f>
        <v>42817</v>
      </c>
      <c r="H2391" s="35">
        <v>1.45625</v>
      </c>
      <c r="I2391" s="5" t="s">
        <v>85</v>
      </c>
      <c r="J2391" s="10" t="s">
        <v>13426</v>
      </c>
      <c r="K2391" s="5" t="s">
        <v>621</v>
      </c>
      <c r="L2391" s="5" t="s">
        <v>13427</v>
      </c>
      <c r="M2391" s="5" t="s">
        <v>45</v>
      </c>
      <c r="N2391" s="5" t="s">
        <v>70</v>
      </c>
      <c r="O2391" s="5" t="s">
        <v>59</v>
      </c>
      <c r="P2391" s="10" t="s">
        <v>6881</v>
      </c>
      <c r="Q2391" s="10" t="s">
        <v>623</v>
      </c>
      <c r="R2391" s="10" t="s">
        <v>624</v>
      </c>
      <c r="S2391" s="5">
        <v>0</v>
      </c>
      <c r="T2391" s="37">
        <v>0</v>
      </c>
      <c r="U2391" s="5">
        <v>0</v>
      </c>
      <c r="V2391" s="37">
        <v>0</v>
      </c>
      <c r="W2391" s="5">
        <v>0</v>
      </c>
      <c r="X2391" s="5">
        <v>0</v>
      </c>
      <c r="Y2391" s="5">
        <v>0</v>
      </c>
      <c r="Z2391" s="37">
        <v>0</v>
      </c>
      <c r="AA2391" s="5">
        <v>0</v>
      </c>
      <c r="AB2391" s="5">
        <v>0</v>
      </c>
      <c r="AC2391" s="5">
        <v>0</v>
      </c>
      <c r="AD2391" s="5">
        <v>0</v>
      </c>
      <c r="AE2391" s="10" t="s">
        <v>73</v>
      </c>
      <c r="AF2391" s="10"/>
      <c r="AG2391" s="10" t="s">
        <v>114</v>
      </c>
      <c r="AH2391" s="10">
        <v>42858</v>
      </c>
      <c r="AI2391" s="5">
        <v>3</v>
      </c>
      <c r="AJ2391" s="10" t="s">
        <v>13428</v>
      </c>
      <c r="AK2391" s="10" t="s">
        <v>13429</v>
      </c>
    </row>
    <row r="2392" spans="1:37" ht="36.75" customHeight="1" x14ac:dyDescent="0.35">
      <c r="A2392" s="5"/>
      <c r="B2392" s="5" t="s">
        <v>37</v>
      </c>
      <c r="C2392" s="73" t="str">
        <f t="shared" si="37"/>
        <v>Closed</v>
      </c>
      <c r="D2392" s="45" t="s">
        <v>13430</v>
      </c>
      <c r="E2392" s="54" t="s">
        <v>13431</v>
      </c>
      <c r="F2392" s="5" t="s">
        <v>9767</v>
      </c>
      <c r="G2392" s="10">
        <f>DATE(2017,3,27)</f>
        <v>42821</v>
      </c>
      <c r="H2392" s="35">
        <v>1.2534722222222223</v>
      </c>
      <c r="I2392" s="5" t="s">
        <v>55</v>
      </c>
      <c r="J2392" s="10" t="s">
        <v>13432</v>
      </c>
      <c r="K2392" s="5" t="s">
        <v>9769</v>
      </c>
      <c r="L2392" s="5" t="s">
        <v>13433</v>
      </c>
      <c r="M2392" s="5" t="s">
        <v>45</v>
      </c>
      <c r="N2392" s="5" t="s">
        <v>70</v>
      </c>
      <c r="O2392" s="5" t="s">
        <v>71</v>
      </c>
      <c r="P2392" s="10" t="s">
        <v>72</v>
      </c>
      <c r="Q2392" s="10" t="s">
        <v>13434</v>
      </c>
      <c r="R2392" s="10" t="s">
        <v>9772</v>
      </c>
      <c r="S2392" s="5">
        <v>0</v>
      </c>
      <c r="T2392" s="37">
        <v>0</v>
      </c>
      <c r="U2392" s="5">
        <v>0</v>
      </c>
      <c r="V2392" s="37">
        <v>0</v>
      </c>
      <c r="W2392" s="5">
        <v>0</v>
      </c>
      <c r="X2392" s="5">
        <v>0</v>
      </c>
      <c r="Y2392" s="5">
        <v>0</v>
      </c>
      <c r="Z2392" s="37">
        <v>0</v>
      </c>
      <c r="AA2392" s="5">
        <v>0</v>
      </c>
      <c r="AB2392" s="5">
        <v>0</v>
      </c>
      <c r="AC2392" s="5">
        <v>0</v>
      </c>
      <c r="AD2392" s="5">
        <v>0</v>
      </c>
      <c r="AE2392" s="10" t="s">
        <v>375</v>
      </c>
      <c r="AF2392" s="10"/>
      <c r="AG2392" s="10" t="s">
        <v>114</v>
      </c>
      <c r="AH2392" s="10">
        <v>42821</v>
      </c>
      <c r="AI2392" s="5">
        <v>2</v>
      </c>
      <c r="AJ2392" s="10" t="s">
        <v>13435</v>
      </c>
      <c r="AK2392" s="10" t="s">
        <v>13436</v>
      </c>
    </row>
    <row r="2393" spans="1:37" ht="36.75" customHeight="1" x14ac:dyDescent="0.35">
      <c r="A2393" s="5"/>
      <c r="B2393" s="5" t="s">
        <v>37</v>
      </c>
      <c r="C2393" s="73" t="str">
        <f t="shared" si="37"/>
        <v>Closed</v>
      </c>
      <c r="D2393" s="45" t="s">
        <v>13437</v>
      </c>
      <c r="E2393" s="54" t="s">
        <v>13438</v>
      </c>
      <c r="F2393" s="5" t="s">
        <v>816</v>
      </c>
      <c r="G2393" s="10">
        <f>DATE(2017,3,28)</f>
        <v>42822</v>
      </c>
      <c r="H2393" s="35">
        <v>1.3888888888888888</v>
      </c>
      <c r="I2393" s="5" t="s">
        <v>137</v>
      </c>
      <c r="J2393" s="10" t="s">
        <v>13439</v>
      </c>
      <c r="K2393" s="5" t="s">
        <v>818</v>
      </c>
      <c r="L2393" s="5" t="s">
        <v>13440</v>
      </c>
      <c r="M2393" s="5" t="s">
        <v>45</v>
      </c>
      <c r="N2393" s="5" t="s">
        <v>123</v>
      </c>
      <c r="O2393" s="5" t="s">
        <v>59</v>
      </c>
      <c r="P2393" s="10" t="s">
        <v>60</v>
      </c>
      <c r="Q2393" s="10" t="s">
        <v>820</v>
      </c>
      <c r="R2393" s="10" t="s">
        <v>821</v>
      </c>
      <c r="S2393" s="5">
        <v>0</v>
      </c>
      <c r="T2393" s="37">
        <v>0</v>
      </c>
      <c r="U2393" s="5">
        <v>0</v>
      </c>
      <c r="V2393" s="37">
        <v>0</v>
      </c>
      <c r="W2393" s="5">
        <v>0</v>
      </c>
      <c r="X2393" s="5">
        <v>0</v>
      </c>
      <c r="Y2393" s="5">
        <v>0</v>
      </c>
      <c r="Z2393" s="37">
        <v>0</v>
      </c>
      <c r="AA2393" s="5">
        <v>0</v>
      </c>
      <c r="AB2393" s="5">
        <v>0</v>
      </c>
      <c r="AC2393" s="5">
        <v>0</v>
      </c>
      <c r="AD2393" s="5">
        <v>0</v>
      </c>
      <c r="AE2393" s="10" t="s">
        <v>73</v>
      </c>
      <c r="AF2393" s="10"/>
      <c r="AG2393" s="10" t="s">
        <v>114</v>
      </c>
      <c r="AH2393" s="10">
        <v>42822</v>
      </c>
      <c r="AI2393" s="5">
        <v>0</v>
      </c>
      <c r="AJ2393" s="10" t="s">
        <v>13441</v>
      </c>
      <c r="AK2393" s="10" t="s">
        <v>1215</v>
      </c>
    </row>
    <row r="2394" spans="1:37" ht="36.75" customHeight="1" x14ac:dyDescent="0.35">
      <c r="A2394" s="5"/>
      <c r="B2394" s="5" t="s">
        <v>37</v>
      </c>
      <c r="C2394" s="73" t="str">
        <f t="shared" si="37"/>
        <v>Closed</v>
      </c>
      <c r="D2394" s="45" t="s">
        <v>13442</v>
      </c>
      <c r="E2394" s="54" t="s">
        <v>13443</v>
      </c>
      <c r="F2394" s="5" t="s">
        <v>816</v>
      </c>
      <c r="G2394" s="10">
        <f>DATE(2017,3,28)</f>
        <v>42822</v>
      </c>
      <c r="H2394" s="35">
        <v>1.3729166666666666</v>
      </c>
      <c r="I2394" s="5" t="s">
        <v>55</v>
      </c>
      <c r="J2394" s="10" t="s">
        <v>13444</v>
      </c>
      <c r="K2394" s="5" t="s">
        <v>818</v>
      </c>
      <c r="L2394" s="5" t="s">
        <v>13445</v>
      </c>
      <c r="M2394" s="5" t="s">
        <v>236</v>
      </c>
      <c r="N2394" s="5" t="s">
        <v>123</v>
      </c>
      <c r="O2394" s="5" t="s">
        <v>59</v>
      </c>
      <c r="P2394" s="10" t="s">
        <v>6531</v>
      </c>
      <c r="Q2394" s="10" t="s">
        <v>4190</v>
      </c>
      <c r="R2394" s="10" t="s">
        <v>4190</v>
      </c>
      <c r="S2394" s="5">
        <v>0</v>
      </c>
      <c r="T2394" s="37">
        <v>0</v>
      </c>
      <c r="U2394" s="5">
        <v>0</v>
      </c>
      <c r="V2394" s="37">
        <v>0</v>
      </c>
      <c r="W2394" s="5">
        <v>0</v>
      </c>
      <c r="X2394" s="5">
        <v>0</v>
      </c>
      <c r="Y2394" s="5">
        <v>0</v>
      </c>
      <c r="Z2394" s="37">
        <v>0</v>
      </c>
      <c r="AA2394" s="5">
        <v>0</v>
      </c>
      <c r="AB2394" s="5">
        <v>0</v>
      </c>
      <c r="AC2394" s="5">
        <v>0</v>
      </c>
      <c r="AD2394" s="5">
        <v>0</v>
      </c>
      <c r="AE2394" s="10" t="s">
        <v>73</v>
      </c>
      <c r="AF2394" s="10"/>
      <c r="AG2394" s="10" t="s">
        <v>114</v>
      </c>
      <c r="AH2394" s="10">
        <v>42822</v>
      </c>
      <c r="AI2394" s="5">
        <v>0</v>
      </c>
      <c r="AJ2394" s="10" t="s">
        <v>11049</v>
      </c>
      <c r="AK2394" s="10" t="s">
        <v>50</v>
      </c>
    </row>
    <row r="2395" spans="1:37" ht="36.75" customHeight="1" x14ac:dyDescent="0.35">
      <c r="A2395" s="5"/>
      <c r="B2395" s="5" t="s">
        <v>37</v>
      </c>
      <c r="C2395" s="73" t="str">
        <f t="shared" si="37"/>
        <v>Closed</v>
      </c>
      <c r="D2395" s="45" t="s">
        <v>13446</v>
      </c>
      <c r="E2395" s="54" t="s">
        <v>13447</v>
      </c>
      <c r="F2395" s="5" t="s">
        <v>1553</v>
      </c>
      <c r="G2395" s="10">
        <f>DATE(2017,3,28)</f>
        <v>42822</v>
      </c>
      <c r="H2395" s="35">
        <v>1.8784722222222223</v>
      </c>
      <c r="I2395" s="5" t="s">
        <v>55</v>
      </c>
      <c r="J2395" s="10" t="s">
        <v>13448</v>
      </c>
      <c r="K2395" s="5" t="s">
        <v>1555</v>
      </c>
      <c r="L2395" s="5" t="s">
        <v>13449</v>
      </c>
      <c r="M2395" s="5" t="s">
        <v>45</v>
      </c>
      <c r="N2395" s="5" t="s">
        <v>123</v>
      </c>
      <c r="O2395" s="5" t="s">
        <v>59</v>
      </c>
      <c r="P2395" s="10" t="s">
        <v>60</v>
      </c>
      <c r="Q2395" s="10" t="s">
        <v>9439</v>
      </c>
      <c r="R2395" s="10" t="s">
        <v>6413</v>
      </c>
      <c r="S2395" s="5">
        <v>0</v>
      </c>
      <c r="T2395" s="37">
        <v>0</v>
      </c>
      <c r="U2395" s="5">
        <v>0</v>
      </c>
      <c r="V2395" s="37">
        <v>0</v>
      </c>
      <c r="W2395" s="5">
        <v>0</v>
      </c>
      <c r="X2395" s="5">
        <v>0</v>
      </c>
      <c r="Y2395" s="5">
        <v>0</v>
      </c>
      <c r="Z2395" s="37">
        <v>0</v>
      </c>
      <c r="AA2395" s="5">
        <v>0</v>
      </c>
      <c r="AB2395" s="5">
        <v>0</v>
      </c>
      <c r="AC2395" s="5">
        <v>0</v>
      </c>
      <c r="AD2395" s="5">
        <v>0</v>
      </c>
      <c r="AE2395" s="10" t="s">
        <v>73</v>
      </c>
      <c r="AF2395" s="10"/>
      <c r="AG2395" s="10" t="s">
        <v>114</v>
      </c>
      <c r="AH2395" s="10">
        <v>42825</v>
      </c>
      <c r="AI2395" s="5">
        <v>2</v>
      </c>
      <c r="AJ2395" s="10" t="s">
        <v>13450</v>
      </c>
      <c r="AK2395" s="10" t="s">
        <v>13451</v>
      </c>
    </row>
    <row r="2396" spans="1:37" ht="36.75" customHeight="1" x14ac:dyDescent="0.35">
      <c r="A2396" s="5"/>
      <c r="B2396" s="5" t="s">
        <v>37</v>
      </c>
      <c r="C2396" s="73" t="str">
        <f t="shared" si="37"/>
        <v>Closed</v>
      </c>
      <c r="D2396" s="45" t="s">
        <v>13452</v>
      </c>
      <c r="E2396" s="54" t="s">
        <v>13453</v>
      </c>
      <c r="F2396" s="5" t="s">
        <v>404</v>
      </c>
      <c r="G2396" s="10">
        <f>DATE(2017,3,31)</f>
        <v>42825</v>
      </c>
      <c r="H2396" s="35">
        <v>1.6375000000000002</v>
      </c>
      <c r="I2396" s="5" t="s">
        <v>41</v>
      </c>
      <c r="J2396" s="10" t="s">
        <v>13454</v>
      </c>
      <c r="K2396" s="5" t="s">
        <v>406</v>
      </c>
      <c r="L2396" s="5" t="s">
        <v>13455</v>
      </c>
      <c r="M2396" s="5" t="s">
        <v>45</v>
      </c>
      <c r="N2396" s="5" t="s">
        <v>80</v>
      </c>
      <c r="O2396" s="5" t="s">
        <v>59</v>
      </c>
      <c r="P2396" s="10" t="s">
        <v>60</v>
      </c>
      <c r="Q2396" s="10" t="s">
        <v>2562</v>
      </c>
      <c r="R2396" s="10" t="s">
        <v>3083</v>
      </c>
      <c r="S2396" s="5">
        <v>0</v>
      </c>
      <c r="T2396" s="37">
        <v>0</v>
      </c>
      <c r="U2396" s="5">
        <v>0</v>
      </c>
      <c r="V2396" s="37">
        <v>0</v>
      </c>
      <c r="W2396" s="5">
        <v>0</v>
      </c>
      <c r="X2396" s="5">
        <v>0</v>
      </c>
      <c r="Y2396" s="5">
        <v>0</v>
      </c>
      <c r="Z2396" s="37">
        <v>0</v>
      </c>
      <c r="AA2396" s="5">
        <v>0</v>
      </c>
      <c r="AB2396" s="5">
        <v>0</v>
      </c>
      <c r="AC2396" s="5">
        <v>0</v>
      </c>
      <c r="AD2396" s="5">
        <v>0</v>
      </c>
      <c r="AE2396" s="10" t="s">
        <v>73</v>
      </c>
      <c r="AF2396" s="10"/>
      <c r="AG2396" s="10" t="s">
        <v>333</v>
      </c>
      <c r="AH2396" s="10">
        <v>42829</v>
      </c>
      <c r="AI2396" s="5">
        <v>1</v>
      </c>
      <c r="AJ2396" s="10" t="s">
        <v>13456</v>
      </c>
      <c r="AK2396" s="10" t="s">
        <v>13457</v>
      </c>
    </row>
    <row r="2397" spans="1:37" ht="36.75" customHeight="1" x14ac:dyDescent="0.35">
      <c r="A2397" s="5"/>
      <c r="B2397" s="5" t="s">
        <v>37</v>
      </c>
      <c r="C2397" s="73" t="str">
        <f t="shared" si="37"/>
        <v>Closed</v>
      </c>
      <c r="D2397" s="45" t="s">
        <v>13458</v>
      </c>
      <c r="E2397" s="54" t="s">
        <v>13459</v>
      </c>
      <c r="F2397" s="5" t="s">
        <v>404</v>
      </c>
      <c r="G2397" s="10">
        <f>DATE(2017,3,31)</f>
        <v>42825</v>
      </c>
      <c r="H2397" s="35">
        <v>1.7340277777777779</v>
      </c>
      <c r="I2397" s="5" t="s">
        <v>137</v>
      </c>
      <c r="J2397" s="10" t="s">
        <v>13460</v>
      </c>
      <c r="K2397" s="5" t="s">
        <v>406</v>
      </c>
      <c r="L2397" s="5" t="s">
        <v>13461</v>
      </c>
      <c r="M2397" s="5" t="s">
        <v>45</v>
      </c>
      <c r="N2397" s="5" t="s">
        <v>123</v>
      </c>
      <c r="O2397" s="5" t="s">
        <v>46</v>
      </c>
      <c r="P2397" s="10" t="s">
        <v>146</v>
      </c>
      <c r="Q2397" s="10" t="s">
        <v>4531</v>
      </c>
      <c r="R2397" s="10" t="s">
        <v>3083</v>
      </c>
      <c r="S2397" s="5">
        <v>0</v>
      </c>
      <c r="T2397" s="37">
        <v>0</v>
      </c>
      <c r="U2397" s="5">
        <v>0</v>
      </c>
      <c r="V2397" s="37">
        <v>0</v>
      </c>
      <c r="W2397" s="5">
        <v>0</v>
      </c>
      <c r="X2397" s="5">
        <v>0</v>
      </c>
      <c r="Y2397" s="5">
        <v>0</v>
      </c>
      <c r="Z2397" s="37">
        <v>0</v>
      </c>
      <c r="AA2397" s="5">
        <v>0</v>
      </c>
      <c r="AB2397" s="5">
        <v>0</v>
      </c>
      <c r="AC2397" s="5">
        <v>0</v>
      </c>
      <c r="AD2397" s="5">
        <v>0</v>
      </c>
      <c r="AE2397" s="10" t="s">
        <v>73</v>
      </c>
      <c r="AF2397" s="10"/>
      <c r="AG2397" s="10" t="s">
        <v>333</v>
      </c>
      <c r="AH2397" s="10">
        <v>42859</v>
      </c>
      <c r="AI2397" s="5">
        <v>2</v>
      </c>
      <c r="AJ2397" s="10" t="s">
        <v>13462</v>
      </c>
      <c r="AK2397" s="10" t="s">
        <v>13463</v>
      </c>
    </row>
    <row r="2398" spans="1:37" ht="36.75" customHeight="1" x14ac:dyDescent="0.35">
      <c r="A2398" s="5"/>
      <c r="B2398" s="5" t="s">
        <v>37</v>
      </c>
      <c r="C2398" s="73" t="str">
        <f t="shared" si="37"/>
        <v>Closed</v>
      </c>
      <c r="D2398" s="45" t="s">
        <v>13464</v>
      </c>
      <c r="E2398" s="54" t="s">
        <v>13465</v>
      </c>
      <c r="F2398" s="5" t="s">
        <v>575</v>
      </c>
      <c r="G2398" s="10">
        <f>DATE(2017,4,1)</f>
        <v>42826</v>
      </c>
      <c r="H2398" s="35">
        <v>1.754861111111111</v>
      </c>
      <c r="I2398" s="5" t="s">
        <v>55</v>
      </c>
      <c r="J2398" s="10" t="s">
        <v>13466</v>
      </c>
      <c r="K2398" s="5" t="s">
        <v>577</v>
      </c>
      <c r="L2398" s="5" t="s">
        <v>13467</v>
      </c>
      <c r="M2398" s="5" t="s">
        <v>45</v>
      </c>
      <c r="N2398" s="5" t="s">
        <v>123</v>
      </c>
      <c r="O2398" s="5" t="s">
        <v>46</v>
      </c>
      <c r="P2398" s="10" t="s">
        <v>60</v>
      </c>
      <c r="Q2398" s="10" t="s">
        <v>13468</v>
      </c>
      <c r="R2398" s="10" t="s">
        <v>12052</v>
      </c>
      <c r="S2398" s="5">
        <v>0</v>
      </c>
      <c r="T2398" s="37">
        <v>0</v>
      </c>
      <c r="U2398" s="5">
        <v>0</v>
      </c>
      <c r="V2398" s="37">
        <v>0</v>
      </c>
      <c r="W2398" s="5">
        <v>0</v>
      </c>
      <c r="X2398" s="5">
        <v>0</v>
      </c>
      <c r="Y2398" s="5">
        <v>0</v>
      </c>
      <c r="Z2398" s="37">
        <v>0</v>
      </c>
      <c r="AA2398" s="5">
        <v>0</v>
      </c>
      <c r="AB2398" s="5">
        <v>0</v>
      </c>
      <c r="AC2398" s="5">
        <v>0</v>
      </c>
      <c r="AD2398" s="5">
        <v>0</v>
      </c>
      <c r="AE2398" s="10" t="s">
        <v>375</v>
      </c>
      <c r="AF2398" s="10"/>
      <c r="AG2398" s="10" t="s">
        <v>64</v>
      </c>
      <c r="AH2398" s="10">
        <v>42920</v>
      </c>
      <c r="AI2398" s="5">
        <v>7</v>
      </c>
      <c r="AJ2398" s="10" t="s">
        <v>13469</v>
      </c>
      <c r="AK2398" s="10" t="s">
        <v>13470</v>
      </c>
    </row>
    <row r="2399" spans="1:37" ht="36.75" customHeight="1" x14ac:dyDescent="0.35">
      <c r="A2399" s="5"/>
      <c r="B2399" s="5" t="s">
        <v>37</v>
      </c>
      <c r="C2399" s="73" t="str">
        <f t="shared" si="37"/>
        <v>Closed</v>
      </c>
      <c r="D2399" s="45" t="s">
        <v>13471</v>
      </c>
      <c r="E2399" s="54" t="s">
        <v>13472</v>
      </c>
      <c r="F2399" s="5" t="s">
        <v>404</v>
      </c>
      <c r="G2399" s="10">
        <f>DATE(2017,4,4)</f>
        <v>42829</v>
      </c>
      <c r="H2399" s="35">
        <v>1.9368055555555554</v>
      </c>
      <c r="I2399" s="5" t="s">
        <v>179</v>
      </c>
      <c r="J2399" s="10" t="s">
        <v>13473</v>
      </c>
      <c r="K2399" s="5" t="s">
        <v>406</v>
      </c>
      <c r="L2399" s="5" t="s">
        <v>13474</v>
      </c>
      <c r="M2399" s="5" t="s">
        <v>45</v>
      </c>
      <c r="N2399" s="5" t="s">
        <v>123</v>
      </c>
      <c r="O2399" s="5" t="s">
        <v>59</v>
      </c>
      <c r="P2399" s="10" t="s">
        <v>72</v>
      </c>
      <c r="Q2399" s="10" t="s">
        <v>13475</v>
      </c>
      <c r="R2399" s="10" t="s">
        <v>3083</v>
      </c>
      <c r="S2399" s="5">
        <v>0</v>
      </c>
      <c r="T2399" s="37">
        <v>0</v>
      </c>
      <c r="U2399" s="5">
        <v>0</v>
      </c>
      <c r="V2399" s="37">
        <v>0</v>
      </c>
      <c r="W2399" s="5">
        <v>0</v>
      </c>
      <c r="X2399" s="5">
        <v>0</v>
      </c>
      <c r="Y2399" s="5">
        <v>0</v>
      </c>
      <c r="Z2399" s="37">
        <v>0</v>
      </c>
      <c r="AA2399" s="5">
        <v>0</v>
      </c>
      <c r="AB2399" s="5">
        <v>0</v>
      </c>
      <c r="AC2399" s="5">
        <v>0</v>
      </c>
      <c r="AD2399" s="5">
        <v>0</v>
      </c>
      <c r="AE2399" s="10" t="s">
        <v>375</v>
      </c>
      <c r="AF2399" s="10"/>
      <c r="AG2399" s="10" t="s">
        <v>114</v>
      </c>
      <c r="AH2399" s="10">
        <v>42829</v>
      </c>
      <c r="AI2399" s="5">
        <v>0</v>
      </c>
      <c r="AJ2399" s="10" t="s">
        <v>13476</v>
      </c>
      <c r="AK2399" s="10" t="s">
        <v>13477</v>
      </c>
    </row>
    <row r="2400" spans="1:37" ht="36.75" customHeight="1" x14ac:dyDescent="0.35">
      <c r="A2400" s="5"/>
      <c r="B2400" s="5" t="s">
        <v>37</v>
      </c>
      <c r="C2400" s="73" t="str">
        <f t="shared" si="37"/>
        <v>Closed</v>
      </c>
      <c r="D2400" s="45" t="s">
        <v>13478</v>
      </c>
      <c r="E2400" s="54" t="s">
        <v>13479</v>
      </c>
      <c r="F2400" s="5" t="s">
        <v>9767</v>
      </c>
      <c r="G2400" s="10">
        <f>DATE(2017,4,4)</f>
        <v>42829</v>
      </c>
      <c r="H2400" s="35">
        <v>1.7041666666666666</v>
      </c>
      <c r="I2400" s="5" t="s">
        <v>5473</v>
      </c>
      <c r="J2400" s="10" t="s">
        <v>13480</v>
      </c>
      <c r="K2400" s="5" t="s">
        <v>9769</v>
      </c>
      <c r="L2400" s="5" t="s">
        <v>13481</v>
      </c>
      <c r="M2400" s="5" t="s">
        <v>45</v>
      </c>
      <c r="N2400" s="5" t="s">
        <v>70</v>
      </c>
      <c r="O2400" s="5" t="s">
        <v>59</v>
      </c>
      <c r="P2400" s="10" t="s">
        <v>6920</v>
      </c>
      <c r="Q2400" s="10" t="s">
        <v>9938</v>
      </c>
      <c r="R2400" s="10" t="s">
        <v>9772</v>
      </c>
      <c r="S2400" s="5">
        <v>0</v>
      </c>
      <c r="T2400" s="37">
        <v>0</v>
      </c>
      <c r="U2400" s="5">
        <v>0</v>
      </c>
      <c r="V2400" s="37">
        <v>0</v>
      </c>
      <c r="W2400" s="5">
        <v>0</v>
      </c>
      <c r="X2400" s="5">
        <v>0</v>
      </c>
      <c r="Y2400" s="5">
        <v>1</v>
      </c>
      <c r="Z2400" s="37">
        <v>0</v>
      </c>
      <c r="AA2400" s="5">
        <v>0</v>
      </c>
      <c r="AB2400" s="5">
        <v>0</v>
      </c>
      <c r="AC2400" s="5">
        <v>0</v>
      </c>
      <c r="AD2400" s="5">
        <v>1</v>
      </c>
      <c r="AE2400" s="10" t="s">
        <v>73</v>
      </c>
      <c r="AF2400" s="10"/>
      <c r="AG2400" s="10" t="s">
        <v>114</v>
      </c>
      <c r="AH2400" s="10">
        <v>42831</v>
      </c>
      <c r="AI2400" s="5">
        <v>1</v>
      </c>
      <c r="AJ2400" s="10" t="s">
        <v>13482</v>
      </c>
      <c r="AK2400" s="10" t="s">
        <v>13483</v>
      </c>
    </row>
    <row r="2401" spans="1:37" ht="36.75" customHeight="1" x14ac:dyDescent="0.35">
      <c r="A2401" s="5"/>
      <c r="B2401" s="5" t="s">
        <v>37</v>
      </c>
      <c r="C2401" s="73" t="str">
        <f t="shared" si="37"/>
        <v>Closed</v>
      </c>
      <c r="D2401" s="45" t="s">
        <v>13484</v>
      </c>
      <c r="E2401" s="54" t="s">
        <v>13485</v>
      </c>
      <c r="F2401" s="5" t="s">
        <v>2316</v>
      </c>
      <c r="G2401" s="10">
        <f>DATE(2017,4,4)</f>
        <v>42829</v>
      </c>
      <c r="H2401" s="35">
        <v>1.7319444444444443</v>
      </c>
      <c r="I2401" s="5" t="s">
        <v>97</v>
      </c>
      <c r="J2401" s="10" t="s">
        <v>13486</v>
      </c>
      <c r="K2401" s="5" t="s">
        <v>2318</v>
      </c>
      <c r="L2401" s="5" t="s">
        <v>13487</v>
      </c>
      <c r="M2401" s="5" t="s">
        <v>45</v>
      </c>
      <c r="N2401" s="5" t="s">
        <v>70</v>
      </c>
      <c r="O2401" s="5" t="s">
        <v>46</v>
      </c>
      <c r="P2401" s="10" t="s">
        <v>6920</v>
      </c>
      <c r="Q2401" s="10" t="s">
        <v>13488</v>
      </c>
      <c r="R2401" s="10" t="s">
        <v>2321</v>
      </c>
      <c r="S2401" s="5">
        <v>0</v>
      </c>
      <c r="T2401" s="37">
        <v>0</v>
      </c>
      <c r="U2401" s="5">
        <v>1</v>
      </c>
      <c r="V2401" s="37">
        <v>0</v>
      </c>
      <c r="W2401" s="5">
        <v>0</v>
      </c>
      <c r="X2401" s="5">
        <v>1</v>
      </c>
      <c r="Y2401" s="5">
        <v>0</v>
      </c>
      <c r="Z2401" s="37">
        <v>0</v>
      </c>
      <c r="AA2401" s="5">
        <v>1</v>
      </c>
      <c r="AB2401" s="5">
        <v>0</v>
      </c>
      <c r="AC2401" s="5">
        <v>0</v>
      </c>
      <c r="AD2401" s="5">
        <v>1</v>
      </c>
      <c r="AE2401" s="10" t="s">
        <v>73</v>
      </c>
      <c r="AF2401" s="10"/>
      <c r="AG2401" s="10" t="s">
        <v>64</v>
      </c>
      <c r="AH2401" s="10">
        <v>42831</v>
      </c>
      <c r="AI2401" s="5">
        <v>6</v>
      </c>
      <c r="AJ2401" s="10" t="s">
        <v>13489</v>
      </c>
      <c r="AK2401" s="10" t="s">
        <v>13490</v>
      </c>
    </row>
    <row r="2402" spans="1:37" ht="36.75" customHeight="1" x14ac:dyDescent="0.35">
      <c r="A2402" s="5"/>
      <c r="B2402" s="5" t="s">
        <v>37</v>
      </c>
      <c r="C2402" s="73" t="str">
        <f t="shared" si="37"/>
        <v>Closed</v>
      </c>
      <c r="D2402" s="45" t="s">
        <v>13491</v>
      </c>
      <c r="E2402" s="54" t="s">
        <v>13492</v>
      </c>
      <c r="F2402" s="5" t="s">
        <v>404</v>
      </c>
      <c r="G2402" s="10">
        <f>DATE(2017,4,5)</f>
        <v>42830</v>
      </c>
      <c r="H2402" s="35">
        <v>1.5479166666666666</v>
      </c>
      <c r="I2402" s="5" t="s">
        <v>55</v>
      </c>
      <c r="J2402" s="10" t="s">
        <v>13493</v>
      </c>
      <c r="K2402" s="5" t="s">
        <v>406</v>
      </c>
      <c r="L2402" s="5" t="s">
        <v>12522</v>
      </c>
      <c r="M2402" s="5" t="s">
        <v>45</v>
      </c>
      <c r="N2402" s="5" t="s">
        <v>123</v>
      </c>
      <c r="O2402" s="5" t="s">
        <v>59</v>
      </c>
      <c r="P2402" s="10" t="s">
        <v>72</v>
      </c>
      <c r="Q2402" s="10" t="s">
        <v>4531</v>
      </c>
      <c r="R2402" s="10" t="s">
        <v>3083</v>
      </c>
      <c r="S2402" s="5">
        <v>0</v>
      </c>
      <c r="T2402" s="37">
        <v>0</v>
      </c>
      <c r="U2402" s="5">
        <v>0</v>
      </c>
      <c r="V2402" s="37">
        <v>0</v>
      </c>
      <c r="W2402" s="5">
        <v>0</v>
      </c>
      <c r="X2402" s="5">
        <v>0</v>
      </c>
      <c r="Y2402" s="5">
        <v>0</v>
      </c>
      <c r="Z2402" s="37">
        <v>0</v>
      </c>
      <c r="AA2402" s="5">
        <v>0</v>
      </c>
      <c r="AB2402" s="5">
        <v>0</v>
      </c>
      <c r="AC2402" s="5">
        <v>0</v>
      </c>
      <c r="AD2402" s="5">
        <v>0</v>
      </c>
      <c r="AE2402" s="10" t="s">
        <v>73</v>
      </c>
      <c r="AF2402" s="10"/>
      <c r="AG2402" s="10" t="s">
        <v>114</v>
      </c>
      <c r="AH2402" s="10">
        <v>42859</v>
      </c>
      <c r="AI2402" s="5">
        <v>0</v>
      </c>
      <c r="AJ2402" s="10" t="s">
        <v>13494</v>
      </c>
      <c r="AK2402" s="10" t="s">
        <v>13495</v>
      </c>
    </row>
    <row r="2403" spans="1:37" ht="36.75" customHeight="1" x14ac:dyDescent="0.35">
      <c r="A2403" s="5"/>
      <c r="B2403" s="5" t="s">
        <v>37</v>
      </c>
      <c r="C2403" s="73" t="str">
        <f t="shared" si="37"/>
        <v>Closed</v>
      </c>
      <c r="D2403" s="45" t="s">
        <v>13496</v>
      </c>
      <c r="E2403" s="54" t="s">
        <v>13497</v>
      </c>
      <c r="F2403" s="5" t="s">
        <v>404</v>
      </c>
      <c r="G2403" s="10">
        <f>DATE(2017,4,5)</f>
        <v>42830</v>
      </c>
      <c r="H2403" s="35">
        <v>1.6402777777777779</v>
      </c>
      <c r="I2403" s="5" t="s">
        <v>85</v>
      </c>
      <c r="J2403" s="10" t="s">
        <v>13498</v>
      </c>
      <c r="K2403" s="5" t="s">
        <v>406</v>
      </c>
      <c r="L2403" s="5" t="s">
        <v>13499</v>
      </c>
      <c r="M2403" s="5" t="s">
        <v>45</v>
      </c>
      <c r="N2403" s="5" t="s">
        <v>123</v>
      </c>
      <c r="O2403" s="5" t="s">
        <v>59</v>
      </c>
      <c r="P2403" s="10" t="s">
        <v>197</v>
      </c>
      <c r="Q2403" s="10" t="s">
        <v>13500</v>
      </c>
      <c r="R2403" s="10" t="s">
        <v>3083</v>
      </c>
      <c r="S2403" s="5">
        <v>0</v>
      </c>
      <c r="T2403" s="37">
        <v>0</v>
      </c>
      <c r="U2403" s="5">
        <v>0</v>
      </c>
      <c r="V2403" s="37">
        <v>0</v>
      </c>
      <c r="W2403" s="5">
        <v>0</v>
      </c>
      <c r="X2403" s="5">
        <v>0</v>
      </c>
      <c r="Y2403" s="5">
        <v>0</v>
      </c>
      <c r="Z2403" s="37">
        <v>0</v>
      </c>
      <c r="AA2403" s="5">
        <v>0</v>
      </c>
      <c r="AB2403" s="5">
        <v>0</v>
      </c>
      <c r="AC2403" s="5">
        <v>0</v>
      </c>
      <c r="AD2403" s="5">
        <v>0</v>
      </c>
      <c r="AE2403" s="10" t="s">
        <v>73</v>
      </c>
      <c r="AF2403" s="10"/>
      <c r="AG2403" s="10" t="s">
        <v>333</v>
      </c>
      <c r="AH2403" s="10">
        <v>42890</v>
      </c>
      <c r="AI2403" s="5">
        <v>1</v>
      </c>
      <c r="AJ2403" s="10" t="s">
        <v>13501</v>
      </c>
      <c r="AK2403" s="10" t="s">
        <v>13502</v>
      </c>
    </row>
    <row r="2404" spans="1:37" ht="36.75" customHeight="1" x14ac:dyDescent="0.35">
      <c r="A2404" s="5"/>
      <c r="B2404" s="5" t="s">
        <v>37</v>
      </c>
      <c r="C2404" s="73" t="str">
        <f t="shared" si="37"/>
        <v>Closed</v>
      </c>
      <c r="D2404" s="45" t="s">
        <v>13503</v>
      </c>
      <c r="E2404" s="54" t="s">
        <v>13504</v>
      </c>
      <c r="F2404" s="5" t="s">
        <v>6434</v>
      </c>
      <c r="G2404" s="10">
        <f>DATE(2017,4,6)</f>
        <v>42831</v>
      </c>
      <c r="H2404" s="35">
        <v>1.6145833333333335</v>
      </c>
      <c r="I2404" s="5" t="s">
        <v>5473</v>
      </c>
      <c r="J2404" s="10" t="s">
        <v>13505</v>
      </c>
      <c r="K2404" s="5" t="s">
        <v>565</v>
      </c>
      <c r="L2404" s="5" t="s">
        <v>13506</v>
      </c>
      <c r="M2404" s="5" t="s">
        <v>45</v>
      </c>
      <c r="N2404" s="5" t="s">
        <v>123</v>
      </c>
      <c r="O2404" s="5" t="s">
        <v>59</v>
      </c>
      <c r="P2404" s="10" t="s">
        <v>146</v>
      </c>
      <c r="Q2404" s="10" t="s">
        <v>3883</v>
      </c>
      <c r="R2404" s="10" t="s">
        <v>568</v>
      </c>
      <c r="S2404" s="5">
        <v>0</v>
      </c>
      <c r="T2404" s="37">
        <v>0</v>
      </c>
      <c r="U2404" s="5">
        <v>0</v>
      </c>
      <c r="V2404" s="37">
        <v>0</v>
      </c>
      <c r="W2404" s="5">
        <v>0</v>
      </c>
      <c r="X2404" s="5">
        <v>0</v>
      </c>
      <c r="Y2404" s="5">
        <v>0</v>
      </c>
      <c r="Z2404" s="37">
        <v>0</v>
      </c>
      <c r="AA2404" s="5">
        <v>0</v>
      </c>
      <c r="AB2404" s="5">
        <v>0</v>
      </c>
      <c r="AC2404" s="5">
        <v>0</v>
      </c>
      <c r="AD2404" s="5">
        <v>0</v>
      </c>
      <c r="AE2404" s="10" t="s">
        <v>375</v>
      </c>
      <c r="AF2404" s="10" t="s">
        <v>13507</v>
      </c>
      <c r="AG2404" s="10" t="s">
        <v>13508</v>
      </c>
      <c r="AH2404" s="10">
        <v>42838</v>
      </c>
      <c r="AI2404" s="5">
        <v>0</v>
      </c>
      <c r="AJ2404" s="10" t="s">
        <v>13509</v>
      </c>
      <c r="AK2404" s="10" t="s">
        <v>10547</v>
      </c>
    </row>
    <row r="2405" spans="1:37" ht="36.75" customHeight="1" x14ac:dyDescent="0.35">
      <c r="A2405" s="5"/>
      <c r="B2405" s="5" t="s">
        <v>37</v>
      </c>
      <c r="C2405" s="73" t="str">
        <f t="shared" si="37"/>
        <v>Closed</v>
      </c>
      <c r="D2405" s="45" t="s">
        <v>13510</v>
      </c>
      <c r="E2405" s="54" t="s">
        <v>13511</v>
      </c>
      <c r="F2405" s="5" t="s">
        <v>2316</v>
      </c>
      <c r="G2405" s="10">
        <f>DATE(2017,4,7)</f>
        <v>42832</v>
      </c>
      <c r="H2405" s="35">
        <v>1.6333333333333333</v>
      </c>
      <c r="I2405" s="5" t="s">
        <v>97</v>
      </c>
      <c r="J2405" s="10" t="s">
        <v>13512</v>
      </c>
      <c r="K2405" s="5" t="s">
        <v>2318</v>
      </c>
      <c r="L2405" s="5" t="s">
        <v>13513</v>
      </c>
      <c r="M2405" s="5" t="s">
        <v>45</v>
      </c>
      <c r="N2405" s="5" t="s">
        <v>80</v>
      </c>
      <c r="O2405" s="5" t="s">
        <v>46</v>
      </c>
      <c r="P2405" s="10" t="s">
        <v>47</v>
      </c>
      <c r="Q2405" s="10" t="s">
        <v>2925</v>
      </c>
      <c r="R2405" s="10" t="s">
        <v>2321</v>
      </c>
      <c r="S2405" s="5">
        <v>0</v>
      </c>
      <c r="T2405" s="37">
        <v>0</v>
      </c>
      <c r="U2405" s="5">
        <v>0</v>
      </c>
      <c r="V2405" s="37">
        <v>0</v>
      </c>
      <c r="W2405" s="5">
        <v>0</v>
      </c>
      <c r="X2405" s="5">
        <v>0</v>
      </c>
      <c r="Y2405" s="5">
        <v>3</v>
      </c>
      <c r="Z2405" s="37">
        <v>0</v>
      </c>
      <c r="AA2405" s="5">
        <v>0</v>
      </c>
      <c r="AB2405" s="5">
        <v>0</v>
      </c>
      <c r="AC2405" s="5">
        <v>0</v>
      </c>
      <c r="AD2405" s="5">
        <v>3</v>
      </c>
      <c r="AE2405" s="10" t="s">
        <v>126</v>
      </c>
      <c r="AF2405" s="10"/>
      <c r="AG2405" s="10" t="s">
        <v>64</v>
      </c>
      <c r="AH2405" s="10">
        <v>42837</v>
      </c>
      <c r="AI2405" s="5">
        <v>19</v>
      </c>
      <c r="AJ2405" s="10" t="s">
        <v>13514</v>
      </c>
      <c r="AK2405" s="10" t="s">
        <v>13515</v>
      </c>
    </row>
    <row r="2406" spans="1:37" ht="36.75" customHeight="1" x14ac:dyDescent="0.35">
      <c r="A2406" s="5"/>
      <c r="B2406" s="5" t="s">
        <v>37</v>
      </c>
      <c r="C2406" s="73" t="str">
        <f t="shared" si="37"/>
        <v>Closed</v>
      </c>
      <c r="D2406" s="45" t="s">
        <v>13516</v>
      </c>
      <c r="E2406" s="54" t="s">
        <v>13517</v>
      </c>
      <c r="F2406" s="5" t="s">
        <v>1553</v>
      </c>
      <c r="G2406" s="10">
        <f>DATE(2017,4,8)</f>
        <v>42833</v>
      </c>
      <c r="H2406" s="35">
        <v>1.5868055555555556</v>
      </c>
      <c r="I2406" s="5" t="s">
        <v>55</v>
      </c>
      <c r="J2406" s="10" t="s">
        <v>13518</v>
      </c>
      <c r="K2406" s="5" t="s">
        <v>1555</v>
      </c>
      <c r="L2406" s="5" t="s">
        <v>13519</v>
      </c>
      <c r="M2406" s="5" t="s">
        <v>45</v>
      </c>
      <c r="N2406" s="5" t="s">
        <v>123</v>
      </c>
      <c r="O2406" s="5" t="s">
        <v>46</v>
      </c>
      <c r="P2406" s="10" t="s">
        <v>60</v>
      </c>
      <c r="Q2406" s="10" t="s">
        <v>9053</v>
      </c>
      <c r="R2406" s="10" t="s">
        <v>6413</v>
      </c>
      <c r="S2406" s="5">
        <v>0</v>
      </c>
      <c r="T2406" s="37">
        <v>2</v>
      </c>
      <c r="U2406" s="5">
        <v>0</v>
      </c>
      <c r="V2406" s="37">
        <v>0</v>
      </c>
      <c r="W2406" s="5">
        <v>0</v>
      </c>
      <c r="X2406" s="5">
        <v>2</v>
      </c>
      <c r="Y2406" s="5">
        <v>0</v>
      </c>
      <c r="Z2406" s="37">
        <v>0</v>
      </c>
      <c r="AA2406" s="5">
        <v>0</v>
      </c>
      <c r="AB2406" s="5">
        <v>0</v>
      </c>
      <c r="AC2406" s="5">
        <v>0</v>
      </c>
      <c r="AD2406" s="5">
        <v>0</v>
      </c>
      <c r="AE2406" s="10" t="s">
        <v>375</v>
      </c>
      <c r="AF2406" s="10"/>
      <c r="AG2406" s="10" t="s">
        <v>64</v>
      </c>
      <c r="AH2406" s="10">
        <v>42835</v>
      </c>
      <c r="AI2406" s="5">
        <v>1</v>
      </c>
      <c r="AJ2406" s="10" t="s">
        <v>13520</v>
      </c>
      <c r="AK2406" s="10" t="s">
        <v>13521</v>
      </c>
    </row>
    <row r="2407" spans="1:37" ht="36.75" customHeight="1" x14ac:dyDescent="0.35">
      <c r="A2407" s="5"/>
      <c r="B2407" s="5" t="s">
        <v>37</v>
      </c>
      <c r="C2407" s="73" t="str">
        <f t="shared" si="37"/>
        <v>Closed</v>
      </c>
      <c r="D2407" s="45" t="s">
        <v>13522</v>
      </c>
      <c r="E2407" s="54" t="s">
        <v>13523</v>
      </c>
      <c r="F2407" s="5" t="s">
        <v>404</v>
      </c>
      <c r="G2407" s="10">
        <f>DATE(2017,4,9)</f>
        <v>42834</v>
      </c>
      <c r="H2407" s="35">
        <v>1.0541666666666667</v>
      </c>
      <c r="I2407" s="5" t="s">
        <v>179</v>
      </c>
      <c r="J2407" s="10" t="s">
        <v>13524</v>
      </c>
      <c r="K2407" s="5" t="s">
        <v>406</v>
      </c>
      <c r="L2407" s="5" t="s">
        <v>13525</v>
      </c>
      <c r="M2407" s="5" t="s">
        <v>45</v>
      </c>
      <c r="N2407" s="5" t="s">
        <v>123</v>
      </c>
      <c r="O2407" s="5" t="s">
        <v>46</v>
      </c>
      <c r="P2407" s="10" t="s">
        <v>3410</v>
      </c>
      <c r="Q2407" s="10" t="s">
        <v>2562</v>
      </c>
      <c r="R2407" s="10" t="s">
        <v>3083</v>
      </c>
      <c r="S2407" s="5">
        <v>0</v>
      </c>
      <c r="T2407" s="37">
        <v>0</v>
      </c>
      <c r="U2407" s="5">
        <v>0</v>
      </c>
      <c r="V2407" s="37">
        <v>0</v>
      </c>
      <c r="W2407" s="5">
        <v>0</v>
      </c>
      <c r="X2407" s="5">
        <v>0</v>
      </c>
      <c r="Y2407" s="5">
        <v>0</v>
      </c>
      <c r="Z2407" s="37">
        <v>0</v>
      </c>
      <c r="AA2407" s="5">
        <v>0</v>
      </c>
      <c r="AB2407" s="5">
        <v>0</v>
      </c>
      <c r="AC2407" s="5">
        <v>0</v>
      </c>
      <c r="AD2407" s="5">
        <v>0</v>
      </c>
      <c r="AE2407" s="10" t="s">
        <v>73</v>
      </c>
      <c r="AF2407" s="10"/>
      <c r="AG2407" s="10" t="s">
        <v>114</v>
      </c>
      <c r="AH2407" s="10">
        <v>42982</v>
      </c>
      <c r="AI2407" s="5">
        <v>0</v>
      </c>
      <c r="AJ2407" s="10" t="s">
        <v>13526</v>
      </c>
      <c r="AK2407" s="10" t="s">
        <v>13527</v>
      </c>
    </row>
    <row r="2408" spans="1:37" ht="36.75" customHeight="1" x14ac:dyDescent="0.35">
      <c r="A2408" s="5"/>
      <c r="B2408" s="5" t="s">
        <v>37</v>
      </c>
      <c r="C2408" s="73" t="str">
        <f t="shared" si="37"/>
        <v>Closed</v>
      </c>
      <c r="D2408" s="45" t="s">
        <v>13528</v>
      </c>
      <c r="E2408" s="54" t="s">
        <v>13529</v>
      </c>
      <c r="F2408" s="5" t="s">
        <v>105</v>
      </c>
      <c r="G2408" s="10">
        <f>DATE(2017,4,14)</f>
        <v>42839</v>
      </c>
      <c r="H2408" s="35">
        <v>1.1701388888888888</v>
      </c>
      <c r="I2408" s="5" t="s">
        <v>55</v>
      </c>
      <c r="J2408" s="10" t="s">
        <v>13530</v>
      </c>
      <c r="K2408" s="5" t="s">
        <v>108</v>
      </c>
      <c r="L2408" s="5" t="s">
        <v>13531</v>
      </c>
      <c r="M2408" s="5" t="s">
        <v>45</v>
      </c>
      <c r="N2408" s="5" t="s">
        <v>70</v>
      </c>
      <c r="O2408" s="5" t="s">
        <v>59</v>
      </c>
      <c r="P2408" s="10" t="s">
        <v>60</v>
      </c>
      <c r="Q2408" s="10" t="s">
        <v>124</v>
      </c>
      <c r="R2408" s="10" t="s">
        <v>148</v>
      </c>
      <c r="S2408" s="5">
        <v>0</v>
      </c>
      <c r="T2408" s="37">
        <v>0</v>
      </c>
      <c r="U2408" s="5">
        <v>0</v>
      </c>
      <c r="V2408" s="37">
        <v>0</v>
      </c>
      <c r="W2408" s="5">
        <v>0</v>
      </c>
      <c r="X2408" s="5">
        <v>0</v>
      </c>
      <c r="Y2408" s="5">
        <v>0</v>
      </c>
      <c r="Z2408" s="37">
        <v>0</v>
      </c>
      <c r="AA2408" s="5">
        <v>0</v>
      </c>
      <c r="AB2408" s="5">
        <v>0</v>
      </c>
      <c r="AC2408" s="5">
        <v>0</v>
      </c>
      <c r="AD2408" s="5">
        <v>0</v>
      </c>
      <c r="AE2408" s="10" t="s">
        <v>375</v>
      </c>
      <c r="AF2408" s="10"/>
      <c r="AG2408" s="10" t="s">
        <v>64</v>
      </c>
      <c r="AH2408" s="10">
        <v>42844</v>
      </c>
      <c r="AI2408" s="5">
        <v>1</v>
      </c>
      <c r="AJ2408" s="10" t="s">
        <v>13532</v>
      </c>
      <c r="AK2408" s="10" t="s">
        <v>50</v>
      </c>
    </row>
    <row r="2409" spans="1:37" ht="36.75" customHeight="1" x14ac:dyDescent="0.35">
      <c r="A2409" s="5"/>
      <c r="B2409" s="5" t="s">
        <v>37</v>
      </c>
      <c r="C2409" s="73" t="str">
        <f t="shared" si="37"/>
        <v>Closed</v>
      </c>
      <c r="D2409" s="45" t="s">
        <v>13533</v>
      </c>
      <c r="E2409" s="54" t="s">
        <v>13534</v>
      </c>
      <c r="F2409" s="5" t="s">
        <v>178</v>
      </c>
      <c r="G2409" s="10">
        <f>DATE(2017,4,15)</f>
        <v>42840</v>
      </c>
      <c r="H2409" s="35">
        <v>0</v>
      </c>
      <c r="I2409" s="5" t="s">
        <v>179</v>
      </c>
      <c r="J2409" s="10" t="s">
        <v>13535</v>
      </c>
      <c r="K2409" s="5" t="s">
        <v>181</v>
      </c>
      <c r="L2409" s="5" t="s">
        <v>13536</v>
      </c>
      <c r="M2409" s="5" t="s">
        <v>45</v>
      </c>
      <c r="N2409" s="5" t="s">
        <v>70</v>
      </c>
      <c r="O2409" s="5" t="s">
        <v>59</v>
      </c>
      <c r="P2409" s="10" t="s">
        <v>4422</v>
      </c>
      <c r="Q2409" s="10" t="s">
        <v>183</v>
      </c>
      <c r="R2409" s="10" t="s">
        <v>184</v>
      </c>
      <c r="S2409" s="5">
        <v>0</v>
      </c>
      <c r="T2409" s="37">
        <v>0</v>
      </c>
      <c r="U2409" s="5">
        <v>0</v>
      </c>
      <c r="V2409" s="37">
        <v>0</v>
      </c>
      <c r="W2409" s="5">
        <v>0</v>
      </c>
      <c r="X2409" s="5">
        <v>0</v>
      </c>
      <c r="Y2409" s="5">
        <v>0</v>
      </c>
      <c r="Z2409" s="37">
        <v>0</v>
      </c>
      <c r="AA2409" s="5">
        <v>0</v>
      </c>
      <c r="AB2409" s="5">
        <v>0</v>
      </c>
      <c r="AC2409" s="5">
        <v>0</v>
      </c>
      <c r="AD2409" s="5">
        <v>0</v>
      </c>
      <c r="AE2409" s="10" t="s">
        <v>126</v>
      </c>
      <c r="AF2409" s="10"/>
      <c r="AG2409" s="10" t="s">
        <v>64</v>
      </c>
      <c r="AH2409" s="10">
        <v>42840</v>
      </c>
      <c r="AI2409" s="5">
        <v>5</v>
      </c>
      <c r="AJ2409" s="10" t="s">
        <v>13537</v>
      </c>
      <c r="AK2409" s="10" t="s">
        <v>1215</v>
      </c>
    </row>
    <row r="2410" spans="1:37" ht="36.75" customHeight="1" x14ac:dyDescent="0.35">
      <c r="A2410" s="5"/>
      <c r="B2410" s="5" t="s">
        <v>37</v>
      </c>
      <c r="C2410" s="73" t="str">
        <f t="shared" si="37"/>
        <v>Closed</v>
      </c>
      <c r="D2410" s="45" t="s">
        <v>13538</v>
      </c>
      <c r="E2410" s="54" t="s">
        <v>13539</v>
      </c>
      <c r="F2410" s="5" t="s">
        <v>1553</v>
      </c>
      <c r="G2410" s="10">
        <f>DATE(2017,4,15)</f>
        <v>42840</v>
      </c>
      <c r="H2410" s="35">
        <v>1.4736111111111112</v>
      </c>
      <c r="I2410" s="5" t="s">
        <v>55</v>
      </c>
      <c r="J2410" s="10" t="s">
        <v>13540</v>
      </c>
      <c r="K2410" s="5" t="s">
        <v>1555</v>
      </c>
      <c r="L2410" s="5" t="s">
        <v>13541</v>
      </c>
      <c r="M2410" s="5" t="s">
        <v>45</v>
      </c>
      <c r="N2410" s="5" t="s">
        <v>123</v>
      </c>
      <c r="O2410" s="5" t="s">
        <v>46</v>
      </c>
      <c r="P2410" s="10" t="s">
        <v>282</v>
      </c>
      <c r="Q2410" s="10" t="s">
        <v>6413</v>
      </c>
      <c r="R2410" s="10" t="s">
        <v>6413</v>
      </c>
      <c r="S2410" s="5">
        <v>0</v>
      </c>
      <c r="T2410" s="37">
        <v>0</v>
      </c>
      <c r="U2410" s="5">
        <v>0</v>
      </c>
      <c r="V2410" s="37">
        <v>0</v>
      </c>
      <c r="W2410" s="5">
        <v>0</v>
      </c>
      <c r="X2410" s="5">
        <v>0</v>
      </c>
      <c r="Y2410" s="5">
        <v>0</v>
      </c>
      <c r="Z2410" s="37">
        <v>0</v>
      </c>
      <c r="AA2410" s="5">
        <v>0</v>
      </c>
      <c r="AB2410" s="5">
        <v>0</v>
      </c>
      <c r="AC2410" s="5">
        <v>0</v>
      </c>
      <c r="AD2410" s="5">
        <v>0</v>
      </c>
      <c r="AE2410" s="10" t="s">
        <v>73</v>
      </c>
      <c r="AF2410" s="10"/>
      <c r="AG2410" s="10" t="s">
        <v>114</v>
      </c>
      <c r="AH2410" s="10">
        <v>42845</v>
      </c>
      <c r="AI2410" s="5">
        <v>4</v>
      </c>
      <c r="AJ2410" s="10" t="s">
        <v>13542</v>
      </c>
      <c r="AK2410" s="10" t="s">
        <v>13543</v>
      </c>
    </row>
    <row r="2411" spans="1:37" ht="36.75" customHeight="1" x14ac:dyDescent="0.35">
      <c r="A2411" s="5"/>
      <c r="B2411" s="5" t="s">
        <v>37</v>
      </c>
      <c r="C2411" s="73" t="str">
        <f t="shared" si="37"/>
        <v>Closed</v>
      </c>
      <c r="D2411" s="45" t="s">
        <v>13544</v>
      </c>
      <c r="E2411" s="54" t="s">
        <v>13545</v>
      </c>
      <c r="F2411" s="5" t="s">
        <v>12451</v>
      </c>
      <c r="G2411" s="10">
        <f>DATE(2017,4,18)</f>
        <v>42843</v>
      </c>
      <c r="H2411" s="35">
        <v>1.6104166666666666</v>
      </c>
      <c r="I2411" s="5" t="s">
        <v>55</v>
      </c>
      <c r="J2411" s="10" t="s">
        <v>13546</v>
      </c>
      <c r="K2411" s="5" t="s">
        <v>181</v>
      </c>
      <c r="L2411" s="5" t="s">
        <v>13547</v>
      </c>
      <c r="M2411" s="5" t="s">
        <v>45</v>
      </c>
      <c r="N2411" s="5" t="s">
        <v>70</v>
      </c>
      <c r="O2411" s="5" t="s">
        <v>71</v>
      </c>
      <c r="P2411" s="10" t="s">
        <v>72</v>
      </c>
      <c r="Q2411" s="10" t="s">
        <v>13548</v>
      </c>
      <c r="R2411" s="10" t="s">
        <v>13549</v>
      </c>
      <c r="S2411" s="5">
        <v>0</v>
      </c>
      <c r="T2411" s="37">
        <v>0</v>
      </c>
      <c r="U2411" s="5">
        <v>0</v>
      </c>
      <c r="V2411" s="37">
        <v>0</v>
      </c>
      <c r="W2411" s="5">
        <v>0</v>
      </c>
      <c r="X2411" s="5">
        <v>0</v>
      </c>
      <c r="Y2411" s="5">
        <v>0</v>
      </c>
      <c r="Z2411" s="37">
        <v>0</v>
      </c>
      <c r="AA2411" s="5">
        <v>0</v>
      </c>
      <c r="AB2411" s="5">
        <v>0</v>
      </c>
      <c r="AC2411" s="5">
        <v>0</v>
      </c>
      <c r="AD2411" s="5">
        <v>0</v>
      </c>
      <c r="AE2411" s="10" t="s">
        <v>375</v>
      </c>
      <c r="AF2411" s="10" t="s">
        <v>13550</v>
      </c>
      <c r="AG2411" s="10" t="s">
        <v>8837</v>
      </c>
      <c r="AH2411" s="10">
        <v>42865</v>
      </c>
      <c r="AI2411" s="5">
        <v>0</v>
      </c>
      <c r="AJ2411" s="10" t="s">
        <v>13551</v>
      </c>
      <c r="AK2411" s="10" t="s">
        <v>13552</v>
      </c>
    </row>
    <row r="2412" spans="1:37" ht="36.75" customHeight="1" x14ac:dyDescent="0.35">
      <c r="A2412" s="5"/>
      <c r="B2412" s="5" t="s">
        <v>37</v>
      </c>
      <c r="C2412" s="73" t="str">
        <f t="shared" si="37"/>
        <v>Closed</v>
      </c>
      <c r="D2412" s="45" t="s">
        <v>13553</v>
      </c>
      <c r="E2412" s="54" t="s">
        <v>13554</v>
      </c>
      <c r="F2412" s="5" t="s">
        <v>178</v>
      </c>
      <c r="G2412" s="10">
        <f>DATE(2017,4,20)</f>
        <v>42845</v>
      </c>
      <c r="H2412" s="35">
        <v>1.5638888888888889</v>
      </c>
      <c r="I2412" s="5" t="s">
        <v>97</v>
      </c>
      <c r="J2412" s="10" t="s">
        <v>13555</v>
      </c>
      <c r="K2412" s="5" t="s">
        <v>181</v>
      </c>
      <c r="L2412" s="5" t="s">
        <v>13556</v>
      </c>
      <c r="M2412" s="5" t="s">
        <v>45</v>
      </c>
      <c r="N2412" s="5" t="s">
        <v>80</v>
      </c>
      <c r="O2412" s="5" t="s">
        <v>46</v>
      </c>
      <c r="P2412" s="10" t="s">
        <v>146</v>
      </c>
      <c r="Q2412" s="10" t="s">
        <v>183</v>
      </c>
      <c r="R2412" s="10" t="s">
        <v>184</v>
      </c>
      <c r="S2412" s="5">
        <v>0</v>
      </c>
      <c r="T2412" s="37">
        <v>0</v>
      </c>
      <c r="U2412" s="5">
        <v>1</v>
      </c>
      <c r="V2412" s="37">
        <v>0</v>
      </c>
      <c r="W2412" s="5">
        <v>0</v>
      </c>
      <c r="X2412" s="5">
        <v>1</v>
      </c>
      <c r="Y2412" s="5">
        <v>0</v>
      </c>
      <c r="Z2412" s="37">
        <v>0</v>
      </c>
      <c r="AA2412" s="5">
        <v>0</v>
      </c>
      <c r="AB2412" s="5">
        <v>0</v>
      </c>
      <c r="AC2412" s="5">
        <v>0</v>
      </c>
      <c r="AD2412" s="5">
        <v>0</v>
      </c>
      <c r="AE2412" s="10" t="s">
        <v>73</v>
      </c>
      <c r="AF2412" s="10"/>
      <c r="AG2412" s="10" t="s">
        <v>570</v>
      </c>
      <c r="AH2412" s="10">
        <v>42900</v>
      </c>
      <c r="AI2412" s="5">
        <v>3</v>
      </c>
      <c r="AJ2412" s="10" t="s">
        <v>13557</v>
      </c>
      <c r="AK2412" s="10" t="s">
        <v>1215</v>
      </c>
    </row>
    <row r="2413" spans="1:37" ht="36.75" customHeight="1" x14ac:dyDescent="0.35">
      <c r="A2413" s="5"/>
      <c r="B2413" s="5" t="s">
        <v>37</v>
      </c>
      <c r="C2413" s="73" t="str">
        <f t="shared" si="37"/>
        <v>Closed</v>
      </c>
      <c r="D2413" s="45" t="s">
        <v>13558</v>
      </c>
      <c r="E2413" s="54" t="s">
        <v>13559</v>
      </c>
      <c r="F2413" s="5" t="s">
        <v>1553</v>
      </c>
      <c r="G2413" s="10">
        <f>DATE(2017,4,24)</f>
        <v>42849</v>
      </c>
      <c r="H2413" s="35">
        <v>1.5833333333333335</v>
      </c>
      <c r="I2413" s="5" t="s">
        <v>55</v>
      </c>
      <c r="J2413" s="10" t="s">
        <v>13560</v>
      </c>
      <c r="K2413" s="5" t="s">
        <v>1555</v>
      </c>
      <c r="L2413" s="5" t="s">
        <v>13561</v>
      </c>
      <c r="M2413" s="5" t="s">
        <v>45</v>
      </c>
      <c r="N2413" s="5" t="s">
        <v>123</v>
      </c>
      <c r="O2413" s="5" t="s">
        <v>46</v>
      </c>
      <c r="P2413" s="10" t="s">
        <v>60</v>
      </c>
      <c r="Q2413" s="10" t="s">
        <v>9053</v>
      </c>
      <c r="R2413" s="10" t="s">
        <v>6413</v>
      </c>
      <c r="S2413" s="5">
        <v>0</v>
      </c>
      <c r="T2413" s="37">
        <v>0</v>
      </c>
      <c r="U2413" s="5">
        <v>0</v>
      </c>
      <c r="V2413" s="37">
        <v>0</v>
      </c>
      <c r="W2413" s="5">
        <v>0</v>
      </c>
      <c r="X2413" s="5">
        <v>0</v>
      </c>
      <c r="Y2413" s="5">
        <v>0</v>
      </c>
      <c r="Z2413" s="37">
        <v>0</v>
      </c>
      <c r="AA2413" s="5">
        <v>0</v>
      </c>
      <c r="AB2413" s="5">
        <v>0</v>
      </c>
      <c r="AC2413" s="5">
        <v>0</v>
      </c>
      <c r="AD2413" s="5">
        <v>0</v>
      </c>
      <c r="AE2413" s="10" t="s">
        <v>73</v>
      </c>
      <c r="AF2413" s="10"/>
      <c r="AG2413" s="10" t="s">
        <v>114</v>
      </c>
      <c r="AH2413" s="10">
        <v>42851</v>
      </c>
      <c r="AI2413" s="5">
        <v>0</v>
      </c>
      <c r="AJ2413" s="10" t="s">
        <v>13562</v>
      </c>
      <c r="AK2413" s="10" t="s">
        <v>13563</v>
      </c>
    </row>
    <row r="2414" spans="1:37" ht="36.75" customHeight="1" x14ac:dyDescent="0.35">
      <c r="A2414" s="5"/>
      <c r="B2414" s="5" t="s">
        <v>37</v>
      </c>
      <c r="C2414" s="73" t="str">
        <f t="shared" si="37"/>
        <v>Closed</v>
      </c>
      <c r="D2414" s="45" t="s">
        <v>13564</v>
      </c>
      <c r="E2414" s="54" t="s">
        <v>13565</v>
      </c>
      <c r="F2414" s="5" t="s">
        <v>358</v>
      </c>
      <c r="G2414" s="10">
        <f>DATE(2017,4,25)</f>
        <v>42850</v>
      </c>
      <c r="H2414" s="35">
        <v>1.9888888888888889</v>
      </c>
      <c r="I2414" s="5" t="s">
        <v>5473</v>
      </c>
      <c r="J2414" s="10" t="s">
        <v>13566</v>
      </c>
      <c r="K2414" s="5" t="s">
        <v>360</v>
      </c>
      <c r="L2414" s="5" t="s">
        <v>13567</v>
      </c>
      <c r="M2414" s="5" t="s">
        <v>45</v>
      </c>
      <c r="N2414" s="5" t="s">
        <v>123</v>
      </c>
      <c r="O2414" s="5" t="s">
        <v>46</v>
      </c>
      <c r="P2414" s="10" t="s">
        <v>282</v>
      </c>
      <c r="Q2414" s="10" t="s">
        <v>363</v>
      </c>
      <c r="R2414" s="10" t="s">
        <v>363</v>
      </c>
      <c r="S2414" s="5">
        <v>0</v>
      </c>
      <c r="T2414" s="37">
        <v>2</v>
      </c>
      <c r="U2414" s="5">
        <v>0</v>
      </c>
      <c r="V2414" s="37">
        <v>0</v>
      </c>
      <c r="W2414" s="5">
        <v>0</v>
      </c>
      <c r="X2414" s="5">
        <v>2</v>
      </c>
      <c r="Y2414" s="5">
        <v>0</v>
      </c>
      <c r="Z2414" s="37">
        <v>0</v>
      </c>
      <c r="AA2414" s="5">
        <v>0</v>
      </c>
      <c r="AB2414" s="5">
        <v>0</v>
      </c>
      <c r="AC2414" s="5">
        <v>0</v>
      </c>
      <c r="AD2414" s="5">
        <v>0</v>
      </c>
      <c r="AE2414" s="10" t="s">
        <v>126</v>
      </c>
      <c r="AF2414" s="10"/>
      <c r="AG2414" s="10" t="s">
        <v>333</v>
      </c>
      <c r="AH2414" s="10">
        <v>42851</v>
      </c>
      <c r="AI2414" s="5">
        <v>4</v>
      </c>
      <c r="AJ2414" s="10" t="s">
        <v>13568</v>
      </c>
      <c r="AK2414" s="10" t="s">
        <v>50</v>
      </c>
    </row>
    <row r="2415" spans="1:37" ht="36.75" customHeight="1" x14ac:dyDescent="0.35">
      <c r="A2415" s="5"/>
      <c r="B2415" s="5" t="s">
        <v>37</v>
      </c>
      <c r="C2415" s="73" t="str">
        <f t="shared" si="37"/>
        <v>Closed</v>
      </c>
      <c r="D2415" s="45" t="s">
        <v>13569</v>
      </c>
      <c r="E2415" s="54" t="s">
        <v>13570</v>
      </c>
      <c r="F2415" s="5" t="s">
        <v>9767</v>
      </c>
      <c r="G2415" s="10">
        <f>DATE(2017,4,28)</f>
        <v>42853</v>
      </c>
      <c r="H2415" s="35">
        <v>1.6701388888888888</v>
      </c>
      <c r="I2415" s="5" t="s">
        <v>137</v>
      </c>
      <c r="J2415" s="10" t="s">
        <v>13571</v>
      </c>
      <c r="K2415" s="5" t="s">
        <v>9769</v>
      </c>
      <c r="L2415" s="5" t="s">
        <v>11793</v>
      </c>
      <c r="M2415" s="5" t="s">
        <v>45</v>
      </c>
      <c r="N2415" s="5" t="s">
        <v>70</v>
      </c>
      <c r="O2415" s="5" t="s">
        <v>59</v>
      </c>
      <c r="P2415" s="10" t="s">
        <v>6881</v>
      </c>
      <c r="Q2415" s="10" t="s">
        <v>9938</v>
      </c>
      <c r="R2415" s="10" t="s">
        <v>9772</v>
      </c>
      <c r="S2415" s="5">
        <v>0</v>
      </c>
      <c r="T2415" s="37">
        <v>0</v>
      </c>
      <c r="U2415" s="5">
        <v>0</v>
      </c>
      <c r="V2415" s="37">
        <v>0</v>
      </c>
      <c r="W2415" s="5">
        <v>0</v>
      </c>
      <c r="X2415" s="5">
        <v>0</v>
      </c>
      <c r="Y2415" s="5">
        <v>0</v>
      </c>
      <c r="Z2415" s="37">
        <v>0</v>
      </c>
      <c r="AA2415" s="5">
        <v>0</v>
      </c>
      <c r="AB2415" s="5">
        <v>0</v>
      </c>
      <c r="AC2415" s="5">
        <v>0</v>
      </c>
      <c r="AD2415" s="5">
        <v>0</v>
      </c>
      <c r="AE2415" s="10" t="s">
        <v>375</v>
      </c>
      <c r="AF2415" s="10"/>
      <c r="AG2415" s="10" t="s">
        <v>114</v>
      </c>
      <c r="AH2415" s="10">
        <v>42853</v>
      </c>
      <c r="AI2415" s="5">
        <v>0</v>
      </c>
      <c r="AJ2415" s="10" t="s">
        <v>13572</v>
      </c>
      <c r="AK2415" s="10" t="s">
        <v>1215</v>
      </c>
    </row>
    <row r="2416" spans="1:37" ht="36.75" customHeight="1" x14ac:dyDescent="0.35">
      <c r="A2416" s="5"/>
      <c r="B2416" s="5" t="s">
        <v>37</v>
      </c>
      <c r="C2416" s="73" t="str">
        <f t="shared" si="37"/>
        <v>Closed</v>
      </c>
      <c r="D2416" s="45" t="s">
        <v>13573</v>
      </c>
      <c r="E2416" s="54" t="s">
        <v>13574</v>
      </c>
      <c r="F2416" s="5" t="s">
        <v>563</v>
      </c>
      <c r="G2416" s="10">
        <f>DATE(2017,5,1)</f>
        <v>42856</v>
      </c>
      <c r="H2416" s="35">
        <v>1.7819444444444446</v>
      </c>
      <c r="I2416" s="5" t="s">
        <v>55</v>
      </c>
      <c r="J2416" s="10" t="s">
        <v>13575</v>
      </c>
      <c r="K2416" s="5" t="s">
        <v>565</v>
      </c>
      <c r="L2416" s="5" t="s">
        <v>13576</v>
      </c>
      <c r="M2416" s="5" t="s">
        <v>45</v>
      </c>
      <c r="N2416" s="5" t="s">
        <v>123</v>
      </c>
      <c r="O2416" s="5" t="s">
        <v>59</v>
      </c>
      <c r="P2416" s="10" t="s">
        <v>443</v>
      </c>
      <c r="Q2416" s="10" t="s">
        <v>2002</v>
      </c>
      <c r="R2416" s="10" t="s">
        <v>568</v>
      </c>
      <c r="S2416" s="5">
        <v>0</v>
      </c>
      <c r="T2416" s="37">
        <v>0</v>
      </c>
      <c r="U2416" s="5">
        <v>0</v>
      </c>
      <c r="V2416" s="37">
        <v>0</v>
      </c>
      <c r="W2416" s="5">
        <v>0</v>
      </c>
      <c r="X2416" s="5">
        <v>0</v>
      </c>
      <c r="Y2416" s="5">
        <v>0</v>
      </c>
      <c r="Z2416" s="37">
        <v>0</v>
      </c>
      <c r="AA2416" s="5">
        <v>0</v>
      </c>
      <c r="AB2416" s="5">
        <v>0</v>
      </c>
      <c r="AC2416" s="5">
        <v>0</v>
      </c>
      <c r="AD2416" s="5">
        <v>0</v>
      </c>
      <c r="AE2416" s="10" t="s">
        <v>126</v>
      </c>
      <c r="AF2416" s="10"/>
      <c r="AG2416" s="10" t="s">
        <v>570</v>
      </c>
      <c r="AH2416" s="10">
        <v>42856</v>
      </c>
      <c r="AI2416" s="5">
        <v>0</v>
      </c>
      <c r="AJ2416" s="10" t="s">
        <v>13577</v>
      </c>
      <c r="AK2416" s="10" t="s">
        <v>1215</v>
      </c>
    </row>
    <row r="2417" spans="1:37" ht="36.75" customHeight="1" x14ac:dyDescent="0.35">
      <c r="A2417" s="5"/>
      <c r="B2417" s="5" t="s">
        <v>37</v>
      </c>
      <c r="C2417" s="73" t="str">
        <f t="shared" si="37"/>
        <v>Closed</v>
      </c>
      <c r="D2417" s="45" t="s">
        <v>13578</v>
      </c>
      <c r="E2417" s="54" t="s">
        <v>13579</v>
      </c>
      <c r="F2417" s="5" t="s">
        <v>2581</v>
      </c>
      <c r="G2417" s="10">
        <f>DATE(2017,5,4)</f>
        <v>42859</v>
      </c>
      <c r="H2417" s="35">
        <v>1.2986111111111112</v>
      </c>
      <c r="I2417" s="5" t="s">
        <v>55</v>
      </c>
      <c r="J2417" s="10" t="s">
        <v>13580</v>
      </c>
      <c r="K2417" s="5" t="s">
        <v>2583</v>
      </c>
      <c r="L2417" s="5" t="s">
        <v>13581</v>
      </c>
      <c r="M2417" s="5" t="s">
        <v>45</v>
      </c>
      <c r="N2417" s="5" t="s">
        <v>80</v>
      </c>
      <c r="O2417" s="5" t="s">
        <v>46</v>
      </c>
      <c r="P2417" s="10" t="s">
        <v>60</v>
      </c>
      <c r="Q2417" s="10" t="s">
        <v>13582</v>
      </c>
      <c r="R2417" s="10" t="s">
        <v>2586</v>
      </c>
      <c r="S2417" s="5">
        <v>0</v>
      </c>
      <c r="T2417" s="37">
        <v>0</v>
      </c>
      <c r="U2417" s="5">
        <v>0</v>
      </c>
      <c r="V2417" s="37">
        <v>0</v>
      </c>
      <c r="W2417" s="5">
        <v>0</v>
      </c>
      <c r="X2417" s="5">
        <v>0</v>
      </c>
      <c r="Y2417" s="5">
        <v>0</v>
      </c>
      <c r="Z2417" s="37">
        <v>0</v>
      </c>
      <c r="AA2417" s="5">
        <v>0</v>
      </c>
      <c r="AB2417" s="5">
        <v>0</v>
      </c>
      <c r="AC2417" s="5">
        <v>0</v>
      </c>
      <c r="AD2417" s="5">
        <v>0</v>
      </c>
      <c r="AE2417" s="10" t="s">
        <v>73</v>
      </c>
      <c r="AF2417" s="10"/>
      <c r="AG2417" s="10" t="s">
        <v>333</v>
      </c>
      <c r="AH2417" s="10">
        <v>42859</v>
      </c>
      <c r="AI2417" s="5">
        <v>3</v>
      </c>
      <c r="AJ2417" s="10" t="s">
        <v>13583</v>
      </c>
      <c r="AK2417" s="10" t="s">
        <v>50</v>
      </c>
    </row>
    <row r="2418" spans="1:37" ht="36.75" customHeight="1" x14ac:dyDescent="0.35">
      <c r="A2418" s="5"/>
      <c r="B2418" s="5" t="s">
        <v>37</v>
      </c>
      <c r="C2418" s="73" t="str">
        <f t="shared" si="37"/>
        <v>Closed</v>
      </c>
      <c r="D2418" s="45" t="s">
        <v>13584</v>
      </c>
      <c r="E2418" s="54" t="s">
        <v>13585</v>
      </c>
      <c r="F2418" s="5" t="s">
        <v>6434</v>
      </c>
      <c r="G2418" s="10">
        <f>DATE(2017,5,5)</f>
        <v>42860</v>
      </c>
      <c r="H2418" s="35">
        <v>1.8576388888888888</v>
      </c>
      <c r="I2418" s="5" t="s">
        <v>55</v>
      </c>
      <c r="J2418" s="10" t="s">
        <v>13586</v>
      </c>
      <c r="K2418" s="5" t="s">
        <v>565</v>
      </c>
      <c r="L2418" s="5" t="s">
        <v>13587</v>
      </c>
      <c r="M2418" s="5" t="s">
        <v>45</v>
      </c>
      <c r="N2418" s="5" t="s">
        <v>123</v>
      </c>
      <c r="O2418" s="5" t="s">
        <v>46</v>
      </c>
      <c r="P2418" s="10" t="s">
        <v>60</v>
      </c>
      <c r="Q2418" s="10" t="s">
        <v>13588</v>
      </c>
      <c r="R2418" s="10" t="s">
        <v>9830</v>
      </c>
      <c r="S2418" s="5">
        <v>0</v>
      </c>
      <c r="T2418" s="37">
        <v>0</v>
      </c>
      <c r="U2418" s="5">
        <v>0</v>
      </c>
      <c r="V2418" s="37">
        <v>0</v>
      </c>
      <c r="W2418" s="5">
        <v>0</v>
      </c>
      <c r="X2418" s="5">
        <v>0</v>
      </c>
      <c r="Y2418" s="5">
        <v>0</v>
      </c>
      <c r="Z2418" s="37">
        <v>0</v>
      </c>
      <c r="AA2418" s="5">
        <v>0</v>
      </c>
      <c r="AB2418" s="5">
        <v>0</v>
      </c>
      <c r="AC2418" s="5">
        <v>0</v>
      </c>
      <c r="AD2418" s="5">
        <v>0</v>
      </c>
      <c r="AE2418" s="10" t="s">
        <v>375</v>
      </c>
      <c r="AF2418" s="10" t="s">
        <v>13589</v>
      </c>
      <c r="AG2418" s="10" t="s">
        <v>8837</v>
      </c>
      <c r="AH2418" s="10">
        <v>42870</v>
      </c>
      <c r="AI2418" s="5">
        <v>0</v>
      </c>
      <c r="AJ2418" s="10" t="s">
        <v>13590</v>
      </c>
      <c r="AK2418" s="10" t="s">
        <v>50</v>
      </c>
    </row>
    <row r="2419" spans="1:37" ht="36.75" customHeight="1" x14ac:dyDescent="0.35">
      <c r="A2419" s="5"/>
      <c r="B2419" s="5" t="s">
        <v>37</v>
      </c>
      <c r="C2419" s="73" t="str">
        <f t="shared" si="37"/>
        <v>Closed</v>
      </c>
      <c r="D2419" s="45" t="s">
        <v>13591</v>
      </c>
      <c r="E2419" s="54" t="s">
        <v>13592</v>
      </c>
      <c r="F2419" s="5" t="s">
        <v>404</v>
      </c>
      <c r="G2419" s="10">
        <f>DATE(2017,5,8)</f>
        <v>42863</v>
      </c>
      <c r="H2419" s="35">
        <v>1.0618055555555554</v>
      </c>
      <c r="I2419" s="5" t="s">
        <v>259</v>
      </c>
      <c r="J2419" s="10" t="s">
        <v>13593</v>
      </c>
      <c r="K2419" s="5" t="s">
        <v>406</v>
      </c>
      <c r="L2419" s="5" t="s">
        <v>13594</v>
      </c>
      <c r="M2419" s="5" t="s">
        <v>45</v>
      </c>
      <c r="N2419" s="5" t="s">
        <v>70</v>
      </c>
      <c r="O2419" s="5" t="s">
        <v>6854</v>
      </c>
      <c r="P2419" s="10" t="s">
        <v>72</v>
      </c>
      <c r="Q2419" s="10" t="s">
        <v>13595</v>
      </c>
      <c r="R2419" s="10" t="s">
        <v>13595</v>
      </c>
      <c r="S2419" s="5">
        <v>0</v>
      </c>
      <c r="T2419" s="37">
        <v>0</v>
      </c>
      <c r="U2419" s="5">
        <v>0</v>
      </c>
      <c r="V2419" s="37">
        <v>0</v>
      </c>
      <c r="W2419" s="5">
        <v>0</v>
      </c>
      <c r="X2419" s="5">
        <v>0</v>
      </c>
      <c r="Y2419" s="5">
        <v>0</v>
      </c>
      <c r="Z2419" s="37">
        <v>1</v>
      </c>
      <c r="AA2419" s="5">
        <v>0</v>
      </c>
      <c r="AB2419" s="5">
        <v>0</v>
      </c>
      <c r="AC2419" s="5">
        <v>0</v>
      </c>
      <c r="AD2419" s="5">
        <v>1</v>
      </c>
      <c r="AE2419" s="10" t="s">
        <v>73</v>
      </c>
      <c r="AF2419" s="10"/>
      <c r="AG2419" s="10" t="s">
        <v>114</v>
      </c>
      <c r="AH2419" s="10">
        <v>42952</v>
      </c>
      <c r="AI2419" s="5">
        <v>0</v>
      </c>
      <c r="AJ2419" s="10" t="s">
        <v>13596</v>
      </c>
      <c r="AK2419" s="10" t="s">
        <v>13597</v>
      </c>
    </row>
    <row r="2420" spans="1:37" ht="36.75" customHeight="1" x14ac:dyDescent="0.35">
      <c r="A2420" s="5"/>
      <c r="B2420" s="5" t="s">
        <v>37</v>
      </c>
      <c r="C2420" s="73" t="str">
        <f t="shared" si="37"/>
        <v>Closed</v>
      </c>
      <c r="D2420" s="45" t="s">
        <v>13598</v>
      </c>
      <c r="E2420" s="54" t="s">
        <v>13599</v>
      </c>
      <c r="F2420" s="5" t="s">
        <v>619</v>
      </c>
      <c r="G2420" s="10">
        <f>DATE(2017,5,12)</f>
        <v>42867</v>
      </c>
      <c r="H2420" s="35">
        <v>1.4548611111111112</v>
      </c>
      <c r="I2420" s="5" t="s">
        <v>55</v>
      </c>
      <c r="J2420" s="10" t="s">
        <v>13600</v>
      </c>
      <c r="K2420" s="5" t="s">
        <v>621</v>
      </c>
      <c r="L2420" s="5" t="s">
        <v>13601</v>
      </c>
      <c r="M2420" s="5" t="s">
        <v>45</v>
      </c>
      <c r="N2420" s="5" t="s">
        <v>123</v>
      </c>
      <c r="O2420" s="5" t="s">
        <v>67</v>
      </c>
      <c r="P2420" s="10" t="s">
        <v>443</v>
      </c>
      <c r="Q2420" s="10" t="s">
        <v>623</v>
      </c>
      <c r="R2420" s="10" t="s">
        <v>624</v>
      </c>
      <c r="S2420" s="5">
        <v>0</v>
      </c>
      <c r="T2420" s="37">
        <v>0</v>
      </c>
      <c r="U2420" s="5">
        <v>0</v>
      </c>
      <c r="V2420" s="37">
        <v>0</v>
      </c>
      <c r="W2420" s="5">
        <v>0</v>
      </c>
      <c r="X2420" s="5">
        <v>0</v>
      </c>
      <c r="Y2420" s="5">
        <v>0</v>
      </c>
      <c r="Z2420" s="37">
        <v>0</v>
      </c>
      <c r="AA2420" s="5">
        <v>0</v>
      </c>
      <c r="AB2420" s="5">
        <v>0</v>
      </c>
      <c r="AC2420" s="5">
        <v>0</v>
      </c>
      <c r="AD2420" s="5">
        <v>0</v>
      </c>
      <c r="AE2420" s="10" t="s">
        <v>73</v>
      </c>
      <c r="AF2420" s="10"/>
      <c r="AG2420" s="10" t="s">
        <v>570</v>
      </c>
      <c r="AH2420" s="10">
        <v>42885</v>
      </c>
      <c r="AI2420" s="5">
        <v>3</v>
      </c>
      <c r="AJ2420" s="10" t="s">
        <v>13602</v>
      </c>
      <c r="AK2420" s="10" t="s">
        <v>13603</v>
      </c>
    </row>
    <row r="2421" spans="1:37" ht="36.75" customHeight="1" x14ac:dyDescent="0.35">
      <c r="A2421" s="5"/>
      <c r="B2421" s="5" t="s">
        <v>887</v>
      </c>
      <c r="C2421" s="73" t="str">
        <f t="shared" si="37"/>
        <v>Open</v>
      </c>
      <c r="D2421" s="45" t="s">
        <v>13604</v>
      </c>
      <c r="E2421" s="54" t="s">
        <v>13605</v>
      </c>
      <c r="F2421" s="5" t="s">
        <v>5662</v>
      </c>
      <c r="G2421" s="10">
        <f>DATE(2017,5,13)</f>
        <v>42868</v>
      </c>
      <c r="H2421" s="35">
        <v>1.9027777777777777</v>
      </c>
      <c r="I2421" s="5" t="s">
        <v>55</v>
      </c>
      <c r="J2421" s="10" t="s">
        <v>13606</v>
      </c>
      <c r="K2421" s="5" t="s">
        <v>5664</v>
      </c>
      <c r="L2421" s="5" t="s">
        <v>13607</v>
      </c>
      <c r="M2421" s="5" t="s">
        <v>45</v>
      </c>
      <c r="N2421" s="5" t="s">
        <v>123</v>
      </c>
      <c r="O2421" s="5" t="s">
        <v>59</v>
      </c>
      <c r="P2421" s="10" t="s">
        <v>443</v>
      </c>
      <c r="Q2421" s="10" t="s">
        <v>5666</v>
      </c>
      <c r="R2421" s="10" t="s">
        <v>5667</v>
      </c>
      <c r="S2421" s="5">
        <v>1</v>
      </c>
      <c r="T2421" s="37">
        <v>2</v>
      </c>
      <c r="U2421" s="5">
        <v>0</v>
      </c>
      <c r="V2421" s="37">
        <v>0</v>
      </c>
      <c r="W2421" s="5">
        <v>0</v>
      </c>
      <c r="X2421" s="5">
        <v>3</v>
      </c>
      <c r="Y2421" s="5">
        <v>0</v>
      </c>
      <c r="Z2421" s="37">
        <v>1</v>
      </c>
      <c r="AA2421" s="5">
        <v>0</v>
      </c>
      <c r="AB2421" s="5">
        <v>0</v>
      </c>
      <c r="AC2421" s="5">
        <v>0</v>
      </c>
      <c r="AD2421" s="5">
        <v>1</v>
      </c>
      <c r="AE2421" s="10" t="s">
        <v>375</v>
      </c>
      <c r="AF2421" s="10"/>
      <c r="AG2421" s="10" t="s">
        <v>64</v>
      </c>
      <c r="AH2421" s="10">
        <v>42868</v>
      </c>
      <c r="AI2421" s="5">
        <v>0</v>
      </c>
      <c r="AJ2421" s="10" t="s">
        <v>50</v>
      </c>
      <c r="AK2421" s="10" t="s">
        <v>50</v>
      </c>
    </row>
    <row r="2422" spans="1:37" ht="36.75" customHeight="1" x14ac:dyDescent="0.35">
      <c r="A2422" s="5"/>
      <c r="B2422" s="5" t="s">
        <v>37</v>
      </c>
      <c r="C2422" s="73" t="str">
        <f t="shared" si="37"/>
        <v>Closed</v>
      </c>
      <c r="D2422" s="45" t="s">
        <v>13608</v>
      </c>
      <c r="E2422" s="54" t="s">
        <v>13609</v>
      </c>
      <c r="F2422" s="5" t="s">
        <v>563</v>
      </c>
      <c r="G2422" s="10">
        <f>DATE(2017,5,15)</f>
        <v>42870</v>
      </c>
      <c r="H2422" s="35">
        <v>1.4486111111111111</v>
      </c>
      <c r="I2422" s="5" t="s">
        <v>97</v>
      </c>
      <c r="J2422" s="10" t="s">
        <v>13610</v>
      </c>
      <c r="K2422" s="5" t="s">
        <v>565</v>
      </c>
      <c r="L2422" s="5" t="s">
        <v>13611</v>
      </c>
      <c r="M2422" s="5" t="s">
        <v>45</v>
      </c>
      <c r="N2422" s="5" t="s">
        <v>123</v>
      </c>
      <c r="O2422" s="5" t="s">
        <v>46</v>
      </c>
      <c r="P2422" s="10" t="s">
        <v>146</v>
      </c>
      <c r="Q2422" s="10" t="s">
        <v>4467</v>
      </c>
      <c r="R2422" s="10" t="s">
        <v>568</v>
      </c>
      <c r="S2422" s="5">
        <v>0</v>
      </c>
      <c r="T2422" s="37">
        <v>0</v>
      </c>
      <c r="U2422" s="5">
        <v>1</v>
      </c>
      <c r="V2422" s="37">
        <v>0</v>
      </c>
      <c r="W2422" s="5">
        <v>0</v>
      </c>
      <c r="X2422" s="5">
        <v>1</v>
      </c>
      <c r="Y2422" s="5">
        <v>0</v>
      </c>
      <c r="Z2422" s="37">
        <v>0</v>
      </c>
      <c r="AA2422" s="5">
        <v>0</v>
      </c>
      <c r="AB2422" s="5">
        <v>0</v>
      </c>
      <c r="AC2422" s="5">
        <v>0</v>
      </c>
      <c r="AD2422" s="5">
        <v>0</v>
      </c>
      <c r="AE2422" s="10" t="s">
        <v>375</v>
      </c>
      <c r="AF2422" s="10"/>
      <c r="AG2422" s="10" t="s">
        <v>64</v>
      </c>
      <c r="AH2422" s="10">
        <v>42884</v>
      </c>
      <c r="AI2422" s="5">
        <v>0</v>
      </c>
      <c r="AJ2422" s="10" t="s">
        <v>13612</v>
      </c>
      <c r="AK2422" s="10" t="s">
        <v>1215</v>
      </c>
    </row>
    <row r="2423" spans="1:37" ht="36.75" customHeight="1" x14ac:dyDescent="0.35">
      <c r="A2423" s="5"/>
      <c r="B2423" s="5" t="s">
        <v>37</v>
      </c>
      <c r="C2423" s="73" t="str">
        <f t="shared" si="37"/>
        <v>Closed</v>
      </c>
      <c r="D2423" s="45" t="s">
        <v>13613</v>
      </c>
      <c r="E2423" s="54" t="s">
        <v>13614</v>
      </c>
      <c r="F2423" s="5" t="s">
        <v>2316</v>
      </c>
      <c r="G2423" s="10">
        <f>DATE(2017,5,16)</f>
        <v>42871</v>
      </c>
      <c r="H2423" s="35">
        <v>1.8395833333333331</v>
      </c>
      <c r="I2423" s="5" t="s">
        <v>41</v>
      </c>
      <c r="J2423" s="10" t="s">
        <v>13615</v>
      </c>
      <c r="K2423" s="5" t="s">
        <v>2318</v>
      </c>
      <c r="L2423" s="5" t="s">
        <v>13616</v>
      </c>
      <c r="M2423" s="5" t="s">
        <v>45</v>
      </c>
      <c r="N2423" s="5" t="s">
        <v>123</v>
      </c>
      <c r="O2423" s="5" t="s">
        <v>59</v>
      </c>
      <c r="P2423" s="10" t="s">
        <v>60</v>
      </c>
      <c r="Q2423" s="10" t="s">
        <v>2955</v>
      </c>
      <c r="R2423" s="10" t="s">
        <v>2321</v>
      </c>
      <c r="S2423" s="5">
        <v>0</v>
      </c>
      <c r="T2423" s="37">
        <v>0</v>
      </c>
      <c r="U2423" s="5">
        <v>0</v>
      </c>
      <c r="V2423" s="37">
        <v>0</v>
      </c>
      <c r="W2423" s="5">
        <v>0</v>
      </c>
      <c r="X2423" s="5">
        <v>0</v>
      </c>
      <c r="Y2423" s="5">
        <v>0</v>
      </c>
      <c r="Z2423" s="37">
        <v>0</v>
      </c>
      <c r="AA2423" s="5">
        <v>0</v>
      </c>
      <c r="AB2423" s="5">
        <v>0</v>
      </c>
      <c r="AC2423" s="5">
        <v>0</v>
      </c>
      <c r="AD2423" s="5">
        <v>0</v>
      </c>
      <c r="AE2423" s="10" t="s">
        <v>73</v>
      </c>
      <c r="AF2423" s="10"/>
      <c r="AG2423" s="10" t="s">
        <v>1664</v>
      </c>
      <c r="AH2423" s="10">
        <v>42906</v>
      </c>
      <c r="AI2423" s="5">
        <v>9</v>
      </c>
      <c r="AJ2423" s="10" t="s">
        <v>13617</v>
      </c>
      <c r="AK2423" s="10" t="s">
        <v>13618</v>
      </c>
    </row>
    <row r="2424" spans="1:37" ht="36.75" customHeight="1" x14ac:dyDescent="0.35">
      <c r="A2424" s="5"/>
      <c r="B2424" s="5" t="s">
        <v>37</v>
      </c>
      <c r="C2424" s="73" t="str">
        <f t="shared" si="37"/>
        <v>Closed</v>
      </c>
      <c r="D2424" s="45" t="s">
        <v>13619</v>
      </c>
      <c r="E2424" s="54" t="s">
        <v>13620</v>
      </c>
      <c r="F2424" s="5" t="s">
        <v>1751</v>
      </c>
      <c r="G2424" s="10">
        <f>DATE(2017,5,19)</f>
        <v>42874</v>
      </c>
      <c r="H2424" s="35">
        <v>1.1354166666666667</v>
      </c>
      <c r="I2424" s="5" t="s">
        <v>55</v>
      </c>
      <c r="J2424" s="10" t="s">
        <v>13621</v>
      </c>
      <c r="K2424" s="5" t="s">
        <v>1753</v>
      </c>
      <c r="L2424" s="5" t="s">
        <v>13622</v>
      </c>
      <c r="M2424" s="5" t="s">
        <v>45</v>
      </c>
      <c r="N2424" s="5" t="s">
        <v>123</v>
      </c>
      <c r="O2424" s="5" t="s">
        <v>46</v>
      </c>
      <c r="P2424" s="10" t="s">
        <v>60</v>
      </c>
      <c r="Q2424" s="10" t="s">
        <v>6480</v>
      </c>
      <c r="R2424" s="10" t="s">
        <v>1756</v>
      </c>
      <c r="S2424" s="5">
        <v>0</v>
      </c>
      <c r="T2424" s="37">
        <v>0</v>
      </c>
      <c r="U2424" s="5">
        <v>0</v>
      </c>
      <c r="V2424" s="37">
        <v>0</v>
      </c>
      <c r="W2424" s="5">
        <v>0</v>
      </c>
      <c r="X2424" s="5">
        <v>0</v>
      </c>
      <c r="Y2424" s="5">
        <v>0</v>
      </c>
      <c r="Z2424" s="37">
        <v>0</v>
      </c>
      <c r="AA2424" s="5">
        <v>0</v>
      </c>
      <c r="AB2424" s="5">
        <v>0</v>
      </c>
      <c r="AC2424" s="5">
        <v>0</v>
      </c>
      <c r="AD2424" s="5">
        <v>0</v>
      </c>
      <c r="AE2424" s="10" t="s">
        <v>126</v>
      </c>
      <c r="AF2424" s="10"/>
      <c r="AG2424" s="10" t="s">
        <v>64</v>
      </c>
      <c r="AH2424" s="10">
        <v>42874</v>
      </c>
      <c r="AI2424" s="5">
        <v>0</v>
      </c>
      <c r="AJ2424" s="10" t="s">
        <v>13623</v>
      </c>
      <c r="AK2424" s="10" t="s">
        <v>13624</v>
      </c>
    </row>
    <row r="2425" spans="1:37" ht="36.75" customHeight="1" x14ac:dyDescent="0.35">
      <c r="A2425" s="5"/>
      <c r="B2425" s="5" t="s">
        <v>37</v>
      </c>
      <c r="C2425" s="73" t="str">
        <f t="shared" si="37"/>
        <v>Closed</v>
      </c>
      <c r="D2425" s="45" t="s">
        <v>13625</v>
      </c>
      <c r="E2425" s="54" t="s">
        <v>13626</v>
      </c>
      <c r="F2425" s="5" t="s">
        <v>563</v>
      </c>
      <c r="G2425" s="10">
        <f>DATE(2017,5,19)</f>
        <v>42874</v>
      </c>
      <c r="H2425" s="35">
        <v>1.8118055555555554</v>
      </c>
      <c r="I2425" s="5" t="s">
        <v>137</v>
      </c>
      <c r="J2425" s="10" t="s">
        <v>13627</v>
      </c>
      <c r="K2425" s="5" t="s">
        <v>565</v>
      </c>
      <c r="L2425" s="5" t="s">
        <v>13628</v>
      </c>
      <c r="M2425" s="5" t="s">
        <v>45</v>
      </c>
      <c r="N2425" s="5" t="s">
        <v>123</v>
      </c>
      <c r="O2425" s="5" t="s">
        <v>46</v>
      </c>
      <c r="P2425" s="10" t="s">
        <v>146</v>
      </c>
      <c r="Q2425" s="10" t="s">
        <v>4467</v>
      </c>
      <c r="R2425" s="10" t="s">
        <v>568</v>
      </c>
      <c r="S2425" s="5">
        <v>0</v>
      </c>
      <c r="T2425" s="37">
        <v>0</v>
      </c>
      <c r="U2425" s="5">
        <v>0</v>
      </c>
      <c r="V2425" s="37">
        <v>0</v>
      </c>
      <c r="W2425" s="5">
        <v>0</v>
      </c>
      <c r="X2425" s="5">
        <v>0</v>
      </c>
      <c r="Y2425" s="5">
        <v>0</v>
      </c>
      <c r="Z2425" s="37">
        <v>0</v>
      </c>
      <c r="AA2425" s="5">
        <v>0</v>
      </c>
      <c r="AB2425" s="5">
        <v>0</v>
      </c>
      <c r="AC2425" s="5">
        <v>0</v>
      </c>
      <c r="AD2425" s="5">
        <v>0</v>
      </c>
      <c r="AE2425" s="10" t="s">
        <v>375</v>
      </c>
      <c r="AF2425" s="10" t="s">
        <v>13629</v>
      </c>
      <c r="AG2425" s="10" t="s">
        <v>8837</v>
      </c>
      <c r="AH2425" s="10">
        <v>42895</v>
      </c>
      <c r="AI2425" s="5">
        <v>0</v>
      </c>
      <c r="AJ2425" s="10" t="s">
        <v>13630</v>
      </c>
      <c r="AK2425" s="10" t="s">
        <v>50</v>
      </c>
    </row>
    <row r="2426" spans="1:37" ht="36.75" customHeight="1" x14ac:dyDescent="0.35">
      <c r="A2426" s="5"/>
      <c r="B2426" s="5" t="s">
        <v>37</v>
      </c>
      <c r="C2426" s="73" t="str">
        <f t="shared" si="37"/>
        <v>Closed</v>
      </c>
      <c r="D2426" s="45" t="s">
        <v>13631</v>
      </c>
      <c r="E2426" s="54" t="s">
        <v>13632</v>
      </c>
      <c r="F2426" s="5" t="s">
        <v>1553</v>
      </c>
      <c r="G2426" s="10">
        <f>DATE(2017,5,20)</f>
        <v>42875</v>
      </c>
      <c r="H2426" s="35">
        <v>1.7048611111111112</v>
      </c>
      <c r="I2426" s="5" t="s">
        <v>55</v>
      </c>
      <c r="J2426" s="10" t="s">
        <v>13633</v>
      </c>
      <c r="K2426" s="5" t="s">
        <v>1555</v>
      </c>
      <c r="L2426" s="5" t="s">
        <v>13634</v>
      </c>
      <c r="M2426" s="5" t="s">
        <v>45</v>
      </c>
      <c r="N2426" s="5" t="s">
        <v>123</v>
      </c>
      <c r="O2426" s="5" t="s">
        <v>59</v>
      </c>
      <c r="P2426" s="10" t="s">
        <v>60</v>
      </c>
      <c r="Q2426" s="10" t="s">
        <v>2635</v>
      </c>
      <c r="R2426" s="10" t="s">
        <v>6413</v>
      </c>
      <c r="S2426" s="5">
        <v>0</v>
      </c>
      <c r="T2426" s="37">
        <v>0</v>
      </c>
      <c r="U2426" s="5">
        <v>0</v>
      </c>
      <c r="V2426" s="37">
        <v>0</v>
      </c>
      <c r="W2426" s="5">
        <v>0</v>
      </c>
      <c r="X2426" s="5">
        <v>0</v>
      </c>
      <c r="Y2426" s="5">
        <v>0</v>
      </c>
      <c r="Z2426" s="37">
        <v>0</v>
      </c>
      <c r="AA2426" s="5">
        <v>0</v>
      </c>
      <c r="AB2426" s="5">
        <v>0</v>
      </c>
      <c r="AC2426" s="5">
        <v>0</v>
      </c>
      <c r="AD2426" s="5">
        <v>0</v>
      </c>
      <c r="AE2426" s="10" t="s">
        <v>73</v>
      </c>
      <c r="AF2426" s="10"/>
      <c r="AG2426" s="10" t="s">
        <v>114</v>
      </c>
      <c r="AH2426" s="10">
        <v>42878</v>
      </c>
      <c r="AI2426" s="5">
        <v>2</v>
      </c>
      <c r="AJ2426" s="10" t="s">
        <v>13635</v>
      </c>
      <c r="AK2426" s="10" t="s">
        <v>13636</v>
      </c>
    </row>
    <row r="2427" spans="1:37" ht="36.75" customHeight="1" x14ac:dyDescent="0.35">
      <c r="A2427" s="5"/>
      <c r="B2427" s="5" t="s">
        <v>37</v>
      </c>
      <c r="C2427" s="73" t="str">
        <f t="shared" si="37"/>
        <v>Closed</v>
      </c>
      <c r="D2427" s="45" t="s">
        <v>13637</v>
      </c>
      <c r="E2427" s="54" t="s">
        <v>13638</v>
      </c>
      <c r="F2427" s="5" t="s">
        <v>404</v>
      </c>
      <c r="G2427" s="10">
        <f>DATE(2017,5,23)</f>
        <v>42878</v>
      </c>
      <c r="H2427" s="35">
        <v>1.1034722222222222</v>
      </c>
      <c r="I2427" s="5" t="s">
        <v>55</v>
      </c>
      <c r="J2427" s="10" t="s">
        <v>13639</v>
      </c>
      <c r="K2427" s="5" t="s">
        <v>406</v>
      </c>
      <c r="L2427" s="5" t="s">
        <v>13640</v>
      </c>
      <c r="M2427" s="5" t="s">
        <v>45</v>
      </c>
      <c r="N2427" s="5" t="s">
        <v>80</v>
      </c>
      <c r="O2427" s="5" t="s">
        <v>6854</v>
      </c>
      <c r="P2427" s="10" t="s">
        <v>72</v>
      </c>
      <c r="Q2427" s="10" t="s">
        <v>5178</v>
      </c>
      <c r="R2427" s="10" t="s">
        <v>5179</v>
      </c>
      <c r="S2427" s="5">
        <v>0</v>
      </c>
      <c r="T2427" s="37">
        <v>0</v>
      </c>
      <c r="U2427" s="5">
        <v>0</v>
      </c>
      <c r="V2427" s="37">
        <v>0</v>
      </c>
      <c r="W2427" s="5">
        <v>0</v>
      </c>
      <c r="X2427" s="5">
        <v>0</v>
      </c>
      <c r="Y2427" s="5">
        <v>0</v>
      </c>
      <c r="Z2427" s="37">
        <v>0</v>
      </c>
      <c r="AA2427" s="5">
        <v>0</v>
      </c>
      <c r="AB2427" s="5">
        <v>0</v>
      </c>
      <c r="AC2427" s="5">
        <v>0</v>
      </c>
      <c r="AD2427" s="5">
        <v>0</v>
      </c>
      <c r="AE2427" s="10" t="s">
        <v>73</v>
      </c>
      <c r="AF2427" s="10"/>
      <c r="AG2427" s="10" t="s">
        <v>114</v>
      </c>
      <c r="AH2427" s="10">
        <v>42878</v>
      </c>
      <c r="AI2427" s="5">
        <v>1</v>
      </c>
      <c r="AJ2427" s="10" t="s">
        <v>13641</v>
      </c>
      <c r="AK2427" s="10" t="s">
        <v>13642</v>
      </c>
    </row>
    <row r="2428" spans="1:37" ht="36.75" customHeight="1" x14ac:dyDescent="0.35">
      <c r="A2428" s="5"/>
      <c r="B2428" s="5" t="s">
        <v>37</v>
      </c>
      <c r="C2428" s="73" t="str">
        <f t="shared" si="37"/>
        <v>Closed</v>
      </c>
      <c r="D2428" s="45" t="s">
        <v>13643</v>
      </c>
      <c r="E2428" s="54" t="s">
        <v>13644</v>
      </c>
      <c r="F2428" s="5" t="s">
        <v>619</v>
      </c>
      <c r="G2428" s="10">
        <f>DATE(2017,5,23)</f>
        <v>42878</v>
      </c>
      <c r="H2428" s="35">
        <v>1.5194444444444444</v>
      </c>
      <c r="I2428" s="5" t="s">
        <v>55</v>
      </c>
      <c r="J2428" s="10" t="s">
        <v>13645</v>
      </c>
      <c r="K2428" s="5" t="s">
        <v>621</v>
      </c>
      <c r="L2428" s="5" t="s">
        <v>13646</v>
      </c>
      <c r="M2428" s="5" t="s">
        <v>45</v>
      </c>
      <c r="N2428" s="5" t="s">
        <v>80</v>
      </c>
      <c r="O2428" s="5" t="s">
        <v>46</v>
      </c>
      <c r="P2428" s="10" t="s">
        <v>60</v>
      </c>
      <c r="Q2428" s="10" t="s">
        <v>621</v>
      </c>
      <c r="R2428" s="10" t="s">
        <v>624</v>
      </c>
      <c r="S2428" s="5">
        <v>0</v>
      </c>
      <c r="T2428" s="37">
        <v>0</v>
      </c>
      <c r="U2428" s="5">
        <v>0</v>
      </c>
      <c r="V2428" s="37">
        <v>0</v>
      </c>
      <c r="W2428" s="5">
        <v>0</v>
      </c>
      <c r="X2428" s="5">
        <v>0</v>
      </c>
      <c r="Y2428" s="5">
        <v>0</v>
      </c>
      <c r="Z2428" s="37">
        <v>0</v>
      </c>
      <c r="AA2428" s="5">
        <v>0</v>
      </c>
      <c r="AB2428" s="5">
        <v>0</v>
      </c>
      <c r="AC2428" s="5">
        <v>0</v>
      </c>
      <c r="AD2428" s="5">
        <v>0</v>
      </c>
      <c r="AE2428" s="10" t="s">
        <v>73</v>
      </c>
      <c r="AF2428" s="10"/>
      <c r="AG2428" s="10" t="s">
        <v>570</v>
      </c>
      <c r="AH2428" s="10">
        <v>42913</v>
      </c>
      <c r="AI2428" s="5">
        <v>2</v>
      </c>
      <c r="AJ2428" s="10" t="s">
        <v>13647</v>
      </c>
      <c r="AK2428" s="10" t="s">
        <v>13648</v>
      </c>
    </row>
    <row r="2429" spans="1:37" ht="36.75" customHeight="1" x14ac:dyDescent="0.35">
      <c r="A2429" s="5"/>
      <c r="B2429" s="5" t="s">
        <v>37</v>
      </c>
      <c r="C2429" s="73" t="str">
        <f t="shared" si="37"/>
        <v>Closed</v>
      </c>
      <c r="D2429" s="45" t="s">
        <v>13649</v>
      </c>
      <c r="E2429" s="54" t="s">
        <v>13650</v>
      </c>
      <c r="F2429" s="5" t="s">
        <v>816</v>
      </c>
      <c r="G2429" s="10">
        <f>DATE(2017,5,27)</f>
        <v>42882</v>
      </c>
      <c r="H2429" s="35">
        <v>1.8368055555555554</v>
      </c>
      <c r="I2429" s="5" t="s">
        <v>55</v>
      </c>
      <c r="J2429" s="10" t="s">
        <v>13651</v>
      </c>
      <c r="K2429" s="5" t="s">
        <v>818</v>
      </c>
      <c r="L2429" s="5" t="s">
        <v>13652</v>
      </c>
      <c r="M2429" s="5" t="s">
        <v>45</v>
      </c>
      <c r="N2429" s="5" t="s">
        <v>123</v>
      </c>
      <c r="O2429" s="5" t="s">
        <v>59</v>
      </c>
      <c r="P2429" s="10" t="s">
        <v>60</v>
      </c>
      <c r="Q2429" s="10" t="s">
        <v>3757</v>
      </c>
      <c r="R2429" s="10" t="s">
        <v>821</v>
      </c>
      <c r="S2429" s="5">
        <v>0</v>
      </c>
      <c r="T2429" s="37">
        <v>0</v>
      </c>
      <c r="U2429" s="5">
        <v>0</v>
      </c>
      <c r="V2429" s="37">
        <v>0</v>
      </c>
      <c r="W2429" s="5">
        <v>0</v>
      </c>
      <c r="X2429" s="5">
        <v>0</v>
      </c>
      <c r="Y2429" s="5">
        <v>0</v>
      </c>
      <c r="Z2429" s="37">
        <v>0</v>
      </c>
      <c r="AA2429" s="5">
        <v>0</v>
      </c>
      <c r="AB2429" s="5">
        <v>0</v>
      </c>
      <c r="AC2429" s="5">
        <v>0</v>
      </c>
      <c r="AD2429" s="5">
        <v>0</v>
      </c>
      <c r="AE2429" s="10" t="s">
        <v>375</v>
      </c>
      <c r="AF2429" s="10"/>
      <c r="AG2429" s="10" t="s">
        <v>114</v>
      </c>
      <c r="AH2429" s="10">
        <v>42885</v>
      </c>
      <c r="AI2429" s="5">
        <v>1</v>
      </c>
      <c r="AJ2429" s="10" t="s">
        <v>13653</v>
      </c>
      <c r="AK2429" s="10" t="s">
        <v>50</v>
      </c>
    </row>
    <row r="2430" spans="1:37" ht="36.75" customHeight="1" x14ac:dyDescent="0.35">
      <c r="A2430" s="5"/>
      <c r="B2430" s="5" t="s">
        <v>37</v>
      </c>
      <c r="C2430" s="73" t="str">
        <f t="shared" si="37"/>
        <v>Closed</v>
      </c>
      <c r="D2430" s="45" t="s">
        <v>13654</v>
      </c>
      <c r="E2430" s="54" t="s">
        <v>13655</v>
      </c>
      <c r="F2430" s="5" t="s">
        <v>1553</v>
      </c>
      <c r="G2430" s="10">
        <f>DATE(2017,5,28)</f>
        <v>42883</v>
      </c>
      <c r="H2430" s="35">
        <v>1.2083333333333333</v>
      </c>
      <c r="I2430" s="5" t="s">
        <v>106</v>
      </c>
      <c r="J2430" s="10" t="s">
        <v>13656</v>
      </c>
      <c r="K2430" s="5" t="s">
        <v>1555</v>
      </c>
      <c r="L2430" s="5" t="s">
        <v>13657</v>
      </c>
      <c r="M2430" s="5" t="s">
        <v>45</v>
      </c>
      <c r="N2430" s="5" t="s">
        <v>80</v>
      </c>
      <c r="O2430" s="5" t="s">
        <v>46</v>
      </c>
      <c r="P2430" s="10" t="s">
        <v>60</v>
      </c>
      <c r="Q2430" s="10" t="s">
        <v>6072</v>
      </c>
      <c r="R2430" s="10" t="s">
        <v>1555</v>
      </c>
      <c r="S2430" s="5">
        <v>0</v>
      </c>
      <c r="T2430" s="37">
        <v>0</v>
      </c>
      <c r="U2430" s="5">
        <v>0</v>
      </c>
      <c r="V2430" s="37">
        <v>0</v>
      </c>
      <c r="W2430" s="5">
        <v>0</v>
      </c>
      <c r="X2430" s="5">
        <v>0</v>
      </c>
      <c r="Y2430" s="5">
        <v>0</v>
      </c>
      <c r="Z2430" s="37">
        <v>0</v>
      </c>
      <c r="AA2430" s="5">
        <v>0</v>
      </c>
      <c r="AB2430" s="5">
        <v>0</v>
      </c>
      <c r="AC2430" s="5">
        <v>0</v>
      </c>
      <c r="AD2430" s="5">
        <v>0</v>
      </c>
      <c r="AE2430" s="10" t="s">
        <v>73</v>
      </c>
      <c r="AF2430" s="10"/>
      <c r="AG2430" s="10" t="s">
        <v>114</v>
      </c>
      <c r="AH2430" s="10">
        <v>42884</v>
      </c>
      <c r="AI2430" s="5">
        <v>2</v>
      </c>
      <c r="AJ2430" s="10" t="s">
        <v>13658</v>
      </c>
      <c r="AK2430" s="10" t="s">
        <v>13659</v>
      </c>
    </row>
    <row r="2431" spans="1:37" ht="36.75" customHeight="1" x14ac:dyDescent="0.35">
      <c r="A2431" s="5"/>
      <c r="B2431" s="5" t="s">
        <v>37</v>
      </c>
      <c r="C2431" s="73" t="str">
        <f t="shared" si="37"/>
        <v>Closed</v>
      </c>
      <c r="D2431" s="45" t="s">
        <v>13660</v>
      </c>
      <c r="E2431" s="54" t="s">
        <v>13661</v>
      </c>
      <c r="F2431" s="5" t="s">
        <v>214</v>
      </c>
      <c r="G2431" s="10">
        <f>DATE(2017,5,28)</f>
        <v>42883</v>
      </c>
      <c r="H2431" s="35">
        <v>1.3402777777777777</v>
      </c>
      <c r="I2431" s="5" t="s">
        <v>468</v>
      </c>
      <c r="J2431" s="10" t="s">
        <v>13662</v>
      </c>
      <c r="K2431" s="5" t="s">
        <v>216</v>
      </c>
      <c r="L2431" s="5" t="s">
        <v>13663</v>
      </c>
      <c r="M2431" s="5" t="s">
        <v>45</v>
      </c>
      <c r="N2431" s="5" t="s">
        <v>123</v>
      </c>
      <c r="O2431" s="5" t="s">
        <v>46</v>
      </c>
      <c r="P2431" s="10" t="s">
        <v>67</v>
      </c>
      <c r="Q2431" s="10" t="s">
        <v>699</v>
      </c>
      <c r="R2431" s="10" t="s">
        <v>216</v>
      </c>
      <c r="S2431" s="5">
        <v>0</v>
      </c>
      <c r="T2431" s="37">
        <v>0</v>
      </c>
      <c r="U2431" s="5">
        <v>0</v>
      </c>
      <c r="V2431" s="37">
        <v>0</v>
      </c>
      <c r="W2431" s="5">
        <v>0</v>
      </c>
      <c r="X2431" s="5">
        <v>0</v>
      </c>
      <c r="Y2431" s="5">
        <v>0</v>
      </c>
      <c r="Z2431" s="37">
        <v>0</v>
      </c>
      <c r="AA2431" s="5">
        <v>0</v>
      </c>
      <c r="AB2431" s="5">
        <v>0</v>
      </c>
      <c r="AC2431" s="5">
        <v>0</v>
      </c>
      <c r="AD2431" s="5">
        <v>0</v>
      </c>
      <c r="AE2431" s="10" t="s">
        <v>73</v>
      </c>
      <c r="AF2431" s="10"/>
      <c r="AG2431" s="10" t="s">
        <v>114</v>
      </c>
      <c r="AH2431" s="10">
        <v>42898</v>
      </c>
      <c r="AI2431" s="5">
        <v>3</v>
      </c>
      <c r="AJ2431" s="10" t="s">
        <v>13664</v>
      </c>
      <c r="AK2431" s="10" t="s">
        <v>13665</v>
      </c>
    </row>
    <row r="2432" spans="1:37" ht="36.75" customHeight="1" x14ac:dyDescent="0.35">
      <c r="A2432" s="5"/>
      <c r="B2432" s="5" t="s">
        <v>37</v>
      </c>
      <c r="C2432" s="73" t="str">
        <f t="shared" si="37"/>
        <v>Closed</v>
      </c>
      <c r="D2432" s="45" t="s">
        <v>13666</v>
      </c>
      <c r="E2432" s="54" t="s">
        <v>13667</v>
      </c>
      <c r="F2432" s="5" t="s">
        <v>178</v>
      </c>
      <c r="G2432" s="10">
        <f>DATE(2017,5,31)</f>
        <v>42886</v>
      </c>
      <c r="H2432" s="35">
        <v>1.3548611111111111</v>
      </c>
      <c r="I2432" s="5" t="s">
        <v>97</v>
      </c>
      <c r="J2432" s="10" t="s">
        <v>13668</v>
      </c>
      <c r="K2432" s="5" t="s">
        <v>181</v>
      </c>
      <c r="L2432" s="5" t="s">
        <v>13669</v>
      </c>
      <c r="M2432" s="5" t="s">
        <v>45</v>
      </c>
      <c r="N2432" s="5" t="s">
        <v>80</v>
      </c>
      <c r="O2432" s="5" t="s">
        <v>46</v>
      </c>
      <c r="P2432" s="10" t="s">
        <v>146</v>
      </c>
      <c r="Q2432" s="10" t="s">
        <v>183</v>
      </c>
      <c r="R2432" s="10" t="s">
        <v>184</v>
      </c>
      <c r="S2432" s="5">
        <v>0</v>
      </c>
      <c r="T2432" s="37">
        <v>0</v>
      </c>
      <c r="U2432" s="5">
        <v>0</v>
      </c>
      <c r="V2432" s="37">
        <v>0</v>
      </c>
      <c r="W2432" s="5">
        <v>0</v>
      </c>
      <c r="X2432" s="5">
        <v>0</v>
      </c>
      <c r="Y2432" s="5">
        <v>0</v>
      </c>
      <c r="Z2432" s="37">
        <v>0</v>
      </c>
      <c r="AA2432" s="5">
        <v>1</v>
      </c>
      <c r="AB2432" s="5">
        <v>0</v>
      </c>
      <c r="AC2432" s="5">
        <v>0</v>
      </c>
      <c r="AD2432" s="5">
        <v>1</v>
      </c>
      <c r="AE2432" s="10" t="s">
        <v>73</v>
      </c>
      <c r="AF2432" s="10"/>
      <c r="AG2432" s="10" t="s">
        <v>114</v>
      </c>
      <c r="AH2432" s="10">
        <v>42923</v>
      </c>
      <c r="AI2432" s="5">
        <v>0</v>
      </c>
      <c r="AJ2432" s="10" t="s">
        <v>13670</v>
      </c>
      <c r="AK2432" s="10" t="s">
        <v>1215</v>
      </c>
    </row>
    <row r="2433" spans="1:37" ht="36.75" customHeight="1" x14ac:dyDescent="0.35">
      <c r="A2433" s="5"/>
      <c r="B2433" s="5" t="s">
        <v>37</v>
      </c>
      <c r="C2433" s="73" t="str">
        <f t="shared" si="37"/>
        <v>Closed</v>
      </c>
      <c r="D2433" s="45" t="s">
        <v>13671</v>
      </c>
      <c r="E2433" s="54" t="s">
        <v>13672</v>
      </c>
      <c r="F2433" s="5" t="s">
        <v>214</v>
      </c>
      <c r="G2433" s="10">
        <f>DATE(2017,6,1)</f>
        <v>42887</v>
      </c>
      <c r="H2433" s="35">
        <v>1.6631944444444444</v>
      </c>
      <c r="I2433" s="5" t="s">
        <v>97</v>
      </c>
      <c r="J2433" s="10" t="s">
        <v>13673</v>
      </c>
      <c r="K2433" s="5" t="s">
        <v>216</v>
      </c>
      <c r="L2433" s="5" t="s">
        <v>13674</v>
      </c>
      <c r="M2433" s="5" t="s">
        <v>45</v>
      </c>
      <c r="N2433" s="5" t="s">
        <v>123</v>
      </c>
      <c r="O2433" s="5" t="s">
        <v>67</v>
      </c>
      <c r="P2433" s="10" t="s">
        <v>146</v>
      </c>
      <c r="Q2433" s="10" t="s">
        <v>2154</v>
      </c>
      <c r="R2433" s="10" t="s">
        <v>216</v>
      </c>
      <c r="S2433" s="5">
        <v>0</v>
      </c>
      <c r="T2433" s="37">
        <v>0</v>
      </c>
      <c r="U2433" s="5">
        <v>1</v>
      </c>
      <c r="V2433" s="37">
        <v>0</v>
      </c>
      <c r="W2433" s="5">
        <v>0</v>
      </c>
      <c r="X2433" s="5">
        <v>1</v>
      </c>
      <c r="Y2433" s="5">
        <v>0</v>
      </c>
      <c r="Z2433" s="37">
        <v>0</v>
      </c>
      <c r="AA2433" s="5">
        <v>0</v>
      </c>
      <c r="AB2433" s="5">
        <v>0</v>
      </c>
      <c r="AC2433" s="5">
        <v>0</v>
      </c>
      <c r="AD2433" s="5">
        <v>0</v>
      </c>
      <c r="AE2433" s="10" t="s">
        <v>73</v>
      </c>
      <c r="AF2433" s="10"/>
      <c r="AG2433" s="10" t="s">
        <v>64</v>
      </c>
      <c r="AH2433" s="10">
        <v>42891</v>
      </c>
      <c r="AI2433" s="5">
        <v>1</v>
      </c>
      <c r="AJ2433" s="10" t="s">
        <v>13675</v>
      </c>
      <c r="AK2433" s="10" t="s">
        <v>13676</v>
      </c>
    </row>
    <row r="2434" spans="1:37" ht="36.75" customHeight="1" x14ac:dyDescent="0.35">
      <c r="A2434" s="5"/>
      <c r="B2434" s="5" t="s">
        <v>37</v>
      </c>
      <c r="C2434" s="73" t="str">
        <f t="shared" ref="C2434:C2497" si="38">IF(B2434="Notification","Open",IF(B2434="Interim Statement","In progress","Closed"))</f>
        <v>Closed</v>
      </c>
      <c r="D2434" s="45" t="s">
        <v>13677</v>
      </c>
      <c r="E2434" s="54" t="s">
        <v>13678</v>
      </c>
      <c r="F2434" s="5" t="s">
        <v>404</v>
      </c>
      <c r="G2434" s="10">
        <f>DATE(2017,6,5)</f>
        <v>42891</v>
      </c>
      <c r="H2434" s="35">
        <v>1.2451388888888888</v>
      </c>
      <c r="I2434" s="5" t="s">
        <v>137</v>
      </c>
      <c r="J2434" s="10" t="s">
        <v>13679</v>
      </c>
      <c r="K2434" s="5" t="s">
        <v>406</v>
      </c>
      <c r="L2434" s="5" t="s">
        <v>6497</v>
      </c>
      <c r="M2434" s="5" t="s">
        <v>45</v>
      </c>
      <c r="N2434" s="5" t="s">
        <v>123</v>
      </c>
      <c r="O2434" s="5" t="s">
        <v>59</v>
      </c>
      <c r="P2434" s="10" t="s">
        <v>47</v>
      </c>
      <c r="Q2434" s="10" t="s">
        <v>13680</v>
      </c>
      <c r="R2434" s="10" t="s">
        <v>3083</v>
      </c>
      <c r="S2434" s="5">
        <v>0</v>
      </c>
      <c r="T2434" s="37">
        <v>0</v>
      </c>
      <c r="U2434" s="5">
        <v>0</v>
      </c>
      <c r="V2434" s="37">
        <v>0</v>
      </c>
      <c r="W2434" s="5">
        <v>0</v>
      </c>
      <c r="X2434" s="5">
        <v>0</v>
      </c>
      <c r="Y2434" s="5">
        <v>9</v>
      </c>
      <c r="Z2434" s="37">
        <v>2</v>
      </c>
      <c r="AA2434" s="5">
        <v>0</v>
      </c>
      <c r="AB2434" s="5">
        <v>0</v>
      </c>
      <c r="AC2434" s="5">
        <v>0</v>
      </c>
      <c r="AD2434" s="5">
        <v>11</v>
      </c>
      <c r="AE2434" s="10" t="s">
        <v>126</v>
      </c>
      <c r="AF2434" s="10"/>
      <c r="AG2434" s="10" t="s">
        <v>64</v>
      </c>
      <c r="AH2434" s="10">
        <v>42861</v>
      </c>
      <c r="AI2434" s="5">
        <v>1</v>
      </c>
      <c r="AJ2434" s="10" t="s">
        <v>13681</v>
      </c>
      <c r="AK2434" s="10" t="s">
        <v>13682</v>
      </c>
    </row>
    <row r="2435" spans="1:37" ht="36.75" customHeight="1" x14ac:dyDescent="0.35">
      <c r="A2435" s="5"/>
      <c r="B2435" s="5" t="s">
        <v>37</v>
      </c>
      <c r="C2435" s="73" t="str">
        <f t="shared" si="38"/>
        <v>Closed</v>
      </c>
      <c r="D2435" s="45" t="s">
        <v>13683</v>
      </c>
      <c r="E2435" s="54" t="s">
        <v>13684</v>
      </c>
      <c r="F2435" s="5" t="s">
        <v>358</v>
      </c>
      <c r="G2435" s="10">
        <f>DATE(2017,6,5)</f>
        <v>42891</v>
      </c>
      <c r="H2435" s="35">
        <v>1.7270833333333333</v>
      </c>
      <c r="I2435" s="5" t="s">
        <v>2244</v>
      </c>
      <c r="J2435" s="10" t="s">
        <v>13685</v>
      </c>
      <c r="K2435" s="5" t="s">
        <v>360</v>
      </c>
      <c r="L2435" s="5" t="s">
        <v>13686</v>
      </c>
      <c r="M2435" s="5" t="s">
        <v>45</v>
      </c>
      <c r="N2435" s="5" t="s">
        <v>123</v>
      </c>
      <c r="O2435" s="5" t="s">
        <v>46</v>
      </c>
      <c r="P2435" s="10" t="s">
        <v>5303</v>
      </c>
      <c r="Q2435" s="10" t="s">
        <v>2886</v>
      </c>
      <c r="R2435" s="10" t="s">
        <v>363</v>
      </c>
      <c r="S2435" s="5">
        <v>0</v>
      </c>
      <c r="T2435" s="37">
        <v>0</v>
      </c>
      <c r="U2435" s="5">
        <v>0</v>
      </c>
      <c r="V2435" s="37">
        <v>0</v>
      </c>
      <c r="W2435" s="5">
        <v>0</v>
      </c>
      <c r="X2435" s="5">
        <v>0</v>
      </c>
      <c r="Y2435" s="5">
        <v>0</v>
      </c>
      <c r="Z2435" s="37">
        <v>0</v>
      </c>
      <c r="AA2435" s="5">
        <v>0</v>
      </c>
      <c r="AB2435" s="5">
        <v>0</v>
      </c>
      <c r="AC2435" s="5">
        <v>0</v>
      </c>
      <c r="AD2435" s="5">
        <v>0</v>
      </c>
      <c r="AE2435" s="10" t="s">
        <v>73</v>
      </c>
      <c r="AF2435" s="10"/>
      <c r="AG2435" s="10" t="s">
        <v>114</v>
      </c>
      <c r="AH2435" s="10">
        <v>42996</v>
      </c>
      <c r="AI2435" s="5">
        <v>5</v>
      </c>
      <c r="AJ2435" s="10" t="s">
        <v>13687</v>
      </c>
      <c r="AK2435" s="10" t="s">
        <v>50</v>
      </c>
    </row>
    <row r="2436" spans="1:37" ht="36.75" customHeight="1" x14ac:dyDescent="0.35">
      <c r="A2436" s="5"/>
      <c r="B2436" s="5" t="s">
        <v>37</v>
      </c>
      <c r="C2436" s="73" t="str">
        <f t="shared" si="38"/>
        <v>Closed</v>
      </c>
      <c r="D2436" s="45" t="s">
        <v>13688</v>
      </c>
      <c r="E2436" s="54" t="s">
        <v>13689</v>
      </c>
      <c r="F2436" s="5" t="s">
        <v>1553</v>
      </c>
      <c r="G2436" s="10">
        <f>DATE(2017,6,7)</f>
        <v>42893</v>
      </c>
      <c r="H2436" s="35">
        <v>1.29375</v>
      </c>
      <c r="I2436" s="5" t="s">
        <v>55</v>
      </c>
      <c r="J2436" s="10" t="s">
        <v>13690</v>
      </c>
      <c r="K2436" s="5" t="s">
        <v>1555</v>
      </c>
      <c r="L2436" s="5" t="s">
        <v>13691</v>
      </c>
      <c r="M2436" s="5" t="s">
        <v>45</v>
      </c>
      <c r="N2436" s="5" t="s">
        <v>123</v>
      </c>
      <c r="O2436" s="5" t="s">
        <v>59</v>
      </c>
      <c r="P2436" s="10" t="s">
        <v>6920</v>
      </c>
      <c r="Q2436" s="10" t="s">
        <v>2393</v>
      </c>
      <c r="R2436" s="10" t="s">
        <v>6413</v>
      </c>
      <c r="S2436" s="5">
        <v>0</v>
      </c>
      <c r="T2436" s="37">
        <v>0</v>
      </c>
      <c r="U2436" s="5">
        <v>0</v>
      </c>
      <c r="V2436" s="37">
        <v>0</v>
      </c>
      <c r="W2436" s="5">
        <v>0</v>
      </c>
      <c r="X2436" s="5">
        <v>0</v>
      </c>
      <c r="Y2436" s="5">
        <v>0</v>
      </c>
      <c r="Z2436" s="37">
        <v>0</v>
      </c>
      <c r="AA2436" s="5">
        <v>0</v>
      </c>
      <c r="AB2436" s="5">
        <v>0</v>
      </c>
      <c r="AC2436" s="5">
        <v>0</v>
      </c>
      <c r="AD2436" s="5">
        <v>0</v>
      </c>
      <c r="AE2436" s="10" t="s">
        <v>73</v>
      </c>
      <c r="AF2436" s="10"/>
      <c r="AG2436" s="10" t="s">
        <v>114</v>
      </c>
      <c r="AH2436" s="10">
        <v>42894</v>
      </c>
      <c r="AI2436" s="5">
        <v>1</v>
      </c>
      <c r="AJ2436" s="10" t="s">
        <v>13692</v>
      </c>
      <c r="AK2436" s="10" t="s">
        <v>13693</v>
      </c>
    </row>
    <row r="2437" spans="1:37" ht="36.75" customHeight="1" x14ac:dyDescent="0.35">
      <c r="A2437" s="5"/>
      <c r="B2437" s="5" t="s">
        <v>37</v>
      </c>
      <c r="C2437" s="73" t="str">
        <f t="shared" si="38"/>
        <v>Closed</v>
      </c>
      <c r="D2437" s="45" t="s">
        <v>13694</v>
      </c>
      <c r="E2437" s="54" t="s">
        <v>13695</v>
      </c>
      <c r="F2437" s="5" t="s">
        <v>816</v>
      </c>
      <c r="G2437" s="10">
        <f>DATE(2017,6,8)</f>
        <v>42894</v>
      </c>
      <c r="H2437" s="35">
        <v>1.5083333333333333</v>
      </c>
      <c r="I2437" s="5" t="s">
        <v>55</v>
      </c>
      <c r="J2437" s="10" t="s">
        <v>13696</v>
      </c>
      <c r="K2437" s="5" t="s">
        <v>818</v>
      </c>
      <c r="L2437" s="5" t="s">
        <v>12763</v>
      </c>
      <c r="M2437" s="5" t="s">
        <v>45</v>
      </c>
      <c r="N2437" s="5" t="s">
        <v>70</v>
      </c>
      <c r="O2437" s="5" t="s">
        <v>59</v>
      </c>
      <c r="P2437" s="10" t="s">
        <v>362</v>
      </c>
      <c r="Q2437" s="10" t="s">
        <v>6560</v>
      </c>
      <c r="R2437" s="10" t="s">
        <v>821</v>
      </c>
      <c r="S2437" s="5">
        <v>0</v>
      </c>
      <c r="T2437" s="37">
        <v>0</v>
      </c>
      <c r="U2437" s="5">
        <v>0</v>
      </c>
      <c r="V2437" s="37">
        <v>0</v>
      </c>
      <c r="W2437" s="5">
        <v>0</v>
      </c>
      <c r="X2437" s="5">
        <v>0</v>
      </c>
      <c r="Y2437" s="5">
        <v>0</v>
      </c>
      <c r="Z2437" s="37">
        <v>0</v>
      </c>
      <c r="AA2437" s="5">
        <v>0</v>
      </c>
      <c r="AB2437" s="5">
        <v>0</v>
      </c>
      <c r="AC2437" s="5">
        <v>0</v>
      </c>
      <c r="AD2437" s="5">
        <v>0</v>
      </c>
      <c r="AE2437" s="10" t="s">
        <v>73</v>
      </c>
      <c r="AF2437" s="10"/>
      <c r="AG2437" s="10" t="s">
        <v>114</v>
      </c>
      <c r="AH2437" s="10">
        <v>42894</v>
      </c>
      <c r="AI2437" s="5">
        <v>1</v>
      </c>
      <c r="AJ2437" s="10" t="s">
        <v>13697</v>
      </c>
      <c r="AK2437" s="10" t="s">
        <v>50</v>
      </c>
    </row>
    <row r="2438" spans="1:37" ht="36.75" customHeight="1" x14ac:dyDescent="0.35">
      <c r="A2438" s="5"/>
      <c r="B2438" s="5" t="s">
        <v>37</v>
      </c>
      <c r="C2438" s="73" t="str">
        <f t="shared" si="38"/>
        <v>Closed</v>
      </c>
      <c r="D2438" s="45" t="s">
        <v>13698</v>
      </c>
      <c r="E2438" s="54" t="s">
        <v>13699</v>
      </c>
      <c r="F2438" s="5" t="s">
        <v>1553</v>
      </c>
      <c r="G2438" s="10">
        <f>DATE(2017,6,8)</f>
        <v>42894</v>
      </c>
      <c r="H2438" s="35">
        <v>1.7770833333333331</v>
      </c>
      <c r="I2438" s="5" t="s">
        <v>55</v>
      </c>
      <c r="J2438" s="10" t="s">
        <v>13700</v>
      </c>
      <c r="K2438" s="5" t="s">
        <v>1555</v>
      </c>
      <c r="L2438" s="5" t="s">
        <v>13701</v>
      </c>
      <c r="M2438" s="5" t="s">
        <v>45</v>
      </c>
      <c r="N2438" s="5" t="s">
        <v>123</v>
      </c>
      <c r="O2438" s="5" t="s">
        <v>59</v>
      </c>
      <c r="P2438" s="10" t="s">
        <v>60</v>
      </c>
      <c r="Q2438" s="10" t="s">
        <v>8056</v>
      </c>
      <c r="R2438" s="10" t="s">
        <v>6413</v>
      </c>
      <c r="S2438" s="5">
        <v>0</v>
      </c>
      <c r="T2438" s="37">
        <v>0</v>
      </c>
      <c r="U2438" s="5">
        <v>0</v>
      </c>
      <c r="V2438" s="37">
        <v>0</v>
      </c>
      <c r="W2438" s="5">
        <v>0</v>
      </c>
      <c r="X2438" s="5">
        <v>0</v>
      </c>
      <c r="Y2438" s="5">
        <v>0</v>
      </c>
      <c r="Z2438" s="37">
        <v>0</v>
      </c>
      <c r="AA2438" s="5">
        <v>0</v>
      </c>
      <c r="AB2438" s="5">
        <v>0</v>
      </c>
      <c r="AC2438" s="5">
        <v>0</v>
      </c>
      <c r="AD2438" s="5">
        <v>0</v>
      </c>
      <c r="AE2438" s="10" t="s">
        <v>73</v>
      </c>
      <c r="AF2438" s="10"/>
      <c r="AG2438" s="10" t="s">
        <v>114</v>
      </c>
      <c r="AH2438" s="10">
        <v>42898</v>
      </c>
      <c r="AI2438" s="5">
        <v>1</v>
      </c>
      <c r="AJ2438" s="10" t="s">
        <v>13702</v>
      </c>
      <c r="AK2438" s="10" t="s">
        <v>13703</v>
      </c>
    </row>
    <row r="2439" spans="1:37" ht="36.75" customHeight="1" x14ac:dyDescent="0.35">
      <c r="A2439" s="5"/>
      <c r="B2439" s="5" t="s">
        <v>37</v>
      </c>
      <c r="C2439" s="73" t="str">
        <f t="shared" si="38"/>
        <v>Closed</v>
      </c>
      <c r="D2439" s="45" t="s">
        <v>13704</v>
      </c>
      <c r="E2439" s="54" t="s">
        <v>13705</v>
      </c>
      <c r="F2439" s="5" t="s">
        <v>432</v>
      </c>
      <c r="G2439" s="10">
        <f>DATE(2017,6,9)</f>
        <v>42895</v>
      </c>
      <c r="H2439" s="35">
        <v>0</v>
      </c>
      <c r="I2439" s="5" t="s">
        <v>97</v>
      </c>
      <c r="J2439" s="10" t="s">
        <v>13706</v>
      </c>
      <c r="K2439" s="5" t="s">
        <v>434</v>
      </c>
      <c r="L2439" s="5" t="s">
        <v>13707</v>
      </c>
      <c r="M2439" s="5" t="s">
        <v>45</v>
      </c>
      <c r="N2439" s="5" t="s">
        <v>80</v>
      </c>
      <c r="O2439" s="5" t="s">
        <v>59</v>
      </c>
      <c r="P2439" s="10" t="s">
        <v>146</v>
      </c>
      <c r="Q2439" s="10" t="s">
        <v>436</v>
      </c>
      <c r="R2439" s="10" t="s">
        <v>553</v>
      </c>
      <c r="S2439" s="5">
        <v>0</v>
      </c>
      <c r="T2439" s="37">
        <v>0</v>
      </c>
      <c r="U2439" s="5">
        <v>1</v>
      </c>
      <c r="V2439" s="37">
        <v>0</v>
      </c>
      <c r="W2439" s="5">
        <v>0</v>
      </c>
      <c r="X2439" s="5">
        <v>1</v>
      </c>
      <c r="Y2439" s="5">
        <v>0</v>
      </c>
      <c r="Z2439" s="37">
        <v>0</v>
      </c>
      <c r="AA2439" s="5">
        <v>0</v>
      </c>
      <c r="AB2439" s="5">
        <v>0</v>
      </c>
      <c r="AC2439" s="5">
        <v>0</v>
      </c>
      <c r="AD2439" s="5">
        <v>0</v>
      </c>
      <c r="AE2439" s="10" t="s">
        <v>73</v>
      </c>
      <c r="AF2439" s="10"/>
      <c r="AG2439" s="10" t="s">
        <v>64</v>
      </c>
      <c r="AH2439" s="10">
        <v>42905</v>
      </c>
      <c r="AI2439" s="5">
        <v>0</v>
      </c>
      <c r="AJ2439" s="10" t="s">
        <v>10393</v>
      </c>
      <c r="AK2439" s="10" t="s">
        <v>50</v>
      </c>
    </row>
    <row r="2440" spans="1:37" ht="36.75" customHeight="1" x14ac:dyDescent="0.35">
      <c r="A2440" s="5"/>
      <c r="B2440" s="5" t="s">
        <v>37</v>
      </c>
      <c r="C2440" s="73" t="str">
        <f t="shared" si="38"/>
        <v>Closed</v>
      </c>
      <c r="D2440" s="45" t="s">
        <v>13708</v>
      </c>
      <c r="E2440" s="54" t="s">
        <v>13709</v>
      </c>
      <c r="F2440" s="5" t="s">
        <v>404</v>
      </c>
      <c r="G2440" s="10">
        <f>DATE(2017,6,10)</f>
        <v>42896</v>
      </c>
      <c r="H2440" s="35">
        <v>1.3833333333333333</v>
      </c>
      <c r="I2440" s="5" t="s">
        <v>2059</v>
      </c>
      <c r="J2440" s="10" t="s">
        <v>13710</v>
      </c>
      <c r="K2440" s="5" t="s">
        <v>406</v>
      </c>
      <c r="L2440" s="5" t="s">
        <v>13711</v>
      </c>
      <c r="M2440" s="5" t="s">
        <v>45</v>
      </c>
      <c r="N2440" s="5" t="s">
        <v>70</v>
      </c>
      <c r="O2440" s="5" t="s">
        <v>59</v>
      </c>
      <c r="P2440" s="10" t="s">
        <v>7341</v>
      </c>
      <c r="Q2440" s="10" t="s">
        <v>13712</v>
      </c>
      <c r="R2440" s="10" t="s">
        <v>3083</v>
      </c>
      <c r="S2440" s="5">
        <v>0</v>
      </c>
      <c r="T2440" s="37">
        <v>0</v>
      </c>
      <c r="U2440" s="5">
        <v>0</v>
      </c>
      <c r="V2440" s="37">
        <v>0</v>
      </c>
      <c r="W2440" s="5">
        <v>0</v>
      </c>
      <c r="X2440" s="5">
        <v>0</v>
      </c>
      <c r="Y2440" s="5">
        <v>0</v>
      </c>
      <c r="Z2440" s="37">
        <v>0</v>
      </c>
      <c r="AA2440" s="5">
        <v>0</v>
      </c>
      <c r="AB2440" s="5">
        <v>0</v>
      </c>
      <c r="AC2440" s="5">
        <v>0</v>
      </c>
      <c r="AD2440" s="5">
        <v>0</v>
      </c>
      <c r="AE2440" s="10" t="s">
        <v>73</v>
      </c>
      <c r="AF2440" s="10"/>
      <c r="AG2440" s="10" t="s">
        <v>570</v>
      </c>
      <c r="AH2440" s="10">
        <v>43014</v>
      </c>
      <c r="AI2440" s="5">
        <v>0</v>
      </c>
      <c r="AJ2440" s="10" t="s">
        <v>13713</v>
      </c>
      <c r="AK2440" s="10" t="s">
        <v>13714</v>
      </c>
    </row>
    <row r="2441" spans="1:37" ht="36.75" customHeight="1" x14ac:dyDescent="0.35">
      <c r="A2441" s="5"/>
      <c r="B2441" s="5" t="s">
        <v>37</v>
      </c>
      <c r="C2441" s="73" t="str">
        <f t="shared" si="38"/>
        <v>Closed</v>
      </c>
      <c r="D2441" s="45" t="s">
        <v>13715</v>
      </c>
      <c r="E2441" s="54" t="s">
        <v>13716</v>
      </c>
      <c r="F2441" s="5" t="s">
        <v>404</v>
      </c>
      <c r="G2441" s="10">
        <f>DATE(2017,6,12)</f>
        <v>42898</v>
      </c>
      <c r="H2441" s="35">
        <v>1.6090277777777779</v>
      </c>
      <c r="I2441" s="5" t="s">
        <v>2059</v>
      </c>
      <c r="J2441" s="10" t="s">
        <v>13717</v>
      </c>
      <c r="K2441" s="5" t="s">
        <v>406</v>
      </c>
      <c r="L2441" s="5" t="s">
        <v>13718</v>
      </c>
      <c r="M2441" s="5" t="s">
        <v>45</v>
      </c>
      <c r="N2441" s="5" t="s">
        <v>123</v>
      </c>
      <c r="O2441" s="5" t="s">
        <v>59</v>
      </c>
      <c r="P2441" s="10" t="s">
        <v>1198</v>
      </c>
      <c r="Q2441" s="10" t="s">
        <v>13719</v>
      </c>
      <c r="R2441" s="10" t="s">
        <v>3083</v>
      </c>
      <c r="S2441" s="5">
        <v>0</v>
      </c>
      <c r="T2441" s="37">
        <v>0</v>
      </c>
      <c r="U2441" s="5">
        <v>0</v>
      </c>
      <c r="V2441" s="37">
        <v>0</v>
      </c>
      <c r="W2441" s="5">
        <v>0</v>
      </c>
      <c r="X2441" s="5">
        <v>0</v>
      </c>
      <c r="Y2441" s="5">
        <v>0</v>
      </c>
      <c r="Z2441" s="37">
        <v>0</v>
      </c>
      <c r="AA2441" s="5">
        <v>0</v>
      </c>
      <c r="AB2441" s="5">
        <v>0</v>
      </c>
      <c r="AC2441" s="5">
        <v>0</v>
      </c>
      <c r="AD2441" s="5">
        <v>0</v>
      </c>
      <c r="AE2441" s="10" t="s">
        <v>73</v>
      </c>
      <c r="AF2441" s="10"/>
      <c r="AG2441" s="10" t="s">
        <v>333</v>
      </c>
      <c r="AH2441" s="10">
        <v>43075</v>
      </c>
      <c r="AI2441" s="5">
        <v>1</v>
      </c>
      <c r="AJ2441" s="10" t="s">
        <v>13720</v>
      </c>
      <c r="AK2441" s="10" t="s">
        <v>13721</v>
      </c>
    </row>
    <row r="2442" spans="1:37" ht="36.75" customHeight="1" x14ac:dyDescent="0.35">
      <c r="A2442" s="5"/>
      <c r="B2442" s="5" t="s">
        <v>37</v>
      </c>
      <c r="C2442" s="73" t="str">
        <f t="shared" si="38"/>
        <v>Closed</v>
      </c>
      <c r="D2442" s="45" t="s">
        <v>13722</v>
      </c>
      <c r="E2442" s="54" t="s">
        <v>13723</v>
      </c>
      <c r="F2442" s="5" t="s">
        <v>358</v>
      </c>
      <c r="G2442" s="10">
        <f>DATE(2017,6,13)</f>
        <v>42899</v>
      </c>
      <c r="H2442" s="35">
        <v>1.7291666666666665</v>
      </c>
      <c r="I2442" s="5" t="s">
        <v>179</v>
      </c>
      <c r="J2442" s="10" t="s">
        <v>13724</v>
      </c>
      <c r="K2442" s="5" t="s">
        <v>360</v>
      </c>
      <c r="L2442" s="5" t="s">
        <v>13725</v>
      </c>
      <c r="M2442" s="5" t="s">
        <v>45</v>
      </c>
      <c r="N2442" s="5" t="s">
        <v>80</v>
      </c>
      <c r="O2442" s="5" t="s">
        <v>59</v>
      </c>
      <c r="P2442" s="10" t="s">
        <v>146</v>
      </c>
      <c r="Q2442" s="10" t="s">
        <v>13726</v>
      </c>
      <c r="R2442" s="10" t="s">
        <v>13726</v>
      </c>
      <c r="S2442" s="5">
        <v>0</v>
      </c>
      <c r="T2442" s="37">
        <v>0</v>
      </c>
      <c r="U2442" s="5">
        <v>0</v>
      </c>
      <c r="V2442" s="37">
        <v>0</v>
      </c>
      <c r="W2442" s="5">
        <v>0</v>
      </c>
      <c r="X2442" s="5">
        <v>0</v>
      </c>
      <c r="Y2442" s="5">
        <v>0</v>
      </c>
      <c r="Z2442" s="37">
        <v>0</v>
      </c>
      <c r="AA2442" s="5">
        <v>0</v>
      </c>
      <c r="AB2442" s="5">
        <v>0</v>
      </c>
      <c r="AC2442" s="5">
        <v>0</v>
      </c>
      <c r="AD2442" s="5">
        <v>0</v>
      </c>
      <c r="AE2442" s="10" t="s">
        <v>73</v>
      </c>
      <c r="AF2442" s="10"/>
      <c r="AG2442" s="10" t="s">
        <v>114</v>
      </c>
      <c r="AH2442" s="10">
        <v>42899</v>
      </c>
      <c r="AI2442" s="5">
        <v>4</v>
      </c>
      <c r="AJ2442" s="10" t="s">
        <v>13727</v>
      </c>
      <c r="AK2442" s="10" t="s">
        <v>13728</v>
      </c>
    </row>
    <row r="2443" spans="1:37" ht="36.75" customHeight="1" x14ac:dyDescent="0.35">
      <c r="A2443" s="5"/>
      <c r="B2443" s="5" t="s">
        <v>37</v>
      </c>
      <c r="C2443" s="73" t="str">
        <f t="shared" si="38"/>
        <v>Closed</v>
      </c>
      <c r="D2443" s="45" t="s">
        <v>13729</v>
      </c>
      <c r="E2443" s="54" t="s">
        <v>13730</v>
      </c>
      <c r="F2443" s="5" t="s">
        <v>563</v>
      </c>
      <c r="G2443" s="10">
        <f>DATE(2017,6,15)</f>
        <v>42901</v>
      </c>
      <c r="H2443" s="35">
        <v>1.6909722222222223</v>
      </c>
      <c r="I2443" s="5" t="s">
        <v>55</v>
      </c>
      <c r="J2443" s="10" t="s">
        <v>13731</v>
      </c>
      <c r="K2443" s="5" t="s">
        <v>565</v>
      </c>
      <c r="L2443" s="5" t="s">
        <v>13732</v>
      </c>
      <c r="M2443" s="5" t="s">
        <v>45</v>
      </c>
      <c r="N2443" s="5" t="s">
        <v>80</v>
      </c>
      <c r="O2443" s="5" t="s">
        <v>46</v>
      </c>
      <c r="P2443" s="10" t="s">
        <v>60</v>
      </c>
      <c r="Q2443" s="10" t="s">
        <v>13733</v>
      </c>
      <c r="R2443" s="10" t="s">
        <v>568</v>
      </c>
      <c r="S2443" s="5">
        <v>0</v>
      </c>
      <c r="T2443" s="37">
        <v>0</v>
      </c>
      <c r="U2443" s="5">
        <v>0</v>
      </c>
      <c r="V2443" s="37">
        <v>0</v>
      </c>
      <c r="W2443" s="5">
        <v>0</v>
      </c>
      <c r="X2443" s="5">
        <v>0</v>
      </c>
      <c r="Y2443" s="5">
        <v>0</v>
      </c>
      <c r="Z2443" s="37">
        <v>0</v>
      </c>
      <c r="AA2443" s="5">
        <v>0</v>
      </c>
      <c r="AB2443" s="5">
        <v>0</v>
      </c>
      <c r="AC2443" s="5">
        <v>0</v>
      </c>
      <c r="AD2443" s="5">
        <v>0</v>
      </c>
      <c r="AE2443" s="10" t="s">
        <v>375</v>
      </c>
      <c r="AF2443" s="10" t="s">
        <v>13734</v>
      </c>
      <c r="AG2443" s="10" t="s">
        <v>6438</v>
      </c>
      <c r="AH2443" s="10">
        <v>42902</v>
      </c>
      <c r="AI2443" s="5">
        <v>0</v>
      </c>
      <c r="AJ2443" s="10" t="s">
        <v>50</v>
      </c>
      <c r="AK2443" s="10" t="s">
        <v>50</v>
      </c>
    </row>
    <row r="2444" spans="1:37" ht="36.75" customHeight="1" x14ac:dyDescent="0.35">
      <c r="A2444" s="5"/>
      <c r="B2444" s="5" t="s">
        <v>37</v>
      </c>
      <c r="C2444" s="73" t="str">
        <f t="shared" si="38"/>
        <v>Closed</v>
      </c>
      <c r="D2444" s="45" t="s">
        <v>13735</v>
      </c>
      <c r="E2444" s="54" t="s">
        <v>13736</v>
      </c>
      <c r="F2444" s="5" t="s">
        <v>816</v>
      </c>
      <c r="G2444" s="10">
        <f>DATE(2017,6,17)</f>
        <v>42903</v>
      </c>
      <c r="H2444" s="35">
        <v>1.8541666666666665</v>
      </c>
      <c r="I2444" s="5" t="s">
        <v>55</v>
      </c>
      <c r="J2444" s="10" t="s">
        <v>13737</v>
      </c>
      <c r="K2444" s="5" t="s">
        <v>818</v>
      </c>
      <c r="L2444" s="5" t="s">
        <v>13738</v>
      </c>
      <c r="M2444" s="5" t="s">
        <v>236</v>
      </c>
      <c r="N2444" s="5" t="s">
        <v>123</v>
      </c>
      <c r="O2444" s="5" t="s">
        <v>59</v>
      </c>
      <c r="P2444" s="10" t="s">
        <v>6531</v>
      </c>
      <c r="Q2444" s="10" t="s">
        <v>4190</v>
      </c>
      <c r="R2444" s="10" t="s">
        <v>4190</v>
      </c>
      <c r="S2444" s="5">
        <v>0</v>
      </c>
      <c r="T2444" s="37">
        <v>0</v>
      </c>
      <c r="U2444" s="5">
        <v>0</v>
      </c>
      <c r="V2444" s="37">
        <v>0</v>
      </c>
      <c r="W2444" s="5">
        <v>0</v>
      </c>
      <c r="X2444" s="5">
        <v>0</v>
      </c>
      <c r="Y2444" s="5">
        <v>0</v>
      </c>
      <c r="Z2444" s="37">
        <v>0</v>
      </c>
      <c r="AA2444" s="5">
        <v>0</v>
      </c>
      <c r="AB2444" s="5">
        <v>0</v>
      </c>
      <c r="AC2444" s="5">
        <v>0</v>
      </c>
      <c r="AD2444" s="5">
        <v>0</v>
      </c>
      <c r="AE2444" s="10" t="s">
        <v>73</v>
      </c>
      <c r="AF2444" s="10"/>
      <c r="AG2444" s="10" t="s">
        <v>348</v>
      </c>
      <c r="AH2444" s="10">
        <v>42905</v>
      </c>
      <c r="AI2444" s="5">
        <v>1</v>
      </c>
      <c r="AJ2444" s="10" t="s">
        <v>13739</v>
      </c>
      <c r="AK2444" s="10" t="s">
        <v>13740</v>
      </c>
    </row>
    <row r="2445" spans="1:37" ht="36.75" customHeight="1" x14ac:dyDescent="0.35">
      <c r="A2445" s="5"/>
      <c r="B2445" s="5" t="s">
        <v>37</v>
      </c>
      <c r="C2445" s="73" t="str">
        <f t="shared" si="38"/>
        <v>Closed</v>
      </c>
      <c r="D2445" s="45" t="s">
        <v>13741</v>
      </c>
      <c r="E2445" s="54" t="s">
        <v>13742</v>
      </c>
      <c r="F2445" s="5" t="s">
        <v>105</v>
      </c>
      <c r="G2445" s="10">
        <f>DATE(2017,6,18)</f>
        <v>42904</v>
      </c>
      <c r="H2445" s="35">
        <v>1.6875</v>
      </c>
      <c r="I2445" s="5" t="s">
        <v>179</v>
      </c>
      <c r="J2445" s="10" t="s">
        <v>13743</v>
      </c>
      <c r="K2445" s="5" t="s">
        <v>108</v>
      </c>
      <c r="L2445" s="5" t="s">
        <v>13744</v>
      </c>
      <c r="M2445" s="5" t="s">
        <v>45</v>
      </c>
      <c r="N2445" s="5" t="s">
        <v>70</v>
      </c>
      <c r="O2445" s="5" t="s">
        <v>71</v>
      </c>
      <c r="P2445" s="10" t="s">
        <v>72</v>
      </c>
      <c r="Q2445" s="10" t="s">
        <v>6221</v>
      </c>
      <c r="R2445" s="10" t="s">
        <v>148</v>
      </c>
      <c r="S2445" s="5">
        <v>0</v>
      </c>
      <c r="T2445" s="37">
        <v>0</v>
      </c>
      <c r="U2445" s="5">
        <v>0</v>
      </c>
      <c r="V2445" s="37">
        <v>0</v>
      </c>
      <c r="W2445" s="5">
        <v>0</v>
      </c>
      <c r="X2445" s="5">
        <v>0</v>
      </c>
      <c r="Y2445" s="5">
        <v>0</v>
      </c>
      <c r="Z2445" s="37">
        <v>1</v>
      </c>
      <c r="AA2445" s="5">
        <v>0</v>
      </c>
      <c r="AB2445" s="5">
        <v>0</v>
      </c>
      <c r="AC2445" s="5">
        <v>0</v>
      </c>
      <c r="AD2445" s="5">
        <v>1</v>
      </c>
      <c r="AE2445" s="10" t="s">
        <v>375</v>
      </c>
      <c r="AF2445" s="10"/>
      <c r="AG2445" s="10" t="s">
        <v>64</v>
      </c>
      <c r="AH2445" s="10">
        <v>42906</v>
      </c>
      <c r="AI2445" s="5">
        <v>2</v>
      </c>
      <c r="AJ2445" s="10" t="s">
        <v>13745</v>
      </c>
      <c r="AK2445" s="10" t="s">
        <v>50</v>
      </c>
    </row>
    <row r="2446" spans="1:37" ht="36.75" customHeight="1" x14ac:dyDescent="0.35">
      <c r="A2446" s="5"/>
      <c r="B2446" s="5" t="s">
        <v>37</v>
      </c>
      <c r="C2446" s="73" t="str">
        <f t="shared" si="38"/>
        <v>Closed</v>
      </c>
      <c r="D2446" s="45" t="s">
        <v>13746</v>
      </c>
      <c r="E2446" s="54" t="s">
        <v>13747</v>
      </c>
      <c r="F2446" s="5" t="s">
        <v>214</v>
      </c>
      <c r="G2446" s="10">
        <f>DATE(2017,6,22)</f>
        <v>42908</v>
      </c>
      <c r="H2446" s="35">
        <v>1.5694444444444444</v>
      </c>
      <c r="I2446" s="5" t="s">
        <v>5473</v>
      </c>
      <c r="J2446" s="10" t="s">
        <v>13748</v>
      </c>
      <c r="K2446" s="5" t="s">
        <v>216</v>
      </c>
      <c r="L2446" s="5" t="s">
        <v>13749</v>
      </c>
      <c r="M2446" s="5" t="s">
        <v>9897</v>
      </c>
      <c r="N2446" s="5" t="s">
        <v>80</v>
      </c>
      <c r="O2446" s="5" t="s">
        <v>46</v>
      </c>
      <c r="P2446" s="10" t="s">
        <v>7960</v>
      </c>
      <c r="Q2446" s="10" t="s">
        <v>699</v>
      </c>
      <c r="R2446" s="10" t="s">
        <v>216</v>
      </c>
      <c r="S2446" s="5">
        <v>0</v>
      </c>
      <c r="T2446" s="37">
        <v>0</v>
      </c>
      <c r="U2446" s="5">
        <v>0</v>
      </c>
      <c r="V2446" s="37">
        <v>0</v>
      </c>
      <c r="W2446" s="5">
        <v>0</v>
      </c>
      <c r="X2446" s="5">
        <v>0</v>
      </c>
      <c r="Y2446" s="5">
        <v>0</v>
      </c>
      <c r="Z2446" s="37">
        <v>0</v>
      </c>
      <c r="AA2446" s="5">
        <v>0</v>
      </c>
      <c r="AB2446" s="5">
        <v>0</v>
      </c>
      <c r="AC2446" s="5">
        <v>0</v>
      </c>
      <c r="AD2446" s="5">
        <v>0</v>
      </c>
      <c r="AE2446" s="10" t="s">
        <v>73</v>
      </c>
      <c r="AF2446" s="10"/>
      <c r="AG2446" s="10" t="s">
        <v>114</v>
      </c>
      <c r="AH2446" s="10">
        <v>42919</v>
      </c>
      <c r="AI2446" s="5">
        <v>1</v>
      </c>
      <c r="AJ2446" s="10" t="s">
        <v>13750</v>
      </c>
      <c r="AK2446" s="10" t="s">
        <v>13751</v>
      </c>
    </row>
    <row r="2447" spans="1:37" ht="36.75" customHeight="1" x14ac:dyDescent="0.35">
      <c r="A2447" s="5"/>
      <c r="B2447" s="5" t="s">
        <v>37</v>
      </c>
      <c r="C2447" s="73" t="str">
        <f t="shared" si="38"/>
        <v>Closed</v>
      </c>
      <c r="D2447" s="45" t="s">
        <v>13752</v>
      </c>
      <c r="E2447" s="54" t="s">
        <v>13753</v>
      </c>
      <c r="F2447" s="5" t="s">
        <v>105</v>
      </c>
      <c r="G2447" s="10">
        <f>DATE(2017,6,24)</f>
        <v>42910</v>
      </c>
      <c r="H2447" s="35">
        <v>1.7833333333333332</v>
      </c>
      <c r="I2447" s="5" t="s">
        <v>97</v>
      </c>
      <c r="J2447" s="10" t="s">
        <v>13754</v>
      </c>
      <c r="K2447" s="5" t="s">
        <v>108</v>
      </c>
      <c r="L2447" s="5" t="s">
        <v>13755</v>
      </c>
      <c r="M2447" s="5" t="s">
        <v>45</v>
      </c>
      <c r="N2447" s="5" t="s">
        <v>80</v>
      </c>
      <c r="O2447" s="5" t="s">
        <v>46</v>
      </c>
      <c r="P2447" s="10" t="s">
        <v>6920</v>
      </c>
      <c r="Q2447" s="10" t="s">
        <v>210</v>
      </c>
      <c r="R2447" s="10" t="s">
        <v>148</v>
      </c>
      <c r="S2447" s="5">
        <v>0</v>
      </c>
      <c r="T2447" s="37">
        <v>0</v>
      </c>
      <c r="U2447" s="5">
        <v>0</v>
      </c>
      <c r="V2447" s="37">
        <v>0</v>
      </c>
      <c r="W2447" s="5">
        <v>1</v>
      </c>
      <c r="X2447" s="5">
        <v>1</v>
      </c>
      <c r="Y2447" s="5">
        <v>0</v>
      </c>
      <c r="Z2447" s="37">
        <v>0</v>
      </c>
      <c r="AA2447" s="5">
        <v>0</v>
      </c>
      <c r="AB2447" s="5">
        <v>0</v>
      </c>
      <c r="AC2447" s="5">
        <v>0</v>
      </c>
      <c r="AD2447" s="5">
        <v>0</v>
      </c>
      <c r="AE2447" s="10" t="s">
        <v>73</v>
      </c>
      <c r="AF2447" s="10"/>
      <c r="AG2447" s="10" t="s">
        <v>64</v>
      </c>
      <c r="AH2447" s="10">
        <v>42913</v>
      </c>
      <c r="AI2447" s="5">
        <v>1</v>
      </c>
      <c r="AJ2447" s="10" t="s">
        <v>13756</v>
      </c>
      <c r="AK2447" s="10" t="s">
        <v>50</v>
      </c>
    </row>
    <row r="2448" spans="1:37" ht="36.75" customHeight="1" x14ac:dyDescent="0.35">
      <c r="A2448" s="5"/>
      <c r="B2448" s="5" t="s">
        <v>37</v>
      </c>
      <c r="C2448" s="73" t="str">
        <f t="shared" si="38"/>
        <v>Closed</v>
      </c>
      <c r="D2448" s="45" t="s">
        <v>13757</v>
      </c>
      <c r="E2448" s="54" t="s">
        <v>13758</v>
      </c>
      <c r="F2448" s="5" t="s">
        <v>40</v>
      </c>
      <c r="G2448" s="10">
        <f>DATE(2017,6,28)</f>
        <v>42914</v>
      </c>
      <c r="H2448" s="35">
        <v>1.2958333333333334</v>
      </c>
      <c r="I2448" s="5" t="s">
        <v>67</v>
      </c>
      <c r="J2448" s="10" t="s">
        <v>13759</v>
      </c>
      <c r="K2448" s="5" t="s">
        <v>43</v>
      </c>
      <c r="L2448" s="5" t="s">
        <v>13760</v>
      </c>
      <c r="M2448" s="5" t="s">
        <v>45</v>
      </c>
      <c r="N2448" s="5" t="s">
        <v>123</v>
      </c>
      <c r="O2448" s="5" t="s">
        <v>59</v>
      </c>
      <c r="P2448" s="10" t="s">
        <v>282</v>
      </c>
      <c r="Q2448" s="10" t="s">
        <v>10848</v>
      </c>
      <c r="R2448" s="10" t="s">
        <v>49</v>
      </c>
      <c r="S2448" s="5">
        <v>0</v>
      </c>
      <c r="T2448" s="37">
        <v>0</v>
      </c>
      <c r="U2448" s="5">
        <v>0</v>
      </c>
      <c r="V2448" s="37">
        <v>0</v>
      </c>
      <c r="W2448" s="5">
        <v>0</v>
      </c>
      <c r="X2448" s="5">
        <v>0</v>
      </c>
      <c r="Y2448" s="5">
        <v>0</v>
      </c>
      <c r="Z2448" s="37">
        <v>0</v>
      </c>
      <c r="AA2448" s="5">
        <v>0</v>
      </c>
      <c r="AB2448" s="5">
        <v>0</v>
      </c>
      <c r="AC2448" s="5">
        <v>0</v>
      </c>
      <c r="AD2448" s="5">
        <v>0</v>
      </c>
      <c r="AE2448" s="10" t="s">
        <v>73</v>
      </c>
      <c r="AF2448" s="10"/>
      <c r="AG2448" s="10" t="s">
        <v>114</v>
      </c>
      <c r="AH2448" s="10">
        <v>42922</v>
      </c>
      <c r="AI2448" s="5">
        <v>5</v>
      </c>
      <c r="AJ2448" s="10" t="s">
        <v>13761</v>
      </c>
      <c r="AK2448" s="10" t="s">
        <v>13762</v>
      </c>
    </row>
    <row r="2449" spans="1:37" ht="36.75" customHeight="1" x14ac:dyDescent="0.35">
      <c r="A2449" s="5"/>
      <c r="B2449" s="5" t="s">
        <v>37</v>
      </c>
      <c r="C2449" s="73" t="str">
        <f t="shared" si="38"/>
        <v>Closed</v>
      </c>
      <c r="D2449" s="45" t="s">
        <v>13763</v>
      </c>
      <c r="E2449" s="54" t="s">
        <v>13764</v>
      </c>
      <c r="F2449" s="5" t="s">
        <v>563</v>
      </c>
      <c r="G2449" s="10">
        <f>DATE(2017,6,30)</f>
        <v>42916</v>
      </c>
      <c r="H2449" s="35">
        <v>1.6145833333333335</v>
      </c>
      <c r="I2449" s="5" t="s">
        <v>179</v>
      </c>
      <c r="J2449" s="10" t="s">
        <v>13765</v>
      </c>
      <c r="K2449" s="5" t="s">
        <v>565</v>
      </c>
      <c r="L2449" s="5" t="s">
        <v>13766</v>
      </c>
      <c r="M2449" s="5" t="s">
        <v>45</v>
      </c>
      <c r="N2449" s="5" t="s">
        <v>70</v>
      </c>
      <c r="O2449" s="5" t="s">
        <v>59</v>
      </c>
      <c r="P2449" s="10" t="s">
        <v>6154</v>
      </c>
      <c r="Q2449" s="10" t="s">
        <v>13767</v>
      </c>
      <c r="R2449" s="10" t="s">
        <v>568</v>
      </c>
      <c r="S2449" s="5">
        <v>0</v>
      </c>
      <c r="T2449" s="37">
        <v>0</v>
      </c>
      <c r="U2449" s="5">
        <v>0</v>
      </c>
      <c r="V2449" s="37">
        <v>0</v>
      </c>
      <c r="W2449" s="5">
        <v>0</v>
      </c>
      <c r="X2449" s="5">
        <v>0</v>
      </c>
      <c r="Y2449" s="5">
        <v>0</v>
      </c>
      <c r="Z2449" s="37">
        <v>2</v>
      </c>
      <c r="AA2449" s="5">
        <v>0</v>
      </c>
      <c r="AB2449" s="5">
        <v>0</v>
      </c>
      <c r="AC2449" s="5">
        <v>0</v>
      </c>
      <c r="AD2449" s="5">
        <v>2</v>
      </c>
      <c r="AE2449" s="10" t="s">
        <v>126</v>
      </c>
      <c r="AF2449" s="10"/>
      <c r="AG2449" s="10" t="s">
        <v>64</v>
      </c>
      <c r="AH2449" s="10">
        <v>42919</v>
      </c>
      <c r="AI2449" s="5">
        <v>0</v>
      </c>
      <c r="AJ2449" s="10" t="s">
        <v>13768</v>
      </c>
      <c r="AK2449" s="10" t="s">
        <v>1215</v>
      </c>
    </row>
    <row r="2450" spans="1:37" ht="36.75" customHeight="1" x14ac:dyDescent="0.35">
      <c r="A2450" s="5"/>
      <c r="B2450" s="5" t="s">
        <v>37</v>
      </c>
      <c r="C2450" s="73" t="str">
        <f t="shared" si="38"/>
        <v>Closed</v>
      </c>
      <c r="D2450" s="45" t="s">
        <v>13769</v>
      </c>
      <c r="E2450" s="54" t="s">
        <v>13770</v>
      </c>
      <c r="F2450" s="5" t="s">
        <v>816</v>
      </c>
      <c r="G2450" s="10">
        <f>DATE(2017,7,4)</f>
        <v>42920</v>
      </c>
      <c r="H2450" s="35">
        <v>1.6118055555555557</v>
      </c>
      <c r="I2450" s="5" t="s">
        <v>55</v>
      </c>
      <c r="J2450" s="10" t="s">
        <v>13771</v>
      </c>
      <c r="K2450" s="5" t="s">
        <v>818</v>
      </c>
      <c r="L2450" s="5" t="s">
        <v>13772</v>
      </c>
      <c r="M2450" s="5" t="s">
        <v>236</v>
      </c>
      <c r="N2450" s="5" t="s">
        <v>123</v>
      </c>
      <c r="O2450" s="5" t="s">
        <v>59</v>
      </c>
      <c r="P2450" s="10" t="s">
        <v>6531</v>
      </c>
      <c r="Q2450" s="10" t="s">
        <v>4190</v>
      </c>
      <c r="R2450" s="10" t="s">
        <v>4190</v>
      </c>
      <c r="S2450" s="5">
        <v>0</v>
      </c>
      <c r="T2450" s="37">
        <v>0</v>
      </c>
      <c r="U2450" s="5">
        <v>0</v>
      </c>
      <c r="V2450" s="37">
        <v>0</v>
      </c>
      <c r="W2450" s="5">
        <v>0</v>
      </c>
      <c r="X2450" s="5">
        <v>0</v>
      </c>
      <c r="Y2450" s="5">
        <v>0</v>
      </c>
      <c r="Z2450" s="37">
        <v>0</v>
      </c>
      <c r="AA2450" s="5">
        <v>0</v>
      </c>
      <c r="AB2450" s="5">
        <v>0</v>
      </c>
      <c r="AC2450" s="5">
        <v>0</v>
      </c>
      <c r="AD2450" s="5">
        <v>0</v>
      </c>
      <c r="AE2450" s="10" t="s">
        <v>73</v>
      </c>
      <c r="AF2450" s="10"/>
      <c r="AG2450" s="10" t="s">
        <v>333</v>
      </c>
      <c r="AH2450" s="10">
        <v>42920</v>
      </c>
      <c r="AI2450" s="5">
        <v>1</v>
      </c>
      <c r="AJ2450" s="10" t="s">
        <v>13773</v>
      </c>
      <c r="AK2450" s="10" t="s">
        <v>50</v>
      </c>
    </row>
    <row r="2451" spans="1:37" ht="36.75" customHeight="1" x14ac:dyDescent="0.35">
      <c r="A2451" s="5"/>
      <c r="B2451" s="5" t="s">
        <v>37</v>
      </c>
      <c r="C2451" s="73" t="str">
        <f t="shared" si="38"/>
        <v>Closed</v>
      </c>
      <c r="D2451" s="45" t="s">
        <v>13774</v>
      </c>
      <c r="E2451" s="54" t="s">
        <v>13775</v>
      </c>
      <c r="F2451" s="5" t="s">
        <v>404</v>
      </c>
      <c r="G2451" s="10">
        <f>DATE(2017,7,5)</f>
        <v>42921</v>
      </c>
      <c r="H2451" s="35">
        <v>1.5215277777777778</v>
      </c>
      <c r="I2451" s="5" t="s">
        <v>85</v>
      </c>
      <c r="J2451" s="10" t="s">
        <v>13776</v>
      </c>
      <c r="K2451" s="5" t="s">
        <v>406</v>
      </c>
      <c r="L2451" s="5" t="s">
        <v>13777</v>
      </c>
      <c r="M2451" s="5" t="s">
        <v>45</v>
      </c>
      <c r="N2451" s="5" t="s">
        <v>123</v>
      </c>
      <c r="O2451" s="5" t="s">
        <v>59</v>
      </c>
      <c r="P2451" s="10" t="s">
        <v>197</v>
      </c>
      <c r="Q2451" s="10" t="s">
        <v>5031</v>
      </c>
      <c r="R2451" s="10" t="s">
        <v>3083</v>
      </c>
      <c r="S2451" s="5">
        <v>0</v>
      </c>
      <c r="T2451" s="37">
        <v>0</v>
      </c>
      <c r="U2451" s="5">
        <v>0</v>
      </c>
      <c r="V2451" s="37">
        <v>0</v>
      </c>
      <c r="W2451" s="5">
        <v>0</v>
      </c>
      <c r="X2451" s="5">
        <v>0</v>
      </c>
      <c r="Y2451" s="5">
        <v>0</v>
      </c>
      <c r="Z2451" s="37">
        <v>0</v>
      </c>
      <c r="AA2451" s="5">
        <v>0</v>
      </c>
      <c r="AB2451" s="5">
        <v>0</v>
      </c>
      <c r="AC2451" s="5">
        <v>0</v>
      </c>
      <c r="AD2451" s="5">
        <v>0</v>
      </c>
      <c r="AE2451" s="10" t="s">
        <v>73</v>
      </c>
      <c r="AF2451" s="10"/>
      <c r="AG2451" s="10" t="s">
        <v>855</v>
      </c>
      <c r="AH2451" s="10">
        <v>42862</v>
      </c>
      <c r="AI2451" s="5">
        <v>0</v>
      </c>
      <c r="AJ2451" s="10" t="s">
        <v>13778</v>
      </c>
      <c r="AK2451" s="10" t="s">
        <v>13779</v>
      </c>
    </row>
    <row r="2452" spans="1:37" ht="36.75" customHeight="1" x14ac:dyDescent="0.35">
      <c r="A2452" s="5"/>
      <c r="B2452" s="5" t="s">
        <v>37</v>
      </c>
      <c r="C2452" s="73" t="str">
        <f t="shared" si="38"/>
        <v>Closed</v>
      </c>
      <c r="D2452" s="45" t="s">
        <v>13780</v>
      </c>
      <c r="E2452" s="54" t="s">
        <v>13781</v>
      </c>
      <c r="F2452" s="5" t="s">
        <v>816</v>
      </c>
      <c r="G2452" s="10">
        <f>DATE(2017,7,6)</f>
        <v>42922</v>
      </c>
      <c r="H2452" s="35">
        <v>1.4118055555555555</v>
      </c>
      <c r="I2452" s="5" t="s">
        <v>106</v>
      </c>
      <c r="J2452" s="10" t="s">
        <v>13782</v>
      </c>
      <c r="K2452" s="5" t="s">
        <v>818</v>
      </c>
      <c r="L2452" s="5" t="s">
        <v>13783</v>
      </c>
      <c r="M2452" s="5" t="s">
        <v>45</v>
      </c>
      <c r="N2452" s="5" t="s">
        <v>80</v>
      </c>
      <c r="O2452" s="5" t="s">
        <v>59</v>
      </c>
      <c r="P2452" s="10" t="s">
        <v>6920</v>
      </c>
      <c r="Q2452" s="10" t="s">
        <v>2142</v>
      </c>
      <c r="R2452" s="10" t="s">
        <v>821</v>
      </c>
      <c r="S2452" s="5">
        <v>0</v>
      </c>
      <c r="T2452" s="37">
        <v>0</v>
      </c>
      <c r="U2452" s="5">
        <v>0</v>
      </c>
      <c r="V2452" s="37">
        <v>0</v>
      </c>
      <c r="W2452" s="5">
        <v>0</v>
      </c>
      <c r="X2452" s="5">
        <v>0</v>
      </c>
      <c r="Y2452" s="5">
        <v>0</v>
      </c>
      <c r="Z2452" s="37">
        <v>0</v>
      </c>
      <c r="AA2452" s="5">
        <v>0</v>
      </c>
      <c r="AB2452" s="5">
        <v>0</v>
      </c>
      <c r="AC2452" s="5">
        <v>0</v>
      </c>
      <c r="AD2452" s="5">
        <v>0</v>
      </c>
      <c r="AE2452" s="10" t="s">
        <v>375</v>
      </c>
      <c r="AF2452" s="10"/>
      <c r="AG2452" s="10" t="s">
        <v>333</v>
      </c>
      <c r="AH2452" s="10">
        <v>43138</v>
      </c>
      <c r="AI2452" s="5">
        <v>0</v>
      </c>
      <c r="AJ2452" s="10" t="s">
        <v>13784</v>
      </c>
      <c r="AK2452" s="10" t="s">
        <v>13785</v>
      </c>
    </row>
    <row r="2453" spans="1:37" ht="36.75" customHeight="1" x14ac:dyDescent="0.35">
      <c r="A2453" s="5"/>
      <c r="B2453" s="5" t="s">
        <v>37</v>
      </c>
      <c r="C2453" s="73" t="str">
        <f t="shared" si="38"/>
        <v>Closed</v>
      </c>
      <c r="D2453" s="45" t="s">
        <v>13786</v>
      </c>
      <c r="E2453" s="54" t="s">
        <v>13787</v>
      </c>
      <c r="F2453" s="5" t="s">
        <v>358</v>
      </c>
      <c r="G2453" s="10">
        <f>DATE(2017,7,6)</f>
        <v>42922</v>
      </c>
      <c r="H2453" s="35">
        <v>1.6423611111111112</v>
      </c>
      <c r="I2453" s="5" t="s">
        <v>468</v>
      </c>
      <c r="J2453" s="10" t="s">
        <v>13788</v>
      </c>
      <c r="K2453" s="5" t="s">
        <v>360</v>
      </c>
      <c r="L2453" s="5" t="s">
        <v>13789</v>
      </c>
      <c r="M2453" s="5" t="s">
        <v>45</v>
      </c>
      <c r="N2453" s="5" t="s">
        <v>123</v>
      </c>
      <c r="O2453" s="5" t="s">
        <v>46</v>
      </c>
      <c r="P2453" s="10" t="s">
        <v>282</v>
      </c>
      <c r="Q2453" s="10" t="s">
        <v>363</v>
      </c>
      <c r="R2453" s="10" t="s">
        <v>363</v>
      </c>
      <c r="S2453" s="5">
        <v>0</v>
      </c>
      <c r="T2453" s="37">
        <v>0</v>
      </c>
      <c r="U2453" s="5">
        <v>0</v>
      </c>
      <c r="V2453" s="37">
        <v>0</v>
      </c>
      <c r="W2453" s="5">
        <v>0</v>
      </c>
      <c r="X2453" s="5">
        <v>0</v>
      </c>
      <c r="Y2453" s="5">
        <v>0</v>
      </c>
      <c r="Z2453" s="37">
        <v>0</v>
      </c>
      <c r="AA2453" s="5">
        <v>0</v>
      </c>
      <c r="AB2453" s="5">
        <v>0</v>
      </c>
      <c r="AC2453" s="5">
        <v>0</v>
      </c>
      <c r="AD2453" s="5">
        <v>0</v>
      </c>
      <c r="AE2453" s="10" t="s">
        <v>73</v>
      </c>
      <c r="AF2453" s="10"/>
      <c r="AG2453" s="10" t="s">
        <v>114</v>
      </c>
      <c r="AH2453" s="10">
        <v>42996</v>
      </c>
      <c r="AI2453" s="5">
        <v>3</v>
      </c>
      <c r="AJ2453" s="10" t="s">
        <v>13790</v>
      </c>
      <c r="AK2453" s="10" t="s">
        <v>50</v>
      </c>
    </row>
    <row r="2454" spans="1:37" ht="36.75" customHeight="1" x14ac:dyDescent="0.35">
      <c r="A2454" s="5"/>
      <c r="B2454" s="5" t="s">
        <v>37</v>
      </c>
      <c r="C2454" s="73" t="str">
        <f t="shared" si="38"/>
        <v>Closed</v>
      </c>
      <c r="D2454" s="45" t="s">
        <v>13791</v>
      </c>
      <c r="E2454" s="54" t="s">
        <v>13792</v>
      </c>
      <c r="F2454" s="5" t="s">
        <v>214</v>
      </c>
      <c r="G2454" s="10">
        <f>DATE(2017,7,7)</f>
        <v>42923</v>
      </c>
      <c r="H2454" s="35">
        <v>1.6131944444444444</v>
      </c>
      <c r="I2454" s="5" t="s">
        <v>5473</v>
      </c>
      <c r="J2454" s="10" t="s">
        <v>13793</v>
      </c>
      <c r="K2454" s="5" t="s">
        <v>216</v>
      </c>
      <c r="L2454" s="5" t="s">
        <v>13794</v>
      </c>
      <c r="M2454" s="5" t="s">
        <v>45</v>
      </c>
      <c r="N2454" s="5" t="s">
        <v>70</v>
      </c>
      <c r="O2454" s="5" t="s">
        <v>59</v>
      </c>
      <c r="P2454" s="10" t="s">
        <v>146</v>
      </c>
      <c r="Q2454" s="10" t="s">
        <v>332</v>
      </c>
      <c r="R2454" s="10" t="s">
        <v>216</v>
      </c>
      <c r="S2454" s="5">
        <v>0</v>
      </c>
      <c r="T2454" s="37">
        <v>0</v>
      </c>
      <c r="U2454" s="5">
        <v>0</v>
      </c>
      <c r="V2454" s="37">
        <v>0</v>
      </c>
      <c r="W2454" s="5">
        <v>0</v>
      </c>
      <c r="X2454" s="5">
        <v>0</v>
      </c>
      <c r="Y2454" s="5">
        <v>0</v>
      </c>
      <c r="Z2454" s="37">
        <v>0</v>
      </c>
      <c r="AA2454" s="5">
        <v>0</v>
      </c>
      <c r="AB2454" s="5">
        <v>0</v>
      </c>
      <c r="AC2454" s="5">
        <v>0</v>
      </c>
      <c r="AD2454" s="5">
        <v>0</v>
      </c>
      <c r="AE2454" s="10" t="s">
        <v>73</v>
      </c>
      <c r="AF2454" s="10"/>
      <c r="AG2454" s="10" t="s">
        <v>114</v>
      </c>
      <c r="AH2454" s="10">
        <v>42926</v>
      </c>
      <c r="AI2454" s="5">
        <v>1</v>
      </c>
      <c r="AJ2454" s="10" t="s">
        <v>13795</v>
      </c>
      <c r="AK2454" s="10" t="s">
        <v>13796</v>
      </c>
    </row>
    <row r="2455" spans="1:37" ht="36.75" customHeight="1" x14ac:dyDescent="0.35">
      <c r="A2455" s="5"/>
      <c r="B2455" s="5" t="s">
        <v>37</v>
      </c>
      <c r="C2455" s="73" t="str">
        <f t="shared" si="38"/>
        <v>Closed</v>
      </c>
      <c r="D2455" s="45" t="s">
        <v>13797</v>
      </c>
      <c r="E2455" s="54" t="s">
        <v>13798</v>
      </c>
      <c r="F2455" s="5" t="s">
        <v>404</v>
      </c>
      <c r="G2455" s="10">
        <f>DATE(2017,7,8)</f>
        <v>42924</v>
      </c>
      <c r="H2455" s="35">
        <v>1.870138888888889</v>
      </c>
      <c r="I2455" s="5" t="s">
        <v>137</v>
      </c>
      <c r="J2455" s="10" t="s">
        <v>13799</v>
      </c>
      <c r="K2455" s="5" t="s">
        <v>406</v>
      </c>
      <c r="L2455" s="5" t="s">
        <v>13800</v>
      </c>
      <c r="M2455" s="5" t="s">
        <v>45</v>
      </c>
      <c r="N2455" s="5" t="s">
        <v>123</v>
      </c>
      <c r="O2455" s="5" t="s">
        <v>46</v>
      </c>
      <c r="P2455" s="10" t="s">
        <v>60</v>
      </c>
      <c r="Q2455" s="10" t="s">
        <v>13801</v>
      </c>
      <c r="R2455" s="10" t="s">
        <v>3083</v>
      </c>
      <c r="S2455" s="5">
        <v>0</v>
      </c>
      <c r="T2455" s="37">
        <v>0</v>
      </c>
      <c r="U2455" s="5">
        <v>0</v>
      </c>
      <c r="V2455" s="37">
        <v>0</v>
      </c>
      <c r="W2455" s="5">
        <v>0</v>
      </c>
      <c r="X2455" s="5">
        <v>0</v>
      </c>
      <c r="Y2455" s="5">
        <v>0</v>
      </c>
      <c r="Z2455" s="37">
        <v>0</v>
      </c>
      <c r="AA2455" s="5">
        <v>0</v>
      </c>
      <c r="AB2455" s="5">
        <v>0</v>
      </c>
      <c r="AC2455" s="5">
        <v>0</v>
      </c>
      <c r="AD2455" s="5">
        <v>0</v>
      </c>
      <c r="AE2455" s="10" t="s">
        <v>73</v>
      </c>
      <c r="AF2455" s="10"/>
      <c r="AG2455" s="10" t="s">
        <v>570</v>
      </c>
      <c r="AH2455" s="10">
        <v>43015</v>
      </c>
      <c r="AI2455" s="5">
        <v>1</v>
      </c>
      <c r="AJ2455" s="10" t="s">
        <v>13802</v>
      </c>
      <c r="AK2455" s="10" t="s">
        <v>13803</v>
      </c>
    </row>
    <row r="2456" spans="1:37" ht="36.75" customHeight="1" x14ac:dyDescent="0.35">
      <c r="A2456" s="5"/>
      <c r="B2456" s="5" t="s">
        <v>37</v>
      </c>
      <c r="C2456" s="73" t="str">
        <f t="shared" si="38"/>
        <v>Closed</v>
      </c>
      <c r="D2456" s="45" t="s">
        <v>13804</v>
      </c>
      <c r="E2456" s="54" t="s">
        <v>13805</v>
      </c>
      <c r="F2456" s="5" t="s">
        <v>404</v>
      </c>
      <c r="G2456" s="10">
        <f>DATE(2017,7,12)</f>
        <v>42928</v>
      </c>
      <c r="H2456" s="35">
        <v>1.307638888888889</v>
      </c>
      <c r="I2456" s="5" t="s">
        <v>97</v>
      </c>
      <c r="J2456" s="10" t="s">
        <v>13806</v>
      </c>
      <c r="K2456" s="5" t="s">
        <v>406</v>
      </c>
      <c r="L2456" s="5" t="s">
        <v>13807</v>
      </c>
      <c r="M2456" s="5" t="s">
        <v>45</v>
      </c>
      <c r="N2456" s="5" t="s">
        <v>80</v>
      </c>
      <c r="O2456" s="5" t="s">
        <v>46</v>
      </c>
      <c r="P2456" s="10" t="s">
        <v>146</v>
      </c>
      <c r="Q2456" s="10" t="s">
        <v>4531</v>
      </c>
      <c r="R2456" s="10" t="s">
        <v>3083</v>
      </c>
      <c r="S2456" s="5">
        <v>0</v>
      </c>
      <c r="T2456" s="37">
        <v>0</v>
      </c>
      <c r="U2456" s="5">
        <v>1</v>
      </c>
      <c r="V2456" s="37">
        <v>0</v>
      </c>
      <c r="W2456" s="5">
        <v>0</v>
      </c>
      <c r="X2456" s="5">
        <v>1</v>
      </c>
      <c r="Y2456" s="5">
        <v>0</v>
      </c>
      <c r="Z2456" s="37">
        <v>0</v>
      </c>
      <c r="AA2456" s="5">
        <v>0</v>
      </c>
      <c r="AB2456" s="5">
        <v>0</v>
      </c>
      <c r="AC2456" s="5">
        <v>0</v>
      </c>
      <c r="AD2456" s="5">
        <v>0</v>
      </c>
      <c r="AE2456" s="10" t="s">
        <v>73</v>
      </c>
      <c r="AF2456" s="10"/>
      <c r="AG2456" s="10" t="s">
        <v>855</v>
      </c>
      <c r="AH2456" s="10">
        <v>43076</v>
      </c>
      <c r="AI2456" s="5">
        <v>1</v>
      </c>
      <c r="AJ2456" s="10" t="s">
        <v>13808</v>
      </c>
      <c r="AK2456" s="10" t="s">
        <v>13809</v>
      </c>
    </row>
    <row r="2457" spans="1:37" ht="36.75" customHeight="1" x14ac:dyDescent="0.35">
      <c r="A2457" s="5"/>
      <c r="B2457" s="5" t="s">
        <v>37</v>
      </c>
      <c r="C2457" s="73" t="str">
        <f t="shared" si="38"/>
        <v>Closed</v>
      </c>
      <c r="D2457" s="45" t="s">
        <v>13810</v>
      </c>
      <c r="E2457" s="54" t="s">
        <v>13811</v>
      </c>
      <c r="F2457" s="5" t="s">
        <v>619</v>
      </c>
      <c r="G2457" s="10">
        <f>DATE(2017,7,13)</f>
        <v>42929</v>
      </c>
      <c r="H2457" s="35">
        <v>1.7409722222222221</v>
      </c>
      <c r="I2457" s="5" t="s">
        <v>55</v>
      </c>
      <c r="J2457" s="10" t="s">
        <v>13812</v>
      </c>
      <c r="K2457" s="5" t="s">
        <v>621</v>
      </c>
      <c r="L2457" s="5" t="s">
        <v>13813</v>
      </c>
      <c r="M2457" s="5" t="s">
        <v>45</v>
      </c>
      <c r="N2457" s="5" t="s">
        <v>80</v>
      </c>
      <c r="O2457" s="5" t="s">
        <v>46</v>
      </c>
      <c r="P2457" s="10" t="s">
        <v>60</v>
      </c>
      <c r="Q2457" s="10" t="s">
        <v>4884</v>
      </c>
      <c r="R2457" s="10" t="s">
        <v>624</v>
      </c>
      <c r="S2457" s="5">
        <v>0</v>
      </c>
      <c r="T2457" s="37">
        <v>0</v>
      </c>
      <c r="U2457" s="5">
        <v>0</v>
      </c>
      <c r="V2457" s="37">
        <v>0</v>
      </c>
      <c r="W2457" s="5">
        <v>0</v>
      </c>
      <c r="X2457" s="5">
        <v>0</v>
      </c>
      <c r="Y2457" s="5">
        <v>0</v>
      </c>
      <c r="Z2457" s="37">
        <v>0</v>
      </c>
      <c r="AA2457" s="5">
        <v>0</v>
      </c>
      <c r="AB2457" s="5">
        <v>0</v>
      </c>
      <c r="AC2457" s="5">
        <v>0</v>
      </c>
      <c r="AD2457" s="5">
        <v>0</v>
      </c>
      <c r="AE2457" s="10" t="s">
        <v>73</v>
      </c>
      <c r="AF2457" s="10"/>
      <c r="AG2457" s="10" t="s">
        <v>333</v>
      </c>
      <c r="AH2457" s="10">
        <v>42936</v>
      </c>
      <c r="AI2457" s="5">
        <v>2</v>
      </c>
      <c r="AJ2457" s="10" t="s">
        <v>13814</v>
      </c>
      <c r="AK2457" s="10" t="s">
        <v>13815</v>
      </c>
    </row>
    <row r="2458" spans="1:37" ht="36.75" customHeight="1" x14ac:dyDescent="0.35">
      <c r="A2458" s="5"/>
      <c r="B2458" s="5" t="s">
        <v>37</v>
      </c>
      <c r="C2458" s="73" t="str">
        <f t="shared" si="38"/>
        <v>Closed</v>
      </c>
      <c r="D2458" s="45" t="s">
        <v>13816</v>
      </c>
      <c r="E2458" s="54" t="s">
        <v>13817</v>
      </c>
      <c r="F2458" s="5" t="s">
        <v>1553</v>
      </c>
      <c r="G2458" s="10">
        <f>DATE(2017,7,15)</f>
        <v>42931</v>
      </c>
      <c r="H2458" s="35">
        <v>1.2777777777777777</v>
      </c>
      <c r="I2458" s="5" t="s">
        <v>55</v>
      </c>
      <c r="J2458" s="10" t="s">
        <v>13818</v>
      </c>
      <c r="K2458" s="5" t="s">
        <v>1555</v>
      </c>
      <c r="L2458" s="5" t="s">
        <v>13819</v>
      </c>
      <c r="M2458" s="5" t="s">
        <v>45</v>
      </c>
      <c r="N2458" s="5" t="s">
        <v>123</v>
      </c>
      <c r="O2458" s="5" t="s">
        <v>59</v>
      </c>
      <c r="P2458" s="10" t="s">
        <v>60</v>
      </c>
      <c r="Q2458" s="10" t="s">
        <v>1565</v>
      </c>
      <c r="R2458" s="10" t="s">
        <v>6413</v>
      </c>
      <c r="S2458" s="5">
        <v>0</v>
      </c>
      <c r="T2458" s="37">
        <v>0</v>
      </c>
      <c r="U2458" s="5">
        <v>0</v>
      </c>
      <c r="V2458" s="37">
        <v>0</v>
      </c>
      <c r="W2458" s="5">
        <v>0</v>
      </c>
      <c r="X2458" s="5">
        <v>0</v>
      </c>
      <c r="Y2458" s="5">
        <v>0</v>
      </c>
      <c r="Z2458" s="37">
        <v>0</v>
      </c>
      <c r="AA2458" s="5">
        <v>0</v>
      </c>
      <c r="AB2458" s="5">
        <v>0</v>
      </c>
      <c r="AC2458" s="5">
        <v>0</v>
      </c>
      <c r="AD2458" s="5">
        <v>0</v>
      </c>
      <c r="AE2458" s="10" t="s">
        <v>375</v>
      </c>
      <c r="AF2458" s="10"/>
      <c r="AG2458" s="10" t="s">
        <v>114</v>
      </c>
      <c r="AH2458" s="10">
        <v>42934</v>
      </c>
      <c r="AI2458" s="5">
        <v>1</v>
      </c>
      <c r="AJ2458" s="10" t="s">
        <v>13820</v>
      </c>
      <c r="AK2458" s="10" t="s">
        <v>13821</v>
      </c>
    </row>
    <row r="2459" spans="1:37" ht="36.75" customHeight="1" x14ac:dyDescent="0.35">
      <c r="A2459" s="5"/>
      <c r="B2459" s="5" t="s">
        <v>37</v>
      </c>
      <c r="C2459" s="73" t="str">
        <f t="shared" si="38"/>
        <v>Closed</v>
      </c>
      <c r="D2459" s="45" t="s">
        <v>13822</v>
      </c>
      <c r="E2459" s="54" t="s">
        <v>13823</v>
      </c>
      <c r="F2459" s="5" t="s">
        <v>404</v>
      </c>
      <c r="G2459" s="10">
        <f>DATE(2017,7,17)</f>
        <v>42933</v>
      </c>
      <c r="H2459" s="35">
        <v>1.3965277777777778</v>
      </c>
      <c r="I2459" s="5" t="s">
        <v>97</v>
      </c>
      <c r="J2459" s="10" t="s">
        <v>13824</v>
      </c>
      <c r="K2459" s="5" t="s">
        <v>406</v>
      </c>
      <c r="L2459" s="5" t="s">
        <v>13825</v>
      </c>
      <c r="M2459" s="5" t="s">
        <v>45</v>
      </c>
      <c r="N2459" s="5" t="s">
        <v>80</v>
      </c>
      <c r="O2459" s="5" t="s">
        <v>46</v>
      </c>
      <c r="P2459" s="10" t="s">
        <v>47</v>
      </c>
      <c r="Q2459" s="10" t="s">
        <v>12560</v>
      </c>
      <c r="R2459" s="10" t="s">
        <v>3083</v>
      </c>
      <c r="S2459" s="5">
        <v>0</v>
      </c>
      <c r="T2459" s="37">
        <v>0</v>
      </c>
      <c r="U2459" s="5">
        <v>0</v>
      </c>
      <c r="V2459" s="37">
        <v>0</v>
      </c>
      <c r="W2459" s="5">
        <v>0</v>
      </c>
      <c r="X2459" s="5">
        <v>0</v>
      </c>
      <c r="Y2459" s="5">
        <v>0</v>
      </c>
      <c r="Z2459" s="37">
        <v>0</v>
      </c>
      <c r="AA2459" s="5">
        <v>0</v>
      </c>
      <c r="AB2459" s="5">
        <v>0</v>
      </c>
      <c r="AC2459" s="5">
        <v>0</v>
      </c>
      <c r="AD2459" s="5">
        <v>0</v>
      </c>
      <c r="AE2459" s="10" t="s">
        <v>73</v>
      </c>
      <c r="AF2459" s="10"/>
      <c r="AG2459" s="10" t="s">
        <v>333</v>
      </c>
      <c r="AH2459" s="10">
        <v>42933</v>
      </c>
      <c r="AI2459" s="5">
        <v>0</v>
      </c>
      <c r="AJ2459" s="10" t="s">
        <v>13826</v>
      </c>
      <c r="AK2459" s="10" t="s">
        <v>13827</v>
      </c>
    </row>
    <row r="2460" spans="1:37" ht="36.75" customHeight="1" x14ac:dyDescent="0.35">
      <c r="A2460" s="5"/>
      <c r="B2460" s="5" t="s">
        <v>37</v>
      </c>
      <c r="C2460" s="73" t="str">
        <f t="shared" si="38"/>
        <v>Closed</v>
      </c>
      <c r="D2460" s="45" t="s">
        <v>13828</v>
      </c>
      <c r="E2460" s="54" t="s">
        <v>13829</v>
      </c>
      <c r="F2460" s="5" t="s">
        <v>563</v>
      </c>
      <c r="G2460" s="10">
        <f>DATE(2017,7,17)</f>
        <v>42933</v>
      </c>
      <c r="H2460" s="35">
        <v>1.8854166666666665</v>
      </c>
      <c r="I2460" s="5" t="s">
        <v>97</v>
      </c>
      <c r="J2460" s="10" t="s">
        <v>13830</v>
      </c>
      <c r="K2460" s="5" t="s">
        <v>565</v>
      </c>
      <c r="L2460" s="5" t="s">
        <v>13831</v>
      </c>
      <c r="M2460" s="5" t="s">
        <v>45</v>
      </c>
      <c r="N2460" s="5" t="s">
        <v>70</v>
      </c>
      <c r="O2460" s="5" t="s">
        <v>59</v>
      </c>
      <c r="P2460" s="10" t="s">
        <v>60</v>
      </c>
      <c r="Q2460" s="10" t="s">
        <v>9716</v>
      </c>
      <c r="R2460" s="10" t="s">
        <v>568</v>
      </c>
      <c r="S2460" s="5">
        <v>0</v>
      </c>
      <c r="T2460" s="37">
        <v>0</v>
      </c>
      <c r="U2460" s="5">
        <v>0</v>
      </c>
      <c r="V2460" s="37">
        <v>0</v>
      </c>
      <c r="W2460" s="5">
        <v>0</v>
      </c>
      <c r="X2460" s="5">
        <v>0</v>
      </c>
      <c r="Y2460" s="5">
        <v>0</v>
      </c>
      <c r="Z2460" s="37">
        <v>0</v>
      </c>
      <c r="AA2460" s="5">
        <v>0</v>
      </c>
      <c r="AB2460" s="5">
        <v>0</v>
      </c>
      <c r="AC2460" s="5">
        <v>0</v>
      </c>
      <c r="AD2460" s="5">
        <v>0</v>
      </c>
      <c r="AE2460" s="10" t="s">
        <v>375</v>
      </c>
      <c r="AF2460" s="10"/>
      <c r="AG2460" s="10" t="s">
        <v>114</v>
      </c>
      <c r="AH2460" s="10">
        <v>42934</v>
      </c>
      <c r="AI2460" s="5">
        <v>0</v>
      </c>
      <c r="AJ2460" s="10" t="s">
        <v>13832</v>
      </c>
      <c r="AK2460" s="10" t="s">
        <v>1215</v>
      </c>
    </row>
    <row r="2461" spans="1:37" ht="36.75" customHeight="1" x14ac:dyDescent="0.35">
      <c r="A2461" s="5"/>
      <c r="B2461" s="5" t="s">
        <v>37</v>
      </c>
      <c r="C2461" s="73" t="str">
        <f t="shared" si="38"/>
        <v>Closed</v>
      </c>
      <c r="D2461" s="45" t="s">
        <v>13833</v>
      </c>
      <c r="E2461" s="54" t="s">
        <v>13834</v>
      </c>
      <c r="F2461" s="5" t="s">
        <v>404</v>
      </c>
      <c r="G2461" s="10">
        <f>DATE(2017,7,19)</f>
        <v>42935</v>
      </c>
      <c r="H2461" s="35">
        <v>1.3006944444444444</v>
      </c>
      <c r="I2461" s="5" t="s">
        <v>179</v>
      </c>
      <c r="J2461" s="10" t="s">
        <v>13835</v>
      </c>
      <c r="K2461" s="5" t="s">
        <v>406</v>
      </c>
      <c r="L2461" s="5" t="s">
        <v>13836</v>
      </c>
      <c r="M2461" s="5" t="s">
        <v>236</v>
      </c>
      <c r="N2461" s="5" t="s">
        <v>123</v>
      </c>
      <c r="O2461" s="5" t="s">
        <v>46</v>
      </c>
      <c r="P2461" s="10" t="s">
        <v>6531</v>
      </c>
      <c r="Q2461" s="10" t="s">
        <v>2695</v>
      </c>
      <c r="R2461" s="10" t="s">
        <v>2695</v>
      </c>
      <c r="S2461" s="5">
        <v>1</v>
      </c>
      <c r="T2461" s="37">
        <v>0</v>
      </c>
      <c r="U2461" s="5">
        <v>0</v>
      </c>
      <c r="V2461" s="37">
        <v>0</v>
      </c>
      <c r="W2461" s="5">
        <v>0</v>
      </c>
      <c r="X2461" s="5">
        <v>1</v>
      </c>
      <c r="Y2461" s="5">
        <v>0</v>
      </c>
      <c r="Z2461" s="37">
        <v>0</v>
      </c>
      <c r="AA2461" s="5">
        <v>0</v>
      </c>
      <c r="AB2461" s="5">
        <v>0</v>
      </c>
      <c r="AC2461" s="5">
        <v>0</v>
      </c>
      <c r="AD2461" s="5">
        <v>0</v>
      </c>
      <c r="AE2461" s="10" t="s">
        <v>73</v>
      </c>
      <c r="AF2461" s="10"/>
      <c r="AG2461" s="10" t="s">
        <v>114</v>
      </c>
      <c r="AH2461" s="10">
        <v>42935</v>
      </c>
      <c r="AI2461" s="5">
        <v>0</v>
      </c>
      <c r="AJ2461" s="10" t="s">
        <v>13837</v>
      </c>
      <c r="AK2461" s="10" t="s">
        <v>13838</v>
      </c>
    </row>
    <row r="2462" spans="1:37" ht="36.75" customHeight="1" x14ac:dyDescent="0.35">
      <c r="A2462" s="5"/>
      <c r="B2462" s="5" t="s">
        <v>37</v>
      </c>
      <c r="C2462" s="73" t="str">
        <f t="shared" si="38"/>
        <v>Closed</v>
      </c>
      <c r="D2462" s="45" t="s">
        <v>13839</v>
      </c>
      <c r="E2462" s="54" t="s">
        <v>13840</v>
      </c>
      <c r="F2462" s="5" t="s">
        <v>404</v>
      </c>
      <c r="G2462" s="10">
        <f>DATE(2017,7,20)</f>
        <v>42936</v>
      </c>
      <c r="H2462" s="35">
        <v>1.3583333333333334</v>
      </c>
      <c r="I2462" s="5" t="s">
        <v>97</v>
      </c>
      <c r="J2462" s="10" t="s">
        <v>13841</v>
      </c>
      <c r="K2462" s="5" t="s">
        <v>406</v>
      </c>
      <c r="L2462" s="5" t="s">
        <v>13842</v>
      </c>
      <c r="M2462" s="5" t="s">
        <v>45</v>
      </c>
      <c r="N2462" s="5" t="s">
        <v>80</v>
      </c>
      <c r="O2462" s="5" t="s">
        <v>59</v>
      </c>
      <c r="P2462" s="10" t="s">
        <v>146</v>
      </c>
      <c r="Q2462" s="10" t="s">
        <v>4531</v>
      </c>
      <c r="R2462" s="10" t="s">
        <v>3083</v>
      </c>
      <c r="S2462" s="5">
        <v>0</v>
      </c>
      <c r="T2462" s="37">
        <v>0</v>
      </c>
      <c r="U2462" s="5">
        <v>1</v>
      </c>
      <c r="V2462" s="37">
        <v>0</v>
      </c>
      <c r="W2462" s="5">
        <v>0</v>
      </c>
      <c r="X2462" s="5">
        <v>1</v>
      </c>
      <c r="Y2462" s="5">
        <v>0</v>
      </c>
      <c r="Z2462" s="37">
        <v>0</v>
      </c>
      <c r="AA2462" s="5">
        <v>0</v>
      </c>
      <c r="AB2462" s="5">
        <v>0</v>
      </c>
      <c r="AC2462" s="5">
        <v>0</v>
      </c>
      <c r="AD2462" s="5">
        <v>0</v>
      </c>
      <c r="AE2462" s="10" t="s">
        <v>73</v>
      </c>
      <c r="AF2462" s="10"/>
      <c r="AG2462" s="10" t="s">
        <v>13175</v>
      </c>
      <c r="AH2462" s="10">
        <v>42936</v>
      </c>
      <c r="AI2462" s="5">
        <v>2</v>
      </c>
      <c r="AJ2462" s="10" t="s">
        <v>13843</v>
      </c>
      <c r="AK2462" s="10" t="s">
        <v>13844</v>
      </c>
    </row>
    <row r="2463" spans="1:37" ht="36.75" customHeight="1" x14ac:dyDescent="0.35">
      <c r="A2463" s="5"/>
      <c r="B2463" s="5" t="s">
        <v>37</v>
      </c>
      <c r="C2463" s="73" t="str">
        <f t="shared" si="38"/>
        <v>Closed</v>
      </c>
      <c r="D2463" s="45" t="s">
        <v>13845</v>
      </c>
      <c r="E2463" s="54" t="s">
        <v>13846</v>
      </c>
      <c r="F2463" s="5" t="s">
        <v>404</v>
      </c>
      <c r="G2463" s="10">
        <f>DATE(2017,7,25)</f>
        <v>42941</v>
      </c>
      <c r="H2463" s="35">
        <v>1.4458333333333333</v>
      </c>
      <c r="I2463" s="5" t="s">
        <v>97</v>
      </c>
      <c r="J2463" s="10" t="s">
        <v>13847</v>
      </c>
      <c r="K2463" s="5" t="s">
        <v>406</v>
      </c>
      <c r="L2463" s="5" t="s">
        <v>13848</v>
      </c>
      <c r="M2463" s="5" t="s">
        <v>45</v>
      </c>
      <c r="N2463" s="5" t="s">
        <v>123</v>
      </c>
      <c r="O2463" s="5" t="s">
        <v>46</v>
      </c>
      <c r="P2463" s="10" t="s">
        <v>146</v>
      </c>
      <c r="Q2463" s="10" t="s">
        <v>4531</v>
      </c>
      <c r="R2463" s="10" t="s">
        <v>3083</v>
      </c>
      <c r="S2463" s="5">
        <v>0</v>
      </c>
      <c r="T2463" s="37">
        <v>0</v>
      </c>
      <c r="U2463" s="5">
        <v>1</v>
      </c>
      <c r="V2463" s="37">
        <v>0</v>
      </c>
      <c r="W2463" s="5">
        <v>0</v>
      </c>
      <c r="X2463" s="5">
        <v>1</v>
      </c>
      <c r="Y2463" s="5">
        <v>0</v>
      </c>
      <c r="Z2463" s="37">
        <v>0</v>
      </c>
      <c r="AA2463" s="5">
        <v>0</v>
      </c>
      <c r="AB2463" s="5">
        <v>0</v>
      </c>
      <c r="AC2463" s="5">
        <v>0</v>
      </c>
      <c r="AD2463" s="5">
        <v>0</v>
      </c>
      <c r="AE2463" s="10" t="s">
        <v>73</v>
      </c>
      <c r="AF2463" s="10"/>
      <c r="AG2463" s="10" t="s">
        <v>333</v>
      </c>
      <c r="AH2463" s="10">
        <v>42942</v>
      </c>
      <c r="AI2463" s="5">
        <v>1</v>
      </c>
      <c r="AJ2463" s="10" t="s">
        <v>13849</v>
      </c>
      <c r="AK2463" s="10" t="s">
        <v>13850</v>
      </c>
    </row>
    <row r="2464" spans="1:37" ht="36.75" customHeight="1" x14ac:dyDescent="0.35">
      <c r="A2464" s="5"/>
      <c r="B2464" s="5" t="s">
        <v>37</v>
      </c>
      <c r="C2464" s="73" t="str">
        <f t="shared" si="38"/>
        <v>Closed</v>
      </c>
      <c r="D2464" s="45" t="s">
        <v>13851</v>
      </c>
      <c r="E2464" s="54" t="s">
        <v>13852</v>
      </c>
      <c r="F2464" s="5" t="s">
        <v>619</v>
      </c>
      <c r="G2464" s="10">
        <f>DATE(2017,7,25)</f>
        <v>42941</v>
      </c>
      <c r="H2464" s="35">
        <v>1.8541666666666665</v>
      </c>
      <c r="I2464" s="5" t="s">
        <v>468</v>
      </c>
      <c r="J2464" s="10" t="s">
        <v>13853</v>
      </c>
      <c r="K2464" s="5" t="s">
        <v>621</v>
      </c>
      <c r="L2464" s="5" t="s">
        <v>13854</v>
      </c>
      <c r="M2464" s="5" t="s">
        <v>45</v>
      </c>
      <c r="N2464" s="5" t="s">
        <v>123</v>
      </c>
      <c r="O2464" s="5" t="s">
        <v>46</v>
      </c>
      <c r="P2464" s="10" t="s">
        <v>362</v>
      </c>
      <c r="Q2464" s="10" t="s">
        <v>621</v>
      </c>
      <c r="R2464" s="10" t="s">
        <v>624</v>
      </c>
      <c r="S2464" s="5">
        <v>0</v>
      </c>
      <c r="T2464" s="37">
        <v>0</v>
      </c>
      <c r="U2464" s="5">
        <v>0</v>
      </c>
      <c r="V2464" s="37">
        <v>0</v>
      </c>
      <c r="W2464" s="5">
        <v>0</v>
      </c>
      <c r="X2464" s="5">
        <v>0</v>
      </c>
      <c r="Y2464" s="5">
        <v>0</v>
      </c>
      <c r="Z2464" s="37">
        <v>0</v>
      </c>
      <c r="AA2464" s="5">
        <v>0</v>
      </c>
      <c r="AB2464" s="5">
        <v>0</v>
      </c>
      <c r="AC2464" s="5">
        <v>0</v>
      </c>
      <c r="AD2464" s="5">
        <v>0</v>
      </c>
      <c r="AE2464" s="10" t="s">
        <v>73</v>
      </c>
      <c r="AF2464" s="10"/>
      <c r="AG2464" s="10" t="s">
        <v>114</v>
      </c>
      <c r="AH2464" s="10">
        <v>42997</v>
      </c>
      <c r="AI2464" s="5">
        <v>2</v>
      </c>
      <c r="AJ2464" s="10" t="s">
        <v>13855</v>
      </c>
      <c r="AK2464" s="10" t="s">
        <v>13856</v>
      </c>
    </row>
    <row r="2465" spans="1:37" ht="36.75" customHeight="1" x14ac:dyDescent="0.35">
      <c r="A2465" s="5"/>
      <c r="B2465" s="5" t="s">
        <v>37</v>
      </c>
      <c r="C2465" s="73" t="str">
        <f t="shared" si="38"/>
        <v>Closed</v>
      </c>
      <c r="D2465" s="45" t="s">
        <v>13857</v>
      </c>
      <c r="E2465" s="54" t="s">
        <v>13858</v>
      </c>
      <c r="F2465" s="5" t="s">
        <v>404</v>
      </c>
      <c r="G2465" s="10">
        <f>DATE(2017,7,27)</f>
        <v>42943</v>
      </c>
      <c r="H2465" s="35">
        <v>1.6375000000000002</v>
      </c>
      <c r="I2465" s="5" t="s">
        <v>97</v>
      </c>
      <c r="J2465" s="10" t="s">
        <v>13859</v>
      </c>
      <c r="K2465" s="5" t="s">
        <v>406</v>
      </c>
      <c r="L2465" s="5" t="s">
        <v>13860</v>
      </c>
      <c r="M2465" s="5" t="s">
        <v>45</v>
      </c>
      <c r="N2465" s="5" t="s">
        <v>80</v>
      </c>
      <c r="O2465" s="5" t="s">
        <v>59</v>
      </c>
      <c r="P2465" s="10" t="s">
        <v>60</v>
      </c>
      <c r="Q2465" s="10" t="s">
        <v>2562</v>
      </c>
      <c r="R2465" s="10" t="s">
        <v>3083</v>
      </c>
      <c r="S2465" s="5">
        <v>0</v>
      </c>
      <c r="T2465" s="37">
        <v>0</v>
      </c>
      <c r="U2465" s="5">
        <v>1</v>
      </c>
      <c r="V2465" s="37">
        <v>0</v>
      </c>
      <c r="W2465" s="5">
        <v>0</v>
      </c>
      <c r="X2465" s="5">
        <v>1</v>
      </c>
      <c r="Y2465" s="5">
        <v>0</v>
      </c>
      <c r="Z2465" s="37">
        <v>0</v>
      </c>
      <c r="AA2465" s="5">
        <v>0</v>
      </c>
      <c r="AB2465" s="5">
        <v>0</v>
      </c>
      <c r="AC2465" s="5">
        <v>0</v>
      </c>
      <c r="AD2465" s="5">
        <v>0</v>
      </c>
      <c r="AE2465" s="10" t="s">
        <v>73</v>
      </c>
      <c r="AF2465" s="10"/>
      <c r="AG2465" s="10" t="s">
        <v>855</v>
      </c>
      <c r="AH2465" s="10">
        <v>42943</v>
      </c>
      <c r="AI2465" s="5">
        <v>1</v>
      </c>
      <c r="AJ2465" s="10" t="s">
        <v>13861</v>
      </c>
      <c r="AK2465" s="10" t="s">
        <v>13862</v>
      </c>
    </row>
    <row r="2466" spans="1:37" ht="36.75" customHeight="1" x14ac:dyDescent="0.35">
      <c r="A2466" s="5"/>
      <c r="B2466" s="5" t="s">
        <v>37</v>
      </c>
      <c r="C2466" s="73" t="str">
        <f t="shared" si="38"/>
        <v>Closed</v>
      </c>
      <c r="D2466" s="45" t="s">
        <v>13863</v>
      </c>
      <c r="E2466" s="54" t="s">
        <v>13864</v>
      </c>
      <c r="F2466" s="5" t="s">
        <v>404</v>
      </c>
      <c r="G2466" s="10">
        <f>DATE(2017,7,27)</f>
        <v>42943</v>
      </c>
      <c r="H2466" s="35">
        <v>1.7298611111111111</v>
      </c>
      <c r="I2466" s="5" t="s">
        <v>55</v>
      </c>
      <c r="J2466" s="10" t="s">
        <v>13865</v>
      </c>
      <c r="K2466" s="5" t="s">
        <v>406</v>
      </c>
      <c r="L2466" s="5" t="s">
        <v>13866</v>
      </c>
      <c r="M2466" s="5" t="s">
        <v>45</v>
      </c>
      <c r="N2466" s="5" t="s">
        <v>80</v>
      </c>
      <c r="O2466" s="5" t="s">
        <v>59</v>
      </c>
      <c r="P2466" s="10" t="s">
        <v>60</v>
      </c>
      <c r="Q2466" s="10" t="s">
        <v>2562</v>
      </c>
      <c r="R2466" s="10" t="s">
        <v>3083</v>
      </c>
      <c r="S2466" s="5">
        <v>0</v>
      </c>
      <c r="T2466" s="37">
        <v>0</v>
      </c>
      <c r="U2466" s="5">
        <v>0</v>
      </c>
      <c r="V2466" s="37">
        <v>0</v>
      </c>
      <c r="W2466" s="5">
        <v>0</v>
      </c>
      <c r="X2466" s="5">
        <v>0</v>
      </c>
      <c r="Y2466" s="5">
        <v>0</v>
      </c>
      <c r="Z2466" s="37">
        <v>0</v>
      </c>
      <c r="AA2466" s="5">
        <v>0</v>
      </c>
      <c r="AB2466" s="5">
        <v>0</v>
      </c>
      <c r="AC2466" s="5">
        <v>0</v>
      </c>
      <c r="AD2466" s="5">
        <v>0</v>
      </c>
      <c r="AE2466" s="10" t="s">
        <v>73</v>
      </c>
      <c r="AF2466" s="10"/>
      <c r="AG2466" s="10" t="s">
        <v>333</v>
      </c>
      <c r="AH2466" s="10">
        <v>42943</v>
      </c>
      <c r="AI2466" s="5">
        <v>1</v>
      </c>
      <c r="AJ2466" s="10" t="s">
        <v>13867</v>
      </c>
      <c r="AK2466" s="10" t="s">
        <v>13868</v>
      </c>
    </row>
    <row r="2467" spans="1:37" ht="36.75" customHeight="1" x14ac:dyDescent="0.35">
      <c r="A2467" s="5"/>
      <c r="B2467" s="5" t="s">
        <v>37</v>
      </c>
      <c r="C2467" s="73" t="str">
        <f t="shared" si="38"/>
        <v>Closed</v>
      </c>
      <c r="D2467" s="45" t="s">
        <v>13869</v>
      </c>
      <c r="E2467" s="54" t="s">
        <v>13870</v>
      </c>
      <c r="F2467" s="5" t="s">
        <v>816</v>
      </c>
      <c r="G2467" s="10">
        <f>DATE(2017,7,27)</f>
        <v>42943</v>
      </c>
      <c r="H2467" s="35">
        <v>1.0618055555555554</v>
      </c>
      <c r="I2467" s="5" t="s">
        <v>85</v>
      </c>
      <c r="J2467" s="10" t="s">
        <v>13871</v>
      </c>
      <c r="K2467" s="5" t="s">
        <v>818</v>
      </c>
      <c r="L2467" s="5" t="s">
        <v>13872</v>
      </c>
      <c r="M2467" s="5" t="s">
        <v>45</v>
      </c>
      <c r="N2467" s="5" t="s">
        <v>123</v>
      </c>
      <c r="O2467" s="5" t="s">
        <v>59</v>
      </c>
      <c r="P2467" s="10" t="s">
        <v>60</v>
      </c>
      <c r="Q2467" s="10" t="s">
        <v>12906</v>
      </c>
      <c r="R2467" s="10" t="s">
        <v>821</v>
      </c>
      <c r="S2467" s="5">
        <v>0</v>
      </c>
      <c r="T2467" s="37">
        <v>0</v>
      </c>
      <c r="U2467" s="5">
        <v>0</v>
      </c>
      <c r="V2467" s="37">
        <v>0</v>
      </c>
      <c r="W2467" s="5">
        <v>0</v>
      </c>
      <c r="X2467" s="5">
        <v>0</v>
      </c>
      <c r="Y2467" s="5">
        <v>0</v>
      </c>
      <c r="Z2467" s="37">
        <v>0</v>
      </c>
      <c r="AA2467" s="5">
        <v>0</v>
      </c>
      <c r="AB2467" s="5">
        <v>0</v>
      </c>
      <c r="AC2467" s="5">
        <v>0</v>
      </c>
      <c r="AD2467" s="5">
        <v>0</v>
      </c>
      <c r="AE2467" s="10" t="s">
        <v>73</v>
      </c>
      <c r="AF2467" s="10"/>
      <c r="AG2467" s="10" t="s">
        <v>333</v>
      </c>
      <c r="AH2467" s="10">
        <v>42943</v>
      </c>
      <c r="AI2467" s="5">
        <v>1</v>
      </c>
      <c r="AJ2467" s="10" t="s">
        <v>13873</v>
      </c>
      <c r="AK2467" s="10" t="s">
        <v>13874</v>
      </c>
    </row>
    <row r="2468" spans="1:37" ht="36.75" customHeight="1" x14ac:dyDescent="0.35">
      <c r="A2468" s="5"/>
      <c r="B2468" s="5" t="s">
        <v>37</v>
      </c>
      <c r="C2468" s="73" t="str">
        <f t="shared" si="38"/>
        <v>Closed</v>
      </c>
      <c r="D2468" s="45" t="s">
        <v>13875</v>
      </c>
      <c r="E2468" s="54" t="s">
        <v>13876</v>
      </c>
      <c r="F2468" s="5" t="s">
        <v>432</v>
      </c>
      <c r="G2468" s="10">
        <f>DATE(2017,7,28)</f>
        <v>42944</v>
      </c>
      <c r="H2468" s="35">
        <v>1.6666666666666666E-2</v>
      </c>
      <c r="I2468" s="5" t="s">
        <v>97</v>
      </c>
      <c r="J2468" s="10" t="s">
        <v>13877</v>
      </c>
      <c r="K2468" s="5" t="s">
        <v>434</v>
      </c>
      <c r="L2468" s="5" t="s">
        <v>13878</v>
      </c>
      <c r="M2468" s="5" t="s">
        <v>45</v>
      </c>
      <c r="N2468" s="5" t="s">
        <v>123</v>
      </c>
      <c r="O2468" s="5" t="s">
        <v>59</v>
      </c>
      <c r="P2468" s="10" t="s">
        <v>47</v>
      </c>
      <c r="Q2468" s="10" t="s">
        <v>552</v>
      </c>
      <c r="R2468" s="10" t="s">
        <v>553</v>
      </c>
      <c r="S2468" s="5">
        <v>0</v>
      </c>
      <c r="T2468" s="37">
        <v>0</v>
      </c>
      <c r="U2468" s="5">
        <v>1</v>
      </c>
      <c r="V2468" s="37">
        <v>0</v>
      </c>
      <c r="W2468" s="5">
        <v>0</v>
      </c>
      <c r="X2468" s="5">
        <v>1</v>
      </c>
      <c r="Y2468" s="5">
        <v>0</v>
      </c>
      <c r="Z2468" s="37">
        <v>0</v>
      </c>
      <c r="AA2468" s="5">
        <v>0</v>
      </c>
      <c r="AB2468" s="5">
        <v>0</v>
      </c>
      <c r="AC2468" s="5">
        <v>0</v>
      </c>
      <c r="AD2468" s="5">
        <v>0</v>
      </c>
      <c r="AE2468" s="10" t="s">
        <v>73</v>
      </c>
      <c r="AF2468" s="10"/>
      <c r="AG2468" s="10" t="s">
        <v>64</v>
      </c>
      <c r="AH2468" s="10">
        <v>42954</v>
      </c>
      <c r="AI2468" s="5">
        <v>2</v>
      </c>
      <c r="AJ2468" s="10" t="s">
        <v>13879</v>
      </c>
      <c r="AK2468" s="10" t="s">
        <v>13880</v>
      </c>
    </row>
    <row r="2469" spans="1:37" ht="36.75" customHeight="1" x14ac:dyDescent="0.35">
      <c r="A2469" s="5"/>
      <c r="B2469" s="5" t="s">
        <v>37</v>
      </c>
      <c r="C2469" s="73" t="str">
        <f t="shared" si="38"/>
        <v>Closed</v>
      </c>
      <c r="D2469" s="45" t="s">
        <v>13881</v>
      </c>
      <c r="E2469" s="54" t="s">
        <v>13882</v>
      </c>
      <c r="F2469" s="5" t="s">
        <v>619</v>
      </c>
      <c r="G2469" s="10">
        <f>DATE(2017,7,28)</f>
        <v>42944</v>
      </c>
      <c r="H2469" s="35">
        <v>1.3243055555555556</v>
      </c>
      <c r="I2469" s="5" t="s">
        <v>137</v>
      </c>
      <c r="J2469" s="10" t="s">
        <v>13883</v>
      </c>
      <c r="K2469" s="5" t="s">
        <v>621</v>
      </c>
      <c r="L2469" s="5" t="s">
        <v>13884</v>
      </c>
      <c r="M2469" s="5" t="s">
        <v>45</v>
      </c>
      <c r="N2469" s="5" t="s">
        <v>123</v>
      </c>
      <c r="O2469" s="5" t="s">
        <v>59</v>
      </c>
      <c r="P2469" s="10" t="s">
        <v>6881</v>
      </c>
      <c r="Q2469" s="10" t="s">
        <v>1167</v>
      </c>
      <c r="R2469" s="10" t="s">
        <v>624</v>
      </c>
      <c r="S2469" s="5">
        <v>0</v>
      </c>
      <c r="T2469" s="37">
        <v>0</v>
      </c>
      <c r="U2469" s="5">
        <v>0</v>
      </c>
      <c r="V2469" s="37">
        <v>0</v>
      </c>
      <c r="W2469" s="5">
        <v>0</v>
      </c>
      <c r="X2469" s="5">
        <v>0</v>
      </c>
      <c r="Y2469" s="5">
        <v>1</v>
      </c>
      <c r="Z2469" s="37">
        <v>0</v>
      </c>
      <c r="AA2469" s="5">
        <v>0</v>
      </c>
      <c r="AB2469" s="5">
        <v>0</v>
      </c>
      <c r="AC2469" s="5">
        <v>0</v>
      </c>
      <c r="AD2469" s="5">
        <v>1</v>
      </c>
      <c r="AE2469" s="10" t="s">
        <v>73</v>
      </c>
      <c r="AF2469" s="10"/>
      <c r="AG2469" s="10" t="s">
        <v>114</v>
      </c>
      <c r="AH2469" s="10">
        <v>42997</v>
      </c>
      <c r="AI2469" s="5">
        <v>8</v>
      </c>
      <c r="AJ2469" s="10" t="s">
        <v>13885</v>
      </c>
      <c r="AK2469" s="10" t="s">
        <v>13886</v>
      </c>
    </row>
    <row r="2470" spans="1:37" ht="36.75" customHeight="1" x14ac:dyDescent="0.35">
      <c r="A2470" s="5"/>
      <c r="B2470" s="5" t="s">
        <v>37</v>
      </c>
      <c r="C2470" s="73" t="str">
        <f t="shared" si="38"/>
        <v>Closed</v>
      </c>
      <c r="D2470" s="45" t="s">
        <v>13887</v>
      </c>
      <c r="E2470" s="54" t="s">
        <v>13888</v>
      </c>
      <c r="F2470" s="5" t="s">
        <v>214</v>
      </c>
      <c r="G2470" s="10">
        <f>DATE(2017,7,28)</f>
        <v>42944</v>
      </c>
      <c r="H2470" s="35">
        <v>1.8944444444444444</v>
      </c>
      <c r="I2470" s="5" t="s">
        <v>5473</v>
      </c>
      <c r="J2470" s="10" t="s">
        <v>13889</v>
      </c>
      <c r="K2470" s="5" t="s">
        <v>216</v>
      </c>
      <c r="L2470" s="5" t="s">
        <v>13890</v>
      </c>
      <c r="M2470" s="5" t="s">
        <v>45</v>
      </c>
      <c r="N2470" s="5" t="s">
        <v>123</v>
      </c>
      <c r="O2470" s="5" t="s">
        <v>59</v>
      </c>
      <c r="P2470" s="10" t="s">
        <v>146</v>
      </c>
      <c r="Q2470" s="10" t="s">
        <v>2154</v>
      </c>
      <c r="R2470" s="10" t="s">
        <v>216</v>
      </c>
      <c r="S2470" s="5">
        <v>0</v>
      </c>
      <c r="T2470" s="37">
        <v>0</v>
      </c>
      <c r="U2470" s="5">
        <v>0</v>
      </c>
      <c r="V2470" s="37">
        <v>0</v>
      </c>
      <c r="W2470" s="5">
        <v>0</v>
      </c>
      <c r="X2470" s="5">
        <v>0</v>
      </c>
      <c r="Y2470" s="5">
        <v>0</v>
      </c>
      <c r="Z2470" s="37">
        <v>0</v>
      </c>
      <c r="AA2470" s="5">
        <v>0</v>
      </c>
      <c r="AB2470" s="5">
        <v>0</v>
      </c>
      <c r="AC2470" s="5">
        <v>0</v>
      </c>
      <c r="AD2470" s="5">
        <v>0</v>
      </c>
      <c r="AE2470" s="10" t="s">
        <v>73</v>
      </c>
      <c r="AF2470" s="10"/>
      <c r="AG2470" s="10" t="s">
        <v>114</v>
      </c>
      <c r="AH2470" s="10">
        <v>42954</v>
      </c>
      <c r="AI2470" s="5">
        <v>3</v>
      </c>
      <c r="AJ2470" s="10" t="s">
        <v>13891</v>
      </c>
      <c r="AK2470" s="10" t="s">
        <v>13892</v>
      </c>
    </row>
    <row r="2471" spans="1:37" ht="36.75" customHeight="1" x14ac:dyDescent="0.35">
      <c r="A2471" s="5"/>
      <c r="B2471" s="5" t="s">
        <v>37</v>
      </c>
      <c r="C2471" s="73" t="str">
        <f t="shared" si="38"/>
        <v>Closed</v>
      </c>
      <c r="D2471" s="45" t="s">
        <v>13893</v>
      </c>
      <c r="E2471" s="54" t="s">
        <v>13894</v>
      </c>
      <c r="F2471" s="5" t="s">
        <v>404</v>
      </c>
      <c r="G2471" s="10">
        <f>DATE(2017,7,30)</f>
        <v>42946</v>
      </c>
      <c r="H2471" s="35">
        <v>1.7173611111111109</v>
      </c>
      <c r="I2471" s="5" t="s">
        <v>97</v>
      </c>
      <c r="J2471" s="10" t="s">
        <v>13895</v>
      </c>
      <c r="K2471" s="5" t="s">
        <v>406</v>
      </c>
      <c r="L2471" s="5" t="s">
        <v>13896</v>
      </c>
      <c r="M2471" s="5" t="s">
        <v>45</v>
      </c>
      <c r="N2471" s="5" t="s">
        <v>123</v>
      </c>
      <c r="O2471" s="5" t="s">
        <v>46</v>
      </c>
      <c r="P2471" s="10" t="s">
        <v>146</v>
      </c>
      <c r="Q2471" s="10" t="s">
        <v>4531</v>
      </c>
      <c r="R2471" s="10" t="s">
        <v>3083</v>
      </c>
      <c r="S2471" s="5">
        <v>0</v>
      </c>
      <c r="T2471" s="37">
        <v>0</v>
      </c>
      <c r="U2471" s="5">
        <v>1</v>
      </c>
      <c r="V2471" s="37">
        <v>0</v>
      </c>
      <c r="W2471" s="5">
        <v>0</v>
      </c>
      <c r="X2471" s="5">
        <v>1</v>
      </c>
      <c r="Y2471" s="5">
        <v>0</v>
      </c>
      <c r="Z2471" s="37">
        <v>0</v>
      </c>
      <c r="AA2471" s="5">
        <v>0</v>
      </c>
      <c r="AB2471" s="5">
        <v>0</v>
      </c>
      <c r="AC2471" s="5">
        <v>0</v>
      </c>
      <c r="AD2471" s="5">
        <v>0</v>
      </c>
      <c r="AE2471" s="10" t="s">
        <v>73</v>
      </c>
      <c r="AF2471" s="10"/>
      <c r="AG2471" s="10" t="s">
        <v>855</v>
      </c>
      <c r="AH2471" s="10">
        <v>42946</v>
      </c>
      <c r="AI2471" s="5">
        <v>1</v>
      </c>
      <c r="AJ2471" s="10" t="s">
        <v>13897</v>
      </c>
      <c r="AK2471" s="10" t="s">
        <v>13898</v>
      </c>
    </row>
    <row r="2472" spans="1:37" ht="36.75" customHeight="1" x14ac:dyDescent="0.35">
      <c r="A2472" s="5"/>
      <c r="B2472" s="5" t="s">
        <v>37</v>
      </c>
      <c r="C2472" s="73" t="str">
        <f t="shared" si="38"/>
        <v>Closed</v>
      </c>
      <c r="D2472" s="45" t="s">
        <v>13899</v>
      </c>
      <c r="E2472" s="54" t="s">
        <v>13900</v>
      </c>
      <c r="F2472" s="5" t="s">
        <v>404</v>
      </c>
      <c r="G2472" s="10">
        <f>DATE(2017,8,2)</f>
        <v>42949</v>
      </c>
      <c r="H2472" s="35">
        <v>1.2083333333333333</v>
      </c>
      <c r="I2472" s="5" t="s">
        <v>2059</v>
      </c>
      <c r="J2472" s="10" t="s">
        <v>13901</v>
      </c>
      <c r="K2472" s="5" t="s">
        <v>406</v>
      </c>
      <c r="L2472" s="5" t="s">
        <v>13902</v>
      </c>
      <c r="M2472" s="5" t="s">
        <v>45</v>
      </c>
      <c r="N2472" s="5" t="s">
        <v>80</v>
      </c>
      <c r="O2472" s="5" t="s">
        <v>59</v>
      </c>
      <c r="P2472" s="10" t="s">
        <v>67</v>
      </c>
      <c r="Q2472" s="10" t="s">
        <v>4531</v>
      </c>
      <c r="R2472" s="10" t="s">
        <v>3083</v>
      </c>
      <c r="S2472" s="5">
        <v>0</v>
      </c>
      <c r="T2472" s="37">
        <v>0</v>
      </c>
      <c r="U2472" s="5">
        <v>0</v>
      </c>
      <c r="V2472" s="37">
        <v>0</v>
      </c>
      <c r="W2472" s="5">
        <v>0</v>
      </c>
      <c r="X2472" s="5">
        <v>0</v>
      </c>
      <c r="Y2472" s="5">
        <v>0</v>
      </c>
      <c r="Z2472" s="37">
        <v>0</v>
      </c>
      <c r="AA2472" s="5">
        <v>0</v>
      </c>
      <c r="AB2472" s="5">
        <v>0</v>
      </c>
      <c r="AC2472" s="5">
        <v>0</v>
      </c>
      <c r="AD2472" s="5">
        <v>0</v>
      </c>
      <c r="AE2472" s="10" t="s">
        <v>73</v>
      </c>
      <c r="AF2472" s="10"/>
      <c r="AG2472" s="10" t="s">
        <v>333</v>
      </c>
      <c r="AH2472" s="10">
        <v>42774</v>
      </c>
      <c r="AI2472" s="5">
        <v>0</v>
      </c>
      <c r="AJ2472" s="10" t="s">
        <v>13903</v>
      </c>
      <c r="AK2472" s="10" t="s">
        <v>13904</v>
      </c>
    </row>
    <row r="2473" spans="1:37" ht="36.75" customHeight="1" x14ac:dyDescent="0.35">
      <c r="A2473" s="5"/>
      <c r="B2473" s="5" t="s">
        <v>37</v>
      </c>
      <c r="C2473" s="73" t="str">
        <f t="shared" si="38"/>
        <v>Closed</v>
      </c>
      <c r="D2473" s="45" t="s">
        <v>13905</v>
      </c>
      <c r="E2473" s="54" t="s">
        <v>13906</v>
      </c>
      <c r="F2473" s="5" t="s">
        <v>404</v>
      </c>
      <c r="G2473" s="10">
        <f>DATE(2017,8,2)</f>
        <v>42949</v>
      </c>
      <c r="H2473" s="35">
        <v>1.6861111111111109</v>
      </c>
      <c r="I2473" s="5" t="s">
        <v>85</v>
      </c>
      <c r="J2473" s="10" t="s">
        <v>13907</v>
      </c>
      <c r="K2473" s="5" t="s">
        <v>406</v>
      </c>
      <c r="L2473" s="5" t="s">
        <v>7335</v>
      </c>
      <c r="M2473" s="5" t="s">
        <v>45</v>
      </c>
      <c r="N2473" s="5" t="s">
        <v>70</v>
      </c>
      <c r="O2473" s="5" t="s">
        <v>59</v>
      </c>
      <c r="P2473" s="10" t="s">
        <v>7341</v>
      </c>
      <c r="Q2473" s="10" t="s">
        <v>4531</v>
      </c>
      <c r="R2473" s="10" t="s">
        <v>3083</v>
      </c>
      <c r="S2473" s="5">
        <v>0</v>
      </c>
      <c r="T2473" s="37">
        <v>0</v>
      </c>
      <c r="U2473" s="5">
        <v>0</v>
      </c>
      <c r="V2473" s="37">
        <v>0</v>
      </c>
      <c r="W2473" s="5">
        <v>0</v>
      </c>
      <c r="X2473" s="5">
        <v>0</v>
      </c>
      <c r="Y2473" s="5">
        <v>0</v>
      </c>
      <c r="Z2473" s="37">
        <v>0</v>
      </c>
      <c r="AA2473" s="5">
        <v>0</v>
      </c>
      <c r="AB2473" s="5">
        <v>0</v>
      </c>
      <c r="AC2473" s="5">
        <v>0</v>
      </c>
      <c r="AD2473" s="5">
        <v>0</v>
      </c>
      <c r="AE2473" s="10" t="s">
        <v>73</v>
      </c>
      <c r="AF2473" s="10"/>
      <c r="AG2473" s="10" t="s">
        <v>333</v>
      </c>
      <c r="AH2473" s="10">
        <v>42774</v>
      </c>
      <c r="AI2473" s="5">
        <v>0</v>
      </c>
      <c r="AJ2473" s="10" t="s">
        <v>13908</v>
      </c>
      <c r="AK2473" s="10" t="s">
        <v>13909</v>
      </c>
    </row>
    <row r="2474" spans="1:37" ht="36.75" customHeight="1" x14ac:dyDescent="0.35">
      <c r="A2474" s="5"/>
      <c r="B2474" s="5" t="s">
        <v>37</v>
      </c>
      <c r="C2474" s="73" t="str">
        <f t="shared" si="38"/>
        <v>Closed</v>
      </c>
      <c r="D2474" s="45" t="s">
        <v>13910</v>
      </c>
      <c r="E2474" s="54" t="s">
        <v>13911</v>
      </c>
      <c r="F2474" s="5" t="s">
        <v>816</v>
      </c>
      <c r="G2474" s="10">
        <f>DATE(2017,8,3)</f>
        <v>42950</v>
      </c>
      <c r="H2474" s="35">
        <v>1.5243055555555556</v>
      </c>
      <c r="I2474" s="5" t="s">
        <v>5473</v>
      </c>
      <c r="J2474" s="10" t="s">
        <v>13912</v>
      </c>
      <c r="K2474" s="5" t="s">
        <v>818</v>
      </c>
      <c r="L2474" s="5" t="s">
        <v>13913</v>
      </c>
      <c r="M2474" s="5" t="s">
        <v>45</v>
      </c>
      <c r="N2474" s="5" t="s">
        <v>123</v>
      </c>
      <c r="O2474" s="5" t="s">
        <v>59</v>
      </c>
      <c r="P2474" s="10" t="s">
        <v>47</v>
      </c>
      <c r="Q2474" s="10" t="s">
        <v>2142</v>
      </c>
      <c r="R2474" s="10" t="s">
        <v>821</v>
      </c>
      <c r="S2474" s="5">
        <v>0</v>
      </c>
      <c r="T2474" s="37">
        <v>0</v>
      </c>
      <c r="U2474" s="5">
        <v>0</v>
      </c>
      <c r="V2474" s="37">
        <v>0</v>
      </c>
      <c r="W2474" s="5">
        <v>0</v>
      </c>
      <c r="X2474" s="5">
        <v>0</v>
      </c>
      <c r="Y2474" s="5">
        <v>0</v>
      </c>
      <c r="Z2474" s="37">
        <v>0</v>
      </c>
      <c r="AA2474" s="5">
        <v>0</v>
      </c>
      <c r="AB2474" s="5">
        <v>0</v>
      </c>
      <c r="AC2474" s="5">
        <v>0</v>
      </c>
      <c r="AD2474" s="5">
        <v>0</v>
      </c>
      <c r="AE2474" s="10" t="s">
        <v>73</v>
      </c>
      <c r="AF2474" s="10"/>
      <c r="AG2474" s="10" t="s">
        <v>333</v>
      </c>
      <c r="AH2474" s="10">
        <v>42968</v>
      </c>
      <c r="AI2474" s="5">
        <v>0</v>
      </c>
      <c r="AJ2474" s="10" t="s">
        <v>13914</v>
      </c>
      <c r="AK2474" s="10" t="s">
        <v>13915</v>
      </c>
    </row>
    <row r="2475" spans="1:37" ht="36.75" customHeight="1" x14ac:dyDescent="0.35">
      <c r="A2475" s="5"/>
      <c r="B2475" s="5" t="s">
        <v>37</v>
      </c>
      <c r="C2475" s="73" t="str">
        <f t="shared" si="38"/>
        <v>Closed</v>
      </c>
      <c r="D2475" s="45" t="s">
        <v>13916</v>
      </c>
      <c r="E2475" s="54" t="s">
        <v>13917</v>
      </c>
      <c r="F2475" s="5" t="s">
        <v>404</v>
      </c>
      <c r="G2475" s="10">
        <f>DATE(2017,8,8)</f>
        <v>42955</v>
      </c>
      <c r="H2475" s="35">
        <v>1.038888888888889</v>
      </c>
      <c r="I2475" s="5" t="s">
        <v>55</v>
      </c>
      <c r="J2475" s="10" t="s">
        <v>13918</v>
      </c>
      <c r="K2475" s="5" t="s">
        <v>406</v>
      </c>
      <c r="L2475" s="5" t="s">
        <v>13919</v>
      </c>
      <c r="M2475" s="5" t="s">
        <v>45</v>
      </c>
      <c r="N2475" s="5" t="s">
        <v>123</v>
      </c>
      <c r="O2475" s="5" t="s">
        <v>59</v>
      </c>
      <c r="P2475" s="10" t="s">
        <v>72</v>
      </c>
      <c r="Q2475" s="10" t="s">
        <v>2562</v>
      </c>
      <c r="R2475" s="10" t="s">
        <v>3083</v>
      </c>
      <c r="S2475" s="5">
        <v>0</v>
      </c>
      <c r="T2475" s="37">
        <v>0</v>
      </c>
      <c r="U2475" s="5">
        <v>0</v>
      </c>
      <c r="V2475" s="37">
        <v>0</v>
      </c>
      <c r="W2475" s="5">
        <v>0</v>
      </c>
      <c r="X2475" s="5">
        <v>0</v>
      </c>
      <c r="Y2475" s="5">
        <v>0</v>
      </c>
      <c r="Z2475" s="37">
        <v>0</v>
      </c>
      <c r="AA2475" s="5">
        <v>0</v>
      </c>
      <c r="AB2475" s="5">
        <v>0</v>
      </c>
      <c r="AC2475" s="5">
        <v>0</v>
      </c>
      <c r="AD2475" s="5">
        <v>0</v>
      </c>
      <c r="AE2475" s="10" t="s">
        <v>73</v>
      </c>
      <c r="AF2475" s="10"/>
      <c r="AG2475" s="10" t="s">
        <v>333</v>
      </c>
      <c r="AH2475" s="10">
        <v>42955</v>
      </c>
      <c r="AI2475" s="5">
        <v>1</v>
      </c>
      <c r="AJ2475" s="10" t="s">
        <v>13920</v>
      </c>
      <c r="AK2475" s="10" t="s">
        <v>13921</v>
      </c>
    </row>
    <row r="2476" spans="1:37" ht="36.75" customHeight="1" x14ac:dyDescent="0.35">
      <c r="A2476" s="5"/>
      <c r="B2476" s="5" t="s">
        <v>37</v>
      </c>
      <c r="C2476" s="73" t="str">
        <f t="shared" si="38"/>
        <v>Closed</v>
      </c>
      <c r="D2476" s="45" t="s">
        <v>13922</v>
      </c>
      <c r="E2476" s="54" t="s">
        <v>13923</v>
      </c>
      <c r="F2476" s="5" t="s">
        <v>432</v>
      </c>
      <c r="G2476" s="10">
        <f>DATE(2017,8,10)</f>
        <v>42957</v>
      </c>
      <c r="H2476" s="35">
        <v>1.6131944444444444</v>
      </c>
      <c r="I2476" s="5" t="s">
        <v>259</v>
      </c>
      <c r="J2476" s="10" t="s">
        <v>13924</v>
      </c>
      <c r="K2476" s="5" t="s">
        <v>434</v>
      </c>
      <c r="L2476" s="5" t="s">
        <v>13925</v>
      </c>
      <c r="M2476" s="5" t="s">
        <v>45</v>
      </c>
      <c r="N2476" s="5" t="s">
        <v>123</v>
      </c>
      <c r="O2476" s="5" t="s">
        <v>59</v>
      </c>
      <c r="P2476" s="10" t="s">
        <v>47</v>
      </c>
      <c r="Q2476" s="10" t="s">
        <v>552</v>
      </c>
      <c r="R2476" s="10" t="s">
        <v>553</v>
      </c>
      <c r="S2476" s="5">
        <v>0</v>
      </c>
      <c r="T2476" s="37">
        <v>0</v>
      </c>
      <c r="U2476" s="5">
        <v>1</v>
      </c>
      <c r="V2476" s="37">
        <v>0</v>
      </c>
      <c r="W2476" s="5">
        <v>0</v>
      </c>
      <c r="X2476" s="5">
        <v>1</v>
      </c>
      <c r="Y2476" s="5">
        <v>0</v>
      </c>
      <c r="Z2476" s="37">
        <v>0</v>
      </c>
      <c r="AA2476" s="5">
        <v>0</v>
      </c>
      <c r="AB2476" s="5">
        <v>0</v>
      </c>
      <c r="AC2476" s="5">
        <v>0</v>
      </c>
      <c r="AD2476" s="5">
        <v>0</v>
      </c>
      <c r="AE2476" s="10" t="s">
        <v>73</v>
      </c>
      <c r="AF2476" s="10"/>
      <c r="AG2476" s="10" t="s">
        <v>64</v>
      </c>
      <c r="AH2476" s="10">
        <v>42961</v>
      </c>
      <c r="AI2476" s="5">
        <v>2</v>
      </c>
      <c r="AJ2476" s="10" t="s">
        <v>13926</v>
      </c>
      <c r="AK2476" s="10" t="s">
        <v>50</v>
      </c>
    </row>
    <row r="2477" spans="1:37" ht="36.75" customHeight="1" x14ac:dyDescent="0.35">
      <c r="A2477" s="5"/>
      <c r="B2477" s="5" t="s">
        <v>37</v>
      </c>
      <c r="C2477" s="73" t="str">
        <f t="shared" si="38"/>
        <v>Closed</v>
      </c>
      <c r="D2477" s="45" t="s">
        <v>13927</v>
      </c>
      <c r="E2477" s="54" t="s">
        <v>13928</v>
      </c>
      <c r="F2477" s="5" t="s">
        <v>404</v>
      </c>
      <c r="G2477" s="10">
        <f>DATE(2017,8,12)</f>
        <v>42959</v>
      </c>
      <c r="H2477" s="35">
        <v>1.2465277777777777</v>
      </c>
      <c r="I2477" s="5" t="s">
        <v>137</v>
      </c>
      <c r="J2477" s="10" t="s">
        <v>13929</v>
      </c>
      <c r="K2477" s="5" t="s">
        <v>406</v>
      </c>
      <c r="L2477" s="5" t="s">
        <v>13930</v>
      </c>
      <c r="M2477" s="5" t="s">
        <v>45</v>
      </c>
      <c r="N2477" s="5" t="s">
        <v>80</v>
      </c>
      <c r="O2477" s="5" t="s">
        <v>46</v>
      </c>
      <c r="P2477" s="10" t="s">
        <v>47</v>
      </c>
      <c r="Q2477" s="10" t="s">
        <v>4531</v>
      </c>
      <c r="R2477" s="10" t="s">
        <v>3083</v>
      </c>
      <c r="S2477" s="5">
        <v>0</v>
      </c>
      <c r="T2477" s="37">
        <v>0</v>
      </c>
      <c r="U2477" s="5">
        <v>0</v>
      </c>
      <c r="V2477" s="37">
        <v>0</v>
      </c>
      <c r="W2477" s="5">
        <v>0</v>
      </c>
      <c r="X2477" s="5">
        <v>0</v>
      </c>
      <c r="Y2477" s="5">
        <v>0</v>
      </c>
      <c r="Z2477" s="37">
        <v>0</v>
      </c>
      <c r="AA2477" s="5">
        <v>0</v>
      </c>
      <c r="AB2477" s="5">
        <v>0</v>
      </c>
      <c r="AC2477" s="5">
        <v>0</v>
      </c>
      <c r="AD2477" s="5">
        <v>0</v>
      </c>
      <c r="AE2477" s="10" t="s">
        <v>73</v>
      </c>
      <c r="AF2477" s="10"/>
      <c r="AG2477" s="10" t="s">
        <v>333</v>
      </c>
      <c r="AH2477" s="10">
        <v>43077</v>
      </c>
      <c r="AI2477" s="5">
        <v>1</v>
      </c>
      <c r="AJ2477" s="10" t="s">
        <v>13931</v>
      </c>
      <c r="AK2477" s="10" t="s">
        <v>13932</v>
      </c>
    </row>
    <row r="2478" spans="1:37" ht="36.75" customHeight="1" x14ac:dyDescent="0.35">
      <c r="A2478" s="5"/>
      <c r="B2478" s="5" t="s">
        <v>37</v>
      </c>
      <c r="C2478" s="73" t="str">
        <f t="shared" si="38"/>
        <v>Closed</v>
      </c>
      <c r="D2478" s="45" t="s">
        <v>13933</v>
      </c>
      <c r="E2478" s="54" t="s">
        <v>13934</v>
      </c>
      <c r="F2478" s="5" t="s">
        <v>619</v>
      </c>
      <c r="G2478" s="10">
        <f>DATE(2017,8,12)</f>
        <v>42959</v>
      </c>
      <c r="H2478" s="35">
        <v>1.4965277777777777</v>
      </c>
      <c r="I2478" s="5" t="s">
        <v>41</v>
      </c>
      <c r="J2478" s="10" t="s">
        <v>13935</v>
      </c>
      <c r="K2478" s="5" t="s">
        <v>621</v>
      </c>
      <c r="L2478" s="5" t="s">
        <v>13936</v>
      </c>
      <c r="M2478" s="5" t="s">
        <v>45</v>
      </c>
      <c r="N2478" s="5" t="s">
        <v>80</v>
      </c>
      <c r="O2478" s="5" t="s">
        <v>59</v>
      </c>
      <c r="P2478" s="10" t="s">
        <v>47</v>
      </c>
      <c r="Q2478" s="10" t="s">
        <v>623</v>
      </c>
      <c r="R2478" s="10" t="s">
        <v>624</v>
      </c>
      <c r="S2478" s="5">
        <v>0</v>
      </c>
      <c r="T2478" s="37">
        <v>0</v>
      </c>
      <c r="U2478" s="5">
        <v>0</v>
      </c>
      <c r="V2478" s="37">
        <v>0</v>
      </c>
      <c r="W2478" s="5">
        <v>0</v>
      </c>
      <c r="X2478" s="5">
        <v>0</v>
      </c>
      <c r="Y2478" s="5">
        <v>0</v>
      </c>
      <c r="Z2478" s="37">
        <v>0</v>
      </c>
      <c r="AA2478" s="5">
        <v>0</v>
      </c>
      <c r="AB2478" s="5">
        <v>0</v>
      </c>
      <c r="AC2478" s="5">
        <v>0</v>
      </c>
      <c r="AD2478" s="5">
        <v>0</v>
      </c>
      <c r="AE2478" s="10" t="s">
        <v>73</v>
      </c>
      <c r="AF2478" s="10"/>
      <c r="AG2478" s="10" t="s">
        <v>114</v>
      </c>
      <c r="AH2478" s="10">
        <v>42997</v>
      </c>
      <c r="AI2478" s="5">
        <v>3</v>
      </c>
      <c r="AJ2478" s="10" t="s">
        <v>13937</v>
      </c>
      <c r="AK2478" s="10" t="s">
        <v>13938</v>
      </c>
    </row>
    <row r="2479" spans="1:37" ht="36.75" customHeight="1" x14ac:dyDescent="0.35">
      <c r="A2479" s="5"/>
      <c r="B2479" s="5" t="s">
        <v>37</v>
      </c>
      <c r="C2479" s="73" t="str">
        <f t="shared" si="38"/>
        <v>Closed</v>
      </c>
      <c r="D2479" s="45" t="s">
        <v>13939</v>
      </c>
      <c r="E2479" s="54" t="s">
        <v>13940</v>
      </c>
      <c r="F2479" s="5" t="s">
        <v>214</v>
      </c>
      <c r="G2479" s="10">
        <f>DATE(2017,8,14)</f>
        <v>42961</v>
      </c>
      <c r="H2479" s="35">
        <v>1.598611111111111</v>
      </c>
      <c r="I2479" s="5" t="s">
        <v>55</v>
      </c>
      <c r="J2479" s="10" t="s">
        <v>13941</v>
      </c>
      <c r="K2479" s="5" t="s">
        <v>216</v>
      </c>
      <c r="L2479" s="5" t="s">
        <v>13942</v>
      </c>
      <c r="M2479" s="5" t="s">
        <v>45</v>
      </c>
      <c r="N2479" s="5" t="s">
        <v>123</v>
      </c>
      <c r="O2479" s="5" t="s">
        <v>67</v>
      </c>
      <c r="P2479" s="10" t="s">
        <v>60</v>
      </c>
      <c r="Q2479" s="10" t="s">
        <v>2739</v>
      </c>
      <c r="R2479" s="10" t="s">
        <v>216</v>
      </c>
      <c r="S2479" s="5">
        <v>0</v>
      </c>
      <c r="T2479" s="37">
        <v>0</v>
      </c>
      <c r="U2479" s="5">
        <v>0</v>
      </c>
      <c r="V2479" s="37">
        <v>0</v>
      </c>
      <c r="W2479" s="5">
        <v>0</v>
      </c>
      <c r="X2479" s="5">
        <v>0</v>
      </c>
      <c r="Y2479" s="5">
        <v>0</v>
      </c>
      <c r="Z2479" s="37">
        <v>0</v>
      </c>
      <c r="AA2479" s="5">
        <v>0</v>
      </c>
      <c r="AB2479" s="5">
        <v>0</v>
      </c>
      <c r="AC2479" s="5">
        <v>0</v>
      </c>
      <c r="AD2479" s="5">
        <v>0</v>
      </c>
      <c r="AE2479" s="10" t="s">
        <v>126</v>
      </c>
      <c r="AF2479" s="10"/>
      <c r="AG2479" s="10" t="s">
        <v>114</v>
      </c>
      <c r="AH2479" s="10">
        <v>42968</v>
      </c>
      <c r="AI2479" s="5">
        <v>1</v>
      </c>
      <c r="AJ2479" s="10" t="s">
        <v>13943</v>
      </c>
      <c r="AK2479" s="10" t="s">
        <v>13944</v>
      </c>
    </row>
    <row r="2480" spans="1:37" ht="36.75" customHeight="1" x14ac:dyDescent="0.35">
      <c r="A2480" s="5"/>
      <c r="B2480" s="5" t="s">
        <v>37</v>
      </c>
      <c r="C2480" s="73" t="str">
        <f t="shared" si="38"/>
        <v>Closed</v>
      </c>
      <c r="D2480" s="45" t="s">
        <v>13945</v>
      </c>
      <c r="E2480" s="54" t="s">
        <v>13946</v>
      </c>
      <c r="F2480" s="5" t="s">
        <v>214</v>
      </c>
      <c r="G2480" s="10">
        <f>DATE(2017,8,15)</f>
        <v>42962</v>
      </c>
      <c r="H2480" s="35">
        <v>1.2368055555555555</v>
      </c>
      <c r="I2480" s="5" t="s">
        <v>179</v>
      </c>
      <c r="J2480" s="10" t="s">
        <v>13947</v>
      </c>
      <c r="K2480" s="5" t="s">
        <v>216</v>
      </c>
      <c r="L2480" s="5" t="s">
        <v>13948</v>
      </c>
      <c r="M2480" s="5" t="s">
        <v>45</v>
      </c>
      <c r="N2480" s="5" t="s">
        <v>70</v>
      </c>
      <c r="O2480" s="5" t="s">
        <v>46</v>
      </c>
      <c r="P2480" s="10" t="s">
        <v>6881</v>
      </c>
      <c r="Q2480" s="10" t="s">
        <v>332</v>
      </c>
      <c r="R2480" s="10" t="s">
        <v>216</v>
      </c>
      <c r="S2480" s="5">
        <v>0</v>
      </c>
      <c r="T2480" s="37">
        <v>0</v>
      </c>
      <c r="U2480" s="5">
        <v>0</v>
      </c>
      <c r="V2480" s="37">
        <v>0</v>
      </c>
      <c r="W2480" s="5">
        <v>0</v>
      </c>
      <c r="X2480" s="5">
        <v>0</v>
      </c>
      <c r="Y2480" s="5">
        <v>0</v>
      </c>
      <c r="Z2480" s="37">
        <v>0</v>
      </c>
      <c r="AA2480" s="5">
        <v>0</v>
      </c>
      <c r="AB2480" s="5">
        <v>0</v>
      </c>
      <c r="AC2480" s="5">
        <v>0</v>
      </c>
      <c r="AD2480" s="5">
        <v>0</v>
      </c>
      <c r="AE2480" s="10" t="s">
        <v>73</v>
      </c>
      <c r="AF2480" s="10"/>
      <c r="AG2480" s="10" t="s">
        <v>114</v>
      </c>
      <c r="AH2480" s="10">
        <v>42968</v>
      </c>
      <c r="AI2480" s="5">
        <v>3</v>
      </c>
      <c r="AJ2480" s="10" t="s">
        <v>13949</v>
      </c>
      <c r="AK2480" s="10" t="s">
        <v>13950</v>
      </c>
    </row>
    <row r="2481" spans="1:37" ht="36.75" customHeight="1" x14ac:dyDescent="0.35">
      <c r="A2481" s="5"/>
      <c r="B2481" s="5" t="s">
        <v>37</v>
      </c>
      <c r="C2481" s="73" t="str">
        <f t="shared" si="38"/>
        <v>Closed</v>
      </c>
      <c r="D2481" s="45" t="s">
        <v>13951</v>
      </c>
      <c r="E2481" s="54" t="s">
        <v>13952</v>
      </c>
      <c r="F2481" s="5" t="s">
        <v>404</v>
      </c>
      <c r="G2481" s="10">
        <f>DATE(2017,8,16)</f>
        <v>42963</v>
      </c>
      <c r="H2481" s="35">
        <v>1.2944444444444445</v>
      </c>
      <c r="I2481" s="5" t="s">
        <v>55</v>
      </c>
      <c r="J2481" s="10" t="s">
        <v>13953</v>
      </c>
      <c r="K2481" s="5" t="s">
        <v>406</v>
      </c>
      <c r="L2481" s="5" t="s">
        <v>13954</v>
      </c>
      <c r="M2481" s="5" t="s">
        <v>45</v>
      </c>
      <c r="N2481" s="5" t="s">
        <v>80</v>
      </c>
      <c r="O2481" s="5" t="s">
        <v>59</v>
      </c>
      <c r="P2481" s="10" t="s">
        <v>146</v>
      </c>
      <c r="Q2481" s="10" t="s">
        <v>4531</v>
      </c>
      <c r="R2481" s="10" t="s">
        <v>3083</v>
      </c>
      <c r="S2481" s="5">
        <v>0</v>
      </c>
      <c r="T2481" s="37">
        <v>0</v>
      </c>
      <c r="U2481" s="5">
        <v>0</v>
      </c>
      <c r="V2481" s="37">
        <v>0</v>
      </c>
      <c r="W2481" s="5">
        <v>0</v>
      </c>
      <c r="X2481" s="5">
        <v>0</v>
      </c>
      <c r="Y2481" s="5">
        <v>0</v>
      </c>
      <c r="Z2481" s="37">
        <v>0</v>
      </c>
      <c r="AA2481" s="5">
        <v>0</v>
      </c>
      <c r="AB2481" s="5">
        <v>0</v>
      </c>
      <c r="AC2481" s="5">
        <v>0</v>
      </c>
      <c r="AD2481" s="5">
        <v>0</v>
      </c>
      <c r="AE2481" s="10" t="s">
        <v>73</v>
      </c>
      <c r="AF2481" s="10"/>
      <c r="AG2481" s="10" t="s">
        <v>114</v>
      </c>
      <c r="AH2481" s="10">
        <v>42963</v>
      </c>
      <c r="AI2481" s="5">
        <v>0</v>
      </c>
      <c r="AJ2481" s="10" t="s">
        <v>13955</v>
      </c>
      <c r="AK2481" s="10" t="s">
        <v>13956</v>
      </c>
    </row>
    <row r="2482" spans="1:37" ht="36.75" customHeight="1" x14ac:dyDescent="0.35">
      <c r="A2482" s="5"/>
      <c r="B2482" s="5" t="s">
        <v>37</v>
      </c>
      <c r="C2482" s="73" t="str">
        <f t="shared" si="38"/>
        <v>Closed</v>
      </c>
      <c r="D2482" s="45" t="s">
        <v>13957</v>
      </c>
      <c r="E2482" s="54" t="s">
        <v>13958</v>
      </c>
      <c r="F2482" s="5" t="s">
        <v>816</v>
      </c>
      <c r="G2482" s="10">
        <f>DATE(2017,8,16)</f>
        <v>42963</v>
      </c>
      <c r="H2482" s="35">
        <v>1.5951388888888889</v>
      </c>
      <c r="I2482" s="5" t="s">
        <v>55</v>
      </c>
      <c r="J2482" s="10" t="s">
        <v>13959</v>
      </c>
      <c r="K2482" s="5" t="s">
        <v>818</v>
      </c>
      <c r="L2482" s="5" t="s">
        <v>13960</v>
      </c>
      <c r="M2482" s="5" t="s">
        <v>236</v>
      </c>
      <c r="N2482" s="5" t="s">
        <v>123</v>
      </c>
      <c r="O2482" s="5" t="s">
        <v>67</v>
      </c>
      <c r="P2482" s="10" t="s">
        <v>6531</v>
      </c>
      <c r="Q2482" s="10" t="s">
        <v>4190</v>
      </c>
      <c r="R2482" s="10" t="s">
        <v>4190</v>
      </c>
      <c r="S2482" s="5">
        <v>0</v>
      </c>
      <c r="T2482" s="37">
        <v>0</v>
      </c>
      <c r="U2482" s="5">
        <v>0</v>
      </c>
      <c r="V2482" s="37">
        <v>0</v>
      </c>
      <c r="W2482" s="5">
        <v>0</v>
      </c>
      <c r="X2482" s="5">
        <v>0</v>
      </c>
      <c r="Y2482" s="5">
        <v>0</v>
      </c>
      <c r="Z2482" s="37">
        <v>0</v>
      </c>
      <c r="AA2482" s="5">
        <v>0</v>
      </c>
      <c r="AB2482" s="5">
        <v>0</v>
      </c>
      <c r="AC2482" s="5">
        <v>0</v>
      </c>
      <c r="AD2482" s="5">
        <v>0</v>
      </c>
      <c r="AE2482" s="10" t="s">
        <v>73</v>
      </c>
      <c r="AF2482" s="10"/>
      <c r="AG2482" s="10" t="s">
        <v>114</v>
      </c>
      <c r="AH2482" s="10">
        <v>42963</v>
      </c>
      <c r="AI2482" s="5">
        <v>0</v>
      </c>
      <c r="AJ2482" s="10" t="s">
        <v>13961</v>
      </c>
      <c r="AK2482" s="10" t="s">
        <v>50</v>
      </c>
    </row>
    <row r="2483" spans="1:37" ht="36.75" customHeight="1" x14ac:dyDescent="0.35">
      <c r="A2483" s="5"/>
      <c r="B2483" s="5" t="s">
        <v>37</v>
      </c>
      <c r="C2483" s="73" t="str">
        <f t="shared" si="38"/>
        <v>Closed</v>
      </c>
      <c r="D2483" s="45" t="s">
        <v>13962</v>
      </c>
      <c r="E2483" s="54" t="s">
        <v>13963</v>
      </c>
      <c r="F2483" s="5" t="s">
        <v>404</v>
      </c>
      <c r="G2483" s="10">
        <f>DATE(2017,8,18)</f>
        <v>42965</v>
      </c>
      <c r="H2483" s="35">
        <v>1.4458333333333333</v>
      </c>
      <c r="I2483" s="5" t="s">
        <v>97</v>
      </c>
      <c r="J2483" s="10" t="s">
        <v>13964</v>
      </c>
      <c r="K2483" s="5" t="s">
        <v>406</v>
      </c>
      <c r="L2483" s="5" t="s">
        <v>13965</v>
      </c>
      <c r="M2483" s="5" t="s">
        <v>45</v>
      </c>
      <c r="N2483" s="5" t="s">
        <v>80</v>
      </c>
      <c r="O2483" s="5" t="s">
        <v>46</v>
      </c>
      <c r="P2483" s="10" t="s">
        <v>146</v>
      </c>
      <c r="Q2483" s="10" t="s">
        <v>4531</v>
      </c>
      <c r="R2483" s="10" t="s">
        <v>3083</v>
      </c>
      <c r="S2483" s="5">
        <v>0</v>
      </c>
      <c r="T2483" s="37">
        <v>0</v>
      </c>
      <c r="U2483" s="5">
        <v>1</v>
      </c>
      <c r="V2483" s="37">
        <v>0</v>
      </c>
      <c r="W2483" s="5">
        <v>0</v>
      </c>
      <c r="X2483" s="5">
        <v>1</v>
      </c>
      <c r="Y2483" s="5">
        <v>0</v>
      </c>
      <c r="Z2483" s="37">
        <v>0</v>
      </c>
      <c r="AA2483" s="5">
        <v>0</v>
      </c>
      <c r="AB2483" s="5">
        <v>0</v>
      </c>
      <c r="AC2483" s="5">
        <v>0</v>
      </c>
      <c r="AD2483" s="5">
        <v>0</v>
      </c>
      <c r="AE2483" s="10" t="s">
        <v>73</v>
      </c>
      <c r="AF2483" s="10"/>
      <c r="AG2483" s="10" t="s">
        <v>855</v>
      </c>
      <c r="AH2483" s="10">
        <v>42965</v>
      </c>
      <c r="AI2483" s="5">
        <v>1</v>
      </c>
      <c r="AJ2483" s="10" t="s">
        <v>13897</v>
      </c>
      <c r="AK2483" s="10" t="s">
        <v>13966</v>
      </c>
    </row>
    <row r="2484" spans="1:37" ht="36.75" customHeight="1" x14ac:dyDescent="0.35">
      <c r="A2484" s="5"/>
      <c r="B2484" s="5" t="s">
        <v>37</v>
      </c>
      <c r="C2484" s="73" t="str">
        <f t="shared" si="38"/>
        <v>Closed</v>
      </c>
      <c r="D2484" s="45" t="s">
        <v>13967</v>
      </c>
      <c r="E2484" s="54" t="s">
        <v>13968</v>
      </c>
      <c r="F2484" s="5" t="s">
        <v>404</v>
      </c>
      <c r="G2484" s="10">
        <f>DATE(2017,8,18)</f>
        <v>42965</v>
      </c>
      <c r="H2484" s="35">
        <v>1.6062500000000002</v>
      </c>
      <c r="I2484" s="5" t="s">
        <v>97</v>
      </c>
      <c r="J2484" s="10" t="s">
        <v>13969</v>
      </c>
      <c r="K2484" s="5" t="s">
        <v>406</v>
      </c>
      <c r="L2484" s="5" t="s">
        <v>13970</v>
      </c>
      <c r="M2484" s="5" t="s">
        <v>45</v>
      </c>
      <c r="N2484" s="5" t="s">
        <v>80</v>
      </c>
      <c r="O2484" s="5" t="s">
        <v>59</v>
      </c>
      <c r="P2484" s="10" t="s">
        <v>146</v>
      </c>
      <c r="Q2484" s="10" t="s">
        <v>4531</v>
      </c>
      <c r="R2484" s="10" t="s">
        <v>3083</v>
      </c>
      <c r="S2484" s="5">
        <v>0</v>
      </c>
      <c r="T2484" s="37">
        <v>0</v>
      </c>
      <c r="U2484" s="5">
        <v>2</v>
      </c>
      <c r="V2484" s="37">
        <v>0</v>
      </c>
      <c r="W2484" s="5">
        <v>0</v>
      </c>
      <c r="X2484" s="5">
        <v>2</v>
      </c>
      <c r="Y2484" s="5">
        <v>0</v>
      </c>
      <c r="Z2484" s="37">
        <v>0</v>
      </c>
      <c r="AA2484" s="5">
        <v>1</v>
      </c>
      <c r="AB2484" s="5">
        <v>0</v>
      </c>
      <c r="AC2484" s="5">
        <v>0</v>
      </c>
      <c r="AD2484" s="5">
        <v>1</v>
      </c>
      <c r="AE2484" s="10" t="s">
        <v>73</v>
      </c>
      <c r="AF2484" s="10"/>
      <c r="AG2484" s="10" t="s">
        <v>114</v>
      </c>
      <c r="AH2484" s="10">
        <v>42965</v>
      </c>
      <c r="AI2484" s="5">
        <v>1</v>
      </c>
      <c r="AJ2484" s="10" t="s">
        <v>13971</v>
      </c>
      <c r="AK2484" s="10" t="s">
        <v>13972</v>
      </c>
    </row>
    <row r="2485" spans="1:37" ht="36.75" customHeight="1" x14ac:dyDescent="0.35">
      <c r="A2485" s="5"/>
      <c r="B2485" s="5" t="s">
        <v>37</v>
      </c>
      <c r="C2485" s="73" t="str">
        <f t="shared" si="38"/>
        <v>Closed</v>
      </c>
      <c r="D2485" s="45" t="s">
        <v>13973</v>
      </c>
      <c r="E2485" s="54" t="s">
        <v>13974</v>
      </c>
      <c r="F2485" s="5" t="s">
        <v>96</v>
      </c>
      <c r="G2485" s="10">
        <f>DATE(2017,8,18)</f>
        <v>42965</v>
      </c>
      <c r="H2485" s="35">
        <v>1.3569444444444445</v>
      </c>
      <c r="I2485" s="5" t="s">
        <v>41</v>
      </c>
      <c r="J2485" s="10" t="s">
        <v>13975</v>
      </c>
      <c r="K2485" s="5" t="s">
        <v>99</v>
      </c>
      <c r="L2485" s="5" t="s">
        <v>13976</v>
      </c>
      <c r="M2485" s="5" t="s">
        <v>45</v>
      </c>
      <c r="N2485" s="5" t="s">
        <v>123</v>
      </c>
      <c r="O2485" s="5" t="s">
        <v>46</v>
      </c>
      <c r="P2485" s="10" t="s">
        <v>146</v>
      </c>
      <c r="Q2485" s="10" t="s">
        <v>101</v>
      </c>
      <c r="R2485" s="10" t="s">
        <v>102</v>
      </c>
      <c r="S2485" s="5">
        <v>0</v>
      </c>
      <c r="T2485" s="37">
        <v>0</v>
      </c>
      <c r="U2485" s="5">
        <v>0</v>
      </c>
      <c r="V2485" s="37">
        <v>0</v>
      </c>
      <c r="W2485" s="5">
        <v>0</v>
      </c>
      <c r="X2485" s="5">
        <v>0</v>
      </c>
      <c r="Y2485" s="5">
        <v>0</v>
      </c>
      <c r="Z2485" s="37">
        <v>0</v>
      </c>
      <c r="AA2485" s="5">
        <v>0</v>
      </c>
      <c r="AB2485" s="5">
        <v>0</v>
      </c>
      <c r="AC2485" s="5">
        <v>0</v>
      </c>
      <c r="AD2485" s="5">
        <v>0</v>
      </c>
      <c r="AE2485" s="10" t="s">
        <v>73</v>
      </c>
      <c r="AF2485" s="10"/>
      <c r="AG2485" s="10" t="s">
        <v>114</v>
      </c>
      <c r="AH2485" s="10">
        <v>42970</v>
      </c>
      <c r="AI2485" s="5">
        <v>3</v>
      </c>
      <c r="AJ2485" s="10" t="s">
        <v>13977</v>
      </c>
      <c r="AK2485" s="10" t="s">
        <v>13978</v>
      </c>
    </row>
    <row r="2486" spans="1:37" ht="36.75" customHeight="1" x14ac:dyDescent="0.35">
      <c r="A2486" s="5"/>
      <c r="B2486" s="5" t="s">
        <v>37</v>
      </c>
      <c r="C2486" s="73" t="str">
        <f t="shared" si="38"/>
        <v>Closed</v>
      </c>
      <c r="D2486" s="45" t="s">
        <v>13979</v>
      </c>
      <c r="E2486" s="54" t="s">
        <v>13980</v>
      </c>
      <c r="F2486" s="5" t="s">
        <v>619</v>
      </c>
      <c r="G2486" s="10">
        <f>DATE(2017,8,21)</f>
        <v>42968</v>
      </c>
      <c r="H2486" s="35">
        <v>1.3687499999999999</v>
      </c>
      <c r="I2486" s="5" t="s">
        <v>85</v>
      </c>
      <c r="J2486" s="10" t="s">
        <v>13981</v>
      </c>
      <c r="K2486" s="5" t="s">
        <v>621</v>
      </c>
      <c r="L2486" s="5" t="s">
        <v>13982</v>
      </c>
      <c r="M2486" s="5" t="s">
        <v>45</v>
      </c>
      <c r="N2486" s="5" t="s">
        <v>80</v>
      </c>
      <c r="O2486" s="5" t="s">
        <v>59</v>
      </c>
      <c r="P2486" s="10" t="s">
        <v>197</v>
      </c>
      <c r="Q2486" s="10" t="s">
        <v>13983</v>
      </c>
      <c r="R2486" s="10" t="s">
        <v>624</v>
      </c>
      <c r="S2486" s="5">
        <v>0</v>
      </c>
      <c r="T2486" s="37">
        <v>0</v>
      </c>
      <c r="U2486" s="5">
        <v>0</v>
      </c>
      <c r="V2486" s="37">
        <v>0</v>
      </c>
      <c r="W2486" s="5">
        <v>0</v>
      </c>
      <c r="X2486" s="5">
        <v>0</v>
      </c>
      <c r="Y2486" s="5">
        <v>0</v>
      </c>
      <c r="Z2486" s="37">
        <v>0</v>
      </c>
      <c r="AA2486" s="5">
        <v>0</v>
      </c>
      <c r="AB2486" s="5">
        <v>0</v>
      </c>
      <c r="AC2486" s="5">
        <v>0</v>
      </c>
      <c r="AD2486" s="5">
        <v>0</v>
      </c>
      <c r="AE2486" s="10" t="s">
        <v>73</v>
      </c>
      <c r="AF2486" s="10"/>
      <c r="AG2486" s="10" t="s">
        <v>114</v>
      </c>
      <c r="AH2486" s="10">
        <v>42997</v>
      </c>
      <c r="AI2486" s="5">
        <v>4</v>
      </c>
      <c r="AJ2486" s="10" t="s">
        <v>13984</v>
      </c>
      <c r="AK2486" s="10" t="s">
        <v>13985</v>
      </c>
    </row>
    <row r="2487" spans="1:37" ht="36.75" customHeight="1" x14ac:dyDescent="0.35">
      <c r="A2487" s="5"/>
      <c r="B2487" s="5" t="s">
        <v>37</v>
      </c>
      <c r="C2487" s="73" t="str">
        <f t="shared" si="38"/>
        <v>Closed</v>
      </c>
      <c r="D2487" s="45" t="s">
        <v>13986</v>
      </c>
      <c r="E2487" s="54" t="s">
        <v>13987</v>
      </c>
      <c r="F2487" s="5" t="s">
        <v>816</v>
      </c>
      <c r="G2487" s="10">
        <f>DATE(2017,8,21)</f>
        <v>42968</v>
      </c>
      <c r="H2487" s="35">
        <v>1.7020833333333334</v>
      </c>
      <c r="I2487" s="5" t="s">
        <v>85</v>
      </c>
      <c r="J2487" s="10" t="s">
        <v>13988</v>
      </c>
      <c r="K2487" s="5" t="s">
        <v>818</v>
      </c>
      <c r="L2487" s="5" t="s">
        <v>13989</v>
      </c>
      <c r="M2487" s="5" t="s">
        <v>45</v>
      </c>
      <c r="N2487" s="5" t="s">
        <v>80</v>
      </c>
      <c r="O2487" s="5" t="s">
        <v>59</v>
      </c>
      <c r="P2487" s="10" t="s">
        <v>60</v>
      </c>
      <c r="Q2487" s="10" t="s">
        <v>6259</v>
      </c>
      <c r="R2487" s="10" t="s">
        <v>821</v>
      </c>
      <c r="S2487" s="5">
        <v>0</v>
      </c>
      <c r="T2487" s="37">
        <v>0</v>
      </c>
      <c r="U2487" s="5">
        <v>0</v>
      </c>
      <c r="V2487" s="37">
        <v>0</v>
      </c>
      <c r="W2487" s="5">
        <v>0</v>
      </c>
      <c r="X2487" s="5">
        <v>0</v>
      </c>
      <c r="Y2487" s="5">
        <v>0</v>
      </c>
      <c r="Z2487" s="37">
        <v>0</v>
      </c>
      <c r="AA2487" s="5">
        <v>0</v>
      </c>
      <c r="AB2487" s="5">
        <v>0</v>
      </c>
      <c r="AC2487" s="5">
        <v>0</v>
      </c>
      <c r="AD2487" s="5">
        <v>0</v>
      </c>
      <c r="AE2487" s="10" t="s">
        <v>73</v>
      </c>
      <c r="AF2487" s="10"/>
      <c r="AG2487" s="10" t="s">
        <v>333</v>
      </c>
      <c r="AH2487" s="10">
        <v>42970</v>
      </c>
      <c r="AI2487" s="5">
        <v>0</v>
      </c>
      <c r="AJ2487" s="10" t="s">
        <v>13990</v>
      </c>
      <c r="AK2487" s="10" t="s">
        <v>13991</v>
      </c>
    </row>
    <row r="2488" spans="1:37" ht="36.75" customHeight="1" x14ac:dyDescent="0.35">
      <c r="A2488" s="5"/>
      <c r="B2488" s="5" t="s">
        <v>37</v>
      </c>
      <c r="C2488" s="73" t="str">
        <f t="shared" si="38"/>
        <v>Closed</v>
      </c>
      <c r="D2488" s="45" t="s">
        <v>13992</v>
      </c>
      <c r="E2488" s="54" t="s">
        <v>13993</v>
      </c>
      <c r="F2488" s="5" t="s">
        <v>816</v>
      </c>
      <c r="G2488" s="10">
        <f>DATE(2017,8,21)</f>
        <v>42968</v>
      </c>
      <c r="H2488" s="35">
        <v>1.1555555555555554</v>
      </c>
      <c r="I2488" s="5" t="s">
        <v>85</v>
      </c>
      <c r="J2488" s="10" t="s">
        <v>13994</v>
      </c>
      <c r="K2488" s="5" t="s">
        <v>818</v>
      </c>
      <c r="L2488" s="5" t="s">
        <v>13995</v>
      </c>
      <c r="M2488" s="5" t="s">
        <v>45</v>
      </c>
      <c r="N2488" s="5" t="s">
        <v>123</v>
      </c>
      <c r="O2488" s="5" t="s">
        <v>59</v>
      </c>
      <c r="P2488" s="10" t="s">
        <v>60</v>
      </c>
      <c r="Q2488" s="10" t="s">
        <v>12906</v>
      </c>
      <c r="R2488" s="10" t="s">
        <v>821</v>
      </c>
      <c r="S2488" s="5">
        <v>0</v>
      </c>
      <c r="T2488" s="37">
        <v>0</v>
      </c>
      <c r="U2488" s="5">
        <v>0</v>
      </c>
      <c r="V2488" s="37">
        <v>0</v>
      </c>
      <c r="W2488" s="5">
        <v>0</v>
      </c>
      <c r="X2488" s="5">
        <v>0</v>
      </c>
      <c r="Y2488" s="5">
        <v>0</v>
      </c>
      <c r="Z2488" s="37">
        <v>0</v>
      </c>
      <c r="AA2488" s="5">
        <v>0</v>
      </c>
      <c r="AB2488" s="5">
        <v>0</v>
      </c>
      <c r="AC2488" s="5">
        <v>0</v>
      </c>
      <c r="AD2488" s="5">
        <v>0</v>
      </c>
      <c r="AE2488" s="10" t="s">
        <v>73</v>
      </c>
      <c r="AF2488" s="10"/>
      <c r="AG2488" s="10" t="s">
        <v>333</v>
      </c>
      <c r="AH2488" s="10">
        <v>42986</v>
      </c>
      <c r="AI2488" s="5">
        <v>0</v>
      </c>
      <c r="AJ2488" s="10" t="s">
        <v>13996</v>
      </c>
      <c r="AK2488" s="10" t="s">
        <v>13997</v>
      </c>
    </row>
    <row r="2489" spans="1:37" ht="36.75" customHeight="1" x14ac:dyDescent="0.35">
      <c r="A2489" s="5"/>
      <c r="B2489" s="5" t="s">
        <v>887</v>
      </c>
      <c r="C2489" s="73" t="str">
        <f t="shared" si="38"/>
        <v>Open</v>
      </c>
      <c r="D2489" s="45" t="s">
        <v>13998</v>
      </c>
      <c r="E2489" s="54" t="s">
        <v>13999</v>
      </c>
      <c r="F2489" s="5" t="s">
        <v>178</v>
      </c>
      <c r="G2489" s="10">
        <f>DATE(2017,8,23)</f>
        <v>42970</v>
      </c>
      <c r="H2489" s="35">
        <v>1.4944444444444445</v>
      </c>
      <c r="I2489" s="5" t="s">
        <v>179</v>
      </c>
      <c r="J2489" s="10" t="s">
        <v>14000</v>
      </c>
      <c r="K2489" s="5" t="s">
        <v>181</v>
      </c>
      <c r="L2489" s="5" t="s">
        <v>3200</v>
      </c>
      <c r="M2489" s="5" t="s">
        <v>45</v>
      </c>
      <c r="N2489" s="5" t="s">
        <v>70</v>
      </c>
      <c r="O2489" s="5" t="s">
        <v>71</v>
      </c>
      <c r="P2489" s="10" t="s">
        <v>5578</v>
      </c>
      <c r="Q2489" s="10" t="s">
        <v>14001</v>
      </c>
      <c r="R2489" s="10" t="s">
        <v>184</v>
      </c>
      <c r="S2489" s="5">
        <v>0</v>
      </c>
      <c r="T2489" s="37">
        <v>0</v>
      </c>
      <c r="U2489" s="5">
        <v>0</v>
      </c>
      <c r="V2489" s="37">
        <v>0</v>
      </c>
      <c r="W2489" s="5">
        <v>0</v>
      </c>
      <c r="X2489" s="5">
        <v>0</v>
      </c>
      <c r="Y2489" s="5">
        <v>0</v>
      </c>
      <c r="Z2489" s="37">
        <v>1</v>
      </c>
      <c r="AA2489" s="5">
        <v>0</v>
      </c>
      <c r="AB2489" s="5">
        <v>0</v>
      </c>
      <c r="AC2489" s="5">
        <v>0</v>
      </c>
      <c r="AD2489" s="5">
        <v>1</v>
      </c>
      <c r="AE2489" s="10" t="s">
        <v>126</v>
      </c>
      <c r="AF2489" s="10"/>
      <c r="AG2489" s="10" t="s">
        <v>64</v>
      </c>
      <c r="AH2489" s="10">
        <v>42970</v>
      </c>
      <c r="AI2489" s="5">
        <v>0</v>
      </c>
      <c r="AJ2489" s="10" t="s">
        <v>50</v>
      </c>
      <c r="AK2489" s="10" t="s">
        <v>50</v>
      </c>
    </row>
    <row r="2490" spans="1:37" ht="36.75" customHeight="1" x14ac:dyDescent="0.35">
      <c r="A2490" s="5"/>
      <c r="B2490" s="5" t="s">
        <v>37</v>
      </c>
      <c r="C2490" s="73" t="str">
        <f t="shared" si="38"/>
        <v>Closed</v>
      </c>
      <c r="D2490" s="45" t="s">
        <v>14002</v>
      </c>
      <c r="E2490" s="54" t="s">
        <v>14003</v>
      </c>
      <c r="F2490" s="5" t="s">
        <v>404</v>
      </c>
      <c r="G2490" s="10">
        <f>DATE(2017,8,25)</f>
        <v>42972</v>
      </c>
      <c r="H2490" s="35">
        <v>1.5715277777777779</v>
      </c>
      <c r="I2490" s="5" t="s">
        <v>97</v>
      </c>
      <c r="J2490" s="10" t="s">
        <v>14004</v>
      </c>
      <c r="K2490" s="5" t="s">
        <v>406</v>
      </c>
      <c r="L2490" s="5" t="s">
        <v>14005</v>
      </c>
      <c r="M2490" s="5" t="s">
        <v>45</v>
      </c>
      <c r="N2490" s="5" t="s">
        <v>80</v>
      </c>
      <c r="O2490" s="5" t="s">
        <v>46</v>
      </c>
      <c r="P2490" s="10" t="s">
        <v>146</v>
      </c>
      <c r="Q2490" s="10" t="s">
        <v>4531</v>
      </c>
      <c r="R2490" s="10" t="s">
        <v>3083</v>
      </c>
      <c r="S2490" s="5">
        <v>0</v>
      </c>
      <c r="T2490" s="37">
        <v>0</v>
      </c>
      <c r="U2490" s="5">
        <v>0</v>
      </c>
      <c r="V2490" s="37">
        <v>0</v>
      </c>
      <c r="W2490" s="5">
        <v>0</v>
      </c>
      <c r="X2490" s="5">
        <v>0</v>
      </c>
      <c r="Y2490" s="5">
        <v>0</v>
      </c>
      <c r="Z2490" s="37">
        <v>0</v>
      </c>
      <c r="AA2490" s="5">
        <v>0</v>
      </c>
      <c r="AB2490" s="5">
        <v>0</v>
      </c>
      <c r="AC2490" s="5">
        <v>0</v>
      </c>
      <c r="AD2490" s="5">
        <v>0</v>
      </c>
      <c r="AE2490" s="10" t="s">
        <v>73</v>
      </c>
      <c r="AF2490" s="10"/>
      <c r="AG2490" s="10" t="s">
        <v>333</v>
      </c>
      <c r="AH2490" s="10">
        <v>42972</v>
      </c>
      <c r="AI2490" s="5">
        <v>1</v>
      </c>
      <c r="AJ2490" s="10" t="s">
        <v>14006</v>
      </c>
      <c r="AK2490" s="10" t="s">
        <v>14007</v>
      </c>
    </row>
    <row r="2491" spans="1:37" ht="36.75" customHeight="1" x14ac:dyDescent="0.35">
      <c r="A2491" s="5"/>
      <c r="B2491" s="5" t="s">
        <v>37</v>
      </c>
      <c r="C2491" s="73" t="str">
        <f t="shared" si="38"/>
        <v>Closed</v>
      </c>
      <c r="D2491" s="45" t="s">
        <v>14008</v>
      </c>
      <c r="E2491" s="54" t="s">
        <v>14009</v>
      </c>
      <c r="F2491" s="5" t="s">
        <v>816</v>
      </c>
      <c r="G2491" s="10">
        <f>DATE(2017,8,25)</f>
        <v>42972</v>
      </c>
      <c r="H2491" s="35">
        <v>1.6145833333333335</v>
      </c>
      <c r="I2491" s="5" t="s">
        <v>85</v>
      </c>
      <c r="J2491" s="10" t="s">
        <v>14010</v>
      </c>
      <c r="K2491" s="5" t="s">
        <v>818</v>
      </c>
      <c r="L2491" s="5" t="s">
        <v>11561</v>
      </c>
      <c r="M2491" s="5" t="s">
        <v>45</v>
      </c>
      <c r="N2491" s="5" t="s">
        <v>80</v>
      </c>
      <c r="O2491" s="5" t="s">
        <v>59</v>
      </c>
      <c r="P2491" s="10" t="s">
        <v>47</v>
      </c>
      <c r="Q2491" s="10" t="s">
        <v>2142</v>
      </c>
      <c r="R2491" s="10" t="s">
        <v>821</v>
      </c>
      <c r="S2491" s="5">
        <v>0</v>
      </c>
      <c r="T2491" s="37">
        <v>0</v>
      </c>
      <c r="U2491" s="5">
        <v>0</v>
      </c>
      <c r="V2491" s="37">
        <v>0</v>
      </c>
      <c r="W2491" s="5">
        <v>0</v>
      </c>
      <c r="X2491" s="5">
        <v>0</v>
      </c>
      <c r="Y2491" s="5">
        <v>0</v>
      </c>
      <c r="Z2491" s="37">
        <v>0</v>
      </c>
      <c r="AA2491" s="5">
        <v>0</v>
      </c>
      <c r="AB2491" s="5">
        <v>0</v>
      </c>
      <c r="AC2491" s="5">
        <v>0</v>
      </c>
      <c r="AD2491" s="5">
        <v>0</v>
      </c>
      <c r="AE2491" s="10" t="s">
        <v>73</v>
      </c>
      <c r="AF2491" s="10"/>
      <c r="AG2491" s="10" t="s">
        <v>114</v>
      </c>
      <c r="AH2491" s="10">
        <v>42972</v>
      </c>
      <c r="AI2491" s="5">
        <v>0</v>
      </c>
      <c r="AJ2491" s="10" t="s">
        <v>14011</v>
      </c>
      <c r="AK2491" s="10" t="s">
        <v>50</v>
      </c>
    </row>
    <row r="2492" spans="1:37" ht="36.75" customHeight="1" x14ac:dyDescent="0.35">
      <c r="A2492" s="5"/>
      <c r="B2492" s="5" t="s">
        <v>37</v>
      </c>
      <c r="C2492" s="73" t="str">
        <f t="shared" si="38"/>
        <v>Closed</v>
      </c>
      <c r="D2492" s="45" t="s">
        <v>14012</v>
      </c>
      <c r="E2492" s="54" t="s">
        <v>14013</v>
      </c>
      <c r="F2492" s="5" t="s">
        <v>404</v>
      </c>
      <c r="G2492" s="10">
        <f>DATE(2017,8,27)</f>
        <v>42974</v>
      </c>
      <c r="H2492" s="35">
        <v>1.6520833333333333</v>
      </c>
      <c r="I2492" s="5" t="s">
        <v>137</v>
      </c>
      <c r="J2492" s="10" t="s">
        <v>14014</v>
      </c>
      <c r="K2492" s="5" t="s">
        <v>406</v>
      </c>
      <c r="L2492" s="5" t="s">
        <v>14015</v>
      </c>
      <c r="M2492" s="5" t="s">
        <v>45</v>
      </c>
      <c r="N2492" s="5" t="s">
        <v>80</v>
      </c>
      <c r="O2492" s="5" t="s">
        <v>46</v>
      </c>
      <c r="P2492" s="10" t="s">
        <v>146</v>
      </c>
      <c r="Q2492" s="10" t="s">
        <v>4531</v>
      </c>
      <c r="R2492" s="10" t="s">
        <v>3083</v>
      </c>
      <c r="S2492" s="5">
        <v>0</v>
      </c>
      <c r="T2492" s="37">
        <v>0</v>
      </c>
      <c r="U2492" s="5">
        <v>0</v>
      </c>
      <c r="V2492" s="37">
        <v>0</v>
      </c>
      <c r="W2492" s="5">
        <v>0</v>
      </c>
      <c r="X2492" s="5">
        <v>0</v>
      </c>
      <c r="Y2492" s="5">
        <v>0</v>
      </c>
      <c r="Z2492" s="37">
        <v>0</v>
      </c>
      <c r="AA2492" s="5">
        <v>0</v>
      </c>
      <c r="AB2492" s="5">
        <v>0</v>
      </c>
      <c r="AC2492" s="5">
        <v>0</v>
      </c>
      <c r="AD2492" s="5">
        <v>0</v>
      </c>
      <c r="AE2492" s="10" t="s">
        <v>73</v>
      </c>
      <c r="AF2492" s="10"/>
      <c r="AG2492" s="10" t="s">
        <v>333</v>
      </c>
      <c r="AH2492" s="10">
        <v>42974</v>
      </c>
      <c r="AI2492" s="5">
        <v>0</v>
      </c>
      <c r="AJ2492" s="10" t="s">
        <v>14016</v>
      </c>
      <c r="AK2492" s="10" t="s">
        <v>14017</v>
      </c>
    </row>
    <row r="2493" spans="1:37" ht="36.75" customHeight="1" x14ac:dyDescent="0.35">
      <c r="A2493" s="5"/>
      <c r="B2493" s="5" t="s">
        <v>37</v>
      </c>
      <c r="C2493" s="73" t="str">
        <f t="shared" si="38"/>
        <v>Closed</v>
      </c>
      <c r="D2493" s="45" t="s">
        <v>14018</v>
      </c>
      <c r="E2493" s="54" t="s">
        <v>14019</v>
      </c>
      <c r="F2493" s="5" t="s">
        <v>2316</v>
      </c>
      <c r="G2493" s="10">
        <f>DATE(2017,8,30)</f>
        <v>42977</v>
      </c>
      <c r="H2493" s="35">
        <v>1.9118055555555555</v>
      </c>
      <c r="I2493" s="5" t="s">
        <v>179</v>
      </c>
      <c r="J2493" s="10" t="s">
        <v>14020</v>
      </c>
      <c r="K2493" s="5" t="s">
        <v>2318</v>
      </c>
      <c r="L2493" s="5" t="s">
        <v>14021</v>
      </c>
      <c r="M2493" s="5" t="s">
        <v>45</v>
      </c>
      <c r="N2493" s="5" t="s">
        <v>123</v>
      </c>
      <c r="O2493" s="5" t="s">
        <v>59</v>
      </c>
      <c r="P2493" s="10" t="s">
        <v>10132</v>
      </c>
      <c r="Q2493" s="10" t="s">
        <v>14022</v>
      </c>
      <c r="R2493" s="10" t="s">
        <v>2321</v>
      </c>
      <c r="S2493" s="5">
        <v>0</v>
      </c>
      <c r="T2493" s="37">
        <v>0</v>
      </c>
      <c r="U2493" s="5">
        <v>0</v>
      </c>
      <c r="V2493" s="37">
        <v>0</v>
      </c>
      <c r="W2493" s="5">
        <v>0</v>
      </c>
      <c r="X2493" s="5">
        <v>0</v>
      </c>
      <c r="Y2493" s="5">
        <v>10</v>
      </c>
      <c r="Z2493" s="37">
        <v>0</v>
      </c>
      <c r="AA2493" s="5">
        <v>0</v>
      </c>
      <c r="AB2493" s="5">
        <v>0</v>
      </c>
      <c r="AC2493" s="5">
        <v>0</v>
      </c>
      <c r="AD2493" s="5">
        <v>10</v>
      </c>
      <c r="AE2493" s="10" t="s">
        <v>375</v>
      </c>
      <c r="AF2493" s="10"/>
      <c r="AG2493" s="10" t="s">
        <v>114</v>
      </c>
      <c r="AH2493" s="10">
        <v>42983</v>
      </c>
      <c r="AI2493" s="5">
        <v>10</v>
      </c>
      <c r="AJ2493" s="10" t="s">
        <v>14023</v>
      </c>
      <c r="AK2493" s="10" t="s">
        <v>14024</v>
      </c>
    </row>
    <row r="2494" spans="1:37" ht="36.75" customHeight="1" x14ac:dyDescent="0.35">
      <c r="A2494" s="5"/>
      <c r="B2494" s="5" t="s">
        <v>37</v>
      </c>
      <c r="C2494" s="73" t="str">
        <f t="shared" si="38"/>
        <v>Closed</v>
      </c>
      <c r="D2494" s="45" t="s">
        <v>14025</v>
      </c>
      <c r="E2494" s="54" t="s">
        <v>14026</v>
      </c>
      <c r="F2494" s="5" t="s">
        <v>404</v>
      </c>
      <c r="G2494" s="10">
        <f>DATE(2017,8,31)</f>
        <v>42978</v>
      </c>
      <c r="H2494" s="35">
        <v>1.0666666666666667</v>
      </c>
      <c r="I2494" s="5" t="s">
        <v>55</v>
      </c>
      <c r="J2494" s="10" t="s">
        <v>14027</v>
      </c>
      <c r="K2494" s="5" t="s">
        <v>406</v>
      </c>
      <c r="L2494" s="5" t="s">
        <v>14028</v>
      </c>
      <c r="M2494" s="5" t="s">
        <v>45</v>
      </c>
      <c r="N2494" s="5" t="s">
        <v>80</v>
      </c>
      <c r="O2494" s="5" t="s">
        <v>59</v>
      </c>
      <c r="P2494" s="10" t="s">
        <v>60</v>
      </c>
      <c r="Q2494" s="10" t="s">
        <v>2562</v>
      </c>
      <c r="R2494" s="10" t="s">
        <v>3083</v>
      </c>
      <c r="S2494" s="5">
        <v>0</v>
      </c>
      <c r="T2494" s="37">
        <v>0</v>
      </c>
      <c r="U2494" s="5">
        <v>0</v>
      </c>
      <c r="V2494" s="37">
        <v>0</v>
      </c>
      <c r="W2494" s="5">
        <v>0</v>
      </c>
      <c r="X2494" s="5">
        <v>0</v>
      </c>
      <c r="Y2494" s="5">
        <v>0</v>
      </c>
      <c r="Z2494" s="37">
        <v>0</v>
      </c>
      <c r="AA2494" s="5">
        <v>0</v>
      </c>
      <c r="AB2494" s="5">
        <v>0</v>
      </c>
      <c r="AC2494" s="5">
        <v>0</v>
      </c>
      <c r="AD2494" s="5">
        <v>0</v>
      </c>
      <c r="AE2494" s="10" t="s">
        <v>73</v>
      </c>
      <c r="AF2494" s="10"/>
      <c r="AG2494" s="10" t="s">
        <v>333</v>
      </c>
      <c r="AH2494" s="10">
        <v>42978</v>
      </c>
      <c r="AI2494" s="5">
        <v>1</v>
      </c>
      <c r="AJ2494" s="10" t="s">
        <v>14029</v>
      </c>
      <c r="AK2494" s="10" t="s">
        <v>14030</v>
      </c>
    </row>
    <row r="2495" spans="1:37" ht="36.75" customHeight="1" x14ac:dyDescent="0.35">
      <c r="A2495" s="5"/>
      <c r="B2495" s="5" t="s">
        <v>37</v>
      </c>
      <c r="C2495" s="73" t="str">
        <f t="shared" si="38"/>
        <v>Closed</v>
      </c>
      <c r="D2495" s="45" t="s">
        <v>14031</v>
      </c>
      <c r="E2495" s="54" t="s">
        <v>14032</v>
      </c>
      <c r="F2495" s="5" t="s">
        <v>1553</v>
      </c>
      <c r="G2495" s="10">
        <f>DATE(2017,9,2)</f>
        <v>42980</v>
      </c>
      <c r="H2495" s="35">
        <v>1.3409722222222222</v>
      </c>
      <c r="I2495" s="5" t="s">
        <v>55</v>
      </c>
      <c r="J2495" s="10" t="s">
        <v>14033</v>
      </c>
      <c r="K2495" s="5" t="s">
        <v>1555</v>
      </c>
      <c r="L2495" s="5" t="s">
        <v>14034</v>
      </c>
      <c r="M2495" s="5" t="s">
        <v>45</v>
      </c>
      <c r="N2495" s="5" t="s">
        <v>80</v>
      </c>
      <c r="O2495" s="5" t="s">
        <v>59</v>
      </c>
      <c r="P2495" s="10" t="s">
        <v>6920</v>
      </c>
      <c r="Q2495" s="10" t="s">
        <v>2393</v>
      </c>
      <c r="R2495" s="10" t="s">
        <v>6413</v>
      </c>
      <c r="S2495" s="5">
        <v>0</v>
      </c>
      <c r="T2495" s="37">
        <v>0</v>
      </c>
      <c r="U2495" s="5">
        <v>0</v>
      </c>
      <c r="V2495" s="37">
        <v>0</v>
      </c>
      <c r="W2495" s="5">
        <v>0</v>
      </c>
      <c r="X2495" s="5">
        <v>0</v>
      </c>
      <c r="Y2495" s="5">
        <v>0</v>
      </c>
      <c r="Z2495" s="37">
        <v>0</v>
      </c>
      <c r="AA2495" s="5">
        <v>0</v>
      </c>
      <c r="AB2495" s="5">
        <v>0</v>
      </c>
      <c r="AC2495" s="5">
        <v>0</v>
      </c>
      <c r="AD2495" s="5">
        <v>0</v>
      </c>
      <c r="AE2495" s="10" t="s">
        <v>73</v>
      </c>
      <c r="AF2495" s="10"/>
      <c r="AG2495" s="10" t="s">
        <v>114</v>
      </c>
      <c r="AH2495" s="10">
        <v>42982</v>
      </c>
      <c r="AI2495" s="5">
        <v>1</v>
      </c>
      <c r="AJ2495" s="10" t="s">
        <v>14035</v>
      </c>
      <c r="AK2495" s="10" t="s">
        <v>14036</v>
      </c>
    </row>
    <row r="2496" spans="1:37" ht="36.75" customHeight="1" x14ac:dyDescent="0.35">
      <c r="A2496" s="5"/>
      <c r="B2496" s="5" t="s">
        <v>37</v>
      </c>
      <c r="C2496" s="73" t="str">
        <f t="shared" si="38"/>
        <v>Closed</v>
      </c>
      <c r="D2496" s="45" t="s">
        <v>14037</v>
      </c>
      <c r="E2496" s="54" t="s">
        <v>14038</v>
      </c>
      <c r="F2496" s="5" t="s">
        <v>816</v>
      </c>
      <c r="G2496" s="10">
        <f>DATE(2017,9,5)</f>
        <v>42983</v>
      </c>
      <c r="H2496" s="35">
        <v>1.5520833333333335</v>
      </c>
      <c r="I2496" s="5" t="s">
        <v>85</v>
      </c>
      <c r="J2496" s="10" t="s">
        <v>14039</v>
      </c>
      <c r="K2496" s="5" t="s">
        <v>818</v>
      </c>
      <c r="L2496" s="5" t="s">
        <v>11733</v>
      </c>
      <c r="M2496" s="5" t="s">
        <v>45</v>
      </c>
      <c r="N2496" s="5" t="s">
        <v>80</v>
      </c>
      <c r="O2496" s="5" t="s">
        <v>59</v>
      </c>
      <c r="P2496" s="10" t="s">
        <v>60</v>
      </c>
      <c r="Q2496" s="10" t="s">
        <v>12764</v>
      </c>
      <c r="R2496" s="10" t="s">
        <v>821</v>
      </c>
      <c r="S2496" s="5">
        <v>0</v>
      </c>
      <c r="T2496" s="37">
        <v>0</v>
      </c>
      <c r="U2496" s="5">
        <v>0</v>
      </c>
      <c r="V2496" s="37">
        <v>0</v>
      </c>
      <c r="W2496" s="5">
        <v>0</v>
      </c>
      <c r="X2496" s="5">
        <v>0</v>
      </c>
      <c r="Y2496" s="5">
        <v>0</v>
      </c>
      <c r="Z2496" s="37">
        <v>0</v>
      </c>
      <c r="AA2496" s="5">
        <v>0</v>
      </c>
      <c r="AB2496" s="5">
        <v>0</v>
      </c>
      <c r="AC2496" s="5">
        <v>0</v>
      </c>
      <c r="AD2496" s="5">
        <v>0</v>
      </c>
      <c r="AE2496" s="10" t="s">
        <v>73</v>
      </c>
      <c r="AF2496" s="10"/>
      <c r="AG2496" s="10" t="s">
        <v>11868</v>
      </c>
      <c r="AH2496" s="10">
        <v>42864</v>
      </c>
      <c r="AI2496" s="5">
        <v>0</v>
      </c>
      <c r="AJ2496" s="10" t="s">
        <v>14040</v>
      </c>
      <c r="AK2496" s="10" t="s">
        <v>14041</v>
      </c>
    </row>
    <row r="2497" spans="1:37" ht="36.75" customHeight="1" x14ac:dyDescent="0.35">
      <c r="A2497" s="5"/>
      <c r="B2497" s="5" t="s">
        <v>37</v>
      </c>
      <c r="C2497" s="73" t="str">
        <f t="shared" si="38"/>
        <v>Closed</v>
      </c>
      <c r="D2497" s="45" t="s">
        <v>14042</v>
      </c>
      <c r="E2497" s="54" t="s">
        <v>14043</v>
      </c>
      <c r="F2497" s="5" t="s">
        <v>404</v>
      </c>
      <c r="G2497" s="10">
        <f>DATE(2017,9,6)</f>
        <v>42984</v>
      </c>
      <c r="H2497" s="35">
        <v>1.5180555555555557</v>
      </c>
      <c r="I2497" s="5" t="s">
        <v>259</v>
      </c>
      <c r="J2497" s="10" t="s">
        <v>14044</v>
      </c>
      <c r="K2497" s="5" t="s">
        <v>406</v>
      </c>
      <c r="L2497" s="5" t="s">
        <v>14045</v>
      </c>
      <c r="M2497" s="5" t="s">
        <v>45</v>
      </c>
      <c r="N2497" s="5" t="s">
        <v>80</v>
      </c>
      <c r="O2497" s="5" t="s">
        <v>46</v>
      </c>
      <c r="P2497" s="10" t="s">
        <v>47</v>
      </c>
      <c r="Q2497" s="10" t="s">
        <v>4531</v>
      </c>
      <c r="R2497" s="10" t="s">
        <v>3083</v>
      </c>
      <c r="S2497" s="5">
        <v>0</v>
      </c>
      <c r="T2497" s="37">
        <v>0</v>
      </c>
      <c r="U2497" s="5">
        <v>0</v>
      </c>
      <c r="V2497" s="37">
        <v>0</v>
      </c>
      <c r="W2497" s="5">
        <v>0</v>
      </c>
      <c r="X2497" s="5">
        <v>0</v>
      </c>
      <c r="Y2497" s="5">
        <v>0</v>
      </c>
      <c r="Z2497" s="37">
        <v>0</v>
      </c>
      <c r="AA2497" s="5">
        <v>0</v>
      </c>
      <c r="AB2497" s="5">
        <v>0</v>
      </c>
      <c r="AC2497" s="5">
        <v>0</v>
      </c>
      <c r="AD2497" s="5">
        <v>0</v>
      </c>
      <c r="AE2497" s="10" t="s">
        <v>73</v>
      </c>
      <c r="AF2497" s="10"/>
      <c r="AG2497" s="10" t="s">
        <v>855</v>
      </c>
      <c r="AH2497" s="10">
        <v>43078</v>
      </c>
      <c r="AI2497" s="5">
        <v>0</v>
      </c>
      <c r="AJ2497" s="10" t="s">
        <v>14046</v>
      </c>
      <c r="AK2497" s="10" t="s">
        <v>14047</v>
      </c>
    </row>
    <row r="2498" spans="1:37" ht="36.75" customHeight="1" x14ac:dyDescent="0.35">
      <c r="A2498" s="5"/>
      <c r="B2498" s="5" t="s">
        <v>37</v>
      </c>
      <c r="C2498" s="73" t="str">
        <f t="shared" ref="C2498:C2561" si="39">IF(B2498="Notification","Open",IF(B2498="Interim Statement","In progress","Closed"))</f>
        <v>Closed</v>
      </c>
      <c r="D2498" s="45" t="s">
        <v>14048</v>
      </c>
      <c r="E2498" s="54" t="s">
        <v>14049</v>
      </c>
      <c r="F2498" s="5" t="s">
        <v>404</v>
      </c>
      <c r="G2498" s="10">
        <f>DATE(2017,9,11)</f>
        <v>42989</v>
      </c>
      <c r="H2498" s="35">
        <v>1.3506944444444444</v>
      </c>
      <c r="I2498" s="5" t="s">
        <v>55</v>
      </c>
      <c r="J2498" s="10" t="s">
        <v>14050</v>
      </c>
      <c r="K2498" s="5" t="s">
        <v>406</v>
      </c>
      <c r="L2498" s="5" t="s">
        <v>14051</v>
      </c>
      <c r="M2498" s="5" t="s">
        <v>45</v>
      </c>
      <c r="N2498" s="5" t="s">
        <v>80</v>
      </c>
      <c r="O2498" s="5" t="s">
        <v>6854</v>
      </c>
      <c r="P2498" s="10" t="s">
        <v>72</v>
      </c>
      <c r="Q2498" s="10" t="s">
        <v>14052</v>
      </c>
      <c r="R2498" s="10" t="s">
        <v>14053</v>
      </c>
      <c r="S2498" s="5">
        <v>0</v>
      </c>
      <c r="T2498" s="37">
        <v>0</v>
      </c>
      <c r="U2498" s="5">
        <v>0</v>
      </c>
      <c r="V2498" s="37">
        <v>0</v>
      </c>
      <c r="W2498" s="5">
        <v>0</v>
      </c>
      <c r="X2498" s="5">
        <v>0</v>
      </c>
      <c r="Y2498" s="5">
        <v>0</v>
      </c>
      <c r="Z2498" s="37">
        <v>0</v>
      </c>
      <c r="AA2498" s="5">
        <v>0</v>
      </c>
      <c r="AB2498" s="5">
        <v>0</v>
      </c>
      <c r="AC2498" s="5">
        <v>0</v>
      </c>
      <c r="AD2498" s="5">
        <v>0</v>
      </c>
      <c r="AE2498" s="10" t="s">
        <v>73</v>
      </c>
      <c r="AF2498" s="10"/>
      <c r="AG2498" s="10" t="s">
        <v>333</v>
      </c>
      <c r="AH2498" s="10">
        <v>42989</v>
      </c>
      <c r="AI2498" s="5">
        <v>0</v>
      </c>
      <c r="AJ2498" s="10" t="s">
        <v>14054</v>
      </c>
      <c r="AK2498" s="10" t="s">
        <v>14055</v>
      </c>
    </row>
    <row r="2499" spans="1:37" ht="36.75" customHeight="1" x14ac:dyDescent="0.35">
      <c r="A2499" s="5"/>
      <c r="B2499" s="5" t="s">
        <v>37</v>
      </c>
      <c r="C2499" s="73" t="str">
        <f t="shared" si="39"/>
        <v>Closed</v>
      </c>
      <c r="D2499" s="45" t="s">
        <v>14056</v>
      </c>
      <c r="E2499" s="54" t="s">
        <v>14057</v>
      </c>
      <c r="F2499" s="5" t="s">
        <v>358</v>
      </c>
      <c r="G2499" s="10">
        <f>DATE(2017,9,11)</f>
        <v>42989</v>
      </c>
      <c r="H2499" s="35">
        <v>1.7930555555555556</v>
      </c>
      <c r="I2499" s="5" t="s">
        <v>2244</v>
      </c>
      <c r="J2499" s="10" t="s">
        <v>14058</v>
      </c>
      <c r="K2499" s="5" t="s">
        <v>360</v>
      </c>
      <c r="L2499" s="5" t="s">
        <v>14059</v>
      </c>
      <c r="M2499" s="5" t="s">
        <v>45</v>
      </c>
      <c r="N2499" s="5" t="s">
        <v>80</v>
      </c>
      <c r="O2499" s="5" t="s">
        <v>46</v>
      </c>
      <c r="P2499" s="10" t="s">
        <v>146</v>
      </c>
      <c r="Q2499" s="10" t="s">
        <v>13726</v>
      </c>
      <c r="R2499" s="10" t="s">
        <v>13726</v>
      </c>
      <c r="S2499" s="5">
        <v>0</v>
      </c>
      <c r="T2499" s="37">
        <v>0</v>
      </c>
      <c r="U2499" s="5">
        <v>0</v>
      </c>
      <c r="V2499" s="37">
        <v>0</v>
      </c>
      <c r="W2499" s="5">
        <v>0</v>
      </c>
      <c r="X2499" s="5">
        <v>0</v>
      </c>
      <c r="Y2499" s="5">
        <v>0</v>
      </c>
      <c r="Z2499" s="37">
        <v>0</v>
      </c>
      <c r="AA2499" s="5">
        <v>0</v>
      </c>
      <c r="AB2499" s="5">
        <v>0</v>
      </c>
      <c r="AC2499" s="5">
        <v>0</v>
      </c>
      <c r="AD2499" s="5">
        <v>0</v>
      </c>
      <c r="AE2499" s="10" t="s">
        <v>73</v>
      </c>
      <c r="AF2499" s="10"/>
      <c r="AG2499" s="10" t="s">
        <v>14060</v>
      </c>
      <c r="AH2499" s="10">
        <v>42996</v>
      </c>
      <c r="AI2499" s="5">
        <v>5</v>
      </c>
      <c r="AJ2499" s="10" t="s">
        <v>14061</v>
      </c>
      <c r="AK2499" s="10" t="s">
        <v>14062</v>
      </c>
    </row>
    <row r="2500" spans="1:37" ht="36.75" customHeight="1" x14ac:dyDescent="0.35">
      <c r="A2500" s="5"/>
      <c r="B2500" s="5" t="s">
        <v>37</v>
      </c>
      <c r="C2500" s="73" t="str">
        <f t="shared" si="39"/>
        <v>Closed</v>
      </c>
      <c r="D2500" s="45" t="s">
        <v>14063</v>
      </c>
      <c r="E2500" s="54" t="s">
        <v>14064</v>
      </c>
      <c r="F2500" s="5" t="s">
        <v>404</v>
      </c>
      <c r="G2500" s="10">
        <f>DATE(2017,9,12)</f>
        <v>42990</v>
      </c>
      <c r="H2500" s="35">
        <v>1.2243055555555555</v>
      </c>
      <c r="I2500" s="5" t="s">
        <v>5473</v>
      </c>
      <c r="J2500" s="10" t="s">
        <v>14065</v>
      </c>
      <c r="K2500" s="5" t="s">
        <v>406</v>
      </c>
      <c r="L2500" s="5" t="s">
        <v>14066</v>
      </c>
      <c r="M2500" s="5" t="s">
        <v>45</v>
      </c>
      <c r="N2500" s="5" t="s">
        <v>123</v>
      </c>
      <c r="O2500" s="5" t="s">
        <v>59</v>
      </c>
      <c r="P2500" s="10" t="s">
        <v>67</v>
      </c>
      <c r="Q2500" s="10" t="s">
        <v>4531</v>
      </c>
      <c r="R2500" s="10" t="s">
        <v>3083</v>
      </c>
      <c r="S2500" s="5">
        <v>0</v>
      </c>
      <c r="T2500" s="37">
        <v>0</v>
      </c>
      <c r="U2500" s="5">
        <v>0</v>
      </c>
      <c r="V2500" s="37">
        <v>0</v>
      </c>
      <c r="W2500" s="5">
        <v>0</v>
      </c>
      <c r="X2500" s="5">
        <v>0</v>
      </c>
      <c r="Y2500" s="5">
        <v>0</v>
      </c>
      <c r="Z2500" s="37">
        <v>0</v>
      </c>
      <c r="AA2500" s="5">
        <v>0</v>
      </c>
      <c r="AB2500" s="5">
        <v>0</v>
      </c>
      <c r="AC2500" s="5">
        <v>0</v>
      </c>
      <c r="AD2500" s="5">
        <v>0</v>
      </c>
      <c r="AE2500" s="10" t="s">
        <v>73</v>
      </c>
      <c r="AF2500" s="10"/>
      <c r="AG2500" s="10" t="s">
        <v>333</v>
      </c>
      <c r="AH2500" s="10">
        <v>43078</v>
      </c>
      <c r="AI2500" s="5">
        <v>0</v>
      </c>
      <c r="AJ2500" s="10" t="s">
        <v>14067</v>
      </c>
      <c r="AK2500" s="10" t="s">
        <v>14068</v>
      </c>
    </row>
    <row r="2501" spans="1:37" ht="36.75" customHeight="1" x14ac:dyDescent="0.35">
      <c r="A2501" s="5"/>
      <c r="B2501" s="5" t="s">
        <v>37</v>
      </c>
      <c r="C2501" s="73" t="str">
        <f t="shared" si="39"/>
        <v>Closed</v>
      </c>
      <c r="D2501" s="45" t="s">
        <v>14069</v>
      </c>
      <c r="E2501" s="54" t="s">
        <v>14070</v>
      </c>
      <c r="F2501" s="5" t="s">
        <v>816</v>
      </c>
      <c r="G2501" s="10">
        <f>DATE(2017,9,13)</f>
        <v>42991</v>
      </c>
      <c r="H2501" s="35">
        <v>1.7708333333333335</v>
      </c>
      <c r="I2501" s="5" t="s">
        <v>55</v>
      </c>
      <c r="J2501" s="10" t="s">
        <v>14071</v>
      </c>
      <c r="K2501" s="5" t="s">
        <v>818</v>
      </c>
      <c r="L2501" s="5" t="s">
        <v>14072</v>
      </c>
      <c r="M2501" s="5" t="s">
        <v>45</v>
      </c>
      <c r="N2501" s="5" t="s">
        <v>70</v>
      </c>
      <c r="O2501" s="5" t="s">
        <v>59</v>
      </c>
      <c r="P2501" s="10" t="s">
        <v>60</v>
      </c>
      <c r="Q2501" s="10" t="s">
        <v>4688</v>
      </c>
      <c r="R2501" s="10" t="s">
        <v>2777</v>
      </c>
      <c r="S2501" s="5">
        <v>0</v>
      </c>
      <c r="T2501" s="37">
        <v>0</v>
      </c>
      <c r="U2501" s="5">
        <v>0</v>
      </c>
      <c r="V2501" s="37">
        <v>0</v>
      </c>
      <c r="W2501" s="5">
        <v>0</v>
      </c>
      <c r="X2501" s="5">
        <v>0</v>
      </c>
      <c r="Y2501" s="5">
        <v>0</v>
      </c>
      <c r="Z2501" s="37">
        <v>0</v>
      </c>
      <c r="AA2501" s="5">
        <v>0</v>
      </c>
      <c r="AB2501" s="5">
        <v>0</v>
      </c>
      <c r="AC2501" s="5">
        <v>0</v>
      </c>
      <c r="AD2501" s="5">
        <v>0</v>
      </c>
      <c r="AE2501" s="10" t="s">
        <v>375</v>
      </c>
      <c r="AF2501" s="10"/>
      <c r="AG2501" s="10" t="s">
        <v>114</v>
      </c>
      <c r="AH2501" s="10">
        <v>42991</v>
      </c>
      <c r="AI2501" s="5">
        <v>0</v>
      </c>
      <c r="AJ2501" s="10" t="s">
        <v>13653</v>
      </c>
      <c r="AK2501" s="10" t="s">
        <v>50</v>
      </c>
    </row>
    <row r="2502" spans="1:37" ht="36.75" customHeight="1" x14ac:dyDescent="0.35">
      <c r="A2502" s="5"/>
      <c r="B2502" s="5" t="s">
        <v>37</v>
      </c>
      <c r="C2502" s="73" t="str">
        <f t="shared" si="39"/>
        <v>Closed</v>
      </c>
      <c r="D2502" s="45" t="s">
        <v>14073</v>
      </c>
      <c r="E2502" s="54" t="s">
        <v>14074</v>
      </c>
      <c r="F2502" s="5" t="s">
        <v>1919</v>
      </c>
      <c r="G2502" s="10">
        <f>DATE(2017,9,13)</f>
        <v>42991</v>
      </c>
      <c r="H2502" s="35">
        <v>0</v>
      </c>
      <c r="I2502" s="5" t="s">
        <v>55</v>
      </c>
      <c r="J2502" s="10" t="s">
        <v>14075</v>
      </c>
      <c r="K2502" s="5" t="s">
        <v>1921</v>
      </c>
      <c r="L2502" s="5" t="s">
        <v>14076</v>
      </c>
      <c r="M2502" s="5" t="s">
        <v>45</v>
      </c>
      <c r="N2502" s="5" t="s">
        <v>123</v>
      </c>
      <c r="O2502" s="5" t="s">
        <v>46</v>
      </c>
      <c r="P2502" s="10" t="s">
        <v>6881</v>
      </c>
      <c r="Q2502" s="10" t="s">
        <v>1923</v>
      </c>
      <c r="R2502" s="10" t="s">
        <v>1921</v>
      </c>
      <c r="S2502" s="5">
        <v>0</v>
      </c>
      <c r="T2502" s="37">
        <v>0</v>
      </c>
      <c r="U2502" s="5">
        <v>0</v>
      </c>
      <c r="V2502" s="37">
        <v>0</v>
      </c>
      <c r="W2502" s="5">
        <v>0</v>
      </c>
      <c r="X2502" s="5">
        <v>0</v>
      </c>
      <c r="Y2502" s="5">
        <v>0</v>
      </c>
      <c r="Z2502" s="37">
        <v>0</v>
      </c>
      <c r="AA2502" s="5">
        <v>0</v>
      </c>
      <c r="AB2502" s="5">
        <v>0</v>
      </c>
      <c r="AC2502" s="5">
        <v>0</v>
      </c>
      <c r="AD2502" s="5">
        <v>0</v>
      </c>
      <c r="AE2502" s="10" t="s">
        <v>73</v>
      </c>
      <c r="AF2502" s="10"/>
      <c r="AG2502" s="10" t="s">
        <v>64</v>
      </c>
      <c r="AH2502" s="10">
        <v>43006</v>
      </c>
      <c r="AI2502" s="5">
        <v>7</v>
      </c>
      <c r="AJ2502" s="10" t="s">
        <v>14077</v>
      </c>
      <c r="AK2502" s="10" t="s">
        <v>14078</v>
      </c>
    </row>
    <row r="2503" spans="1:37" ht="36.75" customHeight="1" x14ac:dyDescent="0.35">
      <c r="A2503" s="5"/>
      <c r="B2503" s="5" t="s">
        <v>37</v>
      </c>
      <c r="C2503" s="73" t="str">
        <f t="shared" si="39"/>
        <v>Closed</v>
      </c>
      <c r="D2503" s="45" t="s">
        <v>14079</v>
      </c>
      <c r="E2503" s="54" t="s">
        <v>14080</v>
      </c>
      <c r="F2503" s="5" t="s">
        <v>1553</v>
      </c>
      <c r="G2503" s="10">
        <f>DATE(2017,9,14)</f>
        <v>42992</v>
      </c>
      <c r="H2503" s="35">
        <v>1.6437499999999998</v>
      </c>
      <c r="I2503" s="5" t="s">
        <v>55</v>
      </c>
      <c r="J2503" s="10" t="s">
        <v>14081</v>
      </c>
      <c r="K2503" s="5" t="s">
        <v>1555</v>
      </c>
      <c r="L2503" s="5" t="s">
        <v>14082</v>
      </c>
      <c r="M2503" s="5" t="s">
        <v>45</v>
      </c>
      <c r="N2503" s="5" t="s">
        <v>80</v>
      </c>
      <c r="O2503" s="5" t="s">
        <v>59</v>
      </c>
      <c r="P2503" s="10" t="s">
        <v>60</v>
      </c>
      <c r="Q2503" s="10" t="s">
        <v>1565</v>
      </c>
      <c r="R2503" s="10" t="s">
        <v>6413</v>
      </c>
      <c r="S2503" s="5">
        <v>0</v>
      </c>
      <c r="T2503" s="37">
        <v>0</v>
      </c>
      <c r="U2503" s="5">
        <v>0</v>
      </c>
      <c r="V2503" s="37">
        <v>0</v>
      </c>
      <c r="W2503" s="5">
        <v>0</v>
      </c>
      <c r="X2503" s="5">
        <v>0</v>
      </c>
      <c r="Y2503" s="5">
        <v>0</v>
      </c>
      <c r="Z2503" s="37">
        <v>0</v>
      </c>
      <c r="AA2503" s="5">
        <v>0</v>
      </c>
      <c r="AB2503" s="5">
        <v>0</v>
      </c>
      <c r="AC2503" s="5">
        <v>0</v>
      </c>
      <c r="AD2503" s="5">
        <v>0</v>
      </c>
      <c r="AE2503" s="10" t="s">
        <v>73</v>
      </c>
      <c r="AF2503" s="10"/>
      <c r="AG2503" s="10" t="s">
        <v>114</v>
      </c>
      <c r="AH2503" s="10">
        <v>42997</v>
      </c>
      <c r="AI2503" s="5">
        <v>1</v>
      </c>
      <c r="AJ2503" s="10" t="s">
        <v>14083</v>
      </c>
      <c r="AK2503" s="10" t="s">
        <v>14084</v>
      </c>
    </row>
    <row r="2504" spans="1:37" ht="36.75" customHeight="1" x14ac:dyDescent="0.35">
      <c r="A2504" s="5"/>
      <c r="B2504" s="5" t="s">
        <v>37</v>
      </c>
      <c r="C2504" s="73" t="str">
        <f t="shared" si="39"/>
        <v>Closed</v>
      </c>
      <c r="D2504" s="45" t="s">
        <v>14085</v>
      </c>
      <c r="E2504" s="54" t="s">
        <v>14086</v>
      </c>
      <c r="F2504" s="5" t="s">
        <v>563</v>
      </c>
      <c r="G2504" s="10">
        <f>DATE(2017,9,18)</f>
        <v>42996</v>
      </c>
      <c r="H2504" s="35">
        <v>1.5347222222222223</v>
      </c>
      <c r="I2504" s="5" t="s">
        <v>179</v>
      </c>
      <c r="J2504" s="10" t="s">
        <v>14087</v>
      </c>
      <c r="K2504" s="5" t="s">
        <v>565</v>
      </c>
      <c r="L2504" s="5" t="s">
        <v>14088</v>
      </c>
      <c r="M2504" s="5" t="s">
        <v>45</v>
      </c>
      <c r="N2504" s="5" t="s">
        <v>70</v>
      </c>
      <c r="O2504" s="5" t="s">
        <v>59</v>
      </c>
      <c r="P2504" s="10" t="s">
        <v>1893</v>
      </c>
      <c r="Q2504" s="10" t="s">
        <v>14089</v>
      </c>
      <c r="R2504" s="10" t="s">
        <v>568</v>
      </c>
      <c r="S2504" s="5">
        <v>0</v>
      </c>
      <c r="T2504" s="37">
        <v>0</v>
      </c>
      <c r="U2504" s="5">
        <v>0</v>
      </c>
      <c r="V2504" s="37">
        <v>0</v>
      </c>
      <c r="W2504" s="5">
        <v>0</v>
      </c>
      <c r="X2504" s="5">
        <v>0</v>
      </c>
      <c r="Y2504" s="5">
        <v>0</v>
      </c>
      <c r="Z2504" s="37">
        <v>0</v>
      </c>
      <c r="AA2504" s="5">
        <v>0</v>
      </c>
      <c r="AB2504" s="5">
        <v>0</v>
      </c>
      <c r="AC2504" s="5">
        <v>0</v>
      </c>
      <c r="AD2504" s="5">
        <v>0</v>
      </c>
      <c r="AE2504" s="10" t="s">
        <v>375</v>
      </c>
      <c r="AF2504" s="10"/>
      <c r="AG2504" s="10" t="s">
        <v>570</v>
      </c>
      <c r="AH2504" s="10">
        <v>42996</v>
      </c>
      <c r="AI2504" s="5">
        <v>0</v>
      </c>
      <c r="AJ2504" s="10" t="s">
        <v>14090</v>
      </c>
      <c r="AK2504" s="10" t="s">
        <v>1215</v>
      </c>
    </row>
    <row r="2505" spans="1:37" ht="36.75" customHeight="1" x14ac:dyDescent="0.35">
      <c r="A2505" s="5"/>
      <c r="B2505" s="5" t="s">
        <v>37</v>
      </c>
      <c r="C2505" s="73" t="str">
        <f t="shared" si="39"/>
        <v>Closed</v>
      </c>
      <c r="D2505" s="45" t="s">
        <v>14091</v>
      </c>
      <c r="E2505" s="54" t="s">
        <v>14092</v>
      </c>
      <c r="F2505" s="5" t="s">
        <v>404</v>
      </c>
      <c r="G2505" s="10">
        <f>DATE(2017,9,20)</f>
        <v>42998</v>
      </c>
      <c r="H2505" s="35">
        <v>1.2006944444444445</v>
      </c>
      <c r="I2505" s="5" t="s">
        <v>97</v>
      </c>
      <c r="J2505" s="10" t="s">
        <v>14093</v>
      </c>
      <c r="K2505" s="5" t="s">
        <v>406</v>
      </c>
      <c r="L2505" s="5" t="s">
        <v>14094</v>
      </c>
      <c r="M2505" s="5" t="s">
        <v>45</v>
      </c>
      <c r="N2505" s="5" t="s">
        <v>80</v>
      </c>
      <c r="O2505" s="5" t="s">
        <v>46</v>
      </c>
      <c r="P2505" s="10" t="s">
        <v>146</v>
      </c>
      <c r="Q2505" s="10" t="s">
        <v>4531</v>
      </c>
      <c r="R2505" s="10" t="s">
        <v>3083</v>
      </c>
      <c r="S2505" s="5">
        <v>0</v>
      </c>
      <c r="T2505" s="37">
        <v>0</v>
      </c>
      <c r="U2505" s="5">
        <v>0</v>
      </c>
      <c r="V2505" s="37">
        <v>0</v>
      </c>
      <c r="W2505" s="5">
        <v>0</v>
      </c>
      <c r="X2505" s="5">
        <v>0</v>
      </c>
      <c r="Y2505" s="5">
        <v>0</v>
      </c>
      <c r="Z2505" s="37">
        <v>0</v>
      </c>
      <c r="AA2505" s="5">
        <v>0</v>
      </c>
      <c r="AB2505" s="5">
        <v>0</v>
      </c>
      <c r="AC2505" s="5">
        <v>0</v>
      </c>
      <c r="AD2505" s="5">
        <v>0</v>
      </c>
      <c r="AE2505" s="10" t="s">
        <v>73</v>
      </c>
      <c r="AF2505" s="10"/>
      <c r="AG2505" s="10" t="s">
        <v>855</v>
      </c>
      <c r="AH2505" s="10">
        <v>42998</v>
      </c>
      <c r="AI2505" s="5">
        <v>1</v>
      </c>
      <c r="AJ2505" s="10" t="s">
        <v>11964</v>
      </c>
      <c r="AK2505" s="10" t="s">
        <v>14095</v>
      </c>
    </row>
    <row r="2506" spans="1:37" ht="36.75" customHeight="1" x14ac:dyDescent="0.35">
      <c r="A2506" s="5"/>
      <c r="B2506" s="5" t="s">
        <v>37</v>
      </c>
      <c r="C2506" s="73" t="str">
        <f t="shared" si="39"/>
        <v>Closed</v>
      </c>
      <c r="D2506" s="45" t="s">
        <v>14096</v>
      </c>
      <c r="E2506" s="54" t="s">
        <v>14097</v>
      </c>
      <c r="F2506" s="5" t="s">
        <v>1751</v>
      </c>
      <c r="G2506" s="10">
        <f>DATE(2017,9,21)</f>
        <v>42999</v>
      </c>
      <c r="H2506" s="35">
        <v>1.2986111111111112</v>
      </c>
      <c r="I2506" s="5" t="s">
        <v>259</v>
      </c>
      <c r="J2506" s="10" t="s">
        <v>14098</v>
      </c>
      <c r="K2506" s="5" t="s">
        <v>1753</v>
      </c>
      <c r="L2506" s="5" t="s">
        <v>14099</v>
      </c>
      <c r="M2506" s="5" t="s">
        <v>45</v>
      </c>
      <c r="N2506" s="5" t="s">
        <v>70</v>
      </c>
      <c r="O2506" s="5" t="s">
        <v>59</v>
      </c>
      <c r="P2506" s="10" t="s">
        <v>6920</v>
      </c>
      <c r="Q2506" s="10" t="s">
        <v>4269</v>
      </c>
      <c r="R2506" s="10" t="s">
        <v>1756</v>
      </c>
      <c r="S2506" s="5">
        <v>0</v>
      </c>
      <c r="T2506" s="37">
        <v>0</v>
      </c>
      <c r="U2506" s="5">
        <v>0</v>
      </c>
      <c r="V2506" s="37">
        <v>0</v>
      </c>
      <c r="W2506" s="5">
        <v>1</v>
      </c>
      <c r="X2506" s="5">
        <v>1</v>
      </c>
      <c r="Y2506" s="5">
        <v>0</v>
      </c>
      <c r="Z2506" s="37">
        <v>0</v>
      </c>
      <c r="AA2506" s="5">
        <v>0</v>
      </c>
      <c r="AB2506" s="5">
        <v>0</v>
      </c>
      <c r="AC2506" s="5">
        <v>0</v>
      </c>
      <c r="AD2506" s="5">
        <v>0</v>
      </c>
      <c r="AE2506" s="10" t="s">
        <v>73</v>
      </c>
      <c r="AF2506" s="10"/>
      <c r="AG2506" s="10" t="s">
        <v>64</v>
      </c>
      <c r="AH2506" s="10">
        <v>43005</v>
      </c>
      <c r="AI2506" s="5">
        <v>0</v>
      </c>
      <c r="AJ2506" s="10" t="s">
        <v>14100</v>
      </c>
      <c r="AK2506" s="10" t="s">
        <v>14101</v>
      </c>
    </row>
    <row r="2507" spans="1:37" ht="36.75" customHeight="1" x14ac:dyDescent="0.35">
      <c r="A2507" s="5"/>
      <c r="B2507" s="5" t="s">
        <v>37</v>
      </c>
      <c r="C2507" s="73" t="str">
        <f t="shared" si="39"/>
        <v>Closed</v>
      </c>
      <c r="D2507" s="45" t="s">
        <v>14102</v>
      </c>
      <c r="E2507" s="54" t="s">
        <v>14103</v>
      </c>
      <c r="F2507" s="5" t="s">
        <v>40</v>
      </c>
      <c r="G2507" s="10">
        <f>DATE(2017,9,21)</f>
        <v>42999</v>
      </c>
      <c r="H2507" s="35">
        <v>1.9069444444444446</v>
      </c>
      <c r="I2507" s="5" t="s">
        <v>137</v>
      </c>
      <c r="J2507" s="10" t="s">
        <v>14104</v>
      </c>
      <c r="K2507" s="5" t="s">
        <v>43</v>
      </c>
      <c r="L2507" s="5" t="s">
        <v>14105</v>
      </c>
      <c r="M2507" s="5" t="s">
        <v>45</v>
      </c>
      <c r="N2507" s="5" t="s">
        <v>70</v>
      </c>
      <c r="O2507" s="5" t="s">
        <v>71</v>
      </c>
      <c r="P2507" s="10" t="s">
        <v>72</v>
      </c>
      <c r="Q2507" s="10" t="s">
        <v>48</v>
      </c>
      <c r="R2507" s="10" t="s">
        <v>49</v>
      </c>
      <c r="S2507" s="5">
        <v>0</v>
      </c>
      <c r="T2507" s="37">
        <v>0</v>
      </c>
      <c r="U2507" s="5">
        <v>0</v>
      </c>
      <c r="V2507" s="37">
        <v>0</v>
      </c>
      <c r="W2507" s="5">
        <v>0</v>
      </c>
      <c r="X2507" s="5">
        <v>0</v>
      </c>
      <c r="Y2507" s="5">
        <v>0</v>
      </c>
      <c r="Z2507" s="37">
        <v>0</v>
      </c>
      <c r="AA2507" s="5">
        <v>0</v>
      </c>
      <c r="AB2507" s="5">
        <v>0</v>
      </c>
      <c r="AC2507" s="5">
        <v>0</v>
      </c>
      <c r="AD2507" s="5">
        <v>0</v>
      </c>
      <c r="AE2507" s="10" t="s">
        <v>73</v>
      </c>
      <c r="AF2507" s="10"/>
      <c r="AG2507" s="10" t="s">
        <v>114</v>
      </c>
      <c r="AH2507" s="10">
        <v>43010</v>
      </c>
      <c r="AI2507" s="5">
        <v>7</v>
      </c>
      <c r="AJ2507" s="10" t="s">
        <v>14106</v>
      </c>
      <c r="AK2507" s="10" t="s">
        <v>14107</v>
      </c>
    </row>
    <row r="2508" spans="1:37" ht="36.75" customHeight="1" x14ac:dyDescent="0.35">
      <c r="A2508" s="5"/>
      <c r="B2508" s="5" t="s">
        <v>37</v>
      </c>
      <c r="C2508" s="73" t="str">
        <f t="shared" si="39"/>
        <v>Closed</v>
      </c>
      <c r="D2508" s="45" t="s">
        <v>14108</v>
      </c>
      <c r="E2508" s="54" t="s">
        <v>14109</v>
      </c>
      <c r="F2508" s="5" t="s">
        <v>1553</v>
      </c>
      <c r="G2508" s="10">
        <f>DATE(2017,9,24)</f>
        <v>43002</v>
      </c>
      <c r="H2508" s="35">
        <v>1.9722222222222223</v>
      </c>
      <c r="I2508" s="5" t="s">
        <v>55</v>
      </c>
      <c r="J2508" s="10" t="s">
        <v>14110</v>
      </c>
      <c r="K2508" s="5" t="s">
        <v>1555</v>
      </c>
      <c r="L2508" s="5" t="s">
        <v>14111</v>
      </c>
      <c r="M2508" s="5" t="s">
        <v>45</v>
      </c>
      <c r="N2508" s="5" t="s">
        <v>123</v>
      </c>
      <c r="O2508" s="5" t="s">
        <v>59</v>
      </c>
      <c r="P2508" s="10" t="s">
        <v>6920</v>
      </c>
      <c r="Q2508" s="10" t="s">
        <v>2393</v>
      </c>
      <c r="R2508" s="10" t="s">
        <v>6413</v>
      </c>
      <c r="S2508" s="5">
        <v>0</v>
      </c>
      <c r="T2508" s="37">
        <v>0</v>
      </c>
      <c r="U2508" s="5">
        <v>0</v>
      </c>
      <c r="V2508" s="37">
        <v>0</v>
      </c>
      <c r="W2508" s="5">
        <v>0</v>
      </c>
      <c r="X2508" s="5">
        <v>0</v>
      </c>
      <c r="Y2508" s="5">
        <v>0</v>
      </c>
      <c r="Z2508" s="37">
        <v>0</v>
      </c>
      <c r="AA2508" s="5">
        <v>0</v>
      </c>
      <c r="AB2508" s="5">
        <v>0</v>
      </c>
      <c r="AC2508" s="5">
        <v>0</v>
      </c>
      <c r="AD2508" s="5">
        <v>0</v>
      </c>
      <c r="AE2508" s="10" t="s">
        <v>375</v>
      </c>
      <c r="AF2508" s="10"/>
      <c r="AG2508" s="10" t="s">
        <v>114</v>
      </c>
      <c r="AH2508" s="10">
        <v>43003</v>
      </c>
      <c r="AI2508" s="5">
        <v>3</v>
      </c>
      <c r="AJ2508" s="10" t="s">
        <v>14112</v>
      </c>
      <c r="AK2508" s="10" t="s">
        <v>14113</v>
      </c>
    </row>
    <row r="2509" spans="1:37" ht="36.75" customHeight="1" x14ac:dyDescent="0.35">
      <c r="A2509" s="5"/>
      <c r="B2509" s="5" t="s">
        <v>37</v>
      </c>
      <c r="C2509" s="73" t="str">
        <f t="shared" si="39"/>
        <v>Closed</v>
      </c>
      <c r="D2509" s="45" t="s">
        <v>14114</v>
      </c>
      <c r="E2509" s="54" t="s">
        <v>14115</v>
      </c>
      <c r="F2509" s="5" t="s">
        <v>358</v>
      </c>
      <c r="G2509" s="10">
        <f>DATE(2017,9,25)</f>
        <v>43003</v>
      </c>
      <c r="H2509" s="35">
        <v>1.2013888888888888</v>
      </c>
      <c r="I2509" s="5" t="s">
        <v>55</v>
      </c>
      <c r="J2509" s="10" t="s">
        <v>14116</v>
      </c>
      <c r="K2509" s="5" t="s">
        <v>360</v>
      </c>
      <c r="L2509" s="5" t="s">
        <v>14117</v>
      </c>
      <c r="M2509" s="5" t="s">
        <v>45</v>
      </c>
      <c r="N2509" s="5" t="s">
        <v>70</v>
      </c>
      <c r="O2509" s="5" t="s">
        <v>71</v>
      </c>
      <c r="P2509" s="10" t="s">
        <v>72</v>
      </c>
      <c r="Q2509" s="10" t="s">
        <v>14118</v>
      </c>
      <c r="R2509" s="10" t="s">
        <v>363</v>
      </c>
      <c r="S2509" s="5">
        <v>0</v>
      </c>
      <c r="T2509" s="37">
        <v>0</v>
      </c>
      <c r="U2509" s="5">
        <v>0</v>
      </c>
      <c r="V2509" s="37">
        <v>0</v>
      </c>
      <c r="W2509" s="5">
        <v>0</v>
      </c>
      <c r="X2509" s="5">
        <v>0</v>
      </c>
      <c r="Y2509" s="5">
        <v>0</v>
      </c>
      <c r="Z2509" s="37">
        <v>0</v>
      </c>
      <c r="AA2509" s="5">
        <v>0</v>
      </c>
      <c r="AB2509" s="5">
        <v>0</v>
      </c>
      <c r="AC2509" s="5">
        <v>0</v>
      </c>
      <c r="AD2509" s="5">
        <v>0</v>
      </c>
      <c r="AE2509" s="10" t="s">
        <v>73</v>
      </c>
      <c r="AF2509" s="10"/>
      <c r="AG2509" s="10" t="s">
        <v>114</v>
      </c>
      <c r="AH2509" s="10">
        <v>43041</v>
      </c>
      <c r="AI2509" s="5">
        <v>2</v>
      </c>
      <c r="AJ2509" s="10" t="s">
        <v>14119</v>
      </c>
      <c r="AK2509" s="10" t="s">
        <v>14120</v>
      </c>
    </row>
    <row r="2510" spans="1:37" ht="36.75" customHeight="1" x14ac:dyDescent="0.35">
      <c r="A2510" s="5"/>
      <c r="B2510" s="5" t="s">
        <v>37</v>
      </c>
      <c r="C2510" s="73" t="str">
        <f t="shared" si="39"/>
        <v>Closed</v>
      </c>
      <c r="D2510" s="45" t="s">
        <v>14121</v>
      </c>
      <c r="E2510" s="54" t="s">
        <v>14122</v>
      </c>
      <c r="F2510" s="5" t="s">
        <v>5406</v>
      </c>
      <c r="G2510" s="10">
        <f>DATE(2017,9,27)</f>
        <v>43005</v>
      </c>
      <c r="H2510" s="35">
        <v>1.7291666666666665</v>
      </c>
      <c r="I2510" s="5" t="s">
        <v>55</v>
      </c>
      <c r="J2510" s="10" t="s">
        <v>14123</v>
      </c>
      <c r="K2510" s="5" t="s">
        <v>577</v>
      </c>
      <c r="L2510" s="5" t="s">
        <v>14124</v>
      </c>
      <c r="M2510" s="5" t="s">
        <v>45</v>
      </c>
      <c r="N2510" s="5" t="s">
        <v>80</v>
      </c>
      <c r="O2510" s="5" t="s">
        <v>59</v>
      </c>
      <c r="P2510" s="10" t="s">
        <v>362</v>
      </c>
      <c r="Q2510" s="10" t="s">
        <v>10507</v>
      </c>
      <c r="R2510" s="10" t="s">
        <v>12052</v>
      </c>
      <c r="S2510" s="5">
        <v>0</v>
      </c>
      <c r="T2510" s="37">
        <v>0</v>
      </c>
      <c r="U2510" s="5">
        <v>0</v>
      </c>
      <c r="V2510" s="37">
        <v>0</v>
      </c>
      <c r="W2510" s="5">
        <v>0</v>
      </c>
      <c r="X2510" s="5">
        <v>0</v>
      </c>
      <c r="Y2510" s="5">
        <v>0</v>
      </c>
      <c r="Z2510" s="37">
        <v>0</v>
      </c>
      <c r="AA2510" s="5">
        <v>0</v>
      </c>
      <c r="AB2510" s="5">
        <v>0</v>
      </c>
      <c r="AC2510" s="5">
        <v>0</v>
      </c>
      <c r="AD2510" s="5">
        <v>0</v>
      </c>
      <c r="AE2510" s="10" t="s">
        <v>73</v>
      </c>
      <c r="AF2510" s="10"/>
      <c r="AG2510" s="10" t="s">
        <v>114</v>
      </c>
      <c r="AH2510" s="10">
        <v>42837</v>
      </c>
      <c r="AI2510" s="5">
        <v>3</v>
      </c>
      <c r="AJ2510" s="10" t="s">
        <v>14125</v>
      </c>
      <c r="AK2510" s="10" t="s">
        <v>14126</v>
      </c>
    </row>
    <row r="2511" spans="1:37" ht="36.75" customHeight="1" x14ac:dyDescent="0.35">
      <c r="A2511" s="5"/>
      <c r="B2511" s="5" t="s">
        <v>37</v>
      </c>
      <c r="C2511" s="73" t="str">
        <f t="shared" si="39"/>
        <v>Closed</v>
      </c>
      <c r="D2511" s="45" t="s">
        <v>14127</v>
      </c>
      <c r="E2511" s="54" t="s">
        <v>14128</v>
      </c>
      <c r="F2511" s="5" t="s">
        <v>404</v>
      </c>
      <c r="G2511" s="10">
        <f>DATE(2017,9,29)</f>
        <v>43007</v>
      </c>
      <c r="H2511" s="35">
        <v>1.5902777777777777</v>
      </c>
      <c r="I2511" s="5" t="s">
        <v>97</v>
      </c>
      <c r="J2511" s="10" t="s">
        <v>14129</v>
      </c>
      <c r="K2511" s="5" t="s">
        <v>406</v>
      </c>
      <c r="L2511" s="5" t="s">
        <v>14130</v>
      </c>
      <c r="M2511" s="5" t="s">
        <v>45</v>
      </c>
      <c r="N2511" s="5" t="s">
        <v>80</v>
      </c>
      <c r="O2511" s="5" t="s">
        <v>46</v>
      </c>
      <c r="P2511" s="10" t="s">
        <v>60</v>
      </c>
      <c r="Q2511" s="10" t="s">
        <v>2562</v>
      </c>
      <c r="R2511" s="10" t="s">
        <v>3083</v>
      </c>
      <c r="S2511" s="5">
        <v>0</v>
      </c>
      <c r="T2511" s="37">
        <v>0</v>
      </c>
      <c r="U2511" s="5">
        <v>1</v>
      </c>
      <c r="V2511" s="37">
        <v>0</v>
      </c>
      <c r="W2511" s="5">
        <v>0</v>
      </c>
      <c r="X2511" s="5">
        <v>1</v>
      </c>
      <c r="Y2511" s="5">
        <v>0</v>
      </c>
      <c r="Z2511" s="37">
        <v>0</v>
      </c>
      <c r="AA2511" s="5">
        <v>1</v>
      </c>
      <c r="AB2511" s="5">
        <v>0</v>
      </c>
      <c r="AC2511" s="5">
        <v>0</v>
      </c>
      <c r="AD2511" s="5">
        <v>1</v>
      </c>
      <c r="AE2511" s="10" t="s">
        <v>73</v>
      </c>
      <c r="AF2511" s="10"/>
      <c r="AG2511" s="10" t="s">
        <v>114</v>
      </c>
      <c r="AH2511" s="10">
        <v>42804</v>
      </c>
      <c r="AI2511" s="5">
        <v>1</v>
      </c>
      <c r="AJ2511" s="10" t="s">
        <v>11964</v>
      </c>
      <c r="AK2511" s="10" t="s">
        <v>14131</v>
      </c>
    </row>
    <row r="2512" spans="1:37" ht="36.75" customHeight="1" x14ac:dyDescent="0.35">
      <c r="A2512" s="5"/>
      <c r="B2512" s="5" t="s">
        <v>37</v>
      </c>
      <c r="C2512" s="73" t="str">
        <f t="shared" si="39"/>
        <v>Closed</v>
      </c>
      <c r="D2512" s="45" t="s">
        <v>14132</v>
      </c>
      <c r="E2512" s="54" t="s">
        <v>14133</v>
      </c>
      <c r="F2512" s="5" t="s">
        <v>105</v>
      </c>
      <c r="G2512" s="10">
        <f>DATE(2017,10,3)</f>
        <v>43011</v>
      </c>
      <c r="H2512" s="35">
        <v>0</v>
      </c>
      <c r="I2512" s="5" t="s">
        <v>55</v>
      </c>
      <c r="J2512" s="10" t="s">
        <v>14134</v>
      </c>
      <c r="K2512" s="5" t="s">
        <v>108</v>
      </c>
      <c r="L2512" s="5" t="s">
        <v>14135</v>
      </c>
      <c r="M2512" s="5" t="s">
        <v>9897</v>
      </c>
      <c r="N2512" s="5" t="s">
        <v>80</v>
      </c>
      <c r="O2512" s="5" t="s">
        <v>46</v>
      </c>
      <c r="P2512" s="10" t="s">
        <v>7960</v>
      </c>
      <c r="Q2512" s="10" t="s">
        <v>14136</v>
      </c>
      <c r="R2512" s="10" t="s">
        <v>14136</v>
      </c>
      <c r="S2512" s="5">
        <v>0</v>
      </c>
      <c r="T2512" s="37">
        <v>0</v>
      </c>
      <c r="U2512" s="5">
        <v>0</v>
      </c>
      <c r="V2512" s="37">
        <v>0</v>
      </c>
      <c r="W2512" s="5">
        <v>0</v>
      </c>
      <c r="X2512" s="5">
        <v>0</v>
      </c>
      <c r="Y2512" s="5">
        <v>0</v>
      </c>
      <c r="Z2512" s="37">
        <v>0</v>
      </c>
      <c r="AA2512" s="5">
        <v>0</v>
      </c>
      <c r="AB2512" s="5">
        <v>0</v>
      </c>
      <c r="AC2512" s="5">
        <v>0</v>
      </c>
      <c r="AD2512" s="5">
        <v>0</v>
      </c>
      <c r="AE2512" s="10" t="s">
        <v>73</v>
      </c>
      <c r="AF2512" s="10"/>
      <c r="AG2512" s="10" t="s">
        <v>2064</v>
      </c>
      <c r="AH2512" s="10">
        <v>43014</v>
      </c>
      <c r="AI2512" s="5">
        <v>1</v>
      </c>
      <c r="AJ2512" s="10" t="s">
        <v>14137</v>
      </c>
      <c r="AK2512" s="10" t="s">
        <v>14138</v>
      </c>
    </row>
    <row r="2513" spans="1:37" ht="36.75" customHeight="1" x14ac:dyDescent="0.35">
      <c r="A2513" s="5"/>
      <c r="B2513" s="5" t="s">
        <v>37</v>
      </c>
      <c r="C2513" s="73" t="str">
        <f t="shared" si="39"/>
        <v>Closed</v>
      </c>
      <c r="D2513" s="45" t="s">
        <v>14139</v>
      </c>
      <c r="E2513" s="54" t="s">
        <v>14140</v>
      </c>
      <c r="F2513" s="5" t="s">
        <v>178</v>
      </c>
      <c r="G2513" s="10">
        <f>DATE(2017,10,4)</f>
        <v>43012</v>
      </c>
      <c r="H2513" s="35">
        <v>1.445138888888889</v>
      </c>
      <c r="I2513" s="5" t="s">
        <v>259</v>
      </c>
      <c r="J2513" s="10" t="s">
        <v>14141</v>
      </c>
      <c r="K2513" s="5" t="s">
        <v>181</v>
      </c>
      <c r="L2513" s="5" t="s">
        <v>14142</v>
      </c>
      <c r="M2513" s="5" t="s">
        <v>45</v>
      </c>
      <c r="N2513" s="5" t="s">
        <v>123</v>
      </c>
      <c r="O2513" s="5" t="s">
        <v>59</v>
      </c>
      <c r="P2513" s="10" t="s">
        <v>60</v>
      </c>
      <c r="Q2513" s="10" t="s">
        <v>2433</v>
      </c>
      <c r="R2513" s="10" t="s">
        <v>184</v>
      </c>
      <c r="S2513" s="5">
        <v>0</v>
      </c>
      <c r="T2513" s="37">
        <v>0</v>
      </c>
      <c r="U2513" s="5">
        <v>0</v>
      </c>
      <c r="V2513" s="37">
        <v>0</v>
      </c>
      <c r="W2513" s="5">
        <v>1</v>
      </c>
      <c r="X2513" s="5">
        <v>1</v>
      </c>
      <c r="Y2513" s="5">
        <v>0</v>
      </c>
      <c r="Z2513" s="37">
        <v>0</v>
      </c>
      <c r="AA2513" s="5">
        <v>0</v>
      </c>
      <c r="AB2513" s="5">
        <v>0</v>
      </c>
      <c r="AC2513" s="5">
        <v>0</v>
      </c>
      <c r="AD2513" s="5">
        <v>0</v>
      </c>
      <c r="AE2513" s="10" t="s">
        <v>73</v>
      </c>
      <c r="AF2513" s="10"/>
      <c r="AG2513" s="10" t="s">
        <v>114</v>
      </c>
      <c r="AH2513" s="10">
        <v>43012</v>
      </c>
      <c r="AI2513" s="5">
        <v>2</v>
      </c>
      <c r="AJ2513" s="10" t="s">
        <v>14143</v>
      </c>
      <c r="AK2513" s="10" t="s">
        <v>14144</v>
      </c>
    </row>
    <row r="2514" spans="1:37" ht="36.75" customHeight="1" x14ac:dyDescent="0.35">
      <c r="A2514" s="5"/>
      <c r="B2514" s="5" t="s">
        <v>37</v>
      </c>
      <c r="C2514" s="73" t="str">
        <f t="shared" si="39"/>
        <v>Closed</v>
      </c>
      <c r="D2514" s="45" t="s">
        <v>14145</v>
      </c>
      <c r="E2514" s="54" t="s">
        <v>14146</v>
      </c>
      <c r="F2514" s="5" t="s">
        <v>214</v>
      </c>
      <c r="G2514" s="10">
        <f>DATE(2017,10,5)</f>
        <v>43013</v>
      </c>
      <c r="H2514" s="35">
        <v>1.4770833333333333</v>
      </c>
      <c r="I2514" s="5" t="s">
        <v>259</v>
      </c>
      <c r="J2514" s="10" t="s">
        <v>14147</v>
      </c>
      <c r="K2514" s="5" t="s">
        <v>216</v>
      </c>
      <c r="L2514" s="5" t="s">
        <v>14148</v>
      </c>
      <c r="M2514" s="5" t="s">
        <v>45</v>
      </c>
      <c r="N2514" s="5" t="s">
        <v>123</v>
      </c>
      <c r="O2514" s="5" t="s">
        <v>46</v>
      </c>
      <c r="P2514" s="10" t="s">
        <v>47</v>
      </c>
      <c r="Q2514" s="10" t="s">
        <v>7096</v>
      </c>
      <c r="R2514" s="10" t="s">
        <v>216</v>
      </c>
      <c r="S2514" s="5">
        <v>0</v>
      </c>
      <c r="T2514" s="37">
        <v>0</v>
      </c>
      <c r="U2514" s="5">
        <v>0</v>
      </c>
      <c r="V2514" s="37">
        <v>0</v>
      </c>
      <c r="W2514" s="5">
        <v>0</v>
      </c>
      <c r="X2514" s="5">
        <v>0</v>
      </c>
      <c r="Y2514" s="5">
        <v>0</v>
      </c>
      <c r="Z2514" s="37">
        <v>0</v>
      </c>
      <c r="AA2514" s="5">
        <v>0</v>
      </c>
      <c r="AB2514" s="5">
        <v>0</v>
      </c>
      <c r="AC2514" s="5">
        <v>0</v>
      </c>
      <c r="AD2514" s="5">
        <v>0</v>
      </c>
      <c r="AE2514" s="10" t="s">
        <v>73</v>
      </c>
      <c r="AF2514" s="10"/>
      <c r="AG2514" s="10" t="s">
        <v>114</v>
      </c>
      <c r="AH2514" s="10">
        <v>43024</v>
      </c>
      <c r="AI2514" s="5">
        <v>3</v>
      </c>
      <c r="AJ2514" s="10" t="s">
        <v>14149</v>
      </c>
      <c r="AK2514" s="10" t="s">
        <v>14150</v>
      </c>
    </row>
    <row r="2515" spans="1:37" ht="36.75" customHeight="1" x14ac:dyDescent="0.35">
      <c r="A2515" s="5"/>
      <c r="B2515" s="5" t="s">
        <v>37</v>
      </c>
      <c r="C2515" s="73" t="str">
        <f t="shared" si="39"/>
        <v>Closed</v>
      </c>
      <c r="D2515" s="45" t="s">
        <v>14151</v>
      </c>
      <c r="E2515" s="54" t="s">
        <v>14152</v>
      </c>
      <c r="F2515" s="5" t="s">
        <v>1553</v>
      </c>
      <c r="G2515" s="10">
        <f>DATE(2017,10,6)</f>
        <v>43014</v>
      </c>
      <c r="H2515" s="35">
        <v>1.5347222222222223</v>
      </c>
      <c r="I2515" s="5" t="s">
        <v>55</v>
      </c>
      <c r="J2515" s="10" t="s">
        <v>14153</v>
      </c>
      <c r="K2515" s="5" t="s">
        <v>1555</v>
      </c>
      <c r="L2515" s="5" t="s">
        <v>14154</v>
      </c>
      <c r="M2515" s="5" t="s">
        <v>45</v>
      </c>
      <c r="N2515" s="5" t="s">
        <v>123</v>
      </c>
      <c r="O2515" s="5" t="s">
        <v>59</v>
      </c>
      <c r="P2515" s="10" t="s">
        <v>60</v>
      </c>
      <c r="Q2515" s="10" t="s">
        <v>9053</v>
      </c>
      <c r="R2515" s="10" t="s">
        <v>6413</v>
      </c>
      <c r="S2515" s="5">
        <v>0</v>
      </c>
      <c r="T2515" s="37">
        <v>0</v>
      </c>
      <c r="U2515" s="5">
        <v>0</v>
      </c>
      <c r="V2515" s="37">
        <v>0</v>
      </c>
      <c r="W2515" s="5">
        <v>0</v>
      </c>
      <c r="X2515" s="5">
        <v>0</v>
      </c>
      <c r="Y2515" s="5">
        <v>0</v>
      </c>
      <c r="Z2515" s="37">
        <v>0</v>
      </c>
      <c r="AA2515" s="5">
        <v>0</v>
      </c>
      <c r="AB2515" s="5">
        <v>0</v>
      </c>
      <c r="AC2515" s="5">
        <v>0</v>
      </c>
      <c r="AD2515" s="5">
        <v>0</v>
      </c>
      <c r="AE2515" s="10" t="s">
        <v>73</v>
      </c>
      <c r="AF2515" s="10"/>
      <c r="AG2515" s="10" t="s">
        <v>114</v>
      </c>
      <c r="AH2515" s="10">
        <v>43017</v>
      </c>
      <c r="AI2515" s="5">
        <v>0</v>
      </c>
      <c r="AJ2515" s="10" t="s">
        <v>14155</v>
      </c>
      <c r="AK2515" s="10" t="s">
        <v>14156</v>
      </c>
    </row>
    <row r="2516" spans="1:37" ht="36.75" customHeight="1" x14ac:dyDescent="0.35">
      <c r="A2516" s="5"/>
      <c r="B2516" s="5" t="s">
        <v>37</v>
      </c>
      <c r="C2516" s="73" t="str">
        <f t="shared" si="39"/>
        <v>Closed</v>
      </c>
      <c r="D2516" s="45" t="s">
        <v>14157</v>
      </c>
      <c r="E2516" s="54" t="s">
        <v>14158</v>
      </c>
      <c r="F2516" s="5" t="s">
        <v>404</v>
      </c>
      <c r="G2516" s="10">
        <f>DATE(2017,10,11)</f>
        <v>43019</v>
      </c>
      <c r="H2516" s="35">
        <v>1.1548611111111111</v>
      </c>
      <c r="I2516" s="5" t="s">
        <v>85</v>
      </c>
      <c r="J2516" s="10" t="s">
        <v>14159</v>
      </c>
      <c r="K2516" s="5" t="s">
        <v>406</v>
      </c>
      <c r="L2516" s="5" t="s">
        <v>14160</v>
      </c>
      <c r="M2516" s="5" t="s">
        <v>45</v>
      </c>
      <c r="N2516" s="5" t="s">
        <v>123</v>
      </c>
      <c r="O2516" s="5" t="s">
        <v>59</v>
      </c>
      <c r="P2516" s="10" t="s">
        <v>3410</v>
      </c>
      <c r="Q2516" s="10" t="s">
        <v>14161</v>
      </c>
      <c r="R2516" s="10" t="s">
        <v>3083</v>
      </c>
      <c r="S2516" s="5">
        <v>0</v>
      </c>
      <c r="T2516" s="37">
        <v>0</v>
      </c>
      <c r="U2516" s="5">
        <v>0</v>
      </c>
      <c r="V2516" s="37">
        <v>0</v>
      </c>
      <c r="W2516" s="5">
        <v>0</v>
      </c>
      <c r="X2516" s="5">
        <v>0</v>
      </c>
      <c r="Y2516" s="5">
        <v>0</v>
      </c>
      <c r="Z2516" s="37">
        <v>0</v>
      </c>
      <c r="AA2516" s="5">
        <v>0</v>
      </c>
      <c r="AB2516" s="5">
        <v>0</v>
      </c>
      <c r="AC2516" s="5">
        <v>0</v>
      </c>
      <c r="AD2516" s="5">
        <v>0</v>
      </c>
      <c r="AE2516" s="10" t="s">
        <v>73</v>
      </c>
      <c r="AF2516" s="10"/>
      <c r="AG2516" s="10" t="s">
        <v>855</v>
      </c>
      <c r="AH2516" s="10">
        <v>43049</v>
      </c>
      <c r="AI2516" s="5">
        <v>0</v>
      </c>
      <c r="AJ2516" s="10" t="s">
        <v>14162</v>
      </c>
      <c r="AK2516" s="10" t="s">
        <v>14163</v>
      </c>
    </row>
    <row r="2517" spans="1:37" ht="36.75" customHeight="1" x14ac:dyDescent="0.35">
      <c r="A2517" s="5"/>
      <c r="B2517" s="5" t="s">
        <v>37</v>
      </c>
      <c r="C2517" s="73" t="str">
        <f t="shared" si="39"/>
        <v>Closed</v>
      </c>
      <c r="D2517" s="45" t="s">
        <v>14164</v>
      </c>
      <c r="E2517" s="54" t="s">
        <v>14165</v>
      </c>
      <c r="F2517" s="5" t="s">
        <v>2581</v>
      </c>
      <c r="G2517" s="10">
        <f>DATE(2017,10,12)</f>
        <v>43020</v>
      </c>
      <c r="H2517" s="35">
        <v>1.7013888888888888</v>
      </c>
      <c r="I2517" s="5" t="s">
        <v>106</v>
      </c>
      <c r="J2517" s="10" t="s">
        <v>14166</v>
      </c>
      <c r="K2517" s="5" t="s">
        <v>2583</v>
      </c>
      <c r="L2517" s="5" t="s">
        <v>14167</v>
      </c>
      <c r="M2517" s="5" t="s">
        <v>45</v>
      </c>
      <c r="N2517" s="5" t="s">
        <v>70</v>
      </c>
      <c r="O2517" s="5" t="s">
        <v>59</v>
      </c>
      <c r="P2517" s="10" t="s">
        <v>72</v>
      </c>
      <c r="Q2517" s="10" t="s">
        <v>6321</v>
      </c>
      <c r="R2517" s="10" t="s">
        <v>2586</v>
      </c>
      <c r="S2517" s="5">
        <v>0</v>
      </c>
      <c r="T2517" s="37">
        <v>0</v>
      </c>
      <c r="U2517" s="5">
        <v>0</v>
      </c>
      <c r="V2517" s="37">
        <v>0</v>
      </c>
      <c r="W2517" s="5">
        <v>0</v>
      </c>
      <c r="X2517" s="5">
        <v>0</v>
      </c>
      <c r="Y2517" s="5">
        <v>0</v>
      </c>
      <c r="Z2517" s="37">
        <v>0</v>
      </c>
      <c r="AA2517" s="5">
        <v>0</v>
      </c>
      <c r="AB2517" s="5">
        <v>0</v>
      </c>
      <c r="AC2517" s="5">
        <v>0</v>
      </c>
      <c r="AD2517" s="5">
        <v>0</v>
      </c>
      <c r="AE2517" s="10" t="s">
        <v>73</v>
      </c>
      <c r="AF2517" s="10"/>
      <c r="AG2517" s="10" t="s">
        <v>114</v>
      </c>
      <c r="AH2517" s="10">
        <v>43024</v>
      </c>
      <c r="AI2517" s="5">
        <v>4</v>
      </c>
      <c r="AJ2517" s="10" t="s">
        <v>14168</v>
      </c>
      <c r="AK2517" s="10" t="s">
        <v>14169</v>
      </c>
    </row>
    <row r="2518" spans="1:37" ht="36.75" customHeight="1" x14ac:dyDescent="0.35">
      <c r="A2518" s="5"/>
      <c r="B2518" s="5" t="s">
        <v>37</v>
      </c>
      <c r="C2518" s="73" t="str">
        <f t="shared" si="39"/>
        <v>Closed</v>
      </c>
      <c r="D2518" s="45" t="s">
        <v>14170</v>
      </c>
      <c r="E2518" s="54" t="s">
        <v>14171</v>
      </c>
      <c r="F2518" s="5" t="s">
        <v>9767</v>
      </c>
      <c r="G2518" s="10">
        <f>DATE(2017,10,12)</f>
        <v>43020</v>
      </c>
      <c r="H2518" s="35">
        <v>1.6875</v>
      </c>
      <c r="I2518" s="5" t="s">
        <v>55</v>
      </c>
      <c r="J2518" s="10" t="s">
        <v>14172</v>
      </c>
      <c r="K2518" s="5" t="s">
        <v>9769</v>
      </c>
      <c r="L2518" s="5" t="s">
        <v>14173</v>
      </c>
      <c r="M2518" s="5" t="s">
        <v>45</v>
      </c>
      <c r="N2518" s="5" t="s">
        <v>70</v>
      </c>
      <c r="O2518" s="5" t="s">
        <v>71</v>
      </c>
      <c r="P2518" s="10" t="s">
        <v>60</v>
      </c>
      <c r="Q2518" s="10" t="s">
        <v>10235</v>
      </c>
      <c r="R2518" s="10" t="s">
        <v>9772</v>
      </c>
      <c r="S2518" s="5">
        <v>0</v>
      </c>
      <c r="T2518" s="37">
        <v>0</v>
      </c>
      <c r="U2518" s="5">
        <v>0</v>
      </c>
      <c r="V2518" s="37">
        <v>0</v>
      </c>
      <c r="W2518" s="5">
        <v>0</v>
      </c>
      <c r="X2518" s="5">
        <v>0</v>
      </c>
      <c r="Y2518" s="5">
        <v>0</v>
      </c>
      <c r="Z2518" s="37">
        <v>0</v>
      </c>
      <c r="AA2518" s="5">
        <v>0</v>
      </c>
      <c r="AB2518" s="5">
        <v>0</v>
      </c>
      <c r="AC2518" s="5">
        <v>0</v>
      </c>
      <c r="AD2518" s="5">
        <v>0</v>
      </c>
      <c r="AE2518" s="10" t="s">
        <v>73</v>
      </c>
      <c r="AF2518" s="10"/>
      <c r="AG2518" s="10" t="s">
        <v>333</v>
      </c>
      <c r="AH2518" s="10">
        <v>43024</v>
      </c>
      <c r="AI2518" s="5">
        <v>0</v>
      </c>
      <c r="AJ2518" s="10" t="s">
        <v>14174</v>
      </c>
      <c r="AK2518" s="10" t="s">
        <v>14175</v>
      </c>
    </row>
    <row r="2519" spans="1:37" ht="36.75" customHeight="1" x14ac:dyDescent="0.35">
      <c r="A2519" s="5"/>
      <c r="B2519" s="5" t="s">
        <v>37</v>
      </c>
      <c r="C2519" s="73" t="str">
        <f t="shared" si="39"/>
        <v>Closed</v>
      </c>
      <c r="D2519" s="45" t="s">
        <v>14176</v>
      </c>
      <c r="E2519" s="54" t="s">
        <v>14177</v>
      </c>
      <c r="F2519" s="5" t="s">
        <v>119</v>
      </c>
      <c r="G2519" s="10">
        <f>DATE(2017,10,12)</f>
        <v>43020</v>
      </c>
      <c r="H2519" s="35">
        <v>1.0986111111111112</v>
      </c>
      <c r="I2519" s="5" t="s">
        <v>55</v>
      </c>
      <c r="J2519" s="10" t="s">
        <v>14178</v>
      </c>
      <c r="K2519" s="5" t="s">
        <v>121</v>
      </c>
      <c r="L2519" s="5" t="s">
        <v>14179</v>
      </c>
      <c r="M2519" s="5" t="s">
        <v>45</v>
      </c>
      <c r="N2519" s="5" t="s">
        <v>80</v>
      </c>
      <c r="O2519" s="5" t="s">
        <v>59</v>
      </c>
      <c r="P2519" s="10" t="s">
        <v>60</v>
      </c>
      <c r="Q2519" s="10" t="s">
        <v>124</v>
      </c>
      <c r="R2519" s="10" t="s">
        <v>4913</v>
      </c>
      <c r="S2519" s="5">
        <v>0</v>
      </c>
      <c r="T2519" s="37">
        <v>0</v>
      </c>
      <c r="U2519" s="5">
        <v>0</v>
      </c>
      <c r="V2519" s="37">
        <v>0</v>
      </c>
      <c r="W2519" s="5">
        <v>0</v>
      </c>
      <c r="X2519" s="5">
        <v>0</v>
      </c>
      <c r="Y2519" s="5">
        <v>0</v>
      </c>
      <c r="Z2519" s="37">
        <v>0</v>
      </c>
      <c r="AA2519" s="5">
        <v>0</v>
      </c>
      <c r="AB2519" s="5">
        <v>0</v>
      </c>
      <c r="AC2519" s="5">
        <v>0</v>
      </c>
      <c r="AD2519" s="5">
        <v>0</v>
      </c>
      <c r="AE2519" s="10" t="s">
        <v>375</v>
      </c>
      <c r="AF2519" s="10"/>
      <c r="AG2519" s="10" t="s">
        <v>64</v>
      </c>
      <c r="AH2519" s="10">
        <v>43028</v>
      </c>
      <c r="AI2519" s="5">
        <v>10</v>
      </c>
      <c r="AJ2519" s="10" t="s">
        <v>14180</v>
      </c>
      <c r="AK2519" s="10" t="s">
        <v>14181</v>
      </c>
    </row>
    <row r="2520" spans="1:37" ht="36.75" customHeight="1" x14ac:dyDescent="0.35">
      <c r="A2520" s="5"/>
      <c r="B2520" s="5" t="s">
        <v>37</v>
      </c>
      <c r="C2520" s="73" t="str">
        <f t="shared" si="39"/>
        <v>Closed</v>
      </c>
      <c r="D2520" s="45" t="s">
        <v>14182</v>
      </c>
      <c r="E2520" s="54" t="s">
        <v>14183</v>
      </c>
      <c r="F2520" s="5" t="s">
        <v>358</v>
      </c>
      <c r="G2520" s="10">
        <f>DATE(2017,10,13)</f>
        <v>43021</v>
      </c>
      <c r="H2520" s="35">
        <v>1.4548611111111112</v>
      </c>
      <c r="I2520" s="5" t="s">
        <v>106</v>
      </c>
      <c r="J2520" s="10" t="s">
        <v>14184</v>
      </c>
      <c r="K2520" s="5" t="s">
        <v>360</v>
      </c>
      <c r="L2520" s="5" t="s">
        <v>14185</v>
      </c>
      <c r="M2520" s="5" t="s">
        <v>45</v>
      </c>
      <c r="N2520" s="5" t="s">
        <v>123</v>
      </c>
      <c r="O2520" s="5" t="s">
        <v>59</v>
      </c>
      <c r="P2520" s="10" t="s">
        <v>60</v>
      </c>
      <c r="Q2520" s="10" t="s">
        <v>3889</v>
      </c>
      <c r="R2520" s="10" t="s">
        <v>363</v>
      </c>
      <c r="S2520" s="5">
        <v>0</v>
      </c>
      <c r="T2520" s="37">
        <v>0</v>
      </c>
      <c r="U2520" s="5">
        <v>0</v>
      </c>
      <c r="V2520" s="37">
        <v>0</v>
      </c>
      <c r="W2520" s="5">
        <v>0</v>
      </c>
      <c r="X2520" s="5">
        <v>0</v>
      </c>
      <c r="Y2520" s="5">
        <v>0</v>
      </c>
      <c r="Z2520" s="37">
        <v>0</v>
      </c>
      <c r="AA2520" s="5">
        <v>0</v>
      </c>
      <c r="AB2520" s="5">
        <v>0</v>
      </c>
      <c r="AC2520" s="5">
        <v>0</v>
      </c>
      <c r="AD2520" s="5">
        <v>0</v>
      </c>
      <c r="AE2520" s="10" t="s">
        <v>126</v>
      </c>
      <c r="AF2520" s="10"/>
      <c r="AG2520" s="10" t="s">
        <v>64</v>
      </c>
      <c r="AH2520" s="10">
        <v>43041</v>
      </c>
      <c r="AI2520" s="5">
        <v>9</v>
      </c>
      <c r="AJ2520" s="10" t="s">
        <v>14186</v>
      </c>
      <c r="AK2520" s="10" t="s">
        <v>14187</v>
      </c>
    </row>
    <row r="2521" spans="1:37" ht="36.75" customHeight="1" x14ac:dyDescent="0.35">
      <c r="A2521" s="5"/>
      <c r="B2521" s="5" t="s">
        <v>37</v>
      </c>
      <c r="C2521" s="73" t="str">
        <f t="shared" si="39"/>
        <v>Closed</v>
      </c>
      <c r="D2521" s="45" t="s">
        <v>14188</v>
      </c>
      <c r="E2521" s="54" t="s">
        <v>14189</v>
      </c>
      <c r="F2521" s="5" t="s">
        <v>9767</v>
      </c>
      <c r="G2521" s="10">
        <f>DATE(2017,10,17)</f>
        <v>43025</v>
      </c>
      <c r="H2521" s="35">
        <v>1.8909722222222221</v>
      </c>
      <c r="I2521" s="5" t="s">
        <v>55</v>
      </c>
      <c r="J2521" s="10" t="s">
        <v>14190</v>
      </c>
      <c r="K2521" s="5" t="s">
        <v>9769</v>
      </c>
      <c r="L2521" s="5" t="s">
        <v>14191</v>
      </c>
      <c r="M2521" s="5" t="s">
        <v>45</v>
      </c>
      <c r="N2521" s="5" t="s">
        <v>70</v>
      </c>
      <c r="O2521" s="5" t="s">
        <v>59</v>
      </c>
      <c r="P2521" s="10" t="s">
        <v>146</v>
      </c>
      <c r="Q2521" s="10" t="s">
        <v>9938</v>
      </c>
      <c r="R2521" s="10" t="s">
        <v>9772</v>
      </c>
      <c r="S2521" s="5">
        <v>0</v>
      </c>
      <c r="T2521" s="37">
        <v>0</v>
      </c>
      <c r="U2521" s="5">
        <v>0</v>
      </c>
      <c r="V2521" s="37">
        <v>0</v>
      </c>
      <c r="W2521" s="5">
        <v>0</v>
      </c>
      <c r="X2521" s="5">
        <v>0</v>
      </c>
      <c r="Y2521" s="5">
        <v>0</v>
      </c>
      <c r="Z2521" s="37">
        <v>0</v>
      </c>
      <c r="AA2521" s="5">
        <v>0</v>
      </c>
      <c r="AB2521" s="5">
        <v>0</v>
      </c>
      <c r="AC2521" s="5">
        <v>0</v>
      </c>
      <c r="AD2521" s="5">
        <v>0</v>
      </c>
      <c r="AE2521" s="10" t="s">
        <v>73</v>
      </c>
      <c r="AF2521" s="10"/>
      <c r="AG2521" s="10" t="s">
        <v>114</v>
      </c>
      <c r="AH2521" s="10">
        <v>43027</v>
      </c>
      <c r="AI2521" s="5">
        <v>0</v>
      </c>
      <c r="AJ2521" s="10" t="s">
        <v>14192</v>
      </c>
      <c r="AK2521" s="10" t="s">
        <v>14193</v>
      </c>
    </row>
    <row r="2522" spans="1:37" ht="36.75" customHeight="1" x14ac:dyDescent="0.35">
      <c r="A2522" s="5"/>
      <c r="B2522" s="5" t="s">
        <v>37</v>
      </c>
      <c r="C2522" s="73" t="str">
        <f t="shared" si="39"/>
        <v>Closed</v>
      </c>
      <c r="D2522" s="45" t="s">
        <v>14194</v>
      </c>
      <c r="E2522" s="54" t="s">
        <v>14195</v>
      </c>
      <c r="F2522" s="5" t="s">
        <v>214</v>
      </c>
      <c r="G2522" s="10">
        <f>DATE(2017,10,17)</f>
        <v>43025</v>
      </c>
      <c r="H2522" s="35">
        <v>1.1854166666666668</v>
      </c>
      <c r="I2522" s="5" t="s">
        <v>468</v>
      </c>
      <c r="J2522" s="10" t="s">
        <v>14196</v>
      </c>
      <c r="K2522" s="5" t="s">
        <v>216</v>
      </c>
      <c r="L2522" s="5" t="s">
        <v>14197</v>
      </c>
      <c r="M2522" s="5" t="s">
        <v>45</v>
      </c>
      <c r="N2522" s="5" t="s">
        <v>123</v>
      </c>
      <c r="O2522" s="5" t="s">
        <v>46</v>
      </c>
      <c r="P2522" s="10" t="s">
        <v>282</v>
      </c>
      <c r="Q2522" s="10" t="s">
        <v>4022</v>
      </c>
      <c r="R2522" s="10" t="s">
        <v>216</v>
      </c>
      <c r="S2522" s="5">
        <v>0</v>
      </c>
      <c r="T2522" s="37">
        <v>0</v>
      </c>
      <c r="U2522" s="5">
        <v>0</v>
      </c>
      <c r="V2522" s="37">
        <v>0</v>
      </c>
      <c r="W2522" s="5">
        <v>0</v>
      </c>
      <c r="X2522" s="5">
        <v>0</v>
      </c>
      <c r="Y2522" s="5">
        <v>0</v>
      </c>
      <c r="Z2522" s="37">
        <v>0</v>
      </c>
      <c r="AA2522" s="5">
        <v>0</v>
      </c>
      <c r="AB2522" s="5">
        <v>0</v>
      </c>
      <c r="AC2522" s="5">
        <v>0</v>
      </c>
      <c r="AD2522" s="5">
        <v>0</v>
      </c>
      <c r="AE2522" s="10" t="s">
        <v>73</v>
      </c>
      <c r="AF2522" s="10"/>
      <c r="AG2522" s="10" t="s">
        <v>114</v>
      </c>
      <c r="AH2522" s="10">
        <v>43038</v>
      </c>
      <c r="AI2522" s="5">
        <v>2</v>
      </c>
      <c r="AJ2522" s="10" t="s">
        <v>14198</v>
      </c>
      <c r="AK2522" s="10" t="s">
        <v>14199</v>
      </c>
    </row>
    <row r="2523" spans="1:37" ht="36.75" customHeight="1" x14ac:dyDescent="0.35">
      <c r="A2523" s="5"/>
      <c r="B2523" s="5" t="s">
        <v>37</v>
      </c>
      <c r="C2523" s="73" t="str">
        <f t="shared" si="39"/>
        <v>Closed</v>
      </c>
      <c r="D2523" s="45" t="s">
        <v>14200</v>
      </c>
      <c r="E2523" s="54" t="s">
        <v>14201</v>
      </c>
      <c r="F2523" s="5" t="s">
        <v>816</v>
      </c>
      <c r="G2523" s="10">
        <f>DATE(2017,10,20)</f>
        <v>43028</v>
      </c>
      <c r="H2523" s="35">
        <v>1.46875</v>
      </c>
      <c r="I2523" s="5" t="s">
        <v>97</v>
      </c>
      <c r="J2523" s="10" t="s">
        <v>14202</v>
      </c>
      <c r="K2523" s="5" t="s">
        <v>818</v>
      </c>
      <c r="L2523" s="5" t="s">
        <v>14203</v>
      </c>
      <c r="M2523" s="5" t="s">
        <v>45</v>
      </c>
      <c r="N2523" s="5" t="s">
        <v>80</v>
      </c>
      <c r="O2523" s="5" t="s">
        <v>46</v>
      </c>
      <c r="P2523" s="10" t="s">
        <v>47</v>
      </c>
      <c r="Q2523" s="10" t="s">
        <v>2142</v>
      </c>
      <c r="R2523" s="10" t="s">
        <v>2777</v>
      </c>
      <c r="S2523" s="5">
        <v>0</v>
      </c>
      <c r="T2523" s="37">
        <v>0</v>
      </c>
      <c r="U2523" s="5">
        <v>0</v>
      </c>
      <c r="V2523" s="37">
        <v>0</v>
      </c>
      <c r="W2523" s="5">
        <v>0</v>
      </c>
      <c r="X2523" s="5">
        <v>0</v>
      </c>
      <c r="Y2523" s="5">
        <v>0</v>
      </c>
      <c r="Z2523" s="37">
        <v>0</v>
      </c>
      <c r="AA2523" s="5">
        <v>0</v>
      </c>
      <c r="AB2523" s="5">
        <v>0</v>
      </c>
      <c r="AC2523" s="5">
        <v>0</v>
      </c>
      <c r="AD2523" s="5">
        <v>0</v>
      </c>
      <c r="AE2523" s="10" t="s">
        <v>73</v>
      </c>
      <c r="AF2523" s="10"/>
      <c r="AG2523" s="10" t="s">
        <v>333</v>
      </c>
      <c r="AH2523" s="10">
        <v>43028</v>
      </c>
      <c r="AI2523" s="5">
        <v>0</v>
      </c>
      <c r="AJ2523" s="10" t="s">
        <v>14204</v>
      </c>
      <c r="AK2523" s="10" t="s">
        <v>14205</v>
      </c>
    </row>
    <row r="2524" spans="1:37" ht="36.75" customHeight="1" x14ac:dyDescent="0.35">
      <c r="A2524" s="5"/>
      <c r="B2524" s="5" t="s">
        <v>37</v>
      </c>
      <c r="C2524" s="73" t="str">
        <f t="shared" si="39"/>
        <v>Closed</v>
      </c>
      <c r="D2524" s="45" t="s">
        <v>14206</v>
      </c>
      <c r="E2524" s="54" t="s">
        <v>14207</v>
      </c>
      <c r="F2524" s="5" t="s">
        <v>214</v>
      </c>
      <c r="G2524" s="10">
        <f>DATE(2017,10,20)</f>
        <v>43028</v>
      </c>
      <c r="H2524" s="35">
        <v>1.4513888888888888</v>
      </c>
      <c r="I2524" s="5" t="s">
        <v>41</v>
      </c>
      <c r="J2524" s="10" t="s">
        <v>14208</v>
      </c>
      <c r="K2524" s="5" t="s">
        <v>216</v>
      </c>
      <c r="L2524" s="5" t="s">
        <v>14209</v>
      </c>
      <c r="M2524" s="5" t="s">
        <v>45</v>
      </c>
      <c r="N2524" s="5" t="s">
        <v>80</v>
      </c>
      <c r="O2524" s="5" t="s">
        <v>46</v>
      </c>
      <c r="P2524" s="10" t="s">
        <v>146</v>
      </c>
      <c r="Q2524" s="10" t="s">
        <v>2154</v>
      </c>
      <c r="R2524" s="10" t="s">
        <v>216</v>
      </c>
      <c r="S2524" s="5">
        <v>0</v>
      </c>
      <c r="T2524" s="37">
        <v>0</v>
      </c>
      <c r="U2524" s="5">
        <v>0</v>
      </c>
      <c r="V2524" s="37">
        <v>0</v>
      </c>
      <c r="W2524" s="5">
        <v>0</v>
      </c>
      <c r="X2524" s="5">
        <v>0</v>
      </c>
      <c r="Y2524" s="5">
        <v>0</v>
      </c>
      <c r="Z2524" s="37">
        <v>0</v>
      </c>
      <c r="AA2524" s="5">
        <v>0</v>
      </c>
      <c r="AB2524" s="5">
        <v>0</v>
      </c>
      <c r="AC2524" s="5">
        <v>0</v>
      </c>
      <c r="AD2524" s="5">
        <v>0</v>
      </c>
      <c r="AE2524" s="10" t="s">
        <v>73</v>
      </c>
      <c r="AF2524" s="10"/>
      <c r="AG2524" s="10" t="s">
        <v>114</v>
      </c>
      <c r="AH2524" s="10">
        <v>43136</v>
      </c>
      <c r="AI2524" s="5">
        <v>5</v>
      </c>
      <c r="AJ2524" s="10" t="s">
        <v>14210</v>
      </c>
      <c r="AK2524" s="10" t="s">
        <v>14211</v>
      </c>
    </row>
    <row r="2525" spans="1:37" ht="36.75" customHeight="1" x14ac:dyDescent="0.35">
      <c r="A2525" s="5"/>
      <c r="B2525" s="5" t="s">
        <v>37</v>
      </c>
      <c r="C2525" s="73" t="str">
        <f t="shared" si="39"/>
        <v>Closed</v>
      </c>
      <c r="D2525" s="45" t="s">
        <v>14212</v>
      </c>
      <c r="E2525" s="54" t="s">
        <v>14213</v>
      </c>
      <c r="F2525" s="5" t="s">
        <v>214</v>
      </c>
      <c r="G2525" s="10">
        <f>DATE(2017,10,23)</f>
        <v>43031</v>
      </c>
      <c r="H2525" s="35">
        <v>1.6319444444444444</v>
      </c>
      <c r="I2525" s="5" t="s">
        <v>97</v>
      </c>
      <c r="J2525" s="10" t="s">
        <v>14214</v>
      </c>
      <c r="K2525" s="5" t="s">
        <v>216</v>
      </c>
      <c r="L2525" s="5" t="s">
        <v>14215</v>
      </c>
      <c r="M2525" s="5" t="s">
        <v>45</v>
      </c>
      <c r="N2525" s="5" t="s">
        <v>123</v>
      </c>
      <c r="O2525" s="5" t="s">
        <v>67</v>
      </c>
      <c r="P2525" s="10" t="s">
        <v>443</v>
      </c>
      <c r="Q2525" s="10" t="s">
        <v>1503</v>
      </c>
      <c r="R2525" s="10" t="s">
        <v>216</v>
      </c>
      <c r="S2525" s="5">
        <v>0</v>
      </c>
      <c r="T2525" s="37">
        <v>0</v>
      </c>
      <c r="U2525" s="5">
        <v>0</v>
      </c>
      <c r="V2525" s="37">
        <v>0</v>
      </c>
      <c r="W2525" s="5">
        <v>0</v>
      </c>
      <c r="X2525" s="5">
        <v>0</v>
      </c>
      <c r="Y2525" s="5">
        <v>0</v>
      </c>
      <c r="Z2525" s="37">
        <v>0</v>
      </c>
      <c r="AA2525" s="5">
        <v>1</v>
      </c>
      <c r="AB2525" s="5">
        <v>0</v>
      </c>
      <c r="AC2525" s="5">
        <v>0</v>
      </c>
      <c r="AD2525" s="5">
        <v>1</v>
      </c>
      <c r="AE2525" s="10" t="s">
        <v>73</v>
      </c>
      <c r="AF2525" s="10"/>
      <c r="AG2525" s="10" t="s">
        <v>114</v>
      </c>
      <c r="AH2525" s="10">
        <v>43038</v>
      </c>
      <c r="AI2525" s="5">
        <v>4</v>
      </c>
      <c r="AJ2525" s="10" t="s">
        <v>14216</v>
      </c>
      <c r="AK2525" s="10" t="s">
        <v>14217</v>
      </c>
    </row>
    <row r="2526" spans="1:37" ht="36.75" customHeight="1" x14ac:dyDescent="0.35">
      <c r="A2526" s="5"/>
      <c r="B2526" s="5" t="s">
        <v>37</v>
      </c>
      <c r="C2526" s="73" t="str">
        <f t="shared" si="39"/>
        <v>Closed</v>
      </c>
      <c r="D2526" s="45" t="s">
        <v>14218</v>
      </c>
      <c r="E2526" s="54" t="s">
        <v>14219</v>
      </c>
      <c r="F2526" s="5" t="s">
        <v>40</v>
      </c>
      <c r="G2526" s="10">
        <f>DATE(2017,10,26)</f>
        <v>43034</v>
      </c>
      <c r="H2526" s="35">
        <v>1.3333333333333333</v>
      </c>
      <c r="I2526" s="5" t="s">
        <v>97</v>
      </c>
      <c r="J2526" s="10" t="s">
        <v>14220</v>
      </c>
      <c r="K2526" s="5" t="s">
        <v>43</v>
      </c>
      <c r="L2526" s="5" t="s">
        <v>14221</v>
      </c>
      <c r="M2526" s="5" t="s">
        <v>45</v>
      </c>
      <c r="N2526" s="5" t="s">
        <v>80</v>
      </c>
      <c r="O2526" s="5" t="s">
        <v>46</v>
      </c>
      <c r="P2526" s="10" t="s">
        <v>6920</v>
      </c>
      <c r="Q2526" s="10" t="s">
        <v>10848</v>
      </c>
      <c r="R2526" s="10" t="s">
        <v>49</v>
      </c>
      <c r="S2526" s="5">
        <v>1</v>
      </c>
      <c r="T2526" s="37">
        <v>0</v>
      </c>
      <c r="U2526" s="5">
        <v>3</v>
      </c>
      <c r="V2526" s="37">
        <v>0</v>
      </c>
      <c r="W2526" s="5">
        <v>0</v>
      </c>
      <c r="X2526" s="5">
        <v>4</v>
      </c>
      <c r="Y2526" s="5">
        <v>0</v>
      </c>
      <c r="Z2526" s="37">
        <v>0</v>
      </c>
      <c r="AA2526" s="5">
        <v>3</v>
      </c>
      <c r="AB2526" s="5">
        <v>0</v>
      </c>
      <c r="AC2526" s="5">
        <v>0</v>
      </c>
      <c r="AD2526" s="5">
        <v>3</v>
      </c>
      <c r="AE2526" s="10" t="s">
        <v>375</v>
      </c>
      <c r="AF2526" s="10"/>
      <c r="AG2526" s="10" t="s">
        <v>64</v>
      </c>
      <c r="AH2526" s="10">
        <v>43035</v>
      </c>
      <c r="AI2526" s="5">
        <v>4</v>
      </c>
      <c r="AJ2526" s="10" t="s">
        <v>14222</v>
      </c>
      <c r="AK2526" s="10" t="s">
        <v>14223</v>
      </c>
    </row>
    <row r="2527" spans="1:37" ht="36.75" customHeight="1" x14ac:dyDescent="0.35">
      <c r="A2527" s="5"/>
      <c r="B2527" s="5" t="s">
        <v>37</v>
      </c>
      <c r="C2527" s="73" t="str">
        <f t="shared" si="39"/>
        <v>Closed</v>
      </c>
      <c r="D2527" s="45" t="s">
        <v>14224</v>
      </c>
      <c r="E2527" s="54" t="s">
        <v>14225</v>
      </c>
      <c r="F2527" s="5" t="s">
        <v>816</v>
      </c>
      <c r="G2527" s="10">
        <f>DATE(2017,10,26)</f>
        <v>43034</v>
      </c>
      <c r="H2527" s="35">
        <v>1.6375000000000002</v>
      </c>
      <c r="I2527" s="5" t="s">
        <v>97</v>
      </c>
      <c r="J2527" s="10" t="s">
        <v>14226</v>
      </c>
      <c r="K2527" s="5" t="s">
        <v>818</v>
      </c>
      <c r="L2527" s="5" t="s">
        <v>14227</v>
      </c>
      <c r="M2527" s="5" t="s">
        <v>45</v>
      </c>
      <c r="N2527" s="5" t="s">
        <v>80</v>
      </c>
      <c r="O2527" s="5" t="s">
        <v>46</v>
      </c>
      <c r="P2527" s="10" t="s">
        <v>146</v>
      </c>
      <c r="Q2527" s="10" t="s">
        <v>2142</v>
      </c>
      <c r="R2527" s="10" t="s">
        <v>821</v>
      </c>
      <c r="S2527" s="5">
        <v>0</v>
      </c>
      <c r="T2527" s="37">
        <v>0</v>
      </c>
      <c r="U2527" s="5">
        <v>0</v>
      </c>
      <c r="V2527" s="37">
        <v>0</v>
      </c>
      <c r="W2527" s="5">
        <v>0</v>
      </c>
      <c r="X2527" s="5">
        <v>0</v>
      </c>
      <c r="Y2527" s="5">
        <v>0</v>
      </c>
      <c r="Z2527" s="37">
        <v>0</v>
      </c>
      <c r="AA2527" s="5">
        <v>0</v>
      </c>
      <c r="AB2527" s="5">
        <v>0</v>
      </c>
      <c r="AC2527" s="5">
        <v>0</v>
      </c>
      <c r="AD2527" s="5">
        <v>0</v>
      </c>
      <c r="AE2527" s="10" t="s">
        <v>73</v>
      </c>
      <c r="AF2527" s="10"/>
      <c r="AG2527" s="10" t="s">
        <v>333</v>
      </c>
      <c r="AH2527" s="10">
        <v>43034</v>
      </c>
      <c r="AI2527" s="5">
        <v>1</v>
      </c>
      <c r="AJ2527" s="10" t="s">
        <v>14228</v>
      </c>
      <c r="AK2527" s="10" t="s">
        <v>1215</v>
      </c>
    </row>
    <row r="2528" spans="1:37" ht="36.75" customHeight="1" x14ac:dyDescent="0.35">
      <c r="A2528" s="5"/>
      <c r="B2528" s="5" t="s">
        <v>37</v>
      </c>
      <c r="C2528" s="73" t="str">
        <f t="shared" si="39"/>
        <v>Closed</v>
      </c>
      <c r="D2528" s="45" t="s">
        <v>14229</v>
      </c>
      <c r="E2528" s="54" t="s">
        <v>14230</v>
      </c>
      <c r="F2528" s="5" t="s">
        <v>105</v>
      </c>
      <c r="G2528" s="10">
        <f>DATE(2017,10,26)</f>
        <v>43034</v>
      </c>
      <c r="H2528" s="35">
        <v>1.8125</v>
      </c>
      <c r="I2528" s="5" t="s">
        <v>55</v>
      </c>
      <c r="J2528" s="10" t="s">
        <v>14231</v>
      </c>
      <c r="K2528" s="5" t="s">
        <v>108</v>
      </c>
      <c r="L2528" s="5" t="s">
        <v>14232</v>
      </c>
      <c r="M2528" s="5" t="s">
        <v>45</v>
      </c>
      <c r="N2528" s="5" t="s">
        <v>123</v>
      </c>
      <c r="O2528" s="5" t="s">
        <v>59</v>
      </c>
      <c r="P2528" s="10" t="s">
        <v>60</v>
      </c>
      <c r="Q2528" s="10" t="s">
        <v>382</v>
      </c>
      <c r="R2528" s="10" t="s">
        <v>148</v>
      </c>
      <c r="S2528" s="5">
        <v>0</v>
      </c>
      <c r="T2528" s="37">
        <v>0</v>
      </c>
      <c r="U2528" s="5">
        <v>0</v>
      </c>
      <c r="V2528" s="37">
        <v>0</v>
      </c>
      <c r="W2528" s="5">
        <v>0</v>
      </c>
      <c r="X2528" s="5">
        <v>0</v>
      </c>
      <c r="Y2528" s="5">
        <v>0</v>
      </c>
      <c r="Z2528" s="37">
        <v>0</v>
      </c>
      <c r="AA2528" s="5">
        <v>0</v>
      </c>
      <c r="AB2528" s="5">
        <v>0</v>
      </c>
      <c r="AC2528" s="5">
        <v>0</v>
      </c>
      <c r="AD2528" s="5">
        <v>0</v>
      </c>
      <c r="AE2528" s="10" t="s">
        <v>375</v>
      </c>
      <c r="AF2528" s="10"/>
      <c r="AG2528" s="10" t="s">
        <v>64</v>
      </c>
      <c r="AH2528" s="10">
        <v>43040</v>
      </c>
      <c r="AI2528" s="5">
        <v>2</v>
      </c>
      <c r="AJ2528" s="10" t="s">
        <v>14233</v>
      </c>
      <c r="AK2528" s="10" t="s">
        <v>14234</v>
      </c>
    </row>
    <row r="2529" spans="1:37" ht="36.75" customHeight="1" x14ac:dyDescent="0.35">
      <c r="A2529" s="5"/>
      <c r="B2529" s="5" t="s">
        <v>37</v>
      </c>
      <c r="C2529" s="73" t="str">
        <f t="shared" si="39"/>
        <v>Closed</v>
      </c>
      <c r="D2529" s="45" t="s">
        <v>14235</v>
      </c>
      <c r="E2529" s="54" t="s">
        <v>14236</v>
      </c>
      <c r="F2529" s="5" t="s">
        <v>404</v>
      </c>
      <c r="G2529" s="10">
        <f>DATE(2017,10,27)</f>
        <v>43035</v>
      </c>
      <c r="H2529" s="35">
        <v>1.2194444444444446</v>
      </c>
      <c r="I2529" s="5" t="s">
        <v>179</v>
      </c>
      <c r="J2529" s="10" t="s">
        <v>14237</v>
      </c>
      <c r="K2529" s="5" t="s">
        <v>406</v>
      </c>
      <c r="L2529" s="5" t="s">
        <v>14238</v>
      </c>
      <c r="M2529" s="5" t="s">
        <v>236</v>
      </c>
      <c r="N2529" s="5" t="s">
        <v>123</v>
      </c>
      <c r="O2529" s="5" t="s">
        <v>46</v>
      </c>
      <c r="P2529" s="10" t="s">
        <v>6531</v>
      </c>
      <c r="Q2529" s="10" t="s">
        <v>1325</v>
      </c>
      <c r="R2529" s="10" t="s">
        <v>1325</v>
      </c>
      <c r="S2529" s="5">
        <v>0</v>
      </c>
      <c r="T2529" s="37">
        <v>0</v>
      </c>
      <c r="U2529" s="5">
        <v>0</v>
      </c>
      <c r="V2529" s="37">
        <v>0</v>
      </c>
      <c r="W2529" s="5">
        <v>0</v>
      </c>
      <c r="X2529" s="5">
        <v>0</v>
      </c>
      <c r="Y2529" s="5">
        <v>0</v>
      </c>
      <c r="Z2529" s="37">
        <v>0</v>
      </c>
      <c r="AA2529" s="5">
        <v>0</v>
      </c>
      <c r="AB2529" s="5">
        <v>0</v>
      </c>
      <c r="AC2529" s="5">
        <v>0</v>
      </c>
      <c r="AD2529" s="5">
        <v>0</v>
      </c>
      <c r="AE2529" s="10" t="s">
        <v>73</v>
      </c>
      <c r="AF2529" s="10"/>
      <c r="AG2529" s="10" t="s">
        <v>114</v>
      </c>
      <c r="AH2529" s="10">
        <v>43038</v>
      </c>
      <c r="AI2529" s="5">
        <v>0</v>
      </c>
      <c r="AJ2529" s="10" t="s">
        <v>14239</v>
      </c>
      <c r="AK2529" s="10" t="s">
        <v>14240</v>
      </c>
    </row>
    <row r="2530" spans="1:37" ht="36.75" customHeight="1" x14ac:dyDescent="0.35">
      <c r="A2530" s="5"/>
      <c r="B2530" s="5" t="s">
        <v>37</v>
      </c>
      <c r="C2530" s="73" t="str">
        <f t="shared" si="39"/>
        <v>Closed</v>
      </c>
      <c r="D2530" s="45" t="s">
        <v>14241</v>
      </c>
      <c r="E2530" s="54" t="s">
        <v>14242</v>
      </c>
      <c r="F2530" s="5" t="s">
        <v>9767</v>
      </c>
      <c r="G2530" s="10">
        <f>DATE(2017,10,27)</f>
        <v>43035</v>
      </c>
      <c r="H2530" s="35">
        <v>1.7881944444444446</v>
      </c>
      <c r="I2530" s="5" t="s">
        <v>97</v>
      </c>
      <c r="J2530" s="10" t="s">
        <v>14243</v>
      </c>
      <c r="K2530" s="5" t="s">
        <v>9769</v>
      </c>
      <c r="L2530" s="5" t="s">
        <v>14244</v>
      </c>
      <c r="M2530" s="5" t="s">
        <v>45</v>
      </c>
      <c r="N2530" s="5" t="s">
        <v>80</v>
      </c>
      <c r="O2530" s="5" t="s">
        <v>46</v>
      </c>
      <c r="P2530" s="10" t="s">
        <v>146</v>
      </c>
      <c r="Q2530" s="10" t="s">
        <v>9938</v>
      </c>
      <c r="R2530" s="10" t="s">
        <v>9772</v>
      </c>
      <c r="S2530" s="5">
        <v>0</v>
      </c>
      <c r="T2530" s="37">
        <v>0</v>
      </c>
      <c r="U2530" s="5">
        <v>0</v>
      </c>
      <c r="V2530" s="37">
        <v>0</v>
      </c>
      <c r="W2530" s="5">
        <v>0</v>
      </c>
      <c r="X2530" s="5">
        <v>0</v>
      </c>
      <c r="Y2530" s="5">
        <v>0</v>
      </c>
      <c r="Z2530" s="37">
        <v>0</v>
      </c>
      <c r="AA2530" s="5">
        <v>0</v>
      </c>
      <c r="AB2530" s="5">
        <v>0</v>
      </c>
      <c r="AC2530" s="5">
        <v>0</v>
      </c>
      <c r="AD2530" s="5">
        <v>0</v>
      </c>
      <c r="AE2530" s="10" t="s">
        <v>73</v>
      </c>
      <c r="AF2530" s="10"/>
      <c r="AG2530" s="10" t="s">
        <v>114</v>
      </c>
      <c r="AH2530" s="10">
        <v>43074</v>
      </c>
      <c r="AI2530" s="5">
        <v>0</v>
      </c>
      <c r="AJ2530" s="10" t="s">
        <v>14245</v>
      </c>
      <c r="AK2530" s="10" t="s">
        <v>14246</v>
      </c>
    </row>
    <row r="2531" spans="1:37" ht="36.75" customHeight="1" x14ac:dyDescent="0.35">
      <c r="A2531" s="5"/>
      <c r="B2531" s="5" t="s">
        <v>37</v>
      </c>
      <c r="C2531" s="73" t="str">
        <f t="shared" si="39"/>
        <v>Closed</v>
      </c>
      <c r="D2531" s="45" t="s">
        <v>14247</v>
      </c>
      <c r="E2531" s="54" t="s">
        <v>14248</v>
      </c>
      <c r="F2531" s="5" t="s">
        <v>816</v>
      </c>
      <c r="G2531" s="10">
        <f>DATE(2017,10,29)</f>
        <v>43037</v>
      </c>
      <c r="H2531" s="35">
        <v>1.8055555555555554</v>
      </c>
      <c r="I2531" s="5" t="s">
        <v>2059</v>
      </c>
      <c r="J2531" s="10" t="s">
        <v>14249</v>
      </c>
      <c r="K2531" s="5" t="s">
        <v>818</v>
      </c>
      <c r="L2531" s="5" t="s">
        <v>14250</v>
      </c>
      <c r="M2531" s="5" t="s">
        <v>45</v>
      </c>
      <c r="N2531" s="5" t="s">
        <v>80</v>
      </c>
      <c r="O2531" s="5" t="s">
        <v>59</v>
      </c>
      <c r="P2531" s="10" t="s">
        <v>5303</v>
      </c>
      <c r="Q2531" s="10" t="s">
        <v>2142</v>
      </c>
      <c r="R2531" s="10" t="s">
        <v>821</v>
      </c>
      <c r="S2531" s="5">
        <v>0</v>
      </c>
      <c r="T2531" s="37">
        <v>0</v>
      </c>
      <c r="U2531" s="5">
        <v>0</v>
      </c>
      <c r="V2531" s="37">
        <v>0</v>
      </c>
      <c r="W2531" s="5">
        <v>0</v>
      </c>
      <c r="X2531" s="5">
        <v>0</v>
      </c>
      <c r="Y2531" s="5">
        <v>0</v>
      </c>
      <c r="Z2531" s="37">
        <v>0</v>
      </c>
      <c r="AA2531" s="5">
        <v>0</v>
      </c>
      <c r="AB2531" s="5">
        <v>0</v>
      </c>
      <c r="AC2531" s="5">
        <v>0</v>
      </c>
      <c r="AD2531" s="5">
        <v>0</v>
      </c>
      <c r="AE2531" s="10" t="s">
        <v>73</v>
      </c>
      <c r="AF2531" s="10"/>
      <c r="AG2531" s="10" t="s">
        <v>14251</v>
      </c>
      <c r="AH2531" s="10">
        <v>43037</v>
      </c>
      <c r="AI2531" s="5">
        <v>1</v>
      </c>
      <c r="AJ2531" s="10" t="s">
        <v>14252</v>
      </c>
      <c r="AK2531" s="10" t="s">
        <v>50</v>
      </c>
    </row>
    <row r="2532" spans="1:37" ht="36.75" customHeight="1" x14ac:dyDescent="0.35">
      <c r="A2532" s="5"/>
      <c r="B2532" s="5" t="s">
        <v>37</v>
      </c>
      <c r="C2532" s="73" t="str">
        <f t="shared" si="39"/>
        <v>Closed</v>
      </c>
      <c r="D2532" s="45" t="s">
        <v>14253</v>
      </c>
      <c r="E2532" s="54" t="s">
        <v>14254</v>
      </c>
      <c r="F2532" s="5" t="s">
        <v>816</v>
      </c>
      <c r="G2532" s="10">
        <f>DATE(2017,10,29)</f>
        <v>43037</v>
      </c>
      <c r="H2532" s="35">
        <v>1.6583333333333332</v>
      </c>
      <c r="I2532" s="5" t="s">
        <v>55</v>
      </c>
      <c r="J2532" s="10" t="s">
        <v>14255</v>
      </c>
      <c r="K2532" s="5" t="s">
        <v>818</v>
      </c>
      <c r="L2532" s="5" t="s">
        <v>14256</v>
      </c>
      <c r="M2532" s="5" t="s">
        <v>236</v>
      </c>
      <c r="N2532" s="5" t="s">
        <v>123</v>
      </c>
      <c r="O2532" s="5" t="s">
        <v>59</v>
      </c>
      <c r="P2532" s="10" t="s">
        <v>6531</v>
      </c>
      <c r="Q2532" s="10" t="s">
        <v>4190</v>
      </c>
      <c r="R2532" s="10" t="s">
        <v>4190</v>
      </c>
      <c r="S2532" s="5">
        <v>0</v>
      </c>
      <c r="T2532" s="37">
        <v>0</v>
      </c>
      <c r="U2532" s="5">
        <v>0</v>
      </c>
      <c r="V2532" s="37">
        <v>0</v>
      </c>
      <c r="W2532" s="5">
        <v>0</v>
      </c>
      <c r="X2532" s="5">
        <v>0</v>
      </c>
      <c r="Y2532" s="5">
        <v>0</v>
      </c>
      <c r="Z2532" s="37">
        <v>0</v>
      </c>
      <c r="AA2532" s="5">
        <v>0</v>
      </c>
      <c r="AB2532" s="5">
        <v>0</v>
      </c>
      <c r="AC2532" s="5">
        <v>0</v>
      </c>
      <c r="AD2532" s="5">
        <v>0</v>
      </c>
      <c r="AE2532" s="10" t="s">
        <v>73</v>
      </c>
      <c r="AF2532" s="10"/>
      <c r="AG2532" s="10" t="s">
        <v>333</v>
      </c>
      <c r="AH2532" s="10">
        <v>43037</v>
      </c>
      <c r="AI2532" s="5">
        <v>1</v>
      </c>
      <c r="AJ2532" s="10" t="s">
        <v>14257</v>
      </c>
      <c r="AK2532" s="10" t="s">
        <v>14258</v>
      </c>
    </row>
    <row r="2533" spans="1:37" ht="36.75" customHeight="1" x14ac:dyDescent="0.35">
      <c r="A2533" s="5"/>
      <c r="B2533" s="5" t="s">
        <v>37</v>
      </c>
      <c r="C2533" s="73" t="str">
        <f t="shared" si="39"/>
        <v>Closed</v>
      </c>
      <c r="D2533" s="45" t="s">
        <v>14259</v>
      </c>
      <c r="E2533" s="54" t="s">
        <v>14260</v>
      </c>
      <c r="F2533" s="5" t="s">
        <v>12451</v>
      </c>
      <c r="G2533" s="10">
        <f>DATE(2017,10,30)</f>
        <v>43038</v>
      </c>
      <c r="H2533" s="35">
        <v>1.4861111111111112</v>
      </c>
      <c r="I2533" s="5" t="s">
        <v>179</v>
      </c>
      <c r="J2533" s="10" t="s">
        <v>14261</v>
      </c>
      <c r="K2533" s="5" t="s">
        <v>181</v>
      </c>
      <c r="L2533" s="5" t="s">
        <v>14262</v>
      </c>
      <c r="M2533" s="5" t="s">
        <v>45</v>
      </c>
      <c r="N2533" s="5" t="s">
        <v>123</v>
      </c>
      <c r="O2533" s="5" t="s">
        <v>59</v>
      </c>
      <c r="P2533" s="10" t="s">
        <v>146</v>
      </c>
      <c r="Q2533" s="10" t="s">
        <v>183</v>
      </c>
      <c r="R2533" s="10" t="s">
        <v>184</v>
      </c>
      <c r="S2533" s="5">
        <v>0</v>
      </c>
      <c r="T2533" s="37">
        <v>0</v>
      </c>
      <c r="U2533" s="5">
        <v>0</v>
      </c>
      <c r="V2533" s="37">
        <v>0</v>
      </c>
      <c r="W2533" s="5">
        <v>0</v>
      </c>
      <c r="X2533" s="5">
        <v>0</v>
      </c>
      <c r="Y2533" s="5">
        <v>0</v>
      </c>
      <c r="Z2533" s="37">
        <v>0</v>
      </c>
      <c r="AA2533" s="5">
        <v>0</v>
      </c>
      <c r="AB2533" s="5">
        <v>0</v>
      </c>
      <c r="AC2533" s="5">
        <v>0</v>
      </c>
      <c r="AD2533" s="5">
        <v>0</v>
      </c>
      <c r="AE2533" s="10" t="s">
        <v>375</v>
      </c>
      <c r="AF2533" s="10" t="s">
        <v>14263</v>
      </c>
      <c r="AG2533" s="10" t="s">
        <v>14264</v>
      </c>
      <c r="AH2533" s="10">
        <v>43130</v>
      </c>
      <c r="AI2533" s="5">
        <v>0</v>
      </c>
      <c r="AJ2533" s="10" t="s">
        <v>14265</v>
      </c>
      <c r="AK2533" s="10" t="s">
        <v>50</v>
      </c>
    </row>
    <row r="2534" spans="1:37" ht="36.75" customHeight="1" x14ac:dyDescent="0.35">
      <c r="A2534" s="5"/>
      <c r="B2534" s="5" t="s">
        <v>37</v>
      </c>
      <c r="C2534" s="73" t="str">
        <f t="shared" si="39"/>
        <v>Closed</v>
      </c>
      <c r="D2534" s="45" t="s">
        <v>14266</v>
      </c>
      <c r="E2534" s="54" t="s">
        <v>14267</v>
      </c>
      <c r="F2534" s="5" t="s">
        <v>1553</v>
      </c>
      <c r="G2534" s="10">
        <f>DATE(2017,10,30)</f>
        <v>43038</v>
      </c>
      <c r="H2534" s="35">
        <v>1.7826388888888891</v>
      </c>
      <c r="I2534" s="5" t="s">
        <v>55</v>
      </c>
      <c r="J2534" s="10" t="s">
        <v>14268</v>
      </c>
      <c r="K2534" s="5" t="s">
        <v>1555</v>
      </c>
      <c r="L2534" s="5" t="s">
        <v>14269</v>
      </c>
      <c r="M2534" s="5" t="s">
        <v>45</v>
      </c>
      <c r="N2534" s="5" t="s">
        <v>70</v>
      </c>
      <c r="O2534" s="5" t="s">
        <v>59</v>
      </c>
      <c r="P2534" s="10" t="s">
        <v>6920</v>
      </c>
      <c r="Q2534" s="10" t="s">
        <v>2393</v>
      </c>
      <c r="R2534" s="10" t="s">
        <v>6413</v>
      </c>
      <c r="S2534" s="5">
        <v>0</v>
      </c>
      <c r="T2534" s="37">
        <v>0</v>
      </c>
      <c r="U2534" s="5">
        <v>0</v>
      </c>
      <c r="V2534" s="37">
        <v>0</v>
      </c>
      <c r="W2534" s="5">
        <v>0</v>
      </c>
      <c r="X2534" s="5">
        <v>0</v>
      </c>
      <c r="Y2534" s="5">
        <v>0</v>
      </c>
      <c r="Z2534" s="37">
        <v>0</v>
      </c>
      <c r="AA2534" s="5">
        <v>0</v>
      </c>
      <c r="AB2534" s="5">
        <v>0</v>
      </c>
      <c r="AC2534" s="5">
        <v>0</v>
      </c>
      <c r="AD2534" s="5">
        <v>0</v>
      </c>
      <c r="AE2534" s="10" t="s">
        <v>73</v>
      </c>
      <c r="AF2534" s="10"/>
      <c r="AG2534" s="10" t="s">
        <v>114</v>
      </c>
      <c r="AH2534" s="10">
        <v>43039</v>
      </c>
      <c r="AI2534" s="5">
        <v>2</v>
      </c>
      <c r="AJ2534" s="10" t="s">
        <v>14270</v>
      </c>
      <c r="AK2534" s="10" t="s">
        <v>14271</v>
      </c>
    </row>
    <row r="2535" spans="1:37" ht="36.75" customHeight="1" x14ac:dyDescent="0.35">
      <c r="A2535" s="5"/>
      <c r="B2535" s="5" t="s">
        <v>37</v>
      </c>
      <c r="C2535" s="73" t="str">
        <f t="shared" si="39"/>
        <v>Closed</v>
      </c>
      <c r="D2535" s="45" t="s">
        <v>14272</v>
      </c>
      <c r="E2535" s="54" t="s">
        <v>14273</v>
      </c>
      <c r="F2535" s="5" t="s">
        <v>214</v>
      </c>
      <c r="G2535" s="10">
        <f>DATE(2017,10,30)</f>
        <v>43038</v>
      </c>
      <c r="H2535" s="35">
        <v>1.3409722222222222</v>
      </c>
      <c r="I2535" s="5" t="s">
        <v>8481</v>
      </c>
      <c r="J2535" s="10" t="s">
        <v>14274</v>
      </c>
      <c r="K2535" s="5" t="s">
        <v>216</v>
      </c>
      <c r="L2535" s="5" t="s">
        <v>14275</v>
      </c>
      <c r="M2535" s="5" t="s">
        <v>45</v>
      </c>
      <c r="N2535" s="5" t="s">
        <v>123</v>
      </c>
      <c r="O2535" s="5" t="s">
        <v>46</v>
      </c>
      <c r="P2535" s="10" t="s">
        <v>60</v>
      </c>
      <c r="Q2535" s="10" t="s">
        <v>4022</v>
      </c>
      <c r="R2535" s="10" t="s">
        <v>216</v>
      </c>
      <c r="S2535" s="5">
        <v>0</v>
      </c>
      <c r="T2535" s="37">
        <v>0</v>
      </c>
      <c r="U2535" s="5">
        <v>0</v>
      </c>
      <c r="V2535" s="37">
        <v>0</v>
      </c>
      <c r="W2535" s="5">
        <v>0</v>
      </c>
      <c r="X2535" s="5">
        <v>0</v>
      </c>
      <c r="Y2535" s="5">
        <v>0</v>
      </c>
      <c r="Z2535" s="37">
        <v>0</v>
      </c>
      <c r="AA2535" s="5">
        <v>0</v>
      </c>
      <c r="AB2535" s="5">
        <v>0</v>
      </c>
      <c r="AC2535" s="5">
        <v>0</v>
      </c>
      <c r="AD2535" s="5">
        <v>0</v>
      </c>
      <c r="AE2535" s="10" t="s">
        <v>126</v>
      </c>
      <c r="AF2535" s="10"/>
      <c r="AG2535" s="10" t="s">
        <v>114</v>
      </c>
      <c r="AH2535" s="10">
        <v>43052</v>
      </c>
      <c r="AI2535" s="5">
        <v>1</v>
      </c>
      <c r="AJ2535" s="10" t="s">
        <v>14276</v>
      </c>
      <c r="AK2535" s="10" t="s">
        <v>14277</v>
      </c>
    </row>
    <row r="2536" spans="1:37" ht="36.75" customHeight="1" x14ac:dyDescent="0.35">
      <c r="A2536" s="5"/>
      <c r="B2536" s="5" t="s">
        <v>37</v>
      </c>
      <c r="C2536" s="73" t="str">
        <f t="shared" si="39"/>
        <v>Closed</v>
      </c>
      <c r="D2536" s="45" t="s">
        <v>14278</v>
      </c>
      <c r="E2536" s="54" t="s">
        <v>14279</v>
      </c>
      <c r="F2536" s="5" t="s">
        <v>1553</v>
      </c>
      <c r="G2536" s="10">
        <f>DATE(2017,10,31)</f>
        <v>43039</v>
      </c>
      <c r="H2536" s="35">
        <v>1.6909722222222223</v>
      </c>
      <c r="I2536" s="5" t="s">
        <v>67</v>
      </c>
      <c r="J2536" s="10" t="s">
        <v>14280</v>
      </c>
      <c r="K2536" s="5" t="s">
        <v>1555</v>
      </c>
      <c r="L2536" s="5" t="s">
        <v>14281</v>
      </c>
      <c r="M2536" s="5" t="s">
        <v>45</v>
      </c>
      <c r="N2536" s="5" t="s">
        <v>123</v>
      </c>
      <c r="O2536" s="5" t="s">
        <v>46</v>
      </c>
      <c r="P2536" s="10" t="s">
        <v>60</v>
      </c>
      <c r="Q2536" s="10" t="s">
        <v>2635</v>
      </c>
      <c r="R2536" s="10" t="s">
        <v>6413</v>
      </c>
      <c r="S2536" s="5">
        <v>0</v>
      </c>
      <c r="T2536" s="37">
        <v>0</v>
      </c>
      <c r="U2536" s="5">
        <v>0</v>
      </c>
      <c r="V2536" s="37">
        <v>0</v>
      </c>
      <c r="W2536" s="5">
        <v>0</v>
      </c>
      <c r="X2536" s="5">
        <v>0</v>
      </c>
      <c r="Y2536" s="5">
        <v>0</v>
      </c>
      <c r="Z2536" s="37">
        <v>0</v>
      </c>
      <c r="AA2536" s="5">
        <v>0</v>
      </c>
      <c r="AB2536" s="5">
        <v>0</v>
      </c>
      <c r="AC2536" s="5">
        <v>0</v>
      </c>
      <c r="AD2536" s="5">
        <v>0</v>
      </c>
      <c r="AE2536" s="10" t="s">
        <v>73</v>
      </c>
      <c r="AF2536" s="10"/>
      <c r="AG2536" s="10" t="s">
        <v>114</v>
      </c>
      <c r="AH2536" s="10">
        <v>43040</v>
      </c>
      <c r="AI2536" s="5">
        <v>2</v>
      </c>
      <c r="AJ2536" s="10" t="s">
        <v>14282</v>
      </c>
      <c r="AK2536" s="10" t="s">
        <v>14283</v>
      </c>
    </row>
    <row r="2537" spans="1:37" ht="36.75" customHeight="1" x14ac:dyDescent="0.35">
      <c r="A2537" s="5"/>
      <c r="B2537" s="5" t="s">
        <v>37</v>
      </c>
      <c r="C2537" s="73" t="str">
        <f t="shared" si="39"/>
        <v>Closed</v>
      </c>
      <c r="D2537" s="45" t="s">
        <v>14284</v>
      </c>
      <c r="E2537" s="54" t="s">
        <v>14285</v>
      </c>
      <c r="F2537" s="5" t="s">
        <v>404</v>
      </c>
      <c r="G2537" s="10">
        <f>DATE(2017,11,2)</f>
        <v>43041</v>
      </c>
      <c r="H2537" s="35">
        <v>1.9965277777777777</v>
      </c>
      <c r="I2537" s="5" t="s">
        <v>179</v>
      </c>
      <c r="J2537" s="10" t="s">
        <v>14286</v>
      </c>
      <c r="K2537" s="5" t="s">
        <v>406</v>
      </c>
      <c r="L2537" s="5" t="s">
        <v>14287</v>
      </c>
      <c r="M2537" s="5" t="s">
        <v>45</v>
      </c>
      <c r="N2537" s="5" t="s">
        <v>123</v>
      </c>
      <c r="O2537" s="5" t="s">
        <v>46</v>
      </c>
      <c r="P2537" s="10" t="s">
        <v>60</v>
      </c>
      <c r="Q2537" s="10" t="s">
        <v>2562</v>
      </c>
      <c r="R2537" s="10" t="s">
        <v>3083</v>
      </c>
      <c r="S2537" s="5">
        <v>0</v>
      </c>
      <c r="T2537" s="37">
        <v>0</v>
      </c>
      <c r="U2537" s="5">
        <v>0</v>
      </c>
      <c r="V2537" s="37">
        <v>0</v>
      </c>
      <c r="W2537" s="5">
        <v>0</v>
      </c>
      <c r="X2537" s="5">
        <v>0</v>
      </c>
      <c r="Y2537" s="5">
        <v>0</v>
      </c>
      <c r="Z2537" s="37">
        <v>0</v>
      </c>
      <c r="AA2537" s="5">
        <v>0</v>
      </c>
      <c r="AB2537" s="5">
        <v>0</v>
      </c>
      <c r="AC2537" s="5">
        <v>0</v>
      </c>
      <c r="AD2537" s="5">
        <v>0</v>
      </c>
      <c r="AE2537" s="10" t="s">
        <v>73</v>
      </c>
      <c r="AF2537" s="10"/>
      <c r="AG2537" s="10" t="s">
        <v>333</v>
      </c>
      <c r="AH2537" s="10">
        <v>42805</v>
      </c>
      <c r="AI2537" s="5">
        <v>0</v>
      </c>
      <c r="AJ2537" s="10" t="s">
        <v>14288</v>
      </c>
      <c r="AK2537" s="10" t="s">
        <v>14289</v>
      </c>
    </row>
    <row r="2538" spans="1:37" ht="36.75" customHeight="1" x14ac:dyDescent="0.35">
      <c r="A2538" s="5"/>
      <c r="B2538" s="5" t="s">
        <v>37</v>
      </c>
      <c r="C2538" s="73" t="str">
        <f t="shared" si="39"/>
        <v>Closed</v>
      </c>
      <c r="D2538" s="45" t="s">
        <v>14290</v>
      </c>
      <c r="E2538" s="54" t="s">
        <v>14291</v>
      </c>
      <c r="F2538" s="5" t="s">
        <v>96</v>
      </c>
      <c r="G2538" s="10">
        <f>DATE(2017,11,2)</f>
        <v>43041</v>
      </c>
      <c r="H2538" s="35">
        <v>1.661111111111111</v>
      </c>
      <c r="I2538" s="5" t="s">
        <v>97</v>
      </c>
      <c r="J2538" s="10" t="s">
        <v>14292</v>
      </c>
      <c r="K2538" s="5" t="s">
        <v>99</v>
      </c>
      <c r="L2538" s="5" t="s">
        <v>14293</v>
      </c>
      <c r="M2538" s="5" t="s">
        <v>45</v>
      </c>
      <c r="N2538" s="5" t="s">
        <v>80</v>
      </c>
      <c r="O2538" s="5" t="s">
        <v>46</v>
      </c>
      <c r="P2538" s="10" t="s">
        <v>146</v>
      </c>
      <c r="Q2538" s="10" t="s">
        <v>101</v>
      </c>
      <c r="R2538" s="10" t="s">
        <v>102</v>
      </c>
      <c r="S2538" s="5">
        <v>0</v>
      </c>
      <c r="T2538" s="37">
        <v>0</v>
      </c>
      <c r="U2538" s="5">
        <v>3</v>
      </c>
      <c r="V2538" s="37">
        <v>0</v>
      </c>
      <c r="W2538" s="5">
        <v>0</v>
      </c>
      <c r="X2538" s="5">
        <v>3</v>
      </c>
      <c r="Y2538" s="5">
        <v>0</v>
      </c>
      <c r="Z2538" s="37">
        <v>0</v>
      </c>
      <c r="AA2538" s="5">
        <v>0</v>
      </c>
      <c r="AB2538" s="5">
        <v>0</v>
      </c>
      <c r="AC2538" s="5">
        <v>0</v>
      </c>
      <c r="AD2538" s="5">
        <v>0</v>
      </c>
      <c r="AE2538" s="10" t="s">
        <v>73</v>
      </c>
      <c r="AF2538" s="10"/>
      <c r="AG2538" s="10" t="s">
        <v>114</v>
      </c>
      <c r="AH2538" s="10">
        <v>43048</v>
      </c>
      <c r="AI2538" s="5">
        <v>2</v>
      </c>
      <c r="AJ2538" s="10" t="s">
        <v>14294</v>
      </c>
      <c r="AK2538" s="10" t="s">
        <v>14295</v>
      </c>
    </row>
    <row r="2539" spans="1:37" ht="36.75" customHeight="1" x14ac:dyDescent="0.35">
      <c r="A2539" s="5"/>
      <c r="B2539" s="5" t="s">
        <v>37</v>
      </c>
      <c r="C2539" s="73" t="str">
        <f t="shared" si="39"/>
        <v>Closed</v>
      </c>
      <c r="D2539" s="45" t="s">
        <v>14296</v>
      </c>
      <c r="E2539" s="54" t="s">
        <v>14297</v>
      </c>
      <c r="F2539" s="5" t="s">
        <v>2316</v>
      </c>
      <c r="G2539" s="10">
        <f>DATE(2017,11,2)</f>
        <v>43041</v>
      </c>
      <c r="H2539" s="35">
        <v>1.7840277777777778</v>
      </c>
      <c r="I2539" s="5" t="s">
        <v>97</v>
      </c>
      <c r="J2539" s="10" t="s">
        <v>14298</v>
      </c>
      <c r="K2539" s="5" t="s">
        <v>2318</v>
      </c>
      <c r="L2539" s="5" t="s">
        <v>14299</v>
      </c>
      <c r="M2539" s="5" t="s">
        <v>45</v>
      </c>
      <c r="N2539" s="5" t="s">
        <v>80</v>
      </c>
      <c r="O2539" s="5" t="s">
        <v>46</v>
      </c>
      <c r="P2539" s="10" t="s">
        <v>282</v>
      </c>
      <c r="Q2539" s="10" t="s">
        <v>2318</v>
      </c>
      <c r="R2539" s="10" t="s">
        <v>2321</v>
      </c>
      <c r="S2539" s="5">
        <v>0</v>
      </c>
      <c r="T2539" s="37">
        <v>0</v>
      </c>
      <c r="U2539" s="5">
        <v>3</v>
      </c>
      <c r="V2539" s="37">
        <v>0</v>
      </c>
      <c r="W2539" s="5">
        <v>0</v>
      </c>
      <c r="X2539" s="5">
        <v>3</v>
      </c>
      <c r="Y2539" s="5">
        <v>0</v>
      </c>
      <c r="Z2539" s="37">
        <v>0</v>
      </c>
      <c r="AA2539" s="5">
        <v>1</v>
      </c>
      <c r="AB2539" s="5">
        <v>0</v>
      </c>
      <c r="AC2539" s="5">
        <v>0</v>
      </c>
      <c r="AD2539" s="5">
        <v>1</v>
      </c>
      <c r="AE2539" s="10" t="s">
        <v>73</v>
      </c>
      <c r="AF2539" s="10"/>
      <c r="AG2539" s="10" t="s">
        <v>64</v>
      </c>
      <c r="AH2539" s="10">
        <v>43047</v>
      </c>
      <c r="AI2539" s="5">
        <v>6</v>
      </c>
      <c r="AJ2539" s="10" t="s">
        <v>14300</v>
      </c>
      <c r="AK2539" s="10" t="s">
        <v>14301</v>
      </c>
    </row>
    <row r="2540" spans="1:37" ht="36.75" customHeight="1" x14ac:dyDescent="0.35">
      <c r="A2540" s="5"/>
      <c r="B2540" s="5" t="s">
        <v>37</v>
      </c>
      <c r="C2540" s="73" t="str">
        <f t="shared" si="39"/>
        <v>Closed</v>
      </c>
      <c r="D2540" s="45" t="s">
        <v>14302</v>
      </c>
      <c r="E2540" s="54" t="s">
        <v>14303</v>
      </c>
      <c r="F2540" s="5" t="s">
        <v>404</v>
      </c>
      <c r="G2540" s="10">
        <f>DATE(2017,11,5)</f>
        <v>43044</v>
      </c>
      <c r="H2540" s="35">
        <v>1.8784722222222223</v>
      </c>
      <c r="I2540" s="5" t="s">
        <v>179</v>
      </c>
      <c r="J2540" s="10" t="s">
        <v>14304</v>
      </c>
      <c r="K2540" s="5" t="s">
        <v>406</v>
      </c>
      <c r="L2540" s="5" t="s">
        <v>14305</v>
      </c>
      <c r="M2540" s="5" t="s">
        <v>236</v>
      </c>
      <c r="N2540" s="5" t="s">
        <v>123</v>
      </c>
      <c r="O2540" s="5" t="s">
        <v>46</v>
      </c>
      <c r="P2540" s="10" t="s">
        <v>6531</v>
      </c>
      <c r="Q2540" s="10" t="s">
        <v>2695</v>
      </c>
      <c r="R2540" s="10" t="s">
        <v>2695</v>
      </c>
      <c r="S2540" s="5">
        <v>0</v>
      </c>
      <c r="T2540" s="37">
        <v>0</v>
      </c>
      <c r="U2540" s="5">
        <v>0</v>
      </c>
      <c r="V2540" s="37">
        <v>0</v>
      </c>
      <c r="W2540" s="5">
        <v>0</v>
      </c>
      <c r="X2540" s="5">
        <v>0</v>
      </c>
      <c r="Y2540" s="5">
        <v>0</v>
      </c>
      <c r="Z2540" s="37">
        <v>0</v>
      </c>
      <c r="AA2540" s="5">
        <v>0</v>
      </c>
      <c r="AB2540" s="5">
        <v>0</v>
      </c>
      <c r="AC2540" s="5">
        <v>0</v>
      </c>
      <c r="AD2540" s="5">
        <v>0</v>
      </c>
      <c r="AE2540" s="10" t="s">
        <v>73</v>
      </c>
      <c r="AF2540" s="10"/>
      <c r="AG2540" s="10" t="s">
        <v>114</v>
      </c>
      <c r="AH2540" s="10">
        <v>43045</v>
      </c>
      <c r="AI2540" s="5">
        <v>1</v>
      </c>
      <c r="AJ2540" s="10" t="s">
        <v>14306</v>
      </c>
      <c r="AK2540" s="10" t="s">
        <v>14307</v>
      </c>
    </row>
    <row r="2541" spans="1:37" ht="36.75" customHeight="1" x14ac:dyDescent="0.35">
      <c r="A2541" s="5"/>
      <c r="B2541" s="5" t="s">
        <v>37</v>
      </c>
      <c r="C2541" s="73" t="str">
        <f t="shared" si="39"/>
        <v>Closed</v>
      </c>
      <c r="D2541" s="45" t="s">
        <v>14308</v>
      </c>
      <c r="E2541" s="54" t="s">
        <v>14309</v>
      </c>
      <c r="F2541" s="5" t="s">
        <v>214</v>
      </c>
      <c r="G2541" s="10">
        <f>DATE(2017,11,7)</f>
        <v>43046</v>
      </c>
      <c r="H2541" s="35">
        <v>1.7819444444444446</v>
      </c>
      <c r="I2541" s="5" t="s">
        <v>67</v>
      </c>
      <c r="J2541" s="10" t="s">
        <v>14310</v>
      </c>
      <c r="K2541" s="5" t="s">
        <v>216</v>
      </c>
      <c r="L2541" s="5" t="s">
        <v>14311</v>
      </c>
      <c r="M2541" s="5" t="s">
        <v>45</v>
      </c>
      <c r="N2541" s="5" t="s">
        <v>80</v>
      </c>
      <c r="O2541" s="5" t="s">
        <v>46</v>
      </c>
      <c r="P2541" s="10" t="s">
        <v>146</v>
      </c>
      <c r="Q2541" s="10" t="s">
        <v>699</v>
      </c>
      <c r="R2541" s="10" t="s">
        <v>216</v>
      </c>
      <c r="S2541" s="5">
        <v>0</v>
      </c>
      <c r="T2541" s="37">
        <v>0</v>
      </c>
      <c r="U2541" s="5">
        <v>0</v>
      </c>
      <c r="V2541" s="37">
        <v>0</v>
      </c>
      <c r="W2541" s="5">
        <v>0</v>
      </c>
      <c r="X2541" s="5">
        <v>0</v>
      </c>
      <c r="Y2541" s="5">
        <v>0</v>
      </c>
      <c r="Z2541" s="37">
        <v>0</v>
      </c>
      <c r="AA2541" s="5">
        <v>0</v>
      </c>
      <c r="AB2541" s="5">
        <v>0</v>
      </c>
      <c r="AC2541" s="5">
        <v>0</v>
      </c>
      <c r="AD2541" s="5">
        <v>0</v>
      </c>
      <c r="AE2541" s="10" t="s">
        <v>73</v>
      </c>
      <c r="AF2541" s="10"/>
      <c r="AG2541" s="10" t="s">
        <v>114</v>
      </c>
      <c r="AH2541" s="10">
        <v>43066</v>
      </c>
      <c r="AI2541" s="5">
        <v>3</v>
      </c>
      <c r="AJ2541" s="10" t="s">
        <v>14312</v>
      </c>
      <c r="AK2541" s="10" t="s">
        <v>14313</v>
      </c>
    </row>
    <row r="2542" spans="1:37" ht="36.75" customHeight="1" x14ac:dyDescent="0.35">
      <c r="A2542" s="5"/>
      <c r="B2542" s="5" t="s">
        <v>37</v>
      </c>
      <c r="C2542" s="73" t="str">
        <f t="shared" si="39"/>
        <v>Closed</v>
      </c>
      <c r="D2542" s="45" t="s">
        <v>14314</v>
      </c>
      <c r="E2542" s="54" t="s">
        <v>14315</v>
      </c>
      <c r="F2542" s="5" t="s">
        <v>358</v>
      </c>
      <c r="G2542" s="10">
        <f>DATE(2017,11,9)</f>
        <v>43048</v>
      </c>
      <c r="H2542" s="35">
        <v>1.4659722222222222</v>
      </c>
      <c r="I2542" s="5" t="s">
        <v>55</v>
      </c>
      <c r="J2542" s="10" t="s">
        <v>14316</v>
      </c>
      <c r="K2542" s="5" t="s">
        <v>360</v>
      </c>
      <c r="L2542" s="5" t="s">
        <v>14317</v>
      </c>
      <c r="M2542" s="5" t="s">
        <v>45</v>
      </c>
      <c r="N2542" s="5" t="s">
        <v>70</v>
      </c>
      <c r="O2542" s="5" t="s">
        <v>59</v>
      </c>
      <c r="P2542" s="10" t="s">
        <v>443</v>
      </c>
      <c r="Q2542" s="10" t="s">
        <v>2886</v>
      </c>
      <c r="R2542" s="10" t="s">
        <v>363</v>
      </c>
      <c r="S2542" s="5">
        <v>0</v>
      </c>
      <c r="T2542" s="37">
        <v>0</v>
      </c>
      <c r="U2542" s="5">
        <v>0</v>
      </c>
      <c r="V2542" s="37">
        <v>0</v>
      </c>
      <c r="W2542" s="5">
        <v>0</v>
      </c>
      <c r="X2542" s="5">
        <v>0</v>
      </c>
      <c r="Y2542" s="5">
        <v>0</v>
      </c>
      <c r="Z2542" s="37">
        <v>0</v>
      </c>
      <c r="AA2542" s="5">
        <v>0</v>
      </c>
      <c r="AB2542" s="5">
        <v>0</v>
      </c>
      <c r="AC2542" s="5">
        <v>0</v>
      </c>
      <c r="AD2542" s="5">
        <v>0</v>
      </c>
      <c r="AE2542" s="10" t="s">
        <v>375</v>
      </c>
      <c r="AF2542" s="10"/>
      <c r="AG2542" s="10" t="s">
        <v>114</v>
      </c>
      <c r="AH2542" s="10">
        <v>43056</v>
      </c>
      <c r="AI2542" s="5">
        <v>5</v>
      </c>
      <c r="AJ2542" s="10" t="s">
        <v>14318</v>
      </c>
      <c r="AK2542" s="10" t="s">
        <v>14319</v>
      </c>
    </row>
    <row r="2543" spans="1:37" ht="36.75" customHeight="1" x14ac:dyDescent="0.35">
      <c r="A2543" s="5"/>
      <c r="B2543" s="5" t="s">
        <v>37</v>
      </c>
      <c r="C2543" s="73" t="str">
        <f t="shared" si="39"/>
        <v>Closed</v>
      </c>
      <c r="D2543" s="45" t="s">
        <v>14320</v>
      </c>
      <c r="E2543" s="54" t="s">
        <v>14321</v>
      </c>
      <c r="F2543" s="5" t="s">
        <v>2316</v>
      </c>
      <c r="G2543" s="10">
        <f>DATE(2017,11,10)</f>
        <v>43049</v>
      </c>
      <c r="H2543" s="35">
        <v>1.2638888888888888</v>
      </c>
      <c r="I2543" s="5" t="s">
        <v>2059</v>
      </c>
      <c r="J2543" s="10" t="s">
        <v>14322</v>
      </c>
      <c r="K2543" s="5" t="s">
        <v>2318</v>
      </c>
      <c r="L2543" s="5" t="s">
        <v>14323</v>
      </c>
      <c r="M2543" s="5" t="s">
        <v>45</v>
      </c>
      <c r="N2543" s="5" t="s">
        <v>80</v>
      </c>
      <c r="O2543" s="5" t="s">
        <v>59</v>
      </c>
      <c r="P2543" s="10" t="s">
        <v>60</v>
      </c>
      <c r="Q2543" s="10" t="s">
        <v>14324</v>
      </c>
      <c r="R2543" s="10" t="s">
        <v>2321</v>
      </c>
      <c r="S2543" s="5">
        <v>0</v>
      </c>
      <c r="T2543" s="37">
        <v>0</v>
      </c>
      <c r="U2543" s="5">
        <v>0</v>
      </c>
      <c r="V2543" s="37">
        <v>0</v>
      </c>
      <c r="W2543" s="5">
        <v>0</v>
      </c>
      <c r="X2543" s="5">
        <v>0</v>
      </c>
      <c r="Y2543" s="5">
        <v>0</v>
      </c>
      <c r="Z2543" s="37">
        <v>0</v>
      </c>
      <c r="AA2543" s="5">
        <v>0</v>
      </c>
      <c r="AB2543" s="5">
        <v>0</v>
      </c>
      <c r="AC2543" s="5">
        <v>0</v>
      </c>
      <c r="AD2543" s="5">
        <v>0</v>
      </c>
      <c r="AE2543" s="10" t="s">
        <v>73</v>
      </c>
      <c r="AF2543" s="10"/>
      <c r="AG2543" s="10" t="s">
        <v>114</v>
      </c>
      <c r="AH2543" s="10">
        <v>43067</v>
      </c>
      <c r="AI2543" s="5">
        <v>9</v>
      </c>
      <c r="AJ2543" s="10" t="s">
        <v>14325</v>
      </c>
      <c r="AK2543" s="10" t="s">
        <v>14326</v>
      </c>
    </row>
    <row r="2544" spans="1:37" ht="36.75" customHeight="1" x14ac:dyDescent="0.35">
      <c r="A2544" s="5"/>
      <c r="B2544" s="5" t="s">
        <v>37</v>
      </c>
      <c r="C2544" s="73" t="str">
        <f t="shared" si="39"/>
        <v>Closed</v>
      </c>
      <c r="D2544" s="45" t="s">
        <v>14327</v>
      </c>
      <c r="E2544" s="54" t="s">
        <v>14328</v>
      </c>
      <c r="F2544" s="5" t="s">
        <v>404</v>
      </c>
      <c r="G2544" s="10">
        <f>DATE(2017,11,13)</f>
        <v>43052</v>
      </c>
      <c r="H2544" s="35">
        <v>1.3152777777777778</v>
      </c>
      <c r="I2544" s="5" t="s">
        <v>97</v>
      </c>
      <c r="J2544" s="10" t="s">
        <v>14329</v>
      </c>
      <c r="K2544" s="5" t="s">
        <v>406</v>
      </c>
      <c r="L2544" s="5" t="s">
        <v>14330</v>
      </c>
      <c r="M2544" s="5" t="s">
        <v>45</v>
      </c>
      <c r="N2544" s="5" t="s">
        <v>80</v>
      </c>
      <c r="O2544" s="5" t="s">
        <v>46</v>
      </c>
      <c r="P2544" s="10" t="s">
        <v>146</v>
      </c>
      <c r="Q2544" s="10" t="s">
        <v>4531</v>
      </c>
      <c r="R2544" s="10" t="s">
        <v>3083</v>
      </c>
      <c r="S2544" s="5">
        <v>0</v>
      </c>
      <c r="T2544" s="37">
        <v>0</v>
      </c>
      <c r="U2544" s="5">
        <v>0</v>
      </c>
      <c r="V2544" s="37">
        <v>0</v>
      </c>
      <c r="W2544" s="5">
        <v>0</v>
      </c>
      <c r="X2544" s="5">
        <v>0</v>
      </c>
      <c r="Y2544" s="5">
        <v>0</v>
      </c>
      <c r="Z2544" s="37">
        <v>0</v>
      </c>
      <c r="AA2544" s="5">
        <v>0</v>
      </c>
      <c r="AB2544" s="5">
        <v>0</v>
      </c>
      <c r="AC2544" s="5">
        <v>0</v>
      </c>
      <c r="AD2544" s="5">
        <v>0</v>
      </c>
      <c r="AE2544" s="10" t="s">
        <v>73</v>
      </c>
      <c r="AF2544" s="10"/>
      <c r="AG2544" s="10" t="s">
        <v>64</v>
      </c>
      <c r="AH2544" s="10">
        <v>43089</v>
      </c>
      <c r="AI2544" s="5">
        <v>2</v>
      </c>
      <c r="AJ2544" s="10" t="s">
        <v>14331</v>
      </c>
      <c r="AK2544" s="10" t="s">
        <v>14332</v>
      </c>
    </row>
    <row r="2545" spans="1:37" ht="36.75" customHeight="1" x14ac:dyDescent="0.35">
      <c r="A2545" s="5"/>
      <c r="B2545" s="5" t="s">
        <v>37</v>
      </c>
      <c r="C2545" s="73" t="str">
        <f t="shared" si="39"/>
        <v>Closed</v>
      </c>
      <c r="D2545" s="45" t="s">
        <v>14333</v>
      </c>
      <c r="E2545" s="54" t="s">
        <v>14334</v>
      </c>
      <c r="F2545" s="5" t="s">
        <v>1553</v>
      </c>
      <c r="G2545" s="10">
        <f>DATE(2017,11,13)</f>
        <v>43052</v>
      </c>
      <c r="H2545" s="35">
        <v>1.4756944444444444</v>
      </c>
      <c r="I2545" s="5" t="s">
        <v>55</v>
      </c>
      <c r="J2545" s="10" t="s">
        <v>14335</v>
      </c>
      <c r="K2545" s="5" t="s">
        <v>1555</v>
      </c>
      <c r="L2545" s="5" t="s">
        <v>14336</v>
      </c>
      <c r="M2545" s="5" t="s">
        <v>45</v>
      </c>
      <c r="N2545" s="5" t="s">
        <v>80</v>
      </c>
      <c r="O2545" s="5" t="s">
        <v>59</v>
      </c>
      <c r="P2545" s="10" t="s">
        <v>60</v>
      </c>
      <c r="Q2545" s="10" t="s">
        <v>9439</v>
      </c>
      <c r="R2545" s="10" t="s">
        <v>6413</v>
      </c>
      <c r="S2545" s="5">
        <v>0</v>
      </c>
      <c r="T2545" s="37">
        <v>0</v>
      </c>
      <c r="U2545" s="5">
        <v>0</v>
      </c>
      <c r="V2545" s="37">
        <v>0</v>
      </c>
      <c r="W2545" s="5">
        <v>0</v>
      </c>
      <c r="X2545" s="5">
        <v>0</v>
      </c>
      <c r="Y2545" s="5">
        <v>0</v>
      </c>
      <c r="Z2545" s="37">
        <v>0</v>
      </c>
      <c r="AA2545" s="5">
        <v>0</v>
      </c>
      <c r="AB2545" s="5">
        <v>0</v>
      </c>
      <c r="AC2545" s="5">
        <v>0</v>
      </c>
      <c r="AD2545" s="5">
        <v>0</v>
      </c>
      <c r="AE2545" s="10" t="s">
        <v>73</v>
      </c>
      <c r="AF2545" s="10"/>
      <c r="AG2545" s="10" t="s">
        <v>114</v>
      </c>
      <c r="AH2545" s="10">
        <v>43053</v>
      </c>
      <c r="AI2545" s="5">
        <v>1</v>
      </c>
      <c r="AJ2545" s="10" t="s">
        <v>14337</v>
      </c>
      <c r="AK2545" s="10" t="s">
        <v>14338</v>
      </c>
    </row>
    <row r="2546" spans="1:37" ht="36.75" customHeight="1" x14ac:dyDescent="0.35">
      <c r="A2546" s="5"/>
      <c r="B2546" s="5" t="s">
        <v>37</v>
      </c>
      <c r="C2546" s="73" t="str">
        <f t="shared" si="39"/>
        <v>Closed</v>
      </c>
      <c r="D2546" s="45" t="s">
        <v>14339</v>
      </c>
      <c r="E2546" s="54" t="s">
        <v>14340</v>
      </c>
      <c r="F2546" s="5" t="s">
        <v>563</v>
      </c>
      <c r="G2546" s="10">
        <f>DATE(2017,11,14)</f>
        <v>43053</v>
      </c>
      <c r="H2546" s="35">
        <v>1.5590277777777777</v>
      </c>
      <c r="I2546" s="5" t="s">
        <v>55</v>
      </c>
      <c r="J2546" s="10" t="s">
        <v>14341</v>
      </c>
      <c r="K2546" s="5" t="s">
        <v>565</v>
      </c>
      <c r="L2546" s="5" t="s">
        <v>14342</v>
      </c>
      <c r="M2546" s="5" t="s">
        <v>45</v>
      </c>
      <c r="N2546" s="5" t="s">
        <v>70</v>
      </c>
      <c r="O2546" s="5" t="s">
        <v>59</v>
      </c>
      <c r="P2546" s="10"/>
      <c r="Q2546" s="10" t="s">
        <v>14343</v>
      </c>
      <c r="R2546" s="10" t="s">
        <v>14344</v>
      </c>
      <c r="S2546" s="5">
        <v>0</v>
      </c>
      <c r="T2546" s="37">
        <v>0</v>
      </c>
      <c r="U2546" s="5">
        <v>0</v>
      </c>
      <c r="V2546" s="37">
        <v>0</v>
      </c>
      <c r="W2546" s="5">
        <v>0</v>
      </c>
      <c r="X2546" s="5">
        <v>0</v>
      </c>
      <c r="Y2546" s="5">
        <v>0</v>
      </c>
      <c r="Z2546" s="37">
        <v>0</v>
      </c>
      <c r="AA2546" s="5">
        <v>0</v>
      </c>
      <c r="AB2546" s="5">
        <v>0</v>
      </c>
      <c r="AC2546" s="5">
        <v>0</v>
      </c>
      <c r="AD2546" s="5">
        <v>0</v>
      </c>
      <c r="AE2546" s="10" t="s">
        <v>73</v>
      </c>
      <c r="AF2546" s="10"/>
      <c r="AG2546" s="10" t="s">
        <v>570</v>
      </c>
      <c r="AH2546" s="10">
        <v>43054</v>
      </c>
      <c r="AI2546" s="5">
        <v>0</v>
      </c>
      <c r="AJ2546" s="10" t="s">
        <v>14345</v>
      </c>
      <c r="AK2546" s="10" t="s">
        <v>1215</v>
      </c>
    </row>
    <row r="2547" spans="1:37" ht="36.75" customHeight="1" x14ac:dyDescent="0.35">
      <c r="A2547" s="5" t="s">
        <v>12448</v>
      </c>
      <c r="B2547" s="5" t="s">
        <v>37</v>
      </c>
      <c r="C2547" s="73" t="str">
        <f t="shared" si="39"/>
        <v>Closed</v>
      </c>
      <c r="D2547" s="47" t="s">
        <v>14346</v>
      </c>
      <c r="E2547" s="55" t="s">
        <v>14347</v>
      </c>
      <c r="F2547" s="15" t="s">
        <v>12887</v>
      </c>
      <c r="G2547" s="10">
        <f>DATE(2017,11,14)</f>
        <v>43053</v>
      </c>
      <c r="H2547" s="50">
        <v>0.3215277777777778</v>
      </c>
      <c r="I2547" s="15" t="s">
        <v>179</v>
      </c>
      <c r="J2547" s="55" t="s">
        <v>14348</v>
      </c>
      <c r="K2547" s="15" t="s">
        <v>434</v>
      </c>
      <c r="L2547" s="15" t="s">
        <v>14349</v>
      </c>
      <c r="M2547" s="15"/>
      <c r="N2547" s="15"/>
      <c r="O2547" s="15" t="s">
        <v>46</v>
      </c>
      <c r="P2547" s="55" t="s">
        <v>146</v>
      </c>
      <c r="Q2547" s="55" t="s">
        <v>14350</v>
      </c>
      <c r="R2547" s="55" t="s">
        <v>553</v>
      </c>
      <c r="S2547" s="15">
        <v>0</v>
      </c>
      <c r="T2547" s="55">
        <v>0</v>
      </c>
      <c r="U2547" s="15">
        <v>0</v>
      </c>
      <c r="V2547" s="55">
        <v>0</v>
      </c>
      <c r="W2547" s="15">
        <v>0</v>
      </c>
      <c r="X2547" s="15">
        <v>0</v>
      </c>
      <c r="Y2547" s="15">
        <v>0</v>
      </c>
      <c r="Z2547" s="55">
        <v>0</v>
      </c>
      <c r="AA2547" s="15">
        <v>0</v>
      </c>
      <c r="AB2547" s="15">
        <v>0</v>
      </c>
      <c r="AC2547" s="15">
        <v>0</v>
      </c>
      <c r="AD2547" s="15">
        <v>0</v>
      </c>
      <c r="AE2547" s="55"/>
      <c r="AF2547" s="55"/>
      <c r="AG2547" s="55"/>
      <c r="AH2547" s="55" t="s">
        <v>50</v>
      </c>
      <c r="AI2547" s="15">
        <v>2</v>
      </c>
      <c r="AJ2547" s="55"/>
      <c r="AK2547" s="55"/>
    </row>
    <row r="2548" spans="1:37" ht="36.75" customHeight="1" x14ac:dyDescent="0.35">
      <c r="A2548" s="5"/>
      <c r="B2548" s="5" t="s">
        <v>37</v>
      </c>
      <c r="C2548" s="73" t="str">
        <f t="shared" si="39"/>
        <v>Closed</v>
      </c>
      <c r="D2548" s="45" t="s">
        <v>14351</v>
      </c>
      <c r="E2548" s="54" t="s">
        <v>14352</v>
      </c>
      <c r="F2548" s="5" t="s">
        <v>6434</v>
      </c>
      <c r="G2548" s="10">
        <f>DATE(2017,11,15)</f>
        <v>43054</v>
      </c>
      <c r="H2548" s="35">
        <v>1.2979166666666666</v>
      </c>
      <c r="I2548" s="5" t="s">
        <v>55</v>
      </c>
      <c r="J2548" s="10" t="s">
        <v>14353</v>
      </c>
      <c r="K2548" s="5" t="s">
        <v>565</v>
      </c>
      <c r="L2548" s="5" t="s">
        <v>14354</v>
      </c>
      <c r="M2548" s="5" t="s">
        <v>45</v>
      </c>
      <c r="N2548" s="5" t="s">
        <v>123</v>
      </c>
      <c r="O2548" s="5" t="s">
        <v>59</v>
      </c>
      <c r="P2548" s="10" t="s">
        <v>146</v>
      </c>
      <c r="Q2548" s="10" t="s">
        <v>4467</v>
      </c>
      <c r="R2548" s="10" t="s">
        <v>568</v>
      </c>
      <c r="S2548" s="5">
        <v>0</v>
      </c>
      <c r="T2548" s="37">
        <v>0</v>
      </c>
      <c r="U2548" s="5">
        <v>0</v>
      </c>
      <c r="V2548" s="37">
        <v>0</v>
      </c>
      <c r="W2548" s="5">
        <v>0</v>
      </c>
      <c r="X2548" s="5">
        <v>0</v>
      </c>
      <c r="Y2548" s="5">
        <v>0</v>
      </c>
      <c r="Z2548" s="37">
        <v>1</v>
      </c>
      <c r="AA2548" s="5">
        <v>0</v>
      </c>
      <c r="AB2548" s="5">
        <v>0</v>
      </c>
      <c r="AC2548" s="5">
        <v>0</v>
      </c>
      <c r="AD2548" s="5">
        <v>1</v>
      </c>
      <c r="AE2548" s="10" t="s">
        <v>375</v>
      </c>
      <c r="AF2548" s="10" t="s">
        <v>14355</v>
      </c>
      <c r="AG2548" s="10" t="s">
        <v>8837</v>
      </c>
      <c r="AH2548" s="10">
        <v>43055</v>
      </c>
      <c r="AI2548" s="5">
        <v>0</v>
      </c>
      <c r="AJ2548" s="10" t="s">
        <v>14356</v>
      </c>
      <c r="AK2548" s="10" t="s">
        <v>50</v>
      </c>
    </row>
    <row r="2549" spans="1:37" ht="36.75" customHeight="1" x14ac:dyDescent="0.35">
      <c r="A2549" s="5"/>
      <c r="B2549" s="5" t="s">
        <v>37</v>
      </c>
      <c r="C2549" s="73" t="str">
        <f t="shared" si="39"/>
        <v>Closed</v>
      </c>
      <c r="D2549" s="45" t="s">
        <v>14357</v>
      </c>
      <c r="E2549" s="54" t="s">
        <v>14358</v>
      </c>
      <c r="F2549" s="5" t="s">
        <v>1553</v>
      </c>
      <c r="G2549" s="10">
        <f>DATE(2017,11,16)</f>
        <v>43055</v>
      </c>
      <c r="H2549" s="35">
        <v>1.4027777777777777</v>
      </c>
      <c r="I2549" s="5" t="s">
        <v>55</v>
      </c>
      <c r="J2549" s="10" t="s">
        <v>14359</v>
      </c>
      <c r="K2549" s="5" t="s">
        <v>1555</v>
      </c>
      <c r="L2549" s="5" t="s">
        <v>7909</v>
      </c>
      <c r="M2549" s="5" t="s">
        <v>45</v>
      </c>
      <c r="N2549" s="5" t="s">
        <v>123</v>
      </c>
      <c r="O2549" s="5" t="s">
        <v>59</v>
      </c>
      <c r="P2549" s="10" t="s">
        <v>60</v>
      </c>
      <c r="Q2549" s="10" t="s">
        <v>14360</v>
      </c>
      <c r="R2549" s="10" t="s">
        <v>6413</v>
      </c>
      <c r="S2549" s="5">
        <v>0</v>
      </c>
      <c r="T2549" s="37">
        <v>0</v>
      </c>
      <c r="U2549" s="5">
        <v>0</v>
      </c>
      <c r="V2549" s="37">
        <v>0</v>
      </c>
      <c r="W2549" s="5">
        <v>0</v>
      </c>
      <c r="X2549" s="5">
        <v>0</v>
      </c>
      <c r="Y2549" s="5">
        <v>0</v>
      </c>
      <c r="Z2549" s="37">
        <v>0</v>
      </c>
      <c r="AA2549" s="5">
        <v>0</v>
      </c>
      <c r="AB2549" s="5">
        <v>0</v>
      </c>
      <c r="AC2549" s="5">
        <v>0</v>
      </c>
      <c r="AD2549" s="5">
        <v>0</v>
      </c>
      <c r="AE2549" s="10" t="s">
        <v>73</v>
      </c>
      <c r="AF2549" s="10"/>
      <c r="AG2549" s="10" t="s">
        <v>114</v>
      </c>
      <c r="AH2549" s="10">
        <v>43056</v>
      </c>
      <c r="AI2549" s="5">
        <v>0</v>
      </c>
      <c r="AJ2549" s="10" t="s">
        <v>14361</v>
      </c>
      <c r="AK2549" s="10" t="s">
        <v>14362</v>
      </c>
    </row>
    <row r="2550" spans="1:37" ht="36.75" customHeight="1" x14ac:dyDescent="0.35">
      <c r="A2550" s="5"/>
      <c r="B2550" s="5" t="s">
        <v>37</v>
      </c>
      <c r="C2550" s="73" t="str">
        <f t="shared" si="39"/>
        <v>Closed</v>
      </c>
      <c r="D2550" s="45" t="s">
        <v>14363</v>
      </c>
      <c r="E2550" s="54" t="s">
        <v>14364</v>
      </c>
      <c r="F2550" s="5" t="s">
        <v>1553</v>
      </c>
      <c r="G2550" s="10">
        <f>DATE(2017,11,20)</f>
        <v>43059</v>
      </c>
      <c r="H2550" s="35">
        <v>1.15625</v>
      </c>
      <c r="I2550" s="5" t="s">
        <v>8481</v>
      </c>
      <c r="J2550" s="10" t="s">
        <v>14365</v>
      </c>
      <c r="K2550" s="5" t="s">
        <v>1555</v>
      </c>
      <c r="L2550" s="5" t="s">
        <v>14366</v>
      </c>
      <c r="M2550" s="5" t="s">
        <v>45</v>
      </c>
      <c r="N2550" s="5" t="s">
        <v>80</v>
      </c>
      <c r="O2550" s="5" t="s">
        <v>46</v>
      </c>
      <c r="P2550" s="10" t="s">
        <v>60</v>
      </c>
      <c r="Q2550" s="10" t="s">
        <v>9053</v>
      </c>
      <c r="R2550" s="10" t="s">
        <v>6413</v>
      </c>
      <c r="S2550" s="5">
        <v>0</v>
      </c>
      <c r="T2550" s="37">
        <v>0</v>
      </c>
      <c r="U2550" s="5">
        <v>0</v>
      </c>
      <c r="V2550" s="37">
        <v>0</v>
      </c>
      <c r="W2550" s="5">
        <v>0</v>
      </c>
      <c r="X2550" s="5">
        <v>0</v>
      </c>
      <c r="Y2550" s="5">
        <v>0</v>
      </c>
      <c r="Z2550" s="37">
        <v>0</v>
      </c>
      <c r="AA2550" s="5">
        <v>0</v>
      </c>
      <c r="AB2550" s="5">
        <v>0</v>
      </c>
      <c r="AC2550" s="5">
        <v>0</v>
      </c>
      <c r="AD2550" s="5">
        <v>0</v>
      </c>
      <c r="AE2550" s="10" t="s">
        <v>375</v>
      </c>
      <c r="AF2550" s="10"/>
      <c r="AG2550" s="10" t="s">
        <v>114</v>
      </c>
      <c r="AH2550" s="10">
        <v>43063</v>
      </c>
      <c r="AI2550" s="5">
        <v>1</v>
      </c>
      <c r="AJ2550" s="10" t="s">
        <v>14367</v>
      </c>
      <c r="AK2550" s="10" t="s">
        <v>14368</v>
      </c>
    </row>
    <row r="2551" spans="1:37" ht="36.75" customHeight="1" x14ac:dyDescent="0.35">
      <c r="A2551" s="5"/>
      <c r="B2551" s="5" t="s">
        <v>37</v>
      </c>
      <c r="C2551" s="73" t="str">
        <f t="shared" si="39"/>
        <v>Closed</v>
      </c>
      <c r="D2551" s="45" t="s">
        <v>14369</v>
      </c>
      <c r="E2551" s="54" t="s">
        <v>14370</v>
      </c>
      <c r="F2551" s="5" t="s">
        <v>404</v>
      </c>
      <c r="G2551" s="10">
        <f>DATE(2017,11,22)</f>
        <v>43061</v>
      </c>
      <c r="H2551" s="35">
        <v>1.1965277777777779</v>
      </c>
      <c r="I2551" s="5" t="s">
        <v>97</v>
      </c>
      <c r="J2551" s="10" t="s">
        <v>14371</v>
      </c>
      <c r="K2551" s="5" t="s">
        <v>406</v>
      </c>
      <c r="L2551" s="5" t="s">
        <v>14372</v>
      </c>
      <c r="M2551" s="5" t="s">
        <v>45</v>
      </c>
      <c r="N2551" s="5" t="s">
        <v>80</v>
      </c>
      <c r="O2551" s="5" t="s">
        <v>46</v>
      </c>
      <c r="P2551" s="10" t="s">
        <v>146</v>
      </c>
      <c r="Q2551" s="10" t="s">
        <v>4531</v>
      </c>
      <c r="R2551" s="10" t="s">
        <v>3083</v>
      </c>
      <c r="S2551" s="5">
        <v>0</v>
      </c>
      <c r="T2551" s="37">
        <v>0</v>
      </c>
      <c r="U2551" s="5">
        <v>0</v>
      </c>
      <c r="V2551" s="37">
        <v>0</v>
      </c>
      <c r="W2551" s="5">
        <v>0</v>
      </c>
      <c r="X2551" s="5">
        <v>0</v>
      </c>
      <c r="Y2551" s="5">
        <v>0</v>
      </c>
      <c r="Z2551" s="37">
        <v>0</v>
      </c>
      <c r="AA2551" s="5">
        <v>0</v>
      </c>
      <c r="AB2551" s="5">
        <v>0</v>
      </c>
      <c r="AC2551" s="5">
        <v>0</v>
      </c>
      <c r="AD2551" s="5">
        <v>0</v>
      </c>
      <c r="AE2551" s="10" t="s">
        <v>73</v>
      </c>
      <c r="AF2551" s="10"/>
      <c r="AG2551" s="10" t="s">
        <v>333</v>
      </c>
      <c r="AH2551" s="10">
        <v>43061</v>
      </c>
      <c r="AI2551" s="5">
        <v>1</v>
      </c>
      <c r="AJ2551" s="10" t="s">
        <v>13861</v>
      </c>
      <c r="AK2551" s="10" t="s">
        <v>14373</v>
      </c>
    </row>
    <row r="2552" spans="1:37" ht="36.75" customHeight="1" x14ac:dyDescent="0.35">
      <c r="A2552" s="5"/>
      <c r="B2552" s="5" t="s">
        <v>37</v>
      </c>
      <c r="C2552" s="73" t="str">
        <f t="shared" si="39"/>
        <v>Closed</v>
      </c>
      <c r="D2552" s="45" t="s">
        <v>14374</v>
      </c>
      <c r="E2552" s="54" t="s">
        <v>14375</v>
      </c>
      <c r="F2552" s="5" t="s">
        <v>105</v>
      </c>
      <c r="G2552" s="10">
        <f>DATE(2017,11,23)</f>
        <v>43062</v>
      </c>
      <c r="H2552" s="35">
        <v>1.4583333333333333</v>
      </c>
      <c r="I2552" s="5" t="s">
        <v>6851</v>
      </c>
      <c r="J2552" s="10" t="s">
        <v>14376</v>
      </c>
      <c r="K2552" s="5" t="s">
        <v>108</v>
      </c>
      <c r="L2552" s="5" t="s">
        <v>14377</v>
      </c>
      <c r="M2552" s="5" t="s">
        <v>45</v>
      </c>
      <c r="N2552" s="5" t="s">
        <v>80</v>
      </c>
      <c r="O2552" s="5" t="s">
        <v>46</v>
      </c>
      <c r="P2552" s="10" t="s">
        <v>60</v>
      </c>
      <c r="Q2552" s="10" t="s">
        <v>382</v>
      </c>
      <c r="R2552" s="10" t="s">
        <v>148</v>
      </c>
      <c r="S2552" s="5">
        <v>0</v>
      </c>
      <c r="T2552" s="37">
        <v>0</v>
      </c>
      <c r="U2552" s="5">
        <v>0</v>
      </c>
      <c r="V2552" s="37">
        <v>0</v>
      </c>
      <c r="W2552" s="5">
        <v>0</v>
      </c>
      <c r="X2552" s="5">
        <v>0</v>
      </c>
      <c r="Y2552" s="5">
        <v>0</v>
      </c>
      <c r="Z2552" s="37">
        <v>0</v>
      </c>
      <c r="AA2552" s="5">
        <v>0</v>
      </c>
      <c r="AB2552" s="5">
        <v>0</v>
      </c>
      <c r="AC2552" s="5">
        <v>0</v>
      </c>
      <c r="AD2552" s="5">
        <v>0</v>
      </c>
      <c r="AE2552" s="10" t="s">
        <v>73</v>
      </c>
      <c r="AF2552" s="10"/>
      <c r="AG2552" s="10" t="s">
        <v>64</v>
      </c>
      <c r="AH2552" s="10">
        <v>43075</v>
      </c>
      <c r="AI2552" s="5">
        <v>2</v>
      </c>
      <c r="AJ2552" s="10" t="s">
        <v>14378</v>
      </c>
      <c r="AK2552" s="10" t="s">
        <v>50</v>
      </c>
    </row>
    <row r="2553" spans="1:37" ht="36.75" customHeight="1" x14ac:dyDescent="0.35">
      <c r="A2553" s="5"/>
      <c r="B2553" s="5" t="s">
        <v>37</v>
      </c>
      <c r="C2553" s="73" t="str">
        <f t="shared" si="39"/>
        <v>Closed</v>
      </c>
      <c r="D2553" s="45" t="s">
        <v>14379</v>
      </c>
      <c r="E2553" s="54" t="s">
        <v>14380</v>
      </c>
      <c r="F2553" s="5" t="s">
        <v>2316</v>
      </c>
      <c r="G2553" s="10">
        <f>DATE(2017,11,24)</f>
        <v>43063</v>
      </c>
      <c r="H2553" s="35">
        <v>1.2833333333333332</v>
      </c>
      <c r="I2553" s="5" t="s">
        <v>179</v>
      </c>
      <c r="J2553" s="10" t="s">
        <v>14381</v>
      </c>
      <c r="K2553" s="5" t="s">
        <v>2318</v>
      </c>
      <c r="L2553" s="5" t="s">
        <v>14382</v>
      </c>
      <c r="M2553" s="5" t="s">
        <v>45</v>
      </c>
      <c r="N2553" s="5" t="s">
        <v>123</v>
      </c>
      <c r="O2553" s="5" t="s">
        <v>46</v>
      </c>
      <c r="P2553" s="10" t="s">
        <v>60</v>
      </c>
      <c r="Q2553" s="10" t="s">
        <v>14383</v>
      </c>
      <c r="R2553" s="10" t="s">
        <v>2321</v>
      </c>
      <c r="S2553" s="5">
        <v>0</v>
      </c>
      <c r="T2553" s="37">
        <v>0</v>
      </c>
      <c r="U2553" s="5">
        <v>0</v>
      </c>
      <c r="V2553" s="37">
        <v>0</v>
      </c>
      <c r="W2553" s="5">
        <v>0</v>
      </c>
      <c r="X2553" s="5">
        <v>0</v>
      </c>
      <c r="Y2553" s="5">
        <v>0</v>
      </c>
      <c r="Z2553" s="37">
        <v>0</v>
      </c>
      <c r="AA2553" s="5">
        <v>0</v>
      </c>
      <c r="AB2553" s="5">
        <v>0</v>
      </c>
      <c r="AC2553" s="5">
        <v>0</v>
      </c>
      <c r="AD2553" s="5">
        <v>0</v>
      </c>
      <c r="AE2553" s="10" t="s">
        <v>73</v>
      </c>
      <c r="AF2553" s="10"/>
      <c r="AG2553" s="10" t="s">
        <v>114</v>
      </c>
      <c r="AH2553" s="10">
        <v>43067</v>
      </c>
      <c r="AI2553" s="5">
        <v>7</v>
      </c>
      <c r="AJ2553" s="10" t="s">
        <v>14384</v>
      </c>
      <c r="AK2553" s="10" t="s">
        <v>14385</v>
      </c>
    </row>
    <row r="2554" spans="1:37" ht="36.75" customHeight="1" x14ac:dyDescent="0.35">
      <c r="A2554" s="5"/>
      <c r="B2554" s="5" t="s">
        <v>37</v>
      </c>
      <c r="C2554" s="73" t="str">
        <f t="shared" si="39"/>
        <v>Closed</v>
      </c>
      <c r="D2554" s="45" t="s">
        <v>14386</v>
      </c>
      <c r="E2554" s="54" t="s">
        <v>14387</v>
      </c>
      <c r="F2554" s="5" t="s">
        <v>404</v>
      </c>
      <c r="G2554" s="10">
        <f>DATE(2017,11,25)</f>
        <v>43064</v>
      </c>
      <c r="H2554" s="35">
        <v>1.7555555555555555</v>
      </c>
      <c r="I2554" s="5" t="s">
        <v>179</v>
      </c>
      <c r="J2554" s="10" t="s">
        <v>14388</v>
      </c>
      <c r="K2554" s="5" t="s">
        <v>406</v>
      </c>
      <c r="L2554" s="5" t="s">
        <v>14389</v>
      </c>
      <c r="M2554" s="5" t="s">
        <v>45</v>
      </c>
      <c r="N2554" s="5" t="s">
        <v>123</v>
      </c>
      <c r="O2554" s="5" t="s">
        <v>6854</v>
      </c>
      <c r="P2554" s="10" t="s">
        <v>72</v>
      </c>
      <c r="Q2554" s="10" t="s">
        <v>13595</v>
      </c>
      <c r="R2554" s="10" t="s">
        <v>13595</v>
      </c>
      <c r="S2554" s="5">
        <v>0</v>
      </c>
      <c r="T2554" s="37">
        <v>0</v>
      </c>
      <c r="U2554" s="5">
        <v>0</v>
      </c>
      <c r="V2554" s="37">
        <v>0</v>
      </c>
      <c r="W2554" s="5">
        <v>0</v>
      </c>
      <c r="X2554" s="5">
        <v>0</v>
      </c>
      <c r="Y2554" s="5">
        <v>0</v>
      </c>
      <c r="Z2554" s="37">
        <v>0</v>
      </c>
      <c r="AA2554" s="5">
        <v>0</v>
      </c>
      <c r="AB2554" s="5">
        <v>0</v>
      </c>
      <c r="AC2554" s="5">
        <v>0</v>
      </c>
      <c r="AD2554" s="5">
        <v>0</v>
      </c>
      <c r="AE2554" s="10" t="s">
        <v>73</v>
      </c>
      <c r="AF2554" s="10"/>
      <c r="AG2554" s="10" t="s">
        <v>333</v>
      </c>
      <c r="AH2554" s="10">
        <v>43064</v>
      </c>
      <c r="AI2554" s="5">
        <v>0</v>
      </c>
      <c r="AJ2554" s="10" t="s">
        <v>14390</v>
      </c>
      <c r="AK2554" s="10" t="s">
        <v>14391</v>
      </c>
    </row>
    <row r="2555" spans="1:37" ht="36.75" customHeight="1" x14ac:dyDescent="0.35">
      <c r="A2555" s="5"/>
      <c r="B2555" s="5" t="s">
        <v>37</v>
      </c>
      <c r="C2555" s="73" t="str">
        <f t="shared" si="39"/>
        <v>Closed</v>
      </c>
      <c r="D2555" s="45" t="s">
        <v>14392</v>
      </c>
      <c r="E2555" s="54" t="s">
        <v>14393</v>
      </c>
      <c r="F2555" s="5" t="s">
        <v>9767</v>
      </c>
      <c r="G2555" s="10">
        <f>DATE(2017,11,25)</f>
        <v>43064</v>
      </c>
      <c r="H2555" s="35">
        <v>1.3194444444444444</v>
      </c>
      <c r="I2555" s="5" t="s">
        <v>5473</v>
      </c>
      <c r="J2555" s="10" t="s">
        <v>14394</v>
      </c>
      <c r="K2555" s="5" t="s">
        <v>9769</v>
      </c>
      <c r="L2555" s="5" t="s">
        <v>14395</v>
      </c>
      <c r="M2555" s="5" t="s">
        <v>45</v>
      </c>
      <c r="N2555" s="5" t="s">
        <v>80</v>
      </c>
      <c r="O2555" s="5" t="s">
        <v>59</v>
      </c>
      <c r="P2555" s="10" t="s">
        <v>60</v>
      </c>
      <c r="Q2555" s="10" t="s">
        <v>10235</v>
      </c>
      <c r="R2555" s="10" t="s">
        <v>9772</v>
      </c>
      <c r="S2555" s="5">
        <v>0</v>
      </c>
      <c r="T2555" s="37">
        <v>0</v>
      </c>
      <c r="U2555" s="5">
        <v>0</v>
      </c>
      <c r="V2555" s="37">
        <v>0</v>
      </c>
      <c r="W2555" s="5">
        <v>0</v>
      </c>
      <c r="X2555" s="5">
        <v>0</v>
      </c>
      <c r="Y2555" s="5">
        <v>0</v>
      </c>
      <c r="Z2555" s="37">
        <v>0</v>
      </c>
      <c r="AA2555" s="5">
        <v>0</v>
      </c>
      <c r="AB2555" s="5">
        <v>0</v>
      </c>
      <c r="AC2555" s="5">
        <v>0</v>
      </c>
      <c r="AD2555" s="5">
        <v>0</v>
      </c>
      <c r="AE2555" s="10" t="s">
        <v>73</v>
      </c>
      <c r="AF2555" s="10"/>
      <c r="AG2555" s="10" t="s">
        <v>114</v>
      </c>
      <c r="AH2555" s="10">
        <v>43066</v>
      </c>
      <c r="AI2555" s="5">
        <v>0</v>
      </c>
      <c r="AJ2555" s="10" t="s">
        <v>50</v>
      </c>
      <c r="AK2555" s="10" t="s">
        <v>50</v>
      </c>
    </row>
    <row r="2556" spans="1:37" ht="36.75" customHeight="1" x14ac:dyDescent="0.35">
      <c r="A2556" s="5"/>
      <c r="B2556" s="5" t="s">
        <v>37</v>
      </c>
      <c r="C2556" s="73" t="str">
        <f t="shared" si="39"/>
        <v>Closed</v>
      </c>
      <c r="D2556" s="45" t="s">
        <v>14396</v>
      </c>
      <c r="E2556" s="54" t="s">
        <v>14397</v>
      </c>
      <c r="F2556" s="5" t="s">
        <v>1751</v>
      </c>
      <c r="G2556" s="10">
        <f>DATE(2017,11,27)</f>
        <v>43066</v>
      </c>
      <c r="H2556" s="35">
        <v>1.8229166666666665</v>
      </c>
      <c r="I2556" s="5" t="s">
        <v>259</v>
      </c>
      <c r="J2556" s="10" t="s">
        <v>14398</v>
      </c>
      <c r="K2556" s="5" t="s">
        <v>1753</v>
      </c>
      <c r="L2556" s="5" t="s">
        <v>14399</v>
      </c>
      <c r="M2556" s="5" t="s">
        <v>45</v>
      </c>
      <c r="N2556" s="5" t="s">
        <v>123</v>
      </c>
      <c r="O2556" s="5" t="s">
        <v>46</v>
      </c>
      <c r="P2556" s="10" t="s">
        <v>14400</v>
      </c>
      <c r="Q2556" s="10" t="s">
        <v>4269</v>
      </c>
      <c r="R2556" s="10" t="s">
        <v>1756</v>
      </c>
      <c r="S2556" s="5">
        <v>0</v>
      </c>
      <c r="T2556" s="37">
        <v>2</v>
      </c>
      <c r="U2556" s="5">
        <v>0</v>
      </c>
      <c r="V2556" s="37">
        <v>0</v>
      </c>
      <c r="W2556" s="5">
        <v>0</v>
      </c>
      <c r="X2556" s="5">
        <v>2</v>
      </c>
      <c r="Y2556" s="5">
        <v>2</v>
      </c>
      <c r="Z2556" s="37">
        <v>1</v>
      </c>
      <c r="AA2556" s="5">
        <v>0</v>
      </c>
      <c r="AB2556" s="5">
        <v>0</v>
      </c>
      <c r="AC2556" s="5">
        <v>0</v>
      </c>
      <c r="AD2556" s="5">
        <v>3</v>
      </c>
      <c r="AE2556" s="10" t="s">
        <v>375</v>
      </c>
      <c r="AF2556" s="10"/>
      <c r="AG2556" s="10" t="s">
        <v>64</v>
      </c>
      <c r="AH2556" s="10">
        <v>43066</v>
      </c>
      <c r="AI2556" s="5">
        <v>2</v>
      </c>
      <c r="AJ2556" s="10" t="s">
        <v>14401</v>
      </c>
      <c r="AK2556" s="10" t="s">
        <v>14402</v>
      </c>
    </row>
    <row r="2557" spans="1:37" ht="36.75" customHeight="1" x14ac:dyDescent="0.35">
      <c r="A2557" s="5"/>
      <c r="B2557" s="5" t="s">
        <v>37</v>
      </c>
      <c r="C2557" s="73" t="str">
        <f t="shared" si="39"/>
        <v>Closed</v>
      </c>
      <c r="D2557" s="45" t="s">
        <v>14403</v>
      </c>
      <c r="E2557" s="54" t="s">
        <v>14404</v>
      </c>
      <c r="F2557" s="5" t="s">
        <v>816</v>
      </c>
      <c r="G2557" s="10">
        <f>DATE(2017,11,28)</f>
        <v>43067</v>
      </c>
      <c r="H2557" s="35">
        <v>1.3548611111111111</v>
      </c>
      <c r="I2557" s="5" t="s">
        <v>137</v>
      </c>
      <c r="J2557" s="10" t="s">
        <v>14405</v>
      </c>
      <c r="K2557" s="5" t="s">
        <v>818</v>
      </c>
      <c r="L2557" s="5" t="s">
        <v>14406</v>
      </c>
      <c r="M2557" s="5" t="s">
        <v>45</v>
      </c>
      <c r="N2557" s="5" t="s">
        <v>123</v>
      </c>
      <c r="O2557" s="5" t="s">
        <v>59</v>
      </c>
      <c r="P2557" s="10" t="s">
        <v>47</v>
      </c>
      <c r="Q2557" s="10" t="s">
        <v>2142</v>
      </c>
      <c r="R2557" s="10" t="s">
        <v>821</v>
      </c>
      <c r="S2557" s="5">
        <v>0</v>
      </c>
      <c r="T2557" s="37">
        <v>0</v>
      </c>
      <c r="U2557" s="5">
        <v>0</v>
      </c>
      <c r="V2557" s="37">
        <v>0</v>
      </c>
      <c r="W2557" s="5">
        <v>0</v>
      </c>
      <c r="X2557" s="5">
        <v>0</v>
      </c>
      <c r="Y2557" s="5">
        <v>0</v>
      </c>
      <c r="Z2557" s="37">
        <v>0</v>
      </c>
      <c r="AA2557" s="5">
        <v>0</v>
      </c>
      <c r="AB2557" s="5">
        <v>0</v>
      </c>
      <c r="AC2557" s="5">
        <v>0</v>
      </c>
      <c r="AD2557" s="5">
        <v>0</v>
      </c>
      <c r="AE2557" s="10" t="s">
        <v>73</v>
      </c>
      <c r="AF2557" s="10"/>
      <c r="AG2557" s="10" t="s">
        <v>11868</v>
      </c>
      <c r="AH2557" s="10">
        <v>43067</v>
      </c>
      <c r="AI2557" s="5">
        <v>0</v>
      </c>
      <c r="AJ2557" s="10" t="s">
        <v>14407</v>
      </c>
      <c r="AK2557" s="10" t="s">
        <v>50</v>
      </c>
    </row>
    <row r="2558" spans="1:37" ht="36.75" customHeight="1" x14ac:dyDescent="0.35">
      <c r="A2558" s="5"/>
      <c r="B2558" s="5" t="s">
        <v>37</v>
      </c>
      <c r="C2558" s="73" t="str">
        <f t="shared" si="39"/>
        <v>Closed</v>
      </c>
      <c r="D2558" s="45" t="s">
        <v>14408</v>
      </c>
      <c r="E2558" s="54" t="s">
        <v>14409</v>
      </c>
      <c r="F2558" s="5" t="s">
        <v>13410</v>
      </c>
      <c r="G2558" s="10">
        <f>DATE(2017,11,29)</f>
        <v>43068</v>
      </c>
      <c r="H2558" s="35">
        <v>1.7076388888888889</v>
      </c>
      <c r="I2558" s="5" t="s">
        <v>55</v>
      </c>
      <c r="J2558" s="10" t="s">
        <v>14410</v>
      </c>
      <c r="K2558" s="5" t="s">
        <v>13412</v>
      </c>
      <c r="L2558" s="5" t="s">
        <v>14411</v>
      </c>
      <c r="M2558" s="5" t="s">
        <v>45</v>
      </c>
      <c r="N2558" s="5" t="s">
        <v>70</v>
      </c>
      <c r="O2558" s="5" t="s">
        <v>59</v>
      </c>
      <c r="P2558" s="10" t="s">
        <v>6920</v>
      </c>
      <c r="Q2558" s="10" t="s">
        <v>14412</v>
      </c>
      <c r="R2558" s="10" t="s">
        <v>13412</v>
      </c>
      <c r="S2558" s="5">
        <v>0</v>
      </c>
      <c r="T2558" s="37">
        <v>0</v>
      </c>
      <c r="U2558" s="5">
        <v>0</v>
      </c>
      <c r="V2558" s="37">
        <v>0</v>
      </c>
      <c r="W2558" s="5">
        <v>0</v>
      </c>
      <c r="X2558" s="5">
        <v>0</v>
      </c>
      <c r="Y2558" s="5">
        <v>0</v>
      </c>
      <c r="Z2558" s="37">
        <v>0</v>
      </c>
      <c r="AA2558" s="5">
        <v>0</v>
      </c>
      <c r="AB2558" s="5">
        <v>0</v>
      </c>
      <c r="AC2558" s="5">
        <v>0</v>
      </c>
      <c r="AD2558" s="5">
        <v>0</v>
      </c>
      <c r="AE2558" s="10" t="s">
        <v>126</v>
      </c>
      <c r="AF2558" s="10"/>
      <c r="AG2558" s="10" t="s">
        <v>64</v>
      </c>
      <c r="AH2558" s="10">
        <v>43068</v>
      </c>
      <c r="AI2558" s="5">
        <v>0</v>
      </c>
      <c r="AJ2558" s="10" t="s">
        <v>14413</v>
      </c>
      <c r="AK2558" s="10" t="s">
        <v>14414</v>
      </c>
    </row>
    <row r="2559" spans="1:37" ht="36.75" customHeight="1" x14ac:dyDescent="0.35">
      <c r="A2559" s="5"/>
      <c r="B2559" s="5" t="s">
        <v>37</v>
      </c>
      <c r="C2559" s="73" t="str">
        <f t="shared" si="39"/>
        <v>Closed</v>
      </c>
      <c r="D2559" s="45" t="s">
        <v>14415</v>
      </c>
      <c r="E2559" s="54" t="s">
        <v>14416</v>
      </c>
      <c r="F2559" s="5" t="s">
        <v>619</v>
      </c>
      <c r="G2559" s="10">
        <f>DATE(2017,11,29)</f>
        <v>43068</v>
      </c>
      <c r="H2559" s="35">
        <v>1.4215277777777777</v>
      </c>
      <c r="I2559" s="5" t="s">
        <v>55</v>
      </c>
      <c r="J2559" s="10" t="s">
        <v>14417</v>
      </c>
      <c r="K2559" s="5" t="s">
        <v>621</v>
      </c>
      <c r="L2559" s="5" t="s">
        <v>13146</v>
      </c>
      <c r="M2559" s="5" t="s">
        <v>45</v>
      </c>
      <c r="N2559" s="5" t="s">
        <v>80</v>
      </c>
      <c r="O2559" s="5" t="s">
        <v>46</v>
      </c>
      <c r="P2559" s="10" t="s">
        <v>146</v>
      </c>
      <c r="Q2559" s="10" t="s">
        <v>1167</v>
      </c>
      <c r="R2559" s="10" t="s">
        <v>624</v>
      </c>
      <c r="S2559" s="5">
        <v>0</v>
      </c>
      <c r="T2559" s="37">
        <v>0</v>
      </c>
      <c r="U2559" s="5">
        <v>0</v>
      </c>
      <c r="V2559" s="37">
        <v>0</v>
      </c>
      <c r="W2559" s="5">
        <v>0</v>
      </c>
      <c r="X2559" s="5">
        <v>0</v>
      </c>
      <c r="Y2559" s="5">
        <v>2</v>
      </c>
      <c r="Z2559" s="37">
        <v>0</v>
      </c>
      <c r="AA2559" s="5">
        <v>0</v>
      </c>
      <c r="AB2559" s="5">
        <v>0</v>
      </c>
      <c r="AC2559" s="5">
        <v>0</v>
      </c>
      <c r="AD2559" s="5">
        <v>2</v>
      </c>
      <c r="AE2559" s="10" t="s">
        <v>73</v>
      </c>
      <c r="AF2559" s="10"/>
      <c r="AG2559" s="10" t="s">
        <v>114</v>
      </c>
      <c r="AH2559" s="10">
        <v>43399</v>
      </c>
      <c r="AI2559" s="5">
        <v>3</v>
      </c>
      <c r="AJ2559" s="10" t="s">
        <v>14418</v>
      </c>
      <c r="AK2559" s="10" t="s">
        <v>14419</v>
      </c>
    </row>
    <row r="2560" spans="1:37" ht="36.75" customHeight="1" x14ac:dyDescent="0.35">
      <c r="A2560" s="5"/>
      <c r="B2560" s="5" t="s">
        <v>37</v>
      </c>
      <c r="C2560" s="73" t="str">
        <f t="shared" si="39"/>
        <v>Closed</v>
      </c>
      <c r="D2560" s="45" t="s">
        <v>14420</v>
      </c>
      <c r="E2560" s="54" t="s">
        <v>14421</v>
      </c>
      <c r="F2560" s="5" t="s">
        <v>563</v>
      </c>
      <c r="G2560" s="10">
        <f>DATE(2017,11,30)</f>
        <v>43069</v>
      </c>
      <c r="H2560" s="35">
        <v>1.0527777777777778</v>
      </c>
      <c r="I2560" s="5" t="s">
        <v>55</v>
      </c>
      <c r="J2560" s="10" t="s">
        <v>14422</v>
      </c>
      <c r="K2560" s="5" t="s">
        <v>565</v>
      </c>
      <c r="L2560" s="5" t="s">
        <v>9144</v>
      </c>
      <c r="M2560" s="5" t="s">
        <v>45</v>
      </c>
      <c r="N2560" s="5" t="s">
        <v>123</v>
      </c>
      <c r="O2560" s="5" t="s">
        <v>59</v>
      </c>
      <c r="P2560" s="10" t="s">
        <v>60</v>
      </c>
      <c r="Q2560" s="10" t="s">
        <v>10620</v>
      </c>
      <c r="R2560" s="10" t="s">
        <v>568</v>
      </c>
      <c r="S2560" s="5">
        <v>0</v>
      </c>
      <c r="T2560" s="37">
        <v>0</v>
      </c>
      <c r="U2560" s="5">
        <v>0</v>
      </c>
      <c r="V2560" s="37">
        <v>0</v>
      </c>
      <c r="W2560" s="5">
        <v>0</v>
      </c>
      <c r="X2560" s="5">
        <v>0</v>
      </c>
      <c r="Y2560" s="5">
        <v>0</v>
      </c>
      <c r="Z2560" s="37">
        <v>0</v>
      </c>
      <c r="AA2560" s="5">
        <v>0</v>
      </c>
      <c r="AB2560" s="5">
        <v>0</v>
      </c>
      <c r="AC2560" s="5">
        <v>0</v>
      </c>
      <c r="AD2560" s="5">
        <v>0</v>
      </c>
      <c r="AE2560" s="10" t="s">
        <v>126</v>
      </c>
      <c r="AF2560" s="10"/>
      <c r="AG2560" s="10" t="s">
        <v>64</v>
      </c>
      <c r="AH2560" s="10">
        <v>43069</v>
      </c>
      <c r="AI2560" s="5">
        <v>0</v>
      </c>
      <c r="AJ2560" s="10" t="s">
        <v>14423</v>
      </c>
      <c r="AK2560" s="10" t="s">
        <v>1215</v>
      </c>
    </row>
    <row r="2561" spans="1:37" ht="36.75" customHeight="1" x14ac:dyDescent="0.35">
      <c r="A2561" s="5"/>
      <c r="B2561" s="5" t="s">
        <v>37</v>
      </c>
      <c r="C2561" s="73" t="str">
        <f t="shared" si="39"/>
        <v>Closed</v>
      </c>
      <c r="D2561" s="45" t="s">
        <v>14424</v>
      </c>
      <c r="E2561" s="54" t="s">
        <v>14425</v>
      </c>
      <c r="F2561" s="5" t="s">
        <v>816</v>
      </c>
      <c r="G2561" s="10">
        <f>DATE(2017,11,30)</f>
        <v>43069</v>
      </c>
      <c r="H2561" s="35">
        <v>1.8805555555555555</v>
      </c>
      <c r="I2561" s="5" t="s">
        <v>55</v>
      </c>
      <c r="J2561" s="10" t="s">
        <v>14426</v>
      </c>
      <c r="K2561" s="5" t="s">
        <v>818</v>
      </c>
      <c r="L2561" s="5" t="s">
        <v>14427</v>
      </c>
      <c r="M2561" s="5" t="s">
        <v>236</v>
      </c>
      <c r="N2561" s="5" t="s">
        <v>123</v>
      </c>
      <c r="O2561" s="5" t="s">
        <v>59</v>
      </c>
      <c r="P2561" s="10" t="s">
        <v>6531</v>
      </c>
      <c r="Q2561" s="10" t="s">
        <v>4190</v>
      </c>
      <c r="R2561" s="10" t="s">
        <v>4190</v>
      </c>
      <c r="S2561" s="5">
        <v>0</v>
      </c>
      <c r="T2561" s="37">
        <v>0</v>
      </c>
      <c r="U2561" s="5">
        <v>0</v>
      </c>
      <c r="V2561" s="37">
        <v>0</v>
      </c>
      <c r="W2561" s="5">
        <v>0</v>
      </c>
      <c r="X2561" s="5">
        <v>0</v>
      </c>
      <c r="Y2561" s="5">
        <v>0</v>
      </c>
      <c r="Z2561" s="37">
        <v>0</v>
      </c>
      <c r="AA2561" s="5">
        <v>0</v>
      </c>
      <c r="AB2561" s="5">
        <v>0</v>
      </c>
      <c r="AC2561" s="5">
        <v>0</v>
      </c>
      <c r="AD2561" s="5">
        <v>0</v>
      </c>
      <c r="AE2561" s="10" t="s">
        <v>73</v>
      </c>
      <c r="AF2561" s="10"/>
      <c r="AG2561" s="10" t="s">
        <v>14251</v>
      </c>
      <c r="AH2561" s="10">
        <v>43069</v>
      </c>
      <c r="AI2561" s="5">
        <v>0</v>
      </c>
      <c r="AJ2561" s="10" t="s">
        <v>14428</v>
      </c>
      <c r="AK2561" s="10" t="s">
        <v>50</v>
      </c>
    </row>
    <row r="2562" spans="1:37" ht="36.75" customHeight="1" x14ac:dyDescent="0.35">
      <c r="A2562" s="5"/>
      <c r="B2562" s="5" t="s">
        <v>37</v>
      </c>
      <c r="C2562" s="73" t="str">
        <f t="shared" ref="C2562:C2625" si="40">IF(B2562="Notification","Open",IF(B2562="Interim Statement","In progress","Closed"))</f>
        <v>Closed</v>
      </c>
      <c r="D2562" s="45" t="s">
        <v>14429</v>
      </c>
      <c r="E2562" s="54" t="s">
        <v>14430</v>
      </c>
      <c r="F2562" s="5" t="s">
        <v>404</v>
      </c>
      <c r="G2562" s="10">
        <f>DATE(2017,12,1)</f>
        <v>43070</v>
      </c>
      <c r="H2562" s="35">
        <v>1.8506944444444446</v>
      </c>
      <c r="I2562" s="5" t="s">
        <v>55</v>
      </c>
      <c r="J2562" s="10" t="s">
        <v>14431</v>
      </c>
      <c r="K2562" s="5" t="s">
        <v>406</v>
      </c>
      <c r="L2562" s="5" t="s">
        <v>14432</v>
      </c>
      <c r="M2562" s="5" t="s">
        <v>45</v>
      </c>
      <c r="N2562" s="5" t="s">
        <v>123</v>
      </c>
      <c r="O2562" s="5" t="s">
        <v>46</v>
      </c>
      <c r="P2562" s="10" t="s">
        <v>60</v>
      </c>
      <c r="Q2562" s="10" t="s">
        <v>2562</v>
      </c>
      <c r="R2562" s="10" t="s">
        <v>3083</v>
      </c>
      <c r="S2562" s="5">
        <v>0</v>
      </c>
      <c r="T2562" s="37">
        <v>0</v>
      </c>
      <c r="U2562" s="5">
        <v>0</v>
      </c>
      <c r="V2562" s="37">
        <v>0</v>
      </c>
      <c r="W2562" s="5">
        <v>0</v>
      </c>
      <c r="X2562" s="5">
        <v>0</v>
      </c>
      <c r="Y2562" s="5">
        <v>0</v>
      </c>
      <c r="Z2562" s="37">
        <v>0</v>
      </c>
      <c r="AA2562" s="5">
        <v>0</v>
      </c>
      <c r="AB2562" s="5">
        <v>0</v>
      </c>
      <c r="AC2562" s="5">
        <v>0</v>
      </c>
      <c r="AD2562" s="5">
        <v>0</v>
      </c>
      <c r="AE2562" s="10" t="s">
        <v>375</v>
      </c>
      <c r="AF2562" s="10"/>
      <c r="AG2562" s="10" t="s">
        <v>114</v>
      </c>
      <c r="AH2562" s="10">
        <v>42747</v>
      </c>
      <c r="AI2562" s="5">
        <v>0</v>
      </c>
      <c r="AJ2562" s="10" t="s">
        <v>14433</v>
      </c>
      <c r="AK2562" s="10" t="s">
        <v>14434</v>
      </c>
    </row>
    <row r="2563" spans="1:37" ht="36.75" customHeight="1" x14ac:dyDescent="0.35">
      <c r="A2563" s="5"/>
      <c r="B2563" s="5" t="s">
        <v>37</v>
      </c>
      <c r="C2563" s="73" t="str">
        <f t="shared" si="40"/>
        <v>Closed</v>
      </c>
      <c r="D2563" s="45" t="s">
        <v>14435</v>
      </c>
      <c r="E2563" s="54" t="s">
        <v>14436</v>
      </c>
      <c r="F2563" s="5" t="s">
        <v>404</v>
      </c>
      <c r="G2563" s="10">
        <f>DATE(2017,12,4)</f>
        <v>43073</v>
      </c>
      <c r="H2563" s="35">
        <v>1.5006944444444446</v>
      </c>
      <c r="I2563" s="5" t="s">
        <v>179</v>
      </c>
      <c r="J2563" s="10" t="s">
        <v>14437</v>
      </c>
      <c r="K2563" s="5" t="s">
        <v>406</v>
      </c>
      <c r="L2563" s="5" t="s">
        <v>14438</v>
      </c>
      <c r="M2563" s="5" t="s">
        <v>45</v>
      </c>
      <c r="N2563" s="5" t="s">
        <v>80</v>
      </c>
      <c r="O2563" s="5" t="s">
        <v>59</v>
      </c>
      <c r="P2563" s="10" t="s">
        <v>1893</v>
      </c>
      <c r="Q2563" s="10" t="s">
        <v>10667</v>
      </c>
      <c r="R2563" s="10" t="s">
        <v>3083</v>
      </c>
      <c r="S2563" s="5">
        <v>0</v>
      </c>
      <c r="T2563" s="37">
        <v>0</v>
      </c>
      <c r="U2563" s="5">
        <v>0</v>
      </c>
      <c r="V2563" s="37">
        <v>0</v>
      </c>
      <c r="W2563" s="5">
        <v>0</v>
      </c>
      <c r="X2563" s="5">
        <v>0</v>
      </c>
      <c r="Y2563" s="5">
        <v>0</v>
      </c>
      <c r="Z2563" s="37">
        <v>1</v>
      </c>
      <c r="AA2563" s="5">
        <v>0</v>
      </c>
      <c r="AB2563" s="5">
        <v>0</v>
      </c>
      <c r="AC2563" s="5">
        <v>0</v>
      </c>
      <c r="AD2563" s="5">
        <v>1</v>
      </c>
      <c r="AE2563" s="10" t="s">
        <v>73</v>
      </c>
      <c r="AF2563" s="10"/>
      <c r="AG2563" s="10" t="s">
        <v>114</v>
      </c>
      <c r="AH2563" s="10">
        <v>42837</v>
      </c>
      <c r="AI2563" s="5">
        <v>0</v>
      </c>
      <c r="AJ2563" s="10" t="s">
        <v>14439</v>
      </c>
      <c r="AK2563" s="10" t="s">
        <v>14440</v>
      </c>
    </row>
    <row r="2564" spans="1:37" ht="36.75" customHeight="1" x14ac:dyDescent="0.35">
      <c r="A2564" s="5"/>
      <c r="B2564" s="5" t="s">
        <v>37</v>
      </c>
      <c r="C2564" s="73" t="str">
        <f t="shared" si="40"/>
        <v>Closed</v>
      </c>
      <c r="D2564" s="45" t="s">
        <v>14441</v>
      </c>
      <c r="E2564" s="54" t="s">
        <v>14442</v>
      </c>
      <c r="F2564" s="5" t="s">
        <v>6434</v>
      </c>
      <c r="G2564" s="10">
        <f>DATE(2017,12,5)</f>
        <v>43074</v>
      </c>
      <c r="H2564" s="35">
        <v>1.0604166666666666</v>
      </c>
      <c r="I2564" s="5" t="s">
        <v>179</v>
      </c>
      <c r="J2564" s="10" t="s">
        <v>14443</v>
      </c>
      <c r="K2564" s="5" t="s">
        <v>565</v>
      </c>
      <c r="L2564" s="5" t="s">
        <v>14444</v>
      </c>
      <c r="M2564" s="5" t="s">
        <v>45</v>
      </c>
      <c r="N2564" s="5" t="s">
        <v>123</v>
      </c>
      <c r="O2564" s="5" t="s">
        <v>46</v>
      </c>
      <c r="P2564" s="10" t="s">
        <v>60</v>
      </c>
      <c r="Q2564" s="10" t="s">
        <v>14445</v>
      </c>
      <c r="R2564" s="10" t="s">
        <v>568</v>
      </c>
      <c r="S2564" s="5">
        <v>0</v>
      </c>
      <c r="T2564" s="37">
        <v>0</v>
      </c>
      <c r="U2564" s="5">
        <v>0</v>
      </c>
      <c r="V2564" s="37">
        <v>0</v>
      </c>
      <c r="W2564" s="5">
        <v>0</v>
      </c>
      <c r="X2564" s="5">
        <v>0</v>
      </c>
      <c r="Y2564" s="5">
        <v>4</v>
      </c>
      <c r="Z2564" s="37">
        <v>0</v>
      </c>
      <c r="AA2564" s="5">
        <v>0</v>
      </c>
      <c r="AB2564" s="5">
        <v>0</v>
      </c>
      <c r="AC2564" s="5">
        <v>0</v>
      </c>
      <c r="AD2564" s="5">
        <v>4</v>
      </c>
      <c r="AE2564" s="10" t="s">
        <v>126</v>
      </c>
      <c r="AF2564" s="10" t="s">
        <v>14446</v>
      </c>
      <c r="AG2564" s="10" t="s">
        <v>6438</v>
      </c>
      <c r="AH2564" s="10">
        <v>43075</v>
      </c>
      <c r="AI2564" s="5">
        <v>0</v>
      </c>
      <c r="AJ2564" s="10" t="s">
        <v>14447</v>
      </c>
      <c r="AK2564" s="10" t="s">
        <v>10547</v>
      </c>
    </row>
    <row r="2565" spans="1:37" ht="36.75" customHeight="1" x14ac:dyDescent="0.35">
      <c r="A2565" s="5"/>
      <c r="B2565" s="5" t="s">
        <v>37</v>
      </c>
      <c r="C2565" s="73" t="str">
        <f t="shared" si="40"/>
        <v>Closed</v>
      </c>
      <c r="D2565" s="45" t="s">
        <v>14448</v>
      </c>
      <c r="E2565" s="54" t="s">
        <v>14449</v>
      </c>
      <c r="F2565" s="5" t="s">
        <v>816</v>
      </c>
      <c r="G2565" s="10">
        <f>DATE(2017,12,5)</f>
        <v>43074</v>
      </c>
      <c r="H2565" s="35">
        <v>1.3958333333333333</v>
      </c>
      <c r="I2565" s="5" t="s">
        <v>259</v>
      </c>
      <c r="J2565" s="10" t="s">
        <v>14450</v>
      </c>
      <c r="K2565" s="5" t="s">
        <v>818</v>
      </c>
      <c r="L2565" s="5" t="s">
        <v>14451</v>
      </c>
      <c r="M2565" s="5" t="s">
        <v>45</v>
      </c>
      <c r="N2565" s="5" t="s">
        <v>123</v>
      </c>
      <c r="O2565" s="5" t="s">
        <v>59</v>
      </c>
      <c r="P2565" s="10" t="s">
        <v>47</v>
      </c>
      <c r="Q2565" s="10" t="s">
        <v>2142</v>
      </c>
      <c r="R2565" s="10" t="s">
        <v>821</v>
      </c>
      <c r="S2565" s="5">
        <v>1</v>
      </c>
      <c r="T2565" s="37">
        <v>0</v>
      </c>
      <c r="U2565" s="5">
        <v>0</v>
      </c>
      <c r="V2565" s="37">
        <v>0</v>
      </c>
      <c r="W2565" s="5">
        <v>0</v>
      </c>
      <c r="X2565" s="5">
        <v>1</v>
      </c>
      <c r="Y2565" s="5">
        <v>0</v>
      </c>
      <c r="Z2565" s="37">
        <v>0</v>
      </c>
      <c r="AA2565" s="5">
        <v>0</v>
      </c>
      <c r="AB2565" s="5">
        <v>0</v>
      </c>
      <c r="AC2565" s="5">
        <v>0</v>
      </c>
      <c r="AD2565" s="5">
        <v>0</v>
      </c>
      <c r="AE2565" s="10" t="s">
        <v>73</v>
      </c>
      <c r="AF2565" s="10"/>
      <c r="AG2565" s="10" t="s">
        <v>333</v>
      </c>
      <c r="AH2565" s="10">
        <v>43080</v>
      </c>
      <c r="AI2565" s="5">
        <v>0</v>
      </c>
      <c r="AJ2565" s="10" t="s">
        <v>14452</v>
      </c>
      <c r="AK2565" s="10" t="s">
        <v>14453</v>
      </c>
    </row>
    <row r="2566" spans="1:37" ht="36.75" customHeight="1" x14ac:dyDescent="0.35">
      <c r="A2566" s="5"/>
      <c r="B2566" s="5" t="s">
        <v>37</v>
      </c>
      <c r="C2566" s="73" t="str">
        <f t="shared" si="40"/>
        <v>Closed</v>
      </c>
      <c r="D2566" s="45" t="s">
        <v>14454</v>
      </c>
      <c r="E2566" s="54" t="s">
        <v>14455</v>
      </c>
      <c r="F2566" s="5" t="s">
        <v>1553</v>
      </c>
      <c r="G2566" s="10">
        <f>DATE(2017,12,5)</f>
        <v>43074</v>
      </c>
      <c r="H2566" s="35">
        <v>1.5972222222222223</v>
      </c>
      <c r="I2566" s="5" t="s">
        <v>106</v>
      </c>
      <c r="J2566" s="10" t="s">
        <v>14456</v>
      </c>
      <c r="K2566" s="5" t="s">
        <v>1555</v>
      </c>
      <c r="L2566" s="5" t="s">
        <v>14457</v>
      </c>
      <c r="M2566" s="5" t="s">
        <v>45</v>
      </c>
      <c r="N2566" s="5" t="s">
        <v>123</v>
      </c>
      <c r="O2566" s="5" t="s">
        <v>46</v>
      </c>
      <c r="P2566" s="10" t="s">
        <v>60</v>
      </c>
      <c r="Q2566" s="10" t="s">
        <v>8056</v>
      </c>
      <c r="R2566" s="10" t="s">
        <v>6413</v>
      </c>
      <c r="S2566" s="5">
        <v>0</v>
      </c>
      <c r="T2566" s="37">
        <v>0</v>
      </c>
      <c r="U2566" s="5">
        <v>0</v>
      </c>
      <c r="V2566" s="37">
        <v>0</v>
      </c>
      <c r="W2566" s="5">
        <v>0</v>
      </c>
      <c r="X2566" s="5">
        <v>0</v>
      </c>
      <c r="Y2566" s="5">
        <v>0</v>
      </c>
      <c r="Z2566" s="37">
        <v>0</v>
      </c>
      <c r="AA2566" s="5">
        <v>0</v>
      </c>
      <c r="AB2566" s="5">
        <v>0</v>
      </c>
      <c r="AC2566" s="5">
        <v>0</v>
      </c>
      <c r="AD2566" s="5">
        <v>0</v>
      </c>
      <c r="AE2566" s="10" t="s">
        <v>375</v>
      </c>
      <c r="AF2566" s="10"/>
      <c r="AG2566" s="10" t="s">
        <v>114</v>
      </c>
      <c r="AH2566" s="10">
        <v>43076</v>
      </c>
      <c r="AI2566" s="5">
        <v>2</v>
      </c>
      <c r="AJ2566" s="10" t="s">
        <v>14458</v>
      </c>
      <c r="AK2566" s="10" t="s">
        <v>14459</v>
      </c>
    </row>
    <row r="2567" spans="1:37" ht="36.75" customHeight="1" x14ac:dyDescent="0.35">
      <c r="A2567" s="5"/>
      <c r="B2567" s="5" t="s">
        <v>37</v>
      </c>
      <c r="C2567" s="73" t="str">
        <f t="shared" si="40"/>
        <v>Closed</v>
      </c>
      <c r="D2567" s="45" t="s">
        <v>14460</v>
      </c>
      <c r="E2567" s="54" t="s">
        <v>14461</v>
      </c>
      <c r="F2567" s="5" t="s">
        <v>358</v>
      </c>
      <c r="G2567" s="10">
        <f>DATE(2017,12,6)</f>
        <v>43075</v>
      </c>
      <c r="H2567" s="35">
        <v>1.4166666666666667</v>
      </c>
      <c r="I2567" s="5" t="s">
        <v>55</v>
      </c>
      <c r="J2567" s="10" t="s">
        <v>14462</v>
      </c>
      <c r="K2567" s="5" t="s">
        <v>360</v>
      </c>
      <c r="L2567" s="5" t="s">
        <v>14463</v>
      </c>
      <c r="M2567" s="5" t="s">
        <v>45</v>
      </c>
      <c r="N2567" s="5" t="s">
        <v>80</v>
      </c>
      <c r="O2567" s="5" t="s">
        <v>46</v>
      </c>
      <c r="P2567" s="10" t="s">
        <v>146</v>
      </c>
      <c r="Q2567" s="10" t="s">
        <v>2886</v>
      </c>
      <c r="R2567" s="10" t="s">
        <v>363</v>
      </c>
      <c r="S2567" s="5">
        <v>0</v>
      </c>
      <c r="T2567" s="37">
        <v>0</v>
      </c>
      <c r="U2567" s="5">
        <v>0</v>
      </c>
      <c r="V2567" s="37">
        <v>0</v>
      </c>
      <c r="W2567" s="5">
        <v>0</v>
      </c>
      <c r="X2567" s="5">
        <v>0</v>
      </c>
      <c r="Y2567" s="5">
        <v>0</v>
      </c>
      <c r="Z2567" s="37">
        <v>0</v>
      </c>
      <c r="AA2567" s="5">
        <v>0</v>
      </c>
      <c r="AB2567" s="5">
        <v>0</v>
      </c>
      <c r="AC2567" s="5">
        <v>0</v>
      </c>
      <c r="AD2567" s="5">
        <v>0</v>
      </c>
      <c r="AE2567" s="10" t="s">
        <v>375</v>
      </c>
      <c r="AF2567" s="10"/>
      <c r="AG2567" s="10" t="s">
        <v>114</v>
      </c>
      <c r="AH2567" s="10">
        <v>43084</v>
      </c>
      <c r="AI2567" s="5">
        <v>5</v>
      </c>
      <c r="AJ2567" s="10" t="s">
        <v>14464</v>
      </c>
      <c r="AK2567" s="10" t="s">
        <v>14465</v>
      </c>
    </row>
    <row r="2568" spans="1:37" ht="36.75" customHeight="1" x14ac:dyDescent="0.35">
      <c r="A2568" s="5"/>
      <c r="B2568" s="5" t="s">
        <v>37</v>
      </c>
      <c r="C2568" s="73" t="str">
        <f t="shared" si="40"/>
        <v>Closed</v>
      </c>
      <c r="D2568" s="45" t="s">
        <v>14466</v>
      </c>
      <c r="E2568" s="54" t="s">
        <v>14467</v>
      </c>
      <c r="F2568" s="5" t="s">
        <v>404</v>
      </c>
      <c r="G2568" s="10">
        <f>DATE(2017,12,8)</f>
        <v>43077</v>
      </c>
      <c r="H2568" s="35">
        <v>1.2666666666666666</v>
      </c>
      <c r="I2568" s="5" t="s">
        <v>55</v>
      </c>
      <c r="J2568" s="10" t="s">
        <v>14468</v>
      </c>
      <c r="K2568" s="5" t="s">
        <v>406</v>
      </c>
      <c r="L2568" s="5" t="s">
        <v>14469</v>
      </c>
      <c r="M2568" s="5" t="s">
        <v>45</v>
      </c>
      <c r="N2568" s="5" t="s">
        <v>123</v>
      </c>
      <c r="O2568" s="5" t="s">
        <v>59</v>
      </c>
      <c r="P2568" s="10" t="s">
        <v>72</v>
      </c>
      <c r="Q2568" s="10" t="s">
        <v>4531</v>
      </c>
      <c r="R2568" s="10" t="s">
        <v>3083</v>
      </c>
      <c r="S2568" s="5">
        <v>0</v>
      </c>
      <c r="T2568" s="37">
        <v>0</v>
      </c>
      <c r="U2568" s="5">
        <v>0</v>
      </c>
      <c r="V2568" s="37">
        <v>0</v>
      </c>
      <c r="W2568" s="5">
        <v>0</v>
      </c>
      <c r="X2568" s="5">
        <v>0</v>
      </c>
      <c r="Y2568" s="5">
        <v>0</v>
      </c>
      <c r="Z2568" s="37">
        <v>0</v>
      </c>
      <c r="AA2568" s="5">
        <v>0</v>
      </c>
      <c r="AB2568" s="5">
        <v>0</v>
      </c>
      <c r="AC2568" s="5">
        <v>0</v>
      </c>
      <c r="AD2568" s="5">
        <v>0</v>
      </c>
      <c r="AE2568" s="10" t="s">
        <v>73</v>
      </c>
      <c r="AF2568" s="10"/>
      <c r="AG2568" s="10" t="s">
        <v>114</v>
      </c>
      <c r="AH2568" s="10">
        <v>42959</v>
      </c>
      <c r="AI2568" s="5">
        <v>0</v>
      </c>
      <c r="AJ2568" s="10" t="s">
        <v>14470</v>
      </c>
      <c r="AK2568" s="10" t="s">
        <v>14471</v>
      </c>
    </row>
    <row r="2569" spans="1:37" ht="36.75" customHeight="1" x14ac:dyDescent="0.35">
      <c r="A2569" s="5"/>
      <c r="B2569" s="5" t="s">
        <v>37</v>
      </c>
      <c r="C2569" s="73" t="str">
        <f t="shared" si="40"/>
        <v>Closed</v>
      </c>
      <c r="D2569" s="45" t="s">
        <v>14472</v>
      </c>
      <c r="E2569" s="54" t="s">
        <v>14473</v>
      </c>
      <c r="F2569" s="5" t="s">
        <v>1553</v>
      </c>
      <c r="G2569" s="10">
        <f>DATE(2017,12,12)</f>
        <v>43081</v>
      </c>
      <c r="H2569" s="35">
        <v>1.6111111111111112</v>
      </c>
      <c r="I2569" s="5" t="s">
        <v>55</v>
      </c>
      <c r="J2569" s="10" t="s">
        <v>14474</v>
      </c>
      <c r="K2569" s="5" t="s">
        <v>1555</v>
      </c>
      <c r="L2569" s="5" t="s">
        <v>14475</v>
      </c>
      <c r="M2569" s="5" t="s">
        <v>45</v>
      </c>
      <c r="N2569" s="5" t="s">
        <v>123</v>
      </c>
      <c r="O2569" s="5" t="s">
        <v>46</v>
      </c>
      <c r="P2569" s="10" t="s">
        <v>60</v>
      </c>
      <c r="Q2569" s="10" t="s">
        <v>6003</v>
      </c>
      <c r="R2569" s="10" t="s">
        <v>6413</v>
      </c>
      <c r="S2569" s="5">
        <v>0</v>
      </c>
      <c r="T2569" s="37">
        <v>0</v>
      </c>
      <c r="U2569" s="5">
        <v>0</v>
      </c>
      <c r="V2569" s="37">
        <v>0</v>
      </c>
      <c r="W2569" s="5">
        <v>0</v>
      </c>
      <c r="X2569" s="5">
        <v>0</v>
      </c>
      <c r="Y2569" s="5">
        <v>0</v>
      </c>
      <c r="Z2569" s="37">
        <v>0</v>
      </c>
      <c r="AA2569" s="5">
        <v>0</v>
      </c>
      <c r="AB2569" s="5">
        <v>0</v>
      </c>
      <c r="AC2569" s="5">
        <v>0</v>
      </c>
      <c r="AD2569" s="5">
        <v>0</v>
      </c>
      <c r="AE2569" s="10" t="s">
        <v>73</v>
      </c>
      <c r="AF2569" s="10"/>
      <c r="AG2569" s="10" t="s">
        <v>114</v>
      </c>
      <c r="AH2569" s="10">
        <v>43084</v>
      </c>
      <c r="AI2569" s="5">
        <v>0</v>
      </c>
      <c r="AJ2569" s="10" t="s">
        <v>14476</v>
      </c>
      <c r="AK2569" s="10" t="s">
        <v>14477</v>
      </c>
    </row>
    <row r="2570" spans="1:37" ht="36.75" customHeight="1" x14ac:dyDescent="0.35">
      <c r="A2570" s="5"/>
      <c r="B2570" s="5" t="s">
        <v>37</v>
      </c>
      <c r="C2570" s="73" t="str">
        <f t="shared" si="40"/>
        <v>Closed</v>
      </c>
      <c r="D2570" s="45" t="s">
        <v>14478</v>
      </c>
      <c r="E2570" s="54" t="s">
        <v>14479</v>
      </c>
      <c r="F2570" s="5" t="s">
        <v>1553</v>
      </c>
      <c r="G2570" s="10">
        <f>DATE(2017,12,13)</f>
        <v>43082</v>
      </c>
      <c r="H2570" s="35">
        <v>1.7013888888888888</v>
      </c>
      <c r="I2570" s="5" t="s">
        <v>55</v>
      </c>
      <c r="J2570" s="10" t="s">
        <v>14480</v>
      </c>
      <c r="K2570" s="5" t="s">
        <v>1555</v>
      </c>
      <c r="L2570" s="5" t="s">
        <v>14481</v>
      </c>
      <c r="M2570" s="5" t="s">
        <v>45</v>
      </c>
      <c r="N2570" s="5" t="s">
        <v>80</v>
      </c>
      <c r="O2570" s="5" t="s">
        <v>46</v>
      </c>
      <c r="P2570" s="10" t="s">
        <v>60</v>
      </c>
      <c r="Q2570" s="10" t="s">
        <v>2635</v>
      </c>
      <c r="R2570" s="10" t="s">
        <v>6413</v>
      </c>
      <c r="S2570" s="5">
        <v>0</v>
      </c>
      <c r="T2570" s="37">
        <v>0</v>
      </c>
      <c r="U2570" s="5">
        <v>0</v>
      </c>
      <c r="V2570" s="37">
        <v>0</v>
      </c>
      <c r="W2570" s="5">
        <v>0</v>
      </c>
      <c r="X2570" s="5">
        <v>0</v>
      </c>
      <c r="Y2570" s="5">
        <v>0</v>
      </c>
      <c r="Z2570" s="37">
        <v>0</v>
      </c>
      <c r="AA2570" s="5">
        <v>0</v>
      </c>
      <c r="AB2570" s="5">
        <v>0</v>
      </c>
      <c r="AC2570" s="5">
        <v>0</v>
      </c>
      <c r="AD2570" s="5">
        <v>0</v>
      </c>
      <c r="AE2570" s="10" t="s">
        <v>73</v>
      </c>
      <c r="AF2570" s="10"/>
      <c r="AG2570" s="10" t="s">
        <v>114</v>
      </c>
      <c r="AH2570" s="10">
        <v>43084</v>
      </c>
      <c r="AI2570" s="5">
        <v>2</v>
      </c>
      <c r="AJ2570" s="10" t="s">
        <v>14482</v>
      </c>
      <c r="AK2570" s="10" t="s">
        <v>14483</v>
      </c>
    </row>
    <row r="2571" spans="1:37" ht="36.75" customHeight="1" x14ac:dyDescent="0.35">
      <c r="A2571" s="5"/>
      <c r="B2571" s="5" t="s">
        <v>37</v>
      </c>
      <c r="C2571" s="73" t="str">
        <f t="shared" si="40"/>
        <v>Closed</v>
      </c>
      <c r="D2571" s="45" t="s">
        <v>14484</v>
      </c>
      <c r="E2571" s="54" t="s">
        <v>14485</v>
      </c>
      <c r="F2571" s="5" t="s">
        <v>96</v>
      </c>
      <c r="G2571" s="10">
        <f>DATE(2017,12,14)</f>
        <v>43083</v>
      </c>
      <c r="H2571" s="35">
        <v>1.6729166666666666</v>
      </c>
      <c r="I2571" s="5" t="s">
        <v>97</v>
      </c>
      <c r="J2571" s="10" t="s">
        <v>14486</v>
      </c>
      <c r="K2571" s="5" t="s">
        <v>99</v>
      </c>
      <c r="L2571" s="5" t="s">
        <v>14487</v>
      </c>
      <c r="M2571" s="5" t="s">
        <v>45</v>
      </c>
      <c r="N2571" s="5" t="s">
        <v>80</v>
      </c>
      <c r="O2571" s="5" t="s">
        <v>46</v>
      </c>
      <c r="P2571" s="10" t="s">
        <v>146</v>
      </c>
      <c r="Q2571" s="10" t="s">
        <v>101</v>
      </c>
      <c r="R2571" s="10" t="s">
        <v>102</v>
      </c>
      <c r="S2571" s="5">
        <v>0</v>
      </c>
      <c r="T2571" s="37">
        <v>0</v>
      </c>
      <c r="U2571" s="5">
        <v>6</v>
      </c>
      <c r="V2571" s="37">
        <v>0</v>
      </c>
      <c r="W2571" s="5">
        <v>0</v>
      </c>
      <c r="X2571" s="5">
        <v>6</v>
      </c>
      <c r="Y2571" s="5">
        <v>0</v>
      </c>
      <c r="Z2571" s="37">
        <v>0</v>
      </c>
      <c r="AA2571" s="5">
        <v>18</v>
      </c>
      <c r="AB2571" s="5">
        <v>0</v>
      </c>
      <c r="AC2571" s="5">
        <v>0</v>
      </c>
      <c r="AD2571" s="5">
        <v>18</v>
      </c>
      <c r="AE2571" s="10" t="s">
        <v>375</v>
      </c>
      <c r="AF2571" s="10"/>
      <c r="AG2571" s="10" t="s">
        <v>114</v>
      </c>
      <c r="AH2571" s="10">
        <v>43083</v>
      </c>
      <c r="AI2571" s="5">
        <v>5</v>
      </c>
      <c r="AJ2571" s="10" t="s">
        <v>14488</v>
      </c>
      <c r="AK2571" s="10" t="s">
        <v>14489</v>
      </c>
    </row>
    <row r="2572" spans="1:37" ht="36.75" customHeight="1" x14ac:dyDescent="0.35">
      <c r="A2572" s="5"/>
      <c r="B2572" s="5" t="s">
        <v>37</v>
      </c>
      <c r="C2572" s="73" t="str">
        <f t="shared" si="40"/>
        <v>Closed</v>
      </c>
      <c r="D2572" s="45" t="s">
        <v>14490</v>
      </c>
      <c r="E2572" s="54" t="s">
        <v>14491</v>
      </c>
      <c r="F2572" s="5" t="s">
        <v>404</v>
      </c>
      <c r="G2572" s="10">
        <f>DATE(2017,12,15)</f>
        <v>43084</v>
      </c>
      <c r="H2572" s="35">
        <v>1.4631944444444445</v>
      </c>
      <c r="I2572" s="5" t="s">
        <v>85</v>
      </c>
      <c r="J2572" s="10" t="s">
        <v>14492</v>
      </c>
      <c r="K2572" s="5" t="s">
        <v>406</v>
      </c>
      <c r="L2572" s="5" t="s">
        <v>12696</v>
      </c>
      <c r="M2572" s="5" t="s">
        <v>45</v>
      </c>
      <c r="N2572" s="5" t="s">
        <v>123</v>
      </c>
      <c r="O2572" s="5" t="s">
        <v>59</v>
      </c>
      <c r="P2572" s="10" t="s">
        <v>8426</v>
      </c>
      <c r="Q2572" s="10" t="s">
        <v>4531</v>
      </c>
      <c r="R2572" s="10" t="s">
        <v>3083</v>
      </c>
      <c r="S2572" s="5">
        <v>0</v>
      </c>
      <c r="T2572" s="37">
        <v>0</v>
      </c>
      <c r="U2572" s="5">
        <v>0</v>
      </c>
      <c r="V2572" s="37">
        <v>0</v>
      </c>
      <c r="W2572" s="5">
        <v>0</v>
      </c>
      <c r="X2572" s="5">
        <v>0</v>
      </c>
      <c r="Y2572" s="5">
        <v>0</v>
      </c>
      <c r="Z2572" s="37">
        <v>0</v>
      </c>
      <c r="AA2572" s="5">
        <v>0</v>
      </c>
      <c r="AB2572" s="5">
        <v>0</v>
      </c>
      <c r="AC2572" s="5">
        <v>0</v>
      </c>
      <c r="AD2572" s="5">
        <v>0</v>
      </c>
      <c r="AE2572" s="10" t="s">
        <v>73</v>
      </c>
      <c r="AF2572" s="10"/>
      <c r="AG2572" s="10" t="s">
        <v>333</v>
      </c>
      <c r="AH2572" s="10">
        <v>43084</v>
      </c>
      <c r="AI2572" s="5">
        <v>1</v>
      </c>
      <c r="AJ2572" s="10" t="s">
        <v>14493</v>
      </c>
      <c r="AK2572" s="10" t="s">
        <v>14494</v>
      </c>
    </row>
    <row r="2573" spans="1:37" ht="36.75" customHeight="1" x14ac:dyDescent="0.35">
      <c r="A2573" s="5"/>
      <c r="B2573" s="5" t="s">
        <v>37</v>
      </c>
      <c r="C2573" s="73" t="str">
        <f t="shared" si="40"/>
        <v>Closed</v>
      </c>
      <c r="D2573" s="45" t="s">
        <v>14495</v>
      </c>
      <c r="E2573" s="54" t="s">
        <v>14496</v>
      </c>
      <c r="F2573" s="5" t="s">
        <v>404</v>
      </c>
      <c r="G2573" s="10">
        <f>DATE(2017,12,15)</f>
        <v>43084</v>
      </c>
      <c r="H2573" s="35">
        <v>1.3875</v>
      </c>
      <c r="I2573" s="5" t="s">
        <v>137</v>
      </c>
      <c r="J2573" s="10" t="s">
        <v>14497</v>
      </c>
      <c r="K2573" s="5" t="s">
        <v>406</v>
      </c>
      <c r="L2573" s="5" t="s">
        <v>12428</v>
      </c>
      <c r="M2573" s="5" t="s">
        <v>45</v>
      </c>
      <c r="N2573" s="5" t="s">
        <v>123</v>
      </c>
      <c r="O2573" s="5" t="s">
        <v>59</v>
      </c>
      <c r="P2573" s="10" t="s">
        <v>146</v>
      </c>
      <c r="Q2573" s="10" t="s">
        <v>4531</v>
      </c>
      <c r="R2573" s="10" t="s">
        <v>3083</v>
      </c>
      <c r="S2573" s="5">
        <v>0</v>
      </c>
      <c r="T2573" s="37">
        <v>0</v>
      </c>
      <c r="U2573" s="5">
        <v>0</v>
      </c>
      <c r="V2573" s="37">
        <v>0</v>
      </c>
      <c r="W2573" s="5">
        <v>0</v>
      </c>
      <c r="X2573" s="5">
        <v>0</v>
      </c>
      <c r="Y2573" s="5">
        <v>0</v>
      </c>
      <c r="Z2573" s="37">
        <v>0</v>
      </c>
      <c r="AA2573" s="5">
        <v>0</v>
      </c>
      <c r="AB2573" s="5">
        <v>0</v>
      </c>
      <c r="AC2573" s="5">
        <v>0</v>
      </c>
      <c r="AD2573" s="5">
        <v>0</v>
      </c>
      <c r="AE2573" s="10" t="s">
        <v>73</v>
      </c>
      <c r="AF2573" s="10"/>
      <c r="AG2573" s="10" t="s">
        <v>333</v>
      </c>
      <c r="AH2573" s="10">
        <v>43084</v>
      </c>
      <c r="AI2573" s="5">
        <v>0</v>
      </c>
      <c r="AJ2573" s="10" t="s">
        <v>14498</v>
      </c>
      <c r="AK2573" s="10" t="s">
        <v>14499</v>
      </c>
    </row>
    <row r="2574" spans="1:37" ht="36.75" customHeight="1" x14ac:dyDescent="0.35">
      <c r="A2574" s="5"/>
      <c r="B2574" s="5" t="s">
        <v>37</v>
      </c>
      <c r="C2574" s="73" t="str">
        <f t="shared" si="40"/>
        <v>Closed</v>
      </c>
      <c r="D2574" s="45" t="s">
        <v>14500</v>
      </c>
      <c r="E2574" s="54" t="s">
        <v>14501</v>
      </c>
      <c r="F2574" s="5" t="s">
        <v>214</v>
      </c>
      <c r="G2574" s="10">
        <f>DATE(2017,12,15)</f>
        <v>43084</v>
      </c>
      <c r="H2574" s="35">
        <v>1.5618055555555554</v>
      </c>
      <c r="I2574" s="5" t="s">
        <v>259</v>
      </c>
      <c r="J2574" s="10" t="s">
        <v>14502</v>
      </c>
      <c r="K2574" s="5" t="s">
        <v>216</v>
      </c>
      <c r="L2574" s="5" t="s">
        <v>14503</v>
      </c>
      <c r="M2574" s="5" t="s">
        <v>236</v>
      </c>
      <c r="N2574" s="5" t="s">
        <v>80</v>
      </c>
      <c r="O2574" s="5" t="s">
        <v>59</v>
      </c>
      <c r="P2574" s="10" t="s">
        <v>6531</v>
      </c>
      <c r="Q2574" s="10" t="s">
        <v>216</v>
      </c>
      <c r="R2574" s="10" t="s">
        <v>216</v>
      </c>
      <c r="S2574" s="5">
        <v>0</v>
      </c>
      <c r="T2574" s="37">
        <v>0</v>
      </c>
      <c r="U2574" s="5">
        <v>0</v>
      </c>
      <c r="V2574" s="37">
        <v>0</v>
      </c>
      <c r="W2574" s="5">
        <v>0</v>
      </c>
      <c r="X2574" s="5">
        <v>0</v>
      </c>
      <c r="Y2574" s="5">
        <v>0</v>
      </c>
      <c r="Z2574" s="37">
        <v>0</v>
      </c>
      <c r="AA2574" s="5">
        <v>0</v>
      </c>
      <c r="AB2574" s="5">
        <v>0</v>
      </c>
      <c r="AC2574" s="5">
        <v>0</v>
      </c>
      <c r="AD2574" s="5">
        <v>0</v>
      </c>
      <c r="AE2574" s="10" t="s">
        <v>73</v>
      </c>
      <c r="AF2574" s="10"/>
      <c r="AG2574" s="10" t="s">
        <v>114</v>
      </c>
      <c r="AH2574" s="10">
        <v>43115</v>
      </c>
      <c r="AI2574" s="5">
        <v>2</v>
      </c>
      <c r="AJ2574" s="10" t="s">
        <v>14504</v>
      </c>
      <c r="AK2574" s="10" t="s">
        <v>14505</v>
      </c>
    </row>
    <row r="2575" spans="1:37" ht="36.75" customHeight="1" x14ac:dyDescent="0.35">
      <c r="A2575" s="5"/>
      <c r="B2575" s="5" t="s">
        <v>37</v>
      </c>
      <c r="C2575" s="73" t="str">
        <f t="shared" si="40"/>
        <v>Closed</v>
      </c>
      <c r="D2575" s="45" t="s">
        <v>14506</v>
      </c>
      <c r="E2575" s="54" t="s">
        <v>14507</v>
      </c>
      <c r="F2575" s="5" t="s">
        <v>105</v>
      </c>
      <c r="G2575" s="10">
        <f>DATE(2017,12,16)</f>
        <v>43085</v>
      </c>
      <c r="H2575" s="35">
        <v>1.9791666666666665</v>
      </c>
      <c r="I2575" s="5" t="s">
        <v>179</v>
      </c>
      <c r="J2575" s="10" t="s">
        <v>14508</v>
      </c>
      <c r="K2575" s="5" t="s">
        <v>108</v>
      </c>
      <c r="L2575" s="5" t="s">
        <v>14509</v>
      </c>
      <c r="M2575" s="5" t="s">
        <v>45</v>
      </c>
      <c r="N2575" s="5" t="s">
        <v>123</v>
      </c>
      <c r="O2575" s="5" t="s">
        <v>59</v>
      </c>
      <c r="P2575" s="10" t="s">
        <v>3410</v>
      </c>
      <c r="Q2575" s="10" t="s">
        <v>382</v>
      </c>
      <c r="R2575" s="10" t="s">
        <v>148</v>
      </c>
      <c r="S2575" s="5">
        <v>0</v>
      </c>
      <c r="T2575" s="37">
        <v>0</v>
      </c>
      <c r="U2575" s="5">
        <v>0</v>
      </c>
      <c r="V2575" s="37">
        <v>0</v>
      </c>
      <c r="W2575" s="5">
        <v>0</v>
      </c>
      <c r="X2575" s="5">
        <v>0</v>
      </c>
      <c r="Y2575" s="5">
        <v>0</v>
      </c>
      <c r="Z2575" s="37">
        <v>0</v>
      </c>
      <c r="AA2575" s="5">
        <v>0</v>
      </c>
      <c r="AB2575" s="5">
        <v>0</v>
      </c>
      <c r="AC2575" s="5">
        <v>0</v>
      </c>
      <c r="AD2575" s="5">
        <v>0</v>
      </c>
      <c r="AE2575" s="10" t="s">
        <v>375</v>
      </c>
      <c r="AF2575" s="10"/>
      <c r="AG2575" s="10" t="s">
        <v>64</v>
      </c>
      <c r="AH2575" s="10">
        <v>43088</v>
      </c>
      <c r="AI2575" s="5">
        <v>1</v>
      </c>
      <c r="AJ2575" s="10" t="s">
        <v>14510</v>
      </c>
      <c r="AK2575" s="10" t="s">
        <v>14511</v>
      </c>
    </row>
    <row r="2576" spans="1:37" ht="36.75" customHeight="1" x14ac:dyDescent="0.35">
      <c r="A2576" s="5"/>
      <c r="B2576" s="5" t="s">
        <v>37</v>
      </c>
      <c r="C2576" s="73" t="str">
        <f t="shared" si="40"/>
        <v>Closed</v>
      </c>
      <c r="D2576" s="45" t="s">
        <v>14512</v>
      </c>
      <c r="E2576" s="54" t="s">
        <v>14513</v>
      </c>
      <c r="F2576" s="5" t="s">
        <v>605</v>
      </c>
      <c r="G2576" s="10">
        <f>DATE(2017,12,19)</f>
        <v>43088</v>
      </c>
      <c r="H2576" s="35">
        <v>0</v>
      </c>
      <c r="I2576" s="5" t="s">
        <v>97</v>
      </c>
      <c r="J2576" s="10" t="s">
        <v>97</v>
      </c>
      <c r="K2576" s="5" t="s">
        <v>607</v>
      </c>
      <c r="L2576" s="5" t="s">
        <v>14514</v>
      </c>
      <c r="M2576" s="5" t="s">
        <v>45</v>
      </c>
      <c r="N2576" s="5" t="s">
        <v>123</v>
      </c>
      <c r="O2576" s="5" t="s">
        <v>46</v>
      </c>
      <c r="P2576" s="10" t="s">
        <v>6881</v>
      </c>
      <c r="Q2576" s="10" t="s">
        <v>7160</v>
      </c>
      <c r="R2576" s="10" t="s">
        <v>610</v>
      </c>
      <c r="S2576" s="5">
        <v>0</v>
      </c>
      <c r="T2576" s="37">
        <v>1</v>
      </c>
      <c r="U2576" s="5">
        <v>0</v>
      </c>
      <c r="V2576" s="37">
        <v>0</v>
      </c>
      <c r="W2576" s="5">
        <v>0</v>
      </c>
      <c r="X2576" s="5">
        <v>1</v>
      </c>
      <c r="Y2576" s="5">
        <v>0</v>
      </c>
      <c r="Z2576" s="37">
        <v>0</v>
      </c>
      <c r="AA2576" s="5">
        <v>0</v>
      </c>
      <c r="AB2576" s="5">
        <v>0</v>
      </c>
      <c r="AC2576" s="5">
        <v>0</v>
      </c>
      <c r="AD2576" s="5">
        <v>0</v>
      </c>
      <c r="AE2576" s="10" t="s">
        <v>73</v>
      </c>
      <c r="AF2576" s="10"/>
      <c r="AG2576" s="10" t="s">
        <v>64</v>
      </c>
      <c r="AH2576" s="10">
        <v>43088</v>
      </c>
      <c r="AI2576" s="5">
        <v>2</v>
      </c>
      <c r="AJ2576" s="10" t="s">
        <v>13121</v>
      </c>
      <c r="AK2576" s="10" t="s">
        <v>50</v>
      </c>
    </row>
    <row r="2577" spans="1:37" ht="36.75" customHeight="1" x14ac:dyDescent="0.35">
      <c r="A2577" s="5"/>
      <c r="B2577" s="5" t="s">
        <v>37</v>
      </c>
      <c r="C2577" s="73" t="str">
        <f t="shared" si="40"/>
        <v>Closed</v>
      </c>
      <c r="D2577" s="45" t="s">
        <v>14515</v>
      </c>
      <c r="E2577" s="54" t="s">
        <v>14516</v>
      </c>
      <c r="F2577" s="5" t="s">
        <v>816</v>
      </c>
      <c r="G2577" s="10">
        <f>DATE(2017,12,21)</f>
        <v>43090</v>
      </c>
      <c r="H2577" s="35">
        <v>1.1652777777777779</v>
      </c>
      <c r="I2577" s="5" t="s">
        <v>55</v>
      </c>
      <c r="J2577" s="10" t="s">
        <v>14517</v>
      </c>
      <c r="K2577" s="5" t="s">
        <v>818</v>
      </c>
      <c r="L2577" s="5" t="s">
        <v>12763</v>
      </c>
      <c r="M2577" s="5" t="s">
        <v>45</v>
      </c>
      <c r="N2577" s="5" t="s">
        <v>123</v>
      </c>
      <c r="O2577" s="5" t="s">
        <v>59</v>
      </c>
      <c r="P2577" s="10" t="s">
        <v>60</v>
      </c>
      <c r="Q2577" s="10" t="s">
        <v>7864</v>
      </c>
      <c r="R2577" s="10" t="s">
        <v>821</v>
      </c>
      <c r="S2577" s="5">
        <v>0</v>
      </c>
      <c r="T2577" s="37">
        <v>0</v>
      </c>
      <c r="U2577" s="5">
        <v>0</v>
      </c>
      <c r="V2577" s="37">
        <v>0</v>
      </c>
      <c r="W2577" s="5">
        <v>0</v>
      </c>
      <c r="X2577" s="5">
        <v>0</v>
      </c>
      <c r="Y2577" s="5">
        <v>0</v>
      </c>
      <c r="Z2577" s="37">
        <v>0</v>
      </c>
      <c r="AA2577" s="5">
        <v>0</v>
      </c>
      <c r="AB2577" s="5">
        <v>0</v>
      </c>
      <c r="AC2577" s="5">
        <v>0</v>
      </c>
      <c r="AD2577" s="5">
        <v>0</v>
      </c>
      <c r="AE2577" s="10" t="s">
        <v>73</v>
      </c>
      <c r="AF2577" s="10"/>
      <c r="AG2577" s="10" t="s">
        <v>2064</v>
      </c>
      <c r="AH2577" s="10">
        <v>43096</v>
      </c>
      <c r="AI2577" s="5">
        <v>1</v>
      </c>
      <c r="AJ2577" s="10" t="s">
        <v>14518</v>
      </c>
      <c r="AK2577" s="10" t="s">
        <v>14519</v>
      </c>
    </row>
    <row r="2578" spans="1:37" ht="36.75" customHeight="1" x14ac:dyDescent="0.35">
      <c r="A2578" s="5"/>
      <c r="B2578" s="5" t="s">
        <v>37</v>
      </c>
      <c r="C2578" s="73" t="str">
        <f t="shared" si="40"/>
        <v>Closed</v>
      </c>
      <c r="D2578" s="45" t="s">
        <v>14520</v>
      </c>
      <c r="E2578" s="54" t="s">
        <v>14521</v>
      </c>
      <c r="F2578" s="5" t="s">
        <v>178</v>
      </c>
      <c r="G2578" s="10">
        <f>DATE(2017,12,22)</f>
        <v>43091</v>
      </c>
      <c r="H2578" s="35">
        <v>0</v>
      </c>
      <c r="I2578" s="5" t="s">
        <v>55</v>
      </c>
      <c r="J2578" s="10" t="s">
        <v>14522</v>
      </c>
      <c r="K2578" s="5" t="s">
        <v>181</v>
      </c>
      <c r="L2578" s="5" t="s">
        <v>14523</v>
      </c>
      <c r="M2578" s="5" t="s">
        <v>45</v>
      </c>
      <c r="N2578" s="5" t="s">
        <v>123</v>
      </c>
      <c r="O2578" s="5" t="s">
        <v>46</v>
      </c>
      <c r="P2578" s="10" t="s">
        <v>60</v>
      </c>
      <c r="Q2578" s="10" t="s">
        <v>14524</v>
      </c>
      <c r="R2578" s="10" t="s">
        <v>184</v>
      </c>
      <c r="S2578" s="5">
        <v>0</v>
      </c>
      <c r="T2578" s="37">
        <v>0</v>
      </c>
      <c r="U2578" s="5">
        <v>0</v>
      </c>
      <c r="V2578" s="37">
        <v>0</v>
      </c>
      <c r="W2578" s="5">
        <v>0</v>
      </c>
      <c r="X2578" s="5">
        <v>0</v>
      </c>
      <c r="Y2578" s="5">
        <v>0</v>
      </c>
      <c r="Z2578" s="37">
        <v>0</v>
      </c>
      <c r="AA2578" s="5">
        <v>0</v>
      </c>
      <c r="AB2578" s="5">
        <v>0</v>
      </c>
      <c r="AC2578" s="5">
        <v>0</v>
      </c>
      <c r="AD2578" s="5">
        <v>0</v>
      </c>
      <c r="AE2578" s="10" t="s">
        <v>126</v>
      </c>
      <c r="AF2578" s="10"/>
      <c r="AG2578" s="10" t="s">
        <v>64</v>
      </c>
      <c r="AH2578" s="10">
        <v>43129</v>
      </c>
      <c r="AI2578" s="5">
        <v>0</v>
      </c>
      <c r="AJ2578" s="10" t="s">
        <v>14525</v>
      </c>
      <c r="AK2578" s="10" t="s">
        <v>50</v>
      </c>
    </row>
    <row r="2579" spans="1:37" ht="36.75" customHeight="1" x14ac:dyDescent="0.35">
      <c r="A2579" s="5"/>
      <c r="B2579" s="5" t="s">
        <v>37</v>
      </c>
      <c r="C2579" s="73" t="str">
        <f t="shared" si="40"/>
        <v>Closed</v>
      </c>
      <c r="D2579" s="91" t="s">
        <v>14526</v>
      </c>
      <c r="E2579" s="54" t="s">
        <v>14527</v>
      </c>
      <c r="F2579" s="5" t="s">
        <v>12451</v>
      </c>
      <c r="G2579" s="10">
        <f>DATE(2017,12,22)</f>
        <v>43091</v>
      </c>
      <c r="H2579" s="35">
        <v>1.6944444444444446</v>
      </c>
      <c r="I2579" s="5" t="s">
        <v>179</v>
      </c>
      <c r="J2579" s="10" t="s">
        <v>14528</v>
      </c>
      <c r="K2579" s="5" t="s">
        <v>181</v>
      </c>
      <c r="L2579" s="5" t="s">
        <v>14529</v>
      </c>
      <c r="M2579" s="5" t="s">
        <v>45</v>
      </c>
      <c r="N2579" s="5" t="s">
        <v>123</v>
      </c>
      <c r="O2579" s="5" t="s">
        <v>59</v>
      </c>
      <c r="P2579" s="10" t="s">
        <v>146</v>
      </c>
      <c r="Q2579" s="10" t="s">
        <v>14530</v>
      </c>
      <c r="R2579" s="10" t="s">
        <v>13549</v>
      </c>
      <c r="S2579" s="5">
        <v>0</v>
      </c>
      <c r="T2579" s="37">
        <v>0</v>
      </c>
      <c r="U2579" s="5">
        <v>0</v>
      </c>
      <c r="V2579" s="37">
        <v>0</v>
      </c>
      <c r="W2579" s="5">
        <v>0</v>
      </c>
      <c r="X2579" s="5">
        <v>0</v>
      </c>
      <c r="Y2579" s="5">
        <v>4</v>
      </c>
      <c r="Z2579" s="37">
        <v>0</v>
      </c>
      <c r="AA2579" s="5">
        <v>0</v>
      </c>
      <c r="AB2579" s="5">
        <v>0</v>
      </c>
      <c r="AC2579" s="5">
        <v>0</v>
      </c>
      <c r="AD2579" s="5">
        <v>4</v>
      </c>
      <c r="AE2579" s="10" t="s">
        <v>126</v>
      </c>
      <c r="AF2579" s="10" t="s">
        <v>14531</v>
      </c>
      <c r="AG2579" s="10" t="s">
        <v>14532</v>
      </c>
      <c r="AH2579" s="10">
        <v>43164</v>
      </c>
      <c r="AI2579" s="5">
        <v>2</v>
      </c>
      <c r="AJ2579" s="10" t="s">
        <v>14533</v>
      </c>
      <c r="AK2579" s="10" t="s">
        <v>14534</v>
      </c>
    </row>
    <row r="2580" spans="1:37" ht="36.75" customHeight="1" x14ac:dyDescent="0.35">
      <c r="A2580" s="5"/>
      <c r="B2580" s="5" t="s">
        <v>37</v>
      </c>
      <c r="C2580" s="73" t="str">
        <f t="shared" si="40"/>
        <v>Closed</v>
      </c>
      <c r="D2580" s="45" t="s">
        <v>14536</v>
      </c>
      <c r="E2580" s="54" t="s">
        <v>14537</v>
      </c>
      <c r="F2580" s="5" t="s">
        <v>404</v>
      </c>
      <c r="G2580" s="10">
        <f>DATE(2017,12,23)</f>
        <v>43092</v>
      </c>
      <c r="H2580" s="35">
        <v>1.6187499999999999</v>
      </c>
      <c r="I2580" s="5" t="s">
        <v>259</v>
      </c>
      <c r="J2580" s="10" t="s">
        <v>14538</v>
      </c>
      <c r="K2580" s="5" t="s">
        <v>406</v>
      </c>
      <c r="L2580" s="5" t="s">
        <v>14539</v>
      </c>
      <c r="M2580" s="5" t="s">
        <v>45</v>
      </c>
      <c r="N2580" s="5" t="s">
        <v>123</v>
      </c>
      <c r="O2580" s="5" t="s">
        <v>59</v>
      </c>
      <c r="P2580" s="10" t="s">
        <v>47</v>
      </c>
      <c r="Q2580" s="10" t="s">
        <v>4531</v>
      </c>
      <c r="R2580" s="10" t="s">
        <v>3083</v>
      </c>
      <c r="S2580" s="5">
        <v>1</v>
      </c>
      <c r="T2580" s="37">
        <v>0</v>
      </c>
      <c r="U2580" s="5">
        <v>0</v>
      </c>
      <c r="V2580" s="37">
        <v>0</v>
      </c>
      <c r="W2580" s="5">
        <v>0</v>
      </c>
      <c r="X2580" s="5">
        <v>1</v>
      </c>
      <c r="Y2580" s="5">
        <v>0</v>
      </c>
      <c r="Z2580" s="37">
        <v>0</v>
      </c>
      <c r="AA2580" s="5">
        <v>0</v>
      </c>
      <c r="AB2580" s="5">
        <v>0</v>
      </c>
      <c r="AC2580" s="5">
        <v>0</v>
      </c>
      <c r="AD2580" s="5">
        <v>0</v>
      </c>
      <c r="AE2580" s="10" t="s">
        <v>73</v>
      </c>
      <c r="AF2580" s="10"/>
      <c r="AG2580" s="10" t="s">
        <v>114</v>
      </c>
      <c r="AH2580" s="10">
        <v>43094</v>
      </c>
      <c r="AI2580" s="5">
        <v>0</v>
      </c>
      <c r="AJ2580" s="10" t="s">
        <v>14540</v>
      </c>
      <c r="AK2580" s="10" t="s">
        <v>14541</v>
      </c>
    </row>
    <row r="2581" spans="1:37" ht="36.75" customHeight="1" x14ac:dyDescent="0.35">
      <c r="A2581" s="5"/>
      <c r="B2581" s="5" t="s">
        <v>37</v>
      </c>
      <c r="C2581" s="73" t="str">
        <f t="shared" si="40"/>
        <v>Closed</v>
      </c>
      <c r="D2581" s="45" t="s">
        <v>14542</v>
      </c>
      <c r="E2581" s="54" t="s">
        <v>14543</v>
      </c>
      <c r="F2581" s="5" t="s">
        <v>816</v>
      </c>
      <c r="G2581" s="10">
        <f>DATE(2018,1,1)</f>
        <v>43101</v>
      </c>
      <c r="H2581" s="35">
        <v>1.4375</v>
      </c>
      <c r="I2581" s="5" t="s">
        <v>137</v>
      </c>
      <c r="J2581" s="10" t="s">
        <v>14544</v>
      </c>
      <c r="K2581" s="5" t="s">
        <v>818</v>
      </c>
      <c r="L2581" s="5" t="s">
        <v>7903</v>
      </c>
      <c r="M2581" s="5" t="s">
        <v>45</v>
      </c>
      <c r="N2581" s="5" t="s">
        <v>123</v>
      </c>
      <c r="O2581" s="5" t="s">
        <v>46</v>
      </c>
      <c r="P2581" s="10" t="s">
        <v>47</v>
      </c>
      <c r="Q2581" s="10" t="s">
        <v>3041</v>
      </c>
      <c r="R2581" s="10" t="s">
        <v>821</v>
      </c>
      <c r="S2581" s="5">
        <v>0</v>
      </c>
      <c r="T2581" s="37">
        <v>0</v>
      </c>
      <c r="U2581" s="5">
        <v>0</v>
      </c>
      <c r="V2581" s="37">
        <v>0</v>
      </c>
      <c r="W2581" s="5">
        <v>0</v>
      </c>
      <c r="X2581" s="5">
        <v>0</v>
      </c>
      <c r="Y2581" s="5">
        <v>0</v>
      </c>
      <c r="Z2581" s="37">
        <v>0</v>
      </c>
      <c r="AA2581" s="5">
        <v>0</v>
      </c>
      <c r="AB2581" s="5">
        <v>0</v>
      </c>
      <c r="AC2581" s="5">
        <v>0</v>
      </c>
      <c r="AD2581" s="5">
        <v>0</v>
      </c>
      <c r="AE2581" s="10" t="s">
        <v>73</v>
      </c>
      <c r="AF2581" s="10"/>
      <c r="AG2581" s="10" t="s">
        <v>333</v>
      </c>
      <c r="AH2581" s="10">
        <v>43103</v>
      </c>
      <c r="AI2581" s="5">
        <v>0</v>
      </c>
      <c r="AJ2581" s="10" t="s">
        <v>14545</v>
      </c>
      <c r="AK2581" s="10" t="s">
        <v>14546</v>
      </c>
    </row>
    <row r="2582" spans="1:37" ht="36.75" customHeight="1" x14ac:dyDescent="0.35">
      <c r="A2582" s="5"/>
      <c r="B2582" s="5" t="s">
        <v>37</v>
      </c>
      <c r="C2582" s="73" t="str">
        <f t="shared" si="40"/>
        <v>Closed</v>
      </c>
      <c r="D2582" s="45" t="s">
        <v>14547</v>
      </c>
      <c r="E2582" s="54" t="s">
        <v>14548</v>
      </c>
      <c r="F2582" s="5" t="s">
        <v>1553</v>
      </c>
      <c r="G2582" s="10">
        <f>DATE(2018,1,1)</f>
        <v>43101</v>
      </c>
      <c r="H2582" s="35">
        <v>1.2680555555555555</v>
      </c>
      <c r="I2582" s="5" t="s">
        <v>55</v>
      </c>
      <c r="J2582" s="10" t="s">
        <v>14549</v>
      </c>
      <c r="K2582" s="5" t="s">
        <v>1555</v>
      </c>
      <c r="L2582" s="5" t="s">
        <v>9052</v>
      </c>
      <c r="M2582" s="5" t="s">
        <v>45</v>
      </c>
      <c r="N2582" s="5" t="s">
        <v>123</v>
      </c>
      <c r="O2582" s="5" t="s">
        <v>59</v>
      </c>
      <c r="P2582" s="10" t="s">
        <v>6920</v>
      </c>
      <c r="Q2582" s="10" t="s">
        <v>2393</v>
      </c>
      <c r="R2582" s="10" t="s">
        <v>6413</v>
      </c>
      <c r="S2582" s="5">
        <v>0</v>
      </c>
      <c r="T2582" s="37">
        <v>0</v>
      </c>
      <c r="U2582" s="5">
        <v>0</v>
      </c>
      <c r="V2582" s="37">
        <v>0</v>
      </c>
      <c r="W2582" s="5">
        <v>0</v>
      </c>
      <c r="X2582" s="5">
        <v>0</v>
      </c>
      <c r="Y2582" s="5">
        <v>0</v>
      </c>
      <c r="Z2582" s="37">
        <v>0</v>
      </c>
      <c r="AA2582" s="5">
        <v>0</v>
      </c>
      <c r="AB2582" s="5">
        <v>0</v>
      </c>
      <c r="AC2582" s="5">
        <v>0</v>
      </c>
      <c r="AD2582" s="5">
        <v>0</v>
      </c>
      <c r="AE2582" s="10" t="s">
        <v>73</v>
      </c>
      <c r="AF2582" s="10"/>
      <c r="AG2582" s="10" t="s">
        <v>114</v>
      </c>
      <c r="AH2582" s="10">
        <v>43103</v>
      </c>
      <c r="AI2582" s="5">
        <v>2</v>
      </c>
      <c r="AJ2582" s="10" t="s">
        <v>14550</v>
      </c>
      <c r="AK2582" s="10" t="s">
        <v>14551</v>
      </c>
    </row>
    <row r="2583" spans="1:37" ht="36.75" customHeight="1" x14ac:dyDescent="0.35">
      <c r="A2583" s="5"/>
      <c r="B2583" s="5" t="s">
        <v>37</v>
      </c>
      <c r="C2583" s="73" t="str">
        <f t="shared" si="40"/>
        <v>Closed</v>
      </c>
      <c r="D2583" s="45" t="s">
        <v>14552</v>
      </c>
      <c r="E2583" s="54" t="s">
        <v>14553</v>
      </c>
      <c r="F2583" s="5" t="s">
        <v>119</v>
      </c>
      <c r="G2583" s="10">
        <f>DATE(2018,1,3)</f>
        <v>43103</v>
      </c>
      <c r="H2583" s="35">
        <v>1.2659722222222223</v>
      </c>
      <c r="I2583" s="5" t="s">
        <v>259</v>
      </c>
      <c r="J2583" s="10" t="s">
        <v>14554</v>
      </c>
      <c r="K2583" s="5" t="s">
        <v>121</v>
      </c>
      <c r="L2583" s="5" t="s">
        <v>14555</v>
      </c>
      <c r="M2583" s="5" t="s">
        <v>45</v>
      </c>
      <c r="N2583" s="5" t="s">
        <v>80</v>
      </c>
      <c r="O2583" s="5" t="s">
        <v>46</v>
      </c>
      <c r="P2583" s="10" t="s">
        <v>72</v>
      </c>
      <c r="Q2583" s="10" t="s">
        <v>124</v>
      </c>
      <c r="R2583" s="10" t="s">
        <v>4913</v>
      </c>
      <c r="S2583" s="5">
        <v>0</v>
      </c>
      <c r="T2583" s="37">
        <v>1</v>
      </c>
      <c r="U2583" s="5">
        <v>0</v>
      </c>
      <c r="V2583" s="37">
        <v>0</v>
      </c>
      <c r="W2583" s="5">
        <v>0</v>
      </c>
      <c r="X2583" s="5">
        <v>1</v>
      </c>
      <c r="Y2583" s="5">
        <v>0</v>
      </c>
      <c r="Z2583" s="37">
        <v>0</v>
      </c>
      <c r="AA2583" s="5">
        <v>0</v>
      </c>
      <c r="AB2583" s="5">
        <v>0</v>
      </c>
      <c r="AC2583" s="5">
        <v>0</v>
      </c>
      <c r="AD2583" s="5">
        <v>0</v>
      </c>
      <c r="AE2583" s="10" t="s">
        <v>73</v>
      </c>
      <c r="AF2583" s="10"/>
      <c r="AG2583" s="10" t="s">
        <v>64</v>
      </c>
      <c r="AH2583" s="10">
        <v>43104</v>
      </c>
      <c r="AI2583" s="5">
        <v>3</v>
      </c>
      <c r="AJ2583" s="10" t="s">
        <v>14556</v>
      </c>
      <c r="AK2583" s="10" t="s">
        <v>14557</v>
      </c>
    </row>
    <row r="2584" spans="1:37" ht="36.75" customHeight="1" x14ac:dyDescent="0.35">
      <c r="A2584" s="5"/>
      <c r="B2584" s="5" t="s">
        <v>37</v>
      </c>
      <c r="C2584" s="73" t="str">
        <f t="shared" si="40"/>
        <v>Closed</v>
      </c>
      <c r="D2584" s="45" t="s">
        <v>14558</v>
      </c>
      <c r="E2584" s="54" t="s">
        <v>14559</v>
      </c>
      <c r="F2584" s="5" t="s">
        <v>404</v>
      </c>
      <c r="G2584" s="10">
        <f>DATE(2018,1,4)</f>
        <v>43104</v>
      </c>
      <c r="H2584" s="35">
        <v>1.5249999999999999</v>
      </c>
      <c r="I2584" s="5" t="s">
        <v>97</v>
      </c>
      <c r="J2584" s="10" t="s">
        <v>14560</v>
      </c>
      <c r="K2584" s="5" t="s">
        <v>406</v>
      </c>
      <c r="L2584" s="5" t="s">
        <v>14561</v>
      </c>
      <c r="M2584" s="5" t="s">
        <v>45</v>
      </c>
      <c r="N2584" s="5" t="s">
        <v>80</v>
      </c>
      <c r="O2584" s="5" t="s">
        <v>46</v>
      </c>
      <c r="P2584" s="10" t="s">
        <v>146</v>
      </c>
      <c r="Q2584" s="10" t="s">
        <v>4531</v>
      </c>
      <c r="R2584" s="10" t="s">
        <v>3083</v>
      </c>
      <c r="S2584" s="5">
        <v>0</v>
      </c>
      <c r="T2584" s="37">
        <v>0</v>
      </c>
      <c r="U2584" s="5">
        <v>1</v>
      </c>
      <c r="V2584" s="37">
        <v>0</v>
      </c>
      <c r="W2584" s="5">
        <v>0</v>
      </c>
      <c r="X2584" s="5">
        <v>1</v>
      </c>
      <c r="Y2584" s="5">
        <v>0</v>
      </c>
      <c r="Z2584" s="37">
        <v>0</v>
      </c>
      <c r="AA2584" s="5">
        <v>0</v>
      </c>
      <c r="AB2584" s="5">
        <v>0</v>
      </c>
      <c r="AC2584" s="5">
        <v>0</v>
      </c>
      <c r="AD2584" s="5">
        <v>0</v>
      </c>
      <c r="AE2584" s="10" t="s">
        <v>73</v>
      </c>
      <c r="AF2584" s="10"/>
      <c r="AG2584" s="10" t="s">
        <v>855</v>
      </c>
      <c r="AH2584" s="10">
        <v>43191</v>
      </c>
      <c r="AI2584" s="5">
        <v>1</v>
      </c>
      <c r="AJ2584" s="10" t="s">
        <v>11964</v>
      </c>
      <c r="AK2584" s="10" t="s">
        <v>14095</v>
      </c>
    </row>
    <row r="2585" spans="1:37" ht="36.75" customHeight="1" x14ac:dyDescent="0.35">
      <c r="A2585" s="5"/>
      <c r="B2585" s="5" t="s">
        <v>37</v>
      </c>
      <c r="C2585" s="73" t="str">
        <f t="shared" si="40"/>
        <v>Closed</v>
      </c>
      <c r="D2585" s="45" t="s">
        <v>14562</v>
      </c>
      <c r="E2585" s="54" t="s">
        <v>14563</v>
      </c>
      <c r="F2585" s="5" t="s">
        <v>404</v>
      </c>
      <c r="G2585" s="10">
        <f>DATE(2018,1,6)</f>
        <v>43106</v>
      </c>
      <c r="H2585" s="35">
        <v>1.0027777777777778</v>
      </c>
      <c r="I2585" s="5" t="s">
        <v>179</v>
      </c>
      <c r="J2585" s="10" t="s">
        <v>14564</v>
      </c>
      <c r="K2585" s="5" t="s">
        <v>406</v>
      </c>
      <c r="L2585" s="5" t="s">
        <v>14565</v>
      </c>
      <c r="M2585" s="5" t="s">
        <v>45</v>
      </c>
      <c r="N2585" s="5" t="s">
        <v>123</v>
      </c>
      <c r="O2585" s="5" t="s">
        <v>59</v>
      </c>
      <c r="P2585" s="10" t="s">
        <v>9784</v>
      </c>
      <c r="Q2585" s="10" t="s">
        <v>4531</v>
      </c>
      <c r="R2585" s="10" t="s">
        <v>3083</v>
      </c>
      <c r="S2585" s="5">
        <v>0</v>
      </c>
      <c r="T2585" s="37">
        <v>0</v>
      </c>
      <c r="U2585" s="5">
        <v>0</v>
      </c>
      <c r="V2585" s="37">
        <v>0</v>
      </c>
      <c r="W2585" s="5">
        <v>0</v>
      </c>
      <c r="X2585" s="5">
        <v>0</v>
      </c>
      <c r="Y2585" s="5">
        <v>0</v>
      </c>
      <c r="Z2585" s="37">
        <v>0</v>
      </c>
      <c r="AA2585" s="5">
        <v>0</v>
      </c>
      <c r="AB2585" s="5">
        <v>0</v>
      </c>
      <c r="AC2585" s="5">
        <v>0</v>
      </c>
      <c r="AD2585" s="5">
        <v>0</v>
      </c>
      <c r="AE2585" s="10" t="s">
        <v>375</v>
      </c>
      <c r="AF2585" s="10"/>
      <c r="AG2585" s="10" t="s">
        <v>114</v>
      </c>
      <c r="AH2585" s="10">
        <v>43252</v>
      </c>
      <c r="AI2585" s="5">
        <v>1</v>
      </c>
      <c r="AJ2585" s="10" t="s">
        <v>14566</v>
      </c>
      <c r="AK2585" s="10" t="s">
        <v>14567</v>
      </c>
    </row>
    <row r="2586" spans="1:37" ht="36.75" customHeight="1" x14ac:dyDescent="0.35">
      <c r="A2586" s="5"/>
      <c r="B2586" s="5" t="s">
        <v>37</v>
      </c>
      <c r="C2586" s="73" t="str">
        <f t="shared" si="40"/>
        <v>Closed</v>
      </c>
      <c r="D2586" s="45" t="s">
        <v>14568</v>
      </c>
      <c r="E2586" s="54" t="s">
        <v>14569</v>
      </c>
      <c r="F2586" s="5" t="s">
        <v>404</v>
      </c>
      <c r="G2586" s="10">
        <f>DATE(2018,1,6)</f>
        <v>43106</v>
      </c>
      <c r="H2586" s="35">
        <v>1.3368055555555556</v>
      </c>
      <c r="I2586" s="5" t="s">
        <v>259</v>
      </c>
      <c r="J2586" s="10" t="s">
        <v>14570</v>
      </c>
      <c r="K2586" s="5" t="s">
        <v>406</v>
      </c>
      <c r="L2586" s="5" t="s">
        <v>14571</v>
      </c>
      <c r="M2586" s="5" t="s">
        <v>236</v>
      </c>
      <c r="N2586" s="5" t="s">
        <v>123</v>
      </c>
      <c r="O2586" s="5" t="s">
        <v>59</v>
      </c>
      <c r="P2586" s="10" t="s">
        <v>6531</v>
      </c>
      <c r="Q2586" s="10" t="s">
        <v>1325</v>
      </c>
      <c r="R2586" s="10" t="s">
        <v>1325</v>
      </c>
      <c r="S2586" s="5">
        <v>0</v>
      </c>
      <c r="T2586" s="37">
        <v>0</v>
      </c>
      <c r="U2586" s="5">
        <v>0</v>
      </c>
      <c r="V2586" s="37">
        <v>0</v>
      </c>
      <c r="W2586" s="5">
        <v>0</v>
      </c>
      <c r="X2586" s="5">
        <v>0</v>
      </c>
      <c r="Y2586" s="5">
        <v>0</v>
      </c>
      <c r="Z2586" s="37">
        <v>0</v>
      </c>
      <c r="AA2586" s="5">
        <v>0</v>
      </c>
      <c r="AB2586" s="5">
        <v>0</v>
      </c>
      <c r="AC2586" s="5">
        <v>0</v>
      </c>
      <c r="AD2586" s="5">
        <v>0</v>
      </c>
      <c r="AE2586" s="10" t="s">
        <v>73</v>
      </c>
      <c r="AF2586" s="10"/>
      <c r="AG2586" s="10" t="s">
        <v>114</v>
      </c>
      <c r="AH2586" s="10">
        <v>43106</v>
      </c>
      <c r="AI2586" s="5">
        <v>1</v>
      </c>
      <c r="AJ2586" s="10" t="s">
        <v>14572</v>
      </c>
      <c r="AK2586" s="10" t="s">
        <v>14573</v>
      </c>
    </row>
    <row r="2587" spans="1:37" ht="36.75" customHeight="1" x14ac:dyDescent="0.35">
      <c r="A2587" s="5"/>
      <c r="B2587" s="5" t="s">
        <v>37</v>
      </c>
      <c r="C2587" s="73" t="str">
        <f t="shared" si="40"/>
        <v>Closed</v>
      </c>
      <c r="D2587" s="45" t="s">
        <v>14574</v>
      </c>
      <c r="E2587" s="54" t="s">
        <v>14575</v>
      </c>
      <c r="F2587" s="5" t="s">
        <v>816</v>
      </c>
      <c r="G2587" s="10">
        <f>DATE(2018,1,6)</f>
        <v>43106</v>
      </c>
      <c r="H2587" s="35">
        <v>1.3972222222222221</v>
      </c>
      <c r="I2587" s="5" t="s">
        <v>5473</v>
      </c>
      <c r="J2587" s="10" t="s">
        <v>14576</v>
      </c>
      <c r="K2587" s="5" t="s">
        <v>818</v>
      </c>
      <c r="L2587" s="5" t="s">
        <v>14577</v>
      </c>
      <c r="M2587" s="5" t="s">
        <v>45</v>
      </c>
      <c r="N2587" s="5" t="s">
        <v>80</v>
      </c>
      <c r="O2587" s="5" t="s">
        <v>59</v>
      </c>
      <c r="P2587" s="10" t="s">
        <v>60</v>
      </c>
      <c r="Q2587" s="10" t="s">
        <v>4688</v>
      </c>
      <c r="R2587" s="10" t="s">
        <v>821</v>
      </c>
      <c r="S2587" s="5">
        <v>0</v>
      </c>
      <c r="T2587" s="37">
        <v>0</v>
      </c>
      <c r="U2587" s="5">
        <v>0</v>
      </c>
      <c r="V2587" s="37">
        <v>0</v>
      </c>
      <c r="W2587" s="5">
        <v>0</v>
      </c>
      <c r="X2587" s="5">
        <v>0</v>
      </c>
      <c r="Y2587" s="5">
        <v>0</v>
      </c>
      <c r="Z2587" s="37">
        <v>0</v>
      </c>
      <c r="AA2587" s="5">
        <v>0</v>
      </c>
      <c r="AB2587" s="5">
        <v>0</v>
      </c>
      <c r="AC2587" s="5">
        <v>0</v>
      </c>
      <c r="AD2587" s="5">
        <v>0</v>
      </c>
      <c r="AE2587" s="10" t="s">
        <v>73</v>
      </c>
      <c r="AF2587" s="10"/>
      <c r="AG2587" s="10" t="s">
        <v>333</v>
      </c>
      <c r="AH2587" s="10">
        <v>43106</v>
      </c>
      <c r="AI2587" s="5">
        <v>0</v>
      </c>
      <c r="AJ2587" s="10" t="s">
        <v>14578</v>
      </c>
      <c r="AK2587" s="10" t="s">
        <v>1215</v>
      </c>
    </row>
    <row r="2588" spans="1:37" ht="36.75" customHeight="1" x14ac:dyDescent="0.35">
      <c r="A2588" s="5"/>
      <c r="B2588" s="5" t="s">
        <v>37</v>
      </c>
      <c r="C2588" s="73" t="str">
        <f t="shared" si="40"/>
        <v>Closed</v>
      </c>
      <c r="D2588" s="45" t="s">
        <v>14579</v>
      </c>
      <c r="E2588" s="54" t="s">
        <v>14580</v>
      </c>
      <c r="F2588" s="5" t="s">
        <v>9767</v>
      </c>
      <c r="G2588" s="10">
        <f>DATE(2018,1,8)</f>
        <v>43108</v>
      </c>
      <c r="H2588" s="35">
        <v>1.7833333333333332</v>
      </c>
      <c r="I2588" s="5" t="s">
        <v>10353</v>
      </c>
      <c r="J2588" s="10" t="s">
        <v>14581</v>
      </c>
      <c r="K2588" s="5" t="s">
        <v>9769</v>
      </c>
      <c r="L2588" s="5" t="s">
        <v>14582</v>
      </c>
      <c r="M2588" s="5" t="s">
        <v>45</v>
      </c>
      <c r="N2588" s="5" t="s">
        <v>70</v>
      </c>
      <c r="O2588" s="5" t="s">
        <v>71</v>
      </c>
      <c r="P2588" s="10" t="s">
        <v>72</v>
      </c>
      <c r="Q2588" s="10" t="s">
        <v>10235</v>
      </c>
      <c r="R2588" s="10" t="s">
        <v>9772</v>
      </c>
      <c r="S2588" s="5">
        <v>0</v>
      </c>
      <c r="T2588" s="37">
        <v>0</v>
      </c>
      <c r="U2588" s="5">
        <v>0</v>
      </c>
      <c r="V2588" s="37">
        <v>1</v>
      </c>
      <c r="W2588" s="5">
        <v>0</v>
      </c>
      <c r="X2588" s="5">
        <v>1</v>
      </c>
      <c r="Y2588" s="5">
        <v>0</v>
      </c>
      <c r="Z2588" s="37">
        <v>0</v>
      </c>
      <c r="AA2588" s="5">
        <v>0</v>
      </c>
      <c r="AB2588" s="5">
        <v>0</v>
      </c>
      <c r="AC2588" s="5">
        <v>0</v>
      </c>
      <c r="AD2588" s="5">
        <v>0</v>
      </c>
      <c r="AE2588" s="10" t="s">
        <v>73</v>
      </c>
      <c r="AF2588" s="10"/>
      <c r="AG2588" s="10" t="s">
        <v>64</v>
      </c>
      <c r="AH2588" s="10">
        <v>43109</v>
      </c>
      <c r="AI2588" s="5">
        <v>0</v>
      </c>
      <c r="AJ2588" s="10" t="s">
        <v>14583</v>
      </c>
      <c r="AK2588" s="10" t="s">
        <v>14584</v>
      </c>
    </row>
    <row r="2589" spans="1:37" ht="36.75" customHeight="1" x14ac:dyDescent="0.35">
      <c r="A2589" s="5"/>
      <c r="B2589" s="5" t="s">
        <v>37</v>
      </c>
      <c r="C2589" s="73" t="str">
        <f t="shared" si="40"/>
        <v>Closed</v>
      </c>
      <c r="D2589" s="45" t="s">
        <v>14585</v>
      </c>
      <c r="E2589" s="54" t="s">
        <v>14586</v>
      </c>
      <c r="F2589" s="5" t="s">
        <v>605</v>
      </c>
      <c r="G2589" s="10">
        <f>DATE(2018,1,8)</f>
        <v>43108</v>
      </c>
      <c r="H2589" s="35">
        <v>1.2611111111111111</v>
      </c>
      <c r="I2589" s="5" t="s">
        <v>85</v>
      </c>
      <c r="J2589" s="10" t="s">
        <v>4590</v>
      </c>
      <c r="K2589" s="5" t="s">
        <v>607</v>
      </c>
      <c r="L2589" s="5" t="s">
        <v>14587</v>
      </c>
      <c r="M2589" s="5" t="s">
        <v>45</v>
      </c>
      <c r="N2589" s="5" t="s">
        <v>123</v>
      </c>
      <c r="O2589" s="5" t="s">
        <v>59</v>
      </c>
      <c r="P2589" s="10" t="s">
        <v>443</v>
      </c>
      <c r="Q2589" s="10" t="s">
        <v>7160</v>
      </c>
      <c r="R2589" s="10" t="s">
        <v>610</v>
      </c>
      <c r="S2589" s="5">
        <v>0</v>
      </c>
      <c r="T2589" s="37">
        <v>0</v>
      </c>
      <c r="U2589" s="5">
        <v>0</v>
      </c>
      <c r="V2589" s="37">
        <v>0</v>
      </c>
      <c r="W2589" s="5">
        <v>0</v>
      </c>
      <c r="X2589" s="5">
        <v>0</v>
      </c>
      <c r="Y2589" s="5">
        <v>0</v>
      </c>
      <c r="Z2589" s="37">
        <v>0</v>
      </c>
      <c r="AA2589" s="5">
        <v>0</v>
      </c>
      <c r="AB2589" s="5">
        <v>0</v>
      </c>
      <c r="AC2589" s="5">
        <v>0</v>
      </c>
      <c r="AD2589" s="5">
        <v>0</v>
      </c>
      <c r="AE2589" s="10" t="s">
        <v>73</v>
      </c>
      <c r="AF2589" s="10"/>
      <c r="AG2589" s="10" t="s">
        <v>333</v>
      </c>
      <c r="AH2589" s="10">
        <v>43313</v>
      </c>
      <c r="AI2589" s="5">
        <v>1</v>
      </c>
      <c r="AJ2589" s="10" t="s">
        <v>14588</v>
      </c>
      <c r="AK2589" s="10" t="s">
        <v>50</v>
      </c>
    </row>
    <row r="2590" spans="1:37" ht="36.75" customHeight="1" x14ac:dyDescent="0.35">
      <c r="A2590" s="5"/>
      <c r="B2590" s="5" t="s">
        <v>37</v>
      </c>
      <c r="C2590" s="73" t="str">
        <f t="shared" si="40"/>
        <v>Closed</v>
      </c>
      <c r="D2590" s="45" t="s">
        <v>14589</v>
      </c>
      <c r="E2590" s="54" t="s">
        <v>14590</v>
      </c>
      <c r="F2590" s="5" t="s">
        <v>404</v>
      </c>
      <c r="G2590" s="10">
        <f>DATE(2018,1,11)</f>
        <v>43111</v>
      </c>
      <c r="H2590" s="35">
        <v>1.1763888888888889</v>
      </c>
      <c r="I2590" s="5" t="s">
        <v>55</v>
      </c>
      <c r="J2590" s="10" t="s">
        <v>14591</v>
      </c>
      <c r="K2590" s="5" t="s">
        <v>406</v>
      </c>
      <c r="L2590" s="5" t="s">
        <v>14592</v>
      </c>
      <c r="M2590" s="5" t="s">
        <v>45</v>
      </c>
      <c r="N2590" s="5" t="s">
        <v>80</v>
      </c>
      <c r="O2590" s="5" t="s">
        <v>59</v>
      </c>
      <c r="P2590" s="10" t="s">
        <v>146</v>
      </c>
      <c r="Q2590" s="10" t="s">
        <v>4531</v>
      </c>
      <c r="R2590" s="10" t="s">
        <v>3083</v>
      </c>
      <c r="S2590" s="5">
        <v>0</v>
      </c>
      <c r="T2590" s="37">
        <v>0</v>
      </c>
      <c r="U2590" s="5">
        <v>0</v>
      </c>
      <c r="V2590" s="37">
        <v>0</v>
      </c>
      <c r="W2590" s="5">
        <v>0</v>
      </c>
      <c r="X2590" s="5">
        <v>0</v>
      </c>
      <c r="Y2590" s="5">
        <v>0</v>
      </c>
      <c r="Z2590" s="37">
        <v>0</v>
      </c>
      <c r="AA2590" s="5">
        <v>0</v>
      </c>
      <c r="AB2590" s="5">
        <v>0</v>
      </c>
      <c r="AC2590" s="5">
        <v>0</v>
      </c>
      <c r="AD2590" s="5">
        <v>0</v>
      </c>
      <c r="AE2590" s="10" t="s">
        <v>73</v>
      </c>
      <c r="AF2590" s="10"/>
      <c r="AG2590" s="10" t="s">
        <v>333</v>
      </c>
      <c r="AH2590" s="10">
        <v>43405</v>
      </c>
      <c r="AI2590" s="5">
        <v>0</v>
      </c>
      <c r="AJ2590" s="10" t="s">
        <v>14593</v>
      </c>
      <c r="AK2590" s="10" t="s">
        <v>14594</v>
      </c>
    </row>
    <row r="2591" spans="1:37" ht="36.75" customHeight="1" x14ac:dyDescent="0.35">
      <c r="A2591" s="5"/>
      <c r="B2591" s="5" t="s">
        <v>37</v>
      </c>
      <c r="C2591" s="73" t="str">
        <f t="shared" si="40"/>
        <v>Closed</v>
      </c>
      <c r="D2591" s="45" t="s">
        <v>14595</v>
      </c>
      <c r="E2591" s="54" t="s">
        <v>14596</v>
      </c>
      <c r="F2591" s="5" t="s">
        <v>214</v>
      </c>
      <c r="G2591" s="10">
        <f>DATE(2018,1,11)</f>
        <v>43111</v>
      </c>
      <c r="H2591" s="35">
        <v>1.2430555555555556</v>
      </c>
      <c r="I2591" s="5" t="s">
        <v>97</v>
      </c>
      <c r="J2591" s="10" t="s">
        <v>14597</v>
      </c>
      <c r="K2591" s="5" t="s">
        <v>216</v>
      </c>
      <c r="L2591" s="5" t="s">
        <v>14598</v>
      </c>
      <c r="M2591" s="5" t="s">
        <v>45</v>
      </c>
      <c r="N2591" s="5" t="s">
        <v>123</v>
      </c>
      <c r="O2591" s="5" t="s">
        <v>67</v>
      </c>
      <c r="P2591" s="10" t="s">
        <v>60</v>
      </c>
      <c r="Q2591" s="10" t="s">
        <v>4022</v>
      </c>
      <c r="R2591" s="10" t="s">
        <v>216</v>
      </c>
      <c r="S2591" s="5">
        <v>0</v>
      </c>
      <c r="T2591" s="37">
        <v>0</v>
      </c>
      <c r="U2591" s="5">
        <v>0</v>
      </c>
      <c r="V2591" s="37">
        <v>0</v>
      </c>
      <c r="W2591" s="5">
        <v>0</v>
      </c>
      <c r="X2591" s="5">
        <v>0</v>
      </c>
      <c r="Y2591" s="5">
        <v>0</v>
      </c>
      <c r="Z2591" s="37">
        <v>0</v>
      </c>
      <c r="AA2591" s="5">
        <v>0</v>
      </c>
      <c r="AB2591" s="5">
        <v>0</v>
      </c>
      <c r="AC2591" s="5">
        <v>0</v>
      </c>
      <c r="AD2591" s="5">
        <v>0</v>
      </c>
      <c r="AE2591" s="10" t="s">
        <v>73</v>
      </c>
      <c r="AF2591" s="10"/>
      <c r="AG2591" s="10" t="s">
        <v>114</v>
      </c>
      <c r="AH2591" s="10">
        <v>43122</v>
      </c>
      <c r="AI2591" s="5">
        <v>2</v>
      </c>
      <c r="AJ2591" s="10" t="s">
        <v>14599</v>
      </c>
      <c r="AK2591" s="10" t="s">
        <v>14600</v>
      </c>
    </row>
    <row r="2592" spans="1:37" ht="36.75" customHeight="1" x14ac:dyDescent="0.35">
      <c r="A2592" s="5"/>
      <c r="B2592" s="5" t="s">
        <v>37</v>
      </c>
      <c r="C2592" s="73" t="str">
        <f t="shared" si="40"/>
        <v>Closed</v>
      </c>
      <c r="D2592" s="45" t="s">
        <v>14601</v>
      </c>
      <c r="E2592" s="54" t="s">
        <v>14602</v>
      </c>
      <c r="F2592" s="5" t="s">
        <v>404</v>
      </c>
      <c r="G2592" s="10">
        <f>DATE(2018,1,14)</f>
        <v>43114</v>
      </c>
      <c r="H2592" s="35">
        <v>1.5423611111111111</v>
      </c>
      <c r="I2592" s="5" t="s">
        <v>97</v>
      </c>
      <c r="J2592" s="10" t="s">
        <v>14603</v>
      </c>
      <c r="K2592" s="5" t="s">
        <v>406</v>
      </c>
      <c r="L2592" s="5" t="s">
        <v>14604</v>
      </c>
      <c r="M2592" s="5" t="s">
        <v>45</v>
      </c>
      <c r="N2592" s="5" t="s">
        <v>123</v>
      </c>
      <c r="O2592" s="5" t="s">
        <v>46</v>
      </c>
      <c r="P2592" s="10" t="s">
        <v>47</v>
      </c>
      <c r="Q2592" s="10" t="s">
        <v>4531</v>
      </c>
      <c r="R2592" s="10" t="s">
        <v>3083</v>
      </c>
      <c r="S2592" s="5">
        <v>0</v>
      </c>
      <c r="T2592" s="37">
        <v>0</v>
      </c>
      <c r="U2592" s="5">
        <v>1</v>
      </c>
      <c r="V2592" s="37">
        <v>0</v>
      </c>
      <c r="W2592" s="5">
        <v>0</v>
      </c>
      <c r="X2592" s="5">
        <v>1</v>
      </c>
      <c r="Y2592" s="5">
        <v>0</v>
      </c>
      <c r="Z2592" s="37">
        <v>0</v>
      </c>
      <c r="AA2592" s="5">
        <v>0</v>
      </c>
      <c r="AB2592" s="5">
        <v>0</v>
      </c>
      <c r="AC2592" s="5">
        <v>0</v>
      </c>
      <c r="AD2592" s="5">
        <v>0</v>
      </c>
      <c r="AE2592" s="10" t="s">
        <v>375</v>
      </c>
      <c r="AF2592" s="10"/>
      <c r="AG2592" s="10" t="s">
        <v>114</v>
      </c>
      <c r="AH2592" s="10">
        <v>43114</v>
      </c>
      <c r="AI2592" s="5">
        <v>0</v>
      </c>
      <c r="AJ2592" s="10" t="s">
        <v>14605</v>
      </c>
      <c r="AK2592" s="10" t="s">
        <v>14606</v>
      </c>
    </row>
    <row r="2593" spans="1:37" ht="36.75" customHeight="1" x14ac:dyDescent="0.35">
      <c r="A2593" s="5"/>
      <c r="B2593" s="5" t="s">
        <v>37</v>
      </c>
      <c r="C2593" s="73" t="str">
        <f t="shared" si="40"/>
        <v>Closed</v>
      </c>
      <c r="D2593" s="45" t="s">
        <v>14607</v>
      </c>
      <c r="E2593" s="54" t="s">
        <v>14608</v>
      </c>
      <c r="F2593" s="5" t="s">
        <v>96</v>
      </c>
      <c r="G2593" s="10">
        <f>DATE(2018,1,14)</f>
        <v>43114</v>
      </c>
      <c r="H2593" s="35">
        <v>1.7319444444444443</v>
      </c>
      <c r="I2593" s="5" t="s">
        <v>97</v>
      </c>
      <c r="J2593" s="10" t="s">
        <v>14609</v>
      </c>
      <c r="K2593" s="5" t="s">
        <v>99</v>
      </c>
      <c r="L2593" s="5" t="s">
        <v>14610</v>
      </c>
      <c r="M2593" s="5" t="s">
        <v>45</v>
      </c>
      <c r="N2593" s="5" t="s">
        <v>80</v>
      </c>
      <c r="O2593" s="5" t="s">
        <v>46</v>
      </c>
      <c r="P2593" s="10" t="s">
        <v>146</v>
      </c>
      <c r="Q2593" s="10" t="s">
        <v>101</v>
      </c>
      <c r="R2593" s="10" t="s">
        <v>102</v>
      </c>
      <c r="S2593" s="5">
        <v>0</v>
      </c>
      <c r="T2593" s="37">
        <v>0</v>
      </c>
      <c r="U2593" s="5">
        <v>2</v>
      </c>
      <c r="V2593" s="37">
        <v>0</v>
      </c>
      <c r="W2593" s="5">
        <v>0</v>
      </c>
      <c r="X2593" s="5">
        <v>2</v>
      </c>
      <c r="Y2593" s="5">
        <v>0</v>
      </c>
      <c r="Z2593" s="37">
        <v>0</v>
      </c>
      <c r="AA2593" s="5">
        <v>0</v>
      </c>
      <c r="AB2593" s="5">
        <v>0</v>
      </c>
      <c r="AC2593" s="5">
        <v>0</v>
      </c>
      <c r="AD2593" s="5">
        <v>0</v>
      </c>
      <c r="AE2593" s="10" t="s">
        <v>73</v>
      </c>
      <c r="AF2593" s="10"/>
      <c r="AG2593" s="10" t="s">
        <v>114</v>
      </c>
      <c r="AH2593" s="10">
        <v>43117</v>
      </c>
      <c r="AI2593" s="5">
        <v>1</v>
      </c>
      <c r="AJ2593" s="10" t="s">
        <v>14611</v>
      </c>
      <c r="AK2593" s="10" t="s">
        <v>14612</v>
      </c>
    </row>
    <row r="2594" spans="1:37" ht="36.75" customHeight="1" x14ac:dyDescent="0.35">
      <c r="A2594" s="5"/>
      <c r="B2594" s="5" t="s">
        <v>37</v>
      </c>
      <c r="C2594" s="73" t="str">
        <f t="shared" si="40"/>
        <v>Closed</v>
      </c>
      <c r="D2594" s="45" t="s">
        <v>14613</v>
      </c>
      <c r="E2594" s="54" t="s">
        <v>14614</v>
      </c>
      <c r="F2594" s="5" t="s">
        <v>1553</v>
      </c>
      <c r="G2594" s="10">
        <f>DATE(2018,1,15)</f>
        <v>43115</v>
      </c>
      <c r="H2594" s="35">
        <v>1.2118055555555556</v>
      </c>
      <c r="I2594" s="5" t="s">
        <v>5473</v>
      </c>
      <c r="J2594" s="10" t="s">
        <v>14615</v>
      </c>
      <c r="K2594" s="5" t="s">
        <v>1555</v>
      </c>
      <c r="L2594" s="5" t="s">
        <v>12087</v>
      </c>
      <c r="M2594" s="5" t="s">
        <v>45</v>
      </c>
      <c r="N2594" s="5" t="s">
        <v>123</v>
      </c>
      <c r="O2594" s="5" t="s">
        <v>59</v>
      </c>
      <c r="P2594" s="10" t="s">
        <v>6920</v>
      </c>
      <c r="Q2594" s="10" t="s">
        <v>2393</v>
      </c>
      <c r="R2594" s="10" t="s">
        <v>6413</v>
      </c>
      <c r="S2594" s="5">
        <v>0</v>
      </c>
      <c r="T2594" s="37">
        <v>0</v>
      </c>
      <c r="U2594" s="5">
        <v>0</v>
      </c>
      <c r="V2594" s="37">
        <v>0</v>
      </c>
      <c r="W2594" s="5">
        <v>0</v>
      </c>
      <c r="X2594" s="5">
        <v>0</v>
      </c>
      <c r="Y2594" s="5">
        <v>0</v>
      </c>
      <c r="Z2594" s="37">
        <v>0</v>
      </c>
      <c r="AA2594" s="5">
        <v>0</v>
      </c>
      <c r="AB2594" s="5">
        <v>0</v>
      </c>
      <c r="AC2594" s="5">
        <v>0</v>
      </c>
      <c r="AD2594" s="5">
        <v>0</v>
      </c>
      <c r="AE2594" s="10" t="s">
        <v>73</v>
      </c>
      <c r="AF2594" s="10"/>
      <c r="AG2594" s="10" t="s">
        <v>1489</v>
      </c>
      <c r="AH2594" s="10">
        <v>43123</v>
      </c>
      <c r="AI2594" s="5">
        <v>2</v>
      </c>
      <c r="AJ2594" s="10" t="s">
        <v>14616</v>
      </c>
      <c r="AK2594" s="10" t="s">
        <v>14617</v>
      </c>
    </row>
    <row r="2595" spans="1:37" ht="36.75" customHeight="1" x14ac:dyDescent="0.35">
      <c r="A2595" s="5"/>
      <c r="B2595" s="5" t="s">
        <v>37</v>
      </c>
      <c r="C2595" s="73" t="str">
        <f t="shared" si="40"/>
        <v>Closed</v>
      </c>
      <c r="D2595" s="45" t="s">
        <v>14618</v>
      </c>
      <c r="E2595" s="54" t="s">
        <v>14619</v>
      </c>
      <c r="F2595" s="5" t="s">
        <v>432</v>
      </c>
      <c r="G2595" s="10">
        <f>DATE(2018,1,17)</f>
        <v>43117</v>
      </c>
      <c r="H2595" s="35">
        <v>1.7166666666666668</v>
      </c>
      <c r="I2595" s="5" t="s">
        <v>97</v>
      </c>
      <c r="J2595" s="10" t="s">
        <v>14620</v>
      </c>
      <c r="K2595" s="5" t="s">
        <v>434</v>
      </c>
      <c r="L2595" s="5" t="s">
        <v>14621</v>
      </c>
      <c r="M2595" s="5" t="s">
        <v>45</v>
      </c>
      <c r="N2595" s="5" t="s">
        <v>80</v>
      </c>
      <c r="O2595" s="5" t="s">
        <v>59</v>
      </c>
      <c r="P2595" s="10" t="s">
        <v>146</v>
      </c>
      <c r="Q2595" s="10" t="s">
        <v>646</v>
      </c>
      <c r="R2595" s="10" t="s">
        <v>553</v>
      </c>
      <c r="S2595" s="5">
        <v>0</v>
      </c>
      <c r="T2595" s="37">
        <v>0</v>
      </c>
      <c r="U2595" s="5">
        <v>1</v>
      </c>
      <c r="V2595" s="37">
        <v>0</v>
      </c>
      <c r="W2595" s="5">
        <v>0</v>
      </c>
      <c r="X2595" s="5">
        <v>1</v>
      </c>
      <c r="Y2595" s="5">
        <v>0</v>
      </c>
      <c r="Z2595" s="37">
        <v>0</v>
      </c>
      <c r="AA2595" s="5">
        <v>0</v>
      </c>
      <c r="AB2595" s="5">
        <v>0</v>
      </c>
      <c r="AC2595" s="5">
        <v>0</v>
      </c>
      <c r="AD2595" s="5">
        <v>0</v>
      </c>
      <c r="AE2595" s="10" t="s">
        <v>73</v>
      </c>
      <c r="AF2595" s="10"/>
      <c r="AG2595" s="10" t="s">
        <v>64</v>
      </c>
      <c r="AH2595" s="10">
        <v>43122</v>
      </c>
      <c r="AI2595" s="5">
        <v>0</v>
      </c>
      <c r="AJ2595" s="10" t="s">
        <v>14622</v>
      </c>
      <c r="AK2595" s="10" t="s">
        <v>50</v>
      </c>
    </row>
    <row r="2596" spans="1:37" ht="36.75" customHeight="1" x14ac:dyDescent="0.35">
      <c r="A2596" s="5"/>
      <c r="B2596" s="5" t="s">
        <v>37</v>
      </c>
      <c r="C2596" s="73" t="str">
        <f t="shared" si="40"/>
        <v>Closed</v>
      </c>
      <c r="D2596" s="45" t="s">
        <v>14623</v>
      </c>
      <c r="E2596" s="54" t="s">
        <v>14624</v>
      </c>
      <c r="F2596" s="5" t="s">
        <v>404</v>
      </c>
      <c r="G2596" s="10">
        <f>DATE(2018,1,18)</f>
        <v>43118</v>
      </c>
      <c r="H2596" s="35">
        <v>1.6805555555555554</v>
      </c>
      <c r="I2596" s="5" t="s">
        <v>137</v>
      </c>
      <c r="J2596" s="10" t="s">
        <v>14625</v>
      </c>
      <c r="K2596" s="5" t="s">
        <v>406</v>
      </c>
      <c r="L2596" s="5" t="s">
        <v>14626</v>
      </c>
      <c r="M2596" s="5" t="s">
        <v>45</v>
      </c>
      <c r="N2596" s="5" t="s">
        <v>80</v>
      </c>
      <c r="O2596" s="5" t="s">
        <v>59</v>
      </c>
      <c r="P2596" s="10" t="s">
        <v>146</v>
      </c>
      <c r="Q2596" s="10" t="s">
        <v>4531</v>
      </c>
      <c r="R2596" s="10" t="s">
        <v>3083</v>
      </c>
      <c r="S2596" s="5">
        <v>0</v>
      </c>
      <c r="T2596" s="37">
        <v>0</v>
      </c>
      <c r="U2596" s="5">
        <v>0</v>
      </c>
      <c r="V2596" s="37">
        <v>0</v>
      </c>
      <c r="W2596" s="5">
        <v>0</v>
      </c>
      <c r="X2596" s="5">
        <v>0</v>
      </c>
      <c r="Y2596" s="5">
        <v>1</v>
      </c>
      <c r="Z2596" s="37">
        <v>0</v>
      </c>
      <c r="AA2596" s="5">
        <v>0</v>
      </c>
      <c r="AB2596" s="5">
        <v>0</v>
      </c>
      <c r="AC2596" s="5">
        <v>0</v>
      </c>
      <c r="AD2596" s="5">
        <v>1</v>
      </c>
      <c r="AE2596" s="10" t="s">
        <v>73</v>
      </c>
      <c r="AF2596" s="10"/>
      <c r="AG2596" s="10" t="s">
        <v>114</v>
      </c>
      <c r="AH2596" s="10">
        <v>43118</v>
      </c>
      <c r="AI2596" s="5">
        <v>1</v>
      </c>
      <c r="AJ2596" s="10" t="s">
        <v>14627</v>
      </c>
      <c r="AK2596" s="10" t="s">
        <v>14628</v>
      </c>
    </row>
    <row r="2597" spans="1:37" ht="36.75" customHeight="1" x14ac:dyDescent="0.35">
      <c r="A2597" s="5"/>
      <c r="B2597" s="5" t="s">
        <v>37</v>
      </c>
      <c r="C2597" s="73" t="str">
        <f t="shared" si="40"/>
        <v>Closed</v>
      </c>
      <c r="D2597" s="45" t="s">
        <v>14629</v>
      </c>
      <c r="E2597" s="54" t="s">
        <v>14630</v>
      </c>
      <c r="F2597" s="5" t="s">
        <v>404</v>
      </c>
      <c r="G2597" s="10">
        <f>DATE(2018,1,18)</f>
        <v>43118</v>
      </c>
      <c r="H2597" s="35">
        <v>1.3694444444444445</v>
      </c>
      <c r="I2597" s="5" t="s">
        <v>85</v>
      </c>
      <c r="J2597" s="10" t="s">
        <v>14631</v>
      </c>
      <c r="K2597" s="5" t="s">
        <v>406</v>
      </c>
      <c r="L2597" s="5" t="s">
        <v>14066</v>
      </c>
      <c r="M2597" s="5" t="s">
        <v>45</v>
      </c>
      <c r="N2597" s="5" t="s">
        <v>123</v>
      </c>
      <c r="O2597" s="5" t="s">
        <v>59</v>
      </c>
      <c r="P2597" s="10" t="s">
        <v>5996</v>
      </c>
      <c r="Q2597" s="10" t="s">
        <v>13712</v>
      </c>
      <c r="R2597" s="10" t="s">
        <v>3083</v>
      </c>
      <c r="S2597" s="5">
        <v>0</v>
      </c>
      <c r="T2597" s="37">
        <v>0</v>
      </c>
      <c r="U2597" s="5">
        <v>0</v>
      </c>
      <c r="V2597" s="37">
        <v>0</v>
      </c>
      <c r="W2597" s="5">
        <v>0</v>
      </c>
      <c r="X2597" s="5">
        <v>0</v>
      </c>
      <c r="Y2597" s="5">
        <v>0</v>
      </c>
      <c r="Z2597" s="37">
        <v>0</v>
      </c>
      <c r="AA2597" s="5">
        <v>0</v>
      </c>
      <c r="AB2597" s="5">
        <v>0</v>
      </c>
      <c r="AC2597" s="5">
        <v>0</v>
      </c>
      <c r="AD2597" s="5">
        <v>0</v>
      </c>
      <c r="AE2597" s="10" t="s">
        <v>73</v>
      </c>
      <c r="AF2597" s="10"/>
      <c r="AG2597" s="10" t="s">
        <v>13175</v>
      </c>
      <c r="AH2597" s="10">
        <v>43118</v>
      </c>
      <c r="AI2597" s="5">
        <v>0</v>
      </c>
      <c r="AJ2597" s="10" t="s">
        <v>14632</v>
      </c>
      <c r="AK2597" s="10" t="s">
        <v>14633</v>
      </c>
    </row>
    <row r="2598" spans="1:37" ht="36.75" customHeight="1" x14ac:dyDescent="0.35">
      <c r="A2598" s="5"/>
      <c r="B2598" s="5" t="s">
        <v>37</v>
      </c>
      <c r="C2598" s="73" t="str">
        <f t="shared" si="40"/>
        <v>Closed</v>
      </c>
      <c r="D2598" s="45" t="s">
        <v>14634</v>
      </c>
      <c r="E2598" s="54" t="s">
        <v>14635</v>
      </c>
      <c r="F2598" s="5" t="s">
        <v>816</v>
      </c>
      <c r="G2598" s="10">
        <f>DATE(2018,1,21)</f>
        <v>43121</v>
      </c>
      <c r="H2598" s="35">
        <v>1.7291666666666665</v>
      </c>
      <c r="I2598" s="5" t="s">
        <v>55</v>
      </c>
      <c r="J2598" s="10" t="s">
        <v>14636</v>
      </c>
      <c r="K2598" s="5" t="s">
        <v>818</v>
      </c>
      <c r="L2598" s="5" t="s">
        <v>14637</v>
      </c>
      <c r="M2598" s="5" t="s">
        <v>236</v>
      </c>
      <c r="N2598" s="5" t="s">
        <v>80</v>
      </c>
      <c r="O2598" s="5" t="s">
        <v>46</v>
      </c>
      <c r="P2598" s="10" t="s">
        <v>6531</v>
      </c>
      <c r="Q2598" s="10" t="s">
        <v>4190</v>
      </c>
      <c r="R2598" s="10" t="s">
        <v>4190</v>
      </c>
      <c r="S2598" s="5">
        <v>0</v>
      </c>
      <c r="T2598" s="37">
        <v>0</v>
      </c>
      <c r="U2598" s="5">
        <v>0</v>
      </c>
      <c r="V2598" s="37">
        <v>0</v>
      </c>
      <c r="W2598" s="5">
        <v>0</v>
      </c>
      <c r="X2598" s="5">
        <v>0</v>
      </c>
      <c r="Y2598" s="5">
        <v>0</v>
      </c>
      <c r="Z2598" s="37">
        <v>0</v>
      </c>
      <c r="AA2598" s="5">
        <v>0</v>
      </c>
      <c r="AB2598" s="5">
        <v>0</v>
      </c>
      <c r="AC2598" s="5">
        <v>0</v>
      </c>
      <c r="AD2598" s="5">
        <v>0</v>
      </c>
      <c r="AE2598" s="10" t="s">
        <v>73</v>
      </c>
      <c r="AF2598" s="10"/>
      <c r="AG2598" s="10" t="s">
        <v>348</v>
      </c>
      <c r="AH2598" s="10">
        <v>43101</v>
      </c>
      <c r="AI2598" s="5">
        <v>0</v>
      </c>
      <c r="AJ2598" s="10" t="s">
        <v>14638</v>
      </c>
      <c r="AK2598" s="10" t="s">
        <v>14639</v>
      </c>
    </row>
    <row r="2599" spans="1:37" ht="36.75" customHeight="1" x14ac:dyDescent="0.35">
      <c r="A2599" s="5"/>
      <c r="B2599" s="5" t="s">
        <v>37</v>
      </c>
      <c r="C2599" s="73" t="str">
        <f t="shared" si="40"/>
        <v>Closed</v>
      </c>
      <c r="D2599" s="45" t="s">
        <v>14640</v>
      </c>
      <c r="E2599" s="54" t="s">
        <v>14641</v>
      </c>
      <c r="F2599" s="5" t="s">
        <v>214</v>
      </c>
      <c r="G2599" s="10">
        <f>DATE(2018,1,22)</f>
        <v>43122</v>
      </c>
      <c r="H2599" s="35">
        <v>1.2826388888888889</v>
      </c>
      <c r="I2599" s="5" t="s">
        <v>55</v>
      </c>
      <c r="J2599" s="10" t="s">
        <v>14642</v>
      </c>
      <c r="K2599" s="5" t="s">
        <v>216</v>
      </c>
      <c r="L2599" s="5" t="s">
        <v>14643</v>
      </c>
      <c r="M2599" s="5" t="s">
        <v>45</v>
      </c>
      <c r="N2599" s="5" t="s">
        <v>80</v>
      </c>
      <c r="O2599" s="5" t="s">
        <v>46</v>
      </c>
      <c r="P2599" s="10" t="s">
        <v>146</v>
      </c>
      <c r="Q2599" s="10" t="s">
        <v>3658</v>
      </c>
      <c r="R2599" s="10" t="s">
        <v>216</v>
      </c>
      <c r="S2599" s="5">
        <v>0</v>
      </c>
      <c r="T2599" s="37">
        <v>0</v>
      </c>
      <c r="U2599" s="5">
        <v>0</v>
      </c>
      <c r="V2599" s="37">
        <v>0</v>
      </c>
      <c r="W2599" s="5">
        <v>0</v>
      </c>
      <c r="X2599" s="5">
        <v>0</v>
      </c>
      <c r="Y2599" s="5">
        <v>0</v>
      </c>
      <c r="Z2599" s="37">
        <v>0</v>
      </c>
      <c r="AA2599" s="5">
        <v>0</v>
      </c>
      <c r="AB2599" s="5">
        <v>0</v>
      </c>
      <c r="AC2599" s="5">
        <v>0</v>
      </c>
      <c r="AD2599" s="5">
        <v>0</v>
      </c>
      <c r="AE2599" s="10" t="s">
        <v>73</v>
      </c>
      <c r="AF2599" s="10"/>
      <c r="AG2599" s="10" t="s">
        <v>114</v>
      </c>
      <c r="AH2599" s="10">
        <v>43129</v>
      </c>
      <c r="AI2599" s="5">
        <v>1</v>
      </c>
      <c r="AJ2599" s="10" t="s">
        <v>14644</v>
      </c>
      <c r="AK2599" s="10" t="s">
        <v>14645</v>
      </c>
    </row>
    <row r="2600" spans="1:37" ht="36.75" customHeight="1" x14ac:dyDescent="0.35">
      <c r="A2600" s="5"/>
      <c r="B2600" s="5" t="s">
        <v>37</v>
      </c>
      <c r="C2600" s="73" t="str">
        <f t="shared" si="40"/>
        <v>Closed</v>
      </c>
      <c r="D2600" s="45" t="s">
        <v>14646</v>
      </c>
      <c r="E2600" s="54" t="s">
        <v>14647</v>
      </c>
      <c r="F2600" s="5" t="s">
        <v>105</v>
      </c>
      <c r="G2600" s="10">
        <f>DATE(2018,1,23)</f>
        <v>43123</v>
      </c>
      <c r="H2600" s="35">
        <v>1.9652777777777777</v>
      </c>
      <c r="I2600" s="5" t="s">
        <v>9004</v>
      </c>
      <c r="J2600" s="10" t="s">
        <v>14648</v>
      </c>
      <c r="K2600" s="5" t="s">
        <v>108</v>
      </c>
      <c r="L2600" s="5" t="s">
        <v>14649</v>
      </c>
      <c r="M2600" s="5" t="s">
        <v>45</v>
      </c>
      <c r="N2600" s="5" t="s">
        <v>80</v>
      </c>
      <c r="O2600" s="5" t="s">
        <v>46</v>
      </c>
      <c r="P2600" s="10" t="s">
        <v>6920</v>
      </c>
      <c r="Q2600" s="10" t="s">
        <v>210</v>
      </c>
      <c r="R2600" s="10" t="s">
        <v>148</v>
      </c>
      <c r="S2600" s="5">
        <v>0</v>
      </c>
      <c r="T2600" s="37">
        <v>0</v>
      </c>
      <c r="U2600" s="5">
        <v>0</v>
      </c>
      <c r="V2600" s="37">
        <v>0</v>
      </c>
      <c r="W2600" s="5">
        <v>0</v>
      </c>
      <c r="X2600" s="5">
        <v>0</v>
      </c>
      <c r="Y2600" s="5">
        <v>0</v>
      </c>
      <c r="Z2600" s="37">
        <v>0</v>
      </c>
      <c r="AA2600" s="5">
        <v>0</v>
      </c>
      <c r="AB2600" s="5">
        <v>0</v>
      </c>
      <c r="AC2600" s="5">
        <v>0</v>
      </c>
      <c r="AD2600" s="5">
        <v>0</v>
      </c>
      <c r="AE2600" s="10" t="s">
        <v>375</v>
      </c>
      <c r="AF2600" s="10"/>
      <c r="AG2600" s="10" t="s">
        <v>64</v>
      </c>
      <c r="AH2600" s="10">
        <v>43132</v>
      </c>
      <c r="AI2600" s="5">
        <v>2</v>
      </c>
      <c r="AJ2600" s="10" t="s">
        <v>14650</v>
      </c>
      <c r="AK2600" s="10" t="s">
        <v>50</v>
      </c>
    </row>
    <row r="2601" spans="1:37" ht="36.75" customHeight="1" x14ac:dyDescent="0.35">
      <c r="A2601" s="5"/>
      <c r="B2601" s="5" t="s">
        <v>37</v>
      </c>
      <c r="C2601" s="73" t="str">
        <f t="shared" si="40"/>
        <v>Closed</v>
      </c>
      <c r="D2601" s="45" t="s">
        <v>14651</v>
      </c>
      <c r="E2601" s="54" t="s">
        <v>14652</v>
      </c>
      <c r="F2601" s="5" t="s">
        <v>404</v>
      </c>
      <c r="G2601" s="10">
        <f>DATE(2018,1,24)</f>
        <v>43124</v>
      </c>
      <c r="H2601" s="35">
        <v>1.4750000000000001</v>
      </c>
      <c r="I2601" s="5" t="s">
        <v>97</v>
      </c>
      <c r="J2601" s="10" t="s">
        <v>14653</v>
      </c>
      <c r="K2601" s="5" t="s">
        <v>406</v>
      </c>
      <c r="L2601" s="5" t="s">
        <v>14654</v>
      </c>
      <c r="M2601" s="5" t="s">
        <v>45</v>
      </c>
      <c r="N2601" s="5" t="s">
        <v>80</v>
      </c>
      <c r="O2601" s="5" t="s">
        <v>46</v>
      </c>
      <c r="P2601" s="10" t="s">
        <v>146</v>
      </c>
      <c r="Q2601" s="10" t="s">
        <v>4531</v>
      </c>
      <c r="R2601" s="10" t="s">
        <v>3083</v>
      </c>
      <c r="S2601" s="5">
        <v>0</v>
      </c>
      <c r="T2601" s="37">
        <v>0</v>
      </c>
      <c r="U2601" s="5">
        <v>0</v>
      </c>
      <c r="V2601" s="37">
        <v>0</v>
      </c>
      <c r="W2601" s="5">
        <v>0</v>
      </c>
      <c r="X2601" s="5">
        <v>0</v>
      </c>
      <c r="Y2601" s="5">
        <v>0</v>
      </c>
      <c r="Z2601" s="37">
        <v>0</v>
      </c>
      <c r="AA2601" s="5">
        <v>0</v>
      </c>
      <c r="AB2601" s="5">
        <v>0</v>
      </c>
      <c r="AC2601" s="5">
        <v>0</v>
      </c>
      <c r="AD2601" s="5">
        <v>0</v>
      </c>
      <c r="AE2601" s="10" t="s">
        <v>73</v>
      </c>
      <c r="AF2601" s="10"/>
      <c r="AG2601" s="10" t="s">
        <v>114</v>
      </c>
      <c r="AH2601" s="10">
        <v>43124</v>
      </c>
      <c r="AI2601" s="5">
        <v>0</v>
      </c>
      <c r="AJ2601" s="10" t="s">
        <v>14655</v>
      </c>
      <c r="AK2601" s="10" t="s">
        <v>14656</v>
      </c>
    </row>
    <row r="2602" spans="1:37" ht="36.75" customHeight="1" x14ac:dyDescent="0.35">
      <c r="A2602" s="5"/>
      <c r="B2602" s="5" t="s">
        <v>37</v>
      </c>
      <c r="C2602" s="73" t="str">
        <f t="shared" si="40"/>
        <v>Closed</v>
      </c>
      <c r="D2602" s="45" t="s">
        <v>14657</v>
      </c>
      <c r="E2602" s="54" t="s">
        <v>14658</v>
      </c>
      <c r="F2602" s="5" t="s">
        <v>358</v>
      </c>
      <c r="G2602" s="10">
        <f>DATE(2018,1,25)</f>
        <v>43125</v>
      </c>
      <c r="H2602" s="35">
        <v>1.2895833333333333</v>
      </c>
      <c r="I2602" s="5" t="s">
        <v>55</v>
      </c>
      <c r="J2602" s="10" t="s">
        <v>14659</v>
      </c>
      <c r="K2602" s="5" t="s">
        <v>360</v>
      </c>
      <c r="L2602" s="5" t="s">
        <v>14660</v>
      </c>
      <c r="M2602" s="5" t="s">
        <v>45</v>
      </c>
      <c r="N2602" s="5" t="s">
        <v>70</v>
      </c>
      <c r="O2602" s="5" t="s">
        <v>46</v>
      </c>
      <c r="P2602" s="10" t="s">
        <v>146</v>
      </c>
      <c r="Q2602" s="10" t="s">
        <v>8450</v>
      </c>
      <c r="R2602" s="10" t="s">
        <v>363</v>
      </c>
      <c r="S2602" s="5">
        <v>3</v>
      </c>
      <c r="T2602" s="37">
        <v>0</v>
      </c>
      <c r="U2602" s="5">
        <v>0</v>
      </c>
      <c r="V2602" s="37">
        <v>0</v>
      </c>
      <c r="W2602" s="5">
        <v>0</v>
      </c>
      <c r="X2602" s="5">
        <v>3</v>
      </c>
      <c r="Y2602" s="5">
        <v>46</v>
      </c>
      <c r="Z2602" s="37">
        <v>0</v>
      </c>
      <c r="AA2602" s="5">
        <v>0</v>
      </c>
      <c r="AB2602" s="5">
        <v>0</v>
      </c>
      <c r="AC2602" s="5">
        <v>0</v>
      </c>
      <c r="AD2602" s="5">
        <v>46</v>
      </c>
      <c r="AE2602" s="10" t="s">
        <v>126</v>
      </c>
      <c r="AF2602" s="10"/>
      <c r="AG2602" s="10" t="s">
        <v>64</v>
      </c>
      <c r="AH2602" s="10">
        <v>43125</v>
      </c>
      <c r="AI2602" s="5">
        <v>5</v>
      </c>
      <c r="AJ2602" s="10" t="s">
        <v>14661</v>
      </c>
      <c r="AK2602" s="10" t="s">
        <v>14662</v>
      </c>
    </row>
    <row r="2603" spans="1:37" ht="36.75" customHeight="1" x14ac:dyDescent="0.35">
      <c r="A2603" s="5"/>
      <c r="B2603" s="5" t="s">
        <v>37</v>
      </c>
      <c r="C2603" s="73" t="str">
        <f t="shared" si="40"/>
        <v>Closed</v>
      </c>
      <c r="D2603" s="45" t="s">
        <v>14663</v>
      </c>
      <c r="E2603" s="54" t="s">
        <v>14664</v>
      </c>
      <c r="F2603" s="5" t="s">
        <v>816</v>
      </c>
      <c r="G2603" s="10">
        <f>DATE(2018,1,27)</f>
        <v>43127</v>
      </c>
      <c r="H2603" s="35">
        <v>1.1145833333333333</v>
      </c>
      <c r="I2603" s="5" t="s">
        <v>55</v>
      </c>
      <c r="J2603" s="10" t="s">
        <v>14665</v>
      </c>
      <c r="K2603" s="5" t="s">
        <v>818</v>
      </c>
      <c r="L2603" s="5" t="s">
        <v>12763</v>
      </c>
      <c r="M2603" s="5" t="s">
        <v>45</v>
      </c>
      <c r="N2603" s="5" t="s">
        <v>123</v>
      </c>
      <c r="O2603" s="5" t="s">
        <v>59</v>
      </c>
      <c r="P2603" s="10" t="s">
        <v>60</v>
      </c>
      <c r="Q2603" s="10" t="s">
        <v>1379</v>
      </c>
      <c r="R2603" s="10" t="s">
        <v>821</v>
      </c>
      <c r="S2603" s="5">
        <v>0</v>
      </c>
      <c r="T2603" s="37">
        <v>0</v>
      </c>
      <c r="U2603" s="5">
        <v>0</v>
      </c>
      <c r="V2603" s="37">
        <v>0</v>
      </c>
      <c r="W2603" s="5">
        <v>0</v>
      </c>
      <c r="X2603" s="5">
        <v>0</v>
      </c>
      <c r="Y2603" s="5">
        <v>0</v>
      </c>
      <c r="Z2603" s="37">
        <v>0</v>
      </c>
      <c r="AA2603" s="5">
        <v>0</v>
      </c>
      <c r="AB2603" s="5">
        <v>0</v>
      </c>
      <c r="AC2603" s="5">
        <v>0</v>
      </c>
      <c r="AD2603" s="5">
        <v>0</v>
      </c>
      <c r="AE2603" s="10" t="s">
        <v>73</v>
      </c>
      <c r="AF2603" s="10"/>
      <c r="AG2603" s="10" t="s">
        <v>333</v>
      </c>
      <c r="AH2603" s="10">
        <v>43127</v>
      </c>
      <c r="AI2603" s="5">
        <v>0</v>
      </c>
      <c r="AJ2603" s="10" t="s">
        <v>14666</v>
      </c>
      <c r="AK2603" s="10" t="s">
        <v>1215</v>
      </c>
    </row>
    <row r="2604" spans="1:37" ht="36.75" customHeight="1" x14ac:dyDescent="0.35">
      <c r="A2604" s="5"/>
      <c r="B2604" s="5" t="s">
        <v>37</v>
      </c>
      <c r="C2604" s="73" t="str">
        <f t="shared" si="40"/>
        <v>Closed</v>
      </c>
      <c r="D2604" s="45" t="s">
        <v>14667</v>
      </c>
      <c r="E2604" s="54" t="s">
        <v>14668</v>
      </c>
      <c r="F2604" s="5" t="s">
        <v>404</v>
      </c>
      <c r="G2604" s="10">
        <f>DATE(2018,1,31)</f>
        <v>43131</v>
      </c>
      <c r="H2604" s="35">
        <v>1.1888888888888889</v>
      </c>
      <c r="I2604" s="5" t="s">
        <v>97</v>
      </c>
      <c r="J2604" s="10" t="s">
        <v>14669</v>
      </c>
      <c r="K2604" s="5" t="s">
        <v>406</v>
      </c>
      <c r="L2604" s="5" t="s">
        <v>14670</v>
      </c>
      <c r="M2604" s="5" t="s">
        <v>45</v>
      </c>
      <c r="N2604" s="5" t="s">
        <v>80</v>
      </c>
      <c r="O2604" s="5" t="s">
        <v>46</v>
      </c>
      <c r="P2604" s="10" t="s">
        <v>146</v>
      </c>
      <c r="Q2604" s="10" t="s">
        <v>4531</v>
      </c>
      <c r="R2604" s="10" t="s">
        <v>3083</v>
      </c>
      <c r="S2604" s="5">
        <v>0</v>
      </c>
      <c r="T2604" s="37">
        <v>0</v>
      </c>
      <c r="U2604" s="5">
        <v>1</v>
      </c>
      <c r="V2604" s="37">
        <v>0</v>
      </c>
      <c r="W2604" s="5">
        <v>0</v>
      </c>
      <c r="X2604" s="5">
        <v>1</v>
      </c>
      <c r="Y2604" s="5">
        <v>0</v>
      </c>
      <c r="Z2604" s="37">
        <v>0</v>
      </c>
      <c r="AA2604" s="5">
        <v>1</v>
      </c>
      <c r="AB2604" s="5">
        <v>0</v>
      </c>
      <c r="AC2604" s="5">
        <v>0</v>
      </c>
      <c r="AD2604" s="5">
        <v>1</v>
      </c>
      <c r="AE2604" s="10" t="s">
        <v>73</v>
      </c>
      <c r="AF2604" s="10"/>
      <c r="AG2604" s="10" t="s">
        <v>114</v>
      </c>
      <c r="AH2604" s="10">
        <v>43131</v>
      </c>
      <c r="AI2604" s="5">
        <v>2</v>
      </c>
      <c r="AJ2604" s="10" t="s">
        <v>14671</v>
      </c>
      <c r="AK2604" s="10" t="s">
        <v>14672</v>
      </c>
    </row>
    <row r="2605" spans="1:37" ht="36.75" customHeight="1" x14ac:dyDescent="0.35">
      <c r="A2605" s="5"/>
      <c r="B2605" s="5" t="s">
        <v>37</v>
      </c>
      <c r="C2605" s="73" t="str">
        <f t="shared" si="40"/>
        <v>Closed</v>
      </c>
      <c r="D2605" s="45" t="s">
        <v>14673</v>
      </c>
      <c r="E2605" s="54" t="s">
        <v>14674</v>
      </c>
      <c r="F2605" s="5" t="s">
        <v>214</v>
      </c>
      <c r="G2605" s="10">
        <f>DATE(2018,1,31)</f>
        <v>43131</v>
      </c>
      <c r="H2605" s="35">
        <v>0</v>
      </c>
      <c r="I2605" s="5" t="s">
        <v>259</v>
      </c>
      <c r="J2605" s="10" t="s">
        <v>14675</v>
      </c>
      <c r="K2605" s="5" t="s">
        <v>216</v>
      </c>
      <c r="L2605" s="5" t="s">
        <v>14676</v>
      </c>
      <c r="M2605" s="5" t="s">
        <v>110</v>
      </c>
      <c r="N2605" s="5" t="s">
        <v>80</v>
      </c>
      <c r="O2605" s="5" t="s">
        <v>59</v>
      </c>
      <c r="P2605" s="10" t="s">
        <v>110</v>
      </c>
      <c r="Q2605" s="10" t="s">
        <v>664</v>
      </c>
      <c r="R2605" s="10" t="s">
        <v>216</v>
      </c>
      <c r="S2605" s="5">
        <v>0</v>
      </c>
      <c r="T2605" s="37">
        <v>0</v>
      </c>
      <c r="U2605" s="5">
        <v>0</v>
      </c>
      <c r="V2605" s="37">
        <v>0</v>
      </c>
      <c r="W2605" s="5">
        <v>0</v>
      </c>
      <c r="X2605" s="5">
        <v>0</v>
      </c>
      <c r="Y2605" s="5">
        <v>1</v>
      </c>
      <c r="Z2605" s="37">
        <v>0</v>
      </c>
      <c r="AA2605" s="5">
        <v>0</v>
      </c>
      <c r="AB2605" s="5">
        <v>0</v>
      </c>
      <c r="AC2605" s="5">
        <v>0</v>
      </c>
      <c r="AD2605" s="5">
        <v>1</v>
      </c>
      <c r="AE2605" s="10" t="s">
        <v>73</v>
      </c>
      <c r="AF2605" s="10"/>
      <c r="AG2605" s="10" t="s">
        <v>114</v>
      </c>
      <c r="AH2605" s="10">
        <v>43136</v>
      </c>
      <c r="AI2605" s="5">
        <v>5</v>
      </c>
      <c r="AJ2605" s="10" t="s">
        <v>14677</v>
      </c>
      <c r="AK2605" s="10" t="s">
        <v>14678</v>
      </c>
    </row>
    <row r="2606" spans="1:37" ht="36.75" customHeight="1" x14ac:dyDescent="0.35">
      <c r="A2606" s="5"/>
      <c r="B2606" s="5" t="s">
        <v>37</v>
      </c>
      <c r="C2606" s="73" t="str">
        <f t="shared" si="40"/>
        <v>Closed</v>
      </c>
      <c r="D2606" s="45" t="s">
        <v>14679</v>
      </c>
      <c r="E2606" s="54" t="s">
        <v>14680</v>
      </c>
      <c r="F2606" s="5" t="s">
        <v>1553</v>
      </c>
      <c r="G2606" s="10">
        <f>DATE(2018,2,1)</f>
        <v>43132</v>
      </c>
      <c r="H2606" s="35">
        <v>1.2222222222222223</v>
      </c>
      <c r="I2606" s="5" t="s">
        <v>55</v>
      </c>
      <c r="J2606" s="10" t="s">
        <v>14681</v>
      </c>
      <c r="K2606" s="5" t="s">
        <v>1555</v>
      </c>
      <c r="L2606" s="5" t="s">
        <v>14682</v>
      </c>
      <c r="M2606" s="5" t="s">
        <v>45</v>
      </c>
      <c r="N2606" s="5" t="s">
        <v>80</v>
      </c>
      <c r="O2606" s="5" t="s">
        <v>46</v>
      </c>
      <c r="P2606" s="10" t="s">
        <v>60</v>
      </c>
      <c r="Q2606" s="10" t="s">
        <v>4899</v>
      </c>
      <c r="R2606" s="10" t="s">
        <v>6413</v>
      </c>
      <c r="S2606" s="5">
        <v>0</v>
      </c>
      <c r="T2606" s="37">
        <v>0</v>
      </c>
      <c r="U2606" s="5">
        <v>0</v>
      </c>
      <c r="V2606" s="37">
        <v>0</v>
      </c>
      <c r="W2606" s="5">
        <v>0</v>
      </c>
      <c r="X2606" s="5">
        <v>0</v>
      </c>
      <c r="Y2606" s="5">
        <v>0</v>
      </c>
      <c r="Z2606" s="37">
        <v>0</v>
      </c>
      <c r="AA2606" s="5">
        <v>0</v>
      </c>
      <c r="AB2606" s="5">
        <v>0</v>
      </c>
      <c r="AC2606" s="5">
        <v>0</v>
      </c>
      <c r="AD2606" s="5">
        <v>0</v>
      </c>
      <c r="AE2606" s="10" t="s">
        <v>375</v>
      </c>
      <c r="AF2606" s="10"/>
      <c r="AG2606" s="10" t="s">
        <v>114</v>
      </c>
      <c r="AH2606" s="10">
        <v>43132</v>
      </c>
      <c r="AI2606" s="5">
        <v>1</v>
      </c>
      <c r="AJ2606" s="10" t="s">
        <v>14683</v>
      </c>
      <c r="AK2606" s="10" t="s">
        <v>14684</v>
      </c>
    </row>
    <row r="2607" spans="1:37" ht="36.75" customHeight="1" x14ac:dyDescent="0.35">
      <c r="A2607" s="5"/>
      <c r="B2607" s="5" t="s">
        <v>37</v>
      </c>
      <c r="C2607" s="73" t="str">
        <f t="shared" si="40"/>
        <v>Closed</v>
      </c>
      <c r="D2607" s="45" t="s">
        <v>14685</v>
      </c>
      <c r="E2607" s="54" t="s">
        <v>14686</v>
      </c>
      <c r="F2607" s="5" t="s">
        <v>119</v>
      </c>
      <c r="G2607" s="10">
        <f>DATE(2018,2,1)</f>
        <v>43132</v>
      </c>
      <c r="H2607" s="35">
        <v>1.3298611111111112</v>
      </c>
      <c r="I2607" s="5" t="s">
        <v>97</v>
      </c>
      <c r="J2607" s="10" t="s">
        <v>14687</v>
      </c>
      <c r="K2607" s="5" t="s">
        <v>121</v>
      </c>
      <c r="L2607" s="5" t="s">
        <v>14688</v>
      </c>
      <c r="M2607" s="5" t="s">
        <v>45</v>
      </c>
      <c r="N2607" s="5" t="s">
        <v>80</v>
      </c>
      <c r="O2607" s="5" t="s">
        <v>46</v>
      </c>
      <c r="P2607" s="10" t="s">
        <v>60</v>
      </c>
      <c r="Q2607" s="10" t="s">
        <v>124</v>
      </c>
      <c r="R2607" s="10" t="s">
        <v>4913</v>
      </c>
      <c r="S2607" s="5">
        <v>0</v>
      </c>
      <c r="T2607" s="37">
        <v>0</v>
      </c>
      <c r="U2607" s="5">
        <v>0</v>
      </c>
      <c r="V2607" s="37">
        <v>0</v>
      </c>
      <c r="W2607" s="5">
        <v>0</v>
      </c>
      <c r="X2607" s="5">
        <v>0</v>
      </c>
      <c r="Y2607" s="5">
        <v>0</v>
      </c>
      <c r="Z2607" s="37">
        <v>1</v>
      </c>
      <c r="AA2607" s="5">
        <v>0</v>
      </c>
      <c r="AB2607" s="5">
        <v>0</v>
      </c>
      <c r="AC2607" s="5">
        <v>0</v>
      </c>
      <c r="AD2607" s="5">
        <v>1</v>
      </c>
      <c r="AE2607" s="10" t="s">
        <v>375</v>
      </c>
      <c r="AF2607" s="10"/>
      <c r="AG2607" s="10" t="s">
        <v>64</v>
      </c>
      <c r="AH2607" s="10">
        <v>43140</v>
      </c>
      <c r="AI2607" s="5">
        <v>5</v>
      </c>
      <c r="AJ2607" s="10" t="s">
        <v>14689</v>
      </c>
      <c r="AK2607" s="10" t="s">
        <v>14690</v>
      </c>
    </row>
    <row r="2608" spans="1:37" ht="36.75" customHeight="1" x14ac:dyDescent="0.35">
      <c r="A2608" s="5"/>
      <c r="B2608" s="5" t="s">
        <v>37</v>
      </c>
      <c r="C2608" s="73" t="str">
        <f t="shared" si="40"/>
        <v>Closed</v>
      </c>
      <c r="D2608" s="45" t="s">
        <v>14691</v>
      </c>
      <c r="E2608" s="54" t="s">
        <v>14692</v>
      </c>
      <c r="F2608" s="5" t="s">
        <v>404</v>
      </c>
      <c r="G2608" s="10">
        <f>DATE(2018,2,3)</f>
        <v>43134</v>
      </c>
      <c r="H2608" s="35">
        <v>1.3576388888888888</v>
      </c>
      <c r="I2608" s="5" t="s">
        <v>179</v>
      </c>
      <c r="J2608" s="10" t="s">
        <v>14693</v>
      </c>
      <c r="K2608" s="5" t="s">
        <v>406</v>
      </c>
      <c r="L2608" s="5" t="s">
        <v>14694</v>
      </c>
      <c r="M2608" s="5" t="s">
        <v>45</v>
      </c>
      <c r="N2608" s="5" t="s">
        <v>123</v>
      </c>
      <c r="O2608" s="5" t="s">
        <v>59</v>
      </c>
      <c r="P2608" s="10" t="s">
        <v>14695</v>
      </c>
      <c r="Q2608" s="10" t="s">
        <v>2562</v>
      </c>
      <c r="R2608" s="10" t="s">
        <v>3083</v>
      </c>
      <c r="S2608" s="5">
        <v>0</v>
      </c>
      <c r="T2608" s="37">
        <v>0</v>
      </c>
      <c r="U2608" s="5">
        <v>0</v>
      </c>
      <c r="V2608" s="37">
        <v>0</v>
      </c>
      <c r="W2608" s="5">
        <v>0</v>
      </c>
      <c r="X2608" s="5">
        <v>0</v>
      </c>
      <c r="Y2608" s="5">
        <v>0</v>
      </c>
      <c r="Z2608" s="37">
        <v>0</v>
      </c>
      <c r="AA2608" s="5">
        <v>0</v>
      </c>
      <c r="AB2608" s="5">
        <v>0</v>
      </c>
      <c r="AC2608" s="5">
        <v>0</v>
      </c>
      <c r="AD2608" s="5">
        <v>0</v>
      </c>
      <c r="AE2608" s="10" t="s">
        <v>73</v>
      </c>
      <c r="AF2608" s="10"/>
      <c r="AG2608" s="10" t="s">
        <v>114</v>
      </c>
      <c r="AH2608" s="10">
        <v>43161</v>
      </c>
      <c r="AI2608" s="5">
        <v>1</v>
      </c>
      <c r="AJ2608" s="10" t="s">
        <v>14696</v>
      </c>
      <c r="AK2608" s="10" t="s">
        <v>14697</v>
      </c>
    </row>
    <row r="2609" spans="1:37" ht="36.75" customHeight="1" x14ac:dyDescent="0.35">
      <c r="A2609" s="5"/>
      <c r="B2609" s="5" t="s">
        <v>37</v>
      </c>
      <c r="C2609" s="73" t="str">
        <f t="shared" si="40"/>
        <v>Closed</v>
      </c>
      <c r="D2609" s="45" t="s">
        <v>14698</v>
      </c>
      <c r="E2609" s="54" t="s">
        <v>14699</v>
      </c>
      <c r="F2609" s="5" t="s">
        <v>816</v>
      </c>
      <c r="G2609" s="10">
        <f>DATE(2018,2,4)</f>
        <v>43135</v>
      </c>
      <c r="H2609" s="35">
        <v>1.3062499999999999</v>
      </c>
      <c r="I2609" s="5" t="s">
        <v>55</v>
      </c>
      <c r="J2609" s="10" t="s">
        <v>14700</v>
      </c>
      <c r="K2609" s="5" t="s">
        <v>818</v>
      </c>
      <c r="L2609" s="5" t="s">
        <v>14701</v>
      </c>
      <c r="M2609" s="5" t="s">
        <v>236</v>
      </c>
      <c r="N2609" s="5" t="s">
        <v>123</v>
      </c>
      <c r="O2609" s="5" t="s">
        <v>59</v>
      </c>
      <c r="P2609" s="10" t="s">
        <v>6531</v>
      </c>
      <c r="Q2609" s="10" t="s">
        <v>4190</v>
      </c>
      <c r="R2609" s="10" t="s">
        <v>4190</v>
      </c>
      <c r="S2609" s="5">
        <v>0</v>
      </c>
      <c r="T2609" s="37">
        <v>0</v>
      </c>
      <c r="U2609" s="5">
        <v>0</v>
      </c>
      <c r="V2609" s="37">
        <v>0</v>
      </c>
      <c r="W2609" s="5">
        <v>0</v>
      </c>
      <c r="X2609" s="5">
        <v>0</v>
      </c>
      <c r="Y2609" s="5">
        <v>0</v>
      </c>
      <c r="Z2609" s="37">
        <v>0</v>
      </c>
      <c r="AA2609" s="5">
        <v>0</v>
      </c>
      <c r="AB2609" s="5">
        <v>0</v>
      </c>
      <c r="AC2609" s="5">
        <v>0</v>
      </c>
      <c r="AD2609" s="5">
        <v>0</v>
      </c>
      <c r="AE2609" s="10" t="s">
        <v>73</v>
      </c>
      <c r="AF2609" s="10"/>
      <c r="AG2609" s="10" t="s">
        <v>11868</v>
      </c>
      <c r="AH2609" s="10">
        <v>43136</v>
      </c>
      <c r="AI2609" s="5">
        <v>0</v>
      </c>
      <c r="AJ2609" s="10" t="s">
        <v>14702</v>
      </c>
      <c r="AK2609" s="10" t="s">
        <v>14703</v>
      </c>
    </row>
    <row r="2610" spans="1:37" ht="36.75" customHeight="1" x14ac:dyDescent="0.35">
      <c r="A2610" s="5"/>
      <c r="B2610" s="5" t="s">
        <v>37</v>
      </c>
      <c r="C2610" s="73" t="str">
        <f t="shared" si="40"/>
        <v>Closed</v>
      </c>
      <c r="D2610" s="45" t="s">
        <v>14704</v>
      </c>
      <c r="E2610" s="54" t="s">
        <v>14705</v>
      </c>
      <c r="F2610" s="5" t="s">
        <v>5406</v>
      </c>
      <c r="G2610" s="10">
        <f>DATE(2018,2,4)</f>
        <v>43135</v>
      </c>
      <c r="H2610" s="35">
        <v>1.3784722222222223</v>
      </c>
      <c r="I2610" s="5" t="s">
        <v>55</v>
      </c>
      <c r="J2610" s="10" t="s">
        <v>14706</v>
      </c>
      <c r="K2610" s="5" t="s">
        <v>577</v>
      </c>
      <c r="L2610" s="5" t="s">
        <v>14707</v>
      </c>
      <c r="M2610" s="5" t="s">
        <v>45</v>
      </c>
      <c r="N2610" s="5" t="s">
        <v>80</v>
      </c>
      <c r="O2610" s="5" t="s">
        <v>59</v>
      </c>
      <c r="P2610" s="10" t="s">
        <v>60</v>
      </c>
      <c r="Q2610" s="10" t="s">
        <v>13117</v>
      </c>
      <c r="R2610" s="10" t="s">
        <v>12052</v>
      </c>
      <c r="S2610" s="5">
        <v>0</v>
      </c>
      <c r="T2610" s="37">
        <v>0</v>
      </c>
      <c r="U2610" s="5">
        <v>0</v>
      </c>
      <c r="V2610" s="37">
        <v>0</v>
      </c>
      <c r="W2610" s="5">
        <v>0</v>
      </c>
      <c r="X2610" s="5">
        <v>0</v>
      </c>
      <c r="Y2610" s="5">
        <v>0</v>
      </c>
      <c r="Z2610" s="37">
        <v>0</v>
      </c>
      <c r="AA2610" s="5">
        <v>0</v>
      </c>
      <c r="AB2610" s="5">
        <v>0</v>
      </c>
      <c r="AC2610" s="5">
        <v>0</v>
      </c>
      <c r="AD2610" s="5">
        <v>0</v>
      </c>
      <c r="AE2610" s="10" t="s">
        <v>375</v>
      </c>
      <c r="AF2610" s="10"/>
      <c r="AG2610" s="10" t="s">
        <v>64</v>
      </c>
      <c r="AH2610" s="10">
        <v>43314</v>
      </c>
      <c r="AI2610" s="5">
        <v>0</v>
      </c>
      <c r="AJ2610" s="10" t="s">
        <v>14708</v>
      </c>
      <c r="AK2610" s="10" t="s">
        <v>14709</v>
      </c>
    </row>
    <row r="2611" spans="1:37" ht="36.75" customHeight="1" x14ac:dyDescent="0.35">
      <c r="A2611" s="5" t="s">
        <v>12448</v>
      </c>
      <c r="B2611" s="5" t="s">
        <v>37</v>
      </c>
      <c r="C2611" s="73" t="str">
        <f t="shared" si="40"/>
        <v>Closed</v>
      </c>
      <c r="D2611" s="47" t="s">
        <v>14710</v>
      </c>
      <c r="E2611" s="55" t="s">
        <v>13257</v>
      </c>
      <c r="F2611" s="15" t="s">
        <v>12887</v>
      </c>
      <c r="G2611" s="10">
        <f>DATE(2018,2,5)</f>
        <v>43136</v>
      </c>
      <c r="H2611" s="50">
        <v>0.2986111111111111</v>
      </c>
      <c r="I2611" s="15" t="s">
        <v>5473</v>
      </c>
      <c r="J2611" s="55" t="s">
        <v>14711</v>
      </c>
      <c r="K2611" s="15" t="s">
        <v>434</v>
      </c>
      <c r="L2611" s="15" t="s">
        <v>14712</v>
      </c>
      <c r="M2611" s="15"/>
      <c r="N2611" s="15"/>
      <c r="O2611" s="15" t="s">
        <v>46</v>
      </c>
      <c r="P2611" s="55" t="s">
        <v>47</v>
      </c>
      <c r="Q2611" s="55" t="s">
        <v>12889</v>
      </c>
      <c r="R2611" s="55" t="s">
        <v>12890</v>
      </c>
      <c r="S2611" s="15">
        <v>0</v>
      </c>
      <c r="T2611" s="55">
        <v>0</v>
      </c>
      <c r="U2611" s="15">
        <v>0</v>
      </c>
      <c r="V2611" s="55">
        <v>0</v>
      </c>
      <c r="W2611" s="15">
        <v>0</v>
      </c>
      <c r="X2611" s="15">
        <v>0</v>
      </c>
      <c r="Y2611" s="15">
        <v>1</v>
      </c>
      <c r="Z2611" s="55">
        <v>0</v>
      </c>
      <c r="AA2611" s="15">
        <v>0</v>
      </c>
      <c r="AB2611" s="15">
        <v>0</v>
      </c>
      <c r="AC2611" s="15">
        <v>0</v>
      </c>
      <c r="AD2611" s="15">
        <v>1</v>
      </c>
      <c r="AE2611" s="55"/>
      <c r="AF2611" s="55"/>
      <c r="AG2611" s="55"/>
      <c r="AH2611" s="55" t="s">
        <v>50</v>
      </c>
      <c r="AI2611" s="15">
        <v>0</v>
      </c>
      <c r="AJ2611" s="55"/>
      <c r="AK2611" s="55"/>
    </row>
    <row r="2612" spans="1:37" ht="36.75" customHeight="1" x14ac:dyDescent="0.35">
      <c r="A2612" s="5"/>
      <c r="B2612" s="5" t="s">
        <v>37</v>
      </c>
      <c r="C2612" s="73" t="str">
        <f t="shared" si="40"/>
        <v>Closed</v>
      </c>
      <c r="D2612" s="45" t="s">
        <v>14713</v>
      </c>
      <c r="E2612" s="54" t="s">
        <v>14714</v>
      </c>
      <c r="F2612" s="5" t="s">
        <v>816</v>
      </c>
      <c r="G2612" s="10">
        <f>DATE(2018,2,6)</f>
        <v>43137</v>
      </c>
      <c r="H2612" s="35">
        <v>1.7222222222222223</v>
      </c>
      <c r="I2612" s="5" t="s">
        <v>137</v>
      </c>
      <c r="J2612" s="10" t="s">
        <v>14715</v>
      </c>
      <c r="K2612" s="5" t="s">
        <v>818</v>
      </c>
      <c r="L2612" s="5" t="s">
        <v>14716</v>
      </c>
      <c r="M2612" s="5" t="s">
        <v>236</v>
      </c>
      <c r="N2612" s="5" t="s">
        <v>123</v>
      </c>
      <c r="O2612" s="5" t="s">
        <v>67</v>
      </c>
      <c r="P2612" s="10" t="s">
        <v>6531</v>
      </c>
      <c r="Q2612" s="10" t="s">
        <v>14717</v>
      </c>
      <c r="R2612" s="10" t="s">
        <v>14717</v>
      </c>
      <c r="S2612" s="5">
        <v>0</v>
      </c>
      <c r="T2612" s="37">
        <v>0</v>
      </c>
      <c r="U2612" s="5">
        <v>0</v>
      </c>
      <c r="V2612" s="37">
        <v>0</v>
      </c>
      <c r="W2612" s="5">
        <v>0</v>
      </c>
      <c r="X2612" s="5">
        <v>0</v>
      </c>
      <c r="Y2612" s="5">
        <v>1</v>
      </c>
      <c r="Z2612" s="37">
        <v>0</v>
      </c>
      <c r="AA2612" s="5">
        <v>0</v>
      </c>
      <c r="AB2612" s="5">
        <v>0</v>
      </c>
      <c r="AC2612" s="5">
        <v>0</v>
      </c>
      <c r="AD2612" s="5">
        <v>1</v>
      </c>
      <c r="AE2612" s="10" t="s">
        <v>73</v>
      </c>
      <c r="AF2612" s="10"/>
      <c r="AG2612" s="10" t="s">
        <v>348</v>
      </c>
      <c r="AH2612" s="10">
        <v>43264</v>
      </c>
      <c r="AI2612" s="5">
        <v>1</v>
      </c>
      <c r="AJ2612" s="10" t="s">
        <v>14718</v>
      </c>
      <c r="AK2612" s="10" t="s">
        <v>14719</v>
      </c>
    </row>
    <row r="2613" spans="1:37" ht="36.75" customHeight="1" x14ac:dyDescent="0.35">
      <c r="A2613" s="5"/>
      <c r="B2613" s="5" t="s">
        <v>37</v>
      </c>
      <c r="C2613" s="73" t="str">
        <f t="shared" si="40"/>
        <v>Closed</v>
      </c>
      <c r="D2613" s="45" t="s">
        <v>14720</v>
      </c>
      <c r="E2613" s="54" t="s">
        <v>14721</v>
      </c>
      <c r="F2613" s="5" t="s">
        <v>14722</v>
      </c>
      <c r="G2613" s="10">
        <f>DATE(2018,2,7)</f>
        <v>43138</v>
      </c>
      <c r="H2613" s="35">
        <v>1.0527777777777778</v>
      </c>
      <c r="I2613" s="5" t="s">
        <v>55</v>
      </c>
      <c r="J2613" s="10" t="s">
        <v>14723</v>
      </c>
      <c r="K2613" s="5" t="s">
        <v>1753</v>
      </c>
      <c r="L2613" s="5" t="s">
        <v>10403</v>
      </c>
      <c r="M2613" s="5" t="s">
        <v>45</v>
      </c>
      <c r="N2613" s="5" t="s">
        <v>123</v>
      </c>
      <c r="O2613" s="5" t="s">
        <v>46</v>
      </c>
      <c r="P2613" s="10" t="s">
        <v>60</v>
      </c>
      <c r="Q2613" s="10" t="s">
        <v>14724</v>
      </c>
      <c r="R2613" s="10" t="s">
        <v>1756</v>
      </c>
      <c r="S2613" s="5">
        <v>0</v>
      </c>
      <c r="T2613" s="37">
        <v>0</v>
      </c>
      <c r="U2613" s="5">
        <v>0</v>
      </c>
      <c r="V2613" s="37">
        <v>0</v>
      </c>
      <c r="W2613" s="5">
        <v>0</v>
      </c>
      <c r="X2613" s="5">
        <v>0</v>
      </c>
      <c r="Y2613" s="5">
        <v>0</v>
      </c>
      <c r="Z2613" s="37">
        <v>0</v>
      </c>
      <c r="AA2613" s="5">
        <v>0</v>
      </c>
      <c r="AB2613" s="5">
        <v>0</v>
      </c>
      <c r="AC2613" s="5">
        <v>0</v>
      </c>
      <c r="AD2613" s="5">
        <v>0</v>
      </c>
      <c r="AE2613" s="10" t="s">
        <v>375</v>
      </c>
      <c r="AF2613" s="10" t="s">
        <v>14725</v>
      </c>
      <c r="AG2613" s="10" t="s">
        <v>14532</v>
      </c>
      <c r="AH2613" s="10">
        <v>43144</v>
      </c>
      <c r="AI2613" s="5">
        <v>0</v>
      </c>
      <c r="AJ2613" s="10" t="s">
        <v>14726</v>
      </c>
      <c r="AK2613" s="10" t="s">
        <v>14727</v>
      </c>
    </row>
    <row r="2614" spans="1:37" ht="36.75" customHeight="1" x14ac:dyDescent="0.35">
      <c r="A2614" s="5"/>
      <c r="B2614" s="5" t="s">
        <v>37</v>
      </c>
      <c r="C2614" s="73" t="str">
        <f t="shared" si="40"/>
        <v>Closed</v>
      </c>
      <c r="D2614" s="45" t="s">
        <v>14728</v>
      </c>
      <c r="E2614" s="54" t="s">
        <v>14729</v>
      </c>
      <c r="F2614" s="5" t="s">
        <v>816</v>
      </c>
      <c r="G2614" s="10">
        <f>DATE(2018,2,7)</f>
        <v>43138</v>
      </c>
      <c r="H2614" s="35">
        <v>1.0868055555555556</v>
      </c>
      <c r="I2614" s="5" t="s">
        <v>179</v>
      </c>
      <c r="J2614" s="10" t="s">
        <v>14730</v>
      </c>
      <c r="K2614" s="5" t="s">
        <v>818</v>
      </c>
      <c r="L2614" s="5" t="s">
        <v>14731</v>
      </c>
      <c r="M2614" s="5" t="s">
        <v>110</v>
      </c>
      <c r="N2614" s="5" t="s">
        <v>123</v>
      </c>
      <c r="O2614" s="5" t="s">
        <v>46</v>
      </c>
      <c r="P2614" s="10" t="s">
        <v>282</v>
      </c>
      <c r="Q2614" s="10" t="s">
        <v>4190</v>
      </c>
      <c r="R2614" s="10" t="s">
        <v>4190</v>
      </c>
      <c r="S2614" s="5">
        <v>0</v>
      </c>
      <c r="T2614" s="37">
        <v>0</v>
      </c>
      <c r="U2614" s="5">
        <v>0</v>
      </c>
      <c r="V2614" s="37">
        <v>0</v>
      </c>
      <c r="W2614" s="5">
        <v>0</v>
      </c>
      <c r="X2614" s="5">
        <v>0</v>
      </c>
      <c r="Y2614" s="5">
        <v>0</v>
      </c>
      <c r="Z2614" s="37">
        <v>0</v>
      </c>
      <c r="AA2614" s="5">
        <v>0</v>
      </c>
      <c r="AB2614" s="5">
        <v>0</v>
      </c>
      <c r="AC2614" s="5">
        <v>0</v>
      </c>
      <c r="AD2614" s="5">
        <v>0</v>
      </c>
      <c r="AE2614" s="10" t="s">
        <v>73</v>
      </c>
      <c r="AF2614" s="10"/>
      <c r="AG2614" s="10" t="s">
        <v>114</v>
      </c>
      <c r="AH2614" s="10">
        <v>43138</v>
      </c>
      <c r="AI2614" s="5">
        <v>1</v>
      </c>
      <c r="AJ2614" s="10" t="s">
        <v>11857</v>
      </c>
      <c r="AK2614" s="10" t="s">
        <v>50</v>
      </c>
    </row>
    <row r="2615" spans="1:37" ht="36.75" customHeight="1" x14ac:dyDescent="0.35">
      <c r="A2615" s="5"/>
      <c r="B2615" s="5" t="s">
        <v>37</v>
      </c>
      <c r="C2615" s="73" t="str">
        <f t="shared" si="40"/>
        <v>Closed</v>
      </c>
      <c r="D2615" s="45" t="s">
        <v>14732</v>
      </c>
      <c r="E2615" s="54" t="s">
        <v>14733</v>
      </c>
      <c r="F2615" s="5" t="s">
        <v>178</v>
      </c>
      <c r="G2615" s="10">
        <f>DATE(2018,2,12)</f>
        <v>43143</v>
      </c>
      <c r="H2615" s="35">
        <v>0</v>
      </c>
      <c r="I2615" s="5" t="s">
        <v>179</v>
      </c>
      <c r="J2615" s="10" t="s">
        <v>14734</v>
      </c>
      <c r="K2615" s="5" t="s">
        <v>181</v>
      </c>
      <c r="L2615" s="5" t="s">
        <v>14735</v>
      </c>
      <c r="M2615" s="5" t="s">
        <v>45</v>
      </c>
      <c r="N2615" s="5" t="s">
        <v>70</v>
      </c>
      <c r="O2615" s="5" t="s">
        <v>59</v>
      </c>
      <c r="P2615" s="10" t="s">
        <v>146</v>
      </c>
      <c r="Q2615" s="10" t="s">
        <v>183</v>
      </c>
      <c r="R2615" s="10" t="s">
        <v>184</v>
      </c>
      <c r="S2615" s="5">
        <v>1</v>
      </c>
      <c r="T2615" s="37">
        <v>0</v>
      </c>
      <c r="U2615" s="5">
        <v>0</v>
      </c>
      <c r="V2615" s="37">
        <v>0</v>
      </c>
      <c r="W2615" s="5">
        <v>0</v>
      </c>
      <c r="X2615" s="5">
        <v>1</v>
      </c>
      <c r="Y2615" s="5">
        <v>0</v>
      </c>
      <c r="Z2615" s="37">
        <v>0</v>
      </c>
      <c r="AA2615" s="5">
        <v>0</v>
      </c>
      <c r="AB2615" s="5">
        <v>0</v>
      </c>
      <c r="AC2615" s="5">
        <v>0</v>
      </c>
      <c r="AD2615" s="5">
        <v>0</v>
      </c>
      <c r="AE2615" s="10" t="s">
        <v>73</v>
      </c>
      <c r="AF2615" s="10"/>
      <c r="AG2615" s="10" t="s">
        <v>64</v>
      </c>
      <c r="AH2615" s="10">
        <v>43144</v>
      </c>
      <c r="AI2615" s="5">
        <v>2</v>
      </c>
      <c r="AJ2615" s="10" t="s">
        <v>14736</v>
      </c>
      <c r="AK2615" s="10" t="s">
        <v>14737</v>
      </c>
    </row>
    <row r="2616" spans="1:37" ht="36.75" customHeight="1" x14ac:dyDescent="0.35">
      <c r="A2616" s="5"/>
      <c r="B2616" s="5" t="s">
        <v>37</v>
      </c>
      <c r="C2616" s="73" t="str">
        <f t="shared" si="40"/>
        <v>Closed</v>
      </c>
      <c r="D2616" s="45" t="s">
        <v>14738</v>
      </c>
      <c r="E2616" s="54" t="s">
        <v>14739</v>
      </c>
      <c r="F2616" s="5" t="s">
        <v>404</v>
      </c>
      <c r="G2616" s="10">
        <f>DATE(2018,2,12)</f>
        <v>43143</v>
      </c>
      <c r="H2616" s="35">
        <v>1.4291666666666667</v>
      </c>
      <c r="I2616" s="5" t="s">
        <v>97</v>
      </c>
      <c r="J2616" s="10" t="s">
        <v>14740</v>
      </c>
      <c r="K2616" s="5" t="s">
        <v>406</v>
      </c>
      <c r="L2616" s="5" t="s">
        <v>14741</v>
      </c>
      <c r="M2616" s="5" t="s">
        <v>45</v>
      </c>
      <c r="N2616" s="5" t="s">
        <v>123</v>
      </c>
      <c r="O2616" s="5" t="s">
        <v>46</v>
      </c>
      <c r="P2616" s="10" t="s">
        <v>60</v>
      </c>
      <c r="Q2616" s="10" t="s">
        <v>14742</v>
      </c>
      <c r="R2616" s="10" t="s">
        <v>3083</v>
      </c>
      <c r="S2616" s="5">
        <v>0</v>
      </c>
      <c r="T2616" s="37">
        <v>0</v>
      </c>
      <c r="U2616" s="5">
        <v>1</v>
      </c>
      <c r="V2616" s="37">
        <v>0</v>
      </c>
      <c r="W2616" s="5">
        <v>0</v>
      </c>
      <c r="X2616" s="5">
        <v>1</v>
      </c>
      <c r="Y2616" s="5">
        <v>0</v>
      </c>
      <c r="Z2616" s="37">
        <v>0</v>
      </c>
      <c r="AA2616" s="5">
        <v>0</v>
      </c>
      <c r="AB2616" s="5">
        <v>0</v>
      </c>
      <c r="AC2616" s="5">
        <v>0</v>
      </c>
      <c r="AD2616" s="5">
        <v>0</v>
      </c>
      <c r="AE2616" s="10" t="s">
        <v>73</v>
      </c>
      <c r="AF2616" s="10"/>
      <c r="AG2616" s="10" t="s">
        <v>855</v>
      </c>
      <c r="AH2616" s="10">
        <v>43143</v>
      </c>
      <c r="AI2616" s="5">
        <v>1</v>
      </c>
      <c r="AJ2616" s="10" t="s">
        <v>11964</v>
      </c>
      <c r="AK2616" s="10" t="s">
        <v>14373</v>
      </c>
    </row>
    <row r="2617" spans="1:37" ht="36.75" customHeight="1" x14ac:dyDescent="0.35">
      <c r="A2617" s="5"/>
      <c r="B2617" s="5" t="s">
        <v>37</v>
      </c>
      <c r="C2617" s="73" t="str">
        <f t="shared" si="40"/>
        <v>Closed</v>
      </c>
      <c r="D2617" s="45" t="s">
        <v>14743</v>
      </c>
      <c r="E2617" s="54" t="s">
        <v>14744</v>
      </c>
      <c r="F2617" s="5" t="s">
        <v>563</v>
      </c>
      <c r="G2617" s="10">
        <f>DATE(2018,2,13)</f>
        <v>43144</v>
      </c>
      <c r="H2617" s="35">
        <v>1.8020833333333335</v>
      </c>
      <c r="I2617" s="5" t="s">
        <v>55</v>
      </c>
      <c r="J2617" s="10" t="s">
        <v>14745</v>
      </c>
      <c r="K2617" s="5" t="s">
        <v>565</v>
      </c>
      <c r="L2617" s="5" t="s">
        <v>14746</v>
      </c>
      <c r="M2617" s="5" t="s">
        <v>45</v>
      </c>
      <c r="N2617" s="5" t="s">
        <v>70</v>
      </c>
      <c r="O2617" s="5" t="s">
        <v>59</v>
      </c>
      <c r="P2617" s="10" t="s">
        <v>60</v>
      </c>
      <c r="Q2617" s="10" t="s">
        <v>567</v>
      </c>
      <c r="R2617" s="10" t="s">
        <v>568</v>
      </c>
      <c r="S2617" s="5">
        <v>0</v>
      </c>
      <c r="T2617" s="37">
        <v>0</v>
      </c>
      <c r="U2617" s="5">
        <v>0</v>
      </c>
      <c r="V2617" s="37">
        <v>0</v>
      </c>
      <c r="W2617" s="5">
        <v>0</v>
      </c>
      <c r="X2617" s="5">
        <v>0</v>
      </c>
      <c r="Y2617" s="5">
        <v>0</v>
      </c>
      <c r="Z2617" s="37">
        <v>0</v>
      </c>
      <c r="AA2617" s="5">
        <v>0</v>
      </c>
      <c r="AB2617" s="5">
        <v>0</v>
      </c>
      <c r="AC2617" s="5">
        <v>0</v>
      </c>
      <c r="AD2617" s="5">
        <v>0</v>
      </c>
      <c r="AE2617" s="10" t="s">
        <v>126</v>
      </c>
      <c r="AF2617" s="10"/>
      <c r="AG2617" s="10" t="s">
        <v>64</v>
      </c>
      <c r="AH2617" s="10">
        <v>43145</v>
      </c>
      <c r="AI2617" s="5">
        <v>0</v>
      </c>
      <c r="AJ2617" s="10" t="s">
        <v>14747</v>
      </c>
      <c r="AK2617" s="10" t="s">
        <v>1215</v>
      </c>
    </row>
    <row r="2618" spans="1:37" ht="36.75" customHeight="1" x14ac:dyDescent="0.35">
      <c r="A2618" s="5"/>
      <c r="B2618" s="5" t="s">
        <v>37</v>
      </c>
      <c r="C2618" s="73" t="str">
        <f t="shared" si="40"/>
        <v>Closed</v>
      </c>
      <c r="D2618" s="45" t="s">
        <v>14748</v>
      </c>
      <c r="E2618" s="54" t="s">
        <v>14749</v>
      </c>
      <c r="F2618" s="5" t="s">
        <v>1553</v>
      </c>
      <c r="G2618" s="10">
        <f>DATE(2018,2,13)</f>
        <v>43144</v>
      </c>
      <c r="H2618" s="35">
        <v>1.5729166666666665</v>
      </c>
      <c r="I2618" s="5" t="s">
        <v>55</v>
      </c>
      <c r="J2618" s="10" t="s">
        <v>14750</v>
      </c>
      <c r="K2618" s="5" t="s">
        <v>1555</v>
      </c>
      <c r="L2618" s="5" t="s">
        <v>14751</v>
      </c>
      <c r="M2618" s="5" t="s">
        <v>45</v>
      </c>
      <c r="N2618" s="5" t="s">
        <v>80</v>
      </c>
      <c r="O2618" s="5" t="s">
        <v>46</v>
      </c>
      <c r="P2618" s="10" t="s">
        <v>60</v>
      </c>
      <c r="Q2618" s="10" t="s">
        <v>2635</v>
      </c>
      <c r="R2618" s="10" t="s">
        <v>6413</v>
      </c>
      <c r="S2618" s="5">
        <v>0</v>
      </c>
      <c r="T2618" s="37">
        <v>0</v>
      </c>
      <c r="U2618" s="5">
        <v>0</v>
      </c>
      <c r="V2618" s="37">
        <v>0</v>
      </c>
      <c r="W2618" s="5">
        <v>0</v>
      </c>
      <c r="X2618" s="5">
        <v>0</v>
      </c>
      <c r="Y2618" s="5">
        <v>0</v>
      </c>
      <c r="Z2618" s="37">
        <v>0</v>
      </c>
      <c r="AA2618" s="5">
        <v>0</v>
      </c>
      <c r="AB2618" s="5">
        <v>0</v>
      </c>
      <c r="AC2618" s="5">
        <v>0</v>
      </c>
      <c r="AD2618" s="5">
        <v>0</v>
      </c>
      <c r="AE2618" s="10" t="s">
        <v>73</v>
      </c>
      <c r="AF2618" s="10"/>
      <c r="AG2618" s="10" t="s">
        <v>114</v>
      </c>
      <c r="AH2618" s="10">
        <v>43147</v>
      </c>
      <c r="AI2618" s="5">
        <v>1</v>
      </c>
      <c r="AJ2618" s="10" t="s">
        <v>14752</v>
      </c>
      <c r="AK2618" s="10" t="s">
        <v>14753</v>
      </c>
    </row>
    <row r="2619" spans="1:37" ht="36.75" customHeight="1" x14ac:dyDescent="0.35">
      <c r="A2619" s="5"/>
      <c r="B2619" s="5" t="s">
        <v>37</v>
      </c>
      <c r="C2619" s="73" t="str">
        <f t="shared" si="40"/>
        <v>Closed</v>
      </c>
      <c r="D2619" s="45" t="s">
        <v>14754</v>
      </c>
      <c r="E2619" s="54" t="s">
        <v>14755</v>
      </c>
      <c r="F2619" s="5" t="s">
        <v>404</v>
      </c>
      <c r="G2619" s="10">
        <f>DATE(2018,2,15)</f>
        <v>43146</v>
      </c>
      <c r="H2619" s="35">
        <v>1.382638888888889</v>
      </c>
      <c r="I2619" s="5" t="s">
        <v>2059</v>
      </c>
      <c r="J2619" s="10" t="s">
        <v>14756</v>
      </c>
      <c r="K2619" s="5" t="s">
        <v>406</v>
      </c>
      <c r="L2619" s="5" t="s">
        <v>14757</v>
      </c>
      <c r="M2619" s="5" t="s">
        <v>45</v>
      </c>
      <c r="N2619" s="5" t="s">
        <v>123</v>
      </c>
      <c r="O2619" s="5" t="s">
        <v>59</v>
      </c>
      <c r="P2619" s="10" t="s">
        <v>146</v>
      </c>
      <c r="Q2619" s="10" t="s">
        <v>4531</v>
      </c>
      <c r="R2619" s="10" t="s">
        <v>3083</v>
      </c>
      <c r="S2619" s="5">
        <v>0</v>
      </c>
      <c r="T2619" s="37">
        <v>0</v>
      </c>
      <c r="U2619" s="5">
        <v>0</v>
      </c>
      <c r="V2619" s="37">
        <v>0</v>
      </c>
      <c r="W2619" s="5">
        <v>0</v>
      </c>
      <c r="X2619" s="5">
        <v>0</v>
      </c>
      <c r="Y2619" s="5">
        <v>0</v>
      </c>
      <c r="Z2619" s="37">
        <v>0</v>
      </c>
      <c r="AA2619" s="5">
        <v>0</v>
      </c>
      <c r="AB2619" s="5">
        <v>0</v>
      </c>
      <c r="AC2619" s="5">
        <v>0</v>
      </c>
      <c r="AD2619" s="5">
        <v>0</v>
      </c>
      <c r="AE2619" s="10" t="s">
        <v>73</v>
      </c>
      <c r="AF2619" s="10"/>
      <c r="AG2619" s="10" t="s">
        <v>114</v>
      </c>
      <c r="AH2619" s="10">
        <v>43146</v>
      </c>
      <c r="AI2619" s="5">
        <v>0</v>
      </c>
      <c r="AJ2619" s="10" t="s">
        <v>14758</v>
      </c>
      <c r="AK2619" s="10" t="s">
        <v>14759</v>
      </c>
    </row>
    <row r="2620" spans="1:37" ht="36.75" customHeight="1" x14ac:dyDescent="0.35">
      <c r="A2620" s="5"/>
      <c r="B2620" s="5" t="s">
        <v>37</v>
      </c>
      <c r="C2620" s="73" t="str">
        <f t="shared" si="40"/>
        <v>Closed</v>
      </c>
      <c r="D2620" s="45" t="s">
        <v>14760</v>
      </c>
      <c r="E2620" s="54" t="s">
        <v>14761</v>
      </c>
      <c r="F2620" s="5" t="s">
        <v>404</v>
      </c>
      <c r="G2620" s="10">
        <f>DATE(2018,2,16)</f>
        <v>43147</v>
      </c>
      <c r="H2620" s="35">
        <v>1.5743055555555556</v>
      </c>
      <c r="I2620" s="5" t="s">
        <v>97</v>
      </c>
      <c r="J2620" s="10" t="s">
        <v>14762</v>
      </c>
      <c r="K2620" s="5" t="s">
        <v>406</v>
      </c>
      <c r="L2620" s="5" t="s">
        <v>14763</v>
      </c>
      <c r="M2620" s="5" t="s">
        <v>45</v>
      </c>
      <c r="N2620" s="5" t="s">
        <v>80</v>
      </c>
      <c r="O2620" s="5" t="s">
        <v>46</v>
      </c>
      <c r="P2620" s="10" t="s">
        <v>146</v>
      </c>
      <c r="Q2620" s="10" t="s">
        <v>4531</v>
      </c>
      <c r="R2620" s="10" t="s">
        <v>3083</v>
      </c>
      <c r="S2620" s="5">
        <v>0</v>
      </c>
      <c r="T2620" s="37">
        <v>0</v>
      </c>
      <c r="U2620" s="5">
        <v>1</v>
      </c>
      <c r="V2620" s="37">
        <v>0</v>
      </c>
      <c r="W2620" s="5">
        <v>0</v>
      </c>
      <c r="X2620" s="5">
        <v>1</v>
      </c>
      <c r="Y2620" s="5">
        <v>0</v>
      </c>
      <c r="Z2620" s="37">
        <v>0</v>
      </c>
      <c r="AA2620" s="5">
        <v>1</v>
      </c>
      <c r="AB2620" s="5">
        <v>0</v>
      </c>
      <c r="AC2620" s="5">
        <v>0</v>
      </c>
      <c r="AD2620" s="5">
        <v>1</v>
      </c>
      <c r="AE2620" s="10" t="s">
        <v>73</v>
      </c>
      <c r="AF2620" s="10"/>
      <c r="AG2620" s="10" t="s">
        <v>114</v>
      </c>
      <c r="AH2620" s="10">
        <v>43150</v>
      </c>
      <c r="AI2620" s="5">
        <v>1</v>
      </c>
      <c r="AJ2620" s="10" t="s">
        <v>14764</v>
      </c>
      <c r="AK2620" s="10" t="s">
        <v>14765</v>
      </c>
    </row>
    <row r="2621" spans="1:37" ht="36.75" customHeight="1" x14ac:dyDescent="0.35">
      <c r="A2621" s="5"/>
      <c r="B2621" s="5" t="s">
        <v>37</v>
      </c>
      <c r="C2621" s="73" t="str">
        <f t="shared" si="40"/>
        <v>Closed</v>
      </c>
      <c r="D2621" s="45" t="s">
        <v>14766</v>
      </c>
      <c r="E2621" s="54" t="s">
        <v>14767</v>
      </c>
      <c r="F2621" s="5" t="s">
        <v>605</v>
      </c>
      <c r="G2621" s="10">
        <f>DATE(2018,2,16)</f>
        <v>43147</v>
      </c>
      <c r="H2621" s="35">
        <v>0</v>
      </c>
      <c r="I2621" s="5" t="s">
        <v>85</v>
      </c>
      <c r="J2621" s="10" t="s">
        <v>4590</v>
      </c>
      <c r="K2621" s="5" t="s">
        <v>607</v>
      </c>
      <c r="L2621" s="5" t="s">
        <v>13342</v>
      </c>
      <c r="M2621" s="5" t="s">
        <v>45</v>
      </c>
      <c r="N2621" s="5" t="s">
        <v>123</v>
      </c>
      <c r="O2621" s="5" t="s">
        <v>59</v>
      </c>
      <c r="P2621" s="10" t="s">
        <v>60</v>
      </c>
      <c r="Q2621" s="10" t="s">
        <v>730</v>
      </c>
      <c r="R2621" s="10" t="s">
        <v>610</v>
      </c>
      <c r="S2621" s="5">
        <v>0</v>
      </c>
      <c r="T2621" s="37">
        <v>0</v>
      </c>
      <c r="U2621" s="5">
        <v>0</v>
      </c>
      <c r="V2621" s="37">
        <v>0</v>
      </c>
      <c r="W2621" s="5">
        <v>0</v>
      </c>
      <c r="X2621" s="5">
        <v>0</v>
      </c>
      <c r="Y2621" s="5">
        <v>0</v>
      </c>
      <c r="Z2621" s="37">
        <v>0</v>
      </c>
      <c r="AA2621" s="5">
        <v>0</v>
      </c>
      <c r="AB2621" s="5">
        <v>0</v>
      </c>
      <c r="AC2621" s="5">
        <v>0</v>
      </c>
      <c r="AD2621" s="5">
        <v>0</v>
      </c>
      <c r="AE2621" s="10" t="s">
        <v>73</v>
      </c>
      <c r="AF2621" s="10"/>
      <c r="AG2621" s="10" t="s">
        <v>333</v>
      </c>
      <c r="AH2621" s="10">
        <v>43147</v>
      </c>
      <c r="AI2621" s="5">
        <v>2</v>
      </c>
      <c r="AJ2621" s="10" t="s">
        <v>13343</v>
      </c>
      <c r="AK2621" s="10" t="s">
        <v>50</v>
      </c>
    </row>
    <row r="2622" spans="1:37" ht="36.75" customHeight="1" x14ac:dyDescent="0.35">
      <c r="A2622" s="5"/>
      <c r="B2622" s="5" t="s">
        <v>37</v>
      </c>
      <c r="C2622" s="73" t="str">
        <f t="shared" si="40"/>
        <v>Closed</v>
      </c>
      <c r="D2622" s="45" t="s">
        <v>14768</v>
      </c>
      <c r="E2622" s="54" t="s">
        <v>14769</v>
      </c>
      <c r="F2622" s="5" t="s">
        <v>563</v>
      </c>
      <c r="G2622" s="10">
        <f>DATE(2018,2,20)</f>
        <v>43151</v>
      </c>
      <c r="H2622" s="35">
        <v>1.875</v>
      </c>
      <c r="I2622" s="5" t="s">
        <v>179</v>
      </c>
      <c r="J2622" s="10" t="s">
        <v>14770</v>
      </c>
      <c r="K2622" s="5" t="s">
        <v>565</v>
      </c>
      <c r="L2622" s="5" t="s">
        <v>14771</v>
      </c>
      <c r="M2622" s="5" t="s">
        <v>45</v>
      </c>
      <c r="N2622" s="5" t="s">
        <v>70</v>
      </c>
      <c r="O2622" s="5" t="s">
        <v>59</v>
      </c>
      <c r="P2622" s="10" t="s">
        <v>60</v>
      </c>
      <c r="Q2622" s="10" t="s">
        <v>14772</v>
      </c>
      <c r="R2622" s="10" t="s">
        <v>568</v>
      </c>
      <c r="S2622" s="5">
        <v>0</v>
      </c>
      <c r="T2622" s="37">
        <v>0</v>
      </c>
      <c r="U2622" s="5">
        <v>0</v>
      </c>
      <c r="V2622" s="37">
        <v>0</v>
      </c>
      <c r="W2622" s="5">
        <v>0</v>
      </c>
      <c r="X2622" s="5">
        <v>0</v>
      </c>
      <c r="Y2622" s="5">
        <v>0</v>
      </c>
      <c r="Z2622" s="37">
        <v>0</v>
      </c>
      <c r="AA2622" s="5">
        <v>0</v>
      </c>
      <c r="AB2622" s="5">
        <v>0</v>
      </c>
      <c r="AC2622" s="5">
        <v>0</v>
      </c>
      <c r="AD2622" s="5">
        <v>0</v>
      </c>
      <c r="AE2622" s="10" t="s">
        <v>126</v>
      </c>
      <c r="AF2622" s="10"/>
      <c r="AG2622" s="10" t="s">
        <v>64</v>
      </c>
      <c r="AH2622" s="10">
        <v>43152</v>
      </c>
      <c r="AI2622" s="5">
        <v>0</v>
      </c>
      <c r="AJ2622" s="10" t="s">
        <v>14773</v>
      </c>
      <c r="AK2622" s="10" t="s">
        <v>1215</v>
      </c>
    </row>
    <row r="2623" spans="1:37" ht="36.75" customHeight="1" x14ac:dyDescent="0.35">
      <c r="A2623" s="5"/>
      <c r="B2623" s="5" t="s">
        <v>37</v>
      </c>
      <c r="C2623" s="73" t="str">
        <f t="shared" si="40"/>
        <v>Closed</v>
      </c>
      <c r="D2623" s="45" t="s">
        <v>14774</v>
      </c>
      <c r="E2623" s="54" t="s">
        <v>14775</v>
      </c>
      <c r="F2623" s="5" t="s">
        <v>1730</v>
      </c>
      <c r="G2623" s="10">
        <f>DATE(2018,2,20)</f>
        <v>43151</v>
      </c>
      <c r="H2623" s="35">
        <v>1.3534722222222222</v>
      </c>
      <c r="I2623" s="5" t="s">
        <v>9004</v>
      </c>
      <c r="J2623" s="10" t="s">
        <v>14776</v>
      </c>
      <c r="K2623" s="5" t="s">
        <v>1732</v>
      </c>
      <c r="L2623" s="5" t="s">
        <v>14777</v>
      </c>
      <c r="M2623" s="5" t="s">
        <v>45</v>
      </c>
      <c r="N2623" s="5" t="s">
        <v>80</v>
      </c>
      <c r="O2623" s="5" t="s">
        <v>46</v>
      </c>
      <c r="P2623" s="10" t="s">
        <v>6920</v>
      </c>
      <c r="Q2623" s="10" t="s">
        <v>13364</v>
      </c>
      <c r="R2623" s="10" t="s">
        <v>1963</v>
      </c>
      <c r="S2623" s="5">
        <v>0</v>
      </c>
      <c r="T2623" s="37">
        <v>0</v>
      </c>
      <c r="U2623" s="5">
        <v>0</v>
      </c>
      <c r="V2623" s="37">
        <v>0</v>
      </c>
      <c r="W2623" s="5">
        <v>0</v>
      </c>
      <c r="X2623" s="5">
        <v>0</v>
      </c>
      <c r="Y2623" s="5">
        <v>0</v>
      </c>
      <c r="Z2623" s="37">
        <v>0</v>
      </c>
      <c r="AA2623" s="5">
        <v>1</v>
      </c>
      <c r="AB2623" s="5">
        <v>0</v>
      </c>
      <c r="AC2623" s="5">
        <v>0</v>
      </c>
      <c r="AD2623" s="5">
        <v>1</v>
      </c>
      <c r="AE2623" s="10" t="s">
        <v>375</v>
      </c>
      <c r="AF2623" s="10"/>
      <c r="AG2623" s="10" t="s">
        <v>229</v>
      </c>
      <c r="AH2623" s="10">
        <v>43157</v>
      </c>
      <c r="AI2623" s="5">
        <v>5</v>
      </c>
      <c r="AJ2623" s="10" t="s">
        <v>14778</v>
      </c>
      <c r="AK2623" s="10" t="s">
        <v>14779</v>
      </c>
    </row>
    <row r="2624" spans="1:37" ht="36.75" customHeight="1" x14ac:dyDescent="0.35">
      <c r="A2624" s="5"/>
      <c r="B2624" s="5" t="s">
        <v>887</v>
      </c>
      <c r="C2624" s="73" t="str">
        <f t="shared" si="40"/>
        <v>Open</v>
      </c>
      <c r="D2624" s="45" t="s">
        <v>14780</v>
      </c>
      <c r="E2624" s="54" t="s">
        <v>14781</v>
      </c>
      <c r="F2624" s="5" t="s">
        <v>5406</v>
      </c>
      <c r="G2624" s="10">
        <f>DATE(2018,2,20)</f>
        <v>43151</v>
      </c>
      <c r="H2624" s="35">
        <v>1.7270833333333333</v>
      </c>
      <c r="I2624" s="5" t="s">
        <v>55</v>
      </c>
      <c r="J2624" s="10" t="s">
        <v>14782</v>
      </c>
      <c r="K2624" s="5" t="s">
        <v>577</v>
      </c>
      <c r="L2624" s="5" t="s">
        <v>14783</v>
      </c>
      <c r="M2624" s="5" t="s">
        <v>45</v>
      </c>
      <c r="N2624" s="5" t="s">
        <v>80</v>
      </c>
      <c r="O2624" s="5" t="s">
        <v>46</v>
      </c>
      <c r="P2624" s="10" t="s">
        <v>60</v>
      </c>
      <c r="Q2624" s="10" t="s">
        <v>13117</v>
      </c>
      <c r="R2624" s="10" t="s">
        <v>12052</v>
      </c>
      <c r="S2624" s="5">
        <v>0</v>
      </c>
      <c r="T2624" s="37">
        <v>0</v>
      </c>
      <c r="U2624" s="5">
        <v>0</v>
      </c>
      <c r="V2624" s="37">
        <v>0</v>
      </c>
      <c r="W2624" s="5">
        <v>0</v>
      </c>
      <c r="X2624" s="5">
        <v>0</v>
      </c>
      <c r="Y2624" s="5">
        <v>0</v>
      </c>
      <c r="Z2624" s="37">
        <v>0</v>
      </c>
      <c r="AA2624" s="5">
        <v>0</v>
      </c>
      <c r="AB2624" s="5">
        <v>0</v>
      </c>
      <c r="AC2624" s="5">
        <v>0</v>
      </c>
      <c r="AD2624" s="5">
        <v>0</v>
      </c>
      <c r="AE2624" s="10" t="s">
        <v>73</v>
      </c>
      <c r="AF2624" s="10"/>
      <c r="AG2624" s="10" t="s">
        <v>333</v>
      </c>
      <c r="AH2624" s="10">
        <v>43178</v>
      </c>
      <c r="AI2624" s="5">
        <v>0</v>
      </c>
      <c r="AJ2624" s="10" t="s">
        <v>50</v>
      </c>
      <c r="AK2624" s="10" t="s">
        <v>50</v>
      </c>
    </row>
    <row r="2625" spans="1:37" ht="36.75" customHeight="1" x14ac:dyDescent="0.35">
      <c r="A2625" s="5"/>
      <c r="B2625" s="5" t="s">
        <v>37</v>
      </c>
      <c r="C2625" s="73" t="str">
        <f t="shared" si="40"/>
        <v>Closed</v>
      </c>
      <c r="D2625" s="45" t="s">
        <v>14784</v>
      </c>
      <c r="E2625" s="54" t="s">
        <v>14785</v>
      </c>
      <c r="F2625" s="5" t="s">
        <v>5406</v>
      </c>
      <c r="G2625" s="10">
        <f>DATE(2018,2,21)</f>
        <v>43152</v>
      </c>
      <c r="H2625" s="35">
        <v>1.78125</v>
      </c>
      <c r="I2625" s="5" t="s">
        <v>259</v>
      </c>
      <c r="J2625" s="10" t="s">
        <v>14786</v>
      </c>
      <c r="K2625" s="5" t="s">
        <v>577</v>
      </c>
      <c r="L2625" s="5" t="s">
        <v>14787</v>
      </c>
      <c r="M2625" s="5" t="s">
        <v>45</v>
      </c>
      <c r="N2625" s="5" t="s">
        <v>80</v>
      </c>
      <c r="O2625" s="5" t="s">
        <v>71</v>
      </c>
      <c r="P2625" s="10" t="s">
        <v>72</v>
      </c>
      <c r="Q2625" s="10" t="s">
        <v>13117</v>
      </c>
      <c r="R2625" s="10" t="s">
        <v>12052</v>
      </c>
      <c r="S2625" s="5">
        <v>0</v>
      </c>
      <c r="T2625" s="37">
        <v>1</v>
      </c>
      <c r="U2625" s="5">
        <v>0</v>
      </c>
      <c r="V2625" s="37">
        <v>0</v>
      </c>
      <c r="W2625" s="5">
        <v>0</v>
      </c>
      <c r="X2625" s="5">
        <v>1</v>
      </c>
      <c r="Y2625" s="5">
        <v>0</v>
      </c>
      <c r="Z2625" s="37">
        <v>0</v>
      </c>
      <c r="AA2625" s="5">
        <v>0</v>
      </c>
      <c r="AB2625" s="5">
        <v>0</v>
      </c>
      <c r="AC2625" s="5">
        <v>0</v>
      </c>
      <c r="AD2625" s="5">
        <v>0</v>
      </c>
      <c r="AE2625" s="10" t="s">
        <v>73</v>
      </c>
      <c r="AF2625" s="10" t="s">
        <v>6998</v>
      </c>
      <c r="AG2625" s="10" t="s">
        <v>6438</v>
      </c>
      <c r="AH2625" s="10">
        <v>43154</v>
      </c>
      <c r="AI2625" s="5">
        <v>7</v>
      </c>
      <c r="AJ2625" s="10" t="s">
        <v>14788</v>
      </c>
      <c r="AK2625" s="10" t="s">
        <v>14789</v>
      </c>
    </row>
    <row r="2626" spans="1:37" ht="36.75" customHeight="1" x14ac:dyDescent="0.35">
      <c r="A2626" s="5"/>
      <c r="B2626" s="5" t="s">
        <v>37</v>
      </c>
      <c r="C2626" s="73" t="str">
        <f t="shared" ref="C2626:C2689" si="41">IF(B2626="Notification","Open",IF(B2626="Interim Statement","In progress","Closed"))</f>
        <v>Closed</v>
      </c>
      <c r="D2626" s="45" t="s">
        <v>14790</v>
      </c>
      <c r="E2626" s="54" t="s">
        <v>14791</v>
      </c>
      <c r="F2626" s="5" t="s">
        <v>214</v>
      </c>
      <c r="G2626" s="10">
        <f>DATE(2018,2,21)</f>
        <v>43152</v>
      </c>
      <c r="H2626" s="35">
        <v>1.4513888888888888</v>
      </c>
      <c r="I2626" s="5" t="s">
        <v>259</v>
      </c>
      <c r="J2626" s="10" t="s">
        <v>14792</v>
      </c>
      <c r="K2626" s="5" t="s">
        <v>216</v>
      </c>
      <c r="L2626" s="5" t="s">
        <v>14793</v>
      </c>
      <c r="M2626" s="5" t="s">
        <v>110</v>
      </c>
      <c r="N2626" s="5" t="s">
        <v>123</v>
      </c>
      <c r="O2626" s="5" t="s">
        <v>46</v>
      </c>
      <c r="P2626" s="10" t="s">
        <v>110</v>
      </c>
      <c r="Q2626" s="10" t="s">
        <v>14794</v>
      </c>
      <c r="R2626" s="10" t="s">
        <v>216</v>
      </c>
      <c r="S2626" s="5">
        <v>0</v>
      </c>
      <c r="T2626" s="37">
        <v>0</v>
      </c>
      <c r="U2626" s="5">
        <v>0</v>
      </c>
      <c r="V2626" s="37">
        <v>0</v>
      </c>
      <c r="W2626" s="5">
        <v>0</v>
      </c>
      <c r="X2626" s="5">
        <v>0</v>
      </c>
      <c r="Y2626" s="5">
        <v>0</v>
      </c>
      <c r="Z2626" s="37">
        <v>0</v>
      </c>
      <c r="AA2626" s="5">
        <v>0</v>
      </c>
      <c r="AB2626" s="5">
        <v>0</v>
      </c>
      <c r="AC2626" s="5">
        <v>0</v>
      </c>
      <c r="AD2626" s="5">
        <v>0</v>
      </c>
      <c r="AE2626" s="10" t="s">
        <v>73</v>
      </c>
      <c r="AF2626" s="10"/>
      <c r="AG2626" s="10" t="s">
        <v>114</v>
      </c>
      <c r="AH2626" s="10">
        <v>43178</v>
      </c>
      <c r="AI2626" s="5">
        <v>5</v>
      </c>
      <c r="AJ2626" s="10" t="s">
        <v>14795</v>
      </c>
      <c r="AK2626" s="10" t="s">
        <v>14796</v>
      </c>
    </row>
    <row r="2627" spans="1:37" ht="36.75" customHeight="1" x14ac:dyDescent="0.35">
      <c r="A2627" s="5"/>
      <c r="B2627" s="5" t="s">
        <v>37</v>
      </c>
      <c r="C2627" s="73" t="str">
        <f t="shared" si="41"/>
        <v>Closed</v>
      </c>
      <c r="D2627" s="45" t="s">
        <v>14797</v>
      </c>
      <c r="E2627" s="54" t="s">
        <v>14798</v>
      </c>
      <c r="F2627" s="5" t="s">
        <v>96</v>
      </c>
      <c r="G2627" s="10">
        <f>DATE(2018,2,22)</f>
        <v>43153</v>
      </c>
      <c r="H2627" s="35">
        <v>1.8374999999999999</v>
      </c>
      <c r="I2627" s="5" t="s">
        <v>259</v>
      </c>
      <c r="J2627" s="10" t="s">
        <v>14799</v>
      </c>
      <c r="K2627" s="5" t="s">
        <v>99</v>
      </c>
      <c r="L2627" s="5" t="s">
        <v>14800</v>
      </c>
      <c r="M2627" s="5" t="s">
        <v>45</v>
      </c>
      <c r="N2627" s="5" t="s">
        <v>123</v>
      </c>
      <c r="O2627" s="5" t="s">
        <v>59</v>
      </c>
      <c r="P2627" s="10" t="s">
        <v>146</v>
      </c>
      <c r="Q2627" s="10" t="s">
        <v>101</v>
      </c>
      <c r="R2627" s="10" t="s">
        <v>102</v>
      </c>
      <c r="S2627" s="5">
        <v>0</v>
      </c>
      <c r="T2627" s="37">
        <v>0</v>
      </c>
      <c r="U2627" s="5">
        <v>0</v>
      </c>
      <c r="V2627" s="37">
        <v>1</v>
      </c>
      <c r="W2627" s="5">
        <v>0</v>
      </c>
      <c r="X2627" s="5">
        <v>1</v>
      </c>
      <c r="Y2627" s="5">
        <v>0</v>
      </c>
      <c r="Z2627" s="37">
        <v>0</v>
      </c>
      <c r="AA2627" s="5">
        <v>0</v>
      </c>
      <c r="AB2627" s="5">
        <v>0</v>
      </c>
      <c r="AC2627" s="5">
        <v>0</v>
      </c>
      <c r="AD2627" s="5">
        <v>0</v>
      </c>
      <c r="AE2627" s="10" t="s">
        <v>73</v>
      </c>
      <c r="AF2627" s="10"/>
      <c r="AG2627" s="10" t="s">
        <v>333</v>
      </c>
      <c r="AH2627" s="10">
        <v>43164</v>
      </c>
      <c r="AI2627" s="5">
        <v>5</v>
      </c>
      <c r="AJ2627" s="10" t="s">
        <v>14801</v>
      </c>
      <c r="AK2627" s="10" t="s">
        <v>14802</v>
      </c>
    </row>
    <row r="2628" spans="1:37" ht="36.75" customHeight="1" x14ac:dyDescent="0.35">
      <c r="A2628" s="5"/>
      <c r="B2628" s="5" t="s">
        <v>37</v>
      </c>
      <c r="C2628" s="73" t="str">
        <f t="shared" si="41"/>
        <v>Closed</v>
      </c>
      <c r="D2628" s="45" t="s">
        <v>14803</v>
      </c>
      <c r="E2628" s="54" t="s">
        <v>14804</v>
      </c>
      <c r="F2628" s="5" t="s">
        <v>105</v>
      </c>
      <c r="G2628" s="10">
        <f>DATE(2018,2,22)</f>
        <v>43153</v>
      </c>
      <c r="H2628" s="35">
        <v>1.5159722222222221</v>
      </c>
      <c r="I2628" s="5" t="s">
        <v>5473</v>
      </c>
      <c r="J2628" s="10" t="s">
        <v>14805</v>
      </c>
      <c r="K2628" s="5" t="s">
        <v>108</v>
      </c>
      <c r="L2628" s="5" t="s">
        <v>14806</v>
      </c>
      <c r="M2628" s="5" t="s">
        <v>45</v>
      </c>
      <c r="N2628" s="5" t="s">
        <v>80</v>
      </c>
      <c r="O2628" s="5" t="s">
        <v>59</v>
      </c>
      <c r="P2628" s="10" t="s">
        <v>6920</v>
      </c>
      <c r="Q2628" s="10" t="s">
        <v>210</v>
      </c>
      <c r="R2628" s="10" t="s">
        <v>148</v>
      </c>
      <c r="S2628" s="5">
        <v>1</v>
      </c>
      <c r="T2628" s="37">
        <v>0</v>
      </c>
      <c r="U2628" s="5">
        <v>0</v>
      </c>
      <c r="V2628" s="37">
        <v>0</v>
      </c>
      <c r="W2628" s="5">
        <v>0</v>
      </c>
      <c r="X2628" s="5">
        <v>1</v>
      </c>
      <c r="Y2628" s="5">
        <v>0</v>
      </c>
      <c r="Z2628" s="37">
        <v>0</v>
      </c>
      <c r="AA2628" s="5">
        <v>0</v>
      </c>
      <c r="AB2628" s="5">
        <v>0</v>
      </c>
      <c r="AC2628" s="5">
        <v>0</v>
      </c>
      <c r="AD2628" s="5">
        <v>0</v>
      </c>
      <c r="AE2628" s="10" t="s">
        <v>73</v>
      </c>
      <c r="AF2628" s="10"/>
      <c r="AG2628" s="10" t="s">
        <v>64</v>
      </c>
      <c r="AH2628" s="10">
        <v>43164</v>
      </c>
      <c r="AI2628" s="5">
        <v>1</v>
      </c>
      <c r="AJ2628" s="10" t="s">
        <v>14807</v>
      </c>
      <c r="AK2628" s="10" t="s">
        <v>50</v>
      </c>
    </row>
    <row r="2629" spans="1:37" ht="36.75" customHeight="1" x14ac:dyDescent="0.35">
      <c r="A2629" s="5"/>
      <c r="B2629" s="5" t="s">
        <v>37</v>
      </c>
      <c r="C2629" s="73" t="str">
        <f t="shared" si="41"/>
        <v>Closed</v>
      </c>
      <c r="D2629" s="45" t="s">
        <v>14808</v>
      </c>
      <c r="E2629" s="54" t="s">
        <v>14809</v>
      </c>
      <c r="F2629" s="5" t="s">
        <v>816</v>
      </c>
      <c r="G2629" s="10">
        <f>DATE(2018,2,23)</f>
        <v>43154</v>
      </c>
      <c r="H2629" s="35">
        <v>1.0069444444444444</v>
      </c>
      <c r="I2629" s="5" t="s">
        <v>55</v>
      </c>
      <c r="J2629" s="10" t="s">
        <v>14810</v>
      </c>
      <c r="K2629" s="5" t="s">
        <v>818</v>
      </c>
      <c r="L2629" s="5" t="s">
        <v>14811</v>
      </c>
      <c r="M2629" s="5" t="s">
        <v>45</v>
      </c>
      <c r="N2629" s="5" t="s">
        <v>123</v>
      </c>
      <c r="O2629" s="5" t="s">
        <v>59</v>
      </c>
      <c r="P2629" s="10" t="s">
        <v>60</v>
      </c>
      <c r="Q2629" s="10" t="s">
        <v>6539</v>
      </c>
      <c r="R2629" s="10" t="s">
        <v>821</v>
      </c>
      <c r="S2629" s="5">
        <v>0</v>
      </c>
      <c r="T2629" s="37">
        <v>0</v>
      </c>
      <c r="U2629" s="5">
        <v>0</v>
      </c>
      <c r="V2629" s="37">
        <v>0</v>
      </c>
      <c r="W2629" s="5">
        <v>0</v>
      </c>
      <c r="X2629" s="5">
        <v>0</v>
      </c>
      <c r="Y2629" s="5">
        <v>0</v>
      </c>
      <c r="Z2629" s="37">
        <v>0</v>
      </c>
      <c r="AA2629" s="5">
        <v>0</v>
      </c>
      <c r="AB2629" s="5">
        <v>0</v>
      </c>
      <c r="AC2629" s="5">
        <v>0</v>
      </c>
      <c r="AD2629" s="5">
        <v>0</v>
      </c>
      <c r="AE2629" s="10" t="s">
        <v>73</v>
      </c>
      <c r="AF2629" s="10"/>
      <c r="AG2629" s="10" t="s">
        <v>333</v>
      </c>
      <c r="AH2629" s="10">
        <v>43285</v>
      </c>
      <c r="AI2629" s="5">
        <v>0</v>
      </c>
      <c r="AJ2629" s="10" t="s">
        <v>14812</v>
      </c>
      <c r="AK2629" s="10" t="s">
        <v>14813</v>
      </c>
    </row>
    <row r="2630" spans="1:37" ht="36.75" customHeight="1" x14ac:dyDescent="0.35">
      <c r="A2630" s="5"/>
      <c r="B2630" s="5" t="s">
        <v>37</v>
      </c>
      <c r="C2630" s="73" t="str">
        <f t="shared" si="41"/>
        <v>Closed</v>
      </c>
      <c r="D2630" s="45" t="s">
        <v>14814</v>
      </c>
      <c r="E2630" s="54" t="s">
        <v>14815</v>
      </c>
      <c r="F2630" s="5" t="s">
        <v>1553</v>
      </c>
      <c r="G2630" s="10">
        <f>DATE(2018,2,24)</f>
        <v>43155</v>
      </c>
      <c r="H2630" s="35">
        <v>1.3055555555555556</v>
      </c>
      <c r="I2630" s="5" t="s">
        <v>55</v>
      </c>
      <c r="J2630" s="10" t="s">
        <v>14816</v>
      </c>
      <c r="K2630" s="5" t="s">
        <v>1555</v>
      </c>
      <c r="L2630" s="5" t="s">
        <v>7922</v>
      </c>
      <c r="M2630" s="5" t="s">
        <v>45</v>
      </c>
      <c r="N2630" s="5" t="s">
        <v>123</v>
      </c>
      <c r="O2630" s="5" t="s">
        <v>59</v>
      </c>
      <c r="P2630" s="10" t="s">
        <v>60</v>
      </c>
      <c r="Q2630" s="10" t="s">
        <v>2635</v>
      </c>
      <c r="R2630" s="10" t="s">
        <v>6413</v>
      </c>
      <c r="S2630" s="5">
        <v>0</v>
      </c>
      <c r="T2630" s="37">
        <v>0</v>
      </c>
      <c r="U2630" s="5">
        <v>0</v>
      </c>
      <c r="V2630" s="37">
        <v>0</v>
      </c>
      <c r="W2630" s="5">
        <v>0</v>
      </c>
      <c r="X2630" s="5">
        <v>0</v>
      </c>
      <c r="Y2630" s="5">
        <v>0</v>
      </c>
      <c r="Z2630" s="37">
        <v>0</v>
      </c>
      <c r="AA2630" s="5">
        <v>0</v>
      </c>
      <c r="AB2630" s="5">
        <v>0</v>
      </c>
      <c r="AC2630" s="5">
        <v>0</v>
      </c>
      <c r="AD2630" s="5">
        <v>0</v>
      </c>
      <c r="AE2630" s="10" t="s">
        <v>73</v>
      </c>
      <c r="AF2630" s="10"/>
      <c r="AG2630" s="10" t="s">
        <v>114</v>
      </c>
      <c r="AH2630" s="10">
        <v>43185</v>
      </c>
      <c r="AI2630" s="5">
        <v>1</v>
      </c>
      <c r="AJ2630" s="10" t="s">
        <v>14817</v>
      </c>
      <c r="AK2630" s="10" t="s">
        <v>14818</v>
      </c>
    </row>
    <row r="2631" spans="1:37" ht="36.75" customHeight="1" x14ac:dyDescent="0.35">
      <c r="A2631" s="5"/>
      <c r="B2631" s="5" t="s">
        <v>37</v>
      </c>
      <c r="C2631" s="73" t="str">
        <f t="shared" si="41"/>
        <v>Closed</v>
      </c>
      <c r="D2631" s="45" t="s">
        <v>14819</v>
      </c>
      <c r="E2631" s="54" t="s">
        <v>14820</v>
      </c>
      <c r="F2631" s="5" t="s">
        <v>2316</v>
      </c>
      <c r="G2631" s="10">
        <f>DATE(2018,2,27)</f>
        <v>43158</v>
      </c>
      <c r="H2631" s="35">
        <v>1.7895833333333333</v>
      </c>
      <c r="I2631" s="5" t="s">
        <v>97</v>
      </c>
      <c r="J2631" s="10" t="s">
        <v>14821</v>
      </c>
      <c r="K2631" s="5" t="s">
        <v>2318</v>
      </c>
      <c r="L2631" s="5" t="s">
        <v>14822</v>
      </c>
      <c r="M2631" s="5" t="s">
        <v>45</v>
      </c>
      <c r="N2631" s="5" t="s">
        <v>80</v>
      </c>
      <c r="O2631" s="5" t="s">
        <v>46</v>
      </c>
      <c r="P2631" s="10" t="s">
        <v>146</v>
      </c>
      <c r="Q2631" s="10" t="s">
        <v>13488</v>
      </c>
      <c r="R2631" s="10" t="s">
        <v>2321</v>
      </c>
      <c r="S2631" s="5">
        <v>0</v>
      </c>
      <c r="T2631" s="37">
        <v>0</v>
      </c>
      <c r="U2631" s="5">
        <v>4</v>
      </c>
      <c r="V2631" s="37">
        <v>0</v>
      </c>
      <c r="W2631" s="5">
        <v>0</v>
      </c>
      <c r="X2631" s="5">
        <v>4</v>
      </c>
      <c r="Y2631" s="5">
        <v>0</v>
      </c>
      <c r="Z2631" s="37">
        <v>0</v>
      </c>
      <c r="AA2631" s="5">
        <v>0</v>
      </c>
      <c r="AB2631" s="5">
        <v>0</v>
      </c>
      <c r="AC2631" s="5">
        <v>0</v>
      </c>
      <c r="AD2631" s="5">
        <v>0</v>
      </c>
      <c r="AE2631" s="10" t="s">
        <v>73</v>
      </c>
      <c r="AF2631" s="10"/>
      <c r="AG2631" s="10" t="s">
        <v>64</v>
      </c>
      <c r="AH2631" s="10">
        <v>43160</v>
      </c>
      <c r="AI2631" s="5">
        <v>20</v>
      </c>
      <c r="AJ2631" s="10" t="s">
        <v>14823</v>
      </c>
      <c r="AK2631" s="10" t="s">
        <v>14824</v>
      </c>
    </row>
    <row r="2632" spans="1:37" ht="36.75" customHeight="1" x14ac:dyDescent="0.35">
      <c r="A2632" s="5"/>
      <c r="B2632" s="5" t="s">
        <v>37</v>
      </c>
      <c r="C2632" s="73" t="str">
        <f t="shared" si="41"/>
        <v>Closed</v>
      </c>
      <c r="D2632" s="45" t="s">
        <v>14825</v>
      </c>
      <c r="E2632" s="54" t="s">
        <v>14826</v>
      </c>
      <c r="F2632" s="5" t="s">
        <v>404</v>
      </c>
      <c r="G2632" s="10">
        <f>DATE(2018,2,28)</f>
        <v>43159</v>
      </c>
      <c r="H2632" s="35">
        <v>1.35625</v>
      </c>
      <c r="I2632" s="5" t="s">
        <v>55</v>
      </c>
      <c r="J2632" s="10" t="s">
        <v>14827</v>
      </c>
      <c r="K2632" s="5" t="s">
        <v>406</v>
      </c>
      <c r="L2632" s="5" t="s">
        <v>14828</v>
      </c>
      <c r="M2632" s="5" t="s">
        <v>45</v>
      </c>
      <c r="N2632" s="5" t="s">
        <v>80</v>
      </c>
      <c r="O2632" s="5" t="s">
        <v>6854</v>
      </c>
      <c r="P2632" s="10" t="s">
        <v>72</v>
      </c>
      <c r="Q2632" s="10" t="s">
        <v>14829</v>
      </c>
      <c r="R2632" s="10" t="s">
        <v>4251</v>
      </c>
      <c r="S2632" s="5">
        <v>0</v>
      </c>
      <c r="T2632" s="37">
        <v>0</v>
      </c>
      <c r="U2632" s="5">
        <v>0</v>
      </c>
      <c r="V2632" s="37">
        <v>0</v>
      </c>
      <c r="W2632" s="5">
        <v>0</v>
      </c>
      <c r="X2632" s="5">
        <v>0</v>
      </c>
      <c r="Y2632" s="5">
        <v>0</v>
      </c>
      <c r="Z2632" s="37">
        <v>1</v>
      </c>
      <c r="AA2632" s="5">
        <v>0</v>
      </c>
      <c r="AB2632" s="5">
        <v>0</v>
      </c>
      <c r="AC2632" s="5">
        <v>0</v>
      </c>
      <c r="AD2632" s="5">
        <v>1</v>
      </c>
      <c r="AE2632" s="10" t="s">
        <v>73</v>
      </c>
      <c r="AF2632" s="10"/>
      <c r="AG2632" s="10" t="s">
        <v>114</v>
      </c>
      <c r="AH2632" s="10">
        <v>43159</v>
      </c>
      <c r="AI2632" s="5">
        <v>0</v>
      </c>
      <c r="AJ2632" s="10" t="s">
        <v>14830</v>
      </c>
      <c r="AK2632" s="10" t="s">
        <v>14831</v>
      </c>
    </row>
    <row r="2633" spans="1:37" ht="36.75" customHeight="1" x14ac:dyDescent="0.35">
      <c r="A2633" s="5"/>
      <c r="B2633" s="5" t="s">
        <v>37</v>
      </c>
      <c r="C2633" s="73" t="str">
        <f t="shared" si="41"/>
        <v>Closed</v>
      </c>
      <c r="D2633" s="45" t="s">
        <v>14832</v>
      </c>
      <c r="E2633" s="54" t="s">
        <v>14833</v>
      </c>
      <c r="F2633" s="5" t="s">
        <v>105</v>
      </c>
      <c r="G2633" s="10">
        <f>DATE(2018,3,2)</f>
        <v>43161</v>
      </c>
      <c r="H2633" s="35">
        <v>1.96875</v>
      </c>
      <c r="I2633" s="5" t="s">
        <v>259</v>
      </c>
      <c r="J2633" s="10" t="s">
        <v>14834</v>
      </c>
      <c r="K2633" s="5" t="s">
        <v>108</v>
      </c>
      <c r="L2633" s="5" t="s">
        <v>14835</v>
      </c>
      <c r="M2633" s="5" t="s">
        <v>45</v>
      </c>
      <c r="N2633" s="5" t="s">
        <v>123</v>
      </c>
      <c r="O2633" s="5" t="s">
        <v>46</v>
      </c>
      <c r="P2633" s="10" t="s">
        <v>146</v>
      </c>
      <c r="Q2633" s="10" t="s">
        <v>210</v>
      </c>
      <c r="R2633" s="10" t="s">
        <v>148</v>
      </c>
      <c r="S2633" s="5">
        <v>0</v>
      </c>
      <c r="T2633" s="37">
        <v>0</v>
      </c>
      <c r="U2633" s="5">
        <v>0</v>
      </c>
      <c r="V2633" s="37">
        <v>2</v>
      </c>
      <c r="W2633" s="5">
        <v>0</v>
      </c>
      <c r="X2633" s="5">
        <v>2</v>
      </c>
      <c r="Y2633" s="5">
        <v>0</v>
      </c>
      <c r="Z2633" s="37">
        <v>0</v>
      </c>
      <c r="AA2633" s="5">
        <v>0</v>
      </c>
      <c r="AB2633" s="5">
        <v>0</v>
      </c>
      <c r="AC2633" s="5">
        <v>0</v>
      </c>
      <c r="AD2633" s="5">
        <v>0</v>
      </c>
      <c r="AE2633" s="10" t="s">
        <v>73</v>
      </c>
      <c r="AF2633" s="10"/>
      <c r="AG2633" s="10" t="s">
        <v>64</v>
      </c>
      <c r="AH2633" s="10">
        <v>43165</v>
      </c>
      <c r="AI2633" s="5">
        <v>0</v>
      </c>
      <c r="AJ2633" s="10" t="s">
        <v>14836</v>
      </c>
      <c r="AK2633" s="10" t="s">
        <v>50</v>
      </c>
    </row>
    <row r="2634" spans="1:37" ht="36.75" customHeight="1" x14ac:dyDescent="0.35">
      <c r="A2634" s="5"/>
      <c r="B2634" s="5" t="s">
        <v>37</v>
      </c>
      <c r="C2634" s="73" t="str">
        <f t="shared" si="41"/>
        <v>Closed</v>
      </c>
      <c r="D2634" s="45" t="s">
        <v>14837</v>
      </c>
      <c r="E2634" s="54" t="s">
        <v>14838</v>
      </c>
      <c r="F2634" s="5" t="s">
        <v>214</v>
      </c>
      <c r="G2634" s="10">
        <f>DATE(2018,3,2)</f>
        <v>43161</v>
      </c>
      <c r="H2634" s="35">
        <v>1.7361111111111112</v>
      </c>
      <c r="I2634" s="5" t="s">
        <v>259</v>
      </c>
      <c r="J2634" s="10" t="s">
        <v>14839</v>
      </c>
      <c r="K2634" s="5" t="s">
        <v>216</v>
      </c>
      <c r="L2634" s="5" t="s">
        <v>13181</v>
      </c>
      <c r="M2634" s="5" t="s">
        <v>45</v>
      </c>
      <c r="N2634" s="5" t="s">
        <v>70</v>
      </c>
      <c r="O2634" s="5" t="s">
        <v>46</v>
      </c>
      <c r="P2634" s="10" t="s">
        <v>6881</v>
      </c>
      <c r="Q2634" s="10" t="s">
        <v>1503</v>
      </c>
      <c r="R2634" s="10" t="s">
        <v>216</v>
      </c>
      <c r="S2634" s="5">
        <v>0</v>
      </c>
      <c r="T2634" s="37">
        <v>0</v>
      </c>
      <c r="U2634" s="5">
        <v>0</v>
      </c>
      <c r="V2634" s="37">
        <v>0</v>
      </c>
      <c r="W2634" s="5">
        <v>0</v>
      </c>
      <c r="X2634" s="5">
        <v>0</v>
      </c>
      <c r="Y2634" s="5">
        <v>0</v>
      </c>
      <c r="Z2634" s="37">
        <v>0</v>
      </c>
      <c r="AA2634" s="5">
        <v>0</v>
      </c>
      <c r="AB2634" s="5">
        <v>0</v>
      </c>
      <c r="AC2634" s="5">
        <v>0</v>
      </c>
      <c r="AD2634" s="5">
        <v>0</v>
      </c>
      <c r="AE2634" s="10" t="s">
        <v>73</v>
      </c>
      <c r="AF2634" s="10"/>
      <c r="AG2634" s="10" t="s">
        <v>114</v>
      </c>
      <c r="AH2634" s="10">
        <v>43171</v>
      </c>
      <c r="AI2634" s="5">
        <v>5</v>
      </c>
      <c r="AJ2634" s="10" t="s">
        <v>14840</v>
      </c>
      <c r="AK2634" s="10" t="s">
        <v>14841</v>
      </c>
    </row>
    <row r="2635" spans="1:37" ht="36.75" customHeight="1" x14ac:dyDescent="0.35">
      <c r="A2635" s="5"/>
      <c r="B2635" s="5" t="s">
        <v>37</v>
      </c>
      <c r="C2635" s="73" t="str">
        <f t="shared" si="41"/>
        <v>Closed</v>
      </c>
      <c r="D2635" s="45" t="s">
        <v>14842</v>
      </c>
      <c r="E2635" s="54" t="s">
        <v>14843</v>
      </c>
      <c r="F2635" s="5" t="s">
        <v>404</v>
      </c>
      <c r="G2635" s="10">
        <f>DATE(2018,3,3)</f>
        <v>43162</v>
      </c>
      <c r="H2635" s="35">
        <v>1.4333333333333333</v>
      </c>
      <c r="I2635" s="5" t="s">
        <v>55</v>
      </c>
      <c r="J2635" s="10" t="s">
        <v>14844</v>
      </c>
      <c r="K2635" s="5" t="s">
        <v>406</v>
      </c>
      <c r="L2635" s="5" t="s">
        <v>6497</v>
      </c>
      <c r="M2635" s="5" t="s">
        <v>45</v>
      </c>
      <c r="N2635" s="5" t="s">
        <v>123</v>
      </c>
      <c r="O2635" s="5" t="s">
        <v>59</v>
      </c>
      <c r="P2635" s="10" t="s">
        <v>60</v>
      </c>
      <c r="Q2635" s="10" t="s">
        <v>2562</v>
      </c>
      <c r="R2635" s="10" t="s">
        <v>3083</v>
      </c>
      <c r="S2635" s="5">
        <v>0</v>
      </c>
      <c r="T2635" s="37">
        <v>0</v>
      </c>
      <c r="U2635" s="5">
        <v>0</v>
      </c>
      <c r="V2635" s="37">
        <v>0</v>
      </c>
      <c r="W2635" s="5">
        <v>0</v>
      </c>
      <c r="X2635" s="5">
        <v>0</v>
      </c>
      <c r="Y2635" s="5">
        <v>0</v>
      </c>
      <c r="Z2635" s="37">
        <v>0</v>
      </c>
      <c r="AA2635" s="5">
        <v>0</v>
      </c>
      <c r="AB2635" s="5">
        <v>0</v>
      </c>
      <c r="AC2635" s="5">
        <v>0</v>
      </c>
      <c r="AD2635" s="5">
        <v>0</v>
      </c>
      <c r="AE2635" s="10" t="s">
        <v>73</v>
      </c>
      <c r="AF2635" s="10"/>
      <c r="AG2635" s="10" t="s">
        <v>114</v>
      </c>
      <c r="AH2635" s="10">
        <v>43162</v>
      </c>
      <c r="AI2635" s="5">
        <v>1</v>
      </c>
      <c r="AJ2635" s="10" t="s">
        <v>14845</v>
      </c>
      <c r="AK2635" s="10" t="s">
        <v>14846</v>
      </c>
    </row>
    <row r="2636" spans="1:37" ht="36.75" customHeight="1" x14ac:dyDescent="0.35">
      <c r="A2636" s="5"/>
      <c r="B2636" s="5" t="s">
        <v>887</v>
      </c>
      <c r="C2636" s="73" t="str">
        <f t="shared" si="41"/>
        <v>Open</v>
      </c>
      <c r="D2636" s="45" t="s">
        <v>14847</v>
      </c>
      <c r="E2636" s="54" t="s">
        <v>14848</v>
      </c>
      <c r="F2636" s="5" t="s">
        <v>5406</v>
      </c>
      <c r="G2636" s="10">
        <f>DATE(2018,3,4)</f>
        <v>43163</v>
      </c>
      <c r="H2636" s="35">
        <v>0</v>
      </c>
      <c r="I2636" s="5" t="s">
        <v>137</v>
      </c>
      <c r="J2636" s="10" t="s">
        <v>14849</v>
      </c>
      <c r="K2636" s="5" t="s">
        <v>577</v>
      </c>
      <c r="L2636" s="5" t="s">
        <v>14850</v>
      </c>
      <c r="M2636" s="5" t="s">
        <v>45</v>
      </c>
      <c r="N2636" s="5" t="s">
        <v>80</v>
      </c>
      <c r="O2636" s="5" t="s">
        <v>46</v>
      </c>
      <c r="P2636" s="10" t="s">
        <v>47</v>
      </c>
      <c r="Q2636" s="10" t="s">
        <v>10507</v>
      </c>
      <c r="R2636" s="10" t="s">
        <v>12052</v>
      </c>
      <c r="S2636" s="5">
        <v>0</v>
      </c>
      <c r="T2636" s="37">
        <v>0</v>
      </c>
      <c r="U2636" s="5">
        <v>0</v>
      </c>
      <c r="V2636" s="37">
        <v>0</v>
      </c>
      <c r="W2636" s="5">
        <v>0</v>
      </c>
      <c r="X2636" s="5">
        <v>0</v>
      </c>
      <c r="Y2636" s="5">
        <v>0</v>
      </c>
      <c r="Z2636" s="37">
        <v>0</v>
      </c>
      <c r="AA2636" s="5">
        <v>0</v>
      </c>
      <c r="AB2636" s="5">
        <v>0</v>
      </c>
      <c r="AC2636" s="5">
        <v>0</v>
      </c>
      <c r="AD2636" s="5">
        <v>0</v>
      </c>
      <c r="AE2636" s="10" t="s">
        <v>73</v>
      </c>
      <c r="AF2636" s="10"/>
      <c r="AG2636" s="10" t="s">
        <v>333</v>
      </c>
      <c r="AH2636" s="10">
        <v>43180</v>
      </c>
      <c r="AI2636" s="5">
        <v>0</v>
      </c>
      <c r="AJ2636" s="10" t="s">
        <v>50</v>
      </c>
      <c r="AK2636" s="10" t="s">
        <v>50</v>
      </c>
    </row>
    <row r="2637" spans="1:37" ht="36.75" customHeight="1" x14ac:dyDescent="0.35">
      <c r="A2637" s="5"/>
      <c r="B2637" s="5" t="s">
        <v>14851</v>
      </c>
      <c r="C2637" s="73" t="str">
        <f t="shared" si="41"/>
        <v>In progress</v>
      </c>
      <c r="D2637" s="45" t="s">
        <v>14852</v>
      </c>
      <c r="E2637" s="54" t="s">
        <v>14853</v>
      </c>
      <c r="F2637" s="5" t="s">
        <v>14854</v>
      </c>
      <c r="G2637" s="10">
        <f>DATE(2018,3,5)</f>
        <v>43164</v>
      </c>
      <c r="H2637" s="35">
        <v>1.3479166666666667</v>
      </c>
      <c r="I2637" s="5" t="s">
        <v>259</v>
      </c>
      <c r="J2637" s="10" t="s">
        <v>14855</v>
      </c>
      <c r="K2637" s="5" t="s">
        <v>12858</v>
      </c>
      <c r="L2637" s="5" t="s">
        <v>14856</v>
      </c>
      <c r="M2637" s="5" t="s">
        <v>45</v>
      </c>
      <c r="N2637" s="5" t="s">
        <v>70</v>
      </c>
      <c r="O2637" s="5" t="s">
        <v>59</v>
      </c>
      <c r="P2637" s="10" t="s">
        <v>60</v>
      </c>
      <c r="Q2637" s="10" t="s">
        <v>14857</v>
      </c>
      <c r="R2637" s="10" t="s">
        <v>14857</v>
      </c>
      <c r="S2637" s="5">
        <v>0</v>
      </c>
      <c r="T2637" s="37">
        <v>2</v>
      </c>
      <c r="U2637" s="5">
        <v>0</v>
      </c>
      <c r="V2637" s="37">
        <v>0</v>
      </c>
      <c r="W2637" s="5">
        <v>0</v>
      </c>
      <c r="X2637" s="5">
        <v>2</v>
      </c>
      <c r="Y2637" s="5">
        <v>0</v>
      </c>
      <c r="Z2637" s="37">
        <v>0</v>
      </c>
      <c r="AA2637" s="5">
        <v>0</v>
      </c>
      <c r="AB2637" s="5">
        <v>0</v>
      </c>
      <c r="AC2637" s="5">
        <v>0</v>
      </c>
      <c r="AD2637" s="5">
        <v>0</v>
      </c>
      <c r="AE2637" s="10" t="s">
        <v>73</v>
      </c>
      <c r="AF2637" s="10" t="s">
        <v>910</v>
      </c>
      <c r="AG2637" s="10" t="s">
        <v>8837</v>
      </c>
      <c r="AH2637" s="10">
        <v>43171</v>
      </c>
      <c r="AI2637" s="5">
        <v>0</v>
      </c>
      <c r="AJ2637" s="10" t="s">
        <v>50</v>
      </c>
      <c r="AK2637" s="10" t="s">
        <v>50</v>
      </c>
    </row>
    <row r="2638" spans="1:37" ht="36.75" customHeight="1" x14ac:dyDescent="0.35">
      <c r="A2638" s="5"/>
      <c r="B2638" s="5" t="s">
        <v>37</v>
      </c>
      <c r="C2638" s="73" t="str">
        <f t="shared" si="41"/>
        <v>Closed</v>
      </c>
      <c r="D2638" s="45" t="s">
        <v>14858</v>
      </c>
      <c r="E2638" s="54" t="s">
        <v>14859</v>
      </c>
      <c r="F2638" s="5" t="s">
        <v>1553</v>
      </c>
      <c r="G2638" s="10">
        <f>DATE(2018,3,5)</f>
        <v>43164</v>
      </c>
      <c r="H2638" s="35">
        <v>1.7569444444444446</v>
      </c>
      <c r="I2638" s="5" t="s">
        <v>55</v>
      </c>
      <c r="J2638" s="10" t="s">
        <v>14860</v>
      </c>
      <c r="K2638" s="5" t="s">
        <v>1555</v>
      </c>
      <c r="L2638" s="5" t="s">
        <v>14861</v>
      </c>
      <c r="M2638" s="5" t="s">
        <v>45</v>
      </c>
      <c r="N2638" s="5" t="s">
        <v>80</v>
      </c>
      <c r="O2638" s="5" t="s">
        <v>59</v>
      </c>
      <c r="P2638" s="10" t="s">
        <v>60</v>
      </c>
      <c r="Q2638" s="10" t="s">
        <v>8056</v>
      </c>
      <c r="R2638" s="10" t="s">
        <v>2541</v>
      </c>
      <c r="S2638" s="5">
        <v>0</v>
      </c>
      <c r="T2638" s="37">
        <v>0</v>
      </c>
      <c r="U2638" s="5">
        <v>0</v>
      </c>
      <c r="V2638" s="37">
        <v>0</v>
      </c>
      <c r="W2638" s="5">
        <v>0</v>
      </c>
      <c r="X2638" s="5">
        <v>0</v>
      </c>
      <c r="Y2638" s="5">
        <v>0</v>
      </c>
      <c r="Z2638" s="37">
        <v>0</v>
      </c>
      <c r="AA2638" s="5">
        <v>0</v>
      </c>
      <c r="AB2638" s="5">
        <v>0</v>
      </c>
      <c r="AC2638" s="5">
        <v>0</v>
      </c>
      <c r="AD2638" s="5">
        <v>0</v>
      </c>
      <c r="AE2638" s="10" t="s">
        <v>73</v>
      </c>
      <c r="AF2638" s="10"/>
      <c r="AG2638" s="10" t="s">
        <v>114</v>
      </c>
      <c r="AH2638" s="10">
        <v>43166</v>
      </c>
      <c r="AI2638" s="5">
        <v>0</v>
      </c>
      <c r="AJ2638" s="10" t="s">
        <v>14862</v>
      </c>
      <c r="AK2638" s="10" t="s">
        <v>14863</v>
      </c>
    </row>
    <row r="2639" spans="1:37" ht="36.75" customHeight="1" x14ac:dyDescent="0.35">
      <c r="A2639" s="5"/>
      <c r="B2639" s="5" t="s">
        <v>37</v>
      </c>
      <c r="C2639" s="73" t="str">
        <f t="shared" si="41"/>
        <v>Closed</v>
      </c>
      <c r="D2639" s="45" t="s">
        <v>14864</v>
      </c>
      <c r="E2639" s="54" t="s">
        <v>14865</v>
      </c>
      <c r="F2639" s="5" t="s">
        <v>214</v>
      </c>
      <c r="G2639" s="10">
        <f>DATE(2018,3,11)</f>
        <v>43170</v>
      </c>
      <c r="H2639" s="35">
        <v>1.0277777777777777</v>
      </c>
      <c r="I2639" s="5" t="s">
        <v>259</v>
      </c>
      <c r="J2639" s="10" t="s">
        <v>14866</v>
      </c>
      <c r="K2639" s="5" t="s">
        <v>216</v>
      </c>
      <c r="L2639" s="5" t="s">
        <v>14867</v>
      </c>
      <c r="M2639" s="5" t="s">
        <v>45</v>
      </c>
      <c r="N2639" s="5" t="s">
        <v>123</v>
      </c>
      <c r="O2639" s="5" t="s">
        <v>46</v>
      </c>
      <c r="P2639" s="10" t="s">
        <v>146</v>
      </c>
      <c r="Q2639" s="10" t="s">
        <v>699</v>
      </c>
      <c r="R2639" s="10" t="s">
        <v>216</v>
      </c>
      <c r="S2639" s="5">
        <v>0</v>
      </c>
      <c r="T2639" s="37">
        <v>0</v>
      </c>
      <c r="U2639" s="5">
        <v>0</v>
      </c>
      <c r="V2639" s="37">
        <v>0</v>
      </c>
      <c r="W2639" s="5">
        <v>0</v>
      </c>
      <c r="X2639" s="5">
        <v>0</v>
      </c>
      <c r="Y2639" s="5">
        <v>0</v>
      </c>
      <c r="Z2639" s="37">
        <v>0</v>
      </c>
      <c r="AA2639" s="5">
        <v>0</v>
      </c>
      <c r="AB2639" s="5">
        <v>0</v>
      </c>
      <c r="AC2639" s="5">
        <v>0</v>
      </c>
      <c r="AD2639" s="5">
        <v>0</v>
      </c>
      <c r="AE2639" s="10" t="s">
        <v>73</v>
      </c>
      <c r="AF2639" s="10"/>
      <c r="AG2639" s="10" t="s">
        <v>114</v>
      </c>
      <c r="AH2639" s="10">
        <v>43185</v>
      </c>
      <c r="AI2639" s="5">
        <v>6</v>
      </c>
      <c r="AJ2639" s="10" t="s">
        <v>14868</v>
      </c>
      <c r="AK2639" s="10" t="s">
        <v>14869</v>
      </c>
    </row>
    <row r="2640" spans="1:37" ht="36.75" customHeight="1" x14ac:dyDescent="0.35">
      <c r="A2640" s="5"/>
      <c r="B2640" s="5" t="s">
        <v>37</v>
      </c>
      <c r="C2640" s="73" t="str">
        <f t="shared" si="41"/>
        <v>Closed</v>
      </c>
      <c r="D2640" s="45" t="s">
        <v>14870</v>
      </c>
      <c r="E2640" s="54" t="s">
        <v>14871</v>
      </c>
      <c r="F2640" s="5" t="s">
        <v>105</v>
      </c>
      <c r="G2640" s="10">
        <f>DATE(2018,3,12)</f>
        <v>43171</v>
      </c>
      <c r="H2640" s="35">
        <v>1.6805555555555554</v>
      </c>
      <c r="I2640" s="5" t="s">
        <v>55</v>
      </c>
      <c r="J2640" s="10" t="s">
        <v>14872</v>
      </c>
      <c r="K2640" s="5" t="s">
        <v>108</v>
      </c>
      <c r="L2640" s="5" t="s">
        <v>14873</v>
      </c>
      <c r="M2640" s="5" t="s">
        <v>45</v>
      </c>
      <c r="N2640" s="5" t="s">
        <v>70</v>
      </c>
      <c r="O2640" s="5" t="s">
        <v>59</v>
      </c>
      <c r="P2640" s="10" t="s">
        <v>60</v>
      </c>
      <c r="Q2640" s="10" t="s">
        <v>124</v>
      </c>
      <c r="R2640" s="10" t="s">
        <v>148</v>
      </c>
      <c r="S2640" s="5">
        <v>0</v>
      </c>
      <c r="T2640" s="37">
        <v>0</v>
      </c>
      <c r="U2640" s="5">
        <v>0</v>
      </c>
      <c r="V2640" s="37">
        <v>0</v>
      </c>
      <c r="W2640" s="5">
        <v>0</v>
      </c>
      <c r="X2640" s="5">
        <v>0</v>
      </c>
      <c r="Y2640" s="5">
        <v>0</v>
      </c>
      <c r="Z2640" s="37">
        <v>0</v>
      </c>
      <c r="AA2640" s="5">
        <v>0</v>
      </c>
      <c r="AB2640" s="5">
        <v>0</v>
      </c>
      <c r="AC2640" s="5">
        <v>0</v>
      </c>
      <c r="AD2640" s="5">
        <v>0</v>
      </c>
      <c r="AE2640" s="10" t="s">
        <v>73</v>
      </c>
      <c r="AF2640" s="10" t="s">
        <v>14874</v>
      </c>
      <c r="AG2640" s="10" t="s">
        <v>6438</v>
      </c>
      <c r="AH2640" s="10">
        <v>43179</v>
      </c>
      <c r="AI2640" s="5">
        <v>0</v>
      </c>
      <c r="AJ2640" s="10" t="s">
        <v>14875</v>
      </c>
      <c r="AK2640" s="10" t="s">
        <v>50</v>
      </c>
    </row>
    <row r="2641" spans="1:37" ht="36.75" customHeight="1" x14ac:dyDescent="0.35">
      <c r="A2641" s="5"/>
      <c r="B2641" s="5" t="s">
        <v>37</v>
      </c>
      <c r="C2641" s="73" t="str">
        <f t="shared" si="41"/>
        <v>Closed</v>
      </c>
      <c r="D2641" s="45" t="s">
        <v>14876</v>
      </c>
      <c r="E2641" s="54" t="s">
        <v>14877</v>
      </c>
      <c r="F2641" s="5" t="s">
        <v>1553</v>
      </c>
      <c r="G2641" s="10">
        <f>DATE(2018,3,15)</f>
        <v>43174</v>
      </c>
      <c r="H2641" s="35">
        <v>1.7951388888888888</v>
      </c>
      <c r="I2641" s="5" t="s">
        <v>55</v>
      </c>
      <c r="J2641" s="10" t="s">
        <v>14878</v>
      </c>
      <c r="K2641" s="5" t="s">
        <v>1555</v>
      </c>
      <c r="L2641" s="5" t="s">
        <v>14879</v>
      </c>
      <c r="M2641" s="5" t="s">
        <v>45</v>
      </c>
      <c r="N2641" s="5" t="s">
        <v>80</v>
      </c>
      <c r="O2641" s="5" t="s">
        <v>46</v>
      </c>
      <c r="P2641" s="10" t="s">
        <v>60</v>
      </c>
      <c r="Q2641" s="10" t="s">
        <v>2635</v>
      </c>
      <c r="R2641" s="10" t="s">
        <v>6413</v>
      </c>
      <c r="S2641" s="5">
        <v>0</v>
      </c>
      <c r="T2641" s="37">
        <v>0</v>
      </c>
      <c r="U2641" s="5">
        <v>0</v>
      </c>
      <c r="V2641" s="37">
        <v>0</v>
      </c>
      <c r="W2641" s="5">
        <v>0</v>
      </c>
      <c r="X2641" s="5">
        <v>0</v>
      </c>
      <c r="Y2641" s="5">
        <v>0</v>
      </c>
      <c r="Z2641" s="37">
        <v>0</v>
      </c>
      <c r="AA2641" s="5">
        <v>0</v>
      </c>
      <c r="AB2641" s="5">
        <v>0</v>
      </c>
      <c r="AC2641" s="5">
        <v>0</v>
      </c>
      <c r="AD2641" s="5">
        <v>0</v>
      </c>
      <c r="AE2641" s="10" t="s">
        <v>73</v>
      </c>
      <c r="AF2641" s="10"/>
      <c r="AG2641" s="10" t="s">
        <v>114</v>
      </c>
      <c r="AH2641" s="10">
        <v>43175</v>
      </c>
      <c r="AI2641" s="5">
        <v>2</v>
      </c>
      <c r="AJ2641" s="10" t="s">
        <v>14880</v>
      </c>
      <c r="AK2641" s="10" t="s">
        <v>14881</v>
      </c>
    </row>
    <row r="2642" spans="1:37" ht="36.75" customHeight="1" x14ac:dyDescent="0.35">
      <c r="A2642" s="5"/>
      <c r="B2642" s="5" t="s">
        <v>37</v>
      </c>
      <c r="C2642" s="73" t="str">
        <f t="shared" si="41"/>
        <v>Closed</v>
      </c>
      <c r="D2642" s="45" t="s">
        <v>14882</v>
      </c>
      <c r="E2642" s="54" t="s">
        <v>14883</v>
      </c>
      <c r="F2642" s="5" t="s">
        <v>214</v>
      </c>
      <c r="G2642" s="10">
        <f>DATE(2018,3,15)</f>
        <v>43174</v>
      </c>
      <c r="H2642" s="35">
        <v>1.4791666666666667</v>
      </c>
      <c r="I2642" s="5" t="s">
        <v>468</v>
      </c>
      <c r="J2642" s="10" t="s">
        <v>14884</v>
      </c>
      <c r="K2642" s="5" t="s">
        <v>216</v>
      </c>
      <c r="L2642" s="5" t="s">
        <v>14885</v>
      </c>
      <c r="M2642" s="5" t="s">
        <v>9897</v>
      </c>
      <c r="N2642" s="5" t="s">
        <v>123</v>
      </c>
      <c r="O2642" s="5" t="s">
        <v>46</v>
      </c>
      <c r="P2642" s="10" t="s">
        <v>67</v>
      </c>
      <c r="Q2642" s="10" t="s">
        <v>699</v>
      </c>
      <c r="R2642" s="10" t="s">
        <v>216</v>
      </c>
      <c r="S2642" s="5">
        <v>0</v>
      </c>
      <c r="T2642" s="37">
        <v>0</v>
      </c>
      <c r="U2642" s="5">
        <v>0</v>
      </c>
      <c r="V2642" s="37">
        <v>0</v>
      </c>
      <c r="W2642" s="5">
        <v>0</v>
      </c>
      <c r="X2642" s="5">
        <v>0</v>
      </c>
      <c r="Y2642" s="5">
        <v>0</v>
      </c>
      <c r="Z2642" s="37">
        <v>0</v>
      </c>
      <c r="AA2642" s="5">
        <v>0</v>
      </c>
      <c r="AB2642" s="5">
        <v>0</v>
      </c>
      <c r="AC2642" s="5">
        <v>0</v>
      </c>
      <c r="AD2642" s="5">
        <v>0</v>
      </c>
      <c r="AE2642" s="10" t="s">
        <v>73</v>
      </c>
      <c r="AF2642" s="10"/>
      <c r="AG2642" s="10" t="s">
        <v>114</v>
      </c>
      <c r="AH2642" s="10">
        <v>43185</v>
      </c>
      <c r="AI2642" s="5">
        <v>3</v>
      </c>
      <c r="AJ2642" s="10" t="s">
        <v>14886</v>
      </c>
      <c r="AK2642" s="10" t="s">
        <v>14887</v>
      </c>
    </row>
    <row r="2643" spans="1:37" ht="36.75" customHeight="1" x14ac:dyDescent="0.35">
      <c r="A2643" s="5"/>
      <c r="B2643" s="5" t="s">
        <v>37</v>
      </c>
      <c r="C2643" s="73" t="str">
        <f t="shared" si="41"/>
        <v>Closed</v>
      </c>
      <c r="D2643" s="45" t="s">
        <v>14888</v>
      </c>
      <c r="E2643" s="54" t="s">
        <v>14889</v>
      </c>
      <c r="F2643" s="5" t="s">
        <v>816</v>
      </c>
      <c r="G2643" s="10">
        <f>DATE(2018,3,18)</f>
        <v>43177</v>
      </c>
      <c r="H2643" s="35">
        <v>1.5381944444444444</v>
      </c>
      <c r="I2643" s="5" t="s">
        <v>55</v>
      </c>
      <c r="J2643" s="10" t="s">
        <v>14890</v>
      </c>
      <c r="K2643" s="5" t="s">
        <v>818</v>
      </c>
      <c r="L2643" s="5" t="s">
        <v>14891</v>
      </c>
      <c r="M2643" s="5" t="s">
        <v>45</v>
      </c>
      <c r="N2643" s="5" t="s">
        <v>70</v>
      </c>
      <c r="O2643" s="5" t="s">
        <v>59</v>
      </c>
      <c r="P2643" s="10" t="s">
        <v>60</v>
      </c>
      <c r="Q2643" s="10" t="s">
        <v>3757</v>
      </c>
      <c r="R2643" s="10" t="s">
        <v>821</v>
      </c>
      <c r="S2643" s="5">
        <v>0</v>
      </c>
      <c r="T2643" s="37">
        <v>0</v>
      </c>
      <c r="U2643" s="5">
        <v>0</v>
      </c>
      <c r="V2643" s="37">
        <v>0</v>
      </c>
      <c r="W2643" s="5">
        <v>0</v>
      </c>
      <c r="X2643" s="5">
        <v>0</v>
      </c>
      <c r="Y2643" s="5">
        <v>0</v>
      </c>
      <c r="Z2643" s="37">
        <v>0</v>
      </c>
      <c r="AA2643" s="5">
        <v>0</v>
      </c>
      <c r="AB2643" s="5">
        <v>0</v>
      </c>
      <c r="AC2643" s="5">
        <v>0</v>
      </c>
      <c r="AD2643" s="5">
        <v>0</v>
      </c>
      <c r="AE2643" s="10" t="s">
        <v>73</v>
      </c>
      <c r="AF2643" s="10"/>
      <c r="AG2643" s="10" t="s">
        <v>333</v>
      </c>
      <c r="AH2643" s="10">
        <v>43177</v>
      </c>
      <c r="AI2643" s="5">
        <v>0</v>
      </c>
      <c r="AJ2643" s="10" t="s">
        <v>14892</v>
      </c>
      <c r="AK2643" s="10" t="s">
        <v>14893</v>
      </c>
    </row>
    <row r="2644" spans="1:37" ht="36.75" customHeight="1" x14ac:dyDescent="0.35">
      <c r="A2644" s="5"/>
      <c r="B2644" s="5" t="s">
        <v>37</v>
      </c>
      <c r="C2644" s="73" t="str">
        <f t="shared" si="41"/>
        <v>Closed</v>
      </c>
      <c r="D2644" s="45" t="s">
        <v>14894</v>
      </c>
      <c r="E2644" s="54" t="s">
        <v>14895</v>
      </c>
      <c r="F2644" s="5" t="s">
        <v>1553</v>
      </c>
      <c r="G2644" s="10">
        <f>DATE(2018,3,18)</f>
        <v>43177</v>
      </c>
      <c r="H2644" s="35">
        <v>1.5034722222222223</v>
      </c>
      <c r="I2644" s="5" t="s">
        <v>55</v>
      </c>
      <c r="J2644" s="10" t="s">
        <v>14896</v>
      </c>
      <c r="K2644" s="5" t="s">
        <v>1555</v>
      </c>
      <c r="L2644" s="5" t="s">
        <v>14897</v>
      </c>
      <c r="M2644" s="5" t="s">
        <v>45</v>
      </c>
      <c r="N2644" s="5" t="s">
        <v>80</v>
      </c>
      <c r="O2644" s="5" t="s">
        <v>46</v>
      </c>
      <c r="P2644" s="10" t="s">
        <v>60</v>
      </c>
      <c r="Q2644" s="10" t="s">
        <v>14898</v>
      </c>
      <c r="R2644" s="10" t="s">
        <v>4899</v>
      </c>
      <c r="S2644" s="5">
        <v>0</v>
      </c>
      <c r="T2644" s="37">
        <v>0</v>
      </c>
      <c r="U2644" s="5">
        <v>0</v>
      </c>
      <c r="V2644" s="37">
        <v>0</v>
      </c>
      <c r="W2644" s="5">
        <v>0</v>
      </c>
      <c r="X2644" s="5">
        <v>0</v>
      </c>
      <c r="Y2644" s="5">
        <v>0</v>
      </c>
      <c r="Z2644" s="37">
        <v>0</v>
      </c>
      <c r="AA2644" s="5">
        <v>0</v>
      </c>
      <c r="AB2644" s="5">
        <v>0</v>
      </c>
      <c r="AC2644" s="5">
        <v>0</v>
      </c>
      <c r="AD2644" s="5">
        <v>0</v>
      </c>
      <c r="AE2644" s="10" t="s">
        <v>375</v>
      </c>
      <c r="AF2644" s="10"/>
      <c r="AG2644" s="10" t="s">
        <v>114</v>
      </c>
      <c r="AH2644" s="10">
        <v>43179</v>
      </c>
      <c r="AI2644" s="5">
        <v>1</v>
      </c>
      <c r="AJ2644" s="10" t="s">
        <v>14899</v>
      </c>
      <c r="AK2644" s="10" t="s">
        <v>14900</v>
      </c>
    </row>
    <row r="2645" spans="1:37" ht="36.75" customHeight="1" x14ac:dyDescent="0.35">
      <c r="A2645" s="5"/>
      <c r="B2645" s="5" t="s">
        <v>37</v>
      </c>
      <c r="C2645" s="73" t="str">
        <f t="shared" si="41"/>
        <v>Closed</v>
      </c>
      <c r="D2645" s="45" t="s">
        <v>14901</v>
      </c>
      <c r="E2645" s="54" t="s">
        <v>14902</v>
      </c>
      <c r="F2645" s="5" t="s">
        <v>1553</v>
      </c>
      <c r="G2645" s="10">
        <f>DATE(2018,3,20)</f>
        <v>43179</v>
      </c>
      <c r="H2645" s="35">
        <v>1.9097222222222223</v>
      </c>
      <c r="I2645" s="5" t="s">
        <v>55</v>
      </c>
      <c r="J2645" s="10" t="s">
        <v>14903</v>
      </c>
      <c r="K2645" s="5" t="s">
        <v>1555</v>
      </c>
      <c r="L2645" s="5" t="s">
        <v>14904</v>
      </c>
      <c r="M2645" s="5" t="s">
        <v>45</v>
      </c>
      <c r="N2645" s="5" t="s">
        <v>123</v>
      </c>
      <c r="O2645" s="5" t="s">
        <v>59</v>
      </c>
      <c r="P2645" s="10" t="s">
        <v>60</v>
      </c>
      <c r="Q2645" s="10" t="s">
        <v>2635</v>
      </c>
      <c r="R2645" s="10" t="s">
        <v>6413</v>
      </c>
      <c r="S2645" s="5">
        <v>0</v>
      </c>
      <c r="T2645" s="37">
        <v>0</v>
      </c>
      <c r="U2645" s="5">
        <v>0</v>
      </c>
      <c r="V2645" s="37">
        <v>0</v>
      </c>
      <c r="W2645" s="5">
        <v>0</v>
      </c>
      <c r="X2645" s="5">
        <v>0</v>
      </c>
      <c r="Y2645" s="5">
        <v>0</v>
      </c>
      <c r="Z2645" s="37">
        <v>0</v>
      </c>
      <c r="AA2645" s="5">
        <v>0</v>
      </c>
      <c r="AB2645" s="5">
        <v>0</v>
      </c>
      <c r="AC2645" s="5">
        <v>0</v>
      </c>
      <c r="AD2645" s="5">
        <v>0</v>
      </c>
      <c r="AE2645" s="10" t="s">
        <v>73</v>
      </c>
      <c r="AF2645" s="10"/>
      <c r="AG2645" s="10" t="s">
        <v>114</v>
      </c>
      <c r="AH2645" s="10">
        <v>43180</v>
      </c>
      <c r="AI2645" s="5">
        <v>0</v>
      </c>
      <c r="AJ2645" s="10" t="s">
        <v>14905</v>
      </c>
      <c r="AK2645" s="10" t="s">
        <v>14906</v>
      </c>
    </row>
    <row r="2646" spans="1:37" ht="36.75" customHeight="1" x14ac:dyDescent="0.35">
      <c r="A2646" s="5"/>
      <c r="B2646" s="5" t="s">
        <v>37</v>
      </c>
      <c r="C2646" s="73" t="str">
        <f t="shared" si="41"/>
        <v>Closed</v>
      </c>
      <c r="D2646" s="45" t="s">
        <v>14907</v>
      </c>
      <c r="E2646" s="54" t="s">
        <v>14908</v>
      </c>
      <c r="F2646" s="5" t="s">
        <v>404</v>
      </c>
      <c r="G2646" s="10">
        <f>DATE(2018,3,22)</f>
        <v>43181</v>
      </c>
      <c r="H2646" s="35">
        <v>1.1861111111111111</v>
      </c>
      <c r="I2646" s="5" t="s">
        <v>85</v>
      </c>
      <c r="J2646" s="10" t="s">
        <v>14909</v>
      </c>
      <c r="K2646" s="5" t="s">
        <v>406</v>
      </c>
      <c r="L2646" s="5" t="s">
        <v>14910</v>
      </c>
      <c r="M2646" s="5" t="s">
        <v>45</v>
      </c>
      <c r="N2646" s="5" t="s">
        <v>123</v>
      </c>
      <c r="O2646" s="5" t="s">
        <v>59</v>
      </c>
      <c r="P2646" s="10" t="s">
        <v>197</v>
      </c>
      <c r="Q2646" s="10" t="s">
        <v>5031</v>
      </c>
      <c r="R2646" s="10" t="s">
        <v>3083</v>
      </c>
      <c r="S2646" s="5">
        <v>0</v>
      </c>
      <c r="T2646" s="37">
        <v>0</v>
      </c>
      <c r="U2646" s="5">
        <v>0</v>
      </c>
      <c r="V2646" s="37">
        <v>0</v>
      </c>
      <c r="W2646" s="5">
        <v>0</v>
      </c>
      <c r="X2646" s="5">
        <v>0</v>
      </c>
      <c r="Y2646" s="5">
        <v>0</v>
      </c>
      <c r="Z2646" s="37">
        <v>0</v>
      </c>
      <c r="AA2646" s="5">
        <v>0</v>
      </c>
      <c r="AB2646" s="5">
        <v>0</v>
      </c>
      <c r="AC2646" s="5">
        <v>0</v>
      </c>
      <c r="AD2646" s="5">
        <v>0</v>
      </c>
      <c r="AE2646" s="10" t="s">
        <v>73</v>
      </c>
      <c r="AF2646" s="10"/>
      <c r="AG2646" s="10" t="s">
        <v>13175</v>
      </c>
      <c r="AH2646" s="10">
        <v>43181</v>
      </c>
      <c r="AI2646" s="5">
        <v>0</v>
      </c>
      <c r="AJ2646" s="10" t="s">
        <v>14911</v>
      </c>
      <c r="AK2646" s="10" t="s">
        <v>14912</v>
      </c>
    </row>
    <row r="2647" spans="1:37" ht="36.75" customHeight="1" x14ac:dyDescent="0.35">
      <c r="A2647" s="5"/>
      <c r="B2647" s="5" t="s">
        <v>37</v>
      </c>
      <c r="C2647" s="73" t="str">
        <f t="shared" si="41"/>
        <v>Closed</v>
      </c>
      <c r="D2647" s="45" t="s">
        <v>14913</v>
      </c>
      <c r="E2647" s="54" t="s">
        <v>14914</v>
      </c>
      <c r="F2647" s="5" t="s">
        <v>404</v>
      </c>
      <c r="G2647" s="10">
        <f>DATE(2018,3,26)</f>
        <v>43185</v>
      </c>
      <c r="H2647" s="35">
        <v>1.5597222222222222</v>
      </c>
      <c r="I2647" s="5" t="s">
        <v>259</v>
      </c>
      <c r="J2647" s="10" t="s">
        <v>14915</v>
      </c>
      <c r="K2647" s="5" t="s">
        <v>406</v>
      </c>
      <c r="L2647" s="5" t="s">
        <v>12301</v>
      </c>
      <c r="M2647" s="5" t="s">
        <v>45</v>
      </c>
      <c r="N2647" s="5" t="s">
        <v>123</v>
      </c>
      <c r="O2647" s="5" t="s">
        <v>59</v>
      </c>
      <c r="P2647" s="10" t="s">
        <v>47</v>
      </c>
      <c r="Q2647" s="10" t="s">
        <v>13193</v>
      </c>
      <c r="R2647" s="10" t="s">
        <v>3083</v>
      </c>
      <c r="S2647" s="5">
        <v>0</v>
      </c>
      <c r="T2647" s="37">
        <v>1</v>
      </c>
      <c r="U2647" s="5">
        <v>0</v>
      </c>
      <c r="V2647" s="37">
        <v>0</v>
      </c>
      <c r="W2647" s="5">
        <v>0</v>
      </c>
      <c r="X2647" s="5">
        <v>1</v>
      </c>
      <c r="Y2647" s="5">
        <v>0</v>
      </c>
      <c r="Z2647" s="37">
        <v>0</v>
      </c>
      <c r="AA2647" s="5">
        <v>0</v>
      </c>
      <c r="AB2647" s="5">
        <v>0</v>
      </c>
      <c r="AC2647" s="5">
        <v>0</v>
      </c>
      <c r="AD2647" s="5">
        <v>0</v>
      </c>
      <c r="AE2647" s="10" t="s">
        <v>73</v>
      </c>
      <c r="AF2647" s="10"/>
      <c r="AG2647" s="10" t="s">
        <v>114</v>
      </c>
      <c r="AH2647" s="10">
        <v>43185</v>
      </c>
      <c r="AI2647" s="5">
        <v>1</v>
      </c>
      <c r="AJ2647" s="10" t="s">
        <v>14916</v>
      </c>
      <c r="AK2647" s="10" t="s">
        <v>14917</v>
      </c>
    </row>
    <row r="2648" spans="1:37" ht="36.75" customHeight="1" x14ac:dyDescent="0.35">
      <c r="A2648" s="5"/>
      <c r="B2648" s="5" t="s">
        <v>37</v>
      </c>
      <c r="C2648" s="73" t="str">
        <f t="shared" si="41"/>
        <v>Closed</v>
      </c>
      <c r="D2648" s="45" t="s">
        <v>14918</v>
      </c>
      <c r="E2648" s="54" t="s">
        <v>14919</v>
      </c>
      <c r="F2648" s="5" t="s">
        <v>2581</v>
      </c>
      <c r="G2648" s="10">
        <f>DATE(2018,3,30)</f>
        <v>43189</v>
      </c>
      <c r="H2648" s="35">
        <v>1.8333333333333335</v>
      </c>
      <c r="I2648" s="5" t="s">
        <v>106</v>
      </c>
      <c r="J2648" s="10" t="s">
        <v>14920</v>
      </c>
      <c r="K2648" s="5" t="s">
        <v>2583</v>
      </c>
      <c r="L2648" s="5" t="s">
        <v>14921</v>
      </c>
      <c r="M2648" s="5" t="s">
        <v>45</v>
      </c>
      <c r="N2648" s="5" t="s">
        <v>70</v>
      </c>
      <c r="O2648" s="5" t="s">
        <v>59</v>
      </c>
      <c r="P2648" s="10" t="s">
        <v>443</v>
      </c>
      <c r="Q2648" s="10" t="s">
        <v>6321</v>
      </c>
      <c r="R2648" s="10" t="s">
        <v>2586</v>
      </c>
      <c r="S2648" s="5">
        <v>0</v>
      </c>
      <c r="T2648" s="37">
        <v>0</v>
      </c>
      <c r="U2648" s="5">
        <v>0</v>
      </c>
      <c r="V2648" s="37">
        <v>0</v>
      </c>
      <c r="W2648" s="5">
        <v>0</v>
      </c>
      <c r="X2648" s="5">
        <v>0</v>
      </c>
      <c r="Y2648" s="5">
        <v>0</v>
      </c>
      <c r="Z2648" s="37">
        <v>0</v>
      </c>
      <c r="AA2648" s="5">
        <v>0</v>
      </c>
      <c r="AB2648" s="5">
        <v>0</v>
      </c>
      <c r="AC2648" s="5">
        <v>0</v>
      </c>
      <c r="AD2648" s="5">
        <v>0</v>
      </c>
      <c r="AE2648" s="10" t="s">
        <v>73</v>
      </c>
      <c r="AF2648" s="10"/>
      <c r="AG2648" s="10" t="s">
        <v>114</v>
      </c>
      <c r="AH2648" s="10">
        <v>43192</v>
      </c>
      <c r="AI2648" s="5">
        <v>8</v>
      </c>
      <c r="AJ2648" s="10" t="s">
        <v>14922</v>
      </c>
      <c r="AK2648" s="10" t="s">
        <v>14923</v>
      </c>
    </row>
    <row r="2649" spans="1:37" ht="36.75" customHeight="1" x14ac:dyDescent="0.35">
      <c r="A2649" s="5"/>
      <c r="B2649" s="5" t="s">
        <v>37</v>
      </c>
      <c r="C2649" s="73" t="str">
        <f t="shared" si="41"/>
        <v>Closed</v>
      </c>
      <c r="D2649" s="45" t="s">
        <v>14924</v>
      </c>
      <c r="E2649" s="54" t="s">
        <v>14925</v>
      </c>
      <c r="F2649" s="5" t="s">
        <v>404</v>
      </c>
      <c r="G2649" s="10">
        <f>DATE(2018,3,30)</f>
        <v>43189</v>
      </c>
      <c r="H2649" s="35">
        <v>1.0874999999999999</v>
      </c>
      <c r="I2649" s="5" t="s">
        <v>55</v>
      </c>
      <c r="J2649" s="10" t="s">
        <v>14926</v>
      </c>
      <c r="K2649" s="5" t="s">
        <v>406</v>
      </c>
      <c r="L2649" s="5" t="s">
        <v>14927</v>
      </c>
      <c r="M2649" s="5" t="s">
        <v>45</v>
      </c>
      <c r="N2649" s="5" t="s">
        <v>123</v>
      </c>
      <c r="O2649" s="5" t="s">
        <v>59</v>
      </c>
      <c r="P2649" s="10" t="s">
        <v>72</v>
      </c>
      <c r="Q2649" s="10" t="s">
        <v>2562</v>
      </c>
      <c r="R2649" s="10" t="s">
        <v>3083</v>
      </c>
      <c r="S2649" s="5">
        <v>0</v>
      </c>
      <c r="T2649" s="37">
        <v>0</v>
      </c>
      <c r="U2649" s="5">
        <v>0</v>
      </c>
      <c r="V2649" s="37">
        <v>0</v>
      </c>
      <c r="W2649" s="5">
        <v>0</v>
      </c>
      <c r="X2649" s="5">
        <v>0</v>
      </c>
      <c r="Y2649" s="5">
        <v>0</v>
      </c>
      <c r="Z2649" s="37">
        <v>0</v>
      </c>
      <c r="AA2649" s="5">
        <v>0</v>
      </c>
      <c r="AB2649" s="5">
        <v>0</v>
      </c>
      <c r="AC2649" s="5">
        <v>0</v>
      </c>
      <c r="AD2649" s="5">
        <v>0</v>
      </c>
      <c r="AE2649" s="10" t="s">
        <v>73</v>
      </c>
      <c r="AF2649" s="10"/>
      <c r="AG2649" s="10" t="s">
        <v>114</v>
      </c>
      <c r="AH2649" s="10">
        <v>43255</v>
      </c>
      <c r="AI2649" s="5">
        <v>0</v>
      </c>
      <c r="AJ2649" s="10" t="s">
        <v>14928</v>
      </c>
      <c r="AK2649" s="10" t="s">
        <v>14929</v>
      </c>
    </row>
    <row r="2650" spans="1:37" ht="36.75" customHeight="1" x14ac:dyDescent="0.35">
      <c r="A2650" s="5"/>
      <c r="B2650" s="5" t="s">
        <v>37</v>
      </c>
      <c r="C2650" s="73" t="str">
        <f t="shared" si="41"/>
        <v>Closed</v>
      </c>
      <c r="D2650" s="45" t="s">
        <v>14930</v>
      </c>
      <c r="E2650" s="54" t="s">
        <v>14931</v>
      </c>
      <c r="F2650" s="5" t="s">
        <v>1553</v>
      </c>
      <c r="G2650" s="10">
        <f>DATE(2018,4,2)</f>
        <v>43192</v>
      </c>
      <c r="H2650" s="35">
        <v>1.9270833333333335</v>
      </c>
      <c r="I2650" s="5" t="s">
        <v>55</v>
      </c>
      <c r="J2650" s="10" t="s">
        <v>14932</v>
      </c>
      <c r="K2650" s="5" t="s">
        <v>1555</v>
      </c>
      <c r="L2650" s="5" t="s">
        <v>14933</v>
      </c>
      <c r="M2650" s="5" t="s">
        <v>45</v>
      </c>
      <c r="N2650" s="5" t="s">
        <v>123</v>
      </c>
      <c r="O2650" s="5" t="s">
        <v>59</v>
      </c>
      <c r="P2650" s="10" t="s">
        <v>60</v>
      </c>
      <c r="Q2650" s="10" t="s">
        <v>2635</v>
      </c>
      <c r="R2650" s="10" t="s">
        <v>6413</v>
      </c>
      <c r="S2650" s="5">
        <v>0</v>
      </c>
      <c r="T2650" s="37">
        <v>0</v>
      </c>
      <c r="U2650" s="5">
        <v>0</v>
      </c>
      <c r="V2650" s="37">
        <v>0</v>
      </c>
      <c r="W2650" s="5">
        <v>0</v>
      </c>
      <c r="X2650" s="5">
        <v>0</v>
      </c>
      <c r="Y2650" s="5">
        <v>0</v>
      </c>
      <c r="Z2650" s="37">
        <v>0</v>
      </c>
      <c r="AA2650" s="5">
        <v>0</v>
      </c>
      <c r="AB2650" s="5">
        <v>0</v>
      </c>
      <c r="AC2650" s="5">
        <v>0</v>
      </c>
      <c r="AD2650" s="5">
        <v>0</v>
      </c>
      <c r="AE2650" s="10" t="s">
        <v>73</v>
      </c>
      <c r="AF2650" s="10"/>
      <c r="AG2650" s="10" t="s">
        <v>114</v>
      </c>
      <c r="AH2650" s="10">
        <v>43194</v>
      </c>
      <c r="AI2650" s="5">
        <v>1</v>
      </c>
      <c r="AJ2650" s="10" t="s">
        <v>14934</v>
      </c>
      <c r="AK2650" s="10" t="s">
        <v>14935</v>
      </c>
    </row>
    <row r="2651" spans="1:37" ht="36.75" customHeight="1" x14ac:dyDescent="0.35">
      <c r="A2651" s="5"/>
      <c r="B2651" s="5" t="s">
        <v>37</v>
      </c>
      <c r="C2651" s="73" t="str">
        <f t="shared" si="41"/>
        <v>Closed</v>
      </c>
      <c r="D2651" s="45" t="s">
        <v>14936</v>
      </c>
      <c r="E2651" s="54" t="s">
        <v>14937</v>
      </c>
      <c r="F2651" s="5" t="s">
        <v>96</v>
      </c>
      <c r="G2651" s="10">
        <f>DATE(2018,4,3)</f>
        <v>43193</v>
      </c>
      <c r="H2651" s="35">
        <v>1.6625000000000001</v>
      </c>
      <c r="I2651" s="5" t="s">
        <v>97</v>
      </c>
      <c r="J2651" s="10" t="s">
        <v>14938</v>
      </c>
      <c r="K2651" s="5" t="s">
        <v>99</v>
      </c>
      <c r="L2651" s="5" t="s">
        <v>14939</v>
      </c>
      <c r="M2651" s="5" t="s">
        <v>45</v>
      </c>
      <c r="N2651" s="5" t="s">
        <v>123</v>
      </c>
      <c r="O2651" s="5" t="s">
        <v>46</v>
      </c>
      <c r="P2651" s="10" t="s">
        <v>362</v>
      </c>
      <c r="Q2651" s="10" t="s">
        <v>5838</v>
      </c>
      <c r="R2651" s="10" t="s">
        <v>102</v>
      </c>
      <c r="S2651" s="5">
        <v>0</v>
      </c>
      <c r="T2651" s="37">
        <v>0</v>
      </c>
      <c r="U2651" s="5">
        <v>2</v>
      </c>
      <c r="V2651" s="37">
        <v>0</v>
      </c>
      <c r="W2651" s="5">
        <v>0</v>
      </c>
      <c r="X2651" s="5">
        <v>2</v>
      </c>
      <c r="Y2651" s="5">
        <v>0</v>
      </c>
      <c r="Z2651" s="37">
        <v>0</v>
      </c>
      <c r="AA2651" s="5">
        <v>0</v>
      </c>
      <c r="AB2651" s="5">
        <v>0</v>
      </c>
      <c r="AC2651" s="5">
        <v>0</v>
      </c>
      <c r="AD2651" s="5">
        <v>0</v>
      </c>
      <c r="AE2651" s="10" t="s">
        <v>73</v>
      </c>
      <c r="AF2651" s="10"/>
      <c r="AG2651" s="10" t="s">
        <v>114</v>
      </c>
      <c r="AH2651" s="10">
        <v>43208</v>
      </c>
      <c r="AI2651" s="5">
        <v>0</v>
      </c>
      <c r="AJ2651" s="10" t="s">
        <v>14940</v>
      </c>
      <c r="AK2651" s="10" t="s">
        <v>14941</v>
      </c>
    </row>
    <row r="2652" spans="1:37" ht="36.75" customHeight="1" x14ac:dyDescent="0.35">
      <c r="A2652" s="5"/>
      <c r="B2652" s="5" t="s">
        <v>37</v>
      </c>
      <c r="C2652" s="73" t="str">
        <f t="shared" si="41"/>
        <v>Closed</v>
      </c>
      <c r="D2652" s="45" t="s">
        <v>14942</v>
      </c>
      <c r="E2652" s="54" t="s">
        <v>14943</v>
      </c>
      <c r="F2652" s="5" t="s">
        <v>1553</v>
      </c>
      <c r="G2652" s="10">
        <f>DATE(2018,4,4)</f>
        <v>43194</v>
      </c>
      <c r="H2652" s="35">
        <v>1.1652777777777779</v>
      </c>
      <c r="I2652" s="5" t="s">
        <v>55</v>
      </c>
      <c r="J2652" s="10" t="s">
        <v>14944</v>
      </c>
      <c r="K2652" s="5" t="s">
        <v>1555</v>
      </c>
      <c r="L2652" s="5" t="s">
        <v>14475</v>
      </c>
      <c r="M2652" s="5" t="s">
        <v>45</v>
      </c>
      <c r="N2652" s="5" t="s">
        <v>123</v>
      </c>
      <c r="O2652" s="5" t="s">
        <v>46</v>
      </c>
      <c r="P2652" s="10" t="s">
        <v>60</v>
      </c>
      <c r="Q2652" s="10" t="s">
        <v>6072</v>
      </c>
      <c r="R2652" s="10" t="s">
        <v>6413</v>
      </c>
      <c r="S2652" s="5">
        <v>0</v>
      </c>
      <c r="T2652" s="37">
        <v>0</v>
      </c>
      <c r="U2652" s="5">
        <v>0</v>
      </c>
      <c r="V2652" s="37">
        <v>0</v>
      </c>
      <c r="W2652" s="5">
        <v>0</v>
      </c>
      <c r="X2652" s="5">
        <v>0</v>
      </c>
      <c r="Y2652" s="5">
        <v>0</v>
      </c>
      <c r="Z2652" s="37">
        <v>0</v>
      </c>
      <c r="AA2652" s="5">
        <v>0</v>
      </c>
      <c r="AB2652" s="5">
        <v>0</v>
      </c>
      <c r="AC2652" s="5">
        <v>0</v>
      </c>
      <c r="AD2652" s="5">
        <v>0</v>
      </c>
      <c r="AE2652" s="10" t="s">
        <v>375</v>
      </c>
      <c r="AF2652" s="10"/>
      <c r="AG2652" s="10" t="s">
        <v>114</v>
      </c>
      <c r="AH2652" s="10">
        <v>43194</v>
      </c>
      <c r="AI2652" s="5">
        <v>1</v>
      </c>
      <c r="AJ2652" s="10" t="s">
        <v>14945</v>
      </c>
      <c r="AK2652" s="10" t="s">
        <v>14946</v>
      </c>
    </row>
    <row r="2653" spans="1:37" ht="36.75" customHeight="1" x14ac:dyDescent="0.35">
      <c r="A2653" s="5"/>
      <c r="B2653" s="5" t="s">
        <v>887</v>
      </c>
      <c r="C2653" s="73" t="str">
        <f t="shared" si="41"/>
        <v>Open</v>
      </c>
      <c r="D2653" s="45" t="s">
        <v>14947</v>
      </c>
      <c r="E2653" s="54" t="s">
        <v>14948</v>
      </c>
      <c r="F2653" s="5" t="s">
        <v>5406</v>
      </c>
      <c r="G2653" s="10">
        <f>DATE(2018,4,5)</f>
        <v>43195</v>
      </c>
      <c r="H2653" s="35">
        <v>1.7319444444444443</v>
      </c>
      <c r="I2653" s="5" t="s">
        <v>55</v>
      </c>
      <c r="J2653" s="10" t="s">
        <v>14949</v>
      </c>
      <c r="K2653" s="5" t="s">
        <v>577</v>
      </c>
      <c r="L2653" s="5" t="s">
        <v>14950</v>
      </c>
      <c r="M2653" s="5" t="s">
        <v>45</v>
      </c>
      <c r="N2653" s="5" t="s">
        <v>80</v>
      </c>
      <c r="O2653" s="5" t="s">
        <v>46</v>
      </c>
      <c r="P2653" s="10" t="s">
        <v>60</v>
      </c>
      <c r="Q2653" s="10" t="s">
        <v>13117</v>
      </c>
      <c r="R2653" s="10" t="s">
        <v>12052</v>
      </c>
      <c r="S2653" s="5">
        <v>0</v>
      </c>
      <c r="T2653" s="37">
        <v>0</v>
      </c>
      <c r="U2653" s="5">
        <v>0</v>
      </c>
      <c r="V2653" s="37">
        <v>0</v>
      </c>
      <c r="W2653" s="5">
        <v>0</v>
      </c>
      <c r="X2653" s="5">
        <v>0</v>
      </c>
      <c r="Y2653" s="5">
        <v>0</v>
      </c>
      <c r="Z2653" s="37">
        <v>0</v>
      </c>
      <c r="AA2653" s="5">
        <v>0</v>
      </c>
      <c r="AB2653" s="5">
        <v>0</v>
      </c>
      <c r="AC2653" s="5">
        <v>0</v>
      </c>
      <c r="AD2653" s="5">
        <v>0</v>
      </c>
      <c r="AE2653" s="10" t="s">
        <v>73</v>
      </c>
      <c r="AF2653" s="10"/>
      <c r="AG2653" s="10" t="s">
        <v>114</v>
      </c>
      <c r="AH2653" s="10">
        <v>43217</v>
      </c>
      <c r="AI2653" s="5">
        <v>0</v>
      </c>
      <c r="AJ2653" s="10" t="s">
        <v>50</v>
      </c>
      <c r="AK2653" s="10" t="s">
        <v>50</v>
      </c>
    </row>
    <row r="2654" spans="1:37" ht="36.75" customHeight="1" x14ac:dyDescent="0.35">
      <c r="A2654" s="5"/>
      <c r="B2654" s="5" t="s">
        <v>37</v>
      </c>
      <c r="C2654" s="73" t="str">
        <f t="shared" si="41"/>
        <v>Closed</v>
      </c>
      <c r="D2654" s="45" t="s">
        <v>14951</v>
      </c>
      <c r="E2654" s="54" t="s">
        <v>14952</v>
      </c>
      <c r="F2654" s="5" t="s">
        <v>404</v>
      </c>
      <c r="G2654" s="10">
        <f>DATE(2018,4,6)</f>
        <v>43196</v>
      </c>
      <c r="H2654" s="35">
        <v>1.4284722222222221</v>
      </c>
      <c r="I2654" s="5" t="s">
        <v>97</v>
      </c>
      <c r="J2654" s="10" t="s">
        <v>14953</v>
      </c>
      <c r="K2654" s="5" t="s">
        <v>406</v>
      </c>
      <c r="L2654" s="5" t="s">
        <v>14954</v>
      </c>
      <c r="M2654" s="5" t="s">
        <v>45</v>
      </c>
      <c r="N2654" s="5" t="s">
        <v>80</v>
      </c>
      <c r="O2654" s="5" t="s">
        <v>46</v>
      </c>
      <c r="P2654" s="10" t="s">
        <v>146</v>
      </c>
      <c r="Q2654" s="10" t="s">
        <v>4531</v>
      </c>
      <c r="R2654" s="10" t="s">
        <v>3083</v>
      </c>
      <c r="S2654" s="5">
        <v>0</v>
      </c>
      <c r="T2654" s="37">
        <v>0</v>
      </c>
      <c r="U2654" s="5">
        <v>1</v>
      </c>
      <c r="V2654" s="37">
        <v>0</v>
      </c>
      <c r="W2654" s="5">
        <v>0</v>
      </c>
      <c r="X2654" s="5">
        <v>1</v>
      </c>
      <c r="Y2654" s="5">
        <v>0</v>
      </c>
      <c r="Z2654" s="37">
        <v>0</v>
      </c>
      <c r="AA2654" s="5">
        <v>0</v>
      </c>
      <c r="AB2654" s="5">
        <v>0</v>
      </c>
      <c r="AC2654" s="5">
        <v>0</v>
      </c>
      <c r="AD2654" s="5">
        <v>0</v>
      </c>
      <c r="AE2654" s="10" t="s">
        <v>73</v>
      </c>
      <c r="AF2654" s="10"/>
      <c r="AG2654" s="10" t="s">
        <v>855</v>
      </c>
      <c r="AH2654" s="10">
        <v>43255</v>
      </c>
      <c r="AI2654" s="5">
        <v>0</v>
      </c>
      <c r="AJ2654" s="10" t="s">
        <v>11964</v>
      </c>
      <c r="AK2654" s="10" t="s">
        <v>14095</v>
      </c>
    </row>
    <row r="2655" spans="1:37" ht="36.75" customHeight="1" x14ac:dyDescent="0.35">
      <c r="A2655" s="5"/>
      <c r="B2655" s="5" t="s">
        <v>37</v>
      </c>
      <c r="C2655" s="73" t="str">
        <f t="shared" si="41"/>
        <v>Closed</v>
      </c>
      <c r="D2655" s="45" t="s">
        <v>14955</v>
      </c>
      <c r="E2655" s="54" t="s">
        <v>14956</v>
      </c>
      <c r="F2655" s="5" t="s">
        <v>40</v>
      </c>
      <c r="G2655" s="10">
        <f>DATE(2018,4,7)</f>
        <v>43197</v>
      </c>
      <c r="H2655" s="35">
        <v>1.4861111111111112</v>
      </c>
      <c r="I2655" s="5" t="s">
        <v>137</v>
      </c>
      <c r="J2655" s="10" t="s">
        <v>14957</v>
      </c>
      <c r="K2655" s="5" t="s">
        <v>43</v>
      </c>
      <c r="L2655" s="5" t="s">
        <v>14958</v>
      </c>
      <c r="M2655" s="5" t="s">
        <v>45</v>
      </c>
      <c r="N2655" s="5" t="s">
        <v>80</v>
      </c>
      <c r="O2655" s="5" t="s">
        <v>59</v>
      </c>
      <c r="P2655" s="10" t="s">
        <v>60</v>
      </c>
      <c r="Q2655" s="10" t="s">
        <v>48</v>
      </c>
      <c r="R2655" s="10" t="s">
        <v>49</v>
      </c>
      <c r="S2655" s="5">
        <v>0</v>
      </c>
      <c r="T2655" s="37">
        <v>0</v>
      </c>
      <c r="U2655" s="5">
        <v>0</v>
      </c>
      <c r="V2655" s="37">
        <v>0</v>
      </c>
      <c r="W2655" s="5">
        <v>0</v>
      </c>
      <c r="X2655" s="5">
        <v>0</v>
      </c>
      <c r="Y2655" s="5">
        <v>0</v>
      </c>
      <c r="Z2655" s="37">
        <v>0</v>
      </c>
      <c r="AA2655" s="5">
        <v>0</v>
      </c>
      <c r="AB2655" s="5">
        <v>0</v>
      </c>
      <c r="AC2655" s="5">
        <v>0</v>
      </c>
      <c r="AD2655" s="5">
        <v>0</v>
      </c>
      <c r="AE2655" s="10" t="s">
        <v>375</v>
      </c>
      <c r="AF2655" s="10"/>
      <c r="AG2655" s="10" t="s">
        <v>114</v>
      </c>
      <c r="AH2655" s="10">
        <v>43200</v>
      </c>
      <c r="AI2655" s="5">
        <v>7</v>
      </c>
      <c r="AJ2655" s="10" t="s">
        <v>14959</v>
      </c>
      <c r="AK2655" s="10" t="s">
        <v>14960</v>
      </c>
    </row>
    <row r="2656" spans="1:37" ht="36.75" customHeight="1" x14ac:dyDescent="0.35">
      <c r="A2656" s="5"/>
      <c r="B2656" s="5" t="s">
        <v>37</v>
      </c>
      <c r="C2656" s="73" t="str">
        <f t="shared" si="41"/>
        <v>Closed</v>
      </c>
      <c r="D2656" s="45" t="s">
        <v>14961</v>
      </c>
      <c r="E2656" s="54" t="s">
        <v>14962</v>
      </c>
      <c r="F2656" s="5" t="s">
        <v>563</v>
      </c>
      <c r="G2656" s="10">
        <f>DATE(2018,4,10)</f>
        <v>43200</v>
      </c>
      <c r="H2656" s="35">
        <v>1.5833333333333335</v>
      </c>
      <c r="I2656" s="5" t="s">
        <v>55</v>
      </c>
      <c r="J2656" s="10" t="s">
        <v>14963</v>
      </c>
      <c r="K2656" s="5" t="s">
        <v>565</v>
      </c>
      <c r="L2656" s="5" t="s">
        <v>14964</v>
      </c>
      <c r="M2656" s="5" t="s">
        <v>45</v>
      </c>
      <c r="N2656" s="5" t="s">
        <v>123</v>
      </c>
      <c r="O2656" s="5" t="s">
        <v>59</v>
      </c>
      <c r="P2656" s="10" t="s">
        <v>60</v>
      </c>
      <c r="Q2656" s="10" t="s">
        <v>567</v>
      </c>
      <c r="R2656" s="10" t="s">
        <v>568</v>
      </c>
      <c r="S2656" s="5">
        <v>0</v>
      </c>
      <c r="T2656" s="37">
        <v>0</v>
      </c>
      <c r="U2656" s="5">
        <v>0</v>
      </c>
      <c r="V2656" s="37">
        <v>0</v>
      </c>
      <c r="W2656" s="5">
        <v>0</v>
      </c>
      <c r="X2656" s="5">
        <v>0</v>
      </c>
      <c r="Y2656" s="5">
        <v>0</v>
      </c>
      <c r="Z2656" s="37">
        <v>0</v>
      </c>
      <c r="AA2656" s="5">
        <v>0</v>
      </c>
      <c r="AB2656" s="5">
        <v>0</v>
      </c>
      <c r="AC2656" s="5">
        <v>0</v>
      </c>
      <c r="AD2656" s="5">
        <v>0</v>
      </c>
      <c r="AE2656" s="10" t="s">
        <v>375</v>
      </c>
      <c r="AF2656" s="10"/>
      <c r="AG2656" s="10" t="s">
        <v>570</v>
      </c>
      <c r="AH2656" s="10">
        <v>43378</v>
      </c>
      <c r="AI2656" s="5">
        <v>0</v>
      </c>
      <c r="AJ2656" s="10" t="s">
        <v>14965</v>
      </c>
      <c r="AK2656" s="10" t="s">
        <v>1215</v>
      </c>
    </row>
    <row r="2657" spans="1:37" ht="36.75" customHeight="1" x14ac:dyDescent="0.35">
      <c r="A2657" s="5"/>
      <c r="B2657" s="5" t="s">
        <v>37</v>
      </c>
      <c r="C2657" s="73" t="str">
        <f t="shared" si="41"/>
        <v>Closed</v>
      </c>
      <c r="D2657" s="45" t="s">
        <v>14966</v>
      </c>
      <c r="E2657" s="54" t="s">
        <v>14967</v>
      </c>
      <c r="F2657" s="5" t="s">
        <v>816</v>
      </c>
      <c r="G2657" s="10">
        <f>DATE(2018,4,10)</f>
        <v>43200</v>
      </c>
      <c r="H2657" s="35">
        <v>1.5194444444444444</v>
      </c>
      <c r="I2657" s="5" t="s">
        <v>55</v>
      </c>
      <c r="J2657" s="10" t="s">
        <v>14968</v>
      </c>
      <c r="K2657" s="5" t="s">
        <v>818</v>
      </c>
      <c r="L2657" s="5" t="s">
        <v>14969</v>
      </c>
      <c r="M2657" s="5" t="s">
        <v>9897</v>
      </c>
      <c r="N2657" s="5" t="s">
        <v>80</v>
      </c>
      <c r="O2657" s="5" t="s">
        <v>59</v>
      </c>
      <c r="P2657" s="10" t="s">
        <v>146</v>
      </c>
      <c r="Q2657" s="10" t="s">
        <v>820</v>
      </c>
      <c r="R2657" s="10" t="s">
        <v>821</v>
      </c>
      <c r="S2657" s="5">
        <v>0</v>
      </c>
      <c r="T2657" s="37">
        <v>0</v>
      </c>
      <c r="U2657" s="5">
        <v>0</v>
      </c>
      <c r="V2657" s="37">
        <v>0</v>
      </c>
      <c r="W2657" s="5">
        <v>0</v>
      </c>
      <c r="X2657" s="5">
        <v>0</v>
      </c>
      <c r="Y2657" s="5">
        <v>0</v>
      </c>
      <c r="Z2657" s="37">
        <v>0</v>
      </c>
      <c r="AA2657" s="5">
        <v>0</v>
      </c>
      <c r="AB2657" s="5">
        <v>0</v>
      </c>
      <c r="AC2657" s="5">
        <v>0</v>
      </c>
      <c r="AD2657" s="5">
        <v>0</v>
      </c>
      <c r="AE2657" s="10" t="s">
        <v>73</v>
      </c>
      <c r="AF2657" s="10"/>
      <c r="AG2657" s="10" t="s">
        <v>333</v>
      </c>
      <c r="AH2657" s="10">
        <v>43200</v>
      </c>
      <c r="AI2657" s="5">
        <v>0</v>
      </c>
      <c r="AJ2657" s="10" t="s">
        <v>11049</v>
      </c>
      <c r="AK2657" s="10" t="s">
        <v>50</v>
      </c>
    </row>
    <row r="2658" spans="1:37" ht="36.75" customHeight="1" x14ac:dyDescent="0.35">
      <c r="A2658" s="5"/>
      <c r="B2658" s="5" t="s">
        <v>37</v>
      </c>
      <c r="C2658" s="73" t="str">
        <f t="shared" si="41"/>
        <v>Closed</v>
      </c>
      <c r="D2658" s="45" t="s">
        <v>14970</v>
      </c>
      <c r="E2658" s="54" t="s">
        <v>14971</v>
      </c>
      <c r="F2658" s="5" t="s">
        <v>404</v>
      </c>
      <c r="G2658" s="10">
        <f>DATE(2018,4,17)</f>
        <v>43207</v>
      </c>
      <c r="H2658" s="35">
        <v>1.5229166666666667</v>
      </c>
      <c r="I2658" s="5" t="s">
        <v>97</v>
      </c>
      <c r="J2658" s="10" t="s">
        <v>14972</v>
      </c>
      <c r="K2658" s="5" t="s">
        <v>406</v>
      </c>
      <c r="L2658" s="5" t="s">
        <v>14561</v>
      </c>
      <c r="M2658" s="5" t="s">
        <v>45</v>
      </c>
      <c r="N2658" s="5" t="s">
        <v>80</v>
      </c>
      <c r="O2658" s="5" t="s">
        <v>46</v>
      </c>
      <c r="P2658" s="10" t="s">
        <v>47</v>
      </c>
      <c r="Q2658" s="10" t="s">
        <v>4531</v>
      </c>
      <c r="R2658" s="10" t="s">
        <v>3083</v>
      </c>
      <c r="S2658" s="5">
        <v>0</v>
      </c>
      <c r="T2658" s="37">
        <v>0</v>
      </c>
      <c r="U2658" s="5">
        <v>1</v>
      </c>
      <c r="V2658" s="37">
        <v>0</v>
      </c>
      <c r="W2658" s="5">
        <v>0</v>
      </c>
      <c r="X2658" s="5">
        <v>1</v>
      </c>
      <c r="Y2658" s="5">
        <v>0</v>
      </c>
      <c r="Z2658" s="37">
        <v>0</v>
      </c>
      <c r="AA2658" s="5">
        <v>0</v>
      </c>
      <c r="AB2658" s="5">
        <v>0</v>
      </c>
      <c r="AC2658" s="5">
        <v>0</v>
      </c>
      <c r="AD2658" s="5">
        <v>0</v>
      </c>
      <c r="AE2658" s="10" t="s">
        <v>73</v>
      </c>
      <c r="AF2658" s="10"/>
      <c r="AG2658" s="10" t="s">
        <v>855</v>
      </c>
      <c r="AH2658" s="10">
        <v>43207</v>
      </c>
      <c r="AI2658" s="5">
        <v>1</v>
      </c>
      <c r="AJ2658" s="10" t="s">
        <v>11964</v>
      </c>
      <c r="AK2658" s="10" t="s">
        <v>14973</v>
      </c>
    </row>
    <row r="2659" spans="1:37" ht="36.75" customHeight="1" x14ac:dyDescent="0.35">
      <c r="A2659" s="5"/>
      <c r="B2659" s="5" t="s">
        <v>37</v>
      </c>
      <c r="C2659" s="73" t="str">
        <f t="shared" si="41"/>
        <v>Closed</v>
      </c>
      <c r="D2659" s="45" t="s">
        <v>14974</v>
      </c>
      <c r="E2659" s="54" t="s">
        <v>14975</v>
      </c>
      <c r="F2659" s="5" t="s">
        <v>1919</v>
      </c>
      <c r="G2659" s="10">
        <f>DATE(2018,4,18)</f>
        <v>43208</v>
      </c>
      <c r="H2659" s="35">
        <v>0</v>
      </c>
      <c r="I2659" s="5" t="s">
        <v>2244</v>
      </c>
      <c r="J2659" s="10" t="s">
        <v>14976</v>
      </c>
      <c r="K2659" s="5" t="s">
        <v>1921</v>
      </c>
      <c r="L2659" s="5" t="s">
        <v>14977</v>
      </c>
      <c r="M2659" s="5" t="s">
        <v>45</v>
      </c>
      <c r="N2659" s="5" t="s">
        <v>70</v>
      </c>
      <c r="O2659" s="5" t="s">
        <v>46</v>
      </c>
      <c r="P2659" s="10" t="s">
        <v>282</v>
      </c>
      <c r="Q2659" s="10" t="s">
        <v>1923</v>
      </c>
      <c r="R2659" s="10" t="s">
        <v>1921</v>
      </c>
      <c r="S2659" s="5">
        <v>0</v>
      </c>
      <c r="T2659" s="37">
        <v>0</v>
      </c>
      <c r="U2659" s="5">
        <v>0</v>
      </c>
      <c r="V2659" s="37">
        <v>0</v>
      </c>
      <c r="W2659" s="5">
        <v>0</v>
      </c>
      <c r="X2659" s="5">
        <v>0</v>
      </c>
      <c r="Y2659" s="5">
        <v>0</v>
      </c>
      <c r="Z2659" s="37">
        <v>0</v>
      </c>
      <c r="AA2659" s="5">
        <v>0</v>
      </c>
      <c r="AB2659" s="5">
        <v>0</v>
      </c>
      <c r="AC2659" s="5">
        <v>0</v>
      </c>
      <c r="AD2659" s="5">
        <v>0</v>
      </c>
      <c r="AE2659" s="10" t="s">
        <v>73</v>
      </c>
      <c r="AF2659" s="10"/>
      <c r="AG2659" s="10" t="s">
        <v>229</v>
      </c>
      <c r="AH2659" s="10">
        <v>43208</v>
      </c>
      <c r="AI2659" s="5">
        <v>20</v>
      </c>
      <c r="AJ2659" s="10" t="s">
        <v>14978</v>
      </c>
      <c r="AK2659" s="10" t="s">
        <v>14979</v>
      </c>
    </row>
    <row r="2660" spans="1:37" ht="36.75" customHeight="1" x14ac:dyDescent="0.35">
      <c r="A2660" s="5"/>
      <c r="B2660" s="5" t="s">
        <v>37</v>
      </c>
      <c r="C2660" s="73" t="str">
        <f t="shared" si="41"/>
        <v>Closed</v>
      </c>
      <c r="D2660" s="45" t="s">
        <v>14980</v>
      </c>
      <c r="E2660" s="54" t="s">
        <v>14981</v>
      </c>
      <c r="F2660" s="5" t="s">
        <v>178</v>
      </c>
      <c r="G2660" s="10">
        <f>DATE(2018,4,20)</f>
        <v>43210</v>
      </c>
      <c r="H2660" s="35">
        <v>1.1986111111111111</v>
      </c>
      <c r="I2660" s="5" t="s">
        <v>179</v>
      </c>
      <c r="J2660" s="10" t="s">
        <v>14982</v>
      </c>
      <c r="K2660" s="5" t="s">
        <v>181</v>
      </c>
      <c r="L2660" s="5" t="s">
        <v>14983</v>
      </c>
      <c r="M2660" s="5" t="s">
        <v>45</v>
      </c>
      <c r="N2660" s="5" t="s">
        <v>70</v>
      </c>
      <c r="O2660" s="5" t="s">
        <v>59</v>
      </c>
      <c r="P2660" s="10" t="s">
        <v>47</v>
      </c>
      <c r="Q2660" s="10" t="s">
        <v>183</v>
      </c>
      <c r="R2660" s="10" t="s">
        <v>184</v>
      </c>
      <c r="S2660" s="5">
        <v>0</v>
      </c>
      <c r="T2660" s="37">
        <v>0</v>
      </c>
      <c r="U2660" s="5">
        <v>0</v>
      </c>
      <c r="V2660" s="37">
        <v>0</v>
      </c>
      <c r="W2660" s="5">
        <v>0</v>
      </c>
      <c r="X2660" s="5">
        <v>0</v>
      </c>
      <c r="Y2660" s="5">
        <v>1</v>
      </c>
      <c r="Z2660" s="37">
        <v>1</v>
      </c>
      <c r="AA2660" s="5">
        <v>0</v>
      </c>
      <c r="AB2660" s="5">
        <v>0</v>
      </c>
      <c r="AC2660" s="5">
        <v>0</v>
      </c>
      <c r="AD2660" s="5">
        <v>2</v>
      </c>
      <c r="AE2660" s="10" t="s">
        <v>126</v>
      </c>
      <c r="AF2660" s="10"/>
      <c r="AG2660" s="10" t="s">
        <v>64</v>
      </c>
      <c r="AH2660" s="10">
        <v>43244</v>
      </c>
      <c r="AI2660" s="5">
        <v>1</v>
      </c>
      <c r="AJ2660" s="10" t="s">
        <v>14984</v>
      </c>
      <c r="AK2660" s="10" t="s">
        <v>1215</v>
      </c>
    </row>
    <row r="2661" spans="1:37" ht="36.75" customHeight="1" x14ac:dyDescent="0.35">
      <c r="A2661" s="5"/>
      <c r="B2661" s="5" t="s">
        <v>37</v>
      </c>
      <c r="C2661" s="73" t="str">
        <f t="shared" si="41"/>
        <v>Closed</v>
      </c>
      <c r="D2661" s="45" t="s">
        <v>14985</v>
      </c>
      <c r="E2661" s="54" t="s">
        <v>14986</v>
      </c>
      <c r="F2661" s="5" t="s">
        <v>404</v>
      </c>
      <c r="G2661" s="10">
        <f>DATE(2018,4,23)</f>
        <v>43213</v>
      </c>
      <c r="H2661" s="35">
        <v>1.5618055555555554</v>
      </c>
      <c r="I2661" s="5" t="s">
        <v>97</v>
      </c>
      <c r="J2661" s="10" t="s">
        <v>14987</v>
      </c>
      <c r="K2661" s="5" t="s">
        <v>406</v>
      </c>
      <c r="L2661" s="5" t="s">
        <v>14988</v>
      </c>
      <c r="M2661" s="5" t="s">
        <v>45</v>
      </c>
      <c r="N2661" s="5" t="s">
        <v>80</v>
      </c>
      <c r="O2661" s="5" t="s">
        <v>46</v>
      </c>
      <c r="P2661" s="10" t="s">
        <v>146</v>
      </c>
      <c r="Q2661" s="10" t="s">
        <v>4531</v>
      </c>
      <c r="R2661" s="10" t="s">
        <v>3083</v>
      </c>
      <c r="S2661" s="5">
        <v>0</v>
      </c>
      <c r="T2661" s="37">
        <v>0</v>
      </c>
      <c r="U2661" s="5">
        <v>0</v>
      </c>
      <c r="V2661" s="37">
        <v>0</v>
      </c>
      <c r="W2661" s="5">
        <v>0</v>
      </c>
      <c r="X2661" s="5">
        <v>0</v>
      </c>
      <c r="Y2661" s="5">
        <v>0</v>
      </c>
      <c r="Z2661" s="37">
        <v>0</v>
      </c>
      <c r="AA2661" s="5">
        <v>1</v>
      </c>
      <c r="AB2661" s="5">
        <v>0</v>
      </c>
      <c r="AC2661" s="5">
        <v>0</v>
      </c>
      <c r="AD2661" s="5">
        <v>1</v>
      </c>
      <c r="AE2661" s="10" t="s">
        <v>73</v>
      </c>
      <c r="AF2661" s="10"/>
      <c r="AG2661" s="10" t="s">
        <v>114</v>
      </c>
      <c r="AH2661" s="10">
        <v>43213</v>
      </c>
      <c r="AI2661" s="5">
        <v>0</v>
      </c>
      <c r="AJ2661" s="10" t="s">
        <v>14989</v>
      </c>
      <c r="AK2661" s="10" t="s">
        <v>14990</v>
      </c>
    </row>
    <row r="2662" spans="1:37" ht="36.75" customHeight="1" x14ac:dyDescent="0.35">
      <c r="A2662" s="5"/>
      <c r="B2662" s="5" t="s">
        <v>37</v>
      </c>
      <c r="C2662" s="73" t="str">
        <f t="shared" si="41"/>
        <v>Closed</v>
      </c>
      <c r="D2662" s="45" t="s">
        <v>14991</v>
      </c>
      <c r="E2662" s="54" t="s">
        <v>14992</v>
      </c>
      <c r="F2662" s="5" t="s">
        <v>1751</v>
      </c>
      <c r="G2662" s="10">
        <f>DATE(2018,4,24)</f>
        <v>43214</v>
      </c>
      <c r="H2662" s="35">
        <v>1.4618055555555556</v>
      </c>
      <c r="I2662" s="5" t="s">
        <v>179</v>
      </c>
      <c r="J2662" s="10" t="s">
        <v>14993</v>
      </c>
      <c r="K2662" s="5" t="s">
        <v>1753</v>
      </c>
      <c r="L2662" s="5" t="s">
        <v>14994</v>
      </c>
      <c r="M2662" s="5" t="s">
        <v>45</v>
      </c>
      <c r="N2662" s="5" t="s">
        <v>70</v>
      </c>
      <c r="O2662" s="5" t="s">
        <v>59</v>
      </c>
      <c r="P2662" s="10" t="s">
        <v>6920</v>
      </c>
      <c r="Q2662" s="10" t="s">
        <v>1755</v>
      </c>
      <c r="R2662" s="10" t="s">
        <v>1756</v>
      </c>
      <c r="S2662" s="5">
        <v>0</v>
      </c>
      <c r="T2662" s="37">
        <v>0</v>
      </c>
      <c r="U2662" s="5">
        <v>0</v>
      </c>
      <c r="V2662" s="37">
        <v>0</v>
      </c>
      <c r="W2662" s="5">
        <v>0</v>
      </c>
      <c r="X2662" s="5">
        <v>0</v>
      </c>
      <c r="Y2662" s="5">
        <v>0</v>
      </c>
      <c r="Z2662" s="37">
        <v>0</v>
      </c>
      <c r="AA2662" s="5">
        <v>0</v>
      </c>
      <c r="AB2662" s="5">
        <v>0</v>
      </c>
      <c r="AC2662" s="5">
        <v>0</v>
      </c>
      <c r="AD2662" s="5">
        <v>0</v>
      </c>
      <c r="AE2662" s="10" t="s">
        <v>73</v>
      </c>
      <c r="AF2662" s="10"/>
      <c r="AG2662" s="10" t="s">
        <v>570</v>
      </c>
      <c r="AH2662" s="10">
        <v>43217</v>
      </c>
      <c r="AI2662" s="5">
        <v>0</v>
      </c>
      <c r="AJ2662" s="10" t="s">
        <v>14995</v>
      </c>
      <c r="AK2662" s="10" t="s">
        <v>14996</v>
      </c>
    </row>
    <row r="2663" spans="1:37" ht="36.75" customHeight="1" x14ac:dyDescent="0.35">
      <c r="A2663" s="5"/>
      <c r="B2663" s="5" t="s">
        <v>37</v>
      </c>
      <c r="C2663" s="73" t="str">
        <f t="shared" si="41"/>
        <v>Closed</v>
      </c>
      <c r="D2663" s="45" t="s">
        <v>14997</v>
      </c>
      <c r="E2663" s="54" t="s">
        <v>14998</v>
      </c>
      <c r="F2663" s="5" t="s">
        <v>1553</v>
      </c>
      <c r="G2663" s="10">
        <f>DATE(2018,4,25)</f>
        <v>43215</v>
      </c>
      <c r="H2663" s="35">
        <v>1.0347222222222223</v>
      </c>
      <c r="I2663" s="5" t="s">
        <v>55</v>
      </c>
      <c r="J2663" s="10" t="s">
        <v>14999</v>
      </c>
      <c r="K2663" s="5" t="s">
        <v>1555</v>
      </c>
      <c r="L2663" s="5" t="s">
        <v>9052</v>
      </c>
      <c r="M2663" s="5" t="s">
        <v>45</v>
      </c>
      <c r="N2663" s="5" t="s">
        <v>123</v>
      </c>
      <c r="O2663" s="5" t="s">
        <v>59</v>
      </c>
      <c r="P2663" s="10" t="s">
        <v>60</v>
      </c>
      <c r="Q2663" s="10" t="s">
        <v>2635</v>
      </c>
      <c r="R2663" s="10" t="s">
        <v>6413</v>
      </c>
      <c r="S2663" s="5">
        <v>0</v>
      </c>
      <c r="T2663" s="37">
        <v>0</v>
      </c>
      <c r="U2663" s="5">
        <v>0</v>
      </c>
      <c r="V2663" s="37">
        <v>0</v>
      </c>
      <c r="W2663" s="5">
        <v>0</v>
      </c>
      <c r="X2663" s="5">
        <v>0</v>
      </c>
      <c r="Y2663" s="5">
        <v>0</v>
      </c>
      <c r="Z2663" s="37">
        <v>0</v>
      </c>
      <c r="AA2663" s="5">
        <v>0</v>
      </c>
      <c r="AB2663" s="5">
        <v>0</v>
      </c>
      <c r="AC2663" s="5">
        <v>0</v>
      </c>
      <c r="AD2663" s="5">
        <v>0</v>
      </c>
      <c r="AE2663" s="10" t="s">
        <v>73</v>
      </c>
      <c r="AF2663" s="10"/>
      <c r="AG2663" s="10" t="s">
        <v>114</v>
      </c>
      <c r="AH2663" s="10">
        <v>43215</v>
      </c>
      <c r="AI2663" s="5">
        <v>1</v>
      </c>
      <c r="AJ2663" s="10" t="s">
        <v>15000</v>
      </c>
      <c r="AK2663" s="10" t="s">
        <v>15001</v>
      </c>
    </row>
    <row r="2664" spans="1:37" ht="36.75" customHeight="1" x14ac:dyDescent="0.35">
      <c r="A2664" s="5"/>
      <c r="B2664" s="5" t="s">
        <v>887</v>
      </c>
      <c r="C2664" s="73" t="str">
        <f t="shared" si="41"/>
        <v>Open</v>
      </c>
      <c r="D2664" s="45" t="s">
        <v>15002</v>
      </c>
      <c r="E2664" s="54" t="s">
        <v>15003</v>
      </c>
      <c r="F2664" s="5" t="s">
        <v>5406</v>
      </c>
      <c r="G2664" s="10">
        <f>DATE(2018,4,26)</f>
        <v>43216</v>
      </c>
      <c r="H2664" s="35">
        <v>1.7048611111111112</v>
      </c>
      <c r="I2664" s="5" t="s">
        <v>55</v>
      </c>
      <c r="J2664" s="10" t="s">
        <v>15004</v>
      </c>
      <c r="K2664" s="5" t="s">
        <v>577</v>
      </c>
      <c r="L2664" s="5" t="s">
        <v>15005</v>
      </c>
      <c r="M2664" s="5" t="s">
        <v>45</v>
      </c>
      <c r="N2664" s="5" t="s">
        <v>80</v>
      </c>
      <c r="O2664" s="5" t="s">
        <v>46</v>
      </c>
      <c r="P2664" s="10" t="s">
        <v>60</v>
      </c>
      <c r="Q2664" s="10" t="s">
        <v>13117</v>
      </c>
      <c r="R2664" s="10" t="s">
        <v>12052</v>
      </c>
      <c r="S2664" s="5">
        <v>0</v>
      </c>
      <c r="T2664" s="37">
        <v>0</v>
      </c>
      <c r="U2664" s="5">
        <v>0</v>
      </c>
      <c r="V2664" s="37">
        <v>0</v>
      </c>
      <c r="W2664" s="5">
        <v>0</v>
      </c>
      <c r="X2664" s="5">
        <v>0</v>
      </c>
      <c r="Y2664" s="5">
        <v>0</v>
      </c>
      <c r="Z2664" s="37">
        <v>0</v>
      </c>
      <c r="AA2664" s="5">
        <v>0</v>
      </c>
      <c r="AB2664" s="5">
        <v>0</v>
      </c>
      <c r="AC2664" s="5">
        <v>0</v>
      </c>
      <c r="AD2664" s="5">
        <v>0</v>
      </c>
      <c r="AE2664" s="10" t="s">
        <v>73</v>
      </c>
      <c r="AF2664" s="10"/>
      <c r="AG2664" s="10" t="s">
        <v>333</v>
      </c>
      <c r="AH2664" s="10">
        <v>43237</v>
      </c>
      <c r="AI2664" s="5">
        <v>0</v>
      </c>
      <c r="AJ2664" s="10" t="s">
        <v>50</v>
      </c>
      <c r="AK2664" s="10" t="s">
        <v>50</v>
      </c>
    </row>
    <row r="2665" spans="1:37" ht="36.75" customHeight="1" x14ac:dyDescent="0.35">
      <c r="A2665" s="5"/>
      <c r="B2665" s="5" t="s">
        <v>37</v>
      </c>
      <c r="C2665" s="73" t="str">
        <f t="shared" si="41"/>
        <v>Closed</v>
      </c>
      <c r="D2665" s="45" t="s">
        <v>15006</v>
      </c>
      <c r="E2665" s="54" t="s">
        <v>15007</v>
      </c>
      <c r="F2665" s="5" t="s">
        <v>563</v>
      </c>
      <c r="G2665" s="10">
        <f>DATE(2018,4,27)</f>
        <v>43217</v>
      </c>
      <c r="H2665" s="35">
        <v>1.2451388888888888</v>
      </c>
      <c r="I2665" s="5" t="s">
        <v>55</v>
      </c>
      <c r="J2665" s="10" t="s">
        <v>15008</v>
      </c>
      <c r="K2665" s="5" t="s">
        <v>565</v>
      </c>
      <c r="L2665" s="5" t="s">
        <v>15009</v>
      </c>
      <c r="M2665" s="5" t="s">
        <v>45</v>
      </c>
      <c r="N2665" s="5" t="s">
        <v>123</v>
      </c>
      <c r="O2665" s="5" t="s">
        <v>59</v>
      </c>
      <c r="P2665" s="10" t="s">
        <v>60</v>
      </c>
      <c r="Q2665" s="10" t="s">
        <v>11077</v>
      </c>
      <c r="R2665" s="10" t="s">
        <v>568</v>
      </c>
      <c r="S2665" s="5">
        <v>0</v>
      </c>
      <c r="T2665" s="37">
        <v>0</v>
      </c>
      <c r="U2665" s="5">
        <v>0</v>
      </c>
      <c r="V2665" s="37">
        <v>0</v>
      </c>
      <c r="W2665" s="5">
        <v>0</v>
      </c>
      <c r="X2665" s="5">
        <v>0</v>
      </c>
      <c r="Y2665" s="5">
        <v>0</v>
      </c>
      <c r="Z2665" s="37">
        <v>0</v>
      </c>
      <c r="AA2665" s="5">
        <v>0</v>
      </c>
      <c r="AB2665" s="5">
        <v>0</v>
      </c>
      <c r="AC2665" s="5">
        <v>0</v>
      </c>
      <c r="AD2665" s="5">
        <v>0</v>
      </c>
      <c r="AE2665" s="10" t="s">
        <v>375</v>
      </c>
      <c r="AF2665" s="10"/>
      <c r="AG2665" s="10" t="s">
        <v>570</v>
      </c>
      <c r="AH2665" s="10">
        <v>43220</v>
      </c>
      <c r="AI2665" s="5">
        <v>0</v>
      </c>
      <c r="AJ2665" s="10" t="s">
        <v>15010</v>
      </c>
      <c r="AK2665" s="10" t="s">
        <v>1215</v>
      </c>
    </row>
    <row r="2666" spans="1:37" ht="36.75" customHeight="1" x14ac:dyDescent="0.35">
      <c r="A2666" s="5"/>
      <c r="B2666" s="5" t="s">
        <v>37</v>
      </c>
      <c r="C2666" s="73" t="str">
        <f t="shared" si="41"/>
        <v>Closed</v>
      </c>
      <c r="D2666" s="91" t="s">
        <v>15011</v>
      </c>
      <c r="E2666" s="54" t="s">
        <v>15012</v>
      </c>
      <c r="F2666" s="5" t="s">
        <v>563</v>
      </c>
      <c r="G2666" s="10">
        <f>DATE(2018,4,27)</f>
        <v>43217</v>
      </c>
      <c r="H2666" s="35">
        <v>1.9930555555555554</v>
      </c>
      <c r="I2666" s="5" t="s">
        <v>137</v>
      </c>
      <c r="J2666" s="10" t="s">
        <v>15013</v>
      </c>
      <c r="K2666" s="5" t="s">
        <v>565</v>
      </c>
      <c r="L2666" s="5" t="s">
        <v>15014</v>
      </c>
      <c r="M2666" s="5" t="s">
        <v>45</v>
      </c>
      <c r="N2666" s="5" t="s">
        <v>70</v>
      </c>
      <c r="O2666" s="5" t="s">
        <v>71</v>
      </c>
      <c r="P2666" s="10" t="s">
        <v>60</v>
      </c>
      <c r="Q2666" s="10" t="s">
        <v>15015</v>
      </c>
      <c r="R2666" s="10" t="s">
        <v>568</v>
      </c>
      <c r="S2666" s="5">
        <v>0</v>
      </c>
      <c r="T2666" s="37">
        <v>0</v>
      </c>
      <c r="U2666" s="5">
        <v>0</v>
      </c>
      <c r="V2666" s="37">
        <v>0</v>
      </c>
      <c r="W2666" s="5">
        <v>0</v>
      </c>
      <c r="X2666" s="5">
        <v>0</v>
      </c>
      <c r="Y2666" s="5">
        <v>0</v>
      </c>
      <c r="Z2666" s="37">
        <v>0</v>
      </c>
      <c r="AA2666" s="5">
        <v>0</v>
      </c>
      <c r="AB2666" s="5">
        <v>0</v>
      </c>
      <c r="AC2666" s="5">
        <v>0</v>
      </c>
      <c r="AD2666" s="5">
        <v>0</v>
      </c>
      <c r="AE2666" s="10" t="s">
        <v>126</v>
      </c>
      <c r="AF2666" s="10" t="s">
        <v>15016</v>
      </c>
      <c r="AG2666" s="10" t="s">
        <v>8837</v>
      </c>
      <c r="AH2666" s="10">
        <v>43217</v>
      </c>
      <c r="AI2666" s="5">
        <v>0</v>
      </c>
      <c r="AJ2666" s="10" t="s">
        <v>15017</v>
      </c>
      <c r="AK2666" s="10" t="s">
        <v>15018</v>
      </c>
    </row>
    <row r="2667" spans="1:37" ht="36.75" customHeight="1" x14ac:dyDescent="0.35">
      <c r="A2667" s="5"/>
      <c r="B2667" s="5" t="s">
        <v>37</v>
      </c>
      <c r="C2667" s="73" t="str">
        <f t="shared" si="41"/>
        <v>Closed</v>
      </c>
      <c r="D2667" s="45" t="s">
        <v>15019</v>
      </c>
      <c r="E2667" s="54" t="s">
        <v>15020</v>
      </c>
      <c r="F2667" s="5" t="s">
        <v>404</v>
      </c>
      <c r="G2667" s="10">
        <f>DATE(2018,4,29)</f>
        <v>43219</v>
      </c>
      <c r="H2667" s="35">
        <v>1.7305555555555556</v>
      </c>
      <c r="I2667" s="5" t="s">
        <v>55</v>
      </c>
      <c r="J2667" s="10" t="s">
        <v>15021</v>
      </c>
      <c r="K2667" s="5" t="s">
        <v>406</v>
      </c>
      <c r="L2667" s="5" t="s">
        <v>15022</v>
      </c>
      <c r="M2667" s="5" t="s">
        <v>45</v>
      </c>
      <c r="N2667" s="5" t="s">
        <v>80</v>
      </c>
      <c r="O2667" s="5" t="s">
        <v>59</v>
      </c>
      <c r="P2667" s="10" t="s">
        <v>146</v>
      </c>
      <c r="Q2667" s="10" t="s">
        <v>4531</v>
      </c>
      <c r="R2667" s="10" t="s">
        <v>3083</v>
      </c>
      <c r="S2667" s="5">
        <v>0</v>
      </c>
      <c r="T2667" s="37">
        <v>0</v>
      </c>
      <c r="U2667" s="5">
        <v>0</v>
      </c>
      <c r="V2667" s="37">
        <v>0</v>
      </c>
      <c r="W2667" s="5">
        <v>0</v>
      </c>
      <c r="X2667" s="5">
        <v>0</v>
      </c>
      <c r="Y2667" s="5">
        <v>0</v>
      </c>
      <c r="Z2667" s="37">
        <v>0</v>
      </c>
      <c r="AA2667" s="5">
        <v>0</v>
      </c>
      <c r="AB2667" s="5">
        <v>0</v>
      </c>
      <c r="AC2667" s="5">
        <v>0</v>
      </c>
      <c r="AD2667" s="5">
        <v>0</v>
      </c>
      <c r="AE2667" s="10" t="s">
        <v>73</v>
      </c>
      <c r="AF2667" s="10"/>
      <c r="AG2667" s="10" t="s">
        <v>333</v>
      </c>
      <c r="AH2667" s="10">
        <v>43219</v>
      </c>
      <c r="AI2667" s="5">
        <v>1</v>
      </c>
      <c r="AJ2667" s="10" t="s">
        <v>15023</v>
      </c>
      <c r="AK2667" s="10" t="s">
        <v>15024</v>
      </c>
    </row>
    <row r="2668" spans="1:37" ht="36.75" customHeight="1" x14ac:dyDescent="0.35">
      <c r="A2668" s="5"/>
      <c r="B2668" s="5" t="s">
        <v>37</v>
      </c>
      <c r="C2668" s="73" t="str">
        <f t="shared" si="41"/>
        <v>Closed</v>
      </c>
      <c r="D2668" s="45" t="s">
        <v>15025</v>
      </c>
      <c r="E2668" s="54" t="s">
        <v>15026</v>
      </c>
      <c r="F2668" s="5" t="s">
        <v>404</v>
      </c>
      <c r="G2668" s="10">
        <f>DATE(2018,5,3)</f>
        <v>43223</v>
      </c>
      <c r="H2668" s="35">
        <v>1.3590277777777777</v>
      </c>
      <c r="I2668" s="5" t="s">
        <v>179</v>
      </c>
      <c r="J2668" s="10" t="s">
        <v>15027</v>
      </c>
      <c r="K2668" s="5" t="s">
        <v>406</v>
      </c>
      <c r="L2668" s="5" t="s">
        <v>15028</v>
      </c>
      <c r="M2668" s="5" t="s">
        <v>45</v>
      </c>
      <c r="N2668" s="5" t="s">
        <v>80</v>
      </c>
      <c r="O2668" s="5" t="s">
        <v>46</v>
      </c>
      <c r="P2668" s="10" t="s">
        <v>146</v>
      </c>
      <c r="Q2668" s="10" t="s">
        <v>12560</v>
      </c>
      <c r="R2668" s="10" t="s">
        <v>3083</v>
      </c>
      <c r="S2668" s="5">
        <v>0</v>
      </c>
      <c r="T2668" s="37">
        <v>0</v>
      </c>
      <c r="U2668" s="5">
        <v>0</v>
      </c>
      <c r="V2668" s="37">
        <v>0</v>
      </c>
      <c r="W2668" s="5">
        <v>0</v>
      </c>
      <c r="X2668" s="5">
        <v>0</v>
      </c>
      <c r="Y2668" s="5">
        <v>2</v>
      </c>
      <c r="Z2668" s="37">
        <v>0</v>
      </c>
      <c r="AA2668" s="5">
        <v>0</v>
      </c>
      <c r="AB2668" s="5">
        <v>0</v>
      </c>
      <c r="AC2668" s="5">
        <v>0</v>
      </c>
      <c r="AD2668" s="5">
        <v>2</v>
      </c>
      <c r="AE2668" s="10" t="s">
        <v>375</v>
      </c>
      <c r="AF2668" s="10"/>
      <c r="AG2668" s="10" t="s">
        <v>64</v>
      </c>
      <c r="AH2668" s="10">
        <v>43164</v>
      </c>
      <c r="AI2668" s="5">
        <v>1</v>
      </c>
      <c r="AJ2668" s="10" t="s">
        <v>15029</v>
      </c>
      <c r="AK2668" s="10" t="s">
        <v>15030</v>
      </c>
    </row>
    <row r="2669" spans="1:37" ht="36.75" customHeight="1" x14ac:dyDescent="0.35">
      <c r="A2669" s="5"/>
      <c r="B2669" s="5" t="s">
        <v>37</v>
      </c>
      <c r="C2669" s="73" t="str">
        <f t="shared" si="41"/>
        <v>Closed</v>
      </c>
      <c r="D2669" s="45" t="s">
        <v>15031</v>
      </c>
      <c r="E2669" s="54" t="s">
        <v>15032</v>
      </c>
      <c r="F2669" s="5" t="s">
        <v>2581</v>
      </c>
      <c r="G2669" s="10">
        <f>DATE(2018,5,4)</f>
        <v>43224</v>
      </c>
      <c r="H2669" s="35">
        <v>1.8993055555555554</v>
      </c>
      <c r="I2669" s="5" t="s">
        <v>106</v>
      </c>
      <c r="J2669" s="10" t="s">
        <v>15033</v>
      </c>
      <c r="K2669" s="5" t="s">
        <v>2583</v>
      </c>
      <c r="L2669" s="5" t="s">
        <v>15034</v>
      </c>
      <c r="M2669" s="5" t="s">
        <v>45</v>
      </c>
      <c r="N2669" s="5" t="s">
        <v>123</v>
      </c>
      <c r="O2669" s="5" t="s">
        <v>46</v>
      </c>
      <c r="P2669" s="10" t="s">
        <v>443</v>
      </c>
      <c r="Q2669" s="10" t="s">
        <v>6321</v>
      </c>
      <c r="R2669" s="10" t="s">
        <v>2586</v>
      </c>
      <c r="S2669" s="5">
        <v>0</v>
      </c>
      <c r="T2669" s="37">
        <v>0</v>
      </c>
      <c r="U2669" s="5">
        <v>0</v>
      </c>
      <c r="V2669" s="37">
        <v>0</v>
      </c>
      <c r="W2669" s="5">
        <v>0</v>
      </c>
      <c r="X2669" s="5">
        <v>0</v>
      </c>
      <c r="Y2669" s="5">
        <v>0</v>
      </c>
      <c r="Z2669" s="37">
        <v>0</v>
      </c>
      <c r="AA2669" s="5">
        <v>0</v>
      </c>
      <c r="AB2669" s="5">
        <v>0</v>
      </c>
      <c r="AC2669" s="5">
        <v>0</v>
      </c>
      <c r="AD2669" s="5">
        <v>0</v>
      </c>
      <c r="AE2669" s="10" t="s">
        <v>375</v>
      </c>
      <c r="AF2669" s="10"/>
      <c r="AG2669" s="10" t="s">
        <v>570</v>
      </c>
      <c r="AH2669" s="10">
        <v>43228</v>
      </c>
      <c r="AI2669" s="5">
        <v>3</v>
      </c>
      <c r="AJ2669" s="10" t="s">
        <v>15035</v>
      </c>
      <c r="AK2669" s="10" t="s">
        <v>15036</v>
      </c>
    </row>
    <row r="2670" spans="1:37" ht="36.75" customHeight="1" x14ac:dyDescent="0.35">
      <c r="A2670" s="5"/>
      <c r="B2670" s="5" t="s">
        <v>37</v>
      </c>
      <c r="C2670" s="73" t="str">
        <f t="shared" si="41"/>
        <v>Closed</v>
      </c>
      <c r="D2670" s="45" t="s">
        <v>15037</v>
      </c>
      <c r="E2670" s="54" t="s">
        <v>15038</v>
      </c>
      <c r="F2670" s="5" t="s">
        <v>15039</v>
      </c>
      <c r="G2670" s="10">
        <f>DATE(2018,5,7)</f>
        <v>43227</v>
      </c>
      <c r="H2670" s="35">
        <v>1.8472222222222223</v>
      </c>
      <c r="I2670" s="5" t="s">
        <v>55</v>
      </c>
      <c r="J2670" s="10" t="s">
        <v>15040</v>
      </c>
      <c r="K2670" s="5" t="s">
        <v>13412</v>
      </c>
      <c r="L2670" s="5" t="s">
        <v>15041</v>
      </c>
      <c r="M2670" s="5" t="s">
        <v>45</v>
      </c>
      <c r="N2670" s="5" t="s">
        <v>70</v>
      </c>
      <c r="O2670" s="5" t="s">
        <v>46</v>
      </c>
      <c r="P2670" s="10" t="s">
        <v>60</v>
      </c>
      <c r="Q2670" s="10" t="s">
        <v>15042</v>
      </c>
      <c r="R2670" s="10" t="s">
        <v>15043</v>
      </c>
      <c r="S2670" s="5">
        <v>0</v>
      </c>
      <c r="T2670" s="37">
        <v>0</v>
      </c>
      <c r="U2670" s="5">
        <v>0</v>
      </c>
      <c r="V2670" s="37">
        <v>0</v>
      </c>
      <c r="W2670" s="5">
        <v>0</v>
      </c>
      <c r="X2670" s="5">
        <v>0</v>
      </c>
      <c r="Y2670" s="5">
        <v>0</v>
      </c>
      <c r="Z2670" s="37">
        <v>0</v>
      </c>
      <c r="AA2670" s="5">
        <v>0</v>
      </c>
      <c r="AB2670" s="5">
        <v>0</v>
      </c>
      <c r="AC2670" s="5">
        <v>0</v>
      </c>
      <c r="AD2670" s="5">
        <v>0</v>
      </c>
      <c r="AE2670" s="10" t="s">
        <v>375</v>
      </c>
      <c r="AF2670" s="10" t="s">
        <v>15044</v>
      </c>
      <c r="AG2670" s="10" t="s">
        <v>6438</v>
      </c>
      <c r="AH2670" s="10">
        <v>43297</v>
      </c>
      <c r="AI2670" s="5">
        <v>0</v>
      </c>
      <c r="AJ2670" s="10" t="s">
        <v>15045</v>
      </c>
      <c r="AK2670" s="10" t="s">
        <v>15046</v>
      </c>
    </row>
    <row r="2671" spans="1:37" ht="36.75" customHeight="1" x14ac:dyDescent="0.35">
      <c r="A2671" s="5"/>
      <c r="B2671" s="5" t="s">
        <v>37</v>
      </c>
      <c r="C2671" s="73" t="str">
        <f t="shared" si="41"/>
        <v>Closed</v>
      </c>
      <c r="D2671" s="45" t="s">
        <v>15047</v>
      </c>
      <c r="E2671" s="54" t="s">
        <v>15048</v>
      </c>
      <c r="F2671" s="5" t="s">
        <v>563</v>
      </c>
      <c r="G2671" s="10">
        <f>DATE(2018,5,7)</f>
        <v>43227</v>
      </c>
      <c r="H2671" s="35">
        <v>1.8875000000000002</v>
      </c>
      <c r="I2671" s="5" t="s">
        <v>179</v>
      </c>
      <c r="J2671" s="10" t="s">
        <v>15049</v>
      </c>
      <c r="K2671" s="5" t="s">
        <v>565</v>
      </c>
      <c r="L2671" s="5" t="s">
        <v>15050</v>
      </c>
      <c r="M2671" s="5" t="s">
        <v>45</v>
      </c>
      <c r="N2671" s="5" t="s">
        <v>123</v>
      </c>
      <c r="O2671" s="5" t="s">
        <v>59</v>
      </c>
      <c r="P2671" s="10" t="s">
        <v>8003</v>
      </c>
      <c r="Q2671" s="10" t="s">
        <v>15051</v>
      </c>
      <c r="R2671" s="10" t="s">
        <v>568</v>
      </c>
      <c r="S2671" s="5">
        <v>1</v>
      </c>
      <c r="T2671" s="37">
        <v>1</v>
      </c>
      <c r="U2671" s="5">
        <v>0</v>
      </c>
      <c r="V2671" s="37">
        <v>0</v>
      </c>
      <c r="W2671" s="5">
        <v>0</v>
      </c>
      <c r="X2671" s="5">
        <v>2</v>
      </c>
      <c r="Y2671" s="5">
        <v>2</v>
      </c>
      <c r="Z2671" s="37">
        <v>0</v>
      </c>
      <c r="AA2671" s="5">
        <v>0</v>
      </c>
      <c r="AB2671" s="5">
        <v>0</v>
      </c>
      <c r="AC2671" s="5">
        <v>0</v>
      </c>
      <c r="AD2671" s="5">
        <v>2</v>
      </c>
      <c r="AE2671" s="10" t="s">
        <v>375</v>
      </c>
      <c r="AF2671" s="10"/>
      <c r="AG2671" s="10" t="s">
        <v>64</v>
      </c>
      <c r="AH2671" s="10">
        <v>43228</v>
      </c>
      <c r="AI2671" s="5">
        <v>0</v>
      </c>
      <c r="AJ2671" s="10" t="s">
        <v>15052</v>
      </c>
      <c r="AK2671" s="10" t="s">
        <v>1215</v>
      </c>
    </row>
    <row r="2672" spans="1:37" ht="36.75" customHeight="1" x14ac:dyDescent="0.35">
      <c r="A2672" s="5"/>
      <c r="B2672" s="5" t="s">
        <v>37</v>
      </c>
      <c r="C2672" s="73" t="str">
        <f t="shared" si="41"/>
        <v>Closed</v>
      </c>
      <c r="D2672" s="45" t="s">
        <v>15053</v>
      </c>
      <c r="E2672" s="54" t="s">
        <v>15054</v>
      </c>
      <c r="F2672" s="5" t="s">
        <v>404</v>
      </c>
      <c r="G2672" s="7">
        <f>DATE(2018,5,8)</f>
        <v>43228</v>
      </c>
      <c r="H2672" s="34">
        <v>1.3034722222222221</v>
      </c>
      <c r="I2672" s="5" t="s">
        <v>97</v>
      </c>
      <c r="J2672" s="7" t="s">
        <v>15055</v>
      </c>
      <c r="K2672" s="5" t="s">
        <v>406</v>
      </c>
      <c r="L2672" s="5" t="s">
        <v>15056</v>
      </c>
      <c r="M2672" s="5" t="s">
        <v>45</v>
      </c>
      <c r="N2672" s="5" t="s">
        <v>80</v>
      </c>
      <c r="O2672" s="5" t="s">
        <v>46</v>
      </c>
      <c r="P2672" s="7" t="s">
        <v>146</v>
      </c>
      <c r="Q2672" s="7" t="s">
        <v>4531</v>
      </c>
      <c r="R2672" s="7" t="s">
        <v>3083</v>
      </c>
      <c r="S2672" s="5">
        <v>0</v>
      </c>
      <c r="T2672" s="36">
        <v>0</v>
      </c>
      <c r="U2672" s="5">
        <v>0</v>
      </c>
      <c r="V2672" s="36">
        <v>0</v>
      </c>
      <c r="W2672" s="5">
        <v>0</v>
      </c>
      <c r="X2672" s="5">
        <v>0</v>
      </c>
      <c r="Y2672" s="5">
        <v>0</v>
      </c>
      <c r="Z2672" s="36">
        <v>0</v>
      </c>
      <c r="AA2672" s="5">
        <v>0</v>
      </c>
      <c r="AB2672" s="5">
        <v>0</v>
      </c>
      <c r="AC2672" s="5">
        <v>0</v>
      </c>
      <c r="AD2672" s="5">
        <v>0</v>
      </c>
      <c r="AE2672" s="7" t="s">
        <v>375</v>
      </c>
      <c r="AF2672" s="7"/>
      <c r="AG2672" s="7" t="s">
        <v>64</v>
      </c>
      <c r="AH2672" s="7">
        <v>43242</v>
      </c>
      <c r="AI2672" s="5">
        <v>0</v>
      </c>
      <c r="AJ2672" s="7" t="s">
        <v>15057</v>
      </c>
      <c r="AK2672" s="7" t="s">
        <v>15058</v>
      </c>
    </row>
    <row r="2673" spans="1:37" ht="36.75" customHeight="1" x14ac:dyDescent="0.35">
      <c r="A2673" s="5"/>
      <c r="B2673" s="5" t="s">
        <v>37</v>
      </c>
      <c r="C2673" s="73" t="str">
        <f t="shared" si="41"/>
        <v>Closed</v>
      </c>
      <c r="D2673" s="45" t="s">
        <v>15059</v>
      </c>
      <c r="E2673" s="54" t="s">
        <v>15060</v>
      </c>
      <c r="F2673" s="5" t="s">
        <v>1553</v>
      </c>
      <c r="G2673" s="7">
        <f>DATE(2018,5,8)</f>
        <v>43228</v>
      </c>
      <c r="H2673" s="34">
        <v>1.2597222222222222</v>
      </c>
      <c r="I2673" s="5" t="s">
        <v>55</v>
      </c>
      <c r="J2673" s="7" t="s">
        <v>15061</v>
      </c>
      <c r="K2673" s="5" t="s">
        <v>1555</v>
      </c>
      <c r="L2673" s="5" t="s">
        <v>15062</v>
      </c>
      <c r="M2673" s="5" t="s">
        <v>45</v>
      </c>
      <c r="N2673" s="5" t="s">
        <v>70</v>
      </c>
      <c r="O2673" s="5" t="s">
        <v>59</v>
      </c>
      <c r="P2673" s="7" t="s">
        <v>60</v>
      </c>
      <c r="Q2673" s="7" t="s">
        <v>6072</v>
      </c>
      <c r="R2673" s="7" t="s">
        <v>6413</v>
      </c>
      <c r="S2673" s="5">
        <v>0</v>
      </c>
      <c r="T2673" s="36">
        <v>0</v>
      </c>
      <c r="U2673" s="5">
        <v>0</v>
      </c>
      <c r="V2673" s="36">
        <v>0</v>
      </c>
      <c r="W2673" s="5">
        <v>0</v>
      </c>
      <c r="X2673" s="5">
        <v>0</v>
      </c>
      <c r="Y2673" s="5">
        <v>0</v>
      </c>
      <c r="Z2673" s="36">
        <v>0</v>
      </c>
      <c r="AA2673" s="5">
        <v>0</v>
      </c>
      <c r="AB2673" s="5">
        <v>0</v>
      </c>
      <c r="AC2673" s="5">
        <v>0</v>
      </c>
      <c r="AD2673" s="5">
        <v>0</v>
      </c>
      <c r="AE2673" s="7" t="s">
        <v>73</v>
      </c>
      <c r="AF2673" s="7"/>
      <c r="AG2673" s="7" t="s">
        <v>114</v>
      </c>
      <c r="AH2673" s="7">
        <v>43229</v>
      </c>
      <c r="AI2673" s="5">
        <v>0</v>
      </c>
      <c r="AJ2673" s="7" t="s">
        <v>15063</v>
      </c>
      <c r="AK2673" s="7" t="s">
        <v>15064</v>
      </c>
    </row>
    <row r="2674" spans="1:37" ht="36.75" customHeight="1" x14ac:dyDescent="0.35">
      <c r="A2674" s="5"/>
      <c r="B2674" s="5" t="s">
        <v>37</v>
      </c>
      <c r="C2674" s="73" t="str">
        <f t="shared" si="41"/>
        <v>Closed</v>
      </c>
      <c r="D2674" s="45" t="s">
        <v>15065</v>
      </c>
      <c r="E2674" s="54" t="s">
        <v>15066</v>
      </c>
      <c r="F2674" s="5" t="s">
        <v>2316</v>
      </c>
      <c r="G2674" s="7">
        <f>DATE(2018,5,10)</f>
        <v>43230</v>
      </c>
      <c r="H2674" s="34">
        <v>1.6749999999999998</v>
      </c>
      <c r="I2674" s="5" t="s">
        <v>55</v>
      </c>
      <c r="J2674" s="7" t="s">
        <v>15067</v>
      </c>
      <c r="K2674" s="5" t="s">
        <v>2318</v>
      </c>
      <c r="L2674" s="5" t="s">
        <v>15068</v>
      </c>
      <c r="M2674" s="5" t="s">
        <v>45</v>
      </c>
      <c r="N2674" s="5" t="s">
        <v>123</v>
      </c>
      <c r="O2674" s="5" t="s">
        <v>59</v>
      </c>
      <c r="P2674" s="7" t="s">
        <v>60</v>
      </c>
      <c r="Q2674" s="7" t="s">
        <v>15069</v>
      </c>
      <c r="R2674" s="7" t="s">
        <v>2321</v>
      </c>
      <c r="S2674" s="5">
        <v>0</v>
      </c>
      <c r="T2674" s="36">
        <v>0</v>
      </c>
      <c r="U2674" s="5">
        <v>0</v>
      </c>
      <c r="V2674" s="36">
        <v>0</v>
      </c>
      <c r="W2674" s="5">
        <v>0</v>
      </c>
      <c r="X2674" s="5">
        <v>0</v>
      </c>
      <c r="Y2674" s="5">
        <v>0</v>
      </c>
      <c r="Z2674" s="36">
        <v>0</v>
      </c>
      <c r="AA2674" s="5">
        <v>0</v>
      </c>
      <c r="AB2674" s="5">
        <v>0</v>
      </c>
      <c r="AC2674" s="5">
        <v>0</v>
      </c>
      <c r="AD2674" s="5">
        <v>0</v>
      </c>
      <c r="AE2674" s="7" t="s">
        <v>375</v>
      </c>
      <c r="AF2674" s="7"/>
      <c r="AG2674" s="7" t="s">
        <v>570</v>
      </c>
      <c r="AH2674" s="7">
        <v>43237</v>
      </c>
      <c r="AI2674" s="5">
        <v>8</v>
      </c>
      <c r="AJ2674" s="7" t="s">
        <v>15070</v>
      </c>
      <c r="AK2674" s="7" t="s">
        <v>15071</v>
      </c>
    </row>
    <row r="2675" spans="1:37" ht="36.75" customHeight="1" x14ac:dyDescent="0.35">
      <c r="A2675" s="5"/>
      <c r="B2675" s="5" t="s">
        <v>37</v>
      </c>
      <c r="C2675" s="73" t="str">
        <f t="shared" si="41"/>
        <v>Closed</v>
      </c>
      <c r="D2675" s="45" t="s">
        <v>15072</v>
      </c>
      <c r="E2675" s="54" t="s">
        <v>15073</v>
      </c>
      <c r="F2675" s="5" t="s">
        <v>404</v>
      </c>
      <c r="G2675" s="7">
        <f>DATE(2018,5,22)</f>
        <v>43242</v>
      </c>
      <c r="H2675" s="34">
        <v>1.7472222222222222</v>
      </c>
      <c r="I2675" s="5" t="s">
        <v>97</v>
      </c>
      <c r="J2675" s="7" t="s">
        <v>15074</v>
      </c>
      <c r="K2675" s="5" t="s">
        <v>406</v>
      </c>
      <c r="L2675" s="5" t="s">
        <v>15075</v>
      </c>
      <c r="M2675" s="5" t="s">
        <v>45</v>
      </c>
      <c r="N2675" s="5" t="s">
        <v>80</v>
      </c>
      <c r="O2675" s="5" t="s">
        <v>46</v>
      </c>
      <c r="P2675" s="7" t="s">
        <v>146</v>
      </c>
      <c r="Q2675" s="7" t="s">
        <v>4531</v>
      </c>
      <c r="R2675" s="7" t="s">
        <v>3083</v>
      </c>
      <c r="S2675" s="5">
        <v>0</v>
      </c>
      <c r="T2675" s="36">
        <v>0</v>
      </c>
      <c r="U2675" s="5">
        <v>1</v>
      </c>
      <c r="V2675" s="36">
        <v>0</v>
      </c>
      <c r="W2675" s="5">
        <v>0</v>
      </c>
      <c r="X2675" s="5">
        <v>1</v>
      </c>
      <c r="Y2675" s="5">
        <v>0</v>
      </c>
      <c r="Z2675" s="36">
        <v>0</v>
      </c>
      <c r="AA2675" s="5">
        <v>0</v>
      </c>
      <c r="AB2675" s="5">
        <v>0</v>
      </c>
      <c r="AC2675" s="5">
        <v>0</v>
      </c>
      <c r="AD2675" s="5">
        <v>0</v>
      </c>
      <c r="AE2675" s="7" t="s">
        <v>73</v>
      </c>
      <c r="AF2675" s="7"/>
      <c r="AG2675" s="7" t="s">
        <v>855</v>
      </c>
      <c r="AH2675" s="7">
        <v>43242</v>
      </c>
      <c r="AI2675" s="5">
        <v>2</v>
      </c>
      <c r="AJ2675" s="7" t="s">
        <v>15076</v>
      </c>
      <c r="AK2675" s="7" t="s">
        <v>15077</v>
      </c>
    </row>
    <row r="2676" spans="1:37" ht="36.75" customHeight="1" x14ac:dyDescent="0.35">
      <c r="A2676" s="5"/>
      <c r="B2676" s="5" t="s">
        <v>37</v>
      </c>
      <c r="C2676" s="73" t="str">
        <f t="shared" si="41"/>
        <v>Closed</v>
      </c>
      <c r="D2676" s="45" t="s">
        <v>15078</v>
      </c>
      <c r="E2676" s="54" t="s">
        <v>15079</v>
      </c>
      <c r="F2676" s="5" t="s">
        <v>404</v>
      </c>
      <c r="G2676" s="7">
        <f>DATE(2018,5,23)</f>
        <v>43243</v>
      </c>
      <c r="H2676" s="34">
        <v>1.5236111111111112</v>
      </c>
      <c r="I2676" s="5" t="s">
        <v>97</v>
      </c>
      <c r="J2676" s="7" t="s">
        <v>15080</v>
      </c>
      <c r="K2676" s="5" t="s">
        <v>406</v>
      </c>
      <c r="L2676" s="5" t="s">
        <v>15081</v>
      </c>
      <c r="M2676" s="5" t="s">
        <v>45</v>
      </c>
      <c r="N2676" s="5" t="s">
        <v>80</v>
      </c>
      <c r="O2676" s="5" t="s">
        <v>46</v>
      </c>
      <c r="P2676" s="7" t="s">
        <v>146</v>
      </c>
      <c r="Q2676" s="7" t="s">
        <v>4531</v>
      </c>
      <c r="R2676" s="7" t="s">
        <v>3083</v>
      </c>
      <c r="S2676" s="5">
        <v>0</v>
      </c>
      <c r="T2676" s="36">
        <v>0</v>
      </c>
      <c r="U2676" s="5">
        <v>0</v>
      </c>
      <c r="V2676" s="36">
        <v>0</v>
      </c>
      <c r="W2676" s="5">
        <v>0</v>
      </c>
      <c r="X2676" s="5">
        <v>0</v>
      </c>
      <c r="Y2676" s="5">
        <v>0</v>
      </c>
      <c r="Z2676" s="36">
        <v>1</v>
      </c>
      <c r="AA2676" s="5">
        <v>0</v>
      </c>
      <c r="AB2676" s="5">
        <v>0</v>
      </c>
      <c r="AC2676" s="5">
        <v>0</v>
      </c>
      <c r="AD2676" s="5">
        <v>1</v>
      </c>
      <c r="AE2676" s="7" t="s">
        <v>375</v>
      </c>
      <c r="AF2676" s="7"/>
      <c r="AG2676" s="7" t="s">
        <v>64</v>
      </c>
      <c r="AH2676" s="7">
        <v>43243</v>
      </c>
      <c r="AI2676" s="5">
        <v>1</v>
      </c>
      <c r="AJ2676" s="7" t="s">
        <v>13861</v>
      </c>
      <c r="AK2676" s="7" t="s">
        <v>14373</v>
      </c>
    </row>
    <row r="2677" spans="1:37" ht="36.75" customHeight="1" x14ac:dyDescent="0.35">
      <c r="A2677" s="5"/>
      <c r="B2677" s="5" t="s">
        <v>37</v>
      </c>
      <c r="C2677" s="73" t="str">
        <f t="shared" si="41"/>
        <v>Closed</v>
      </c>
      <c r="D2677" s="45" t="s">
        <v>15082</v>
      </c>
      <c r="E2677" s="54" t="s">
        <v>15083</v>
      </c>
      <c r="F2677" s="5" t="s">
        <v>404</v>
      </c>
      <c r="G2677" s="7">
        <f>DATE(2018,5,23)</f>
        <v>43243</v>
      </c>
      <c r="H2677" s="34">
        <v>1.4708333333333334</v>
      </c>
      <c r="I2677" s="5" t="s">
        <v>55</v>
      </c>
      <c r="J2677" s="7" t="s">
        <v>15084</v>
      </c>
      <c r="K2677" s="5" t="s">
        <v>406</v>
      </c>
      <c r="L2677" s="5" t="s">
        <v>15085</v>
      </c>
      <c r="M2677" s="5" t="s">
        <v>45</v>
      </c>
      <c r="N2677" s="5" t="s">
        <v>80</v>
      </c>
      <c r="O2677" s="5" t="s">
        <v>46</v>
      </c>
      <c r="P2677" s="7" t="s">
        <v>282</v>
      </c>
      <c r="Q2677" s="7" t="s">
        <v>15086</v>
      </c>
      <c r="R2677" s="7" t="s">
        <v>3083</v>
      </c>
      <c r="S2677" s="5">
        <v>0</v>
      </c>
      <c r="T2677" s="36">
        <v>0</v>
      </c>
      <c r="U2677" s="5">
        <v>0</v>
      </c>
      <c r="V2677" s="36">
        <v>0</v>
      </c>
      <c r="W2677" s="5">
        <v>0</v>
      </c>
      <c r="X2677" s="5">
        <v>0</v>
      </c>
      <c r="Y2677" s="5">
        <v>0</v>
      </c>
      <c r="Z2677" s="36">
        <v>0</v>
      </c>
      <c r="AA2677" s="5">
        <v>0</v>
      </c>
      <c r="AB2677" s="5">
        <v>0</v>
      </c>
      <c r="AC2677" s="5">
        <v>0</v>
      </c>
      <c r="AD2677" s="5">
        <v>0</v>
      </c>
      <c r="AE2677" s="7" t="s">
        <v>375</v>
      </c>
      <c r="AF2677" s="7"/>
      <c r="AG2677" s="7" t="s">
        <v>64</v>
      </c>
      <c r="AH2677" s="7">
        <v>43243</v>
      </c>
      <c r="AI2677" s="5">
        <v>0</v>
      </c>
      <c r="AJ2677" s="7" t="s">
        <v>15087</v>
      </c>
      <c r="AK2677" s="7" t="s">
        <v>15088</v>
      </c>
    </row>
    <row r="2678" spans="1:37" ht="36.75" customHeight="1" x14ac:dyDescent="0.35">
      <c r="A2678" s="5"/>
      <c r="B2678" s="5" t="s">
        <v>37</v>
      </c>
      <c r="C2678" s="73" t="str">
        <f t="shared" si="41"/>
        <v>Closed</v>
      </c>
      <c r="D2678" s="45" t="s">
        <v>15089</v>
      </c>
      <c r="E2678" s="54" t="s">
        <v>15090</v>
      </c>
      <c r="F2678" s="5" t="s">
        <v>358</v>
      </c>
      <c r="G2678" s="7">
        <f>DATE(2018,5,23)</f>
        <v>43243</v>
      </c>
      <c r="H2678" s="34">
        <v>1.9708333333333332</v>
      </c>
      <c r="I2678" s="5" t="s">
        <v>97</v>
      </c>
      <c r="J2678" s="7" t="s">
        <v>15091</v>
      </c>
      <c r="K2678" s="5" t="s">
        <v>360</v>
      </c>
      <c r="L2678" s="5" t="s">
        <v>15092</v>
      </c>
      <c r="M2678" s="5" t="s">
        <v>45</v>
      </c>
      <c r="N2678" s="5" t="s">
        <v>80</v>
      </c>
      <c r="O2678" s="5" t="s">
        <v>46</v>
      </c>
      <c r="P2678" s="7" t="s">
        <v>146</v>
      </c>
      <c r="Q2678" s="7" t="s">
        <v>3173</v>
      </c>
      <c r="R2678" s="7" t="s">
        <v>363</v>
      </c>
      <c r="S2678" s="5">
        <v>0</v>
      </c>
      <c r="T2678" s="36">
        <v>1</v>
      </c>
      <c r="U2678" s="5">
        <v>1</v>
      </c>
      <c r="V2678" s="36">
        <v>0</v>
      </c>
      <c r="W2678" s="5">
        <v>0</v>
      </c>
      <c r="X2678" s="5">
        <v>2</v>
      </c>
      <c r="Y2678" s="5">
        <v>5</v>
      </c>
      <c r="Z2678" s="36">
        <v>0</v>
      </c>
      <c r="AA2678" s="5">
        <v>0</v>
      </c>
      <c r="AB2678" s="5">
        <v>0</v>
      </c>
      <c r="AC2678" s="5">
        <v>0</v>
      </c>
      <c r="AD2678" s="5">
        <v>5</v>
      </c>
      <c r="AE2678" s="7" t="s">
        <v>126</v>
      </c>
      <c r="AF2678" s="7"/>
      <c r="AG2678" s="7" t="s">
        <v>64</v>
      </c>
      <c r="AH2678" s="7">
        <v>43244</v>
      </c>
      <c r="AI2678" s="5">
        <v>14</v>
      </c>
      <c r="AJ2678" s="7" t="s">
        <v>15093</v>
      </c>
      <c r="AK2678" s="7" t="s">
        <v>15094</v>
      </c>
    </row>
    <row r="2679" spans="1:37" ht="36.75" customHeight="1" x14ac:dyDescent="0.35">
      <c r="A2679" s="5"/>
      <c r="B2679" s="5" t="s">
        <v>37</v>
      </c>
      <c r="C2679" s="73" t="str">
        <f t="shared" si="41"/>
        <v>Closed</v>
      </c>
      <c r="D2679" s="45" t="s">
        <v>15095</v>
      </c>
      <c r="E2679" s="54" t="s">
        <v>15096</v>
      </c>
      <c r="F2679" s="5" t="s">
        <v>1553</v>
      </c>
      <c r="G2679" s="7">
        <f>DATE(2018,5,23)</f>
        <v>43243</v>
      </c>
      <c r="H2679" s="34">
        <v>1.6993055555555556</v>
      </c>
      <c r="I2679" s="5" t="s">
        <v>55</v>
      </c>
      <c r="J2679" s="7" t="s">
        <v>15097</v>
      </c>
      <c r="K2679" s="5" t="s">
        <v>1555</v>
      </c>
      <c r="L2679" s="5" t="s">
        <v>15098</v>
      </c>
      <c r="M2679" s="5" t="s">
        <v>45</v>
      </c>
      <c r="N2679" s="5" t="s">
        <v>123</v>
      </c>
      <c r="O2679" s="5" t="s">
        <v>59</v>
      </c>
      <c r="P2679" s="7" t="s">
        <v>60</v>
      </c>
      <c r="Q2679" s="7" t="s">
        <v>6072</v>
      </c>
      <c r="R2679" s="7" t="s">
        <v>6413</v>
      </c>
      <c r="S2679" s="5">
        <v>0</v>
      </c>
      <c r="T2679" s="36">
        <v>0</v>
      </c>
      <c r="U2679" s="5">
        <v>0</v>
      </c>
      <c r="V2679" s="36">
        <v>0</v>
      </c>
      <c r="W2679" s="5">
        <v>0</v>
      </c>
      <c r="X2679" s="5">
        <v>0</v>
      </c>
      <c r="Y2679" s="5">
        <v>0</v>
      </c>
      <c r="Z2679" s="36">
        <v>0</v>
      </c>
      <c r="AA2679" s="5">
        <v>0</v>
      </c>
      <c r="AB2679" s="5">
        <v>0</v>
      </c>
      <c r="AC2679" s="5">
        <v>0</v>
      </c>
      <c r="AD2679" s="5">
        <v>0</v>
      </c>
      <c r="AE2679" s="7" t="s">
        <v>73</v>
      </c>
      <c r="AF2679" s="7"/>
      <c r="AG2679" s="7" t="s">
        <v>114</v>
      </c>
      <c r="AH2679" s="7">
        <v>43244</v>
      </c>
      <c r="AI2679" s="5">
        <v>1</v>
      </c>
      <c r="AJ2679" s="7" t="s">
        <v>15099</v>
      </c>
      <c r="AK2679" s="7" t="s">
        <v>15100</v>
      </c>
    </row>
    <row r="2680" spans="1:37" ht="36.75" customHeight="1" x14ac:dyDescent="0.35">
      <c r="A2680" s="5"/>
      <c r="B2680" s="5" t="s">
        <v>37</v>
      </c>
      <c r="C2680" s="73" t="str">
        <f t="shared" si="41"/>
        <v>Closed</v>
      </c>
      <c r="D2680" s="45" t="s">
        <v>15101</v>
      </c>
      <c r="E2680" s="54" t="s">
        <v>15102</v>
      </c>
      <c r="F2680" s="5" t="s">
        <v>816</v>
      </c>
      <c r="G2680" s="7">
        <f>DATE(2018,5,24)</f>
        <v>43244</v>
      </c>
      <c r="H2680" s="34">
        <v>1.9527777777777779</v>
      </c>
      <c r="I2680" s="5" t="s">
        <v>55</v>
      </c>
      <c r="J2680" s="7" t="s">
        <v>15103</v>
      </c>
      <c r="K2680" s="5" t="s">
        <v>818</v>
      </c>
      <c r="L2680" s="5" t="s">
        <v>15104</v>
      </c>
      <c r="M2680" s="5" t="s">
        <v>236</v>
      </c>
      <c r="N2680" s="5" t="s">
        <v>123</v>
      </c>
      <c r="O2680" s="5" t="s">
        <v>46</v>
      </c>
      <c r="P2680" s="7" t="s">
        <v>6531</v>
      </c>
      <c r="Q2680" s="7" t="s">
        <v>4190</v>
      </c>
      <c r="R2680" s="7" t="s">
        <v>4190</v>
      </c>
      <c r="S2680" s="5">
        <v>0</v>
      </c>
      <c r="T2680" s="36">
        <v>0</v>
      </c>
      <c r="U2680" s="5">
        <v>0</v>
      </c>
      <c r="V2680" s="36">
        <v>0</v>
      </c>
      <c r="W2680" s="5">
        <v>0</v>
      </c>
      <c r="X2680" s="5">
        <v>0</v>
      </c>
      <c r="Y2680" s="5">
        <v>0</v>
      </c>
      <c r="Z2680" s="36">
        <v>0</v>
      </c>
      <c r="AA2680" s="5">
        <v>0</v>
      </c>
      <c r="AB2680" s="5">
        <v>0</v>
      </c>
      <c r="AC2680" s="5">
        <v>0</v>
      </c>
      <c r="AD2680" s="5">
        <v>0</v>
      </c>
      <c r="AE2680" s="7" t="s">
        <v>73</v>
      </c>
      <c r="AF2680" s="7"/>
      <c r="AG2680" s="7" t="s">
        <v>333</v>
      </c>
      <c r="AH2680" s="7">
        <v>43244</v>
      </c>
      <c r="AI2680" s="5">
        <v>1</v>
      </c>
      <c r="AJ2680" s="7" t="s">
        <v>15105</v>
      </c>
      <c r="AK2680" s="7" t="s">
        <v>50</v>
      </c>
    </row>
    <row r="2681" spans="1:37" ht="36.75" customHeight="1" x14ac:dyDescent="0.35">
      <c r="A2681" s="5"/>
      <c r="B2681" s="5" t="s">
        <v>37</v>
      </c>
      <c r="C2681" s="73" t="str">
        <f t="shared" si="41"/>
        <v>Closed</v>
      </c>
      <c r="D2681" s="45" t="s">
        <v>15106</v>
      </c>
      <c r="E2681" s="54" t="s">
        <v>15107</v>
      </c>
      <c r="F2681" s="5" t="s">
        <v>1553</v>
      </c>
      <c r="G2681" s="7">
        <f>DATE(2018,5,24)</f>
        <v>43244</v>
      </c>
      <c r="H2681" s="34">
        <v>1.8298611111111112</v>
      </c>
      <c r="I2681" s="5" t="s">
        <v>468</v>
      </c>
      <c r="J2681" s="7" t="s">
        <v>15108</v>
      </c>
      <c r="K2681" s="5" t="s">
        <v>1555</v>
      </c>
      <c r="L2681" s="5" t="s">
        <v>15109</v>
      </c>
      <c r="M2681" s="5" t="s">
        <v>45</v>
      </c>
      <c r="N2681" s="5" t="s">
        <v>123</v>
      </c>
      <c r="O2681" s="5" t="s">
        <v>46</v>
      </c>
      <c r="P2681" s="7" t="s">
        <v>72</v>
      </c>
      <c r="Q2681" s="7" t="s">
        <v>9053</v>
      </c>
      <c r="R2681" s="7" t="s">
        <v>6413</v>
      </c>
      <c r="S2681" s="5">
        <v>0</v>
      </c>
      <c r="T2681" s="36">
        <v>0</v>
      </c>
      <c r="U2681" s="5">
        <v>0</v>
      </c>
      <c r="V2681" s="36">
        <v>0</v>
      </c>
      <c r="W2681" s="5">
        <v>0</v>
      </c>
      <c r="X2681" s="5">
        <v>0</v>
      </c>
      <c r="Y2681" s="5">
        <v>0</v>
      </c>
      <c r="Z2681" s="36">
        <v>0</v>
      </c>
      <c r="AA2681" s="5">
        <v>0</v>
      </c>
      <c r="AB2681" s="5">
        <v>0</v>
      </c>
      <c r="AC2681" s="5">
        <v>0</v>
      </c>
      <c r="AD2681" s="5">
        <v>0</v>
      </c>
      <c r="AE2681" s="7" t="s">
        <v>73</v>
      </c>
      <c r="AF2681" s="7"/>
      <c r="AG2681" s="7" t="s">
        <v>570</v>
      </c>
      <c r="AH2681" s="7">
        <v>43249</v>
      </c>
      <c r="AI2681" s="5">
        <v>1</v>
      </c>
      <c r="AJ2681" s="7" t="s">
        <v>15110</v>
      </c>
      <c r="AK2681" s="7" t="s">
        <v>15111</v>
      </c>
    </row>
    <row r="2682" spans="1:37" ht="36.75" customHeight="1" x14ac:dyDescent="0.35">
      <c r="A2682" s="5"/>
      <c r="B2682" s="5" t="s">
        <v>37</v>
      </c>
      <c r="C2682" s="73" t="str">
        <f t="shared" si="41"/>
        <v>Closed</v>
      </c>
      <c r="D2682" s="45" t="s">
        <v>15112</v>
      </c>
      <c r="E2682" s="54" t="s">
        <v>15113</v>
      </c>
      <c r="F2682" s="5" t="s">
        <v>563</v>
      </c>
      <c r="G2682" s="7">
        <f>DATE(2018,5,25)</f>
        <v>43245</v>
      </c>
      <c r="H2682" s="34">
        <v>1.3541666666666667</v>
      </c>
      <c r="I2682" s="5" t="s">
        <v>97</v>
      </c>
      <c r="J2682" s="7" t="s">
        <v>15114</v>
      </c>
      <c r="K2682" s="5" t="s">
        <v>565</v>
      </c>
      <c r="L2682" s="5" t="s">
        <v>15115</v>
      </c>
      <c r="M2682" s="5" t="s">
        <v>45</v>
      </c>
      <c r="N2682" s="5" t="s">
        <v>80</v>
      </c>
      <c r="O2682" s="5" t="s">
        <v>46</v>
      </c>
      <c r="P2682" s="7" t="s">
        <v>146</v>
      </c>
      <c r="Q2682" s="7" t="s">
        <v>15116</v>
      </c>
      <c r="R2682" s="7" t="s">
        <v>568</v>
      </c>
      <c r="S2682" s="5">
        <v>0</v>
      </c>
      <c r="T2682" s="36">
        <v>0</v>
      </c>
      <c r="U2682" s="5">
        <v>0</v>
      </c>
      <c r="V2682" s="36">
        <v>0</v>
      </c>
      <c r="W2682" s="5">
        <v>0</v>
      </c>
      <c r="X2682" s="5">
        <v>0</v>
      </c>
      <c r="Y2682" s="5">
        <v>0</v>
      </c>
      <c r="Z2682" s="36">
        <v>2</v>
      </c>
      <c r="AA2682" s="5">
        <v>0</v>
      </c>
      <c r="AB2682" s="5">
        <v>0</v>
      </c>
      <c r="AC2682" s="5">
        <v>0</v>
      </c>
      <c r="AD2682" s="5">
        <v>2</v>
      </c>
      <c r="AE2682" s="7" t="s">
        <v>375</v>
      </c>
      <c r="AF2682" s="7"/>
      <c r="AG2682" s="7" t="s">
        <v>570</v>
      </c>
      <c r="AH2682" s="7">
        <v>43242</v>
      </c>
      <c r="AI2682" s="5">
        <v>0</v>
      </c>
      <c r="AJ2682" s="7" t="s">
        <v>15117</v>
      </c>
      <c r="AK2682" s="7" t="s">
        <v>1215</v>
      </c>
    </row>
    <row r="2683" spans="1:37" ht="36.75" customHeight="1" x14ac:dyDescent="0.35">
      <c r="A2683" s="5"/>
      <c r="B2683" s="5" t="s">
        <v>37</v>
      </c>
      <c r="C2683" s="73" t="str">
        <f t="shared" si="41"/>
        <v>Closed</v>
      </c>
      <c r="D2683" s="45" t="s">
        <v>15118</v>
      </c>
      <c r="E2683" s="54" t="s">
        <v>15119</v>
      </c>
      <c r="F2683" s="5" t="s">
        <v>404</v>
      </c>
      <c r="G2683" s="7">
        <f>DATE(2018,5,27)</f>
        <v>43247</v>
      </c>
      <c r="H2683" s="34">
        <v>1.3222222222222222</v>
      </c>
      <c r="I2683" s="5" t="s">
        <v>85</v>
      </c>
      <c r="J2683" s="7" t="s">
        <v>15120</v>
      </c>
      <c r="K2683" s="5" t="s">
        <v>406</v>
      </c>
      <c r="L2683" s="5" t="s">
        <v>15121</v>
      </c>
      <c r="M2683" s="5" t="s">
        <v>45</v>
      </c>
      <c r="N2683" s="5" t="s">
        <v>123</v>
      </c>
      <c r="O2683" s="5" t="s">
        <v>59</v>
      </c>
      <c r="P2683" s="7" t="s">
        <v>15122</v>
      </c>
      <c r="Q2683" s="7" t="s">
        <v>4531</v>
      </c>
      <c r="R2683" s="7" t="s">
        <v>3083</v>
      </c>
      <c r="S2683" s="5">
        <v>0</v>
      </c>
      <c r="T2683" s="36">
        <v>0</v>
      </c>
      <c r="U2683" s="5">
        <v>0</v>
      </c>
      <c r="V2683" s="36">
        <v>0</v>
      </c>
      <c r="W2683" s="5">
        <v>0</v>
      </c>
      <c r="X2683" s="5">
        <v>0</v>
      </c>
      <c r="Y2683" s="5">
        <v>0</v>
      </c>
      <c r="Z2683" s="36">
        <v>0</v>
      </c>
      <c r="AA2683" s="5">
        <v>0</v>
      </c>
      <c r="AB2683" s="5">
        <v>0</v>
      </c>
      <c r="AC2683" s="5">
        <v>0</v>
      </c>
      <c r="AD2683" s="5">
        <v>0</v>
      </c>
      <c r="AE2683" s="7" t="s">
        <v>73</v>
      </c>
      <c r="AF2683" s="7"/>
      <c r="AG2683" s="7" t="s">
        <v>333</v>
      </c>
      <c r="AH2683" s="7">
        <v>43247</v>
      </c>
      <c r="AI2683" s="5">
        <v>1</v>
      </c>
      <c r="AJ2683" s="7" t="s">
        <v>15123</v>
      </c>
      <c r="AK2683" s="7" t="s">
        <v>15124</v>
      </c>
    </row>
    <row r="2684" spans="1:37" ht="36.75" customHeight="1" x14ac:dyDescent="0.35">
      <c r="A2684" s="5"/>
      <c r="B2684" s="5" t="s">
        <v>37</v>
      </c>
      <c r="C2684" s="73" t="str">
        <f t="shared" si="41"/>
        <v>Closed</v>
      </c>
      <c r="D2684" s="45" t="s">
        <v>15125</v>
      </c>
      <c r="E2684" s="54" t="s">
        <v>15126</v>
      </c>
      <c r="F2684" s="5" t="s">
        <v>404</v>
      </c>
      <c r="G2684" s="7">
        <f>DATE(2018,5,28)</f>
        <v>43248</v>
      </c>
      <c r="H2684" s="34">
        <v>1.2124999999999999</v>
      </c>
      <c r="I2684" s="5" t="s">
        <v>85</v>
      </c>
      <c r="J2684" s="7" t="s">
        <v>15127</v>
      </c>
      <c r="K2684" s="5" t="s">
        <v>406</v>
      </c>
      <c r="L2684" s="5" t="s">
        <v>15128</v>
      </c>
      <c r="M2684" s="5" t="s">
        <v>45</v>
      </c>
      <c r="N2684" s="5" t="s">
        <v>123</v>
      </c>
      <c r="O2684" s="5" t="s">
        <v>59</v>
      </c>
      <c r="P2684" s="7" t="s">
        <v>197</v>
      </c>
      <c r="Q2684" s="7" t="s">
        <v>15129</v>
      </c>
      <c r="R2684" s="7" t="s">
        <v>3083</v>
      </c>
      <c r="S2684" s="5">
        <v>0</v>
      </c>
      <c r="T2684" s="36">
        <v>0</v>
      </c>
      <c r="U2684" s="5">
        <v>0</v>
      </c>
      <c r="V2684" s="36">
        <v>0</v>
      </c>
      <c r="W2684" s="5">
        <v>0</v>
      </c>
      <c r="X2684" s="5">
        <v>0</v>
      </c>
      <c r="Y2684" s="5">
        <v>0</v>
      </c>
      <c r="Z2684" s="36">
        <v>0</v>
      </c>
      <c r="AA2684" s="5">
        <v>0</v>
      </c>
      <c r="AB2684" s="5">
        <v>0</v>
      </c>
      <c r="AC2684" s="5">
        <v>0</v>
      </c>
      <c r="AD2684" s="5">
        <v>0</v>
      </c>
      <c r="AE2684" s="7" t="s">
        <v>73</v>
      </c>
      <c r="AF2684" s="7"/>
      <c r="AG2684" s="7" t="s">
        <v>333</v>
      </c>
      <c r="AH2684" s="7">
        <v>43248</v>
      </c>
      <c r="AI2684" s="5">
        <v>0</v>
      </c>
      <c r="AJ2684" s="7" t="s">
        <v>15130</v>
      </c>
      <c r="AK2684" s="7" t="s">
        <v>15131</v>
      </c>
    </row>
    <row r="2685" spans="1:37" ht="36.75" customHeight="1" x14ac:dyDescent="0.35">
      <c r="A2685" s="5"/>
      <c r="B2685" s="5" t="s">
        <v>37</v>
      </c>
      <c r="C2685" s="73" t="str">
        <f t="shared" si="41"/>
        <v>Closed</v>
      </c>
      <c r="D2685" s="45" t="s">
        <v>15132</v>
      </c>
      <c r="E2685" s="54" t="s">
        <v>15133</v>
      </c>
      <c r="F2685" s="5" t="s">
        <v>816</v>
      </c>
      <c r="G2685" s="7">
        <f>DATE(2018,5,29)</f>
        <v>43249</v>
      </c>
      <c r="H2685" s="34">
        <v>1.7208333333333332</v>
      </c>
      <c r="I2685" s="5" t="s">
        <v>2244</v>
      </c>
      <c r="J2685" s="7" t="s">
        <v>15134</v>
      </c>
      <c r="K2685" s="5" t="s">
        <v>818</v>
      </c>
      <c r="L2685" s="5" t="s">
        <v>15135</v>
      </c>
      <c r="M2685" s="5" t="s">
        <v>45</v>
      </c>
      <c r="N2685" s="5" t="s">
        <v>80</v>
      </c>
      <c r="O2685" s="5" t="s">
        <v>46</v>
      </c>
      <c r="P2685" s="7" t="s">
        <v>6920</v>
      </c>
      <c r="Q2685" s="7" t="s">
        <v>2142</v>
      </c>
      <c r="R2685" s="7" t="s">
        <v>821</v>
      </c>
      <c r="S2685" s="5">
        <v>0</v>
      </c>
      <c r="T2685" s="36">
        <v>0</v>
      </c>
      <c r="U2685" s="5">
        <v>0</v>
      </c>
      <c r="V2685" s="36">
        <v>0</v>
      </c>
      <c r="W2685" s="5">
        <v>0</v>
      </c>
      <c r="X2685" s="5">
        <v>0</v>
      </c>
      <c r="Y2685" s="5">
        <v>0</v>
      </c>
      <c r="Z2685" s="36">
        <v>0</v>
      </c>
      <c r="AA2685" s="5">
        <v>0</v>
      </c>
      <c r="AB2685" s="5">
        <v>0</v>
      </c>
      <c r="AC2685" s="5">
        <v>0</v>
      </c>
      <c r="AD2685" s="5">
        <v>0</v>
      </c>
      <c r="AE2685" s="7" t="s">
        <v>73</v>
      </c>
      <c r="AF2685" s="7"/>
      <c r="AG2685" s="7" t="s">
        <v>2064</v>
      </c>
      <c r="AH2685" s="7">
        <v>43251</v>
      </c>
      <c r="AI2685" s="5">
        <v>1</v>
      </c>
      <c r="AJ2685" s="7" t="s">
        <v>15136</v>
      </c>
      <c r="AK2685" s="7" t="s">
        <v>15137</v>
      </c>
    </row>
    <row r="2686" spans="1:37" ht="36.75" customHeight="1" x14ac:dyDescent="0.35">
      <c r="A2686" s="5"/>
      <c r="B2686" s="5" t="s">
        <v>37</v>
      </c>
      <c r="C2686" s="73" t="str">
        <f t="shared" si="41"/>
        <v>Closed</v>
      </c>
      <c r="D2686" s="45" t="s">
        <v>15138</v>
      </c>
      <c r="E2686" s="54" t="s">
        <v>15139</v>
      </c>
      <c r="F2686" s="5" t="s">
        <v>105</v>
      </c>
      <c r="G2686" s="7">
        <f>DATE(2018,5,29)</f>
        <v>43249</v>
      </c>
      <c r="H2686" s="34">
        <v>0</v>
      </c>
      <c r="I2686" s="5" t="s">
        <v>106</v>
      </c>
      <c r="J2686" s="7" t="s">
        <v>15140</v>
      </c>
      <c r="K2686" s="5" t="s">
        <v>108</v>
      </c>
      <c r="L2686" s="5" t="s">
        <v>15141</v>
      </c>
      <c r="M2686" s="5" t="s">
        <v>45</v>
      </c>
      <c r="N2686" s="5" t="s">
        <v>123</v>
      </c>
      <c r="O2686" s="5" t="s">
        <v>46</v>
      </c>
      <c r="P2686" s="7" t="s">
        <v>60</v>
      </c>
      <c r="Q2686" s="7" t="s">
        <v>382</v>
      </c>
      <c r="R2686" s="7" t="s">
        <v>148</v>
      </c>
      <c r="S2686" s="5">
        <v>0</v>
      </c>
      <c r="T2686" s="36">
        <v>0</v>
      </c>
      <c r="U2686" s="5">
        <v>0</v>
      </c>
      <c r="V2686" s="36">
        <v>0</v>
      </c>
      <c r="W2686" s="5">
        <v>0</v>
      </c>
      <c r="X2686" s="5">
        <v>0</v>
      </c>
      <c r="Y2686" s="5">
        <v>0</v>
      </c>
      <c r="Z2686" s="36">
        <v>0</v>
      </c>
      <c r="AA2686" s="5">
        <v>0</v>
      </c>
      <c r="AB2686" s="5">
        <v>0</v>
      </c>
      <c r="AC2686" s="5">
        <v>0</v>
      </c>
      <c r="AD2686" s="5">
        <v>0</v>
      </c>
      <c r="AE2686" s="7" t="s">
        <v>375</v>
      </c>
      <c r="AF2686" s="7"/>
      <c r="AG2686" s="7" t="s">
        <v>570</v>
      </c>
      <c r="AH2686" s="7">
        <v>43262</v>
      </c>
      <c r="AI2686" s="5">
        <v>1</v>
      </c>
      <c r="AJ2686" s="7" t="s">
        <v>15142</v>
      </c>
      <c r="AK2686" s="7" t="s">
        <v>50</v>
      </c>
    </row>
    <row r="2687" spans="1:37" ht="36.75" customHeight="1" x14ac:dyDescent="0.35">
      <c r="A2687" s="5"/>
      <c r="B2687" s="5" t="s">
        <v>37</v>
      </c>
      <c r="C2687" s="73" t="str">
        <f t="shared" si="41"/>
        <v>Closed</v>
      </c>
      <c r="D2687" s="45" t="s">
        <v>15143</v>
      </c>
      <c r="E2687" s="54" t="s">
        <v>15144</v>
      </c>
      <c r="F2687" s="5" t="s">
        <v>816</v>
      </c>
      <c r="G2687" s="7">
        <f>DATE(2018,5,30)</f>
        <v>43250</v>
      </c>
      <c r="H2687" s="34">
        <v>1.2791666666666668</v>
      </c>
      <c r="I2687" s="5" t="s">
        <v>55</v>
      </c>
      <c r="J2687" s="7" t="s">
        <v>55</v>
      </c>
      <c r="K2687" s="5" t="s">
        <v>818</v>
      </c>
      <c r="L2687" s="5" t="s">
        <v>13995</v>
      </c>
      <c r="M2687" s="5" t="s">
        <v>45</v>
      </c>
      <c r="N2687" s="5" t="s">
        <v>123</v>
      </c>
      <c r="O2687" s="5" t="s">
        <v>59</v>
      </c>
      <c r="P2687" s="7" t="s">
        <v>60</v>
      </c>
      <c r="Q2687" s="7" t="s">
        <v>1379</v>
      </c>
      <c r="R2687" s="7" t="s">
        <v>821</v>
      </c>
      <c r="S2687" s="5">
        <v>0</v>
      </c>
      <c r="T2687" s="36">
        <v>0</v>
      </c>
      <c r="U2687" s="5">
        <v>0</v>
      </c>
      <c r="V2687" s="36">
        <v>0</v>
      </c>
      <c r="W2687" s="5">
        <v>0</v>
      </c>
      <c r="X2687" s="5">
        <v>0</v>
      </c>
      <c r="Y2687" s="5">
        <v>0</v>
      </c>
      <c r="Z2687" s="36">
        <v>0</v>
      </c>
      <c r="AA2687" s="5">
        <v>0</v>
      </c>
      <c r="AB2687" s="5">
        <v>0</v>
      </c>
      <c r="AC2687" s="5">
        <v>0</v>
      </c>
      <c r="AD2687" s="5">
        <v>0</v>
      </c>
      <c r="AE2687" s="7" t="s">
        <v>73</v>
      </c>
      <c r="AF2687" s="7"/>
      <c r="AG2687" s="7" t="s">
        <v>333</v>
      </c>
      <c r="AH2687" s="7">
        <v>43284</v>
      </c>
      <c r="AI2687" s="5">
        <v>0</v>
      </c>
      <c r="AJ2687" s="7" t="s">
        <v>15145</v>
      </c>
      <c r="AK2687" s="7" t="s">
        <v>1215</v>
      </c>
    </row>
    <row r="2688" spans="1:37" ht="36.75" customHeight="1" x14ac:dyDescent="0.35">
      <c r="A2688" s="5"/>
      <c r="B2688" s="5" t="s">
        <v>37</v>
      </c>
      <c r="C2688" s="73" t="str">
        <f t="shared" si="41"/>
        <v>Closed</v>
      </c>
      <c r="D2688" s="45" t="s">
        <v>15146</v>
      </c>
      <c r="E2688" s="54" t="s">
        <v>15147</v>
      </c>
      <c r="F2688" s="5" t="s">
        <v>6434</v>
      </c>
      <c r="G2688" s="7">
        <f>DATE(2018,6,1)</f>
        <v>43252</v>
      </c>
      <c r="H2688" s="34">
        <v>1.2173611111111111</v>
      </c>
      <c r="I2688" s="5" t="s">
        <v>137</v>
      </c>
      <c r="J2688" s="7" t="s">
        <v>15148</v>
      </c>
      <c r="K2688" s="5" t="s">
        <v>565</v>
      </c>
      <c r="L2688" s="5" t="s">
        <v>15149</v>
      </c>
      <c r="M2688" s="5" t="s">
        <v>45</v>
      </c>
      <c r="N2688" s="5" t="s">
        <v>80</v>
      </c>
      <c r="O2688" s="5" t="s">
        <v>46</v>
      </c>
      <c r="P2688" s="7" t="s">
        <v>146</v>
      </c>
      <c r="Q2688" s="7" t="s">
        <v>3883</v>
      </c>
      <c r="R2688" s="7" t="s">
        <v>568</v>
      </c>
      <c r="S2688" s="5">
        <v>0</v>
      </c>
      <c r="T2688" s="36">
        <v>0</v>
      </c>
      <c r="U2688" s="5">
        <v>0</v>
      </c>
      <c r="V2688" s="36">
        <v>0</v>
      </c>
      <c r="W2688" s="5">
        <v>0</v>
      </c>
      <c r="X2688" s="5">
        <v>0</v>
      </c>
      <c r="Y2688" s="5">
        <v>0</v>
      </c>
      <c r="Z2688" s="36">
        <v>0</v>
      </c>
      <c r="AA2688" s="5">
        <v>0</v>
      </c>
      <c r="AB2688" s="5">
        <v>0</v>
      </c>
      <c r="AC2688" s="5">
        <v>0</v>
      </c>
      <c r="AD2688" s="5">
        <v>0</v>
      </c>
      <c r="AE2688" s="7" t="s">
        <v>126</v>
      </c>
      <c r="AF2688" s="7" t="s">
        <v>15150</v>
      </c>
      <c r="AG2688" s="7" t="s">
        <v>8837</v>
      </c>
      <c r="AH2688" s="7">
        <v>43437</v>
      </c>
      <c r="AI2688" s="5">
        <v>1</v>
      </c>
      <c r="AJ2688" s="7" t="s">
        <v>15151</v>
      </c>
      <c r="AK2688" s="7"/>
    </row>
    <row r="2689" spans="1:37" ht="36.75" customHeight="1" x14ac:dyDescent="0.35">
      <c r="A2689" s="5"/>
      <c r="B2689" s="5" t="s">
        <v>37</v>
      </c>
      <c r="C2689" s="73" t="str">
        <f t="shared" si="41"/>
        <v>Closed</v>
      </c>
      <c r="D2689" s="45" t="s">
        <v>15152</v>
      </c>
      <c r="E2689" s="54" t="s">
        <v>15153</v>
      </c>
      <c r="F2689" s="5" t="s">
        <v>9767</v>
      </c>
      <c r="G2689" s="7">
        <f>DATE(2018,6,2)</f>
        <v>43253</v>
      </c>
      <c r="H2689" s="34">
        <v>1.5805555555555557</v>
      </c>
      <c r="I2689" s="5" t="s">
        <v>2059</v>
      </c>
      <c r="J2689" s="7" t="s">
        <v>15154</v>
      </c>
      <c r="K2689" s="5" t="s">
        <v>9769</v>
      </c>
      <c r="L2689" s="5" t="s">
        <v>15155</v>
      </c>
      <c r="M2689" s="5" t="s">
        <v>45</v>
      </c>
      <c r="N2689" s="5" t="s">
        <v>80</v>
      </c>
      <c r="O2689" s="5" t="s">
        <v>59</v>
      </c>
      <c r="P2689" s="7" t="s">
        <v>60</v>
      </c>
      <c r="Q2689" s="7" t="s">
        <v>10235</v>
      </c>
      <c r="R2689" s="7" t="s">
        <v>9772</v>
      </c>
      <c r="S2689" s="5">
        <v>0</v>
      </c>
      <c r="T2689" s="36">
        <v>0</v>
      </c>
      <c r="U2689" s="5">
        <v>0</v>
      </c>
      <c r="V2689" s="36">
        <v>0</v>
      </c>
      <c r="W2689" s="5">
        <v>0</v>
      </c>
      <c r="X2689" s="5">
        <v>0</v>
      </c>
      <c r="Y2689" s="5">
        <v>0</v>
      </c>
      <c r="Z2689" s="36">
        <v>0</v>
      </c>
      <c r="AA2689" s="5">
        <v>0</v>
      </c>
      <c r="AB2689" s="5">
        <v>0</v>
      </c>
      <c r="AC2689" s="5">
        <v>0</v>
      </c>
      <c r="AD2689" s="5">
        <v>0</v>
      </c>
      <c r="AE2689" s="7" t="s">
        <v>73</v>
      </c>
      <c r="AF2689" s="7"/>
      <c r="AG2689" s="7" t="s">
        <v>570</v>
      </c>
      <c r="AH2689" s="7">
        <v>43257</v>
      </c>
      <c r="AI2689" s="5">
        <v>2</v>
      </c>
      <c r="AJ2689" s="7" t="s">
        <v>15156</v>
      </c>
      <c r="AK2689" s="7" t="s">
        <v>15157</v>
      </c>
    </row>
    <row r="2690" spans="1:37" ht="36.75" customHeight="1" x14ac:dyDescent="0.35">
      <c r="A2690" s="5"/>
      <c r="B2690" s="5" t="s">
        <v>37</v>
      </c>
      <c r="C2690" s="73" t="str">
        <f t="shared" ref="C2690:C2753" si="42">IF(B2690="Notification","Open",IF(B2690="Interim Statement","In progress","Closed"))</f>
        <v>Closed</v>
      </c>
      <c r="D2690" s="45" t="s">
        <v>15158</v>
      </c>
      <c r="E2690" s="54" t="s">
        <v>15159</v>
      </c>
      <c r="F2690" s="5" t="s">
        <v>404</v>
      </c>
      <c r="G2690" s="7">
        <f>DATE(2018,6,4)</f>
        <v>43255</v>
      </c>
      <c r="H2690" s="34">
        <v>1.3548611111111111</v>
      </c>
      <c r="I2690" s="5" t="s">
        <v>97</v>
      </c>
      <c r="J2690" s="7" t="s">
        <v>15160</v>
      </c>
      <c r="K2690" s="5" t="s">
        <v>406</v>
      </c>
      <c r="L2690" s="5" t="s">
        <v>15161</v>
      </c>
      <c r="M2690" s="5" t="s">
        <v>45</v>
      </c>
      <c r="N2690" s="5" t="s">
        <v>80</v>
      </c>
      <c r="O2690" s="5" t="s">
        <v>46</v>
      </c>
      <c r="P2690" s="7" t="s">
        <v>146</v>
      </c>
      <c r="Q2690" s="7" t="s">
        <v>4531</v>
      </c>
      <c r="R2690" s="7" t="s">
        <v>3083</v>
      </c>
      <c r="S2690" s="5">
        <v>0</v>
      </c>
      <c r="T2690" s="36">
        <v>0</v>
      </c>
      <c r="U2690" s="5">
        <v>1</v>
      </c>
      <c r="V2690" s="36">
        <v>0</v>
      </c>
      <c r="W2690" s="5">
        <v>0</v>
      </c>
      <c r="X2690" s="5">
        <v>1</v>
      </c>
      <c r="Y2690" s="5">
        <v>0</v>
      </c>
      <c r="Z2690" s="36">
        <v>0</v>
      </c>
      <c r="AA2690" s="5">
        <v>0</v>
      </c>
      <c r="AB2690" s="5">
        <v>0</v>
      </c>
      <c r="AC2690" s="5">
        <v>0</v>
      </c>
      <c r="AD2690" s="5">
        <v>0</v>
      </c>
      <c r="AE2690" s="7" t="s">
        <v>73</v>
      </c>
      <c r="AF2690" s="7"/>
      <c r="AG2690" s="7" t="s">
        <v>114</v>
      </c>
      <c r="AH2690" s="7">
        <v>43196</v>
      </c>
      <c r="AI2690" s="5">
        <v>1</v>
      </c>
      <c r="AJ2690" s="7" t="s">
        <v>15076</v>
      </c>
      <c r="AK2690" s="7" t="s">
        <v>15077</v>
      </c>
    </row>
    <row r="2691" spans="1:37" ht="36.75" customHeight="1" x14ac:dyDescent="0.35">
      <c r="A2691" s="5"/>
      <c r="B2691" s="5" t="s">
        <v>37</v>
      </c>
      <c r="C2691" s="73" t="str">
        <f t="shared" si="42"/>
        <v>Closed</v>
      </c>
      <c r="D2691" s="45" t="s">
        <v>15162</v>
      </c>
      <c r="E2691" s="54" t="s">
        <v>15163</v>
      </c>
      <c r="F2691" s="5" t="s">
        <v>816</v>
      </c>
      <c r="G2691" s="7">
        <f>DATE(2018,6,5)</f>
        <v>43256</v>
      </c>
      <c r="H2691" s="34">
        <v>1.6437499999999998</v>
      </c>
      <c r="I2691" s="5" t="s">
        <v>55</v>
      </c>
      <c r="J2691" s="7" t="s">
        <v>15164</v>
      </c>
      <c r="K2691" s="5" t="s">
        <v>818</v>
      </c>
      <c r="L2691" s="5" t="s">
        <v>15165</v>
      </c>
      <c r="M2691" s="5" t="s">
        <v>236</v>
      </c>
      <c r="N2691" s="5" t="s">
        <v>123</v>
      </c>
      <c r="O2691" s="5" t="s">
        <v>59</v>
      </c>
      <c r="P2691" s="7" t="s">
        <v>6531</v>
      </c>
      <c r="Q2691" s="7" t="s">
        <v>4190</v>
      </c>
      <c r="R2691" s="7" t="s">
        <v>4190</v>
      </c>
      <c r="S2691" s="5">
        <v>0</v>
      </c>
      <c r="T2691" s="36">
        <v>0</v>
      </c>
      <c r="U2691" s="5">
        <v>0</v>
      </c>
      <c r="V2691" s="36">
        <v>0</v>
      </c>
      <c r="W2691" s="5">
        <v>0</v>
      </c>
      <c r="X2691" s="5">
        <v>0</v>
      </c>
      <c r="Y2691" s="5">
        <v>0</v>
      </c>
      <c r="Z2691" s="36">
        <v>0</v>
      </c>
      <c r="AA2691" s="5">
        <v>0</v>
      </c>
      <c r="AB2691" s="5">
        <v>0</v>
      </c>
      <c r="AC2691" s="5">
        <v>0</v>
      </c>
      <c r="AD2691" s="5">
        <v>0</v>
      </c>
      <c r="AE2691" s="7" t="s">
        <v>73</v>
      </c>
      <c r="AF2691" s="7"/>
      <c r="AG2691" s="7" t="s">
        <v>333</v>
      </c>
      <c r="AH2691" s="7">
        <v>43277</v>
      </c>
      <c r="AI2691" s="5">
        <v>0</v>
      </c>
      <c r="AJ2691" s="7" t="s">
        <v>15166</v>
      </c>
      <c r="AK2691" s="7" t="s">
        <v>15167</v>
      </c>
    </row>
    <row r="2692" spans="1:37" ht="36.75" customHeight="1" x14ac:dyDescent="0.35">
      <c r="A2692" s="5"/>
      <c r="B2692" s="5" t="s">
        <v>37</v>
      </c>
      <c r="C2692" s="73" t="str">
        <f t="shared" si="42"/>
        <v>Closed</v>
      </c>
      <c r="D2692" s="45" t="s">
        <v>15168</v>
      </c>
      <c r="E2692" s="54" t="s">
        <v>15169</v>
      </c>
      <c r="F2692" s="5" t="s">
        <v>5406</v>
      </c>
      <c r="G2692" s="7">
        <f>DATE(2018,6,5)</f>
        <v>43256</v>
      </c>
      <c r="H2692" s="34">
        <v>1.336111111111111</v>
      </c>
      <c r="I2692" s="5" t="s">
        <v>259</v>
      </c>
      <c r="J2692" s="7" t="s">
        <v>15170</v>
      </c>
      <c r="K2692" s="5" t="s">
        <v>577</v>
      </c>
      <c r="L2692" s="5" t="s">
        <v>15171</v>
      </c>
      <c r="M2692" s="5" t="s">
        <v>45</v>
      </c>
      <c r="N2692" s="5" t="s">
        <v>123</v>
      </c>
      <c r="O2692" s="5" t="s">
        <v>59</v>
      </c>
      <c r="P2692" s="7" t="s">
        <v>72</v>
      </c>
      <c r="Q2692" s="7" t="s">
        <v>10507</v>
      </c>
      <c r="R2692" s="7" t="s">
        <v>12052</v>
      </c>
      <c r="S2692" s="5">
        <v>0</v>
      </c>
      <c r="T2692" s="36">
        <v>1</v>
      </c>
      <c r="U2692" s="5">
        <v>0</v>
      </c>
      <c r="V2692" s="36">
        <v>0</v>
      </c>
      <c r="W2692" s="5">
        <v>0</v>
      </c>
      <c r="X2692" s="5">
        <v>1</v>
      </c>
      <c r="Y2692" s="5">
        <v>0</v>
      </c>
      <c r="Z2692" s="36">
        <v>0</v>
      </c>
      <c r="AA2692" s="5">
        <v>0</v>
      </c>
      <c r="AB2692" s="5">
        <v>0</v>
      </c>
      <c r="AC2692" s="5">
        <v>0</v>
      </c>
      <c r="AD2692" s="5">
        <v>0</v>
      </c>
      <c r="AE2692" s="7" t="s">
        <v>73</v>
      </c>
      <c r="AF2692" s="7"/>
      <c r="AG2692" s="7" t="s">
        <v>64</v>
      </c>
      <c r="AH2692" s="7">
        <v>43257</v>
      </c>
      <c r="AI2692" s="5">
        <v>5</v>
      </c>
      <c r="AJ2692" s="7" t="s">
        <v>15172</v>
      </c>
      <c r="AK2692" s="7" t="s">
        <v>15173</v>
      </c>
    </row>
    <row r="2693" spans="1:37" ht="36.75" customHeight="1" x14ac:dyDescent="0.35">
      <c r="A2693" s="5"/>
      <c r="B2693" s="5" t="s">
        <v>37</v>
      </c>
      <c r="C2693" s="73" t="str">
        <f t="shared" si="42"/>
        <v>Closed</v>
      </c>
      <c r="D2693" s="45" t="s">
        <v>15174</v>
      </c>
      <c r="E2693" s="54" t="s">
        <v>15175</v>
      </c>
      <c r="F2693" s="5" t="s">
        <v>1553</v>
      </c>
      <c r="G2693" s="7">
        <f>DATE(2018,6,5)</f>
        <v>43256</v>
      </c>
      <c r="H2693" s="34">
        <v>1.2583333333333333</v>
      </c>
      <c r="I2693" s="5" t="s">
        <v>106</v>
      </c>
      <c r="J2693" s="7" t="s">
        <v>15176</v>
      </c>
      <c r="K2693" s="5" t="s">
        <v>1555</v>
      </c>
      <c r="L2693" s="5" t="s">
        <v>15177</v>
      </c>
      <c r="M2693" s="5" t="s">
        <v>45</v>
      </c>
      <c r="N2693" s="5" t="s">
        <v>80</v>
      </c>
      <c r="O2693" s="5" t="s">
        <v>46</v>
      </c>
      <c r="P2693" s="7" t="s">
        <v>6920</v>
      </c>
      <c r="Q2693" s="7" t="s">
        <v>5149</v>
      </c>
      <c r="R2693" s="7" t="s">
        <v>2541</v>
      </c>
      <c r="S2693" s="5">
        <v>0</v>
      </c>
      <c r="T2693" s="36">
        <v>0</v>
      </c>
      <c r="U2693" s="5">
        <v>0</v>
      </c>
      <c r="V2693" s="36">
        <v>0</v>
      </c>
      <c r="W2693" s="5">
        <v>0</v>
      </c>
      <c r="X2693" s="5">
        <v>0</v>
      </c>
      <c r="Y2693" s="5">
        <v>0</v>
      </c>
      <c r="Z2693" s="36">
        <v>0</v>
      </c>
      <c r="AA2693" s="5">
        <v>0</v>
      </c>
      <c r="AB2693" s="5">
        <v>0</v>
      </c>
      <c r="AC2693" s="5">
        <v>0</v>
      </c>
      <c r="AD2693" s="5">
        <v>0</v>
      </c>
      <c r="AE2693" s="7" t="s">
        <v>73</v>
      </c>
      <c r="AF2693" s="7"/>
      <c r="AG2693" s="7" t="s">
        <v>114</v>
      </c>
      <c r="AH2693" s="7">
        <v>43257</v>
      </c>
      <c r="AI2693" s="5">
        <v>2</v>
      </c>
      <c r="AJ2693" s="7" t="s">
        <v>15178</v>
      </c>
      <c r="AK2693" s="7" t="s">
        <v>15179</v>
      </c>
    </row>
    <row r="2694" spans="1:37" ht="36.75" customHeight="1" x14ac:dyDescent="0.35">
      <c r="A2694" s="5"/>
      <c r="B2694" s="5" t="s">
        <v>37</v>
      </c>
      <c r="C2694" s="73" t="str">
        <f t="shared" si="42"/>
        <v>Closed</v>
      </c>
      <c r="D2694" s="45" t="s">
        <v>15180</v>
      </c>
      <c r="E2694" s="54" t="s">
        <v>15181</v>
      </c>
      <c r="F2694" s="5" t="s">
        <v>1553</v>
      </c>
      <c r="G2694" s="7">
        <f>DATE(2018,6,6)</f>
        <v>43257</v>
      </c>
      <c r="H2694" s="34">
        <v>1.9083333333333332</v>
      </c>
      <c r="I2694" s="5" t="s">
        <v>55</v>
      </c>
      <c r="J2694" s="7" t="s">
        <v>15182</v>
      </c>
      <c r="K2694" s="5" t="s">
        <v>1555</v>
      </c>
      <c r="L2694" s="5" t="s">
        <v>9052</v>
      </c>
      <c r="M2694" s="5" t="s">
        <v>45</v>
      </c>
      <c r="N2694" s="5" t="s">
        <v>123</v>
      </c>
      <c r="O2694" s="5" t="s">
        <v>59</v>
      </c>
      <c r="P2694" s="7" t="s">
        <v>60</v>
      </c>
      <c r="Q2694" s="7" t="s">
        <v>2635</v>
      </c>
      <c r="R2694" s="7" t="s">
        <v>6413</v>
      </c>
      <c r="S2694" s="5">
        <v>0</v>
      </c>
      <c r="T2694" s="36">
        <v>0</v>
      </c>
      <c r="U2694" s="5">
        <v>0</v>
      </c>
      <c r="V2694" s="36">
        <v>0</v>
      </c>
      <c r="W2694" s="5">
        <v>0</v>
      </c>
      <c r="X2694" s="5">
        <v>0</v>
      </c>
      <c r="Y2694" s="5">
        <v>0</v>
      </c>
      <c r="Z2694" s="36">
        <v>0</v>
      </c>
      <c r="AA2694" s="5">
        <v>0</v>
      </c>
      <c r="AB2694" s="5">
        <v>0</v>
      </c>
      <c r="AC2694" s="5">
        <v>0</v>
      </c>
      <c r="AD2694" s="5">
        <v>0</v>
      </c>
      <c r="AE2694" s="7" t="s">
        <v>73</v>
      </c>
      <c r="AF2694" s="7"/>
      <c r="AG2694" s="7" t="s">
        <v>114</v>
      </c>
      <c r="AH2694" s="7">
        <v>43258</v>
      </c>
      <c r="AI2694" s="5">
        <v>1</v>
      </c>
      <c r="AJ2694" s="7" t="s">
        <v>15183</v>
      </c>
      <c r="AK2694" s="7" t="s">
        <v>15184</v>
      </c>
    </row>
    <row r="2695" spans="1:37" ht="36.75" customHeight="1" x14ac:dyDescent="0.35">
      <c r="A2695" s="5"/>
      <c r="B2695" s="5" t="s">
        <v>37</v>
      </c>
      <c r="C2695" s="73" t="str">
        <f t="shared" si="42"/>
        <v>Closed</v>
      </c>
      <c r="D2695" s="45" t="s">
        <v>15185</v>
      </c>
      <c r="E2695" s="54" t="s">
        <v>15186</v>
      </c>
      <c r="F2695" s="5" t="s">
        <v>105</v>
      </c>
      <c r="G2695" s="7">
        <f>DATE(2018,6,7)</f>
        <v>43258</v>
      </c>
      <c r="H2695" s="34">
        <v>1.6805555555555554</v>
      </c>
      <c r="I2695" s="5" t="s">
        <v>468</v>
      </c>
      <c r="J2695" s="7" t="s">
        <v>15187</v>
      </c>
      <c r="K2695" s="5" t="s">
        <v>108</v>
      </c>
      <c r="L2695" s="5" t="s">
        <v>15188</v>
      </c>
      <c r="M2695" s="5" t="s">
        <v>110</v>
      </c>
      <c r="N2695" s="5" t="s">
        <v>80</v>
      </c>
      <c r="O2695" s="5" t="s">
        <v>46</v>
      </c>
      <c r="P2695" s="7" t="s">
        <v>282</v>
      </c>
      <c r="Q2695" s="7" t="s">
        <v>111</v>
      </c>
      <c r="R2695" s="7" t="s">
        <v>112</v>
      </c>
      <c r="S2695" s="5">
        <v>0</v>
      </c>
      <c r="T2695" s="36">
        <v>0</v>
      </c>
      <c r="U2695" s="5">
        <v>0</v>
      </c>
      <c r="V2695" s="36">
        <v>0</v>
      </c>
      <c r="W2695" s="5">
        <v>0</v>
      </c>
      <c r="X2695" s="5">
        <v>0</v>
      </c>
      <c r="Y2695" s="5">
        <v>0</v>
      </c>
      <c r="Z2695" s="36">
        <v>0</v>
      </c>
      <c r="AA2695" s="5">
        <v>0</v>
      </c>
      <c r="AB2695" s="5">
        <v>0</v>
      </c>
      <c r="AC2695" s="5">
        <v>0</v>
      </c>
      <c r="AD2695" s="5">
        <v>0</v>
      </c>
      <c r="AE2695" s="7" t="s">
        <v>73</v>
      </c>
      <c r="AF2695" s="7"/>
      <c r="AG2695" s="7" t="s">
        <v>348</v>
      </c>
      <c r="AH2695" s="7">
        <v>43271</v>
      </c>
      <c r="AI2695" s="5">
        <v>1</v>
      </c>
      <c r="AJ2695" s="7" t="s">
        <v>15189</v>
      </c>
      <c r="AK2695" s="7" t="s">
        <v>50</v>
      </c>
    </row>
    <row r="2696" spans="1:37" ht="36.75" customHeight="1" x14ac:dyDescent="0.35">
      <c r="A2696" s="5"/>
      <c r="B2696" s="5" t="s">
        <v>37</v>
      </c>
      <c r="C2696" s="73" t="str">
        <f t="shared" si="42"/>
        <v>Closed</v>
      </c>
      <c r="D2696" s="45" t="s">
        <v>15190</v>
      </c>
      <c r="E2696" s="54" t="s">
        <v>15191</v>
      </c>
      <c r="F2696" s="5" t="s">
        <v>1751</v>
      </c>
      <c r="G2696" s="7">
        <f>DATE(2018,6,8)</f>
        <v>43259</v>
      </c>
      <c r="H2696" s="34">
        <v>1.4395833333333334</v>
      </c>
      <c r="I2696" s="5" t="s">
        <v>55</v>
      </c>
      <c r="J2696" s="7" t="s">
        <v>15192</v>
      </c>
      <c r="K2696" s="5" t="s">
        <v>1753</v>
      </c>
      <c r="L2696" s="5" t="s">
        <v>15193</v>
      </c>
      <c r="M2696" s="5" t="s">
        <v>45</v>
      </c>
      <c r="N2696" s="5" t="s">
        <v>70</v>
      </c>
      <c r="O2696" s="5" t="s">
        <v>46</v>
      </c>
      <c r="P2696" s="7" t="s">
        <v>146</v>
      </c>
      <c r="Q2696" s="7" t="s">
        <v>1755</v>
      </c>
      <c r="R2696" s="7" t="s">
        <v>1753</v>
      </c>
      <c r="S2696" s="5">
        <v>0</v>
      </c>
      <c r="T2696" s="36">
        <v>0</v>
      </c>
      <c r="U2696" s="5">
        <v>0</v>
      </c>
      <c r="V2696" s="36">
        <v>0</v>
      </c>
      <c r="W2696" s="5">
        <v>0</v>
      </c>
      <c r="X2696" s="5">
        <v>0</v>
      </c>
      <c r="Y2696" s="5">
        <v>0</v>
      </c>
      <c r="Z2696" s="36">
        <v>0</v>
      </c>
      <c r="AA2696" s="5">
        <v>0</v>
      </c>
      <c r="AB2696" s="5">
        <v>0</v>
      </c>
      <c r="AC2696" s="5">
        <v>0</v>
      </c>
      <c r="AD2696" s="5">
        <v>0</v>
      </c>
      <c r="AE2696" s="7" t="s">
        <v>126</v>
      </c>
      <c r="AF2696" s="7"/>
      <c r="AG2696" s="7" t="s">
        <v>64</v>
      </c>
      <c r="AH2696" s="7">
        <v>43262</v>
      </c>
      <c r="AI2696" s="5">
        <v>0</v>
      </c>
      <c r="AJ2696" s="7" t="s">
        <v>15194</v>
      </c>
      <c r="AK2696" s="7" t="s">
        <v>15195</v>
      </c>
    </row>
    <row r="2697" spans="1:37" ht="36.75" customHeight="1" x14ac:dyDescent="0.35">
      <c r="A2697" s="5"/>
      <c r="B2697" s="5" t="s">
        <v>37</v>
      </c>
      <c r="C2697" s="73" t="str">
        <f t="shared" si="42"/>
        <v>Closed</v>
      </c>
      <c r="D2697" s="45" t="s">
        <v>15196</v>
      </c>
      <c r="E2697" s="54" t="s">
        <v>15197</v>
      </c>
      <c r="F2697" s="5" t="s">
        <v>214</v>
      </c>
      <c r="G2697" s="7">
        <f>DATE(2018,6,8)</f>
        <v>43259</v>
      </c>
      <c r="H2697" s="34">
        <v>1.0840277777777778</v>
      </c>
      <c r="I2697" s="5" t="s">
        <v>468</v>
      </c>
      <c r="J2697" s="7" t="s">
        <v>15198</v>
      </c>
      <c r="K2697" s="5" t="s">
        <v>216</v>
      </c>
      <c r="L2697" s="5" t="s">
        <v>7329</v>
      </c>
      <c r="M2697" s="5" t="s">
        <v>45</v>
      </c>
      <c r="N2697" s="5" t="s">
        <v>123</v>
      </c>
      <c r="O2697" s="5" t="s">
        <v>46</v>
      </c>
      <c r="P2697" s="7" t="s">
        <v>67</v>
      </c>
      <c r="Q2697" s="7" t="s">
        <v>15199</v>
      </c>
      <c r="R2697" s="7" t="s">
        <v>216</v>
      </c>
      <c r="S2697" s="5">
        <v>0</v>
      </c>
      <c r="T2697" s="36">
        <v>0</v>
      </c>
      <c r="U2697" s="5">
        <v>0</v>
      </c>
      <c r="V2697" s="36">
        <v>0</v>
      </c>
      <c r="W2697" s="5">
        <v>0</v>
      </c>
      <c r="X2697" s="5">
        <v>0</v>
      </c>
      <c r="Y2697" s="5">
        <v>0</v>
      </c>
      <c r="Z2697" s="36">
        <v>0</v>
      </c>
      <c r="AA2697" s="5">
        <v>0</v>
      </c>
      <c r="AB2697" s="5">
        <v>0</v>
      </c>
      <c r="AC2697" s="5">
        <v>0</v>
      </c>
      <c r="AD2697" s="5">
        <v>0</v>
      </c>
      <c r="AE2697" s="7" t="s">
        <v>73</v>
      </c>
      <c r="AF2697" s="7"/>
      <c r="AG2697" s="7" t="s">
        <v>114</v>
      </c>
      <c r="AH2697" s="7">
        <v>43269</v>
      </c>
      <c r="AI2697" s="5">
        <v>3</v>
      </c>
      <c r="AJ2697" s="7" t="s">
        <v>15200</v>
      </c>
      <c r="AK2697" s="7" t="s">
        <v>15201</v>
      </c>
    </row>
    <row r="2698" spans="1:37" ht="36.75" customHeight="1" x14ac:dyDescent="0.35">
      <c r="A2698" s="5"/>
      <c r="B2698" s="5" t="s">
        <v>37</v>
      </c>
      <c r="C2698" s="73" t="str">
        <f t="shared" si="42"/>
        <v>Closed</v>
      </c>
      <c r="D2698" s="45" t="s">
        <v>15202</v>
      </c>
      <c r="E2698" s="54" t="s">
        <v>15203</v>
      </c>
      <c r="F2698" s="5" t="s">
        <v>404</v>
      </c>
      <c r="G2698" s="7">
        <f>DATE(2018,6,11)</f>
        <v>43262</v>
      </c>
      <c r="H2698" s="34">
        <v>1.6041666666666665</v>
      </c>
      <c r="I2698" s="5" t="s">
        <v>97</v>
      </c>
      <c r="J2698" s="7" t="s">
        <v>15204</v>
      </c>
      <c r="K2698" s="5" t="s">
        <v>406</v>
      </c>
      <c r="L2698" s="5" t="s">
        <v>15205</v>
      </c>
      <c r="M2698" s="5" t="s">
        <v>45</v>
      </c>
      <c r="N2698" s="5" t="s">
        <v>80</v>
      </c>
      <c r="O2698" s="5" t="s">
        <v>46</v>
      </c>
      <c r="P2698" s="7" t="s">
        <v>146</v>
      </c>
      <c r="Q2698" s="7" t="s">
        <v>4531</v>
      </c>
      <c r="R2698" s="7" t="s">
        <v>3083</v>
      </c>
      <c r="S2698" s="5">
        <v>0</v>
      </c>
      <c r="T2698" s="36">
        <v>0</v>
      </c>
      <c r="U2698" s="5">
        <v>1</v>
      </c>
      <c r="V2698" s="36">
        <v>0</v>
      </c>
      <c r="W2698" s="5">
        <v>0</v>
      </c>
      <c r="X2698" s="5">
        <v>1</v>
      </c>
      <c r="Y2698" s="5">
        <v>0</v>
      </c>
      <c r="Z2698" s="36">
        <v>0</v>
      </c>
      <c r="AA2698" s="5">
        <v>0</v>
      </c>
      <c r="AB2698" s="5">
        <v>0</v>
      </c>
      <c r="AC2698" s="5">
        <v>0</v>
      </c>
      <c r="AD2698" s="5">
        <v>0</v>
      </c>
      <c r="AE2698" s="7" t="s">
        <v>73</v>
      </c>
      <c r="AF2698" s="7"/>
      <c r="AG2698" s="7" t="s">
        <v>855</v>
      </c>
      <c r="AH2698" s="7">
        <v>43410</v>
      </c>
      <c r="AI2698" s="5">
        <v>1</v>
      </c>
      <c r="AJ2698" s="7" t="s">
        <v>15076</v>
      </c>
      <c r="AK2698" s="7" t="s">
        <v>15077</v>
      </c>
    </row>
    <row r="2699" spans="1:37" ht="36.75" customHeight="1" x14ac:dyDescent="0.35">
      <c r="A2699" s="5"/>
      <c r="B2699" s="5" t="s">
        <v>37</v>
      </c>
      <c r="C2699" s="73" t="str">
        <f t="shared" si="42"/>
        <v>Closed</v>
      </c>
      <c r="D2699" s="45" t="s">
        <v>15206</v>
      </c>
      <c r="E2699" s="54" t="s">
        <v>15207</v>
      </c>
      <c r="F2699" s="5" t="s">
        <v>816</v>
      </c>
      <c r="G2699" s="7">
        <f>DATE(2018,6,11)</f>
        <v>43262</v>
      </c>
      <c r="H2699" s="34">
        <v>1.0625</v>
      </c>
      <c r="I2699" s="5" t="s">
        <v>468</v>
      </c>
      <c r="J2699" s="7" t="s">
        <v>15208</v>
      </c>
      <c r="K2699" s="5" t="s">
        <v>818</v>
      </c>
      <c r="L2699" s="5" t="s">
        <v>15209</v>
      </c>
      <c r="M2699" s="5" t="s">
        <v>9897</v>
      </c>
      <c r="N2699" s="5" t="s">
        <v>80</v>
      </c>
      <c r="O2699" s="5" t="s">
        <v>59</v>
      </c>
      <c r="P2699" s="7" t="s">
        <v>15210</v>
      </c>
      <c r="Q2699" s="7" t="s">
        <v>15211</v>
      </c>
      <c r="R2699" s="7" t="s">
        <v>15211</v>
      </c>
      <c r="S2699" s="5">
        <v>0</v>
      </c>
      <c r="T2699" s="36">
        <v>0</v>
      </c>
      <c r="U2699" s="5">
        <v>0</v>
      </c>
      <c r="V2699" s="36">
        <v>0</v>
      </c>
      <c r="W2699" s="5">
        <v>0</v>
      </c>
      <c r="X2699" s="5">
        <v>0</v>
      </c>
      <c r="Y2699" s="5">
        <v>0</v>
      </c>
      <c r="Z2699" s="36">
        <v>0</v>
      </c>
      <c r="AA2699" s="5">
        <v>0</v>
      </c>
      <c r="AB2699" s="5">
        <v>0</v>
      </c>
      <c r="AC2699" s="5">
        <v>0</v>
      </c>
      <c r="AD2699" s="5">
        <v>0</v>
      </c>
      <c r="AE2699" s="7" t="s">
        <v>375</v>
      </c>
      <c r="AF2699" s="7"/>
      <c r="AG2699" s="7" t="s">
        <v>114</v>
      </c>
      <c r="AH2699" s="7">
        <v>43262</v>
      </c>
      <c r="AI2699" s="5">
        <v>0</v>
      </c>
      <c r="AJ2699" s="7" t="s">
        <v>15212</v>
      </c>
      <c r="AK2699" s="7" t="s">
        <v>50</v>
      </c>
    </row>
    <row r="2700" spans="1:37" ht="36.75" customHeight="1" x14ac:dyDescent="0.35">
      <c r="A2700" s="5"/>
      <c r="B2700" s="5" t="s">
        <v>37</v>
      </c>
      <c r="C2700" s="73" t="str">
        <f t="shared" si="42"/>
        <v>Closed</v>
      </c>
      <c r="D2700" s="45" t="s">
        <v>15213</v>
      </c>
      <c r="E2700" s="54" t="s">
        <v>15214</v>
      </c>
      <c r="F2700" s="5" t="s">
        <v>2316</v>
      </c>
      <c r="G2700" s="7">
        <f>DATE(2018,6,13)</f>
        <v>43264</v>
      </c>
      <c r="H2700" s="34">
        <v>1.5381944444444444</v>
      </c>
      <c r="I2700" s="5" t="s">
        <v>97</v>
      </c>
      <c r="J2700" s="7" t="s">
        <v>15215</v>
      </c>
      <c r="K2700" s="5" t="s">
        <v>2318</v>
      </c>
      <c r="L2700" s="5" t="s">
        <v>15216</v>
      </c>
      <c r="M2700" s="5" t="s">
        <v>45</v>
      </c>
      <c r="N2700" s="5" t="s">
        <v>123</v>
      </c>
      <c r="O2700" s="5" t="s">
        <v>46</v>
      </c>
      <c r="P2700" s="7" t="s">
        <v>146</v>
      </c>
      <c r="Q2700" s="7" t="s">
        <v>13488</v>
      </c>
      <c r="R2700" s="7" t="s">
        <v>2321</v>
      </c>
      <c r="S2700" s="5">
        <v>0</v>
      </c>
      <c r="T2700" s="36">
        <v>0</v>
      </c>
      <c r="U2700" s="5">
        <v>1</v>
      </c>
      <c r="V2700" s="36">
        <v>0</v>
      </c>
      <c r="W2700" s="5">
        <v>0</v>
      </c>
      <c r="X2700" s="5">
        <v>1</v>
      </c>
      <c r="Y2700" s="5">
        <v>3</v>
      </c>
      <c r="Z2700" s="36">
        <v>2</v>
      </c>
      <c r="AA2700" s="5">
        <v>0</v>
      </c>
      <c r="AB2700" s="5">
        <v>0</v>
      </c>
      <c r="AC2700" s="5">
        <v>0</v>
      </c>
      <c r="AD2700" s="5">
        <v>5</v>
      </c>
      <c r="AE2700" s="7" t="s">
        <v>375</v>
      </c>
      <c r="AF2700" s="7"/>
      <c r="AG2700" s="7" t="s">
        <v>64</v>
      </c>
      <c r="AH2700" s="7">
        <v>43265</v>
      </c>
      <c r="AI2700" s="5">
        <v>5</v>
      </c>
      <c r="AJ2700" s="7" t="s">
        <v>15217</v>
      </c>
      <c r="AK2700" s="7" t="s">
        <v>15218</v>
      </c>
    </row>
    <row r="2701" spans="1:37" ht="36.75" customHeight="1" x14ac:dyDescent="0.35">
      <c r="A2701" s="5"/>
      <c r="B2701" s="5" t="s">
        <v>37</v>
      </c>
      <c r="C2701" s="73" t="str">
        <f t="shared" si="42"/>
        <v>Closed</v>
      </c>
      <c r="D2701" s="45" t="s">
        <v>15219</v>
      </c>
      <c r="E2701" s="54" t="s">
        <v>15220</v>
      </c>
      <c r="F2701" s="5" t="s">
        <v>1553</v>
      </c>
      <c r="G2701" s="7">
        <f>DATE(2018,6,14)</f>
        <v>43265</v>
      </c>
      <c r="H2701" s="34">
        <v>1.9305555555555554</v>
      </c>
      <c r="I2701" s="5" t="s">
        <v>55</v>
      </c>
      <c r="J2701" s="7" t="s">
        <v>15221</v>
      </c>
      <c r="K2701" s="5" t="s">
        <v>1555</v>
      </c>
      <c r="L2701" s="5" t="s">
        <v>12332</v>
      </c>
      <c r="M2701" s="5" t="s">
        <v>45</v>
      </c>
      <c r="N2701" s="5" t="s">
        <v>123</v>
      </c>
      <c r="O2701" s="5" t="s">
        <v>59</v>
      </c>
      <c r="P2701" s="7" t="s">
        <v>60</v>
      </c>
      <c r="Q2701" s="7" t="s">
        <v>15222</v>
      </c>
      <c r="R2701" s="7" t="s">
        <v>6413</v>
      </c>
      <c r="S2701" s="5">
        <v>0</v>
      </c>
      <c r="T2701" s="36">
        <v>0</v>
      </c>
      <c r="U2701" s="5">
        <v>0</v>
      </c>
      <c r="V2701" s="36">
        <v>0</v>
      </c>
      <c r="W2701" s="5">
        <v>0</v>
      </c>
      <c r="X2701" s="5">
        <v>0</v>
      </c>
      <c r="Y2701" s="5">
        <v>0</v>
      </c>
      <c r="Z2701" s="36">
        <v>0</v>
      </c>
      <c r="AA2701" s="5">
        <v>0</v>
      </c>
      <c r="AB2701" s="5">
        <v>0</v>
      </c>
      <c r="AC2701" s="5">
        <v>0</v>
      </c>
      <c r="AD2701" s="5">
        <v>0</v>
      </c>
      <c r="AE2701" s="7" t="s">
        <v>73</v>
      </c>
      <c r="AF2701" s="7"/>
      <c r="AG2701" s="7" t="s">
        <v>114</v>
      </c>
      <c r="AH2701" s="7">
        <v>43266</v>
      </c>
      <c r="AI2701" s="5">
        <v>1</v>
      </c>
      <c r="AJ2701" s="7" t="s">
        <v>15223</v>
      </c>
      <c r="AK2701" s="7" t="s">
        <v>15224</v>
      </c>
    </row>
    <row r="2702" spans="1:37" ht="36.75" customHeight="1" x14ac:dyDescent="0.35">
      <c r="A2702" s="5"/>
      <c r="B2702" s="5" t="s">
        <v>37</v>
      </c>
      <c r="C2702" s="73" t="str">
        <f t="shared" si="42"/>
        <v>Closed</v>
      </c>
      <c r="D2702" s="45" t="s">
        <v>15225</v>
      </c>
      <c r="E2702" s="54" t="s">
        <v>15226</v>
      </c>
      <c r="F2702" s="5" t="s">
        <v>432</v>
      </c>
      <c r="G2702" s="7">
        <f>DATE(2018,6,19)</f>
        <v>43270</v>
      </c>
      <c r="H2702" s="34">
        <v>1.5486111111111112</v>
      </c>
      <c r="I2702" s="5" t="s">
        <v>97</v>
      </c>
      <c r="J2702" s="7" t="s">
        <v>15227</v>
      </c>
      <c r="K2702" s="5" t="s">
        <v>434</v>
      </c>
      <c r="L2702" s="5" t="s">
        <v>15228</v>
      </c>
      <c r="M2702" s="5" t="s">
        <v>45</v>
      </c>
      <c r="N2702" s="5" t="s">
        <v>80</v>
      </c>
      <c r="O2702" s="5" t="s">
        <v>46</v>
      </c>
      <c r="P2702" s="7" t="s">
        <v>146</v>
      </c>
      <c r="Q2702" s="7" t="s">
        <v>646</v>
      </c>
      <c r="R2702" s="7" t="s">
        <v>553</v>
      </c>
      <c r="S2702" s="5">
        <v>0</v>
      </c>
      <c r="T2702" s="36">
        <v>0</v>
      </c>
      <c r="U2702" s="5">
        <v>2</v>
      </c>
      <c r="V2702" s="36">
        <v>0</v>
      </c>
      <c r="W2702" s="5">
        <v>0</v>
      </c>
      <c r="X2702" s="5">
        <v>2</v>
      </c>
      <c r="Y2702" s="5">
        <v>0</v>
      </c>
      <c r="Z2702" s="36">
        <v>0</v>
      </c>
      <c r="AA2702" s="5">
        <v>0</v>
      </c>
      <c r="AB2702" s="5">
        <v>0</v>
      </c>
      <c r="AC2702" s="5">
        <v>0</v>
      </c>
      <c r="AD2702" s="5">
        <v>0</v>
      </c>
      <c r="AE2702" s="7" t="s">
        <v>375</v>
      </c>
      <c r="AF2702" s="7"/>
      <c r="AG2702" s="7" t="s">
        <v>64</v>
      </c>
      <c r="AH2702" s="7">
        <v>43270</v>
      </c>
      <c r="AI2702" s="5">
        <v>0</v>
      </c>
      <c r="AJ2702" s="7" t="s">
        <v>15229</v>
      </c>
      <c r="AK2702" s="7" t="s">
        <v>50</v>
      </c>
    </row>
    <row r="2703" spans="1:37" ht="36.75" customHeight="1" x14ac:dyDescent="0.35">
      <c r="A2703" s="5"/>
      <c r="B2703" s="5" t="s">
        <v>37</v>
      </c>
      <c r="C2703" s="73" t="str">
        <f t="shared" si="42"/>
        <v>Closed</v>
      </c>
      <c r="D2703" s="45" t="s">
        <v>15230</v>
      </c>
      <c r="E2703" s="54" t="s">
        <v>15231</v>
      </c>
      <c r="F2703" s="5" t="s">
        <v>1553</v>
      </c>
      <c r="G2703" s="7">
        <f>DATE(2018,6,20)</f>
        <v>43271</v>
      </c>
      <c r="H2703" s="34">
        <v>1.1388888888888888</v>
      </c>
      <c r="I2703" s="5" t="s">
        <v>55</v>
      </c>
      <c r="J2703" s="7" t="s">
        <v>15232</v>
      </c>
      <c r="K2703" s="5" t="s">
        <v>1555</v>
      </c>
      <c r="L2703" s="5" t="s">
        <v>9052</v>
      </c>
      <c r="M2703" s="5" t="s">
        <v>45</v>
      </c>
      <c r="N2703" s="5" t="s">
        <v>123</v>
      </c>
      <c r="O2703" s="5" t="s">
        <v>59</v>
      </c>
      <c r="P2703" s="7" t="s">
        <v>60</v>
      </c>
      <c r="Q2703" s="7" t="s">
        <v>2635</v>
      </c>
      <c r="R2703" s="7" t="s">
        <v>6413</v>
      </c>
      <c r="S2703" s="5">
        <v>0</v>
      </c>
      <c r="T2703" s="36">
        <v>0</v>
      </c>
      <c r="U2703" s="5">
        <v>0</v>
      </c>
      <c r="V2703" s="36">
        <v>0</v>
      </c>
      <c r="W2703" s="5">
        <v>0</v>
      </c>
      <c r="X2703" s="5">
        <v>0</v>
      </c>
      <c r="Y2703" s="5">
        <v>0</v>
      </c>
      <c r="Z2703" s="36">
        <v>0</v>
      </c>
      <c r="AA2703" s="5">
        <v>0</v>
      </c>
      <c r="AB2703" s="5">
        <v>0</v>
      </c>
      <c r="AC2703" s="5">
        <v>0</v>
      </c>
      <c r="AD2703" s="5">
        <v>0</v>
      </c>
      <c r="AE2703" s="7" t="s">
        <v>73</v>
      </c>
      <c r="AF2703" s="7"/>
      <c r="AG2703" s="7" t="s">
        <v>114</v>
      </c>
      <c r="AH2703" s="7">
        <v>43272</v>
      </c>
      <c r="AI2703" s="5">
        <v>2</v>
      </c>
      <c r="AJ2703" s="7" t="s">
        <v>15233</v>
      </c>
      <c r="AK2703" s="7" t="s">
        <v>15234</v>
      </c>
    </row>
    <row r="2704" spans="1:37" ht="36.75" customHeight="1" x14ac:dyDescent="0.35">
      <c r="A2704" s="5"/>
      <c r="B2704" s="5" t="s">
        <v>37</v>
      </c>
      <c r="C2704" s="73" t="str">
        <f t="shared" si="42"/>
        <v>Closed</v>
      </c>
      <c r="D2704" s="45" t="s">
        <v>15235</v>
      </c>
      <c r="E2704" s="54" t="s">
        <v>15236</v>
      </c>
      <c r="F2704" s="5" t="s">
        <v>1553</v>
      </c>
      <c r="G2704" s="7">
        <f>DATE(2018,6,23)</f>
        <v>43274</v>
      </c>
      <c r="H2704" s="34">
        <v>1.6375000000000002</v>
      </c>
      <c r="I2704" s="5" t="s">
        <v>55</v>
      </c>
      <c r="J2704" s="7" t="s">
        <v>15237</v>
      </c>
      <c r="K2704" s="5" t="s">
        <v>1555</v>
      </c>
      <c r="L2704" s="5" t="s">
        <v>14904</v>
      </c>
      <c r="M2704" s="5" t="s">
        <v>45</v>
      </c>
      <c r="N2704" s="5" t="s">
        <v>80</v>
      </c>
      <c r="O2704" s="5" t="s">
        <v>59</v>
      </c>
      <c r="P2704" s="7" t="s">
        <v>60</v>
      </c>
      <c r="Q2704" s="7" t="s">
        <v>2635</v>
      </c>
      <c r="R2704" s="7" t="s">
        <v>6413</v>
      </c>
      <c r="S2704" s="5">
        <v>0</v>
      </c>
      <c r="T2704" s="36">
        <v>0</v>
      </c>
      <c r="U2704" s="5">
        <v>0</v>
      </c>
      <c r="V2704" s="36">
        <v>0</v>
      </c>
      <c r="W2704" s="5">
        <v>0</v>
      </c>
      <c r="X2704" s="5">
        <v>0</v>
      </c>
      <c r="Y2704" s="5">
        <v>0</v>
      </c>
      <c r="Z2704" s="36">
        <v>0</v>
      </c>
      <c r="AA2704" s="5">
        <v>0</v>
      </c>
      <c r="AB2704" s="5">
        <v>0</v>
      </c>
      <c r="AC2704" s="5">
        <v>0</v>
      </c>
      <c r="AD2704" s="5">
        <v>0</v>
      </c>
      <c r="AE2704" s="7" t="s">
        <v>73</v>
      </c>
      <c r="AF2704" s="7"/>
      <c r="AG2704" s="7" t="s">
        <v>114</v>
      </c>
      <c r="AH2704" s="7">
        <v>43276</v>
      </c>
      <c r="AI2704" s="5">
        <v>2</v>
      </c>
      <c r="AJ2704" s="7" t="s">
        <v>15238</v>
      </c>
      <c r="AK2704" s="7" t="s">
        <v>15239</v>
      </c>
    </row>
    <row r="2705" spans="1:37" ht="36.75" customHeight="1" x14ac:dyDescent="0.35">
      <c r="A2705" s="5"/>
      <c r="B2705" s="5" t="s">
        <v>37</v>
      </c>
      <c r="C2705" s="73" t="str">
        <f t="shared" si="42"/>
        <v>Closed</v>
      </c>
      <c r="D2705" s="91" t="s">
        <v>15240</v>
      </c>
      <c r="E2705" s="54" t="s">
        <v>15241</v>
      </c>
      <c r="F2705" s="5" t="s">
        <v>6434</v>
      </c>
      <c r="G2705" s="7">
        <f>DATE(2018,6,24)</f>
        <v>43275</v>
      </c>
      <c r="H2705" s="34">
        <v>1.5402777777777779</v>
      </c>
      <c r="I2705" s="5" t="s">
        <v>137</v>
      </c>
      <c r="J2705" s="7" t="s">
        <v>15242</v>
      </c>
      <c r="K2705" s="5" t="s">
        <v>565</v>
      </c>
      <c r="L2705" s="5" t="s">
        <v>15243</v>
      </c>
      <c r="M2705" s="5" t="s">
        <v>45</v>
      </c>
      <c r="N2705" s="5" t="s">
        <v>70</v>
      </c>
      <c r="O2705" s="5" t="s">
        <v>71</v>
      </c>
      <c r="P2705" s="7" t="s">
        <v>60</v>
      </c>
      <c r="Q2705" s="7" t="s">
        <v>567</v>
      </c>
      <c r="R2705" s="7" t="s">
        <v>568</v>
      </c>
      <c r="S2705" s="5">
        <v>0</v>
      </c>
      <c r="T2705" s="36">
        <v>0</v>
      </c>
      <c r="U2705" s="5">
        <v>0</v>
      </c>
      <c r="V2705" s="36">
        <v>0</v>
      </c>
      <c r="W2705" s="5">
        <v>0</v>
      </c>
      <c r="X2705" s="5">
        <v>0</v>
      </c>
      <c r="Y2705" s="5">
        <v>0</v>
      </c>
      <c r="Z2705" s="36">
        <v>0</v>
      </c>
      <c r="AA2705" s="5">
        <v>0</v>
      </c>
      <c r="AB2705" s="5">
        <v>0</v>
      </c>
      <c r="AC2705" s="5">
        <v>0</v>
      </c>
      <c r="AD2705" s="5">
        <v>0</v>
      </c>
      <c r="AE2705" s="7" t="s">
        <v>126</v>
      </c>
      <c r="AF2705" s="7"/>
      <c r="AG2705" s="7" t="s">
        <v>6438</v>
      </c>
      <c r="AH2705" s="7">
        <v>43275</v>
      </c>
      <c r="AI2705" s="5">
        <v>0</v>
      </c>
      <c r="AJ2705" s="7" t="s">
        <v>15244</v>
      </c>
      <c r="AK2705" s="7" t="s">
        <v>50</v>
      </c>
    </row>
    <row r="2706" spans="1:37" ht="36.75" customHeight="1" x14ac:dyDescent="0.35">
      <c r="A2706" s="5"/>
      <c r="B2706" s="5" t="s">
        <v>37</v>
      </c>
      <c r="C2706" s="73" t="str">
        <f t="shared" si="42"/>
        <v>Closed</v>
      </c>
      <c r="D2706" s="45" t="s">
        <v>15245</v>
      </c>
      <c r="E2706" s="54" t="s">
        <v>15246</v>
      </c>
      <c r="F2706" s="5" t="s">
        <v>178</v>
      </c>
      <c r="G2706" s="7">
        <f>DATE(2018,6,26)</f>
        <v>43277</v>
      </c>
      <c r="H2706" s="34">
        <v>0</v>
      </c>
      <c r="I2706" s="5" t="s">
        <v>55</v>
      </c>
      <c r="J2706" s="7" t="s">
        <v>15247</v>
      </c>
      <c r="K2706" s="5" t="s">
        <v>181</v>
      </c>
      <c r="L2706" s="5" t="s">
        <v>15248</v>
      </c>
      <c r="M2706" s="5" t="s">
        <v>45</v>
      </c>
      <c r="N2706" s="5" t="s">
        <v>80</v>
      </c>
      <c r="O2706" s="5" t="s">
        <v>46</v>
      </c>
      <c r="P2706" s="7" t="s">
        <v>146</v>
      </c>
      <c r="Q2706" s="7" t="s">
        <v>5990</v>
      </c>
      <c r="R2706" s="7" t="s">
        <v>5990</v>
      </c>
      <c r="S2706" s="5">
        <v>0</v>
      </c>
      <c r="T2706" s="36">
        <v>0</v>
      </c>
      <c r="U2706" s="5">
        <v>0</v>
      </c>
      <c r="V2706" s="36">
        <v>0</v>
      </c>
      <c r="W2706" s="5">
        <v>0</v>
      </c>
      <c r="X2706" s="5">
        <v>0</v>
      </c>
      <c r="Y2706" s="5">
        <v>4</v>
      </c>
      <c r="Z2706" s="36">
        <v>0</v>
      </c>
      <c r="AA2706" s="5">
        <v>0</v>
      </c>
      <c r="AB2706" s="5">
        <v>0</v>
      </c>
      <c r="AC2706" s="5">
        <v>0</v>
      </c>
      <c r="AD2706" s="5">
        <v>4</v>
      </c>
      <c r="AE2706" s="7" t="s">
        <v>126</v>
      </c>
      <c r="AF2706" s="7"/>
      <c r="AG2706" s="7" t="s">
        <v>64</v>
      </c>
      <c r="AH2706" s="7">
        <v>43332</v>
      </c>
      <c r="AI2706" s="5">
        <v>2</v>
      </c>
      <c r="AJ2706" s="7" t="s">
        <v>15249</v>
      </c>
      <c r="AK2706" s="7" t="s">
        <v>15250</v>
      </c>
    </row>
    <row r="2707" spans="1:37" ht="36.75" customHeight="1" x14ac:dyDescent="0.35">
      <c r="A2707" s="5"/>
      <c r="B2707" s="5" t="s">
        <v>37</v>
      </c>
      <c r="C2707" s="73" t="str">
        <f t="shared" si="42"/>
        <v>Closed</v>
      </c>
      <c r="D2707" s="45" t="s">
        <v>15251</v>
      </c>
      <c r="E2707" s="54" t="s">
        <v>15252</v>
      </c>
      <c r="F2707" s="5" t="s">
        <v>9767</v>
      </c>
      <c r="G2707" s="7">
        <f>DATE(2018,6,27)</f>
        <v>43278</v>
      </c>
      <c r="H2707" s="34">
        <v>1.3333333333333333</v>
      </c>
      <c r="I2707" s="5" t="s">
        <v>468</v>
      </c>
      <c r="J2707" s="7" t="s">
        <v>15253</v>
      </c>
      <c r="K2707" s="5" t="s">
        <v>9769</v>
      </c>
      <c r="L2707" s="5" t="s">
        <v>15254</v>
      </c>
      <c r="M2707" s="5" t="s">
        <v>45</v>
      </c>
      <c r="N2707" s="5" t="s">
        <v>123</v>
      </c>
      <c r="O2707" s="5" t="s">
        <v>59</v>
      </c>
      <c r="P2707" s="7" t="s">
        <v>72</v>
      </c>
      <c r="Q2707" s="7" t="s">
        <v>10235</v>
      </c>
      <c r="R2707" s="7" t="s">
        <v>9772</v>
      </c>
      <c r="S2707" s="5">
        <v>0</v>
      </c>
      <c r="T2707" s="36">
        <v>0</v>
      </c>
      <c r="U2707" s="5">
        <v>0</v>
      </c>
      <c r="V2707" s="36">
        <v>0</v>
      </c>
      <c r="W2707" s="5">
        <v>0</v>
      </c>
      <c r="X2707" s="5">
        <v>0</v>
      </c>
      <c r="Y2707" s="5">
        <v>0</v>
      </c>
      <c r="Z2707" s="36">
        <v>0</v>
      </c>
      <c r="AA2707" s="5">
        <v>0</v>
      </c>
      <c r="AB2707" s="5">
        <v>0</v>
      </c>
      <c r="AC2707" s="5">
        <v>0</v>
      </c>
      <c r="AD2707" s="5">
        <v>0</v>
      </c>
      <c r="AE2707" s="7" t="s">
        <v>73</v>
      </c>
      <c r="AF2707" s="7"/>
      <c r="AG2707" s="7" t="s">
        <v>570</v>
      </c>
      <c r="AH2707" s="7">
        <v>43284</v>
      </c>
      <c r="AI2707" s="5">
        <v>1</v>
      </c>
      <c r="AJ2707" s="7" t="s">
        <v>15255</v>
      </c>
      <c r="AK2707" s="7" t="s">
        <v>15256</v>
      </c>
    </row>
    <row r="2708" spans="1:37" ht="36.75" customHeight="1" x14ac:dyDescent="0.35">
      <c r="A2708" s="5"/>
      <c r="B2708" s="5" t="s">
        <v>37</v>
      </c>
      <c r="C2708" s="73" t="str">
        <f t="shared" si="42"/>
        <v>Closed</v>
      </c>
      <c r="D2708" s="45" t="s">
        <v>15257</v>
      </c>
      <c r="E2708" s="54" t="s">
        <v>15258</v>
      </c>
      <c r="F2708" s="5" t="s">
        <v>404</v>
      </c>
      <c r="G2708" s="7">
        <f>DATE(2018,6,29)</f>
        <v>43280</v>
      </c>
      <c r="H2708" s="34">
        <v>1.5270833333333333</v>
      </c>
      <c r="I2708" s="5" t="s">
        <v>179</v>
      </c>
      <c r="J2708" s="7" t="s">
        <v>15259</v>
      </c>
      <c r="K2708" s="5" t="s">
        <v>406</v>
      </c>
      <c r="L2708" s="5" t="s">
        <v>15260</v>
      </c>
      <c r="M2708" s="5" t="s">
        <v>236</v>
      </c>
      <c r="N2708" s="5" t="s">
        <v>123</v>
      </c>
      <c r="O2708" s="5" t="s">
        <v>46</v>
      </c>
      <c r="P2708" s="7" t="s">
        <v>6531</v>
      </c>
      <c r="Q2708" s="7" t="s">
        <v>6532</v>
      </c>
      <c r="R2708" s="7" t="s">
        <v>6533</v>
      </c>
      <c r="S2708" s="5">
        <v>0</v>
      </c>
      <c r="T2708" s="36">
        <v>0</v>
      </c>
      <c r="U2708" s="5">
        <v>0</v>
      </c>
      <c r="V2708" s="36">
        <v>0</v>
      </c>
      <c r="W2708" s="5">
        <v>0</v>
      </c>
      <c r="X2708" s="5">
        <v>0</v>
      </c>
      <c r="Y2708" s="5">
        <v>0</v>
      </c>
      <c r="Z2708" s="36">
        <v>0</v>
      </c>
      <c r="AA2708" s="5">
        <v>0</v>
      </c>
      <c r="AB2708" s="5">
        <v>0</v>
      </c>
      <c r="AC2708" s="5">
        <v>0</v>
      </c>
      <c r="AD2708" s="5">
        <v>0</v>
      </c>
      <c r="AE2708" s="7" t="s">
        <v>375</v>
      </c>
      <c r="AF2708" s="7"/>
      <c r="AG2708" s="7" t="s">
        <v>114</v>
      </c>
      <c r="AH2708" s="7">
        <v>43280</v>
      </c>
      <c r="AI2708" s="5">
        <v>0</v>
      </c>
      <c r="AJ2708" s="7" t="s">
        <v>15261</v>
      </c>
      <c r="AK2708" s="7" t="s">
        <v>15262</v>
      </c>
    </row>
    <row r="2709" spans="1:37" ht="36.75" customHeight="1" x14ac:dyDescent="0.35">
      <c r="A2709" s="5"/>
      <c r="B2709" s="5" t="s">
        <v>37</v>
      </c>
      <c r="C2709" s="73" t="str">
        <f t="shared" si="42"/>
        <v>Closed</v>
      </c>
      <c r="D2709" s="45" t="s">
        <v>15263</v>
      </c>
      <c r="E2709" s="54" t="s">
        <v>15264</v>
      </c>
      <c r="F2709" s="5" t="s">
        <v>1553</v>
      </c>
      <c r="G2709" s="7">
        <f>DATE(2018,6,30)</f>
        <v>43281</v>
      </c>
      <c r="H2709" s="34">
        <v>1.4180555555555556</v>
      </c>
      <c r="I2709" s="5" t="s">
        <v>55</v>
      </c>
      <c r="J2709" s="7" t="s">
        <v>15265</v>
      </c>
      <c r="K2709" s="5" t="s">
        <v>1555</v>
      </c>
      <c r="L2709" s="5" t="s">
        <v>15266</v>
      </c>
      <c r="M2709" s="5" t="s">
        <v>45</v>
      </c>
      <c r="N2709" s="5" t="s">
        <v>123</v>
      </c>
      <c r="O2709" s="5" t="s">
        <v>59</v>
      </c>
      <c r="P2709" s="7" t="s">
        <v>60</v>
      </c>
      <c r="Q2709" s="7" t="s">
        <v>15267</v>
      </c>
      <c r="R2709" s="7" t="s">
        <v>6413</v>
      </c>
      <c r="S2709" s="5">
        <v>0</v>
      </c>
      <c r="T2709" s="36">
        <v>0</v>
      </c>
      <c r="U2709" s="5">
        <v>0</v>
      </c>
      <c r="V2709" s="36">
        <v>0</v>
      </c>
      <c r="W2709" s="5">
        <v>0</v>
      </c>
      <c r="X2709" s="5">
        <v>0</v>
      </c>
      <c r="Y2709" s="5">
        <v>0</v>
      </c>
      <c r="Z2709" s="36">
        <v>0</v>
      </c>
      <c r="AA2709" s="5">
        <v>0</v>
      </c>
      <c r="AB2709" s="5">
        <v>0</v>
      </c>
      <c r="AC2709" s="5">
        <v>0</v>
      </c>
      <c r="AD2709" s="5">
        <v>0</v>
      </c>
      <c r="AE2709" s="7" t="s">
        <v>375</v>
      </c>
      <c r="AF2709" s="7"/>
      <c r="AG2709" s="7" t="s">
        <v>114</v>
      </c>
      <c r="AH2709" s="7">
        <v>43283</v>
      </c>
      <c r="AI2709" s="5">
        <v>1</v>
      </c>
      <c r="AJ2709" s="7" t="s">
        <v>15268</v>
      </c>
      <c r="AK2709" s="7" t="s">
        <v>15269</v>
      </c>
    </row>
    <row r="2710" spans="1:37" ht="36.75" customHeight="1" x14ac:dyDescent="0.35">
      <c r="A2710" s="5"/>
      <c r="B2710" s="5" t="s">
        <v>37</v>
      </c>
      <c r="C2710" s="73" t="str">
        <f t="shared" si="42"/>
        <v>Closed</v>
      </c>
      <c r="D2710" s="45" t="s">
        <v>15270</v>
      </c>
      <c r="E2710" s="54" t="s">
        <v>15271</v>
      </c>
      <c r="F2710" s="5" t="s">
        <v>404</v>
      </c>
      <c r="G2710" s="7">
        <f>DATE(2018,7,1)</f>
        <v>43282</v>
      </c>
      <c r="H2710" s="34">
        <v>1.3791666666666667</v>
      </c>
      <c r="I2710" s="5" t="s">
        <v>2059</v>
      </c>
      <c r="J2710" s="7" t="s">
        <v>15272</v>
      </c>
      <c r="K2710" s="5" t="s">
        <v>406</v>
      </c>
      <c r="L2710" s="5" t="s">
        <v>15273</v>
      </c>
      <c r="M2710" s="5" t="s">
        <v>45</v>
      </c>
      <c r="N2710" s="5" t="s">
        <v>123</v>
      </c>
      <c r="O2710" s="5" t="s">
        <v>59</v>
      </c>
      <c r="P2710" s="7" t="s">
        <v>146</v>
      </c>
      <c r="Q2710" s="7" t="s">
        <v>4531</v>
      </c>
      <c r="R2710" s="7" t="s">
        <v>3083</v>
      </c>
      <c r="S2710" s="5">
        <v>0</v>
      </c>
      <c r="T2710" s="36">
        <v>0</v>
      </c>
      <c r="U2710" s="5">
        <v>0</v>
      </c>
      <c r="V2710" s="36">
        <v>0</v>
      </c>
      <c r="W2710" s="5">
        <v>0</v>
      </c>
      <c r="X2710" s="5">
        <v>0</v>
      </c>
      <c r="Y2710" s="5">
        <v>0</v>
      </c>
      <c r="Z2710" s="36">
        <v>0</v>
      </c>
      <c r="AA2710" s="5">
        <v>0</v>
      </c>
      <c r="AB2710" s="5">
        <v>0</v>
      </c>
      <c r="AC2710" s="5">
        <v>0</v>
      </c>
      <c r="AD2710" s="5">
        <v>0</v>
      </c>
      <c r="AE2710" s="7" t="s">
        <v>73</v>
      </c>
      <c r="AF2710" s="7"/>
      <c r="AG2710" s="7" t="s">
        <v>855</v>
      </c>
      <c r="AH2710" s="7">
        <v>43107</v>
      </c>
      <c r="AI2710" s="5">
        <v>0</v>
      </c>
      <c r="AJ2710" s="7" t="s">
        <v>15274</v>
      </c>
      <c r="AK2710" s="7" t="s">
        <v>15275</v>
      </c>
    </row>
    <row r="2711" spans="1:37" ht="36.75" customHeight="1" x14ac:dyDescent="0.35">
      <c r="A2711" s="5"/>
      <c r="B2711" s="5" t="s">
        <v>37</v>
      </c>
      <c r="C2711" s="73" t="str">
        <f t="shared" si="42"/>
        <v>Closed</v>
      </c>
      <c r="D2711" s="45" t="s">
        <v>15276</v>
      </c>
      <c r="E2711" s="54" t="s">
        <v>15277</v>
      </c>
      <c r="F2711" s="5" t="s">
        <v>619</v>
      </c>
      <c r="G2711" s="7">
        <f>DATE(2018,7,1)</f>
        <v>43282</v>
      </c>
      <c r="H2711" s="34">
        <v>1.838888888888889</v>
      </c>
      <c r="I2711" s="5" t="s">
        <v>41</v>
      </c>
      <c r="J2711" s="7" t="s">
        <v>15278</v>
      </c>
      <c r="K2711" s="5" t="s">
        <v>621</v>
      </c>
      <c r="L2711" s="5" t="s">
        <v>15279</v>
      </c>
      <c r="M2711" s="5" t="s">
        <v>45</v>
      </c>
      <c r="N2711" s="5" t="s">
        <v>80</v>
      </c>
      <c r="O2711" s="5" t="s">
        <v>59</v>
      </c>
      <c r="P2711" s="7" t="s">
        <v>47</v>
      </c>
      <c r="Q2711" s="7" t="s">
        <v>1167</v>
      </c>
      <c r="R2711" s="7" t="s">
        <v>624</v>
      </c>
      <c r="S2711" s="5">
        <v>0</v>
      </c>
      <c r="T2711" s="36">
        <v>0</v>
      </c>
      <c r="U2711" s="5">
        <v>0</v>
      </c>
      <c r="V2711" s="36">
        <v>0</v>
      </c>
      <c r="W2711" s="5">
        <v>0</v>
      </c>
      <c r="X2711" s="5">
        <v>0</v>
      </c>
      <c r="Y2711" s="5">
        <v>0</v>
      </c>
      <c r="Z2711" s="36">
        <v>0</v>
      </c>
      <c r="AA2711" s="5">
        <v>0</v>
      </c>
      <c r="AB2711" s="5">
        <v>0</v>
      </c>
      <c r="AC2711" s="5">
        <v>0</v>
      </c>
      <c r="AD2711" s="5">
        <v>0</v>
      </c>
      <c r="AE2711" s="7" t="s">
        <v>73</v>
      </c>
      <c r="AF2711" s="7"/>
      <c r="AG2711" s="7" t="s">
        <v>114</v>
      </c>
      <c r="AH2711" s="7">
        <v>43299</v>
      </c>
      <c r="AI2711" s="5">
        <v>4</v>
      </c>
      <c r="AJ2711" s="7" t="s">
        <v>15280</v>
      </c>
      <c r="AK2711" s="7" t="s">
        <v>15281</v>
      </c>
    </row>
    <row r="2712" spans="1:37" ht="36.75" customHeight="1" x14ac:dyDescent="0.35">
      <c r="A2712" s="5"/>
      <c r="B2712" s="5" t="s">
        <v>37</v>
      </c>
      <c r="C2712" s="73" t="str">
        <f t="shared" si="42"/>
        <v>Closed</v>
      </c>
      <c r="D2712" s="45" t="s">
        <v>15282</v>
      </c>
      <c r="E2712" s="54" t="s">
        <v>15283</v>
      </c>
      <c r="F2712" s="5" t="s">
        <v>105</v>
      </c>
      <c r="G2712" s="7">
        <f>DATE(2018,7,1)</f>
        <v>43282</v>
      </c>
      <c r="H2712" s="34">
        <v>1.8333333333333335</v>
      </c>
      <c r="I2712" s="5" t="s">
        <v>67</v>
      </c>
      <c r="J2712" s="7" t="s">
        <v>15284</v>
      </c>
      <c r="K2712" s="5" t="s">
        <v>108</v>
      </c>
      <c r="L2712" s="5" t="s">
        <v>3577</v>
      </c>
      <c r="M2712" s="5" t="s">
        <v>45</v>
      </c>
      <c r="N2712" s="5" t="s">
        <v>80</v>
      </c>
      <c r="O2712" s="5" t="s">
        <v>46</v>
      </c>
      <c r="P2712" s="7" t="s">
        <v>60</v>
      </c>
      <c r="Q2712" s="7" t="s">
        <v>382</v>
      </c>
      <c r="R2712" s="7" t="s">
        <v>148</v>
      </c>
      <c r="S2712" s="5">
        <v>0</v>
      </c>
      <c r="T2712" s="36">
        <v>0</v>
      </c>
      <c r="U2712" s="5">
        <v>0</v>
      </c>
      <c r="V2712" s="36">
        <v>0</v>
      </c>
      <c r="W2712" s="5">
        <v>0</v>
      </c>
      <c r="X2712" s="5">
        <v>0</v>
      </c>
      <c r="Y2712" s="5">
        <v>0</v>
      </c>
      <c r="Z2712" s="36">
        <v>0</v>
      </c>
      <c r="AA2712" s="5">
        <v>0</v>
      </c>
      <c r="AB2712" s="5">
        <v>0</v>
      </c>
      <c r="AC2712" s="5">
        <v>0</v>
      </c>
      <c r="AD2712" s="5">
        <v>0</v>
      </c>
      <c r="AE2712" s="7" t="s">
        <v>73</v>
      </c>
      <c r="AF2712" s="7"/>
      <c r="AG2712" s="7" t="s">
        <v>570</v>
      </c>
      <c r="AH2712" s="7">
        <v>43292</v>
      </c>
      <c r="AI2712" s="5">
        <v>1</v>
      </c>
      <c r="AJ2712" s="7" t="s">
        <v>15285</v>
      </c>
      <c r="AK2712" s="7" t="s">
        <v>50</v>
      </c>
    </row>
    <row r="2713" spans="1:37" ht="36.75" customHeight="1" x14ac:dyDescent="0.35">
      <c r="A2713" s="5"/>
      <c r="B2713" s="5" t="s">
        <v>37</v>
      </c>
      <c r="C2713" s="73" t="str">
        <f t="shared" si="42"/>
        <v>Closed</v>
      </c>
      <c r="D2713" s="45" t="s">
        <v>15286</v>
      </c>
      <c r="E2713" s="54" t="s">
        <v>15287</v>
      </c>
      <c r="F2713" s="5" t="s">
        <v>358</v>
      </c>
      <c r="G2713" s="7">
        <f>DATE(2018,7,2)</f>
        <v>43283</v>
      </c>
      <c r="H2713" s="34">
        <v>1.242361111111111</v>
      </c>
      <c r="I2713" s="5" t="s">
        <v>55</v>
      </c>
      <c r="J2713" s="7" t="s">
        <v>15288</v>
      </c>
      <c r="K2713" s="5" t="s">
        <v>360</v>
      </c>
      <c r="L2713" s="5" t="s">
        <v>15289</v>
      </c>
      <c r="M2713" s="5" t="s">
        <v>45</v>
      </c>
      <c r="N2713" s="5" t="s">
        <v>80</v>
      </c>
      <c r="O2713" s="5" t="s">
        <v>59</v>
      </c>
      <c r="P2713" s="7" t="s">
        <v>60</v>
      </c>
      <c r="Q2713" s="7" t="s">
        <v>3889</v>
      </c>
      <c r="R2713" s="7" t="s">
        <v>363</v>
      </c>
      <c r="S2713" s="5">
        <v>0</v>
      </c>
      <c r="T2713" s="36">
        <v>0</v>
      </c>
      <c r="U2713" s="5">
        <v>0</v>
      </c>
      <c r="V2713" s="36">
        <v>0</v>
      </c>
      <c r="W2713" s="5">
        <v>0</v>
      </c>
      <c r="X2713" s="5">
        <v>0</v>
      </c>
      <c r="Y2713" s="5">
        <v>0</v>
      </c>
      <c r="Z2713" s="36">
        <v>0</v>
      </c>
      <c r="AA2713" s="5">
        <v>0</v>
      </c>
      <c r="AB2713" s="5">
        <v>0</v>
      </c>
      <c r="AC2713" s="5">
        <v>0</v>
      </c>
      <c r="AD2713" s="5">
        <v>0</v>
      </c>
      <c r="AE2713" s="7" t="s">
        <v>375</v>
      </c>
      <c r="AF2713" s="7"/>
      <c r="AG2713" s="7" t="s">
        <v>570</v>
      </c>
      <c r="AH2713" s="7">
        <v>43285</v>
      </c>
      <c r="AI2713" s="5">
        <v>5</v>
      </c>
      <c r="AJ2713" s="7" t="s">
        <v>15290</v>
      </c>
      <c r="AK2713" s="7" t="s">
        <v>15291</v>
      </c>
    </row>
    <row r="2714" spans="1:37" ht="36.75" customHeight="1" x14ac:dyDescent="0.35">
      <c r="A2714" s="5"/>
      <c r="B2714" s="5" t="s">
        <v>37</v>
      </c>
      <c r="C2714" s="73" t="str">
        <f t="shared" si="42"/>
        <v>Closed</v>
      </c>
      <c r="D2714" s="45" t="s">
        <v>15292</v>
      </c>
      <c r="E2714" s="54" t="s">
        <v>15293</v>
      </c>
      <c r="F2714" s="5" t="s">
        <v>816</v>
      </c>
      <c r="G2714" s="7">
        <f>DATE(2018,7,6)</f>
        <v>43287</v>
      </c>
      <c r="H2714" s="34">
        <v>1.4236111111111112</v>
      </c>
      <c r="I2714" s="5" t="s">
        <v>137</v>
      </c>
      <c r="J2714" s="7" t="s">
        <v>15294</v>
      </c>
      <c r="K2714" s="5" t="s">
        <v>818</v>
      </c>
      <c r="L2714" s="5" t="s">
        <v>15295</v>
      </c>
      <c r="M2714" s="5" t="s">
        <v>45</v>
      </c>
      <c r="N2714" s="5" t="s">
        <v>123</v>
      </c>
      <c r="O2714" s="5" t="s">
        <v>59</v>
      </c>
      <c r="P2714" s="7" t="s">
        <v>47</v>
      </c>
      <c r="Q2714" s="7" t="s">
        <v>2142</v>
      </c>
      <c r="R2714" s="7" t="s">
        <v>821</v>
      </c>
      <c r="S2714" s="5">
        <v>0</v>
      </c>
      <c r="T2714" s="36">
        <v>0</v>
      </c>
      <c r="U2714" s="5">
        <v>0</v>
      </c>
      <c r="V2714" s="36">
        <v>0</v>
      </c>
      <c r="W2714" s="5">
        <v>0</v>
      </c>
      <c r="X2714" s="5">
        <v>0</v>
      </c>
      <c r="Y2714" s="5">
        <v>0</v>
      </c>
      <c r="Z2714" s="36">
        <v>0</v>
      </c>
      <c r="AA2714" s="5">
        <v>0</v>
      </c>
      <c r="AB2714" s="5">
        <v>0</v>
      </c>
      <c r="AC2714" s="5">
        <v>0</v>
      </c>
      <c r="AD2714" s="5">
        <v>0</v>
      </c>
      <c r="AE2714" s="7" t="s">
        <v>73</v>
      </c>
      <c r="AF2714" s="7"/>
      <c r="AG2714" s="7" t="s">
        <v>333</v>
      </c>
      <c r="AH2714" s="7">
        <v>43287</v>
      </c>
      <c r="AI2714" s="5">
        <v>0</v>
      </c>
      <c r="AJ2714" s="7" t="s">
        <v>15296</v>
      </c>
      <c r="AK2714" s="7" t="s">
        <v>50</v>
      </c>
    </row>
    <row r="2715" spans="1:37" ht="36.75" customHeight="1" x14ac:dyDescent="0.35">
      <c r="A2715" s="5"/>
      <c r="B2715" s="5" t="s">
        <v>37</v>
      </c>
      <c r="C2715" s="73" t="str">
        <f t="shared" si="42"/>
        <v>Closed</v>
      </c>
      <c r="D2715" s="45" t="s">
        <v>15297</v>
      </c>
      <c r="E2715" s="54" t="s">
        <v>15298</v>
      </c>
      <c r="F2715" s="5" t="s">
        <v>816</v>
      </c>
      <c r="G2715" s="7">
        <f>DATE(2018,7,8)</f>
        <v>43289</v>
      </c>
      <c r="H2715" s="34">
        <v>1.6159722222222221</v>
      </c>
      <c r="I2715" s="5" t="s">
        <v>55</v>
      </c>
      <c r="J2715" s="7" t="s">
        <v>15299</v>
      </c>
      <c r="K2715" s="5" t="s">
        <v>818</v>
      </c>
      <c r="L2715" s="5" t="s">
        <v>15300</v>
      </c>
      <c r="M2715" s="5" t="s">
        <v>236</v>
      </c>
      <c r="N2715" s="5" t="s">
        <v>80</v>
      </c>
      <c r="O2715" s="5" t="s">
        <v>59</v>
      </c>
      <c r="P2715" s="7" t="s">
        <v>6531</v>
      </c>
      <c r="Q2715" s="7" t="s">
        <v>4190</v>
      </c>
      <c r="R2715" s="7" t="s">
        <v>4190</v>
      </c>
      <c r="S2715" s="5">
        <v>0</v>
      </c>
      <c r="T2715" s="36">
        <v>0</v>
      </c>
      <c r="U2715" s="5">
        <v>0</v>
      </c>
      <c r="V2715" s="36">
        <v>0</v>
      </c>
      <c r="W2715" s="5">
        <v>0</v>
      </c>
      <c r="X2715" s="5">
        <v>0</v>
      </c>
      <c r="Y2715" s="5">
        <v>0</v>
      </c>
      <c r="Z2715" s="36">
        <v>0</v>
      </c>
      <c r="AA2715" s="5">
        <v>0</v>
      </c>
      <c r="AB2715" s="5">
        <v>0</v>
      </c>
      <c r="AC2715" s="5">
        <v>0</v>
      </c>
      <c r="AD2715" s="5">
        <v>0</v>
      </c>
      <c r="AE2715" s="7" t="s">
        <v>73</v>
      </c>
      <c r="AF2715" s="7"/>
      <c r="AG2715" s="7" t="s">
        <v>333</v>
      </c>
      <c r="AH2715" s="7">
        <v>43289</v>
      </c>
      <c r="AI2715" s="5">
        <v>0</v>
      </c>
      <c r="AJ2715" s="7" t="s">
        <v>15301</v>
      </c>
      <c r="AK2715" s="7" t="s">
        <v>50</v>
      </c>
    </row>
    <row r="2716" spans="1:37" ht="36.75" customHeight="1" x14ac:dyDescent="0.35">
      <c r="A2716" s="5"/>
      <c r="B2716" s="5" t="s">
        <v>37</v>
      </c>
      <c r="C2716" s="73" t="str">
        <f t="shared" si="42"/>
        <v>Closed</v>
      </c>
      <c r="D2716" s="45" t="s">
        <v>15302</v>
      </c>
      <c r="E2716" s="54" t="s">
        <v>15303</v>
      </c>
      <c r="F2716" s="5" t="s">
        <v>563</v>
      </c>
      <c r="G2716" s="7">
        <f>DATE(2018,7,9)</f>
        <v>43290</v>
      </c>
      <c r="H2716" s="34">
        <v>1.4152777777777779</v>
      </c>
      <c r="I2716" s="5" t="s">
        <v>97</v>
      </c>
      <c r="J2716" s="7" t="s">
        <v>15304</v>
      </c>
      <c r="K2716" s="5" t="s">
        <v>565</v>
      </c>
      <c r="L2716" s="5" t="s">
        <v>15305</v>
      </c>
      <c r="M2716" s="5" t="s">
        <v>45</v>
      </c>
      <c r="N2716" s="5" t="s">
        <v>80</v>
      </c>
      <c r="O2716" s="5" t="s">
        <v>46</v>
      </c>
      <c r="P2716" s="7" t="s">
        <v>146</v>
      </c>
      <c r="Q2716" s="7" t="s">
        <v>4467</v>
      </c>
      <c r="R2716" s="7" t="s">
        <v>568</v>
      </c>
      <c r="S2716" s="5">
        <v>0</v>
      </c>
      <c r="T2716" s="36">
        <v>0</v>
      </c>
      <c r="U2716" s="5">
        <v>1</v>
      </c>
      <c r="V2716" s="36">
        <v>0</v>
      </c>
      <c r="W2716" s="5">
        <v>0</v>
      </c>
      <c r="X2716" s="5">
        <v>1</v>
      </c>
      <c r="Y2716" s="5">
        <v>0</v>
      </c>
      <c r="Z2716" s="36">
        <v>0</v>
      </c>
      <c r="AA2716" s="5">
        <v>0</v>
      </c>
      <c r="AB2716" s="5">
        <v>0</v>
      </c>
      <c r="AC2716" s="5">
        <v>0</v>
      </c>
      <c r="AD2716" s="5">
        <v>0</v>
      </c>
      <c r="AE2716" s="7" t="s">
        <v>375</v>
      </c>
      <c r="AF2716" s="7"/>
      <c r="AG2716" s="7" t="s">
        <v>64</v>
      </c>
      <c r="AH2716" s="7">
        <v>43297</v>
      </c>
      <c r="AI2716" s="5">
        <v>0</v>
      </c>
      <c r="AJ2716" s="7" t="s">
        <v>15306</v>
      </c>
      <c r="AK2716" s="7" t="s">
        <v>50</v>
      </c>
    </row>
    <row r="2717" spans="1:37" ht="36.75" customHeight="1" x14ac:dyDescent="0.35">
      <c r="A2717" s="5"/>
      <c r="B2717" s="5" t="s">
        <v>37</v>
      </c>
      <c r="C2717" s="73" t="str">
        <f t="shared" si="42"/>
        <v>Closed</v>
      </c>
      <c r="D2717" s="45" t="s">
        <v>15307</v>
      </c>
      <c r="E2717" s="54" t="s">
        <v>15308</v>
      </c>
      <c r="F2717" s="5" t="s">
        <v>404</v>
      </c>
      <c r="G2717" s="7">
        <f>DATE(2018,7,11)</f>
        <v>43292</v>
      </c>
      <c r="H2717" s="34">
        <v>1.7437499999999999</v>
      </c>
      <c r="I2717" s="5" t="s">
        <v>97</v>
      </c>
      <c r="J2717" s="7" t="s">
        <v>15309</v>
      </c>
      <c r="K2717" s="5" t="s">
        <v>406</v>
      </c>
      <c r="L2717" s="5" t="s">
        <v>15310</v>
      </c>
      <c r="M2717" s="5" t="s">
        <v>45</v>
      </c>
      <c r="N2717" s="5" t="s">
        <v>80</v>
      </c>
      <c r="O2717" s="5" t="s">
        <v>59</v>
      </c>
      <c r="P2717" s="7" t="s">
        <v>47</v>
      </c>
      <c r="Q2717" s="7" t="s">
        <v>4531</v>
      </c>
      <c r="R2717" s="7" t="s">
        <v>3083</v>
      </c>
      <c r="S2717" s="5">
        <v>0</v>
      </c>
      <c r="T2717" s="36">
        <v>0</v>
      </c>
      <c r="U2717" s="5">
        <v>1</v>
      </c>
      <c r="V2717" s="36">
        <v>0</v>
      </c>
      <c r="W2717" s="5">
        <v>0</v>
      </c>
      <c r="X2717" s="5">
        <v>1</v>
      </c>
      <c r="Y2717" s="5">
        <v>0</v>
      </c>
      <c r="Z2717" s="36">
        <v>0</v>
      </c>
      <c r="AA2717" s="5">
        <v>3</v>
      </c>
      <c r="AB2717" s="5">
        <v>0</v>
      </c>
      <c r="AC2717" s="5">
        <v>0</v>
      </c>
      <c r="AD2717" s="5">
        <v>3</v>
      </c>
      <c r="AE2717" s="7" t="s">
        <v>73</v>
      </c>
      <c r="AF2717" s="7"/>
      <c r="AG2717" s="7" t="s">
        <v>114</v>
      </c>
      <c r="AH2717" s="7">
        <v>43441</v>
      </c>
      <c r="AI2717" s="5">
        <v>1</v>
      </c>
      <c r="AJ2717" s="7" t="s">
        <v>11964</v>
      </c>
      <c r="AK2717" s="7" t="s">
        <v>15077</v>
      </c>
    </row>
    <row r="2718" spans="1:37" ht="36.75" customHeight="1" x14ac:dyDescent="0.35">
      <c r="A2718" s="5"/>
      <c r="B2718" s="5" t="s">
        <v>37</v>
      </c>
      <c r="C2718" s="73" t="str">
        <f t="shared" si="42"/>
        <v>Closed</v>
      </c>
      <c r="D2718" s="45" t="s">
        <v>15311</v>
      </c>
      <c r="E2718" s="54" t="s">
        <v>15312</v>
      </c>
      <c r="F2718" s="5" t="s">
        <v>9767</v>
      </c>
      <c r="G2718" s="7">
        <f>DATE(2018,7,11)</f>
        <v>43292</v>
      </c>
      <c r="H2718" s="34">
        <v>1.3597222222222223</v>
      </c>
      <c r="I2718" s="5" t="s">
        <v>55</v>
      </c>
      <c r="J2718" s="7" t="s">
        <v>15313</v>
      </c>
      <c r="K2718" s="5" t="s">
        <v>9769</v>
      </c>
      <c r="L2718" s="5" t="s">
        <v>9994</v>
      </c>
      <c r="M2718" s="5" t="s">
        <v>45</v>
      </c>
      <c r="N2718" s="5" t="s">
        <v>80</v>
      </c>
      <c r="O2718" s="5" t="s">
        <v>59</v>
      </c>
      <c r="P2718" s="7" t="s">
        <v>60</v>
      </c>
      <c r="Q2718" s="7" t="s">
        <v>13434</v>
      </c>
      <c r="R2718" s="7" t="s">
        <v>9772</v>
      </c>
      <c r="S2718" s="5">
        <v>0</v>
      </c>
      <c r="T2718" s="36">
        <v>0</v>
      </c>
      <c r="U2718" s="5">
        <v>0</v>
      </c>
      <c r="V2718" s="36">
        <v>0</v>
      </c>
      <c r="W2718" s="5">
        <v>0</v>
      </c>
      <c r="X2718" s="5">
        <v>0</v>
      </c>
      <c r="Y2718" s="5">
        <v>0</v>
      </c>
      <c r="Z2718" s="36">
        <v>0</v>
      </c>
      <c r="AA2718" s="5">
        <v>0</v>
      </c>
      <c r="AB2718" s="5">
        <v>0</v>
      </c>
      <c r="AC2718" s="5">
        <v>0</v>
      </c>
      <c r="AD2718" s="5">
        <v>0</v>
      </c>
      <c r="AE2718" s="7" t="s">
        <v>375</v>
      </c>
      <c r="AF2718" s="7"/>
      <c r="AG2718" s="7" t="s">
        <v>64</v>
      </c>
      <c r="AH2718" s="7">
        <v>43294</v>
      </c>
      <c r="AI2718" s="5">
        <v>0</v>
      </c>
      <c r="AJ2718" s="7" t="s">
        <v>15314</v>
      </c>
      <c r="AK2718" s="7" t="s">
        <v>15315</v>
      </c>
    </row>
    <row r="2719" spans="1:37" ht="36.75" customHeight="1" x14ac:dyDescent="0.35">
      <c r="A2719" s="5"/>
      <c r="B2719" s="5" t="s">
        <v>37</v>
      </c>
      <c r="C2719" s="73" t="str">
        <f t="shared" si="42"/>
        <v>Closed</v>
      </c>
      <c r="D2719" s="45" t="s">
        <v>15316</v>
      </c>
      <c r="E2719" s="54" t="s">
        <v>15317</v>
      </c>
      <c r="F2719" s="5" t="s">
        <v>816</v>
      </c>
      <c r="G2719" s="7">
        <f>DATE(2018,7,15)</f>
        <v>43296</v>
      </c>
      <c r="H2719" s="34">
        <v>1.6680555555555556</v>
      </c>
      <c r="I2719" s="5" t="s">
        <v>85</v>
      </c>
      <c r="J2719" s="7" t="s">
        <v>15318</v>
      </c>
      <c r="K2719" s="5" t="s">
        <v>818</v>
      </c>
      <c r="L2719" s="5" t="s">
        <v>15319</v>
      </c>
      <c r="M2719" s="5" t="s">
        <v>45</v>
      </c>
      <c r="N2719" s="5" t="s">
        <v>123</v>
      </c>
      <c r="O2719" s="5" t="s">
        <v>59</v>
      </c>
      <c r="P2719" s="7" t="s">
        <v>47</v>
      </c>
      <c r="Q2719" s="7" t="s">
        <v>2142</v>
      </c>
      <c r="R2719" s="7" t="s">
        <v>821</v>
      </c>
      <c r="S2719" s="5">
        <v>0</v>
      </c>
      <c r="T2719" s="36">
        <v>0</v>
      </c>
      <c r="U2719" s="5">
        <v>0</v>
      </c>
      <c r="V2719" s="36">
        <v>0</v>
      </c>
      <c r="W2719" s="5">
        <v>0</v>
      </c>
      <c r="X2719" s="5">
        <v>0</v>
      </c>
      <c r="Y2719" s="5">
        <v>0</v>
      </c>
      <c r="Z2719" s="36">
        <v>0</v>
      </c>
      <c r="AA2719" s="5">
        <v>0</v>
      </c>
      <c r="AB2719" s="5">
        <v>0</v>
      </c>
      <c r="AC2719" s="5">
        <v>0</v>
      </c>
      <c r="AD2719" s="5">
        <v>0</v>
      </c>
      <c r="AE2719" s="7" t="s">
        <v>73</v>
      </c>
      <c r="AF2719" s="7"/>
      <c r="AG2719" s="7" t="s">
        <v>11868</v>
      </c>
      <c r="AH2719" s="7">
        <v>43297</v>
      </c>
      <c r="AI2719" s="5">
        <v>0</v>
      </c>
      <c r="AJ2719" s="7" t="s">
        <v>15320</v>
      </c>
      <c r="AK2719" s="7" t="s">
        <v>15321</v>
      </c>
    </row>
    <row r="2720" spans="1:37" ht="36.75" customHeight="1" x14ac:dyDescent="0.35">
      <c r="A2720" s="5"/>
      <c r="B2720" s="5" t="s">
        <v>37</v>
      </c>
      <c r="C2720" s="73" t="str">
        <f t="shared" si="42"/>
        <v>Closed</v>
      </c>
      <c r="D2720" s="45" t="s">
        <v>15322</v>
      </c>
      <c r="E2720" s="54" t="s">
        <v>15323</v>
      </c>
      <c r="F2720" s="5" t="s">
        <v>404</v>
      </c>
      <c r="G2720" s="7">
        <f>DATE(2018,7,16)</f>
        <v>43297</v>
      </c>
      <c r="H2720" s="34">
        <v>1.4083333333333334</v>
      </c>
      <c r="I2720" s="5" t="s">
        <v>97</v>
      </c>
      <c r="J2720" s="7" t="s">
        <v>15324</v>
      </c>
      <c r="K2720" s="5" t="s">
        <v>406</v>
      </c>
      <c r="L2720" s="5" t="s">
        <v>15325</v>
      </c>
      <c r="M2720" s="5" t="s">
        <v>45</v>
      </c>
      <c r="N2720" s="5" t="s">
        <v>80</v>
      </c>
      <c r="O2720" s="5" t="s">
        <v>46</v>
      </c>
      <c r="P2720" s="7" t="s">
        <v>146</v>
      </c>
      <c r="Q2720" s="7" t="s">
        <v>4531</v>
      </c>
      <c r="R2720" s="7" t="s">
        <v>3083</v>
      </c>
      <c r="S2720" s="5">
        <v>0</v>
      </c>
      <c r="T2720" s="36">
        <v>0</v>
      </c>
      <c r="U2720" s="5">
        <v>1</v>
      </c>
      <c r="V2720" s="36">
        <v>0</v>
      </c>
      <c r="W2720" s="5">
        <v>0</v>
      </c>
      <c r="X2720" s="5">
        <v>1</v>
      </c>
      <c r="Y2720" s="5">
        <v>0</v>
      </c>
      <c r="Z2720" s="36">
        <v>0</v>
      </c>
      <c r="AA2720" s="5">
        <v>0</v>
      </c>
      <c r="AB2720" s="5">
        <v>0</v>
      </c>
      <c r="AC2720" s="5">
        <v>0</v>
      </c>
      <c r="AD2720" s="5">
        <v>0</v>
      </c>
      <c r="AE2720" s="7" t="s">
        <v>73</v>
      </c>
      <c r="AF2720" s="7"/>
      <c r="AG2720" s="7" t="s">
        <v>855</v>
      </c>
      <c r="AH2720" s="7">
        <v>43299</v>
      </c>
      <c r="AI2720" s="5">
        <v>1</v>
      </c>
      <c r="AJ2720" s="7" t="s">
        <v>11964</v>
      </c>
      <c r="AK2720" s="7" t="s">
        <v>15326</v>
      </c>
    </row>
    <row r="2721" spans="1:37" ht="36.75" customHeight="1" x14ac:dyDescent="0.35">
      <c r="A2721" s="5"/>
      <c r="B2721" s="5" t="s">
        <v>37</v>
      </c>
      <c r="C2721" s="73" t="str">
        <f t="shared" si="42"/>
        <v>Closed</v>
      </c>
      <c r="D2721" s="45" t="s">
        <v>15327</v>
      </c>
      <c r="E2721" s="54" t="s">
        <v>15328</v>
      </c>
      <c r="F2721" s="5" t="s">
        <v>1919</v>
      </c>
      <c r="G2721" s="7">
        <f>DATE(2018,7,17)</f>
        <v>43298</v>
      </c>
      <c r="H2721" s="34">
        <v>0</v>
      </c>
      <c r="I2721" s="5" t="s">
        <v>179</v>
      </c>
      <c r="J2721" s="7" t="s">
        <v>15329</v>
      </c>
      <c r="K2721" s="5" t="s">
        <v>1921</v>
      </c>
      <c r="L2721" s="5" t="s">
        <v>15330</v>
      </c>
      <c r="M2721" s="5" t="s">
        <v>45</v>
      </c>
      <c r="N2721" s="5" t="s">
        <v>70</v>
      </c>
      <c r="O2721" s="5" t="s">
        <v>71</v>
      </c>
      <c r="P2721" s="7" t="s">
        <v>146</v>
      </c>
      <c r="Q2721" s="7" t="s">
        <v>1923</v>
      </c>
      <c r="R2721" s="7" t="s">
        <v>1921</v>
      </c>
      <c r="S2721" s="5">
        <v>0</v>
      </c>
      <c r="T2721" s="36">
        <v>0</v>
      </c>
      <c r="U2721" s="5">
        <v>0</v>
      </c>
      <c r="V2721" s="36">
        <v>0</v>
      </c>
      <c r="W2721" s="5">
        <v>0</v>
      </c>
      <c r="X2721" s="5">
        <v>0</v>
      </c>
      <c r="Y2721" s="5">
        <v>0</v>
      </c>
      <c r="Z2721" s="36">
        <v>0</v>
      </c>
      <c r="AA2721" s="5">
        <v>0</v>
      </c>
      <c r="AB2721" s="5">
        <v>0</v>
      </c>
      <c r="AC2721" s="5">
        <v>0</v>
      </c>
      <c r="AD2721" s="5">
        <v>0</v>
      </c>
      <c r="AE2721" s="7" t="s">
        <v>375</v>
      </c>
      <c r="AF2721" s="7"/>
      <c r="AG2721" s="7" t="s">
        <v>10489</v>
      </c>
      <c r="AH2721" s="7">
        <v>43320</v>
      </c>
      <c r="AI2721" s="5">
        <v>7</v>
      </c>
      <c r="AJ2721" s="7" t="s">
        <v>15331</v>
      </c>
      <c r="AK2721" s="7" t="s">
        <v>50</v>
      </c>
    </row>
    <row r="2722" spans="1:37" ht="36.75" customHeight="1" x14ac:dyDescent="0.35">
      <c r="A2722" s="5"/>
      <c r="B2722" s="5" t="s">
        <v>37</v>
      </c>
      <c r="C2722" s="73" t="str">
        <f t="shared" si="42"/>
        <v>Closed</v>
      </c>
      <c r="D2722" s="45" t="s">
        <v>15332</v>
      </c>
      <c r="E2722" s="54" t="s">
        <v>15333</v>
      </c>
      <c r="F2722" s="5" t="s">
        <v>404</v>
      </c>
      <c r="G2722" s="7">
        <f>DATE(2018,7,18)</f>
        <v>43299</v>
      </c>
      <c r="H2722" s="34">
        <v>1.2354166666666666</v>
      </c>
      <c r="I2722" s="5" t="s">
        <v>2059</v>
      </c>
      <c r="J2722" s="7" t="s">
        <v>15334</v>
      </c>
      <c r="K2722" s="5" t="s">
        <v>406</v>
      </c>
      <c r="L2722" s="5" t="s">
        <v>15335</v>
      </c>
      <c r="M2722" s="5" t="s">
        <v>45</v>
      </c>
      <c r="N2722" s="5" t="s">
        <v>80</v>
      </c>
      <c r="O2722" s="5" t="s">
        <v>59</v>
      </c>
      <c r="P2722" s="7" t="s">
        <v>5303</v>
      </c>
      <c r="Q2722" s="7" t="s">
        <v>4531</v>
      </c>
      <c r="R2722" s="7" t="s">
        <v>3083</v>
      </c>
      <c r="S2722" s="5">
        <v>0</v>
      </c>
      <c r="T2722" s="36">
        <v>0</v>
      </c>
      <c r="U2722" s="5">
        <v>0</v>
      </c>
      <c r="V2722" s="36">
        <v>0</v>
      </c>
      <c r="W2722" s="5">
        <v>0</v>
      </c>
      <c r="X2722" s="5">
        <v>0</v>
      </c>
      <c r="Y2722" s="5">
        <v>0</v>
      </c>
      <c r="Z2722" s="36">
        <v>0</v>
      </c>
      <c r="AA2722" s="5">
        <v>0</v>
      </c>
      <c r="AB2722" s="5">
        <v>0</v>
      </c>
      <c r="AC2722" s="5">
        <v>0</v>
      </c>
      <c r="AD2722" s="5">
        <v>0</v>
      </c>
      <c r="AE2722" s="7" t="s">
        <v>73</v>
      </c>
      <c r="AF2722" s="7"/>
      <c r="AG2722" s="7" t="s">
        <v>333</v>
      </c>
      <c r="AH2722" s="7">
        <v>43299</v>
      </c>
      <c r="AI2722" s="5">
        <v>0</v>
      </c>
      <c r="AJ2722" s="7" t="s">
        <v>15336</v>
      </c>
      <c r="AK2722" s="7" t="s">
        <v>15337</v>
      </c>
    </row>
    <row r="2723" spans="1:37" ht="36.75" customHeight="1" x14ac:dyDescent="0.35">
      <c r="A2723" s="5"/>
      <c r="B2723" s="5" t="s">
        <v>37</v>
      </c>
      <c r="C2723" s="73" t="str">
        <f t="shared" si="42"/>
        <v>Closed</v>
      </c>
      <c r="D2723" s="45" t="s">
        <v>15338</v>
      </c>
      <c r="E2723" s="54" t="s">
        <v>15339</v>
      </c>
      <c r="F2723" s="5" t="s">
        <v>404</v>
      </c>
      <c r="G2723" s="7">
        <f>DATE(2018,7,20)</f>
        <v>43301</v>
      </c>
      <c r="H2723" s="34">
        <v>1.4659722222222222</v>
      </c>
      <c r="I2723" s="5" t="s">
        <v>179</v>
      </c>
      <c r="J2723" s="7" t="s">
        <v>15340</v>
      </c>
      <c r="K2723" s="5" t="s">
        <v>406</v>
      </c>
      <c r="L2723" s="5" t="s">
        <v>12522</v>
      </c>
      <c r="M2723" s="5" t="s">
        <v>45</v>
      </c>
      <c r="N2723" s="5" t="s">
        <v>70</v>
      </c>
      <c r="O2723" s="5" t="s">
        <v>59</v>
      </c>
      <c r="P2723" s="7" t="s">
        <v>7341</v>
      </c>
      <c r="Q2723" s="7" t="s">
        <v>4531</v>
      </c>
      <c r="R2723" s="7" t="s">
        <v>3083</v>
      </c>
      <c r="S2723" s="5">
        <v>0</v>
      </c>
      <c r="T2723" s="36">
        <v>0</v>
      </c>
      <c r="U2723" s="5">
        <v>0</v>
      </c>
      <c r="V2723" s="36">
        <v>0</v>
      </c>
      <c r="W2723" s="5">
        <v>0</v>
      </c>
      <c r="X2723" s="5">
        <v>0</v>
      </c>
      <c r="Y2723" s="5">
        <v>0</v>
      </c>
      <c r="Z2723" s="36">
        <v>0</v>
      </c>
      <c r="AA2723" s="5">
        <v>0</v>
      </c>
      <c r="AB2723" s="5">
        <v>0</v>
      </c>
      <c r="AC2723" s="5">
        <v>0</v>
      </c>
      <c r="AD2723" s="5">
        <v>0</v>
      </c>
      <c r="AE2723" s="7" t="s">
        <v>73</v>
      </c>
      <c r="AF2723" s="7"/>
      <c r="AG2723" s="7" t="s">
        <v>114</v>
      </c>
      <c r="AH2723" s="7">
        <v>43301</v>
      </c>
      <c r="AI2723" s="5">
        <v>0</v>
      </c>
      <c r="AJ2723" s="7" t="s">
        <v>15341</v>
      </c>
      <c r="AK2723" s="7" t="s">
        <v>15342</v>
      </c>
    </row>
    <row r="2724" spans="1:37" ht="36.75" customHeight="1" x14ac:dyDescent="0.35">
      <c r="A2724" s="5"/>
      <c r="B2724" s="5" t="s">
        <v>37</v>
      </c>
      <c r="C2724" s="73" t="str">
        <f t="shared" si="42"/>
        <v>Closed</v>
      </c>
      <c r="D2724" s="45" t="s">
        <v>15343</v>
      </c>
      <c r="E2724" s="54" t="s">
        <v>15344</v>
      </c>
      <c r="F2724" s="5" t="s">
        <v>404</v>
      </c>
      <c r="G2724" s="7">
        <f>DATE(2018,7,20)</f>
        <v>43301</v>
      </c>
      <c r="H2724" s="34">
        <v>1.9576388888888889</v>
      </c>
      <c r="I2724" s="5" t="s">
        <v>179</v>
      </c>
      <c r="J2724" s="7" t="s">
        <v>15345</v>
      </c>
      <c r="K2724" s="5" t="s">
        <v>406</v>
      </c>
      <c r="L2724" s="5" t="s">
        <v>15346</v>
      </c>
      <c r="M2724" s="5" t="s">
        <v>45</v>
      </c>
      <c r="N2724" s="5" t="s">
        <v>123</v>
      </c>
      <c r="O2724" s="5" t="s">
        <v>46</v>
      </c>
      <c r="P2724" s="7" t="s">
        <v>15347</v>
      </c>
      <c r="Q2724" s="7" t="s">
        <v>10667</v>
      </c>
      <c r="R2724" s="7" t="s">
        <v>3083</v>
      </c>
      <c r="S2724" s="5">
        <v>0</v>
      </c>
      <c r="T2724" s="36">
        <v>0</v>
      </c>
      <c r="U2724" s="5">
        <v>0</v>
      </c>
      <c r="V2724" s="36">
        <v>0</v>
      </c>
      <c r="W2724" s="5">
        <v>0</v>
      </c>
      <c r="X2724" s="5">
        <v>0</v>
      </c>
      <c r="Y2724" s="5">
        <v>0</v>
      </c>
      <c r="Z2724" s="36">
        <v>0</v>
      </c>
      <c r="AA2724" s="5">
        <v>0</v>
      </c>
      <c r="AB2724" s="5">
        <v>0</v>
      </c>
      <c r="AC2724" s="5">
        <v>0</v>
      </c>
      <c r="AD2724" s="5">
        <v>0</v>
      </c>
      <c r="AE2724" s="7" t="s">
        <v>73</v>
      </c>
      <c r="AF2724" s="7"/>
      <c r="AG2724" s="7" t="s">
        <v>114</v>
      </c>
      <c r="AH2724" s="7">
        <v>43301</v>
      </c>
      <c r="AI2724" s="5">
        <v>0</v>
      </c>
      <c r="AJ2724" s="7" t="s">
        <v>15348</v>
      </c>
      <c r="AK2724" s="7" t="s">
        <v>15349</v>
      </c>
    </row>
    <row r="2725" spans="1:37" ht="36.75" customHeight="1" x14ac:dyDescent="0.35">
      <c r="A2725" s="5"/>
      <c r="B2725" s="5" t="s">
        <v>37</v>
      </c>
      <c r="C2725" s="73" t="str">
        <f t="shared" si="42"/>
        <v>Closed</v>
      </c>
      <c r="D2725" s="45" t="s">
        <v>15350</v>
      </c>
      <c r="E2725" s="54" t="s">
        <v>15351</v>
      </c>
      <c r="F2725" s="5" t="s">
        <v>214</v>
      </c>
      <c r="G2725" s="7">
        <f>DATE(2018,7,20)</f>
        <v>43301</v>
      </c>
      <c r="H2725" s="34">
        <v>1.4548611111111112</v>
      </c>
      <c r="I2725" s="5" t="s">
        <v>259</v>
      </c>
      <c r="J2725" s="7" t="s">
        <v>15352</v>
      </c>
      <c r="K2725" s="5" t="s">
        <v>216</v>
      </c>
      <c r="L2725" s="5" t="s">
        <v>15353</v>
      </c>
      <c r="M2725" s="5" t="s">
        <v>45</v>
      </c>
      <c r="N2725" s="5" t="s">
        <v>70</v>
      </c>
      <c r="O2725" s="5" t="s">
        <v>46</v>
      </c>
      <c r="P2725" s="7" t="s">
        <v>47</v>
      </c>
      <c r="Q2725" s="7" t="s">
        <v>1055</v>
      </c>
      <c r="R2725" s="7" t="s">
        <v>216</v>
      </c>
      <c r="S2725" s="5">
        <v>0</v>
      </c>
      <c r="T2725" s="36">
        <v>0</v>
      </c>
      <c r="U2725" s="5">
        <v>0</v>
      </c>
      <c r="V2725" s="36">
        <v>0</v>
      </c>
      <c r="W2725" s="5">
        <v>0</v>
      </c>
      <c r="X2725" s="5">
        <v>0</v>
      </c>
      <c r="Y2725" s="5">
        <v>0</v>
      </c>
      <c r="Z2725" s="36">
        <v>0</v>
      </c>
      <c r="AA2725" s="5">
        <v>0</v>
      </c>
      <c r="AB2725" s="5">
        <v>0</v>
      </c>
      <c r="AC2725" s="5">
        <v>0</v>
      </c>
      <c r="AD2725" s="5">
        <v>0</v>
      </c>
      <c r="AE2725" s="7" t="s">
        <v>73</v>
      </c>
      <c r="AF2725" s="7"/>
      <c r="AG2725" s="7" t="s">
        <v>114</v>
      </c>
      <c r="AH2725" s="7">
        <v>43318</v>
      </c>
      <c r="AI2725" s="5">
        <v>5</v>
      </c>
      <c r="AJ2725" s="7" t="s">
        <v>15354</v>
      </c>
      <c r="AK2725" s="7" t="s">
        <v>15355</v>
      </c>
    </row>
    <row r="2726" spans="1:37" ht="36.75" customHeight="1" x14ac:dyDescent="0.35">
      <c r="A2726" s="5"/>
      <c r="B2726" s="5" t="s">
        <v>37</v>
      </c>
      <c r="C2726" s="73" t="str">
        <f t="shared" si="42"/>
        <v>Closed</v>
      </c>
      <c r="D2726" s="45" t="s">
        <v>15356</v>
      </c>
      <c r="E2726" s="54" t="s">
        <v>15357</v>
      </c>
      <c r="F2726" s="5" t="s">
        <v>816</v>
      </c>
      <c r="G2726" s="7">
        <f>DATE(2018,7,21)</f>
        <v>43302</v>
      </c>
      <c r="H2726" s="34">
        <v>1.6305555555555555</v>
      </c>
      <c r="I2726" s="5" t="s">
        <v>55</v>
      </c>
      <c r="J2726" s="7" t="s">
        <v>15358</v>
      </c>
      <c r="K2726" s="5" t="s">
        <v>818</v>
      </c>
      <c r="L2726" s="5" t="s">
        <v>15359</v>
      </c>
      <c r="M2726" s="5" t="s">
        <v>45</v>
      </c>
      <c r="N2726" s="5" t="s">
        <v>80</v>
      </c>
      <c r="O2726" s="5" t="s">
        <v>59</v>
      </c>
      <c r="P2726" s="7" t="s">
        <v>146</v>
      </c>
      <c r="Q2726" s="7" t="s">
        <v>2142</v>
      </c>
      <c r="R2726" s="7" t="s">
        <v>821</v>
      </c>
      <c r="S2726" s="5">
        <v>0</v>
      </c>
      <c r="T2726" s="36">
        <v>0</v>
      </c>
      <c r="U2726" s="5">
        <v>0</v>
      </c>
      <c r="V2726" s="36">
        <v>0</v>
      </c>
      <c r="W2726" s="5">
        <v>0</v>
      </c>
      <c r="X2726" s="5">
        <v>0</v>
      </c>
      <c r="Y2726" s="5">
        <v>0</v>
      </c>
      <c r="Z2726" s="36">
        <v>0</v>
      </c>
      <c r="AA2726" s="5">
        <v>0</v>
      </c>
      <c r="AB2726" s="5">
        <v>0</v>
      </c>
      <c r="AC2726" s="5">
        <v>0</v>
      </c>
      <c r="AD2726" s="5">
        <v>0</v>
      </c>
      <c r="AE2726" s="7" t="s">
        <v>73</v>
      </c>
      <c r="AF2726" s="7"/>
      <c r="AG2726" s="7" t="s">
        <v>333</v>
      </c>
      <c r="AH2726" s="7">
        <v>43302</v>
      </c>
      <c r="AI2726" s="5">
        <v>0</v>
      </c>
      <c r="AJ2726" s="7" t="s">
        <v>15360</v>
      </c>
      <c r="AK2726" s="7" t="s">
        <v>15361</v>
      </c>
    </row>
    <row r="2727" spans="1:37" ht="36.75" customHeight="1" x14ac:dyDescent="0.35">
      <c r="A2727" s="5"/>
      <c r="B2727" s="5" t="s">
        <v>37</v>
      </c>
      <c r="C2727" s="73" t="str">
        <f t="shared" si="42"/>
        <v>Closed</v>
      </c>
      <c r="D2727" s="45" t="s">
        <v>15362</v>
      </c>
      <c r="E2727" s="54" t="s">
        <v>15363</v>
      </c>
      <c r="F2727" s="5" t="s">
        <v>404</v>
      </c>
      <c r="G2727" s="7">
        <f>DATE(2018,7,26)</f>
        <v>43307</v>
      </c>
      <c r="H2727" s="34">
        <v>1.1083333333333334</v>
      </c>
      <c r="I2727" s="5" t="s">
        <v>259</v>
      </c>
      <c r="J2727" s="7" t="s">
        <v>15364</v>
      </c>
      <c r="K2727" s="5" t="s">
        <v>406</v>
      </c>
      <c r="L2727" s="5" t="s">
        <v>15365</v>
      </c>
      <c r="M2727" s="5" t="s">
        <v>45</v>
      </c>
      <c r="N2727" s="5" t="s">
        <v>123</v>
      </c>
      <c r="O2727" s="5" t="s">
        <v>59</v>
      </c>
      <c r="P2727" s="7" t="s">
        <v>47</v>
      </c>
      <c r="Q2727" s="7" t="s">
        <v>4531</v>
      </c>
      <c r="R2727" s="7" t="s">
        <v>3083</v>
      </c>
      <c r="S2727" s="5">
        <v>0</v>
      </c>
      <c r="T2727" s="36">
        <v>0</v>
      </c>
      <c r="U2727" s="5">
        <v>0</v>
      </c>
      <c r="V2727" s="36">
        <v>0</v>
      </c>
      <c r="W2727" s="5">
        <v>0</v>
      </c>
      <c r="X2727" s="5">
        <v>0</v>
      </c>
      <c r="Y2727" s="5">
        <v>0</v>
      </c>
      <c r="Z2727" s="36">
        <v>1</v>
      </c>
      <c r="AA2727" s="5">
        <v>0</v>
      </c>
      <c r="AB2727" s="5">
        <v>0</v>
      </c>
      <c r="AC2727" s="5">
        <v>0</v>
      </c>
      <c r="AD2727" s="5">
        <v>1</v>
      </c>
      <c r="AE2727" s="7" t="s">
        <v>73</v>
      </c>
      <c r="AF2727" s="7"/>
      <c r="AG2727" s="7" t="s">
        <v>114</v>
      </c>
      <c r="AH2727" s="7">
        <v>43308</v>
      </c>
      <c r="AI2727" s="5">
        <v>0</v>
      </c>
      <c r="AJ2727" s="7" t="s">
        <v>15366</v>
      </c>
      <c r="AK2727" s="7" t="s">
        <v>15367</v>
      </c>
    </row>
    <row r="2728" spans="1:37" ht="36.75" customHeight="1" x14ac:dyDescent="0.35">
      <c r="A2728" s="5"/>
      <c r="B2728" s="5" t="s">
        <v>37</v>
      </c>
      <c r="C2728" s="73" t="str">
        <f t="shared" si="42"/>
        <v>Closed</v>
      </c>
      <c r="D2728" s="45" t="s">
        <v>15368</v>
      </c>
      <c r="E2728" s="54" t="s">
        <v>15369</v>
      </c>
      <c r="F2728" s="5" t="s">
        <v>816</v>
      </c>
      <c r="G2728" s="7">
        <f>DATE(2018,7,26)</f>
        <v>43307</v>
      </c>
      <c r="H2728" s="34">
        <v>1.6020833333333333</v>
      </c>
      <c r="I2728" s="5" t="s">
        <v>85</v>
      </c>
      <c r="J2728" s="7" t="s">
        <v>15370</v>
      </c>
      <c r="K2728" s="5" t="s">
        <v>818</v>
      </c>
      <c r="L2728" s="5" t="s">
        <v>14716</v>
      </c>
      <c r="M2728" s="5" t="s">
        <v>45</v>
      </c>
      <c r="N2728" s="5" t="s">
        <v>123</v>
      </c>
      <c r="O2728" s="5" t="s">
        <v>59</v>
      </c>
      <c r="P2728" s="7" t="s">
        <v>60</v>
      </c>
      <c r="Q2728" s="7" t="s">
        <v>6560</v>
      </c>
      <c r="R2728" s="7" t="s">
        <v>821</v>
      </c>
      <c r="S2728" s="5">
        <v>0</v>
      </c>
      <c r="T2728" s="36">
        <v>0</v>
      </c>
      <c r="U2728" s="5">
        <v>0</v>
      </c>
      <c r="V2728" s="36">
        <v>0</v>
      </c>
      <c r="W2728" s="5">
        <v>0</v>
      </c>
      <c r="X2728" s="5">
        <v>0</v>
      </c>
      <c r="Y2728" s="5">
        <v>0</v>
      </c>
      <c r="Z2728" s="36">
        <v>0</v>
      </c>
      <c r="AA2728" s="5">
        <v>0</v>
      </c>
      <c r="AB2728" s="5">
        <v>0</v>
      </c>
      <c r="AC2728" s="5">
        <v>0</v>
      </c>
      <c r="AD2728" s="5">
        <v>0</v>
      </c>
      <c r="AE2728" s="7" t="s">
        <v>73</v>
      </c>
      <c r="AF2728" s="7"/>
      <c r="AG2728" s="7" t="s">
        <v>333</v>
      </c>
      <c r="AH2728" s="7">
        <v>43308</v>
      </c>
      <c r="AI2728" s="5">
        <v>0</v>
      </c>
      <c r="AJ2728" s="7" t="s">
        <v>15371</v>
      </c>
      <c r="AK2728" s="7" t="s">
        <v>15372</v>
      </c>
    </row>
    <row r="2729" spans="1:37" ht="36.75" customHeight="1" x14ac:dyDescent="0.35">
      <c r="A2729" s="5"/>
      <c r="B2729" s="5" t="s">
        <v>37</v>
      </c>
      <c r="C2729" s="73" t="str">
        <f t="shared" si="42"/>
        <v>Closed</v>
      </c>
      <c r="D2729" s="45" t="s">
        <v>15373</v>
      </c>
      <c r="E2729" s="54" t="s">
        <v>15374</v>
      </c>
      <c r="F2729" s="5" t="s">
        <v>563</v>
      </c>
      <c r="G2729" s="7">
        <f>DATE(2018,7,30)</f>
        <v>43311</v>
      </c>
      <c r="H2729" s="34">
        <v>1.2159722222222222</v>
      </c>
      <c r="I2729" s="5" t="s">
        <v>55</v>
      </c>
      <c r="J2729" s="7" t="s">
        <v>15375</v>
      </c>
      <c r="K2729" s="5" t="s">
        <v>565</v>
      </c>
      <c r="L2729" s="5" t="s">
        <v>15376</v>
      </c>
      <c r="M2729" s="5" t="s">
        <v>45</v>
      </c>
      <c r="N2729" s="5" t="s">
        <v>70</v>
      </c>
      <c r="O2729" s="5" t="s">
        <v>59</v>
      </c>
      <c r="P2729" s="7" t="s">
        <v>146</v>
      </c>
      <c r="Q2729" s="7" t="s">
        <v>4467</v>
      </c>
      <c r="R2729" s="7" t="s">
        <v>568</v>
      </c>
      <c r="S2729" s="5">
        <v>0</v>
      </c>
      <c r="T2729" s="36">
        <v>0</v>
      </c>
      <c r="U2729" s="5">
        <v>0</v>
      </c>
      <c r="V2729" s="36">
        <v>0</v>
      </c>
      <c r="W2729" s="5">
        <v>0</v>
      </c>
      <c r="X2729" s="5">
        <v>0</v>
      </c>
      <c r="Y2729" s="5">
        <v>0</v>
      </c>
      <c r="Z2729" s="36">
        <v>0</v>
      </c>
      <c r="AA2729" s="5">
        <v>0</v>
      </c>
      <c r="AB2729" s="5">
        <v>0</v>
      </c>
      <c r="AC2729" s="5">
        <v>0</v>
      </c>
      <c r="AD2729" s="5">
        <v>0</v>
      </c>
      <c r="AE2729" s="7" t="s">
        <v>375</v>
      </c>
      <c r="AF2729" s="7"/>
      <c r="AG2729" s="7" t="s">
        <v>570</v>
      </c>
      <c r="AH2729" s="7">
        <v>43312</v>
      </c>
      <c r="AI2729" s="5">
        <v>0</v>
      </c>
      <c r="AJ2729" s="7" t="s">
        <v>15377</v>
      </c>
      <c r="AK2729" s="7" t="s">
        <v>1215</v>
      </c>
    </row>
    <row r="2730" spans="1:37" ht="36.75" customHeight="1" x14ac:dyDescent="0.35">
      <c r="A2730" s="5"/>
      <c r="B2730" s="5" t="s">
        <v>37</v>
      </c>
      <c r="C2730" s="73" t="str">
        <f t="shared" si="42"/>
        <v>Closed</v>
      </c>
      <c r="D2730" s="45" t="s">
        <v>15378</v>
      </c>
      <c r="E2730" s="54" t="s">
        <v>15379</v>
      </c>
      <c r="F2730" s="5" t="s">
        <v>404</v>
      </c>
      <c r="G2730" s="7">
        <f>DATE(2018,7,31)</f>
        <v>43312</v>
      </c>
      <c r="H2730" s="34">
        <v>1.5645833333333332</v>
      </c>
      <c r="I2730" s="5" t="s">
        <v>97</v>
      </c>
      <c r="J2730" s="7" t="s">
        <v>15380</v>
      </c>
      <c r="K2730" s="5" t="s">
        <v>406</v>
      </c>
      <c r="L2730" s="5" t="s">
        <v>15381</v>
      </c>
      <c r="M2730" s="5" t="s">
        <v>45</v>
      </c>
      <c r="N2730" s="5" t="s">
        <v>80</v>
      </c>
      <c r="O2730" s="5" t="s">
        <v>46</v>
      </c>
      <c r="P2730" s="7" t="s">
        <v>146</v>
      </c>
      <c r="Q2730" s="7" t="s">
        <v>4531</v>
      </c>
      <c r="R2730" s="7" t="s">
        <v>3083</v>
      </c>
      <c r="S2730" s="5">
        <v>0</v>
      </c>
      <c r="T2730" s="36">
        <v>0</v>
      </c>
      <c r="U2730" s="5">
        <v>0</v>
      </c>
      <c r="V2730" s="36">
        <v>0</v>
      </c>
      <c r="W2730" s="5">
        <v>0</v>
      </c>
      <c r="X2730" s="5">
        <v>0</v>
      </c>
      <c r="Y2730" s="5">
        <v>0</v>
      </c>
      <c r="Z2730" s="36">
        <v>0</v>
      </c>
      <c r="AA2730" s="5">
        <v>0</v>
      </c>
      <c r="AB2730" s="5">
        <v>0</v>
      </c>
      <c r="AC2730" s="5">
        <v>0</v>
      </c>
      <c r="AD2730" s="5">
        <v>0</v>
      </c>
      <c r="AE2730" s="7" t="s">
        <v>375</v>
      </c>
      <c r="AF2730" s="7"/>
      <c r="AG2730" s="7" t="s">
        <v>64</v>
      </c>
      <c r="AH2730" s="7">
        <v>43312</v>
      </c>
      <c r="AI2730" s="5">
        <v>2</v>
      </c>
      <c r="AJ2730" s="7" t="s">
        <v>15382</v>
      </c>
      <c r="AK2730" s="7" t="s">
        <v>15383</v>
      </c>
    </row>
    <row r="2731" spans="1:37" ht="36.75" customHeight="1" x14ac:dyDescent="0.35">
      <c r="A2731" s="5"/>
      <c r="B2731" s="5" t="s">
        <v>37</v>
      </c>
      <c r="C2731" s="73" t="str">
        <f t="shared" si="42"/>
        <v>Closed</v>
      </c>
      <c r="D2731" s="45" t="s">
        <v>15384</v>
      </c>
      <c r="E2731" s="54" t="s">
        <v>15385</v>
      </c>
      <c r="F2731" s="5" t="s">
        <v>404</v>
      </c>
      <c r="G2731" s="7">
        <f>DATE(2018,8,1)</f>
        <v>43313</v>
      </c>
      <c r="H2731" s="34">
        <v>1.3652777777777778</v>
      </c>
      <c r="I2731" s="5" t="s">
        <v>97</v>
      </c>
      <c r="J2731" s="7" t="s">
        <v>15386</v>
      </c>
      <c r="K2731" s="5" t="s">
        <v>406</v>
      </c>
      <c r="L2731" s="5" t="s">
        <v>15387</v>
      </c>
      <c r="M2731" s="5" t="s">
        <v>45</v>
      </c>
      <c r="N2731" s="5" t="s">
        <v>80</v>
      </c>
      <c r="O2731" s="5" t="s">
        <v>46</v>
      </c>
      <c r="P2731" s="7" t="s">
        <v>47</v>
      </c>
      <c r="Q2731" s="7" t="s">
        <v>4531</v>
      </c>
      <c r="R2731" s="7" t="s">
        <v>3083</v>
      </c>
      <c r="S2731" s="5">
        <v>0</v>
      </c>
      <c r="T2731" s="36">
        <v>0</v>
      </c>
      <c r="U2731" s="5">
        <v>1</v>
      </c>
      <c r="V2731" s="36">
        <v>0</v>
      </c>
      <c r="W2731" s="5">
        <v>0</v>
      </c>
      <c r="X2731" s="5">
        <v>1</v>
      </c>
      <c r="Y2731" s="5">
        <v>0</v>
      </c>
      <c r="Z2731" s="36">
        <v>0</v>
      </c>
      <c r="AA2731" s="5">
        <v>0</v>
      </c>
      <c r="AB2731" s="5">
        <v>0</v>
      </c>
      <c r="AC2731" s="5">
        <v>0</v>
      </c>
      <c r="AD2731" s="5">
        <v>0</v>
      </c>
      <c r="AE2731" s="7" t="s">
        <v>73</v>
      </c>
      <c r="AF2731" s="7"/>
      <c r="AG2731" s="7" t="s">
        <v>855</v>
      </c>
      <c r="AH2731" s="7">
        <v>43108</v>
      </c>
      <c r="AI2731" s="5">
        <v>0</v>
      </c>
      <c r="AJ2731" s="7" t="s">
        <v>11964</v>
      </c>
      <c r="AK2731" s="7" t="s">
        <v>15077</v>
      </c>
    </row>
    <row r="2732" spans="1:37" ht="36.75" customHeight="1" x14ac:dyDescent="0.35">
      <c r="A2732" s="5"/>
      <c r="B2732" s="5" t="s">
        <v>37</v>
      </c>
      <c r="C2732" s="73" t="str">
        <f t="shared" si="42"/>
        <v>Closed</v>
      </c>
      <c r="D2732" s="45" t="s">
        <v>15388</v>
      </c>
      <c r="E2732" s="54" t="s">
        <v>15389</v>
      </c>
      <c r="F2732" s="5" t="s">
        <v>2316</v>
      </c>
      <c r="G2732" s="7">
        <f>DATE(2018,8,2)</f>
        <v>43314</v>
      </c>
      <c r="H2732" s="34">
        <v>1.6875</v>
      </c>
      <c r="I2732" s="5" t="s">
        <v>97</v>
      </c>
      <c r="J2732" s="7" t="s">
        <v>15390</v>
      </c>
      <c r="K2732" s="5" t="s">
        <v>2318</v>
      </c>
      <c r="L2732" s="5" t="s">
        <v>15391</v>
      </c>
      <c r="M2732" s="5" t="s">
        <v>45</v>
      </c>
      <c r="N2732" s="5" t="s">
        <v>123</v>
      </c>
      <c r="O2732" s="5" t="s">
        <v>46</v>
      </c>
      <c r="P2732" s="7" t="s">
        <v>47</v>
      </c>
      <c r="Q2732" s="7" t="s">
        <v>2925</v>
      </c>
      <c r="R2732" s="7" t="s">
        <v>2321</v>
      </c>
      <c r="S2732" s="5">
        <v>0</v>
      </c>
      <c r="T2732" s="36">
        <v>0</v>
      </c>
      <c r="U2732" s="5">
        <v>1</v>
      </c>
      <c r="V2732" s="36">
        <v>0</v>
      </c>
      <c r="W2732" s="5">
        <v>0</v>
      </c>
      <c r="X2732" s="5">
        <v>1</v>
      </c>
      <c r="Y2732" s="5">
        <v>0</v>
      </c>
      <c r="Z2732" s="36">
        <v>0</v>
      </c>
      <c r="AA2732" s="5">
        <v>0</v>
      </c>
      <c r="AB2732" s="5">
        <v>0</v>
      </c>
      <c r="AC2732" s="5">
        <v>0</v>
      </c>
      <c r="AD2732" s="5">
        <v>0</v>
      </c>
      <c r="AE2732" s="7" t="s">
        <v>73</v>
      </c>
      <c r="AF2732" s="7"/>
      <c r="AG2732" s="7" t="s">
        <v>64</v>
      </c>
      <c r="AH2732" s="7">
        <v>43319</v>
      </c>
      <c r="AI2732" s="5">
        <v>6</v>
      </c>
      <c r="AJ2732" s="7" t="s">
        <v>15392</v>
      </c>
      <c r="AK2732" s="7" t="s">
        <v>15393</v>
      </c>
    </row>
    <row r="2733" spans="1:37" ht="36.75" customHeight="1" x14ac:dyDescent="0.35">
      <c r="A2733" s="5"/>
      <c r="B2733" s="5" t="s">
        <v>37</v>
      </c>
      <c r="C2733" s="73" t="str">
        <f t="shared" si="42"/>
        <v>Closed</v>
      </c>
      <c r="D2733" s="45" t="s">
        <v>15394</v>
      </c>
      <c r="E2733" s="54" t="s">
        <v>15395</v>
      </c>
      <c r="F2733" s="5" t="s">
        <v>1553</v>
      </c>
      <c r="G2733" s="7">
        <f>DATE(2018,8,5)</f>
        <v>43317</v>
      </c>
      <c r="H2733" s="34">
        <v>1.9138888888888888</v>
      </c>
      <c r="I2733" s="5" t="s">
        <v>55</v>
      </c>
      <c r="J2733" s="7" t="s">
        <v>15396</v>
      </c>
      <c r="K2733" s="5" t="s">
        <v>1555</v>
      </c>
      <c r="L2733" s="5" t="s">
        <v>15397</v>
      </c>
      <c r="M2733" s="5" t="s">
        <v>45</v>
      </c>
      <c r="N2733" s="5" t="s">
        <v>123</v>
      </c>
      <c r="O2733" s="5" t="s">
        <v>59</v>
      </c>
      <c r="P2733" s="7" t="s">
        <v>60</v>
      </c>
      <c r="Q2733" s="7" t="s">
        <v>1565</v>
      </c>
      <c r="R2733" s="7" t="s">
        <v>6413</v>
      </c>
      <c r="S2733" s="5">
        <v>0</v>
      </c>
      <c r="T2733" s="36">
        <v>0</v>
      </c>
      <c r="U2733" s="5">
        <v>0</v>
      </c>
      <c r="V2733" s="36">
        <v>0</v>
      </c>
      <c r="W2733" s="5">
        <v>0</v>
      </c>
      <c r="X2733" s="5">
        <v>0</v>
      </c>
      <c r="Y2733" s="5">
        <v>0</v>
      </c>
      <c r="Z2733" s="36">
        <v>0</v>
      </c>
      <c r="AA2733" s="5">
        <v>0</v>
      </c>
      <c r="AB2733" s="5">
        <v>0</v>
      </c>
      <c r="AC2733" s="5">
        <v>0</v>
      </c>
      <c r="AD2733" s="5">
        <v>0</v>
      </c>
      <c r="AE2733" s="7" t="s">
        <v>73</v>
      </c>
      <c r="AF2733" s="7"/>
      <c r="AG2733" s="7" t="s">
        <v>114</v>
      </c>
      <c r="AH2733" s="7">
        <v>43318</v>
      </c>
      <c r="AI2733" s="5">
        <v>1</v>
      </c>
      <c r="AJ2733" s="7" t="s">
        <v>15398</v>
      </c>
      <c r="AK2733" s="7" t="s">
        <v>15399</v>
      </c>
    </row>
    <row r="2734" spans="1:37" ht="36.75" customHeight="1" x14ac:dyDescent="0.35">
      <c r="A2734" s="5"/>
      <c r="B2734" s="5" t="s">
        <v>37</v>
      </c>
      <c r="C2734" s="73" t="str">
        <f t="shared" si="42"/>
        <v>Closed</v>
      </c>
      <c r="D2734" s="45" t="s">
        <v>15400</v>
      </c>
      <c r="E2734" s="54" t="s">
        <v>15401</v>
      </c>
      <c r="F2734" s="5" t="s">
        <v>105</v>
      </c>
      <c r="G2734" s="7">
        <f>DATE(2018,8,8)</f>
        <v>43320</v>
      </c>
      <c r="H2734" s="34">
        <v>1.4618055555555556</v>
      </c>
      <c r="I2734" s="5" t="s">
        <v>5473</v>
      </c>
      <c r="J2734" s="7" t="s">
        <v>15402</v>
      </c>
      <c r="K2734" s="5" t="s">
        <v>108</v>
      </c>
      <c r="L2734" s="5" t="s">
        <v>15403</v>
      </c>
      <c r="M2734" s="5" t="s">
        <v>45</v>
      </c>
      <c r="N2734" s="5" t="s">
        <v>80</v>
      </c>
      <c r="O2734" s="5" t="s">
        <v>67</v>
      </c>
      <c r="P2734" s="7" t="s">
        <v>67</v>
      </c>
      <c r="Q2734" s="7" t="s">
        <v>6221</v>
      </c>
      <c r="R2734" s="7" t="s">
        <v>148</v>
      </c>
      <c r="S2734" s="5">
        <v>0</v>
      </c>
      <c r="T2734" s="36">
        <v>0</v>
      </c>
      <c r="U2734" s="5">
        <v>0</v>
      </c>
      <c r="V2734" s="36">
        <v>0</v>
      </c>
      <c r="W2734" s="5">
        <v>0</v>
      </c>
      <c r="X2734" s="5">
        <v>0</v>
      </c>
      <c r="Y2734" s="5">
        <v>0</v>
      </c>
      <c r="Z2734" s="36">
        <v>0</v>
      </c>
      <c r="AA2734" s="5">
        <v>0</v>
      </c>
      <c r="AB2734" s="5">
        <v>0</v>
      </c>
      <c r="AC2734" s="5">
        <v>0</v>
      </c>
      <c r="AD2734" s="5">
        <v>0</v>
      </c>
      <c r="AE2734" s="7" t="s">
        <v>375</v>
      </c>
      <c r="AF2734" s="7"/>
      <c r="AG2734" s="7" t="s">
        <v>64</v>
      </c>
      <c r="AH2734" s="7">
        <v>43326</v>
      </c>
      <c r="AI2734" s="5">
        <v>2</v>
      </c>
      <c r="AJ2734" s="7" t="s">
        <v>15404</v>
      </c>
      <c r="AK2734" s="7" t="s">
        <v>50</v>
      </c>
    </row>
    <row r="2735" spans="1:37" ht="36.75" customHeight="1" x14ac:dyDescent="0.35">
      <c r="A2735" s="5"/>
      <c r="B2735" s="5" t="s">
        <v>37</v>
      </c>
      <c r="C2735" s="73" t="str">
        <f t="shared" si="42"/>
        <v>Closed</v>
      </c>
      <c r="D2735" s="45" t="s">
        <v>15405</v>
      </c>
      <c r="E2735" s="54" t="s">
        <v>15406</v>
      </c>
      <c r="F2735" s="5" t="s">
        <v>1553</v>
      </c>
      <c r="G2735" s="7">
        <f>DATE(2018,8,9)</f>
        <v>43321</v>
      </c>
      <c r="H2735" s="34">
        <v>1.9166666666666665</v>
      </c>
      <c r="I2735" s="5" t="s">
        <v>468</v>
      </c>
      <c r="J2735" s="7" t="s">
        <v>15407</v>
      </c>
      <c r="K2735" s="5" t="s">
        <v>1555</v>
      </c>
      <c r="L2735" s="5" t="s">
        <v>15408</v>
      </c>
      <c r="M2735" s="5" t="s">
        <v>45</v>
      </c>
      <c r="N2735" s="5" t="s">
        <v>80</v>
      </c>
      <c r="O2735" s="5" t="s">
        <v>46</v>
      </c>
      <c r="P2735" s="7" t="s">
        <v>60</v>
      </c>
      <c r="Q2735" s="7" t="s">
        <v>6072</v>
      </c>
      <c r="R2735" s="7" t="s">
        <v>6413</v>
      </c>
      <c r="S2735" s="5">
        <v>0</v>
      </c>
      <c r="T2735" s="36">
        <v>0</v>
      </c>
      <c r="U2735" s="5">
        <v>0</v>
      </c>
      <c r="V2735" s="36">
        <v>0</v>
      </c>
      <c r="W2735" s="5">
        <v>0</v>
      </c>
      <c r="X2735" s="5">
        <v>0</v>
      </c>
      <c r="Y2735" s="5">
        <v>0</v>
      </c>
      <c r="Z2735" s="36">
        <v>0</v>
      </c>
      <c r="AA2735" s="5">
        <v>0</v>
      </c>
      <c r="AB2735" s="5">
        <v>0</v>
      </c>
      <c r="AC2735" s="5">
        <v>0</v>
      </c>
      <c r="AD2735" s="5">
        <v>0</v>
      </c>
      <c r="AE2735" s="7" t="s">
        <v>73</v>
      </c>
      <c r="AF2735" s="7"/>
      <c r="AG2735" s="7" t="s">
        <v>1489</v>
      </c>
      <c r="AH2735" s="7">
        <v>43322</v>
      </c>
      <c r="AI2735" s="5">
        <v>3</v>
      </c>
      <c r="AJ2735" s="7" t="s">
        <v>15409</v>
      </c>
      <c r="AK2735" s="7" t="s">
        <v>15410</v>
      </c>
    </row>
    <row r="2736" spans="1:37" ht="36.75" customHeight="1" x14ac:dyDescent="0.35">
      <c r="A2736" s="5"/>
      <c r="B2736" s="5" t="s">
        <v>37</v>
      </c>
      <c r="C2736" s="73" t="str">
        <f t="shared" si="42"/>
        <v>Closed</v>
      </c>
      <c r="D2736" s="45" t="s">
        <v>15411</v>
      </c>
      <c r="E2736" s="54" t="s">
        <v>15412</v>
      </c>
      <c r="F2736" s="5" t="s">
        <v>178</v>
      </c>
      <c r="G2736" s="7">
        <f>DATE(2018,8,11)</f>
        <v>43323</v>
      </c>
      <c r="H2736" s="34">
        <v>1.8138888888888891</v>
      </c>
      <c r="I2736" s="5" t="s">
        <v>55</v>
      </c>
      <c r="J2736" s="7" t="s">
        <v>15413</v>
      </c>
      <c r="K2736" s="5" t="s">
        <v>181</v>
      </c>
      <c r="L2736" s="5" t="s">
        <v>15414</v>
      </c>
      <c r="M2736" s="5" t="s">
        <v>45</v>
      </c>
      <c r="N2736" s="5" t="s">
        <v>80</v>
      </c>
      <c r="O2736" s="5" t="s">
        <v>59</v>
      </c>
      <c r="P2736" s="7" t="s">
        <v>60</v>
      </c>
      <c r="Q2736" s="7" t="s">
        <v>6253</v>
      </c>
      <c r="R2736" s="7" t="s">
        <v>184</v>
      </c>
      <c r="S2736" s="5">
        <v>0</v>
      </c>
      <c r="T2736" s="36">
        <v>0</v>
      </c>
      <c r="U2736" s="5">
        <v>0</v>
      </c>
      <c r="V2736" s="36">
        <v>0</v>
      </c>
      <c r="W2736" s="5">
        <v>0</v>
      </c>
      <c r="X2736" s="5">
        <v>0</v>
      </c>
      <c r="Y2736" s="5">
        <v>0</v>
      </c>
      <c r="Z2736" s="36">
        <v>0</v>
      </c>
      <c r="AA2736" s="5">
        <v>0</v>
      </c>
      <c r="AB2736" s="5">
        <v>0</v>
      </c>
      <c r="AC2736" s="5">
        <v>0</v>
      </c>
      <c r="AD2736" s="5">
        <v>0</v>
      </c>
      <c r="AE2736" s="7" t="s">
        <v>126</v>
      </c>
      <c r="AF2736" s="7"/>
      <c r="AG2736" s="7" t="s">
        <v>64</v>
      </c>
      <c r="AH2736" s="7">
        <v>43432</v>
      </c>
      <c r="AI2736" s="5">
        <v>0</v>
      </c>
      <c r="AJ2736" s="7" t="s">
        <v>15415</v>
      </c>
      <c r="AK2736" s="7" t="s">
        <v>15416</v>
      </c>
    </row>
    <row r="2737" spans="1:37" ht="36.75" customHeight="1" x14ac:dyDescent="0.35">
      <c r="A2737" s="5"/>
      <c r="B2737" s="5" t="s">
        <v>37</v>
      </c>
      <c r="C2737" s="73" t="str">
        <f t="shared" si="42"/>
        <v>Closed</v>
      </c>
      <c r="D2737" s="45" t="s">
        <v>15417</v>
      </c>
      <c r="E2737" s="54" t="s">
        <v>15418</v>
      </c>
      <c r="F2737" s="5" t="s">
        <v>1919</v>
      </c>
      <c r="G2737" s="7">
        <f>DATE(2018,8,12)</f>
        <v>43324</v>
      </c>
      <c r="H2737" s="34">
        <v>0</v>
      </c>
      <c r="I2737" s="5" t="s">
        <v>5473</v>
      </c>
      <c r="J2737" s="7" t="s">
        <v>15419</v>
      </c>
      <c r="K2737" s="5" t="s">
        <v>1921</v>
      </c>
      <c r="L2737" s="5" t="s">
        <v>15420</v>
      </c>
      <c r="M2737" s="5" t="s">
        <v>45</v>
      </c>
      <c r="N2737" s="5" t="s">
        <v>123</v>
      </c>
      <c r="O2737" s="5" t="s">
        <v>59</v>
      </c>
      <c r="P2737" s="7" t="s">
        <v>6881</v>
      </c>
      <c r="Q2737" s="7" t="s">
        <v>1923</v>
      </c>
      <c r="R2737" s="7" t="s">
        <v>1921</v>
      </c>
      <c r="S2737" s="5">
        <v>0</v>
      </c>
      <c r="T2737" s="36">
        <v>0</v>
      </c>
      <c r="U2737" s="5">
        <v>0</v>
      </c>
      <c r="V2737" s="36">
        <v>0</v>
      </c>
      <c r="W2737" s="5">
        <v>0</v>
      </c>
      <c r="X2737" s="5">
        <v>0</v>
      </c>
      <c r="Y2737" s="5">
        <v>0</v>
      </c>
      <c r="Z2737" s="36">
        <v>0</v>
      </c>
      <c r="AA2737" s="5">
        <v>0</v>
      </c>
      <c r="AB2737" s="5">
        <v>0</v>
      </c>
      <c r="AC2737" s="5">
        <v>0</v>
      </c>
      <c r="AD2737" s="5">
        <v>0</v>
      </c>
      <c r="AE2737" s="7" t="s">
        <v>73</v>
      </c>
      <c r="AF2737" s="7"/>
      <c r="AG2737" s="7" t="s">
        <v>10489</v>
      </c>
      <c r="AH2737" s="7">
        <v>43334</v>
      </c>
      <c r="AI2737" s="5">
        <v>4</v>
      </c>
      <c r="AJ2737" s="7" t="s">
        <v>15421</v>
      </c>
      <c r="AK2737" s="7" t="s">
        <v>15422</v>
      </c>
    </row>
    <row r="2738" spans="1:37" ht="36.75" customHeight="1" x14ac:dyDescent="0.35">
      <c r="A2738" s="5"/>
      <c r="B2738" s="5" t="s">
        <v>37</v>
      </c>
      <c r="C2738" s="73" t="str">
        <f t="shared" si="42"/>
        <v>Closed</v>
      </c>
      <c r="D2738" s="45" t="s">
        <v>15423</v>
      </c>
      <c r="E2738" s="54" t="s">
        <v>15424</v>
      </c>
      <c r="F2738" s="5" t="s">
        <v>1553</v>
      </c>
      <c r="G2738" s="7">
        <f>DATE(2018,8,12)</f>
        <v>43324</v>
      </c>
      <c r="H2738" s="34">
        <v>1.3451388888888889</v>
      </c>
      <c r="I2738" s="5" t="s">
        <v>55</v>
      </c>
      <c r="J2738" s="7" t="s">
        <v>15425</v>
      </c>
      <c r="K2738" s="5" t="s">
        <v>1555</v>
      </c>
      <c r="L2738" s="5" t="s">
        <v>15426</v>
      </c>
      <c r="M2738" s="5" t="s">
        <v>45</v>
      </c>
      <c r="N2738" s="5" t="s">
        <v>123</v>
      </c>
      <c r="O2738" s="5" t="s">
        <v>46</v>
      </c>
      <c r="P2738" s="7" t="s">
        <v>60</v>
      </c>
      <c r="Q2738" s="7" t="s">
        <v>4899</v>
      </c>
      <c r="R2738" s="7" t="s">
        <v>6413</v>
      </c>
      <c r="S2738" s="5">
        <v>0</v>
      </c>
      <c r="T2738" s="36">
        <v>0</v>
      </c>
      <c r="U2738" s="5">
        <v>0</v>
      </c>
      <c r="V2738" s="36">
        <v>0</v>
      </c>
      <c r="W2738" s="5">
        <v>0</v>
      </c>
      <c r="X2738" s="5">
        <v>0</v>
      </c>
      <c r="Y2738" s="5">
        <v>0</v>
      </c>
      <c r="Z2738" s="36">
        <v>0</v>
      </c>
      <c r="AA2738" s="5">
        <v>0</v>
      </c>
      <c r="AB2738" s="5">
        <v>0</v>
      </c>
      <c r="AC2738" s="5">
        <v>0</v>
      </c>
      <c r="AD2738" s="5">
        <v>0</v>
      </c>
      <c r="AE2738" s="7" t="s">
        <v>126</v>
      </c>
      <c r="AF2738" s="7"/>
      <c r="AG2738" s="7" t="s">
        <v>64</v>
      </c>
      <c r="AH2738" s="7">
        <v>43325</v>
      </c>
      <c r="AI2738" s="5">
        <v>2</v>
      </c>
      <c r="AJ2738" s="7" t="s">
        <v>15427</v>
      </c>
      <c r="AK2738" s="7" t="s">
        <v>15428</v>
      </c>
    </row>
    <row r="2739" spans="1:37" ht="36.75" customHeight="1" x14ac:dyDescent="0.35">
      <c r="A2739" s="5"/>
      <c r="B2739" s="5" t="s">
        <v>37</v>
      </c>
      <c r="C2739" s="73" t="str">
        <f t="shared" si="42"/>
        <v>Closed</v>
      </c>
      <c r="D2739" s="45" t="s">
        <v>15429</v>
      </c>
      <c r="E2739" s="54" t="s">
        <v>15430</v>
      </c>
      <c r="F2739" s="5" t="s">
        <v>404</v>
      </c>
      <c r="G2739" s="7">
        <f>DATE(2018,8,15)</f>
        <v>43327</v>
      </c>
      <c r="H2739" s="34">
        <v>1.5013888888888889</v>
      </c>
      <c r="I2739" s="5" t="s">
        <v>55</v>
      </c>
      <c r="J2739" s="7" t="s">
        <v>15431</v>
      </c>
      <c r="K2739" s="5" t="s">
        <v>406</v>
      </c>
      <c r="L2739" s="5" t="s">
        <v>15121</v>
      </c>
      <c r="M2739" s="5" t="s">
        <v>45</v>
      </c>
      <c r="N2739" s="5" t="s">
        <v>80</v>
      </c>
      <c r="O2739" s="5" t="s">
        <v>59</v>
      </c>
      <c r="P2739" s="7" t="s">
        <v>60</v>
      </c>
      <c r="Q2739" s="7" t="s">
        <v>2562</v>
      </c>
      <c r="R2739" s="7" t="s">
        <v>3083</v>
      </c>
      <c r="S2739" s="5">
        <v>0</v>
      </c>
      <c r="T2739" s="36">
        <v>0</v>
      </c>
      <c r="U2739" s="5">
        <v>0</v>
      </c>
      <c r="V2739" s="36">
        <v>0</v>
      </c>
      <c r="W2739" s="5">
        <v>0</v>
      </c>
      <c r="X2739" s="5">
        <v>0</v>
      </c>
      <c r="Y2739" s="5">
        <v>0</v>
      </c>
      <c r="Z2739" s="36">
        <v>0</v>
      </c>
      <c r="AA2739" s="5">
        <v>0</v>
      </c>
      <c r="AB2739" s="5">
        <v>0</v>
      </c>
      <c r="AC2739" s="5">
        <v>0</v>
      </c>
      <c r="AD2739" s="5">
        <v>0</v>
      </c>
      <c r="AE2739" s="7" t="s">
        <v>73</v>
      </c>
      <c r="AF2739" s="7"/>
      <c r="AG2739" s="7" t="s">
        <v>114</v>
      </c>
      <c r="AH2739" s="7">
        <v>43327</v>
      </c>
      <c r="AI2739" s="5">
        <v>0</v>
      </c>
      <c r="AJ2739" s="7" t="s">
        <v>15432</v>
      </c>
      <c r="AK2739" s="7" t="s">
        <v>15433</v>
      </c>
    </row>
    <row r="2740" spans="1:37" ht="36.75" customHeight="1" x14ac:dyDescent="0.35">
      <c r="A2740" s="5"/>
      <c r="B2740" s="5" t="s">
        <v>37</v>
      </c>
      <c r="C2740" s="73" t="str">
        <f t="shared" si="42"/>
        <v>Closed</v>
      </c>
      <c r="D2740" s="45" t="s">
        <v>15434</v>
      </c>
      <c r="E2740" s="54" t="s">
        <v>15435</v>
      </c>
      <c r="F2740" s="5" t="s">
        <v>15039</v>
      </c>
      <c r="G2740" s="7">
        <f>DATE(2018,8,16)</f>
        <v>43328</v>
      </c>
      <c r="H2740" s="34">
        <v>1.0888888888888888</v>
      </c>
      <c r="I2740" s="5" t="s">
        <v>55</v>
      </c>
      <c r="J2740" s="7" t="s">
        <v>15436</v>
      </c>
      <c r="K2740" s="5" t="s">
        <v>13412</v>
      </c>
      <c r="L2740" s="5" t="s">
        <v>15437</v>
      </c>
      <c r="M2740" s="5" t="s">
        <v>45</v>
      </c>
      <c r="N2740" s="5" t="s">
        <v>70</v>
      </c>
      <c r="O2740" s="5" t="s">
        <v>59</v>
      </c>
      <c r="P2740" s="7" t="s">
        <v>60</v>
      </c>
      <c r="Q2740" s="7" t="s">
        <v>15438</v>
      </c>
      <c r="R2740" s="7" t="s">
        <v>15439</v>
      </c>
      <c r="S2740" s="5">
        <v>0</v>
      </c>
      <c r="T2740" s="36">
        <v>0</v>
      </c>
      <c r="U2740" s="5">
        <v>0</v>
      </c>
      <c r="V2740" s="36">
        <v>0</v>
      </c>
      <c r="W2740" s="5">
        <v>0</v>
      </c>
      <c r="X2740" s="5">
        <v>0</v>
      </c>
      <c r="Y2740" s="5">
        <v>0</v>
      </c>
      <c r="Z2740" s="36">
        <v>0</v>
      </c>
      <c r="AA2740" s="5">
        <v>0</v>
      </c>
      <c r="AB2740" s="5">
        <v>0</v>
      </c>
      <c r="AC2740" s="5">
        <v>0</v>
      </c>
      <c r="AD2740" s="5">
        <v>0</v>
      </c>
      <c r="AE2740" s="7" t="s">
        <v>126</v>
      </c>
      <c r="AF2740" s="7" t="s">
        <v>15044</v>
      </c>
      <c r="AG2740" s="7" t="s">
        <v>6438</v>
      </c>
      <c r="AH2740" s="7">
        <v>43328</v>
      </c>
      <c r="AI2740" s="5">
        <v>0</v>
      </c>
      <c r="AJ2740" s="7" t="s">
        <v>15440</v>
      </c>
      <c r="AK2740" s="7" t="s">
        <v>15441</v>
      </c>
    </row>
    <row r="2741" spans="1:37" ht="36.75" customHeight="1" x14ac:dyDescent="0.35">
      <c r="A2741" s="5"/>
      <c r="B2741" s="5" t="s">
        <v>37</v>
      </c>
      <c r="C2741" s="73" t="str">
        <f t="shared" si="42"/>
        <v>Closed</v>
      </c>
      <c r="D2741" s="45" t="s">
        <v>15442</v>
      </c>
      <c r="E2741" s="54" t="s">
        <v>15443</v>
      </c>
      <c r="F2741" s="5" t="s">
        <v>404</v>
      </c>
      <c r="G2741" s="7">
        <f>DATE(2018,8,16)</f>
        <v>43328</v>
      </c>
      <c r="H2741" s="34">
        <v>1.7888888888888888</v>
      </c>
      <c r="I2741" s="5" t="s">
        <v>97</v>
      </c>
      <c r="J2741" s="7" t="s">
        <v>15444</v>
      </c>
      <c r="K2741" s="5" t="s">
        <v>406</v>
      </c>
      <c r="L2741" s="5" t="s">
        <v>15445</v>
      </c>
      <c r="M2741" s="5" t="s">
        <v>45</v>
      </c>
      <c r="N2741" s="5" t="s">
        <v>80</v>
      </c>
      <c r="O2741" s="5" t="s">
        <v>59</v>
      </c>
      <c r="P2741" s="7" t="s">
        <v>146</v>
      </c>
      <c r="Q2741" s="7" t="s">
        <v>4531</v>
      </c>
      <c r="R2741" s="7" t="s">
        <v>3083</v>
      </c>
      <c r="S2741" s="5">
        <v>0</v>
      </c>
      <c r="T2741" s="36">
        <v>0</v>
      </c>
      <c r="U2741" s="5">
        <v>0</v>
      </c>
      <c r="V2741" s="36">
        <v>0</v>
      </c>
      <c r="W2741" s="5">
        <v>0</v>
      </c>
      <c r="X2741" s="5">
        <v>0</v>
      </c>
      <c r="Y2741" s="5">
        <v>0</v>
      </c>
      <c r="Z2741" s="36">
        <v>0</v>
      </c>
      <c r="AA2741" s="5">
        <v>0</v>
      </c>
      <c r="AB2741" s="5">
        <v>0</v>
      </c>
      <c r="AC2741" s="5">
        <v>0</v>
      </c>
      <c r="AD2741" s="5">
        <v>0</v>
      </c>
      <c r="AE2741" s="7" t="s">
        <v>73</v>
      </c>
      <c r="AF2741" s="7"/>
      <c r="AG2741" s="7" t="s">
        <v>855</v>
      </c>
      <c r="AH2741" s="7">
        <v>43328</v>
      </c>
      <c r="AI2741" s="5">
        <v>1</v>
      </c>
      <c r="AJ2741" s="7" t="s">
        <v>11964</v>
      </c>
      <c r="AK2741" s="7" t="s">
        <v>15446</v>
      </c>
    </row>
    <row r="2742" spans="1:37" ht="36.75" customHeight="1" x14ac:dyDescent="0.35">
      <c r="A2742" s="5"/>
      <c r="B2742" s="5" t="s">
        <v>37</v>
      </c>
      <c r="C2742" s="73" t="str">
        <f t="shared" si="42"/>
        <v>Closed</v>
      </c>
      <c r="D2742" s="45" t="s">
        <v>15447</v>
      </c>
      <c r="E2742" s="54" t="s">
        <v>15448</v>
      </c>
      <c r="F2742" s="5" t="s">
        <v>404</v>
      </c>
      <c r="G2742" s="7">
        <f>DATE(2018,8,17)</f>
        <v>43329</v>
      </c>
      <c r="H2742" s="34">
        <v>1.7402777777777776</v>
      </c>
      <c r="I2742" s="5" t="s">
        <v>55</v>
      </c>
      <c r="J2742" s="7" t="s">
        <v>15449</v>
      </c>
      <c r="K2742" s="5" t="s">
        <v>406</v>
      </c>
      <c r="L2742" s="5" t="s">
        <v>15450</v>
      </c>
      <c r="M2742" s="5" t="s">
        <v>45</v>
      </c>
      <c r="N2742" s="5" t="s">
        <v>80</v>
      </c>
      <c r="O2742" s="5" t="s">
        <v>59</v>
      </c>
      <c r="P2742" s="7" t="s">
        <v>60</v>
      </c>
      <c r="Q2742" s="7" t="s">
        <v>2562</v>
      </c>
      <c r="R2742" s="7" t="s">
        <v>3083</v>
      </c>
      <c r="S2742" s="5">
        <v>0</v>
      </c>
      <c r="T2742" s="36">
        <v>0</v>
      </c>
      <c r="U2742" s="5">
        <v>0</v>
      </c>
      <c r="V2742" s="36">
        <v>0</v>
      </c>
      <c r="W2742" s="5">
        <v>0</v>
      </c>
      <c r="X2742" s="5">
        <v>0</v>
      </c>
      <c r="Y2742" s="5">
        <v>0</v>
      </c>
      <c r="Z2742" s="36">
        <v>0</v>
      </c>
      <c r="AA2742" s="5">
        <v>0</v>
      </c>
      <c r="AB2742" s="5">
        <v>0</v>
      </c>
      <c r="AC2742" s="5">
        <v>0</v>
      </c>
      <c r="AD2742" s="5">
        <v>0</v>
      </c>
      <c r="AE2742" s="7" t="s">
        <v>73</v>
      </c>
      <c r="AF2742" s="7"/>
      <c r="AG2742" s="7" t="s">
        <v>114</v>
      </c>
      <c r="AH2742" s="7">
        <v>43329</v>
      </c>
      <c r="AI2742" s="5">
        <v>0</v>
      </c>
      <c r="AJ2742" s="7" t="s">
        <v>15451</v>
      </c>
      <c r="AK2742" s="7" t="s">
        <v>15452</v>
      </c>
    </row>
    <row r="2743" spans="1:37" ht="36.75" customHeight="1" x14ac:dyDescent="0.35">
      <c r="A2743" s="5"/>
      <c r="B2743" s="5" t="s">
        <v>37</v>
      </c>
      <c r="C2743" s="73" t="str">
        <f t="shared" si="42"/>
        <v>Closed</v>
      </c>
      <c r="D2743" s="45" t="s">
        <v>15453</v>
      </c>
      <c r="E2743" s="54" t="s">
        <v>15454</v>
      </c>
      <c r="F2743" s="5" t="s">
        <v>1919</v>
      </c>
      <c r="G2743" s="7">
        <f>DATE(2018,8,17)</f>
        <v>43329</v>
      </c>
      <c r="H2743" s="34">
        <v>0</v>
      </c>
      <c r="I2743" s="5" t="s">
        <v>97</v>
      </c>
      <c r="J2743" s="7" t="s">
        <v>15455</v>
      </c>
      <c r="K2743" s="5" t="s">
        <v>1921</v>
      </c>
      <c r="L2743" s="5" t="s">
        <v>15456</v>
      </c>
      <c r="M2743" s="5" t="s">
        <v>45</v>
      </c>
      <c r="N2743" s="5" t="s">
        <v>123</v>
      </c>
      <c r="O2743" s="5" t="s">
        <v>46</v>
      </c>
      <c r="P2743" s="7" t="s">
        <v>146</v>
      </c>
      <c r="Q2743" s="7" t="s">
        <v>1923</v>
      </c>
      <c r="R2743" s="7" t="s">
        <v>1921</v>
      </c>
      <c r="S2743" s="5">
        <v>0</v>
      </c>
      <c r="T2743" s="36">
        <v>0</v>
      </c>
      <c r="U2743" s="5">
        <v>0</v>
      </c>
      <c r="V2743" s="36">
        <v>0</v>
      </c>
      <c r="W2743" s="5">
        <v>0</v>
      </c>
      <c r="X2743" s="5">
        <v>0</v>
      </c>
      <c r="Y2743" s="5">
        <v>0</v>
      </c>
      <c r="Z2743" s="36">
        <v>0</v>
      </c>
      <c r="AA2743" s="5">
        <v>0</v>
      </c>
      <c r="AB2743" s="5">
        <v>0</v>
      </c>
      <c r="AC2743" s="5">
        <v>0</v>
      </c>
      <c r="AD2743" s="5">
        <v>0</v>
      </c>
      <c r="AE2743" s="7" t="s">
        <v>375</v>
      </c>
      <c r="AF2743" s="7"/>
      <c r="AG2743" s="7" t="s">
        <v>10489</v>
      </c>
      <c r="AH2743" s="7">
        <v>43333</v>
      </c>
      <c r="AI2743" s="5">
        <v>3</v>
      </c>
      <c r="AJ2743" s="7" t="s">
        <v>15457</v>
      </c>
      <c r="AK2743" s="7" t="s">
        <v>15458</v>
      </c>
    </row>
    <row r="2744" spans="1:37" ht="36.75" customHeight="1" x14ac:dyDescent="0.35">
      <c r="A2744" s="5"/>
      <c r="B2744" s="5" t="s">
        <v>37</v>
      </c>
      <c r="C2744" s="73" t="str">
        <f t="shared" si="42"/>
        <v>Closed</v>
      </c>
      <c r="D2744" s="45" t="s">
        <v>15459</v>
      </c>
      <c r="E2744" s="54" t="s">
        <v>15460</v>
      </c>
      <c r="F2744" s="5" t="s">
        <v>214</v>
      </c>
      <c r="G2744" s="7">
        <f>DATE(2018,8,17)</f>
        <v>43329</v>
      </c>
      <c r="H2744" s="34">
        <v>1.5388888888888888</v>
      </c>
      <c r="I2744" s="5" t="s">
        <v>2398</v>
      </c>
      <c r="J2744" s="7" t="s">
        <v>15461</v>
      </c>
      <c r="K2744" s="5" t="s">
        <v>216</v>
      </c>
      <c r="L2744" s="5" t="s">
        <v>15462</v>
      </c>
      <c r="M2744" s="5" t="s">
        <v>45</v>
      </c>
      <c r="N2744" s="5" t="s">
        <v>123</v>
      </c>
      <c r="O2744" s="5" t="s">
        <v>46</v>
      </c>
      <c r="P2744" s="7" t="s">
        <v>146</v>
      </c>
      <c r="Q2744" s="7" t="s">
        <v>2154</v>
      </c>
      <c r="R2744" s="7" t="s">
        <v>216</v>
      </c>
      <c r="S2744" s="5">
        <v>0</v>
      </c>
      <c r="T2744" s="36">
        <v>0</v>
      </c>
      <c r="U2744" s="5">
        <v>0</v>
      </c>
      <c r="V2744" s="36">
        <v>0</v>
      </c>
      <c r="W2744" s="5">
        <v>0</v>
      </c>
      <c r="X2744" s="5">
        <v>0</v>
      </c>
      <c r="Y2744" s="5">
        <v>0</v>
      </c>
      <c r="Z2744" s="36">
        <v>0</v>
      </c>
      <c r="AA2744" s="5">
        <v>0</v>
      </c>
      <c r="AB2744" s="5">
        <v>0</v>
      </c>
      <c r="AC2744" s="5">
        <v>0</v>
      </c>
      <c r="AD2744" s="5">
        <v>0</v>
      </c>
      <c r="AE2744" s="7" t="s">
        <v>73</v>
      </c>
      <c r="AF2744" s="7"/>
      <c r="AG2744" s="7" t="s">
        <v>114</v>
      </c>
      <c r="AH2744" s="7">
        <v>43346</v>
      </c>
      <c r="AI2744" s="5">
        <v>1</v>
      </c>
      <c r="AJ2744" s="7" t="s">
        <v>15463</v>
      </c>
      <c r="AK2744" s="7" t="s">
        <v>15464</v>
      </c>
    </row>
    <row r="2745" spans="1:37" ht="36.75" customHeight="1" x14ac:dyDescent="0.35">
      <c r="A2745" s="5"/>
      <c r="B2745" s="5" t="s">
        <v>37</v>
      </c>
      <c r="C2745" s="73" t="str">
        <f t="shared" si="42"/>
        <v>Closed</v>
      </c>
      <c r="D2745" s="45" t="s">
        <v>15465</v>
      </c>
      <c r="E2745" s="54" t="s">
        <v>15466</v>
      </c>
      <c r="F2745" s="5" t="s">
        <v>2316</v>
      </c>
      <c r="G2745" s="7">
        <f>DATE(2018,8,23)</f>
        <v>43335</v>
      </c>
      <c r="H2745" s="34">
        <v>1.4701388888888889</v>
      </c>
      <c r="I2745" s="5" t="s">
        <v>97</v>
      </c>
      <c r="J2745" s="7" t="s">
        <v>15467</v>
      </c>
      <c r="K2745" s="5" t="s">
        <v>2318</v>
      </c>
      <c r="L2745" s="5" t="s">
        <v>15468</v>
      </c>
      <c r="M2745" s="5" t="s">
        <v>45</v>
      </c>
      <c r="N2745" s="5" t="s">
        <v>80</v>
      </c>
      <c r="O2745" s="5" t="s">
        <v>46</v>
      </c>
      <c r="P2745" s="7" t="s">
        <v>146</v>
      </c>
      <c r="Q2745" s="7" t="s">
        <v>13488</v>
      </c>
      <c r="R2745" s="7" t="s">
        <v>2321</v>
      </c>
      <c r="S2745" s="5">
        <v>0</v>
      </c>
      <c r="T2745" s="36">
        <v>0</v>
      </c>
      <c r="U2745" s="5">
        <v>1</v>
      </c>
      <c r="V2745" s="36">
        <v>0</v>
      </c>
      <c r="W2745" s="5">
        <v>0</v>
      </c>
      <c r="X2745" s="5">
        <v>1</v>
      </c>
      <c r="Y2745" s="5">
        <v>0</v>
      </c>
      <c r="Z2745" s="36">
        <v>0</v>
      </c>
      <c r="AA2745" s="5">
        <v>0</v>
      </c>
      <c r="AB2745" s="5">
        <v>0</v>
      </c>
      <c r="AC2745" s="5">
        <v>0</v>
      </c>
      <c r="AD2745" s="5">
        <v>0</v>
      </c>
      <c r="AE2745" s="7" t="s">
        <v>73</v>
      </c>
      <c r="AF2745" s="7"/>
      <c r="AG2745" s="7" t="s">
        <v>64</v>
      </c>
      <c r="AH2745" s="7">
        <v>43341</v>
      </c>
      <c r="AI2745" s="5">
        <v>12</v>
      </c>
      <c r="AJ2745" s="7" t="s">
        <v>15469</v>
      </c>
      <c r="AK2745" s="7" t="s">
        <v>15470</v>
      </c>
    </row>
    <row r="2746" spans="1:37" ht="36.75" customHeight="1" x14ac:dyDescent="0.35">
      <c r="A2746" s="5"/>
      <c r="B2746" s="5" t="s">
        <v>37</v>
      </c>
      <c r="C2746" s="73" t="str">
        <f t="shared" si="42"/>
        <v>Closed</v>
      </c>
      <c r="D2746" s="45" t="s">
        <v>15471</v>
      </c>
      <c r="E2746" s="54" t="s">
        <v>15472</v>
      </c>
      <c r="F2746" s="5" t="s">
        <v>96</v>
      </c>
      <c r="G2746" s="7">
        <f>DATE(2018,8,24)</f>
        <v>43336</v>
      </c>
      <c r="H2746" s="34">
        <v>1.7486111111111109</v>
      </c>
      <c r="I2746" s="5" t="s">
        <v>55</v>
      </c>
      <c r="J2746" s="7" t="s">
        <v>15473</v>
      </c>
      <c r="K2746" s="5" t="s">
        <v>99</v>
      </c>
      <c r="L2746" s="5" t="s">
        <v>15474</v>
      </c>
      <c r="M2746" s="5" t="s">
        <v>45</v>
      </c>
      <c r="N2746" s="5" t="s">
        <v>70</v>
      </c>
      <c r="O2746" s="5" t="s">
        <v>59</v>
      </c>
      <c r="P2746" s="7" t="s">
        <v>443</v>
      </c>
      <c r="Q2746" s="7" t="s">
        <v>101</v>
      </c>
      <c r="R2746" s="7" t="s">
        <v>102</v>
      </c>
      <c r="S2746" s="5">
        <v>0</v>
      </c>
      <c r="T2746" s="36">
        <v>0</v>
      </c>
      <c r="U2746" s="5">
        <v>0</v>
      </c>
      <c r="V2746" s="36">
        <v>0</v>
      </c>
      <c r="W2746" s="5">
        <v>0</v>
      </c>
      <c r="X2746" s="5">
        <v>0</v>
      </c>
      <c r="Y2746" s="5">
        <v>0</v>
      </c>
      <c r="Z2746" s="36">
        <v>0</v>
      </c>
      <c r="AA2746" s="5">
        <v>0</v>
      </c>
      <c r="AB2746" s="5">
        <v>0</v>
      </c>
      <c r="AC2746" s="5">
        <v>0</v>
      </c>
      <c r="AD2746" s="5">
        <v>0</v>
      </c>
      <c r="AE2746" s="7" t="s">
        <v>375</v>
      </c>
      <c r="AF2746" s="7"/>
      <c r="AG2746" s="7" t="s">
        <v>114</v>
      </c>
      <c r="AH2746" s="7">
        <v>43339</v>
      </c>
      <c r="AI2746" s="5">
        <v>1</v>
      </c>
      <c r="AJ2746" s="7" t="s">
        <v>15475</v>
      </c>
      <c r="AK2746" s="7" t="s">
        <v>15476</v>
      </c>
    </row>
    <row r="2747" spans="1:37" ht="36.75" customHeight="1" x14ac:dyDescent="0.35">
      <c r="A2747" s="5"/>
      <c r="B2747" s="5" t="s">
        <v>37</v>
      </c>
      <c r="C2747" s="73" t="str">
        <f t="shared" si="42"/>
        <v>Closed</v>
      </c>
      <c r="D2747" s="45" t="s">
        <v>15477</v>
      </c>
      <c r="E2747" s="54" t="s">
        <v>15478</v>
      </c>
      <c r="F2747" s="5" t="s">
        <v>816</v>
      </c>
      <c r="G2747" s="7">
        <f>DATE(2018,8,24)</f>
        <v>43336</v>
      </c>
      <c r="H2747" s="34">
        <v>1.3784722222222223</v>
      </c>
      <c r="I2747" s="5" t="s">
        <v>85</v>
      </c>
      <c r="J2747" s="7" t="s">
        <v>15479</v>
      </c>
      <c r="K2747" s="5" t="s">
        <v>818</v>
      </c>
      <c r="L2747" s="5" t="s">
        <v>15480</v>
      </c>
      <c r="M2747" s="5" t="s">
        <v>45</v>
      </c>
      <c r="N2747" s="5" t="s">
        <v>70</v>
      </c>
      <c r="O2747" s="5" t="s">
        <v>59</v>
      </c>
      <c r="P2747" s="7" t="s">
        <v>5303</v>
      </c>
      <c r="Q2747" s="7" t="s">
        <v>2142</v>
      </c>
      <c r="R2747" s="7" t="s">
        <v>821</v>
      </c>
      <c r="S2747" s="5">
        <v>0</v>
      </c>
      <c r="T2747" s="36">
        <v>0</v>
      </c>
      <c r="U2747" s="5">
        <v>0</v>
      </c>
      <c r="V2747" s="36">
        <v>0</v>
      </c>
      <c r="W2747" s="5">
        <v>0</v>
      </c>
      <c r="X2747" s="5">
        <v>0</v>
      </c>
      <c r="Y2747" s="5">
        <v>0</v>
      </c>
      <c r="Z2747" s="36">
        <v>0</v>
      </c>
      <c r="AA2747" s="5">
        <v>0</v>
      </c>
      <c r="AB2747" s="5">
        <v>0</v>
      </c>
      <c r="AC2747" s="5">
        <v>0</v>
      </c>
      <c r="AD2747" s="5">
        <v>0</v>
      </c>
      <c r="AE2747" s="7" t="s">
        <v>73</v>
      </c>
      <c r="AF2747" s="7"/>
      <c r="AG2747" s="7" t="s">
        <v>333</v>
      </c>
      <c r="AH2747" s="7">
        <v>43336</v>
      </c>
      <c r="AI2747" s="5">
        <v>0</v>
      </c>
      <c r="AJ2747" s="7" t="s">
        <v>15301</v>
      </c>
      <c r="AK2747" s="7" t="s">
        <v>50</v>
      </c>
    </row>
    <row r="2748" spans="1:37" ht="36.75" customHeight="1" x14ac:dyDescent="0.35">
      <c r="A2748" s="5"/>
      <c r="B2748" s="5" t="s">
        <v>37</v>
      </c>
      <c r="C2748" s="73" t="str">
        <f t="shared" si="42"/>
        <v>Closed</v>
      </c>
      <c r="D2748" s="45" t="s">
        <v>15481</v>
      </c>
      <c r="E2748" s="54" t="s">
        <v>15482</v>
      </c>
      <c r="F2748" s="5" t="s">
        <v>1553</v>
      </c>
      <c r="G2748" s="7">
        <f>DATE(2018,8,25)</f>
        <v>43337</v>
      </c>
      <c r="H2748" s="34">
        <v>1.2361111111111112</v>
      </c>
      <c r="I2748" s="5" t="s">
        <v>106</v>
      </c>
      <c r="J2748" s="7" t="s">
        <v>15483</v>
      </c>
      <c r="K2748" s="5" t="s">
        <v>1555</v>
      </c>
      <c r="L2748" s="5" t="s">
        <v>15484</v>
      </c>
      <c r="M2748" s="5" t="s">
        <v>45</v>
      </c>
      <c r="N2748" s="5" t="s">
        <v>123</v>
      </c>
      <c r="O2748" s="5" t="s">
        <v>59</v>
      </c>
      <c r="P2748" s="7" t="s">
        <v>60</v>
      </c>
      <c r="Q2748" s="7" t="s">
        <v>2635</v>
      </c>
      <c r="R2748" s="7" t="s">
        <v>6413</v>
      </c>
      <c r="S2748" s="5">
        <v>0</v>
      </c>
      <c r="T2748" s="36">
        <v>0</v>
      </c>
      <c r="U2748" s="5">
        <v>0</v>
      </c>
      <c r="V2748" s="36">
        <v>0</v>
      </c>
      <c r="W2748" s="5">
        <v>0</v>
      </c>
      <c r="X2748" s="5">
        <v>0</v>
      </c>
      <c r="Y2748" s="5">
        <v>0</v>
      </c>
      <c r="Z2748" s="36">
        <v>0</v>
      </c>
      <c r="AA2748" s="5">
        <v>0</v>
      </c>
      <c r="AB2748" s="5">
        <v>0</v>
      </c>
      <c r="AC2748" s="5">
        <v>0</v>
      </c>
      <c r="AD2748" s="5">
        <v>0</v>
      </c>
      <c r="AE2748" s="7" t="s">
        <v>375</v>
      </c>
      <c r="AF2748" s="7"/>
      <c r="AG2748" s="7" t="s">
        <v>114</v>
      </c>
      <c r="AH2748" s="7">
        <v>43339</v>
      </c>
      <c r="AI2748" s="5">
        <v>1</v>
      </c>
      <c r="AJ2748" s="7" t="s">
        <v>15485</v>
      </c>
      <c r="AK2748" s="7" t="s">
        <v>15486</v>
      </c>
    </row>
    <row r="2749" spans="1:37" ht="36.75" customHeight="1" x14ac:dyDescent="0.35">
      <c r="A2749" s="5"/>
      <c r="B2749" s="5" t="s">
        <v>37</v>
      </c>
      <c r="C2749" s="73" t="str">
        <f t="shared" si="42"/>
        <v>Closed</v>
      </c>
      <c r="D2749" s="45" t="s">
        <v>15487</v>
      </c>
      <c r="E2749" s="54" t="s">
        <v>15488</v>
      </c>
      <c r="F2749" s="5" t="s">
        <v>214</v>
      </c>
      <c r="G2749" s="7">
        <f>DATE(2018,9,1)</f>
        <v>43344</v>
      </c>
      <c r="H2749" s="34">
        <v>1.375</v>
      </c>
      <c r="I2749" s="5" t="s">
        <v>5473</v>
      </c>
      <c r="J2749" s="7" t="s">
        <v>15489</v>
      </c>
      <c r="K2749" s="5" t="s">
        <v>216</v>
      </c>
      <c r="L2749" s="5" t="s">
        <v>15490</v>
      </c>
      <c r="M2749" s="5" t="s">
        <v>110</v>
      </c>
      <c r="N2749" s="5" t="s">
        <v>80</v>
      </c>
      <c r="O2749" s="5" t="s">
        <v>46</v>
      </c>
      <c r="P2749" s="7" t="s">
        <v>110</v>
      </c>
      <c r="Q2749" s="7" t="s">
        <v>664</v>
      </c>
      <c r="R2749" s="7" t="s">
        <v>216</v>
      </c>
      <c r="S2749" s="5">
        <v>0</v>
      </c>
      <c r="T2749" s="36">
        <v>0</v>
      </c>
      <c r="U2749" s="5">
        <v>0</v>
      </c>
      <c r="V2749" s="36">
        <v>0</v>
      </c>
      <c r="W2749" s="5">
        <v>0</v>
      </c>
      <c r="X2749" s="5">
        <v>0</v>
      </c>
      <c r="Y2749" s="5">
        <v>0</v>
      </c>
      <c r="Z2749" s="36">
        <v>0</v>
      </c>
      <c r="AA2749" s="5">
        <v>0</v>
      </c>
      <c r="AB2749" s="5">
        <v>0</v>
      </c>
      <c r="AC2749" s="5">
        <v>0</v>
      </c>
      <c r="AD2749" s="5">
        <v>0</v>
      </c>
      <c r="AE2749" s="7" t="s">
        <v>73</v>
      </c>
      <c r="AF2749" s="7"/>
      <c r="AG2749" s="7" t="s">
        <v>114</v>
      </c>
      <c r="AH2749" s="7">
        <v>43360</v>
      </c>
      <c r="AI2749" s="5">
        <v>4</v>
      </c>
      <c r="AJ2749" s="7" t="s">
        <v>15491</v>
      </c>
      <c r="AK2749" s="7" t="s">
        <v>15492</v>
      </c>
    </row>
    <row r="2750" spans="1:37" ht="36.75" customHeight="1" x14ac:dyDescent="0.35">
      <c r="A2750" s="5"/>
      <c r="B2750" s="5" t="s">
        <v>37</v>
      </c>
      <c r="C2750" s="73" t="str">
        <f t="shared" si="42"/>
        <v>Closed</v>
      </c>
      <c r="D2750" s="45" t="s">
        <v>15493</v>
      </c>
      <c r="E2750" s="54" t="s">
        <v>15494</v>
      </c>
      <c r="F2750" s="5" t="s">
        <v>96</v>
      </c>
      <c r="G2750" s="7">
        <f>DATE(2018,9,3)</f>
        <v>43346</v>
      </c>
      <c r="H2750" s="34">
        <v>1.7791666666666668</v>
      </c>
      <c r="I2750" s="5" t="s">
        <v>97</v>
      </c>
      <c r="J2750" s="7" t="s">
        <v>15495</v>
      </c>
      <c r="K2750" s="5" t="s">
        <v>99</v>
      </c>
      <c r="L2750" s="5" t="s">
        <v>15496</v>
      </c>
      <c r="M2750" s="5" t="s">
        <v>45</v>
      </c>
      <c r="N2750" s="5" t="s">
        <v>123</v>
      </c>
      <c r="O2750" s="5" t="s">
        <v>46</v>
      </c>
      <c r="P2750" s="7" t="s">
        <v>146</v>
      </c>
      <c r="Q2750" s="7" t="s">
        <v>101</v>
      </c>
      <c r="R2750" s="7" t="s">
        <v>102</v>
      </c>
      <c r="S2750" s="5">
        <v>0</v>
      </c>
      <c r="T2750" s="36">
        <v>0</v>
      </c>
      <c r="U2750" s="5">
        <v>1</v>
      </c>
      <c r="V2750" s="36">
        <v>0</v>
      </c>
      <c r="W2750" s="5">
        <v>0</v>
      </c>
      <c r="X2750" s="5">
        <v>1</v>
      </c>
      <c r="Y2750" s="5">
        <v>0</v>
      </c>
      <c r="Z2750" s="36">
        <v>0</v>
      </c>
      <c r="AA2750" s="5">
        <v>0</v>
      </c>
      <c r="AB2750" s="5">
        <v>0</v>
      </c>
      <c r="AC2750" s="5">
        <v>0</v>
      </c>
      <c r="AD2750" s="5">
        <v>0</v>
      </c>
      <c r="AE2750" s="7" t="s">
        <v>73</v>
      </c>
      <c r="AF2750" s="7"/>
      <c r="AG2750" s="7" t="s">
        <v>333</v>
      </c>
      <c r="AH2750" s="7">
        <v>43354</v>
      </c>
      <c r="AI2750" s="5">
        <v>3</v>
      </c>
      <c r="AJ2750" s="7" t="s">
        <v>15497</v>
      </c>
      <c r="AK2750" s="7" t="s">
        <v>15498</v>
      </c>
    </row>
    <row r="2751" spans="1:37" ht="36.75" customHeight="1" x14ac:dyDescent="0.35">
      <c r="A2751" s="5"/>
      <c r="B2751" s="5" t="s">
        <v>37</v>
      </c>
      <c r="C2751" s="73" t="str">
        <f t="shared" si="42"/>
        <v>Closed</v>
      </c>
      <c r="D2751" s="45" t="s">
        <v>15499</v>
      </c>
      <c r="E2751" s="54" t="s">
        <v>15500</v>
      </c>
      <c r="F2751" s="5" t="s">
        <v>214</v>
      </c>
      <c r="G2751" s="7">
        <f>DATE(2018,9,4)</f>
        <v>43347</v>
      </c>
      <c r="H2751" s="34">
        <v>1.15625</v>
      </c>
      <c r="I2751" s="5" t="s">
        <v>259</v>
      </c>
      <c r="J2751" s="7" t="s">
        <v>15501</v>
      </c>
      <c r="K2751" s="5" t="s">
        <v>216</v>
      </c>
      <c r="L2751" s="5" t="s">
        <v>15502</v>
      </c>
      <c r="M2751" s="5" t="s">
        <v>45</v>
      </c>
      <c r="N2751" s="5" t="s">
        <v>70</v>
      </c>
      <c r="O2751" s="5" t="s">
        <v>71</v>
      </c>
      <c r="P2751" s="7" t="s">
        <v>60</v>
      </c>
      <c r="Q2751" s="7" t="s">
        <v>4022</v>
      </c>
      <c r="R2751" s="7" t="s">
        <v>216</v>
      </c>
      <c r="S2751" s="5">
        <v>0</v>
      </c>
      <c r="T2751" s="36">
        <v>0</v>
      </c>
      <c r="U2751" s="5">
        <v>0</v>
      </c>
      <c r="V2751" s="36">
        <v>0</v>
      </c>
      <c r="W2751" s="5">
        <v>0</v>
      </c>
      <c r="X2751" s="5">
        <v>0</v>
      </c>
      <c r="Y2751" s="5">
        <v>0</v>
      </c>
      <c r="Z2751" s="36">
        <v>1</v>
      </c>
      <c r="AA2751" s="5">
        <v>0</v>
      </c>
      <c r="AB2751" s="5">
        <v>0</v>
      </c>
      <c r="AC2751" s="5">
        <v>0</v>
      </c>
      <c r="AD2751" s="5">
        <v>1</v>
      </c>
      <c r="AE2751" s="7" t="s">
        <v>73</v>
      </c>
      <c r="AF2751" s="7"/>
      <c r="AG2751" s="7" t="s">
        <v>114</v>
      </c>
      <c r="AH2751" s="7">
        <v>43353</v>
      </c>
      <c r="AI2751" s="5">
        <v>2</v>
      </c>
      <c r="AJ2751" s="7" t="s">
        <v>15503</v>
      </c>
      <c r="AK2751" s="7" t="s">
        <v>15504</v>
      </c>
    </row>
    <row r="2752" spans="1:37" ht="36.75" customHeight="1" x14ac:dyDescent="0.35">
      <c r="A2752" s="5"/>
      <c r="B2752" s="5" t="s">
        <v>37</v>
      </c>
      <c r="C2752" s="73" t="str">
        <f t="shared" si="42"/>
        <v>Closed</v>
      </c>
      <c r="D2752" s="45" t="s">
        <v>15505</v>
      </c>
      <c r="E2752" s="54" t="s">
        <v>15506</v>
      </c>
      <c r="F2752" s="5" t="s">
        <v>105</v>
      </c>
      <c r="G2752" s="7">
        <f>DATE(2018,9,5)</f>
        <v>43348</v>
      </c>
      <c r="H2752" s="34">
        <v>0</v>
      </c>
      <c r="I2752" s="5" t="s">
        <v>15507</v>
      </c>
      <c r="J2752" s="7" t="s">
        <v>15508</v>
      </c>
      <c r="K2752" s="5" t="s">
        <v>108</v>
      </c>
      <c r="L2752" s="5" t="s">
        <v>15509</v>
      </c>
      <c r="M2752" s="5" t="s">
        <v>45</v>
      </c>
      <c r="N2752" s="5" t="s">
        <v>123</v>
      </c>
      <c r="O2752" s="5" t="s">
        <v>59</v>
      </c>
      <c r="P2752" s="7" t="s">
        <v>67</v>
      </c>
      <c r="Q2752" s="7" t="s">
        <v>210</v>
      </c>
      <c r="R2752" s="7" t="s">
        <v>148</v>
      </c>
      <c r="S2752" s="5">
        <v>0</v>
      </c>
      <c r="T2752" s="36">
        <v>0</v>
      </c>
      <c r="U2752" s="5">
        <v>0</v>
      </c>
      <c r="V2752" s="36">
        <v>0</v>
      </c>
      <c r="W2752" s="5">
        <v>0</v>
      </c>
      <c r="X2752" s="5">
        <v>0</v>
      </c>
      <c r="Y2752" s="5">
        <v>0</v>
      </c>
      <c r="Z2752" s="36">
        <v>0</v>
      </c>
      <c r="AA2752" s="5">
        <v>0</v>
      </c>
      <c r="AB2752" s="5">
        <v>0</v>
      </c>
      <c r="AC2752" s="5">
        <v>0</v>
      </c>
      <c r="AD2752" s="5">
        <v>0</v>
      </c>
      <c r="AE2752" s="7" t="s">
        <v>73</v>
      </c>
      <c r="AF2752" s="7"/>
      <c r="AG2752" s="7" t="s">
        <v>114</v>
      </c>
      <c r="AH2752" s="7">
        <v>43369</v>
      </c>
      <c r="AI2752" s="5">
        <v>0</v>
      </c>
      <c r="AJ2752" s="7" t="s">
        <v>15510</v>
      </c>
      <c r="AK2752" s="7" t="s">
        <v>50</v>
      </c>
    </row>
    <row r="2753" spans="1:37" ht="36.75" customHeight="1" x14ac:dyDescent="0.35">
      <c r="A2753" s="5"/>
      <c r="B2753" s="5" t="s">
        <v>37</v>
      </c>
      <c r="C2753" s="73" t="str">
        <f t="shared" si="42"/>
        <v>Closed</v>
      </c>
      <c r="D2753" s="45" t="s">
        <v>15511</v>
      </c>
      <c r="E2753" s="54" t="s">
        <v>15512</v>
      </c>
      <c r="F2753" s="5" t="s">
        <v>1751</v>
      </c>
      <c r="G2753" s="7">
        <f>DATE(2018,9,6)</f>
        <v>43349</v>
      </c>
      <c r="H2753" s="34">
        <v>1.2854166666666667</v>
      </c>
      <c r="I2753" s="5" t="s">
        <v>41</v>
      </c>
      <c r="J2753" s="7" t="s">
        <v>15513</v>
      </c>
      <c r="K2753" s="5" t="s">
        <v>1753</v>
      </c>
      <c r="L2753" s="5" t="s">
        <v>15514</v>
      </c>
      <c r="M2753" s="5" t="s">
        <v>45</v>
      </c>
      <c r="N2753" s="5" t="s">
        <v>123</v>
      </c>
      <c r="O2753" s="5" t="s">
        <v>46</v>
      </c>
      <c r="P2753" s="7" t="s">
        <v>6920</v>
      </c>
      <c r="Q2753" s="7" t="s">
        <v>1755</v>
      </c>
      <c r="R2753" s="7" t="s">
        <v>1756</v>
      </c>
      <c r="S2753" s="5">
        <v>0</v>
      </c>
      <c r="T2753" s="36">
        <v>0</v>
      </c>
      <c r="U2753" s="5">
        <v>0</v>
      </c>
      <c r="V2753" s="36">
        <v>0</v>
      </c>
      <c r="W2753" s="5">
        <v>0</v>
      </c>
      <c r="X2753" s="5">
        <v>0</v>
      </c>
      <c r="Y2753" s="5">
        <v>0</v>
      </c>
      <c r="Z2753" s="36">
        <v>0</v>
      </c>
      <c r="AA2753" s="5">
        <v>0</v>
      </c>
      <c r="AB2753" s="5">
        <v>0</v>
      </c>
      <c r="AC2753" s="5">
        <v>0</v>
      </c>
      <c r="AD2753" s="5">
        <v>0</v>
      </c>
      <c r="AE2753" s="7" t="s">
        <v>73</v>
      </c>
      <c r="AF2753" s="7"/>
      <c r="AG2753" s="7" t="s">
        <v>570</v>
      </c>
      <c r="AH2753" s="7">
        <v>43367</v>
      </c>
      <c r="AI2753" s="5">
        <v>4</v>
      </c>
      <c r="AJ2753" s="7" t="s">
        <v>15515</v>
      </c>
      <c r="AK2753" s="7" t="s">
        <v>15516</v>
      </c>
    </row>
    <row r="2754" spans="1:37" ht="36.75" customHeight="1" x14ac:dyDescent="0.35">
      <c r="A2754" s="5"/>
      <c r="B2754" s="5" t="s">
        <v>37</v>
      </c>
      <c r="C2754" s="73" t="str">
        <f t="shared" ref="C2754:C2817" si="43">IF(B2754="Notification","Open",IF(B2754="Interim Statement","In progress","Closed"))</f>
        <v>Closed</v>
      </c>
      <c r="D2754" s="45" t="s">
        <v>15517</v>
      </c>
      <c r="E2754" s="54" t="s">
        <v>15518</v>
      </c>
      <c r="F2754" s="5" t="s">
        <v>404</v>
      </c>
      <c r="G2754" s="7">
        <f>DATE(2018,9,7)</f>
        <v>43350</v>
      </c>
      <c r="H2754" s="34">
        <v>1.8673611111111112</v>
      </c>
      <c r="I2754" s="5" t="s">
        <v>55</v>
      </c>
      <c r="J2754" s="7" t="s">
        <v>15519</v>
      </c>
      <c r="K2754" s="5" t="s">
        <v>406</v>
      </c>
      <c r="L2754" s="5" t="s">
        <v>12696</v>
      </c>
      <c r="M2754" s="5" t="s">
        <v>45</v>
      </c>
      <c r="N2754" s="5" t="s">
        <v>123</v>
      </c>
      <c r="O2754" s="5" t="s">
        <v>59</v>
      </c>
      <c r="P2754" s="7" t="s">
        <v>67</v>
      </c>
      <c r="Q2754" s="7" t="s">
        <v>4531</v>
      </c>
      <c r="R2754" s="7" t="s">
        <v>3083</v>
      </c>
      <c r="S2754" s="5">
        <v>0</v>
      </c>
      <c r="T2754" s="36">
        <v>0</v>
      </c>
      <c r="U2754" s="5">
        <v>0</v>
      </c>
      <c r="V2754" s="36">
        <v>0</v>
      </c>
      <c r="W2754" s="5">
        <v>0</v>
      </c>
      <c r="X2754" s="5">
        <v>0</v>
      </c>
      <c r="Y2754" s="5">
        <v>0</v>
      </c>
      <c r="Z2754" s="36">
        <v>0</v>
      </c>
      <c r="AA2754" s="5">
        <v>0</v>
      </c>
      <c r="AB2754" s="5">
        <v>0</v>
      </c>
      <c r="AC2754" s="5">
        <v>0</v>
      </c>
      <c r="AD2754" s="5">
        <v>0</v>
      </c>
      <c r="AE2754" s="7" t="s">
        <v>375</v>
      </c>
      <c r="AF2754" s="7"/>
      <c r="AG2754" s="7" t="s">
        <v>64</v>
      </c>
      <c r="AH2754" s="7">
        <v>43290</v>
      </c>
      <c r="AI2754" s="5">
        <v>1</v>
      </c>
      <c r="AJ2754" s="7" t="s">
        <v>15520</v>
      </c>
      <c r="AK2754" s="7" t="s">
        <v>15521</v>
      </c>
    </row>
    <row r="2755" spans="1:37" ht="36.75" customHeight="1" x14ac:dyDescent="0.35">
      <c r="A2755" s="5"/>
      <c r="B2755" s="5" t="s">
        <v>37</v>
      </c>
      <c r="C2755" s="73" t="str">
        <f t="shared" si="43"/>
        <v>Closed</v>
      </c>
      <c r="D2755" s="45" t="s">
        <v>15522</v>
      </c>
      <c r="E2755" s="54" t="s">
        <v>15523</v>
      </c>
      <c r="F2755" s="5" t="s">
        <v>214</v>
      </c>
      <c r="G2755" s="7">
        <f>DATE(2018,9,7)</f>
        <v>43350</v>
      </c>
      <c r="H2755" s="34">
        <v>1.5854166666666667</v>
      </c>
      <c r="I2755" s="5" t="s">
        <v>259</v>
      </c>
      <c r="J2755" s="7" t="s">
        <v>15524</v>
      </c>
      <c r="K2755" s="5" t="s">
        <v>216</v>
      </c>
      <c r="L2755" s="5" t="s">
        <v>15525</v>
      </c>
      <c r="M2755" s="5" t="s">
        <v>45</v>
      </c>
      <c r="N2755" s="5" t="s">
        <v>70</v>
      </c>
      <c r="O2755" s="5" t="s">
        <v>59</v>
      </c>
      <c r="P2755" s="7" t="s">
        <v>146</v>
      </c>
      <c r="Q2755" s="7" t="s">
        <v>450</v>
      </c>
      <c r="R2755" s="7" t="s">
        <v>216</v>
      </c>
      <c r="S2755" s="5">
        <v>0</v>
      </c>
      <c r="T2755" s="36">
        <v>0</v>
      </c>
      <c r="U2755" s="5">
        <v>0</v>
      </c>
      <c r="V2755" s="36">
        <v>0</v>
      </c>
      <c r="W2755" s="5">
        <v>0</v>
      </c>
      <c r="X2755" s="5">
        <v>0</v>
      </c>
      <c r="Y2755" s="5">
        <v>0</v>
      </c>
      <c r="Z2755" s="36">
        <v>0</v>
      </c>
      <c r="AA2755" s="5">
        <v>0</v>
      </c>
      <c r="AB2755" s="5">
        <v>0</v>
      </c>
      <c r="AC2755" s="5">
        <v>0</v>
      </c>
      <c r="AD2755" s="5">
        <v>0</v>
      </c>
      <c r="AE2755" s="7" t="s">
        <v>73</v>
      </c>
      <c r="AF2755" s="7"/>
      <c r="AG2755" s="7" t="s">
        <v>114</v>
      </c>
      <c r="AH2755" s="7">
        <v>43360</v>
      </c>
      <c r="AI2755" s="5">
        <v>2</v>
      </c>
      <c r="AJ2755" s="7" t="s">
        <v>15526</v>
      </c>
      <c r="AK2755" s="7" t="s">
        <v>15527</v>
      </c>
    </row>
    <row r="2756" spans="1:37" ht="36.75" customHeight="1" x14ac:dyDescent="0.35">
      <c r="A2756" s="5"/>
      <c r="B2756" s="5" t="s">
        <v>37</v>
      </c>
      <c r="C2756" s="73" t="str">
        <f t="shared" si="43"/>
        <v>Closed</v>
      </c>
      <c r="D2756" s="45" t="s">
        <v>15528</v>
      </c>
      <c r="E2756" s="54" t="s">
        <v>15529</v>
      </c>
      <c r="F2756" s="5" t="s">
        <v>1553</v>
      </c>
      <c r="G2756" s="7">
        <f>DATE(2018,9,9)</f>
        <v>43352</v>
      </c>
      <c r="H2756" s="34">
        <v>1.4375</v>
      </c>
      <c r="I2756" s="5" t="s">
        <v>85</v>
      </c>
      <c r="J2756" s="7" t="s">
        <v>15530</v>
      </c>
      <c r="K2756" s="5" t="s">
        <v>1555</v>
      </c>
      <c r="L2756" s="5" t="s">
        <v>15531</v>
      </c>
      <c r="M2756" s="5" t="s">
        <v>45</v>
      </c>
      <c r="N2756" s="5" t="s">
        <v>123</v>
      </c>
      <c r="O2756" s="5" t="s">
        <v>59</v>
      </c>
      <c r="P2756" s="7" t="s">
        <v>6920</v>
      </c>
      <c r="Q2756" s="7" t="s">
        <v>2393</v>
      </c>
      <c r="R2756" s="7" t="s">
        <v>6413</v>
      </c>
      <c r="S2756" s="5">
        <v>0</v>
      </c>
      <c r="T2756" s="36">
        <v>0</v>
      </c>
      <c r="U2756" s="5">
        <v>0</v>
      </c>
      <c r="V2756" s="36">
        <v>0</v>
      </c>
      <c r="W2756" s="5">
        <v>0</v>
      </c>
      <c r="X2756" s="5">
        <v>0</v>
      </c>
      <c r="Y2756" s="5">
        <v>0</v>
      </c>
      <c r="Z2756" s="36">
        <v>0</v>
      </c>
      <c r="AA2756" s="5">
        <v>0</v>
      </c>
      <c r="AB2756" s="5">
        <v>0</v>
      </c>
      <c r="AC2756" s="5">
        <v>0</v>
      </c>
      <c r="AD2756" s="5">
        <v>0</v>
      </c>
      <c r="AE2756" s="7" t="s">
        <v>73</v>
      </c>
      <c r="AF2756" s="7"/>
      <c r="AG2756" s="7" t="s">
        <v>1489</v>
      </c>
      <c r="AH2756" s="7">
        <v>43353</v>
      </c>
      <c r="AI2756" s="5">
        <v>1</v>
      </c>
      <c r="AJ2756" s="7" t="s">
        <v>15532</v>
      </c>
      <c r="AK2756" s="7" t="s">
        <v>15533</v>
      </c>
    </row>
    <row r="2757" spans="1:37" ht="36.75" customHeight="1" x14ac:dyDescent="0.35">
      <c r="A2757" s="5"/>
      <c r="B2757" s="5" t="s">
        <v>37</v>
      </c>
      <c r="C2757" s="73" t="str">
        <f t="shared" si="43"/>
        <v>Closed</v>
      </c>
      <c r="D2757" s="45" t="s">
        <v>15534</v>
      </c>
      <c r="E2757" s="54" t="s">
        <v>15535</v>
      </c>
      <c r="F2757" s="5" t="s">
        <v>1553</v>
      </c>
      <c r="G2757" s="7">
        <f>DATE(2018,9,11)</f>
        <v>43354</v>
      </c>
      <c r="H2757" s="34">
        <v>1.6631944444444444</v>
      </c>
      <c r="I2757" s="5" t="s">
        <v>5473</v>
      </c>
      <c r="J2757" s="7" t="s">
        <v>15536</v>
      </c>
      <c r="K2757" s="5" t="s">
        <v>1555</v>
      </c>
      <c r="L2757" s="5" t="s">
        <v>15537</v>
      </c>
      <c r="M2757" s="5" t="s">
        <v>45</v>
      </c>
      <c r="N2757" s="5" t="s">
        <v>123</v>
      </c>
      <c r="O2757" s="5" t="s">
        <v>59</v>
      </c>
      <c r="P2757" s="7" t="s">
        <v>60</v>
      </c>
      <c r="Q2757" s="7" t="s">
        <v>15538</v>
      </c>
      <c r="R2757" s="7" t="s">
        <v>6413</v>
      </c>
      <c r="S2757" s="5">
        <v>0</v>
      </c>
      <c r="T2757" s="36">
        <v>0</v>
      </c>
      <c r="U2757" s="5">
        <v>0</v>
      </c>
      <c r="V2757" s="36">
        <v>0</v>
      </c>
      <c r="W2757" s="5">
        <v>0</v>
      </c>
      <c r="X2757" s="5">
        <v>0</v>
      </c>
      <c r="Y2757" s="5">
        <v>0</v>
      </c>
      <c r="Z2757" s="36">
        <v>0</v>
      </c>
      <c r="AA2757" s="5">
        <v>0</v>
      </c>
      <c r="AB2757" s="5">
        <v>0</v>
      </c>
      <c r="AC2757" s="5">
        <v>0</v>
      </c>
      <c r="AD2757" s="5">
        <v>0</v>
      </c>
      <c r="AE2757" s="7" t="s">
        <v>73</v>
      </c>
      <c r="AF2757" s="7"/>
      <c r="AG2757" s="7" t="s">
        <v>1489</v>
      </c>
      <c r="AH2757" s="7">
        <v>43356</v>
      </c>
      <c r="AI2757" s="5">
        <v>1</v>
      </c>
      <c r="AJ2757" s="7" t="s">
        <v>15539</v>
      </c>
      <c r="AK2757" s="7" t="s">
        <v>15540</v>
      </c>
    </row>
    <row r="2758" spans="1:37" ht="36.75" customHeight="1" x14ac:dyDescent="0.35">
      <c r="A2758" s="5"/>
      <c r="B2758" s="5" t="s">
        <v>37</v>
      </c>
      <c r="C2758" s="73" t="str">
        <f t="shared" si="43"/>
        <v>Closed</v>
      </c>
      <c r="D2758" s="45" t="s">
        <v>15541</v>
      </c>
      <c r="E2758" s="54" t="s">
        <v>15542</v>
      </c>
      <c r="F2758" s="5" t="s">
        <v>214</v>
      </c>
      <c r="G2758" s="7">
        <f>DATE(2018,9,11)</f>
        <v>43354</v>
      </c>
      <c r="H2758" s="34">
        <v>1.5069444444444444</v>
      </c>
      <c r="I2758" s="5" t="s">
        <v>259</v>
      </c>
      <c r="J2758" s="7" t="s">
        <v>15543</v>
      </c>
      <c r="K2758" s="5" t="s">
        <v>216</v>
      </c>
      <c r="L2758" s="5" t="s">
        <v>15544</v>
      </c>
      <c r="M2758" s="5" t="s">
        <v>236</v>
      </c>
      <c r="N2758" s="5" t="s">
        <v>123</v>
      </c>
      <c r="O2758" s="5" t="s">
        <v>67</v>
      </c>
      <c r="P2758" s="7" t="s">
        <v>6531</v>
      </c>
      <c r="Q2758" s="7" t="s">
        <v>699</v>
      </c>
      <c r="R2758" s="7" t="s">
        <v>216</v>
      </c>
      <c r="S2758" s="5">
        <v>0</v>
      </c>
      <c r="T2758" s="36">
        <v>0</v>
      </c>
      <c r="U2758" s="5">
        <v>1</v>
      </c>
      <c r="V2758" s="36">
        <v>0</v>
      </c>
      <c r="W2758" s="5">
        <v>0</v>
      </c>
      <c r="X2758" s="5">
        <v>1</v>
      </c>
      <c r="Y2758" s="5">
        <v>0</v>
      </c>
      <c r="Z2758" s="36">
        <v>0</v>
      </c>
      <c r="AA2758" s="5">
        <v>0</v>
      </c>
      <c r="AB2758" s="5">
        <v>0</v>
      </c>
      <c r="AC2758" s="5">
        <v>0</v>
      </c>
      <c r="AD2758" s="5">
        <v>0</v>
      </c>
      <c r="AE2758" s="7" t="s">
        <v>73</v>
      </c>
      <c r="AF2758" s="7"/>
      <c r="AG2758" s="7" t="s">
        <v>64</v>
      </c>
      <c r="AH2758" s="7">
        <v>43360</v>
      </c>
      <c r="AI2758" s="5">
        <v>4</v>
      </c>
      <c r="AJ2758" s="7" t="s">
        <v>15545</v>
      </c>
      <c r="AK2758" s="7" t="s">
        <v>15546</v>
      </c>
    </row>
    <row r="2759" spans="1:37" ht="36.75" customHeight="1" x14ac:dyDescent="0.35">
      <c r="A2759" s="5"/>
      <c r="B2759" s="5" t="s">
        <v>37</v>
      </c>
      <c r="C2759" s="73" t="str">
        <f t="shared" si="43"/>
        <v>Closed</v>
      </c>
      <c r="D2759" s="45" t="s">
        <v>15547</v>
      </c>
      <c r="E2759" s="54" t="s">
        <v>15548</v>
      </c>
      <c r="F2759" s="5" t="s">
        <v>178</v>
      </c>
      <c r="G2759" s="7">
        <f>DATE(2018,9,18)</f>
        <v>43361</v>
      </c>
      <c r="H2759" s="34">
        <v>1.3374999999999999</v>
      </c>
      <c r="I2759" s="5" t="s">
        <v>9004</v>
      </c>
      <c r="J2759" s="7" t="s">
        <v>15549</v>
      </c>
      <c r="K2759" s="5" t="s">
        <v>181</v>
      </c>
      <c r="L2759" s="5" t="s">
        <v>15550</v>
      </c>
      <c r="M2759" s="5" t="s">
        <v>45</v>
      </c>
      <c r="N2759" s="5" t="s">
        <v>80</v>
      </c>
      <c r="O2759" s="5" t="s">
        <v>46</v>
      </c>
      <c r="P2759" s="7" t="s">
        <v>146</v>
      </c>
      <c r="Q2759" s="7" t="s">
        <v>13164</v>
      </c>
      <c r="R2759" s="7" t="s">
        <v>15551</v>
      </c>
      <c r="S2759" s="5">
        <v>0</v>
      </c>
      <c r="T2759" s="36">
        <v>0</v>
      </c>
      <c r="U2759" s="5">
        <v>1</v>
      </c>
      <c r="V2759" s="36">
        <v>0</v>
      </c>
      <c r="W2759" s="5">
        <v>0</v>
      </c>
      <c r="X2759" s="5">
        <v>1</v>
      </c>
      <c r="Y2759" s="5">
        <v>0</v>
      </c>
      <c r="Z2759" s="36">
        <v>0</v>
      </c>
      <c r="AA2759" s="5">
        <v>10</v>
      </c>
      <c r="AB2759" s="5">
        <v>0</v>
      </c>
      <c r="AC2759" s="5">
        <v>0</v>
      </c>
      <c r="AD2759" s="5">
        <v>10</v>
      </c>
      <c r="AE2759" s="7" t="s">
        <v>73</v>
      </c>
      <c r="AF2759" s="7"/>
      <c r="AG2759" s="7" t="s">
        <v>570</v>
      </c>
      <c r="AH2759" s="7">
        <v>43371</v>
      </c>
      <c r="AI2759" s="5">
        <v>0</v>
      </c>
      <c r="AJ2759" s="7" t="s">
        <v>15552</v>
      </c>
      <c r="AK2759" s="7" t="s">
        <v>15553</v>
      </c>
    </row>
    <row r="2760" spans="1:37" ht="36.75" customHeight="1" x14ac:dyDescent="0.35">
      <c r="A2760" s="5"/>
      <c r="B2760" s="5" t="s">
        <v>37</v>
      </c>
      <c r="C2760" s="73" t="str">
        <f t="shared" si="43"/>
        <v>Closed</v>
      </c>
      <c r="D2760" s="45" t="s">
        <v>15554</v>
      </c>
      <c r="E2760" s="54" t="s">
        <v>15555</v>
      </c>
      <c r="F2760" s="5" t="s">
        <v>404</v>
      </c>
      <c r="G2760" s="7">
        <f>DATE(2018,9,18)</f>
        <v>43361</v>
      </c>
      <c r="H2760" s="34">
        <v>1.336111111111111</v>
      </c>
      <c r="I2760" s="5" t="s">
        <v>97</v>
      </c>
      <c r="J2760" s="7" t="s">
        <v>15556</v>
      </c>
      <c r="K2760" s="5" t="s">
        <v>406</v>
      </c>
      <c r="L2760" s="5" t="s">
        <v>15557</v>
      </c>
      <c r="M2760" s="5" t="s">
        <v>45</v>
      </c>
      <c r="N2760" s="5" t="s">
        <v>80</v>
      </c>
      <c r="O2760" s="5" t="s">
        <v>59</v>
      </c>
      <c r="P2760" s="7" t="s">
        <v>146</v>
      </c>
      <c r="Q2760" s="7" t="s">
        <v>4531</v>
      </c>
      <c r="R2760" s="7" t="s">
        <v>3083</v>
      </c>
      <c r="S2760" s="5">
        <v>0</v>
      </c>
      <c r="T2760" s="36">
        <v>0</v>
      </c>
      <c r="U2760" s="5">
        <v>0</v>
      </c>
      <c r="V2760" s="36">
        <v>0</v>
      </c>
      <c r="W2760" s="5">
        <v>0</v>
      </c>
      <c r="X2760" s="5">
        <v>0</v>
      </c>
      <c r="Y2760" s="5">
        <v>0</v>
      </c>
      <c r="Z2760" s="36">
        <v>0</v>
      </c>
      <c r="AA2760" s="5">
        <v>0</v>
      </c>
      <c r="AB2760" s="5">
        <v>0</v>
      </c>
      <c r="AC2760" s="5">
        <v>0</v>
      </c>
      <c r="AD2760" s="5">
        <v>0</v>
      </c>
      <c r="AE2760" s="7" t="s">
        <v>73</v>
      </c>
      <c r="AF2760" s="7"/>
      <c r="AG2760" s="7" t="s">
        <v>855</v>
      </c>
      <c r="AH2760" s="7">
        <v>43362</v>
      </c>
      <c r="AI2760" s="5">
        <v>1</v>
      </c>
      <c r="AJ2760" s="7" t="s">
        <v>15558</v>
      </c>
      <c r="AK2760" s="7" t="s">
        <v>15559</v>
      </c>
    </row>
    <row r="2761" spans="1:37" ht="36.75" customHeight="1" x14ac:dyDescent="0.35">
      <c r="A2761" s="5"/>
      <c r="B2761" s="5" t="s">
        <v>37</v>
      </c>
      <c r="C2761" s="73" t="str">
        <f t="shared" si="43"/>
        <v>Closed</v>
      </c>
      <c r="D2761" s="45" t="s">
        <v>15560</v>
      </c>
      <c r="E2761" s="54" t="s">
        <v>15561</v>
      </c>
      <c r="F2761" s="5" t="s">
        <v>816</v>
      </c>
      <c r="G2761" s="7">
        <f>DATE(2018,9,18)</f>
        <v>43361</v>
      </c>
      <c r="H2761" s="34">
        <v>1.6701388888888888</v>
      </c>
      <c r="I2761" s="5" t="s">
        <v>5473</v>
      </c>
      <c r="J2761" s="7" t="s">
        <v>15562</v>
      </c>
      <c r="K2761" s="5" t="s">
        <v>818</v>
      </c>
      <c r="L2761" s="5" t="s">
        <v>15563</v>
      </c>
      <c r="M2761" s="5" t="s">
        <v>45</v>
      </c>
      <c r="N2761" s="5" t="s">
        <v>80</v>
      </c>
      <c r="O2761" s="5" t="s">
        <v>59</v>
      </c>
      <c r="P2761" s="7" t="s">
        <v>146</v>
      </c>
      <c r="Q2761" s="7" t="s">
        <v>2142</v>
      </c>
      <c r="R2761" s="7" t="s">
        <v>821</v>
      </c>
      <c r="S2761" s="5">
        <v>0</v>
      </c>
      <c r="T2761" s="36">
        <v>0</v>
      </c>
      <c r="U2761" s="5">
        <v>0</v>
      </c>
      <c r="V2761" s="36">
        <v>0</v>
      </c>
      <c r="W2761" s="5">
        <v>0</v>
      </c>
      <c r="X2761" s="5">
        <v>0</v>
      </c>
      <c r="Y2761" s="5">
        <v>0</v>
      </c>
      <c r="Z2761" s="36">
        <v>0</v>
      </c>
      <c r="AA2761" s="5">
        <v>0</v>
      </c>
      <c r="AB2761" s="5">
        <v>0</v>
      </c>
      <c r="AC2761" s="5">
        <v>0</v>
      </c>
      <c r="AD2761" s="5">
        <v>0</v>
      </c>
      <c r="AE2761" s="7" t="s">
        <v>73</v>
      </c>
      <c r="AF2761" s="7"/>
      <c r="AG2761" s="7" t="s">
        <v>333</v>
      </c>
      <c r="AH2761" s="7">
        <v>43399</v>
      </c>
      <c r="AI2761" s="5">
        <v>0</v>
      </c>
      <c r="AJ2761" s="7" t="s">
        <v>15564</v>
      </c>
      <c r="AK2761" s="7" t="s">
        <v>15565</v>
      </c>
    </row>
    <row r="2762" spans="1:37" ht="36.75" customHeight="1" x14ac:dyDescent="0.35">
      <c r="A2762" s="5"/>
      <c r="B2762" s="5" t="s">
        <v>887</v>
      </c>
      <c r="C2762" s="73" t="str">
        <f t="shared" si="43"/>
        <v>Open</v>
      </c>
      <c r="D2762" s="45" t="s">
        <v>15566</v>
      </c>
      <c r="E2762" s="54" t="s">
        <v>15567</v>
      </c>
      <c r="F2762" s="5" t="s">
        <v>13410</v>
      </c>
      <c r="G2762" s="7">
        <f>DATE(2018,9,19)</f>
        <v>43362</v>
      </c>
      <c r="H2762" s="34">
        <v>1.1805555555555556</v>
      </c>
      <c r="I2762" s="5" t="s">
        <v>5473</v>
      </c>
      <c r="J2762" s="7" t="s">
        <v>15568</v>
      </c>
      <c r="K2762" s="5" t="s">
        <v>13412</v>
      </c>
      <c r="L2762" s="5" t="s">
        <v>15569</v>
      </c>
      <c r="M2762" s="5" t="s">
        <v>45</v>
      </c>
      <c r="N2762" s="5" t="s">
        <v>123</v>
      </c>
      <c r="O2762" s="5" t="s">
        <v>46</v>
      </c>
      <c r="P2762" s="7" t="s">
        <v>60</v>
      </c>
      <c r="Q2762" s="7" t="s">
        <v>15570</v>
      </c>
      <c r="R2762" s="7" t="s">
        <v>13415</v>
      </c>
      <c r="S2762" s="5">
        <v>0</v>
      </c>
      <c r="T2762" s="36">
        <v>0</v>
      </c>
      <c r="U2762" s="5">
        <v>0</v>
      </c>
      <c r="V2762" s="36">
        <v>0</v>
      </c>
      <c r="W2762" s="5">
        <v>0</v>
      </c>
      <c r="X2762" s="5">
        <v>0</v>
      </c>
      <c r="Y2762" s="5">
        <v>0</v>
      </c>
      <c r="Z2762" s="36">
        <v>0</v>
      </c>
      <c r="AA2762" s="5">
        <v>0</v>
      </c>
      <c r="AB2762" s="5">
        <v>0</v>
      </c>
      <c r="AC2762" s="5">
        <v>0</v>
      </c>
      <c r="AD2762" s="5">
        <v>0</v>
      </c>
      <c r="AE2762" s="7" t="s">
        <v>73</v>
      </c>
      <c r="AF2762" s="7"/>
      <c r="AG2762" s="7" t="s">
        <v>64</v>
      </c>
      <c r="AH2762" s="7">
        <v>43368</v>
      </c>
      <c r="AI2762" s="5">
        <v>0</v>
      </c>
      <c r="AJ2762" s="7" t="s">
        <v>15571</v>
      </c>
      <c r="AK2762" s="7" t="s">
        <v>50</v>
      </c>
    </row>
    <row r="2763" spans="1:37" ht="36.75" customHeight="1" x14ac:dyDescent="0.35">
      <c r="A2763" s="5"/>
      <c r="B2763" s="5" t="s">
        <v>37</v>
      </c>
      <c r="C2763" s="73" t="str">
        <f t="shared" si="43"/>
        <v>Closed</v>
      </c>
      <c r="D2763" s="45" t="s">
        <v>15572</v>
      </c>
      <c r="E2763" s="54" t="s">
        <v>15573</v>
      </c>
      <c r="F2763" s="5" t="s">
        <v>214</v>
      </c>
      <c r="G2763" s="7">
        <f>DATE(2018,9,19)</f>
        <v>43362</v>
      </c>
      <c r="H2763" s="34">
        <v>1.10625</v>
      </c>
      <c r="I2763" s="5" t="s">
        <v>179</v>
      </c>
      <c r="J2763" s="7" t="s">
        <v>15574</v>
      </c>
      <c r="K2763" s="5" t="s">
        <v>216</v>
      </c>
      <c r="L2763" s="5" t="s">
        <v>15575</v>
      </c>
      <c r="M2763" s="5" t="s">
        <v>45</v>
      </c>
      <c r="N2763" s="5" t="s">
        <v>123</v>
      </c>
      <c r="O2763" s="5" t="s">
        <v>46</v>
      </c>
      <c r="P2763" s="7" t="s">
        <v>282</v>
      </c>
      <c r="Q2763" s="7" t="s">
        <v>699</v>
      </c>
      <c r="R2763" s="7" t="s">
        <v>216</v>
      </c>
      <c r="S2763" s="5">
        <v>0</v>
      </c>
      <c r="T2763" s="36">
        <v>0</v>
      </c>
      <c r="U2763" s="5">
        <v>0</v>
      </c>
      <c r="V2763" s="36">
        <v>0</v>
      </c>
      <c r="W2763" s="5">
        <v>0</v>
      </c>
      <c r="X2763" s="5">
        <v>0</v>
      </c>
      <c r="Y2763" s="5">
        <v>0</v>
      </c>
      <c r="Z2763" s="36">
        <v>2</v>
      </c>
      <c r="AA2763" s="5">
        <v>0</v>
      </c>
      <c r="AB2763" s="5">
        <v>0</v>
      </c>
      <c r="AC2763" s="5">
        <v>0</v>
      </c>
      <c r="AD2763" s="5">
        <v>2</v>
      </c>
      <c r="AE2763" s="7" t="s">
        <v>73</v>
      </c>
      <c r="AF2763" s="7"/>
      <c r="AG2763" s="7" t="s">
        <v>114</v>
      </c>
      <c r="AH2763" s="7">
        <v>43367</v>
      </c>
      <c r="AI2763" s="5">
        <v>2</v>
      </c>
      <c r="AJ2763" s="7" t="s">
        <v>15576</v>
      </c>
      <c r="AK2763" s="7" t="s">
        <v>15577</v>
      </c>
    </row>
    <row r="2764" spans="1:37" ht="36.75" customHeight="1" x14ac:dyDescent="0.35">
      <c r="A2764" s="5"/>
      <c r="B2764" s="5" t="s">
        <v>37</v>
      </c>
      <c r="C2764" s="73" t="str">
        <f t="shared" si="43"/>
        <v>Closed</v>
      </c>
      <c r="D2764" s="45" t="s">
        <v>15578</v>
      </c>
      <c r="E2764" s="54" t="s">
        <v>15579</v>
      </c>
      <c r="F2764" s="5" t="s">
        <v>404</v>
      </c>
      <c r="G2764" s="7">
        <f>DATE(2018,9,21)</f>
        <v>43364</v>
      </c>
      <c r="H2764" s="34">
        <v>1.3104166666666668</v>
      </c>
      <c r="I2764" s="5" t="s">
        <v>2059</v>
      </c>
      <c r="J2764" s="7" t="s">
        <v>15580</v>
      </c>
      <c r="K2764" s="5" t="s">
        <v>406</v>
      </c>
      <c r="L2764" s="5" t="s">
        <v>15581</v>
      </c>
      <c r="M2764" s="5" t="s">
        <v>45</v>
      </c>
      <c r="N2764" s="5" t="s">
        <v>123</v>
      </c>
      <c r="O2764" s="5" t="s">
        <v>59</v>
      </c>
      <c r="P2764" s="7" t="s">
        <v>5824</v>
      </c>
      <c r="Q2764" s="7" t="s">
        <v>10667</v>
      </c>
      <c r="R2764" s="7" t="s">
        <v>3083</v>
      </c>
      <c r="S2764" s="5">
        <v>0</v>
      </c>
      <c r="T2764" s="36">
        <v>0</v>
      </c>
      <c r="U2764" s="5">
        <v>0</v>
      </c>
      <c r="V2764" s="36">
        <v>0</v>
      </c>
      <c r="W2764" s="5">
        <v>0</v>
      </c>
      <c r="X2764" s="5">
        <v>0</v>
      </c>
      <c r="Y2764" s="5">
        <v>0</v>
      </c>
      <c r="Z2764" s="36">
        <v>0</v>
      </c>
      <c r="AA2764" s="5">
        <v>0</v>
      </c>
      <c r="AB2764" s="5">
        <v>0</v>
      </c>
      <c r="AC2764" s="5">
        <v>0</v>
      </c>
      <c r="AD2764" s="5">
        <v>0</v>
      </c>
      <c r="AE2764" s="7" t="s">
        <v>73</v>
      </c>
      <c r="AF2764" s="7"/>
      <c r="AG2764" s="7" t="s">
        <v>855</v>
      </c>
      <c r="AH2764" s="7">
        <v>43364</v>
      </c>
      <c r="AI2764" s="5">
        <v>0</v>
      </c>
      <c r="AJ2764" s="7" t="s">
        <v>15582</v>
      </c>
      <c r="AK2764" s="7" t="s">
        <v>15583</v>
      </c>
    </row>
    <row r="2765" spans="1:37" ht="36.75" customHeight="1" x14ac:dyDescent="0.35">
      <c r="A2765" s="5"/>
      <c r="B2765" s="5" t="s">
        <v>37</v>
      </c>
      <c r="C2765" s="73" t="str">
        <f t="shared" si="43"/>
        <v>Closed</v>
      </c>
      <c r="D2765" s="45" t="s">
        <v>15584</v>
      </c>
      <c r="E2765" s="54" t="s">
        <v>15585</v>
      </c>
      <c r="F2765" s="5" t="s">
        <v>404</v>
      </c>
      <c r="G2765" s="7">
        <f>DATE(2018,9,21)</f>
        <v>43364</v>
      </c>
      <c r="H2765" s="34">
        <v>1.8013888888888889</v>
      </c>
      <c r="I2765" s="5" t="s">
        <v>137</v>
      </c>
      <c r="J2765" s="7" t="s">
        <v>15586</v>
      </c>
      <c r="K2765" s="5" t="s">
        <v>406</v>
      </c>
      <c r="L2765" s="5" t="s">
        <v>15587</v>
      </c>
      <c r="M2765" s="5" t="s">
        <v>45</v>
      </c>
      <c r="N2765" s="5" t="s">
        <v>80</v>
      </c>
      <c r="O2765" s="5" t="s">
        <v>46</v>
      </c>
      <c r="P2765" s="7" t="s">
        <v>146</v>
      </c>
      <c r="Q2765" s="7" t="s">
        <v>4531</v>
      </c>
      <c r="R2765" s="7" t="s">
        <v>3083</v>
      </c>
      <c r="S2765" s="5">
        <v>0</v>
      </c>
      <c r="T2765" s="36">
        <v>0</v>
      </c>
      <c r="U2765" s="5">
        <v>0</v>
      </c>
      <c r="V2765" s="36">
        <v>0</v>
      </c>
      <c r="W2765" s="5">
        <v>0</v>
      </c>
      <c r="X2765" s="5">
        <v>0</v>
      </c>
      <c r="Y2765" s="5">
        <v>0</v>
      </c>
      <c r="Z2765" s="36">
        <v>0</v>
      </c>
      <c r="AA2765" s="5">
        <v>0</v>
      </c>
      <c r="AB2765" s="5">
        <v>0</v>
      </c>
      <c r="AC2765" s="5">
        <v>0</v>
      </c>
      <c r="AD2765" s="5">
        <v>0</v>
      </c>
      <c r="AE2765" s="7" t="s">
        <v>73</v>
      </c>
      <c r="AF2765" s="7"/>
      <c r="AG2765" s="7" t="s">
        <v>855</v>
      </c>
      <c r="AH2765" s="7">
        <v>43364</v>
      </c>
      <c r="AI2765" s="5">
        <v>1</v>
      </c>
      <c r="AJ2765" s="7" t="s">
        <v>15588</v>
      </c>
      <c r="AK2765" s="7" t="s">
        <v>13972</v>
      </c>
    </row>
    <row r="2766" spans="1:37" ht="36.75" customHeight="1" x14ac:dyDescent="0.35">
      <c r="A2766" s="5"/>
      <c r="B2766" s="5" t="s">
        <v>37</v>
      </c>
      <c r="C2766" s="73" t="str">
        <f t="shared" si="43"/>
        <v>Closed</v>
      </c>
      <c r="D2766" s="45" t="s">
        <v>15589</v>
      </c>
      <c r="E2766" s="54" t="s">
        <v>15590</v>
      </c>
      <c r="F2766" s="5" t="s">
        <v>404</v>
      </c>
      <c r="G2766" s="7">
        <f>DATE(2018,9,21)</f>
        <v>43364</v>
      </c>
      <c r="H2766" s="34">
        <v>1.8986111111111112</v>
      </c>
      <c r="I2766" s="5" t="s">
        <v>179</v>
      </c>
      <c r="J2766" s="7" t="s">
        <v>15591</v>
      </c>
      <c r="K2766" s="5" t="s">
        <v>406</v>
      </c>
      <c r="L2766" s="5" t="s">
        <v>15592</v>
      </c>
      <c r="M2766" s="5" t="s">
        <v>45</v>
      </c>
      <c r="N2766" s="5" t="s">
        <v>123</v>
      </c>
      <c r="O2766" s="5" t="s">
        <v>59</v>
      </c>
      <c r="P2766" s="7" t="s">
        <v>15593</v>
      </c>
      <c r="Q2766" s="7" t="s">
        <v>4531</v>
      </c>
      <c r="R2766" s="7" t="s">
        <v>3083</v>
      </c>
      <c r="S2766" s="5">
        <v>0</v>
      </c>
      <c r="T2766" s="36">
        <v>0</v>
      </c>
      <c r="U2766" s="5">
        <v>0</v>
      </c>
      <c r="V2766" s="36">
        <v>0</v>
      </c>
      <c r="W2766" s="5">
        <v>0</v>
      </c>
      <c r="X2766" s="5">
        <v>0</v>
      </c>
      <c r="Y2766" s="5">
        <v>0</v>
      </c>
      <c r="Z2766" s="36">
        <v>2</v>
      </c>
      <c r="AA2766" s="5">
        <v>0</v>
      </c>
      <c r="AB2766" s="5">
        <v>0</v>
      </c>
      <c r="AC2766" s="5">
        <v>0</v>
      </c>
      <c r="AD2766" s="5">
        <v>2</v>
      </c>
      <c r="AE2766" s="7" t="s">
        <v>73</v>
      </c>
      <c r="AF2766" s="7"/>
      <c r="AG2766" s="7" t="s">
        <v>114</v>
      </c>
      <c r="AH2766" s="7">
        <v>43364</v>
      </c>
      <c r="AI2766" s="5">
        <v>0</v>
      </c>
      <c r="AJ2766" s="7" t="s">
        <v>15594</v>
      </c>
      <c r="AK2766" s="7" t="s">
        <v>15595</v>
      </c>
    </row>
    <row r="2767" spans="1:37" ht="36.75" customHeight="1" x14ac:dyDescent="0.35">
      <c r="A2767" s="5"/>
      <c r="B2767" s="5" t="s">
        <v>37</v>
      </c>
      <c r="C2767" s="73" t="str">
        <f t="shared" si="43"/>
        <v>Closed</v>
      </c>
      <c r="D2767" s="45" t="s">
        <v>15596</v>
      </c>
      <c r="E2767" s="54" t="s">
        <v>15597</v>
      </c>
      <c r="F2767" s="5" t="s">
        <v>1553</v>
      </c>
      <c r="G2767" s="7">
        <f>DATE(2018,9,21)</f>
        <v>43364</v>
      </c>
      <c r="H2767" s="34">
        <v>1.90625</v>
      </c>
      <c r="I2767" s="5" t="s">
        <v>55</v>
      </c>
      <c r="J2767" s="7" t="s">
        <v>15598</v>
      </c>
      <c r="K2767" s="5" t="s">
        <v>1555</v>
      </c>
      <c r="L2767" s="5" t="s">
        <v>15599</v>
      </c>
      <c r="M2767" s="5" t="s">
        <v>45</v>
      </c>
      <c r="N2767" s="5" t="s">
        <v>123</v>
      </c>
      <c r="O2767" s="5" t="s">
        <v>46</v>
      </c>
      <c r="P2767" s="7" t="s">
        <v>60</v>
      </c>
      <c r="Q2767" s="7" t="s">
        <v>15538</v>
      </c>
      <c r="R2767" s="7" t="s">
        <v>6413</v>
      </c>
      <c r="S2767" s="5">
        <v>0</v>
      </c>
      <c r="T2767" s="36">
        <v>0</v>
      </c>
      <c r="U2767" s="5">
        <v>0</v>
      </c>
      <c r="V2767" s="36">
        <v>0</v>
      </c>
      <c r="W2767" s="5">
        <v>0</v>
      </c>
      <c r="X2767" s="5">
        <v>0</v>
      </c>
      <c r="Y2767" s="5">
        <v>0</v>
      </c>
      <c r="Z2767" s="36">
        <v>0</v>
      </c>
      <c r="AA2767" s="5">
        <v>0</v>
      </c>
      <c r="AB2767" s="5">
        <v>0</v>
      </c>
      <c r="AC2767" s="5">
        <v>0</v>
      </c>
      <c r="AD2767" s="5">
        <v>0</v>
      </c>
      <c r="AE2767" s="7" t="s">
        <v>375</v>
      </c>
      <c r="AF2767" s="7"/>
      <c r="AG2767" s="7" t="s">
        <v>114</v>
      </c>
      <c r="AH2767" s="7">
        <v>43367</v>
      </c>
      <c r="AI2767" s="5">
        <v>1</v>
      </c>
      <c r="AJ2767" s="7" t="s">
        <v>15600</v>
      </c>
      <c r="AK2767" s="7" t="s">
        <v>15601</v>
      </c>
    </row>
    <row r="2768" spans="1:37" ht="36.75" customHeight="1" x14ac:dyDescent="0.35">
      <c r="A2768" s="5"/>
      <c r="B2768" s="5" t="s">
        <v>37</v>
      </c>
      <c r="C2768" s="73" t="str">
        <f t="shared" si="43"/>
        <v>Closed</v>
      </c>
      <c r="D2768" s="45" t="s">
        <v>15602</v>
      </c>
      <c r="E2768" s="54" t="s">
        <v>15603</v>
      </c>
      <c r="F2768" s="5" t="s">
        <v>404</v>
      </c>
      <c r="G2768" s="7">
        <f>DATE(2018,9,24)</f>
        <v>43367</v>
      </c>
      <c r="H2768" s="34">
        <v>1.6902777777777778</v>
      </c>
      <c r="I2768" s="5" t="s">
        <v>55</v>
      </c>
      <c r="J2768" s="7" t="s">
        <v>15604</v>
      </c>
      <c r="K2768" s="5" t="s">
        <v>406</v>
      </c>
      <c r="L2768" s="5" t="s">
        <v>15605</v>
      </c>
      <c r="M2768" s="5" t="s">
        <v>45</v>
      </c>
      <c r="N2768" s="5" t="s">
        <v>80</v>
      </c>
      <c r="O2768" s="5" t="s">
        <v>46</v>
      </c>
      <c r="P2768" s="7" t="s">
        <v>60</v>
      </c>
      <c r="Q2768" s="7" t="s">
        <v>11843</v>
      </c>
      <c r="R2768" s="7" t="s">
        <v>3083</v>
      </c>
      <c r="S2768" s="5">
        <v>0</v>
      </c>
      <c r="T2768" s="36">
        <v>0</v>
      </c>
      <c r="U2768" s="5">
        <v>0</v>
      </c>
      <c r="V2768" s="36">
        <v>0</v>
      </c>
      <c r="W2768" s="5">
        <v>0</v>
      </c>
      <c r="X2768" s="5">
        <v>0</v>
      </c>
      <c r="Y2768" s="5">
        <v>0</v>
      </c>
      <c r="Z2768" s="36">
        <v>0</v>
      </c>
      <c r="AA2768" s="5">
        <v>0</v>
      </c>
      <c r="AB2768" s="5">
        <v>0</v>
      </c>
      <c r="AC2768" s="5">
        <v>0</v>
      </c>
      <c r="AD2768" s="5">
        <v>0</v>
      </c>
      <c r="AE2768" s="7" t="s">
        <v>73</v>
      </c>
      <c r="AF2768" s="7"/>
      <c r="AG2768" s="7" t="s">
        <v>333</v>
      </c>
      <c r="AH2768" s="7">
        <v>43367</v>
      </c>
      <c r="AI2768" s="5">
        <v>0</v>
      </c>
      <c r="AJ2768" s="7" t="s">
        <v>15606</v>
      </c>
      <c r="AK2768" s="7" t="s">
        <v>15607</v>
      </c>
    </row>
    <row r="2769" spans="1:37" ht="36.75" customHeight="1" x14ac:dyDescent="0.35">
      <c r="A2769" s="5"/>
      <c r="B2769" s="5" t="s">
        <v>37</v>
      </c>
      <c r="C2769" s="73" t="str">
        <f t="shared" si="43"/>
        <v>Closed</v>
      </c>
      <c r="D2769" s="45" t="s">
        <v>15608</v>
      </c>
      <c r="E2769" s="54" t="s">
        <v>15609</v>
      </c>
      <c r="F2769" s="5" t="s">
        <v>1553</v>
      </c>
      <c r="G2769" s="7">
        <f>DATE(2018,9,27)</f>
        <v>43370</v>
      </c>
      <c r="H2769" s="34">
        <v>1.9444444444444446</v>
      </c>
      <c r="I2769" s="5" t="s">
        <v>55</v>
      </c>
      <c r="J2769" s="7" t="s">
        <v>15610</v>
      </c>
      <c r="K2769" s="5" t="s">
        <v>1555</v>
      </c>
      <c r="L2769" s="5" t="s">
        <v>9052</v>
      </c>
      <c r="M2769" s="5" t="s">
        <v>45</v>
      </c>
      <c r="N2769" s="5" t="s">
        <v>123</v>
      </c>
      <c r="O2769" s="5" t="s">
        <v>59</v>
      </c>
      <c r="P2769" s="7" t="s">
        <v>60</v>
      </c>
      <c r="Q2769" s="7" t="s">
        <v>2635</v>
      </c>
      <c r="R2769" s="7" t="s">
        <v>6413</v>
      </c>
      <c r="S2769" s="5">
        <v>0</v>
      </c>
      <c r="T2769" s="36">
        <v>0</v>
      </c>
      <c r="U2769" s="5">
        <v>0</v>
      </c>
      <c r="V2769" s="36">
        <v>0</v>
      </c>
      <c r="W2769" s="5">
        <v>0</v>
      </c>
      <c r="X2769" s="5">
        <v>0</v>
      </c>
      <c r="Y2769" s="5">
        <v>0</v>
      </c>
      <c r="Z2769" s="36">
        <v>0</v>
      </c>
      <c r="AA2769" s="5">
        <v>0</v>
      </c>
      <c r="AB2769" s="5">
        <v>0</v>
      </c>
      <c r="AC2769" s="5">
        <v>0</v>
      </c>
      <c r="AD2769" s="5">
        <v>0</v>
      </c>
      <c r="AE2769" s="7" t="s">
        <v>73</v>
      </c>
      <c r="AF2769" s="7"/>
      <c r="AG2769" s="7" t="s">
        <v>114</v>
      </c>
      <c r="AH2769" s="7">
        <v>43371</v>
      </c>
      <c r="AI2769" s="5">
        <v>2</v>
      </c>
      <c r="AJ2769" s="7" t="s">
        <v>15611</v>
      </c>
      <c r="AK2769" s="7" t="s">
        <v>15612</v>
      </c>
    </row>
    <row r="2770" spans="1:37" ht="36.75" customHeight="1" x14ac:dyDescent="0.35">
      <c r="A2770" s="5"/>
      <c r="B2770" s="5" t="s">
        <v>37</v>
      </c>
      <c r="C2770" s="73" t="str">
        <f t="shared" si="43"/>
        <v>Closed</v>
      </c>
      <c r="D2770" s="45" t="s">
        <v>15613</v>
      </c>
      <c r="E2770" s="54" t="s">
        <v>15614</v>
      </c>
      <c r="F2770" s="5" t="s">
        <v>816</v>
      </c>
      <c r="G2770" s="7">
        <f>DATE(2018,9,28)</f>
        <v>43371</v>
      </c>
      <c r="H2770" s="34">
        <v>1.5874999999999999</v>
      </c>
      <c r="I2770" s="5" t="s">
        <v>97</v>
      </c>
      <c r="J2770" s="7" t="s">
        <v>15615</v>
      </c>
      <c r="K2770" s="5" t="s">
        <v>818</v>
      </c>
      <c r="L2770" s="5" t="s">
        <v>15616</v>
      </c>
      <c r="M2770" s="5" t="s">
        <v>45</v>
      </c>
      <c r="N2770" s="5" t="s">
        <v>123</v>
      </c>
      <c r="O2770" s="5" t="s">
        <v>46</v>
      </c>
      <c r="P2770" s="7" t="s">
        <v>6920</v>
      </c>
      <c r="Q2770" s="7" t="s">
        <v>818</v>
      </c>
      <c r="R2770" s="7" t="s">
        <v>821</v>
      </c>
      <c r="S2770" s="5">
        <v>0</v>
      </c>
      <c r="T2770" s="36">
        <v>0</v>
      </c>
      <c r="U2770" s="5">
        <v>0</v>
      </c>
      <c r="V2770" s="36">
        <v>0</v>
      </c>
      <c r="W2770" s="5">
        <v>0</v>
      </c>
      <c r="X2770" s="5">
        <v>0</v>
      </c>
      <c r="Y2770" s="5">
        <v>0</v>
      </c>
      <c r="Z2770" s="36">
        <v>0</v>
      </c>
      <c r="AA2770" s="5">
        <v>3</v>
      </c>
      <c r="AB2770" s="5">
        <v>0</v>
      </c>
      <c r="AC2770" s="5">
        <v>0</v>
      </c>
      <c r="AD2770" s="5">
        <v>3</v>
      </c>
      <c r="AE2770" s="7" t="s">
        <v>73</v>
      </c>
      <c r="AF2770" s="7"/>
      <c r="AG2770" s="7" t="s">
        <v>333</v>
      </c>
      <c r="AH2770" s="7">
        <v>43374</v>
      </c>
      <c r="AI2770" s="5">
        <v>0</v>
      </c>
      <c r="AJ2770" s="7" t="s">
        <v>15617</v>
      </c>
      <c r="AK2770" s="7" t="s">
        <v>15618</v>
      </c>
    </row>
    <row r="2771" spans="1:37" ht="36.75" customHeight="1" x14ac:dyDescent="0.35">
      <c r="A2771" s="5"/>
      <c r="B2771" s="5" t="s">
        <v>37</v>
      </c>
      <c r="C2771" s="73" t="str">
        <f t="shared" si="43"/>
        <v>Closed</v>
      </c>
      <c r="D2771" s="45" t="s">
        <v>15619</v>
      </c>
      <c r="E2771" s="54" t="s">
        <v>15620</v>
      </c>
      <c r="F2771" s="5" t="s">
        <v>6434</v>
      </c>
      <c r="G2771" s="7">
        <f>DATE(2018,10,1)</f>
        <v>43374</v>
      </c>
      <c r="H2771" s="34">
        <v>1.6909722222222223</v>
      </c>
      <c r="I2771" s="5" t="s">
        <v>55</v>
      </c>
      <c r="J2771" s="7" t="s">
        <v>15621</v>
      </c>
      <c r="K2771" s="5" t="s">
        <v>565</v>
      </c>
      <c r="L2771" s="5" t="s">
        <v>15622</v>
      </c>
      <c r="M2771" s="5" t="s">
        <v>45</v>
      </c>
      <c r="N2771" s="5" t="s">
        <v>123</v>
      </c>
      <c r="O2771" s="5" t="s">
        <v>59</v>
      </c>
      <c r="P2771" s="7" t="s">
        <v>60</v>
      </c>
      <c r="Q2771" s="7" t="s">
        <v>15623</v>
      </c>
      <c r="R2771" s="7" t="s">
        <v>568</v>
      </c>
      <c r="S2771" s="5">
        <v>0</v>
      </c>
      <c r="T2771" s="36">
        <v>0</v>
      </c>
      <c r="U2771" s="5">
        <v>0</v>
      </c>
      <c r="V2771" s="36">
        <v>0</v>
      </c>
      <c r="W2771" s="5">
        <v>0</v>
      </c>
      <c r="X2771" s="5">
        <v>0</v>
      </c>
      <c r="Y2771" s="5">
        <v>0</v>
      </c>
      <c r="Z2771" s="36">
        <v>0</v>
      </c>
      <c r="AA2771" s="5">
        <v>0</v>
      </c>
      <c r="AB2771" s="5">
        <v>0</v>
      </c>
      <c r="AC2771" s="5">
        <v>0</v>
      </c>
      <c r="AD2771" s="5">
        <v>0</v>
      </c>
      <c r="AE2771" s="7" t="s">
        <v>375</v>
      </c>
      <c r="AF2771" s="7" t="s">
        <v>15624</v>
      </c>
      <c r="AG2771" s="7" t="s">
        <v>8837</v>
      </c>
      <c r="AH2771" s="7">
        <v>43376</v>
      </c>
      <c r="AI2771" s="5">
        <v>0</v>
      </c>
      <c r="AJ2771" s="7" t="s">
        <v>15625</v>
      </c>
      <c r="AK2771" s="7" t="s">
        <v>10547</v>
      </c>
    </row>
    <row r="2772" spans="1:37" ht="36.75" customHeight="1" x14ac:dyDescent="0.35">
      <c r="A2772" s="5"/>
      <c r="B2772" s="5" t="s">
        <v>37</v>
      </c>
      <c r="C2772" s="73" t="str">
        <f t="shared" si="43"/>
        <v>Closed</v>
      </c>
      <c r="D2772" s="45" t="s">
        <v>15626</v>
      </c>
      <c r="E2772" s="54" t="s">
        <v>15627</v>
      </c>
      <c r="F2772" s="5" t="s">
        <v>1553</v>
      </c>
      <c r="G2772" s="7">
        <f>DATE(2018,10,1)</f>
        <v>43374</v>
      </c>
      <c r="H2772" s="34">
        <v>1.4201388888888888</v>
      </c>
      <c r="I2772" s="5" t="s">
        <v>67</v>
      </c>
      <c r="J2772" s="7" t="s">
        <v>15628</v>
      </c>
      <c r="K2772" s="5" t="s">
        <v>1555</v>
      </c>
      <c r="L2772" s="5" t="s">
        <v>15629</v>
      </c>
      <c r="M2772" s="5" t="s">
        <v>45</v>
      </c>
      <c r="N2772" s="5" t="s">
        <v>123</v>
      </c>
      <c r="O2772" s="5" t="s">
        <v>59</v>
      </c>
      <c r="P2772" s="7" t="s">
        <v>6920</v>
      </c>
      <c r="Q2772" s="7" t="s">
        <v>2393</v>
      </c>
      <c r="R2772" s="7" t="s">
        <v>6413</v>
      </c>
      <c r="S2772" s="5">
        <v>0</v>
      </c>
      <c r="T2772" s="36">
        <v>0</v>
      </c>
      <c r="U2772" s="5">
        <v>0</v>
      </c>
      <c r="V2772" s="36">
        <v>0</v>
      </c>
      <c r="W2772" s="5">
        <v>0</v>
      </c>
      <c r="X2772" s="5">
        <v>0</v>
      </c>
      <c r="Y2772" s="5">
        <v>0</v>
      </c>
      <c r="Z2772" s="36">
        <v>0</v>
      </c>
      <c r="AA2772" s="5">
        <v>0</v>
      </c>
      <c r="AB2772" s="5">
        <v>0</v>
      </c>
      <c r="AC2772" s="5">
        <v>0</v>
      </c>
      <c r="AD2772" s="5">
        <v>0</v>
      </c>
      <c r="AE2772" s="7" t="s">
        <v>73</v>
      </c>
      <c r="AF2772" s="7"/>
      <c r="AG2772" s="7" t="s">
        <v>1489</v>
      </c>
      <c r="AH2772" s="7">
        <v>43375</v>
      </c>
      <c r="AI2772" s="5">
        <v>1</v>
      </c>
      <c r="AJ2772" s="7" t="s">
        <v>15630</v>
      </c>
      <c r="AK2772" s="7" t="s">
        <v>15631</v>
      </c>
    </row>
    <row r="2773" spans="1:37" ht="36.75" customHeight="1" x14ac:dyDescent="0.35">
      <c r="A2773" s="5"/>
      <c r="B2773" s="5" t="s">
        <v>37</v>
      </c>
      <c r="C2773" s="73" t="str">
        <f t="shared" si="43"/>
        <v>Closed</v>
      </c>
      <c r="D2773" s="45" t="s">
        <v>15632</v>
      </c>
      <c r="E2773" s="54" t="s">
        <v>15633</v>
      </c>
      <c r="F2773" s="5" t="s">
        <v>1553</v>
      </c>
      <c r="G2773" s="7">
        <f>DATE(2018,10,4)</f>
        <v>43377</v>
      </c>
      <c r="H2773" s="34">
        <v>1.6958333333333333</v>
      </c>
      <c r="I2773" s="5" t="s">
        <v>67</v>
      </c>
      <c r="J2773" s="7" t="s">
        <v>15634</v>
      </c>
      <c r="K2773" s="5" t="s">
        <v>1555</v>
      </c>
      <c r="L2773" s="5" t="s">
        <v>15635</v>
      </c>
      <c r="M2773" s="5" t="s">
        <v>45</v>
      </c>
      <c r="N2773" s="5" t="s">
        <v>80</v>
      </c>
      <c r="O2773" s="5" t="s">
        <v>59</v>
      </c>
      <c r="P2773" s="7" t="s">
        <v>6920</v>
      </c>
      <c r="Q2773" s="7" t="s">
        <v>2393</v>
      </c>
      <c r="R2773" s="7" t="s">
        <v>6413</v>
      </c>
      <c r="S2773" s="5">
        <v>0</v>
      </c>
      <c r="T2773" s="36">
        <v>0</v>
      </c>
      <c r="U2773" s="5">
        <v>0</v>
      </c>
      <c r="V2773" s="36">
        <v>0</v>
      </c>
      <c r="W2773" s="5">
        <v>0</v>
      </c>
      <c r="X2773" s="5">
        <v>0</v>
      </c>
      <c r="Y2773" s="5">
        <v>0</v>
      </c>
      <c r="Z2773" s="36">
        <v>0</v>
      </c>
      <c r="AA2773" s="5">
        <v>0</v>
      </c>
      <c r="AB2773" s="5">
        <v>0</v>
      </c>
      <c r="AC2773" s="5">
        <v>0</v>
      </c>
      <c r="AD2773" s="5">
        <v>0</v>
      </c>
      <c r="AE2773" s="7" t="s">
        <v>73</v>
      </c>
      <c r="AF2773" s="7"/>
      <c r="AG2773" s="7" t="s">
        <v>114</v>
      </c>
      <c r="AH2773" s="7">
        <v>43378</v>
      </c>
      <c r="AI2773" s="5">
        <v>1</v>
      </c>
      <c r="AJ2773" s="7" t="s">
        <v>15636</v>
      </c>
      <c r="AK2773" s="7" t="s">
        <v>15637</v>
      </c>
    </row>
    <row r="2774" spans="1:37" customFormat="1" ht="36.75" customHeight="1" x14ac:dyDescent="0.35">
      <c r="A2774" s="5"/>
      <c r="B2774" s="5" t="s">
        <v>37</v>
      </c>
      <c r="C2774" s="73" t="str">
        <f t="shared" si="43"/>
        <v>Closed</v>
      </c>
      <c r="D2774" s="45" t="s">
        <v>15638</v>
      </c>
      <c r="E2774" s="54" t="s">
        <v>15639</v>
      </c>
      <c r="F2774" s="5" t="s">
        <v>816</v>
      </c>
      <c r="G2774" s="7">
        <f>DATE(2018,10,5)</f>
        <v>43378</v>
      </c>
      <c r="H2774" s="34">
        <v>1.8381944444444445</v>
      </c>
      <c r="I2774" s="5" t="s">
        <v>259</v>
      </c>
      <c r="J2774" s="7" t="s">
        <v>15640</v>
      </c>
      <c r="K2774" s="5" t="s">
        <v>818</v>
      </c>
      <c r="L2774" s="5" t="s">
        <v>15641</v>
      </c>
      <c r="M2774" s="5" t="s">
        <v>45</v>
      </c>
      <c r="N2774" s="5" t="s">
        <v>80</v>
      </c>
      <c r="O2774" s="5" t="s">
        <v>59</v>
      </c>
      <c r="P2774" s="7" t="s">
        <v>6920</v>
      </c>
      <c r="Q2774" s="7" t="s">
        <v>818</v>
      </c>
      <c r="R2774" s="7" t="s">
        <v>818</v>
      </c>
      <c r="S2774" s="5">
        <v>1</v>
      </c>
      <c r="T2774" s="36">
        <v>0</v>
      </c>
      <c r="U2774" s="5">
        <v>0</v>
      </c>
      <c r="V2774" s="36">
        <v>0</v>
      </c>
      <c r="W2774" s="5">
        <v>0</v>
      </c>
      <c r="X2774" s="5">
        <v>1</v>
      </c>
      <c r="Y2774" s="5">
        <v>0</v>
      </c>
      <c r="Z2774" s="36">
        <v>0</v>
      </c>
      <c r="AA2774" s="5">
        <v>0</v>
      </c>
      <c r="AB2774" s="5">
        <v>0</v>
      </c>
      <c r="AC2774" s="5">
        <v>0</v>
      </c>
      <c r="AD2774" s="5">
        <v>0</v>
      </c>
      <c r="AE2774" s="7" t="s">
        <v>73</v>
      </c>
      <c r="AF2774" s="7"/>
      <c r="AG2774" s="7" t="s">
        <v>64</v>
      </c>
      <c r="AH2774" s="7">
        <v>43384</v>
      </c>
      <c r="AI2774" s="5">
        <v>2</v>
      </c>
      <c r="AJ2774" s="7" t="s">
        <v>15642</v>
      </c>
      <c r="AK2774" s="7" t="s">
        <v>1215</v>
      </c>
    </row>
    <row r="2775" spans="1:37" customFormat="1" ht="36.75" customHeight="1" x14ac:dyDescent="0.35">
      <c r="A2775" s="5"/>
      <c r="B2775" s="5" t="s">
        <v>37</v>
      </c>
      <c r="C2775" s="73" t="str">
        <f t="shared" si="43"/>
        <v>Closed</v>
      </c>
      <c r="D2775" s="45" t="s">
        <v>15643</v>
      </c>
      <c r="E2775" s="54" t="s">
        <v>15644</v>
      </c>
      <c r="F2775" s="5" t="s">
        <v>563</v>
      </c>
      <c r="G2775" s="7">
        <f>DATE(2018,10,12)</f>
        <v>43385</v>
      </c>
      <c r="H2775" s="34">
        <v>1.2645833333333334</v>
      </c>
      <c r="I2775" s="5" t="s">
        <v>106</v>
      </c>
      <c r="J2775" s="7" t="s">
        <v>15645</v>
      </c>
      <c r="K2775" s="5" t="s">
        <v>565</v>
      </c>
      <c r="L2775" s="5" t="s">
        <v>15646</v>
      </c>
      <c r="M2775" s="5" t="s">
        <v>45</v>
      </c>
      <c r="N2775" s="5" t="s">
        <v>123</v>
      </c>
      <c r="O2775" s="5" t="s">
        <v>46</v>
      </c>
      <c r="P2775" s="7" t="s">
        <v>443</v>
      </c>
      <c r="Q2775" s="7" t="s">
        <v>4810</v>
      </c>
      <c r="R2775" s="7" t="s">
        <v>568</v>
      </c>
      <c r="S2775" s="5">
        <v>0</v>
      </c>
      <c r="T2775" s="36">
        <v>0</v>
      </c>
      <c r="U2775" s="5">
        <v>0</v>
      </c>
      <c r="V2775" s="36">
        <v>0</v>
      </c>
      <c r="W2775" s="5">
        <v>0</v>
      </c>
      <c r="X2775" s="5">
        <v>0</v>
      </c>
      <c r="Y2775" s="5">
        <v>0</v>
      </c>
      <c r="Z2775" s="36">
        <v>0</v>
      </c>
      <c r="AA2775" s="5">
        <v>0</v>
      </c>
      <c r="AB2775" s="5">
        <v>0</v>
      </c>
      <c r="AC2775" s="5">
        <v>0</v>
      </c>
      <c r="AD2775" s="5">
        <v>0</v>
      </c>
      <c r="AE2775" s="7" t="s">
        <v>126</v>
      </c>
      <c r="AF2775" s="7"/>
      <c r="AG2775" s="7" t="s">
        <v>64</v>
      </c>
      <c r="AH2775" s="7">
        <v>43388</v>
      </c>
      <c r="AI2775" s="5">
        <v>2</v>
      </c>
      <c r="AJ2775" s="7" t="s">
        <v>15647</v>
      </c>
      <c r="AK2775" s="7" t="s">
        <v>1215</v>
      </c>
    </row>
    <row r="2776" spans="1:37" customFormat="1" ht="36.75" customHeight="1" x14ac:dyDescent="0.35">
      <c r="A2776" s="5"/>
      <c r="B2776" s="5" t="s">
        <v>37</v>
      </c>
      <c r="C2776" s="73" t="str">
        <f t="shared" si="43"/>
        <v>Closed</v>
      </c>
      <c r="D2776" s="45" t="s">
        <v>15648</v>
      </c>
      <c r="E2776" s="54" t="s">
        <v>15649</v>
      </c>
      <c r="F2776" s="5" t="s">
        <v>9767</v>
      </c>
      <c r="G2776" s="7">
        <f>DATE(2018,10,13)</f>
        <v>43386</v>
      </c>
      <c r="H2776" s="34">
        <v>1.6111111111111112</v>
      </c>
      <c r="I2776" s="5" t="s">
        <v>9004</v>
      </c>
      <c r="J2776" s="7" t="s">
        <v>15650</v>
      </c>
      <c r="K2776" s="5" t="s">
        <v>9769</v>
      </c>
      <c r="L2776" s="5" t="s">
        <v>15651</v>
      </c>
      <c r="M2776" s="5" t="s">
        <v>45</v>
      </c>
      <c r="N2776" s="5" t="s">
        <v>80</v>
      </c>
      <c r="O2776" s="5" t="s">
        <v>46</v>
      </c>
      <c r="P2776" s="7" t="s">
        <v>6920</v>
      </c>
      <c r="Q2776" s="7" t="s">
        <v>9938</v>
      </c>
      <c r="R2776" s="7" t="s">
        <v>9772</v>
      </c>
      <c r="S2776" s="5">
        <v>0</v>
      </c>
      <c r="T2776" s="36">
        <v>0</v>
      </c>
      <c r="U2776" s="5">
        <v>0</v>
      </c>
      <c r="V2776" s="36">
        <v>0</v>
      </c>
      <c r="W2776" s="5">
        <v>0</v>
      </c>
      <c r="X2776" s="5">
        <v>0</v>
      </c>
      <c r="Y2776" s="5">
        <v>0</v>
      </c>
      <c r="Z2776" s="36">
        <v>0</v>
      </c>
      <c r="AA2776" s="5">
        <v>0</v>
      </c>
      <c r="AB2776" s="5">
        <v>0</v>
      </c>
      <c r="AC2776" s="5">
        <v>0</v>
      </c>
      <c r="AD2776" s="5">
        <v>0</v>
      </c>
      <c r="AE2776" s="7" t="s">
        <v>73</v>
      </c>
      <c r="AF2776" s="7"/>
      <c r="AG2776" s="7" t="s">
        <v>570</v>
      </c>
      <c r="AH2776" s="7">
        <v>43390</v>
      </c>
      <c r="AI2776" s="5">
        <v>7</v>
      </c>
      <c r="AJ2776" s="7" t="s">
        <v>15652</v>
      </c>
      <c r="AK2776" s="7" t="s">
        <v>15653</v>
      </c>
    </row>
    <row r="2777" spans="1:37" customFormat="1" ht="36.75" customHeight="1" x14ac:dyDescent="0.35">
      <c r="A2777" s="5"/>
      <c r="B2777" s="5" t="s">
        <v>37</v>
      </c>
      <c r="C2777" s="73" t="str">
        <f t="shared" si="43"/>
        <v>Closed</v>
      </c>
      <c r="D2777" s="45" t="s">
        <v>15654</v>
      </c>
      <c r="E2777" s="54" t="s">
        <v>15655</v>
      </c>
      <c r="F2777" s="5" t="s">
        <v>358</v>
      </c>
      <c r="G2777" s="7">
        <f>DATE(2018,10,17)</f>
        <v>43390</v>
      </c>
      <c r="H2777" s="34">
        <v>1.7673611111111112</v>
      </c>
      <c r="I2777" s="5" t="s">
        <v>106</v>
      </c>
      <c r="J2777" s="7" t="s">
        <v>15656</v>
      </c>
      <c r="K2777" s="5" t="s">
        <v>360</v>
      </c>
      <c r="L2777" s="5" t="s">
        <v>15657</v>
      </c>
      <c r="M2777" s="5" t="s">
        <v>45</v>
      </c>
      <c r="N2777" s="5" t="s">
        <v>80</v>
      </c>
      <c r="O2777" s="5" t="s">
        <v>46</v>
      </c>
      <c r="P2777" s="7" t="s">
        <v>60</v>
      </c>
      <c r="Q2777" s="7" t="s">
        <v>3889</v>
      </c>
      <c r="R2777" s="7" t="s">
        <v>363</v>
      </c>
      <c r="S2777" s="5">
        <v>0</v>
      </c>
      <c r="T2777" s="36">
        <v>0</v>
      </c>
      <c r="U2777" s="5">
        <v>0</v>
      </c>
      <c r="V2777" s="36">
        <v>0</v>
      </c>
      <c r="W2777" s="5">
        <v>0</v>
      </c>
      <c r="X2777" s="5">
        <v>0</v>
      </c>
      <c r="Y2777" s="5">
        <v>0</v>
      </c>
      <c r="Z2777" s="36">
        <v>0</v>
      </c>
      <c r="AA2777" s="5">
        <v>0</v>
      </c>
      <c r="AB2777" s="5">
        <v>0</v>
      </c>
      <c r="AC2777" s="5">
        <v>0</v>
      </c>
      <c r="AD2777" s="5">
        <v>0</v>
      </c>
      <c r="AE2777" s="7" t="s">
        <v>375</v>
      </c>
      <c r="AF2777" s="7"/>
      <c r="AG2777" s="7" t="s">
        <v>64</v>
      </c>
      <c r="AH2777" s="7">
        <v>43423</v>
      </c>
      <c r="AI2777" s="5">
        <v>5</v>
      </c>
      <c r="AJ2777" s="7" t="s">
        <v>15658</v>
      </c>
      <c r="AK2777" s="7" t="s">
        <v>15659</v>
      </c>
    </row>
    <row r="2778" spans="1:37" customFormat="1" ht="36.75" customHeight="1" x14ac:dyDescent="0.35">
      <c r="A2778" s="5"/>
      <c r="B2778" s="5" t="s">
        <v>37</v>
      </c>
      <c r="C2778" s="73" t="str">
        <f t="shared" si="43"/>
        <v>Closed</v>
      </c>
      <c r="D2778" s="45" t="s">
        <v>15660</v>
      </c>
      <c r="E2778" s="54" t="s">
        <v>15661</v>
      </c>
      <c r="F2778" s="5" t="s">
        <v>214</v>
      </c>
      <c r="G2778" s="7">
        <f>DATE(2018,10,19)</f>
        <v>43392</v>
      </c>
      <c r="H2778" s="34">
        <v>1.6090277777777779</v>
      </c>
      <c r="I2778" s="5" t="s">
        <v>2059</v>
      </c>
      <c r="J2778" s="7" t="s">
        <v>15662</v>
      </c>
      <c r="K2778" s="5" t="s">
        <v>216</v>
      </c>
      <c r="L2778" s="5" t="s">
        <v>15663</v>
      </c>
      <c r="M2778" s="5" t="s">
        <v>45</v>
      </c>
      <c r="N2778" s="5" t="s">
        <v>123</v>
      </c>
      <c r="O2778" s="5" t="s">
        <v>46</v>
      </c>
      <c r="P2778" s="7" t="s">
        <v>443</v>
      </c>
      <c r="Q2778" s="7" t="s">
        <v>699</v>
      </c>
      <c r="R2778" s="7" t="s">
        <v>216</v>
      </c>
      <c r="S2778" s="5">
        <v>0</v>
      </c>
      <c r="T2778" s="36">
        <v>0</v>
      </c>
      <c r="U2778" s="5">
        <v>0</v>
      </c>
      <c r="V2778" s="36">
        <v>0</v>
      </c>
      <c r="W2778" s="5">
        <v>0</v>
      </c>
      <c r="X2778" s="5">
        <v>0</v>
      </c>
      <c r="Y2778" s="5">
        <v>0</v>
      </c>
      <c r="Z2778" s="36">
        <v>0</v>
      </c>
      <c r="AA2778" s="5">
        <v>0</v>
      </c>
      <c r="AB2778" s="5">
        <v>0</v>
      </c>
      <c r="AC2778" s="5">
        <v>0</v>
      </c>
      <c r="AD2778" s="5">
        <v>0</v>
      </c>
      <c r="AE2778" s="7" t="s">
        <v>73</v>
      </c>
      <c r="AF2778" s="7"/>
      <c r="AG2778" s="7" t="s">
        <v>114</v>
      </c>
      <c r="AH2778" s="7">
        <v>43423</v>
      </c>
      <c r="AI2778" s="5">
        <v>5</v>
      </c>
      <c r="AJ2778" s="7" t="s">
        <v>15664</v>
      </c>
      <c r="AK2778" s="7" t="s">
        <v>15665</v>
      </c>
    </row>
    <row r="2779" spans="1:37" customFormat="1" ht="36.75" customHeight="1" x14ac:dyDescent="0.35">
      <c r="A2779" s="5"/>
      <c r="B2779" s="5" t="s">
        <v>37</v>
      </c>
      <c r="C2779" s="73" t="str">
        <f t="shared" si="43"/>
        <v>Closed</v>
      </c>
      <c r="D2779" s="45" t="s">
        <v>15666</v>
      </c>
      <c r="E2779" s="54" t="s">
        <v>15667</v>
      </c>
      <c r="F2779" s="5" t="s">
        <v>9767</v>
      </c>
      <c r="G2779" s="7">
        <f>DATE(2018,10,21)</f>
        <v>43394</v>
      </c>
      <c r="H2779" s="34">
        <v>1.3055555555555556</v>
      </c>
      <c r="I2779" s="5" t="s">
        <v>55</v>
      </c>
      <c r="J2779" s="7" t="s">
        <v>15668</v>
      </c>
      <c r="K2779" s="5" t="s">
        <v>9769</v>
      </c>
      <c r="L2779" s="5" t="s">
        <v>15669</v>
      </c>
      <c r="M2779" s="5" t="s">
        <v>45</v>
      </c>
      <c r="N2779" s="5" t="s">
        <v>80</v>
      </c>
      <c r="O2779" s="5" t="s">
        <v>46</v>
      </c>
      <c r="P2779" s="7" t="s">
        <v>6920</v>
      </c>
      <c r="Q2779" s="7" t="s">
        <v>9938</v>
      </c>
      <c r="R2779" s="7" t="s">
        <v>9772</v>
      </c>
      <c r="S2779" s="5">
        <v>0</v>
      </c>
      <c r="T2779" s="36">
        <v>0</v>
      </c>
      <c r="U2779" s="5">
        <v>0</v>
      </c>
      <c r="V2779" s="36">
        <v>0</v>
      </c>
      <c r="W2779" s="5">
        <v>0</v>
      </c>
      <c r="X2779" s="5">
        <v>0</v>
      </c>
      <c r="Y2779" s="5">
        <v>0</v>
      </c>
      <c r="Z2779" s="36">
        <v>0</v>
      </c>
      <c r="AA2779" s="5">
        <v>0</v>
      </c>
      <c r="AB2779" s="5">
        <v>0</v>
      </c>
      <c r="AC2779" s="5">
        <v>0</v>
      </c>
      <c r="AD2779" s="5">
        <v>0</v>
      </c>
      <c r="AE2779" s="7" t="s">
        <v>73</v>
      </c>
      <c r="AF2779" s="7"/>
      <c r="AG2779" s="7" t="s">
        <v>114</v>
      </c>
      <c r="AH2779" s="7">
        <v>43398</v>
      </c>
      <c r="AI2779" s="5">
        <v>2</v>
      </c>
      <c r="AJ2779" s="7" t="s">
        <v>15670</v>
      </c>
      <c r="AK2779" s="7" t="s">
        <v>15671</v>
      </c>
    </row>
    <row r="2780" spans="1:37" customFormat="1" ht="36.75" customHeight="1" x14ac:dyDescent="0.35">
      <c r="A2780" s="5"/>
      <c r="B2780" s="5" t="s">
        <v>37</v>
      </c>
      <c r="C2780" s="73" t="str">
        <f t="shared" si="43"/>
        <v>Closed</v>
      </c>
      <c r="D2780" s="45" t="s">
        <v>15672</v>
      </c>
      <c r="E2780" s="54" t="s">
        <v>15673</v>
      </c>
      <c r="F2780" s="5" t="s">
        <v>105</v>
      </c>
      <c r="G2780" s="7">
        <f>DATE(2018,10,21)</f>
        <v>43394</v>
      </c>
      <c r="H2780" s="34">
        <v>1.5208333333333335</v>
      </c>
      <c r="I2780" s="5" t="s">
        <v>468</v>
      </c>
      <c r="J2780" s="7" t="s">
        <v>15674</v>
      </c>
      <c r="K2780" s="5" t="s">
        <v>108</v>
      </c>
      <c r="L2780" s="5" t="s">
        <v>15675</v>
      </c>
      <c r="M2780" s="5" t="s">
        <v>45</v>
      </c>
      <c r="N2780" s="5" t="s">
        <v>80</v>
      </c>
      <c r="O2780" s="5" t="s">
        <v>6854</v>
      </c>
      <c r="P2780" s="7" t="s">
        <v>15676</v>
      </c>
      <c r="Q2780" s="7" t="s">
        <v>15677</v>
      </c>
      <c r="R2780" s="7" t="s">
        <v>148</v>
      </c>
      <c r="S2780" s="5">
        <v>0</v>
      </c>
      <c r="T2780" s="36">
        <v>0</v>
      </c>
      <c r="U2780" s="5">
        <v>0</v>
      </c>
      <c r="V2780" s="36">
        <v>0</v>
      </c>
      <c r="W2780" s="5">
        <v>0</v>
      </c>
      <c r="X2780" s="5">
        <v>0</v>
      </c>
      <c r="Y2780" s="5">
        <v>0</v>
      </c>
      <c r="Z2780" s="36">
        <v>0</v>
      </c>
      <c r="AA2780" s="5">
        <v>0</v>
      </c>
      <c r="AB2780" s="5">
        <v>0</v>
      </c>
      <c r="AC2780" s="5">
        <v>0</v>
      </c>
      <c r="AD2780" s="5">
        <v>0</v>
      </c>
      <c r="AE2780" s="7" t="s">
        <v>73</v>
      </c>
      <c r="AF2780" s="7"/>
      <c r="AG2780" s="7" t="s">
        <v>570</v>
      </c>
      <c r="AH2780" s="7">
        <v>43402</v>
      </c>
      <c r="AI2780" s="5">
        <v>1</v>
      </c>
      <c r="AJ2780" s="7" t="s">
        <v>15678</v>
      </c>
      <c r="AK2780" s="7" t="s">
        <v>50</v>
      </c>
    </row>
    <row r="2781" spans="1:37" customFormat="1" ht="36.75" customHeight="1" x14ac:dyDescent="0.35">
      <c r="A2781" s="5"/>
      <c r="B2781" s="5" t="s">
        <v>37</v>
      </c>
      <c r="C2781" s="73" t="str">
        <f t="shared" si="43"/>
        <v>Closed</v>
      </c>
      <c r="D2781" s="45" t="s">
        <v>15679</v>
      </c>
      <c r="E2781" s="54" t="s">
        <v>15680</v>
      </c>
      <c r="F2781" s="5" t="s">
        <v>404</v>
      </c>
      <c r="G2781" s="7">
        <f>DATE(2018,10,23)</f>
        <v>43396</v>
      </c>
      <c r="H2781" s="34">
        <v>1.3729166666666666</v>
      </c>
      <c r="I2781" s="5" t="s">
        <v>85</v>
      </c>
      <c r="J2781" s="7" t="s">
        <v>15681</v>
      </c>
      <c r="K2781" s="5" t="s">
        <v>406</v>
      </c>
      <c r="L2781" s="5" t="s">
        <v>15682</v>
      </c>
      <c r="M2781" s="5" t="s">
        <v>45</v>
      </c>
      <c r="N2781" s="5" t="s">
        <v>80</v>
      </c>
      <c r="O2781" s="5" t="s">
        <v>59</v>
      </c>
      <c r="P2781" s="7" t="s">
        <v>146</v>
      </c>
      <c r="Q2781" s="7" t="s">
        <v>4531</v>
      </c>
      <c r="R2781" s="7" t="s">
        <v>3083</v>
      </c>
      <c r="S2781" s="5">
        <v>0</v>
      </c>
      <c r="T2781" s="36">
        <v>0</v>
      </c>
      <c r="U2781" s="5">
        <v>0</v>
      </c>
      <c r="V2781" s="36">
        <v>0</v>
      </c>
      <c r="W2781" s="5">
        <v>0</v>
      </c>
      <c r="X2781" s="5">
        <v>0</v>
      </c>
      <c r="Y2781" s="5">
        <v>0</v>
      </c>
      <c r="Z2781" s="36">
        <v>0</v>
      </c>
      <c r="AA2781" s="5">
        <v>0</v>
      </c>
      <c r="AB2781" s="5">
        <v>0</v>
      </c>
      <c r="AC2781" s="5">
        <v>0</v>
      </c>
      <c r="AD2781" s="5">
        <v>0</v>
      </c>
      <c r="AE2781" s="7" t="s">
        <v>73</v>
      </c>
      <c r="AF2781" s="7"/>
      <c r="AG2781" s="7" t="s">
        <v>333</v>
      </c>
      <c r="AH2781" s="7">
        <v>43396</v>
      </c>
      <c r="AI2781" s="5">
        <v>1</v>
      </c>
      <c r="AJ2781" s="7" t="s">
        <v>15683</v>
      </c>
      <c r="AK2781" s="7" t="s">
        <v>15684</v>
      </c>
    </row>
    <row r="2782" spans="1:37" customFormat="1" ht="36.75" customHeight="1" x14ac:dyDescent="0.35">
      <c r="A2782" s="5"/>
      <c r="B2782" s="5" t="s">
        <v>37</v>
      </c>
      <c r="C2782" s="73" t="str">
        <f t="shared" si="43"/>
        <v>Closed</v>
      </c>
      <c r="D2782" s="45" t="s">
        <v>15685</v>
      </c>
      <c r="E2782" s="54" t="s">
        <v>15686</v>
      </c>
      <c r="F2782" s="5" t="s">
        <v>816</v>
      </c>
      <c r="G2782" s="7">
        <f>DATE(2018,10,25)</f>
        <v>43398</v>
      </c>
      <c r="H2782" s="34">
        <v>1.7291666666666665</v>
      </c>
      <c r="I2782" s="5" t="s">
        <v>97</v>
      </c>
      <c r="J2782" s="7" t="s">
        <v>15687</v>
      </c>
      <c r="K2782" s="5" t="s">
        <v>818</v>
      </c>
      <c r="L2782" s="5" t="s">
        <v>15688</v>
      </c>
      <c r="M2782" s="5" t="s">
        <v>45</v>
      </c>
      <c r="N2782" s="5" t="s">
        <v>80</v>
      </c>
      <c r="O2782" s="5" t="s">
        <v>46</v>
      </c>
      <c r="P2782" s="7" t="s">
        <v>146</v>
      </c>
      <c r="Q2782" s="7" t="s">
        <v>818</v>
      </c>
      <c r="R2782" s="7" t="s">
        <v>818</v>
      </c>
      <c r="S2782" s="5">
        <v>0</v>
      </c>
      <c r="T2782" s="36">
        <v>0</v>
      </c>
      <c r="U2782" s="5">
        <v>4</v>
      </c>
      <c r="V2782" s="36">
        <v>0</v>
      </c>
      <c r="W2782" s="5">
        <v>0</v>
      </c>
      <c r="X2782" s="5">
        <v>4</v>
      </c>
      <c r="Y2782" s="5">
        <v>0</v>
      </c>
      <c r="Z2782" s="36">
        <v>0</v>
      </c>
      <c r="AA2782" s="5">
        <v>0</v>
      </c>
      <c r="AB2782" s="5">
        <v>0</v>
      </c>
      <c r="AC2782" s="5">
        <v>0</v>
      </c>
      <c r="AD2782" s="5">
        <v>0</v>
      </c>
      <c r="AE2782" s="7" t="s">
        <v>73</v>
      </c>
      <c r="AF2782" s="7"/>
      <c r="AG2782" s="7" t="s">
        <v>2064</v>
      </c>
      <c r="AH2782" s="7">
        <v>43399</v>
      </c>
      <c r="AI2782" s="5">
        <v>0</v>
      </c>
      <c r="AJ2782" s="7" t="s">
        <v>15689</v>
      </c>
      <c r="AK2782" s="7" t="s">
        <v>1215</v>
      </c>
    </row>
    <row r="2783" spans="1:37" customFormat="1" ht="36.75" customHeight="1" x14ac:dyDescent="0.35">
      <c r="A2783" s="5"/>
      <c r="B2783" s="5" t="s">
        <v>37</v>
      </c>
      <c r="C2783" s="73" t="str">
        <f t="shared" si="43"/>
        <v>Closed</v>
      </c>
      <c r="D2783" s="45" t="s">
        <v>15690</v>
      </c>
      <c r="E2783" s="54" t="s">
        <v>15691</v>
      </c>
      <c r="F2783" s="5" t="s">
        <v>1553</v>
      </c>
      <c r="G2783" s="7">
        <f>DATE(2018,10,25)</f>
        <v>43398</v>
      </c>
      <c r="H2783" s="34">
        <v>1.4791666666666667</v>
      </c>
      <c r="I2783" s="5" t="s">
        <v>55</v>
      </c>
      <c r="J2783" s="7" t="s">
        <v>15692</v>
      </c>
      <c r="K2783" s="5" t="s">
        <v>1555</v>
      </c>
      <c r="L2783" s="5" t="s">
        <v>15693</v>
      </c>
      <c r="M2783" s="5" t="s">
        <v>45</v>
      </c>
      <c r="N2783" s="5" t="s">
        <v>80</v>
      </c>
      <c r="O2783" s="5" t="s">
        <v>59</v>
      </c>
      <c r="P2783" s="7" t="s">
        <v>60</v>
      </c>
      <c r="Q2783" s="7" t="s">
        <v>15538</v>
      </c>
      <c r="R2783" s="7" t="s">
        <v>6413</v>
      </c>
      <c r="S2783" s="5">
        <v>0</v>
      </c>
      <c r="T2783" s="36">
        <v>0</v>
      </c>
      <c r="U2783" s="5">
        <v>0</v>
      </c>
      <c r="V2783" s="36">
        <v>0</v>
      </c>
      <c r="W2783" s="5">
        <v>0</v>
      </c>
      <c r="X2783" s="5">
        <v>0</v>
      </c>
      <c r="Y2783" s="5">
        <v>0</v>
      </c>
      <c r="Z2783" s="36">
        <v>0</v>
      </c>
      <c r="AA2783" s="5">
        <v>0</v>
      </c>
      <c r="AB2783" s="5">
        <v>0</v>
      </c>
      <c r="AC2783" s="5">
        <v>0</v>
      </c>
      <c r="AD2783" s="5">
        <v>0</v>
      </c>
      <c r="AE2783" s="7" t="s">
        <v>73</v>
      </c>
      <c r="AF2783" s="7"/>
      <c r="AG2783" s="7" t="s">
        <v>114</v>
      </c>
      <c r="AH2783" s="7">
        <v>43399</v>
      </c>
      <c r="AI2783" s="5">
        <v>0</v>
      </c>
      <c r="AJ2783" s="7" t="s">
        <v>15694</v>
      </c>
      <c r="AK2783" s="7" t="s">
        <v>1215</v>
      </c>
    </row>
    <row r="2784" spans="1:37" customFormat="1" ht="36.75" customHeight="1" x14ac:dyDescent="0.35">
      <c r="A2784" s="5"/>
      <c r="B2784" s="5" t="s">
        <v>37</v>
      </c>
      <c r="C2784" s="73" t="str">
        <f t="shared" si="43"/>
        <v>Closed</v>
      </c>
      <c r="D2784" s="45" t="s">
        <v>15695</v>
      </c>
      <c r="E2784" s="54" t="s">
        <v>15696</v>
      </c>
      <c r="F2784" s="5" t="s">
        <v>404</v>
      </c>
      <c r="G2784" s="7">
        <f>DATE(2018,10,28)</f>
        <v>43401</v>
      </c>
      <c r="H2784" s="34">
        <v>1.5944444444444446</v>
      </c>
      <c r="I2784" s="5" t="s">
        <v>97</v>
      </c>
      <c r="J2784" s="7" t="s">
        <v>15697</v>
      </c>
      <c r="K2784" s="5" t="s">
        <v>406</v>
      </c>
      <c r="L2784" s="5" t="s">
        <v>15698</v>
      </c>
      <c r="M2784" s="5" t="s">
        <v>45</v>
      </c>
      <c r="N2784" s="5" t="s">
        <v>80</v>
      </c>
      <c r="O2784" s="5" t="s">
        <v>46</v>
      </c>
      <c r="P2784" s="7" t="s">
        <v>146</v>
      </c>
      <c r="Q2784" s="7" t="s">
        <v>4531</v>
      </c>
      <c r="R2784" s="7" t="s">
        <v>3083</v>
      </c>
      <c r="S2784" s="5">
        <v>0</v>
      </c>
      <c r="T2784" s="36">
        <v>0</v>
      </c>
      <c r="U2784" s="5">
        <v>1</v>
      </c>
      <c r="V2784" s="36">
        <v>0</v>
      </c>
      <c r="W2784" s="5">
        <v>0</v>
      </c>
      <c r="X2784" s="5">
        <v>1</v>
      </c>
      <c r="Y2784" s="5">
        <v>0</v>
      </c>
      <c r="Z2784" s="36">
        <v>0</v>
      </c>
      <c r="AA2784" s="5">
        <v>1</v>
      </c>
      <c r="AB2784" s="5">
        <v>0</v>
      </c>
      <c r="AC2784" s="5">
        <v>0</v>
      </c>
      <c r="AD2784" s="5">
        <v>1</v>
      </c>
      <c r="AE2784" s="7" t="s">
        <v>73</v>
      </c>
      <c r="AF2784" s="7"/>
      <c r="AG2784" s="7" t="s">
        <v>855</v>
      </c>
      <c r="AH2784" s="7">
        <v>43401</v>
      </c>
      <c r="AI2784" s="5">
        <v>0</v>
      </c>
      <c r="AJ2784" s="7" t="s">
        <v>15699</v>
      </c>
      <c r="AK2784" s="7" t="s">
        <v>15700</v>
      </c>
    </row>
    <row r="2785" spans="1:37" customFormat="1" ht="36.75" customHeight="1" x14ac:dyDescent="0.35">
      <c r="A2785" s="5"/>
      <c r="B2785" s="5" t="s">
        <v>37</v>
      </c>
      <c r="C2785" s="73" t="str">
        <f t="shared" si="43"/>
        <v>Closed</v>
      </c>
      <c r="D2785" s="45" t="s">
        <v>15701</v>
      </c>
      <c r="E2785" s="54" t="s">
        <v>15702</v>
      </c>
      <c r="F2785" s="5" t="s">
        <v>404</v>
      </c>
      <c r="G2785" s="7">
        <f>DATE(2018,11,5)</f>
        <v>43409</v>
      </c>
      <c r="H2785" s="34">
        <v>1.6131944444444444</v>
      </c>
      <c r="I2785" s="5" t="s">
        <v>97</v>
      </c>
      <c r="J2785" s="7" t="s">
        <v>15703</v>
      </c>
      <c r="K2785" s="5" t="s">
        <v>406</v>
      </c>
      <c r="L2785" s="5" t="s">
        <v>15704</v>
      </c>
      <c r="M2785" s="5" t="s">
        <v>45</v>
      </c>
      <c r="N2785" s="5" t="s">
        <v>80</v>
      </c>
      <c r="O2785" s="5" t="s">
        <v>46</v>
      </c>
      <c r="P2785" s="7" t="s">
        <v>146</v>
      </c>
      <c r="Q2785" s="7" t="s">
        <v>4531</v>
      </c>
      <c r="R2785" s="7" t="s">
        <v>3083</v>
      </c>
      <c r="S2785" s="5">
        <v>0</v>
      </c>
      <c r="T2785" s="36">
        <v>0</v>
      </c>
      <c r="U2785" s="5">
        <v>1</v>
      </c>
      <c r="V2785" s="36">
        <v>0</v>
      </c>
      <c r="W2785" s="5">
        <v>0</v>
      </c>
      <c r="X2785" s="5">
        <v>1</v>
      </c>
      <c r="Y2785" s="5">
        <v>0</v>
      </c>
      <c r="Z2785" s="36">
        <v>0</v>
      </c>
      <c r="AA2785" s="5">
        <v>0</v>
      </c>
      <c r="AB2785" s="5">
        <v>0</v>
      </c>
      <c r="AC2785" s="5">
        <v>0</v>
      </c>
      <c r="AD2785" s="5">
        <v>0</v>
      </c>
      <c r="AE2785" s="7" t="s">
        <v>73</v>
      </c>
      <c r="AF2785" s="7"/>
      <c r="AG2785" s="7" t="s">
        <v>855</v>
      </c>
      <c r="AH2785" s="7">
        <v>43231</v>
      </c>
      <c r="AI2785" s="5">
        <v>1</v>
      </c>
      <c r="AJ2785" s="7" t="s">
        <v>15076</v>
      </c>
      <c r="AK2785" s="7" t="s">
        <v>15705</v>
      </c>
    </row>
    <row r="2786" spans="1:37" customFormat="1" ht="36.75" customHeight="1" x14ac:dyDescent="0.35">
      <c r="A2786" s="5"/>
      <c r="B2786" s="5" t="s">
        <v>37</v>
      </c>
      <c r="C2786" s="73" t="str">
        <f t="shared" si="43"/>
        <v>Closed</v>
      </c>
      <c r="D2786" s="45" t="s">
        <v>15706</v>
      </c>
      <c r="E2786" s="54" t="s">
        <v>15707</v>
      </c>
      <c r="F2786" s="5" t="s">
        <v>214</v>
      </c>
      <c r="G2786" s="7">
        <f>DATE(2018,11,6)</f>
        <v>43410</v>
      </c>
      <c r="H2786" s="34">
        <v>1.0194444444444444</v>
      </c>
      <c r="I2786" s="5" t="s">
        <v>259</v>
      </c>
      <c r="J2786" s="7" t="s">
        <v>15708</v>
      </c>
      <c r="K2786" s="5" t="s">
        <v>216</v>
      </c>
      <c r="L2786" s="5" t="s">
        <v>15709</v>
      </c>
      <c r="M2786" s="5" t="s">
        <v>45</v>
      </c>
      <c r="N2786" s="5" t="s">
        <v>70</v>
      </c>
      <c r="O2786" s="5" t="s">
        <v>46</v>
      </c>
      <c r="P2786" s="7" t="s">
        <v>6920</v>
      </c>
      <c r="Q2786" s="7" t="s">
        <v>450</v>
      </c>
      <c r="R2786" s="7" t="s">
        <v>216</v>
      </c>
      <c r="S2786" s="5">
        <v>0</v>
      </c>
      <c r="T2786" s="36">
        <v>1</v>
      </c>
      <c r="U2786" s="5">
        <v>0</v>
      </c>
      <c r="V2786" s="36">
        <v>0</v>
      </c>
      <c r="W2786" s="5">
        <v>0</v>
      </c>
      <c r="X2786" s="5">
        <v>1</v>
      </c>
      <c r="Y2786" s="5">
        <v>0</v>
      </c>
      <c r="Z2786" s="36">
        <v>0</v>
      </c>
      <c r="AA2786" s="5">
        <v>0</v>
      </c>
      <c r="AB2786" s="5">
        <v>0</v>
      </c>
      <c r="AC2786" s="5">
        <v>0</v>
      </c>
      <c r="AD2786" s="5">
        <v>0</v>
      </c>
      <c r="AE2786" s="7" t="s">
        <v>73</v>
      </c>
      <c r="AF2786" s="7"/>
      <c r="AG2786" s="7" t="s">
        <v>64</v>
      </c>
      <c r="AH2786" s="7">
        <v>43416</v>
      </c>
      <c r="AI2786" s="5">
        <v>2</v>
      </c>
      <c r="AJ2786" s="7" t="s">
        <v>15710</v>
      </c>
      <c r="AK2786" s="7" t="s">
        <v>15711</v>
      </c>
    </row>
    <row r="2787" spans="1:37" customFormat="1" ht="36.75" customHeight="1" x14ac:dyDescent="0.35">
      <c r="A2787" s="5"/>
      <c r="B2787" s="5" t="s">
        <v>37</v>
      </c>
      <c r="C2787" s="73" t="str">
        <f t="shared" si="43"/>
        <v>Closed</v>
      </c>
      <c r="D2787" s="45" t="s">
        <v>15712</v>
      </c>
      <c r="E2787" s="54" t="s">
        <v>15713</v>
      </c>
      <c r="F2787" s="5" t="s">
        <v>1553</v>
      </c>
      <c r="G2787" s="7">
        <f>DATE(2018,11,7)</f>
        <v>43411</v>
      </c>
      <c r="H2787" s="34">
        <v>1.8958333333333335</v>
      </c>
      <c r="I2787" s="5" t="s">
        <v>55</v>
      </c>
      <c r="J2787" s="7" t="s">
        <v>15714</v>
      </c>
      <c r="K2787" s="5" t="s">
        <v>1555</v>
      </c>
      <c r="L2787" s="5" t="s">
        <v>11349</v>
      </c>
      <c r="M2787" s="5" t="s">
        <v>45</v>
      </c>
      <c r="N2787" s="5" t="s">
        <v>123</v>
      </c>
      <c r="O2787" s="5" t="s">
        <v>59</v>
      </c>
      <c r="P2787" s="7" t="s">
        <v>6920</v>
      </c>
      <c r="Q2787" s="7" t="s">
        <v>2393</v>
      </c>
      <c r="R2787" s="7" t="s">
        <v>6413</v>
      </c>
      <c r="S2787" s="5">
        <v>0</v>
      </c>
      <c r="T2787" s="36">
        <v>0</v>
      </c>
      <c r="U2787" s="5">
        <v>0</v>
      </c>
      <c r="V2787" s="36">
        <v>0</v>
      </c>
      <c r="W2787" s="5">
        <v>0</v>
      </c>
      <c r="X2787" s="5">
        <v>0</v>
      </c>
      <c r="Y2787" s="5">
        <v>0</v>
      </c>
      <c r="Z2787" s="36">
        <v>0</v>
      </c>
      <c r="AA2787" s="5">
        <v>0</v>
      </c>
      <c r="AB2787" s="5">
        <v>0</v>
      </c>
      <c r="AC2787" s="5">
        <v>0</v>
      </c>
      <c r="AD2787" s="5">
        <v>0</v>
      </c>
      <c r="AE2787" s="7" t="s">
        <v>73</v>
      </c>
      <c r="AF2787" s="7"/>
      <c r="AG2787" s="7" t="s">
        <v>114</v>
      </c>
      <c r="AH2787" s="7">
        <v>43412</v>
      </c>
      <c r="AI2787" s="5">
        <v>0</v>
      </c>
      <c r="AJ2787" s="7" t="s">
        <v>15715</v>
      </c>
      <c r="AK2787" s="7" t="s">
        <v>15716</v>
      </c>
    </row>
    <row r="2788" spans="1:37" customFormat="1" ht="36.75" customHeight="1" x14ac:dyDescent="0.35">
      <c r="A2788" s="5"/>
      <c r="B2788" s="5" t="s">
        <v>887</v>
      </c>
      <c r="C2788" s="73" t="str">
        <f t="shared" si="43"/>
        <v>Open</v>
      </c>
      <c r="D2788" s="45" t="s">
        <v>15717</v>
      </c>
      <c r="E2788" s="54" t="s">
        <v>15718</v>
      </c>
      <c r="F2788" s="5" t="s">
        <v>575</v>
      </c>
      <c r="G2788" s="7">
        <f>DATE(2018,11,9)</f>
        <v>43413</v>
      </c>
      <c r="H2788" s="34">
        <v>1.7041666666666666</v>
      </c>
      <c r="I2788" s="5" t="s">
        <v>7461</v>
      </c>
      <c r="J2788" s="7" t="s">
        <v>15719</v>
      </c>
      <c r="K2788" s="5" t="s">
        <v>577</v>
      </c>
      <c r="L2788" s="5" t="s">
        <v>15720</v>
      </c>
      <c r="M2788" s="5" t="s">
        <v>45</v>
      </c>
      <c r="N2788" s="5" t="s">
        <v>70</v>
      </c>
      <c r="O2788" s="5" t="s">
        <v>59</v>
      </c>
      <c r="P2788" s="7" t="s">
        <v>47</v>
      </c>
      <c r="Q2788" s="7" t="s">
        <v>10507</v>
      </c>
      <c r="R2788" s="7" t="s">
        <v>12052</v>
      </c>
      <c r="S2788" s="5">
        <v>0</v>
      </c>
      <c r="T2788" s="36">
        <v>0</v>
      </c>
      <c r="U2788" s="5">
        <v>0</v>
      </c>
      <c r="V2788" s="36">
        <v>0</v>
      </c>
      <c r="W2788" s="5">
        <v>0</v>
      </c>
      <c r="X2788" s="5">
        <v>0</v>
      </c>
      <c r="Y2788" s="5">
        <v>0</v>
      </c>
      <c r="Z2788" s="36">
        <v>0</v>
      </c>
      <c r="AA2788" s="5">
        <v>0</v>
      </c>
      <c r="AB2788" s="5">
        <v>0</v>
      </c>
      <c r="AC2788" s="5">
        <v>0</v>
      </c>
      <c r="AD2788" s="5">
        <v>0</v>
      </c>
      <c r="AE2788" s="7" t="s">
        <v>73</v>
      </c>
      <c r="AF2788" s="7"/>
      <c r="AG2788" s="7" t="s">
        <v>114</v>
      </c>
      <c r="AH2788" s="7">
        <v>43434</v>
      </c>
      <c r="AI2788" s="5">
        <v>0</v>
      </c>
      <c r="AJ2788" s="7" t="s">
        <v>50</v>
      </c>
      <c r="AK2788" s="7" t="s">
        <v>50</v>
      </c>
    </row>
    <row r="2789" spans="1:37" customFormat="1" ht="36.75" customHeight="1" x14ac:dyDescent="0.35">
      <c r="A2789" s="5"/>
      <c r="B2789" s="5" t="s">
        <v>37</v>
      </c>
      <c r="C2789" s="73" t="str">
        <f t="shared" si="43"/>
        <v>Closed</v>
      </c>
      <c r="D2789" s="45" t="s">
        <v>15721</v>
      </c>
      <c r="E2789" s="54" t="s">
        <v>15722</v>
      </c>
      <c r="F2789" s="5" t="s">
        <v>1553</v>
      </c>
      <c r="G2789" s="7">
        <f>DATE(2018,11,11)</f>
        <v>43415</v>
      </c>
      <c r="H2789" s="34">
        <v>1.4652777777777777</v>
      </c>
      <c r="I2789" s="5" t="s">
        <v>67</v>
      </c>
      <c r="J2789" s="7" t="s">
        <v>15723</v>
      </c>
      <c r="K2789" s="5" t="s">
        <v>1555</v>
      </c>
      <c r="L2789" s="5" t="s">
        <v>15724</v>
      </c>
      <c r="M2789" s="5" t="s">
        <v>45</v>
      </c>
      <c r="N2789" s="5" t="s">
        <v>123</v>
      </c>
      <c r="O2789" s="5" t="s">
        <v>46</v>
      </c>
      <c r="P2789" s="7" t="s">
        <v>60</v>
      </c>
      <c r="Q2789" s="7" t="s">
        <v>15725</v>
      </c>
      <c r="R2789" s="7" t="s">
        <v>6413</v>
      </c>
      <c r="S2789" s="5">
        <v>0</v>
      </c>
      <c r="T2789" s="36">
        <v>0</v>
      </c>
      <c r="U2789" s="5">
        <v>0</v>
      </c>
      <c r="V2789" s="36">
        <v>0</v>
      </c>
      <c r="W2789" s="5">
        <v>0</v>
      </c>
      <c r="X2789" s="5">
        <v>0</v>
      </c>
      <c r="Y2789" s="5">
        <v>0</v>
      </c>
      <c r="Z2789" s="36">
        <v>0</v>
      </c>
      <c r="AA2789" s="5">
        <v>0</v>
      </c>
      <c r="AB2789" s="5">
        <v>0</v>
      </c>
      <c r="AC2789" s="5">
        <v>0</v>
      </c>
      <c r="AD2789" s="5">
        <v>0</v>
      </c>
      <c r="AE2789" s="7" t="s">
        <v>73</v>
      </c>
      <c r="AF2789" s="7"/>
      <c r="AG2789" s="7" t="s">
        <v>1489</v>
      </c>
      <c r="AH2789" s="7">
        <v>43420</v>
      </c>
      <c r="AI2789" s="5">
        <v>0</v>
      </c>
      <c r="AJ2789" s="7" t="s">
        <v>15726</v>
      </c>
      <c r="AK2789" s="7" t="s">
        <v>1215</v>
      </c>
    </row>
    <row r="2790" spans="1:37" customFormat="1" ht="36.75" customHeight="1" x14ac:dyDescent="0.35">
      <c r="A2790" s="5"/>
      <c r="B2790" s="5" t="s">
        <v>37</v>
      </c>
      <c r="C2790" s="73" t="str">
        <f t="shared" si="43"/>
        <v>Closed</v>
      </c>
      <c r="D2790" s="45" t="s">
        <v>15727</v>
      </c>
      <c r="E2790" s="54" t="s">
        <v>15728</v>
      </c>
      <c r="F2790" s="5" t="s">
        <v>605</v>
      </c>
      <c r="G2790" s="7">
        <f>DATE(2018,11,14)</f>
        <v>43418</v>
      </c>
      <c r="H2790" s="34">
        <v>0</v>
      </c>
      <c r="I2790" s="5" t="s">
        <v>85</v>
      </c>
      <c r="J2790" s="7" t="s">
        <v>4590</v>
      </c>
      <c r="K2790" s="5" t="s">
        <v>607</v>
      </c>
      <c r="L2790" s="5" t="s">
        <v>15729</v>
      </c>
      <c r="M2790" s="5" t="s">
        <v>45</v>
      </c>
      <c r="N2790" s="5" t="s">
        <v>123</v>
      </c>
      <c r="O2790" s="5" t="s">
        <v>59</v>
      </c>
      <c r="P2790" s="7" t="s">
        <v>6881</v>
      </c>
      <c r="Q2790" s="7" t="s">
        <v>7160</v>
      </c>
      <c r="R2790" s="7" t="s">
        <v>610</v>
      </c>
      <c r="S2790" s="5">
        <v>0</v>
      </c>
      <c r="T2790" s="36">
        <v>0</v>
      </c>
      <c r="U2790" s="5">
        <v>0</v>
      </c>
      <c r="V2790" s="36">
        <v>0</v>
      </c>
      <c r="W2790" s="5">
        <v>0</v>
      </c>
      <c r="X2790" s="5">
        <v>0</v>
      </c>
      <c r="Y2790" s="5">
        <v>0</v>
      </c>
      <c r="Z2790" s="36">
        <v>0</v>
      </c>
      <c r="AA2790" s="5">
        <v>0</v>
      </c>
      <c r="AB2790" s="5">
        <v>0</v>
      </c>
      <c r="AC2790" s="5">
        <v>0</v>
      </c>
      <c r="AD2790" s="5">
        <v>0</v>
      </c>
      <c r="AE2790" s="7" t="s">
        <v>73</v>
      </c>
      <c r="AF2790" s="7"/>
      <c r="AG2790" s="7" t="s">
        <v>333</v>
      </c>
      <c r="AH2790" s="7">
        <v>43418</v>
      </c>
      <c r="AI2790" s="5">
        <v>1</v>
      </c>
      <c r="AJ2790" s="7" t="s">
        <v>7930</v>
      </c>
      <c r="AK2790" s="7" t="s">
        <v>50</v>
      </c>
    </row>
    <row r="2791" spans="1:37" customFormat="1" ht="36.75" customHeight="1" x14ac:dyDescent="0.35">
      <c r="A2791" s="5"/>
      <c r="B2791" s="5" t="s">
        <v>37</v>
      </c>
      <c r="C2791" s="73" t="str">
        <f t="shared" si="43"/>
        <v>Closed</v>
      </c>
      <c r="D2791" s="45" t="s">
        <v>15730</v>
      </c>
      <c r="E2791" s="54" t="s">
        <v>15731</v>
      </c>
      <c r="F2791" s="5" t="s">
        <v>404</v>
      </c>
      <c r="G2791" s="7">
        <f>DATE(2018,11,15)</f>
        <v>43419</v>
      </c>
      <c r="H2791" s="34">
        <v>1.9298611111111112</v>
      </c>
      <c r="I2791" s="5" t="s">
        <v>179</v>
      </c>
      <c r="J2791" s="7" t="s">
        <v>15732</v>
      </c>
      <c r="K2791" s="5" t="s">
        <v>406</v>
      </c>
      <c r="L2791" s="5" t="s">
        <v>15733</v>
      </c>
      <c r="M2791" s="5" t="s">
        <v>45</v>
      </c>
      <c r="N2791" s="5" t="s">
        <v>80</v>
      </c>
      <c r="O2791" s="5" t="s">
        <v>67</v>
      </c>
      <c r="P2791" s="7" t="s">
        <v>15734</v>
      </c>
      <c r="Q2791" s="7" t="s">
        <v>15735</v>
      </c>
      <c r="R2791" s="7" t="s">
        <v>15735</v>
      </c>
      <c r="S2791" s="5">
        <v>0</v>
      </c>
      <c r="T2791" s="36">
        <v>0</v>
      </c>
      <c r="U2791" s="5">
        <v>0</v>
      </c>
      <c r="V2791" s="36">
        <v>0</v>
      </c>
      <c r="W2791" s="5">
        <v>0</v>
      </c>
      <c r="X2791" s="5">
        <v>0</v>
      </c>
      <c r="Y2791" s="5">
        <v>0</v>
      </c>
      <c r="Z2791" s="36">
        <v>0</v>
      </c>
      <c r="AA2791" s="5">
        <v>0</v>
      </c>
      <c r="AB2791" s="5">
        <v>0</v>
      </c>
      <c r="AC2791" s="5">
        <v>0</v>
      </c>
      <c r="AD2791" s="5">
        <v>0</v>
      </c>
      <c r="AE2791" s="7" t="s">
        <v>375</v>
      </c>
      <c r="AF2791" s="7"/>
      <c r="AG2791" s="7" t="s">
        <v>114</v>
      </c>
      <c r="AH2791" s="7">
        <v>43771</v>
      </c>
      <c r="AI2791" s="5">
        <v>0</v>
      </c>
      <c r="AJ2791" s="7" t="s">
        <v>15736</v>
      </c>
      <c r="AK2791" s="7" t="s">
        <v>15737</v>
      </c>
    </row>
    <row r="2792" spans="1:37" customFormat="1" ht="36.75" customHeight="1" x14ac:dyDescent="0.35">
      <c r="A2792" s="5"/>
      <c r="B2792" s="5" t="s">
        <v>37</v>
      </c>
      <c r="C2792" s="73" t="str">
        <f t="shared" si="43"/>
        <v>Closed</v>
      </c>
      <c r="D2792" s="45" t="s">
        <v>15738</v>
      </c>
      <c r="E2792" s="54" t="s">
        <v>15739</v>
      </c>
      <c r="F2792" s="5" t="s">
        <v>1553</v>
      </c>
      <c r="G2792" s="7">
        <f>DATE(2018,11,16)</f>
        <v>43420</v>
      </c>
      <c r="H2792" s="34">
        <v>1.4965277777777777</v>
      </c>
      <c r="I2792" s="5" t="s">
        <v>55</v>
      </c>
      <c r="J2792" s="7" t="s">
        <v>15740</v>
      </c>
      <c r="K2792" s="5" t="s">
        <v>1555</v>
      </c>
      <c r="L2792" s="5" t="s">
        <v>15741</v>
      </c>
      <c r="M2792" s="5" t="s">
        <v>45</v>
      </c>
      <c r="N2792" s="5" t="s">
        <v>123</v>
      </c>
      <c r="O2792" s="5" t="s">
        <v>46</v>
      </c>
      <c r="P2792" s="7" t="s">
        <v>282</v>
      </c>
      <c r="Q2792" s="7" t="s">
        <v>6413</v>
      </c>
      <c r="R2792" s="7" t="s">
        <v>6413</v>
      </c>
      <c r="S2792" s="5">
        <v>0</v>
      </c>
      <c r="T2792" s="36">
        <v>0</v>
      </c>
      <c r="U2792" s="5">
        <v>0</v>
      </c>
      <c r="V2792" s="36">
        <v>0</v>
      </c>
      <c r="W2792" s="5">
        <v>0</v>
      </c>
      <c r="X2792" s="5">
        <v>0</v>
      </c>
      <c r="Y2792" s="5">
        <v>0</v>
      </c>
      <c r="Z2792" s="36">
        <v>0</v>
      </c>
      <c r="AA2792" s="5">
        <v>0</v>
      </c>
      <c r="AB2792" s="5">
        <v>0</v>
      </c>
      <c r="AC2792" s="5">
        <v>0</v>
      </c>
      <c r="AD2792" s="5">
        <v>0</v>
      </c>
      <c r="AE2792" s="7" t="s">
        <v>73</v>
      </c>
      <c r="AF2792" s="7"/>
      <c r="AG2792" s="7" t="s">
        <v>114</v>
      </c>
      <c r="AH2792" s="7">
        <v>43423</v>
      </c>
      <c r="AI2792" s="5">
        <v>1</v>
      </c>
      <c r="AJ2792" s="7" t="s">
        <v>15742</v>
      </c>
      <c r="AK2792" s="7" t="s">
        <v>15743</v>
      </c>
    </row>
    <row r="2793" spans="1:37" customFormat="1" ht="36.75" customHeight="1" x14ac:dyDescent="0.35">
      <c r="A2793" s="5"/>
      <c r="B2793" s="5" t="s">
        <v>37</v>
      </c>
      <c r="C2793" s="73" t="str">
        <f t="shared" si="43"/>
        <v>Closed</v>
      </c>
      <c r="D2793" s="45" t="s">
        <v>15744</v>
      </c>
      <c r="E2793" s="54" t="s">
        <v>15745</v>
      </c>
      <c r="F2793" s="5" t="s">
        <v>2316</v>
      </c>
      <c r="G2793" s="7">
        <f>DATE(2018,11,17)</f>
        <v>43421</v>
      </c>
      <c r="H2793" s="34">
        <v>1.4930555555555556</v>
      </c>
      <c r="I2793" s="5" t="s">
        <v>97</v>
      </c>
      <c r="J2793" s="7" t="s">
        <v>15746</v>
      </c>
      <c r="K2793" s="5" t="s">
        <v>2318</v>
      </c>
      <c r="L2793" s="5" t="s">
        <v>15747</v>
      </c>
      <c r="M2793" s="5" t="s">
        <v>45</v>
      </c>
      <c r="N2793" s="5" t="s">
        <v>80</v>
      </c>
      <c r="O2793" s="5" t="s">
        <v>46</v>
      </c>
      <c r="P2793" s="7"/>
      <c r="Q2793" s="7" t="s">
        <v>2318</v>
      </c>
      <c r="R2793" s="7" t="s">
        <v>15748</v>
      </c>
      <c r="S2793" s="5">
        <v>0</v>
      </c>
      <c r="T2793" s="36">
        <v>0</v>
      </c>
      <c r="U2793" s="5">
        <v>2</v>
      </c>
      <c r="V2793" s="36">
        <v>0</v>
      </c>
      <c r="W2793" s="5">
        <v>0</v>
      </c>
      <c r="X2793" s="5">
        <v>2</v>
      </c>
      <c r="Y2793" s="5">
        <v>0</v>
      </c>
      <c r="Z2793" s="36">
        <v>0</v>
      </c>
      <c r="AA2793" s="5">
        <v>0</v>
      </c>
      <c r="AB2793" s="5">
        <v>0</v>
      </c>
      <c r="AC2793" s="5">
        <v>0</v>
      </c>
      <c r="AD2793" s="5">
        <v>0</v>
      </c>
      <c r="AE2793" s="7" t="s">
        <v>73</v>
      </c>
      <c r="AF2793" s="7"/>
      <c r="AG2793" s="7" t="s">
        <v>64</v>
      </c>
      <c r="AH2793" s="7">
        <v>43426</v>
      </c>
      <c r="AI2793" s="5">
        <v>6</v>
      </c>
      <c r="AJ2793" s="7" t="s">
        <v>15749</v>
      </c>
      <c r="AK2793" s="7" t="s">
        <v>15750</v>
      </c>
    </row>
    <row r="2794" spans="1:37" customFormat="1" ht="36.75" customHeight="1" x14ac:dyDescent="0.35">
      <c r="A2794" s="5"/>
      <c r="B2794" s="5" t="s">
        <v>37</v>
      </c>
      <c r="C2794" s="73" t="str">
        <f t="shared" si="43"/>
        <v>Closed</v>
      </c>
      <c r="D2794" s="45" t="s">
        <v>15751</v>
      </c>
      <c r="E2794" s="54" t="s">
        <v>15752</v>
      </c>
      <c r="F2794" s="5" t="s">
        <v>404</v>
      </c>
      <c r="G2794" s="7">
        <f>DATE(2018,11,18)</f>
        <v>43422</v>
      </c>
      <c r="H2794" s="34">
        <v>1.8944444444444444</v>
      </c>
      <c r="I2794" s="5" t="s">
        <v>55</v>
      </c>
      <c r="J2794" s="7" t="s">
        <v>15753</v>
      </c>
      <c r="K2794" s="5" t="s">
        <v>406</v>
      </c>
      <c r="L2794" s="5" t="s">
        <v>11424</v>
      </c>
      <c r="M2794" s="5" t="s">
        <v>45</v>
      </c>
      <c r="N2794" s="5" t="s">
        <v>123</v>
      </c>
      <c r="O2794" s="5" t="s">
        <v>59</v>
      </c>
      <c r="P2794" s="7" t="s">
        <v>60</v>
      </c>
      <c r="Q2794" s="7" t="s">
        <v>5178</v>
      </c>
      <c r="R2794" s="7" t="s">
        <v>3083</v>
      </c>
      <c r="S2794" s="5">
        <v>0</v>
      </c>
      <c r="T2794" s="36">
        <v>0</v>
      </c>
      <c r="U2794" s="5">
        <v>0</v>
      </c>
      <c r="V2794" s="36">
        <v>0</v>
      </c>
      <c r="W2794" s="5">
        <v>0</v>
      </c>
      <c r="X2794" s="5">
        <v>0</v>
      </c>
      <c r="Y2794" s="5">
        <v>0</v>
      </c>
      <c r="Z2794" s="36">
        <v>0</v>
      </c>
      <c r="AA2794" s="5">
        <v>0</v>
      </c>
      <c r="AB2794" s="5">
        <v>0</v>
      </c>
      <c r="AC2794" s="5">
        <v>0</v>
      </c>
      <c r="AD2794" s="5">
        <v>0</v>
      </c>
      <c r="AE2794" s="7" t="s">
        <v>375</v>
      </c>
      <c r="AF2794" s="7"/>
      <c r="AG2794" s="7" t="s">
        <v>64</v>
      </c>
      <c r="AH2794" s="7">
        <v>43422</v>
      </c>
      <c r="AI2794" s="5">
        <v>1</v>
      </c>
      <c r="AJ2794" s="7" t="s">
        <v>15754</v>
      </c>
      <c r="AK2794" s="7" t="s">
        <v>15755</v>
      </c>
    </row>
    <row r="2795" spans="1:37" customFormat="1" ht="36.75" customHeight="1" x14ac:dyDescent="0.35">
      <c r="A2795" s="5"/>
      <c r="B2795" s="5" t="s">
        <v>37</v>
      </c>
      <c r="C2795" s="73" t="str">
        <f t="shared" si="43"/>
        <v>Closed</v>
      </c>
      <c r="D2795" s="45" t="s">
        <v>15756</v>
      </c>
      <c r="E2795" s="54" t="s">
        <v>15757</v>
      </c>
      <c r="F2795" s="5" t="s">
        <v>1553</v>
      </c>
      <c r="G2795" s="7">
        <f>DATE(2018,11,18)</f>
        <v>43422</v>
      </c>
      <c r="H2795" s="34">
        <v>1.9270833333333335</v>
      </c>
      <c r="I2795" s="5" t="s">
        <v>106</v>
      </c>
      <c r="J2795" s="7" t="s">
        <v>15758</v>
      </c>
      <c r="K2795" s="5" t="s">
        <v>1555</v>
      </c>
      <c r="L2795" s="5" t="s">
        <v>15759</v>
      </c>
      <c r="M2795" s="5" t="s">
        <v>45</v>
      </c>
      <c r="N2795" s="5" t="s">
        <v>80</v>
      </c>
      <c r="O2795" s="5" t="s">
        <v>46</v>
      </c>
      <c r="P2795" s="7" t="s">
        <v>6920</v>
      </c>
      <c r="Q2795" s="7" t="s">
        <v>2393</v>
      </c>
      <c r="R2795" s="7" t="s">
        <v>6413</v>
      </c>
      <c r="S2795" s="5">
        <v>0</v>
      </c>
      <c r="T2795" s="36">
        <v>0</v>
      </c>
      <c r="U2795" s="5">
        <v>0</v>
      </c>
      <c r="V2795" s="36">
        <v>0</v>
      </c>
      <c r="W2795" s="5">
        <v>0</v>
      </c>
      <c r="X2795" s="5">
        <v>0</v>
      </c>
      <c r="Y2795" s="5">
        <v>0</v>
      </c>
      <c r="Z2795" s="36">
        <v>0</v>
      </c>
      <c r="AA2795" s="5">
        <v>0</v>
      </c>
      <c r="AB2795" s="5">
        <v>0</v>
      </c>
      <c r="AC2795" s="5">
        <v>0</v>
      </c>
      <c r="AD2795" s="5">
        <v>0</v>
      </c>
      <c r="AE2795" s="7" t="s">
        <v>375</v>
      </c>
      <c r="AF2795" s="7"/>
      <c r="AG2795" s="7" t="s">
        <v>114</v>
      </c>
      <c r="AH2795" s="7">
        <v>43423</v>
      </c>
      <c r="AI2795" s="5">
        <v>3</v>
      </c>
      <c r="AJ2795" s="7" t="s">
        <v>15760</v>
      </c>
      <c r="AK2795" s="7" t="s">
        <v>15761</v>
      </c>
    </row>
    <row r="2796" spans="1:37" customFormat="1" ht="36.75" customHeight="1" x14ac:dyDescent="0.35">
      <c r="A2796" s="5"/>
      <c r="B2796" s="5" t="s">
        <v>37</v>
      </c>
      <c r="C2796" s="73" t="str">
        <f t="shared" si="43"/>
        <v>Closed</v>
      </c>
      <c r="D2796" s="45" t="s">
        <v>15762</v>
      </c>
      <c r="E2796" s="54" t="s">
        <v>15763</v>
      </c>
      <c r="F2796" s="5" t="s">
        <v>404</v>
      </c>
      <c r="G2796" s="7">
        <f>DATE(2018,11,20)</f>
        <v>43424</v>
      </c>
      <c r="H2796" s="34">
        <v>1.2041666666666666</v>
      </c>
      <c r="I2796" s="5" t="s">
        <v>179</v>
      </c>
      <c r="J2796" s="7" t="s">
        <v>15764</v>
      </c>
      <c r="K2796" s="5" t="s">
        <v>406</v>
      </c>
      <c r="L2796" s="5" t="s">
        <v>15765</v>
      </c>
      <c r="M2796" s="5" t="s">
        <v>45</v>
      </c>
      <c r="N2796" s="5" t="s">
        <v>123</v>
      </c>
      <c r="O2796" s="5" t="s">
        <v>46</v>
      </c>
      <c r="P2796" s="7" t="s">
        <v>60</v>
      </c>
      <c r="Q2796" s="7" t="s">
        <v>2562</v>
      </c>
      <c r="R2796" s="7" t="s">
        <v>3083</v>
      </c>
      <c r="S2796" s="5">
        <v>0</v>
      </c>
      <c r="T2796" s="36">
        <v>0</v>
      </c>
      <c r="U2796" s="5">
        <v>0</v>
      </c>
      <c r="V2796" s="36">
        <v>0</v>
      </c>
      <c r="W2796" s="5">
        <v>0</v>
      </c>
      <c r="X2796" s="5">
        <v>0</v>
      </c>
      <c r="Y2796" s="5">
        <v>0</v>
      </c>
      <c r="Z2796" s="36">
        <v>0</v>
      </c>
      <c r="AA2796" s="5">
        <v>0</v>
      </c>
      <c r="AB2796" s="5">
        <v>0</v>
      </c>
      <c r="AC2796" s="5">
        <v>0</v>
      </c>
      <c r="AD2796" s="5">
        <v>0</v>
      </c>
      <c r="AE2796" s="7" t="s">
        <v>73</v>
      </c>
      <c r="AF2796" s="7"/>
      <c r="AG2796" s="7" t="s">
        <v>114</v>
      </c>
      <c r="AH2796" s="7">
        <v>43424</v>
      </c>
      <c r="AI2796" s="5">
        <v>0</v>
      </c>
      <c r="AJ2796" s="7" t="s">
        <v>15766</v>
      </c>
      <c r="AK2796" s="7" t="s">
        <v>15767</v>
      </c>
    </row>
    <row r="2797" spans="1:37" customFormat="1" ht="36.75" customHeight="1" x14ac:dyDescent="0.35">
      <c r="A2797" s="5"/>
      <c r="B2797" s="5" t="s">
        <v>37</v>
      </c>
      <c r="C2797" s="73" t="str">
        <f t="shared" si="43"/>
        <v>Closed</v>
      </c>
      <c r="D2797" s="45" t="s">
        <v>15768</v>
      </c>
      <c r="E2797" s="54" t="s">
        <v>15769</v>
      </c>
      <c r="F2797" s="5" t="s">
        <v>619</v>
      </c>
      <c r="G2797" s="7">
        <f>DATE(2018,11,20)</f>
        <v>43424</v>
      </c>
      <c r="H2797" s="34">
        <v>1.2611111111111111</v>
      </c>
      <c r="I2797" s="5" t="s">
        <v>55</v>
      </c>
      <c r="J2797" s="7" t="s">
        <v>15770</v>
      </c>
      <c r="K2797" s="5" t="s">
        <v>621</v>
      </c>
      <c r="L2797" s="5" t="s">
        <v>15771</v>
      </c>
      <c r="M2797" s="5" t="s">
        <v>45</v>
      </c>
      <c r="N2797" s="5" t="s">
        <v>123</v>
      </c>
      <c r="O2797" s="5" t="s">
        <v>46</v>
      </c>
      <c r="P2797" s="7" t="s">
        <v>6881</v>
      </c>
      <c r="Q2797" s="7" t="s">
        <v>1167</v>
      </c>
      <c r="R2797" s="7" t="s">
        <v>624</v>
      </c>
      <c r="S2797" s="5">
        <v>1</v>
      </c>
      <c r="T2797" s="36">
        <v>0</v>
      </c>
      <c r="U2797" s="5">
        <v>0</v>
      </c>
      <c r="V2797" s="36">
        <v>0</v>
      </c>
      <c r="W2797" s="5">
        <v>0</v>
      </c>
      <c r="X2797" s="5">
        <v>1</v>
      </c>
      <c r="Y2797" s="5">
        <v>4</v>
      </c>
      <c r="Z2797" s="36">
        <v>1</v>
      </c>
      <c r="AA2797" s="5">
        <v>0</v>
      </c>
      <c r="AB2797" s="5">
        <v>0</v>
      </c>
      <c r="AC2797" s="5">
        <v>0</v>
      </c>
      <c r="AD2797" s="5">
        <v>5</v>
      </c>
      <c r="AE2797" s="7" t="s">
        <v>73</v>
      </c>
      <c r="AF2797" s="7"/>
      <c r="AG2797" s="7" t="s">
        <v>64</v>
      </c>
      <c r="AH2797" s="7">
        <v>43424</v>
      </c>
      <c r="AI2797" s="5">
        <v>4</v>
      </c>
      <c r="AJ2797" s="7" t="s">
        <v>15772</v>
      </c>
      <c r="AK2797" s="7" t="s">
        <v>15773</v>
      </c>
    </row>
    <row r="2798" spans="1:37" customFormat="1" ht="36.75" customHeight="1" x14ac:dyDescent="0.35">
      <c r="A2798" s="5"/>
      <c r="B2798" s="5" t="s">
        <v>37</v>
      </c>
      <c r="C2798" s="73" t="str">
        <f t="shared" si="43"/>
        <v>Closed</v>
      </c>
      <c r="D2798" s="45" t="s">
        <v>15774</v>
      </c>
      <c r="E2798" s="54" t="s">
        <v>15775</v>
      </c>
      <c r="F2798" s="5" t="s">
        <v>404</v>
      </c>
      <c r="G2798" s="7">
        <f>DATE(2018,11,22)</f>
        <v>43426</v>
      </c>
      <c r="H2798" s="34">
        <v>1.5812499999999998</v>
      </c>
      <c r="I2798" s="5" t="s">
        <v>179</v>
      </c>
      <c r="J2798" s="7" t="s">
        <v>15776</v>
      </c>
      <c r="K2798" s="5" t="s">
        <v>406</v>
      </c>
      <c r="L2798" s="5" t="s">
        <v>15777</v>
      </c>
      <c r="M2798" s="5" t="s">
        <v>236</v>
      </c>
      <c r="N2798" s="5" t="s">
        <v>123</v>
      </c>
      <c r="O2798" s="5" t="s">
        <v>46</v>
      </c>
      <c r="P2798" s="7" t="s">
        <v>6531</v>
      </c>
      <c r="Q2798" s="7" t="s">
        <v>6532</v>
      </c>
      <c r="R2798" s="7" t="s">
        <v>6533</v>
      </c>
      <c r="S2798" s="5">
        <v>0</v>
      </c>
      <c r="T2798" s="36">
        <v>0</v>
      </c>
      <c r="U2798" s="5">
        <v>0</v>
      </c>
      <c r="V2798" s="36">
        <v>0</v>
      </c>
      <c r="W2798" s="5">
        <v>0</v>
      </c>
      <c r="X2798" s="5">
        <v>0</v>
      </c>
      <c r="Y2798" s="5">
        <v>0</v>
      </c>
      <c r="Z2798" s="36">
        <v>0</v>
      </c>
      <c r="AA2798" s="5">
        <v>0</v>
      </c>
      <c r="AB2798" s="5">
        <v>0</v>
      </c>
      <c r="AC2798" s="5">
        <v>0</v>
      </c>
      <c r="AD2798" s="5">
        <v>0</v>
      </c>
      <c r="AE2798" s="7" t="s">
        <v>73</v>
      </c>
      <c r="AF2798" s="7"/>
      <c r="AG2798" s="7" t="s">
        <v>114</v>
      </c>
      <c r="AH2798" s="7">
        <v>43426</v>
      </c>
      <c r="AI2798" s="5">
        <v>0</v>
      </c>
      <c r="AJ2798" s="7" t="s">
        <v>15778</v>
      </c>
      <c r="AK2798" s="7" t="s">
        <v>15779</v>
      </c>
    </row>
    <row r="2799" spans="1:37" customFormat="1" ht="36.75" customHeight="1" x14ac:dyDescent="0.35">
      <c r="A2799" s="5"/>
      <c r="B2799" s="5" t="s">
        <v>37</v>
      </c>
      <c r="C2799" s="73" t="str">
        <f t="shared" si="43"/>
        <v>Closed</v>
      </c>
      <c r="D2799" s="45" t="s">
        <v>15780</v>
      </c>
      <c r="E2799" s="54" t="s">
        <v>15781</v>
      </c>
      <c r="F2799" s="5" t="s">
        <v>404</v>
      </c>
      <c r="G2799" s="7">
        <f>DATE(2018,11,22)</f>
        <v>43426</v>
      </c>
      <c r="H2799" s="34">
        <v>1.9388888888888891</v>
      </c>
      <c r="I2799" s="5" t="s">
        <v>55</v>
      </c>
      <c r="J2799" s="7" t="s">
        <v>15782</v>
      </c>
      <c r="K2799" s="5" t="s">
        <v>406</v>
      </c>
      <c r="L2799" s="5" t="s">
        <v>15783</v>
      </c>
      <c r="M2799" s="5" t="s">
        <v>45</v>
      </c>
      <c r="N2799" s="5" t="s">
        <v>80</v>
      </c>
      <c r="O2799" s="5" t="s">
        <v>59</v>
      </c>
      <c r="P2799" s="7" t="s">
        <v>72</v>
      </c>
      <c r="Q2799" s="7" t="s">
        <v>4531</v>
      </c>
      <c r="R2799" s="7" t="s">
        <v>3083</v>
      </c>
      <c r="S2799" s="5">
        <v>0</v>
      </c>
      <c r="T2799" s="36">
        <v>0</v>
      </c>
      <c r="U2799" s="5">
        <v>0</v>
      </c>
      <c r="V2799" s="36">
        <v>0</v>
      </c>
      <c r="W2799" s="5">
        <v>0</v>
      </c>
      <c r="X2799" s="5">
        <v>0</v>
      </c>
      <c r="Y2799" s="5">
        <v>0</v>
      </c>
      <c r="Z2799" s="36">
        <v>0</v>
      </c>
      <c r="AA2799" s="5">
        <v>0</v>
      </c>
      <c r="AB2799" s="5">
        <v>0</v>
      </c>
      <c r="AC2799" s="5">
        <v>0</v>
      </c>
      <c r="AD2799" s="5">
        <v>0</v>
      </c>
      <c r="AE2799" s="7" t="s">
        <v>375</v>
      </c>
      <c r="AF2799" s="7"/>
      <c r="AG2799" s="7" t="s">
        <v>333</v>
      </c>
      <c r="AH2799" s="7">
        <v>43426</v>
      </c>
      <c r="AI2799" s="5">
        <v>1</v>
      </c>
      <c r="AJ2799" s="7" t="s">
        <v>15784</v>
      </c>
      <c r="AK2799" s="7" t="s">
        <v>15785</v>
      </c>
    </row>
    <row r="2800" spans="1:37" customFormat="1" ht="36.75" customHeight="1" x14ac:dyDescent="0.35">
      <c r="A2800" s="5"/>
      <c r="B2800" s="5" t="s">
        <v>37</v>
      </c>
      <c r="C2800" s="73" t="str">
        <f t="shared" si="43"/>
        <v>Closed</v>
      </c>
      <c r="D2800" s="45" t="s">
        <v>15786</v>
      </c>
      <c r="E2800" s="54" t="s">
        <v>15787</v>
      </c>
      <c r="F2800" s="5" t="s">
        <v>1553</v>
      </c>
      <c r="G2800" s="7">
        <f>DATE(2018,11,23)</f>
        <v>43427</v>
      </c>
      <c r="H2800" s="34">
        <v>1.5638888888888889</v>
      </c>
      <c r="I2800" s="5" t="s">
        <v>55</v>
      </c>
      <c r="J2800" s="7" t="s">
        <v>15788</v>
      </c>
      <c r="K2800" s="5" t="s">
        <v>1555</v>
      </c>
      <c r="L2800" s="5" t="s">
        <v>15789</v>
      </c>
      <c r="M2800" s="5" t="s">
        <v>45</v>
      </c>
      <c r="N2800" s="5" t="s">
        <v>123</v>
      </c>
      <c r="O2800" s="5" t="s">
        <v>46</v>
      </c>
      <c r="P2800" s="7" t="s">
        <v>60</v>
      </c>
      <c r="Q2800" s="7" t="s">
        <v>2635</v>
      </c>
      <c r="R2800" s="7" t="s">
        <v>6413</v>
      </c>
      <c r="S2800" s="5">
        <v>0</v>
      </c>
      <c r="T2800" s="36">
        <v>0</v>
      </c>
      <c r="U2800" s="5">
        <v>0</v>
      </c>
      <c r="V2800" s="36">
        <v>0</v>
      </c>
      <c r="W2800" s="5">
        <v>0</v>
      </c>
      <c r="X2800" s="5">
        <v>0</v>
      </c>
      <c r="Y2800" s="5">
        <v>0</v>
      </c>
      <c r="Z2800" s="36">
        <v>0</v>
      </c>
      <c r="AA2800" s="5">
        <v>0</v>
      </c>
      <c r="AB2800" s="5">
        <v>0</v>
      </c>
      <c r="AC2800" s="5">
        <v>0</v>
      </c>
      <c r="AD2800" s="5">
        <v>0</v>
      </c>
      <c r="AE2800" s="7" t="s">
        <v>73</v>
      </c>
      <c r="AF2800" s="7"/>
      <c r="AG2800" s="7" t="s">
        <v>114</v>
      </c>
      <c r="AH2800" s="7">
        <v>43432</v>
      </c>
      <c r="AI2800" s="5">
        <v>1</v>
      </c>
      <c r="AJ2800" s="7" t="s">
        <v>15790</v>
      </c>
      <c r="AK2800" s="7" t="s">
        <v>15791</v>
      </c>
    </row>
    <row r="2801" spans="1:37" customFormat="1" ht="36.75" customHeight="1" x14ac:dyDescent="0.35">
      <c r="A2801" s="5"/>
      <c r="B2801" s="5" t="s">
        <v>37</v>
      </c>
      <c r="C2801" s="73" t="str">
        <f t="shared" si="43"/>
        <v>Closed</v>
      </c>
      <c r="D2801" s="45" t="s">
        <v>15792</v>
      </c>
      <c r="E2801" s="54" t="s">
        <v>15793</v>
      </c>
      <c r="F2801" s="5" t="s">
        <v>105</v>
      </c>
      <c r="G2801" s="7">
        <f>DATE(2018,11,29)</f>
        <v>43433</v>
      </c>
      <c r="H2801" s="34">
        <v>0</v>
      </c>
      <c r="I2801" s="5" t="s">
        <v>97</v>
      </c>
      <c r="J2801" s="7" t="s">
        <v>15794</v>
      </c>
      <c r="K2801" s="5" t="s">
        <v>108</v>
      </c>
      <c r="L2801" s="5" t="s">
        <v>15795</v>
      </c>
      <c r="M2801" s="5" t="s">
        <v>45</v>
      </c>
      <c r="N2801" s="5" t="s">
        <v>80</v>
      </c>
      <c r="O2801" s="5" t="s">
        <v>46</v>
      </c>
      <c r="P2801" s="7" t="s">
        <v>146</v>
      </c>
      <c r="Q2801" s="7" t="s">
        <v>210</v>
      </c>
      <c r="R2801" s="7" t="s">
        <v>148</v>
      </c>
      <c r="S2801" s="5">
        <v>0</v>
      </c>
      <c r="T2801" s="36">
        <v>0</v>
      </c>
      <c r="U2801" s="5">
        <v>1</v>
      </c>
      <c r="V2801" s="36">
        <v>0</v>
      </c>
      <c r="W2801" s="5">
        <v>0</v>
      </c>
      <c r="X2801" s="5">
        <v>1</v>
      </c>
      <c r="Y2801" s="5">
        <v>0</v>
      </c>
      <c r="Z2801" s="36">
        <v>0</v>
      </c>
      <c r="AA2801" s="5">
        <v>0</v>
      </c>
      <c r="AB2801" s="5">
        <v>0</v>
      </c>
      <c r="AC2801" s="5">
        <v>0</v>
      </c>
      <c r="AD2801" s="5">
        <v>0</v>
      </c>
      <c r="AE2801" s="7" t="s">
        <v>73</v>
      </c>
      <c r="AF2801" s="7"/>
      <c r="AG2801" s="7" t="s">
        <v>64</v>
      </c>
      <c r="AH2801" s="7">
        <v>43437</v>
      </c>
      <c r="AI2801" s="5">
        <v>1</v>
      </c>
      <c r="AJ2801" s="7" t="s">
        <v>15796</v>
      </c>
      <c r="AK2801" s="7" t="s">
        <v>50</v>
      </c>
    </row>
    <row r="2802" spans="1:37" customFormat="1" ht="36.75" customHeight="1" x14ac:dyDescent="0.35">
      <c r="A2802" s="5"/>
      <c r="B2802" s="5" t="s">
        <v>37</v>
      </c>
      <c r="C2802" s="73" t="str">
        <f t="shared" si="43"/>
        <v>Closed</v>
      </c>
      <c r="D2802" s="45" t="s">
        <v>15797</v>
      </c>
      <c r="E2802" s="54" t="s">
        <v>15798</v>
      </c>
      <c r="F2802" s="5" t="s">
        <v>214</v>
      </c>
      <c r="G2802" s="7">
        <f>DATE(2018,12,1)</f>
        <v>43435</v>
      </c>
      <c r="H2802" s="34">
        <v>1.9243055555555557</v>
      </c>
      <c r="I2802" s="5" t="s">
        <v>259</v>
      </c>
      <c r="J2802" s="7" t="s">
        <v>15799</v>
      </c>
      <c r="K2802" s="5" t="s">
        <v>216</v>
      </c>
      <c r="L2802" s="5" t="s">
        <v>15800</v>
      </c>
      <c r="M2802" s="5" t="s">
        <v>45</v>
      </c>
      <c r="N2802" s="5" t="s">
        <v>123</v>
      </c>
      <c r="O2802" s="5" t="s">
        <v>46</v>
      </c>
      <c r="P2802" s="7" t="s">
        <v>443</v>
      </c>
      <c r="Q2802" s="7" t="s">
        <v>1410</v>
      </c>
      <c r="R2802" s="7" t="s">
        <v>216</v>
      </c>
      <c r="S2802" s="5">
        <v>1</v>
      </c>
      <c r="T2802" s="36">
        <v>0</v>
      </c>
      <c r="U2802" s="5">
        <v>0</v>
      </c>
      <c r="V2802" s="36">
        <v>0</v>
      </c>
      <c r="W2802" s="5">
        <v>0</v>
      </c>
      <c r="X2802" s="5">
        <v>1</v>
      </c>
      <c r="Y2802" s="5">
        <v>0</v>
      </c>
      <c r="Z2802" s="36">
        <v>0</v>
      </c>
      <c r="AA2802" s="5">
        <v>0</v>
      </c>
      <c r="AB2802" s="5">
        <v>0</v>
      </c>
      <c r="AC2802" s="5">
        <v>0</v>
      </c>
      <c r="AD2802" s="5">
        <v>0</v>
      </c>
      <c r="AE2802" s="7" t="s">
        <v>73</v>
      </c>
      <c r="AF2802" s="7"/>
      <c r="AG2802" s="7" t="s">
        <v>64</v>
      </c>
      <c r="AH2802" s="7">
        <v>43451</v>
      </c>
      <c r="AI2802" s="5">
        <v>4</v>
      </c>
      <c r="AJ2802" s="7" t="s">
        <v>15801</v>
      </c>
      <c r="AK2802" s="7" t="s">
        <v>15802</v>
      </c>
    </row>
    <row r="2803" spans="1:37" customFormat="1" ht="36.75" customHeight="1" x14ac:dyDescent="0.35">
      <c r="A2803" s="5"/>
      <c r="B2803" s="5" t="s">
        <v>37</v>
      </c>
      <c r="C2803" s="73" t="str">
        <f t="shared" si="43"/>
        <v>Closed</v>
      </c>
      <c r="D2803" s="45" t="s">
        <v>15803</v>
      </c>
      <c r="E2803" s="54" t="s">
        <v>15804</v>
      </c>
      <c r="F2803" s="5" t="s">
        <v>214</v>
      </c>
      <c r="G2803" s="7">
        <f>DATE(2018,12,2)</f>
        <v>43436</v>
      </c>
      <c r="H2803" s="34">
        <v>1.9826388888888888</v>
      </c>
      <c r="I2803" s="5" t="s">
        <v>259</v>
      </c>
      <c r="J2803" s="7" t="s">
        <v>15805</v>
      </c>
      <c r="K2803" s="5" t="s">
        <v>216</v>
      </c>
      <c r="L2803" s="5" t="s">
        <v>15806</v>
      </c>
      <c r="M2803" s="5" t="s">
        <v>45</v>
      </c>
      <c r="N2803" s="5" t="s">
        <v>70</v>
      </c>
      <c r="O2803" s="5" t="s">
        <v>46</v>
      </c>
      <c r="P2803" s="7" t="s">
        <v>146</v>
      </c>
      <c r="Q2803" s="7" t="s">
        <v>450</v>
      </c>
      <c r="R2803" s="7" t="s">
        <v>216</v>
      </c>
      <c r="S2803" s="5">
        <v>0</v>
      </c>
      <c r="T2803" s="36">
        <v>0</v>
      </c>
      <c r="U2803" s="5">
        <v>0</v>
      </c>
      <c r="V2803" s="36">
        <v>0</v>
      </c>
      <c r="W2803" s="5">
        <v>0</v>
      </c>
      <c r="X2803" s="5">
        <v>0</v>
      </c>
      <c r="Y2803" s="5">
        <v>0</v>
      </c>
      <c r="Z2803" s="36">
        <v>0</v>
      </c>
      <c r="AA2803" s="5">
        <v>0</v>
      </c>
      <c r="AB2803" s="5">
        <v>0</v>
      </c>
      <c r="AC2803" s="5">
        <v>0</v>
      </c>
      <c r="AD2803" s="5">
        <v>0</v>
      </c>
      <c r="AE2803" s="7" t="s">
        <v>73</v>
      </c>
      <c r="AF2803" s="7"/>
      <c r="AG2803" s="7" t="s">
        <v>114</v>
      </c>
      <c r="AH2803" s="7">
        <v>43458</v>
      </c>
      <c r="AI2803" s="5">
        <v>2</v>
      </c>
      <c r="AJ2803" s="7" t="s">
        <v>15807</v>
      </c>
      <c r="AK2803" s="7" t="s">
        <v>15808</v>
      </c>
    </row>
    <row r="2804" spans="1:37" customFormat="1" ht="36.75" customHeight="1" x14ac:dyDescent="0.35">
      <c r="A2804" s="5"/>
      <c r="B2804" s="5" t="s">
        <v>37</v>
      </c>
      <c r="C2804" s="73" t="str">
        <f t="shared" si="43"/>
        <v>Closed</v>
      </c>
      <c r="D2804" s="45" t="s">
        <v>15809</v>
      </c>
      <c r="E2804" s="54" t="s">
        <v>15810</v>
      </c>
      <c r="F2804" s="5" t="s">
        <v>358</v>
      </c>
      <c r="G2804" s="7">
        <f>DATE(2018,12,7)</f>
        <v>43441</v>
      </c>
      <c r="H2804" s="52">
        <v>1.0048611111111112</v>
      </c>
      <c r="I2804" s="5" t="s">
        <v>137</v>
      </c>
      <c r="J2804" s="7" t="s">
        <v>15811</v>
      </c>
      <c r="K2804" s="5" t="s">
        <v>360</v>
      </c>
      <c r="L2804" s="5" t="s">
        <v>15812</v>
      </c>
      <c r="M2804" s="5" t="s">
        <v>45</v>
      </c>
      <c r="N2804" s="5" t="s">
        <v>123</v>
      </c>
      <c r="O2804" s="5" t="s">
        <v>59</v>
      </c>
      <c r="P2804" s="7" t="s">
        <v>60</v>
      </c>
      <c r="Q2804" s="7" t="s">
        <v>3889</v>
      </c>
      <c r="R2804" s="7" t="s">
        <v>363</v>
      </c>
      <c r="S2804" s="5">
        <v>0</v>
      </c>
      <c r="T2804" s="36">
        <v>0</v>
      </c>
      <c r="U2804" s="5">
        <v>0</v>
      </c>
      <c r="V2804" s="36">
        <v>0</v>
      </c>
      <c r="W2804" s="5">
        <v>0</v>
      </c>
      <c r="X2804" s="5">
        <v>0</v>
      </c>
      <c r="Y2804" s="5">
        <v>0</v>
      </c>
      <c r="Z2804" s="36">
        <v>0</v>
      </c>
      <c r="AA2804" s="5">
        <v>0</v>
      </c>
      <c r="AB2804" s="5">
        <v>0</v>
      </c>
      <c r="AC2804" s="5">
        <v>3</v>
      </c>
      <c r="AD2804" s="5">
        <v>3</v>
      </c>
      <c r="AE2804" s="7" t="s">
        <v>73</v>
      </c>
      <c r="AF2804" s="7"/>
      <c r="AG2804" s="7" t="s">
        <v>570</v>
      </c>
      <c r="AH2804" s="7">
        <v>43448</v>
      </c>
      <c r="AI2804" s="5">
        <v>2</v>
      </c>
      <c r="AJ2804" s="7" t="s">
        <v>50</v>
      </c>
      <c r="AK2804" s="7" t="s">
        <v>50</v>
      </c>
    </row>
    <row r="2805" spans="1:37" customFormat="1" ht="36.75" customHeight="1" x14ac:dyDescent="0.35">
      <c r="A2805" s="5"/>
      <c r="B2805" s="5" t="s">
        <v>37</v>
      </c>
      <c r="C2805" s="73" t="str">
        <f t="shared" si="43"/>
        <v>Closed</v>
      </c>
      <c r="D2805" s="45" t="s">
        <v>15813</v>
      </c>
      <c r="E2805" s="54" t="s">
        <v>15814</v>
      </c>
      <c r="F2805" s="5" t="s">
        <v>9767</v>
      </c>
      <c r="G2805" s="7">
        <f>DATE(2018,12,10)</f>
        <v>43444</v>
      </c>
      <c r="H2805" s="34">
        <v>1.2854166666666667</v>
      </c>
      <c r="I2805" s="5" t="s">
        <v>55</v>
      </c>
      <c r="J2805" s="7" t="s">
        <v>15815</v>
      </c>
      <c r="K2805" s="5" t="s">
        <v>9769</v>
      </c>
      <c r="L2805" s="5" t="s">
        <v>15816</v>
      </c>
      <c r="M2805" s="5" t="s">
        <v>45</v>
      </c>
      <c r="N2805" s="5" t="s">
        <v>80</v>
      </c>
      <c r="O2805" s="5" t="s">
        <v>59</v>
      </c>
      <c r="P2805" s="7" t="s">
        <v>60</v>
      </c>
      <c r="Q2805" s="7" t="s">
        <v>10235</v>
      </c>
      <c r="R2805" s="7" t="s">
        <v>9772</v>
      </c>
      <c r="S2805" s="5">
        <v>0</v>
      </c>
      <c r="T2805" s="36">
        <v>0</v>
      </c>
      <c r="U2805" s="5">
        <v>0</v>
      </c>
      <c r="V2805" s="36">
        <v>0</v>
      </c>
      <c r="W2805" s="5">
        <v>0</v>
      </c>
      <c r="X2805" s="5">
        <v>0</v>
      </c>
      <c r="Y2805" s="5">
        <v>0</v>
      </c>
      <c r="Z2805" s="36">
        <v>0</v>
      </c>
      <c r="AA2805" s="5">
        <v>0</v>
      </c>
      <c r="AB2805" s="5">
        <v>0</v>
      </c>
      <c r="AC2805" s="5">
        <v>0</v>
      </c>
      <c r="AD2805" s="5">
        <v>0</v>
      </c>
      <c r="AE2805" s="7" t="s">
        <v>73</v>
      </c>
      <c r="AF2805" s="7"/>
      <c r="AG2805" s="7" t="s">
        <v>64</v>
      </c>
      <c r="AH2805" s="7">
        <v>43388</v>
      </c>
      <c r="AI2805" s="5">
        <v>0</v>
      </c>
      <c r="AJ2805" s="7" t="s">
        <v>15817</v>
      </c>
      <c r="AK2805" s="7" t="s">
        <v>15818</v>
      </c>
    </row>
    <row r="2806" spans="1:37" customFormat="1" ht="36.75" customHeight="1" x14ac:dyDescent="0.35">
      <c r="A2806" s="5"/>
      <c r="B2806" s="5" t="s">
        <v>37</v>
      </c>
      <c r="C2806" s="73" t="str">
        <f t="shared" si="43"/>
        <v>Closed</v>
      </c>
      <c r="D2806" s="45" t="s">
        <v>15819</v>
      </c>
      <c r="E2806" s="54" t="s">
        <v>15820</v>
      </c>
      <c r="F2806" s="5" t="s">
        <v>404</v>
      </c>
      <c r="G2806" s="7">
        <f>DATE(2018,12,11)</f>
        <v>43445</v>
      </c>
      <c r="H2806" s="34">
        <v>1.3472222222222223</v>
      </c>
      <c r="I2806" s="5" t="s">
        <v>179</v>
      </c>
      <c r="J2806" s="7" t="s">
        <v>15821</v>
      </c>
      <c r="K2806" s="5" t="s">
        <v>406</v>
      </c>
      <c r="L2806" s="5" t="s">
        <v>15822</v>
      </c>
      <c r="M2806" s="5" t="s">
        <v>45</v>
      </c>
      <c r="N2806" s="5" t="s">
        <v>80</v>
      </c>
      <c r="O2806" s="5" t="s">
        <v>59</v>
      </c>
      <c r="P2806" s="7" t="s">
        <v>8003</v>
      </c>
      <c r="Q2806" s="7" t="s">
        <v>10667</v>
      </c>
      <c r="R2806" s="7" t="s">
        <v>3083</v>
      </c>
      <c r="S2806" s="5">
        <v>0</v>
      </c>
      <c r="T2806" s="36">
        <v>0</v>
      </c>
      <c r="U2806" s="5">
        <v>0</v>
      </c>
      <c r="V2806" s="36">
        <v>0</v>
      </c>
      <c r="W2806" s="5">
        <v>0</v>
      </c>
      <c r="X2806" s="5">
        <v>0</v>
      </c>
      <c r="Y2806" s="5">
        <v>0</v>
      </c>
      <c r="Z2806" s="36">
        <v>0</v>
      </c>
      <c r="AA2806" s="5">
        <v>0</v>
      </c>
      <c r="AB2806" s="5">
        <v>0</v>
      </c>
      <c r="AC2806" s="5">
        <v>0</v>
      </c>
      <c r="AD2806" s="5">
        <v>0</v>
      </c>
      <c r="AE2806" s="7" t="s">
        <v>73</v>
      </c>
      <c r="AF2806" s="7"/>
      <c r="AG2806" s="7" t="s">
        <v>114</v>
      </c>
      <c r="AH2806" s="7">
        <v>43416</v>
      </c>
      <c r="AI2806" s="5">
        <v>0</v>
      </c>
      <c r="AJ2806" s="7" t="s">
        <v>15823</v>
      </c>
      <c r="AK2806" s="7" t="s">
        <v>15824</v>
      </c>
    </row>
    <row r="2807" spans="1:37" customFormat="1" ht="36.75" customHeight="1" x14ac:dyDescent="0.35">
      <c r="A2807" s="5"/>
      <c r="B2807" s="5" t="s">
        <v>37</v>
      </c>
      <c r="C2807" s="73" t="str">
        <f t="shared" si="43"/>
        <v>Closed</v>
      </c>
      <c r="D2807" s="45" t="s">
        <v>15825</v>
      </c>
      <c r="E2807" s="54" t="s">
        <v>15826</v>
      </c>
      <c r="F2807" s="5" t="s">
        <v>1553</v>
      </c>
      <c r="G2807" s="7">
        <f>DATE(2018,12,11)</f>
        <v>43445</v>
      </c>
      <c r="H2807" s="34">
        <v>1.5208333333333335</v>
      </c>
      <c r="I2807" s="5" t="s">
        <v>6754</v>
      </c>
      <c r="J2807" s="7" t="s">
        <v>15827</v>
      </c>
      <c r="K2807" s="5" t="s">
        <v>1555</v>
      </c>
      <c r="L2807" s="5" t="s">
        <v>15828</v>
      </c>
      <c r="M2807" s="5" t="s">
        <v>45</v>
      </c>
      <c r="N2807" s="5" t="s">
        <v>123</v>
      </c>
      <c r="O2807" s="5" t="s">
        <v>59</v>
      </c>
      <c r="P2807" s="7" t="s">
        <v>6920</v>
      </c>
      <c r="Q2807" s="7" t="s">
        <v>2393</v>
      </c>
      <c r="R2807" s="7" t="s">
        <v>6413</v>
      </c>
      <c r="S2807" s="5">
        <v>0</v>
      </c>
      <c r="T2807" s="36">
        <v>0</v>
      </c>
      <c r="U2807" s="5">
        <v>0</v>
      </c>
      <c r="V2807" s="36">
        <v>0</v>
      </c>
      <c r="W2807" s="5">
        <v>0</v>
      </c>
      <c r="X2807" s="5">
        <v>0</v>
      </c>
      <c r="Y2807" s="5">
        <v>0</v>
      </c>
      <c r="Z2807" s="36">
        <v>0</v>
      </c>
      <c r="AA2807" s="5">
        <v>0</v>
      </c>
      <c r="AB2807" s="5">
        <v>0</v>
      </c>
      <c r="AC2807" s="5">
        <v>0</v>
      </c>
      <c r="AD2807" s="5">
        <v>0</v>
      </c>
      <c r="AE2807" s="7" t="s">
        <v>73</v>
      </c>
      <c r="AF2807" s="7"/>
      <c r="AG2807" s="7" t="s">
        <v>1489</v>
      </c>
      <c r="AH2807" s="7">
        <v>43446</v>
      </c>
      <c r="AI2807" s="5">
        <v>0</v>
      </c>
      <c r="AJ2807" s="7" t="s">
        <v>15829</v>
      </c>
      <c r="AK2807" s="7" t="s">
        <v>15830</v>
      </c>
    </row>
    <row r="2808" spans="1:37" customFormat="1" ht="36.75" customHeight="1" x14ac:dyDescent="0.35">
      <c r="A2808" s="5"/>
      <c r="B2808" s="5" t="s">
        <v>37</v>
      </c>
      <c r="C2808" s="73" t="str">
        <f t="shared" si="43"/>
        <v>Closed</v>
      </c>
      <c r="D2808" s="45" t="s">
        <v>15831</v>
      </c>
      <c r="E2808" s="54" t="s">
        <v>15832</v>
      </c>
      <c r="F2808" s="5" t="s">
        <v>40</v>
      </c>
      <c r="G2808" s="7">
        <f>DATE(2018,12,12)</f>
        <v>43446</v>
      </c>
      <c r="H2808" s="34">
        <v>1.2013888888888888</v>
      </c>
      <c r="I2808" s="5" t="s">
        <v>97</v>
      </c>
      <c r="J2808" s="7" t="s">
        <v>15833</v>
      </c>
      <c r="K2808" s="5" t="s">
        <v>43</v>
      </c>
      <c r="L2808" s="5" t="s">
        <v>15834</v>
      </c>
      <c r="M2808" s="5" t="s">
        <v>45</v>
      </c>
      <c r="N2808" s="5" t="s">
        <v>80</v>
      </c>
      <c r="O2808" s="5" t="s">
        <v>46</v>
      </c>
      <c r="P2808" s="7" t="s">
        <v>60</v>
      </c>
      <c r="Q2808" s="7" t="s">
        <v>48</v>
      </c>
      <c r="R2808" s="7" t="s">
        <v>49</v>
      </c>
      <c r="S2808" s="5">
        <v>0</v>
      </c>
      <c r="T2808" s="36">
        <v>0</v>
      </c>
      <c r="U2808" s="5">
        <v>1</v>
      </c>
      <c r="V2808" s="36">
        <v>0</v>
      </c>
      <c r="W2808" s="5">
        <v>0</v>
      </c>
      <c r="X2808" s="5">
        <v>1</v>
      </c>
      <c r="Y2808" s="5">
        <v>0</v>
      </c>
      <c r="Z2808" s="36">
        <v>0</v>
      </c>
      <c r="AA2808" s="5">
        <v>0</v>
      </c>
      <c r="AB2808" s="5">
        <v>0</v>
      </c>
      <c r="AC2808" s="5">
        <v>0</v>
      </c>
      <c r="AD2808" s="5">
        <v>0</v>
      </c>
      <c r="AE2808" s="7" t="s">
        <v>126</v>
      </c>
      <c r="AF2808" s="7"/>
      <c r="AG2808" s="7" t="s">
        <v>64</v>
      </c>
      <c r="AH2808" s="7">
        <v>43448</v>
      </c>
      <c r="AI2808" s="5">
        <v>8</v>
      </c>
      <c r="AJ2808" s="7" t="s">
        <v>15835</v>
      </c>
      <c r="AK2808" s="7" t="s">
        <v>15836</v>
      </c>
    </row>
    <row r="2809" spans="1:37" customFormat="1" ht="36.75" customHeight="1" x14ac:dyDescent="0.35">
      <c r="A2809" s="5"/>
      <c r="B2809" s="5" t="s">
        <v>37</v>
      </c>
      <c r="C2809" s="73" t="str">
        <f t="shared" si="43"/>
        <v>Closed</v>
      </c>
      <c r="D2809" s="45" t="s">
        <v>15837</v>
      </c>
      <c r="E2809" s="54" t="s">
        <v>15838</v>
      </c>
      <c r="F2809" s="5" t="s">
        <v>404</v>
      </c>
      <c r="G2809" s="7">
        <f>DATE(2018,12,13)</f>
        <v>43447</v>
      </c>
      <c r="H2809" s="34">
        <v>1.5513888888888889</v>
      </c>
      <c r="I2809" s="5" t="s">
        <v>259</v>
      </c>
      <c r="J2809" s="7" t="s">
        <v>15839</v>
      </c>
      <c r="K2809" s="5" t="s">
        <v>406</v>
      </c>
      <c r="L2809" s="5" t="s">
        <v>15840</v>
      </c>
      <c r="M2809" s="5" t="s">
        <v>45</v>
      </c>
      <c r="N2809" s="5" t="s">
        <v>123</v>
      </c>
      <c r="O2809" s="5" t="s">
        <v>46</v>
      </c>
      <c r="P2809" s="7" t="s">
        <v>47</v>
      </c>
      <c r="Q2809" s="7" t="s">
        <v>4531</v>
      </c>
      <c r="R2809" s="7" t="s">
        <v>3083</v>
      </c>
      <c r="S2809" s="5">
        <v>1</v>
      </c>
      <c r="T2809" s="36">
        <v>0</v>
      </c>
      <c r="U2809" s="5">
        <v>0</v>
      </c>
      <c r="V2809" s="36">
        <v>0</v>
      </c>
      <c r="W2809" s="5">
        <v>0</v>
      </c>
      <c r="X2809" s="5">
        <v>1</v>
      </c>
      <c r="Y2809" s="5">
        <v>0</v>
      </c>
      <c r="Z2809" s="36">
        <v>0</v>
      </c>
      <c r="AA2809" s="5">
        <v>0</v>
      </c>
      <c r="AB2809" s="5">
        <v>0</v>
      </c>
      <c r="AC2809" s="5">
        <v>0</v>
      </c>
      <c r="AD2809" s="5">
        <v>0</v>
      </c>
      <c r="AE2809" s="7" t="s">
        <v>73</v>
      </c>
      <c r="AF2809" s="7"/>
      <c r="AG2809" s="7" t="s">
        <v>114</v>
      </c>
      <c r="AH2809" s="7">
        <v>43447</v>
      </c>
      <c r="AI2809" s="5">
        <v>0</v>
      </c>
      <c r="AJ2809" s="7" t="s">
        <v>15841</v>
      </c>
      <c r="AK2809" s="7" t="s">
        <v>15842</v>
      </c>
    </row>
    <row r="2810" spans="1:37" customFormat="1" ht="36.75" customHeight="1" x14ac:dyDescent="0.35">
      <c r="A2810" s="23" t="s">
        <v>4890</v>
      </c>
      <c r="B2810" s="5" t="s">
        <v>37</v>
      </c>
      <c r="C2810" s="73" t="str">
        <f t="shared" si="43"/>
        <v>Closed</v>
      </c>
      <c r="D2810" s="45" t="s">
        <v>15843</v>
      </c>
      <c r="E2810" s="54" t="s">
        <v>15844</v>
      </c>
      <c r="F2810" s="5" t="s">
        <v>404</v>
      </c>
      <c r="G2810" s="7">
        <f>DATE(2018,12,14)</f>
        <v>43448</v>
      </c>
      <c r="H2810" s="34">
        <v>1.2124999999999999</v>
      </c>
      <c r="I2810" s="5" t="s">
        <v>55</v>
      </c>
      <c r="J2810" s="7" t="s">
        <v>15845</v>
      </c>
      <c r="K2810" s="5" t="s">
        <v>406</v>
      </c>
      <c r="L2810" s="5" t="s">
        <v>15846</v>
      </c>
      <c r="M2810" s="5" t="s">
        <v>45</v>
      </c>
      <c r="N2810" s="5" t="s">
        <v>123</v>
      </c>
      <c r="O2810" s="5" t="s">
        <v>59</v>
      </c>
      <c r="P2810" s="7" t="s">
        <v>60</v>
      </c>
      <c r="Q2810" s="7" t="s">
        <v>2562</v>
      </c>
      <c r="R2810" s="7" t="s">
        <v>3083</v>
      </c>
      <c r="S2810" s="5">
        <v>0</v>
      </c>
      <c r="T2810" s="36">
        <v>0</v>
      </c>
      <c r="U2810" s="5">
        <v>0</v>
      </c>
      <c r="V2810" s="36">
        <v>0</v>
      </c>
      <c r="W2810" s="5">
        <v>0</v>
      </c>
      <c r="X2810" s="5">
        <v>0</v>
      </c>
      <c r="Y2810" s="5">
        <v>0</v>
      </c>
      <c r="Z2810" s="36">
        <v>0</v>
      </c>
      <c r="AA2810" s="5">
        <v>0</v>
      </c>
      <c r="AB2810" s="5">
        <v>0</v>
      </c>
      <c r="AC2810" s="5">
        <v>0</v>
      </c>
      <c r="AD2810" s="5">
        <v>0</v>
      </c>
      <c r="AE2810" s="7" t="s">
        <v>73</v>
      </c>
      <c r="AF2810" s="7"/>
      <c r="AG2810" s="7" t="s">
        <v>114</v>
      </c>
      <c r="AH2810" s="7">
        <v>43448</v>
      </c>
      <c r="AI2810" s="5">
        <v>0</v>
      </c>
      <c r="AJ2810" s="7" t="s">
        <v>50</v>
      </c>
      <c r="AK2810" s="7" t="s">
        <v>50</v>
      </c>
    </row>
    <row r="2811" spans="1:37" customFormat="1" ht="36.75" customHeight="1" x14ac:dyDescent="0.35">
      <c r="A2811" s="5"/>
      <c r="B2811" s="5" t="s">
        <v>37</v>
      </c>
      <c r="C2811" s="73" t="str">
        <f t="shared" si="43"/>
        <v>Closed</v>
      </c>
      <c r="D2811" s="45" t="s">
        <v>15847</v>
      </c>
      <c r="E2811" s="54" t="s">
        <v>15848</v>
      </c>
      <c r="F2811" s="5" t="s">
        <v>105</v>
      </c>
      <c r="G2811" s="7">
        <f>DATE(2018,12,17)</f>
        <v>43451</v>
      </c>
      <c r="H2811" s="34">
        <v>1.125</v>
      </c>
      <c r="I2811" s="5" t="s">
        <v>106</v>
      </c>
      <c r="J2811" s="7" t="s">
        <v>15849</v>
      </c>
      <c r="K2811" s="5" t="s">
        <v>108</v>
      </c>
      <c r="L2811" s="5" t="s">
        <v>15850</v>
      </c>
      <c r="M2811" s="5" t="s">
        <v>110</v>
      </c>
      <c r="N2811" s="5" t="s">
        <v>123</v>
      </c>
      <c r="O2811" s="5" t="s">
        <v>46</v>
      </c>
      <c r="P2811" s="7" t="s">
        <v>282</v>
      </c>
      <c r="Q2811" s="7" t="s">
        <v>10097</v>
      </c>
      <c r="R2811" s="7" t="s">
        <v>112</v>
      </c>
      <c r="S2811" s="5">
        <v>0</v>
      </c>
      <c r="T2811" s="36">
        <v>0</v>
      </c>
      <c r="U2811" s="5">
        <v>0</v>
      </c>
      <c r="V2811" s="36">
        <v>0</v>
      </c>
      <c r="W2811" s="5">
        <v>0</v>
      </c>
      <c r="X2811" s="5">
        <v>0</v>
      </c>
      <c r="Y2811" s="5">
        <v>0</v>
      </c>
      <c r="Z2811" s="36">
        <v>0</v>
      </c>
      <c r="AA2811" s="5">
        <v>0</v>
      </c>
      <c r="AB2811" s="5">
        <v>0</v>
      </c>
      <c r="AC2811" s="5">
        <v>0</v>
      </c>
      <c r="AD2811" s="5">
        <v>0</v>
      </c>
      <c r="AE2811" s="7" t="s">
        <v>73</v>
      </c>
      <c r="AF2811" s="7"/>
      <c r="AG2811" s="7" t="s">
        <v>348</v>
      </c>
      <c r="AH2811" s="7">
        <v>43452</v>
      </c>
      <c r="AI2811" s="5">
        <v>1</v>
      </c>
      <c r="AJ2811" s="7" t="s">
        <v>15851</v>
      </c>
      <c r="AK2811" s="7" t="s">
        <v>15852</v>
      </c>
    </row>
    <row r="2812" spans="1:37" customFormat="1" ht="36.75" customHeight="1" x14ac:dyDescent="0.35">
      <c r="A2812" s="5"/>
      <c r="B2812" s="5" t="s">
        <v>37</v>
      </c>
      <c r="C2812" s="73" t="str">
        <f t="shared" si="43"/>
        <v>Closed</v>
      </c>
      <c r="D2812" s="45" t="s">
        <v>15853</v>
      </c>
      <c r="E2812" s="54" t="s">
        <v>15854</v>
      </c>
      <c r="F2812" s="5" t="s">
        <v>1553</v>
      </c>
      <c r="G2812" s="7">
        <f>DATE(2018,12,18)</f>
        <v>43452</v>
      </c>
      <c r="H2812" s="34">
        <v>1.8090277777777777</v>
      </c>
      <c r="I2812" s="5" t="s">
        <v>9004</v>
      </c>
      <c r="J2812" s="7" t="s">
        <v>15855</v>
      </c>
      <c r="K2812" s="5" t="s">
        <v>1555</v>
      </c>
      <c r="L2812" s="5" t="s">
        <v>15856</v>
      </c>
      <c r="M2812" s="5" t="s">
        <v>45</v>
      </c>
      <c r="N2812" s="5" t="s">
        <v>80</v>
      </c>
      <c r="O2812" s="5" t="s">
        <v>46</v>
      </c>
      <c r="P2812" s="7" t="s">
        <v>60</v>
      </c>
      <c r="Q2812" s="7" t="s">
        <v>6072</v>
      </c>
      <c r="R2812" s="7" t="s">
        <v>6413</v>
      </c>
      <c r="S2812" s="5">
        <v>0</v>
      </c>
      <c r="T2812" s="36">
        <v>0</v>
      </c>
      <c r="U2812" s="5">
        <v>0</v>
      </c>
      <c r="V2812" s="36">
        <v>0</v>
      </c>
      <c r="W2812" s="5">
        <v>0</v>
      </c>
      <c r="X2812" s="5">
        <v>0</v>
      </c>
      <c r="Y2812" s="5">
        <v>0</v>
      </c>
      <c r="Z2812" s="36">
        <v>0</v>
      </c>
      <c r="AA2812" s="5">
        <v>0</v>
      </c>
      <c r="AB2812" s="5">
        <v>0</v>
      </c>
      <c r="AC2812" s="5">
        <v>0</v>
      </c>
      <c r="AD2812" s="5">
        <v>0</v>
      </c>
      <c r="AE2812" s="7" t="s">
        <v>73</v>
      </c>
      <c r="AF2812" s="7"/>
      <c r="AG2812" s="7" t="s">
        <v>114</v>
      </c>
      <c r="AH2812" s="7">
        <v>43453</v>
      </c>
      <c r="AI2812" s="5">
        <v>1</v>
      </c>
      <c r="AJ2812" s="7" t="s">
        <v>15857</v>
      </c>
      <c r="AK2812" s="7" t="s">
        <v>15858</v>
      </c>
    </row>
    <row r="2813" spans="1:37" customFormat="1" ht="36.75" customHeight="1" x14ac:dyDescent="0.35">
      <c r="A2813" s="5"/>
      <c r="B2813" s="5" t="s">
        <v>37</v>
      </c>
      <c r="C2813" s="73" t="str">
        <f t="shared" si="43"/>
        <v>Closed</v>
      </c>
      <c r="D2813" s="45" t="s">
        <v>15859</v>
      </c>
      <c r="E2813" s="54" t="s">
        <v>15860</v>
      </c>
      <c r="F2813" s="5" t="s">
        <v>2316</v>
      </c>
      <c r="G2813" s="7">
        <f>DATE(2018,12,19)</f>
        <v>43453</v>
      </c>
      <c r="H2813" s="34">
        <v>1.6062500000000002</v>
      </c>
      <c r="I2813" s="5" t="s">
        <v>97</v>
      </c>
      <c r="J2813" s="7" t="s">
        <v>15861</v>
      </c>
      <c r="K2813" s="5" t="s">
        <v>2318</v>
      </c>
      <c r="L2813" s="5" t="s">
        <v>15862</v>
      </c>
      <c r="M2813" s="5" t="s">
        <v>45</v>
      </c>
      <c r="N2813" s="5" t="s">
        <v>80</v>
      </c>
      <c r="O2813" s="5" t="s">
        <v>46</v>
      </c>
      <c r="P2813" s="7" t="s">
        <v>146</v>
      </c>
      <c r="Q2813" s="7" t="s">
        <v>13488</v>
      </c>
      <c r="R2813" s="7" t="s">
        <v>2321</v>
      </c>
      <c r="S2813" s="5">
        <v>0</v>
      </c>
      <c r="T2813" s="36">
        <v>0</v>
      </c>
      <c r="U2813" s="5">
        <v>3</v>
      </c>
      <c r="V2813" s="36">
        <v>0</v>
      </c>
      <c r="W2813" s="5">
        <v>0</v>
      </c>
      <c r="X2813" s="5">
        <v>3</v>
      </c>
      <c r="Y2813" s="5">
        <v>0</v>
      </c>
      <c r="Z2813" s="36">
        <v>0</v>
      </c>
      <c r="AA2813" s="5">
        <v>0</v>
      </c>
      <c r="AB2813" s="5">
        <v>0</v>
      </c>
      <c r="AC2813" s="5">
        <v>0</v>
      </c>
      <c r="AD2813" s="5">
        <v>0</v>
      </c>
      <c r="AE2813" s="7" t="s">
        <v>73</v>
      </c>
      <c r="AF2813" s="7"/>
      <c r="AG2813" s="7" t="s">
        <v>64</v>
      </c>
      <c r="AH2813" s="7">
        <v>43455</v>
      </c>
      <c r="AI2813" s="5">
        <v>7</v>
      </c>
      <c r="AJ2813" s="7" t="s">
        <v>15863</v>
      </c>
      <c r="AK2813" s="7" t="s">
        <v>15864</v>
      </c>
    </row>
    <row r="2814" spans="1:37" customFormat="1" ht="36.75" customHeight="1" x14ac:dyDescent="0.35">
      <c r="A2814" s="5"/>
      <c r="B2814" s="5" t="s">
        <v>37</v>
      </c>
      <c r="C2814" s="73" t="str">
        <f t="shared" si="43"/>
        <v>Closed</v>
      </c>
      <c r="D2814" s="45" t="s">
        <v>15865</v>
      </c>
      <c r="E2814" s="54" t="s">
        <v>15866</v>
      </c>
      <c r="F2814" s="5" t="s">
        <v>1553</v>
      </c>
      <c r="G2814" s="7">
        <f>DATE(2018,12,22)</f>
        <v>43456</v>
      </c>
      <c r="H2814" s="34">
        <v>1.0833333333333333</v>
      </c>
      <c r="I2814" s="5" t="s">
        <v>55</v>
      </c>
      <c r="J2814" s="7" t="s">
        <v>15867</v>
      </c>
      <c r="K2814" s="5" t="s">
        <v>1555</v>
      </c>
      <c r="L2814" s="5" t="s">
        <v>15868</v>
      </c>
      <c r="M2814" s="5" t="s">
        <v>45</v>
      </c>
      <c r="N2814" s="5" t="s">
        <v>80</v>
      </c>
      <c r="O2814" s="5" t="s">
        <v>46</v>
      </c>
      <c r="P2814" s="7" t="s">
        <v>60</v>
      </c>
      <c r="Q2814" s="7" t="s">
        <v>15869</v>
      </c>
      <c r="R2814" s="7" t="s">
        <v>6413</v>
      </c>
      <c r="S2814" s="5">
        <v>0</v>
      </c>
      <c r="T2814" s="36">
        <v>0</v>
      </c>
      <c r="U2814" s="5">
        <v>0</v>
      </c>
      <c r="V2814" s="36">
        <v>0</v>
      </c>
      <c r="W2814" s="5">
        <v>0</v>
      </c>
      <c r="X2814" s="5">
        <v>0</v>
      </c>
      <c r="Y2814" s="5">
        <v>0</v>
      </c>
      <c r="Z2814" s="36">
        <v>0</v>
      </c>
      <c r="AA2814" s="5">
        <v>0</v>
      </c>
      <c r="AB2814" s="5">
        <v>0</v>
      </c>
      <c r="AC2814" s="5">
        <v>0</v>
      </c>
      <c r="AD2814" s="5">
        <v>0</v>
      </c>
      <c r="AE2814" s="7" t="s">
        <v>375</v>
      </c>
      <c r="AF2814" s="7"/>
      <c r="AG2814" s="7" t="s">
        <v>114</v>
      </c>
      <c r="AH2814" s="7">
        <v>43461</v>
      </c>
      <c r="AI2814" s="5">
        <v>0</v>
      </c>
      <c r="AJ2814" s="7" t="s">
        <v>15870</v>
      </c>
      <c r="AK2814" s="7" t="s">
        <v>1215</v>
      </c>
    </row>
    <row r="2815" spans="1:37" customFormat="1" ht="36.75" customHeight="1" x14ac:dyDescent="0.35">
      <c r="A2815" s="5"/>
      <c r="B2815" s="5" t="s">
        <v>37</v>
      </c>
      <c r="C2815" s="73" t="str">
        <f t="shared" si="43"/>
        <v>Closed</v>
      </c>
      <c r="D2815" s="45" t="s">
        <v>15871</v>
      </c>
      <c r="E2815" s="54" t="s">
        <v>15872</v>
      </c>
      <c r="F2815" s="5" t="s">
        <v>816</v>
      </c>
      <c r="G2815" s="7">
        <f>DATE(2018,12,23)</f>
        <v>43457</v>
      </c>
      <c r="H2815" s="34">
        <v>1.4152777777777779</v>
      </c>
      <c r="I2815" s="5" t="s">
        <v>55</v>
      </c>
      <c r="J2815" s="7" t="s">
        <v>15873</v>
      </c>
      <c r="K2815" s="5" t="s">
        <v>818</v>
      </c>
      <c r="L2815" s="5" t="s">
        <v>14637</v>
      </c>
      <c r="M2815" s="5" t="s">
        <v>236</v>
      </c>
      <c r="N2815" s="5" t="s">
        <v>80</v>
      </c>
      <c r="O2815" s="5" t="s">
        <v>46</v>
      </c>
      <c r="P2815" s="7" t="s">
        <v>6531</v>
      </c>
      <c r="Q2815" s="7" t="s">
        <v>4190</v>
      </c>
      <c r="R2815" s="7" t="s">
        <v>4190</v>
      </c>
      <c r="S2815" s="5">
        <v>0</v>
      </c>
      <c r="T2815" s="36">
        <v>0</v>
      </c>
      <c r="U2815" s="5">
        <v>0</v>
      </c>
      <c r="V2815" s="36">
        <v>0</v>
      </c>
      <c r="W2815" s="5">
        <v>0</v>
      </c>
      <c r="X2815" s="5">
        <v>0</v>
      </c>
      <c r="Y2815" s="5">
        <v>0</v>
      </c>
      <c r="Z2815" s="36">
        <v>0</v>
      </c>
      <c r="AA2815" s="5">
        <v>0</v>
      </c>
      <c r="AB2815" s="5">
        <v>0</v>
      </c>
      <c r="AC2815" s="5">
        <v>0</v>
      </c>
      <c r="AD2815" s="5">
        <v>0</v>
      </c>
      <c r="AE2815" s="7" t="s">
        <v>73</v>
      </c>
      <c r="AF2815" s="7"/>
      <c r="AG2815" s="7" t="s">
        <v>348</v>
      </c>
      <c r="AH2815" s="7">
        <v>43518</v>
      </c>
      <c r="AI2815" s="5">
        <v>0</v>
      </c>
      <c r="AJ2815" s="7" t="s">
        <v>15874</v>
      </c>
      <c r="AK2815" s="7" t="s">
        <v>15875</v>
      </c>
    </row>
    <row r="2816" spans="1:37" customFormat="1" ht="36.75" customHeight="1" x14ac:dyDescent="0.35">
      <c r="A2816" s="5"/>
      <c r="B2816" s="5" t="s">
        <v>37</v>
      </c>
      <c r="C2816" s="73" t="str">
        <f t="shared" si="43"/>
        <v>Closed</v>
      </c>
      <c r="D2816" s="45" t="s">
        <v>15876</v>
      </c>
      <c r="E2816" s="54" t="s">
        <v>15877</v>
      </c>
      <c r="F2816" s="5" t="s">
        <v>1553</v>
      </c>
      <c r="G2816" s="7">
        <f>DATE(2018,12,23)</f>
        <v>43457</v>
      </c>
      <c r="H2816" s="34">
        <v>1.3055555555555556</v>
      </c>
      <c r="I2816" s="5" t="s">
        <v>55</v>
      </c>
      <c r="J2816" s="7" t="s">
        <v>15878</v>
      </c>
      <c r="K2816" s="5" t="s">
        <v>1555</v>
      </c>
      <c r="L2816" s="5" t="s">
        <v>15879</v>
      </c>
      <c r="M2816" s="5" t="s">
        <v>45</v>
      </c>
      <c r="N2816" s="5" t="s">
        <v>123</v>
      </c>
      <c r="O2816" s="5" t="s">
        <v>46</v>
      </c>
      <c r="P2816" s="7" t="s">
        <v>6920</v>
      </c>
      <c r="Q2816" s="7" t="s">
        <v>2393</v>
      </c>
      <c r="R2816" s="7" t="s">
        <v>6413</v>
      </c>
      <c r="S2816" s="5">
        <v>0</v>
      </c>
      <c r="T2816" s="36">
        <v>0</v>
      </c>
      <c r="U2816" s="5">
        <v>0</v>
      </c>
      <c r="V2816" s="36">
        <v>0</v>
      </c>
      <c r="W2816" s="5">
        <v>0</v>
      </c>
      <c r="X2816" s="5">
        <v>0</v>
      </c>
      <c r="Y2816" s="5">
        <v>1</v>
      </c>
      <c r="Z2816" s="36">
        <v>0</v>
      </c>
      <c r="AA2816" s="5">
        <v>0</v>
      </c>
      <c r="AB2816" s="5">
        <v>0</v>
      </c>
      <c r="AC2816" s="5">
        <v>0</v>
      </c>
      <c r="AD2816" s="5">
        <v>1</v>
      </c>
      <c r="AE2816" s="7" t="s">
        <v>375</v>
      </c>
      <c r="AF2816" s="7"/>
      <c r="AG2816" s="7" t="s">
        <v>114</v>
      </c>
      <c r="AH2816" s="7">
        <v>43461</v>
      </c>
      <c r="AI2816" s="5">
        <v>1</v>
      </c>
      <c r="AJ2816" s="7" t="s">
        <v>15880</v>
      </c>
      <c r="AK2816" s="7" t="s">
        <v>15881</v>
      </c>
    </row>
    <row r="2817" spans="1:37" customFormat="1" ht="36.75" customHeight="1" x14ac:dyDescent="0.35">
      <c r="A2817" s="5"/>
      <c r="B2817" s="5" t="s">
        <v>37</v>
      </c>
      <c r="C2817" s="73" t="str">
        <f t="shared" si="43"/>
        <v>Closed</v>
      </c>
      <c r="D2817" s="45" t="s">
        <v>15882</v>
      </c>
      <c r="E2817" s="54" t="s">
        <v>15883</v>
      </c>
      <c r="F2817" s="5" t="s">
        <v>1553</v>
      </c>
      <c r="G2817" s="7">
        <f>DATE(2018,12,26)</f>
        <v>43460</v>
      </c>
      <c r="H2817" s="34">
        <v>1.0229166666666667</v>
      </c>
      <c r="I2817" s="5" t="s">
        <v>55</v>
      </c>
      <c r="J2817" s="7" t="s">
        <v>15884</v>
      </c>
      <c r="K2817" s="5" t="s">
        <v>1555</v>
      </c>
      <c r="L2817" s="5" t="s">
        <v>15885</v>
      </c>
      <c r="M2817" s="5" t="s">
        <v>45</v>
      </c>
      <c r="N2817" s="5" t="s">
        <v>80</v>
      </c>
      <c r="O2817" s="5" t="s">
        <v>46</v>
      </c>
      <c r="P2817" s="7" t="s">
        <v>60</v>
      </c>
      <c r="Q2817" s="7" t="s">
        <v>2635</v>
      </c>
      <c r="R2817" s="7" t="s">
        <v>6413</v>
      </c>
      <c r="S2817" s="5">
        <v>0</v>
      </c>
      <c r="T2817" s="36">
        <v>0</v>
      </c>
      <c r="U2817" s="5">
        <v>0</v>
      </c>
      <c r="V2817" s="36">
        <v>0</v>
      </c>
      <c r="W2817" s="5">
        <v>0</v>
      </c>
      <c r="X2817" s="5">
        <v>0</v>
      </c>
      <c r="Y2817" s="5">
        <v>0</v>
      </c>
      <c r="Z2817" s="36">
        <v>0</v>
      </c>
      <c r="AA2817" s="5">
        <v>0</v>
      </c>
      <c r="AB2817" s="5">
        <v>0</v>
      </c>
      <c r="AC2817" s="5">
        <v>0</v>
      </c>
      <c r="AD2817" s="5">
        <v>0</v>
      </c>
      <c r="AE2817" s="7" t="s">
        <v>73</v>
      </c>
      <c r="AF2817" s="7"/>
      <c r="AG2817" s="7" t="s">
        <v>114</v>
      </c>
      <c r="AH2817" s="7">
        <v>43461</v>
      </c>
      <c r="AI2817" s="5">
        <v>0</v>
      </c>
      <c r="AJ2817" s="7" t="s">
        <v>15886</v>
      </c>
      <c r="AK2817" s="7" t="s">
        <v>15887</v>
      </c>
    </row>
    <row r="2818" spans="1:37" customFormat="1" ht="36.75" customHeight="1" x14ac:dyDescent="0.35">
      <c r="A2818" s="5"/>
      <c r="B2818" s="5" t="s">
        <v>37</v>
      </c>
      <c r="C2818" s="73" t="str">
        <f t="shared" ref="C2818:C2881" si="44">IF(B2818="Notification","Open",IF(B2818="Interim Statement","In progress","Closed"))</f>
        <v>Closed</v>
      </c>
      <c r="D2818" s="45" t="s">
        <v>15888</v>
      </c>
      <c r="E2818" s="54" t="s">
        <v>15889</v>
      </c>
      <c r="F2818" s="5" t="s">
        <v>432</v>
      </c>
      <c r="G2818" s="7">
        <f>DATE(2019,1,2)</f>
        <v>43467</v>
      </c>
      <c r="H2818" s="34">
        <v>1.3125</v>
      </c>
      <c r="I2818" s="5" t="s">
        <v>5473</v>
      </c>
      <c r="J2818" s="7" t="s">
        <v>15890</v>
      </c>
      <c r="K2818" s="5" t="s">
        <v>434</v>
      </c>
      <c r="L2818" s="5" t="s">
        <v>15891</v>
      </c>
      <c r="M2818" s="5" t="s">
        <v>45</v>
      </c>
      <c r="N2818" s="5" t="s">
        <v>123</v>
      </c>
      <c r="O2818" s="5" t="s">
        <v>46</v>
      </c>
      <c r="P2818" s="7" t="s">
        <v>5824</v>
      </c>
      <c r="Q2818" s="7" t="s">
        <v>15892</v>
      </c>
      <c r="R2818" s="7" t="s">
        <v>553</v>
      </c>
      <c r="S2818" s="5">
        <v>8</v>
      </c>
      <c r="T2818" s="36">
        <v>0</v>
      </c>
      <c r="U2818" s="5">
        <v>0</v>
      </c>
      <c r="V2818" s="36">
        <v>0</v>
      </c>
      <c r="W2818" s="5">
        <v>0</v>
      </c>
      <c r="X2818" s="5">
        <v>8</v>
      </c>
      <c r="Y2818" s="5">
        <v>4</v>
      </c>
      <c r="Z2818" s="36">
        <v>0</v>
      </c>
      <c r="AA2818" s="5">
        <v>0</v>
      </c>
      <c r="AB2818" s="5">
        <v>0</v>
      </c>
      <c r="AC2818" s="5">
        <v>0</v>
      </c>
      <c r="AD2818" s="5">
        <v>4</v>
      </c>
      <c r="AE2818" s="7" t="s">
        <v>126</v>
      </c>
      <c r="AF2818" s="7"/>
      <c r="AG2818" s="7" t="s">
        <v>64</v>
      </c>
      <c r="AH2818" s="7">
        <v>43467</v>
      </c>
      <c r="AI2818" s="5">
        <v>4</v>
      </c>
      <c r="AJ2818" s="7" t="s">
        <v>15893</v>
      </c>
      <c r="AK2818" s="7" t="s">
        <v>15894</v>
      </c>
    </row>
    <row r="2819" spans="1:37" customFormat="1" ht="36.75" customHeight="1" x14ac:dyDescent="0.35">
      <c r="A2819" s="5"/>
      <c r="B2819" s="5" t="s">
        <v>37</v>
      </c>
      <c r="C2819" s="73" t="str">
        <f t="shared" si="44"/>
        <v>Closed</v>
      </c>
      <c r="D2819" s="45" t="s">
        <v>15895</v>
      </c>
      <c r="E2819" s="54" t="s">
        <v>15896</v>
      </c>
      <c r="F2819" s="5" t="s">
        <v>1553</v>
      </c>
      <c r="G2819" s="7">
        <f>DATE(2019,1,3)</f>
        <v>43468</v>
      </c>
      <c r="H2819" s="34">
        <v>1.5520833333333335</v>
      </c>
      <c r="I2819" s="5" t="s">
        <v>55</v>
      </c>
      <c r="J2819" s="7" t="s">
        <v>15897</v>
      </c>
      <c r="K2819" s="5" t="s">
        <v>1555</v>
      </c>
      <c r="L2819" s="5" t="s">
        <v>11886</v>
      </c>
      <c r="M2819" s="5" t="s">
        <v>45</v>
      </c>
      <c r="N2819" s="5" t="s">
        <v>123</v>
      </c>
      <c r="O2819" s="5" t="s">
        <v>59</v>
      </c>
      <c r="P2819" s="7" t="s">
        <v>60</v>
      </c>
      <c r="Q2819" s="7" t="s">
        <v>2635</v>
      </c>
      <c r="R2819" s="7" t="s">
        <v>6413</v>
      </c>
      <c r="S2819" s="5">
        <v>0</v>
      </c>
      <c r="T2819" s="36">
        <v>0</v>
      </c>
      <c r="U2819" s="5">
        <v>0</v>
      </c>
      <c r="V2819" s="36">
        <v>0</v>
      </c>
      <c r="W2819" s="5">
        <v>0</v>
      </c>
      <c r="X2819" s="5">
        <v>0</v>
      </c>
      <c r="Y2819" s="5">
        <v>0</v>
      </c>
      <c r="Z2819" s="36">
        <v>0</v>
      </c>
      <c r="AA2819" s="5">
        <v>0</v>
      </c>
      <c r="AB2819" s="5">
        <v>0</v>
      </c>
      <c r="AC2819" s="5">
        <v>0</v>
      </c>
      <c r="AD2819" s="5">
        <v>0</v>
      </c>
      <c r="AE2819" s="7" t="s">
        <v>73</v>
      </c>
      <c r="AF2819" s="7"/>
      <c r="AG2819" s="7" t="s">
        <v>114</v>
      </c>
      <c r="AH2819" s="7">
        <v>43468</v>
      </c>
      <c r="AI2819" s="5">
        <v>3</v>
      </c>
      <c r="AJ2819" s="7" t="s">
        <v>15898</v>
      </c>
      <c r="AK2819" s="7" t="s">
        <v>15899</v>
      </c>
    </row>
    <row r="2820" spans="1:37" customFormat="1" ht="36.75" customHeight="1" x14ac:dyDescent="0.35">
      <c r="A2820" s="5"/>
      <c r="B2820" s="5" t="s">
        <v>37</v>
      </c>
      <c r="C2820" s="73" t="str">
        <f t="shared" si="44"/>
        <v>Closed</v>
      </c>
      <c r="D2820" s="45" t="s">
        <v>15900</v>
      </c>
      <c r="E2820" s="54" t="s">
        <v>15901</v>
      </c>
      <c r="F2820" s="5" t="s">
        <v>816</v>
      </c>
      <c r="G2820" s="7">
        <f>DATE(2019,1,4)</f>
        <v>43469</v>
      </c>
      <c r="H2820" s="34">
        <v>1.0604166666666666</v>
      </c>
      <c r="I2820" s="5" t="s">
        <v>137</v>
      </c>
      <c r="J2820" s="7" t="s">
        <v>15902</v>
      </c>
      <c r="K2820" s="5" t="s">
        <v>818</v>
      </c>
      <c r="L2820" s="5" t="s">
        <v>15903</v>
      </c>
      <c r="M2820" s="5" t="s">
        <v>45</v>
      </c>
      <c r="N2820" s="5" t="s">
        <v>80</v>
      </c>
      <c r="O2820" s="5" t="s">
        <v>59</v>
      </c>
      <c r="P2820" s="7" t="s">
        <v>362</v>
      </c>
      <c r="Q2820" s="7" t="s">
        <v>2142</v>
      </c>
      <c r="R2820" s="7" t="s">
        <v>821</v>
      </c>
      <c r="S2820" s="5">
        <v>0</v>
      </c>
      <c r="T2820" s="36">
        <v>0</v>
      </c>
      <c r="U2820" s="5">
        <v>0</v>
      </c>
      <c r="V2820" s="36">
        <v>0</v>
      </c>
      <c r="W2820" s="5">
        <v>0</v>
      </c>
      <c r="X2820" s="5">
        <v>0</v>
      </c>
      <c r="Y2820" s="5">
        <v>0</v>
      </c>
      <c r="Z2820" s="36">
        <v>1</v>
      </c>
      <c r="AA2820" s="5">
        <v>0</v>
      </c>
      <c r="AB2820" s="5">
        <v>0</v>
      </c>
      <c r="AC2820" s="5">
        <v>0</v>
      </c>
      <c r="AD2820" s="5">
        <v>1</v>
      </c>
      <c r="AE2820" s="7" t="s">
        <v>73</v>
      </c>
      <c r="AF2820" s="7"/>
      <c r="AG2820" s="7" t="s">
        <v>114</v>
      </c>
      <c r="AH2820" s="7">
        <v>43485</v>
      </c>
      <c r="AI2820" s="5">
        <v>2</v>
      </c>
      <c r="AJ2820" s="7" t="s">
        <v>15904</v>
      </c>
      <c r="AK2820" s="7" t="s">
        <v>50</v>
      </c>
    </row>
    <row r="2821" spans="1:37" customFormat="1" ht="36.75" customHeight="1" x14ac:dyDescent="0.35">
      <c r="A2821" s="5"/>
      <c r="B2821" s="5" t="s">
        <v>37</v>
      </c>
      <c r="C2821" s="73" t="str">
        <f t="shared" si="44"/>
        <v>Closed</v>
      </c>
      <c r="D2821" s="45" t="s">
        <v>15905</v>
      </c>
      <c r="E2821" s="54" t="s">
        <v>15906</v>
      </c>
      <c r="F2821" s="5" t="s">
        <v>1553</v>
      </c>
      <c r="G2821" s="7">
        <f>DATE(2019,1,8)</f>
        <v>43473</v>
      </c>
      <c r="H2821" s="34">
        <v>1.2972222222222223</v>
      </c>
      <c r="I2821" s="5" t="s">
        <v>2398</v>
      </c>
      <c r="J2821" s="7" t="s">
        <v>15907</v>
      </c>
      <c r="K2821" s="5" t="s">
        <v>1555</v>
      </c>
      <c r="L2821" s="5" t="s">
        <v>15908</v>
      </c>
      <c r="M2821" s="5" t="s">
        <v>45</v>
      </c>
      <c r="N2821" s="5" t="s">
        <v>80</v>
      </c>
      <c r="O2821" s="5" t="s">
        <v>59</v>
      </c>
      <c r="P2821" s="7" t="s">
        <v>6920</v>
      </c>
      <c r="Q2821" s="7" t="s">
        <v>2393</v>
      </c>
      <c r="R2821" s="7" t="s">
        <v>6413</v>
      </c>
      <c r="S2821" s="5">
        <v>0</v>
      </c>
      <c r="T2821" s="36">
        <v>0</v>
      </c>
      <c r="U2821" s="5">
        <v>0</v>
      </c>
      <c r="V2821" s="36">
        <v>0</v>
      </c>
      <c r="W2821" s="5">
        <v>0</v>
      </c>
      <c r="X2821" s="5">
        <v>0</v>
      </c>
      <c r="Y2821" s="5">
        <v>0</v>
      </c>
      <c r="Z2821" s="36">
        <v>0</v>
      </c>
      <c r="AA2821" s="5">
        <v>0</v>
      </c>
      <c r="AB2821" s="5">
        <v>0</v>
      </c>
      <c r="AC2821" s="5">
        <v>0</v>
      </c>
      <c r="AD2821" s="5">
        <v>0</v>
      </c>
      <c r="AE2821" s="7" t="s">
        <v>73</v>
      </c>
      <c r="AF2821" s="7"/>
      <c r="AG2821" s="7" t="s">
        <v>333</v>
      </c>
      <c r="AH2821" s="7">
        <v>43476</v>
      </c>
      <c r="AI2821" s="5">
        <v>2</v>
      </c>
      <c r="AJ2821" s="7" t="s">
        <v>15909</v>
      </c>
      <c r="AK2821" s="7" t="s">
        <v>15910</v>
      </c>
    </row>
    <row r="2822" spans="1:37" customFormat="1" ht="36.75" customHeight="1" x14ac:dyDescent="0.35">
      <c r="A2822" s="5"/>
      <c r="B2822" s="5" t="s">
        <v>37</v>
      </c>
      <c r="C2822" s="73" t="str">
        <f t="shared" si="44"/>
        <v>Closed</v>
      </c>
      <c r="D2822" s="45" t="s">
        <v>15911</v>
      </c>
      <c r="E2822" s="54" t="s">
        <v>15912</v>
      </c>
      <c r="F2822" s="5" t="s">
        <v>404</v>
      </c>
      <c r="G2822" s="7">
        <f>DATE(2019,1,9)</f>
        <v>43474</v>
      </c>
      <c r="H2822" s="34">
        <v>1.3756944444444446</v>
      </c>
      <c r="I2822" s="5" t="s">
        <v>2059</v>
      </c>
      <c r="J2822" s="7" t="s">
        <v>15913</v>
      </c>
      <c r="K2822" s="5" t="s">
        <v>406</v>
      </c>
      <c r="L2822" s="5" t="s">
        <v>15914</v>
      </c>
      <c r="M2822" s="5" t="s">
        <v>45</v>
      </c>
      <c r="N2822" s="5" t="s">
        <v>123</v>
      </c>
      <c r="O2822" s="5" t="s">
        <v>59</v>
      </c>
      <c r="P2822" s="7" t="s">
        <v>146</v>
      </c>
      <c r="Q2822" s="7" t="s">
        <v>4531</v>
      </c>
      <c r="R2822" s="7" t="s">
        <v>3083</v>
      </c>
      <c r="S2822" s="5">
        <v>0</v>
      </c>
      <c r="T2822" s="36">
        <v>0</v>
      </c>
      <c r="U2822" s="5">
        <v>0</v>
      </c>
      <c r="V2822" s="36">
        <v>0</v>
      </c>
      <c r="W2822" s="5">
        <v>0</v>
      </c>
      <c r="X2822" s="5">
        <v>0</v>
      </c>
      <c r="Y2822" s="5">
        <v>0</v>
      </c>
      <c r="Z2822" s="36">
        <v>0</v>
      </c>
      <c r="AA2822" s="5">
        <v>0</v>
      </c>
      <c r="AB2822" s="5">
        <v>0</v>
      </c>
      <c r="AC2822" s="5">
        <v>0</v>
      </c>
      <c r="AD2822" s="5">
        <v>0</v>
      </c>
      <c r="AE2822" s="7" t="s">
        <v>73</v>
      </c>
      <c r="AF2822" s="7"/>
      <c r="AG2822" s="7" t="s">
        <v>114</v>
      </c>
      <c r="AH2822" s="7">
        <v>43739</v>
      </c>
      <c r="AI2822" s="5">
        <v>0</v>
      </c>
      <c r="AJ2822" s="7" t="s">
        <v>15915</v>
      </c>
      <c r="AK2822" s="7" t="s">
        <v>15916</v>
      </c>
    </row>
    <row r="2823" spans="1:37" customFormat="1" ht="36.75" customHeight="1" x14ac:dyDescent="0.35">
      <c r="A2823" s="5"/>
      <c r="B2823" s="5" t="s">
        <v>37</v>
      </c>
      <c r="C2823" s="73" t="str">
        <f t="shared" si="44"/>
        <v>Closed</v>
      </c>
      <c r="D2823" s="45" t="s">
        <v>15917</v>
      </c>
      <c r="E2823" s="54" t="s">
        <v>15918</v>
      </c>
      <c r="F2823" s="5" t="s">
        <v>404</v>
      </c>
      <c r="G2823" s="7">
        <f>DATE(2019,1,10)</f>
        <v>43475</v>
      </c>
      <c r="H2823" s="34">
        <v>1.273611111111111</v>
      </c>
      <c r="I2823" s="5" t="s">
        <v>137</v>
      </c>
      <c r="J2823" s="7" t="s">
        <v>15919</v>
      </c>
      <c r="K2823" s="5" t="s">
        <v>406</v>
      </c>
      <c r="L2823" s="5" t="s">
        <v>15920</v>
      </c>
      <c r="M2823" s="5" t="s">
        <v>45</v>
      </c>
      <c r="N2823" s="5" t="s">
        <v>80</v>
      </c>
      <c r="O2823" s="5" t="s">
        <v>59</v>
      </c>
      <c r="P2823" s="7" t="s">
        <v>146</v>
      </c>
      <c r="Q2823" s="7" t="s">
        <v>4531</v>
      </c>
      <c r="R2823" s="7" t="s">
        <v>3083</v>
      </c>
      <c r="S2823" s="5">
        <v>0</v>
      </c>
      <c r="T2823" s="36">
        <v>0</v>
      </c>
      <c r="U2823" s="5">
        <v>0</v>
      </c>
      <c r="V2823" s="36">
        <v>0</v>
      </c>
      <c r="W2823" s="5">
        <v>0</v>
      </c>
      <c r="X2823" s="5">
        <v>0</v>
      </c>
      <c r="Y2823" s="5">
        <v>0</v>
      </c>
      <c r="Z2823" s="36">
        <v>0</v>
      </c>
      <c r="AA2823" s="5">
        <v>0</v>
      </c>
      <c r="AB2823" s="5">
        <v>0</v>
      </c>
      <c r="AC2823" s="5">
        <v>0</v>
      </c>
      <c r="AD2823" s="5">
        <v>0</v>
      </c>
      <c r="AE2823" s="7" t="s">
        <v>73</v>
      </c>
      <c r="AF2823" s="7"/>
      <c r="AG2823" s="7" t="s">
        <v>114</v>
      </c>
      <c r="AH2823" s="7">
        <v>43739</v>
      </c>
      <c r="AI2823" s="5">
        <v>0</v>
      </c>
      <c r="AJ2823" s="7" t="s">
        <v>15921</v>
      </c>
      <c r="AK2823" s="7" t="s">
        <v>15922</v>
      </c>
    </row>
    <row r="2824" spans="1:37" customFormat="1" ht="36.75" customHeight="1" x14ac:dyDescent="0.35">
      <c r="A2824" s="5"/>
      <c r="B2824" s="5" t="s">
        <v>37</v>
      </c>
      <c r="C2824" s="73" t="str">
        <f t="shared" si="44"/>
        <v>Closed</v>
      </c>
      <c r="D2824" s="45" t="s">
        <v>15923</v>
      </c>
      <c r="E2824" s="54" t="s">
        <v>15924</v>
      </c>
      <c r="F2824" s="5" t="s">
        <v>1553</v>
      </c>
      <c r="G2824" s="7">
        <f>DATE(2019,1,10)</f>
        <v>43475</v>
      </c>
      <c r="H2824" s="34">
        <v>1.1666666666666667</v>
      </c>
      <c r="I2824" s="5" t="s">
        <v>106</v>
      </c>
      <c r="J2824" s="7" t="s">
        <v>15925</v>
      </c>
      <c r="K2824" s="5" t="s">
        <v>1555</v>
      </c>
      <c r="L2824" s="5" t="s">
        <v>15926</v>
      </c>
      <c r="M2824" s="5" t="s">
        <v>45</v>
      </c>
      <c r="N2824" s="5" t="s">
        <v>123</v>
      </c>
      <c r="O2824" s="5" t="s">
        <v>59</v>
      </c>
      <c r="P2824" s="7" t="s">
        <v>60</v>
      </c>
      <c r="Q2824" s="7" t="s">
        <v>6072</v>
      </c>
      <c r="R2824" s="7" t="s">
        <v>6413</v>
      </c>
      <c r="S2824" s="5">
        <v>0</v>
      </c>
      <c r="T2824" s="36">
        <v>0</v>
      </c>
      <c r="U2824" s="5">
        <v>0</v>
      </c>
      <c r="V2824" s="36">
        <v>0</v>
      </c>
      <c r="W2824" s="5">
        <v>0</v>
      </c>
      <c r="X2824" s="5">
        <v>0</v>
      </c>
      <c r="Y2824" s="5">
        <v>0</v>
      </c>
      <c r="Z2824" s="36">
        <v>0</v>
      </c>
      <c r="AA2824" s="5">
        <v>0</v>
      </c>
      <c r="AB2824" s="5">
        <v>0</v>
      </c>
      <c r="AC2824" s="5">
        <v>0</v>
      </c>
      <c r="AD2824" s="5">
        <v>0</v>
      </c>
      <c r="AE2824" s="7" t="s">
        <v>375</v>
      </c>
      <c r="AF2824" s="7"/>
      <c r="AG2824" s="7" t="s">
        <v>114</v>
      </c>
      <c r="AH2824" s="7">
        <v>43476</v>
      </c>
      <c r="AI2824" s="5">
        <v>1</v>
      </c>
      <c r="AJ2824" s="7" t="s">
        <v>15927</v>
      </c>
      <c r="AK2824" s="7" t="s">
        <v>15928</v>
      </c>
    </row>
    <row r="2825" spans="1:37" customFormat="1" ht="36.75" customHeight="1" x14ac:dyDescent="0.35">
      <c r="A2825" s="5"/>
      <c r="B2825" s="5" t="s">
        <v>37</v>
      </c>
      <c r="C2825" s="73" t="str">
        <f t="shared" si="44"/>
        <v>Closed</v>
      </c>
      <c r="D2825" s="45" t="s">
        <v>15929</v>
      </c>
      <c r="E2825" s="54" t="s">
        <v>15930</v>
      </c>
      <c r="F2825" s="5" t="s">
        <v>105</v>
      </c>
      <c r="G2825" s="7">
        <f>DATE(2019,1,16)</f>
        <v>43481</v>
      </c>
      <c r="H2825" s="34">
        <v>1.4979166666666666</v>
      </c>
      <c r="I2825" s="5" t="s">
        <v>468</v>
      </c>
      <c r="J2825" s="7" t="s">
        <v>15931</v>
      </c>
      <c r="K2825" s="5" t="s">
        <v>108</v>
      </c>
      <c r="L2825" s="5" t="s">
        <v>15932</v>
      </c>
      <c r="M2825" s="5" t="s">
        <v>45</v>
      </c>
      <c r="N2825" s="5" t="s">
        <v>80</v>
      </c>
      <c r="O2825" s="5" t="s">
        <v>46</v>
      </c>
      <c r="P2825" s="7" t="s">
        <v>362</v>
      </c>
      <c r="Q2825" s="7" t="s">
        <v>382</v>
      </c>
      <c r="R2825" s="7" t="s">
        <v>148</v>
      </c>
      <c r="S2825" s="5">
        <v>0</v>
      </c>
      <c r="T2825" s="36">
        <v>0</v>
      </c>
      <c r="U2825" s="5">
        <v>0</v>
      </c>
      <c r="V2825" s="36">
        <v>0</v>
      </c>
      <c r="W2825" s="5">
        <v>0</v>
      </c>
      <c r="X2825" s="5">
        <v>0</v>
      </c>
      <c r="Y2825" s="5">
        <v>0</v>
      </c>
      <c r="Z2825" s="36">
        <v>0</v>
      </c>
      <c r="AA2825" s="5">
        <v>0</v>
      </c>
      <c r="AB2825" s="5">
        <v>0</v>
      </c>
      <c r="AC2825" s="5">
        <v>0</v>
      </c>
      <c r="AD2825" s="5">
        <v>0</v>
      </c>
      <c r="AE2825" s="7" t="s">
        <v>73</v>
      </c>
      <c r="AF2825" s="7"/>
      <c r="AG2825" s="7" t="s">
        <v>114</v>
      </c>
      <c r="AH2825" s="7">
        <v>43486</v>
      </c>
      <c r="AI2825" s="5">
        <v>1</v>
      </c>
      <c r="AJ2825" s="7" t="s">
        <v>15933</v>
      </c>
      <c r="AK2825" s="7" t="s">
        <v>50</v>
      </c>
    </row>
    <row r="2826" spans="1:37" customFormat="1" ht="36.75" customHeight="1" x14ac:dyDescent="0.35">
      <c r="A2826" s="5"/>
      <c r="B2826" s="5" t="s">
        <v>37</v>
      </c>
      <c r="C2826" s="73" t="str">
        <f t="shared" si="44"/>
        <v>Closed</v>
      </c>
      <c r="D2826" s="45" t="s">
        <v>15934</v>
      </c>
      <c r="E2826" s="54" t="s">
        <v>15935</v>
      </c>
      <c r="F2826" s="5" t="s">
        <v>404</v>
      </c>
      <c r="G2826" s="7">
        <f>DATE(2019,1,18)</f>
        <v>43483</v>
      </c>
      <c r="H2826" s="34">
        <v>1.5756944444444443</v>
      </c>
      <c r="I2826" s="5" t="s">
        <v>2059</v>
      </c>
      <c r="J2826" s="7" t="s">
        <v>15936</v>
      </c>
      <c r="K2826" s="5" t="s">
        <v>406</v>
      </c>
      <c r="L2826" s="5" t="s">
        <v>15937</v>
      </c>
      <c r="M2826" s="5" t="s">
        <v>45</v>
      </c>
      <c r="N2826" s="5" t="s">
        <v>123</v>
      </c>
      <c r="O2826" s="5" t="s">
        <v>59</v>
      </c>
      <c r="P2826" s="7" t="s">
        <v>67</v>
      </c>
      <c r="Q2826" s="7" t="s">
        <v>2562</v>
      </c>
      <c r="R2826" s="7" t="s">
        <v>3083</v>
      </c>
      <c r="S2826" s="5">
        <v>0</v>
      </c>
      <c r="T2826" s="36">
        <v>0</v>
      </c>
      <c r="U2826" s="5">
        <v>0</v>
      </c>
      <c r="V2826" s="36">
        <v>0</v>
      </c>
      <c r="W2826" s="5">
        <v>0</v>
      </c>
      <c r="X2826" s="5">
        <v>0</v>
      </c>
      <c r="Y2826" s="5">
        <v>0</v>
      </c>
      <c r="Z2826" s="36">
        <v>0</v>
      </c>
      <c r="AA2826" s="5">
        <v>0</v>
      </c>
      <c r="AB2826" s="5">
        <v>0</v>
      </c>
      <c r="AC2826" s="5">
        <v>0</v>
      </c>
      <c r="AD2826" s="5">
        <v>0</v>
      </c>
      <c r="AE2826" s="7" t="s">
        <v>73</v>
      </c>
      <c r="AF2826" s="7"/>
      <c r="AG2826" s="7" t="s">
        <v>114</v>
      </c>
      <c r="AH2826" s="7">
        <v>43483</v>
      </c>
      <c r="AI2826" s="5">
        <v>0</v>
      </c>
      <c r="AJ2826" s="7" t="s">
        <v>15938</v>
      </c>
      <c r="AK2826" s="7" t="s">
        <v>15939</v>
      </c>
    </row>
    <row r="2827" spans="1:37" customFormat="1" ht="36.75" customHeight="1" x14ac:dyDescent="0.35">
      <c r="A2827" s="5"/>
      <c r="B2827" s="5" t="s">
        <v>37</v>
      </c>
      <c r="C2827" s="73" t="str">
        <f t="shared" si="44"/>
        <v>Closed</v>
      </c>
      <c r="D2827" s="45" t="s">
        <v>15940</v>
      </c>
      <c r="E2827" s="54" t="s">
        <v>15941</v>
      </c>
      <c r="F2827" s="5" t="s">
        <v>9767</v>
      </c>
      <c r="G2827" s="7">
        <f>DATE(2019,1,18)</f>
        <v>43483</v>
      </c>
      <c r="H2827" s="34">
        <v>1.84375</v>
      </c>
      <c r="I2827" s="5" t="s">
        <v>55</v>
      </c>
      <c r="J2827" s="7" t="s">
        <v>15942</v>
      </c>
      <c r="K2827" s="5" t="s">
        <v>9769</v>
      </c>
      <c r="L2827" s="5" t="s">
        <v>15943</v>
      </c>
      <c r="M2827" s="5" t="s">
        <v>45</v>
      </c>
      <c r="N2827" s="5" t="s">
        <v>80</v>
      </c>
      <c r="O2827" s="5" t="s">
        <v>59</v>
      </c>
      <c r="P2827" s="7" t="s">
        <v>72</v>
      </c>
      <c r="Q2827" s="7" t="s">
        <v>9938</v>
      </c>
      <c r="R2827" s="7" t="s">
        <v>9772</v>
      </c>
      <c r="S2827" s="5">
        <v>0</v>
      </c>
      <c r="T2827" s="36">
        <v>0</v>
      </c>
      <c r="U2827" s="5">
        <v>0</v>
      </c>
      <c r="V2827" s="36">
        <v>0</v>
      </c>
      <c r="W2827" s="5">
        <v>0</v>
      </c>
      <c r="X2827" s="5">
        <v>0</v>
      </c>
      <c r="Y2827" s="5">
        <v>0</v>
      </c>
      <c r="Z2827" s="36">
        <v>0</v>
      </c>
      <c r="AA2827" s="5">
        <v>0</v>
      </c>
      <c r="AB2827" s="5">
        <v>0</v>
      </c>
      <c r="AC2827" s="5">
        <v>0</v>
      </c>
      <c r="AD2827" s="5">
        <v>0</v>
      </c>
      <c r="AE2827" s="7" t="s">
        <v>73</v>
      </c>
      <c r="AF2827" s="7"/>
      <c r="AG2827" s="7" t="s">
        <v>570</v>
      </c>
      <c r="AH2827" s="7">
        <v>43489</v>
      </c>
      <c r="AI2827" s="5">
        <v>0</v>
      </c>
      <c r="AJ2827" s="7" t="s">
        <v>15944</v>
      </c>
      <c r="AK2827" s="7" t="s">
        <v>15945</v>
      </c>
    </row>
    <row r="2828" spans="1:37" customFormat="1" ht="36.75" customHeight="1" x14ac:dyDescent="0.35">
      <c r="A2828" s="5"/>
      <c r="B2828" s="5" t="s">
        <v>37</v>
      </c>
      <c r="C2828" s="73" t="str">
        <f t="shared" si="44"/>
        <v>Closed</v>
      </c>
      <c r="D2828" s="45" t="s">
        <v>15946</v>
      </c>
      <c r="E2828" s="54" t="s">
        <v>15947</v>
      </c>
      <c r="F2828" s="5" t="s">
        <v>1553</v>
      </c>
      <c r="G2828" s="7">
        <f>DATE(2019,1,19)</f>
        <v>43484</v>
      </c>
      <c r="H2828" s="34">
        <v>1.7361111111111112</v>
      </c>
      <c r="I2828" s="5" t="s">
        <v>55</v>
      </c>
      <c r="J2828" s="7" t="s">
        <v>15948</v>
      </c>
      <c r="K2828" s="5" t="s">
        <v>1555</v>
      </c>
      <c r="L2828" s="5" t="s">
        <v>15949</v>
      </c>
      <c r="M2828" s="5" t="s">
        <v>45</v>
      </c>
      <c r="N2828" s="5" t="s">
        <v>80</v>
      </c>
      <c r="O2828" s="5" t="s">
        <v>46</v>
      </c>
      <c r="P2828" s="7" t="s">
        <v>6920</v>
      </c>
      <c r="Q2828" s="7" t="s">
        <v>2393</v>
      </c>
      <c r="R2828" s="7" t="s">
        <v>6413</v>
      </c>
      <c r="S2828" s="5">
        <v>0</v>
      </c>
      <c r="T2828" s="36">
        <v>0</v>
      </c>
      <c r="U2828" s="5">
        <v>0</v>
      </c>
      <c r="V2828" s="36">
        <v>0</v>
      </c>
      <c r="W2828" s="5">
        <v>0</v>
      </c>
      <c r="X2828" s="5">
        <v>0</v>
      </c>
      <c r="Y2828" s="5">
        <v>0</v>
      </c>
      <c r="Z2828" s="36">
        <v>0</v>
      </c>
      <c r="AA2828" s="5">
        <v>0</v>
      </c>
      <c r="AB2828" s="5">
        <v>0</v>
      </c>
      <c r="AC2828" s="5">
        <v>0</v>
      </c>
      <c r="AD2828" s="5">
        <v>0</v>
      </c>
      <c r="AE2828" s="7" t="s">
        <v>73</v>
      </c>
      <c r="AF2828" s="7"/>
      <c r="AG2828" s="7" t="s">
        <v>114</v>
      </c>
      <c r="AH2828" s="7">
        <v>43487</v>
      </c>
      <c r="AI2828" s="5">
        <v>4</v>
      </c>
      <c r="AJ2828" s="7" t="s">
        <v>15950</v>
      </c>
      <c r="AK2828" s="7" t="s">
        <v>15951</v>
      </c>
    </row>
    <row r="2829" spans="1:37" customFormat="1" ht="36.75" customHeight="1" x14ac:dyDescent="0.35">
      <c r="A2829" s="23" t="s">
        <v>4890</v>
      </c>
      <c r="B2829" s="5" t="s">
        <v>37</v>
      </c>
      <c r="C2829" s="73" t="str">
        <f t="shared" si="44"/>
        <v>Closed</v>
      </c>
      <c r="D2829" s="45" t="s">
        <v>15952</v>
      </c>
      <c r="E2829" s="54" t="s">
        <v>15953</v>
      </c>
      <c r="F2829" s="5" t="s">
        <v>404</v>
      </c>
      <c r="G2829" s="7">
        <f>DATE(2019,1,22)</f>
        <v>43487</v>
      </c>
      <c r="H2829" s="34">
        <v>1.325</v>
      </c>
      <c r="I2829" s="5" t="s">
        <v>97</v>
      </c>
      <c r="J2829" s="7" t="s">
        <v>15954</v>
      </c>
      <c r="K2829" s="5" t="s">
        <v>406</v>
      </c>
      <c r="L2829" s="5" t="s">
        <v>15955</v>
      </c>
      <c r="M2829" s="5" t="s">
        <v>45</v>
      </c>
      <c r="N2829" s="5" t="s">
        <v>80</v>
      </c>
      <c r="O2829" s="5" t="s">
        <v>46</v>
      </c>
      <c r="P2829" s="7" t="s">
        <v>146</v>
      </c>
      <c r="Q2829" s="7" t="s">
        <v>4531</v>
      </c>
      <c r="R2829" s="7" t="s">
        <v>3083</v>
      </c>
      <c r="S2829" s="5">
        <v>0</v>
      </c>
      <c r="T2829" s="36">
        <v>0</v>
      </c>
      <c r="U2829" s="5">
        <v>0</v>
      </c>
      <c r="V2829" s="36">
        <v>0</v>
      </c>
      <c r="W2829" s="5">
        <v>0</v>
      </c>
      <c r="X2829" s="5">
        <v>0</v>
      </c>
      <c r="Y2829" s="5">
        <v>0</v>
      </c>
      <c r="Z2829" s="36">
        <v>0</v>
      </c>
      <c r="AA2829" s="5">
        <v>0</v>
      </c>
      <c r="AB2829" s="5">
        <v>0</v>
      </c>
      <c r="AC2829" s="5">
        <v>0</v>
      </c>
      <c r="AD2829" s="5">
        <v>0</v>
      </c>
      <c r="AE2829" s="7" t="s">
        <v>375</v>
      </c>
      <c r="AF2829" s="7"/>
      <c r="AG2829" s="7" t="s">
        <v>855</v>
      </c>
      <c r="AH2829" s="7">
        <v>43487</v>
      </c>
      <c r="AI2829" s="5">
        <v>1</v>
      </c>
      <c r="AJ2829" s="7" t="s">
        <v>50</v>
      </c>
      <c r="AK2829" s="7" t="s">
        <v>50</v>
      </c>
    </row>
    <row r="2830" spans="1:37" customFormat="1" ht="36.75" customHeight="1" x14ac:dyDescent="0.35">
      <c r="A2830" s="5"/>
      <c r="B2830" s="5" t="s">
        <v>37</v>
      </c>
      <c r="C2830" s="73" t="str">
        <f t="shared" si="44"/>
        <v>Closed</v>
      </c>
      <c r="D2830" s="45" t="s">
        <v>15956</v>
      </c>
      <c r="E2830" s="54" t="s">
        <v>15957</v>
      </c>
      <c r="F2830" s="5" t="s">
        <v>2581</v>
      </c>
      <c r="G2830" s="7">
        <f>DATE(2019,1,26)</f>
        <v>43491</v>
      </c>
      <c r="H2830" s="34">
        <v>1.7743055555555554</v>
      </c>
      <c r="I2830" s="5" t="s">
        <v>55</v>
      </c>
      <c r="J2830" s="7" t="s">
        <v>15958</v>
      </c>
      <c r="K2830" s="5" t="s">
        <v>2583</v>
      </c>
      <c r="L2830" s="5" t="s">
        <v>15959</v>
      </c>
      <c r="M2830" s="5" t="s">
        <v>45</v>
      </c>
      <c r="N2830" s="5" t="s">
        <v>80</v>
      </c>
      <c r="O2830" s="5" t="s">
        <v>46</v>
      </c>
      <c r="P2830" s="7" t="s">
        <v>60</v>
      </c>
      <c r="Q2830" s="7" t="s">
        <v>13582</v>
      </c>
      <c r="R2830" s="7" t="s">
        <v>2586</v>
      </c>
      <c r="S2830" s="5">
        <v>0</v>
      </c>
      <c r="T2830" s="36">
        <v>0</v>
      </c>
      <c r="U2830" s="5">
        <v>0</v>
      </c>
      <c r="V2830" s="36">
        <v>0</v>
      </c>
      <c r="W2830" s="5">
        <v>0</v>
      </c>
      <c r="X2830" s="5">
        <v>0</v>
      </c>
      <c r="Y2830" s="5">
        <v>0</v>
      </c>
      <c r="Z2830" s="36">
        <v>0</v>
      </c>
      <c r="AA2830" s="5">
        <v>0</v>
      </c>
      <c r="AB2830" s="5">
        <v>0</v>
      </c>
      <c r="AC2830" s="5">
        <v>0</v>
      </c>
      <c r="AD2830" s="5">
        <v>0</v>
      </c>
      <c r="AE2830" s="7" t="s">
        <v>126</v>
      </c>
      <c r="AF2830" s="7"/>
      <c r="AG2830" s="7" t="s">
        <v>114</v>
      </c>
      <c r="AH2830" s="7">
        <v>43494</v>
      </c>
      <c r="AI2830" s="5">
        <v>3</v>
      </c>
      <c r="AJ2830" s="7" t="s">
        <v>15960</v>
      </c>
      <c r="AK2830" s="7" t="s">
        <v>15961</v>
      </c>
    </row>
    <row r="2831" spans="1:37" customFormat="1" ht="36.75" customHeight="1" x14ac:dyDescent="0.35">
      <c r="A2831" s="5"/>
      <c r="B2831" s="5" t="s">
        <v>37</v>
      </c>
      <c r="C2831" s="73" t="str">
        <f t="shared" si="44"/>
        <v>Closed</v>
      </c>
      <c r="D2831" s="45" t="s">
        <v>15962</v>
      </c>
      <c r="E2831" s="54" t="s">
        <v>15963</v>
      </c>
      <c r="F2831" s="5" t="s">
        <v>1553</v>
      </c>
      <c r="G2831" s="7">
        <f>DATE(2019,1,26)</f>
        <v>43491</v>
      </c>
      <c r="H2831" s="34">
        <v>1.4125000000000001</v>
      </c>
      <c r="I2831" s="5" t="s">
        <v>179</v>
      </c>
      <c r="J2831" s="7" t="s">
        <v>15964</v>
      </c>
      <c r="K2831" s="5" t="s">
        <v>1555</v>
      </c>
      <c r="L2831" s="5" t="s">
        <v>15965</v>
      </c>
      <c r="M2831" s="5" t="s">
        <v>110</v>
      </c>
      <c r="N2831" s="5" t="s">
        <v>80</v>
      </c>
      <c r="O2831" s="5" t="s">
        <v>67</v>
      </c>
      <c r="P2831" s="7" t="s">
        <v>72</v>
      </c>
      <c r="Q2831" s="7" t="s">
        <v>5469</v>
      </c>
      <c r="R2831" s="7" t="s">
        <v>5469</v>
      </c>
      <c r="S2831" s="5">
        <v>0</v>
      </c>
      <c r="T2831" s="36">
        <v>0</v>
      </c>
      <c r="U2831" s="5">
        <v>0</v>
      </c>
      <c r="V2831" s="36">
        <v>0</v>
      </c>
      <c r="W2831" s="5">
        <v>0</v>
      </c>
      <c r="X2831" s="5">
        <v>0</v>
      </c>
      <c r="Y2831" s="5">
        <v>0</v>
      </c>
      <c r="Z2831" s="36">
        <v>0</v>
      </c>
      <c r="AA2831" s="5">
        <v>0</v>
      </c>
      <c r="AB2831" s="5">
        <v>0</v>
      </c>
      <c r="AC2831" s="5">
        <v>0</v>
      </c>
      <c r="AD2831" s="5">
        <v>0</v>
      </c>
      <c r="AE2831" s="7" t="s">
        <v>126</v>
      </c>
      <c r="AF2831" s="7"/>
      <c r="AG2831" s="7" t="s">
        <v>1489</v>
      </c>
      <c r="AH2831" s="7">
        <v>43493</v>
      </c>
      <c r="AI2831" s="5">
        <v>2</v>
      </c>
      <c r="AJ2831" s="7" t="s">
        <v>15966</v>
      </c>
      <c r="AK2831" s="7" t="s">
        <v>15967</v>
      </c>
    </row>
    <row r="2832" spans="1:37" customFormat="1" ht="36.75" customHeight="1" x14ac:dyDescent="0.35">
      <c r="A2832" s="5"/>
      <c r="B2832" s="5" t="s">
        <v>37</v>
      </c>
      <c r="C2832" s="73" t="str">
        <f t="shared" si="44"/>
        <v>Closed</v>
      </c>
      <c r="D2832" s="45" t="s">
        <v>15968</v>
      </c>
      <c r="E2832" s="54" t="s">
        <v>15969</v>
      </c>
      <c r="F2832" s="5" t="s">
        <v>404</v>
      </c>
      <c r="G2832" s="7">
        <f>DATE(2019,1,27)</f>
        <v>43492</v>
      </c>
      <c r="H2832" s="34">
        <v>1.2437499999999999</v>
      </c>
      <c r="I2832" s="5" t="s">
        <v>55</v>
      </c>
      <c r="J2832" s="7" t="s">
        <v>15970</v>
      </c>
      <c r="K2832" s="5" t="s">
        <v>406</v>
      </c>
      <c r="L2832" s="5" t="s">
        <v>15971</v>
      </c>
      <c r="M2832" s="5" t="s">
        <v>45</v>
      </c>
      <c r="N2832" s="5" t="s">
        <v>80</v>
      </c>
      <c r="O2832" s="5" t="s">
        <v>59</v>
      </c>
      <c r="P2832" s="7" t="s">
        <v>146</v>
      </c>
      <c r="Q2832" s="7" t="s">
        <v>12690</v>
      </c>
      <c r="R2832" s="7" t="s">
        <v>12690</v>
      </c>
      <c r="S2832" s="5">
        <v>0</v>
      </c>
      <c r="T2832" s="36">
        <v>0</v>
      </c>
      <c r="U2832" s="5">
        <v>0</v>
      </c>
      <c r="V2832" s="36">
        <v>0</v>
      </c>
      <c r="W2832" s="5">
        <v>0</v>
      </c>
      <c r="X2832" s="5">
        <v>0</v>
      </c>
      <c r="Y2832" s="5">
        <v>0</v>
      </c>
      <c r="Z2832" s="36">
        <v>0</v>
      </c>
      <c r="AA2832" s="5">
        <v>0</v>
      </c>
      <c r="AB2832" s="5">
        <v>0</v>
      </c>
      <c r="AC2832" s="5">
        <v>0</v>
      </c>
      <c r="AD2832" s="5">
        <v>0</v>
      </c>
      <c r="AE2832" s="7" t="s">
        <v>73</v>
      </c>
      <c r="AF2832" s="7"/>
      <c r="AG2832" s="7" t="s">
        <v>333</v>
      </c>
      <c r="AH2832" s="7">
        <v>43492</v>
      </c>
      <c r="AI2832" s="5">
        <v>0</v>
      </c>
      <c r="AJ2832" s="7" t="s">
        <v>15972</v>
      </c>
      <c r="AK2832" s="7" t="s">
        <v>15973</v>
      </c>
    </row>
    <row r="2833" spans="1:37" customFormat="1" ht="36.75" customHeight="1" x14ac:dyDescent="0.35">
      <c r="A2833" s="5"/>
      <c r="B2833" s="5" t="s">
        <v>37</v>
      </c>
      <c r="C2833" s="73" t="str">
        <f t="shared" si="44"/>
        <v>Closed</v>
      </c>
      <c r="D2833" s="45" t="s">
        <v>15974</v>
      </c>
      <c r="E2833" s="54" t="s">
        <v>15975</v>
      </c>
      <c r="F2833" s="5" t="s">
        <v>1553</v>
      </c>
      <c r="G2833" s="7">
        <f>DATE(2019,1,27)</f>
        <v>43492</v>
      </c>
      <c r="H2833" s="34">
        <v>1.6145833333333335</v>
      </c>
      <c r="I2833" s="5" t="s">
        <v>55</v>
      </c>
      <c r="J2833" s="7" t="s">
        <v>15976</v>
      </c>
      <c r="K2833" s="5" t="s">
        <v>1555</v>
      </c>
      <c r="L2833" s="5" t="s">
        <v>15977</v>
      </c>
      <c r="M2833" s="5" t="s">
        <v>45</v>
      </c>
      <c r="N2833" s="5" t="s">
        <v>80</v>
      </c>
      <c r="O2833" s="5" t="s">
        <v>46</v>
      </c>
      <c r="P2833" s="7" t="s">
        <v>6920</v>
      </c>
      <c r="Q2833" s="7" t="s">
        <v>15978</v>
      </c>
      <c r="R2833" s="7" t="s">
        <v>2541</v>
      </c>
      <c r="S2833" s="5">
        <v>0</v>
      </c>
      <c r="T2833" s="36">
        <v>0</v>
      </c>
      <c r="U2833" s="5">
        <v>0</v>
      </c>
      <c r="V2833" s="36">
        <v>0</v>
      </c>
      <c r="W2833" s="5">
        <v>0</v>
      </c>
      <c r="X2833" s="5">
        <v>0</v>
      </c>
      <c r="Y2833" s="5">
        <v>0</v>
      </c>
      <c r="Z2833" s="36">
        <v>0</v>
      </c>
      <c r="AA2833" s="5">
        <v>0</v>
      </c>
      <c r="AB2833" s="5">
        <v>0</v>
      </c>
      <c r="AC2833" s="5">
        <v>0</v>
      </c>
      <c r="AD2833" s="5">
        <v>0</v>
      </c>
      <c r="AE2833" s="7" t="s">
        <v>73</v>
      </c>
      <c r="AF2833" s="7"/>
      <c r="AG2833" s="7" t="s">
        <v>114</v>
      </c>
      <c r="AH2833" s="7">
        <v>43493</v>
      </c>
      <c r="AI2833" s="5">
        <v>0</v>
      </c>
      <c r="AJ2833" s="7" t="s">
        <v>15979</v>
      </c>
      <c r="AK2833" s="7" t="s">
        <v>15980</v>
      </c>
    </row>
    <row r="2834" spans="1:37" customFormat="1" ht="36.75" customHeight="1" x14ac:dyDescent="0.35">
      <c r="A2834" s="5"/>
      <c r="B2834" s="5" t="s">
        <v>37</v>
      </c>
      <c r="C2834" s="73" t="str">
        <f t="shared" si="44"/>
        <v>Closed</v>
      </c>
      <c r="D2834" s="45" t="s">
        <v>15981</v>
      </c>
      <c r="E2834" s="54" t="s">
        <v>15982</v>
      </c>
      <c r="F2834" s="5" t="s">
        <v>5406</v>
      </c>
      <c r="G2834" s="7">
        <f>DATE(2019,1,31)</f>
        <v>43496</v>
      </c>
      <c r="H2834" s="34">
        <v>1.9076388888888891</v>
      </c>
      <c r="I2834" s="5" t="s">
        <v>6579</v>
      </c>
      <c r="J2834" s="7" t="s">
        <v>15983</v>
      </c>
      <c r="K2834" s="5" t="s">
        <v>577</v>
      </c>
      <c r="L2834" s="5" t="s">
        <v>15984</v>
      </c>
      <c r="M2834" s="5" t="s">
        <v>45</v>
      </c>
      <c r="N2834" s="5" t="s">
        <v>80</v>
      </c>
      <c r="O2834" s="5" t="s">
        <v>46</v>
      </c>
      <c r="P2834" s="7" t="s">
        <v>146</v>
      </c>
      <c r="Q2834" s="7" t="s">
        <v>10507</v>
      </c>
      <c r="R2834" s="7" t="s">
        <v>12052</v>
      </c>
      <c r="S2834" s="5">
        <v>0</v>
      </c>
      <c r="T2834" s="36">
        <v>0</v>
      </c>
      <c r="U2834" s="5">
        <v>0</v>
      </c>
      <c r="V2834" s="36">
        <v>0</v>
      </c>
      <c r="W2834" s="5">
        <v>0</v>
      </c>
      <c r="X2834" s="5">
        <v>0</v>
      </c>
      <c r="Y2834" s="5">
        <v>0</v>
      </c>
      <c r="Z2834" s="36">
        <v>0</v>
      </c>
      <c r="AA2834" s="5">
        <v>0</v>
      </c>
      <c r="AB2834" s="5">
        <v>0</v>
      </c>
      <c r="AC2834" s="5">
        <v>0</v>
      </c>
      <c r="AD2834" s="5">
        <v>0</v>
      </c>
      <c r="AE2834" s="7" t="s">
        <v>73</v>
      </c>
      <c r="AF2834" s="7"/>
      <c r="AG2834" s="7" t="s">
        <v>114</v>
      </c>
      <c r="AH2834" s="7">
        <v>43587</v>
      </c>
      <c r="AI2834" s="5">
        <v>0</v>
      </c>
      <c r="AJ2834" s="7" t="s">
        <v>15985</v>
      </c>
      <c r="AK2834" s="7" t="s">
        <v>15986</v>
      </c>
    </row>
    <row r="2835" spans="1:37" customFormat="1" ht="36.75" customHeight="1" x14ac:dyDescent="0.35">
      <c r="A2835" s="5"/>
      <c r="B2835" s="5" t="s">
        <v>37</v>
      </c>
      <c r="C2835" s="73" t="str">
        <f t="shared" si="44"/>
        <v>Closed</v>
      </c>
      <c r="D2835" s="45" t="s">
        <v>15987</v>
      </c>
      <c r="E2835" s="54" t="s">
        <v>15988</v>
      </c>
      <c r="F2835" s="5" t="s">
        <v>1553</v>
      </c>
      <c r="G2835" s="7">
        <f>DATE(2019,1,31)</f>
        <v>43496</v>
      </c>
      <c r="H2835" s="34">
        <v>1.0902777777777777</v>
      </c>
      <c r="I2835" s="5" t="s">
        <v>5473</v>
      </c>
      <c r="J2835" s="7" t="s">
        <v>15989</v>
      </c>
      <c r="K2835" s="5" t="s">
        <v>1555</v>
      </c>
      <c r="L2835" s="5" t="s">
        <v>15990</v>
      </c>
      <c r="M2835" s="5" t="s">
        <v>45</v>
      </c>
      <c r="N2835" s="5" t="s">
        <v>80</v>
      </c>
      <c r="O2835" s="5" t="s">
        <v>46</v>
      </c>
      <c r="P2835" s="7" t="s">
        <v>6920</v>
      </c>
      <c r="Q2835" s="7" t="s">
        <v>2393</v>
      </c>
      <c r="R2835" s="7" t="s">
        <v>6413</v>
      </c>
      <c r="S2835" s="5">
        <v>0</v>
      </c>
      <c r="T2835" s="36">
        <v>0</v>
      </c>
      <c r="U2835" s="5">
        <v>0</v>
      </c>
      <c r="V2835" s="36">
        <v>0</v>
      </c>
      <c r="W2835" s="5">
        <v>0</v>
      </c>
      <c r="X2835" s="5">
        <v>0</v>
      </c>
      <c r="Y2835" s="5">
        <v>0</v>
      </c>
      <c r="Z2835" s="36">
        <v>0</v>
      </c>
      <c r="AA2835" s="5">
        <v>0</v>
      </c>
      <c r="AB2835" s="5">
        <v>0</v>
      </c>
      <c r="AC2835" s="5">
        <v>0</v>
      </c>
      <c r="AD2835" s="5">
        <v>0</v>
      </c>
      <c r="AE2835" s="7" t="s">
        <v>375</v>
      </c>
      <c r="AF2835" s="7"/>
      <c r="AG2835" s="7" t="s">
        <v>1489</v>
      </c>
      <c r="AH2835" s="7">
        <v>43496</v>
      </c>
      <c r="AI2835" s="5">
        <v>2</v>
      </c>
      <c r="AJ2835" s="7" t="s">
        <v>15991</v>
      </c>
      <c r="AK2835" s="7" t="s">
        <v>15992</v>
      </c>
    </row>
    <row r="2836" spans="1:37" customFormat="1" ht="36.75" customHeight="1" x14ac:dyDescent="0.35">
      <c r="A2836" s="5"/>
      <c r="B2836" s="5" t="s">
        <v>37</v>
      </c>
      <c r="C2836" s="73" t="str">
        <f t="shared" si="44"/>
        <v>Closed</v>
      </c>
      <c r="D2836" s="45" t="s">
        <v>15993</v>
      </c>
      <c r="E2836" s="54" t="s">
        <v>15994</v>
      </c>
      <c r="F2836" s="5" t="s">
        <v>1553</v>
      </c>
      <c r="G2836" s="7">
        <f>DATE(2019,2,3)</f>
        <v>43499</v>
      </c>
      <c r="H2836" s="34">
        <v>1.3229166666666667</v>
      </c>
      <c r="I2836" s="5" t="s">
        <v>55</v>
      </c>
      <c r="J2836" s="7" t="s">
        <v>15995</v>
      </c>
      <c r="K2836" s="5" t="s">
        <v>1555</v>
      </c>
      <c r="L2836" s="5" t="s">
        <v>15996</v>
      </c>
      <c r="M2836" s="5" t="s">
        <v>45</v>
      </c>
      <c r="N2836" s="5" t="s">
        <v>123</v>
      </c>
      <c r="O2836" s="5" t="s">
        <v>46</v>
      </c>
      <c r="P2836" s="7" t="s">
        <v>146</v>
      </c>
      <c r="Q2836" s="7" t="s">
        <v>2393</v>
      </c>
      <c r="R2836" s="7" t="s">
        <v>6413</v>
      </c>
      <c r="S2836" s="5">
        <v>0</v>
      </c>
      <c r="T2836" s="36">
        <v>0</v>
      </c>
      <c r="U2836" s="5">
        <v>0</v>
      </c>
      <c r="V2836" s="36">
        <v>0</v>
      </c>
      <c r="W2836" s="5">
        <v>0</v>
      </c>
      <c r="X2836" s="5">
        <v>0</v>
      </c>
      <c r="Y2836" s="5">
        <v>0</v>
      </c>
      <c r="Z2836" s="36">
        <v>0</v>
      </c>
      <c r="AA2836" s="5">
        <v>0</v>
      </c>
      <c r="AB2836" s="5">
        <v>0</v>
      </c>
      <c r="AC2836" s="5">
        <v>0</v>
      </c>
      <c r="AD2836" s="5">
        <v>0</v>
      </c>
      <c r="AE2836" s="7" t="s">
        <v>73</v>
      </c>
      <c r="AF2836" s="7"/>
      <c r="AG2836" s="7" t="s">
        <v>114</v>
      </c>
      <c r="AH2836" s="7">
        <v>43528</v>
      </c>
      <c r="AI2836" s="5">
        <v>0</v>
      </c>
      <c r="AJ2836" s="7" t="s">
        <v>15997</v>
      </c>
      <c r="AK2836" s="7" t="s">
        <v>15998</v>
      </c>
    </row>
    <row r="2837" spans="1:37" customFormat="1" ht="36.75" customHeight="1" x14ac:dyDescent="0.35">
      <c r="A2837" s="5"/>
      <c r="B2837" s="5" t="s">
        <v>37</v>
      </c>
      <c r="C2837" s="73" t="str">
        <f t="shared" si="44"/>
        <v>Closed</v>
      </c>
      <c r="D2837" s="45" t="s">
        <v>15999</v>
      </c>
      <c r="E2837" s="54" t="s">
        <v>16000</v>
      </c>
      <c r="F2837" s="5" t="s">
        <v>1553</v>
      </c>
      <c r="G2837" s="7">
        <f>DATE(2019,2,3)</f>
        <v>43499</v>
      </c>
      <c r="H2837" s="34">
        <v>1.53125</v>
      </c>
      <c r="I2837" s="5" t="s">
        <v>55</v>
      </c>
      <c r="J2837" s="7" t="s">
        <v>16001</v>
      </c>
      <c r="K2837" s="5" t="s">
        <v>1555</v>
      </c>
      <c r="L2837" s="5" t="s">
        <v>16002</v>
      </c>
      <c r="M2837" s="5" t="s">
        <v>45</v>
      </c>
      <c r="N2837" s="5" t="s">
        <v>123</v>
      </c>
      <c r="O2837" s="5" t="s">
        <v>59</v>
      </c>
      <c r="P2837" s="7" t="s">
        <v>47</v>
      </c>
      <c r="Q2837" s="7" t="s">
        <v>2393</v>
      </c>
      <c r="R2837" s="7" t="s">
        <v>6413</v>
      </c>
      <c r="S2837" s="5">
        <v>0</v>
      </c>
      <c r="T2837" s="36">
        <v>0</v>
      </c>
      <c r="U2837" s="5">
        <v>0</v>
      </c>
      <c r="V2837" s="36">
        <v>0</v>
      </c>
      <c r="W2837" s="5">
        <v>0</v>
      </c>
      <c r="X2837" s="5">
        <v>0</v>
      </c>
      <c r="Y2837" s="5">
        <v>0</v>
      </c>
      <c r="Z2837" s="36">
        <v>0</v>
      </c>
      <c r="AA2837" s="5">
        <v>0</v>
      </c>
      <c r="AB2837" s="5">
        <v>0</v>
      </c>
      <c r="AC2837" s="5">
        <v>0</v>
      </c>
      <c r="AD2837" s="5">
        <v>0</v>
      </c>
      <c r="AE2837" s="7" t="s">
        <v>73</v>
      </c>
      <c r="AF2837" s="7"/>
      <c r="AG2837" s="7" t="s">
        <v>114</v>
      </c>
      <c r="AH2837" s="7">
        <v>43528</v>
      </c>
      <c r="AI2837" s="5">
        <v>3</v>
      </c>
      <c r="AJ2837" s="7" t="s">
        <v>16003</v>
      </c>
      <c r="AK2837" s="7" t="s">
        <v>16004</v>
      </c>
    </row>
    <row r="2838" spans="1:37" customFormat="1" ht="36.75" customHeight="1" x14ac:dyDescent="0.35">
      <c r="A2838" s="5"/>
      <c r="B2838" s="5" t="s">
        <v>37</v>
      </c>
      <c r="C2838" s="73" t="str">
        <f t="shared" si="44"/>
        <v>Closed</v>
      </c>
      <c r="D2838" s="45" t="s">
        <v>16005</v>
      </c>
      <c r="E2838" s="54" t="s">
        <v>16006</v>
      </c>
      <c r="F2838" s="5" t="s">
        <v>1553</v>
      </c>
      <c r="G2838" s="7">
        <f>DATE(2019,2,5)</f>
        <v>43501</v>
      </c>
      <c r="H2838" s="34">
        <v>1.1333333333333333</v>
      </c>
      <c r="I2838" s="5" t="s">
        <v>55</v>
      </c>
      <c r="J2838" s="7" t="s">
        <v>16007</v>
      </c>
      <c r="K2838" s="5" t="s">
        <v>1555</v>
      </c>
      <c r="L2838" s="5" t="s">
        <v>15693</v>
      </c>
      <c r="M2838" s="5" t="s">
        <v>45</v>
      </c>
      <c r="N2838" s="5" t="s">
        <v>80</v>
      </c>
      <c r="O2838" s="5" t="s">
        <v>59</v>
      </c>
      <c r="P2838" s="7" t="s">
        <v>60</v>
      </c>
      <c r="Q2838" s="7" t="s">
        <v>6072</v>
      </c>
      <c r="R2838" s="7" t="s">
        <v>6413</v>
      </c>
      <c r="S2838" s="5">
        <v>0</v>
      </c>
      <c r="T2838" s="36">
        <v>0</v>
      </c>
      <c r="U2838" s="5">
        <v>0</v>
      </c>
      <c r="V2838" s="36">
        <v>0</v>
      </c>
      <c r="W2838" s="5">
        <v>0</v>
      </c>
      <c r="X2838" s="5">
        <v>0</v>
      </c>
      <c r="Y2838" s="5">
        <v>0</v>
      </c>
      <c r="Z2838" s="36">
        <v>0</v>
      </c>
      <c r="AA2838" s="5">
        <v>0</v>
      </c>
      <c r="AB2838" s="5">
        <v>0</v>
      </c>
      <c r="AC2838" s="5">
        <v>0</v>
      </c>
      <c r="AD2838" s="5">
        <v>0</v>
      </c>
      <c r="AE2838" s="7" t="s">
        <v>73</v>
      </c>
      <c r="AF2838" s="7"/>
      <c r="AG2838" s="7" t="s">
        <v>114</v>
      </c>
      <c r="AH2838" s="7">
        <v>43504</v>
      </c>
      <c r="AI2838" s="5">
        <v>0</v>
      </c>
      <c r="AJ2838" s="7" t="s">
        <v>16008</v>
      </c>
      <c r="AK2838" s="7" t="s">
        <v>16009</v>
      </c>
    </row>
    <row r="2839" spans="1:37" customFormat="1" ht="36.75" customHeight="1" x14ac:dyDescent="0.35">
      <c r="A2839" s="5"/>
      <c r="B2839" s="5" t="s">
        <v>37</v>
      </c>
      <c r="C2839" s="73" t="str">
        <f t="shared" si="44"/>
        <v>Closed</v>
      </c>
      <c r="D2839" s="45" t="s">
        <v>16010</v>
      </c>
      <c r="E2839" s="54" t="s">
        <v>16011</v>
      </c>
      <c r="F2839" s="5" t="s">
        <v>563</v>
      </c>
      <c r="G2839" s="7">
        <f>DATE(2019,2,6)</f>
        <v>43502</v>
      </c>
      <c r="H2839" s="34">
        <v>1.9791666666666665</v>
      </c>
      <c r="I2839" s="5" t="s">
        <v>106</v>
      </c>
      <c r="J2839" s="7" t="s">
        <v>16012</v>
      </c>
      <c r="K2839" s="5" t="s">
        <v>565</v>
      </c>
      <c r="L2839" s="5" t="s">
        <v>16013</v>
      </c>
      <c r="M2839" s="5" t="s">
        <v>45</v>
      </c>
      <c r="N2839" s="5" t="s">
        <v>123</v>
      </c>
      <c r="O2839" s="5" t="s">
        <v>59</v>
      </c>
      <c r="P2839" s="7" t="s">
        <v>60</v>
      </c>
      <c r="Q2839" s="7" t="s">
        <v>16014</v>
      </c>
      <c r="R2839" s="7" t="s">
        <v>568</v>
      </c>
      <c r="S2839" s="5">
        <v>0</v>
      </c>
      <c r="T2839" s="36">
        <v>0</v>
      </c>
      <c r="U2839" s="5">
        <v>0</v>
      </c>
      <c r="V2839" s="36">
        <v>0</v>
      </c>
      <c r="W2839" s="5">
        <v>0</v>
      </c>
      <c r="X2839" s="5">
        <v>0</v>
      </c>
      <c r="Y2839" s="5">
        <v>0</v>
      </c>
      <c r="Z2839" s="36">
        <v>0</v>
      </c>
      <c r="AA2839" s="5">
        <v>0</v>
      </c>
      <c r="AB2839" s="5">
        <v>0</v>
      </c>
      <c r="AC2839" s="5">
        <v>0</v>
      </c>
      <c r="AD2839" s="5">
        <v>0</v>
      </c>
      <c r="AE2839" s="7" t="s">
        <v>375</v>
      </c>
      <c r="AF2839" s="7" t="s">
        <v>16015</v>
      </c>
      <c r="AG2839" s="7" t="s">
        <v>6438</v>
      </c>
      <c r="AH2839" s="7">
        <v>43504</v>
      </c>
      <c r="AI2839" s="5">
        <v>0</v>
      </c>
      <c r="AJ2839" s="7" t="s">
        <v>16016</v>
      </c>
      <c r="AK2839" s="7" t="s">
        <v>50</v>
      </c>
    </row>
    <row r="2840" spans="1:37" customFormat="1" ht="36.75" customHeight="1" x14ac:dyDescent="0.35">
      <c r="A2840" s="5"/>
      <c r="B2840" s="5" t="s">
        <v>37</v>
      </c>
      <c r="C2840" s="73" t="str">
        <f t="shared" si="44"/>
        <v>Closed</v>
      </c>
      <c r="D2840" s="45" t="s">
        <v>16017</v>
      </c>
      <c r="E2840" s="54" t="s">
        <v>16018</v>
      </c>
      <c r="F2840" s="5" t="s">
        <v>214</v>
      </c>
      <c r="G2840" s="7">
        <f>DATE(2019,2,6)</f>
        <v>43502</v>
      </c>
      <c r="H2840" s="34">
        <v>1.413888888888889</v>
      </c>
      <c r="I2840" s="5" t="s">
        <v>97</v>
      </c>
      <c r="J2840" s="7" t="s">
        <v>16019</v>
      </c>
      <c r="K2840" s="5" t="s">
        <v>216</v>
      </c>
      <c r="L2840" s="5" t="s">
        <v>16020</v>
      </c>
      <c r="M2840" s="5" t="s">
        <v>45</v>
      </c>
      <c r="N2840" s="5" t="s">
        <v>123</v>
      </c>
      <c r="O2840" s="5" t="s">
        <v>46</v>
      </c>
      <c r="P2840" s="7" t="s">
        <v>146</v>
      </c>
      <c r="Q2840" s="7" t="s">
        <v>4639</v>
      </c>
      <c r="R2840" s="7" t="s">
        <v>216</v>
      </c>
      <c r="S2840" s="5">
        <v>0</v>
      </c>
      <c r="T2840" s="36">
        <v>0</v>
      </c>
      <c r="U2840" s="5">
        <v>1</v>
      </c>
      <c r="V2840" s="36">
        <v>0</v>
      </c>
      <c r="W2840" s="5">
        <v>0</v>
      </c>
      <c r="X2840" s="5">
        <v>1</v>
      </c>
      <c r="Y2840" s="5">
        <v>0</v>
      </c>
      <c r="Z2840" s="36">
        <v>0</v>
      </c>
      <c r="AA2840" s="5">
        <v>0</v>
      </c>
      <c r="AB2840" s="5">
        <v>0</v>
      </c>
      <c r="AC2840" s="5">
        <v>0</v>
      </c>
      <c r="AD2840" s="5">
        <v>0</v>
      </c>
      <c r="AE2840" s="7" t="s">
        <v>73</v>
      </c>
      <c r="AF2840" s="7"/>
      <c r="AG2840" s="7" t="s">
        <v>64</v>
      </c>
      <c r="AH2840" s="7">
        <v>43507</v>
      </c>
      <c r="AI2840" s="5">
        <v>1</v>
      </c>
      <c r="AJ2840" s="7" t="s">
        <v>16021</v>
      </c>
      <c r="AK2840" s="7" t="s">
        <v>16022</v>
      </c>
    </row>
    <row r="2841" spans="1:37" customFormat="1" ht="36.75" customHeight="1" x14ac:dyDescent="0.35">
      <c r="A2841" s="5"/>
      <c r="B2841" s="5" t="s">
        <v>37</v>
      </c>
      <c r="C2841" s="73" t="str">
        <f t="shared" si="44"/>
        <v>Closed</v>
      </c>
      <c r="D2841" s="45" t="s">
        <v>16023</v>
      </c>
      <c r="E2841" s="54" t="s">
        <v>16024</v>
      </c>
      <c r="F2841" s="5" t="s">
        <v>119</v>
      </c>
      <c r="G2841" s="7">
        <f>DATE(2019,2,7)</f>
        <v>43503</v>
      </c>
      <c r="H2841" s="34">
        <v>1.7868055555555555</v>
      </c>
      <c r="I2841" s="5" t="s">
        <v>179</v>
      </c>
      <c r="J2841" s="7" t="s">
        <v>16025</v>
      </c>
      <c r="K2841" s="5" t="s">
        <v>121</v>
      </c>
      <c r="L2841" s="5" t="s">
        <v>16026</v>
      </c>
      <c r="M2841" s="5" t="s">
        <v>45</v>
      </c>
      <c r="N2841" s="5" t="s">
        <v>70</v>
      </c>
      <c r="O2841" s="5" t="s">
        <v>59</v>
      </c>
      <c r="P2841" s="7" t="s">
        <v>72</v>
      </c>
      <c r="Q2841" s="7" t="s">
        <v>16027</v>
      </c>
      <c r="R2841" s="7" t="s">
        <v>4913</v>
      </c>
      <c r="S2841" s="5">
        <v>0</v>
      </c>
      <c r="T2841" s="36">
        <v>0</v>
      </c>
      <c r="U2841" s="5">
        <v>0</v>
      </c>
      <c r="V2841" s="36">
        <v>0</v>
      </c>
      <c r="W2841" s="5">
        <v>0</v>
      </c>
      <c r="X2841" s="5">
        <v>0</v>
      </c>
      <c r="Y2841" s="5">
        <v>0</v>
      </c>
      <c r="Z2841" s="36">
        <v>0</v>
      </c>
      <c r="AA2841" s="5">
        <v>0</v>
      </c>
      <c r="AB2841" s="5">
        <v>0</v>
      </c>
      <c r="AC2841" s="5">
        <v>0</v>
      </c>
      <c r="AD2841" s="5">
        <v>0</v>
      </c>
      <c r="AE2841" s="7" t="s">
        <v>375</v>
      </c>
      <c r="AF2841" s="7"/>
      <c r="AG2841" s="7" t="s">
        <v>10489</v>
      </c>
      <c r="AH2841" s="7">
        <v>43511</v>
      </c>
      <c r="AI2841" s="5">
        <v>5</v>
      </c>
      <c r="AJ2841" s="7" t="s">
        <v>16028</v>
      </c>
      <c r="AK2841" s="7" t="s">
        <v>16029</v>
      </c>
    </row>
    <row r="2842" spans="1:37" customFormat="1" ht="36.75" customHeight="1" x14ac:dyDescent="0.35">
      <c r="A2842" s="5"/>
      <c r="B2842" s="5" t="s">
        <v>37</v>
      </c>
      <c r="C2842" s="73" t="str">
        <f t="shared" si="44"/>
        <v>Closed</v>
      </c>
      <c r="D2842" s="45" t="s">
        <v>16030</v>
      </c>
      <c r="E2842" s="54" t="s">
        <v>16031</v>
      </c>
      <c r="F2842" s="5" t="s">
        <v>619</v>
      </c>
      <c r="G2842" s="7">
        <f>DATE(2019,2,8)</f>
        <v>43504</v>
      </c>
      <c r="H2842" s="34">
        <v>1.7638888888888888</v>
      </c>
      <c r="I2842" s="5" t="s">
        <v>179</v>
      </c>
      <c r="J2842" s="7" t="s">
        <v>16032</v>
      </c>
      <c r="K2842" s="5" t="s">
        <v>621</v>
      </c>
      <c r="L2842" s="5" t="s">
        <v>16033</v>
      </c>
      <c r="M2842" s="5" t="s">
        <v>45</v>
      </c>
      <c r="N2842" s="5" t="s">
        <v>123</v>
      </c>
      <c r="O2842" s="5" t="s">
        <v>46</v>
      </c>
      <c r="P2842" s="7" t="s">
        <v>6952</v>
      </c>
      <c r="Q2842" s="7" t="s">
        <v>1167</v>
      </c>
      <c r="R2842" s="7" t="s">
        <v>624</v>
      </c>
      <c r="S2842" s="5">
        <v>0</v>
      </c>
      <c r="T2842" s="36">
        <v>1</v>
      </c>
      <c r="U2842" s="5">
        <v>0</v>
      </c>
      <c r="V2842" s="36" t="s">
        <v>50</v>
      </c>
      <c r="W2842" s="5">
        <v>0</v>
      </c>
      <c r="X2842" s="5">
        <v>1</v>
      </c>
      <c r="Y2842" s="5">
        <v>18</v>
      </c>
      <c r="Z2842" s="36">
        <v>1</v>
      </c>
      <c r="AA2842" s="5">
        <v>0</v>
      </c>
      <c r="AB2842" s="5">
        <v>0</v>
      </c>
      <c r="AC2842" s="5">
        <v>0</v>
      </c>
      <c r="AD2842" s="5">
        <v>19</v>
      </c>
      <c r="AE2842" s="7" t="s">
        <v>73</v>
      </c>
      <c r="AF2842" s="7" t="s">
        <v>16034</v>
      </c>
      <c r="AG2842" s="7" t="s">
        <v>6438</v>
      </c>
      <c r="AH2842" s="7">
        <v>43504</v>
      </c>
      <c r="AI2842" s="5">
        <v>7</v>
      </c>
      <c r="AJ2842" s="7" t="s">
        <v>16035</v>
      </c>
      <c r="AK2842" s="7" t="s">
        <v>16036</v>
      </c>
    </row>
    <row r="2843" spans="1:37" customFormat="1" ht="36.75" customHeight="1" x14ac:dyDescent="0.35">
      <c r="A2843" s="5"/>
      <c r="B2843" s="5" t="s">
        <v>37</v>
      </c>
      <c r="C2843" s="73" t="str">
        <f t="shared" si="44"/>
        <v>Closed</v>
      </c>
      <c r="D2843" s="45" t="s">
        <v>16037</v>
      </c>
      <c r="E2843" s="54" t="s">
        <v>16038</v>
      </c>
      <c r="F2843" s="5" t="s">
        <v>2527</v>
      </c>
      <c r="G2843" s="7">
        <f>DATE(2019,2,8)</f>
        <v>43504</v>
      </c>
      <c r="H2843" s="34">
        <v>1.2979166666666666</v>
      </c>
      <c r="I2843" s="5" t="s">
        <v>259</v>
      </c>
      <c r="J2843" s="7" t="s">
        <v>16039</v>
      </c>
      <c r="K2843" s="5" t="s">
        <v>2529</v>
      </c>
      <c r="L2843" s="5" t="s">
        <v>16040</v>
      </c>
      <c r="M2843" s="5" t="s">
        <v>45</v>
      </c>
      <c r="N2843" s="5" t="s">
        <v>123</v>
      </c>
      <c r="O2843" s="5" t="s">
        <v>59</v>
      </c>
      <c r="P2843" s="7" t="s">
        <v>146</v>
      </c>
      <c r="Q2843" s="7" t="s">
        <v>16041</v>
      </c>
      <c r="R2843" s="7" t="s">
        <v>10282</v>
      </c>
      <c r="S2843" s="5">
        <v>0</v>
      </c>
      <c r="T2843" s="36">
        <v>1</v>
      </c>
      <c r="U2843" s="5">
        <v>0</v>
      </c>
      <c r="V2843" s="36">
        <v>0</v>
      </c>
      <c r="W2843" s="5">
        <v>0</v>
      </c>
      <c r="X2843" s="5">
        <v>1</v>
      </c>
      <c r="Y2843" s="5">
        <v>0</v>
      </c>
      <c r="Z2843" s="36">
        <v>0</v>
      </c>
      <c r="AA2843" s="5">
        <v>0</v>
      </c>
      <c r="AB2843" s="5">
        <v>0</v>
      </c>
      <c r="AC2843" s="5">
        <v>0</v>
      </c>
      <c r="AD2843" s="5">
        <v>0</v>
      </c>
      <c r="AE2843" s="7" t="s">
        <v>73</v>
      </c>
      <c r="AF2843" s="7"/>
      <c r="AG2843" s="7" t="s">
        <v>570</v>
      </c>
      <c r="AH2843" s="7">
        <v>43507</v>
      </c>
      <c r="AI2843" s="5">
        <v>3</v>
      </c>
      <c r="AJ2843" s="7" t="s">
        <v>16042</v>
      </c>
      <c r="AK2843" s="7" t="s">
        <v>16043</v>
      </c>
    </row>
    <row r="2844" spans="1:37" customFormat="1" ht="36.75" customHeight="1" x14ac:dyDescent="0.35">
      <c r="A2844" s="5"/>
      <c r="B2844" s="5" t="s">
        <v>37</v>
      </c>
      <c r="C2844" s="73" t="str">
        <f t="shared" si="44"/>
        <v>Closed</v>
      </c>
      <c r="D2844" s="45" t="s">
        <v>16044</v>
      </c>
      <c r="E2844" s="54" t="s">
        <v>16045</v>
      </c>
      <c r="F2844" s="5" t="s">
        <v>1553</v>
      </c>
      <c r="G2844" s="7">
        <f>DATE(2019,2,10)</f>
        <v>43506</v>
      </c>
      <c r="H2844" s="34">
        <v>1.5555555555555556</v>
      </c>
      <c r="I2844" s="5" t="s">
        <v>55</v>
      </c>
      <c r="J2844" s="7" t="s">
        <v>16046</v>
      </c>
      <c r="K2844" s="5" t="s">
        <v>1555</v>
      </c>
      <c r="L2844" s="5" t="s">
        <v>16047</v>
      </c>
      <c r="M2844" s="5" t="s">
        <v>45</v>
      </c>
      <c r="N2844" s="5" t="s">
        <v>80</v>
      </c>
      <c r="O2844" s="5" t="s">
        <v>46</v>
      </c>
      <c r="P2844" s="7" t="s">
        <v>6920</v>
      </c>
      <c r="Q2844" s="7" t="s">
        <v>2393</v>
      </c>
      <c r="R2844" s="7" t="s">
        <v>6413</v>
      </c>
      <c r="S2844" s="5">
        <v>0</v>
      </c>
      <c r="T2844" s="36">
        <v>0</v>
      </c>
      <c r="U2844" s="5">
        <v>0</v>
      </c>
      <c r="V2844" s="36">
        <v>0</v>
      </c>
      <c r="W2844" s="5">
        <v>0</v>
      </c>
      <c r="X2844" s="5">
        <v>0</v>
      </c>
      <c r="Y2844" s="5">
        <v>0</v>
      </c>
      <c r="Z2844" s="36">
        <v>0</v>
      </c>
      <c r="AA2844" s="5">
        <v>0</v>
      </c>
      <c r="AB2844" s="5">
        <v>0</v>
      </c>
      <c r="AC2844" s="5">
        <v>0</v>
      </c>
      <c r="AD2844" s="5">
        <v>0</v>
      </c>
      <c r="AE2844" s="7" t="s">
        <v>73</v>
      </c>
      <c r="AF2844" s="7"/>
      <c r="AG2844" s="7" t="s">
        <v>114</v>
      </c>
      <c r="AH2844" s="7">
        <v>43507</v>
      </c>
      <c r="AI2844" s="5">
        <v>2</v>
      </c>
      <c r="AJ2844" s="7" t="s">
        <v>16048</v>
      </c>
      <c r="AK2844" s="7" t="s">
        <v>16049</v>
      </c>
    </row>
    <row r="2845" spans="1:37" customFormat="1" ht="36.75" customHeight="1" x14ac:dyDescent="0.35">
      <c r="A2845" s="5"/>
      <c r="B2845" s="5" t="s">
        <v>37</v>
      </c>
      <c r="C2845" s="73" t="str">
        <f t="shared" si="44"/>
        <v>Closed</v>
      </c>
      <c r="D2845" s="45" t="s">
        <v>16050</v>
      </c>
      <c r="E2845" s="54" t="s">
        <v>16051</v>
      </c>
      <c r="F2845" s="5" t="s">
        <v>14722</v>
      </c>
      <c r="G2845" s="7">
        <f>DATE(2019,2,11)</f>
        <v>43507</v>
      </c>
      <c r="H2845" s="34">
        <v>1.2486111111111111</v>
      </c>
      <c r="I2845" s="5" t="s">
        <v>4590</v>
      </c>
      <c r="J2845" s="7" t="s">
        <v>16052</v>
      </c>
      <c r="K2845" s="5" t="s">
        <v>1753</v>
      </c>
      <c r="L2845" s="5" t="s">
        <v>16053</v>
      </c>
      <c r="M2845" s="5" t="s">
        <v>45</v>
      </c>
      <c r="N2845" s="5" t="s">
        <v>123</v>
      </c>
      <c r="O2845" s="5" t="s">
        <v>46</v>
      </c>
      <c r="P2845" s="7" t="s">
        <v>67</v>
      </c>
      <c r="Q2845" s="7" t="s">
        <v>16054</v>
      </c>
      <c r="R2845" s="7" t="s">
        <v>1756</v>
      </c>
      <c r="S2845" s="5">
        <v>0</v>
      </c>
      <c r="T2845" s="36">
        <v>0</v>
      </c>
      <c r="U2845" s="5">
        <v>0</v>
      </c>
      <c r="V2845" s="36">
        <v>0</v>
      </c>
      <c r="W2845" s="5">
        <v>0</v>
      </c>
      <c r="X2845" s="5">
        <v>0</v>
      </c>
      <c r="Y2845" s="5">
        <v>0</v>
      </c>
      <c r="Z2845" s="36">
        <v>0</v>
      </c>
      <c r="AA2845" s="5">
        <v>0</v>
      </c>
      <c r="AB2845" s="5">
        <v>0</v>
      </c>
      <c r="AC2845" s="5">
        <v>0</v>
      </c>
      <c r="AD2845" s="5">
        <v>0</v>
      </c>
      <c r="AE2845" s="7" t="s">
        <v>73</v>
      </c>
      <c r="AF2845" s="7" t="s">
        <v>16055</v>
      </c>
      <c r="AG2845" s="7" t="s">
        <v>8837</v>
      </c>
      <c r="AH2845" s="7">
        <v>43544</v>
      </c>
      <c r="AI2845" s="5">
        <v>8</v>
      </c>
      <c r="AJ2845" s="7" t="s">
        <v>16056</v>
      </c>
      <c r="AK2845" s="7" t="s">
        <v>16057</v>
      </c>
    </row>
    <row r="2846" spans="1:37" customFormat="1" ht="36.75" customHeight="1" x14ac:dyDescent="0.35">
      <c r="A2846" s="5"/>
      <c r="B2846" s="5" t="s">
        <v>37</v>
      </c>
      <c r="C2846" s="73" t="str">
        <f t="shared" si="44"/>
        <v>Closed</v>
      </c>
      <c r="D2846" s="45" t="s">
        <v>16058</v>
      </c>
      <c r="E2846" s="54" t="s">
        <v>16059</v>
      </c>
      <c r="F2846" s="5" t="s">
        <v>404</v>
      </c>
      <c r="G2846" s="7">
        <f>DATE(2019,2,15)</f>
        <v>43511</v>
      </c>
      <c r="H2846" s="34">
        <v>1.2006944444444445</v>
      </c>
      <c r="I2846" s="5" t="s">
        <v>55</v>
      </c>
      <c r="J2846" s="7" t="s">
        <v>16060</v>
      </c>
      <c r="K2846" s="5" t="s">
        <v>406</v>
      </c>
      <c r="L2846" s="5" t="s">
        <v>16061</v>
      </c>
      <c r="M2846" s="5" t="s">
        <v>45</v>
      </c>
      <c r="N2846" s="5" t="s">
        <v>80</v>
      </c>
      <c r="O2846" s="5" t="s">
        <v>59</v>
      </c>
      <c r="P2846" s="7" t="s">
        <v>146</v>
      </c>
      <c r="Q2846" s="7" t="s">
        <v>12690</v>
      </c>
      <c r="R2846" s="7" t="s">
        <v>12690</v>
      </c>
      <c r="S2846" s="5">
        <v>0</v>
      </c>
      <c r="T2846" s="36">
        <v>0</v>
      </c>
      <c r="U2846" s="5">
        <v>0</v>
      </c>
      <c r="V2846" s="36">
        <v>0</v>
      </c>
      <c r="W2846" s="5">
        <v>0</v>
      </c>
      <c r="X2846" s="5">
        <v>0</v>
      </c>
      <c r="Y2846" s="5">
        <v>0</v>
      </c>
      <c r="Z2846" s="36">
        <v>0</v>
      </c>
      <c r="AA2846" s="5">
        <v>0</v>
      </c>
      <c r="AB2846" s="5">
        <v>0</v>
      </c>
      <c r="AC2846" s="5">
        <v>0</v>
      </c>
      <c r="AD2846" s="5">
        <v>0</v>
      </c>
      <c r="AE2846" s="7" t="s">
        <v>73</v>
      </c>
      <c r="AF2846" s="7"/>
      <c r="AG2846" s="7" t="s">
        <v>333</v>
      </c>
      <c r="AH2846" s="7">
        <v>43511</v>
      </c>
      <c r="AI2846" s="5">
        <v>0</v>
      </c>
      <c r="AJ2846" s="7" t="s">
        <v>16062</v>
      </c>
      <c r="AK2846" s="7" t="s">
        <v>16063</v>
      </c>
    </row>
    <row r="2847" spans="1:37" customFormat="1" ht="36.75" customHeight="1" x14ac:dyDescent="0.35">
      <c r="A2847" s="5"/>
      <c r="B2847" s="5" t="s">
        <v>37</v>
      </c>
      <c r="C2847" s="73" t="str">
        <f t="shared" si="44"/>
        <v>Closed</v>
      </c>
      <c r="D2847" s="91" t="s">
        <v>16064</v>
      </c>
      <c r="E2847" s="54" t="s">
        <v>16065</v>
      </c>
      <c r="F2847" s="5" t="s">
        <v>6434</v>
      </c>
      <c r="G2847" s="7">
        <f>DATE(2019,2,15)</f>
        <v>43511</v>
      </c>
      <c r="H2847" s="34">
        <v>1.0638888888888889</v>
      </c>
      <c r="I2847" s="5" t="s">
        <v>137</v>
      </c>
      <c r="J2847" s="7" t="s">
        <v>16066</v>
      </c>
      <c r="K2847" s="5" t="s">
        <v>565</v>
      </c>
      <c r="L2847" s="5" t="s">
        <v>14088</v>
      </c>
      <c r="M2847" s="5" t="s">
        <v>45</v>
      </c>
      <c r="N2847" s="5" t="s">
        <v>70</v>
      </c>
      <c r="O2847" s="5" t="s">
        <v>59</v>
      </c>
      <c r="P2847" s="7" t="s">
        <v>60</v>
      </c>
      <c r="Q2847" s="7" t="s">
        <v>16067</v>
      </c>
      <c r="R2847" s="7" t="s">
        <v>568</v>
      </c>
      <c r="S2847" s="5">
        <v>0</v>
      </c>
      <c r="T2847" s="36">
        <v>0</v>
      </c>
      <c r="U2847" s="5">
        <v>0</v>
      </c>
      <c r="V2847" s="36">
        <v>0</v>
      </c>
      <c r="W2847" s="5">
        <v>0</v>
      </c>
      <c r="X2847" s="5">
        <v>0</v>
      </c>
      <c r="Y2847" s="5">
        <v>0</v>
      </c>
      <c r="Z2847" s="36">
        <v>0</v>
      </c>
      <c r="AA2847" s="5">
        <v>0</v>
      </c>
      <c r="AB2847" s="5">
        <v>0</v>
      </c>
      <c r="AC2847" s="5">
        <v>0</v>
      </c>
      <c r="AD2847" s="5">
        <v>0</v>
      </c>
      <c r="AE2847" s="7" t="s">
        <v>126</v>
      </c>
      <c r="AF2847" s="7" t="s">
        <v>16068</v>
      </c>
      <c r="AG2847" s="7" t="s">
        <v>6438</v>
      </c>
      <c r="AH2847" s="7">
        <v>43511</v>
      </c>
      <c r="AI2847" s="5">
        <v>0</v>
      </c>
      <c r="AJ2847" s="7" t="s">
        <v>16069</v>
      </c>
      <c r="AK2847" s="7" t="s">
        <v>16070</v>
      </c>
    </row>
    <row r="2848" spans="1:37" customFormat="1" ht="36.75" customHeight="1" x14ac:dyDescent="0.35">
      <c r="A2848" s="5"/>
      <c r="B2848" s="5" t="s">
        <v>37</v>
      </c>
      <c r="C2848" s="73" t="str">
        <f t="shared" si="44"/>
        <v>Closed</v>
      </c>
      <c r="D2848" s="45" t="s">
        <v>16071</v>
      </c>
      <c r="E2848" s="54" t="s">
        <v>16072</v>
      </c>
      <c r="F2848" s="5" t="s">
        <v>2581</v>
      </c>
      <c r="G2848" s="7">
        <f>DATE(2019,2,16)</f>
        <v>43512</v>
      </c>
      <c r="H2848" s="34">
        <v>1.1770833333333333</v>
      </c>
      <c r="I2848" s="5" t="s">
        <v>55</v>
      </c>
      <c r="J2848" s="7" t="s">
        <v>16073</v>
      </c>
      <c r="K2848" s="5" t="s">
        <v>2583</v>
      </c>
      <c r="L2848" s="5" t="s">
        <v>16074</v>
      </c>
      <c r="M2848" s="5" t="s">
        <v>45</v>
      </c>
      <c r="N2848" s="5" t="s">
        <v>123</v>
      </c>
      <c r="O2848" s="5" t="s">
        <v>59</v>
      </c>
      <c r="P2848" s="7" t="s">
        <v>60</v>
      </c>
      <c r="Q2848" s="7" t="s">
        <v>13026</v>
      </c>
      <c r="R2848" s="7" t="s">
        <v>2586</v>
      </c>
      <c r="S2848" s="5">
        <v>0</v>
      </c>
      <c r="T2848" s="36">
        <v>0</v>
      </c>
      <c r="U2848" s="5">
        <v>0</v>
      </c>
      <c r="V2848" s="36">
        <v>0</v>
      </c>
      <c r="W2848" s="5">
        <v>0</v>
      </c>
      <c r="X2848" s="5">
        <v>0</v>
      </c>
      <c r="Y2848" s="5">
        <v>0</v>
      </c>
      <c r="Z2848" s="36">
        <v>0</v>
      </c>
      <c r="AA2848" s="5">
        <v>0</v>
      </c>
      <c r="AB2848" s="5">
        <v>0</v>
      </c>
      <c r="AC2848" s="5">
        <v>0</v>
      </c>
      <c r="AD2848" s="5">
        <v>0</v>
      </c>
      <c r="AE2848" s="7" t="s">
        <v>375</v>
      </c>
      <c r="AF2848" s="7"/>
      <c r="AG2848" s="7" t="s">
        <v>114</v>
      </c>
      <c r="AH2848" s="7">
        <v>43514</v>
      </c>
      <c r="AI2848" s="5">
        <v>4</v>
      </c>
      <c r="AJ2848" s="7" t="s">
        <v>16075</v>
      </c>
      <c r="AK2848" s="7" t="s">
        <v>50</v>
      </c>
    </row>
    <row r="2849" spans="1:37" customFormat="1" ht="36.75" customHeight="1" x14ac:dyDescent="0.35">
      <c r="A2849" s="5"/>
      <c r="B2849" s="5" t="s">
        <v>37</v>
      </c>
      <c r="C2849" s="73" t="str">
        <f t="shared" si="44"/>
        <v>Closed</v>
      </c>
      <c r="D2849" s="45" t="s">
        <v>16076</v>
      </c>
      <c r="E2849" s="54" t="s">
        <v>16077</v>
      </c>
      <c r="F2849" s="5" t="s">
        <v>816</v>
      </c>
      <c r="G2849" s="7">
        <f>DATE(2019,2,16)</f>
        <v>43512</v>
      </c>
      <c r="H2849" s="34">
        <v>1.3458333333333334</v>
      </c>
      <c r="I2849" s="5" t="s">
        <v>55</v>
      </c>
      <c r="J2849" s="7" t="s">
        <v>16078</v>
      </c>
      <c r="K2849" s="5" t="s">
        <v>818</v>
      </c>
      <c r="L2849" s="5" t="s">
        <v>16079</v>
      </c>
      <c r="M2849" s="5" t="s">
        <v>236</v>
      </c>
      <c r="N2849" s="5" t="s">
        <v>80</v>
      </c>
      <c r="O2849" s="5" t="s">
        <v>46</v>
      </c>
      <c r="P2849" s="7" t="s">
        <v>6531</v>
      </c>
      <c r="Q2849" s="7" t="s">
        <v>4190</v>
      </c>
      <c r="R2849" s="7" t="s">
        <v>4190</v>
      </c>
      <c r="S2849" s="5">
        <v>0</v>
      </c>
      <c r="T2849" s="36">
        <v>0</v>
      </c>
      <c r="U2849" s="5">
        <v>0</v>
      </c>
      <c r="V2849" s="36">
        <v>0</v>
      </c>
      <c r="W2849" s="5">
        <v>0</v>
      </c>
      <c r="X2849" s="5">
        <v>0</v>
      </c>
      <c r="Y2849" s="5">
        <v>0</v>
      </c>
      <c r="Z2849" s="36">
        <v>0</v>
      </c>
      <c r="AA2849" s="5">
        <v>0</v>
      </c>
      <c r="AB2849" s="5">
        <v>0</v>
      </c>
      <c r="AC2849" s="5">
        <v>0</v>
      </c>
      <c r="AD2849" s="5">
        <v>0</v>
      </c>
      <c r="AE2849" s="7" t="s">
        <v>73</v>
      </c>
      <c r="AF2849" s="7"/>
      <c r="AG2849" s="7" t="s">
        <v>348</v>
      </c>
      <c r="AH2849" s="7">
        <v>43529</v>
      </c>
      <c r="AI2849" s="5">
        <v>0</v>
      </c>
      <c r="AJ2849" s="7" t="s">
        <v>16080</v>
      </c>
      <c r="AK2849" s="7" t="s">
        <v>15875</v>
      </c>
    </row>
    <row r="2850" spans="1:37" customFormat="1" ht="36.75" customHeight="1" x14ac:dyDescent="0.35">
      <c r="A2850" s="5"/>
      <c r="B2850" s="5" t="s">
        <v>37</v>
      </c>
      <c r="C2850" s="73" t="str">
        <f t="shared" si="44"/>
        <v>Closed</v>
      </c>
      <c r="D2850" s="45" t="s">
        <v>16081</v>
      </c>
      <c r="E2850" s="54" t="s">
        <v>16082</v>
      </c>
      <c r="F2850" s="5" t="s">
        <v>816</v>
      </c>
      <c r="G2850" s="7">
        <f>DATE(2019,2,16)</f>
        <v>43512</v>
      </c>
      <c r="H2850" s="34">
        <v>1.3458333333333334</v>
      </c>
      <c r="I2850" s="5" t="s">
        <v>55</v>
      </c>
      <c r="J2850" s="7" t="s">
        <v>16083</v>
      </c>
      <c r="K2850" s="5" t="s">
        <v>818</v>
      </c>
      <c r="L2850" s="5" t="s">
        <v>7774</v>
      </c>
      <c r="M2850" s="5" t="s">
        <v>236</v>
      </c>
      <c r="N2850" s="5" t="s">
        <v>80</v>
      </c>
      <c r="O2850" s="5" t="s">
        <v>46</v>
      </c>
      <c r="P2850" s="7" t="s">
        <v>6531</v>
      </c>
      <c r="Q2850" s="7" t="s">
        <v>4190</v>
      </c>
      <c r="R2850" s="7" t="s">
        <v>4190</v>
      </c>
      <c r="S2850" s="5">
        <v>0</v>
      </c>
      <c r="T2850" s="36">
        <v>0</v>
      </c>
      <c r="U2850" s="5">
        <v>0</v>
      </c>
      <c r="V2850" s="36">
        <v>0</v>
      </c>
      <c r="W2850" s="5">
        <v>0</v>
      </c>
      <c r="X2850" s="5">
        <v>0</v>
      </c>
      <c r="Y2850" s="5">
        <v>0</v>
      </c>
      <c r="Z2850" s="36">
        <v>0</v>
      </c>
      <c r="AA2850" s="5">
        <v>0</v>
      </c>
      <c r="AB2850" s="5">
        <v>0</v>
      </c>
      <c r="AC2850" s="5">
        <v>0</v>
      </c>
      <c r="AD2850" s="5">
        <v>0</v>
      </c>
      <c r="AE2850" s="7" t="s">
        <v>73</v>
      </c>
      <c r="AF2850" s="7"/>
      <c r="AG2850" s="7" t="s">
        <v>570</v>
      </c>
      <c r="AH2850" s="7">
        <v>43514</v>
      </c>
      <c r="AI2850" s="5">
        <v>0</v>
      </c>
      <c r="AJ2850" s="7" t="s">
        <v>16084</v>
      </c>
      <c r="AK2850" s="7" t="s">
        <v>16085</v>
      </c>
    </row>
    <row r="2851" spans="1:37" customFormat="1" ht="36.75" customHeight="1" x14ac:dyDescent="0.35">
      <c r="A2851" s="5"/>
      <c r="B2851" s="5" t="s">
        <v>37</v>
      </c>
      <c r="C2851" s="73" t="str">
        <f t="shared" si="44"/>
        <v>Closed</v>
      </c>
      <c r="D2851" s="45" t="s">
        <v>16086</v>
      </c>
      <c r="E2851" s="54" t="s">
        <v>16087</v>
      </c>
      <c r="F2851" s="5" t="s">
        <v>605</v>
      </c>
      <c r="G2851" s="7">
        <f>DATE(2019,2,16)</f>
        <v>43512</v>
      </c>
      <c r="H2851" s="51">
        <v>1.7736111111111112</v>
      </c>
      <c r="I2851" s="5" t="s">
        <v>55</v>
      </c>
      <c r="J2851" s="7" t="s">
        <v>55</v>
      </c>
      <c r="K2851" s="5" t="s">
        <v>607</v>
      </c>
      <c r="L2851" s="5" t="s">
        <v>14587</v>
      </c>
      <c r="M2851" s="5" t="s">
        <v>45</v>
      </c>
      <c r="N2851" s="5" t="s">
        <v>123</v>
      </c>
      <c r="O2851" s="5" t="s">
        <v>59</v>
      </c>
      <c r="P2851" s="7" t="s">
        <v>60</v>
      </c>
      <c r="Q2851" s="7" t="s">
        <v>16088</v>
      </c>
      <c r="R2851" s="7" t="s">
        <v>610</v>
      </c>
      <c r="S2851" s="5">
        <v>0</v>
      </c>
      <c r="T2851" s="36">
        <v>0</v>
      </c>
      <c r="U2851" s="5">
        <v>0</v>
      </c>
      <c r="V2851" s="36">
        <v>0</v>
      </c>
      <c r="W2851" s="5">
        <v>0</v>
      </c>
      <c r="X2851" s="5">
        <v>0</v>
      </c>
      <c r="Y2851" s="5">
        <v>0</v>
      </c>
      <c r="Z2851" s="36">
        <v>0</v>
      </c>
      <c r="AA2851" s="5">
        <v>0</v>
      </c>
      <c r="AB2851" s="5">
        <v>0</v>
      </c>
      <c r="AC2851" s="5">
        <v>0</v>
      </c>
      <c r="AD2851" s="5">
        <v>0</v>
      </c>
      <c r="AE2851" s="7" t="s">
        <v>126</v>
      </c>
      <c r="AF2851" s="7"/>
      <c r="AG2851" s="7" t="s">
        <v>114</v>
      </c>
      <c r="AH2851" s="7">
        <v>43733</v>
      </c>
      <c r="AI2851" s="5">
        <v>0</v>
      </c>
      <c r="AJ2851" s="7" t="s">
        <v>16089</v>
      </c>
      <c r="AK2851" s="7" t="s">
        <v>50</v>
      </c>
    </row>
    <row r="2852" spans="1:37" customFormat="1" ht="36.75" customHeight="1" x14ac:dyDescent="0.35">
      <c r="A2852" s="5"/>
      <c r="B2852" s="5" t="s">
        <v>37</v>
      </c>
      <c r="C2852" s="73" t="str">
        <f t="shared" si="44"/>
        <v>Closed</v>
      </c>
      <c r="D2852" s="45" t="s">
        <v>16090</v>
      </c>
      <c r="E2852" s="54" t="s">
        <v>16091</v>
      </c>
      <c r="F2852" s="5" t="s">
        <v>404</v>
      </c>
      <c r="G2852" s="7">
        <f>DATE(2019,2,19)</f>
        <v>43515</v>
      </c>
      <c r="H2852" s="34">
        <v>1.3840277777777779</v>
      </c>
      <c r="I2852" s="5" t="s">
        <v>2059</v>
      </c>
      <c r="J2852" s="7" t="s">
        <v>16092</v>
      </c>
      <c r="K2852" s="5" t="s">
        <v>406</v>
      </c>
      <c r="L2852" s="5" t="s">
        <v>16093</v>
      </c>
      <c r="M2852" s="5" t="s">
        <v>45</v>
      </c>
      <c r="N2852" s="5" t="s">
        <v>80</v>
      </c>
      <c r="O2852" s="5" t="s">
        <v>46</v>
      </c>
      <c r="P2852" s="7" t="s">
        <v>146</v>
      </c>
      <c r="Q2852" s="7" t="s">
        <v>4531</v>
      </c>
      <c r="R2852" s="7" t="s">
        <v>3083</v>
      </c>
      <c r="S2852" s="5">
        <v>0</v>
      </c>
      <c r="T2852" s="36">
        <v>0</v>
      </c>
      <c r="U2852" s="5">
        <v>0</v>
      </c>
      <c r="V2852" s="36">
        <v>0</v>
      </c>
      <c r="W2852" s="5">
        <v>0</v>
      </c>
      <c r="X2852" s="5">
        <v>0</v>
      </c>
      <c r="Y2852" s="5">
        <v>0</v>
      </c>
      <c r="Z2852" s="36">
        <v>0</v>
      </c>
      <c r="AA2852" s="5">
        <v>0</v>
      </c>
      <c r="AB2852" s="5">
        <v>0</v>
      </c>
      <c r="AC2852" s="5">
        <v>0</v>
      </c>
      <c r="AD2852" s="5">
        <v>0</v>
      </c>
      <c r="AE2852" s="7" t="s">
        <v>73</v>
      </c>
      <c r="AF2852" s="7"/>
      <c r="AG2852" s="7" t="s">
        <v>114</v>
      </c>
      <c r="AH2852" s="7">
        <v>43515</v>
      </c>
      <c r="AI2852" s="5">
        <v>0</v>
      </c>
      <c r="AJ2852" s="7" t="s">
        <v>16094</v>
      </c>
      <c r="AK2852" s="7" t="s">
        <v>16095</v>
      </c>
    </row>
    <row r="2853" spans="1:37" customFormat="1" ht="36.75" customHeight="1" x14ac:dyDescent="0.35">
      <c r="A2853" s="5"/>
      <c r="B2853" s="5" t="s">
        <v>37</v>
      </c>
      <c r="C2853" s="73" t="str">
        <f t="shared" si="44"/>
        <v>Closed</v>
      </c>
      <c r="D2853" s="45" t="s">
        <v>16096</v>
      </c>
      <c r="E2853" s="54" t="s">
        <v>16097</v>
      </c>
      <c r="F2853" s="5" t="s">
        <v>404</v>
      </c>
      <c r="G2853" s="7">
        <f>DATE(2019,2,22)</f>
        <v>43518</v>
      </c>
      <c r="H2853" s="34">
        <v>1.8055555555555554</v>
      </c>
      <c r="I2853" s="5" t="s">
        <v>85</v>
      </c>
      <c r="J2853" s="7" t="s">
        <v>16098</v>
      </c>
      <c r="K2853" s="5" t="s">
        <v>406</v>
      </c>
      <c r="L2853" s="5" t="s">
        <v>16099</v>
      </c>
      <c r="M2853" s="5" t="s">
        <v>45</v>
      </c>
      <c r="N2853" s="5" t="s">
        <v>123</v>
      </c>
      <c r="O2853" s="5" t="s">
        <v>59</v>
      </c>
      <c r="P2853" s="7" t="s">
        <v>5303</v>
      </c>
      <c r="Q2853" s="7" t="s">
        <v>4531</v>
      </c>
      <c r="R2853" s="7" t="s">
        <v>3083</v>
      </c>
      <c r="S2853" s="5">
        <v>0</v>
      </c>
      <c r="T2853" s="36">
        <v>0</v>
      </c>
      <c r="U2853" s="5">
        <v>0</v>
      </c>
      <c r="V2853" s="36">
        <v>0</v>
      </c>
      <c r="W2853" s="5">
        <v>0</v>
      </c>
      <c r="X2853" s="5">
        <v>0</v>
      </c>
      <c r="Y2853" s="5">
        <v>0</v>
      </c>
      <c r="Z2853" s="36">
        <v>0</v>
      </c>
      <c r="AA2853" s="5">
        <v>0</v>
      </c>
      <c r="AB2853" s="5">
        <v>0</v>
      </c>
      <c r="AC2853" s="5">
        <v>0</v>
      </c>
      <c r="AD2853" s="5">
        <v>0</v>
      </c>
      <c r="AE2853" s="7" t="s">
        <v>73</v>
      </c>
      <c r="AF2853" s="7"/>
      <c r="AG2853" s="7" t="s">
        <v>855</v>
      </c>
      <c r="AH2853" s="7">
        <v>43518</v>
      </c>
      <c r="AI2853" s="5">
        <v>0</v>
      </c>
      <c r="AJ2853" s="7" t="s">
        <v>16100</v>
      </c>
      <c r="AK2853" s="7" t="s">
        <v>16101</v>
      </c>
    </row>
    <row r="2854" spans="1:37" customFormat="1" ht="36.75" customHeight="1" x14ac:dyDescent="0.35">
      <c r="A2854" s="5"/>
      <c r="B2854" s="5" t="s">
        <v>37</v>
      </c>
      <c r="C2854" s="73" t="str">
        <f t="shared" si="44"/>
        <v>Closed</v>
      </c>
      <c r="D2854" s="45" t="s">
        <v>16102</v>
      </c>
      <c r="E2854" s="54" t="s">
        <v>16103</v>
      </c>
      <c r="F2854" s="5" t="s">
        <v>404</v>
      </c>
      <c r="G2854" s="7">
        <f>DATE(2019,2,23)</f>
        <v>43519</v>
      </c>
      <c r="H2854" s="34">
        <v>1.2375</v>
      </c>
      <c r="I2854" s="5" t="s">
        <v>179</v>
      </c>
      <c r="J2854" s="7" t="s">
        <v>16104</v>
      </c>
      <c r="K2854" s="5" t="s">
        <v>406</v>
      </c>
      <c r="L2854" s="5" t="s">
        <v>15592</v>
      </c>
      <c r="M2854" s="5" t="s">
        <v>45</v>
      </c>
      <c r="N2854" s="5" t="s">
        <v>123</v>
      </c>
      <c r="O2854" s="5" t="s">
        <v>59</v>
      </c>
      <c r="P2854" s="7" t="s">
        <v>72</v>
      </c>
      <c r="Q2854" s="7" t="s">
        <v>4531</v>
      </c>
      <c r="R2854" s="7" t="s">
        <v>3083</v>
      </c>
      <c r="S2854" s="5">
        <v>0</v>
      </c>
      <c r="T2854" s="36">
        <v>0</v>
      </c>
      <c r="U2854" s="5">
        <v>0</v>
      </c>
      <c r="V2854" s="36">
        <v>0</v>
      </c>
      <c r="W2854" s="5">
        <v>0</v>
      </c>
      <c r="X2854" s="5">
        <v>0</v>
      </c>
      <c r="Y2854" s="5">
        <v>0</v>
      </c>
      <c r="Z2854" s="36">
        <v>0</v>
      </c>
      <c r="AA2854" s="5">
        <v>0</v>
      </c>
      <c r="AB2854" s="5">
        <v>0</v>
      </c>
      <c r="AC2854" s="5">
        <v>0</v>
      </c>
      <c r="AD2854" s="5">
        <v>0</v>
      </c>
      <c r="AE2854" s="7" t="s">
        <v>375</v>
      </c>
      <c r="AF2854" s="7"/>
      <c r="AG2854" s="7" t="s">
        <v>16105</v>
      </c>
      <c r="AH2854" s="7">
        <v>43519</v>
      </c>
      <c r="AI2854" s="5">
        <v>1</v>
      </c>
      <c r="AJ2854" s="7" t="s">
        <v>16106</v>
      </c>
      <c r="AK2854" s="7" t="s">
        <v>16107</v>
      </c>
    </row>
    <row r="2855" spans="1:37" customFormat="1" ht="36.75" customHeight="1" x14ac:dyDescent="0.35">
      <c r="A2855" s="5"/>
      <c r="B2855" s="5" t="s">
        <v>37</v>
      </c>
      <c r="C2855" s="73" t="str">
        <f t="shared" si="44"/>
        <v>Closed</v>
      </c>
      <c r="D2855" s="45" t="s">
        <v>16108</v>
      </c>
      <c r="E2855" s="54" t="s">
        <v>16109</v>
      </c>
      <c r="F2855" s="5" t="s">
        <v>105</v>
      </c>
      <c r="G2855" s="7">
        <f>DATE(2019,2,24)</f>
        <v>43520</v>
      </c>
      <c r="H2855" s="34">
        <v>1.7083333333333335</v>
      </c>
      <c r="I2855" s="5" t="s">
        <v>10353</v>
      </c>
      <c r="J2855" s="7" t="s">
        <v>16110</v>
      </c>
      <c r="K2855" s="5" t="s">
        <v>108</v>
      </c>
      <c r="L2855" s="5" t="s">
        <v>16111</v>
      </c>
      <c r="M2855" s="5" t="s">
        <v>45</v>
      </c>
      <c r="N2855" s="5" t="s">
        <v>70</v>
      </c>
      <c r="O2855" s="5" t="s">
        <v>71</v>
      </c>
      <c r="P2855" s="7" t="s">
        <v>67</v>
      </c>
      <c r="Q2855" s="7" t="s">
        <v>210</v>
      </c>
      <c r="R2855" s="7" t="s">
        <v>148</v>
      </c>
      <c r="S2855" s="5">
        <v>0</v>
      </c>
      <c r="T2855" s="36">
        <v>0</v>
      </c>
      <c r="U2855" s="5">
        <v>0</v>
      </c>
      <c r="V2855" s="36">
        <v>1</v>
      </c>
      <c r="W2855" s="5">
        <v>0</v>
      </c>
      <c r="X2855" s="5">
        <v>1</v>
      </c>
      <c r="Y2855" s="5">
        <v>0</v>
      </c>
      <c r="Z2855" s="36">
        <v>0</v>
      </c>
      <c r="AA2855" s="5">
        <v>0</v>
      </c>
      <c r="AB2855" s="5">
        <v>2</v>
      </c>
      <c r="AC2855" s="5">
        <v>0</v>
      </c>
      <c r="AD2855" s="5">
        <v>2</v>
      </c>
      <c r="AE2855" s="7" t="s">
        <v>73</v>
      </c>
      <c r="AF2855" s="7"/>
      <c r="AG2855" s="7" t="s">
        <v>64</v>
      </c>
      <c r="AH2855" s="7">
        <v>43528</v>
      </c>
      <c r="AI2855" s="5">
        <v>2</v>
      </c>
      <c r="AJ2855" s="7" t="s">
        <v>16112</v>
      </c>
      <c r="AK2855" s="7" t="s">
        <v>50</v>
      </c>
    </row>
    <row r="2856" spans="1:37" customFormat="1" ht="36.75" customHeight="1" x14ac:dyDescent="0.35">
      <c r="A2856" s="5"/>
      <c r="B2856" s="5" t="s">
        <v>37</v>
      </c>
      <c r="C2856" s="73" t="str">
        <f t="shared" si="44"/>
        <v>Closed</v>
      </c>
      <c r="D2856" s="45" t="s">
        <v>16113</v>
      </c>
      <c r="E2856" s="54" t="s">
        <v>16114</v>
      </c>
      <c r="F2856" s="5" t="s">
        <v>563</v>
      </c>
      <c r="G2856" s="7">
        <f>DATE(2019,2,25)</f>
        <v>43521</v>
      </c>
      <c r="H2856" s="34">
        <v>1.3125</v>
      </c>
      <c r="I2856" s="5" t="s">
        <v>55</v>
      </c>
      <c r="J2856" s="7" t="s">
        <v>16115</v>
      </c>
      <c r="K2856" s="5" t="s">
        <v>565</v>
      </c>
      <c r="L2856" s="5" t="s">
        <v>16116</v>
      </c>
      <c r="M2856" s="5" t="s">
        <v>45</v>
      </c>
      <c r="N2856" s="5" t="s">
        <v>123</v>
      </c>
      <c r="O2856" s="5" t="s">
        <v>59</v>
      </c>
      <c r="P2856" s="7" t="s">
        <v>60</v>
      </c>
      <c r="Q2856" s="7" t="s">
        <v>16117</v>
      </c>
      <c r="R2856" s="7" t="s">
        <v>568</v>
      </c>
      <c r="S2856" s="5">
        <v>0</v>
      </c>
      <c r="T2856" s="36">
        <v>0</v>
      </c>
      <c r="U2856" s="5">
        <v>0</v>
      </c>
      <c r="V2856" s="36">
        <v>0</v>
      </c>
      <c r="W2856" s="5">
        <v>0</v>
      </c>
      <c r="X2856" s="5">
        <v>0</v>
      </c>
      <c r="Y2856" s="5">
        <v>0</v>
      </c>
      <c r="Z2856" s="36">
        <v>0</v>
      </c>
      <c r="AA2856" s="5">
        <v>0</v>
      </c>
      <c r="AB2856" s="5">
        <v>0</v>
      </c>
      <c r="AC2856" s="5">
        <v>0</v>
      </c>
      <c r="AD2856" s="5">
        <v>0</v>
      </c>
      <c r="AE2856" s="7" t="s">
        <v>375</v>
      </c>
      <c r="AF2856" s="7"/>
      <c r="AG2856" s="7" t="s">
        <v>64</v>
      </c>
      <c r="AH2856" s="7">
        <v>43525</v>
      </c>
      <c r="AI2856" s="5">
        <v>0</v>
      </c>
      <c r="AJ2856" s="7" t="s">
        <v>16118</v>
      </c>
      <c r="AK2856" s="7" t="s">
        <v>1215</v>
      </c>
    </row>
    <row r="2857" spans="1:37" customFormat="1" ht="36.75" customHeight="1" x14ac:dyDescent="0.35">
      <c r="A2857" s="5"/>
      <c r="B2857" s="5" t="s">
        <v>37</v>
      </c>
      <c r="C2857" s="73" t="str">
        <f t="shared" si="44"/>
        <v>Closed</v>
      </c>
      <c r="D2857" s="45" t="s">
        <v>16119</v>
      </c>
      <c r="E2857" s="54" t="s">
        <v>16120</v>
      </c>
      <c r="F2857" s="5" t="s">
        <v>404</v>
      </c>
      <c r="G2857" s="7">
        <f>DATE(2019,2,26)</f>
        <v>43522</v>
      </c>
      <c r="H2857" s="34">
        <v>1.5090277777777779</v>
      </c>
      <c r="I2857" s="5" t="s">
        <v>179</v>
      </c>
      <c r="J2857" s="7" t="s">
        <v>16121</v>
      </c>
      <c r="K2857" s="5" t="s">
        <v>406</v>
      </c>
      <c r="L2857" s="5" t="s">
        <v>16122</v>
      </c>
      <c r="M2857" s="5" t="s">
        <v>45</v>
      </c>
      <c r="N2857" s="5" t="s">
        <v>80</v>
      </c>
      <c r="O2857" s="5" t="s">
        <v>59</v>
      </c>
      <c r="P2857" s="7" t="s">
        <v>1893</v>
      </c>
      <c r="Q2857" s="7" t="s">
        <v>4531</v>
      </c>
      <c r="R2857" s="7" t="s">
        <v>3083</v>
      </c>
      <c r="S2857" s="5">
        <v>0</v>
      </c>
      <c r="T2857" s="36">
        <v>0</v>
      </c>
      <c r="U2857" s="5">
        <v>0</v>
      </c>
      <c r="V2857" s="36">
        <v>0</v>
      </c>
      <c r="W2857" s="5">
        <v>0</v>
      </c>
      <c r="X2857" s="5">
        <v>0</v>
      </c>
      <c r="Y2857" s="5">
        <v>0</v>
      </c>
      <c r="Z2857" s="36">
        <v>0</v>
      </c>
      <c r="AA2857" s="5">
        <v>0</v>
      </c>
      <c r="AB2857" s="5">
        <v>0</v>
      </c>
      <c r="AC2857" s="5">
        <v>0</v>
      </c>
      <c r="AD2857" s="5">
        <v>0</v>
      </c>
      <c r="AE2857" s="7" t="s">
        <v>73</v>
      </c>
      <c r="AF2857" s="7"/>
      <c r="AG2857" s="7" t="s">
        <v>333</v>
      </c>
      <c r="AH2857" s="7">
        <v>43522</v>
      </c>
      <c r="AI2857" s="5">
        <v>0</v>
      </c>
      <c r="AJ2857" s="7" t="s">
        <v>16123</v>
      </c>
      <c r="AK2857" s="7" t="s">
        <v>16124</v>
      </c>
    </row>
    <row r="2858" spans="1:37" customFormat="1" ht="36.75" customHeight="1" x14ac:dyDescent="0.35">
      <c r="A2858" s="5"/>
      <c r="B2858" s="5" t="s">
        <v>37</v>
      </c>
      <c r="C2858" s="73" t="str">
        <f t="shared" si="44"/>
        <v>Closed</v>
      </c>
      <c r="D2858" s="45" t="s">
        <v>16125</v>
      </c>
      <c r="E2858" s="54" t="s">
        <v>16126</v>
      </c>
      <c r="F2858" s="5" t="s">
        <v>404</v>
      </c>
      <c r="G2858" s="7">
        <f>DATE(2019,2,27)</f>
        <v>43523</v>
      </c>
      <c r="H2858" s="34">
        <v>1.3597222222222223</v>
      </c>
      <c r="I2858" s="5" t="s">
        <v>179</v>
      </c>
      <c r="J2858" s="7" t="s">
        <v>16127</v>
      </c>
      <c r="K2858" s="5" t="s">
        <v>406</v>
      </c>
      <c r="L2858" s="5" t="s">
        <v>13043</v>
      </c>
      <c r="M2858" s="5" t="s">
        <v>45</v>
      </c>
      <c r="N2858" s="5" t="s">
        <v>123</v>
      </c>
      <c r="O2858" s="5" t="s">
        <v>59</v>
      </c>
      <c r="P2858" s="7" t="s">
        <v>12339</v>
      </c>
      <c r="Q2858" s="7" t="s">
        <v>16128</v>
      </c>
      <c r="R2858" s="7" t="s">
        <v>3083</v>
      </c>
      <c r="S2858" s="5">
        <v>0</v>
      </c>
      <c r="T2858" s="36">
        <v>0</v>
      </c>
      <c r="U2858" s="5">
        <v>0</v>
      </c>
      <c r="V2858" s="36">
        <v>0</v>
      </c>
      <c r="W2858" s="5">
        <v>0</v>
      </c>
      <c r="X2858" s="5">
        <v>0</v>
      </c>
      <c r="Y2858" s="5">
        <v>0</v>
      </c>
      <c r="Z2858" s="36">
        <v>0</v>
      </c>
      <c r="AA2858" s="5">
        <v>0</v>
      </c>
      <c r="AB2858" s="5">
        <v>0</v>
      </c>
      <c r="AC2858" s="5">
        <v>0</v>
      </c>
      <c r="AD2858" s="5">
        <v>0</v>
      </c>
      <c r="AE2858" s="7" t="s">
        <v>375</v>
      </c>
      <c r="AF2858" s="7"/>
      <c r="AG2858" s="7" t="s">
        <v>855</v>
      </c>
      <c r="AH2858" s="7">
        <v>43523</v>
      </c>
      <c r="AI2858" s="5">
        <v>0</v>
      </c>
      <c r="AJ2858" s="7" t="s">
        <v>16129</v>
      </c>
      <c r="AK2858" s="7" t="s">
        <v>16130</v>
      </c>
    </row>
    <row r="2859" spans="1:37" customFormat="1" ht="36.75" customHeight="1" x14ac:dyDescent="0.35">
      <c r="A2859" s="5"/>
      <c r="B2859" s="5" t="s">
        <v>37</v>
      </c>
      <c r="C2859" s="73" t="str">
        <f t="shared" si="44"/>
        <v>Closed</v>
      </c>
      <c r="D2859" s="45" t="s">
        <v>16131</v>
      </c>
      <c r="E2859" s="54" t="s">
        <v>16132</v>
      </c>
      <c r="F2859" s="5" t="s">
        <v>816</v>
      </c>
      <c r="G2859" s="7">
        <f>DATE(2019,3,1)</f>
        <v>43525</v>
      </c>
      <c r="H2859" s="34">
        <v>1.6173611111111112</v>
      </c>
      <c r="I2859" s="5" t="s">
        <v>85</v>
      </c>
      <c r="J2859" s="7" t="s">
        <v>16133</v>
      </c>
      <c r="K2859" s="5" t="s">
        <v>818</v>
      </c>
      <c r="L2859" s="5" t="s">
        <v>15209</v>
      </c>
      <c r="M2859" s="5" t="s">
        <v>45</v>
      </c>
      <c r="N2859" s="5" t="s">
        <v>123</v>
      </c>
      <c r="O2859" s="5" t="s">
        <v>59</v>
      </c>
      <c r="P2859" s="7" t="s">
        <v>6920</v>
      </c>
      <c r="Q2859" s="7" t="s">
        <v>820</v>
      </c>
      <c r="R2859" s="7" t="s">
        <v>821</v>
      </c>
      <c r="S2859" s="5">
        <v>0</v>
      </c>
      <c r="T2859" s="36">
        <v>0</v>
      </c>
      <c r="U2859" s="5">
        <v>0</v>
      </c>
      <c r="V2859" s="36">
        <v>0</v>
      </c>
      <c r="W2859" s="5">
        <v>0</v>
      </c>
      <c r="X2859" s="5">
        <v>0</v>
      </c>
      <c r="Y2859" s="5">
        <v>0</v>
      </c>
      <c r="Z2859" s="36">
        <v>0</v>
      </c>
      <c r="AA2859" s="5">
        <v>0</v>
      </c>
      <c r="AB2859" s="5">
        <v>0</v>
      </c>
      <c r="AC2859" s="5">
        <v>0</v>
      </c>
      <c r="AD2859" s="5">
        <v>0</v>
      </c>
      <c r="AE2859" s="7" t="s">
        <v>73</v>
      </c>
      <c r="AF2859" s="7"/>
      <c r="AG2859" s="7" t="s">
        <v>10489</v>
      </c>
      <c r="AH2859" s="7">
        <v>43769</v>
      </c>
      <c r="AI2859" s="5">
        <v>0</v>
      </c>
      <c r="AJ2859" s="7" t="s">
        <v>16134</v>
      </c>
      <c r="AK2859" s="7" t="s">
        <v>16135</v>
      </c>
    </row>
    <row r="2860" spans="1:37" customFormat="1" ht="36.75" customHeight="1" x14ac:dyDescent="0.35">
      <c r="A2860" s="5"/>
      <c r="B2860" s="5" t="s">
        <v>37</v>
      </c>
      <c r="C2860" s="73" t="str">
        <f t="shared" si="44"/>
        <v>Closed</v>
      </c>
      <c r="D2860" s="45" t="s">
        <v>16136</v>
      </c>
      <c r="E2860" s="54" t="s">
        <v>16137</v>
      </c>
      <c r="F2860" s="5" t="s">
        <v>404</v>
      </c>
      <c r="G2860" s="7">
        <f>DATE(2019,3,2)</f>
        <v>43526</v>
      </c>
      <c r="H2860" s="34">
        <v>1.3756944444444446</v>
      </c>
      <c r="I2860" s="5" t="s">
        <v>85</v>
      </c>
      <c r="J2860" s="7" t="s">
        <v>16138</v>
      </c>
      <c r="K2860" s="5" t="s">
        <v>406</v>
      </c>
      <c r="L2860" s="5" t="s">
        <v>16139</v>
      </c>
      <c r="M2860" s="5" t="s">
        <v>45</v>
      </c>
      <c r="N2860" s="5" t="s">
        <v>70</v>
      </c>
      <c r="O2860" s="5" t="s">
        <v>59</v>
      </c>
      <c r="P2860" s="7" t="s">
        <v>16140</v>
      </c>
      <c r="Q2860" s="7" t="s">
        <v>16141</v>
      </c>
      <c r="R2860" s="7" t="s">
        <v>3083</v>
      </c>
      <c r="S2860" s="5">
        <v>0</v>
      </c>
      <c r="T2860" s="36">
        <v>0</v>
      </c>
      <c r="U2860" s="5">
        <v>0</v>
      </c>
      <c r="V2860" s="36">
        <v>0</v>
      </c>
      <c r="W2860" s="5">
        <v>0</v>
      </c>
      <c r="X2860" s="5">
        <v>0</v>
      </c>
      <c r="Y2860" s="5">
        <v>0</v>
      </c>
      <c r="Z2860" s="36">
        <v>0</v>
      </c>
      <c r="AA2860" s="5">
        <v>0</v>
      </c>
      <c r="AB2860" s="5">
        <v>0</v>
      </c>
      <c r="AC2860" s="5">
        <v>0</v>
      </c>
      <c r="AD2860" s="5">
        <v>0</v>
      </c>
      <c r="AE2860" s="7" t="s">
        <v>73</v>
      </c>
      <c r="AF2860" s="7"/>
      <c r="AG2860" s="7" t="s">
        <v>855</v>
      </c>
      <c r="AH2860" s="7">
        <v>43499</v>
      </c>
      <c r="AI2860" s="5">
        <v>0</v>
      </c>
      <c r="AJ2860" s="7" t="s">
        <v>16142</v>
      </c>
      <c r="AK2860" s="7" t="s">
        <v>16143</v>
      </c>
    </row>
    <row r="2861" spans="1:37" customFormat="1" ht="36.75" customHeight="1" x14ac:dyDescent="0.35">
      <c r="A2861" s="5"/>
      <c r="B2861" s="5" t="s">
        <v>37</v>
      </c>
      <c r="C2861" s="73" t="str">
        <f t="shared" si="44"/>
        <v>Closed</v>
      </c>
      <c r="D2861" s="45" t="s">
        <v>16144</v>
      </c>
      <c r="E2861" s="54" t="s">
        <v>16145</v>
      </c>
      <c r="F2861" s="5" t="s">
        <v>404</v>
      </c>
      <c r="G2861" s="7">
        <f>DATE(2019,3,4)</f>
        <v>43528</v>
      </c>
      <c r="H2861" s="34">
        <v>1.5131944444444443</v>
      </c>
      <c r="I2861" s="5" t="s">
        <v>179</v>
      </c>
      <c r="J2861" s="7" t="s">
        <v>16146</v>
      </c>
      <c r="K2861" s="5" t="s">
        <v>406</v>
      </c>
      <c r="L2861" s="5" t="s">
        <v>16147</v>
      </c>
      <c r="M2861" s="5" t="s">
        <v>45</v>
      </c>
      <c r="N2861" s="5" t="s">
        <v>80</v>
      </c>
      <c r="O2861" s="5" t="s">
        <v>46</v>
      </c>
      <c r="P2861" s="7" t="s">
        <v>8003</v>
      </c>
      <c r="Q2861" s="7" t="s">
        <v>10667</v>
      </c>
      <c r="R2861" s="7" t="s">
        <v>3083</v>
      </c>
      <c r="S2861" s="5">
        <v>0</v>
      </c>
      <c r="T2861" s="36">
        <v>0</v>
      </c>
      <c r="U2861" s="5">
        <v>0</v>
      </c>
      <c r="V2861" s="36">
        <v>0</v>
      </c>
      <c r="W2861" s="5">
        <v>0</v>
      </c>
      <c r="X2861" s="5">
        <v>0</v>
      </c>
      <c r="Y2861" s="5">
        <v>0</v>
      </c>
      <c r="Z2861" s="36">
        <v>0</v>
      </c>
      <c r="AA2861" s="5">
        <v>0</v>
      </c>
      <c r="AB2861" s="5">
        <v>0</v>
      </c>
      <c r="AC2861" s="5">
        <v>0</v>
      </c>
      <c r="AD2861" s="5">
        <v>0</v>
      </c>
      <c r="AE2861" s="7" t="s">
        <v>73</v>
      </c>
      <c r="AF2861" s="7"/>
      <c r="AG2861" s="7" t="s">
        <v>114</v>
      </c>
      <c r="AH2861" s="7">
        <v>43558</v>
      </c>
      <c r="AI2861" s="5">
        <v>1</v>
      </c>
      <c r="AJ2861" s="7" t="s">
        <v>16148</v>
      </c>
      <c r="AK2861" s="7" t="s">
        <v>16149</v>
      </c>
    </row>
    <row r="2862" spans="1:37" customFormat="1" ht="36.75" customHeight="1" x14ac:dyDescent="0.35">
      <c r="A2862" s="5"/>
      <c r="B2862" s="5" t="s">
        <v>37</v>
      </c>
      <c r="C2862" s="73" t="str">
        <f t="shared" si="44"/>
        <v>Closed</v>
      </c>
      <c r="D2862" s="45" t="s">
        <v>16150</v>
      </c>
      <c r="E2862" s="54" t="s">
        <v>16151</v>
      </c>
      <c r="F2862" s="5" t="s">
        <v>404</v>
      </c>
      <c r="G2862" s="7">
        <f>DATE(2019,3,5)</f>
        <v>43529</v>
      </c>
      <c r="H2862" s="34">
        <v>1.3333333333333333</v>
      </c>
      <c r="I2862" s="5" t="s">
        <v>179</v>
      </c>
      <c r="J2862" s="7" t="s">
        <v>16152</v>
      </c>
      <c r="K2862" s="5" t="s">
        <v>406</v>
      </c>
      <c r="L2862" s="5" t="s">
        <v>15365</v>
      </c>
      <c r="M2862" s="5" t="s">
        <v>45</v>
      </c>
      <c r="N2862" s="5" t="s">
        <v>123</v>
      </c>
      <c r="O2862" s="5" t="s">
        <v>59</v>
      </c>
      <c r="P2862" s="7" t="s">
        <v>146</v>
      </c>
      <c r="Q2862" s="7" t="s">
        <v>4531</v>
      </c>
      <c r="R2862" s="7" t="s">
        <v>3083</v>
      </c>
      <c r="S2862" s="5">
        <v>0</v>
      </c>
      <c r="T2862" s="36">
        <v>0</v>
      </c>
      <c r="U2862" s="5">
        <v>0</v>
      </c>
      <c r="V2862" s="36">
        <v>0</v>
      </c>
      <c r="W2862" s="5">
        <v>0</v>
      </c>
      <c r="X2862" s="5">
        <v>0</v>
      </c>
      <c r="Y2862" s="5">
        <v>0</v>
      </c>
      <c r="Z2862" s="36">
        <v>0</v>
      </c>
      <c r="AA2862" s="5">
        <v>0</v>
      </c>
      <c r="AB2862" s="5">
        <v>0</v>
      </c>
      <c r="AC2862" s="5">
        <v>0</v>
      </c>
      <c r="AD2862" s="5">
        <v>0</v>
      </c>
      <c r="AE2862" s="7" t="s">
        <v>73</v>
      </c>
      <c r="AF2862" s="7"/>
      <c r="AG2862" s="7" t="s">
        <v>64</v>
      </c>
      <c r="AH2862" s="7">
        <v>43588</v>
      </c>
      <c r="AI2862" s="5">
        <v>0</v>
      </c>
      <c r="AJ2862" s="7" t="s">
        <v>16153</v>
      </c>
      <c r="AK2862" s="7" t="s">
        <v>16154</v>
      </c>
    </row>
    <row r="2863" spans="1:37" customFormat="1" ht="36.75" customHeight="1" x14ac:dyDescent="0.35">
      <c r="A2863" s="5"/>
      <c r="B2863" s="5" t="s">
        <v>37</v>
      </c>
      <c r="C2863" s="73" t="str">
        <f t="shared" si="44"/>
        <v>Closed</v>
      </c>
      <c r="D2863" s="45" t="s">
        <v>16155</v>
      </c>
      <c r="E2863" s="54" t="s">
        <v>16156</v>
      </c>
      <c r="F2863" s="5" t="s">
        <v>2316</v>
      </c>
      <c r="G2863" s="7">
        <f>DATE(2019,3,7)</f>
        <v>43531</v>
      </c>
      <c r="H2863" s="34">
        <v>1.3680555555555556</v>
      </c>
      <c r="I2863" s="5" t="s">
        <v>97</v>
      </c>
      <c r="J2863" s="7" t="s">
        <v>16157</v>
      </c>
      <c r="K2863" s="5" t="s">
        <v>2318</v>
      </c>
      <c r="L2863" s="5" t="s">
        <v>16158</v>
      </c>
      <c r="M2863" s="5" t="s">
        <v>45</v>
      </c>
      <c r="N2863" s="5" t="s">
        <v>123</v>
      </c>
      <c r="O2863" s="5" t="s">
        <v>46</v>
      </c>
      <c r="P2863" s="7" t="s">
        <v>282</v>
      </c>
      <c r="Q2863" s="7" t="s">
        <v>2318</v>
      </c>
      <c r="R2863" s="7" t="s">
        <v>2321</v>
      </c>
      <c r="S2863" s="5">
        <v>0</v>
      </c>
      <c r="T2863" s="36">
        <v>0</v>
      </c>
      <c r="U2863" s="5">
        <v>1</v>
      </c>
      <c r="V2863" s="36">
        <v>0</v>
      </c>
      <c r="W2863" s="5">
        <v>0</v>
      </c>
      <c r="X2863" s="5">
        <v>1</v>
      </c>
      <c r="Y2863" s="5">
        <v>0</v>
      </c>
      <c r="Z2863" s="36">
        <v>0</v>
      </c>
      <c r="AA2863" s="5">
        <v>0</v>
      </c>
      <c r="AB2863" s="5">
        <v>0</v>
      </c>
      <c r="AC2863" s="5">
        <v>0</v>
      </c>
      <c r="AD2863" s="5">
        <v>0</v>
      </c>
      <c r="AE2863" s="7" t="s">
        <v>73</v>
      </c>
      <c r="AF2863" s="7"/>
      <c r="AG2863" s="7" t="s">
        <v>64</v>
      </c>
      <c r="AH2863" s="7">
        <v>43654</v>
      </c>
      <c r="AI2863" s="5">
        <v>6</v>
      </c>
      <c r="AJ2863" s="7" t="s">
        <v>16159</v>
      </c>
      <c r="AK2863" s="7" t="s">
        <v>16160</v>
      </c>
    </row>
    <row r="2864" spans="1:37" customFormat="1" ht="36.75" customHeight="1" x14ac:dyDescent="0.35">
      <c r="A2864" s="5"/>
      <c r="B2864" s="5" t="s">
        <v>37</v>
      </c>
      <c r="C2864" s="73" t="str">
        <f t="shared" si="44"/>
        <v>Closed</v>
      </c>
      <c r="D2864" s="45" t="s">
        <v>16161</v>
      </c>
      <c r="E2864" s="54" t="s">
        <v>16162</v>
      </c>
      <c r="F2864" s="5" t="s">
        <v>1553</v>
      </c>
      <c r="G2864" s="7">
        <f>DATE(2019,3,8)</f>
        <v>43532</v>
      </c>
      <c r="H2864" s="34">
        <v>1.8743055555555554</v>
      </c>
      <c r="I2864" s="5" t="s">
        <v>55</v>
      </c>
      <c r="J2864" s="7" t="s">
        <v>16163</v>
      </c>
      <c r="K2864" s="5" t="s">
        <v>1555</v>
      </c>
      <c r="L2864" s="5" t="s">
        <v>16164</v>
      </c>
      <c r="M2864" s="5" t="s">
        <v>45</v>
      </c>
      <c r="N2864" s="5" t="s">
        <v>80</v>
      </c>
      <c r="O2864" s="5" t="s">
        <v>59</v>
      </c>
      <c r="P2864" s="7" t="s">
        <v>6920</v>
      </c>
      <c r="Q2864" s="7" t="s">
        <v>2393</v>
      </c>
      <c r="R2864" s="7" t="s">
        <v>6413</v>
      </c>
      <c r="S2864" s="5">
        <v>0</v>
      </c>
      <c r="T2864" s="36">
        <v>0</v>
      </c>
      <c r="U2864" s="5">
        <v>0</v>
      </c>
      <c r="V2864" s="36">
        <v>0</v>
      </c>
      <c r="W2864" s="5">
        <v>0</v>
      </c>
      <c r="X2864" s="5">
        <v>0</v>
      </c>
      <c r="Y2864" s="5">
        <v>0</v>
      </c>
      <c r="Z2864" s="36">
        <v>0</v>
      </c>
      <c r="AA2864" s="5">
        <v>0</v>
      </c>
      <c r="AB2864" s="5">
        <v>0</v>
      </c>
      <c r="AC2864" s="5">
        <v>0</v>
      </c>
      <c r="AD2864" s="5">
        <v>0</v>
      </c>
      <c r="AE2864" s="7" t="s">
        <v>73</v>
      </c>
      <c r="AF2864" s="7"/>
      <c r="AG2864" s="7" t="s">
        <v>114</v>
      </c>
      <c r="AH2864" s="7">
        <v>43535</v>
      </c>
      <c r="AI2864" s="5">
        <v>6</v>
      </c>
      <c r="AJ2864" s="7" t="s">
        <v>16165</v>
      </c>
      <c r="AK2864" s="7" t="s">
        <v>16166</v>
      </c>
    </row>
    <row r="2865" spans="1:37" customFormat="1" ht="36.75" customHeight="1" x14ac:dyDescent="0.35">
      <c r="A2865" s="5"/>
      <c r="B2865" s="5" t="s">
        <v>37</v>
      </c>
      <c r="C2865" s="73" t="str">
        <f t="shared" si="44"/>
        <v>Closed</v>
      </c>
      <c r="D2865" s="45" t="s">
        <v>16167</v>
      </c>
      <c r="E2865" s="54" t="s">
        <v>16168</v>
      </c>
      <c r="F2865" s="5" t="s">
        <v>404</v>
      </c>
      <c r="G2865" s="7">
        <f>DATE(2019,3,11)</f>
        <v>43535</v>
      </c>
      <c r="H2865" s="34">
        <v>1.3506944444444444</v>
      </c>
      <c r="I2865" s="5" t="s">
        <v>2059</v>
      </c>
      <c r="J2865" s="7" t="s">
        <v>16169</v>
      </c>
      <c r="K2865" s="5" t="s">
        <v>406</v>
      </c>
      <c r="L2865" s="5" t="s">
        <v>16170</v>
      </c>
      <c r="M2865" s="5" t="s">
        <v>45</v>
      </c>
      <c r="N2865" s="5" t="s">
        <v>80</v>
      </c>
      <c r="O2865" s="5" t="s">
        <v>59</v>
      </c>
      <c r="P2865" s="7" t="s">
        <v>2531</v>
      </c>
      <c r="Q2865" s="7" t="s">
        <v>2562</v>
      </c>
      <c r="R2865" s="7" t="s">
        <v>3083</v>
      </c>
      <c r="S2865" s="5">
        <v>0</v>
      </c>
      <c r="T2865" s="36">
        <v>0</v>
      </c>
      <c r="U2865" s="5">
        <v>0</v>
      </c>
      <c r="V2865" s="36">
        <v>0</v>
      </c>
      <c r="W2865" s="5">
        <v>0</v>
      </c>
      <c r="X2865" s="5">
        <v>0</v>
      </c>
      <c r="Y2865" s="5">
        <v>0</v>
      </c>
      <c r="Z2865" s="36">
        <v>0</v>
      </c>
      <c r="AA2865" s="5">
        <v>0</v>
      </c>
      <c r="AB2865" s="5">
        <v>0</v>
      </c>
      <c r="AC2865" s="5">
        <v>0</v>
      </c>
      <c r="AD2865" s="5">
        <v>0</v>
      </c>
      <c r="AE2865" s="7" t="s">
        <v>73</v>
      </c>
      <c r="AF2865" s="7"/>
      <c r="AG2865" s="7" t="s">
        <v>333</v>
      </c>
      <c r="AH2865" s="7">
        <v>43772</v>
      </c>
      <c r="AI2865" s="5">
        <v>0</v>
      </c>
      <c r="AJ2865" s="7" t="s">
        <v>16171</v>
      </c>
      <c r="AK2865" s="7" t="s">
        <v>16172</v>
      </c>
    </row>
    <row r="2866" spans="1:37" customFormat="1" ht="36.75" customHeight="1" x14ac:dyDescent="0.35">
      <c r="A2866" s="5"/>
      <c r="B2866" s="5" t="s">
        <v>37</v>
      </c>
      <c r="C2866" s="73" t="str">
        <f t="shared" si="44"/>
        <v>Closed</v>
      </c>
      <c r="D2866" s="45" t="s">
        <v>16173</v>
      </c>
      <c r="E2866" s="54" t="s">
        <v>16174</v>
      </c>
      <c r="F2866" s="5" t="s">
        <v>214</v>
      </c>
      <c r="G2866" s="7">
        <f>DATE(2019,3,12)</f>
        <v>43536</v>
      </c>
      <c r="H2866" s="34">
        <v>1.9548611111111112</v>
      </c>
      <c r="I2866" s="5" t="s">
        <v>259</v>
      </c>
      <c r="J2866" s="7" t="s">
        <v>16175</v>
      </c>
      <c r="K2866" s="5" t="s">
        <v>216</v>
      </c>
      <c r="L2866" s="5" t="s">
        <v>16176</v>
      </c>
      <c r="M2866" s="5" t="s">
        <v>236</v>
      </c>
      <c r="N2866" s="5" t="s">
        <v>123</v>
      </c>
      <c r="O2866" s="5" t="s">
        <v>59</v>
      </c>
      <c r="P2866" s="7" t="s">
        <v>6531</v>
      </c>
      <c r="Q2866" s="7" t="s">
        <v>297</v>
      </c>
      <c r="R2866" s="7" t="s">
        <v>216</v>
      </c>
      <c r="S2866" s="5">
        <v>0</v>
      </c>
      <c r="T2866" s="36">
        <v>0</v>
      </c>
      <c r="U2866" s="5">
        <v>0</v>
      </c>
      <c r="V2866" s="36">
        <v>0</v>
      </c>
      <c r="W2866" s="5">
        <v>0</v>
      </c>
      <c r="X2866" s="5">
        <v>0</v>
      </c>
      <c r="Y2866" s="5">
        <v>0</v>
      </c>
      <c r="Z2866" s="36">
        <v>0</v>
      </c>
      <c r="AA2866" s="5">
        <v>0</v>
      </c>
      <c r="AB2866" s="5">
        <v>0</v>
      </c>
      <c r="AC2866" s="5">
        <v>0</v>
      </c>
      <c r="AD2866" s="5">
        <v>0</v>
      </c>
      <c r="AE2866" s="7" t="s">
        <v>73</v>
      </c>
      <c r="AF2866" s="7"/>
      <c r="AG2866" s="7" t="s">
        <v>114</v>
      </c>
      <c r="AH2866" s="7">
        <v>43563</v>
      </c>
      <c r="AI2866" s="5">
        <v>4</v>
      </c>
      <c r="AJ2866" s="7" t="s">
        <v>16177</v>
      </c>
      <c r="AK2866" s="7" t="s">
        <v>16178</v>
      </c>
    </row>
    <row r="2867" spans="1:37" customFormat="1" ht="36.75" customHeight="1" x14ac:dyDescent="0.35">
      <c r="A2867" s="5"/>
      <c r="B2867" s="5" t="s">
        <v>37</v>
      </c>
      <c r="C2867" s="73" t="str">
        <f t="shared" si="44"/>
        <v>Closed</v>
      </c>
      <c r="D2867" s="45" t="s">
        <v>16179</v>
      </c>
      <c r="E2867" s="54" t="s">
        <v>16180</v>
      </c>
      <c r="F2867" s="5" t="s">
        <v>214</v>
      </c>
      <c r="G2867" s="7">
        <f>DATE(2019,3,13)</f>
        <v>43537</v>
      </c>
      <c r="H2867" s="34">
        <v>1.504861111111111</v>
      </c>
      <c r="I2867" s="5" t="s">
        <v>2398</v>
      </c>
      <c r="J2867" s="7" t="s">
        <v>16181</v>
      </c>
      <c r="K2867" s="5" t="s">
        <v>216</v>
      </c>
      <c r="L2867" s="5" t="s">
        <v>16182</v>
      </c>
      <c r="M2867" s="5" t="s">
        <v>45</v>
      </c>
      <c r="N2867" s="5" t="s">
        <v>123</v>
      </c>
      <c r="O2867" s="5" t="s">
        <v>67</v>
      </c>
      <c r="P2867" s="7" t="s">
        <v>146</v>
      </c>
      <c r="Q2867" s="7" t="s">
        <v>16183</v>
      </c>
      <c r="R2867" s="7" t="s">
        <v>216</v>
      </c>
      <c r="S2867" s="5">
        <v>0</v>
      </c>
      <c r="T2867" s="36">
        <v>0</v>
      </c>
      <c r="U2867" s="5">
        <v>0</v>
      </c>
      <c r="V2867" s="36">
        <v>0</v>
      </c>
      <c r="W2867" s="5">
        <v>0</v>
      </c>
      <c r="X2867" s="5">
        <v>0</v>
      </c>
      <c r="Y2867" s="5">
        <v>0</v>
      </c>
      <c r="Z2867" s="36">
        <v>0</v>
      </c>
      <c r="AA2867" s="5">
        <v>0</v>
      </c>
      <c r="AB2867" s="5">
        <v>0</v>
      </c>
      <c r="AC2867" s="5">
        <v>0</v>
      </c>
      <c r="AD2867" s="5">
        <v>0</v>
      </c>
      <c r="AE2867" s="7" t="s">
        <v>73</v>
      </c>
      <c r="AF2867" s="7"/>
      <c r="AG2867" s="7" t="s">
        <v>114</v>
      </c>
      <c r="AH2867" s="7">
        <v>43549</v>
      </c>
      <c r="AI2867" s="5">
        <v>0</v>
      </c>
      <c r="AJ2867" s="7" t="s">
        <v>16184</v>
      </c>
      <c r="AK2867" s="7" t="s">
        <v>16185</v>
      </c>
    </row>
    <row r="2868" spans="1:37" customFormat="1" ht="36.75" customHeight="1" x14ac:dyDescent="0.35">
      <c r="A2868" s="5"/>
      <c r="B2868" s="5" t="s">
        <v>37</v>
      </c>
      <c r="C2868" s="73" t="str">
        <f t="shared" si="44"/>
        <v>Closed</v>
      </c>
      <c r="D2868" s="45" t="s">
        <v>16186</v>
      </c>
      <c r="E2868" s="54" t="s">
        <v>16187</v>
      </c>
      <c r="F2868" s="5" t="s">
        <v>404</v>
      </c>
      <c r="G2868" s="7">
        <f>DATE(2019,3,14)</f>
        <v>43538</v>
      </c>
      <c r="H2868" s="34">
        <v>1.5868055555555556</v>
      </c>
      <c r="I2868" s="5" t="s">
        <v>259</v>
      </c>
      <c r="J2868" s="7" t="s">
        <v>16188</v>
      </c>
      <c r="K2868" s="5" t="s">
        <v>406</v>
      </c>
      <c r="L2868" s="5" t="s">
        <v>16189</v>
      </c>
      <c r="M2868" s="5" t="s">
        <v>45</v>
      </c>
      <c r="N2868" s="5" t="s">
        <v>123</v>
      </c>
      <c r="O2868" s="5" t="s">
        <v>59</v>
      </c>
      <c r="P2868" s="7" t="s">
        <v>72</v>
      </c>
      <c r="Q2868" s="7" t="s">
        <v>2562</v>
      </c>
      <c r="R2868" s="7" t="s">
        <v>3083</v>
      </c>
      <c r="S2868" s="5">
        <v>0</v>
      </c>
      <c r="T2868" s="36">
        <v>0</v>
      </c>
      <c r="U2868" s="5">
        <v>0</v>
      </c>
      <c r="V2868" s="36">
        <v>0</v>
      </c>
      <c r="W2868" s="5">
        <v>0</v>
      </c>
      <c r="X2868" s="5">
        <v>0</v>
      </c>
      <c r="Y2868" s="5">
        <v>0</v>
      </c>
      <c r="Z2868" s="36">
        <v>1</v>
      </c>
      <c r="AA2868" s="5">
        <v>0</v>
      </c>
      <c r="AB2868" s="5">
        <v>0</v>
      </c>
      <c r="AC2868" s="5">
        <v>0</v>
      </c>
      <c r="AD2868" s="5">
        <v>1</v>
      </c>
      <c r="AE2868" s="7" t="s">
        <v>73</v>
      </c>
      <c r="AF2868" s="7"/>
      <c r="AG2868" s="7" t="s">
        <v>114</v>
      </c>
      <c r="AH2868" s="7">
        <v>43538</v>
      </c>
      <c r="AI2868" s="5">
        <v>0</v>
      </c>
      <c r="AJ2868" s="7" t="s">
        <v>16190</v>
      </c>
      <c r="AK2868" s="7" t="s">
        <v>16191</v>
      </c>
    </row>
    <row r="2869" spans="1:37" customFormat="1" ht="36.75" customHeight="1" x14ac:dyDescent="0.35">
      <c r="A2869" s="5"/>
      <c r="B2869" s="5" t="s">
        <v>37</v>
      </c>
      <c r="C2869" s="73" t="str">
        <f t="shared" si="44"/>
        <v>Closed</v>
      </c>
      <c r="D2869" s="45" t="s">
        <v>16192</v>
      </c>
      <c r="E2869" s="54" t="s">
        <v>16193</v>
      </c>
      <c r="F2869" s="5" t="s">
        <v>1553</v>
      </c>
      <c r="G2869" s="7">
        <f>DATE(2019,3,14)</f>
        <v>43538</v>
      </c>
      <c r="H2869" s="34">
        <v>1.3888888888888888</v>
      </c>
      <c r="I2869" s="5" t="s">
        <v>55</v>
      </c>
      <c r="J2869" s="7" t="s">
        <v>16194</v>
      </c>
      <c r="K2869" s="5" t="s">
        <v>1555</v>
      </c>
      <c r="L2869" s="5" t="s">
        <v>16195</v>
      </c>
      <c r="M2869" s="5" t="s">
        <v>45</v>
      </c>
      <c r="N2869" s="5" t="s">
        <v>123</v>
      </c>
      <c r="O2869" s="5" t="s">
        <v>59</v>
      </c>
      <c r="P2869" s="7" t="s">
        <v>60</v>
      </c>
      <c r="Q2869" s="7" t="s">
        <v>15538</v>
      </c>
      <c r="R2869" s="7" t="s">
        <v>6413</v>
      </c>
      <c r="S2869" s="5">
        <v>0</v>
      </c>
      <c r="T2869" s="36">
        <v>0</v>
      </c>
      <c r="U2869" s="5">
        <v>0</v>
      </c>
      <c r="V2869" s="36">
        <v>0</v>
      </c>
      <c r="W2869" s="5">
        <v>0</v>
      </c>
      <c r="X2869" s="5">
        <v>0</v>
      </c>
      <c r="Y2869" s="5">
        <v>0</v>
      </c>
      <c r="Z2869" s="36">
        <v>0</v>
      </c>
      <c r="AA2869" s="5">
        <v>0</v>
      </c>
      <c r="AB2869" s="5">
        <v>0</v>
      </c>
      <c r="AC2869" s="5">
        <v>0</v>
      </c>
      <c r="AD2869" s="5">
        <v>0</v>
      </c>
      <c r="AE2869" s="7" t="s">
        <v>375</v>
      </c>
      <c r="AF2869" s="7"/>
      <c r="AG2869" s="7" t="s">
        <v>114</v>
      </c>
      <c r="AH2869" s="7">
        <v>43539</v>
      </c>
      <c r="AI2869" s="5">
        <v>1</v>
      </c>
      <c r="AJ2869" s="7" t="s">
        <v>16196</v>
      </c>
      <c r="AK2869" s="7" t="s">
        <v>16197</v>
      </c>
    </row>
    <row r="2870" spans="1:37" customFormat="1" ht="36.75" customHeight="1" x14ac:dyDescent="0.35">
      <c r="A2870" s="5"/>
      <c r="B2870" s="5" t="s">
        <v>37</v>
      </c>
      <c r="C2870" s="73" t="str">
        <f t="shared" si="44"/>
        <v>Closed</v>
      </c>
      <c r="D2870" s="45" t="s">
        <v>16198</v>
      </c>
      <c r="E2870" s="54" t="s">
        <v>16199</v>
      </c>
      <c r="F2870" s="5" t="s">
        <v>2316</v>
      </c>
      <c r="G2870" s="7">
        <f>DATE(2019,3,17)</f>
        <v>43541</v>
      </c>
      <c r="H2870" s="34">
        <v>1.9090277777777778</v>
      </c>
      <c r="I2870" s="5" t="s">
        <v>55</v>
      </c>
      <c r="J2870" s="7" t="s">
        <v>16200</v>
      </c>
      <c r="K2870" s="5" t="s">
        <v>2318</v>
      </c>
      <c r="L2870" s="5" t="s">
        <v>16201</v>
      </c>
      <c r="M2870" s="5" t="s">
        <v>45</v>
      </c>
      <c r="N2870" s="5" t="s">
        <v>123</v>
      </c>
      <c r="O2870" s="5" t="s">
        <v>46</v>
      </c>
      <c r="P2870" s="7" t="s">
        <v>60</v>
      </c>
      <c r="Q2870" s="7" t="s">
        <v>2318</v>
      </c>
      <c r="R2870" s="7" t="s">
        <v>2321</v>
      </c>
      <c r="S2870" s="5">
        <v>0</v>
      </c>
      <c r="T2870" s="36">
        <v>0</v>
      </c>
      <c r="U2870" s="5">
        <v>0</v>
      </c>
      <c r="V2870" s="36">
        <v>0</v>
      </c>
      <c r="W2870" s="5">
        <v>0</v>
      </c>
      <c r="X2870" s="5">
        <v>0</v>
      </c>
      <c r="Y2870" s="5">
        <v>0</v>
      </c>
      <c r="Z2870" s="36">
        <v>0</v>
      </c>
      <c r="AA2870" s="5">
        <v>0</v>
      </c>
      <c r="AB2870" s="5">
        <v>0</v>
      </c>
      <c r="AC2870" s="5">
        <v>0</v>
      </c>
      <c r="AD2870" s="5">
        <v>0</v>
      </c>
      <c r="AE2870" s="7" t="s">
        <v>375</v>
      </c>
      <c r="AF2870" s="7"/>
      <c r="AG2870" s="7" t="s">
        <v>570</v>
      </c>
      <c r="AH2870" s="7">
        <v>43545</v>
      </c>
      <c r="AI2870" s="5">
        <v>13</v>
      </c>
      <c r="AJ2870" s="7" t="s">
        <v>16202</v>
      </c>
      <c r="AK2870" s="7" t="s">
        <v>16203</v>
      </c>
    </row>
    <row r="2871" spans="1:37" customFormat="1" ht="36.75" customHeight="1" x14ac:dyDescent="0.35">
      <c r="A2871" s="5"/>
      <c r="B2871" s="5" t="s">
        <v>37</v>
      </c>
      <c r="C2871" s="73" t="str">
        <f t="shared" si="44"/>
        <v>Closed</v>
      </c>
      <c r="D2871" s="45" t="s">
        <v>16204</v>
      </c>
      <c r="E2871" s="54" t="s">
        <v>16205</v>
      </c>
      <c r="F2871" s="5" t="s">
        <v>816</v>
      </c>
      <c r="G2871" s="7">
        <f>DATE(2019,3,21)</f>
        <v>43545</v>
      </c>
      <c r="H2871" s="34">
        <v>1.8472222222222223</v>
      </c>
      <c r="I2871" s="5" t="s">
        <v>55</v>
      </c>
      <c r="J2871" s="7" t="s">
        <v>16206</v>
      </c>
      <c r="K2871" s="5" t="s">
        <v>818</v>
      </c>
      <c r="L2871" s="5" t="s">
        <v>16207</v>
      </c>
      <c r="M2871" s="5" t="s">
        <v>45</v>
      </c>
      <c r="N2871" s="5" t="s">
        <v>80</v>
      </c>
      <c r="O2871" s="5" t="s">
        <v>59</v>
      </c>
      <c r="P2871" s="7" t="s">
        <v>60</v>
      </c>
      <c r="Q2871" s="7" t="s">
        <v>11459</v>
      </c>
      <c r="R2871" s="7" t="s">
        <v>821</v>
      </c>
      <c r="S2871" s="5">
        <v>0</v>
      </c>
      <c r="T2871" s="36">
        <v>0</v>
      </c>
      <c r="U2871" s="5">
        <v>0</v>
      </c>
      <c r="V2871" s="36">
        <v>0</v>
      </c>
      <c r="W2871" s="5">
        <v>0</v>
      </c>
      <c r="X2871" s="5">
        <v>0</v>
      </c>
      <c r="Y2871" s="5">
        <v>0</v>
      </c>
      <c r="Z2871" s="36">
        <v>0</v>
      </c>
      <c r="AA2871" s="5">
        <v>0</v>
      </c>
      <c r="AB2871" s="5">
        <v>0</v>
      </c>
      <c r="AC2871" s="5">
        <v>0</v>
      </c>
      <c r="AD2871" s="5">
        <v>0</v>
      </c>
      <c r="AE2871" s="7" t="s">
        <v>73</v>
      </c>
      <c r="AF2871" s="7"/>
      <c r="AG2871" s="7" t="s">
        <v>333</v>
      </c>
      <c r="AH2871" s="7">
        <v>43545</v>
      </c>
      <c r="AI2871" s="5">
        <v>0</v>
      </c>
      <c r="AJ2871" s="7" t="s">
        <v>13653</v>
      </c>
      <c r="AK2871" s="7" t="s">
        <v>50</v>
      </c>
    </row>
    <row r="2872" spans="1:37" customFormat="1" ht="36.75" customHeight="1" x14ac:dyDescent="0.35">
      <c r="A2872" s="5"/>
      <c r="B2872" s="5" t="s">
        <v>37</v>
      </c>
      <c r="C2872" s="73" t="str">
        <f t="shared" si="44"/>
        <v>Closed</v>
      </c>
      <c r="D2872" s="45" t="s">
        <v>16208</v>
      </c>
      <c r="E2872" s="54" t="s">
        <v>16209</v>
      </c>
      <c r="F2872" s="5" t="s">
        <v>1553</v>
      </c>
      <c r="G2872" s="7">
        <f>DATE(2019,3,23)</f>
        <v>43547</v>
      </c>
      <c r="H2872" s="34">
        <v>1.4201388888888888</v>
      </c>
      <c r="I2872" s="5" t="s">
        <v>55</v>
      </c>
      <c r="J2872" s="7" t="s">
        <v>16210</v>
      </c>
      <c r="K2872" s="5" t="s">
        <v>1555</v>
      </c>
      <c r="L2872" s="5" t="s">
        <v>16211</v>
      </c>
      <c r="M2872" s="5" t="s">
        <v>45</v>
      </c>
      <c r="N2872" s="5" t="s">
        <v>123</v>
      </c>
      <c r="O2872" s="5" t="s">
        <v>46</v>
      </c>
      <c r="P2872" s="7" t="s">
        <v>60</v>
      </c>
      <c r="Q2872" s="7" t="s">
        <v>16212</v>
      </c>
      <c r="R2872" s="7" t="s">
        <v>6413</v>
      </c>
      <c r="S2872" s="5">
        <v>0</v>
      </c>
      <c r="T2872" s="36">
        <v>0</v>
      </c>
      <c r="U2872" s="5">
        <v>0</v>
      </c>
      <c r="V2872" s="36">
        <v>0</v>
      </c>
      <c r="W2872" s="5">
        <v>0</v>
      </c>
      <c r="X2872" s="5">
        <v>0</v>
      </c>
      <c r="Y2872" s="5">
        <v>0</v>
      </c>
      <c r="Z2872" s="36">
        <v>0</v>
      </c>
      <c r="AA2872" s="5">
        <v>0</v>
      </c>
      <c r="AB2872" s="5">
        <v>0</v>
      </c>
      <c r="AC2872" s="5">
        <v>0</v>
      </c>
      <c r="AD2872" s="5">
        <v>0</v>
      </c>
      <c r="AE2872" s="7" t="s">
        <v>73</v>
      </c>
      <c r="AF2872" s="7"/>
      <c r="AG2872" s="7" t="s">
        <v>114</v>
      </c>
      <c r="AH2872" s="7">
        <v>43549</v>
      </c>
      <c r="AI2872" s="5">
        <v>0</v>
      </c>
      <c r="AJ2872" s="7" t="s">
        <v>16213</v>
      </c>
      <c r="AK2872" s="7" t="s">
        <v>16214</v>
      </c>
    </row>
    <row r="2873" spans="1:37" customFormat="1" ht="36.75" customHeight="1" x14ac:dyDescent="0.35">
      <c r="A2873" s="5"/>
      <c r="B2873" s="5" t="s">
        <v>37</v>
      </c>
      <c r="C2873" s="73" t="str">
        <f t="shared" si="44"/>
        <v>Closed</v>
      </c>
      <c r="D2873" s="45" t="s">
        <v>16215</v>
      </c>
      <c r="E2873" s="54" t="s">
        <v>16216</v>
      </c>
      <c r="F2873" s="5" t="s">
        <v>105</v>
      </c>
      <c r="G2873" s="7">
        <f>DATE(2019,3,26)</f>
        <v>43550</v>
      </c>
      <c r="H2873" s="34">
        <v>0</v>
      </c>
      <c r="I2873" s="5" t="s">
        <v>67</v>
      </c>
      <c r="J2873" s="7" t="s">
        <v>16217</v>
      </c>
      <c r="K2873" s="5" t="s">
        <v>108</v>
      </c>
      <c r="L2873" s="5" t="s">
        <v>16218</v>
      </c>
      <c r="M2873" s="5" t="s">
        <v>45</v>
      </c>
      <c r="N2873" s="5" t="s">
        <v>80</v>
      </c>
      <c r="O2873" s="5" t="s">
        <v>46</v>
      </c>
      <c r="P2873" s="7" t="s">
        <v>47</v>
      </c>
      <c r="Q2873" s="7" t="s">
        <v>210</v>
      </c>
      <c r="R2873" s="7" t="s">
        <v>148</v>
      </c>
      <c r="S2873" s="5">
        <v>0</v>
      </c>
      <c r="T2873" s="36">
        <v>0</v>
      </c>
      <c r="U2873" s="5">
        <v>0</v>
      </c>
      <c r="V2873" s="36">
        <v>0</v>
      </c>
      <c r="W2873" s="5">
        <v>0</v>
      </c>
      <c r="X2873" s="5">
        <v>0</v>
      </c>
      <c r="Y2873" s="5">
        <v>0</v>
      </c>
      <c r="Z2873" s="36">
        <v>0</v>
      </c>
      <c r="AA2873" s="5">
        <v>0</v>
      </c>
      <c r="AB2873" s="5">
        <v>0</v>
      </c>
      <c r="AC2873" s="5">
        <v>0</v>
      </c>
      <c r="AD2873" s="5">
        <v>0</v>
      </c>
      <c r="AE2873" s="7" t="s">
        <v>73</v>
      </c>
      <c r="AF2873" s="7"/>
      <c r="AG2873" s="7" t="s">
        <v>570</v>
      </c>
      <c r="AH2873" s="7">
        <v>43556</v>
      </c>
      <c r="AI2873" s="5">
        <v>1</v>
      </c>
      <c r="AJ2873" s="7" t="s">
        <v>16219</v>
      </c>
      <c r="AK2873" s="7" t="s">
        <v>50</v>
      </c>
    </row>
    <row r="2874" spans="1:37" customFormat="1" ht="36.75" customHeight="1" x14ac:dyDescent="0.35">
      <c r="A2874" s="5"/>
      <c r="B2874" s="5" t="s">
        <v>37</v>
      </c>
      <c r="C2874" s="73" t="str">
        <f t="shared" si="44"/>
        <v>Closed</v>
      </c>
      <c r="D2874" s="45" t="s">
        <v>16220</v>
      </c>
      <c r="E2874" s="54" t="s">
        <v>16221</v>
      </c>
      <c r="F2874" s="5" t="s">
        <v>358</v>
      </c>
      <c r="G2874" s="7">
        <f>DATE(2019,3,28)</f>
        <v>43552</v>
      </c>
      <c r="H2874" s="34">
        <v>1.776388888888889</v>
      </c>
      <c r="I2874" s="5" t="s">
        <v>179</v>
      </c>
      <c r="J2874" s="7" t="s">
        <v>16222</v>
      </c>
      <c r="K2874" s="5" t="s">
        <v>360</v>
      </c>
      <c r="L2874" s="5" t="s">
        <v>16223</v>
      </c>
      <c r="M2874" s="5" t="s">
        <v>45</v>
      </c>
      <c r="N2874" s="5" t="s">
        <v>80</v>
      </c>
      <c r="O2874" s="5" t="s">
        <v>46</v>
      </c>
      <c r="P2874" s="7" t="s">
        <v>146</v>
      </c>
      <c r="Q2874" s="7" t="s">
        <v>8450</v>
      </c>
      <c r="R2874" s="7" t="s">
        <v>360</v>
      </c>
      <c r="S2874" s="5">
        <v>0</v>
      </c>
      <c r="T2874" s="36">
        <v>0</v>
      </c>
      <c r="U2874" s="5">
        <v>0</v>
      </c>
      <c r="V2874" s="36">
        <v>0</v>
      </c>
      <c r="W2874" s="5">
        <v>0</v>
      </c>
      <c r="X2874" s="5">
        <v>0</v>
      </c>
      <c r="Y2874" s="5">
        <v>0</v>
      </c>
      <c r="Z2874" s="36">
        <v>0</v>
      </c>
      <c r="AA2874" s="5">
        <v>0</v>
      </c>
      <c r="AB2874" s="5">
        <v>0</v>
      </c>
      <c r="AC2874" s="5">
        <v>0</v>
      </c>
      <c r="AD2874" s="5">
        <v>0</v>
      </c>
      <c r="AE2874" s="7" t="s">
        <v>73</v>
      </c>
      <c r="AF2874" s="7"/>
      <c r="AG2874" s="7" t="s">
        <v>114</v>
      </c>
      <c r="AH2874" s="7">
        <v>43552</v>
      </c>
      <c r="AI2874" s="5">
        <v>6</v>
      </c>
      <c r="AJ2874" s="7" t="s">
        <v>16224</v>
      </c>
      <c r="AK2874" s="7" t="s">
        <v>16225</v>
      </c>
    </row>
    <row r="2875" spans="1:37" customFormat="1" ht="36.75" customHeight="1" x14ac:dyDescent="0.35">
      <c r="A2875" s="5"/>
      <c r="B2875" s="5" t="s">
        <v>37</v>
      </c>
      <c r="C2875" s="73" t="str">
        <f t="shared" si="44"/>
        <v>Closed</v>
      </c>
      <c r="D2875" s="45" t="s">
        <v>16226</v>
      </c>
      <c r="E2875" s="54" t="s">
        <v>16227</v>
      </c>
      <c r="F2875" s="5" t="s">
        <v>404</v>
      </c>
      <c r="G2875" s="7">
        <f>DATE(2019,3,29)</f>
        <v>43553</v>
      </c>
      <c r="H2875" s="34">
        <v>1.4520833333333334</v>
      </c>
      <c r="I2875" s="5" t="s">
        <v>55</v>
      </c>
      <c r="J2875" s="7" t="s">
        <v>16228</v>
      </c>
      <c r="K2875" s="5" t="s">
        <v>406</v>
      </c>
      <c r="L2875" s="5" t="s">
        <v>16229</v>
      </c>
      <c r="M2875" s="5" t="s">
        <v>45</v>
      </c>
      <c r="N2875" s="5" t="s">
        <v>80</v>
      </c>
      <c r="O2875" s="5" t="s">
        <v>59</v>
      </c>
      <c r="P2875" s="7" t="s">
        <v>362</v>
      </c>
      <c r="Q2875" s="7" t="s">
        <v>2562</v>
      </c>
      <c r="R2875" s="7" t="s">
        <v>3083</v>
      </c>
      <c r="S2875" s="5">
        <v>0</v>
      </c>
      <c r="T2875" s="36">
        <v>0</v>
      </c>
      <c r="U2875" s="5">
        <v>0</v>
      </c>
      <c r="V2875" s="36">
        <v>0</v>
      </c>
      <c r="W2875" s="5">
        <v>0</v>
      </c>
      <c r="X2875" s="5">
        <v>0</v>
      </c>
      <c r="Y2875" s="5">
        <v>0</v>
      </c>
      <c r="Z2875" s="36">
        <v>0</v>
      </c>
      <c r="AA2875" s="5">
        <v>0</v>
      </c>
      <c r="AB2875" s="5">
        <v>0</v>
      </c>
      <c r="AC2875" s="5">
        <v>0</v>
      </c>
      <c r="AD2875" s="5">
        <v>0</v>
      </c>
      <c r="AE2875" s="7" t="s">
        <v>73</v>
      </c>
      <c r="AF2875" s="7"/>
      <c r="AG2875" s="7" t="s">
        <v>333</v>
      </c>
      <c r="AH2875" s="7">
        <v>43553</v>
      </c>
      <c r="AI2875" s="5">
        <v>1</v>
      </c>
      <c r="AJ2875" s="7" t="s">
        <v>16230</v>
      </c>
      <c r="AK2875" s="7" t="s">
        <v>16231</v>
      </c>
    </row>
    <row r="2876" spans="1:37" customFormat="1" ht="36.75" customHeight="1" x14ac:dyDescent="0.35">
      <c r="A2876" s="5"/>
      <c r="B2876" s="5" t="s">
        <v>37</v>
      </c>
      <c r="C2876" s="73" t="str">
        <f t="shared" si="44"/>
        <v>Closed</v>
      </c>
      <c r="D2876" s="45" t="s">
        <v>16232</v>
      </c>
      <c r="E2876" s="54" t="s">
        <v>16233</v>
      </c>
      <c r="F2876" s="5" t="s">
        <v>404</v>
      </c>
      <c r="G2876" s="7">
        <f>DATE(2019,3,29)</f>
        <v>43553</v>
      </c>
      <c r="H2876" s="34">
        <v>1.7208333333333332</v>
      </c>
      <c r="I2876" s="5" t="s">
        <v>55</v>
      </c>
      <c r="J2876" s="7" t="s">
        <v>16234</v>
      </c>
      <c r="K2876" s="5" t="s">
        <v>406</v>
      </c>
      <c r="L2876" s="5" t="s">
        <v>15273</v>
      </c>
      <c r="M2876" s="5" t="s">
        <v>45</v>
      </c>
      <c r="N2876" s="5" t="s">
        <v>123</v>
      </c>
      <c r="O2876" s="5" t="s">
        <v>59</v>
      </c>
      <c r="P2876" s="7" t="s">
        <v>362</v>
      </c>
      <c r="Q2876" s="7" t="s">
        <v>4531</v>
      </c>
      <c r="R2876" s="7" t="s">
        <v>16235</v>
      </c>
      <c r="S2876" s="5">
        <v>0</v>
      </c>
      <c r="T2876" s="36">
        <v>0</v>
      </c>
      <c r="U2876" s="5">
        <v>0</v>
      </c>
      <c r="V2876" s="36">
        <v>0</v>
      </c>
      <c r="W2876" s="5">
        <v>0</v>
      </c>
      <c r="X2876" s="5">
        <v>0</v>
      </c>
      <c r="Y2876" s="5">
        <v>0</v>
      </c>
      <c r="Z2876" s="36">
        <v>0</v>
      </c>
      <c r="AA2876" s="5">
        <v>0</v>
      </c>
      <c r="AB2876" s="5">
        <v>0</v>
      </c>
      <c r="AC2876" s="5">
        <v>0</v>
      </c>
      <c r="AD2876" s="5">
        <v>0</v>
      </c>
      <c r="AE2876" s="7" t="s">
        <v>73</v>
      </c>
      <c r="AF2876" s="7"/>
      <c r="AG2876" s="7" t="s">
        <v>114</v>
      </c>
      <c r="AH2876" s="7">
        <v>43553</v>
      </c>
      <c r="AI2876" s="5">
        <v>1</v>
      </c>
      <c r="AJ2876" s="7" t="s">
        <v>16236</v>
      </c>
      <c r="AK2876" s="7" t="s">
        <v>16237</v>
      </c>
    </row>
    <row r="2877" spans="1:37" customFormat="1" ht="36.75" customHeight="1" x14ac:dyDescent="0.35">
      <c r="A2877" s="5"/>
      <c r="B2877" s="5" t="s">
        <v>37</v>
      </c>
      <c r="C2877" s="73" t="str">
        <f t="shared" si="44"/>
        <v>Closed</v>
      </c>
      <c r="D2877" s="45" t="s">
        <v>16238</v>
      </c>
      <c r="E2877" s="54" t="s">
        <v>16239</v>
      </c>
      <c r="F2877" s="5" t="s">
        <v>1553</v>
      </c>
      <c r="G2877" s="7">
        <f>DATE(2019,3,29)</f>
        <v>43553</v>
      </c>
      <c r="H2877" s="34">
        <v>1.2326388888888888</v>
      </c>
      <c r="I2877" s="5" t="s">
        <v>55</v>
      </c>
      <c r="J2877" s="7" t="s">
        <v>16240</v>
      </c>
      <c r="K2877" s="5" t="s">
        <v>1555</v>
      </c>
      <c r="L2877" s="5" t="s">
        <v>16241</v>
      </c>
      <c r="M2877" s="5" t="s">
        <v>45</v>
      </c>
      <c r="N2877" s="5" t="s">
        <v>123</v>
      </c>
      <c r="O2877" s="5" t="s">
        <v>59</v>
      </c>
      <c r="P2877" s="7" t="s">
        <v>6920</v>
      </c>
      <c r="Q2877" s="7" t="s">
        <v>2393</v>
      </c>
      <c r="R2877" s="7" t="s">
        <v>6413</v>
      </c>
      <c r="S2877" s="5">
        <v>0</v>
      </c>
      <c r="T2877" s="36">
        <v>0</v>
      </c>
      <c r="U2877" s="5">
        <v>0</v>
      </c>
      <c r="V2877" s="36">
        <v>0</v>
      </c>
      <c r="W2877" s="5">
        <v>0</v>
      </c>
      <c r="X2877" s="5">
        <v>0</v>
      </c>
      <c r="Y2877" s="5">
        <v>0</v>
      </c>
      <c r="Z2877" s="36">
        <v>0</v>
      </c>
      <c r="AA2877" s="5">
        <v>0</v>
      </c>
      <c r="AB2877" s="5">
        <v>0</v>
      </c>
      <c r="AC2877" s="5">
        <v>0</v>
      </c>
      <c r="AD2877" s="5">
        <v>0</v>
      </c>
      <c r="AE2877" s="7" t="s">
        <v>73</v>
      </c>
      <c r="AF2877" s="7"/>
      <c r="AG2877" s="7" t="s">
        <v>114</v>
      </c>
      <c r="AH2877" s="7">
        <v>43556</v>
      </c>
      <c r="AI2877" s="5">
        <v>8</v>
      </c>
      <c r="AJ2877" s="7" t="s">
        <v>16242</v>
      </c>
      <c r="AK2877" s="7" t="s">
        <v>16243</v>
      </c>
    </row>
    <row r="2878" spans="1:37" customFormat="1" ht="36.75" customHeight="1" x14ac:dyDescent="0.35">
      <c r="A2878" s="5"/>
      <c r="B2878" s="5" t="s">
        <v>37</v>
      </c>
      <c r="C2878" s="73" t="str">
        <f t="shared" si="44"/>
        <v>Closed</v>
      </c>
      <c r="D2878" s="45" t="s">
        <v>16244</v>
      </c>
      <c r="E2878" s="54" t="s">
        <v>16245</v>
      </c>
      <c r="F2878" s="5" t="s">
        <v>404</v>
      </c>
      <c r="G2878" s="7">
        <f>DATE(2019,4,1)</f>
        <v>43556</v>
      </c>
      <c r="H2878" s="34">
        <v>1.5708333333333333</v>
      </c>
      <c r="I2878" s="5" t="s">
        <v>179</v>
      </c>
      <c r="J2878" s="7" t="s">
        <v>16246</v>
      </c>
      <c r="K2878" s="5" t="s">
        <v>406</v>
      </c>
      <c r="L2878" s="5" t="s">
        <v>16247</v>
      </c>
      <c r="M2878" s="5" t="s">
        <v>236</v>
      </c>
      <c r="N2878" s="5" t="s">
        <v>80</v>
      </c>
      <c r="O2878" s="5" t="s">
        <v>46</v>
      </c>
      <c r="P2878" s="7" t="s">
        <v>16248</v>
      </c>
      <c r="Q2878" s="7" t="s">
        <v>16249</v>
      </c>
      <c r="R2878" s="7" t="s">
        <v>16249</v>
      </c>
      <c r="S2878" s="5">
        <v>0</v>
      </c>
      <c r="T2878" s="36">
        <v>0</v>
      </c>
      <c r="U2878" s="5">
        <v>0</v>
      </c>
      <c r="V2878" s="36">
        <v>0</v>
      </c>
      <c r="W2878" s="5">
        <v>0</v>
      </c>
      <c r="X2878" s="5">
        <v>0</v>
      </c>
      <c r="Y2878" s="5">
        <v>13</v>
      </c>
      <c r="Z2878" s="36">
        <v>2</v>
      </c>
      <c r="AA2878" s="5">
        <v>0</v>
      </c>
      <c r="AB2878" s="5">
        <v>0</v>
      </c>
      <c r="AC2878" s="5">
        <v>0</v>
      </c>
      <c r="AD2878" s="5">
        <v>15</v>
      </c>
      <c r="AE2878" s="7" t="s">
        <v>73</v>
      </c>
      <c r="AF2878" s="7" t="s">
        <v>16250</v>
      </c>
      <c r="AG2878" s="7" t="s">
        <v>16251</v>
      </c>
      <c r="AH2878" s="7">
        <v>43556</v>
      </c>
      <c r="AI2878" s="5">
        <v>1</v>
      </c>
      <c r="AJ2878" s="7" t="s">
        <v>16252</v>
      </c>
      <c r="AK2878" s="7" t="s">
        <v>16253</v>
      </c>
    </row>
    <row r="2879" spans="1:37" customFormat="1" ht="36.75" customHeight="1" x14ac:dyDescent="0.35">
      <c r="A2879" s="5"/>
      <c r="B2879" s="5" t="s">
        <v>37</v>
      </c>
      <c r="C2879" s="73" t="str">
        <f t="shared" si="44"/>
        <v>Closed</v>
      </c>
      <c r="D2879" s="45" t="s">
        <v>16254</v>
      </c>
      <c r="E2879" s="54" t="s">
        <v>16255</v>
      </c>
      <c r="F2879" s="5" t="s">
        <v>6434</v>
      </c>
      <c r="G2879" s="7">
        <f>DATE(2019,4,2)</f>
        <v>43557</v>
      </c>
      <c r="H2879" s="34">
        <v>1.8097222222222222</v>
      </c>
      <c r="I2879" s="5" t="s">
        <v>55</v>
      </c>
      <c r="J2879" s="7" t="s">
        <v>16256</v>
      </c>
      <c r="K2879" s="5" t="s">
        <v>565</v>
      </c>
      <c r="L2879" s="5" t="s">
        <v>16257</v>
      </c>
      <c r="M2879" s="5" t="s">
        <v>45</v>
      </c>
      <c r="N2879" s="5" t="s">
        <v>123</v>
      </c>
      <c r="O2879" s="5" t="s">
        <v>59</v>
      </c>
      <c r="P2879" s="7" t="s">
        <v>146</v>
      </c>
      <c r="Q2879" s="7" t="s">
        <v>4467</v>
      </c>
      <c r="R2879" s="7" t="s">
        <v>568</v>
      </c>
      <c r="S2879" s="5">
        <v>0</v>
      </c>
      <c r="T2879" s="36">
        <v>0</v>
      </c>
      <c r="U2879" s="5">
        <v>0</v>
      </c>
      <c r="V2879" s="36">
        <v>0</v>
      </c>
      <c r="W2879" s="5">
        <v>0</v>
      </c>
      <c r="X2879" s="5">
        <v>0</v>
      </c>
      <c r="Y2879" s="5">
        <v>0</v>
      </c>
      <c r="Z2879" s="36">
        <v>0</v>
      </c>
      <c r="AA2879" s="5">
        <v>0</v>
      </c>
      <c r="AB2879" s="5">
        <v>0</v>
      </c>
      <c r="AC2879" s="5">
        <v>0</v>
      </c>
      <c r="AD2879" s="5">
        <v>0</v>
      </c>
      <c r="AE2879" s="7" t="s">
        <v>73</v>
      </c>
      <c r="AF2879" s="7" t="s">
        <v>16258</v>
      </c>
      <c r="AG2879" s="7" t="s">
        <v>8837</v>
      </c>
      <c r="AH2879" s="7">
        <v>43560</v>
      </c>
      <c r="AI2879" s="5">
        <v>0</v>
      </c>
      <c r="AJ2879" s="7" t="s">
        <v>16259</v>
      </c>
      <c r="AK2879" s="7" t="s">
        <v>50</v>
      </c>
    </row>
    <row r="2880" spans="1:37" customFormat="1" ht="36.75" customHeight="1" x14ac:dyDescent="0.35">
      <c r="A2880" s="5"/>
      <c r="B2880" s="5" t="s">
        <v>37</v>
      </c>
      <c r="C2880" s="73" t="str">
        <f t="shared" si="44"/>
        <v>Closed</v>
      </c>
      <c r="D2880" s="45" t="s">
        <v>16260</v>
      </c>
      <c r="E2880" s="54" t="s">
        <v>16261</v>
      </c>
      <c r="F2880" s="5" t="s">
        <v>563</v>
      </c>
      <c r="G2880" s="7">
        <f>DATE(2019,4,5)</f>
        <v>43560</v>
      </c>
      <c r="H2880" s="34">
        <v>1.4791666666666667</v>
      </c>
      <c r="I2880" s="5" t="s">
        <v>179</v>
      </c>
      <c r="J2880" s="7" t="s">
        <v>16262</v>
      </c>
      <c r="K2880" s="5" t="s">
        <v>565</v>
      </c>
      <c r="L2880" s="5" t="s">
        <v>11903</v>
      </c>
      <c r="M2880" s="5" t="s">
        <v>45</v>
      </c>
      <c r="N2880" s="5" t="s">
        <v>123</v>
      </c>
      <c r="O2880" s="5" t="s">
        <v>59</v>
      </c>
      <c r="P2880" s="7" t="s">
        <v>60</v>
      </c>
      <c r="Q2880" s="7" t="s">
        <v>567</v>
      </c>
      <c r="R2880" s="7" t="s">
        <v>568</v>
      </c>
      <c r="S2880" s="5">
        <v>0</v>
      </c>
      <c r="T2880" s="36">
        <v>0</v>
      </c>
      <c r="U2880" s="5">
        <v>0</v>
      </c>
      <c r="V2880" s="36">
        <v>0</v>
      </c>
      <c r="W2880" s="5">
        <v>0</v>
      </c>
      <c r="X2880" s="5">
        <v>0</v>
      </c>
      <c r="Y2880" s="5">
        <v>0</v>
      </c>
      <c r="Z2880" s="36">
        <v>0</v>
      </c>
      <c r="AA2880" s="5">
        <v>0</v>
      </c>
      <c r="AB2880" s="5">
        <v>0</v>
      </c>
      <c r="AC2880" s="5">
        <v>0</v>
      </c>
      <c r="AD2880" s="5">
        <v>0</v>
      </c>
      <c r="AE2880" s="7" t="s">
        <v>375</v>
      </c>
      <c r="AF2880" s="7"/>
      <c r="AG2880" s="7" t="s">
        <v>570</v>
      </c>
      <c r="AH2880" s="7">
        <v>43563</v>
      </c>
      <c r="AI2880" s="5">
        <v>0</v>
      </c>
      <c r="AJ2880" s="7" t="s">
        <v>16263</v>
      </c>
      <c r="AK2880" s="7" t="s">
        <v>1215</v>
      </c>
    </row>
    <row r="2881" spans="1:37" customFormat="1" ht="36.75" customHeight="1" x14ac:dyDescent="0.35">
      <c r="A2881" s="5"/>
      <c r="B2881" s="5" t="s">
        <v>37</v>
      </c>
      <c r="C2881" s="73" t="str">
        <f t="shared" si="44"/>
        <v>Closed</v>
      </c>
      <c r="D2881" s="45" t="s">
        <v>16264</v>
      </c>
      <c r="E2881" s="54" t="s">
        <v>16265</v>
      </c>
      <c r="F2881" s="5" t="s">
        <v>1553</v>
      </c>
      <c r="G2881" s="7">
        <f>DATE(2019,4,6)</f>
        <v>43561</v>
      </c>
      <c r="H2881" s="34">
        <v>1.5131944444444443</v>
      </c>
      <c r="I2881" s="5" t="s">
        <v>106</v>
      </c>
      <c r="J2881" s="7" t="s">
        <v>16266</v>
      </c>
      <c r="K2881" s="5" t="s">
        <v>1555</v>
      </c>
      <c r="L2881" s="5" t="s">
        <v>16267</v>
      </c>
      <c r="M2881" s="5" t="s">
        <v>45</v>
      </c>
      <c r="N2881" s="5" t="s">
        <v>80</v>
      </c>
      <c r="O2881" s="5" t="s">
        <v>59</v>
      </c>
      <c r="P2881" s="7" t="s">
        <v>146</v>
      </c>
      <c r="Q2881" s="7" t="s">
        <v>15978</v>
      </c>
      <c r="R2881" s="7" t="s">
        <v>2541</v>
      </c>
      <c r="S2881" s="5">
        <v>0</v>
      </c>
      <c r="T2881" s="36">
        <v>0</v>
      </c>
      <c r="U2881" s="5">
        <v>0</v>
      </c>
      <c r="V2881" s="36">
        <v>0</v>
      </c>
      <c r="W2881" s="5">
        <v>0</v>
      </c>
      <c r="X2881" s="5">
        <v>0</v>
      </c>
      <c r="Y2881" s="5">
        <v>0</v>
      </c>
      <c r="Z2881" s="36">
        <v>0</v>
      </c>
      <c r="AA2881" s="5">
        <v>0</v>
      </c>
      <c r="AB2881" s="5">
        <v>0</v>
      </c>
      <c r="AC2881" s="5">
        <v>0</v>
      </c>
      <c r="AD2881" s="5">
        <v>0</v>
      </c>
      <c r="AE2881" s="7" t="s">
        <v>73</v>
      </c>
      <c r="AF2881" s="7"/>
      <c r="AG2881" s="7" t="s">
        <v>114</v>
      </c>
      <c r="AH2881" s="7">
        <v>43563</v>
      </c>
      <c r="AI2881" s="5">
        <v>2</v>
      </c>
      <c r="AJ2881" s="7" t="s">
        <v>16268</v>
      </c>
      <c r="AK2881" s="7" t="s">
        <v>16269</v>
      </c>
    </row>
    <row r="2882" spans="1:37" ht="36.75" customHeight="1" x14ac:dyDescent="0.35">
      <c r="A2882" s="5"/>
      <c r="B2882" s="5" t="s">
        <v>37</v>
      </c>
      <c r="C2882" s="73" t="str">
        <f t="shared" ref="C2882:C2945" si="45">IF(B2882="Notification","Open",IF(B2882="Interim Statement","In progress","Closed"))</f>
        <v>Closed</v>
      </c>
      <c r="D2882" s="45" t="s">
        <v>16270</v>
      </c>
      <c r="E2882" s="54" t="s">
        <v>16271</v>
      </c>
      <c r="F2882" s="5" t="s">
        <v>2581</v>
      </c>
      <c r="G2882" s="7">
        <f>DATE(2019,4,9)</f>
        <v>43564</v>
      </c>
      <c r="H2882" s="34">
        <v>1.7916666666666665</v>
      </c>
      <c r="I2882" s="5" t="s">
        <v>106</v>
      </c>
      <c r="J2882" s="7" t="s">
        <v>16272</v>
      </c>
      <c r="K2882" s="5" t="s">
        <v>2583</v>
      </c>
      <c r="L2882" s="5" t="s">
        <v>16273</v>
      </c>
      <c r="M2882" s="5" t="s">
        <v>45</v>
      </c>
      <c r="N2882" s="5" t="s">
        <v>80</v>
      </c>
      <c r="O2882" s="5" t="s">
        <v>46</v>
      </c>
      <c r="P2882" s="7" t="s">
        <v>443</v>
      </c>
      <c r="Q2882" s="7" t="s">
        <v>6321</v>
      </c>
      <c r="R2882" s="7" t="s">
        <v>2586</v>
      </c>
      <c r="S2882" s="5">
        <v>0</v>
      </c>
      <c r="T2882" s="36">
        <v>0</v>
      </c>
      <c r="U2882" s="5">
        <v>0</v>
      </c>
      <c r="V2882" s="36">
        <v>0</v>
      </c>
      <c r="W2882" s="5">
        <v>0</v>
      </c>
      <c r="X2882" s="5">
        <v>0</v>
      </c>
      <c r="Y2882" s="5">
        <v>0</v>
      </c>
      <c r="Z2882" s="36">
        <v>0</v>
      </c>
      <c r="AA2882" s="5">
        <v>0</v>
      </c>
      <c r="AB2882" s="5">
        <v>0</v>
      </c>
      <c r="AC2882" s="5">
        <v>0</v>
      </c>
      <c r="AD2882" s="5">
        <v>0</v>
      </c>
      <c r="AE2882" s="7" t="s">
        <v>73</v>
      </c>
      <c r="AF2882" s="7"/>
      <c r="AG2882" s="7" t="s">
        <v>114</v>
      </c>
      <c r="AH2882" s="7">
        <v>43565</v>
      </c>
      <c r="AI2882" s="5">
        <v>4</v>
      </c>
      <c r="AJ2882" s="7" t="s">
        <v>16274</v>
      </c>
      <c r="AK2882" s="7" t="s">
        <v>16275</v>
      </c>
    </row>
    <row r="2883" spans="1:37" ht="36.75" customHeight="1" x14ac:dyDescent="0.35">
      <c r="A2883" s="5"/>
      <c r="B2883" s="5" t="s">
        <v>37</v>
      </c>
      <c r="C2883" s="73" t="str">
        <f t="shared" si="45"/>
        <v>Closed</v>
      </c>
      <c r="D2883" s="45" t="s">
        <v>16276</v>
      </c>
      <c r="E2883" s="54" t="s">
        <v>16277</v>
      </c>
      <c r="F2883" s="5" t="s">
        <v>16278</v>
      </c>
      <c r="G2883" s="7">
        <f>DATE(2019,4,11)</f>
        <v>43566</v>
      </c>
      <c r="H2883" s="34">
        <v>1.8854166666666665</v>
      </c>
      <c r="I2883" s="5" t="s">
        <v>97</v>
      </c>
      <c r="J2883" s="7" t="s">
        <v>16279</v>
      </c>
      <c r="K2883" s="5" t="s">
        <v>99</v>
      </c>
      <c r="L2883" s="5" t="s">
        <v>16280</v>
      </c>
      <c r="M2883" s="5" t="s">
        <v>45</v>
      </c>
      <c r="N2883" s="5" t="s">
        <v>123</v>
      </c>
      <c r="O2883" s="5" t="s">
        <v>46</v>
      </c>
      <c r="P2883" s="7" t="s">
        <v>146</v>
      </c>
      <c r="Q2883" s="7" t="s">
        <v>16281</v>
      </c>
      <c r="R2883" s="7" t="s">
        <v>16282</v>
      </c>
      <c r="S2883" s="5">
        <v>0</v>
      </c>
      <c r="T2883" s="36">
        <v>0</v>
      </c>
      <c r="U2883" s="5">
        <v>0</v>
      </c>
      <c r="V2883" s="36">
        <v>0</v>
      </c>
      <c r="W2883" s="5">
        <v>0</v>
      </c>
      <c r="X2883" s="5">
        <v>0</v>
      </c>
      <c r="Y2883" s="5">
        <v>0</v>
      </c>
      <c r="Z2883" s="36">
        <v>0</v>
      </c>
      <c r="AA2883" s="5">
        <v>2</v>
      </c>
      <c r="AB2883" s="5">
        <v>0</v>
      </c>
      <c r="AC2883" s="5">
        <v>0</v>
      </c>
      <c r="AD2883" s="5">
        <v>2</v>
      </c>
      <c r="AE2883" s="7" t="s">
        <v>73</v>
      </c>
      <c r="AF2883" s="7" t="s">
        <v>16283</v>
      </c>
      <c r="AG2883" s="7" t="s">
        <v>8837</v>
      </c>
      <c r="AH2883" s="7">
        <v>43574</v>
      </c>
      <c r="AI2883" s="5">
        <v>0</v>
      </c>
      <c r="AJ2883" s="7" t="s">
        <v>16284</v>
      </c>
      <c r="AK2883" s="7" t="s">
        <v>10534</v>
      </c>
    </row>
    <row r="2884" spans="1:37" ht="36.75" customHeight="1" x14ac:dyDescent="0.35">
      <c r="A2884" s="5"/>
      <c r="B2884" s="5" t="s">
        <v>37</v>
      </c>
      <c r="C2884" s="73" t="str">
        <f t="shared" si="45"/>
        <v>Closed</v>
      </c>
      <c r="D2884" s="45" t="s">
        <v>16285</v>
      </c>
      <c r="E2884" s="54" t="s">
        <v>16286</v>
      </c>
      <c r="F2884" s="5" t="s">
        <v>6434</v>
      </c>
      <c r="G2884" s="7">
        <f>DATE(2019,4,12)</f>
        <v>43567</v>
      </c>
      <c r="H2884" s="34">
        <v>1.3597222222222223</v>
      </c>
      <c r="I2884" s="5" t="s">
        <v>55</v>
      </c>
      <c r="J2884" s="7" t="s">
        <v>16287</v>
      </c>
      <c r="K2884" s="5" t="s">
        <v>565</v>
      </c>
      <c r="L2884" s="5" t="s">
        <v>16288</v>
      </c>
      <c r="M2884" s="5" t="s">
        <v>45</v>
      </c>
      <c r="N2884" s="5" t="s">
        <v>123</v>
      </c>
      <c r="O2884" s="5" t="s">
        <v>59</v>
      </c>
      <c r="P2884" s="7" t="s">
        <v>146</v>
      </c>
      <c r="Q2884" s="7" t="s">
        <v>12005</v>
      </c>
      <c r="R2884" s="7" t="s">
        <v>568</v>
      </c>
      <c r="S2884" s="5">
        <v>0</v>
      </c>
      <c r="T2884" s="36">
        <v>0</v>
      </c>
      <c r="U2884" s="5">
        <v>0</v>
      </c>
      <c r="V2884" s="36">
        <v>0</v>
      </c>
      <c r="W2884" s="5">
        <v>0</v>
      </c>
      <c r="X2884" s="5">
        <v>0</v>
      </c>
      <c r="Y2884" s="5">
        <v>0</v>
      </c>
      <c r="Z2884" s="36">
        <v>0</v>
      </c>
      <c r="AA2884" s="5">
        <v>0</v>
      </c>
      <c r="AB2884" s="5">
        <v>0</v>
      </c>
      <c r="AC2884" s="5">
        <v>0</v>
      </c>
      <c r="AD2884" s="5">
        <v>0</v>
      </c>
      <c r="AE2884" s="7" t="s">
        <v>73</v>
      </c>
      <c r="AF2884" s="7" t="s">
        <v>16289</v>
      </c>
      <c r="AG2884" s="7" t="s">
        <v>8837</v>
      </c>
      <c r="AH2884" s="7">
        <v>43570</v>
      </c>
      <c r="AI2884" s="5">
        <v>0</v>
      </c>
      <c r="AJ2884" s="7" t="s">
        <v>16290</v>
      </c>
      <c r="AK2884" s="7" t="s">
        <v>50</v>
      </c>
    </row>
    <row r="2885" spans="1:37" ht="36.75" customHeight="1" x14ac:dyDescent="0.35">
      <c r="A2885" s="5"/>
      <c r="B2885" s="5" t="s">
        <v>37</v>
      </c>
      <c r="C2885" s="73" t="str">
        <f t="shared" si="45"/>
        <v>Closed</v>
      </c>
      <c r="D2885" s="45" t="s">
        <v>16291</v>
      </c>
      <c r="E2885" s="54" t="s">
        <v>16292</v>
      </c>
      <c r="F2885" s="5" t="s">
        <v>404</v>
      </c>
      <c r="G2885" s="7">
        <f>DATE(2019,4,13)</f>
        <v>43568</v>
      </c>
      <c r="H2885" s="34">
        <v>1.2340277777777777</v>
      </c>
      <c r="I2885" s="5" t="s">
        <v>179</v>
      </c>
      <c r="J2885" s="7" t="s">
        <v>16293</v>
      </c>
      <c r="K2885" s="5" t="s">
        <v>406</v>
      </c>
      <c r="L2885" s="5" t="s">
        <v>16294</v>
      </c>
      <c r="M2885" s="5" t="s">
        <v>45</v>
      </c>
      <c r="N2885" s="5" t="s">
        <v>123</v>
      </c>
      <c r="O2885" s="5" t="s">
        <v>6854</v>
      </c>
      <c r="P2885" s="7" t="s">
        <v>15593</v>
      </c>
      <c r="Q2885" s="7" t="s">
        <v>2562</v>
      </c>
      <c r="R2885" s="7" t="s">
        <v>16295</v>
      </c>
      <c r="S2885" s="5">
        <v>0</v>
      </c>
      <c r="T2885" s="36">
        <v>0</v>
      </c>
      <c r="U2885" s="5">
        <v>0</v>
      </c>
      <c r="V2885" s="36">
        <v>0</v>
      </c>
      <c r="W2885" s="5">
        <v>0</v>
      </c>
      <c r="X2885" s="5">
        <v>0</v>
      </c>
      <c r="Y2885" s="5">
        <v>0</v>
      </c>
      <c r="Z2885" s="36">
        <v>0</v>
      </c>
      <c r="AA2885" s="5">
        <v>0</v>
      </c>
      <c r="AB2885" s="5">
        <v>0</v>
      </c>
      <c r="AC2885" s="5">
        <v>0</v>
      </c>
      <c r="AD2885" s="5">
        <v>0</v>
      </c>
      <c r="AE2885" s="7" t="s">
        <v>375</v>
      </c>
      <c r="AF2885" s="7"/>
      <c r="AG2885" s="7" t="s">
        <v>114</v>
      </c>
      <c r="AH2885" s="7">
        <v>43568</v>
      </c>
      <c r="AI2885" s="5">
        <v>0</v>
      </c>
      <c r="AJ2885" s="7" t="s">
        <v>16296</v>
      </c>
      <c r="AK2885" s="7" t="s">
        <v>16297</v>
      </c>
    </row>
    <row r="2886" spans="1:37" ht="36.75" customHeight="1" x14ac:dyDescent="0.35">
      <c r="A2886" s="5"/>
      <c r="B2886" s="5" t="s">
        <v>37</v>
      </c>
      <c r="C2886" s="73" t="str">
        <f t="shared" si="45"/>
        <v>Closed</v>
      </c>
      <c r="D2886" s="45" t="s">
        <v>16298</v>
      </c>
      <c r="E2886" s="54" t="s">
        <v>16299</v>
      </c>
      <c r="F2886" s="5" t="s">
        <v>563</v>
      </c>
      <c r="G2886" s="7">
        <f>DATE(2019,4,13)</f>
        <v>43568</v>
      </c>
      <c r="H2886" s="34">
        <v>1.557638888888889</v>
      </c>
      <c r="I2886" s="5" t="s">
        <v>179</v>
      </c>
      <c r="J2886" s="7" t="s">
        <v>16300</v>
      </c>
      <c r="K2886" s="5" t="s">
        <v>565</v>
      </c>
      <c r="L2886" s="5" t="s">
        <v>16301</v>
      </c>
      <c r="M2886" s="5" t="s">
        <v>45</v>
      </c>
      <c r="N2886" s="5" t="s">
        <v>123</v>
      </c>
      <c r="O2886" s="5" t="s">
        <v>59</v>
      </c>
      <c r="P2886" s="7" t="s">
        <v>146</v>
      </c>
      <c r="Q2886" s="7" t="s">
        <v>16302</v>
      </c>
      <c r="R2886" s="7" t="s">
        <v>568</v>
      </c>
      <c r="S2886" s="5">
        <v>0</v>
      </c>
      <c r="T2886" s="36">
        <v>0</v>
      </c>
      <c r="U2886" s="5">
        <v>0</v>
      </c>
      <c r="V2886" s="36">
        <v>0</v>
      </c>
      <c r="W2886" s="5">
        <v>0</v>
      </c>
      <c r="X2886" s="5">
        <v>0</v>
      </c>
      <c r="Y2886" s="5">
        <v>0</v>
      </c>
      <c r="Z2886" s="36">
        <v>0</v>
      </c>
      <c r="AA2886" s="5">
        <v>0</v>
      </c>
      <c r="AB2886" s="5">
        <v>0</v>
      </c>
      <c r="AC2886" s="5">
        <v>0</v>
      </c>
      <c r="AD2886" s="5">
        <v>0</v>
      </c>
      <c r="AE2886" s="7" t="s">
        <v>375</v>
      </c>
      <c r="AF2886" s="7"/>
      <c r="AG2886" s="7" t="s">
        <v>570</v>
      </c>
      <c r="AH2886" s="7">
        <v>43570</v>
      </c>
      <c r="AI2886" s="5">
        <v>0</v>
      </c>
      <c r="AJ2886" s="7" t="s">
        <v>16303</v>
      </c>
      <c r="AK2886" s="7" t="s">
        <v>1215</v>
      </c>
    </row>
    <row r="2887" spans="1:37" ht="36.75" customHeight="1" x14ac:dyDescent="0.35">
      <c r="A2887" s="5"/>
      <c r="B2887" s="5" t="s">
        <v>37</v>
      </c>
      <c r="C2887" s="73" t="str">
        <f t="shared" si="45"/>
        <v>Closed</v>
      </c>
      <c r="D2887" s="45" t="s">
        <v>16304</v>
      </c>
      <c r="E2887" s="54" t="s">
        <v>16305</v>
      </c>
      <c r="F2887" s="5" t="s">
        <v>214</v>
      </c>
      <c r="G2887" s="7">
        <f>DATE(2019,4,16)</f>
        <v>43571</v>
      </c>
      <c r="H2887" s="34">
        <v>1.3888888888888888</v>
      </c>
      <c r="I2887" s="5" t="s">
        <v>468</v>
      </c>
      <c r="J2887" s="7" t="s">
        <v>16306</v>
      </c>
      <c r="K2887" s="5" t="s">
        <v>216</v>
      </c>
      <c r="L2887" s="5" t="s">
        <v>16307</v>
      </c>
      <c r="M2887" s="5" t="s">
        <v>9897</v>
      </c>
      <c r="N2887" s="5" t="s">
        <v>123</v>
      </c>
      <c r="O2887" s="5" t="s">
        <v>46</v>
      </c>
      <c r="P2887" s="7" t="s">
        <v>7960</v>
      </c>
      <c r="Q2887" s="7" t="s">
        <v>2759</v>
      </c>
      <c r="R2887" s="7" t="s">
        <v>216</v>
      </c>
      <c r="S2887" s="5">
        <v>0</v>
      </c>
      <c r="T2887" s="36">
        <v>0</v>
      </c>
      <c r="U2887" s="5">
        <v>0</v>
      </c>
      <c r="V2887" s="36">
        <v>0</v>
      </c>
      <c r="W2887" s="5">
        <v>0</v>
      </c>
      <c r="X2887" s="5">
        <v>0</v>
      </c>
      <c r="Y2887" s="5">
        <v>0</v>
      </c>
      <c r="Z2887" s="36">
        <v>0</v>
      </c>
      <c r="AA2887" s="5">
        <v>0</v>
      </c>
      <c r="AB2887" s="5">
        <v>0</v>
      </c>
      <c r="AC2887" s="5">
        <v>0</v>
      </c>
      <c r="AD2887" s="5">
        <v>0</v>
      </c>
      <c r="AE2887" s="7" t="s">
        <v>73</v>
      </c>
      <c r="AF2887" s="7"/>
      <c r="AG2887" s="7" t="s">
        <v>114</v>
      </c>
      <c r="AH2887" s="7">
        <v>43584</v>
      </c>
      <c r="AI2887" s="5">
        <v>4</v>
      </c>
      <c r="AJ2887" s="7" t="s">
        <v>16308</v>
      </c>
      <c r="AK2887" s="7" t="s">
        <v>16309</v>
      </c>
    </row>
    <row r="2888" spans="1:37" ht="36.75" customHeight="1" x14ac:dyDescent="0.35">
      <c r="A2888" s="5"/>
      <c r="B2888" s="5" t="s">
        <v>37</v>
      </c>
      <c r="C2888" s="73" t="str">
        <f t="shared" si="45"/>
        <v>Closed</v>
      </c>
      <c r="D2888" s="45" t="s">
        <v>16310</v>
      </c>
      <c r="E2888" s="54" t="s">
        <v>16311</v>
      </c>
      <c r="F2888" s="5" t="s">
        <v>404</v>
      </c>
      <c r="G2888" s="7">
        <f>DATE(2019,4,19)</f>
        <v>43574</v>
      </c>
      <c r="H2888" s="34">
        <v>1.08125</v>
      </c>
      <c r="I2888" s="5" t="s">
        <v>259</v>
      </c>
      <c r="J2888" s="7" t="s">
        <v>16312</v>
      </c>
      <c r="K2888" s="5" t="s">
        <v>406</v>
      </c>
      <c r="L2888" s="5" t="s">
        <v>11613</v>
      </c>
      <c r="M2888" s="5" t="s">
        <v>45</v>
      </c>
      <c r="N2888" s="5" t="s">
        <v>123</v>
      </c>
      <c r="O2888" s="5" t="s">
        <v>59</v>
      </c>
      <c r="P2888" s="7" t="s">
        <v>8003</v>
      </c>
      <c r="Q2888" s="7" t="s">
        <v>16313</v>
      </c>
      <c r="R2888" s="7" t="s">
        <v>3083</v>
      </c>
      <c r="S2888" s="5">
        <v>1</v>
      </c>
      <c r="T2888" s="36">
        <v>0</v>
      </c>
      <c r="U2888" s="5">
        <v>0</v>
      </c>
      <c r="V2888" s="36">
        <v>0</v>
      </c>
      <c r="W2888" s="5">
        <v>0</v>
      </c>
      <c r="X2888" s="5">
        <v>1</v>
      </c>
      <c r="Y2888" s="5">
        <v>0</v>
      </c>
      <c r="Z2888" s="36">
        <v>0</v>
      </c>
      <c r="AA2888" s="5">
        <v>0</v>
      </c>
      <c r="AB2888" s="5">
        <v>0</v>
      </c>
      <c r="AC2888" s="5">
        <v>0</v>
      </c>
      <c r="AD2888" s="5">
        <v>0</v>
      </c>
      <c r="AE2888" s="7" t="s">
        <v>73</v>
      </c>
      <c r="AF2888" s="7"/>
      <c r="AG2888" s="7" t="s">
        <v>114</v>
      </c>
      <c r="AH2888" s="7">
        <v>43580</v>
      </c>
      <c r="AI2888" s="5">
        <v>0</v>
      </c>
      <c r="AJ2888" s="7" t="s">
        <v>16314</v>
      </c>
      <c r="AK2888" s="7" t="s">
        <v>16315</v>
      </c>
    </row>
    <row r="2889" spans="1:37" ht="36.75" customHeight="1" x14ac:dyDescent="0.35">
      <c r="A2889" s="5"/>
      <c r="B2889" s="5" t="s">
        <v>887</v>
      </c>
      <c r="C2889" s="73" t="str">
        <f t="shared" si="45"/>
        <v>Open</v>
      </c>
      <c r="D2889" s="45" t="s">
        <v>16316</v>
      </c>
      <c r="E2889" s="54" t="s">
        <v>16317</v>
      </c>
      <c r="F2889" s="5" t="s">
        <v>575</v>
      </c>
      <c r="G2889" s="7">
        <f>DATE(2019,4,19)</f>
        <v>43574</v>
      </c>
      <c r="H2889" s="34">
        <v>1.1708333333333334</v>
      </c>
      <c r="I2889" s="5" t="s">
        <v>468</v>
      </c>
      <c r="J2889" s="7" t="s">
        <v>16318</v>
      </c>
      <c r="K2889" s="5" t="s">
        <v>577</v>
      </c>
      <c r="L2889" s="5" t="s">
        <v>16319</v>
      </c>
      <c r="M2889" s="5" t="s">
        <v>45</v>
      </c>
      <c r="N2889" s="5" t="s">
        <v>123</v>
      </c>
      <c r="O2889" s="5" t="s">
        <v>59</v>
      </c>
      <c r="P2889" s="7" t="s">
        <v>67</v>
      </c>
      <c r="Q2889" s="7" t="s">
        <v>577</v>
      </c>
      <c r="R2889" s="7" t="s">
        <v>12052</v>
      </c>
      <c r="S2889" s="5">
        <v>0</v>
      </c>
      <c r="T2889" s="36">
        <v>0</v>
      </c>
      <c r="U2889" s="5">
        <v>0</v>
      </c>
      <c r="V2889" s="36">
        <v>0</v>
      </c>
      <c r="W2889" s="5">
        <v>0</v>
      </c>
      <c r="X2889" s="5">
        <v>0</v>
      </c>
      <c r="Y2889" s="5">
        <v>0</v>
      </c>
      <c r="Z2889" s="36">
        <v>0</v>
      </c>
      <c r="AA2889" s="5">
        <v>0</v>
      </c>
      <c r="AB2889" s="5">
        <v>0</v>
      </c>
      <c r="AC2889" s="5">
        <v>0</v>
      </c>
      <c r="AD2889" s="5">
        <v>0</v>
      </c>
      <c r="AE2889" s="7" t="s">
        <v>73</v>
      </c>
      <c r="AF2889" s="7"/>
      <c r="AG2889" s="7" t="s">
        <v>114</v>
      </c>
      <c r="AH2889" s="7">
        <v>43598</v>
      </c>
      <c r="AI2889" s="5">
        <v>0</v>
      </c>
      <c r="AJ2889" s="7" t="s">
        <v>50</v>
      </c>
      <c r="AK2889" s="7" t="s">
        <v>50</v>
      </c>
    </row>
    <row r="2890" spans="1:37" ht="36.75" customHeight="1" x14ac:dyDescent="0.35">
      <c r="A2890" s="23" t="s">
        <v>4890</v>
      </c>
      <c r="B2890" s="5" t="s">
        <v>37</v>
      </c>
      <c r="C2890" s="73" t="str">
        <f t="shared" si="45"/>
        <v>Closed</v>
      </c>
      <c r="D2890" s="45" t="s">
        <v>16320</v>
      </c>
      <c r="E2890" s="54" t="s">
        <v>16321</v>
      </c>
      <c r="F2890" s="5" t="s">
        <v>619</v>
      </c>
      <c r="G2890" s="7">
        <f>DATE(2019,4,20)</f>
        <v>43575</v>
      </c>
      <c r="H2890" s="34">
        <v>1.838888888888889</v>
      </c>
      <c r="I2890" s="5" t="s">
        <v>2059</v>
      </c>
      <c r="J2890" s="7" t="s">
        <v>16322</v>
      </c>
      <c r="K2890" s="5" t="s">
        <v>621</v>
      </c>
      <c r="L2890" s="5" t="s">
        <v>16323</v>
      </c>
      <c r="M2890" s="5" t="s">
        <v>45</v>
      </c>
      <c r="N2890" s="5" t="s">
        <v>70</v>
      </c>
      <c r="O2890" s="5" t="s">
        <v>59</v>
      </c>
      <c r="P2890" s="7" t="s">
        <v>6881</v>
      </c>
      <c r="Q2890" s="7" t="s">
        <v>1167</v>
      </c>
      <c r="R2890" s="7" t="s">
        <v>624</v>
      </c>
      <c r="S2890" s="5">
        <v>0</v>
      </c>
      <c r="T2890" s="36">
        <v>0</v>
      </c>
      <c r="U2890" s="5">
        <v>0</v>
      </c>
      <c r="V2890" s="36">
        <v>0</v>
      </c>
      <c r="W2890" s="5">
        <v>0</v>
      </c>
      <c r="X2890" s="5">
        <v>0</v>
      </c>
      <c r="Y2890" s="5">
        <v>0</v>
      </c>
      <c r="Z2890" s="36">
        <v>0</v>
      </c>
      <c r="AA2890" s="5">
        <v>0</v>
      </c>
      <c r="AB2890" s="5">
        <v>0</v>
      </c>
      <c r="AC2890" s="5">
        <v>0</v>
      </c>
      <c r="AD2890" s="5">
        <v>0</v>
      </c>
      <c r="AE2890" s="7" t="s">
        <v>73</v>
      </c>
      <c r="AF2890" s="7"/>
      <c r="AG2890" s="7" t="s">
        <v>1664</v>
      </c>
      <c r="AH2890" s="7">
        <v>43942</v>
      </c>
      <c r="AI2890" s="5">
        <v>3</v>
      </c>
      <c r="AJ2890" s="7" t="s">
        <v>50</v>
      </c>
      <c r="AK2890" s="7" t="s">
        <v>50</v>
      </c>
    </row>
    <row r="2891" spans="1:37" ht="36.75" customHeight="1" x14ac:dyDescent="0.35">
      <c r="A2891" s="5"/>
      <c r="B2891" s="5" t="s">
        <v>37</v>
      </c>
      <c r="C2891" s="73" t="str">
        <f t="shared" si="45"/>
        <v>Closed</v>
      </c>
      <c r="D2891" s="45" t="s">
        <v>16324</v>
      </c>
      <c r="E2891" s="54" t="s">
        <v>16325</v>
      </c>
      <c r="F2891" s="5" t="s">
        <v>1553</v>
      </c>
      <c r="G2891" s="7">
        <f>DATE(2019,4,20)</f>
        <v>43575</v>
      </c>
      <c r="H2891" s="34">
        <v>1.1944444444444444</v>
      </c>
      <c r="I2891" s="5" t="s">
        <v>55</v>
      </c>
      <c r="J2891" s="7" t="s">
        <v>16326</v>
      </c>
      <c r="K2891" s="5" t="s">
        <v>1555</v>
      </c>
      <c r="L2891" s="5" t="s">
        <v>16327</v>
      </c>
      <c r="M2891" s="5" t="s">
        <v>45</v>
      </c>
      <c r="N2891" s="5" t="s">
        <v>80</v>
      </c>
      <c r="O2891" s="5" t="s">
        <v>46</v>
      </c>
      <c r="P2891" s="7" t="s">
        <v>60</v>
      </c>
      <c r="Q2891" s="7" t="s">
        <v>6072</v>
      </c>
      <c r="R2891" s="7" t="s">
        <v>4899</v>
      </c>
      <c r="S2891" s="5">
        <v>0</v>
      </c>
      <c r="T2891" s="36">
        <v>0</v>
      </c>
      <c r="U2891" s="5">
        <v>0</v>
      </c>
      <c r="V2891" s="36">
        <v>0</v>
      </c>
      <c r="W2891" s="5">
        <v>0</v>
      </c>
      <c r="X2891" s="5">
        <v>0</v>
      </c>
      <c r="Y2891" s="5">
        <v>0</v>
      </c>
      <c r="Z2891" s="36">
        <v>0</v>
      </c>
      <c r="AA2891" s="5">
        <v>0</v>
      </c>
      <c r="AB2891" s="5">
        <v>0</v>
      </c>
      <c r="AC2891" s="5">
        <v>0</v>
      </c>
      <c r="AD2891" s="5">
        <v>0</v>
      </c>
      <c r="AE2891" s="7" t="s">
        <v>73</v>
      </c>
      <c r="AF2891" s="7"/>
      <c r="AG2891" s="7" t="s">
        <v>114</v>
      </c>
      <c r="AH2891" s="7">
        <v>43577</v>
      </c>
      <c r="AI2891" s="5">
        <v>1</v>
      </c>
      <c r="AJ2891" s="7" t="s">
        <v>16328</v>
      </c>
      <c r="AK2891" s="7" t="s">
        <v>16329</v>
      </c>
    </row>
    <row r="2892" spans="1:37" ht="36.75" customHeight="1" x14ac:dyDescent="0.35">
      <c r="A2892" s="5"/>
      <c r="B2892" s="5" t="s">
        <v>37</v>
      </c>
      <c r="C2892" s="73" t="str">
        <f t="shared" si="45"/>
        <v>Closed</v>
      </c>
      <c r="D2892" s="45" t="s">
        <v>16330</v>
      </c>
      <c r="E2892" s="54" t="s">
        <v>16331</v>
      </c>
      <c r="F2892" s="5" t="s">
        <v>214</v>
      </c>
      <c r="G2892" s="7">
        <f>DATE(2019,4,20)</f>
        <v>43575</v>
      </c>
      <c r="H2892" s="34">
        <v>1.7979166666666666</v>
      </c>
      <c r="I2892" s="5" t="s">
        <v>2059</v>
      </c>
      <c r="J2892" s="7" t="s">
        <v>16332</v>
      </c>
      <c r="K2892" s="5" t="s">
        <v>216</v>
      </c>
      <c r="L2892" s="5" t="s">
        <v>12637</v>
      </c>
      <c r="M2892" s="5" t="s">
        <v>45</v>
      </c>
      <c r="N2892" s="5" t="s">
        <v>70</v>
      </c>
      <c r="O2892" s="5" t="s">
        <v>46</v>
      </c>
      <c r="P2892" s="7" t="s">
        <v>282</v>
      </c>
      <c r="Q2892" s="7" t="s">
        <v>16333</v>
      </c>
      <c r="R2892" s="7" t="s">
        <v>216</v>
      </c>
      <c r="S2892" s="5">
        <v>0</v>
      </c>
      <c r="T2892" s="36">
        <v>0</v>
      </c>
      <c r="U2892" s="5">
        <v>0</v>
      </c>
      <c r="V2892" s="36">
        <v>0</v>
      </c>
      <c r="W2892" s="5">
        <v>0</v>
      </c>
      <c r="X2892" s="5">
        <v>0</v>
      </c>
      <c r="Y2892" s="5">
        <v>0</v>
      </c>
      <c r="Z2892" s="36">
        <v>0</v>
      </c>
      <c r="AA2892" s="5">
        <v>0</v>
      </c>
      <c r="AB2892" s="5">
        <v>0</v>
      </c>
      <c r="AC2892" s="5">
        <v>0</v>
      </c>
      <c r="AD2892" s="5">
        <v>0</v>
      </c>
      <c r="AE2892" s="7" t="s">
        <v>73</v>
      </c>
      <c r="AF2892" s="7"/>
      <c r="AG2892" s="7" t="s">
        <v>114</v>
      </c>
      <c r="AH2892" s="7">
        <v>43584</v>
      </c>
      <c r="AI2892" s="5">
        <v>4</v>
      </c>
      <c r="AJ2892" s="7" t="s">
        <v>16334</v>
      </c>
      <c r="AK2892" s="7" t="s">
        <v>16335</v>
      </c>
    </row>
    <row r="2893" spans="1:37" ht="36.75" customHeight="1" x14ac:dyDescent="0.35">
      <c r="A2893" s="5"/>
      <c r="B2893" s="5" t="s">
        <v>37</v>
      </c>
      <c r="C2893" s="73" t="str">
        <f t="shared" si="45"/>
        <v>Closed</v>
      </c>
      <c r="D2893" s="45" t="s">
        <v>16336</v>
      </c>
      <c r="E2893" s="54" t="s">
        <v>16337</v>
      </c>
      <c r="F2893" s="5" t="s">
        <v>1553</v>
      </c>
      <c r="G2893" s="7">
        <f>DATE(2019,4,21)</f>
        <v>43576</v>
      </c>
      <c r="H2893" s="34">
        <v>1.9097222222222223</v>
      </c>
      <c r="I2893" s="5" t="s">
        <v>55</v>
      </c>
      <c r="J2893" s="7" t="s">
        <v>16338</v>
      </c>
      <c r="K2893" s="5" t="s">
        <v>1555</v>
      </c>
      <c r="L2893" s="5" t="s">
        <v>16339</v>
      </c>
      <c r="M2893" s="5" t="s">
        <v>45</v>
      </c>
      <c r="N2893" s="5" t="s">
        <v>80</v>
      </c>
      <c r="O2893" s="5" t="s">
        <v>46</v>
      </c>
      <c r="P2893" s="7" t="s">
        <v>60</v>
      </c>
      <c r="Q2893" s="7" t="s">
        <v>15869</v>
      </c>
      <c r="R2893" s="7" t="s">
        <v>2541</v>
      </c>
      <c r="S2893" s="5">
        <v>0</v>
      </c>
      <c r="T2893" s="36">
        <v>0</v>
      </c>
      <c r="U2893" s="5">
        <v>0</v>
      </c>
      <c r="V2893" s="36">
        <v>0</v>
      </c>
      <c r="W2893" s="5">
        <v>0</v>
      </c>
      <c r="X2893" s="5">
        <v>0</v>
      </c>
      <c r="Y2893" s="5">
        <v>0</v>
      </c>
      <c r="Z2893" s="36">
        <v>0</v>
      </c>
      <c r="AA2893" s="5">
        <v>0</v>
      </c>
      <c r="AB2893" s="5">
        <v>0</v>
      </c>
      <c r="AC2893" s="5">
        <v>0</v>
      </c>
      <c r="AD2893" s="5">
        <v>0</v>
      </c>
      <c r="AE2893" s="7" t="s">
        <v>73</v>
      </c>
      <c r="AF2893" s="7"/>
      <c r="AG2893" s="7" t="s">
        <v>114</v>
      </c>
      <c r="AH2893" s="7">
        <v>43577</v>
      </c>
      <c r="AI2893" s="5">
        <v>2</v>
      </c>
      <c r="AJ2893" s="7" t="s">
        <v>16340</v>
      </c>
      <c r="AK2893" s="7" t="s">
        <v>16341</v>
      </c>
    </row>
    <row r="2894" spans="1:37" ht="36.75" customHeight="1" x14ac:dyDescent="0.35">
      <c r="A2894" s="5"/>
      <c r="B2894" s="5" t="s">
        <v>37</v>
      </c>
      <c r="C2894" s="73" t="str">
        <f t="shared" si="45"/>
        <v>Closed</v>
      </c>
      <c r="D2894" s="45" t="s">
        <v>16342</v>
      </c>
      <c r="E2894" s="54" t="s">
        <v>16343</v>
      </c>
      <c r="F2894" s="5" t="s">
        <v>9767</v>
      </c>
      <c r="G2894" s="7">
        <f>DATE(2019,5,5)</f>
        <v>43590</v>
      </c>
      <c r="H2894" s="34">
        <v>1.6631944444444444</v>
      </c>
      <c r="I2894" s="5" t="s">
        <v>5473</v>
      </c>
      <c r="J2894" s="7" t="s">
        <v>16344</v>
      </c>
      <c r="K2894" s="5" t="s">
        <v>9769</v>
      </c>
      <c r="L2894" s="5" t="s">
        <v>16345</v>
      </c>
      <c r="M2894" s="5" t="s">
        <v>45</v>
      </c>
      <c r="N2894" s="5" t="s">
        <v>80</v>
      </c>
      <c r="O2894" s="5" t="s">
        <v>59</v>
      </c>
      <c r="P2894" s="7" t="s">
        <v>60</v>
      </c>
      <c r="Q2894" s="7" t="s">
        <v>10235</v>
      </c>
      <c r="R2894" s="7" t="s">
        <v>9772</v>
      </c>
      <c r="S2894" s="5">
        <v>0</v>
      </c>
      <c r="T2894" s="36">
        <v>0</v>
      </c>
      <c r="U2894" s="5">
        <v>0</v>
      </c>
      <c r="V2894" s="36">
        <v>0</v>
      </c>
      <c r="W2894" s="5">
        <v>0</v>
      </c>
      <c r="X2894" s="5">
        <v>0</v>
      </c>
      <c r="Y2894" s="5">
        <v>0</v>
      </c>
      <c r="Z2894" s="36">
        <v>0</v>
      </c>
      <c r="AA2894" s="5">
        <v>0</v>
      </c>
      <c r="AB2894" s="5">
        <v>0</v>
      </c>
      <c r="AC2894" s="5">
        <v>0</v>
      </c>
      <c r="AD2894" s="5">
        <v>0</v>
      </c>
      <c r="AE2894" s="7" t="s">
        <v>73</v>
      </c>
      <c r="AF2894" s="7"/>
      <c r="AG2894" s="7" t="s">
        <v>570</v>
      </c>
      <c r="AH2894" s="7">
        <v>43598</v>
      </c>
      <c r="AI2894" s="5">
        <v>2</v>
      </c>
      <c r="AJ2894" s="7" t="s">
        <v>16346</v>
      </c>
      <c r="AK2894" s="7" t="s">
        <v>16347</v>
      </c>
    </row>
    <row r="2895" spans="1:37" ht="36.75" customHeight="1" x14ac:dyDescent="0.35">
      <c r="A2895" s="5"/>
      <c r="B2895" s="5" t="s">
        <v>37</v>
      </c>
      <c r="C2895" s="73" t="str">
        <f t="shared" si="45"/>
        <v>Closed</v>
      </c>
      <c r="D2895" s="45" t="s">
        <v>16348</v>
      </c>
      <c r="E2895" s="54" t="s">
        <v>16349</v>
      </c>
      <c r="F2895" s="5" t="s">
        <v>214</v>
      </c>
      <c r="G2895" s="7">
        <f>DATE(2019,5,6)</f>
        <v>43591</v>
      </c>
      <c r="H2895" s="34">
        <v>1.8958333333333335</v>
      </c>
      <c r="I2895" s="5" t="s">
        <v>55</v>
      </c>
      <c r="J2895" s="7" t="s">
        <v>16350</v>
      </c>
      <c r="K2895" s="5" t="s">
        <v>216</v>
      </c>
      <c r="L2895" s="5" t="s">
        <v>16351</v>
      </c>
      <c r="M2895" s="5" t="s">
        <v>45</v>
      </c>
      <c r="N2895" s="5" t="s">
        <v>123</v>
      </c>
      <c r="O2895" s="5" t="s">
        <v>46</v>
      </c>
      <c r="P2895" s="7" t="s">
        <v>60</v>
      </c>
      <c r="Q2895" s="7" t="s">
        <v>2739</v>
      </c>
      <c r="R2895" s="7" t="s">
        <v>216</v>
      </c>
      <c r="S2895" s="5">
        <v>0</v>
      </c>
      <c r="T2895" s="36">
        <v>0</v>
      </c>
      <c r="U2895" s="5">
        <v>0</v>
      </c>
      <c r="V2895" s="36">
        <v>0</v>
      </c>
      <c r="W2895" s="5">
        <v>0</v>
      </c>
      <c r="X2895" s="5">
        <v>0</v>
      </c>
      <c r="Y2895" s="5">
        <v>0</v>
      </c>
      <c r="Z2895" s="36">
        <v>0</v>
      </c>
      <c r="AA2895" s="5">
        <v>0</v>
      </c>
      <c r="AB2895" s="5">
        <v>0</v>
      </c>
      <c r="AC2895" s="5">
        <v>0</v>
      </c>
      <c r="AD2895" s="5">
        <v>0</v>
      </c>
      <c r="AE2895" s="7" t="s">
        <v>73</v>
      </c>
      <c r="AF2895" s="7"/>
      <c r="AG2895" s="7" t="s">
        <v>114</v>
      </c>
      <c r="AH2895" s="7">
        <v>43619</v>
      </c>
      <c r="AI2895" s="5">
        <v>4</v>
      </c>
      <c r="AJ2895" s="7" t="s">
        <v>16352</v>
      </c>
      <c r="AK2895" s="7" t="s">
        <v>16353</v>
      </c>
    </row>
    <row r="2896" spans="1:37" ht="36.75" customHeight="1" x14ac:dyDescent="0.35">
      <c r="A2896" s="5"/>
      <c r="B2896" s="5" t="s">
        <v>37</v>
      </c>
      <c r="C2896" s="73" t="str">
        <f t="shared" si="45"/>
        <v>Closed</v>
      </c>
      <c r="D2896" s="45" t="s">
        <v>16354</v>
      </c>
      <c r="E2896" s="54" t="s">
        <v>16355</v>
      </c>
      <c r="F2896" s="5" t="s">
        <v>96</v>
      </c>
      <c r="G2896" s="7">
        <f>DATE(2019,5,7)</f>
        <v>43592</v>
      </c>
      <c r="H2896" s="34">
        <v>1.6305555555555555</v>
      </c>
      <c r="I2896" s="5" t="s">
        <v>97</v>
      </c>
      <c r="J2896" s="7" t="s">
        <v>16356</v>
      </c>
      <c r="K2896" s="5" t="s">
        <v>99</v>
      </c>
      <c r="L2896" s="5" t="s">
        <v>16357</v>
      </c>
      <c r="M2896" s="5" t="s">
        <v>45</v>
      </c>
      <c r="N2896" s="5" t="s">
        <v>123</v>
      </c>
      <c r="O2896" s="5" t="s">
        <v>46</v>
      </c>
      <c r="P2896" s="7" t="s">
        <v>146</v>
      </c>
      <c r="Q2896" s="7" t="s">
        <v>101</v>
      </c>
      <c r="R2896" s="7" t="s">
        <v>102</v>
      </c>
      <c r="S2896" s="5">
        <v>0</v>
      </c>
      <c r="T2896" s="36">
        <v>0</v>
      </c>
      <c r="U2896" s="5">
        <v>0</v>
      </c>
      <c r="V2896" s="36">
        <v>0</v>
      </c>
      <c r="W2896" s="5">
        <v>0</v>
      </c>
      <c r="X2896" s="5">
        <v>0</v>
      </c>
      <c r="Y2896" s="5">
        <v>0</v>
      </c>
      <c r="Z2896" s="36">
        <v>0</v>
      </c>
      <c r="AA2896" s="5">
        <v>0</v>
      </c>
      <c r="AB2896" s="5">
        <v>0</v>
      </c>
      <c r="AC2896" s="5">
        <v>0</v>
      </c>
      <c r="AD2896" s="5">
        <v>0</v>
      </c>
      <c r="AE2896" s="7" t="s">
        <v>73</v>
      </c>
      <c r="AF2896" s="7"/>
      <c r="AG2896" s="7" t="s">
        <v>333</v>
      </c>
      <c r="AH2896" s="7">
        <v>43614</v>
      </c>
      <c r="AI2896" s="5">
        <v>4</v>
      </c>
      <c r="AJ2896" s="7" t="s">
        <v>16358</v>
      </c>
      <c r="AK2896" s="7" t="s">
        <v>16359</v>
      </c>
    </row>
    <row r="2897" spans="1:37" ht="36.75" customHeight="1" x14ac:dyDescent="0.35">
      <c r="A2897" s="5"/>
      <c r="B2897" s="5" t="s">
        <v>37</v>
      </c>
      <c r="C2897" s="73" t="str">
        <f t="shared" si="45"/>
        <v>Closed</v>
      </c>
      <c r="D2897" s="45" t="s">
        <v>16360</v>
      </c>
      <c r="E2897" s="54" t="s">
        <v>16361</v>
      </c>
      <c r="F2897" s="5" t="s">
        <v>1553</v>
      </c>
      <c r="G2897" s="7">
        <f>DATE(2019,5,7)</f>
        <v>43592</v>
      </c>
      <c r="H2897" s="34">
        <v>1.9833333333333334</v>
      </c>
      <c r="I2897" s="5" t="s">
        <v>106</v>
      </c>
      <c r="J2897" s="7" t="s">
        <v>16362</v>
      </c>
      <c r="K2897" s="5" t="s">
        <v>1555</v>
      </c>
      <c r="L2897" s="5" t="s">
        <v>16363</v>
      </c>
      <c r="M2897" s="5" t="s">
        <v>45</v>
      </c>
      <c r="N2897" s="5" t="s">
        <v>80</v>
      </c>
      <c r="O2897" s="5" t="s">
        <v>59</v>
      </c>
      <c r="P2897" s="7" t="s">
        <v>60</v>
      </c>
      <c r="Q2897" s="7" t="s">
        <v>2635</v>
      </c>
      <c r="R2897" s="7" t="s">
        <v>6413</v>
      </c>
      <c r="S2897" s="5">
        <v>0</v>
      </c>
      <c r="T2897" s="36">
        <v>0</v>
      </c>
      <c r="U2897" s="5">
        <v>0</v>
      </c>
      <c r="V2897" s="36">
        <v>0</v>
      </c>
      <c r="W2897" s="5">
        <v>0</v>
      </c>
      <c r="X2897" s="5">
        <v>0</v>
      </c>
      <c r="Y2897" s="5">
        <v>0</v>
      </c>
      <c r="Z2897" s="36">
        <v>0</v>
      </c>
      <c r="AA2897" s="5">
        <v>0</v>
      </c>
      <c r="AB2897" s="5">
        <v>0</v>
      </c>
      <c r="AC2897" s="5">
        <v>0</v>
      </c>
      <c r="AD2897" s="5">
        <v>0</v>
      </c>
      <c r="AE2897" s="7" t="s">
        <v>375</v>
      </c>
      <c r="AF2897" s="7"/>
      <c r="AG2897" s="7" t="s">
        <v>114</v>
      </c>
      <c r="AH2897" s="7">
        <v>43594</v>
      </c>
      <c r="AI2897" s="5">
        <v>4</v>
      </c>
      <c r="AJ2897" s="7" t="s">
        <v>16364</v>
      </c>
      <c r="AK2897" s="7" t="s">
        <v>16365</v>
      </c>
    </row>
    <row r="2898" spans="1:37" ht="36.75" customHeight="1" x14ac:dyDescent="0.35">
      <c r="A2898" s="5"/>
      <c r="B2898" s="5" t="s">
        <v>37</v>
      </c>
      <c r="C2898" s="73" t="str">
        <f t="shared" si="45"/>
        <v>Closed</v>
      </c>
      <c r="D2898" s="45" t="s">
        <v>16366</v>
      </c>
      <c r="E2898" s="54" t="s">
        <v>16367</v>
      </c>
      <c r="F2898" s="5" t="s">
        <v>105</v>
      </c>
      <c r="G2898" s="7">
        <f>DATE(2019,5,8)</f>
        <v>43593</v>
      </c>
      <c r="H2898" s="34">
        <v>1.7645833333333334</v>
      </c>
      <c r="I2898" s="5" t="s">
        <v>55</v>
      </c>
      <c r="J2898" s="7" t="s">
        <v>16368</v>
      </c>
      <c r="K2898" s="5" t="s">
        <v>108</v>
      </c>
      <c r="L2898" s="5" t="s">
        <v>16369</v>
      </c>
      <c r="M2898" s="5" t="s">
        <v>45</v>
      </c>
      <c r="N2898" s="5" t="s">
        <v>70</v>
      </c>
      <c r="O2898" s="5" t="s">
        <v>59</v>
      </c>
      <c r="P2898" s="7" t="s">
        <v>72</v>
      </c>
      <c r="Q2898" s="7" t="s">
        <v>210</v>
      </c>
      <c r="R2898" s="7" t="s">
        <v>148</v>
      </c>
      <c r="S2898" s="5">
        <v>0</v>
      </c>
      <c r="T2898" s="36">
        <v>0</v>
      </c>
      <c r="U2898" s="5">
        <v>0</v>
      </c>
      <c r="V2898" s="36">
        <v>0</v>
      </c>
      <c r="W2898" s="5">
        <v>0</v>
      </c>
      <c r="X2898" s="5">
        <v>0</v>
      </c>
      <c r="Y2898" s="5">
        <v>0</v>
      </c>
      <c r="Z2898" s="36">
        <v>0</v>
      </c>
      <c r="AA2898" s="5">
        <v>0</v>
      </c>
      <c r="AB2898" s="5">
        <v>0</v>
      </c>
      <c r="AC2898" s="5">
        <v>0</v>
      </c>
      <c r="AD2898" s="5">
        <v>0</v>
      </c>
      <c r="AE2898" s="7" t="s">
        <v>375</v>
      </c>
      <c r="AF2898" s="7"/>
      <c r="AG2898" s="7" t="s">
        <v>64</v>
      </c>
      <c r="AH2898" s="7">
        <v>43595</v>
      </c>
      <c r="AI2898" s="5">
        <v>1</v>
      </c>
      <c r="AJ2898" s="7" t="s">
        <v>16370</v>
      </c>
      <c r="AK2898" s="7" t="s">
        <v>16371</v>
      </c>
    </row>
    <row r="2899" spans="1:37" ht="36.75" customHeight="1" x14ac:dyDescent="0.35">
      <c r="A2899" s="5"/>
      <c r="B2899" s="5" t="s">
        <v>37</v>
      </c>
      <c r="C2899" s="73" t="str">
        <f t="shared" si="45"/>
        <v>Closed</v>
      </c>
      <c r="D2899" s="45" t="s">
        <v>16372</v>
      </c>
      <c r="E2899" s="54" t="s">
        <v>16373</v>
      </c>
      <c r="F2899" s="5" t="s">
        <v>1751</v>
      </c>
      <c r="G2899" s="7">
        <f>DATE(2019,5,9)</f>
        <v>43594</v>
      </c>
      <c r="H2899" s="34">
        <v>1.3645833333333333</v>
      </c>
      <c r="I2899" s="5" t="s">
        <v>55</v>
      </c>
      <c r="J2899" s="7" t="s">
        <v>16374</v>
      </c>
      <c r="K2899" s="5" t="s">
        <v>1753</v>
      </c>
      <c r="L2899" s="5" t="s">
        <v>16375</v>
      </c>
      <c r="M2899" s="5" t="s">
        <v>45</v>
      </c>
      <c r="N2899" s="5" t="s">
        <v>123</v>
      </c>
      <c r="O2899" s="5" t="s">
        <v>46</v>
      </c>
      <c r="P2899" s="7" t="s">
        <v>60</v>
      </c>
      <c r="Q2899" s="7" t="s">
        <v>8461</v>
      </c>
      <c r="R2899" s="7" t="s">
        <v>1756</v>
      </c>
      <c r="S2899" s="5">
        <v>0</v>
      </c>
      <c r="T2899" s="36">
        <v>0</v>
      </c>
      <c r="U2899" s="5">
        <v>0</v>
      </c>
      <c r="V2899" s="36">
        <v>0</v>
      </c>
      <c r="W2899" s="5">
        <v>0</v>
      </c>
      <c r="X2899" s="5">
        <v>0</v>
      </c>
      <c r="Y2899" s="5">
        <v>0</v>
      </c>
      <c r="Z2899" s="36">
        <v>0</v>
      </c>
      <c r="AA2899" s="5">
        <v>0</v>
      </c>
      <c r="AB2899" s="5">
        <v>0</v>
      </c>
      <c r="AC2899" s="5">
        <v>0</v>
      </c>
      <c r="AD2899" s="5">
        <v>0</v>
      </c>
      <c r="AE2899" s="7" t="s">
        <v>375</v>
      </c>
      <c r="AF2899" s="7"/>
      <c r="AG2899" s="7" t="s">
        <v>5536</v>
      </c>
      <c r="AH2899" s="7">
        <v>43594</v>
      </c>
      <c r="AI2899" s="5">
        <v>0</v>
      </c>
      <c r="AJ2899" s="7" t="s">
        <v>16376</v>
      </c>
      <c r="AK2899" s="7" t="s">
        <v>50</v>
      </c>
    </row>
    <row r="2900" spans="1:37" ht="36.75" customHeight="1" x14ac:dyDescent="0.35">
      <c r="A2900" s="5"/>
      <c r="B2900" s="5" t="s">
        <v>37</v>
      </c>
      <c r="C2900" s="73" t="str">
        <f t="shared" si="45"/>
        <v>Closed</v>
      </c>
      <c r="D2900" s="45" t="s">
        <v>16377</v>
      </c>
      <c r="E2900" s="54" t="s">
        <v>16378</v>
      </c>
      <c r="F2900" s="5" t="s">
        <v>816</v>
      </c>
      <c r="G2900" s="7">
        <f>DATE(2019,5,11)</f>
        <v>43596</v>
      </c>
      <c r="H2900" s="34">
        <v>1.4597222222222221</v>
      </c>
      <c r="I2900" s="5" t="s">
        <v>106</v>
      </c>
      <c r="J2900" s="7" t="s">
        <v>16379</v>
      </c>
      <c r="K2900" s="5" t="s">
        <v>818</v>
      </c>
      <c r="L2900" s="5" t="s">
        <v>16380</v>
      </c>
      <c r="M2900" s="5" t="s">
        <v>45</v>
      </c>
      <c r="N2900" s="5" t="s">
        <v>80</v>
      </c>
      <c r="O2900" s="5" t="s">
        <v>46</v>
      </c>
      <c r="P2900" s="7" t="s">
        <v>146</v>
      </c>
      <c r="Q2900" s="7" t="s">
        <v>2142</v>
      </c>
      <c r="R2900" s="7" t="s">
        <v>821</v>
      </c>
      <c r="S2900" s="5">
        <v>0</v>
      </c>
      <c r="T2900" s="36">
        <v>0</v>
      </c>
      <c r="U2900" s="5">
        <v>0</v>
      </c>
      <c r="V2900" s="36">
        <v>0</v>
      </c>
      <c r="W2900" s="5">
        <v>0</v>
      </c>
      <c r="X2900" s="5">
        <v>0</v>
      </c>
      <c r="Y2900" s="5">
        <v>0</v>
      </c>
      <c r="Z2900" s="36">
        <v>0</v>
      </c>
      <c r="AA2900" s="5">
        <v>0</v>
      </c>
      <c r="AB2900" s="5">
        <v>0</v>
      </c>
      <c r="AC2900" s="5">
        <v>0</v>
      </c>
      <c r="AD2900" s="5">
        <v>0</v>
      </c>
      <c r="AE2900" s="7" t="s">
        <v>73</v>
      </c>
      <c r="AF2900" s="7"/>
      <c r="AG2900" s="7" t="s">
        <v>333</v>
      </c>
      <c r="AH2900" s="7">
        <v>43598</v>
      </c>
      <c r="AI2900" s="5">
        <v>0</v>
      </c>
      <c r="AJ2900" s="7" t="s">
        <v>16381</v>
      </c>
      <c r="AK2900" s="7" t="s">
        <v>16382</v>
      </c>
    </row>
    <row r="2901" spans="1:37" ht="36.75" customHeight="1" x14ac:dyDescent="0.35">
      <c r="A2901" s="5"/>
      <c r="B2901" s="5" t="s">
        <v>37</v>
      </c>
      <c r="C2901" s="73" t="str">
        <f t="shared" si="45"/>
        <v>Closed</v>
      </c>
      <c r="D2901" s="45" t="s">
        <v>16383</v>
      </c>
      <c r="E2901" s="54" t="s">
        <v>16384</v>
      </c>
      <c r="F2901" s="5" t="s">
        <v>1553</v>
      </c>
      <c r="G2901" s="7">
        <f>DATE(2019,5,13)</f>
        <v>43598</v>
      </c>
      <c r="H2901" s="34">
        <v>1.1805555555555556</v>
      </c>
      <c r="I2901" s="5" t="s">
        <v>55</v>
      </c>
      <c r="J2901" s="7" t="s">
        <v>16385</v>
      </c>
      <c r="K2901" s="5" t="s">
        <v>1555</v>
      </c>
      <c r="L2901" s="5" t="s">
        <v>12206</v>
      </c>
      <c r="M2901" s="5" t="s">
        <v>45</v>
      </c>
      <c r="N2901" s="5" t="s">
        <v>123</v>
      </c>
      <c r="O2901" s="5" t="s">
        <v>59</v>
      </c>
      <c r="P2901" s="7" t="s">
        <v>60</v>
      </c>
      <c r="Q2901" s="7" t="s">
        <v>16386</v>
      </c>
      <c r="R2901" s="7" t="s">
        <v>6413</v>
      </c>
      <c r="S2901" s="5">
        <v>0</v>
      </c>
      <c r="T2901" s="36">
        <v>0</v>
      </c>
      <c r="U2901" s="5">
        <v>0</v>
      </c>
      <c r="V2901" s="36">
        <v>0</v>
      </c>
      <c r="W2901" s="5">
        <v>0</v>
      </c>
      <c r="X2901" s="5">
        <v>0</v>
      </c>
      <c r="Y2901" s="5">
        <v>0</v>
      </c>
      <c r="Z2901" s="36">
        <v>0</v>
      </c>
      <c r="AA2901" s="5">
        <v>0</v>
      </c>
      <c r="AB2901" s="5">
        <v>0</v>
      </c>
      <c r="AC2901" s="5">
        <v>0</v>
      </c>
      <c r="AD2901" s="5">
        <v>0</v>
      </c>
      <c r="AE2901" s="7" t="s">
        <v>73</v>
      </c>
      <c r="AF2901" s="7"/>
      <c r="AG2901" s="7" t="s">
        <v>114</v>
      </c>
      <c r="AH2901" s="7">
        <v>43599</v>
      </c>
      <c r="AI2901" s="5">
        <v>2</v>
      </c>
      <c r="AJ2901" s="7" t="s">
        <v>16387</v>
      </c>
      <c r="AK2901" s="7" t="s">
        <v>16388</v>
      </c>
    </row>
    <row r="2902" spans="1:37" ht="36.75" customHeight="1" x14ac:dyDescent="0.35">
      <c r="A2902" s="5"/>
      <c r="B2902" s="5" t="s">
        <v>37</v>
      </c>
      <c r="C2902" s="73" t="str">
        <f t="shared" si="45"/>
        <v>Closed</v>
      </c>
      <c r="D2902" s="45" t="s">
        <v>16389</v>
      </c>
      <c r="E2902" s="54" t="s">
        <v>16390</v>
      </c>
      <c r="F2902" s="5" t="s">
        <v>1553</v>
      </c>
      <c r="G2902" s="7">
        <f>DATE(2019,5,16)</f>
        <v>43601</v>
      </c>
      <c r="H2902" s="34">
        <v>1.7361111111111112</v>
      </c>
      <c r="I2902" s="5" t="s">
        <v>5473</v>
      </c>
      <c r="J2902" s="7" t="s">
        <v>16391</v>
      </c>
      <c r="K2902" s="5" t="s">
        <v>1555</v>
      </c>
      <c r="L2902" s="5" t="s">
        <v>16392</v>
      </c>
      <c r="M2902" s="5" t="s">
        <v>45</v>
      </c>
      <c r="N2902" s="5" t="s">
        <v>80</v>
      </c>
      <c r="O2902" s="5" t="s">
        <v>59</v>
      </c>
      <c r="P2902" s="7" t="s">
        <v>362</v>
      </c>
      <c r="Q2902" s="7" t="s">
        <v>6072</v>
      </c>
      <c r="R2902" s="7" t="s">
        <v>6413</v>
      </c>
      <c r="S2902" s="5">
        <v>0</v>
      </c>
      <c r="T2902" s="36">
        <v>0</v>
      </c>
      <c r="U2902" s="5">
        <v>0</v>
      </c>
      <c r="V2902" s="36">
        <v>0</v>
      </c>
      <c r="W2902" s="5">
        <v>0</v>
      </c>
      <c r="X2902" s="5">
        <v>0</v>
      </c>
      <c r="Y2902" s="5">
        <v>0</v>
      </c>
      <c r="Z2902" s="36">
        <v>0</v>
      </c>
      <c r="AA2902" s="5">
        <v>0</v>
      </c>
      <c r="AB2902" s="5">
        <v>0</v>
      </c>
      <c r="AC2902" s="5">
        <v>0</v>
      </c>
      <c r="AD2902" s="5">
        <v>0</v>
      </c>
      <c r="AE2902" s="7" t="s">
        <v>73</v>
      </c>
      <c r="AF2902" s="7"/>
      <c r="AG2902" s="7" t="s">
        <v>1489</v>
      </c>
      <c r="AH2902" s="7">
        <v>43602</v>
      </c>
      <c r="AI2902" s="5">
        <v>1</v>
      </c>
      <c r="AJ2902" s="7" t="s">
        <v>16393</v>
      </c>
      <c r="AK2902" s="7" t="s">
        <v>16394</v>
      </c>
    </row>
    <row r="2903" spans="1:37" ht="36.75" customHeight="1" x14ac:dyDescent="0.35">
      <c r="A2903" s="5"/>
      <c r="B2903" s="5" t="s">
        <v>37</v>
      </c>
      <c r="C2903" s="73" t="str">
        <f t="shared" si="45"/>
        <v>Closed</v>
      </c>
      <c r="D2903" s="91" t="s">
        <v>16395</v>
      </c>
      <c r="E2903" s="54" t="s">
        <v>16396</v>
      </c>
      <c r="F2903" s="5" t="s">
        <v>16397</v>
      </c>
      <c r="G2903" s="7">
        <f>DATE(2019,5,17)</f>
        <v>43602</v>
      </c>
      <c r="H2903" s="34">
        <v>1.8541666666666665</v>
      </c>
      <c r="I2903" s="5" t="s">
        <v>55</v>
      </c>
      <c r="J2903" s="7" t="s">
        <v>16398</v>
      </c>
      <c r="K2903" s="5" t="s">
        <v>406</v>
      </c>
      <c r="L2903" s="5" t="s">
        <v>16399</v>
      </c>
      <c r="M2903" s="5" t="s">
        <v>45</v>
      </c>
      <c r="N2903" s="5" t="s">
        <v>80</v>
      </c>
      <c r="O2903" s="5" t="s">
        <v>46</v>
      </c>
      <c r="P2903" s="7" t="s">
        <v>16400</v>
      </c>
      <c r="Q2903" s="7" t="s">
        <v>16401</v>
      </c>
      <c r="R2903" s="7" t="s">
        <v>16402</v>
      </c>
      <c r="S2903" s="5">
        <v>0</v>
      </c>
      <c r="T2903" s="36">
        <v>0</v>
      </c>
      <c r="U2903" s="5">
        <v>0</v>
      </c>
      <c r="V2903" s="36">
        <v>0</v>
      </c>
      <c r="W2903" s="5">
        <v>0</v>
      </c>
      <c r="X2903" s="5">
        <v>0</v>
      </c>
      <c r="Y2903" s="5">
        <v>0</v>
      </c>
      <c r="Z2903" s="36">
        <v>0</v>
      </c>
      <c r="AA2903" s="5">
        <v>0</v>
      </c>
      <c r="AB2903" s="5">
        <v>0</v>
      </c>
      <c r="AC2903" s="5">
        <v>0</v>
      </c>
      <c r="AD2903" s="5">
        <v>0</v>
      </c>
      <c r="AE2903" s="7" t="s">
        <v>16403</v>
      </c>
      <c r="AF2903" s="7" t="s">
        <v>16404</v>
      </c>
      <c r="AG2903" s="7" t="s">
        <v>16251</v>
      </c>
      <c r="AH2903" s="7">
        <v>43602</v>
      </c>
      <c r="AI2903" s="5">
        <v>0</v>
      </c>
      <c r="AJ2903" s="7" t="s">
        <v>16405</v>
      </c>
      <c r="AK2903" s="7" t="s">
        <v>860</v>
      </c>
    </row>
    <row r="2904" spans="1:37" ht="36.75" customHeight="1" x14ac:dyDescent="0.35">
      <c r="A2904" s="5"/>
      <c r="B2904" s="5" t="s">
        <v>37</v>
      </c>
      <c r="C2904" s="73" t="str">
        <f t="shared" si="45"/>
        <v>Closed</v>
      </c>
      <c r="D2904" s="45" t="s">
        <v>16406</v>
      </c>
      <c r="E2904" s="54" t="s">
        <v>16407</v>
      </c>
      <c r="F2904" s="5" t="s">
        <v>214</v>
      </c>
      <c r="G2904" s="7">
        <f>DATE(2019,5,17)</f>
        <v>43602</v>
      </c>
      <c r="H2904" s="34">
        <v>1.7215277777777778</v>
      </c>
      <c r="I2904" s="5" t="s">
        <v>2059</v>
      </c>
      <c r="J2904" s="7" t="s">
        <v>16408</v>
      </c>
      <c r="K2904" s="5" t="s">
        <v>216</v>
      </c>
      <c r="L2904" s="5" t="s">
        <v>16409</v>
      </c>
      <c r="M2904" s="5" t="s">
        <v>236</v>
      </c>
      <c r="N2904" s="5" t="s">
        <v>123</v>
      </c>
      <c r="O2904" s="5" t="s">
        <v>59</v>
      </c>
      <c r="P2904" s="7" t="s">
        <v>6531</v>
      </c>
      <c r="Q2904" s="7" t="s">
        <v>297</v>
      </c>
      <c r="R2904" s="7" t="s">
        <v>216</v>
      </c>
      <c r="S2904" s="5">
        <v>0</v>
      </c>
      <c r="T2904" s="36">
        <v>0</v>
      </c>
      <c r="U2904" s="5">
        <v>0</v>
      </c>
      <c r="V2904" s="36">
        <v>0</v>
      </c>
      <c r="W2904" s="5">
        <v>0</v>
      </c>
      <c r="X2904" s="5">
        <v>0</v>
      </c>
      <c r="Y2904" s="5">
        <v>0</v>
      </c>
      <c r="Z2904" s="36">
        <v>0</v>
      </c>
      <c r="AA2904" s="5">
        <v>0</v>
      </c>
      <c r="AB2904" s="5">
        <v>0</v>
      </c>
      <c r="AC2904" s="5">
        <v>0</v>
      </c>
      <c r="AD2904" s="5">
        <v>0</v>
      </c>
      <c r="AE2904" s="7" t="s">
        <v>73</v>
      </c>
      <c r="AF2904" s="7"/>
      <c r="AG2904" s="7" t="s">
        <v>114</v>
      </c>
      <c r="AH2904" s="7">
        <v>43619</v>
      </c>
      <c r="AI2904" s="5">
        <v>3</v>
      </c>
      <c r="AJ2904" s="7" t="s">
        <v>16410</v>
      </c>
      <c r="AK2904" s="7" t="s">
        <v>16411</v>
      </c>
    </row>
    <row r="2905" spans="1:37" ht="36.75" customHeight="1" x14ac:dyDescent="0.35">
      <c r="A2905" s="5"/>
      <c r="B2905" s="5" t="s">
        <v>37</v>
      </c>
      <c r="C2905" s="73" t="str">
        <f t="shared" si="45"/>
        <v>Closed</v>
      </c>
      <c r="D2905" s="45" t="s">
        <v>16412</v>
      </c>
      <c r="E2905" s="54" t="s">
        <v>16413</v>
      </c>
      <c r="F2905" s="5" t="s">
        <v>2316</v>
      </c>
      <c r="G2905" s="7">
        <f>DATE(2019,5,19)</f>
        <v>43604</v>
      </c>
      <c r="H2905" s="34">
        <v>1.6041666666666665</v>
      </c>
      <c r="I2905" s="5" t="s">
        <v>179</v>
      </c>
      <c r="J2905" s="7" t="s">
        <v>16414</v>
      </c>
      <c r="K2905" s="5" t="s">
        <v>2318</v>
      </c>
      <c r="L2905" s="5" t="s">
        <v>16415</v>
      </c>
      <c r="M2905" s="5" t="s">
        <v>45</v>
      </c>
      <c r="N2905" s="5" t="s">
        <v>123</v>
      </c>
      <c r="O2905" s="5" t="s">
        <v>59</v>
      </c>
      <c r="P2905" s="7" t="s">
        <v>60</v>
      </c>
      <c r="Q2905" s="7" t="s">
        <v>2955</v>
      </c>
      <c r="R2905" s="7" t="s">
        <v>2321</v>
      </c>
      <c r="S2905" s="5">
        <v>0</v>
      </c>
      <c r="T2905" s="36">
        <v>0</v>
      </c>
      <c r="U2905" s="5">
        <v>0</v>
      </c>
      <c r="V2905" s="36">
        <v>0</v>
      </c>
      <c r="W2905" s="5">
        <v>0</v>
      </c>
      <c r="X2905" s="5">
        <v>0</v>
      </c>
      <c r="Y2905" s="5">
        <v>0</v>
      </c>
      <c r="Z2905" s="36">
        <v>0</v>
      </c>
      <c r="AA2905" s="5">
        <v>0</v>
      </c>
      <c r="AB2905" s="5">
        <v>0</v>
      </c>
      <c r="AC2905" s="5">
        <v>0</v>
      </c>
      <c r="AD2905" s="5">
        <v>0</v>
      </c>
      <c r="AE2905" s="7" t="s">
        <v>73</v>
      </c>
      <c r="AF2905" s="7"/>
      <c r="AG2905" s="7" t="s">
        <v>570</v>
      </c>
      <c r="AH2905" s="7">
        <v>43606</v>
      </c>
      <c r="AI2905" s="5">
        <v>6</v>
      </c>
      <c r="AJ2905" s="7" t="s">
        <v>16416</v>
      </c>
      <c r="AK2905" s="7" t="s">
        <v>16417</v>
      </c>
    </row>
    <row r="2906" spans="1:37" ht="36.75" customHeight="1" x14ac:dyDescent="0.35">
      <c r="A2906" s="5"/>
      <c r="B2906" s="5" t="s">
        <v>37</v>
      </c>
      <c r="C2906" s="73" t="str">
        <f t="shared" si="45"/>
        <v>Closed</v>
      </c>
      <c r="D2906" s="45" t="s">
        <v>16418</v>
      </c>
      <c r="E2906" s="54" t="s">
        <v>16419</v>
      </c>
      <c r="F2906" s="5" t="s">
        <v>358</v>
      </c>
      <c r="G2906" s="7">
        <f>DATE(2019,5,24)</f>
        <v>43609</v>
      </c>
      <c r="H2906" s="34">
        <v>1.3819444444444444</v>
      </c>
      <c r="I2906" s="5" t="s">
        <v>2398</v>
      </c>
      <c r="J2906" s="7" t="s">
        <v>16420</v>
      </c>
      <c r="K2906" s="5" t="s">
        <v>360</v>
      </c>
      <c r="L2906" s="5" t="s">
        <v>16421</v>
      </c>
      <c r="M2906" s="5" t="s">
        <v>45</v>
      </c>
      <c r="N2906" s="5" t="s">
        <v>80</v>
      </c>
      <c r="O2906" s="5" t="s">
        <v>46</v>
      </c>
      <c r="P2906" s="7" t="s">
        <v>6881</v>
      </c>
      <c r="Q2906" s="7" t="s">
        <v>3173</v>
      </c>
      <c r="R2906" s="7" t="s">
        <v>363</v>
      </c>
      <c r="S2906" s="5">
        <v>0</v>
      </c>
      <c r="T2906" s="36">
        <v>0</v>
      </c>
      <c r="U2906" s="5">
        <v>0</v>
      </c>
      <c r="V2906" s="36">
        <v>0</v>
      </c>
      <c r="W2906" s="5">
        <v>0</v>
      </c>
      <c r="X2906" s="5">
        <v>0</v>
      </c>
      <c r="Y2906" s="5">
        <v>0</v>
      </c>
      <c r="Z2906" s="36">
        <v>0</v>
      </c>
      <c r="AA2906" s="5">
        <v>0</v>
      </c>
      <c r="AB2906" s="5">
        <v>0</v>
      </c>
      <c r="AC2906" s="5">
        <v>0</v>
      </c>
      <c r="AD2906" s="5">
        <v>0</v>
      </c>
      <c r="AE2906" s="7" t="s">
        <v>73</v>
      </c>
      <c r="AF2906" s="7"/>
      <c r="AG2906" s="7" t="s">
        <v>333</v>
      </c>
      <c r="AH2906" s="7">
        <v>43647</v>
      </c>
      <c r="AI2906" s="5">
        <v>1</v>
      </c>
      <c r="AJ2906" s="7" t="s">
        <v>16422</v>
      </c>
      <c r="AK2906" s="7" t="s">
        <v>16423</v>
      </c>
    </row>
    <row r="2907" spans="1:37" ht="36.75" customHeight="1" x14ac:dyDescent="0.35">
      <c r="A2907" s="5"/>
      <c r="B2907" s="5" t="s">
        <v>37</v>
      </c>
      <c r="C2907" s="73" t="str">
        <f t="shared" si="45"/>
        <v>Closed</v>
      </c>
      <c r="D2907" s="45" t="s">
        <v>16424</v>
      </c>
      <c r="E2907" s="54" t="s">
        <v>16425</v>
      </c>
      <c r="F2907" s="5" t="s">
        <v>1553</v>
      </c>
      <c r="G2907" s="7">
        <f>DATE(2019,5,26)</f>
        <v>43611</v>
      </c>
      <c r="H2907" s="34">
        <v>1.7381944444444444</v>
      </c>
      <c r="I2907" s="5" t="s">
        <v>55</v>
      </c>
      <c r="J2907" s="7" t="s">
        <v>16426</v>
      </c>
      <c r="K2907" s="5" t="s">
        <v>1555</v>
      </c>
      <c r="L2907" s="5" t="s">
        <v>13701</v>
      </c>
      <c r="M2907" s="5" t="s">
        <v>45</v>
      </c>
      <c r="N2907" s="5" t="s">
        <v>123</v>
      </c>
      <c r="O2907" s="5" t="s">
        <v>59</v>
      </c>
      <c r="P2907" s="7" t="s">
        <v>6920</v>
      </c>
      <c r="Q2907" s="7" t="s">
        <v>2393</v>
      </c>
      <c r="R2907" s="7" t="s">
        <v>6413</v>
      </c>
      <c r="S2907" s="5">
        <v>0</v>
      </c>
      <c r="T2907" s="36">
        <v>0</v>
      </c>
      <c r="U2907" s="5">
        <v>0</v>
      </c>
      <c r="V2907" s="36">
        <v>0</v>
      </c>
      <c r="W2907" s="5">
        <v>0</v>
      </c>
      <c r="X2907" s="5">
        <v>0</v>
      </c>
      <c r="Y2907" s="5">
        <v>0</v>
      </c>
      <c r="Z2907" s="36">
        <v>0</v>
      </c>
      <c r="AA2907" s="5">
        <v>0</v>
      </c>
      <c r="AB2907" s="5">
        <v>0</v>
      </c>
      <c r="AC2907" s="5">
        <v>0</v>
      </c>
      <c r="AD2907" s="5">
        <v>0</v>
      </c>
      <c r="AE2907" s="7" t="s">
        <v>73</v>
      </c>
      <c r="AF2907" s="7"/>
      <c r="AG2907" s="7" t="s">
        <v>114</v>
      </c>
      <c r="AH2907" s="7">
        <v>43612</v>
      </c>
      <c r="AI2907" s="5">
        <v>1</v>
      </c>
      <c r="AJ2907" s="7" t="s">
        <v>16427</v>
      </c>
      <c r="AK2907" s="7" t="s">
        <v>16428</v>
      </c>
    </row>
    <row r="2908" spans="1:37" ht="36.75" customHeight="1" x14ac:dyDescent="0.35">
      <c r="A2908" s="5"/>
      <c r="B2908" s="5" t="s">
        <v>37</v>
      </c>
      <c r="C2908" s="73" t="str">
        <f t="shared" si="45"/>
        <v>Closed</v>
      </c>
      <c r="D2908" s="45" t="s">
        <v>16429</v>
      </c>
      <c r="E2908" s="54" t="s">
        <v>16430</v>
      </c>
      <c r="F2908" s="5" t="s">
        <v>816</v>
      </c>
      <c r="G2908" s="7">
        <f>DATE(2019,5,30)</f>
        <v>43615</v>
      </c>
      <c r="H2908" s="34">
        <v>1.8298611111111112</v>
      </c>
      <c r="I2908" s="5" t="s">
        <v>85</v>
      </c>
      <c r="J2908" s="7" t="s">
        <v>16431</v>
      </c>
      <c r="K2908" s="5" t="s">
        <v>818</v>
      </c>
      <c r="L2908" s="5" t="s">
        <v>16432</v>
      </c>
      <c r="M2908" s="5" t="s">
        <v>45</v>
      </c>
      <c r="N2908" s="5" t="s">
        <v>123</v>
      </c>
      <c r="O2908" s="5" t="s">
        <v>67</v>
      </c>
      <c r="P2908" s="7" t="s">
        <v>146</v>
      </c>
      <c r="Q2908" s="7" t="s">
        <v>2142</v>
      </c>
      <c r="R2908" s="7" t="s">
        <v>821</v>
      </c>
      <c r="S2908" s="5">
        <v>0</v>
      </c>
      <c r="T2908" s="36">
        <v>0</v>
      </c>
      <c r="U2908" s="5">
        <v>0</v>
      </c>
      <c r="V2908" s="36">
        <v>0</v>
      </c>
      <c r="W2908" s="5">
        <v>0</v>
      </c>
      <c r="X2908" s="5">
        <v>0</v>
      </c>
      <c r="Y2908" s="5">
        <v>0</v>
      </c>
      <c r="Z2908" s="36">
        <v>0</v>
      </c>
      <c r="AA2908" s="5">
        <v>0</v>
      </c>
      <c r="AB2908" s="5">
        <v>0</v>
      </c>
      <c r="AC2908" s="5">
        <v>0</v>
      </c>
      <c r="AD2908" s="5">
        <v>0</v>
      </c>
      <c r="AE2908" s="7" t="s">
        <v>73</v>
      </c>
      <c r="AF2908" s="7"/>
      <c r="AG2908" s="7" t="s">
        <v>114</v>
      </c>
      <c r="AH2908" s="7">
        <v>43619</v>
      </c>
      <c r="AI2908" s="5">
        <v>2</v>
      </c>
      <c r="AJ2908" s="7" t="s">
        <v>16433</v>
      </c>
      <c r="AK2908" s="7" t="s">
        <v>50</v>
      </c>
    </row>
    <row r="2909" spans="1:37" ht="36.75" customHeight="1" x14ac:dyDescent="0.35">
      <c r="A2909" s="5"/>
      <c r="B2909" s="5" t="s">
        <v>37</v>
      </c>
      <c r="C2909" s="73" t="str">
        <f t="shared" si="45"/>
        <v>Closed</v>
      </c>
      <c r="D2909" s="45" t="s">
        <v>16434</v>
      </c>
      <c r="E2909" s="54" t="s">
        <v>16435</v>
      </c>
      <c r="F2909" s="5" t="s">
        <v>1553</v>
      </c>
      <c r="G2909" s="7">
        <f>DATE(2019,6,1)</f>
        <v>43617</v>
      </c>
      <c r="H2909" s="34">
        <v>1.5</v>
      </c>
      <c r="I2909" s="5" t="s">
        <v>55</v>
      </c>
      <c r="J2909" s="7" t="s">
        <v>16436</v>
      </c>
      <c r="K2909" s="5" t="s">
        <v>1555</v>
      </c>
      <c r="L2909" s="5" t="s">
        <v>16437</v>
      </c>
      <c r="M2909" s="5" t="s">
        <v>45</v>
      </c>
      <c r="N2909" s="5" t="s">
        <v>80</v>
      </c>
      <c r="O2909" s="5" t="s">
        <v>46</v>
      </c>
      <c r="P2909" s="7" t="s">
        <v>6920</v>
      </c>
      <c r="Q2909" s="7" t="s">
        <v>15978</v>
      </c>
      <c r="R2909" s="7" t="s">
        <v>2541</v>
      </c>
      <c r="S2909" s="5">
        <v>0</v>
      </c>
      <c r="T2909" s="36">
        <v>0</v>
      </c>
      <c r="U2909" s="5">
        <v>0</v>
      </c>
      <c r="V2909" s="36">
        <v>0</v>
      </c>
      <c r="W2909" s="5">
        <v>0</v>
      </c>
      <c r="X2909" s="5">
        <v>0</v>
      </c>
      <c r="Y2909" s="5">
        <v>0</v>
      </c>
      <c r="Z2909" s="36">
        <v>0</v>
      </c>
      <c r="AA2909" s="5">
        <v>0</v>
      </c>
      <c r="AB2909" s="5">
        <v>0</v>
      </c>
      <c r="AC2909" s="5">
        <v>0</v>
      </c>
      <c r="AD2909" s="5">
        <v>0</v>
      </c>
      <c r="AE2909" s="7" t="s">
        <v>73</v>
      </c>
      <c r="AF2909" s="7"/>
      <c r="AG2909" s="7" t="s">
        <v>114</v>
      </c>
      <c r="AH2909" s="7">
        <v>43619</v>
      </c>
      <c r="AI2909" s="5">
        <v>1</v>
      </c>
      <c r="AJ2909" s="7" t="s">
        <v>16438</v>
      </c>
      <c r="AK2909" s="7" t="s">
        <v>16439</v>
      </c>
    </row>
    <row r="2910" spans="1:37" ht="36.75" customHeight="1" x14ac:dyDescent="0.35">
      <c r="A2910" s="5"/>
      <c r="B2910" s="5" t="s">
        <v>37</v>
      </c>
      <c r="C2910" s="73" t="str">
        <f t="shared" si="45"/>
        <v>Closed</v>
      </c>
      <c r="D2910" s="45" t="s">
        <v>16440</v>
      </c>
      <c r="E2910" s="54" t="s">
        <v>16441</v>
      </c>
      <c r="F2910" s="5" t="s">
        <v>816</v>
      </c>
      <c r="G2910" s="7">
        <f>DATE(2019,6,3)</f>
        <v>43619</v>
      </c>
      <c r="H2910" s="34">
        <v>1.6749999999999998</v>
      </c>
      <c r="I2910" s="5" t="s">
        <v>55</v>
      </c>
      <c r="J2910" s="7" t="s">
        <v>16442</v>
      </c>
      <c r="K2910" s="5" t="s">
        <v>818</v>
      </c>
      <c r="L2910" s="5" t="s">
        <v>16443</v>
      </c>
      <c r="M2910" s="5" t="s">
        <v>236</v>
      </c>
      <c r="N2910" s="5" t="s">
        <v>80</v>
      </c>
      <c r="O2910" s="5" t="s">
        <v>46</v>
      </c>
      <c r="P2910" s="7" t="s">
        <v>6531</v>
      </c>
      <c r="Q2910" s="7" t="s">
        <v>4190</v>
      </c>
      <c r="R2910" s="7" t="s">
        <v>4190</v>
      </c>
      <c r="S2910" s="5">
        <v>0</v>
      </c>
      <c r="T2910" s="36">
        <v>0</v>
      </c>
      <c r="U2910" s="5">
        <v>0</v>
      </c>
      <c r="V2910" s="36">
        <v>0</v>
      </c>
      <c r="W2910" s="5">
        <v>0</v>
      </c>
      <c r="X2910" s="5">
        <v>0</v>
      </c>
      <c r="Y2910" s="5">
        <v>0</v>
      </c>
      <c r="Z2910" s="36">
        <v>0</v>
      </c>
      <c r="AA2910" s="5">
        <v>0</v>
      </c>
      <c r="AB2910" s="5">
        <v>0</v>
      </c>
      <c r="AC2910" s="5">
        <v>0</v>
      </c>
      <c r="AD2910" s="5">
        <v>0</v>
      </c>
      <c r="AE2910" s="7" t="s">
        <v>73</v>
      </c>
      <c r="AF2910" s="7"/>
      <c r="AG2910" s="7" t="s">
        <v>114</v>
      </c>
      <c r="AH2910" s="7">
        <v>43619</v>
      </c>
      <c r="AI2910" s="5">
        <v>3</v>
      </c>
      <c r="AJ2910" s="7" t="s">
        <v>16444</v>
      </c>
      <c r="AK2910" s="7" t="s">
        <v>50</v>
      </c>
    </row>
    <row r="2911" spans="1:37" ht="36.75" customHeight="1" x14ac:dyDescent="0.35">
      <c r="A2911" s="5"/>
      <c r="B2911" s="5" t="s">
        <v>37</v>
      </c>
      <c r="C2911" s="73" t="str">
        <f t="shared" si="45"/>
        <v>Closed</v>
      </c>
      <c r="D2911" s="45" t="s">
        <v>16445</v>
      </c>
      <c r="E2911" s="54" t="s">
        <v>16446</v>
      </c>
      <c r="F2911" s="5" t="s">
        <v>358</v>
      </c>
      <c r="G2911" s="7">
        <f>DATE(2019,6,4)</f>
        <v>43620</v>
      </c>
      <c r="H2911" s="34">
        <v>1.8430555555555554</v>
      </c>
      <c r="I2911" s="5" t="s">
        <v>55</v>
      </c>
      <c r="J2911" s="7" t="s">
        <v>16447</v>
      </c>
      <c r="K2911" s="5" t="s">
        <v>360</v>
      </c>
      <c r="L2911" s="5" t="s">
        <v>16448</v>
      </c>
      <c r="M2911" s="5" t="s">
        <v>45</v>
      </c>
      <c r="N2911" s="5" t="s">
        <v>80</v>
      </c>
      <c r="O2911" s="5" t="s">
        <v>59</v>
      </c>
      <c r="P2911" s="7" t="s">
        <v>146</v>
      </c>
      <c r="Q2911" s="7" t="s">
        <v>360</v>
      </c>
      <c r="R2911" s="7" t="s">
        <v>363</v>
      </c>
      <c r="S2911" s="5">
        <v>0</v>
      </c>
      <c r="T2911" s="36">
        <v>0</v>
      </c>
      <c r="U2911" s="5">
        <v>0</v>
      </c>
      <c r="V2911" s="36">
        <v>0</v>
      </c>
      <c r="W2911" s="5">
        <v>0</v>
      </c>
      <c r="X2911" s="5">
        <v>0</v>
      </c>
      <c r="Y2911" s="5">
        <v>0</v>
      </c>
      <c r="Z2911" s="36">
        <v>0</v>
      </c>
      <c r="AA2911" s="5">
        <v>0</v>
      </c>
      <c r="AB2911" s="5">
        <v>0</v>
      </c>
      <c r="AC2911" s="5">
        <v>0</v>
      </c>
      <c r="AD2911" s="5">
        <v>0</v>
      </c>
      <c r="AE2911" s="7" t="s">
        <v>73</v>
      </c>
      <c r="AF2911" s="7"/>
      <c r="AG2911" s="7" t="s">
        <v>11420</v>
      </c>
      <c r="AH2911" s="7">
        <v>43565</v>
      </c>
      <c r="AI2911" s="5">
        <v>5</v>
      </c>
      <c r="AJ2911" s="7" t="s">
        <v>16449</v>
      </c>
      <c r="AK2911" s="7" t="s">
        <v>16450</v>
      </c>
    </row>
    <row r="2912" spans="1:37" ht="36.75" customHeight="1" x14ac:dyDescent="0.35">
      <c r="A2912" s="5"/>
      <c r="B2912" s="5" t="s">
        <v>37</v>
      </c>
      <c r="C2912" s="73" t="str">
        <f t="shared" si="45"/>
        <v>Closed</v>
      </c>
      <c r="D2912" s="45" t="s">
        <v>16451</v>
      </c>
      <c r="E2912" s="54" t="s">
        <v>16452</v>
      </c>
      <c r="F2912" s="5" t="s">
        <v>1553</v>
      </c>
      <c r="G2912" s="7">
        <f>DATE(2019,6,7)</f>
        <v>43623</v>
      </c>
      <c r="H2912" s="34">
        <v>1.9375</v>
      </c>
      <c r="I2912" s="5" t="s">
        <v>55</v>
      </c>
      <c r="J2912" s="7" t="s">
        <v>16453</v>
      </c>
      <c r="K2912" s="5" t="s">
        <v>1555</v>
      </c>
      <c r="L2912" s="5" t="s">
        <v>7922</v>
      </c>
      <c r="M2912" s="5" t="s">
        <v>45</v>
      </c>
      <c r="N2912" s="5" t="s">
        <v>123</v>
      </c>
      <c r="O2912" s="5" t="s">
        <v>59</v>
      </c>
      <c r="P2912" s="7" t="s">
        <v>60</v>
      </c>
      <c r="Q2912" s="7" t="s">
        <v>2635</v>
      </c>
      <c r="R2912" s="7" t="s">
        <v>6413</v>
      </c>
      <c r="S2912" s="5">
        <v>0</v>
      </c>
      <c r="T2912" s="36">
        <v>0</v>
      </c>
      <c r="U2912" s="5">
        <v>0</v>
      </c>
      <c r="V2912" s="36">
        <v>0</v>
      </c>
      <c r="W2912" s="5">
        <v>0</v>
      </c>
      <c r="X2912" s="5">
        <v>0</v>
      </c>
      <c r="Y2912" s="5">
        <v>0</v>
      </c>
      <c r="Z2912" s="36">
        <v>0</v>
      </c>
      <c r="AA2912" s="5">
        <v>0</v>
      </c>
      <c r="AB2912" s="5">
        <v>0</v>
      </c>
      <c r="AC2912" s="5">
        <v>0</v>
      </c>
      <c r="AD2912" s="5">
        <v>0</v>
      </c>
      <c r="AE2912" s="7" t="s">
        <v>73</v>
      </c>
      <c r="AF2912" s="7"/>
      <c r="AG2912" s="7" t="s">
        <v>114</v>
      </c>
      <c r="AH2912" s="7">
        <v>43627</v>
      </c>
      <c r="AI2912" s="5">
        <v>1</v>
      </c>
      <c r="AJ2912" s="7" t="s">
        <v>16454</v>
      </c>
      <c r="AK2912" s="7" t="s">
        <v>16455</v>
      </c>
    </row>
    <row r="2913" spans="1:37" ht="36.75" customHeight="1" x14ac:dyDescent="0.35">
      <c r="A2913" s="5"/>
      <c r="B2913" s="5" t="s">
        <v>37</v>
      </c>
      <c r="C2913" s="73" t="str">
        <f t="shared" si="45"/>
        <v>Closed</v>
      </c>
      <c r="D2913" s="45" t="s">
        <v>16456</v>
      </c>
      <c r="E2913" s="54" t="s">
        <v>16457</v>
      </c>
      <c r="F2913" s="5" t="s">
        <v>214</v>
      </c>
      <c r="G2913" s="7">
        <f>DATE(2019,6,13)</f>
        <v>43629</v>
      </c>
      <c r="H2913" s="34">
        <v>1.6743055555555557</v>
      </c>
      <c r="I2913" s="5" t="s">
        <v>137</v>
      </c>
      <c r="J2913" s="7" t="s">
        <v>16458</v>
      </c>
      <c r="K2913" s="5" t="s">
        <v>216</v>
      </c>
      <c r="L2913" s="5" t="s">
        <v>16459</v>
      </c>
      <c r="M2913" s="5" t="s">
        <v>45</v>
      </c>
      <c r="N2913" s="5" t="s">
        <v>123</v>
      </c>
      <c r="O2913" s="5" t="s">
        <v>46</v>
      </c>
      <c r="P2913" s="7" t="s">
        <v>146</v>
      </c>
      <c r="Q2913" s="7" t="s">
        <v>2518</v>
      </c>
      <c r="R2913" s="7" t="s">
        <v>216</v>
      </c>
      <c r="S2913" s="5">
        <v>0</v>
      </c>
      <c r="T2913" s="36">
        <v>0</v>
      </c>
      <c r="U2913" s="5">
        <v>0</v>
      </c>
      <c r="V2913" s="36">
        <v>0</v>
      </c>
      <c r="W2913" s="5">
        <v>0</v>
      </c>
      <c r="X2913" s="5">
        <v>0</v>
      </c>
      <c r="Y2913" s="5">
        <v>0</v>
      </c>
      <c r="Z2913" s="36">
        <v>0</v>
      </c>
      <c r="AA2913" s="5">
        <v>0</v>
      </c>
      <c r="AB2913" s="5">
        <v>0</v>
      </c>
      <c r="AC2913" s="5">
        <v>0</v>
      </c>
      <c r="AD2913" s="5">
        <v>0</v>
      </c>
      <c r="AE2913" s="7" t="s">
        <v>73</v>
      </c>
      <c r="AF2913" s="7"/>
      <c r="AG2913" s="7" t="s">
        <v>114</v>
      </c>
      <c r="AH2913" s="7">
        <v>43640</v>
      </c>
      <c r="AI2913" s="5">
        <v>5</v>
      </c>
      <c r="AJ2913" s="7" t="s">
        <v>16460</v>
      </c>
      <c r="AK2913" s="7" t="s">
        <v>16461</v>
      </c>
    </row>
    <row r="2914" spans="1:37" ht="36.75" customHeight="1" x14ac:dyDescent="0.35">
      <c r="A2914" s="5"/>
      <c r="B2914" s="5" t="s">
        <v>37</v>
      </c>
      <c r="C2914" s="73" t="str">
        <f t="shared" si="45"/>
        <v>Closed</v>
      </c>
      <c r="D2914" s="45" t="s">
        <v>16462</v>
      </c>
      <c r="E2914" s="54" t="s">
        <v>16463</v>
      </c>
      <c r="F2914" s="5" t="s">
        <v>2316</v>
      </c>
      <c r="G2914" s="7">
        <f>DATE(2019,6,15)</f>
        <v>43631</v>
      </c>
      <c r="H2914" s="34">
        <v>1.7652777777777779</v>
      </c>
      <c r="I2914" s="5" t="s">
        <v>97</v>
      </c>
      <c r="J2914" s="7" t="s">
        <v>16464</v>
      </c>
      <c r="K2914" s="5" t="s">
        <v>2318</v>
      </c>
      <c r="L2914" s="5" t="s">
        <v>16465</v>
      </c>
      <c r="M2914" s="5" t="s">
        <v>45</v>
      </c>
      <c r="N2914" s="5" t="s">
        <v>123</v>
      </c>
      <c r="O2914" s="5" t="s">
        <v>46</v>
      </c>
      <c r="P2914" s="7" t="s">
        <v>146</v>
      </c>
      <c r="Q2914" s="7" t="s">
        <v>13488</v>
      </c>
      <c r="R2914" s="7" t="s">
        <v>2321</v>
      </c>
      <c r="S2914" s="5">
        <v>0</v>
      </c>
      <c r="T2914" s="36">
        <v>0</v>
      </c>
      <c r="U2914" s="5">
        <v>5</v>
      </c>
      <c r="V2914" s="36">
        <v>0</v>
      </c>
      <c r="W2914" s="5">
        <v>0</v>
      </c>
      <c r="X2914" s="5">
        <v>5</v>
      </c>
      <c r="Y2914" s="5">
        <v>0</v>
      </c>
      <c r="Z2914" s="36">
        <v>0</v>
      </c>
      <c r="AA2914" s="5">
        <v>0</v>
      </c>
      <c r="AB2914" s="5">
        <v>0</v>
      </c>
      <c r="AC2914" s="5">
        <v>0</v>
      </c>
      <c r="AD2914" s="5">
        <v>0</v>
      </c>
      <c r="AE2914" s="7" t="s">
        <v>73</v>
      </c>
      <c r="AF2914" s="7"/>
      <c r="AG2914" s="7" t="s">
        <v>64</v>
      </c>
      <c r="AH2914" s="7">
        <v>43633</v>
      </c>
      <c r="AI2914" s="5">
        <v>8</v>
      </c>
      <c r="AJ2914" s="7" t="s">
        <v>16466</v>
      </c>
      <c r="AK2914" s="7" t="s">
        <v>16467</v>
      </c>
    </row>
    <row r="2915" spans="1:37" ht="36.75" customHeight="1" x14ac:dyDescent="0.35">
      <c r="A2915" s="5"/>
      <c r="B2915" s="5" t="s">
        <v>37</v>
      </c>
      <c r="C2915" s="73" t="str">
        <f t="shared" si="45"/>
        <v>Closed</v>
      </c>
      <c r="D2915" s="45" t="s">
        <v>16468</v>
      </c>
      <c r="E2915" s="54" t="s">
        <v>16469</v>
      </c>
      <c r="F2915" s="5" t="s">
        <v>816</v>
      </c>
      <c r="G2915" s="7">
        <f>DATE(2019,6,17)</f>
        <v>43633</v>
      </c>
      <c r="H2915" s="34">
        <v>1.4513888888888888</v>
      </c>
      <c r="I2915" s="5" t="s">
        <v>259</v>
      </c>
      <c r="J2915" s="7" t="s">
        <v>16470</v>
      </c>
      <c r="K2915" s="5" t="s">
        <v>818</v>
      </c>
      <c r="L2915" s="5" t="s">
        <v>16471</v>
      </c>
      <c r="M2915" s="5" t="s">
        <v>45</v>
      </c>
      <c r="N2915" s="5" t="s">
        <v>80</v>
      </c>
      <c r="O2915" s="5" t="s">
        <v>59</v>
      </c>
      <c r="P2915" s="7" t="s">
        <v>47</v>
      </c>
      <c r="Q2915" s="7" t="s">
        <v>2142</v>
      </c>
      <c r="R2915" s="7" t="s">
        <v>821</v>
      </c>
      <c r="S2915" s="5">
        <v>0</v>
      </c>
      <c r="T2915" s="36">
        <v>0</v>
      </c>
      <c r="U2915" s="5">
        <v>0</v>
      </c>
      <c r="V2915" s="36">
        <v>0</v>
      </c>
      <c r="W2915" s="5">
        <v>0</v>
      </c>
      <c r="X2915" s="5">
        <v>0</v>
      </c>
      <c r="Y2915" s="5">
        <v>0</v>
      </c>
      <c r="Z2915" s="36">
        <v>1</v>
      </c>
      <c r="AA2915" s="5">
        <v>0</v>
      </c>
      <c r="AB2915" s="5">
        <v>0</v>
      </c>
      <c r="AC2915" s="5">
        <v>0</v>
      </c>
      <c r="AD2915" s="5">
        <v>1</v>
      </c>
      <c r="AE2915" s="7" t="s">
        <v>73</v>
      </c>
      <c r="AF2915" s="7"/>
      <c r="AG2915" s="7" t="s">
        <v>114</v>
      </c>
      <c r="AH2915" s="7">
        <v>43633</v>
      </c>
      <c r="AI2915" s="5">
        <v>0</v>
      </c>
      <c r="AJ2915" s="7" t="s">
        <v>16472</v>
      </c>
      <c r="AK2915" s="7" t="s">
        <v>50</v>
      </c>
    </row>
    <row r="2916" spans="1:37" ht="36.75" customHeight="1" x14ac:dyDescent="0.35">
      <c r="A2916" s="5"/>
      <c r="B2916" s="5" t="s">
        <v>14851</v>
      </c>
      <c r="C2916" s="73" t="str">
        <f t="shared" si="45"/>
        <v>In progress</v>
      </c>
      <c r="D2916" s="45" t="s">
        <v>16473</v>
      </c>
      <c r="E2916" s="54" t="s">
        <v>16474</v>
      </c>
      <c r="F2916" s="5" t="s">
        <v>178</v>
      </c>
      <c r="G2916" s="7">
        <f>DATE(2019,6,18)</f>
        <v>43634</v>
      </c>
      <c r="H2916" s="34">
        <v>1.6180555555555556</v>
      </c>
      <c r="I2916" s="5" t="s">
        <v>55</v>
      </c>
      <c r="J2916" s="7" t="s">
        <v>16475</v>
      </c>
      <c r="K2916" s="5" t="s">
        <v>181</v>
      </c>
      <c r="L2916" s="5" t="s">
        <v>16476</v>
      </c>
      <c r="M2916" s="5" t="s">
        <v>45</v>
      </c>
      <c r="N2916" s="5" t="s">
        <v>123</v>
      </c>
      <c r="O2916" s="5" t="s">
        <v>59</v>
      </c>
      <c r="P2916" s="7" t="s">
        <v>60</v>
      </c>
      <c r="Q2916" s="7" t="s">
        <v>1697</v>
      </c>
      <c r="R2916" s="7" t="s">
        <v>184</v>
      </c>
      <c r="S2916" s="5">
        <v>0</v>
      </c>
      <c r="T2916" s="36">
        <v>0</v>
      </c>
      <c r="U2916" s="5">
        <v>0</v>
      </c>
      <c r="V2916" s="36">
        <v>0</v>
      </c>
      <c r="W2916" s="5">
        <v>0</v>
      </c>
      <c r="X2916" s="5">
        <v>0</v>
      </c>
      <c r="Y2916" s="5">
        <v>0</v>
      </c>
      <c r="Z2916" s="36">
        <v>0</v>
      </c>
      <c r="AA2916" s="5">
        <v>0</v>
      </c>
      <c r="AB2916" s="5">
        <v>0</v>
      </c>
      <c r="AC2916" s="5">
        <v>0</v>
      </c>
      <c r="AD2916" s="5">
        <v>0</v>
      </c>
      <c r="AE2916" s="7" t="s">
        <v>126</v>
      </c>
      <c r="AF2916" s="7"/>
      <c r="AG2916" s="7" t="s">
        <v>6438</v>
      </c>
      <c r="AH2916" s="7">
        <v>43641</v>
      </c>
      <c r="AI2916" s="5">
        <v>0</v>
      </c>
      <c r="AJ2916" s="7" t="s">
        <v>50</v>
      </c>
      <c r="AK2916" s="7" t="s">
        <v>50</v>
      </c>
    </row>
    <row r="2917" spans="1:37" ht="36.75" customHeight="1" x14ac:dyDescent="0.35">
      <c r="A2917" s="23" t="s">
        <v>4890</v>
      </c>
      <c r="B2917" s="5" t="s">
        <v>37</v>
      </c>
      <c r="C2917" s="73" t="str">
        <f t="shared" si="45"/>
        <v>Closed</v>
      </c>
      <c r="D2917" s="45" t="s">
        <v>16477</v>
      </c>
      <c r="E2917" s="54" t="s">
        <v>16478</v>
      </c>
      <c r="F2917" s="5" t="s">
        <v>9767</v>
      </c>
      <c r="G2917" s="7">
        <f>DATE(2019,6,18)</f>
        <v>43634</v>
      </c>
      <c r="H2917" s="34">
        <v>1.4930555555555556</v>
      </c>
      <c r="I2917" s="5" t="s">
        <v>1022</v>
      </c>
      <c r="J2917" s="7" t="s">
        <v>16479</v>
      </c>
      <c r="K2917" s="5" t="s">
        <v>9769</v>
      </c>
      <c r="L2917" s="5" t="s">
        <v>16480</v>
      </c>
      <c r="M2917" s="5" t="s">
        <v>45</v>
      </c>
      <c r="N2917" s="5" t="s">
        <v>80</v>
      </c>
      <c r="O2917" s="5" t="s">
        <v>46</v>
      </c>
      <c r="P2917" s="7" t="s">
        <v>60</v>
      </c>
      <c r="Q2917" s="7" t="s">
        <v>10235</v>
      </c>
      <c r="R2917" s="7" t="s">
        <v>9772</v>
      </c>
      <c r="S2917" s="5">
        <v>0</v>
      </c>
      <c r="T2917" s="38">
        <v>0</v>
      </c>
      <c r="U2917" s="5">
        <v>0</v>
      </c>
      <c r="V2917" s="38">
        <v>0</v>
      </c>
      <c r="W2917" s="5">
        <v>0</v>
      </c>
      <c r="X2917" s="5">
        <v>0</v>
      </c>
      <c r="Y2917" s="5">
        <v>0</v>
      </c>
      <c r="Z2917" s="38">
        <v>0</v>
      </c>
      <c r="AA2917" s="5">
        <v>0</v>
      </c>
      <c r="AB2917" s="5">
        <v>0</v>
      </c>
      <c r="AC2917" s="5">
        <v>0</v>
      </c>
      <c r="AD2917" s="5">
        <v>0</v>
      </c>
      <c r="AE2917" s="7" t="s">
        <v>73</v>
      </c>
      <c r="AF2917" s="7"/>
      <c r="AG2917" s="7" t="s">
        <v>570</v>
      </c>
      <c r="AH2917" s="7">
        <v>43642</v>
      </c>
      <c r="AI2917" s="5">
        <v>1</v>
      </c>
      <c r="AJ2917" s="7" t="s">
        <v>16481</v>
      </c>
      <c r="AK2917" s="7" t="s">
        <v>16482</v>
      </c>
    </row>
    <row r="2918" spans="1:37" ht="36.75" customHeight="1" x14ac:dyDescent="0.35">
      <c r="A2918" s="5"/>
      <c r="B2918" s="5" t="s">
        <v>37</v>
      </c>
      <c r="C2918" s="73" t="str">
        <f t="shared" si="45"/>
        <v>Closed</v>
      </c>
      <c r="D2918" s="45" t="s">
        <v>16483</v>
      </c>
      <c r="E2918" s="54" t="s">
        <v>16484</v>
      </c>
      <c r="F2918" s="5" t="s">
        <v>1751</v>
      </c>
      <c r="G2918" s="7">
        <f>DATE(2019,6,20)</f>
        <v>43636</v>
      </c>
      <c r="H2918" s="34">
        <v>1.9333333333333331</v>
      </c>
      <c r="I2918" s="5" t="s">
        <v>97</v>
      </c>
      <c r="J2918" s="7" t="s">
        <v>16485</v>
      </c>
      <c r="K2918" s="5" t="s">
        <v>1753</v>
      </c>
      <c r="L2918" s="5" t="s">
        <v>16486</v>
      </c>
      <c r="M2918" s="5" t="s">
        <v>45</v>
      </c>
      <c r="N2918" s="5" t="s">
        <v>123</v>
      </c>
      <c r="O2918" s="5" t="s">
        <v>46</v>
      </c>
      <c r="P2918" s="7" t="s">
        <v>60</v>
      </c>
      <c r="Q2918" s="7" t="s">
        <v>16487</v>
      </c>
      <c r="R2918" s="7" t="s">
        <v>1756</v>
      </c>
      <c r="S2918" s="5">
        <v>0</v>
      </c>
      <c r="T2918" s="36">
        <v>0</v>
      </c>
      <c r="U2918" s="5">
        <v>1</v>
      </c>
      <c r="V2918" s="36">
        <v>0</v>
      </c>
      <c r="W2918" s="5">
        <v>0</v>
      </c>
      <c r="X2918" s="5">
        <v>1</v>
      </c>
      <c r="Y2918" s="5">
        <v>0</v>
      </c>
      <c r="Z2918" s="36">
        <v>0</v>
      </c>
      <c r="AA2918" s="5">
        <v>0</v>
      </c>
      <c r="AB2918" s="5">
        <v>0</v>
      </c>
      <c r="AC2918" s="5">
        <v>0</v>
      </c>
      <c r="AD2918" s="5">
        <v>0</v>
      </c>
      <c r="AE2918" s="7" t="s">
        <v>73</v>
      </c>
      <c r="AF2918" s="7" t="s">
        <v>16488</v>
      </c>
      <c r="AG2918" s="7" t="s">
        <v>6438</v>
      </c>
      <c r="AH2918" s="7">
        <v>43637</v>
      </c>
      <c r="AI2918" s="5">
        <v>0</v>
      </c>
      <c r="AJ2918" s="7" t="s">
        <v>16489</v>
      </c>
      <c r="AK2918" s="29" t="s">
        <v>16490</v>
      </c>
    </row>
    <row r="2919" spans="1:37" ht="36.75" customHeight="1" x14ac:dyDescent="0.35">
      <c r="A2919" s="5"/>
      <c r="B2919" s="5" t="s">
        <v>37</v>
      </c>
      <c r="C2919" s="73" t="str">
        <f t="shared" si="45"/>
        <v>Closed</v>
      </c>
      <c r="D2919" s="45" t="s">
        <v>16491</v>
      </c>
      <c r="E2919" s="54" t="s">
        <v>16492</v>
      </c>
      <c r="F2919" s="5" t="s">
        <v>1919</v>
      </c>
      <c r="G2919" s="7">
        <f>DATE(2019,6,20)</f>
        <v>43636</v>
      </c>
      <c r="H2919" s="34">
        <v>0</v>
      </c>
      <c r="I2919" s="5" t="s">
        <v>5473</v>
      </c>
      <c r="J2919" s="7" t="s">
        <v>16493</v>
      </c>
      <c r="K2919" s="5" t="s">
        <v>1921</v>
      </c>
      <c r="L2919" s="5" t="s">
        <v>16494</v>
      </c>
      <c r="M2919" s="5" t="s">
        <v>45</v>
      </c>
      <c r="N2919" s="5" t="s">
        <v>123</v>
      </c>
      <c r="O2919" s="5" t="s">
        <v>46</v>
      </c>
      <c r="P2919" s="7" t="s">
        <v>146</v>
      </c>
      <c r="Q2919" s="7" t="s">
        <v>1923</v>
      </c>
      <c r="R2919" s="7" t="s">
        <v>1921</v>
      </c>
      <c r="S2919" s="5">
        <v>0</v>
      </c>
      <c r="T2919" s="36">
        <v>0</v>
      </c>
      <c r="U2919" s="5">
        <v>0</v>
      </c>
      <c r="V2919" s="36">
        <v>0</v>
      </c>
      <c r="W2919" s="5">
        <v>0</v>
      </c>
      <c r="X2919" s="5">
        <v>0</v>
      </c>
      <c r="Y2919" s="5">
        <v>0</v>
      </c>
      <c r="Z2919" s="36">
        <v>0</v>
      </c>
      <c r="AA2919" s="5">
        <v>0</v>
      </c>
      <c r="AB2919" s="5">
        <v>0</v>
      </c>
      <c r="AC2919" s="5">
        <v>0</v>
      </c>
      <c r="AD2919" s="5">
        <v>0</v>
      </c>
      <c r="AE2919" s="7" t="s">
        <v>73</v>
      </c>
      <c r="AF2919" s="7"/>
      <c r="AG2919" s="7" t="s">
        <v>64</v>
      </c>
      <c r="AH2919" s="7">
        <v>43637</v>
      </c>
      <c r="AI2919" s="5">
        <v>2</v>
      </c>
      <c r="AJ2919" s="7" t="s">
        <v>16495</v>
      </c>
      <c r="AK2919" s="7" t="s">
        <v>16496</v>
      </c>
    </row>
    <row r="2920" spans="1:37" ht="36.75" customHeight="1" x14ac:dyDescent="0.35">
      <c r="A2920" s="5"/>
      <c r="B2920" s="5" t="s">
        <v>37</v>
      </c>
      <c r="C2920" s="73" t="str">
        <f t="shared" si="45"/>
        <v>Closed</v>
      </c>
      <c r="D2920" s="45" t="s">
        <v>16497</v>
      </c>
      <c r="E2920" s="54" t="s">
        <v>16498</v>
      </c>
      <c r="F2920" s="5" t="s">
        <v>1553</v>
      </c>
      <c r="G2920" s="7">
        <f>DATE(2019,6,23)</f>
        <v>43639</v>
      </c>
      <c r="H2920" s="34">
        <v>1.4895833333333333</v>
      </c>
      <c r="I2920" s="5" t="s">
        <v>55</v>
      </c>
      <c r="J2920" s="7" t="s">
        <v>16499</v>
      </c>
      <c r="K2920" s="5" t="s">
        <v>1555</v>
      </c>
      <c r="L2920" s="5" t="s">
        <v>16500</v>
      </c>
      <c r="M2920" s="5" t="s">
        <v>45</v>
      </c>
      <c r="N2920" s="5" t="s">
        <v>80</v>
      </c>
      <c r="O2920" s="5" t="s">
        <v>59</v>
      </c>
      <c r="P2920" s="7" t="s">
        <v>60</v>
      </c>
      <c r="Q2920" s="7" t="s">
        <v>15538</v>
      </c>
      <c r="R2920" s="7" t="s">
        <v>6413</v>
      </c>
      <c r="S2920" s="5">
        <v>0</v>
      </c>
      <c r="T2920" s="36">
        <v>0</v>
      </c>
      <c r="U2920" s="5">
        <v>0</v>
      </c>
      <c r="V2920" s="36">
        <v>0</v>
      </c>
      <c r="W2920" s="5">
        <v>0</v>
      </c>
      <c r="X2920" s="5">
        <v>0</v>
      </c>
      <c r="Y2920" s="5">
        <v>0</v>
      </c>
      <c r="Z2920" s="36">
        <v>0</v>
      </c>
      <c r="AA2920" s="5">
        <v>0</v>
      </c>
      <c r="AB2920" s="5">
        <v>0</v>
      </c>
      <c r="AC2920" s="5">
        <v>0</v>
      </c>
      <c r="AD2920" s="5">
        <v>0</v>
      </c>
      <c r="AE2920" s="7" t="s">
        <v>73</v>
      </c>
      <c r="AF2920" s="7"/>
      <c r="AG2920" s="7" t="s">
        <v>114</v>
      </c>
      <c r="AH2920" s="7">
        <v>43640</v>
      </c>
      <c r="AI2920" s="5">
        <v>1</v>
      </c>
      <c r="AJ2920" s="7" t="s">
        <v>16501</v>
      </c>
      <c r="AK2920" s="7" t="s">
        <v>16502</v>
      </c>
    </row>
    <row r="2921" spans="1:37" ht="36.75" customHeight="1" x14ac:dyDescent="0.35">
      <c r="A2921" s="5"/>
      <c r="B2921" s="5" t="s">
        <v>37</v>
      </c>
      <c r="C2921" s="73" t="str">
        <f t="shared" si="45"/>
        <v>Closed</v>
      </c>
      <c r="D2921" s="45" t="s">
        <v>16503</v>
      </c>
      <c r="E2921" s="54" t="s">
        <v>16504</v>
      </c>
      <c r="F2921" s="5" t="s">
        <v>1553</v>
      </c>
      <c r="G2921" s="7">
        <f>DATE(2019,6,24)</f>
        <v>43640</v>
      </c>
      <c r="H2921" s="34">
        <v>1.1388888888888888</v>
      </c>
      <c r="I2921" s="5" t="s">
        <v>55</v>
      </c>
      <c r="J2921" s="7" t="s">
        <v>16505</v>
      </c>
      <c r="K2921" s="5" t="s">
        <v>1555</v>
      </c>
      <c r="L2921" s="5" t="s">
        <v>16506</v>
      </c>
      <c r="M2921" s="5" t="s">
        <v>45</v>
      </c>
      <c r="N2921" s="5" t="s">
        <v>80</v>
      </c>
      <c r="O2921" s="5" t="s">
        <v>46</v>
      </c>
      <c r="P2921" s="7" t="s">
        <v>6920</v>
      </c>
      <c r="Q2921" s="7" t="s">
        <v>2393</v>
      </c>
      <c r="R2921" s="7" t="s">
        <v>6413</v>
      </c>
      <c r="S2921" s="5">
        <v>0</v>
      </c>
      <c r="T2921" s="36">
        <v>0</v>
      </c>
      <c r="U2921" s="5">
        <v>0</v>
      </c>
      <c r="V2921" s="36">
        <v>0</v>
      </c>
      <c r="W2921" s="5">
        <v>0</v>
      </c>
      <c r="X2921" s="5">
        <v>0</v>
      </c>
      <c r="Y2921" s="5">
        <v>0</v>
      </c>
      <c r="Z2921" s="36">
        <v>0</v>
      </c>
      <c r="AA2921" s="5">
        <v>0</v>
      </c>
      <c r="AB2921" s="5">
        <v>0</v>
      </c>
      <c r="AC2921" s="5">
        <v>0</v>
      </c>
      <c r="AD2921" s="5">
        <v>0</v>
      </c>
      <c r="AE2921" s="7" t="s">
        <v>375</v>
      </c>
      <c r="AF2921" s="7"/>
      <c r="AG2921" s="7" t="s">
        <v>1489</v>
      </c>
      <c r="AH2921" s="7">
        <v>43640</v>
      </c>
      <c r="AI2921" s="5">
        <v>0</v>
      </c>
      <c r="AJ2921" s="7" t="s">
        <v>16507</v>
      </c>
      <c r="AK2921" s="7" t="s">
        <v>1215</v>
      </c>
    </row>
    <row r="2922" spans="1:37" ht="36.75" customHeight="1" x14ac:dyDescent="0.35">
      <c r="A2922" s="5"/>
      <c r="B2922" s="5" t="s">
        <v>37</v>
      </c>
      <c r="C2922" s="73" t="str">
        <f t="shared" si="45"/>
        <v>Closed</v>
      </c>
      <c r="D2922" s="45" t="s">
        <v>16508</v>
      </c>
      <c r="E2922" s="54" t="s">
        <v>16509</v>
      </c>
      <c r="F2922" s="5" t="s">
        <v>404</v>
      </c>
      <c r="G2922" s="7">
        <f>DATE(2019,6,28)</f>
        <v>43644</v>
      </c>
      <c r="H2922" s="34">
        <v>1.5354166666666667</v>
      </c>
      <c r="I2922" s="5" t="s">
        <v>55</v>
      </c>
      <c r="J2922" s="7" t="s">
        <v>16510</v>
      </c>
      <c r="K2922" s="5" t="s">
        <v>406</v>
      </c>
      <c r="L2922" s="5" t="s">
        <v>16511</v>
      </c>
      <c r="M2922" s="5" t="s">
        <v>45</v>
      </c>
      <c r="N2922" s="5" t="s">
        <v>80</v>
      </c>
      <c r="O2922" s="5" t="s">
        <v>59</v>
      </c>
      <c r="P2922" s="7" t="s">
        <v>146</v>
      </c>
      <c r="Q2922" s="7" t="s">
        <v>4531</v>
      </c>
      <c r="R2922" s="7" t="s">
        <v>3083</v>
      </c>
      <c r="S2922" s="5">
        <v>0</v>
      </c>
      <c r="T2922" s="36">
        <v>0</v>
      </c>
      <c r="U2922" s="5">
        <v>0</v>
      </c>
      <c r="V2922" s="36">
        <v>0</v>
      </c>
      <c r="W2922" s="5">
        <v>0</v>
      </c>
      <c r="X2922" s="5">
        <v>0</v>
      </c>
      <c r="Y2922" s="5">
        <v>0</v>
      </c>
      <c r="Z2922" s="36">
        <v>0</v>
      </c>
      <c r="AA2922" s="5">
        <v>0</v>
      </c>
      <c r="AB2922" s="5">
        <v>0</v>
      </c>
      <c r="AC2922" s="5">
        <v>0</v>
      </c>
      <c r="AD2922" s="5">
        <v>0</v>
      </c>
      <c r="AE2922" s="7" t="s">
        <v>73</v>
      </c>
      <c r="AF2922" s="7"/>
      <c r="AG2922" s="7" t="s">
        <v>333</v>
      </c>
      <c r="AH2922" s="7">
        <v>43644</v>
      </c>
      <c r="AI2922" s="5">
        <v>1</v>
      </c>
      <c r="AJ2922" s="7" t="s">
        <v>16512</v>
      </c>
      <c r="AK2922" s="7" t="s">
        <v>16513</v>
      </c>
    </row>
    <row r="2923" spans="1:37" ht="36.75" customHeight="1" x14ac:dyDescent="0.35">
      <c r="A2923" s="5"/>
      <c r="B2923" s="5" t="s">
        <v>37</v>
      </c>
      <c r="C2923" s="73" t="str">
        <f t="shared" si="45"/>
        <v>Closed</v>
      </c>
      <c r="D2923" s="45" t="s">
        <v>16514</v>
      </c>
      <c r="E2923" s="54" t="s">
        <v>16515</v>
      </c>
      <c r="F2923" s="5" t="s">
        <v>816</v>
      </c>
      <c r="G2923" s="7">
        <f>DATE(2019,6,28)</f>
        <v>43644</v>
      </c>
      <c r="H2923" s="34">
        <v>1.7319444444444443</v>
      </c>
      <c r="I2923" s="5" t="s">
        <v>6851</v>
      </c>
      <c r="J2923" s="7" t="s">
        <v>16516</v>
      </c>
      <c r="K2923" s="5" t="s">
        <v>818</v>
      </c>
      <c r="L2923" s="5" t="s">
        <v>16517</v>
      </c>
      <c r="M2923" s="5" t="s">
        <v>45</v>
      </c>
      <c r="N2923" s="5" t="s">
        <v>123</v>
      </c>
      <c r="O2923" s="5" t="s">
        <v>59</v>
      </c>
      <c r="P2923" s="7" t="s">
        <v>47</v>
      </c>
      <c r="Q2923" s="7" t="s">
        <v>2142</v>
      </c>
      <c r="R2923" s="7" t="s">
        <v>821</v>
      </c>
      <c r="S2923" s="5">
        <v>0</v>
      </c>
      <c r="T2923" s="36">
        <v>0</v>
      </c>
      <c r="U2923" s="5">
        <v>0</v>
      </c>
      <c r="V2923" s="36">
        <v>0</v>
      </c>
      <c r="W2923" s="5">
        <v>0</v>
      </c>
      <c r="X2923" s="5">
        <v>0</v>
      </c>
      <c r="Y2923" s="5">
        <v>0</v>
      </c>
      <c r="Z2923" s="36">
        <v>0</v>
      </c>
      <c r="AA2923" s="5">
        <v>0</v>
      </c>
      <c r="AB2923" s="5">
        <v>0</v>
      </c>
      <c r="AC2923" s="5">
        <v>0</v>
      </c>
      <c r="AD2923" s="5">
        <v>0</v>
      </c>
      <c r="AE2923" s="7" t="s">
        <v>73</v>
      </c>
      <c r="AF2923" s="7"/>
      <c r="AG2923" s="7" t="s">
        <v>114</v>
      </c>
      <c r="AH2923" s="7">
        <v>43644</v>
      </c>
      <c r="AI2923" s="5">
        <v>1</v>
      </c>
      <c r="AJ2923" s="7" t="s">
        <v>16518</v>
      </c>
      <c r="AK2923" s="7" t="s">
        <v>50</v>
      </c>
    </row>
    <row r="2924" spans="1:37" ht="36.75" customHeight="1" x14ac:dyDescent="0.35">
      <c r="A2924" s="5"/>
      <c r="B2924" s="5" t="s">
        <v>37</v>
      </c>
      <c r="C2924" s="73" t="str">
        <f t="shared" si="45"/>
        <v>Closed</v>
      </c>
      <c r="D2924" s="45" t="s">
        <v>16519</v>
      </c>
      <c r="E2924" s="54" t="s">
        <v>16520</v>
      </c>
      <c r="F2924" s="5" t="s">
        <v>1553</v>
      </c>
      <c r="G2924" s="7">
        <f>DATE(2019,6,29)</f>
        <v>43645</v>
      </c>
      <c r="H2924" s="34">
        <v>1.6458333333333335</v>
      </c>
      <c r="I2924" s="5" t="s">
        <v>55</v>
      </c>
      <c r="J2924" s="7" t="s">
        <v>16521</v>
      </c>
      <c r="K2924" s="5" t="s">
        <v>1555</v>
      </c>
      <c r="L2924" s="5" t="s">
        <v>7909</v>
      </c>
      <c r="M2924" s="5" t="s">
        <v>45</v>
      </c>
      <c r="N2924" s="5" t="s">
        <v>123</v>
      </c>
      <c r="O2924" s="5" t="s">
        <v>59</v>
      </c>
      <c r="P2924" s="7" t="s">
        <v>60</v>
      </c>
      <c r="Q2924" s="7" t="s">
        <v>2635</v>
      </c>
      <c r="R2924" s="7" t="s">
        <v>6413</v>
      </c>
      <c r="S2924" s="5">
        <v>0</v>
      </c>
      <c r="T2924" s="36">
        <v>0</v>
      </c>
      <c r="U2924" s="5">
        <v>0</v>
      </c>
      <c r="V2924" s="36">
        <v>0</v>
      </c>
      <c r="W2924" s="5">
        <v>0</v>
      </c>
      <c r="X2924" s="5">
        <v>0</v>
      </c>
      <c r="Y2924" s="5">
        <v>0</v>
      </c>
      <c r="Z2924" s="36">
        <v>0</v>
      </c>
      <c r="AA2924" s="5">
        <v>0</v>
      </c>
      <c r="AB2924" s="5">
        <v>0</v>
      </c>
      <c r="AC2924" s="5">
        <v>0</v>
      </c>
      <c r="AD2924" s="5">
        <v>0</v>
      </c>
      <c r="AE2924" s="7" t="s">
        <v>73</v>
      </c>
      <c r="AF2924" s="7"/>
      <c r="AG2924" s="7" t="s">
        <v>114</v>
      </c>
      <c r="AH2924" s="7">
        <v>43647</v>
      </c>
      <c r="AI2924" s="5">
        <v>2</v>
      </c>
      <c r="AJ2924" s="7" t="s">
        <v>16522</v>
      </c>
      <c r="AK2924" s="7" t="s">
        <v>16523</v>
      </c>
    </row>
    <row r="2925" spans="1:37" ht="36.75" customHeight="1" x14ac:dyDescent="0.35">
      <c r="A2925" s="5"/>
      <c r="B2925" s="5" t="s">
        <v>37</v>
      </c>
      <c r="C2925" s="73" t="str">
        <f t="shared" si="45"/>
        <v>Closed</v>
      </c>
      <c r="D2925" s="45" t="s">
        <v>16524</v>
      </c>
      <c r="E2925" s="54" t="s">
        <v>16525</v>
      </c>
      <c r="F2925" s="5" t="s">
        <v>1553</v>
      </c>
      <c r="G2925" s="7">
        <f>DATE(2019,6,29)</f>
        <v>43645</v>
      </c>
      <c r="H2925" s="34">
        <v>1.9270833333333335</v>
      </c>
      <c r="I2925" s="5" t="s">
        <v>55</v>
      </c>
      <c r="J2925" s="7" t="s">
        <v>16526</v>
      </c>
      <c r="K2925" s="5" t="s">
        <v>1555</v>
      </c>
      <c r="L2925" s="5" t="s">
        <v>16527</v>
      </c>
      <c r="M2925" s="5" t="s">
        <v>45</v>
      </c>
      <c r="N2925" s="5" t="s">
        <v>80</v>
      </c>
      <c r="O2925" s="5" t="s">
        <v>59</v>
      </c>
      <c r="P2925" s="7" t="s">
        <v>60</v>
      </c>
      <c r="Q2925" s="7" t="s">
        <v>16528</v>
      </c>
      <c r="R2925" s="7" t="s">
        <v>6413</v>
      </c>
      <c r="S2925" s="5">
        <v>0</v>
      </c>
      <c r="T2925" s="36">
        <v>0</v>
      </c>
      <c r="U2925" s="5">
        <v>0</v>
      </c>
      <c r="V2925" s="36">
        <v>0</v>
      </c>
      <c r="W2925" s="5">
        <v>0</v>
      </c>
      <c r="X2925" s="5">
        <v>0</v>
      </c>
      <c r="Y2925" s="5">
        <v>0</v>
      </c>
      <c r="Z2925" s="36">
        <v>0</v>
      </c>
      <c r="AA2925" s="5">
        <v>0</v>
      </c>
      <c r="AB2925" s="5">
        <v>0</v>
      </c>
      <c r="AC2925" s="5">
        <v>0</v>
      </c>
      <c r="AD2925" s="5">
        <v>0</v>
      </c>
      <c r="AE2925" s="7" t="s">
        <v>375</v>
      </c>
      <c r="AF2925" s="7"/>
      <c r="AG2925" s="7" t="s">
        <v>114</v>
      </c>
      <c r="AH2925" s="7">
        <v>43647</v>
      </c>
      <c r="AI2925" s="5">
        <v>2</v>
      </c>
      <c r="AJ2925" s="7" t="s">
        <v>16529</v>
      </c>
      <c r="AK2925" s="7" t="s">
        <v>16530</v>
      </c>
    </row>
    <row r="2926" spans="1:37" ht="36.75" customHeight="1" x14ac:dyDescent="0.35">
      <c r="A2926" s="5"/>
      <c r="B2926" s="5" t="s">
        <v>37</v>
      </c>
      <c r="C2926" s="73" t="str">
        <f t="shared" si="45"/>
        <v>Closed</v>
      </c>
      <c r="D2926" s="45" t="s">
        <v>16531</v>
      </c>
      <c r="E2926" s="54" t="s">
        <v>16532</v>
      </c>
      <c r="F2926" s="5" t="s">
        <v>1553</v>
      </c>
      <c r="G2926" s="7">
        <f>DATE(2019,6,30)</f>
        <v>43646</v>
      </c>
      <c r="H2926" s="34">
        <v>1.9861111111111112</v>
      </c>
      <c r="I2926" s="5" t="s">
        <v>55</v>
      </c>
      <c r="J2926" s="7" t="s">
        <v>16533</v>
      </c>
      <c r="K2926" s="5" t="s">
        <v>1555</v>
      </c>
      <c r="L2926" s="5" t="s">
        <v>9690</v>
      </c>
      <c r="M2926" s="5" t="s">
        <v>45</v>
      </c>
      <c r="N2926" s="5" t="s">
        <v>123</v>
      </c>
      <c r="O2926" s="5" t="s">
        <v>46</v>
      </c>
      <c r="P2926" s="7" t="s">
        <v>60</v>
      </c>
      <c r="Q2926" s="7" t="s">
        <v>6072</v>
      </c>
      <c r="R2926" s="7" t="s">
        <v>4899</v>
      </c>
      <c r="S2926" s="5">
        <v>0</v>
      </c>
      <c r="T2926" s="36">
        <v>0</v>
      </c>
      <c r="U2926" s="5">
        <v>0</v>
      </c>
      <c r="V2926" s="36">
        <v>0</v>
      </c>
      <c r="W2926" s="5">
        <v>0</v>
      </c>
      <c r="X2926" s="5">
        <v>0</v>
      </c>
      <c r="Y2926" s="5">
        <v>0</v>
      </c>
      <c r="Z2926" s="36">
        <v>0</v>
      </c>
      <c r="AA2926" s="5">
        <v>0</v>
      </c>
      <c r="AB2926" s="5">
        <v>0</v>
      </c>
      <c r="AC2926" s="5">
        <v>0</v>
      </c>
      <c r="AD2926" s="5">
        <v>0</v>
      </c>
      <c r="AE2926" s="7" t="s">
        <v>73</v>
      </c>
      <c r="AF2926" s="7"/>
      <c r="AG2926" s="7" t="s">
        <v>114</v>
      </c>
      <c r="AH2926" s="7">
        <v>43648</v>
      </c>
      <c r="AI2926" s="5">
        <v>4</v>
      </c>
      <c r="AJ2926" s="7" t="s">
        <v>16534</v>
      </c>
      <c r="AK2926" s="7" t="s">
        <v>16535</v>
      </c>
    </row>
    <row r="2927" spans="1:37" ht="36.75" customHeight="1" x14ac:dyDescent="0.35">
      <c r="A2927" s="5"/>
      <c r="B2927" s="133" t="s">
        <v>37</v>
      </c>
      <c r="C2927" s="135" t="str">
        <f t="shared" si="45"/>
        <v>Closed</v>
      </c>
      <c r="D2927" s="91" t="s">
        <v>16536</v>
      </c>
      <c r="E2927" s="54" t="s">
        <v>43597</v>
      </c>
      <c r="F2927" s="5" t="s">
        <v>12451</v>
      </c>
      <c r="G2927" s="7">
        <f>DATE(2019,7,1)</f>
        <v>43647</v>
      </c>
      <c r="H2927" s="34">
        <v>1.6958333333333333</v>
      </c>
      <c r="I2927" s="5" t="s">
        <v>179</v>
      </c>
      <c r="J2927" s="7" t="s">
        <v>43598</v>
      </c>
      <c r="K2927" s="5" t="s">
        <v>181</v>
      </c>
      <c r="L2927" s="5" t="s">
        <v>43599</v>
      </c>
      <c r="M2927" s="5" t="s">
        <v>45</v>
      </c>
      <c r="N2927" s="5" t="s">
        <v>123</v>
      </c>
      <c r="O2927" s="5" t="s">
        <v>59</v>
      </c>
      <c r="P2927" s="7" t="s">
        <v>146</v>
      </c>
      <c r="Q2927" s="7" t="s">
        <v>14530</v>
      </c>
      <c r="R2927" s="7" t="s">
        <v>13549</v>
      </c>
      <c r="S2927" s="5">
        <v>0</v>
      </c>
      <c r="T2927" s="36">
        <v>0</v>
      </c>
      <c r="U2927" s="5">
        <v>0</v>
      </c>
      <c r="V2927" s="36">
        <v>0</v>
      </c>
      <c r="W2927" s="5">
        <v>0</v>
      </c>
      <c r="X2927" s="5">
        <v>0</v>
      </c>
      <c r="Y2927" s="5">
        <v>0</v>
      </c>
      <c r="Z2927" s="36">
        <v>0</v>
      </c>
      <c r="AA2927" s="5">
        <v>0</v>
      </c>
      <c r="AB2927" s="5">
        <v>0</v>
      </c>
      <c r="AC2927" s="5">
        <v>0</v>
      </c>
      <c r="AD2927" s="5">
        <v>0</v>
      </c>
      <c r="AE2927" s="7" t="s">
        <v>126</v>
      </c>
      <c r="AF2927" s="7" t="s">
        <v>14531</v>
      </c>
      <c r="AG2927" s="7" t="s">
        <v>14532</v>
      </c>
      <c r="AH2927" s="7">
        <v>43648</v>
      </c>
      <c r="AI2927" s="133">
        <v>1</v>
      </c>
      <c r="AJ2927" s="7" t="s">
        <v>43600</v>
      </c>
      <c r="AK2927" s="7" t="s">
        <v>43601</v>
      </c>
    </row>
    <row r="2928" spans="1:37" customFormat="1" ht="36.75" customHeight="1" x14ac:dyDescent="0.35">
      <c r="A2928" s="5"/>
      <c r="B2928" s="5" t="s">
        <v>37</v>
      </c>
      <c r="C2928" s="73" t="str">
        <f t="shared" si="45"/>
        <v>Closed</v>
      </c>
      <c r="D2928" s="45" t="s">
        <v>16537</v>
      </c>
      <c r="E2928" s="54" t="s">
        <v>16538</v>
      </c>
      <c r="F2928" s="5" t="s">
        <v>816</v>
      </c>
      <c r="G2928" s="7">
        <f>DATE(2019,7,2)</f>
        <v>43648</v>
      </c>
      <c r="H2928" s="34">
        <v>1.46875</v>
      </c>
      <c r="I2928" s="5" t="s">
        <v>55</v>
      </c>
      <c r="J2928" s="7" t="s">
        <v>16539</v>
      </c>
      <c r="K2928" s="5" t="s">
        <v>818</v>
      </c>
      <c r="L2928" s="5" t="s">
        <v>16540</v>
      </c>
      <c r="M2928" s="5" t="s">
        <v>9897</v>
      </c>
      <c r="N2928" s="5" t="s">
        <v>80</v>
      </c>
      <c r="O2928" s="5" t="s">
        <v>46</v>
      </c>
      <c r="P2928" s="7" t="s">
        <v>146</v>
      </c>
      <c r="Q2928" s="7" t="s">
        <v>820</v>
      </c>
      <c r="R2928" s="7" t="s">
        <v>821</v>
      </c>
      <c r="S2928" s="5">
        <v>0</v>
      </c>
      <c r="T2928" s="36">
        <v>0</v>
      </c>
      <c r="U2928" s="5">
        <v>0</v>
      </c>
      <c r="V2928" s="36">
        <v>0</v>
      </c>
      <c r="W2928" s="5">
        <v>0</v>
      </c>
      <c r="X2928" s="5">
        <v>0</v>
      </c>
      <c r="Y2928" s="5">
        <v>0</v>
      </c>
      <c r="Z2928" s="36">
        <v>0</v>
      </c>
      <c r="AA2928" s="5">
        <v>0</v>
      </c>
      <c r="AB2928" s="5">
        <v>0</v>
      </c>
      <c r="AC2928" s="5">
        <v>0</v>
      </c>
      <c r="AD2928" s="5">
        <v>0</v>
      </c>
      <c r="AE2928" s="7" t="s">
        <v>73</v>
      </c>
      <c r="AF2928" s="7"/>
      <c r="AG2928" s="7" t="s">
        <v>333</v>
      </c>
      <c r="AH2928" s="7">
        <v>43648</v>
      </c>
      <c r="AI2928" s="5">
        <v>0</v>
      </c>
      <c r="AJ2928" s="7" t="s">
        <v>8469</v>
      </c>
      <c r="AK2928" s="7" t="s">
        <v>50</v>
      </c>
    </row>
    <row r="2929" spans="1:37" customFormat="1" ht="36.75" customHeight="1" x14ac:dyDescent="0.35">
      <c r="A2929" s="5"/>
      <c r="B2929" s="5" t="s">
        <v>37</v>
      </c>
      <c r="C2929" s="73" t="str">
        <f t="shared" si="45"/>
        <v>Closed</v>
      </c>
      <c r="D2929" s="45" t="s">
        <v>16541</v>
      </c>
      <c r="E2929" s="54" t="s">
        <v>16542</v>
      </c>
      <c r="F2929" s="5" t="s">
        <v>214</v>
      </c>
      <c r="G2929" s="7">
        <f>DATE(2019,7,3)</f>
        <v>43649</v>
      </c>
      <c r="H2929" s="34">
        <v>1.4111111111111112</v>
      </c>
      <c r="I2929" s="5" t="s">
        <v>259</v>
      </c>
      <c r="J2929" s="7" t="s">
        <v>16543</v>
      </c>
      <c r="K2929" s="5" t="s">
        <v>216</v>
      </c>
      <c r="L2929" s="5" t="s">
        <v>16544</v>
      </c>
      <c r="M2929" s="5" t="s">
        <v>45</v>
      </c>
      <c r="N2929" s="5" t="s">
        <v>123</v>
      </c>
      <c r="O2929" s="5" t="s">
        <v>46</v>
      </c>
      <c r="P2929" s="7" t="s">
        <v>6881</v>
      </c>
      <c r="Q2929" s="7" t="s">
        <v>16545</v>
      </c>
      <c r="R2929" s="7" t="s">
        <v>216</v>
      </c>
      <c r="S2929" s="5">
        <v>0</v>
      </c>
      <c r="T2929" s="36">
        <v>2</v>
      </c>
      <c r="U2929" s="5">
        <v>0</v>
      </c>
      <c r="V2929" s="36">
        <v>0</v>
      </c>
      <c r="W2929" s="5">
        <v>0</v>
      </c>
      <c r="X2929" s="5">
        <v>2</v>
      </c>
      <c r="Y2929" s="5">
        <v>0</v>
      </c>
      <c r="Z2929" s="36">
        <v>0</v>
      </c>
      <c r="AA2929" s="5">
        <v>0</v>
      </c>
      <c r="AB2929" s="5">
        <v>0</v>
      </c>
      <c r="AC2929" s="5">
        <v>0</v>
      </c>
      <c r="AD2929" s="5">
        <v>0</v>
      </c>
      <c r="AE2929" s="7" t="s">
        <v>73</v>
      </c>
      <c r="AF2929" s="7"/>
      <c r="AG2929" s="7" t="s">
        <v>64</v>
      </c>
      <c r="AH2929" s="7">
        <v>43649</v>
      </c>
      <c r="AI2929" s="5">
        <v>0</v>
      </c>
      <c r="AJ2929" s="7" t="s">
        <v>16546</v>
      </c>
      <c r="AK2929" s="7" t="s">
        <v>16547</v>
      </c>
    </row>
    <row r="2930" spans="1:37" customFormat="1" ht="36.75" customHeight="1" x14ac:dyDescent="0.35">
      <c r="A2930" s="5"/>
      <c r="B2930" s="5" t="s">
        <v>37</v>
      </c>
      <c r="C2930" s="73" t="str">
        <f t="shared" si="45"/>
        <v>Closed</v>
      </c>
      <c r="D2930" s="45" t="s">
        <v>16548</v>
      </c>
      <c r="E2930" s="54" t="s">
        <v>16549</v>
      </c>
      <c r="F2930" s="5" t="s">
        <v>432</v>
      </c>
      <c r="G2930" s="7">
        <f>DATE(2019,7,6)</f>
        <v>43652</v>
      </c>
      <c r="H2930" s="34">
        <v>1.4597222222222221</v>
      </c>
      <c r="I2930" s="5" t="s">
        <v>97</v>
      </c>
      <c r="J2930" s="7" t="s">
        <v>16550</v>
      </c>
      <c r="K2930" s="5" t="s">
        <v>434</v>
      </c>
      <c r="L2930" s="5" t="s">
        <v>16551</v>
      </c>
      <c r="M2930" s="5" t="s">
        <v>236</v>
      </c>
      <c r="N2930" s="5" t="s">
        <v>80</v>
      </c>
      <c r="O2930" s="5" t="s">
        <v>46</v>
      </c>
      <c r="P2930" s="7" t="s">
        <v>6531</v>
      </c>
      <c r="Q2930" s="7" t="s">
        <v>16552</v>
      </c>
      <c r="R2930" s="7" t="s">
        <v>16553</v>
      </c>
      <c r="S2930" s="5">
        <v>0</v>
      </c>
      <c r="T2930" s="36">
        <v>0</v>
      </c>
      <c r="U2930" s="5">
        <v>2</v>
      </c>
      <c r="V2930" s="36">
        <v>0</v>
      </c>
      <c r="W2930" s="5">
        <v>0</v>
      </c>
      <c r="X2930" s="5">
        <v>2</v>
      </c>
      <c r="Y2930" s="5">
        <v>0</v>
      </c>
      <c r="Z2930" s="36">
        <v>0</v>
      </c>
      <c r="AA2930" s="5">
        <v>2</v>
      </c>
      <c r="AB2930" s="5">
        <v>0</v>
      </c>
      <c r="AC2930" s="5">
        <v>0</v>
      </c>
      <c r="AD2930" s="5">
        <v>2</v>
      </c>
      <c r="AE2930" s="7" t="s">
        <v>375</v>
      </c>
      <c r="AF2930" s="7"/>
      <c r="AG2930" s="7" t="s">
        <v>64</v>
      </c>
      <c r="AH2930" s="7">
        <v>43652</v>
      </c>
      <c r="AI2930" s="5">
        <v>0</v>
      </c>
      <c r="AJ2930" s="7" t="s">
        <v>16554</v>
      </c>
      <c r="AK2930" s="7" t="s">
        <v>50</v>
      </c>
    </row>
    <row r="2931" spans="1:37" customFormat="1" ht="36.75" customHeight="1" x14ac:dyDescent="0.35">
      <c r="A2931" s="5"/>
      <c r="B2931" s="5" t="s">
        <v>37</v>
      </c>
      <c r="C2931" s="73" t="str">
        <f t="shared" si="45"/>
        <v>Closed</v>
      </c>
      <c r="D2931" s="45" t="s">
        <v>16555</v>
      </c>
      <c r="E2931" s="54" t="s">
        <v>16556</v>
      </c>
      <c r="F2931" s="5" t="s">
        <v>404</v>
      </c>
      <c r="G2931" s="7">
        <f>DATE(2019,7,8)</f>
        <v>43654</v>
      </c>
      <c r="H2931" s="34">
        <v>1.2916666666666667</v>
      </c>
      <c r="I2931" s="5" t="s">
        <v>179</v>
      </c>
      <c r="J2931" s="7" t="s">
        <v>16557</v>
      </c>
      <c r="K2931" s="5" t="s">
        <v>406</v>
      </c>
      <c r="L2931" s="5" t="s">
        <v>14469</v>
      </c>
      <c r="M2931" s="5" t="s">
        <v>45</v>
      </c>
      <c r="N2931" s="5" t="s">
        <v>70</v>
      </c>
      <c r="O2931" s="5" t="s">
        <v>59</v>
      </c>
      <c r="P2931" s="7" t="s">
        <v>3613</v>
      </c>
      <c r="Q2931" s="7" t="s">
        <v>16558</v>
      </c>
      <c r="R2931" s="7" t="s">
        <v>3083</v>
      </c>
      <c r="S2931" s="5">
        <v>0</v>
      </c>
      <c r="T2931" s="36">
        <v>0</v>
      </c>
      <c r="U2931" s="5">
        <v>0</v>
      </c>
      <c r="V2931" s="36">
        <v>0</v>
      </c>
      <c r="W2931" s="5">
        <v>0</v>
      </c>
      <c r="X2931" s="5">
        <v>0</v>
      </c>
      <c r="Y2931" s="5">
        <v>0</v>
      </c>
      <c r="Z2931" s="36">
        <v>0</v>
      </c>
      <c r="AA2931" s="5">
        <v>0</v>
      </c>
      <c r="AB2931" s="5">
        <v>0</v>
      </c>
      <c r="AC2931" s="5">
        <v>0</v>
      </c>
      <c r="AD2931" s="5">
        <v>0</v>
      </c>
      <c r="AE2931" s="7" t="s">
        <v>73</v>
      </c>
      <c r="AF2931" s="7"/>
      <c r="AG2931" s="7" t="s">
        <v>855</v>
      </c>
      <c r="AH2931" s="7">
        <v>43684</v>
      </c>
      <c r="AI2931" s="5">
        <v>0</v>
      </c>
      <c r="AJ2931" s="7" t="s">
        <v>16559</v>
      </c>
      <c r="AK2931" s="7" t="s">
        <v>16560</v>
      </c>
    </row>
    <row r="2932" spans="1:37" customFormat="1" ht="36.75" customHeight="1" x14ac:dyDescent="0.35">
      <c r="A2932" s="5"/>
      <c r="B2932" s="5" t="s">
        <v>37</v>
      </c>
      <c r="C2932" s="73" t="str">
        <f t="shared" si="45"/>
        <v>Closed</v>
      </c>
      <c r="D2932" s="45" t="s">
        <v>16561</v>
      </c>
      <c r="E2932" s="54" t="s">
        <v>16562</v>
      </c>
      <c r="F2932" s="5" t="s">
        <v>816</v>
      </c>
      <c r="G2932" s="7">
        <f>DATE(2019,7,8)</f>
        <v>43654</v>
      </c>
      <c r="H2932" s="34">
        <v>1.6736111111111112</v>
      </c>
      <c r="I2932" s="5" t="s">
        <v>55</v>
      </c>
      <c r="J2932" s="7" t="s">
        <v>16563</v>
      </c>
      <c r="K2932" s="5" t="s">
        <v>818</v>
      </c>
      <c r="L2932" s="5" t="s">
        <v>16564</v>
      </c>
      <c r="M2932" s="5" t="s">
        <v>45</v>
      </c>
      <c r="N2932" s="5" t="s">
        <v>123</v>
      </c>
      <c r="O2932" s="5" t="s">
        <v>59</v>
      </c>
      <c r="P2932" s="7" t="s">
        <v>362</v>
      </c>
      <c r="Q2932" s="7" t="s">
        <v>6560</v>
      </c>
      <c r="R2932" s="7" t="s">
        <v>821</v>
      </c>
      <c r="S2932" s="5">
        <v>0</v>
      </c>
      <c r="T2932" s="36">
        <v>0</v>
      </c>
      <c r="U2932" s="5">
        <v>0</v>
      </c>
      <c r="V2932" s="36">
        <v>0</v>
      </c>
      <c r="W2932" s="5">
        <v>0</v>
      </c>
      <c r="X2932" s="5">
        <v>0</v>
      </c>
      <c r="Y2932" s="5">
        <v>0</v>
      </c>
      <c r="Z2932" s="36">
        <v>0</v>
      </c>
      <c r="AA2932" s="5">
        <v>0</v>
      </c>
      <c r="AB2932" s="5">
        <v>0</v>
      </c>
      <c r="AC2932" s="5">
        <v>0</v>
      </c>
      <c r="AD2932" s="5">
        <v>0</v>
      </c>
      <c r="AE2932" s="7" t="s">
        <v>375</v>
      </c>
      <c r="AF2932" s="7"/>
      <c r="AG2932" s="7" t="s">
        <v>114</v>
      </c>
      <c r="AH2932" s="7">
        <v>43654</v>
      </c>
      <c r="AI2932" s="5">
        <v>0</v>
      </c>
      <c r="AJ2932" s="7" t="s">
        <v>16565</v>
      </c>
      <c r="AK2932" s="7" t="s">
        <v>50</v>
      </c>
    </row>
    <row r="2933" spans="1:37" customFormat="1" ht="36.75" customHeight="1" x14ac:dyDescent="0.35">
      <c r="A2933" s="5"/>
      <c r="B2933" s="5" t="s">
        <v>37</v>
      </c>
      <c r="C2933" s="73" t="str">
        <f t="shared" si="45"/>
        <v>Closed</v>
      </c>
      <c r="D2933" s="45" t="s">
        <v>16566</v>
      </c>
      <c r="E2933" s="54" t="s">
        <v>16567</v>
      </c>
      <c r="F2933" s="5" t="s">
        <v>1553</v>
      </c>
      <c r="G2933" s="7">
        <f>DATE(2019,7,8)</f>
        <v>43654</v>
      </c>
      <c r="H2933" s="34">
        <v>1.0993055555555555</v>
      </c>
      <c r="I2933" s="5" t="s">
        <v>179</v>
      </c>
      <c r="J2933" s="7" t="s">
        <v>16568</v>
      </c>
      <c r="K2933" s="5" t="s">
        <v>1555</v>
      </c>
      <c r="L2933" s="5" t="s">
        <v>16569</v>
      </c>
      <c r="M2933" s="5" t="s">
        <v>45</v>
      </c>
      <c r="N2933" s="5" t="s">
        <v>123</v>
      </c>
      <c r="O2933" s="5" t="s">
        <v>46</v>
      </c>
      <c r="P2933" s="7" t="s">
        <v>60</v>
      </c>
      <c r="Q2933" s="7" t="s">
        <v>16570</v>
      </c>
      <c r="R2933" s="7" t="s">
        <v>6413</v>
      </c>
      <c r="S2933" s="5">
        <v>0</v>
      </c>
      <c r="T2933" s="36">
        <v>0</v>
      </c>
      <c r="U2933" s="5">
        <v>0</v>
      </c>
      <c r="V2933" s="36">
        <v>0</v>
      </c>
      <c r="W2933" s="5">
        <v>0</v>
      </c>
      <c r="X2933" s="5">
        <v>0</v>
      </c>
      <c r="Y2933" s="5">
        <v>0</v>
      </c>
      <c r="Z2933" s="36">
        <v>0</v>
      </c>
      <c r="AA2933" s="5">
        <v>0</v>
      </c>
      <c r="AB2933" s="5">
        <v>0</v>
      </c>
      <c r="AC2933" s="5">
        <v>0</v>
      </c>
      <c r="AD2933" s="5">
        <v>0</v>
      </c>
      <c r="AE2933" s="7" t="s">
        <v>126</v>
      </c>
      <c r="AF2933" s="7"/>
      <c r="AG2933" s="7" t="s">
        <v>114</v>
      </c>
      <c r="AH2933" s="7">
        <v>43654</v>
      </c>
      <c r="AI2933" s="5">
        <v>2</v>
      </c>
      <c r="AJ2933" s="7" t="s">
        <v>16571</v>
      </c>
      <c r="AK2933" s="7" t="s">
        <v>16572</v>
      </c>
    </row>
    <row r="2934" spans="1:37" customFormat="1" ht="36.75" customHeight="1" x14ac:dyDescent="0.35">
      <c r="A2934" s="5"/>
      <c r="B2934" s="5" t="s">
        <v>37</v>
      </c>
      <c r="C2934" s="73" t="str">
        <f t="shared" si="45"/>
        <v>Closed</v>
      </c>
      <c r="D2934" s="45" t="s">
        <v>16573</v>
      </c>
      <c r="E2934" s="54" t="s">
        <v>16574</v>
      </c>
      <c r="F2934" s="5" t="s">
        <v>1751</v>
      </c>
      <c r="G2934" s="7">
        <f>DATE(2019,7,11)</f>
        <v>43657</v>
      </c>
      <c r="H2934" s="34">
        <v>1.4097222222222223</v>
      </c>
      <c r="I2934" s="5" t="s">
        <v>55</v>
      </c>
      <c r="J2934" s="7" t="s">
        <v>16575</v>
      </c>
      <c r="K2934" s="5" t="s">
        <v>1753</v>
      </c>
      <c r="L2934" s="5" t="s">
        <v>16576</v>
      </c>
      <c r="M2934" s="5" t="s">
        <v>45</v>
      </c>
      <c r="N2934" s="5" t="s">
        <v>70</v>
      </c>
      <c r="O2934" s="5" t="s">
        <v>59</v>
      </c>
      <c r="P2934" s="7" t="s">
        <v>146</v>
      </c>
      <c r="Q2934" s="7" t="s">
        <v>16054</v>
      </c>
      <c r="R2934" s="7" t="s">
        <v>1756</v>
      </c>
      <c r="S2934" s="5">
        <v>0</v>
      </c>
      <c r="T2934" s="36">
        <v>0</v>
      </c>
      <c r="U2934" s="5">
        <v>0</v>
      </c>
      <c r="V2934" s="36">
        <v>0</v>
      </c>
      <c r="W2934" s="5">
        <v>0</v>
      </c>
      <c r="X2934" s="5">
        <v>0</v>
      </c>
      <c r="Y2934" s="5">
        <v>0</v>
      </c>
      <c r="Z2934" s="36">
        <v>0</v>
      </c>
      <c r="AA2934" s="5">
        <v>0</v>
      </c>
      <c r="AB2934" s="5">
        <v>0</v>
      </c>
      <c r="AC2934" s="5">
        <v>0</v>
      </c>
      <c r="AD2934" s="5">
        <v>0</v>
      </c>
      <c r="AE2934" s="7" t="s">
        <v>73</v>
      </c>
      <c r="AF2934" s="7" t="s">
        <v>16577</v>
      </c>
      <c r="AG2934" s="7" t="s">
        <v>8837</v>
      </c>
      <c r="AH2934" s="7">
        <v>43675</v>
      </c>
      <c r="AI2934" s="5">
        <v>0</v>
      </c>
      <c r="AJ2934" s="7" t="s">
        <v>16578</v>
      </c>
      <c r="AK2934" s="7" t="s">
        <v>16579</v>
      </c>
    </row>
    <row r="2935" spans="1:37" customFormat="1" ht="36.75" customHeight="1" x14ac:dyDescent="0.35">
      <c r="A2935" s="5"/>
      <c r="B2935" s="5" t="s">
        <v>37</v>
      </c>
      <c r="C2935" s="73" t="str">
        <f t="shared" si="45"/>
        <v>Closed</v>
      </c>
      <c r="D2935" s="45" t="s">
        <v>16580</v>
      </c>
      <c r="E2935" s="54" t="s">
        <v>16581</v>
      </c>
      <c r="F2935" s="5" t="s">
        <v>404</v>
      </c>
      <c r="G2935" s="7">
        <f>DATE(2019,7,13)</f>
        <v>43659</v>
      </c>
      <c r="H2935" s="34">
        <v>1.6347222222222222</v>
      </c>
      <c r="I2935" s="5" t="s">
        <v>97</v>
      </c>
      <c r="J2935" s="7" t="s">
        <v>16582</v>
      </c>
      <c r="K2935" s="5" t="s">
        <v>406</v>
      </c>
      <c r="L2935" s="5" t="s">
        <v>16583</v>
      </c>
      <c r="M2935" s="5" t="s">
        <v>45</v>
      </c>
      <c r="N2935" s="5" t="s">
        <v>80</v>
      </c>
      <c r="O2935" s="5" t="s">
        <v>46</v>
      </c>
      <c r="P2935" s="7" t="s">
        <v>146</v>
      </c>
      <c r="Q2935" s="7" t="s">
        <v>4531</v>
      </c>
      <c r="R2935" s="7" t="s">
        <v>3083</v>
      </c>
      <c r="S2935" s="5">
        <v>0</v>
      </c>
      <c r="T2935" s="36">
        <v>0</v>
      </c>
      <c r="U2935" s="5">
        <v>1</v>
      </c>
      <c r="V2935" s="36">
        <v>0</v>
      </c>
      <c r="W2935" s="5">
        <v>0</v>
      </c>
      <c r="X2935" s="5">
        <v>1</v>
      </c>
      <c r="Y2935" s="5">
        <v>1</v>
      </c>
      <c r="Z2935" s="36">
        <v>0</v>
      </c>
      <c r="AA2935" s="5">
        <v>1</v>
      </c>
      <c r="AB2935" s="5">
        <v>0</v>
      </c>
      <c r="AC2935" s="5">
        <v>0</v>
      </c>
      <c r="AD2935" s="5">
        <v>2</v>
      </c>
      <c r="AE2935" s="7" t="s">
        <v>375</v>
      </c>
      <c r="AF2935" s="7"/>
      <c r="AG2935" s="7" t="s">
        <v>114</v>
      </c>
      <c r="AH2935" s="7">
        <v>43659</v>
      </c>
      <c r="AI2935" s="5">
        <v>2</v>
      </c>
      <c r="AJ2935" s="7" t="s">
        <v>16584</v>
      </c>
      <c r="AK2935" s="7" t="s">
        <v>15077</v>
      </c>
    </row>
    <row r="2936" spans="1:37" customFormat="1" ht="36.75" customHeight="1" x14ac:dyDescent="0.35">
      <c r="A2936" s="5"/>
      <c r="B2936" s="5" t="s">
        <v>37</v>
      </c>
      <c r="C2936" s="73" t="str">
        <f t="shared" si="45"/>
        <v>Closed</v>
      </c>
      <c r="D2936" s="45" t="s">
        <v>16585</v>
      </c>
      <c r="E2936" s="54" t="s">
        <v>16586</v>
      </c>
      <c r="F2936" s="5" t="s">
        <v>816</v>
      </c>
      <c r="G2936" s="7">
        <f>DATE(2019,7,13)</f>
        <v>43659</v>
      </c>
      <c r="H2936" s="34">
        <v>1.5013888888888889</v>
      </c>
      <c r="I2936" s="5" t="s">
        <v>85</v>
      </c>
      <c r="J2936" s="7" t="s">
        <v>16587</v>
      </c>
      <c r="K2936" s="5" t="s">
        <v>818</v>
      </c>
      <c r="L2936" s="5" t="s">
        <v>16588</v>
      </c>
      <c r="M2936" s="5" t="s">
        <v>45</v>
      </c>
      <c r="N2936" s="5" t="s">
        <v>80</v>
      </c>
      <c r="O2936" s="5" t="s">
        <v>59</v>
      </c>
      <c r="P2936" s="7" t="s">
        <v>6920</v>
      </c>
      <c r="Q2936" s="7" t="s">
        <v>820</v>
      </c>
      <c r="R2936" s="7" t="s">
        <v>821</v>
      </c>
      <c r="S2936" s="5">
        <v>0</v>
      </c>
      <c r="T2936" s="36">
        <v>0</v>
      </c>
      <c r="U2936" s="5">
        <v>0</v>
      </c>
      <c r="V2936" s="36">
        <v>0</v>
      </c>
      <c r="W2936" s="5">
        <v>0</v>
      </c>
      <c r="X2936" s="5">
        <v>0</v>
      </c>
      <c r="Y2936" s="5">
        <v>0</v>
      </c>
      <c r="Z2936" s="36">
        <v>0</v>
      </c>
      <c r="AA2936" s="5">
        <v>0</v>
      </c>
      <c r="AB2936" s="5">
        <v>0</v>
      </c>
      <c r="AC2936" s="5">
        <v>0</v>
      </c>
      <c r="AD2936" s="5">
        <v>0</v>
      </c>
      <c r="AE2936" s="7" t="s">
        <v>73</v>
      </c>
      <c r="AF2936" s="7"/>
      <c r="AG2936" s="7" t="s">
        <v>10489</v>
      </c>
      <c r="AH2936" s="7">
        <v>43769</v>
      </c>
      <c r="AI2936" s="5">
        <v>0</v>
      </c>
      <c r="AJ2936" s="7" t="s">
        <v>16589</v>
      </c>
      <c r="AK2936" s="7" t="s">
        <v>16590</v>
      </c>
    </row>
    <row r="2937" spans="1:37" customFormat="1" ht="36.75" customHeight="1" x14ac:dyDescent="0.35">
      <c r="A2937" s="5"/>
      <c r="B2937" s="5" t="s">
        <v>37</v>
      </c>
      <c r="C2937" s="73" t="str">
        <f t="shared" si="45"/>
        <v>Closed</v>
      </c>
      <c r="D2937" s="45" t="s">
        <v>16591</v>
      </c>
      <c r="E2937" s="54" t="s">
        <v>16592</v>
      </c>
      <c r="F2937" s="5" t="s">
        <v>404</v>
      </c>
      <c r="G2937" s="7">
        <f>DATE(2019,7,14)</f>
        <v>43660</v>
      </c>
      <c r="H2937" s="34">
        <v>1.6194444444444445</v>
      </c>
      <c r="I2937" s="5" t="s">
        <v>97</v>
      </c>
      <c r="J2937" s="7" t="s">
        <v>16593</v>
      </c>
      <c r="K2937" s="5" t="s">
        <v>406</v>
      </c>
      <c r="L2937" s="5" t="s">
        <v>16594</v>
      </c>
      <c r="M2937" s="5" t="s">
        <v>45</v>
      </c>
      <c r="N2937" s="5" t="s">
        <v>80</v>
      </c>
      <c r="O2937" s="5" t="s">
        <v>46</v>
      </c>
      <c r="P2937" s="7" t="s">
        <v>146</v>
      </c>
      <c r="Q2937" s="7" t="s">
        <v>4531</v>
      </c>
      <c r="R2937" s="7" t="s">
        <v>3083</v>
      </c>
      <c r="S2937" s="5">
        <v>0</v>
      </c>
      <c r="T2937" s="36">
        <v>0</v>
      </c>
      <c r="U2937" s="5">
        <v>4</v>
      </c>
      <c r="V2937" s="36">
        <v>0</v>
      </c>
      <c r="W2937" s="5">
        <v>0</v>
      </c>
      <c r="X2937" s="5">
        <v>4</v>
      </c>
      <c r="Y2937" s="5">
        <v>0</v>
      </c>
      <c r="Z2937" s="36">
        <v>0</v>
      </c>
      <c r="AA2937" s="5">
        <v>0</v>
      </c>
      <c r="AB2937" s="5">
        <v>0</v>
      </c>
      <c r="AC2937" s="5">
        <v>0</v>
      </c>
      <c r="AD2937" s="5">
        <v>0</v>
      </c>
      <c r="AE2937" s="7" t="s">
        <v>73</v>
      </c>
      <c r="AF2937" s="7"/>
      <c r="AG2937" s="7" t="s">
        <v>855</v>
      </c>
      <c r="AH2937" s="7">
        <v>43660</v>
      </c>
      <c r="AI2937" s="5">
        <v>0</v>
      </c>
      <c r="AJ2937" s="7" t="s">
        <v>16595</v>
      </c>
      <c r="AK2937" s="7" t="s">
        <v>14095</v>
      </c>
    </row>
    <row r="2938" spans="1:37" customFormat="1" ht="36.75" customHeight="1" x14ac:dyDescent="0.35">
      <c r="A2938" s="5"/>
      <c r="B2938" s="5" t="s">
        <v>37</v>
      </c>
      <c r="C2938" s="73" t="str">
        <f t="shared" si="45"/>
        <v>Closed</v>
      </c>
      <c r="D2938" s="45" t="s">
        <v>16596</v>
      </c>
      <c r="E2938" s="54" t="s">
        <v>16597</v>
      </c>
      <c r="F2938" s="5" t="s">
        <v>96</v>
      </c>
      <c r="G2938" s="7">
        <f>DATE(2019,7,15)</f>
        <v>43661</v>
      </c>
      <c r="H2938" s="34">
        <v>1.4041666666666666</v>
      </c>
      <c r="I2938" s="5" t="s">
        <v>97</v>
      </c>
      <c r="J2938" s="7" t="s">
        <v>16598</v>
      </c>
      <c r="K2938" s="5" t="s">
        <v>99</v>
      </c>
      <c r="L2938" s="5" t="s">
        <v>16599</v>
      </c>
      <c r="M2938" s="5" t="s">
        <v>45</v>
      </c>
      <c r="N2938" s="5" t="s">
        <v>123</v>
      </c>
      <c r="O2938" s="5" t="s">
        <v>46</v>
      </c>
      <c r="P2938" s="7" t="s">
        <v>146</v>
      </c>
      <c r="Q2938" s="7" t="s">
        <v>101</v>
      </c>
      <c r="R2938" s="7" t="s">
        <v>102</v>
      </c>
      <c r="S2938" s="5">
        <v>0</v>
      </c>
      <c r="T2938" s="36">
        <v>0</v>
      </c>
      <c r="U2938" s="5">
        <v>4</v>
      </c>
      <c r="V2938" s="36">
        <v>0</v>
      </c>
      <c r="W2938" s="5">
        <v>0</v>
      </c>
      <c r="X2938" s="5">
        <v>4</v>
      </c>
      <c r="Y2938" s="5">
        <v>0</v>
      </c>
      <c r="Z2938" s="36">
        <v>0</v>
      </c>
      <c r="AA2938" s="5">
        <v>0</v>
      </c>
      <c r="AB2938" s="5">
        <v>0</v>
      </c>
      <c r="AC2938" s="5">
        <v>0</v>
      </c>
      <c r="AD2938" s="5">
        <v>0</v>
      </c>
      <c r="AE2938" s="7" t="s">
        <v>73</v>
      </c>
      <c r="AF2938" s="7"/>
      <c r="AG2938" s="7" t="s">
        <v>114</v>
      </c>
      <c r="AH2938" s="7">
        <v>43661</v>
      </c>
      <c r="AI2938" s="5">
        <v>1</v>
      </c>
      <c r="AJ2938" s="7" t="s">
        <v>16600</v>
      </c>
      <c r="AK2938" s="7" t="s">
        <v>16601</v>
      </c>
    </row>
    <row r="2939" spans="1:37" customFormat="1" ht="36.75" customHeight="1" x14ac:dyDescent="0.35">
      <c r="A2939" s="5"/>
      <c r="B2939" s="5" t="s">
        <v>37</v>
      </c>
      <c r="C2939" s="73" t="str">
        <f t="shared" si="45"/>
        <v>Closed</v>
      </c>
      <c r="D2939" s="45" t="s">
        <v>16602</v>
      </c>
      <c r="E2939" s="54" t="s">
        <v>16603</v>
      </c>
      <c r="F2939" s="5" t="s">
        <v>404</v>
      </c>
      <c r="G2939" s="7">
        <f>DATE(2019,7,16)</f>
        <v>43662</v>
      </c>
      <c r="H2939" s="34">
        <v>1.3215277777777779</v>
      </c>
      <c r="I2939" s="5" t="s">
        <v>97</v>
      </c>
      <c r="J2939" s="7" t="s">
        <v>16604</v>
      </c>
      <c r="K2939" s="5" t="s">
        <v>406</v>
      </c>
      <c r="L2939" s="5" t="s">
        <v>16605</v>
      </c>
      <c r="M2939" s="5" t="s">
        <v>45</v>
      </c>
      <c r="N2939" s="5" t="s">
        <v>80</v>
      </c>
      <c r="O2939" s="5" t="s">
        <v>46</v>
      </c>
      <c r="P2939" s="7" t="s">
        <v>47</v>
      </c>
      <c r="Q2939" s="7" t="s">
        <v>12560</v>
      </c>
      <c r="R2939" s="7" t="s">
        <v>3083</v>
      </c>
      <c r="S2939" s="5">
        <v>0</v>
      </c>
      <c r="T2939" s="36">
        <v>0</v>
      </c>
      <c r="U2939" s="5">
        <v>0</v>
      </c>
      <c r="V2939" s="36">
        <v>0</v>
      </c>
      <c r="W2939" s="5">
        <v>0</v>
      </c>
      <c r="X2939" s="5">
        <v>0</v>
      </c>
      <c r="Y2939" s="5">
        <v>0</v>
      </c>
      <c r="Z2939" s="36">
        <v>0</v>
      </c>
      <c r="AA2939" s="5">
        <v>0</v>
      </c>
      <c r="AB2939" s="5">
        <v>0</v>
      </c>
      <c r="AC2939" s="5">
        <v>0</v>
      </c>
      <c r="AD2939" s="5">
        <v>0</v>
      </c>
      <c r="AE2939" s="7" t="s">
        <v>375</v>
      </c>
      <c r="AF2939" s="7"/>
      <c r="AG2939" s="7" t="s">
        <v>16105</v>
      </c>
      <c r="AH2939" s="7">
        <v>43662</v>
      </c>
      <c r="AI2939" s="5">
        <v>2</v>
      </c>
      <c r="AJ2939" s="7" t="s">
        <v>15076</v>
      </c>
      <c r="AK2939" s="7" t="s">
        <v>15077</v>
      </c>
    </row>
    <row r="2940" spans="1:37" customFormat="1" ht="36.75" customHeight="1" x14ac:dyDescent="0.35">
      <c r="A2940" s="5"/>
      <c r="B2940" s="5" t="s">
        <v>37</v>
      </c>
      <c r="C2940" s="73" t="str">
        <f t="shared" si="45"/>
        <v>Closed</v>
      </c>
      <c r="D2940" s="45" t="s">
        <v>16606</v>
      </c>
      <c r="E2940" s="54" t="s">
        <v>16607</v>
      </c>
      <c r="F2940" s="5" t="s">
        <v>816</v>
      </c>
      <c r="G2940" s="7">
        <f>DATE(2019,7,16)</f>
        <v>43662</v>
      </c>
      <c r="H2940" s="34">
        <v>1.4756944444444444</v>
      </c>
      <c r="I2940" s="5" t="s">
        <v>55</v>
      </c>
      <c r="J2940" s="7" t="s">
        <v>16608</v>
      </c>
      <c r="K2940" s="5" t="s">
        <v>818</v>
      </c>
      <c r="L2940" s="5" t="s">
        <v>16609</v>
      </c>
      <c r="M2940" s="5" t="s">
        <v>45</v>
      </c>
      <c r="N2940" s="5" t="s">
        <v>80</v>
      </c>
      <c r="O2940" s="5" t="s">
        <v>59</v>
      </c>
      <c r="P2940" s="7" t="s">
        <v>146</v>
      </c>
      <c r="Q2940" s="7" t="s">
        <v>820</v>
      </c>
      <c r="R2940" s="7" t="s">
        <v>821</v>
      </c>
      <c r="S2940" s="5">
        <v>0</v>
      </c>
      <c r="T2940" s="36">
        <v>0</v>
      </c>
      <c r="U2940" s="5">
        <v>0</v>
      </c>
      <c r="V2940" s="36">
        <v>0</v>
      </c>
      <c r="W2940" s="5">
        <v>0</v>
      </c>
      <c r="X2940" s="5">
        <v>0</v>
      </c>
      <c r="Y2940" s="5">
        <v>0</v>
      </c>
      <c r="Z2940" s="36">
        <v>0</v>
      </c>
      <c r="AA2940" s="5">
        <v>0</v>
      </c>
      <c r="AB2940" s="5">
        <v>0</v>
      </c>
      <c r="AC2940" s="5">
        <v>0</v>
      </c>
      <c r="AD2940" s="5">
        <v>0</v>
      </c>
      <c r="AE2940" s="7" t="s">
        <v>73</v>
      </c>
      <c r="AF2940" s="7"/>
      <c r="AG2940" s="7" t="s">
        <v>333</v>
      </c>
      <c r="AH2940" s="7">
        <v>43662</v>
      </c>
      <c r="AI2940" s="5">
        <v>0</v>
      </c>
      <c r="AJ2940" s="7" t="s">
        <v>16610</v>
      </c>
      <c r="AK2940" s="7" t="s">
        <v>1215</v>
      </c>
    </row>
    <row r="2941" spans="1:37" customFormat="1" ht="36.75" customHeight="1" x14ac:dyDescent="0.35">
      <c r="A2941" s="5"/>
      <c r="B2941" s="5" t="s">
        <v>37</v>
      </c>
      <c r="C2941" s="73" t="str">
        <f t="shared" si="45"/>
        <v>Closed</v>
      </c>
      <c r="D2941" s="45" t="s">
        <v>16611</v>
      </c>
      <c r="E2941" s="54" t="s">
        <v>16612</v>
      </c>
      <c r="F2941" s="5" t="s">
        <v>5406</v>
      </c>
      <c r="G2941" s="7">
        <f>DATE(2019,7,16)</f>
        <v>43662</v>
      </c>
      <c r="H2941" s="34">
        <v>0</v>
      </c>
      <c r="I2941" s="5" t="s">
        <v>259</v>
      </c>
      <c r="J2941" s="7" t="s">
        <v>16613</v>
      </c>
      <c r="K2941" s="5" t="s">
        <v>577</v>
      </c>
      <c r="L2941" s="5" t="s">
        <v>16614</v>
      </c>
      <c r="M2941" s="5" t="s">
        <v>45</v>
      </c>
      <c r="N2941" s="5" t="s">
        <v>123</v>
      </c>
      <c r="O2941" s="5" t="s">
        <v>46</v>
      </c>
      <c r="P2941" s="7" t="s">
        <v>6881</v>
      </c>
      <c r="Q2941" s="7" t="s">
        <v>10507</v>
      </c>
      <c r="R2941" s="7" t="s">
        <v>12052</v>
      </c>
      <c r="S2941" s="5">
        <v>0</v>
      </c>
      <c r="T2941" s="36">
        <v>1</v>
      </c>
      <c r="U2941" s="5">
        <v>0</v>
      </c>
      <c r="V2941" s="36">
        <v>0</v>
      </c>
      <c r="W2941" s="5">
        <v>0</v>
      </c>
      <c r="X2941" s="5">
        <v>1</v>
      </c>
      <c r="Y2941" s="5">
        <v>0</v>
      </c>
      <c r="Z2941" s="36">
        <v>0</v>
      </c>
      <c r="AA2941" s="5">
        <v>0</v>
      </c>
      <c r="AB2941" s="5">
        <v>0</v>
      </c>
      <c r="AC2941" s="5">
        <v>0</v>
      </c>
      <c r="AD2941" s="5">
        <v>0</v>
      </c>
      <c r="AE2941" s="7" t="s">
        <v>73</v>
      </c>
      <c r="AF2941" s="7"/>
      <c r="AG2941" s="7" t="s">
        <v>64</v>
      </c>
      <c r="AH2941" s="7">
        <v>43624</v>
      </c>
      <c r="AI2941" s="5">
        <v>3</v>
      </c>
      <c r="AJ2941" s="7" t="s">
        <v>16615</v>
      </c>
      <c r="AK2941" s="7" t="s">
        <v>16616</v>
      </c>
    </row>
    <row r="2942" spans="1:37" customFormat="1" ht="36.75" customHeight="1" x14ac:dyDescent="0.35">
      <c r="A2942" s="5"/>
      <c r="B2942" s="5" t="s">
        <v>887</v>
      </c>
      <c r="C2942" s="73" t="str">
        <f t="shared" si="45"/>
        <v>Open</v>
      </c>
      <c r="D2942" s="45" t="s">
        <v>16617</v>
      </c>
      <c r="E2942" s="54" t="s">
        <v>16618</v>
      </c>
      <c r="F2942" s="5" t="s">
        <v>575</v>
      </c>
      <c r="G2942" s="7">
        <f>DATE(2019,7,17)</f>
        <v>43663</v>
      </c>
      <c r="H2942" s="34">
        <v>0</v>
      </c>
      <c r="I2942" s="5" t="s">
        <v>55</v>
      </c>
      <c r="J2942" s="7" t="s">
        <v>16619</v>
      </c>
      <c r="K2942" s="5" t="s">
        <v>577</v>
      </c>
      <c r="L2942" s="5" t="s">
        <v>16620</v>
      </c>
      <c r="M2942" s="5" t="s">
        <v>45</v>
      </c>
      <c r="N2942" s="5" t="s">
        <v>123</v>
      </c>
      <c r="O2942" s="5" t="s">
        <v>46</v>
      </c>
      <c r="P2942" s="7" t="s">
        <v>60</v>
      </c>
      <c r="Q2942" s="7" t="s">
        <v>13117</v>
      </c>
      <c r="R2942" s="7" t="s">
        <v>12052</v>
      </c>
      <c r="S2942" s="5">
        <v>0</v>
      </c>
      <c r="T2942" s="36">
        <v>0</v>
      </c>
      <c r="U2942" s="5">
        <v>0</v>
      </c>
      <c r="V2942" s="36">
        <v>0</v>
      </c>
      <c r="W2942" s="5">
        <v>0</v>
      </c>
      <c r="X2942" s="5">
        <v>0</v>
      </c>
      <c r="Y2942" s="5">
        <v>0</v>
      </c>
      <c r="Z2942" s="36">
        <v>0</v>
      </c>
      <c r="AA2942" s="5">
        <v>0</v>
      </c>
      <c r="AB2942" s="5">
        <v>0</v>
      </c>
      <c r="AC2942" s="5">
        <v>0</v>
      </c>
      <c r="AD2942" s="5">
        <v>0</v>
      </c>
      <c r="AE2942" s="7" t="s">
        <v>73</v>
      </c>
      <c r="AF2942" s="7"/>
      <c r="AG2942" s="7" t="s">
        <v>114</v>
      </c>
      <c r="AH2942" s="7">
        <v>43676</v>
      </c>
      <c r="AI2942" s="5">
        <v>0</v>
      </c>
      <c r="AJ2942" s="7" t="s">
        <v>50</v>
      </c>
      <c r="AK2942" s="7" t="s">
        <v>50</v>
      </c>
    </row>
    <row r="2943" spans="1:37" customFormat="1" ht="36.75" customHeight="1" x14ac:dyDescent="0.35">
      <c r="A2943" s="5"/>
      <c r="B2943" s="5" t="s">
        <v>887</v>
      </c>
      <c r="C2943" s="73" t="str">
        <f t="shared" si="45"/>
        <v>Open</v>
      </c>
      <c r="D2943" s="45" t="s">
        <v>16621</v>
      </c>
      <c r="E2943" s="54" t="s">
        <v>16622</v>
      </c>
      <c r="F2943" s="5" t="s">
        <v>575</v>
      </c>
      <c r="G2943" s="7">
        <f>DATE(2019,7,17)</f>
        <v>43663</v>
      </c>
      <c r="H2943" s="34">
        <v>0</v>
      </c>
      <c r="I2943" s="5" t="s">
        <v>2398</v>
      </c>
      <c r="J2943" s="7" t="s">
        <v>16623</v>
      </c>
      <c r="K2943" s="5" t="s">
        <v>577</v>
      </c>
      <c r="L2943" s="5" t="s">
        <v>16624</v>
      </c>
      <c r="M2943" s="5" t="s">
        <v>45</v>
      </c>
      <c r="N2943" s="5" t="s">
        <v>80</v>
      </c>
      <c r="O2943" s="5" t="s">
        <v>46</v>
      </c>
      <c r="P2943" s="7" t="s">
        <v>146</v>
      </c>
      <c r="Q2943" s="7" t="s">
        <v>10507</v>
      </c>
      <c r="R2943" s="7" t="s">
        <v>12052</v>
      </c>
      <c r="S2943" s="5">
        <v>0</v>
      </c>
      <c r="T2943" s="36">
        <v>0</v>
      </c>
      <c r="U2943" s="5">
        <v>0</v>
      </c>
      <c r="V2943" s="36">
        <v>0</v>
      </c>
      <c r="W2943" s="5">
        <v>0</v>
      </c>
      <c r="X2943" s="5">
        <v>0</v>
      </c>
      <c r="Y2943" s="5">
        <v>0</v>
      </c>
      <c r="Z2943" s="36">
        <v>0</v>
      </c>
      <c r="AA2943" s="5">
        <v>0</v>
      </c>
      <c r="AB2943" s="5">
        <v>0</v>
      </c>
      <c r="AC2943" s="5">
        <v>0</v>
      </c>
      <c r="AD2943" s="5">
        <v>0</v>
      </c>
      <c r="AE2943" s="7" t="s">
        <v>73</v>
      </c>
      <c r="AF2943" s="7"/>
      <c r="AG2943" s="7" t="s">
        <v>114</v>
      </c>
      <c r="AH2943" s="7">
        <v>43807</v>
      </c>
      <c r="AI2943" s="5">
        <v>0</v>
      </c>
      <c r="AJ2943" s="7" t="s">
        <v>50</v>
      </c>
      <c r="AK2943" s="7" t="s">
        <v>50</v>
      </c>
    </row>
    <row r="2944" spans="1:37" customFormat="1" ht="36.75" customHeight="1" x14ac:dyDescent="0.35">
      <c r="A2944" s="5"/>
      <c r="B2944" s="5" t="s">
        <v>37</v>
      </c>
      <c r="C2944" s="73" t="str">
        <f t="shared" si="45"/>
        <v>Closed</v>
      </c>
      <c r="D2944" s="45" t="s">
        <v>16625</v>
      </c>
      <c r="E2944" s="54" t="s">
        <v>16626</v>
      </c>
      <c r="F2944" s="5" t="s">
        <v>563</v>
      </c>
      <c r="G2944" s="7">
        <f>DATE(2019,7,18)</f>
        <v>43664</v>
      </c>
      <c r="H2944" s="34">
        <v>1.0340277777777778</v>
      </c>
      <c r="I2944" s="5" t="s">
        <v>179</v>
      </c>
      <c r="J2944" s="7" t="s">
        <v>16627</v>
      </c>
      <c r="K2944" s="5" t="s">
        <v>565</v>
      </c>
      <c r="L2944" s="5" t="s">
        <v>16628</v>
      </c>
      <c r="M2944" s="5" t="s">
        <v>45</v>
      </c>
      <c r="N2944" s="5" t="s">
        <v>123</v>
      </c>
      <c r="O2944" s="5" t="s">
        <v>59</v>
      </c>
      <c r="P2944" s="7" t="s">
        <v>60</v>
      </c>
      <c r="Q2944" s="7" t="s">
        <v>16629</v>
      </c>
      <c r="R2944" s="7" t="s">
        <v>568</v>
      </c>
      <c r="S2944" s="5">
        <v>0</v>
      </c>
      <c r="T2944" s="36">
        <v>0</v>
      </c>
      <c r="U2944" s="5">
        <v>0</v>
      </c>
      <c r="V2944" s="36">
        <v>0</v>
      </c>
      <c r="W2944" s="5">
        <v>0</v>
      </c>
      <c r="X2944" s="5">
        <v>0</v>
      </c>
      <c r="Y2944" s="5">
        <v>0</v>
      </c>
      <c r="Z2944" s="36">
        <v>0</v>
      </c>
      <c r="AA2944" s="5">
        <v>0</v>
      </c>
      <c r="AB2944" s="5">
        <v>0</v>
      </c>
      <c r="AC2944" s="5">
        <v>0</v>
      </c>
      <c r="AD2944" s="5">
        <v>0</v>
      </c>
      <c r="AE2944" s="7" t="s">
        <v>73</v>
      </c>
      <c r="AF2944" s="7"/>
      <c r="AG2944" s="7" t="s">
        <v>570</v>
      </c>
      <c r="AH2944" s="7">
        <v>43665</v>
      </c>
      <c r="AI2944" s="5">
        <v>0</v>
      </c>
      <c r="AJ2944" s="7" t="s">
        <v>16630</v>
      </c>
      <c r="AK2944" s="7" t="s">
        <v>1215</v>
      </c>
    </row>
    <row r="2945" spans="1:37" customFormat="1" ht="36.75" customHeight="1" x14ac:dyDescent="0.35">
      <c r="A2945" s="5"/>
      <c r="B2945" s="5" t="s">
        <v>37</v>
      </c>
      <c r="C2945" s="73" t="str">
        <f t="shared" si="45"/>
        <v>Closed</v>
      </c>
      <c r="D2945" s="45" t="s">
        <v>16631</v>
      </c>
      <c r="E2945" s="54" t="s">
        <v>16632</v>
      </c>
      <c r="F2945" s="5" t="s">
        <v>404</v>
      </c>
      <c r="G2945" s="7">
        <f>DATE(2019,7,21)</f>
        <v>43667</v>
      </c>
      <c r="H2945" s="34">
        <v>1.5763888888888888</v>
      </c>
      <c r="I2945" s="5" t="s">
        <v>137</v>
      </c>
      <c r="J2945" s="7" t="s">
        <v>16633</v>
      </c>
      <c r="K2945" s="5" t="s">
        <v>406</v>
      </c>
      <c r="L2945" s="5" t="s">
        <v>16634</v>
      </c>
      <c r="M2945" s="5" t="s">
        <v>236</v>
      </c>
      <c r="N2945" s="5" t="s">
        <v>123</v>
      </c>
      <c r="O2945" s="5" t="s">
        <v>46</v>
      </c>
      <c r="P2945" s="7" t="s">
        <v>6531</v>
      </c>
      <c r="Q2945" s="7" t="s">
        <v>6532</v>
      </c>
      <c r="R2945" s="7" t="s">
        <v>6533</v>
      </c>
      <c r="S2945" s="5">
        <v>0</v>
      </c>
      <c r="T2945" s="36">
        <v>0</v>
      </c>
      <c r="U2945" s="5">
        <v>0</v>
      </c>
      <c r="V2945" s="36">
        <v>0</v>
      </c>
      <c r="W2945" s="5">
        <v>1</v>
      </c>
      <c r="X2945" s="5">
        <v>1</v>
      </c>
      <c r="Y2945" s="5">
        <v>0</v>
      </c>
      <c r="Z2945" s="36">
        <v>0</v>
      </c>
      <c r="AA2945" s="5">
        <v>0</v>
      </c>
      <c r="AB2945" s="5">
        <v>0</v>
      </c>
      <c r="AC2945" s="5">
        <v>0</v>
      </c>
      <c r="AD2945" s="5">
        <v>0</v>
      </c>
      <c r="AE2945" s="7" t="s">
        <v>73</v>
      </c>
      <c r="AF2945" s="7"/>
      <c r="AG2945" s="7" t="s">
        <v>333</v>
      </c>
      <c r="AH2945" s="7">
        <v>43671</v>
      </c>
      <c r="AI2945" s="5">
        <v>2</v>
      </c>
      <c r="AJ2945" s="7" t="s">
        <v>16635</v>
      </c>
      <c r="AK2945" s="7" t="s">
        <v>16636</v>
      </c>
    </row>
    <row r="2946" spans="1:37" ht="36.75" customHeight="1" x14ac:dyDescent="0.35">
      <c r="A2946" s="5"/>
      <c r="B2946" s="5" t="s">
        <v>37</v>
      </c>
      <c r="C2946" s="73" t="str">
        <f t="shared" ref="C2946:C3009" si="46">IF(B2946="Notification","Open",IF(B2946="Interim Statement","In progress","Closed"))</f>
        <v>Closed</v>
      </c>
      <c r="D2946" s="45" t="s">
        <v>16637</v>
      </c>
      <c r="E2946" s="54" t="s">
        <v>16638</v>
      </c>
      <c r="F2946" s="5" t="s">
        <v>816</v>
      </c>
      <c r="G2946" s="7">
        <f>DATE(2019,7,23)</f>
        <v>43669</v>
      </c>
      <c r="H2946" s="34">
        <v>1.9479166666666665</v>
      </c>
      <c r="I2946" s="5" t="s">
        <v>55</v>
      </c>
      <c r="J2946" s="7" t="s">
        <v>16639</v>
      </c>
      <c r="K2946" s="5" t="s">
        <v>818</v>
      </c>
      <c r="L2946" s="5" t="s">
        <v>16640</v>
      </c>
      <c r="M2946" s="5" t="s">
        <v>45</v>
      </c>
      <c r="N2946" s="5" t="s">
        <v>123</v>
      </c>
      <c r="O2946" s="5" t="s">
        <v>59</v>
      </c>
      <c r="P2946" s="7" t="s">
        <v>60</v>
      </c>
      <c r="Q2946" s="7" t="s">
        <v>818</v>
      </c>
      <c r="R2946" s="7" t="s">
        <v>821</v>
      </c>
      <c r="S2946" s="5">
        <v>0</v>
      </c>
      <c r="T2946" s="36">
        <v>0</v>
      </c>
      <c r="U2946" s="5">
        <v>0</v>
      </c>
      <c r="V2946" s="36">
        <v>0</v>
      </c>
      <c r="W2946" s="5">
        <v>0</v>
      </c>
      <c r="X2946" s="5">
        <v>0</v>
      </c>
      <c r="Y2946" s="5">
        <v>0</v>
      </c>
      <c r="Z2946" s="36">
        <v>0</v>
      </c>
      <c r="AA2946" s="5">
        <v>0</v>
      </c>
      <c r="AB2946" s="5">
        <v>0</v>
      </c>
      <c r="AC2946" s="5">
        <v>0</v>
      </c>
      <c r="AD2946" s="5">
        <v>0</v>
      </c>
      <c r="AE2946" s="7" t="s">
        <v>73</v>
      </c>
      <c r="AF2946" s="7"/>
      <c r="AG2946" s="7" t="s">
        <v>16641</v>
      </c>
      <c r="AH2946" s="7">
        <v>43839</v>
      </c>
      <c r="AI2946" s="5">
        <v>0</v>
      </c>
      <c r="AJ2946" s="7" t="s">
        <v>16642</v>
      </c>
      <c r="AK2946" s="7" t="s">
        <v>16643</v>
      </c>
    </row>
    <row r="2947" spans="1:37" ht="36.75" customHeight="1" x14ac:dyDescent="0.35">
      <c r="A2947" s="23" t="s">
        <v>4890</v>
      </c>
      <c r="B2947" s="5" t="s">
        <v>37</v>
      </c>
      <c r="C2947" s="73" t="str">
        <f t="shared" si="46"/>
        <v>Closed</v>
      </c>
      <c r="D2947" s="45" t="s">
        <v>16644</v>
      </c>
      <c r="E2947" s="54" t="s">
        <v>16645</v>
      </c>
      <c r="F2947" s="5" t="s">
        <v>404</v>
      </c>
      <c r="G2947" s="7">
        <f>DATE(2019,7,24)</f>
        <v>43670</v>
      </c>
      <c r="H2947" s="34">
        <v>1.1930555555555555</v>
      </c>
      <c r="I2947" s="5" t="s">
        <v>137</v>
      </c>
      <c r="J2947" s="7" t="s">
        <v>16646</v>
      </c>
      <c r="K2947" s="5" t="s">
        <v>406</v>
      </c>
      <c r="L2947" s="5" t="s">
        <v>16647</v>
      </c>
      <c r="M2947" s="5" t="s">
        <v>45</v>
      </c>
      <c r="N2947" s="5" t="s">
        <v>80</v>
      </c>
      <c r="O2947" s="5" t="s">
        <v>46</v>
      </c>
      <c r="P2947" s="7" t="s">
        <v>146</v>
      </c>
      <c r="Q2947" s="7" t="s">
        <v>4531</v>
      </c>
      <c r="R2947" s="7" t="s">
        <v>3083</v>
      </c>
      <c r="S2947" s="5">
        <v>0</v>
      </c>
      <c r="T2947" s="36">
        <v>0</v>
      </c>
      <c r="U2947" s="5">
        <v>0</v>
      </c>
      <c r="V2947" s="36">
        <v>0</v>
      </c>
      <c r="W2947" s="5">
        <v>0</v>
      </c>
      <c r="X2947" s="5">
        <v>0</v>
      </c>
      <c r="Y2947" s="5">
        <v>0</v>
      </c>
      <c r="Z2947" s="36">
        <v>0</v>
      </c>
      <c r="AA2947" s="5">
        <v>0</v>
      </c>
      <c r="AB2947" s="5">
        <v>0</v>
      </c>
      <c r="AC2947" s="5">
        <v>0</v>
      </c>
      <c r="AD2947" s="5">
        <v>0</v>
      </c>
      <c r="AE2947" s="7" t="s">
        <v>73</v>
      </c>
      <c r="AF2947" s="7"/>
      <c r="AG2947" s="7" t="s">
        <v>333</v>
      </c>
      <c r="AH2947" s="7">
        <v>43670</v>
      </c>
      <c r="AI2947" s="5">
        <v>2</v>
      </c>
      <c r="AJ2947" s="7" t="s">
        <v>50</v>
      </c>
      <c r="AK2947" s="7" t="s">
        <v>50</v>
      </c>
    </row>
    <row r="2948" spans="1:37" ht="36.75" customHeight="1" x14ac:dyDescent="0.35">
      <c r="A2948" s="5"/>
      <c r="B2948" s="5" t="s">
        <v>37</v>
      </c>
      <c r="C2948" s="73" t="str">
        <f t="shared" si="46"/>
        <v>Closed</v>
      </c>
      <c r="D2948" s="45" t="s">
        <v>16648</v>
      </c>
      <c r="E2948" s="54" t="s">
        <v>16649</v>
      </c>
      <c r="F2948" s="5" t="s">
        <v>105</v>
      </c>
      <c r="G2948" s="7">
        <f>DATE(2019,7,25)</f>
        <v>43671</v>
      </c>
      <c r="H2948" s="34">
        <v>1.7270833333333333</v>
      </c>
      <c r="I2948" s="5" t="s">
        <v>55</v>
      </c>
      <c r="J2948" s="7" t="s">
        <v>16650</v>
      </c>
      <c r="K2948" s="5" t="s">
        <v>108</v>
      </c>
      <c r="L2948" s="5" t="s">
        <v>16651</v>
      </c>
      <c r="M2948" s="5" t="s">
        <v>45</v>
      </c>
      <c r="N2948" s="5" t="s">
        <v>80</v>
      </c>
      <c r="O2948" s="5" t="s">
        <v>46</v>
      </c>
      <c r="P2948" s="7" t="s">
        <v>60</v>
      </c>
      <c r="Q2948" s="7" t="s">
        <v>382</v>
      </c>
      <c r="R2948" s="7" t="s">
        <v>148</v>
      </c>
      <c r="S2948" s="5">
        <v>0</v>
      </c>
      <c r="T2948" s="36">
        <v>0</v>
      </c>
      <c r="U2948" s="5">
        <v>0</v>
      </c>
      <c r="V2948" s="36">
        <v>0</v>
      </c>
      <c r="W2948" s="5">
        <v>0</v>
      </c>
      <c r="X2948" s="5">
        <v>0</v>
      </c>
      <c r="Y2948" s="5">
        <v>0</v>
      </c>
      <c r="Z2948" s="36">
        <v>0</v>
      </c>
      <c r="AA2948" s="5">
        <v>0</v>
      </c>
      <c r="AB2948" s="5">
        <v>0</v>
      </c>
      <c r="AC2948" s="5">
        <v>0</v>
      </c>
      <c r="AD2948" s="5">
        <v>0</v>
      </c>
      <c r="AE2948" s="7" t="s">
        <v>375</v>
      </c>
      <c r="AF2948" s="7"/>
      <c r="AG2948" s="7" t="s">
        <v>64</v>
      </c>
      <c r="AH2948" s="7">
        <v>43675</v>
      </c>
      <c r="AI2948" s="5">
        <v>1</v>
      </c>
      <c r="AJ2948" s="7" t="s">
        <v>16652</v>
      </c>
      <c r="AK2948" s="7" t="s">
        <v>16653</v>
      </c>
    </row>
    <row r="2949" spans="1:37" ht="36.75" customHeight="1" x14ac:dyDescent="0.35">
      <c r="A2949" s="5"/>
      <c r="B2949" s="5" t="s">
        <v>37</v>
      </c>
      <c r="C2949" s="73" t="str">
        <f t="shared" si="46"/>
        <v>Closed</v>
      </c>
      <c r="D2949" s="45" t="s">
        <v>16654</v>
      </c>
      <c r="E2949" s="54" t="s">
        <v>16655</v>
      </c>
      <c r="F2949" s="5" t="s">
        <v>96</v>
      </c>
      <c r="G2949" s="7">
        <f>DATE(2019,7,26)</f>
        <v>43672</v>
      </c>
      <c r="H2949" s="34">
        <v>1.6944444444444446</v>
      </c>
      <c r="I2949" s="5" t="s">
        <v>67</v>
      </c>
      <c r="J2949" s="7" t="s">
        <v>16656</v>
      </c>
      <c r="K2949" s="5" t="s">
        <v>99</v>
      </c>
      <c r="L2949" s="5" t="s">
        <v>16657</v>
      </c>
      <c r="M2949" s="5" t="s">
        <v>45</v>
      </c>
      <c r="N2949" s="5" t="s">
        <v>123</v>
      </c>
      <c r="O2949" s="5" t="s">
        <v>46</v>
      </c>
      <c r="P2949" s="7" t="s">
        <v>60</v>
      </c>
      <c r="Q2949" s="7" t="s">
        <v>16658</v>
      </c>
      <c r="R2949" s="7" t="s">
        <v>102</v>
      </c>
      <c r="S2949" s="5">
        <v>0</v>
      </c>
      <c r="T2949" s="36">
        <v>0</v>
      </c>
      <c r="U2949" s="5">
        <v>0</v>
      </c>
      <c r="V2949" s="36">
        <v>0</v>
      </c>
      <c r="W2949" s="5">
        <v>0</v>
      </c>
      <c r="X2949" s="5">
        <v>0</v>
      </c>
      <c r="Y2949" s="5">
        <v>0</v>
      </c>
      <c r="Z2949" s="36">
        <v>0</v>
      </c>
      <c r="AA2949" s="5">
        <v>0</v>
      </c>
      <c r="AB2949" s="5">
        <v>0</v>
      </c>
      <c r="AC2949" s="5">
        <v>0</v>
      </c>
      <c r="AD2949" s="5">
        <v>0</v>
      </c>
      <c r="AE2949" s="7" t="s">
        <v>375</v>
      </c>
      <c r="AF2949" s="7"/>
      <c r="AG2949" s="7" t="s">
        <v>114</v>
      </c>
      <c r="AH2949" s="7">
        <v>43679</v>
      </c>
      <c r="AI2949" s="5">
        <v>4</v>
      </c>
      <c r="AJ2949" s="7" t="s">
        <v>16659</v>
      </c>
      <c r="AK2949" s="7" t="s">
        <v>50</v>
      </c>
    </row>
    <row r="2950" spans="1:37" ht="36.75" customHeight="1" x14ac:dyDescent="0.35">
      <c r="A2950" s="5"/>
      <c r="B2950" s="5" t="s">
        <v>37</v>
      </c>
      <c r="C2950" s="73" t="str">
        <f t="shared" si="46"/>
        <v>Closed</v>
      </c>
      <c r="D2950" s="45" t="s">
        <v>16660</v>
      </c>
      <c r="E2950" s="54" t="s">
        <v>16661</v>
      </c>
      <c r="F2950" s="5" t="s">
        <v>16662</v>
      </c>
      <c r="G2950" s="7">
        <f>DATE(2019,7,26)</f>
        <v>43672</v>
      </c>
      <c r="H2950" s="34">
        <v>1.1791666666666667</v>
      </c>
      <c r="I2950" s="5" t="s">
        <v>16663</v>
      </c>
      <c r="J2950" s="7" t="s">
        <v>16664</v>
      </c>
      <c r="K2950" s="5" t="s">
        <v>577</v>
      </c>
      <c r="L2950" s="5" t="s">
        <v>16665</v>
      </c>
      <c r="M2950" s="5" t="s">
        <v>45</v>
      </c>
      <c r="N2950" s="5" t="s">
        <v>80</v>
      </c>
      <c r="O2950" s="5" t="s">
        <v>46</v>
      </c>
      <c r="P2950" s="7" t="s">
        <v>60</v>
      </c>
      <c r="Q2950" s="7" t="s">
        <v>13117</v>
      </c>
      <c r="R2950" s="7" t="s">
        <v>12052</v>
      </c>
      <c r="S2950" s="5">
        <v>0</v>
      </c>
      <c r="T2950" s="36">
        <v>0</v>
      </c>
      <c r="U2950" s="5">
        <v>0</v>
      </c>
      <c r="V2950" s="36">
        <v>0</v>
      </c>
      <c r="W2950" s="5">
        <v>0</v>
      </c>
      <c r="X2950" s="5">
        <v>0</v>
      </c>
      <c r="Y2950" s="5">
        <v>0</v>
      </c>
      <c r="Z2950" s="36">
        <v>0</v>
      </c>
      <c r="AA2950" s="5">
        <v>0</v>
      </c>
      <c r="AB2950" s="5">
        <v>0</v>
      </c>
      <c r="AC2950" s="5">
        <v>0</v>
      </c>
      <c r="AD2950" s="5">
        <v>0</v>
      </c>
      <c r="AE2950" s="7" t="s">
        <v>73</v>
      </c>
      <c r="AF2950" s="7" t="s">
        <v>6998</v>
      </c>
      <c r="AG2950" s="7" t="s">
        <v>8837</v>
      </c>
      <c r="AH2950" s="7">
        <v>43774</v>
      </c>
      <c r="AI2950" s="5">
        <v>3</v>
      </c>
      <c r="AJ2950" s="7" t="s">
        <v>16666</v>
      </c>
      <c r="AK2950" s="7" t="s">
        <v>16667</v>
      </c>
    </row>
    <row r="2951" spans="1:37" ht="36.75" customHeight="1" x14ac:dyDescent="0.35">
      <c r="A2951" s="5"/>
      <c r="B2951" s="5" t="s">
        <v>37</v>
      </c>
      <c r="C2951" s="73" t="str">
        <f t="shared" si="46"/>
        <v>Closed</v>
      </c>
      <c r="D2951" s="45" t="s">
        <v>16668</v>
      </c>
      <c r="E2951" s="54" t="s">
        <v>16669</v>
      </c>
      <c r="F2951" s="5" t="s">
        <v>404</v>
      </c>
      <c r="G2951" s="7">
        <f>DATE(2019,7,28)</f>
        <v>43674</v>
      </c>
      <c r="H2951" s="34">
        <v>1.6888888888888891</v>
      </c>
      <c r="I2951" s="5" t="s">
        <v>55</v>
      </c>
      <c r="J2951" s="7" t="s">
        <v>16670</v>
      </c>
      <c r="K2951" s="5" t="s">
        <v>406</v>
      </c>
      <c r="L2951" s="5" t="s">
        <v>16671</v>
      </c>
      <c r="M2951" s="5" t="s">
        <v>45</v>
      </c>
      <c r="N2951" s="5" t="s">
        <v>80</v>
      </c>
      <c r="O2951" s="5" t="s">
        <v>46</v>
      </c>
      <c r="P2951" s="7" t="s">
        <v>60</v>
      </c>
      <c r="Q2951" s="7" t="s">
        <v>2562</v>
      </c>
      <c r="R2951" s="7" t="s">
        <v>3083</v>
      </c>
      <c r="S2951" s="5">
        <v>0</v>
      </c>
      <c r="T2951" s="36">
        <v>0</v>
      </c>
      <c r="U2951" s="5">
        <v>0</v>
      </c>
      <c r="V2951" s="36">
        <v>0</v>
      </c>
      <c r="W2951" s="5">
        <v>0</v>
      </c>
      <c r="X2951" s="5">
        <v>0</v>
      </c>
      <c r="Y2951" s="5">
        <v>0</v>
      </c>
      <c r="Z2951" s="36">
        <v>0</v>
      </c>
      <c r="AA2951" s="5">
        <v>0</v>
      </c>
      <c r="AB2951" s="5">
        <v>0</v>
      </c>
      <c r="AC2951" s="5">
        <v>0</v>
      </c>
      <c r="AD2951" s="5">
        <v>0</v>
      </c>
      <c r="AE2951" s="7" t="s">
        <v>375</v>
      </c>
      <c r="AF2951" s="7"/>
      <c r="AG2951" s="7" t="s">
        <v>64</v>
      </c>
      <c r="AH2951" s="7">
        <v>43674</v>
      </c>
      <c r="AI2951" s="5">
        <v>1</v>
      </c>
      <c r="AJ2951" s="7" t="s">
        <v>16672</v>
      </c>
      <c r="AK2951" s="7" t="s">
        <v>16673</v>
      </c>
    </row>
    <row r="2952" spans="1:37" ht="36.75" customHeight="1" x14ac:dyDescent="0.35">
      <c r="A2952" s="5"/>
      <c r="B2952" s="5" t="s">
        <v>37</v>
      </c>
      <c r="C2952" s="73" t="str">
        <f t="shared" si="46"/>
        <v>Closed</v>
      </c>
      <c r="D2952" s="45" t="s">
        <v>16674</v>
      </c>
      <c r="E2952" s="54" t="s">
        <v>16675</v>
      </c>
      <c r="F2952" s="5" t="s">
        <v>404</v>
      </c>
      <c r="G2952" s="7">
        <f>DATE(2019,7,30)</f>
        <v>43676</v>
      </c>
      <c r="H2952" s="34">
        <v>1.7576388888888888</v>
      </c>
      <c r="I2952" s="5" t="s">
        <v>97</v>
      </c>
      <c r="J2952" s="7" t="s">
        <v>16676</v>
      </c>
      <c r="K2952" s="5" t="s">
        <v>406</v>
      </c>
      <c r="L2952" s="5" t="s">
        <v>16677</v>
      </c>
      <c r="M2952" s="5" t="s">
        <v>45</v>
      </c>
      <c r="N2952" s="5" t="s">
        <v>80</v>
      </c>
      <c r="O2952" s="5" t="s">
        <v>46</v>
      </c>
      <c r="P2952" s="7" t="s">
        <v>146</v>
      </c>
      <c r="Q2952" s="7" t="s">
        <v>4531</v>
      </c>
      <c r="R2952" s="7" t="s">
        <v>3083</v>
      </c>
      <c r="S2952" s="5">
        <v>0</v>
      </c>
      <c r="T2952" s="36">
        <v>0</v>
      </c>
      <c r="U2952" s="5">
        <v>0</v>
      </c>
      <c r="V2952" s="36">
        <v>0</v>
      </c>
      <c r="W2952" s="5">
        <v>0</v>
      </c>
      <c r="X2952" s="5">
        <v>0</v>
      </c>
      <c r="Y2952" s="5">
        <v>0</v>
      </c>
      <c r="Z2952" s="36">
        <v>0</v>
      </c>
      <c r="AA2952" s="5">
        <v>0</v>
      </c>
      <c r="AB2952" s="5">
        <v>0</v>
      </c>
      <c r="AC2952" s="5">
        <v>0</v>
      </c>
      <c r="AD2952" s="5">
        <v>0</v>
      </c>
      <c r="AE2952" s="7" t="s">
        <v>375</v>
      </c>
      <c r="AF2952" s="7"/>
      <c r="AG2952" s="7" t="s">
        <v>64</v>
      </c>
      <c r="AH2952" s="7">
        <v>43676</v>
      </c>
      <c r="AI2952" s="5">
        <v>1</v>
      </c>
      <c r="AJ2952" s="7" t="s">
        <v>16678</v>
      </c>
      <c r="AK2952" s="7" t="s">
        <v>16679</v>
      </c>
    </row>
    <row r="2953" spans="1:37" ht="36.75" customHeight="1" x14ac:dyDescent="0.35">
      <c r="A2953" s="5"/>
      <c r="B2953" s="5" t="s">
        <v>37</v>
      </c>
      <c r="C2953" s="73" t="str">
        <f t="shared" si="46"/>
        <v>Closed</v>
      </c>
      <c r="D2953" s="45" t="s">
        <v>16680</v>
      </c>
      <c r="E2953" s="54" t="s">
        <v>16681</v>
      </c>
      <c r="F2953" s="5" t="s">
        <v>2316</v>
      </c>
      <c r="G2953" s="7">
        <f>DATE(2019,7,30)</f>
        <v>43676</v>
      </c>
      <c r="H2953" s="34">
        <v>1.7076388888888889</v>
      </c>
      <c r="I2953" s="5" t="s">
        <v>2059</v>
      </c>
      <c r="J2953" s="7" t="s">
        <v>16682</v>
      </c>
      <c r="K2953" s="5" t="s">
        <v>2318</v>
      </c>
      <c r="L2953" s="5" t="s">
        <v>16683</v>
      </c>
      <c r="M2953" s="5" t="s">
        <v>45</v>
      </c>
      <c r="N2953" s="5" t="s">
        <v>123</v>
      </c>
      <c r="O2953" s="5" t="s">
        <v>46</v>
      </c>
      <c r="P2953" s="7" t="s">
        <v>2911</v>
      </c>
      <c r="Q2953" s="7" t="s">
        <v>16684</v>
      </c>
      <c r="R2953" s="7" t="s">
        <v>2321</v>
      </c>
      <c r="S2953" s="5">
        <v>0</v>
      </c>
      <c r="T2953" s="36">
        <v>0</v>
      </c>
      <c r="U2953" s="5">
        <v>0</v>
      </c>
      <c r="V2953" s="36">
        <v>0</v>
      </c>
      <c r="W2953" s="5">
        <v>0</v>
      </c>
      <c r="X2953" s="5">
        <v>0</v>
      </c>
      <c r="Y2953" s="5">
        <v>0</v>
      </c>
      <c r="Z2953" s="36">
        <v>0</v>
      </c>
      <c r="AA2953" s="5">
        <v>0</v>
      </c>
      <c r="AB2953" s="5">
        <v>0</v>
      </c>
      <c r="AC2953" s="5">
        <v>0</v>
      </c>
      <c r="AD2953" s="5">
        <v>0</v>
      </c>
      <c r="AE2953" s="7" t="s">
        <v>73</v>
      </c>
      <c r="AF2953" s="7"/>
      <c r="AG2953" s="7" t="s">
        <v>11420</v>
      </c>
      <c r="AH2953" s="7">
        <v>43679</v>
      </c>
      <c r="AI2953" s="5">
        <v>8</v>
      </c>
      <c r="AJ2953" s="7" t="s">
        <v>16685</v>
      </c>
      <c r="AK2953" s="7" t="s">
        <v>16686</v>
      </c>
    </row>
    <row r="2954" spans="1:37" ht="36.75" customHeight="1" x14ac:dyDescent="0.35">
      <c r="A2954" s="5"/>
      <c r="B2954" s="5" t="s">
        <v>37</v>
      </c>
      <c r="C2954" s="73" t="str">
        <f t="shared" si="46"/>
        <v>Closed</v>
      </c>
      <c r="D2954" s="45" t="s">
        <v>16687</v>
      </c>
      <c r="E2954" s="54" t="s">
        <v>16688</v>
      </c>
      <c r="F2954" s="5" t="s">
        <v>105</v>
      </c>
      <c r="G2954" s="7">
        <f>DATE(2019,7,31)</f>
        <v>43677</v>
      </c>
      <c r="H2954" s="34">
        <v>0</v>
      </c>
      <c r="I2954" s="5" t="s">
        <v>179</v>
      </c>
      <c r="J2954" s="7" t="s">
        <v>16689</v>
      </c>
      <c r="K2954" s="5" t="s">
        <v>108</v>
      </c>
      <c r="L2954" s="5" t="s">
        <v>16690</v>
      </c>
      <c r="M2954" s="5" t="s">
        <v>45</v>
      </c>
      <c r="N2954" s="5" t="s">
        <v>123</v>
      </c>
      <c r="O2954" s="5" t="s">
        <v>59</v>
      </c>
      <c r="P2954" s="7" t="s">
        <v>146</v>
      </c>
      <c r="Q2954" s="7" t="s">
        <v>210</v>
      </c>
      <c r="R2954" s="7" t="s">
        <v>148</v>
      </c>
      <c r="S2954" s="5">
        <v>0</v>
      </c>
      <c r="T2954" s="36">
        <v>0</v>
      </c>
      <c r="U2954" s="5">
        <v>0</v>
      </c>
      <c r="V2954" s="36">
        <v>0</v>
      </c>
      <c r="W2954" s="5">
        <v>0</v>
      </c>
      <c r="X2954" s="5">
        <v>0</v>
      </c>
      <c r="Y2954" s="5">
        <v>0</v>
      </c>
      <c r="Z2954" s="36">
        <v>0</v>
      </c>
      <c r="AA2954" s="5">
        <v>0</v>
      </c>
      <c r="AB2954" s="5">
        <v>0</v>
      </c>
      <c r="AC2954" s="5">
        <v>0</v>
      </c>
      <c r="AD2954" s="5">
        <v>0</v>
      </c>
      <c r="AE2954" s="7" t="s">
        <v>73</v>
      </c>
      <c r="AF2954" s="7"/>
      <c r="AG2954" s="7" t="s">
        <v>114</v>
      </c>
      <c r="AH2954" s="7">
        <v>43679</v>
      </c>
      <c r="AI2954" s="5">
        <v>2</v>
      </c>
      <c r="AJ2954" s="7" t="s">
        <v>16691</v>
      </c>
      <c r="AK2954" s="7" t="s">
        <v>16692</v>
      </c>
    </row>
    <row r="2955" spans="1:37" ht="36.75" customHeight="1" x14ac:dyDescent="0.35">
      <c r="A2955" s="5"/>
      <c r="B2955" s="5" t="s">
        <v>37</v>
      </c>
      <c r="C2955" s="73" t="str">
        <f t="shared" si="46"/>
        <v>Closed</v>
      </c>
      <c r="D2955" s="45" t="s">
        <v>16693</v>
      </c>
      <c r="E2955" s="54" t="s">
        <v>16694</v>
      </c>
      <c r="F2955" s="5" t="s">
        <v>1553</v>
      </c>
      <c r="G2955" s="7">
        <f>DATE(2019,7,31)</f>
        <v>43677</v>
      </c>
      <c r="H2955" s="34">
        <v>1.7173611111111109</v>
      </c>
      <c r="I2955" s="5" t="s">
        <v>106</v>
      </c>
      <c r="J2955" s="7" t="s">
        <v>16695</v>
      </c>
      <c r="K2955" s="5" t="s">
        <v>1555</v>
      </c>
      <c r="L2955" s="5" t="s">
        <v>16696</v>
      </c>
      <c r="M2955" s="5" t="s">
        <v>45</v>
      </c>
      <c r="N2955" s="5" t="s">
        <v>80</v>
      </c>
      <c r="O2955" s="5" t="s">
        <v>46</v>
      </c>
      <c r="P2955" s="7" t="s">
        <v>6920</v>
      </c>
      <c r="Q2955" s="7" t="s">
        <v>2393</v>
      </c>
      <c r="R2955" s="7" t="s">
        <v>6413</v>
      </c>
      <c r="S2955" s="5">
        <v>0</v>
      </c>
      <c r="T2955" s="36">
        <v>0</v>
      </c>
      <c r="U2955" s="5">
        <v>0</v>
      </c>
      <c r="V2955" s="36">
        <v>0</v>
      </c>
      <c r="W2955" s="5">
        <v>0</v>
      </c>
      <c r="X2955" s="5">
        <v>0</v>
      </c>
      <c r="Y2955" s="5">
        <v>0</v>
      </c>
      <c r="Z2955" s="36">
        <v>0</v>
      </c>
      <c r="AA2955" s="5">
        <v>0</v>
      </c>
      <c r="AB2955" s="5">
        <v>0</v>
      </c>
      <c r="AC2955" s="5">
        <v>0</v>
      </c>
      <c r="AD2955" s="5">
        <v>0</v>
      </c>
      <c r="AE2955" s="7" t="s">
        <v>73</v>
      </c>
      <c r="AF2955" s="7"/>
      <c r="AG2955" s="7" t="s">
        <v>114</v>
      </c>
      <c r="AH2955" s="7">
        <v>43682</v>
      </c>
      <c r="AI2955" s="5">
        <v>1</v>
      </c>
      <c r="AJ2955" s="7" t="s">
        <v>16697</v>
      </c>
      <c r="AK2955" s="7" t="s">
        <v>16698</v>
      </c>
    </row>
    <row r="2956" spans="1:37" ht="36.75" customHeight="1" x14ac:dyDescent="0.35">
      <c r="A2956" s="5"/>
      <c r="B2956" s="5" t="s">
        <v>37</v>
      </c>
      <c r="C2956" s="73" t="str">
        <f t="shared" si="46"/>
        <v>Closed</v>
      </c>
      <c r="D2956" s="45" t="s">
        <v>16699</v>
      </c>
      <c r="E2956" s="54" t="s">
        <v>16700</v>
      </c>
      <c r="F2956" s="5" t="s">
        <v>214</v>
      </c>
      <c r="G2956" s="7">
        <f>DATE(2019,8,1)</f>
        <v>43678</v>
      </c>
      <c r="H2956" s="34">
        <v>1.3118055555555554</v>
      </c>
      <c r="I2956" s="5" t="s">
        <v>2059</v>
      </c>
      <c r="J2956" s="7" t="s">
        <v>16701</v>
      </c>
      <c r="K2956" s="5" t="s">
        <v>216</v>
      </c>
      <c r="L2956" s="5" t="s">
        <v>16702</v>
      </c>
      <c r="M2956" s="5" t="s">
        <v>45</v>
      </c>
      <c r="N2956" s="5" t="s">
        <v>70</v>
      </c>
      <c r="O2956" s="5" t="s">
        <v>46</v>
      </c>
      <c r="P2956" s="7" t="s">
        <v>47</v>
      </c>
      <c r="Q2956" s="7" t="s">
        <v>699</v>
      </c>
      <c r="R2956" s="7" t="s">
        <v>216</v>
      </c>
      <c r="S2956" s="5">
        <v>0</v>
      </c>
      <c r="T2956" s="36">
        <v>0</v>
      </c>
      <c r="U2956" s="5">
        <v>0</v>
      </c>
      <c r="V2956" s="36">
        <v>0</v>
      </c>
      <c r="W2956" s="5">
        <v>0</v>
      </c>
      <c r="X2956" s="5">
        <v>0</v>
      </c>
      <c r="Y2956" s="5">
        <v>0</v>
      </c>
      <c r="Z2956" s="36">
        <v>0</v>
      </c>
      <c r="AA2956" s="5">
        <v>0</v>
      </c>
      <c r="AB2956" s="5">
        <v>0</v>
      </c>
      <c r="AC2956" s="5">
        <v>0</v>
      </c>
      <c r="AD2956" s="5">
        <v>0</v>
      </c>
      <c r="AE2956" s="7" t="s">
        <v>73</v>
      </c>
      <c r="AF2956" s="7"/>
      <c r="AG2956" s="7" t="s">
        <v>114</v>
      </c>
      <c r="AH2956" s="7">
        <v>43682</v>
      </c>
      <c r="AI2956" s="5">
        <v>2</v>
      </c>
      <c r="AJ2956" s="7" t="s">
        <v>16703</v>
      </c>
      <c r="AK2956" s="7" t="s">
        <v>16704</v>
      </c>
    </row>
    <row r="2957" spans="1:37" ht="36.75" customHeight="1" x14ac:dyDescent="0.35">
      <c r="A2957" s="5"/>
      <c r="B2957" s="5" t="s">
        <v>37</v>
      </c>
      <c r="C2957" s="73" t="str">
        <f t="shared" si="46"/>
        <v>Closed</v>
      </c>
      <c r="D2957" s="45" t="s">
        <v>16705</v>
      </c>
      <c r="E2957" s="54" t="s">
        <v>16706</v>
      </c>
      <c r="F2957" s="5" t="s">
        <v>2316</v>
      </c>
      <c r="G2957" s="7">
        <f>DATE(2019,8,2)</f>
        <v>43679</v>
      </c>
      <c r="H2957" s="34">
        <v>1.8194444444444446</v>
      </c>
      <c r="I2957" s="5" t="s">
        <v>97</v>
      </c>
      <c r="J2957" s="7" t="s">
        <v>16707</v>
      </c>
      <c r="K2957" s="5" t="s">
        <v>2318</v>
      </c>
      <c r="L2957" s="5" t="s">
        <v>16708</v>
      </c>
      <c r="M2957" s="5" t="s">
        <v>45</v>
      </c>
      <c r="N2957" s="5" t="s">
        <v>80</v>
      </c>
      <c r="O2957" s="5" t="s">
        <v>46</v>
      </c>
      <c r="P2957" s="7" t="s">
        <v>47</v>
      </c>
      <c r="Q2957" s="7" t="s">
        <v>2925</v>
      </c>
      <c r="R2957" s="7" t="s">
        <v>2321</v>
      </c>
      <c r="S2957" s="5">
        <v>0</v>
      </c>
      <c r="T2957" s="36">
        <v>0</v>
      </c>
      <c r="U2957" s="5">
        <v>1</v>
      </c>
      <c r="V2957" s="36">
        <v>0</v>
      </c>
      <c r="W2957" s="5">
        <v>0</v>
      </c>
      <c r="X2957" s="5">
        <v>1</v>
      </c>
      <c r="Y2957" s="5">
        <v>0</v>
      </c>
      <c r="Z2957" s="36">
        <v>0</v>
      </c>
      <c r="AA2957" s="5">
        <v>0</v>
      </c>
      <c r="AB2957" s="5">
        <v>0</v>
      </c>
      <c r="AC2957" s="5">
        <v>0</v>
      </c>
      <c r="AD2957" s="5">
        <v>0</v>
      </c>
      <c r="AE2957" s="7" t="s">
        <v>73</v>
      </c>
      <c r="AF2957" s="7"/>
      <c r="AG2957" s="7" t="s">
        <v>64</v>
      </c>
      <c r="AH2957" s="7">
        <v>43683</v>
      </c>
      <c r="AI2957" s="5">
        <v>5</v>
      </c>
      <c r="AJ2957" s="7" t="s">
        <v>16709</v>
      </c>
      <c r="AK2957" s="7" t="s">
        <v>16710</v>
      </c>
    </row>
    <row r="2958" spans="1:37" ht="36.75" customHeight="1" x14ac:dyDescent="0.35">
      <c r="A2958" s="5"/>
      <c r="B2958" s="5" t="s">
        <v>37</v>
      </c>
      <c r="C2958" s="73" t="str">
        <f t="shared" si="46"/>
        <v>Closed</v>
      </c>
      <c r="D2958" s="45" t="s">
        <v>16711</v>
      </c>
      <c r="E2958" s="54" t="s">
        <v>16712</v>
      </c>
      <c r="F2958" s="5" t="s">
        <v>563</v>
      </c>
      <c r="G2958" s="7">
        <f>DATE(2019,8,6)</f>
        <v>43683</v>
      </c>
      <c r="H2958" s="34">
        <v>1.9673611111111109</v>
      </c>
      <c r="I2958" s="5" t="s">
        <v>55</v>
      </c>
      <c r="J2958" s="7" t="s">
        <v>16713</v>
      </c>
      <c r="K2958" s="5" t="s">
        <v>565</v>
      </c>
      <c r="L2958" s="5" t="s">
        <v>16714</v>
      </c>
      <c r="M2958" s="5" t="s">
        <v>45</v>
      </c>
      <c r="N2958" s="5" t="s">
        <v>123</v>
      </c>
      <c r="O2958" s="5" t="s">
        <v>59</v>
      </c>
      <c r="P2958" s="7" t="s">
        <v>146</v>
      </c>
      <c r="Q2958" s="7" t="s">
        <v>16715</v>
      </c>
      <c r="R2958" s="7" t="s">
        <v>568</v>
      </c>
      <c r="S2958" s="5">
        <v>0</v>
      </c>
      <c r="T2958" s="36">
        <v>0</v>
      </c>
      <c r="U2958" s="5">
        <v>0</v>
      </c>
      <c r="V2958" s="36">
        <v>0</v>
      </c>
      <c r="W2958" s="5">
        <v>0</v>
      </c>
      <c r="X2958" s="5">
        <v>0</v>
      </c>
      <c r="Y2958" s="5">
        <v>0</v>
      </c>
      <c r="Z2958" s="36">
        <v>0</v>
      </c>
      <c r="AA2958" s="5">
        <v>0</v>
      </c>
      <c r="AB2958" s="5">
        <v>0</v>
      </c>
      <c r="AC2958" s="5">
        <v>0</v>
      </c>
      <c r="AD2958" s="5">
        <v>0</v>
      </c>
      <c r="AE2958" s="7" t="s">
        <v>73</v>
      </c>
      <c r="AF2958" s="7"/>
      <c r="AG2958" s="7" t="s">
        <v>570</v>
      </c>
      <c r="AH2958" s="7">
        <v>43686</v>
      </c>
      <c r="AI2958" s="5">
        <v>1</v>
      </c>
      <c r="AJ2958" s="7" t="s">
        <v>16716</v>
      </c>
      <c r="AK2958" s="7" t="s">
        <v>1215</v>
      </c>
    </row>
    <row r="2959" spans="1:37" ht="36.75" customHeight="1" x14ac:dyDescent="0.35">
      <c r="A2959" s="5"/>
      <c r="B2959" s="5" t="s">
        <v>37</v>
      </c>
      <c r="C2959" s="73" t="str">
        <f t="shared" si="46"/>
        <v>Closed</v>
      </c>
      <c r="D2959" s="45" t="s">
        <v>16717</v>
      </c>
      <c r="E2959" s="54" t="s">
        <v>16718</v>
      </c>
      <c r="F2959" s="5" t="s">
        <v>1553</v>
      </c>
      <c r="G2959" s="7">
        <f>DATE(2019,8,7)</f>
        <v>43684</v>
      </c>
      <c r="H2959" s="34">
        <v>1.6736111111111112</v>
      </c>
      <c r="I2959" s="5" t="s">
        <v>106</v>
      </c>
      <c r="J2959" s="7" t="s">
        <v>16719</v>
      </c>
      <c r="K2959" s="5" t="s">
        <v>1555</v>
      </c>
      <c r="L2959" s="5" t="s">
        <v>16720</v>
      </c>
      <c r="M2959" s="5" t="s">
        <v>45</v>
      </c>
      <c r="N2959" s="5" t="s">
        <v>123</v>
      </c>
      <c r="O2959" s="5" t="s">
        <v>59</v>
      </c>
      <c r="P2959" s="7" t="s">
        <v>6920</v>
      </c>
      <c r="Q2959" s="7" t="s">
        <v>2393</v>
      </c>
      <c r="R2959" s="7" t="s">
        <v>6413</v>
      </c>
      <c r="S2959" s="5">
        <v>0</v>
      </c>
      <c r="T2959" s="36">
        <v>0</v>
      </c>
      <c r="U2959" s="5">
        <v>0</v>
      </c>
      <c r="V2959" s="36">
        <v>0</v>
      </c>
      <c r="W2959" s="5">
        <v>0</v>
      </c>
      <c r="X2959" s="5">
        <v>0</v>
      </c>
      <c r="Y2959" s="5">
        <v>0</v>
      </c>
      <c r="Z2959" s="36">
        <v>0</v>
      </c>
      <c r="AA2959" s="5">
        <v>0</v>
      </c>
      <c r="AB2959" s="5">
        <v>0</v>
      </c>
      <c r="AC2959" s="5">
        <v>0</v>
      </c>
      <c r="AD2959" s="5">
        <v>0</v>
      </c>
      <c r="AE2959" s="7" t="s">
        <v>73</v>
      </c>
      <c r="AF2959" s="7"/>
      <c r="AG2959" s="7" t="s">
        <v>114</v>
      </c>
      <c r="AH2959" s="7">
        <v>43685</v>
      </c>
      <c r="AI2959" s="5">
        <v>2</v>
      </c>
      <c r="AJ2959" s="7" t="s">
        <v>16721</v>
      </c>
      <c r="AK2959" s="7" t="s">
        <v>16722</v>
      </c>
    </row>
    <row r="2960" spans="1:37" ht="36.75" customHeight="1" x14ac:dyDescent="0.35">
      <c r="A2960" s="5"/>
      <c r="B2960" s="5" t="s">
        <v>37</v>
      </c>
      <c r="C2960" s="73" t="str">
        <f t="shared" si="46"/>
        <v>Closed</v>
      </c>
      <c r="D2960" s="45" t="s">
        <v>16723</v>
      </c>
      <c r="E2960" s="54" t="s">
        <v>16724</v>
      </c>
      <c r="F2960" s="5" t="s">
        <v>2316</v>
      </c>
      <c r="G2960" s="7">
        <f>DATE(2019,8,8)</f>
        <v>43685</v>
      </c>
      <c r="H2960" s="34">
        <v>1.9708333333333332</v>
      </c>
      <c r="I2960" s="5" t="s">
        <v>55</v>
      </c>
      <c r="J2960" s="7" t="s">
        <v>16725</v>
      </c>
      <c r="K2960" s="5" t="s">
        <v>2318</v>
      </c>
      <c r="L2960" s="5" t="s">
        <v>16726</v>
      </c>
      <c r="M2960" s="5" t="s">
        <v>45</v>
      </c>
      <c r="N2960" s="5" t="s">
        <v>123</v>
      </c>
      <c r="O2960" s="5" t="s">
        <v>46</v>
      </c>
      <c r="P2960" s="7" t="s">
        <v>60</v>
      </c>
      <c r="Q2960" s="7" t="s">
        <v>2955</v>
      </c>
      <c r="R2960" s="7" t="s">
        <v>2321</v>
      </c>
      <c r="S2960" s="5">
        <v>0</v>
      </c>
      <c r="T2960" s="36">
        <v>0</v>
      </c>
      <c r="U2960" s="5">
        <v>0</v>
      </c>
      <c r="V2960" s="36">
        <v>0</v>
      </c>
      <c r="W2960" s="5">
        <v>0</v>
      </c>
      <c r="X2960" s="5">
        <v>0</v>
      </c>
      <c r="Y2960" s="5">
        <v>0</v>
      </c>
      <c r="Z2960" s="36">
        <v>0</v>
      </c>
      <c r="AA2960" s="5">
        <v>0</v>
      </c>
      <c r="AB2960" s="5">
        <v>0</v>
      </c>
      <c r="AC2960" s="5">
        <v>0</v>
      </c>
      <c r="AD2960" s="5">
        <v>0</v>
      </c>
      <c r="AE2960" s="7" t="s">
        <v>375</v>
      </c>
      <c r="AF2960" s="7"/>
      <c r="AG2960" s="7" t="s">
        <v>16727</v>
      </c>
      <c r="AH2960" s="7">
        <v>43706</v>
      </c>
      <c r="AI2960" s="5">
        <v>7</v>
      </c>
      <c r="AJ2960" s="7" t="s">
        <v>16728</v>
      </c>
      <c r="AK2960" s="7" t="s">
        <v>16729</v>
      </c>
    </row>
    <row r="2961" spans="1:37" ht="36.75" customHeight="1" x14ac:dyDescent="0.35">
      <c r="A2961" s="5"/>
      <c r="B2961" s="5" t="s">
        <v>37</v>
      </c>
      <c r="C2961" s="73" t="str">
        <f t="shared" si="46"/>
        <v>Closed</v>
      </c>
      <c r="D2961" s="45" t="s">
        <v>16730</v>
      </c>
      <c r="E2961" s="54" t="s">
        <v>16731</v>
      </c>
      <c r="F2961" s="5" t="s">
        <v>816</v>
      </c>
      <c r="G2961" s="7">
        <f>DATE(2019,8,9)</f>
        <v>43686</v>
      </c>
      <c r="H2961" s="34">
        <v>0</v>
      </c>
      <c r="I2961" s="5" t="s">
        <v>2059</v>
      </c>
      <c r="J2961" s="7" t="s">
        <v>16732</v>
      </c>
      <c r="K2961" s="5" t="s">
        <v>818</v>
      </c>
      <c r="L2961" s="5" t="s">
        <v>16733</v>
      </c>
      <c r="M2961" s="5" t="s">
        <v>45</v>
      </c>
      <c r="N2961" s="5" t="s">
        <v>123</v>
      </c>
      <c r="O2961" s="5" t="s">
        <v>59</v>
      </c>
      <c r="P2961" s="7" t="s">
        <v>6920</v>
      </c>
      <c r="Q2961" s="7" t="s">
        <v>820</v>
      </c>
      <c r="R2961" s="7" t="s">
        <v>821</v>
      </c>
      <c r="S2961" s="5">
        <v>0</v>
      </c>
      <c r="T2961" s="36">
        <v>0</v>
      </c>
      <c r="U2961" s="5">
        <v>0</v>
      </c>
      <c r="V2961" s="36">
        <v>0</v>
      </c>
      <c r="W2961" s="5">
        <v>0</v>
      </c>
      <c r="X2961" s="5">
        <v>0</v>
      </c>
      <c r="Y2961" s="5">
        <v>0</v>
      </c>
      <c r="Z2961" s="36">
        <v>0</v>
      </c>
      <c r="AA2961" s="5">
        <v>0</v>
      </c>
      <c r="AB2961" s="5">
        <v>0</v>
      </c>
      <c r="AC2961" s="5">
        <v>0</v>
      </c>
      <c r="AD2961" s="5">
        <v>0</v>
      </c>
      <c r="AE2961" s="7" t="s">
        <v>73</v>
      </c>
      <c r="AF2961" s="7"/>
      <c r="AG2961" s="7" t="s">
        <v>10489</v>
      </c>
      <c r="AH2961" s="7">
        <v>43769</v>
      </c>
      <c r="AI2961" s="5">
        <v>0</v>
      </c>
      <c r="AJ2961" s="7" t="s">
        <v>16734</v>
      </c>
      <c r="AK2961" s="7" t="s">
        <v>16735</v>
      </c>
    </row>
    <row r="2962" spans="1:37" ht="36.75" customHeight="1" x14ac:dyDescent="0.35">
      <c r="A2962" s="5"/>
      <c r="B2962" s="5" t="s">
        <v>37</v>
      </c>
      <c r="C2962" s="73" t="str">
        <f t="shared" si="46"/>
        <v>Closed</v>
      </c>
      <c r="D2962" s="45" t="s">
        <v>16736</v>
      </c>
      <c r="E2962" s="54" t="s">
        <v>16737</v>
      </c>
      <c r="F2962" s="5" t="s">
        <v>2581</v>
      </c>
      <c r="G2962" s="7">
        <f>DATE(2019,8,11)</f>
        <v>43688</v>
      </c>
      <c r="H2962" s="34">
        <v>1.71875</v>
      </c>
      <c r="I2962" s="5" t="s">
        <v>106</v>
      </c>
      <c r="J2962" s="7" t="s">
        <v>16738</v>
      </c>
      <c r="K2962" s="5" t="s">
        <v>2583</v>
      </c>
      <c r="L2962" s="5" t="s">
        <v>16739</v>
      </c>
      <c r="M2962" s="5" t="s">
        <v>45</v>
      </c>
      <c r="N2962" s="5" t="s">
        <v>123</v>
      </c>
      <c r="O2962" s="5" t="s">
        <v>46</v>
      </c>
      <c r="P2962" s="7" t="s">
        <v>60</v>
      </c>
      <c r="Q2962" s="7" t="s">
        <v>4793</v>
      </c>
      <c r="R2962" s="7" t="s">
        <v>2586</v>
      </c>
      <c r="S2962" s="5">
        <v>0</v>
      </c>
      <c r="T2962" s="36">
        <v>0</v>
      </c>
      <c r="U2962" s="5">
        <v>0</v>
      </c>
      <c r="V2962" s="36">
        <v>0</v>
      </c>
      <c r="W2962" s="5">
        <v>0</v>
      </c>
      <c r="X2962" s="5">
        <v>0</v>
      </c>
      <c r="Y2962" s="5">
        <v>0</v>
      </c>
      <c r="Z2962" s="36">
        <v>0</v>
      </c>
      <c r="AA2962" s="5">
        <v>0</v>
      </c>
      <c r="AB2962" s="5">
        <v>0</v>
      </c>
      <c r="AC2962" s="5">
        <v>0</v>
      </c>
      <c r="AD2962" s="5">
        <v>0</v>
      </c>
      <c r="AE2962" s="7" t="s">
        <v>73</v>
      </c>
      <c r="AF2962" s="7"/>
      <c r="AG2962" s="7" t="s">
        <v>333</v>
      </c>
      <c r="AH2962" s="7">
        <v>43691</v>
      </c>
      <c r="AI2962" s="5">
        <v>4</v>
      </c>
      <c r="AJ2962" s="7" t="s">
        <v>16740</v>
      </c>
      <c r="AK2962" s="7" t="s">
        <v>50</v>
      </c>
    </row>
    <row r="2963" spans="1:37" ht="36.75" customHeight="1" x14ac:dyDescent="0.35">
      <c r="A2963" s="5"/>
      <c r="B2963" s="5" t="s">
        <v>37</v>
      </c>
      <c r="C2963" s="73" t="str">
        <f t="shared" si="46"/>
        <v>Closed</v>
      </c>
      <c r="D2963" s="45" t="s">
        <v>16741</v>
      </c>
      <c r="E2963" s="54" t="s">
        <v>16742</v>
      </c>
      <c r="F2963" s="5" t="s">
        <v>563</v>
      </c>
      <c r="G2963" s="7">
        <f>DATE(2019,8,13)</f>
        <v>43690</v>
      </c>
      <c r="H2963" s="34">
        <v>1.7152777777777777</v>
      </c>
      <c r="I2963" s="5" t="s">
        <v>179</v>
      </c>
      <c r="J2963" s="7" t="s">
        <v>16743</v>
      </c>
      <c r="K2963" s="5" t="s">
        <v>565</v>
      </c>
      <c r="L2963" s="5" t="s">
        <v>16744</v>
      </c>
      <c r="M2963" s="5" t="s">
        <v>45</v>
      </c>
      <c r="N2963" s="5" t="s">
        <v>123</v>
      </c>
      <c r="O2963" s="5" t="s">
        <v>59</v>
      </c>
      <c r="P2963" s="7" t="s">
        <v>8003</v>
      </c>
      <c r="Q2963" s="7" t="s">
        <v>16745</v>
      </c>
      <c r="R2963" s="7" t="s">
        <v>568</v>
      </c>
      <c r="S2963" s="5">
        <v>0</v>
      </c>
      <c r="T2963" s="36">
        <v>0</v>
      </c>
      <c r="U2963" s="5">
        <v>0</v>
      </c>
      <c r="V2963" s="36">
        <v>0</v>
      </c>
      <c r="W2963" s="5">
        <v>0</v>
      </c>
      <c r="X2963" s="5">
        <v>0</v>
      </c>
      <c r="Y2963" s="5">
        <v>0</v>
      </c>
      <c r="Z2963" s="36">
        <v>0</v>
      </c>
      <c r="AA2963" s="5">
        <v>0</v>
      </c>
      <c r="AB2963" s="5">
        <v>0</v>
      </c>
      <c r="AC2963" s="5">
        <v>0</v>
      </c>
      <c r="AD2963" s="5">
        <v>0</v>
      </c>
      <c r="AE2963" s="7" t="s">
        <v>375</v>
      </c>
      <c r="AF2963" s="7"/>
      <c r="AG2963" s="7" t="s">
        <v>570</v>
      </c>
      <c r="AH2963" s="7">
        <v>43696</v>
      </c>
      <c r="AI2963" s="5">
        <v>0</v>
      </c>
      <c r="AJ2963" s="7" t="s">
        <v>16746</v>
      </c>
      <c r="AK2963" s="7" t="s">
        <v>1215</v>
      </c>
    </row>
    <row r="2964" spans="1:37" ht="36.75" customHeight="1" x14ac:dyDescent="0.35">
      <c r="A2964" s="5"/>
      <c r="B2964" s="5" t="s">
        <v>37</v>
      </c>
      <c r="C2964" s="73" t="str">
        <f t="shared" si="46"/>
        <v>Closed</v>
      </c>
      <c r="D2964" s="45" t="s">
        <v>16747</v>
      </c>
      <c r="E2964" s="54" t="s">
        <v>16748</v>
      </c>
      <c r="F2964" s="5" t="s">
        <v>1553</v>
      </c>
      <c r="G2964" s="7">
        <f>DATE(2019,8,14)</f>
        <v>43691</v>
      </c>
      <c r="H2964" s="34">
        <v>1.2638888888888888</v>
      </c>
      <c r="I2964" s="5" t="s">
        <v>55</v>
      </c>
      <c r="J2964" s="7" t="s">
        <v>16749</v>
      </c>
      <c r="K2964" s="5" t="s">
        <v>1555</v>
      </c>
      <c r="L2964" s="5" t="s">
        <v>16750</v>
      </c>
      <c r="M2964" s="5" t="s">
        <v>45</v>
      </c>
      <c r="N2964" s="5" t="s">
        <v>123</v>
      </c>
      <c r="O2964" s="5" t="s">
        <v>59</v>
      </c>
      <c r="P2964" s="7" t="s">
        <v>60</v>
      </c>
      <c r="Q2964" s="7" t="s">
        <v>16751</v>
      </c>
      <c r="R2964" s="7" t="s">
        <v>6413</v>
      </c>
      <c r="S2964" s="5">
        <v>0</v>
      </c>
      <c r="T2964" s="36">
        <v>0</v>
      </c>
      <c r="U2964" s="5">
        <v>0</v>
      </c>
      <c r="V2964" s="36">
        <v>0</v>
      </c>
      <c r="W2964" s="5">
        <v>0</v>
      </c>
      <c r="X2964" s="5">
        <v>0</v>
      </c>
      <c r="Y2964" s="5">
        <v>0</v>
      </c>
      <c r="Z2964" s="36">
        <v>0</v>
      </c>
      <c r="AA2964" s="5">
        <v>0</v>
      </c>
      <c r="AB2964" s="5">
        <v>0</v>
      </c>
      <c r="AC2964" s="5">
        <v>0</v>
      </c>
      <c r="AD2964" s="5">
        <v>0</v>
      </c>
      <c r="AE2964" s="7" t="s">
        <v>73</v>
      </c>
      <c r="AF2964" s="7"/>
      <c r="AG2964" s="7" t="s">
        <v>114</v>
      </c>
      <c r="AH2964" s="7">
        <v>43697</v>
      </c>
      <c r="AI2964" s="5">
        <v>2</v>
      </c>
      <c r="AJ2964" s="7" t="s">
        <v>16752</v>
      </c>
      <c r="AK2964" s="7" t="s">
        <v>16753</v>
      </c>
    </row>
    <row r="2965" spans="1:37" ht="36.75" customHeight="1" x14ac:dyDescent="0.35">
      <c r="A2965" s="5"/>
      <c r="B2965" s="5" t="s">
        <v>37</v>
      </c>
      <c r="C2965" s="73" t="str">
        <f t="shared" si="46"/>
        <v>Closed</v>
      </c>
      <c r="D2965" s="45" t="s">
        <v>16754</v>
      </c>
      <c r="E2965" s="54" t="s">
        <v>16755</v>
      </c>
      <c r="F2965" s="5" t="s">
        <v>1553</v>
      </c>
      <c r="G2965" s="7">
        <f>DATE(2019,8,14)</f>
        <v>43691</v>
      </c>
      <c r="H2965" s="34">
        <v>1.8250000000000002</v>
      </c>
      <c r="I2965" s="5" t="s">
        <v>106</v>
      </c>
      <c r="J2965" s="7" t="s">
        <v>16756</v>
      </c>
      <c r="K2965" s="5" t="s">
        <v>1555</v>
      </c>
      <c r="L2965" s="5" t="s">
        <v>16757</v>
      </c>
      <c r="M2965" s="5" t="s">
        <v>45</v>
      </c>
      <c r="N2965" s="5" t="s">
        <v>80</v>
      </c>
      <c r="O2965" s="5" t="s">
        <v>46</v>
      </c>
      <c r="P2965" s="7" t="s">
        <v>60</v>
      </c>
      <c r="Q2965" s="7" t="s">
        <v>16528</v>
      </c>
      <c r="R2965" s="7" t="s">
        <v>6413</v>
      </c>
      <c r="S2965" s="5">
        <v>0</v>
      </c>
      <c r="T2965" s="36">
        <v>0</v>
      </c>
      <c r="U2965" s="5">
        <v>0</v>
      </c>
      <c r="V2965" s="36">
        <v>0</v>
      </c>
      <c r="W2965" s="5">
        <v>0</v>
      </c>
      <c r="X2965" s="5">
        <v>0</v>
      </c>
      <c r="Y2965" s="5">
        <v>0</v>
      </c>
      <c r="Z2965" s="36">
        <v>0</v>
      </c>
      <c r="AA2965" s="5">
        <v>0</v>
      </c>
      <c r="AB2965" s="5">
        <v>0</v>
      </c>
      <c r="AC2965" s="5">
        <v>0</v>
      </c>
      <c r="AD2965" s="5">
        <v>0</v>
      </c>
      <c r="AE2965" s="7" t="s">
        <v>375</v>
      </c>
      <c r="AF2965" s="7"/>
      <c r="AG2965" s="7" t="s">
        <v>114</v>
      </c>
      <c r="AH2965" s="7">
        <v>43697</v>
      </c>
      <c r="AI2965" s="5">
        <v>2</v>
      </c>
      <c r="AJ2965" s="7" t="s">
        <v>16758</v>
      </c>
      <c r="AK2965" s="7" t="s">
        <v>1215</v>
      </c>
    </row>
    <row r="2966" spans="1:37" ht="36.75" customHeight="1" x14ac:dyDescent="0.35">
      <c r="A2966" s="5"/>
      <c r="B2966" s="5" t="s">
        <v>37</v>
      </c>
      <c r="C2966" s="73" t="str">
        <f t="shared" si="46"/>
        <v>Closed</v>
      </c>
      <c r="D2966" s="45" t="s">
        <v>16759</v>
      </c>
      <c r="E2966" s="54" t="s">
        <v>16760</v>
      </c>
      <c r="F2966" s="5" t="s">
        <v>816</v>
      </c>
      <c r="G2966" s="7">
        <f>DATE(2019,8,18)</f>
        <v>43695</v>
      </c>
      <c r="H2966" s="34">
        <v>1.1916666666666667</v>
      </c>
      <c r="I2966" s="5" t="s">
        <v>468</v>
      </c>
      <c r="J2966" s="7" t="s">
        <v>16761</v>
      </c>
      <c r="K2966" s="5" t="s">
        <v>818</v>
      </c>
      <c r="L2966" s="5" t="s">
        <v>16762</v>
      </c>
      <c r="M2966" s="5" t="s">
        <v>45</v>
      </c>
      <c r="N2966" s="5" t="s">
        <v>123</v>
      </c>
      <c r="O2966" s="5" t="s">
        <v>59</v>
      </c>
      <c r="P2966" s="7" t="s">
        <v>282</v>
      </c>
      <c r="Q2966" s="7" t="s">
        <v>5419</v>
      </c>
      <c r="R2966" s="7" t="s">
        <v>821</v>
      </c>
      <c r="S2966" s="5">
        <v>0</v>
      </c>
      <c r="T2966" s="36">
        <v>0</v>
      </c>
      <c r="U2966" s="5">
        <v>0</v>
      </c>
      <c r="V2966" s="36">
        <v>0</v>
      </c>
      <c r="W2966" s="5">
        <v>0</v>
      </c>
      <c r="X2966" s="5">
        <v>0</v>
      </c>
      <c r="Y2966" s="5">
        <v>0</v>
      </c>
      <c r="Z2966" s="36">
        <v>0</v>
      </c>
      <c r="AA2966" s="5">
        <v>0</v>
      </c>
      <c r="AB2966" s="5">
        <v>0</v>
      </c>
      <c r="AC2966" s="5">
        <v>0</v>
      </c>
      <c r="AD2966" s="5">
        <v>0</v>
      </c>
      <c r="AE2966" s="7" t="s">
        <v>73</v>
      </c>
      <c r="AF2966" s="7"/>
      <c r="AG2966" s="7" t="s">
        <v>114</v>
      </c>
      <c r="AH2966" s="7">
        <v>43695</v>
      </c>
      <c r="AI2966" s="5">
        <v>1</v>
      </c>
      <c r="AJ2966" s="7" t="s">
        <v>16763</v>
      </c>
      <c r="AK2966" s="7" t="s">
        <v>50</v>
      </c>
    </row>
    <row r="2967" spans="1:37" ht="36.75" customHeight="1" x14ac:dyDescent="0.35">
      <c r="A2967" s="5"/>
      <c r="B2967" s="5" t="s">
        <v>37</v>
      </c>
      <c r="C2967" s="73" t="str">
        <f t="shared" si="46"/>
        <v>Closed</v>
      </c>
      <c r="D2967" s="45" t="s">
        <v>16764</v>
      </c>
      <c r="E2967" s="54" t="s">
        <v>16765</v>
      </c>
      <c r="F2967" s="5" t="s">
        <v>404</v>
      </c>
      <c r="G2967" s="7">
        <f>DATE(2019,8,19)</f>
        <v>43696</v>
      </c>
      <c r="H2967" s="34">
        <v>1.3423611111111111</v>
      </c>
      <c r="I2967" s="5" t="s">
        <v>179</v>
      </c>
      <c r="J2967" s="7" t="s">
        <v>16766</v>
      </c>
      <c r="K2967" s="5" t="s">
        <v>406</v>
      </c>
      <c r="L2967" s="5" t="s">
        <v>16767</v>
      </c>
      <c r="M2967" s="5" t="s">
        <v>45</v>
      </c>
      <c r="N2967" s="5" t="s">
        <v>80</v>
      </c>
      <c r="O2967" s="5" t="s">
        <v>6854</v>
      </c>
      <c r="P2967" s="7" t="s">
        <v>14695</v>
      </c>
      <c r="Q2967" s="7" t="s">
        <v>16768</v>
      </c>
      <c r="R2967" s="7" t="s">
        <v>16768</v>
      </c>
      <c r="S2967" s="5">
        <v>0</v>
      </c>
      <c r="T2967" s="36">
        <v>0</v>
      </c>
      <c r="U2967" s="5">
        <v>0</v>
      </c>
      <c r="V2967" s="36">
        <v>0</v>
      </c>
      <c r="W2967" s="5">
        <v>0</v>
      </c>
      <c r="X2967" s="5">
        <v>0</v>
      </c>
      <c r="Y2967" s="5">
        <v>0</v>
      </c>
      <c r="Z2967" s="36">
        <v>0</v>
      </c>
      <c r="AA2967" s="5">
        <v>0</v>
      </c>
      <c r="AB2967" s="5">
        <v>0</v>
      </c>
      <c r="AC2967" s="5">
        <v>0</v>
      </c>
      <c r="AD2967" s="5">
        <v>0</v>
      </c>
      <c r="AE2967" s="7" t="s">
        <v>375</v>
      </c>
      <c r="AF2967" s="7"/>
      <c r="AG2967" s="7" t="s">
        <v>114</v>
      </c>
      <c r="AH2967" s="7">
        <v>43596</v>
      </c>
      <c r="AI2967" s="5">
        <v>0</v>
      </c>
      <c r="AJ2967" s="7" t="s">
        <v>16769</v>
      </c>
      <c r="AK2967" s="7" t="s">
        <v>16770</v>
      </c>
    </row>
    <row r="2968" spans="1:37" ht="36.75" customHeight="1" x14ac:dyDescent="0.35">
      <c r="A2968" s="5"/>
      <c r="B2968" s="5" t="s">
        <v>37</v>
      </c>
      <c r="C2968" s="73" t="str">
        <f t="shared" si="46"/>
        <v>Closed</v>
      </c>
      <c r="D2968" s="45" t="s">
        <v>16771</v>
      </c>
      <c r="E2968" s="54" t="s">
        <v>16772</v>
      </c>
      <c r="F2968" s="5" t="s">
        <v>1553</v>
      </c>
      <c r="G2968" s="7">
        <f>DATE(2019,8,19)</f>
        <v>43696</v>
      </c>
      <c r="H2968" s="34">
        <v>1.3541666666666667</v>
      </c>
      <c r="I2968" s="5" t="s">
        <v>55</v>
      </c>
      <c r="J2968" s="7" t="s">
        <v>16773</v>
      </c>
      <c r="K2968" s="5" t="s">
        <v>1555</v>
      </c>
      <c r="L2968" s="5" t="s">
        <v>16774</v>
      </c>
      <c r="M2968" s="5" t="s">
        <v>45</v>
      </c>
      <c r="N2968" s="5" t="s">
        <v>80</v>
      </c>
      <c r="O2968" s="5" t="s">
        <v>59</v>
      </c>
      <c r="P2968" s="7" t="s">
        <v>72</v>
      </c>
      <c r="Q2968" s="7" t="s">
        <v>2635</v>
      </c>
      <c r="R2968" s="7" t="s">
        <v>6413</v>
      </c>
      <c r="S2968" s="5">
        <v>0</v>
      </c>
      <c r="T2968" s="36">
        <v>0</v>
      </c>
      <c r="U2968" s="5">
        <v>0</v>
      </c>
      <c r="V2968" s="36">
        <v>0</v>
      </c>
      <c r="W2968" s="5">
        <v>0</v>
      </c>
      <c r="X2968" s="5">
        <v>0</v>
      </c>
      <c r="Y2968" s="5">
        <v>0</v>
      </c>
      <c r="Z2968" s="36">
        <v>0</v>
      </c>
      <c r="AA2968" s="5">
        <v>0</v>
      </c>
      <c r="AB2968" s="5">
        <v>0</v>
      </c>
      <c r="AC2968" s="5">
        <v>0</v>
      </c>
      <c r="AD2968" s="5">
        <v>0</v>
      </c>
      <c r="AE2968" s="7" t="s">
        <v>375</v>
      </c>
      <c r="AF2968" s="7"/>
      <c r="AG2968" s="7" t="s">
        <v>1489</v>
      </c>
      <c r="AH2968" s="7">
        <v>43698</v>
      </c>
      <c r="AI2968" s="5">
        <v>4</v>
      </c>
      <c r="AJ2968" s="7" t="s">
        <v>16775</v>
      </c>
      <c r="AK2968" s="7" t="s">
        <v>16776</v>
      </c>
    </row>
    <row r="2969" spans="1:37" ht="36.75" customHeight="1" x14ac:dyDescent="0.35">
      <c r="A2969" s="5"/>
      <c r="B2969" s="5" t="s">
        <v>37</v>
      </c>
      <c r="C2969" s="73" t="str">
        <f t="shared" si="46"/>
        <v>Closed</v>
      </c>
      <c r="D2969" s="45" t="s">
        <v>16777</v>
      </c>
      <c r="E2969" s="54" t="s">
        <v>16778</v>
      </c>
      <c r="F2969" s="5" t="s">
        <v>119</v>
      </c>
      <c r="G2969" s="7">
        <f>DATE(2019,8,19)</f>
        <v>43696</v>
      </c>
      <c r="H2969" s="34">
        <v>1.7319444444444443</v>
      </c>
      <c r="I2969" s="5" t="s">
        <v>2244</v>
      </c>
      <c r="J2969" s="7" t="s">
        <v>16779</v>
      </c>
      <c r="K2969" s="5" t="s">
        <v>121</v>
      </c>
      <c r="L2969" s="5" t="s">
        <v>16780</v>
      </c>
      <c r="M2969" s="5" t="s">
        <v>45</v>
      </c>
      <c r="N2969" s="5" t="s">
        <v>70</v>
      </c>
      <c r="O2969" s="5" t="s">
        <v>59</v>
      </c>
      <c r="P2969" s="7" t="s">
        <v>146</v>
      </c>
      <c r="Q2969" s="7" t="s">
        <v>7618</v>
      </c>
      <c r="R2969" s="7" t="s">
        <v>4913</v>
      </c>
      <c r="S2969" s="5">
        <v>0</v>
      </c>
      <c r="T2969" s="36">
        <v>0</v>
      </c>
      <c r="U2969" s="5">
        <v>0</v>
      </c>
      <c r="V2969" s="36">
        <v>0</v>
      </c>
      <c r="W2969" s="5">
        <v>0</v>
      </c>
      <c r="X2969" s="5">
        <v>0</v>
      </c>
      <c r="Y2969" s="5">
        <v>0</v>
      </c>
      <c r="Z2969" s="36">
        <v>0</v>
      </c>
      <c r="AA2969" s="5">
        <v>0</v>
      </c>
      <c r="AB2969" s="5">
        <v>0</v>
      </c>
      <c r="AC2969" s="5">
        <v>0</v>
      </c>
      <c r="AD2969" s="5">
        <v>0</v>
      </c>
      <c r="AE2969" s="7" t="s">
        <v>73</v>
      </c>
      <c r="AF2969" s="7"/>
      <c r="AG2969" s="7" t="s">
        <v>114</v>
      </c>
      <c r="AH2969" s="7">
        <v>43697</v>
      </c>
      <c r="AI2969" s="5">
        <v>0</v>
      </c>
      <c r="AJ2969" s="7" t="s">
        <v>16781</v>
      </c>
      <c r="AK2969" s="7" t="s">
        <v>16782</v>
      </c>
    </row>
    <row r="2970" spans="1:37" ht="36.75" customHeight="1" x14ac:dyDescent="0.35">
      <c r="A2970" s="5"/>
      <c r="B2970" s="5" t="s">
        <v>37</v>
      </c>
      <c r="C2970" s="73" t="str">
        <f t="shared" si="46"/>
        <v>Closed</v>
      </c>
      <c r="D2970" s="45" t="s">
        <v>16783</v>
      </c>
      <c r="E2970" s="54" t="s">
        <v>16784</v>
      </c>
      <c r="F2970" s="5" t="s">
        <v>404</v>
      </c>
      <c r="G2970" s="7">
        <f>DATE(2019,8,20)</f>
        <v>43697</v>
      </c>
      <c r="H2970" s="34">
        <v>1.9958333333333331</v>
      </c>
      <c r="I2970" s="5" t="s">
        <v>179</v>
      </c>
      <c r="J2970" s="7" t="s">
        <v>16785</v>
      </c>
      <c r="K2970" s="5" t="s">
        <v>406</v>
      </c>
      <c r="L2970" s="5" t="s">
        <v>16786</v>
      </c>
      <c r="M2970" s="5" t="s">
        <v>45</v>
      </c>
      <c r="N2970" s="5" t="s">
        <v>123</v>
      </c>
      <c r="O2970" s="5" t="s">
        <v>6854</v>
      </c>
      <c r="P2970" s="7"/>
      <c r="Q2970" s="7" t="s">
        <v>5178</v>
      </c>
      <c r="R2970" s="7" t="s">
        <v>16787</v>
      </c>
      <c r="S2970" s="5">
        <v>0</v>
      </c>
      <c r="T2970" s="36">
        <v>0</v>
      </c>
      <c r="U2970" s="5">
        <v>0</v>
      </c>
      <c r="V2970" s="36">
        <v>0</v>
      </c>
      <c r="W2970" s="5">
        <v>0</v>
      </c>
      <c r="X2970" s="5">
        <v>0</v>
      </c>
      <c r="Y2970" s="5">
        <v>0</v>
      </c>
      <c r="Z2970" s="36">
        <v>0</v>
      </c>
      <c r="AA2970" s="5">
        <v>0</v>
      </c>
      <c r="AB2970" s="5">
        <v>0</v>
      </c>
      <c r="AC2970" s="5">
        <v>0</v>
      </c>
      <c r="AD2970" s="5">
        <v>0</v>
      </c>
      <c r="AE2970" s="7" t="s">
        <v>126</v>
      </c>
      <c r="AF2970" s="7"/>
      <c r="AG2970" s="7" t="s">
        <v>64</v>
      </c>
      <c r="AH2970" s="7">
        <v>43812</v>
      </c>
      <c r="AI2970" s="5">
        <v>1</v>
      </c>
      <c r="AJ2970" s="7" t="s">
        <v>16788</v>
      </c>
      <c r="AK2970" s="7" t="s">
        <v>16789</v>
      </c>
    </row>
    <row r="2971" spans="1:37" ht="36.75" customHeight="1" x14ac:dyDescent="0.35">
      <c r="A2971" s="5"/>
      <c r="B2971" s="5" t="s">
        <v>37</v>
      </c>
      <c r="C2971" s="73" t="str">
        <f t="shared" si="46"/>
        <v>Closed</v>
      </c>
      <c r="D2971" s="45" t="s">
        <v>16790</v>
      </c>
      <c r="E2971" s="54" t="s">
        <v>16791</v>
      </c>
      <c r="F2971" s="5" t="s">
        <v>404</v>
      </c>
      <c r="G2971" s="7">
        <f>DATE(2019,8,21)</f>
        <v>43698</v>
      </c>
      <c r="H2971" s="34">
        <v>1.8222222222222224</v>
      </c>
      <c r="I2971" s="5" t="s">
        <v>97</v>
      </c>
      <c r="J2971" s="7" t="s">
        <v>16792</v>
      </c>
      <c r="K2971" s="5" t="s">
        <v>406</v>
      </c>
      <c r="L2971" s="5" t="s">
        <v>16793</v>
      </c>
      <c r="M2971" s="5" t="s">
        <v>45</v>
      </c>
      <c r="N2971" s="5" t="s">
        <v>80</v>
      </c>
      <c r="O2971" s="5" t="s">
        <v>46</v>
      </c>
      <c r="P2971" s="7" t="s">
        <v>146</v>
      </c>
      <c r="Q2971" s="7" t="s">
        <v>4531</v>
      </c>
      <c r="R2971" s="7" t="s">
        <v>3083</v>
      </c>
      <c r="S2971" s="5">
        <v>0</v>
      </c>
      <c r="T2971" s="36">
        <v>0</v>
      </c>
      <c r="U2971" s="5">
        <v>0</v>
      </c>
      <c r="V2971" s="36">
        <v>0</v>
      </c>
      <c r="W2971" s="5">
        <v>0</v>
      </c>
      <c r="X2971" s="5">
        <v>0</v>
      </c>
      <c r="Y2971" s="5">
        <v>0</v>
      </c>
      <c r="Z2971" s="36">
        <v>0</v>
      </c>
      <c r="AA2971" s="5">
        <v>0</v>
      </c>
      <c r="AB2971" s="5">
        <v>0</v>
      </c>
      <c r="AC2971" s="5">
        <v>0</v>
      </c>
      <c r="AD2971" s="5">
        <v>0</v>
      </c>
      <c r="AE2971" s="7" t="s">
        <v>73</v>
      </c>
      <c r="AF2971" s="7"/>
      <c r="AG2971" s="7" t="s">
        <v>114</v>
      </c>
      <c r="AH2971" s="7">
        <v>43698</v>
      </c>
      <c r="AI2971" s="5">
        <v>1</v>
      </c>
      <c r="AJ2971" s="7" t="s">
        <v>16794</v>
      </c>
      <c r="AK2971" s="7" t="s">
        <v>16795</v>
      </c>
    </row>
    <row r="2972" spans="1:37" ht="36.75" customHeight="1" x14ac:dyDescent="0.35">
      <c r="A2972" s="5"/>
      <c r="B2972" s="5" t="s">
        <v>37</v>
      </c>
      <c r="C2972" s="73" t="str">
        <f t="shared" si="46"/>
        <v>Closed</v>
      </c>
      <c r="D2972" s="45" t="s">
        <v>16796</v>
      </c>
      <c r="E2972" s="54" t="s">
        <v>16797</v>
      </c>
      <c r="F2972" s="5" t="s">
        <v>404</v>
      </c>
      <c r="G2972" s="7">
        <f>DATE(2019,8,23)</f>
        <v>43700</v>
      </c>
      <c r="H2972" s="51">
        <v>1.5173611111111112</v>
      </c>
      <c r="I2972" s="5" t="s">
        <v>97</v>
      </c>
      <c r="J2972" s="7" t="s">
        <v>16798</v>
      </c>
      <c r="K2972" s="5" t="s">
        <v>406</v>
      </c>
      <c r="L2972" s="5" t="s">
        <v>16799</v>
      </c>
      <c r="M2972" s="5" t="s">
        <v>45</v>
      </c>
      <c r="N2972" s="5" t="s">
        <v>80</v>
      </c>
      <c r="O2972" s="5" t="s">
        <v>46</v>
      </c>
      <c r="P2972" s="7" t="s">
        <v>146</v>
      </c>
      <c r="Q2972" s="7" t="s">
        <v>4531</v>
      </c>
      <c r="R2972" s="7" t="s">
        <v>3083</v>
      </c>
      <c r="S2972" s="5">
        <v>0</v>
      </c>
      <c r="T2972" s="36">
        <v>0</v>
      </c>
      <c r="U2972" s="5">
        <v>0</v>
      </c>
      <c r="V2972" s="36">
        <v>0</v>
      </c>
      <c r="W2972" s="5">
        <v>0</v>
      </c>
      <c r="X2972" s="5">
        <v>0</v>
      </c>
      <c r="Y2972" s="5">
        <v>0</v>
      </c>
      <c r="Z2972" s="36">
        <v>0</v>
      </c>
      <c r="AA2972" s="5">
        <v>0</v>
      </c>
      <c r="AB2972" s="5">
        <v>0</v>
      </c>
      <c r="AC2972" s="5">
        <v>0</v>
      </c>
      <c r="AD2972" s="5">
        <v>0</v>
      </c>
      <c r="AE2972" s="7" t="s">
        <v>375</v>
      </c>
      <c r="AF2972" s="7"/>
      <c r="AG2972" s="9" t="s">
        <v>64</v>
      </c>
      <c r="AH2972" s="7">
        <v>43700</v>
      </c>
      <c r="AI2972" s="5">
        <v>1</v>
      </c>
      <c r="AJ2972" s="7" t="s">
        <v>16800</v>
      </c>
      <c r="AK2972" s="7" t="s">
        <v>16801</v>
      </c>
    </row>
    <row r="2973" spans="1:37" ht="36.75" customHeight="1" x14ac:dyDescent="0.35">
      <c r="A2973" s="5"/>
      <c r="B2973" s="5" t="s">
        <v>37</v>
      </c>
      <c r="C2973" s="73" t="str">
        <f t="shared" si="46"/>
        <v>Closed</v>
      </c>
      <c r="D2973" s="45" t="s">
        <v>16802</v>
      </c>
      <c r="E2973" s="54" t="s">
        <v>16803</v>
      </c>
      <c r="F2973" s="5" t="s">
        <v>816</v>
      </c>
      <c r="G2973" s="7">
        <f>DATE(2019,8,23)</f>
        <v>43700</v>
      </c>
      <c r="H2973" s="34">
        <v>1.0694444444444444</v>
      </c>
      <c r="I2973" s="5" t="s">
        <v>55</v>
      </c>
      <c r="J2973" s="7" t="s">
        <v>16804</v>
      </c>
      <c r="K2973" s="5" t="s">
        <v>818</v>
      </c>
      <c r="L2973" s="5" t="s">
        <v>16805</v>
      </c>
      <c r="M2973" s="5" t="s">
        <v>45</v>
      </c>
      <c r="N2973" s="5" t="s">
        <v>123</v>
      </c>
      <c r="O2973" s="5" t="s">
        <v>59</v>
      </c>
      <c r="P2973" s="7" t="s">
        <v>60</v>
      </c>
      <c r="Q2973" s="7" t="s">
        <v>16806</v>
      </c>
      <c r="R2973" s="7" t="s">
        <v>821</v>
      </c>
      <c r="S2973" s="5">
        <v>0</v>
      </c>
      <c r="T2973" s="36">
        <v>0</v>
      </c>
      <c r="U2973" s="5">
        <v>0</v>
      </c>
      <c r="V2973" s="36">
        <v>0</v>
      </c>
      <c r="W2973" s="5">
        <v>0</v>
      </c>
      <c r="X2973" s="5">
        <v>0</v>
      </c>
      <c r="Y2973" s="5">
        <v>0</v>
      </c>
      <c r="Z2973" s="36">
        <v>0</v>
      </c>
      <c r="AA2973" s="5">
        <v>0</v>
      </c>
      <c r="AB2973" s="5">
        <v>0</v>
      </c>
      <c r="AC2973" s="5">
        <v>0</v>
      </c>
      <c r="AD2973" s="5">
        <v>0</v>
      </c>
      <c r="AE2973" s="7" t="s">
        <v>73</v>
      </c>
      <c r="AF2973" s="7"/>
      <c r="AG2973" s="7" t="s">
        <v>114</v>
      </c>
      <c r="AH2973" s="7">
        <v>43700</v>
      </c>
      <c r="AI2973" s="5">
        <v>0</v>
      </c>
      <c r="AJ2973" s="7" t="s">
        <v>16807</v>
      </c>
      <c r="AK2973" s="7" t="s">
        <v>16808</v>
      </c>
    </row>
    <row r="2974" spans="1:37" ht="36.75" customHeight="1" x14ac:dyDescent="0.35">
      <c r="A2974" s="5"/>
      <c r="B2974" s="5" t="s">
        <v>37</v>
      </c>
      <c r="C2974" s="73" t="str">
        <f t="shared" si="46"/>
        <v>Closed</v>
      </c>
      <c r="D2974" s="94" t="s">
        <v>16809</v>
      </c>
      <c r="E2974" s="54" t="s">
        <v>16810</v>
      </c>
      <c r="F2974" s="5" t="s">
        <v>6434</v>
      </c>
      <c r="G2974" s="7">
        <f>DATE(2019,8,24)</f>
        <v>43701</v>
      </c>
      <c r="H2974" s="34">
        <v>1.7743055555555554</v>
      </c>
      <c r="I2974" s="5" t="s">
        <v>55</v>
      </c>
      <c r="J2974" s="7" t="s">
        <v>16811</v>
      </c>
      <c r="K2974" s="5" t="s">
        <v>565</v>
      </c>
      <c r="L2974" s="5" t="s">
        <v>16812</v>
      </c>
      <c r="M2974" s="5" t="s">
        <v>45</v>
      </c>
      <c r="N2974" s="5" t="s">
        <v>123</v>
      </c>
      <c r="O2974" s="5" t="s">
        <v>46</v>
      </c>
      <c r="P2974" s="7" t="s">
        <v>60</v>
      </c>
      <c r="Q2974" s="7" t="s">
        <v>16813</v>
      </c>
      <c r="R2974" s="7" t="s">
        <v>13228</v>
      </c>
      <c r="S2974" s="5">
        <v>0</v>
      </c>
      <c r="T2974" s="36">
        <v>0</v>
      </c>
      <c r="U2974" s="5">
        <v>0</v>
      </c>
      <c r="V2974" s="36">
        <v>0</v>
      </c>
      <c r="W2974" s="5">
        <v>0</v>
      </c>
      <c r="X2974" s="5">
        <v>0</v>
      </c>
      <c r="Y2974" s="5">
        <v>0</v>
      </c>
      <c r="Z2974" s="36">
        <v>0</v>
      </c>
      <c r="AA2974" s="5">
        <v>0</v>
      </c>
      <c r="AB2974" s="5">
        <v>0</v>
      </c>
      <c r="AC2974" s="5">
        <v>0</v>
      </c>
      <c r="AD2974" s="5">
        <v>0</v>
      </c>
      <c r="AE2974" s="7" t="s">
        <v>126</v>
      </c>
      <c r="AF2974" s="7" t="s">
        <v>16814</v>
      </c>
      <c r="AG2974" s="7" t="s">
        <v>6438</v>
      </c>
      <c r="AH2974" s="7">
        <v>43703</v>
      </c>
      <c r="AI2974" s="5">
        <v>0</v>
      </c>
      <c r="AJ2974" s="7" t="s">
        <v>16815</v>
      </c>
      <c r="AK2974" s="7" t="s">
        <v>50</v>
      </c>
    </row>
    <row r="2975" spans="1:37" ht="36.75" customHeight="1" x14ac:dyDescent="0.35">
      <c r="A2975" s="5"/>
      <c r="B2975" s="5" t="s">
        <v>37</v>
      </c>
      <c r="C2975" s="73" t="str">
        <f t="shared" si="46"/>
        <v>Closed</v>
      </c>
      <c r="D2975" s="45" t="s">
        <v>16816</v>
      </c>
      <c r="E2975" s="54" t="s">
        <v>16817</v>
      </c>
      <c r="F2975" s="5" t="s">
        <v>404</v>
      </c>
      <c r="G2975" s="7">
        <f>DATE(2019,8,25)</f>
        <v>43702</v>
      </c>
      <c r="H2975" s="34">
        <v>1.2430555555555556</v>
      </c>
      <c r="I2975" s="5" t="s">
        <v>2059</v>
      </c>
      <c r="J2975" s="7" t="s">
        <v>16818</v>
      </c>
      <c r="K2975" s="5" t="s">
        <v>406</v>
      </c>
      <c r="L2975" s="5" t="s">
        <v>16819</v>
      </c>
      <c r="M2975" s="5" t="s">
        <v>236</v>
      </c>
      <c r="N2975" s="5" t="s">
        <v>123</v>
      </c>
      <c r="O2975" s="5" t="s">
        <v>46</v>
      </c>
      <c r="P2975" s="7" t="s">
        <v>6531</v>
      </c>
      <c r="Q2975" s="7" t="s">
        <v>2863</v>
      </c>
      <c r="R2975" s="7" t="s">
        <v>2863</v>
      </c>
      <c r="S2975" s="5">
        <v>0</v>
      </c>
      <c r="T2975" s="36">
        <v>0</v>
      </c>
      <c r="U2975" s="5">
        <v>0</v>
      </c>
      <c r="V2975" s="36">
        <v>0</v>
      </c>
      <c r="W2975" s="5">
        <v>0</v>
      </c>
      <c r="X2975" s="5">
        <v>0</v>
      </c>
      <c r="Y2975" s="5">
        <v>0</v>
      </c>
      <c r="Z2975" s="36">
        <v>0</v>
      </c>
      <c r="AA2975" s="5">
        <v>0</v>
      </c>
      <c r="AB2975" s="5">
        <v>0</v>
      </c>
      <c r="AC2975" s="5">
        <v>0</v>
      </c>
      <c r="AD2975" s="5">
        <v>0</v>
      </c>
      <c r="AE2975" s="7" t="s">
        <v>73</v>
      </c>
      <c r="AF2975" s="7"/>
      <c r="AG2975" s="7" t="s">
        <v>16820</v>
      </c>
      <c r="AH2975" s="7">
        <v>43712</v>
      </c>
      <c r="AI2975" s="5">
        <v>1</v>
      </c>
      <c r="AJ2975" s="7" t="s">
        <v>16821</v>
      </c>
      <c r="AK2975" s="7" t="s">
        <v>16822</v>
      </c>
    </row>
    <row r="2976" spans="1:37" ht="36.75" customHeight="1" x14ac:dyDescent="0.35">
      <c r="A2976" s="5"/>
      <c r="B2976" s="5" t="s">
        <v>37</v>
      </c>
      <c r="C2976" s="73" t="str">
        <f t="shared" si="46"/>
        <v>Closed</v>
      </c>
      <c r="D2976" s="45" t="s">
        <v>16823</v>
      </c>
      <c r="E2976" s="54" t="s">
        <v>16824</v>
      </c>
      <c r="F2976" s="5" t="s">
        <v>105</v>
      </c>
      <c r="G2976" s="7">
        <f>DATE(2019,8,26)</f>
        <v>43703</v>
      </c>
      <c r="H2976" s="34">
        <v>1.8958333333333335</v>
      </c>
      <c r="I2976" s="5" t="s">
        <v>468</v>
      </c>
      <c r="J2976" s="7" t="s">
        <v>16825</v>
      </c>
      <c r="K2976" s="5" t="s">
        <v>108</v>
      </c>
      <c r="L2976" s="5" t="s">
        <v>16826</v>
      </c>
      <c r="M2976" s="5" t="s">
        <v>9897</v>
      </c>
      <c r="N2976" s="5" t="s">
        <v>80</v>
      </c>
      <c r="O2976" s="5" t="s">
        <v>59</v>
      </c>
      <c r="P2976" s="7" t="s">
        <v>7960</v>
      </c>
      <c r="Q2976" s="7" t="s">
        <v>16827</v>
      </c>
      <c r="R2976" s="7" t="s">
        <v>16827</v>
      </c>
      <c r="S2976" s="5">
        <v>0</v>
      </c>
      <c r="T2976" s="36">
        <v>0</v>
      </c>
      <c r="U2976" s="5">
        <v>0</v>
      </c>
      <c r="V2976" s="36">
        <v>0</v>
      </c>
      <c r="W2976" s="5">
        <v>0</v>
      </c>
      <c r="X2976" s="5">
        <v>0</v>
      </c>
      <c r="Y2976" s="5">
        <v>0</v>
      </c>
      <c r="Z2976" s="36">
        <v>0</v>
      </c>
      <c r="AA2976" s="5">
        <v>0</v>
      </c>
      <c r="AB2976" s="5">
        <v>0</v>
      </c>
      <c r="AC2976" s="5">
        <v>0</v>
      </c>
      <c r="AD2976" s="5">
        <v>0</v>
      </c>
      <c r="AE2976" s="7" t="s">
        <v>73</v>
      </c>
      <c r="AF2976" s="7" t="s">
        <v>16828</v>
      </c>
      <c r="AG2976" s="7" t="s">
        <v>13508</v>
      </c>
      <c r="AH2976" s="7">
        <v>43706</v>
      </c>
      <c r="AI2976" s="5">
        <v>0</v>
      </c>
      <c r="AJ2976" s="7" t="s">
        <v>16829</v>
      </c>
      <c r="AK2976" s="7" t="s">
        <v>16830</v>
      </c>
    </row>
    <row r="2977" spans="1:37" ht="36.75" customHeight="1" x14ac:dyDescent="0.35">
      <c r="A2977" s="5"/>
      <c r="B2977" s="5" t="s">
        <v>37</v>
      </c>
      <c r="C2977" s="73" t="str">
        <f t="shared" si="46"/>
        <v>Closed</v>
      </c>
      <c r="D2977" s="45" t="s">
        <v>16831</v>
      </c>
      <c r="E2977" s="54" t="s">
        <v>16832</v>
      </c>
      <c r="F2977" s="5" t="s">
        <v>816</v>
      </c>
      <c r="G2977" s="7">
        <f>DATE(2019,8,26)</f>
        <v>43703</v>
      </c>
      <c r="H2977" s="34">
        <v>1.7847222222222223</v>
      </c>
      <c r="I2977" s="5" t="s">
        <v>137</v>
      </c>
      <c r="J2977" s="7" t="s">
        <v>16833</v>
      </c>
      <c r="K2977" s="5" t="s">
        <v>818</v>
      </c>
      <c r="L2977" s="5" t="s">
        <v>16834</v>
      </c>
      <c r="M2977" s="5" t="s">
        <v>236</v>
      </c>
      <c r="N2977" s="5" t="s">
        <v>123</v>
      </c>
      <c r="O2977" s="5" t="s">
        <v>46</v>
      </c>
      <c r="P2977" s="7" t="s">
        <v>16248</v>
      </c>
      <c r="Q2977" s="7" t="s">
        <v>4190</v>
      </c>
      <c r="R2977" s="7" t="s">
        <v>4190</v>
      </c>
      <c r="S2977" s="5">
        <v>0</v>
      </c>
      <c r="T2977" s="36">
        <v>0</v>
      </c>
      <c r="U2977" s="5">
        <v>0</v>
      </c>
      <c r="V2977" s="36">
        <v>0</v>
      </c>
      <c r="W2977" s="5">
        <v>0</v>
      </c>
      <c r="X2977" s="5">
        <v>0</v>
      </c>
      <c r="Y2977" s="5">
        <v>0</v>
      </c>
      <c r="Z2977" s="36">
        <v>0</v>
      </c>
      <c r="AA2977" s="5">
        <v>0</v>
      </c>
      <c r="AB2977" s="5">
        <v>0</v>
      </c>
      <c r="AC2977" s="5">
        <v>0</v>
      </c>
      <c r="AD2977" s="5">
        <v>0</v>
      </c>
      <c r="AE2977" s="7" t="s">
        <v>73</v>
      </c>
      <c r="AF2977" s="7"/>
      <c r="AG2977" s="7" t="s">
        <v>570</v>
      </c>
      <c r="AH2977" s="7">
        <v>43704</v>
      </c>
      <c r="AI2977" s="5">
        <v>1</v>
      </c>
      <c r="AJ2977" s="7" t="s">
        <v>16835</v>
      </c>
      <c r="AK2977" s="7" t="s">
        <v>16836</v>
      </c>
    </row>
    <row r="2978" spans="1:37" ht="36.75" customHeight="1" x14ac:dyDescent="0.35">
      <c r="A2978" s="5"/>
      <c r="B2978" s="5" t="s">
        <v>37</v>
      </c>
      <c r="C2978" s="73" t="str">
        <f t="shared" si="46"/>
        <v>Closed</v>
      </c>
      <c r="D2978" s="45" t="s">
        <v>16837</v>
      </c>
      <c r="E2978" s="54" t="s">
        <v>16838</v>
      </c>
      <c r="F2978" s="5" t="s">
        <v>1553</v>
      </c>
      <c r="G2978" s="7">
        <f>DATE(2019,8,27)</f>
        <v>43704</v>
      </c>
      <c r="H2978" s="34">
        <v>1.5625</v>
      </c>
      <c r="I2978" s="5" t="s">
        <v>55</v>
      </c>
      <c r="J2978" s="7" t="s">
        <v>16839</v>
      </c>
      <c r="K2978" s="5" t="s">
        <v>1555</v>
      </c>
      <c r="L2978" s="5" t="s">
        <v>9690</v>
      </c>
      <c r="M2978" s="5" t="s">
        <v>45</v>
      </c>
      <c r="N2978" s="5" t="s">
        <v>80</v>
      </c>
      <c r="O2978" s="5" t="s">
        <v>46</v>
      </c>
      <c r="P2978" s="7" t="s">
        <v>362</v>
      </c>
      <c r="Q2978" s="7" t="s">
        <v>16386</v>
      </c>
      <c r="R2978" s="7" t="s">
        <v>4899</v>
      </c>
      <c r="S2978" s="5">
        <v>0</v>
      </c>
      <c r="T2978" s="36">
        <v>0</v>
      </c>
      <c r="U2978" s="5">
        <v>0</v>
      </c>
      <c r="V2978" s="36">
        <v>0</v>
      </c>
      <c r="W2978" s="5">
        <v>0</v>
      </c>
      <c r="X2978" s="5">
        <v>0</v>
      </c>
      <c r="Y2978" s="5">
        <v>0</v>
      </c>
      <c r="Z2978" s="36">
        <v>0</v>
      </c>
      <c r="AA2978" s="5">
        <v>0</v>
      </c>
      <c r="AB2978" s="5">
        <v>0</v>
      </c>
      <c r="AC2978" s="5">
        <v>0</v>
      </c>
      <c r="AD2978" s="5">
        <v>0</v>
      </c>
      <c r="AE2978" s="7" t="s">
        <v>73</v>
      </c>
      <c r="AF2978" s="7"/>
      <c r="AG2978" s="7" t="s">
        <v>114</v>
      </c>
      <c r="AH2978" s="7">
        <v>43705</v>
      </c>
      <c r="AI2978" s="5">
        <v>2</v>
      </c>
      <c r="AJ2978" s="7" t="s">
        <v>16840</v>
      </c>
      <c r="AK2978" s="7" t="s">
        <v>16841</v>
      </c>
    </row>
    <row r="2979" spans="1:37" ht="36.75" customHeight="1" x14ac:dyDescent="0.35">
      <c r="A2979" s="5"/>
      <c r="B2979" s="5" t="s">
        <v>37</v>
      </c>
      <c r="C2979" s="73" t="str">
        <f t="shared" si="46"/>
        <v>Closed</v>
      </c>
      <c r="D2979" s="45" t="s">
        <v>16842</v>
      </c>
      <c r="E2979" s="54" t="s">
        <v>16843</v>
      </c>
      <c r="F2979" s="5" t="s">
        <v>404</v>
      </c>
      <c r="G2979" s="7">
        <f>DATE(2019,8,29)</f>
        <v>43706</v>
      </c>
      <c r="H2979" s="34">
        <v>1.6937500000000001</v>
      </c>
      <c r="I2979" s="5" t="s">
        <v>85</v>
      </c>
      <c r="J2979" s="7" t="s">
        <v>16844</v>
      </c>
      <c r="K2979" s="5" t="s">
        <v>406</v>
      </c>
      <c r="L2979" s="5" t="s">
        <v>12696</v>
      </c>
      <c r="M2979" s="5" t="s">
        <v>45</v>
      </c>
      <c r="N2979" s="5" t="s">
        <v>70</v>
      </c>
      <c r="O2979" s="5" t="s">
        <v>59</v>
      </c>
      <c r="P2979" s="7" t="s">
        <v>7341</v>
      </c>
      <c r="Q2979" s="7" t="s">
        <v>4531</v>
      </c>
      <c r="R2979" s="7" t="s">
        <v>3083</v>
      </c>
      <c r="S2979" s="5">
        <v>0</v>
      </c>
      <c r="T2979" s="36">
        <v>0</v>
      </c>
      <c r="U2979" s="5">
        <v>0</v>
      </c>
      <c r="V2979" s="36">
        <v>0</v>
      </c>
      <c r="W2979" s="5">
        <v>0</v>
      </c>
      <c r="X2979" s="5">
        <v>0</v>
      </c>
      <c r="Y2979" s="5">
        <v>0</v>
      </c>
      <c r="Z2979" s="36">
        <v>0</v>
      </c>
      <c r="AA2979" s="5">
        <v>0</v>
      </c>
      <c r="AB2979" s="5">
        <v>0</v>
      </c>
      <c r="AC2979" s="5">
        <v>0</v>
      </c>
      <c r="AD2979" s="5">
        <v>0</v>
      </c>
      <c r="AE2979" s="7" t="s">
        <v>73</v>
      </c>
      <c r="AF2979" s="7"/>
      <c r="AG2979" s="7" t="s">
        <v>13175</v>
      </c>
      <c r="AH2979" s="7">
        <v>43706</v>
      </c>
      <c r="AI2979" s="5">
        <v>0</v>
      </c>
      <c r="AJ2979" s="7" t="s">
        <v>16845</v>
      </c>
      <c r="AK2979" s="7" t="s">
        <v>16846</v>
      </c>
    </row>
    <row r="2980" spans="1:37" ht="36.75" customHeight="1" x14ac:dyDescent="0.35">
      <c r="A2980" s="5"/>
      <c r="B2980" s="5" t="s">
        <v>37</v>
      </c>
      <c r="C2980" s="73" t="str">
        <f t="shared" si="46"/>
        <v>Closed</v>
      </c>
      <c r="D2980" s="45" t="s">
        <v>16847</v>
      </c>
      <c r="E2980" s="54" t="s">
        <v>16848</v>
      </c>
      <c r="F2980" s="5" t="s">
        <v>1553</v>
      </c>
      <c r="G2980" s="7">
        <f>DATE(2019,8,30)</f>
        <v>43707</v>
      </c>
      <c r="H2980" s="34">
        <v>1.2152777777777777</v>
      </c>
      <c r="I2980" s="5" t="s">
        <v>55</v>
      </c>
      <c r="J2980" s="7" t="s">
        <v>16849</v>
      </c>
      <c r="K2980" s="5" t="s">
        <v>1555</v>
      </c>
      <c r="L2980" s="5" t="s">
        <v>16500</v>
      </c>
      <c r="M2980" s="5" t="s">
        <v>45</v>
      </c>
      <c r="N2980" s="5" t="s">
        <v>80</v>
      </c>
      <c r="O2980" s="5" t="s">
        <v>59</v>
      </c>
      <c r="P2980" s="7" t="s">
        <v>60</v>
      </c>
      <c r="Q2980" s="7" t="s">
        <v>9053</v>
      </c>
      <c r="R2980" s="7" t="s">
        <v>6413</v>
      </c>
      <c r="S2980" s="5">
        <v>0</v>
      </c>
      <c r="T2980" s="36">
        <v>0</v>
      </c>
      <c r="U2980" s="5">
        <v>0</v>
      </c>
      <c r="V2980" s="36">
        <v>0</v>
      </c>
      <c r="W2980" s="5">
        <v>0</v>
      </c>
      <c r="X2980" s="5">
        <v>0</v>
      </c>
      <c r="Y2980" s="5">
        <v>0</v>
      </c>
      <c r="Z2980" s="36">
        <v>0</v>
      </c>
      <c r="AA2980" s="5">
        <v>0</v>
      </c>
      <c r="AB2980" s="5">
        <v>0</v>
      </c>
      <c r="AC2980" s="5">
        <v>0</v>
      </c>
      <c r="AD2980" s="5">
        <v>0</v>
      </c>
      <c r="AE2980" s="7" t="s">
        <v>73</v>
      </c>
      <c r="AF2980" s="7"/>
      <c r="AG2980" s="7" t="s">
        <v>114</v>
      </c>
      <c r="AH2980" s="7">
        <v>43710</v>
      </c>
      <c r="AI2980" s="5">
        <v>2</v>
      </c>
      <c r="AJ2980" s="7" t="s">
        <v>16850</v>
      </c>
      <c r="AK2980" s="7" t="s">
        <v>16851</v>
      </c>
    </row>
    <row r="2981" spans="1:37" ht="36.75" customHeight="1" x14ac:dyDescent="0.35">
      <c r="A2981" s="5"/>
      <c r="B2981" s="5" t="s">
        <v>37</v>
      </c>
      <c r="C2981" s="73" t="str">
        <f t="shared" si="46"/>
        <v>Closed</v>
      </c>
      <c r="D2981" s="45" t="s">
        <v>16852</v>
      </c>
      <c r="E2981" s="54" t="s">
        <v>16853</v>
      </c>
      <c r="F2981" s="5" t="s">
        <v>404</v>
      </c>
      <c r="G2981" s="7">
        <f>DATE(2019,8,31)</f>
        <v>43708</v>
      </c>
      <c r="H2981" s="34">
        <v>1.6486111111111112</v>
      </c>
      <c r="I2981" s="5" t="s">
        <v>55</v>
      </c>
      <c r="J2981" s="7" t="s">
        <v>16854</v>
      </c>
      <c r="K2981" s="5" t="s">
        <v>406</v>
      </c>
      <c r="L2981" s="5" t="s">
        <v>16855</v>
      </c>
      <c r="M2981" s="5" t="s">
        <v>45</v>
      </c>
      <c r="N2981" s="5" t="s">
        <v>80</v>
      </c>
      <c r="O2981" s="5" t="s">
        <v>59</v>
      </c>
      <c r="P2981" s="7" t="s">
        <v>146</v>
      </c>
      <c r="Q2981" s="7" t="s">
        <v>4531</v>
      </c>
      <c r="R2981" s="7" t="s">
        <v>3083</v>
      </c>
      <c r="S2981" s="5">
        <v>0</v>
      </c>
      <c r="T2981" s="36">
        <v>0</v>
      </c>
      <c r="U2981" s="5">
        <v>0</v>
      </c>
      <c r="V2981" s="36">
        <v>0</v>
      </c>
      <c r="W2981" s="5">
        <v>0</v>
      </c>
      <c r="X2981" s="5">
        <v>0</v>
      </c>
      <c r="Y2981" s="5">
        <v>0</v>
      </c>
      <c r="Z2981" s="36">
        <v>0</v>
      </c>
      <c r="AA2981" s="5">
        <v>0</v>
      </c>
      <c r="AB2981" s="5">
        <v>0</v>
      </c>
      <c r="AC2981" s="5">
        <v>0</v>
      </c>
      <c r="AD2981" s="5">
        <v>0</v>
      </c>
      <c r="AE2981" s="7" t="s">
        <v>73</v>
      </c>
      <c r="AF2981" s="7"/>
      <c r="AG2981" s="7" t="s">
        <v>333</v>
      </c>
      <c r="AH2981" s="7">
        <v>43708</v>
      </c>
      <c r="AI2981" s="5">
        <v>0</v>
      </c>
      <c r="AJ2981" s="7" t="s">
        <v>16856</v>
      </c>
      <c r="AK2981" s="7" t="s">
        <v>16857</v>
      </c>
    </row>
    <row r="2982" spans="1:37" ht="36.75" customHeight="1" x14ac:dyDescent="0.35">
      <c r="A2982" s="5"/>
      <c r="B2982" s="5" t="s">
        <v>37</v>
      </c>
      <c r="C2982" s="73" t="str">
        <f t="shared" si="46"/>
        <v>Closed</v>
      </c>
      <c r="D2982" s="45" t="s">
        <v>16858</v>
      </c>
      <c r="E2982" s="54" t="s">
        <v>16859</v>
      </c>
      <c r="F2982" s="5" t="s">
        <v>40</v>
      </c>
      <c r="G2982" s="7">
        <f>DATE(2019,9,1)</f>
        <v>43709</v>
      </c>
      <c r="H2982" s="34">
        <v>1</v>
      </c>
      <c r="I2982" s="5" t="s">
        <v>5473</v>
      </c>
      <c r="J2982" s="7" t="s">
        <v>16860</v>
      </c>
      <c r="K2982" s="5" t="s">
        <v>43</v>
      </c>
      <c r="L2982" s="5" t="s">
        <v>16861</v>
      </c>
      <c r="M2982" s="5" t="s">
        <v>45</v>
      </c>
      <c r="N2982" s="5" t="s">
        <v>70</v>
      </c>
      <c r="O2982" s="5" t="s">
        <v>71</v>
      </c>
      <c r="P2982" s="7"/>
      <c r="Q2982" s="7" t="s">
        <v>48</v>
      </c>
      <c r="R2982" s="7" t="s">
        <v>16862</v>
      </c>
      <c r="S2982" s="5">
        <v>0</v>
      </c>
      <c r="T2982" s="36">
        <v>0</v>
      </c>
      <c r="U2982" s="5">
        <v>0</v>
      </c>
      <c r="V2982" s="36">
        <v>0</v>
      </c>
      <c r="W2982" s="5">
        <v>0</v>
      </c>
      <c r="X2982" s="5">
        <v>0</v>
      </c>
      <c r="Y2982" s="5">
        <v>0</v>
      </c>
      <c r="Z2982" s="36">
        <v>0</v>
      </c>
      <c r="AA2982" s="5">
        <v>0</v>
      </c>
      <c r="AB2982" s="5">
        <v>0</v>
      </c>
      <c r="AC2982" s="5">
        <v>0</v>
      </c>
      <c r="AD2982" s="5">
        <v>0</v>
      </c>
      <c r="AE2982" s="7" t="s">
        <v>126</v>
      </c>
      <c r="AF2982" s="7"/>
      <c r="AG2982" s="7" t="s">
        <v>333</v>
      </c>
      <c r="AH2982" s="7">
        <v>43700</v>
      </c>
      <c r="AI2982" s="5">
        <v>9</v>
      </c>
      <c r="AJ2982" s="7" t="s">
        <v>16863</v>
      </c>
      <c r="AK2982" s="7" t="s">
        <v>16864</v>
      </c>
    </row>
    <row r="2983" spans="1:37" ht="36.75" customHeight="1" x14ac:dyDescent="0.35">
      <c r="A2983" s="5"/>
      <c r="B2983" s="5" t="s">
        <v>37</v>
      </c>
      <c r="C2983" s="73" t="str">
        <f t="shared" si="46"/>
        <v>Closed</v>
      </c>
      <c r="D2983" s="45" t="s">
        <v>16865</v>
      </c>
      <c r="E2983" s="54" t="s">
        <v>16866</v>
      </c>
      <c r="F2983" s="5" t="s">
        <v>605</v>
      </c>
      <c r="G2983" s="7">
        <f>DATE(2019,9,1)</f>
        <v>43709</v>
      </c>
      <c r="H2983" s="34">
        <v>0</v>
      </c>
      <c r="I2983" s="5" t="s">
        <v>179</v>
      </c>
      <c r="J2983" s="7" t="s">
        <v>179</v>
      </c>
      <c r="K2983" s="5" t="s">
        <v>607</v>
      </c>
      <c r="L2983" s="5" t="s">
        <v>16867</v>
      </c>
      <c r="M2983" s="5" t="s">
        <v>45</v>
      </c>
      <c r="N2983" s="5" t="s">
        <v>70</v>
      </c>
      <c r="O2983" s="5" t="s">
        <v>71</v>
      </c>
      <c r="P2983" s="7" t="s">
        <v>72</v>
      </c>
      <c r="Q2983" s="7" t="s">
        <v>7160</v>
      </c>
      <c r="R2983" s="7" t="s">
        <v>610</v>
      </c>
      <c r="S2983" s="5">
        <v>0</v>
      </c>
      <c r="T2983" s="36">
        <v>0</v>
      </c>
      <c r="U2983" s="5">
        <v>0</v>
      </c>
      <c r="V2983" s="36">
        <v>0</v>
      </c>
      <c r="W2983" s="5">
        <v>0</v>
      </c>
      <c r="X2983" s="5">
        <v>0</v>
      </c>
      <c r="Y2983" s="5">
        <v>0</v>
      </c>
      <c r="Z2983" s="36">
        <v>0</v>
      </c>
      <c r="AA2983" s="5">
        <v>0</v>
      </c>
      <c r="AB2983" s="5">
        <v>0</v>
      </c>
      <c r="AC2983" s="5">
        <v>0</v>
      </c>
      <c r="AD2983" s="5">
        <v>0</v>
      </c>
      <c r="AE2983" s="7" t="s">
        <v>73</v>
      </c>
      <c r="AF2983" s="7"/>
      <c r="AG2983" s="7" t="s">
        <v>376</v>
      </c>
      <c r="AH2983" s="7">
        <v>43888</v>
      </c>
      <c r="AI2983" s="5">
        <v>1</v>
      </c>
      <c r="AJ2983" s="7" t="s">
        <v>16868</v>
      </c>
      <c r="AK2983" s="7" t="s">
        <v>50</v>
      </c>
    </row>
    <row r="2984" spans="1:37" ht="36.75" customHeight="1" x14ac:dyDescent="0.35">
      <c r="A2984" s="5"/>
      <c r="B2984" s="5" t="s">
        <v>37</v>
      </c>
      <c r="C2984" s="73" t="str">
        <f t="shared" si="46"/>
        <v>Closed</v>
      </c>
      <c r="D2984" s="45" t="s">
        <v>16869</v>
      </c>
      <c r="E2984" s="54" t="s">
        <v>16870</v>
      </c>
      <c r="F2984" s="5" t="s">
        <v>404</v>
      </c>
      <c r="G2984" s="7">
        <f>DATE(2019,9,6)</f>
        <v>43714</v>
      </c>
      <c r="H2984" s="34">
        <v>1.3993055555555556</v>
      </c>
      <c r="I2984" s="5" t="s">
        <v>97</v>
      </c>
      <c r="J2984" s="7" t="s">
        <v>16871</v>
      </c>
      <c r="K2984" s="5" t="s">
        <v>406</v>
      </c>
      <c r="L2984" s="5" t="s">
        <v>16872</v>
      </c>
      <c r="M2984" s="5" t="s">
        <v>45</v>
      </c>
      <c r="N2984" s="5" t="s">
        <v>123</v>
      </c>
      <c r="O2984" s="5" t="s">
        <v>59</v>
      </c>
      <c r="P2984" s="7" t="s">
        <v>146</v>
      </c>
      <c r="Q2984" s="7" t="s">
        <v>4531</v>
      </c>
      <c r="R2984" s="7" t="s">
        <v>3083</v>
      </c>
      <c r="S2984" s="5">
        <v>0</v>
      </c>
      <c r="T2984" s="36">
        <v>0</v>
      </c>
      <c r="U2984" s="5">
        <v>0</v>
      </c>
      <c r="V2984" s="36">
        <v>0</v>
      </c>
      <c r="W2984" s="5">
        <v>0</v>
      </c>
      <c r="X2984" s="5">
        <v>0</v>
      </c>
      <c r="Y2984" s="5">
        <v>0</v>
      </c>
      <c r="Z2984" s="36">
        <v>0</v>
      </c>
      <c r="AA2984" s="5">
        <v>0</v>
      </c>
      <c r="AB2984" s="5">
        <v>0</v>
      </c>
      <c r="AC2984" s="5">
        <v>0</v>
      </c>
      <c r="AD2984" s="5">
        <v>0</v>
      </c>
      <c r="AE2984" s="7" t="s">
        <v>375</v>
      </c>
      <c r="AF2984" s="7"/>
      <c r="AG2984" s="7" t="s">
        <v>64</v>
      </c>
      <c r="AH2984" s="7">
        <v>43625</v>
      </c>
      <c r="AI2984" s="5">
        <v>2</v>
      </c>
      <c r="AJ2984" s="7" t="s">
        <v>16873</v>
      </c>
      <c r="AK2984" s="7" t="s">
        <v>16874</v>
      </c>
    </row>
    <row r="2985" spans="1:37" ht="36.75" customHeight="1" x14ac:dyDescent="0.35">
      <c r="A2985" s="5"/>
      <c r="B2985" s="5" t="s">
        <v>37</v>
      </c>
      <c r="C2985" s="73" t="str">
        <f t="shared" si="46"/>
        <v>Closed</v>
      </c>
      <c r="D2985" s="45" t="s">
        <v>16875</v>
      </c>
      <c r="E2985" s="54" t="s">
        <v>16876</v>
      </c>
      <c r="F2985" s="5" t="s">
        <v>816</v>
      </c>
      <c r="G2985" s="7">
        <f>DATE(2019,9,6)</f>
        <v>43714</v>
      </c>
      <c r="H2985" s="34">
        <v>1.0770833333333334</v>
      </c>
      <c r="I2985" s="5" t="s">
        <v>85</v>
      </c>
      <c r="J2985" s="7" t="s">
        <v>16877</v>
      </c>
      <c r="K2985" s="5" t="s">
        <v>818</v>
      </c>
      <c r="L2985" s="5" t="s">
        <v>16878</v>
      </c>
      <c r="M2985" s="5" t="s">
        <v>45</v>
      </c>
      <c r="N2985" s="5" t="s">
        <v>70</v>
      </c>
      <c r="O2985" s="5" t="s">
        <v>59</v>
      </c>
      <c r="P2985" s="7" t="s">
        <v>60</v>
      </c>
      <c r="Q2985" s="7" t="s">
        <v>16879</v>
      </c>
      <c r="R2985" s="7" t="s">
        <v>821</v>
      </c>
      <c r="S2985" s="5">
        <v>0</v>
      </c>
      <c r="T2985" s="36">
        <v>0</v>
      </c>
      <c r="U2985" s="5">
        <v>0</v>
      </c>
      <c r="V2985" s="36">
        <v>0</v>
      </c>
      <c r="W2985" s="5">
        <v>0</v>
      </c>
      <c r="X2985" s="5">
        <v>0</v>
      </c>
      <c r="Y2985" s="5">
        <v>0</v>
      </c>
      <c r="Z2985" s="36">
        <v>0</v>
      </c>
      <c r="AA2985" s="5">
        <v>0</v>
      </c>
      <c r="AB2985" s="5">
        <v>0</v>
      </c>
      <c r="AC2985" s="5">
        <v>0</v>
      </c>
      <c r="AD2985" s="5">
        <v>0</v>
      </c>
      <c r="AE2985" s="7" t="s">
        <v>73</v>
      </c>
      <c r="AF2985" s="7"/>
      <c r="AG2985" s="7" t="s">
        <v>1489</v>
      </c>
      <c r="AH2985" s="7">
        <v>43714</v>
      </c>
      <c r="AI2985" s="5">
        <v>0</v>
      </c>
      <c r="AJ2985" s="7" t="s">
        <v>16880</v>
      </c>
      <c r="AK2985" s="7" t="s">
        <v>1215</v>
      </c>
    </row>
    <row r="2986" spans="1:37" ht="36.75" customHeight="1" x14ac:dyDescent="0.35">
      <c r="A2986" s="5"/>
      <c r="B2986" s="5" t="s">
        <v>37</v>
      </c>
      <c r="C2986" s="73" t="str">
        <f t="shared" si="46"/>
        <v>Closed</v>
      </c>
      <c r="D2986" s="45" t="s">
        <v>16881</v>
      </c>
      <c r="E2986" s="54" t="s">
        <v>16882</v>
      </c>
      <c r="F2986" s="5" t="s">
        <v>1553</v>
      </c>
      <c r="G2986" s="7">
        <f>DATE(2019,9,8)</f>
        <v>43716</v>
      </c>
      <c r="H2986" s="34">
        <v>1.9874999999999998</v>
      </c>
      <c r="I2986" s="5" t="s">
        <v>5473</v>
      </c>
      <c r="J2986" s="7" t="s">
        <v>16883</v>
      </c>
      <c r="K2986" s="5" t="s">
        <v>1555</v>
      </c>
      <c r="L2986" s="5" t="s">
        <v>16884</v>
      </c>
      <c r="M2986" s="5" t="s">
        <v>45</v>
      </c>
      <c r="N2986" s="5" t="s">
        <v>123</v>
      </c>
      <c r="O2986" s="5" t="s">
        <v>46</v>
      </c>
      <c r="P2986" s="7" t="s">
        <v>60</v>
      </c>
      <c r="Q2986" s="7" t="s">
        <v>16212</v>
      </c>
      <c r="R2986" s="7" t="s">
        <v>6413</v>
      </c>
      <c r="S2986" s="5">
        <v>0</v>
      </c>
      <c r="T2986" s="36">
        <v>0</v>
      </c>
      <c r="U2986" s="5">
        <v>0</v>
      </c>
      <c r="V2986" s="36">
        <v>0</v>
      </c>
      <c r="W2986" s="5">
        <v>0</v>
      </c>
      <c r="X2986" s="5">
        <v>0</v>
      </c>
      <c r="Y2986" s="5">
        <v>0</v>
      </c>
      <c r="Z2986" s="36">
        <v>0</v>
      </c>
      <c r="AA2986" s="5">
        <v>0</v>
      </c>
      <c r="AB2986" s="5">
        <v>0</v>
      </c>
      <c r="AC2986" s="5">
        <v>0</v>
      </c>
      <c r="AD2986" s="5">
        <v>0</v>
      </c>
      <c r="AE2986" s="7" t="s">
        <v>73</v>
      </c>
      <c r="AF2986" s="7"/>
      <c r="AG2986" s="7" t="s">
        <v>1489</v>
      </c>
      <c r="AH2986" s="7">
        <v>43718</v>
      </c>
      <c r="AI2986" s="5">
        <v>0</v>
      </c>
      <c r="AJ2986" s="7" t="s">
        <v>16885</v>
      </c>
      <c r="AK2986" s="7" t="s">
        <v>16886</v>
      </c>
    </row>
    <row r="2987" spans="1:37" ht="36.75" customHeight="1" x14ac:dyDescent="0.35">
      <c r="A2987" s="5"/>
      <c r="B2987" s="5" t="s">
        <v>37</v>
      </c>
      <c r="C2987" s="73" t="str">
        <f t="shared" si="46"/>
        <v>Closed</v>
      </c>
      <c r="D2987" s="45" t="s">
        <v>16887</v>
      </c>
      <c r="E2987" s="54" t="s">
        <v>16888</v>
      </c>
      <c r="F2987" s="5" t="s">
        <v>816</v>
      </c>
      <c r="G2987" s="7">
        <f>DATE(2019,9,9)</f>
        <v>43717</v>
      </c>
      <c r="H2987" s="34">
        <v>1.6041666666666665</v>
      </c>
      <c r="I2987" s="5" t="s">
        <v>55</v>
      </c>
      <c r="J2987" s="7" t="s">
        <v>16889</v>
      </c>
      <c r="K2987" s="5" t="s">
        <v>818</v>
      </c>
      <c r="L2987" s="5" t="s">
        <v>16890</v>
      </c>
      <c r="M2987" s="5" t="s">
        <v>45</v>
      </c>
      <c r="N2987" s="5" t="s">
        <v>123</v>
      </c>
      <c r="O2987" s="5" t="s">
        <v>59</v>
      </c>
      <c r="P2987" s="7" t="s">
        <v>60</v>
      </c>
      <c r="Q2987" s="7" t="s">
        <v>4688</v>
      </c>
      <c r="R2987" s="7" t="s">
        <v>821</v>
      </c>
      <c r="S2987" s="5">
        <v>0</v>
      </c>
      <c r="T2987" s="36">
        <v>0</v>
      </c>
      <c r="U2987" s="5">
        <v>0</v>
      </c>
      <c r="V2987" s="36">
        <v>0</v>
      </c>
      <c r="W2987" s="5">
        <v>0</v>
      </c>
      <c r="X2987" s="5">
        <v>0</v>
      </c>
      <c r="Y2987" s="5">
        <v>0</v>
      </c>
      <c r="Z2987" s="36">
        <v>0</v>
      </c>
      <c r="AA2987" s="5">
        <v>0</v>
      </c>
      <c r="AB2987" s="5">
        <v>0</v>
      </c>
      <c r="AC2987" s="5">
        <v>0</v>
      </c>
      <c r="AD2987" s="5">
        <v>0</v>
      </c>
      <c r="AE2987" s="7" t="s">
        <v>50</v>
      </c>
      <c r="AF2987" s="7"/>
      <c r="AG2987" s="7" t="s">
        <v>16891</v>
      </c>
      <c r="AH2987" s="7">
        <v>43838</v>
      </c>
      <c r="AI2987" s="5">
        <v>0</v>
      </c>
      <c r="AJ2987" s="7" t="s">
        <v>16892</v>
      </c>
      <c r="AK2987" s="7" t="s">
        <v>16893</v>
      </c>
    </row>
    <row r="2988" spans="1:37" ht="36.75" customHeight="1" x14ac:dyDescent="0.35">
      <c r="A2988" s="5"/>
      <c r="B2988" s="5" t="s">
        <v>37</v>
      </c>
      <c r="C2988" s="73" t="str">
        <f t="shared" si="46"/>
        <v>Closed</v>
      </c>
      <c r="D2988" s="45" t="s">
        <v>16894</v>
      </c>
      <c r="E2988" s="54" t="s">
        <v>16895</v>
      </c>
      <c r="F2988" s="5" t="s">
        <v>816</v>
      </c>
      <c r="G2988" s="7">
        <f>DATE(2019,9,10)</f>
        <v>43718</v>
      </c>
      <c r="H2988" s="34">
        <v>1.0965277777777778</v>
      </c>
      <c r="I2988" s="5" t="s">
        <v>55</v>
      </c>
      <c r="J2988" s="7" t="s">
        <v>16896</v>
      </c>
      <c r="K2988" s="5" t="s">
        <v>818</v>
      </c>
      <c r="L2988" s="5" t="s">
        <v>16897</v>
      </c>
      <c r="M2988" s="5" t="s">
        <v>45</v>
      </c>
      <c r="N2988" s="5" t="s">
        <v>70</v>
      </c>
      <c r="O2988" s="5" t="s">
        <v>59</v>
      </c>
      <c r="P2988" s="7" t="s">
        <v>146</v>
      </c>
      <c r="Q2988" s="7" t="s">
        <v>821</v>
      </c>
      <c r="R2988" s="7" t="s">
        <v>2142</v>
      </c>
      <c r="S2988" s="5">
        <v>0</v>
      </c>
      <c r="T2988" s="36">
        <v>0</v>
      </c>
      <c r="U2988" s="5">
        <v>0</v>
      </c>
      <c r="V2988" s="36">
        <v>0</v>
      </c>
      <c r="W2988" s="5">
        <v>0</v>
      </c>
      <c r="X2988" s="5">
        <v>0</v>
      </c>
      <c r="Y2988" s="5">
        <v>0</v>
      </c>
      <c r="Z2988" s="36">
        <v>0</v>
      </c>
      <c r="AA2988" s="5">
        <v>0</v>
      </c>
      <c r="AB2988" s="5">
        <v>0</v>
      </c>
      <c r="AC2988" s="5">
        <v>0</v>
      </c>
      <c r="AD2988" s="5">
        <v>0</v>
      </c>
      <c r="AE2988" s="7" t="s">
        <v>73</v>
      </c>
      <c r="AF2988" s="7" t="s">
        <v>16898</v>
      </c>
      <c r="AG2988" s="7" t="s">
        <v>16899</v>
      </c>
      <c r="AH2988" s="7">
        <v>43718</v>
      </c>
      <c r="AI2988" s="5">
        <v>0</v>
      </c>
      <c r="AJ2988" s="7" t="s">
        <v>16900</v>
      </c>
      <c r="AK2988" s="7" t="s">
        <v>50</v>
      </c>
    </row>
    <row r="2989" spans="1:37" ht="36.75" customHeight="1" x14ac:dyDescent="0.35">
      <c r="A2989" s="5"/>
      <c r="B2989" s="5" t="s">
        <v>37</v>
      </c>
      <c r="C2989" s="73" t="str">
        <f t="shared" si="46"/>
        <v>Closed</v>
      </c>
      <c r="D2989" s="45" t="s">
        <v>16901</v>
      </c>
      <c r="E2989" s="54" t="s">
        <v>16902</v>
      </c>
      <c r="F2989" s="5" t="s">
        <v>816</v>
      </c>
      <c r="G2989" s="7">
        <f>DATE(2019,9,11)</f>
        <v>43719</v>
      </c>
      <c r="H2989" s="34">
        <v>1.6541666666666668</v>
      </c>
      <c r="I2989" s="5" t="s">
        <v>85</v>
      </c>
      <c r="J2989" s="7" t="s">
        <v>16903</v>
      </c>
      <c r="K2989" s="5" t="s">
        <v>818</v>
      </c>
      <c r="L2989" s="5" t="s">
        <v>16904</v>
      </c>
      <c r="M2989" s="5" t="s">
        <v>45</v>
      </c>
      <c r="N2989" s="5" t="s">
        <v>80</v>
      </c>
      <c r="O2989" s="5" t="s">
        <v>59</v>
      </c>
      <c r="P2989" s="7" t="s">
        <v>146</v>
      </c>
      <c r="Q2989" s="7" t="s">
        <v>2777</v>
      </c>
      <c r="R2989" s="7" t="s">
        <v>2777</v>
      </c>
      <c r="S2989" s="5">
        <v>0</v>
      </c>
      <c r="T2989" s="36">
        <v>0</v>
      </c>
      <c r="U2989" s="5">
        <v>0</v>
      </c>
      <c r="V2989" s="36">
        <v>0</v>
      </c>
      <c r="W2989" s="5">
        <v>0</v>
      </c>
      <c r="X2989" s="5">
        <v>0</v>
      </c>
      <c r="Y2989" s="5">
        <v>0</v>
      </c>
      <c r="Z2989" s="36">
        <v>0</v>
      </c>
      <c r="AA2989" s="5">
        <v>0</v>
      </c>
      <c r="AB2989" s="5">
        <v>0</v>
      </c>
      <c r="AC2989" s="5">
        <v>0</v>
      </c>
      <c r="AD2989" s="5">
        <v>0</v>
      </c>
      <c r="AE2989" s="7" t="s">
        <v>73</v>
      </c>
      <c r="AF2989" s="7"/>
      <c r="AG2989" s="7" t="s">
        <v>333</v>
      </c>
      <c r="AH2989" s="7">
        <v>43719</v>
      </c>
      <c r="AI2989" s="5">
        <v>0</v>
      </c>
      <c r="AJ2989" s="7" t="s">
        <v>16905</v>
      </c>
      <c r="AK2989" s="7" t="s">
        <v>50</v>
      </c>
    </row>
    <row r="2990" spans="1:37" ht="36.75" customHeight="1" x14ac:dyDescent="0.35">
      <c r="A2990" s="5"/>
      <c r="B2990" s="5" t="s">
        <v>37</v>
      </c>
      <c r="C2990" s="73" t="str">
        <f t="shared" si="46"/>
        <v>Closed</v>
      </c>
      <c r="D2990" s="45" t="s">
        <v>16906</v>
      </c>
      <c r="E2990" s="54" t="s">
        <v>16907</v>
      </c>
      <c r="F2990" s="5" t="s">
        <v>404</v>
      </c>
      <c r="G2990" s="7">
        <f>DATE(2019,9,12)</f>
        <v>43720</v>
      </c>
      <c r="H2990" s="34">
        <v>1.3958333333333333</v>
      </c>
      <c r="I2990" s="5" t="s">
        <v>97</v>
      </c>
      <c r="J2990" s="7" t="s">
        <v>16908</v>
      </c>
      <c r="K2990" s="5" t="s">
        <v>406</v>
      </c>
      <c r="L2990" s="5" t="s">
        <v>16909</v>
      </c>
      <c r="M2990" s="5" t="s">
        <v>45</v>
      </c>
      <c r="N2990" s="5" t="s">
        <v>80</v>
      </c>
      <c r="O2990" s="5" t="s">
        <v>46</v>
      </c>
      <c r="P2990" s="7" t="s">
        <v>146</v>
      </c>
      <c r="Q2990" s="7" t="s">
        <v>4531</v>
      </c>
      <c r="R2990" s="7" t="s">
        <v>3083</v>
      </c>
      <c r="S2990" s="5">
        <v>0</v>
      </c>
      <c r="T2990" s="36">
        <v>0</v>
      </c>
      <c r="U2990" s="5">
        <v>1</v>
      </c>
      <c r="V2990" s="36">
        <v>0</v>
      </c>
      <c r="W2990" s="5">
        <v>0</v>
      </c>
      <c r="X2990" s="5">
        <v>1</v>
      </c>
      <c r="Y2990" s="5">
        <v>0</v>
      </c>
      <c r="Z2990" s="36">
        <v>0</v>
      </c>
      <c r="AA2990" s="5">
        <v>0</v>
      </c>
      <c r="AB2990" s="5">
        <v>0</v>
      </c>
      <c r="AC2990" s="5">
        <v>0</v>
      </c>
      <c r="AD2990" s="5">
        <v>0</v>
      </c>
      <c r="AE2990" s="7" t="s">
        <v>73</v>
      </c>
      <c r="AF2990" s="7"/>
      <c r="AG2990" s="7" t="s">
        <v>114</v>
      </c>
      <c r="AH2990" s="7">
        <v>43808</v>
      </c>
      <c r="AI2990" s="5">
        <v>1</v>
      </c>
      <c r="AJ2990" s="7" t="s">
        <v>16910</v>
      </c>
      <c r="AK2990" s="7" t="s">
        <v>16911</v>
      </c>
    </row>
    <row r="2991" spans="1:37" ht="36.75" customHeight="1" x14ac:dyDescent="0.35">
      <c r="A2991" s="5"/>
      <c r="B2991" s="5" t="s">
        <v>37</v>
      </c>
      <c r="C2991" s="73" t="str">
        <f t="shared" si="46"/>
        <v>Closed</v>
      </c>
      <c r="D2991" s="45" t="s">
        <v>16912</v>
      </c>
      <c r="E2991" s="54" t="s">
        <v>16913</v>
      </c>
      <c r="F2991" s="5" t="s">
        <v>816</v>
      </c>
      <c r="G2991" s="7">
        <f>DATE(2019,9,12)</f>
        <v>43720</v>
      </c>
      <c r="H2991" s="34">
        <v>1.5680555555555555</v>
      </c>
      <c r="I2991" s="5" t="s">
        <v>259</v>
      </c>
      <c r="J2991" s="7" t="s">
        <v>16914</v>
      </c>
      <c r="K2991" s="5" t="s">
        <v>818</v>
      </c>
      <c r="L2991" s="5" t="s">
        <v>16915</v>
      </c>
      <c r="M2991" s="5" t="s">
        <v>45</v>
      </c>
      <c r="N2991" s="5" t="s">
        <v>123</v>
      </c>
      <c r="O2991" s="5" t="s">
        <v>59</v>
      </c>
      <c r="P2991" s="7" t="s">
        <v>60</v>
      </c>
      <c r="Q2991" s="7" t="s">
        <v>4688</v>
      </c>
      <c r="R2991" s="7" t="s">
        <v>821</v>
      </c>
      <c r="S2991" s="5">
        <v>0</v>
      </c>
      <c r="T2991" s="36">
        <v>0</v>
      </c>
      <c r="U2991" s="5">
        <v>0</v>
      </c>
      <c r="V2991" s="36">
        <v>0</v>
      </c>
      <c r="W2991" s="5">
        <v>0</v>
      </c>
      <c r="X2991" s="5">
        <v>0</v>
      </c>
      <c r="Y2991" s="5">
        <v>1</v>
      </c>
      <c r="Z2991" s="36">
        <v>0</v>
      </c>
      <c r="AA2991" s="5">
        <v>0</v>
      </c>
      <c r="AB2991" s="5">
        <v>0</v>
      </c>
      <c r="AC2991" s="5">
        <v>0</v>
      </c>
      <c r="AD2991" s="5">
        <v>1</v>
      </c>
      <c r="AE2991" s="7" t="s">
        <v>73</v>
      </c>
      <c r="AF2991" s="7"/>
      <c r="AG2991" s="7" t="s">
        <v>11868</v>
      </c>
      <c r="AH2991" s="7">
        <v>43720</v>
      </c>
      <c r="AI2991" s="5">
        <v>0</v>
      </c>
      <c r="AJ2991" s="7" t="s">
        <v>16916</v>
      </c>
      <c r="AK2991" s="7" t="s">
        <v>50</v>
      </c>
    </row>
    <row r="2992" spans="1:37" ht="36.75" customHeight="1" x14ac:dyDescent="0.35">
      <c r="A2992" s="5"/>
      <c r="B2992" s="5" t="s">
        <v>37</v>
      </c>
      <c r="C2992" s="73" t="str">
        <f t="shared" si="46"/>
        <v>Closed</v>
      </c>
      <c r="D2992" s="45" t="s">
        <v>16917</v>
      </c>
      <c r="E2992" s="54" t="s">
        <v>16918</v>
      </c>
      <c r="F2992" s="5" t="s">
        <v>816</v>
      </c>
      <c r="G2992" s="7">
        <f>DATE(2019,9,13)</f>
        <v>43721</v>
      </c>
      <c r="H2992" s="34">
        <v>1.2798611111111111</v>
      </c>
      <c r="I2992" s="5" t="s">
        <v>85</v>
      </c>
      <c r="J2992" s="7" t="s">
        <v>16919</v>
      </c>
      <c r="K2992" s="5" t="s">
        <v>818</v>
      </c>
      <c r="L2992" s="5" t="s">
        <v>11100</v>
      </c>
      <c r="M2992" s="5" t="s">
        <v>45</v>
      </c>
      <c r="N2992" s="5" t="s">
        <v>123</v>
      </c>
      <c r="O2992" s="5" t="s">
        <v>59</v>
      </c>
      <c r="P2992" s="7" t="s">
        <v>146</v>
      </c>
      <c r="Q2992" s="7" t="s">
        <v>2142</v>
      </c>
      <c r="R2992" s="7" t="s">
        <v>821</v>
      </c>
      <c r="S2992" s="5">
        <v>0</v>
      </c>
      <c r="T2992" s="36">
        <v>0</v>
      </c>
      <c r="U2992" s="5">
        <v>0</v>
      </c>
      <c r="V2992" s="36">
        <v>0</v>
      </c>
      <c r="W2992" s="5">
        <v>0</v>
      </c>
      <c r="X2992" s="5">
        <v>0</v>
      </c>
      <c r="Y2992" s="5">
        <v>0</v>
      </c>
      <c r="Z2992" s="36">
        <v>0</v>
      </c>
      <c r="AA2992" s="5">
        <v>0</v>
      </c>
      <c r="AB2992" s="5">
        <v>0</v>
      </c>
      <c r="AC2992" s="5">
        <v>0</v>
      </c>
      <c r="AD2992" s="5">
        <v>0</v>
      </c>
      <c r="AE2992" s="7" t="s">
        <v>73</v>
      </c>
      <c r="AF2992" s="7" t="s">
        <v>16920</v>
      </c>
      <c r="AG2992" s="7" t="s">
        <v>13508</v>
      </c>
      <c r="AH2992" s="7">
        <v>43721</v>
      </c>
      <c r="AI2992" s="5">
        <v>0</v>
      </c>
      <c r="AJ2992" s="7" t="s">
        <v>16921</v>
      </c>
      <c r="AK2992" s="7" t="s">
        <v>16922</v>
      </c>
    </row>
    <row r="2993" spans="1:37" ht="36.75" customHeight="1" x14ac:dyDescent="0.35">
      <c r="A2993" s="5"/>
      <c r="B2993" s="5" t="s">
        <v>37</v>
      </c>
      <c r="C2993" s="73" t="str">
        <f t="shared" si="46"/>
        <v>Closed</v>
      </c>
      <c r="D2993" s="45" t="s">
        <v>16923</v>
      </c>
      <c r="E2993" s="54" t="s">
        <v>16924</v>
      </c>
      <c r="F2993" s="5" t="s">
        <v>96</v>
      </c>
      <c r="G2993" s="7">
        <f>DATE(2019,9,15)</f>
        <v>43723</v>
      </c>
      <c r="H2993" s="34">
        <v>1.9624999999999999</v>
      </c>
      <c r="I2993" s="5" t="s">
        <v>97</v>
      </c>
      <c r="J2993" s="7" t="s">
        <v>16925</v>
      </c>
      <c r="K2993" s="5" t="s">
        <v>99</v>
      </c>
      <c r="L2993" s="5" t="s">
        <v>16926</v>
      </c>
      <c r="M2993" s="5" t="s">
        <v>45</v>
      </c>
      <c r="N2993" s="5" t="s">
        <v>123</v>
      </c>
      <c r="O2993" s="5" t="s">
        <v>46</v>
      </c>
      <c r="P2993" s="7" t="s">
        <v>6881</v>
      </c>
      <c r="Q2993" s="7" t="s">
        <v>101</v>
      </c>
      <c r="R2993" s="7" t="s">
        <v>102</v>
      </c>
      <c r="S2993" s="5">
        <v>0</v>
      </c>
      <c r="T2993" s="36">
        <v>0</v>
      </c>
      <c r="U2993" s="5">
        <v>0</v>
      </c>
      <c r="V2993" s="36">
        <v>0</v>
      </c>
      <c r="W2993" s="5">
        <v>0</v>
      </c>
      <c r="X2993" s="5">
        <v>0</v>
      </c>
      <c r="Y2993" s="5">
        <v>0</v>
      </c>
      <c r="Z2993" s="36">
        <v>0</v>
      </c>
      <c r="AA2993" s="5">
        <v>0</v>
      </c>
      <c r="AB2993" s="5">
        <v>0</v>
      </c>
      <c r="AC2993" s="5">
        <v>0</v>
      </c>
      <c r="AD2993" s="5">
        <v>0</v>
      </c>
      <c r="AE2993" s="7" t="s">
        <v>375</v>
      </c>
      <c r="AF2993" s="7"/>
      <c r="AG2993" s="7" t="s">
        <v>333</v>
      </c>
      <c r="AH2993" s="7">
        <v>43733</v>
      </c>
      <c r="AI2993" s="5">
        <v>4</v>
      </c>
      <c r="AJ2993" s="7" t="s">
        <v>50</v>
      </c>
      <c r="AK2993" s="7" t="s">
        <v>50</v>
      </c>
    </row>
    <row r="2994" spans="1:37" ht="36.75" customHeight="1" x14ac:dyDescent="0.35">
      <c r="A2994" s="5"/>
      <c r="B2994" s="5" t="s">
        <v>37</v>
      </c>
      <c r="C2994" s="73" t="str">
        <f t="shared" si="46"/>
        <v>Closed</v>
      </c>
      <c r="D2994" s="45" t="s">
        <v>16927</v>
      </c>
      <c r="E2994" s="54" t="s">
        <v>16928</v>
      </c>
      <c r="F2994" s="5" t="s">
        <v>1553</v>
      </c>
      <c r="G2994" s="7">
        <f>DATE(2019,9,16)</f>
        <v>43724</v>
      </c>
      <c r="H2994" s="34">
        <v>1.5541666666666667</v>
      </c>
      <c r="I2994" s="5" t="s">
        <v>55</v>
      </c>
      <c r="J2994" s="7" t="s">
        <v>16929</v>
      </c>
      <c r="K2994" s="5" t="s">
        <v>1555</v>
      </c>
      <c r="L2994" s="5" t="s">
        <v>16750</v>
      </c>
      <c r="M2994" s="5" t="s">
        <v>45</v>
      </c>
      <c r="N2994" s="5" t="s">
        <v>123</v>
      </c>
      <c r="O2994" s="5" t="s">
        <v>59</v>
      </c>
      <c r="P2994" s="7" t="s">
        <v>60</v>
      </c>
      <c r="Q2994" s="7" t="s">
        <v>9053</v>
      </c>
      <c r="R2994" s="7" t="s">
        <v>6413</v>
      </c>
      <c r="S2994" s="5">
        <v>0</v>
      </c>
      <c r="T2994" s="36">
        <v>0</v>
      </c>
      <c r="U2994" s="5">
        <v>0</v>
      </c>
      <c r="V2994" s="36">
        <v>0</v>
      </c>
      <c r="W2994" s="5">
        <v>0</v>
      </c>
      <c r="X2994" s="5">
        <v>0</v>
      </c>
      <c r="Y2994" s="5">
        <v>0</v>
      </c>
      <c r="Z2994" s="36">
        <v>0</v>
      </c>
      <c r="AA2994" s="5">
        <v>0</v>
      </c>
      <c r="AB2994" s="5">
        <v>0</v>
      </c>
      <c r="AC2994" s="5">
        <v>0</v>
      </c>
      <c r="AD2994" s="5">
        <v>0</v>
      </c>
      <c r="AE2994" s="7" t="s">
        <v>73</v>
      </c>
      <c r="AF2994" s="7"/>
      <c r="AG2994" s="7" t="s">
        <v>114</v>
      </c>
      <c r="AH2994" s="7">
        <v>43724</v>
      </c>
      <c r="AI2994" s="5">
        <v>1</v>
      </c>
      <c r="AJ2994" s="7" t="s">
        <v>16930</v>
      </c>
      <c r="AK2994" s="7" t="s">
        <v>16931</v>
      </c>
    </row>
    <row r="2995" spans="1:37" ht="36.75" customHeight="1" x14ac:dyDescent="0.35">
      <c r="A2995" s="5"/>
      <c r="B2995" s="5" t="s">
        <v>37</v>
      </c>
      <c r="C2995" s="73" t="str">
        <f t="shared" si="46"/>
        <v>Closed</v>
      </c>
      <c r="D2995" s="45" t="s">
        <v>16932</v>
      </c>
      <c r="E2995" s="54" t="s">
        <v>16933</v>
      </c>
      <c r="F2995" s="5" t="s">
        <v>404</v>
      </c>
      <c r="G2995" s="7">
        <f>DATE(2019,9,17)</f>
        <v>43725</v>
      </c>
      <c r="H2995" s="34">
        <v>1.3416666666666666</v>
      </c>
      <c r="I2995" s="5" t="s">
        <v>55</v>
      </c>
      <c r="J2995" s="7" t="s">
        <v>16934</v>
      </c>
      <c r="K2995" s="5" t="s">
        <v>406</v>
      </c>
      <c r="L2995" s="5" t="s">
        <v>16935</v>
      </c>
      <c r="M2995" s="5" t="s">
        <v>236</v>
      </c>
      <c r="N2995" s="5" t="s">
        <v>123</v>
      </c>
      <c r="O2995" s="5" t="s">
        <v>46</v>
      </c>
      <c r="P2995" s="7" t="s">
        <v>6531</v>
      </c>
      <c r="Q2995" s="7" t="s">
        <v>16936</v>
      </c>
      <c r="R2995" s="7" t="s">
        <v>16936</v>
      </c>
      <c r="S2995" s="5">
        <v>0</v>
      </c>
      <c r="T2995" s="36">
        <v>0</v>
      </c>
      <c r="U2995" s="5">
        <v>0</v>
      </c>
      <c r="V2995" s="36">
        <v>0</v>
      </c>
      <c r="W2995" s="5">
        <v>0</v>
      </c>
      <c r="X2995" s="5">
        <v>0</v>
      </c>
      <c r="Y2995" s="5">
        <v>0</v>
      </c>
      <c r="Z2995" s="36">
        <v>0</v>
      </c>
      <c r="AA2995" s="5">
        <v>0</v>
      </c>
      <c r="AB2995" s="5">
        <v>0</v>
      </c>
      <c r="AC2995" s="5">
        <v>0</v>
      </c>
      <c r="AD2995" s="5">
        <v>0</v>
      </c>
      <c r="AE2995" s="7" t="s">
        <v>73</v>
      </c>
      <c r="AF2995" s="7" t="s">
        <v>16937</v>
      </c>
      <c r="AG2995" s="7" t="s">
        <v>12457</v>
      </c>
      <c r="AH2995" s="7">
        <v>43725</v>
      </c>
      <c r="AI2995" s="5">
        <v>0</v>
      </c>
      <c r="AJ2995" s="7" t="s">
        <v>16938</v>
      </c>
      <c r="AK2995" s="7" t="s">
        <v>16939</v>
      </c>
    </row>
    <row r="2996" spans="1:37" ht="36.75" customHeight="1" x14ac:dyDescent="0.35">
      <c r="A2996" s="5"/>
      <c r="B2996" s="5" t="s">
        <v>37</v>
      </c>
      <c r="C2996" s="73" t="str">
        <f t="shared" si="46"/>
        <v>Closed</v>
      </c>
      <c r="D2996" s="45" t="s">
        <v>16940</v>
      </c>
      <c r="E2996" s="54" t="s">
        <v>16941</v>
      </c>
      <c r="F2996" s="5" t="s">
        <v>1553</v>
      </c>
      <c r="G2996" s="7">
        <f>DATE(2019,9,17)</f>
        <v>43725</v>
      </c>
      <c r="H2996" s="34">
        <v>1.5416666666666665</v>
      </c>
      <c r="I2996" s="5" t="s">
        <v>106</v>
      </c>
      <c r="J2996" s="7" t="s">
        <v>16942</v>
      </c>
      <c r="K2996" s="5" t="s">
        <v>1555</v>
      </c>
      <c r="L2996" s="5" t="s">
        <v>16943</v>
      </c>
      <c r="M2996" s="5" t="s">
        <v>45</v>
      </c>
      <c r="N2996" s="5" t="s">
        <v>123</v>
      </c>
      <c r="O2996" s="5" t="s">
        <v>46</v>
      </c>
      <c r="P2996" s="7" t="s">
        <v>60</v>
      </c>
      <c r="Q2996" s="7" t="s">
        <v>2635</v>
      </c>
      <c r="R2996" s="7" t="s">
        <v>6413</v>
      </c>
      <c r="S2996" s="5">
        <v>0</v>
      </c>
      <c r="T2996" s="36">
        <v>0</v>
      </c>
      <c r="U2996" s="5">
        <v>0</v>
      </c>
      <c r="V2996" s="36">
        <v>0</v>
      </c>
      <c r="W2996" s="5">
        <v>0</v>
      </c>
      <c r="X2996" s="5">
        <v>0</v>
      </c>
      <c r="Y2996" s="5">
        <v>0</v>
      </c>
      <c r="Z2996" s="36">
        <v>0</v>
      </c>
      <c r="AA2996" s="5">
        <v>0</v>
      </c>
      <c r="AB2996" s="5">
        <v>0</v>
      </c>
      <c r="AC2996" s="5">
        <v>0</v>
      </c>
      <c r="AD2996" s="5">
        <v>0</v>
      </c>
      <c r="AE2996" s="7" t="s">
        <v>375</v>
      </c>
      <c r="AF2996" s="7"/>
      <c r="AG2996" s="7" t="s">
        <v>114</v>
      </c>
      <c r="AH2996" s="7">
        <v>43726</v>
      </c>
      <c r="AI2996" s="5">
        <v>1</v>
      </c>
      <c r="AJ2996" s="7" t="s">
        <v>16944</v>
      </c>
      <c r="AK2996" s="7" t="s">
        <v>16945</v>
      </c>
    </row>
    <row r="2997" spans="1:37" ht="36.75" customHeight="1" x14ac:dyDescent="0.35">
      <c r="A2997" s="5"/>
      <c r="B2997" s="5" t="s">
        <v>37</v>
      </c>
      <c r="C2997" s="73" t="str">
        <f t="shared" si="46"/>
        <v>Closed</v>
      </c>
      <c r="D2997" s="45" t="s">
        <v>16946</v>
      </c>
      <c r="E2997" s="54" t="s">
        <v>16947</v>
      </c>
      <c r="F2997" s="5" t="s">
        <v>1553</v>
      </c>
      <c r="G2997" s="7">
        <f>DATE(2019,9,22)</f>
        <v>43730</v>
      </c>
      <c r="H2997" s="34">
        <v>1.0416666666666667</v>
      </c>
      <c r="I2997" s="5" t="s">
        <v>55</v>
      </c>
      <c r="J2997" s="7" t="s">
        <v>16948</v>
      </c>
      <c r="K2997" s="5" t="s">
        <v>1555</v>
      </c>
      <c r="L2997" s="5" t="s">
        <v>9690</v>
      </c>
      <c r="M2997" s="5" t="s">
        <v>45</v>
      </c>
      <c r="N2997" s="5" t="s">
        <v>80</v>
      </c>
      <c r="O2997" s="5" t="s">
        <v>46</v>
      </c>
      <c r="P2997" s="7" t="s">
        <v>60</v>
      </c>
      <c r="Q2997" s="7" t="s">
        <v>16386</v>
      </c>
      <c r="R2997" s="7" t="s">
        <v>4899</v>
      </c>
      <c r="S2997" s="5">
        <v>0</v>
      </c>
      <c r="T2997" s="36">
        <v>0</v>
      </c>
      <c r="U2997" s="5">
        <v>0</v>
      </c>
      <c r="V2997" s="36">
        <v>0</v>
      </c>
      <c r="W2997" s="5">
        <v>0</v>
      </c>
      <c r="X2997" s="5">
        <v>0</v>
      </c>
      <c r="Y2997" s="5">
        <v>0</v>
      </c>
      <c r="Z2997" s="36">
        <v>0</v>
      </c>
      <c r="AA2997" s="5">
        <v>0</v>
      </c>
      <c r="AB2997" s="5">
        <v>0</v>
      </c>
      <c r="AC2997" s="5">
        <v>0</v>
      </c>
      <c r="AD2997" s="5">
        <v>0</v>
      </c>
      <c r="AE2997" s="7" t="s">
        <v>375</v>
      </c>
      <c r="AF2997" s="7"/>
      <c r="AG2997" s="7" t="s">
        <v>114</v>
      </c>
      <c r="AH2997" s="7">
        <v>43731</v>
      </c>
      <c r="AI2997" s="5">
        <v>3</v>
      </c>
      <c r="AJ2997" s="7" t="s">
        <v>16949</v>
      </c>
      <c r="AK2997" s="7" t="s">
        <v>16950</v>
      </c>
    </row>
    <row r="2998" spans="1:37" ht="36.75" customHeight="1" x14ac:dyDescent="0.35">
      <c r="A2998" s="5"/>
      <c r="B2998" s="5" t="s">
        <v>37</v>
      </c>
      <c r="C2998" s="73" t="str">
        <f t="shared" si="46"/>
        <v>Closed</v>
      </c>
      <c r="D2998" s="45" t="s">
        <v>16951</v>
      </c>
      <c r="E2998" s="54" t="s">
        <v>16952</v>
      </c>
      <c r="F2998" s="5" t="s">
        <v>9767</v>
      </c>
      <c r="G2998" s="7">
        <f>DATE(2019,9,23)</f>
        <v>43731</v>
      </c>
      <c r="H2998" s="34">
        <v>1.3472222222222223</v>
      </c>
      <c r="I2998" s="5" t="s">
        <v>97</v>
      </c>
      <c r="J2998" s="7" t="s">
        <v>16953</v>
      </c>
      <c r="K2998" s="5" t="s">
        <v>9769</v>
      </c>
      <c r="L2998" s="5" t="s">
        <v>16954</v>
      </c>
      <c r="M2998" s="5" t="s">
        <v>45</v>
      </c>
      <c r="N2998" s="5" t="s">
        <v>80</v>
      </c>
      <c r="O2998" s="5" t="s">
        <v>46</v>
      </c>
      <c r="P2998" s="7" t="s">
        <v>282</v>
      </c>
      <c r="Q2998" s="7" t="s">
        <v>9816</v>
      </c>
      <c r="R2998" s="7" t="s">
        <v>9772</v>
      </c>
      <c r="S2998" s="5">
        <v>0</v>
      </c>
      <c r="T2998" s="36">
        <v>0</v>
      </c>
      <c r="U2998" s="5">
        <v>0</v>
      </c>
      <c r="V2998" s="36">
        <v>0</v>
      </c>
      <c r="W2998" s="5">
        <v>0</v>
      </c>
      <c r="X2998" s="5">
        <v>0</v>
      </c>
      <c r="Y2998" s="5">
        <v>0</v>
      </c>
      <c r="Z2998" s="36">
        <v>0</v>
      </c>
      <c r="AA2998" s="5">
        <v>1</v>
      </c>
      <c r="AB2998" s="5">
        <v>0</v>
      </c>
      <c r="AC2998" s="5">
        <v>0</v>
      </c>
      <c r="AD2998" s="5">
        <v>1</v>
      </c>
      <c r="AE2998" s="7" t="s">
        <v>73</v>
      </c>
      <c r="AF2998" s="7"/>
      <c r="AG2998" s="7" t="s">
        <v>570</v>
      </c>
      <c r="AH2998" s="7">
        <v>43748</v>
      </c>
      <c r="AI2998" s="5">
        <v>0</v>
      </c>
      <c r="AJ2998" s="7" t="s">
        <v>16955</v>
      </c>
      <c r="AK2998" s="7" t="s">
        <v>16956</v>
      </c>
    </row>
    <row r="2999" spans="1:37" ht="36.75" customHeight="1" x14ac:dyDescent="0.35">
      <c r="A2999" s="5"/>
      <c r="B2999" s="5" t="s">
        <v>37</v>
      </c>
      <c r="C2999" s="73" t="str">
        <f t="shared" si="46"/>
        <v>Closed</v>
      </c>
      <c r="D2999" s="45" t="s">
        <v>16957</v>
      </c>
      <c r="E2999" s="54" t="s">
        <v>16958</v>
      </c>
      <c r="F2999" s="5" t="s">
        <v>605</v>
      </c>
      <c r="G2999" s="7">
        <f>DATE(2019,9,24)</f>
        <v>43732</v>
      </c>
      <c r="H2999" s="34">
        <v>0</v>
      </c>
      <c r="I2999" s="5" t="s">
        <v>9004</v>
      </c>
      <c r="J2999" s="7" t="s">
        <v>9004</v>
      </c>
      <c r="K2999" s="5" t="s">
        <v>607</v>
      </c>
      <c r="L2999" s="5" t="s">
        <v>16959</v>
      </c>
      <c r="M2999" s="5" t="s">
        <v>45</v>
      </c>
      <c r="N2999" s="5" t="s">
        <v>80</v>
      </c>
      <c r="O2999" s="5" t="s">
        <v>46</v>
      </c>
      <c r="P2999" s="7" t="s">
        <v>60</v>
      </c>
      <c r="Q2999" s="7" t="s">
        <v>11656</v>
      </c>
      <c r="R2999" s="7" t="s">
        <v>610</v>
      </c>
      <c r="S2999" s="5">
        <v>0</v>
      </c>
      <c r="T2999" s="36">
        <v>0</v>
      </c>
      <c r="U2999" s="5">
        <v>3</v>
      </c>
      <c r="V2999" s="36">
        <v>0</v>
      </c>
      <c r="W2999" s="5">
        <v>0</v>
      </c>
      <c r="X2999" s="5">
        <v>3</v>
      </c>
      <c r="Y2999" s="5">
        <v>0</v>
      </c>
      <c r="Z2999" s="36">
        <v>0</v>
      </c>
      <c r="AA2999" s="5">
        <v>0</v>
      </c>
      <c r="AB2999" s="5">
        <v>0</v>
      </c>
      <c r="AC2999" s="5">
        <v>0</v>
      </c>
      <c r="AD2999" s="5">
        <v>0</v>
      </c>
      <c r="AE2999" s="7" t="s">
        <v>73</v>
      </c>
      <c r="AF2999" s="7"/>
      <c r="AG2999" s="7" t="s">
        <v>114</v>
      </c>
      <c r="AH2999" s="7">
        <v>43733</v>
      </c>
      <c r="AI2999" s="5">
        <v>1</v>
      </c>
      <c r="AJ2999" s="7" t="s">
        <v>16960</v>
      </c>
      <c r="AK2999" s="7" t="s">
        <v>50</v>
      </c>
    </row>
    <row r="3000" spans="1:37" ht="36.75" customHeight="1" x14ac:dyDescent="0.35">
      <c r="A3000" s="5"/>
      <c r="B3000" s="5" t="s">
        <v>37</v>
      </c>
      <c r="C3000" s="73" t="str">
        <f t="shared" si="46"/>
        <v>Closed</v>
      </c>
      <c r="D3000" s="45" t="s">
        <v>16961</v>
      </c>
      <c r="E3000" s="54" t="s">
        <v>16962</v>
      </c>
      <c r="F3000" s="5" t="s">
        <v>105</v>
      </c>
      <c r="G3000" s="7">
        <f>DATE(2019,9,25)</f>
        <v>43733</v>
      </c>
      <c r="H3000" s="34">
        <v>0</v>
      </c>
      <c r="I3000" s="5" t="s">
        <v>55</v>
      </c>
      <c r="J3000" s="7" t="s">
        <v>16963</v>
      </c>
      <c r="K3000" s="5" t="s">
        <v>108</v>
      </c>
      <c r="L3000" s="5" t="s">
        <v>16964</v>
      </c>
      <c r="M3000" s="5" t="s">
        <v>45</v>
      </c>
      <c r="N3000" s="5" t="s">
        <v>70</v>
      </c>
      <c r="O3000" s="5" t="s">
        <v>59</v>
      </c>
      <c r="P3000" s="7" t="s">
        <v>60</v>
      </c>
      <c r="Q3000" s="7" t="s">
        <v>16965</v>
      </c>
      <c r="R3000" s="7" t="s">
        <v>148</v>
      </c>
      <c r="S3000" s="5">
        <v>0</v>
      </c>
      <c r="T3000" s="36">
        <v>0</v>
      </c>
      <c r="U3000" s="5">
        <v>0</v>
      </c>
      <c r="V3000" s="36">
        <v>0</v>
      </c>
      <c r="W3000" s="5">
        <v>0</v>
      </c>
      <c r="X3000" s="5">
        <v>0</v>
      </c>
      <c r="Y3000" s="5">
        <v>0</v>
      </c>
      <c r="Z3000" s="36">
        <v>0</v>
      </c>
      <c r="AA3000" s="5">
        <v>0</v>
      </c>
      <c r="AB3000" s="5">
        <v>0</v>
      </c>
      <c r="AC3000" s="5">
        <v>0</v>
      </c>
      <c r="AD3000" s="5">
        <v>0</v>
      </c>
      <c r="AE3000" s="7" t="s">
        <v>73</v>
      </c>
      <c r="AF3000" s="7"/>
      <c r="AG3000" s="7" t="s">
        <v>570</v>
      </c>
      <c r="AH3000" s="7">
        <v>43739</v>
      </c>
      <c r="AI3000" s="5">
        <v>1</v>
      </c>
      <c r="AJ3000" s="7" t="s">
        <v>16966</v>
      </c>
      <c r="AK3000" s="7" t="s">
        <v>16967</v>
      </c>
    </row>
    <row r="3001" spans="1:37" ht="36.75" customHeight="1" x14ac:dyDescent="0.35">
      <c r="A3001" s="5"/>
      <c r="B3001" s="5" t="s">
        <v>37</v>
      </c>
      <c r="C3001" s="73" t="str">
        <f t="shared" si="46"/>
        <v>Closed</v>
      </c>
      <c r="D3001" s="45" t="s">
        <v>16968</v>
      </c>
      <c r="E3001" s="54" t="s">
        <v>16969</v>
      </c>
      <c r="F3001" s="5" t="s">
        <v>404</v>
      </c>
      <c r="G3001" s="7">
        <f>DATE(2019,9,30)</f>
        <v>43738</v>
      </c>
      <c r="H3001" s="34">
        <v>1.2881944444444444</v>
      </c>
      <c r="I3001" s="5" t="s">
        <v>55</v>
      </c>
      <c r="J3001" s="7" t="s">
        <v>16970</v>
      </c>
      <c r="K3001" s="5" t="s">
        <v>406</v>
      </c>
      <c r="L3001" s="5" t="s">
        <v>16971</v>
      </c>
      <c r="M3001" s="5" t="s">
        <v>45</v>
      </c>
      <c r="N3001" s="5" t="s">
        <v>80</v>
      </c>
      <c r="O3001" s="5" t="s">
        <v>6854</v>
      </c>
      <c r="P3001" s="7" t="s">
        <v>60</v>
      </c>
      <c r="Q3001" s="7" t="s">
        <v>2562</v>
      </c>
      <c r="R3001" s="7" t="s">
        <v>16972</v>
      </c>
      <c r="S3001" s="5">
        <v>0</v>
      </c>
      <c r="T3001" s="36">
        <v>0</v>
      </c>
      <c r="U3001" s="5">
        <v>0</v>
      </c>
      <c r="V3001" s="36">
        <v>0</v>
      </c>
      <c r="W3001" s="5">
        <v>0</v>
      </c>
      <c r="X3001" s="5">
        <v>0</v>
      </c>
      <c r="Y3001" s="5">
        <v>0</v>
      </c>
      <c r="Z3001" s="36">
        <v>0</v>
      </c>
      <c r="AA3001" s="5">
        <v>0</v>
      </c>
      <c r="AB3001" s="5">
        <v>0</v>
      </c>
      <c r="AC3001" s="5">
        <v>0</v>
      </c>
      <c r="AD3001" s="5">
        <v>0</v>
      </c>
      <c r="AE3001" s="7" t="s">
        <v>73</v>
      </c>
      <c r="AF3001" s="7"/>
      <c r="AG3001" s="7" t="s">
        <v>333</v>
      </c>
      <c r="AH3001" s="7">
        <v>43738</v>
      </c>
      <c r="AI3001" s="5">
        <v>0</v>
      </c>
      <c r="AJ3001" s="7" t="s">
        <v>16973</v>
      </c>
      <c r="AK3001" s="7" t="s">
        <v>16974</v>
      </c>
    </row>
    <row r="3002" spans="1:37" ht="36.75" customHeight="1" x14ac:dyDescent="0.35">
      <c r="A3002" s="5"/>
      <c r="B3002" s="5" t="s">
        <v>37</v>
      </c>
      <c r="C3002" s="73" t="str">
        <f t="shared" si="46"/>
        <v>Closed</v>
      </c>
      <c r="D3002" s="45" t="s">
        <v>16975</v>
      </c>
      <c r="E3002" s="54" t="s">
        <v>16976</v>
      </c>
      <c r="F3002" s="5" t="s">
        <v>1553</v>
      </c>
      <c r="G3002" s="7">
        <f>DATE(2019,9,30)</f>
        <v>43738</v>
      </c>
      <c r="H3002" s="34">
        <v>1.34375</v>
      </c>
      <c r="I3002" s="5" t="s">
        <v>55</v>
      </c>
      <c r="J3002" s="7" t="s">
        <v>16977</v>
      </c>
      <c r="K3002" s="5" t="s">
        <v>1555</v>
      </c>
      <c r="L3002" s="5" t="s">
        <v>16978</v>
      </c>
      <c r="M3002" s="5" t="s">
        <v>45</v>
      </c>
      <c r="N3002" s="5" t="s">
        <v>80</v>
      </c>
      <c r="O3002" s="5" t="s">
        <v>46</v>
      </c>
      <c r="P3002" s="7" t="s">
        <v>60</v>
      </c>
      <c r="Q3002" s="7" t="s">
        <v>2635</v>
      </c>
      <c r="R3002" s="7" t="s">
        <v>6413</v>
      </c>
      <c r="S3002" s="5">
        <v>0</v>
      </c>
      <c r="T3002" s="36">
        <v>0</v>
      </c>
      <c r="U3002" s="5">
        <v>0</v>
      </c>
      <c r="V3002" s="36">
        <v>0</v>
      </c>
      <c r="W3002" s="5">
        <v>0</v>
      </c>
      <c r="X3002" s="5">
        <v>0</v>
      </c>
      <c r="Y3002" s="5">
        <v>0</v>
      </c>
      <c r="Z3002" s="36">
        <v>0</v>
      </c>
      <c r="AA3002" s="5">
        <v>0</v>
      </c>
      <c r="AB3002" s="5">
        <v>0</v>
      </c>
      <c r="AC3002" s="5">
        <v>0</v>
      </c>
      <c r="AD3002" s="5">
        <v>0</v>
      </c>
      <c r="AE3002" s="7" t="s">
        <v>375</v>
      </c>
      <c r="AF3002" s="7"/>
      <c r="AG3002" s="7" t="s">
        <v>114</v>
      </c>
      <c r="AH3002" s="7">
        <v>43739</v>
      </c>
      <c r="AI3002" s="5">
        <v>1</v>
      </c>
      <c r="AJ3002" s="7" t="s">
        <v>16979</v>
      </c>
      <c r="AK3002" s="7" t="s">
        <v>16980</v>
      </c>
    </row>
    <row r="3003" spans="1:37" ht="36.75" customHeight="1" x14ac:dyDescent="0.35">
      <c r="A3003" s="5"/>
      <c r="B3003" s="5" t="s">
        <v>37</v>
      </c>
      <c r="C3003" s="73" t="str">
        <f t="shared" si="46"/>
        <v>Closed</v>
      </c>
      <c r="D3003" s="45" t="s">
        <v>16981</v>
      </c>
      <c r="E3003" s="54" t="s">
        <v>16982</v>
      </c>
      <c r="F3003" s="5" t="s">
        <v>404</v>
      </c>
      <c r="G3003" s="7">
        <f>DATE(2019,10,1)</f>
        <v>43739</v>
      </c>
      <c r="H3003" s="34">
        <v>1.3131944444444446</v>
      </c>
      <c r="I3003" s="5" t="s">
        <v>97</v>
      </c>
      <c r="J3003" s="7" t="s">
        <v>16983</v>
      </c>
      <c r="K3003" s="5" t="s">
        <v>406</v>
      </c>
      <c r="L3003" s="5" t="s">
        <v>16984</v>
      </c>
      <c r="M3003" s="5" t="s">
        <v>45</v>
      </c>
      <c r="N3003" s="5" t="s">
        <v>80</v>
      </c>
      <c r="O3003" s="5" t="s">
        <v>46</v>
      </c>
      <c r="P3003" s="7" t="s">
        <v>146</v>
      </c>
      <c r="Q3003" s="7" t="s">
        <v>4531</v>
      </c>
      <c r="R3003" s="7" t="s">
        <v>3083</v>
      </c>
      <c r="S3003" s="5">
        <v>0</v>
      </c>
      <c r="T3003" s="36">
        <v>0</v>
      </c>
      <c r="U3003" s="5">
        <v>2</v>
      </c>
      <c r="V3003" s="36">
        <v>0</v>
      </c>
      <c r="W3003" s="5">
        <v>0</v>
      </c>
      <c r="X3003" s="5">
        <v>2</v>
      </c>
      <c r="Y3003" s="5">
        <v>0</v>
      </c>
      <c r="Z3003" s="36">
        <v>0</v>
      </c>
      <c r="AA3003" s="5">
        <v>0</v>
      </c>
      <c r="AB3003" s="5">
        <v>0</v>
      </c>
      <c r="AC3003" s="5">
        <v>0</v>
      </c>
      <c r="AD3003" s="5">
        <v>0</v>
      </c>
      <c r="AE3003" s="7" t="s">
        <v>73</v>
      </c>
      <c r="AF3003" s="7"/>
      <c r="AG3003" s="7" t="s">
        <v>855</v>
      </c>
      <c r="AH3003" s="7">
        <v>43475</v>
      </c>
      <c r="AI3003" s="5">
        <v>1</v>
      </c>
      <c r="AJ3003" s="7" t="s">
        <v>15076</v>
      </c>
      <c r="AK3003" s="7" t="s">
        <v>15077</v>
      </c>
    </row>
    <row r="3004" spans="1:37" ht="36.75" customHeight="1" x14ac:dyDescent="0.35">
      <c r="A3004" s="5"/>
      <c r="B3004" s="5" t="s">
        <v>37</v>
      </c>
      <c r="C3004" s="73" t="str">
        <f t="shared" si="46"/>
        <v>Closed</v>
      </c>
      <c r="D3004" s="45" t="s">
        <v>16985</v>
      </c>
      <c r="E3004" s="54" t="s">
        <v>16986</v>
      </c>
      <c r="F3004" s="5" t="s">
        <v>404</v>
      </c>
      <c r="G3004" s="7">
        <f>DATE(2019,10,2)</f>
        <v>43740</v>
      </c>
      <c r="H3004" s="34">
        <v>1.75</v>
      </c>
      <c r="I3004" s="5" t="s">
        <v>55</v>
      </c>
      <c r="J3004" s="7" t="s">
        <v>16987</v>
      </c>
      <c r="K3004" s="5" t="s">
        <v>406</v>
      </c>
      <c r="L3004" s="5" t="s">
        <v>16988</v>
      </c>
      <c r="M3004" s="5" t="s">
        <v>45</v>
      </c>
      <c r="N3004" s="5" t="s">
        <v>80</v>
      </c>
      <c r="O3004" s="5" t="s">
        <v>59</v>
      </c>
      <c r="P3004" s="7" t="s">
        <v>146</v>
      </c>
      <c r="Q3004" s="7" t="s">
        <v>4531</v>
      </c>
      <c r="R3004" s="7" t="s">
        <v>3083</v>
      </c>
      <c r="S3004" s="5">
        <v>0</v>
      </c>
      <c r="T3004" s="36">
        <v>0</v>
      </c>
      <c r="U3004" s="5">
        <v>0</v>
      </c>
      <c r="V3004" s="36">
        <v>0</v>
      </c>
      <c r="W3004" s="5">
        <v>0</v>
      </c>
      <c r="X3004" s="5">
        <v>0</v>
      </c>
      <c r="Y3004" s="5">
        <v>0</v>
      </c>
      <c r="Z3004" s="36">
        <v>0</v>
      </c>
      <c r="AA3004" s="5">
        <v>0</v>
      </c>
      <c r="AB3004" s="5">
        <v>0</v>
      </c>
      <c r="AC3004" s="5">
        <v>0</v>
      </c>
      <c r="AD3004" s="5">
        <v>0</v>
      </c>
      <c r="AE3004" s="7" t="s">
        <v>73</v>
      </c>
      <c r="AF3004" s="7"/>
      <c r="AG3004" s="7" t="s">
        <v>333</v>
      </c>
      <c r="AH3004" s="7">
        <v>43506</v>
      </c>
      <c r="AI3004" s="5">
        <v>0</v>
      </c>
      <c r="AJ3004" s="7" t="s">
        <v>16989</v>
      </c>
      <c r="AK3004" s="7" t="s">
        <v>16990</v>
      </c>
    </row>
    <row r="3005" spans="1:37" ht="36.75" customHeight="1" x14ac:dyDescent="0.35">
      <c r="A3005" s="5"/>
      <c r="B3005" s="5" t="s">
        <v>37</v>
      </c>
      <c r="C3005" s="73" t="str">
        <f t="shared" si="46"/>
        <v>Closed</v>
      </c>
      <c r="D3005" s="45" t="s">
        <v>16991</v>
      </c>
      <c r="E3005" s="54" t="s">
        <v>16992</v>
      </c>
      <c r="F3005" s="5" t="s">
        <v>1553</v>
      </c>
      <c r="G3005" s="7">
        <f>DATE(2019,10,7)</f>
        <v>43745</v>
      </c>
      <c r="H3005" s="34">
        <v>1.28125</v>
      </c>
      <c r="I3005" s="5" t="s">
        <v>55</v>
      </c>
      <c r="J3005" s="7" t="s">
        <v>16993</v>
      </c>
      <c r="K3005" s="5" t="s">
        <v>1555</v>
      </c>
      <c r="L3005" s="5" t="s">
        <v>16994</v>
      </c>
      <c r="M3005" s="5" t="s">
        <v>45</v>
      </c>
      <c r="N3005" s="5" t="s">
        <v>123</v>
      </c>
      <c r="O3005" s="5" t="s">
        <v>59</v>
      </c>
      <c r="P3005" s="7" t="s">
        <v>60</v>
      </c>
      <c r="Q3005" s="7" t="s">
        <v>9053</v>
      </c>
      <c r="R3005" s="7" t="s">
        <v>6413</v>
      </c>
      <c r="S3005" s="5">
        <v>0</v>
      </c>
      <c r="T3005" s="36">
        <v>0</v>
      </c>
      <c r="U3005" s="5">
        <v>0</v>
      </c>
      <c r="V3005" s="36">
        <v>0</v>
      </c>
      <c r="W3005" s="5">
        <v>0</v>
      </c>
      <c r="X3005" s="5">
        <v>0</v>
      </c>
      <c r="Y3005" s="5">
        <v>0</v>
      </c>
      <c r="Z3005" s="36">
        <v>0</v>
      </c>
      <c r="AA3005" s="5">
        <v>0</v>
      </c>
      <c r="AB3005" s="5">
        <v>0</v>
      </c>
      <c r="AC3005" s="5">
        <v>0</v>
      </c>
      <c r="AD3005" s="5">
        <v>0</v>
      </c>
      <c r="AE3005" s="7" t="s">
        <v>73</v>
      </c>
      <c r="AF3005" s="7"/>
      <c r="AG3005" s="7" t="s">
        <v>114</v>
      </c>
      <c r="AH3005" s="7">
        <v>43745</v>
      </c>
      <c r="AI3005" s="5">
        <v>3</v>
      </c>
      <c r="AJ3005" s="7" t="s">
        <v>16995</v>
      </c>
      <c r="AK3005" s="7" t="s">
        <v>16996</v>
      </c>
    </row>
    <row r="3006" spans="1:37" ht="36.75" customHeight="1" x14ac:dyDescent="0.35">
      <c r="A3006" s="5"/>
      <c r="B3006" s="5" t="s">
        <v>37</v>
      </c>
      <c r="C3006" s="73" t="str">
        <f t="shared" si="46"/>
        <v>Closed</v>
      </c>
      <c r="D3006" s="45" t="s">
        <v>16997</v>
      </c>
      <c r="E3006" s="54" t="s">
        <v>16998</v>
      </c>
      <c r="F3006" s="5" t="s">
        <v>2581</v>
      </c>
      <c r="G3006" s="7">
        <f>DATE(2019,10,14)</f>
        <v>43752</v>
      </c>
      <c r="H3006" s="34">
        <v>1.3097222222222222</v>
      </c>
      <c r="I3006" s="5" t="s">
        <v>179</v>
      </c>
      <c r="J3006" s="7" t="s">
        <v>16999</v>
      </c>
      <c r="K3006" s="5" t="s">
        <v>2583</v>
      </c>
      <c r="L3006" s="5" t="s">
        <v>17000</v>
      </c>
      <c r="M3006" s="5" t="s">
        <v>45</v>
      </c>
      <c r="N3006" s="5" t="s">
        <v>70</v>
      </c>
      <c r="O3006" s="5" t="s">
        <v>59</v>
      </c>
      <c r="P3006" s="7" t="s">
        <v>72</v>
      </c>
      <c r="Q3006" s="7" t="s">
        <v>4793</v>
      </c>
      <c r="R3006" s="7" t="s">
        <v>2586</v>
      </c>
      <c r="S3006" s="5">
        <v>0</v>
      </c>
      <c r="T3006" s="36">
        <v>0</v>
      </c>
      <c r="U3006" s="5">
        <v>0</v>
      </c>
      <c r="V3006" s="36">
        <v>0</v>
      </c>
      <c r="W3006" s="5">
        <v>0</v>
      </c>
      <c r="X3006" s="5">
        <v>0</v>
      </c>
      <c r="Y3006" s="5">
        <v>0</v>
      </c>
      <c r="Z3006" s="36">
        <v>2</v>
      </c>
      <c r="AA3006" s="5">
        <v>0</v>
      </c>
      <c r="AB3006" s="5">
        <v>0</v>
      </c>
      <c r="AC3006" s="5">
        <v>0</v>
      </c>
      <c r="AD3006" s="5">
        <v>2</v>
      </c>
      <c r="AE3006" s="7" t="s">
        <v>73</v>
      </c>
      <c r="AF3006" s="7"/>
      <c r="AG3006" s="7" t="s">
        <v>114</v>
      </c>
      <c r="AH3006" s="7">
        <v>43762</v>
      </c>
      <c r="AI3006" s="5">
        <v>4</v>
      </c>
      <c r="AJ3006" s="7" t="s">
        <v>17001</v>
      </c>
      <c r="AK3006" s="7" t="s">
        <v>17002</v>
      </c>
    </row>
    <row r="3007" spans="1:37" ht="36.75" customHeight="1" x14ac:dyDescent="0.35">
      <c r="A3007" s="5"/>
      <c r="B3007" s="5" t="s">
        <v>37</v>
      </c>
      <c r="C3007" s="73" t="str">
        <f t="shared" si="46"/>
        <v>Closed</v>
      </c>
      <c r="D3007" s="45" t="s">
        <v>17003</v>
      </c>
      <c r="E3007" s="54" t="s">
        <v>17004</v>
      </c>
      <c r="F3007" s="5" t="s">
        <v>1553</v>
      </c>
      <c r="G3007" s="7">
        <f>DATE(2019,10,15)</f>
        <v>43753</v>
      </c>
      <c r="H3007" s="34">
        <v>1.5486111111111112</v>
      </c>
      <c r="I3007" s="5" t="s">
        <v>55</v>
      </c>
      <c r="J3007" s="7" t="s">
        <v>17005</v>
      </c>
      <c r="K3007" s="5" t="s">
        <v>1555</v>
      </c>
      <c r="L3007" s="5" t="s">
        <v>17006</v>
      </c>
      <c r="M3007" s="5" t="s">
        <v>45</v>
      </c>
      <c r="N3007" s="5" t="s">
        <v>123</v>
      </c>
      <c r="O3007" s="5" t="s">
        <v>46</v>
      </c>
      <c r="P3007" s="7" t="s">
        <v>60</v>
      </c>
      <c r="Q3007" s="7" t="s">
        <v>1555</v>
      </c>
      <c r="R3007" s="7" t="s">
        <v>6413</v>
      </c>
      <c r="S3007" s="5">
        <v>0</v>
      </c>
      <c r="T3007" s="36">
        <v>0</v>
      </c>
      <c r="U3007" s="5">
        <v>0</v>
      </c>
      <c r="V3007" s="36">
        <v>0</v>
      </c>
      <c r="W3007" s="5">
        <v>0</v>
      </c>
      <c r="X3007" s="5">
        <v>0</v>
      </c>
      <c r="Y3007" s="5">
        <v>0</v>
      </c>
      <c r="Z3007" s="36">
        <v>0</v>
      </c>
      <c r="AA3007" s="5">
        <v>0</v>
      </c>
      <c r="AB3007" s="5">
        <v>0</v>
      </c>
      <c r="AC3007" s="5">
        <v>0</v>
      </c>
      <c r="AD3007" s="5">
        <v>0</v>
      </c>
      <c r="AE3007" s="7" t="s">
        <v>375</v>
      </c>
      <c r="AF3007" s="7"/>
      <c r="AG3007" s="7" t="s">
        <v>114</v>
      </c>
      <c r="AH3007" s="7">
        <v>43754</v>
      </c>
      <c r="AI3007" s="5">
        <v>1</v>
      </c>
      <c r="AJ3007" s="7" t="s">
        <v>17007</v>
      </c>
      <c r="AK3007" s="7" t="s">
        <v>17008</v>
      </c>
    </row>
    <row r="3008" spans="1:37" ht="36.75" customHeight="1" x14ac:dyDescent="0.35">
      <c r="A3008" s="5"/>
      <c r="B3008" s="5" t="s">
        <v>37</v>
      </c>
      <c r="C3008" s="73" t="str">
        <f t="shared" si="46"/>
        <v>Closed</v>
      </c>
      <c r="D3008" s="45" t="s">
        <v>17009</v>
      </c>
      <c r="E3008" s="54" t="s">
        <v>17010</v>
      </c>
      <c r="F3008" s="5" t="s">
        <v>16278</v>
      </c>
      <c r="G3008" s="7">
        <f>DATE(2019,10,16)</f>
        <v>43754</v>
      </c>
      <c r="H3008" s="34">
        <v>1.6763888888888889</v>
      </c>
      <c r="I3008" s="5" t="s">
        <v>97</v>
      </c>
      <c r="J3008" s="7" t="s">
        <v>17011</v>
      </c>
      <c r="K3008" s="5" t="s">
        <v>99</v>
      </c>
      <c r="L3008" s="5" t="s">
        <v>17012</v>
      </c>
      <c r="M3008" s="5" t="s">
        <v>45</v>
      </c>
      <c r="N3008" s="5" t="s">
        <v>123</v>
      </c>
      <c r="O3008" s="5" t="s">
        <v>46</v>
      </c>
      <c r="P3008" s="7" t="s">
        <v>146</v>
      </c>
      <c r="Q3008" s="7" t="s">
        <v>16281</v>
      </c>
      <c r="R3008" s="7" t="s">
        <v>16282</v>
      </c>
      <c r="S3008" s="5">
        <v>0</v>
      </c>
      <c r="T3008" s="36">
        <v>0</v>
      </c>
      <c r="U3008" s="5">
        <v>0</v>
      </c>
      <c r="V3008" s="36">
        <v>0</v>
      </c>
      <c r="W3008" s="5">
        <v>0</v>
      </c>
      <c r="X3008" s="5">
        <v>0</v>
      </c>
      <c r="Y3008" s="5">
        <v>0</v>
      </c>
      <c r="Z3008" s="36">
        <v>0</v>
      </c>
      <c r="AA3008" s="5">
        <v>0</v>
      </c>
      <c r="AB3008" s="5">
        <v>0</v>
      </c>
      <c r="AC3008" s="5">
        <v>0</v>
      </c>
      <c r="AD3008" s="5">
        <v>0</v>
      </c>
      <c r="AE3008" s="7" t="s">
        <v>375</v>
      </c>
      <c r="AF3008" s="7" t="s">
        <v>17013</v>
      </c>
      <c r="AG3008" s="7" t="s">
        <v>8837</v>
      </c>
      <c r="AH3008" s="7">
        <v>43756</v>
      </c>
      <c r="AI3008" s="5">
        <v>2</v>
      </c>
      <c r="AJ3008" s="7" t="s">
        <v>17014</v>
      </c>
      <c r="AK3008" s="7" t="s">
        <v>17015</v>
      </c>
    </row>
    <row r="3009" spans="1:37" ht="36.75" customHeight="1" x14ac:dyDescent="0.35">
      <c r="A3009" s="5"/>
      <c r="B3009" s="5" t="s">
        <v>37</v>
      </c>
      <c r="C3009" s="73" t="str">
        <f t="shared" si="46"/>
        <v>Closed</v>
      </c>
      <c r="D3009" s="45" t="s">
        <v>17016</v>
      </c>
      <c r="E3009" s="54" t="s">
        <v>17017</v>
      </c>
      <c r="F3009" s="5" t="s">
        <v>17018</v>
      </c>
      <c r="G3009" s="7">
        <f>DATE(2019,10,16)</f>
        <v>43754</v>
      </c>
      <c r="H3009" s="34">
        <v>1.5763888888888888</v>
      </c>
      <c r="I3009" s="5" t="s">
        <v>5473</v>
      </c>
      <c r="J3009" s="7" t="s">
        <v>17019</v>
      </c>
      <c r="K3009" s="5" t="s">
        <v>2318</v>
      </c>
      <c r="L3009" s="5" t="s">
        <v>17020</v>
      </c>
      <c r="M3009" s="5" t="s">
        <v>45</v>
      </c>
      <c r="N3009" s="5" t="s">
        <v>123</v>
      </c>
      <c r="O3009" s="5" t="s">
        <v>59</v>
      </c>
      <c r="P3009" s="7" t="s">
        <v>67</v>
      </c>
      <c r="Q3009" s="7" t="s">
        <v>17021</v>
      </c>
      <c r="R3009" s="7" t="s">
        <v>2321</v>
      </c>
      <c r="S3009" s="5">
        <v>0</v>
      </c>
      <c r="T3009" s="36">
        <v>0</v>
      </c>
      <c r="U3009" s="5">
        <v>0</v>
      </c>
      <c r="V3009" s="36">
        <v>0</v>
      </c>
      <c r="W3009" s="5">
        <v>0</v>
      </c>
      <c r="X3009" s="5">
        <v>0</v>
      </c>
      <c r="Y3009" s="5">
        <v>0</v>
      </c>
      <c r="Z3009" s="36">
        <v>0</v>
      </c>
      <c r="AA3009" s="5">
        <v>0</v>
      </c>
      <c r="AB3009" s="5">
        <v>0</v>
      </c>
      <c r="AC3009" s="5">
        <v>0</v>
      </c>
      <c r="AD3009" s="5">
        <v>0</v>
      </c>
      <c r="AE3009" s="7" t="s">
        <v>375</v>
      </c>
      <c r="AF3009" s="7" t="s">
        <v>17022</v>
      </c>
      <c r="AG3009" s="7" t="s">
        <v>17023</v>
      </c>
      <c r="AH3009" s="7">
        <v>44105</v>
      </c>
      <c r="AI3009" s="5">
        <v>9</v>
      </c>
      <c r="AJ3009" s="7" t="s">
        <v>17024</v>
      </c>
      <c r="AK3009" s="7" t="s">
        <v>17025</v>
      </c>
    </row>
    <row r="3010" spans="1:37" ht="36.75" customHeight="1" x14ac:dyDescent="0.35">
      <c r="A3010" s="5"/>
      <c r="B3010" s="5" t="s">
        <v>37</v>
      </c>
      <c r="C3010" s="73" t="str">
        <f t="shared" ref="C3010:C3073" si="47">IF(B3010="Notification","Open",IF(B3010="Interim Statement","In progress","Closed"))</f>
        <v>Closed</v>
      </c>
      <c r="D3010" s="45" t="s">
        <v>17026</v>
      </c>
      <c r="E3010" s="54" t="s">
        <v>17027</v>
      </c>
      <c r="F3010" s="5" t="s">
        <v>1553</v>
      </c>
      <c r="G3010" s="7">
        <f>DATE(2019,10,17)</f>
        <v>43755</v>
      </c>
      <c r="H3010" s="34">
        <v>1.3194444444444444</v>
      </c>
      <c r="I3010" s="5" t="s">
        <v>106</v>
      </c>
      <c r="J3010" s="7" t="s">
        <v>17028</v>
      </c>
      <c r="K3010" s="5" t="s">
        <v>1555</v>
      </c>
      <c r="L3010" s="5" t="s">
        <v>17029</v>
      </c>
      <c r="M3010" s="5" t="s">
        <v>45</v>
      </c>
      <c r="N3010" s="5" t="s">
        <v>123</v>
      </c>
      <c r="O3010" s="5" t="s">
        <v>46</v>
      </c>
      <c r="P3010" s="7" t="s">
        <v>6920</v>
      </c>
      <c r="Q3010" s="7" t="s">
        <v>2393</v>
      </c>
      <c r="R3010" s="7" t="s">
        <v>6413</v>
      </c>
      <c r="S3010" s="5">
        <v>0</v>
      </c>
      <c r="T3010" s="36">
        <v>0</v>
      </c>
      <c r="U3010" s="5">
        <v>0</v>
      </c>
      <c r="V3010" s="36">
        <v>0</v>
      </c>
      <c r="W3010" s="5">
        <v>0</v>
      </c>
      <c r="X3010" s="5">
        <v>0</v>
      </c>
      <c r="Y3010" s="5">
        <v>0</v>
      </c>
      <c r="Z3010" s="36">
        <v>0</v>
      </c>
      <c r="AA3010" s="5">
        <v>0</v>
      </c>
      <c r="AB3010" s="5">
        <v>0</v>
      </c>
      <c r="AC3010" s="5">
        <v>0</v>
      </c>
      <c r="AD3010" s="5">
        <v>0</v>
      </c>
      <c r="AE3010" s="7" t="s">
        <v>73</v>
      </c>
      <c r="AF3010" s="7"/>
      <c r="AG3010" s="7" t="s">
        <v>114</v>
      </c>
      <c r="AH3010" s="7">
        <v>43755</v>
      </c>
      <c r="AI3010" s="5">
        <v>0</v>
      </c>
      <c r="AJ3010" s="7" t="s">
        <v>17030</v>
      </c>
      <c r="AK3010" s="7" t="s">
        <v>17031</v>
      </c>
    </row>
    <row r="3011" spans="1:37" ht="36.75" customHeight="1" x14ac:dyDescent="0.35">
      <c r="A3011" s="5"/>
      <c r="B3011" s="5" t="s">
        <v>37</v>
      </c>
      <c r="C3011" s="73" t="str">
        <f t="shared" si="47"/>
        <v>Closed</v>
      </c>
      <c r="D3011" s="45" t="s">
        <v>17032</v>
      </c>
      <c r="E3011" s="54" t="s">
        <v>17033</v>
      </c>
      <c r="F3011" s="5" t="s">
        <v>6434</v>
      </c>
      <c r="G3011" s="7">
        <f>DATE(2019,10,19)</f>
        <v>43757</v>
      </c>
      <c r="H3011" s="34">
        <v>1.8361111111111112</v>
      </c>
      <c r="I3011" s="5" t="s">
        <v>106</v>
      </c>
      <c r="J3011" s="7" t="s">
        <v>17034</v>
      </c>
      <c r="K3011" s="5" t="s">
        <v>565</v>
      </c>
      <c r="L3011" s="5" t="s">
        <v>17035</v>
      </c>
      <c r="M3011" s="5" t="s">
        <v>45</v>
      </c>
      <c r="N3011" s="5" t="s">
        <v>123</v>
      </c>
      <c r="O3011" s="5" t="s">
        <v>46</v>
      </c>
      <c r="P3011" s="7" t="s">
        <v>146</v>
      </c>
      <c r="Q3011" s="7" t="s">
        <v>17036</v>
      </c>
      <c r="R3011" s="7" t="s">
        <v>568</v>
      </c>
      <c r="S3011" s="5">
        <v>0</v>
      </c>
      <c r="T3011" s="36">
        <v>0</v>
      </c>
      <c r="U3011" s="5">
        <v>0</v>
      </c>
      <c r="V3011" s="36">
        <v>0</v>
      </c>
      <c r="W3011" s="5">
        <v>0</v>
      </c>
      <c r="X3011" s="5">
        <v>0</v>
      </c>
      <c r="Y3011" s="5">
        <v>0</v>
      </c>
      <c r="Z3011" s="36">
        <v>0</v>
      </c>
      <c r="AA3011" s="5">
        <v>0</v>
      </c>
      <c r="AB3011" s="5">
        <v>0</v>
      </c>
      <c r="AC3011" s="5">
        <v>0</v>
      </c>
      <c r="AD3011" s="5">
        <v>0</v>
      </c>
      <c r="AE3011" s="7" t="s">
        <v>375</v>
      </c>
      <c r="AF3011" s="7" t="s">
        <v>17037</v>
      </c>
      <c r="AG3011" s="7" t="s">
        <v>8837</v>
      </c>
      <c r="AH3011" s="7">
        <v>43759</v>
      </c>
      <c r="AI3011" s="5">
        <v>1</v>
      </c>
      <c r="AJ3011" s="7" t="s">
        <v>17038</v>
      </c>
      <c r="AK3011" s="7" t="s">
        <v>10547</v>
      </c>
    </row>
    <row r="3012" spans="1:37" ht="36.75" customHeight="1" x14ac:dyDescent="0.35">
      <c r="A3012" s="23" t="s">
        <v>4890</v>
      </c>
      <c r="B3012" s="5" t="s">
        <v>37</v>
      </c>
      <c r="C3012" s="73" t="str">
        <f t="shared" si="47"/>
        <v>Closed</v>
      </c>
      <c r="D3012" s="45" t="s">
        <v>17039</v>
      </c>
      <c r="E3012" s="54" t="s">
        <v>17040</v>
      </c>
      <c r="F3012" s="5" t="s">
        <v>9767</v>
      </c>
      <c r="G3012" s="7">
        <f>DATE(2019,10,19)</f>
        <v>43757</v>
      </c>
      <c r="H3012" s="34">
        <v>1.0659722222222223</v>
      </c>
      <c r="I3012" s="5" t="s">
        <v>8481</v>
      </c>
      <c r="J3012" s="7" t="s">
        <v>17041</v>
      </c>
      <c r="K3012" s="5" t="s">
        <v>9769</v>
      </c>
      <c r="L3012" s="5" t="s">
        <v>17042</v>
      </c>
      <c r="M3012" s="5" t="s">
        <v>45</v>
      </c>
      <c r="N3012" s="5" t="s">
        <v>80</v>
      </c>
      <c r="O3012" s="5" t="s">
        <v>46</v>
      </c>
      <c r="P3012" s="7" t="s">
        <v>60</v>
      </c>
      <c r="Q3012" s="7" t="s">
        <v>10235</v>
      </c>
      <c r="R3012" s="7" t="s">
        <v>9772</v>
      </c>
      <c r="S3012" s="5">
        <v>0</v>
      </c>
      <c r="T3012" s="36">
        <v>0</v>
      </c>
      <c r="U3012" s="5">
        <v>0</v>
      </c>
      <c r="V3012" s="36">
        <v>0</v>
      </c>
      <c r="W3012" s="5">
        <v>0</v>
      </c>
      <c r="X3012" s="5">
        <v>0</v>
      </c>
      <c r="Y3012" s="5">
        <v>0</v>
      </c>
      <c r="Z3012" s="36">
        <v>0</v>
      </c>
      <c r="AA3012" s="5">
        <v>0</v>
      </c>
      <c r="AB3012" s="5">
        <v>0</v>
      </c>
      <c r="AC3012" s="5">
        <v>0</v>
      </c>
      <c r="AD3012" s="5">
        <v>0</v>
      </c>
      <c r="AE3012" s="7" t="s">
        <v>73</v>
      </c>
      <c r="AF3012" s="7"/>
      <c r="AG3012" s="7" t="s">
        <v>570</v>
      </c>
      <c r="AH3012" s="7">
        <v>43761</v>
      </c>
      <c r="AI3012" s="5">
        <v>1</v>
      </c>
      <c r="AJ3012" s="7" t="s">
        <v>17043</v>
      </c>
      <c r="AK3012" s="7" t="s">
        <v>17044</v>
      </c>
    </row>
    <row r="3013" spans="1:37" ht="36.75" customHeight="1" x14ac:dyDescent="0.35">
      <c r="A3013" s="5"/>
      <c r="B3013" s="5" t="s">
        <v>37</v>
      </c>
      <c r="C3013" s="73" t="str">
        <f t="shared" si="47"/>
        <v>Closed</v>
      </c>
      <c r="D3013" s="45" t="s">
        <v>17045</v>
      </c>
      <c r="E3013" s="54" t="s">
        <v>17046</v>
      </c>
      <c r="F3013" s="5" t="s">
        <v>404</v>
      </c>
      <c r="G3013" s="7">
        <f>DATE(2019,10,20)</f>
        <v>43758</v>
      </c>
      <c r="H3013" s="34">
        <v>1.0888888888888888</v>
      </c>
      <c r="I3013" s="5" t="s">
        <v>97</v>
      </c>
      <c r="J3013" s="7" t="s">
        <v>17047</v>
      </c>
      <c r="K3013" s="5" t="s">
        <v>406</v>
      </c>
      <c r="L3013" s="5" t="s">
        <v>17048</v>
      </c>
      <c r="M3013" s="5" t="s">
        <v>45</v>
      </c>
      <c r="N3013" s="5" t="s">
        <v>123</v>
      </c>
      <c r="O3013" s="5" t="s">
        <v>46</v>
      </c>
      <c r="P3013" s="7" t="s">
        <v>47</v>
      </c>
      <c r="Q3013" s="7" t="s">
        <v>4531</v>
      </c>
      <c r="R3013" s="7" t="s">
        <v>3083</v>
      </c>
      <c r="S3013" s="5">
        <v>0</v>
      </c>
      <c r="T3013" s="36">
        <v>0</v>
      </c>
      <c r="U3013" s="5">
        <v>0</v>
      </c>
      <c r="V3013" s="36">
        <v>0</v>
      </c>
      <c r="W3013" s="5">
        <v>0</v>
      </c>
      <c r="X3013" s="5">
        <v>0</v>
      </c>
      <c r="Y3013" s="5">
        <v>0</v>
      </c>
      <c r="Z3013" s="36">
        <v>0</v>
      </c>
      <c r="AA3013" s="5">
        <v>0</v>
      </c>
      <c r="AB3013" s="5">
        <v>0</v>
      </c>
      <c r="AC3013" s="5">
        <v>0</v>
      </c>
      <c r="AD3013" s="5">
        <v>0</v>
      </c>
      <c r="AE3013" s="7" t="s">
        <v>375</v>
      </c>
      <c r="AF3013" s="7"/>
      <c r="AG3013" s="7" t="s">
        <v>64</v>
      </c>
      <c r="AH3013" s="7">
        <v>43817</v>
      </c>
      <c r="AI3013" s="5">
        <v>1</v>
      </c>
      <c r="AJ3013" s="7" t="s">
        <v>17049</v>
      </c>
      <c r="AK3013" s="7" t="s">
        <v>17050</v>
      </c>
    </row>
    <row r="3014" spans="1:37" ht="36.75" customHeight="1" x14ac:dyDescent="0.35">
      <c r="A3014" s="5"/>
      <c r="B3014" s="5" t="s">
        <v>37</v>
      </c>
      <c r="C3014" s="73" t="str">
        <f t="shared" si="47"/>
        <v>Closed</v>
      </c>
      <c r="D3014" s="45" t="s">
        <v>17051</v>
      </c>
      <c r="E3014" s="54" t="s">
        <v>17052</v>
      </c>
      <c r="F3014" s="5" t="s">
        <v>563</v>
      </c>
      <c r="G3014" s="7">
        <f>DATE(2019,10,24)</f>
        <v>43762</v>
      </c>
      <c r="H3014" s="34">
        <v>1.6118055555555557</v>
      </c>
      <c r="I3014" s="5" t="s">
        <v>468</v>
      </c>
      <c r="J3014" s="7" t="s">
        <v>17053</v>
      </c>
      <c r="K3014" s="5" t="s">
        <v>565</v>
      </c>
      <c r="L3014" s="5" t="s">
        <v>17054</v>
      </c>
      <c r="M3014" s="5" t="s">
        <v>45</v>
      </c>
      <c r="N3014" s="5" t="s">
        <v>80</v>
      </c>
      <c r="O3014" s="5" t="s">
        <v>46</v>
      </c>
      <c r="P3014" s="7" t="s">
        <v>146</v>
      </c>
      <c r="Q3014" s="7" t="s">
        <v>10940</v>
      </c>
      <c r="R3014" s="7" t="s">
        <v>568</v>
      </c>
      <c r="S3014" s="5">
        <v>0</v>
      </c>
      <c r="T3014" s="36">
        <v>0</v>
      </c>
      <c r="U3014" s="5">
        <v>0</v>
      </c>
      <c r="V3014" s="36">
        <v>0</v>
      </c>
      <c r="W3014" s="5">
        <v>0</v>
      </c>
      <c r="X3014" s="5">
        <v>0</v>
      </c>
      <c r="Y3014" s="5">
        <v>0</v>
      </c>
      <c r="Z3014" s="36">
        <v>0</v>
      </c>
      <c r="AA3014" s="5">
        <v>0</v>
      </c>
      <c r="AB3014" s="5">
        <v>0</v>
      </c>
      <c r="AC3014" s="5">
        <v>0</v>
      </c>
      <c r="AD3014" s="5">
        <v>0</v>
      </c>
      <c r="AE3014" s="7" t="s">
        <v>73</v>
      </c>
      <c r="AF3014" s="7"/>
      <c r="AG3014" s="7" t="s">
        <v>570</v>
      </c>
      <c r="AH3014" s="7">
        <v>43763</v>
      </c>
      <c r="AI3014" s="5">
        <v>0</v>
      </c>
      <c r="AJ3014" s="7" t="s">
        <v>17055</v>
      </c>
      <c r="AK3014" s="7" t="s">
        <v>1215</v>
      </c>
    </row>
    <row r="3015" spans="1:37" ht="36.75" customHeight="1" x14ac:dyDescent="0.35">
      <c r="A3015" s="5"/>
      <c r="B3015" s="5" t="s">
        <v>37</v>
      </c>
      <c r="C3015" s="73" t="str">
        <f t="shared" si="47"/>
        <v>Closed</v>
      </c>
      <c r="D3015" s="45" t="s">
        <v>17056</v>
      </c>
      <c r="E3015" s="54" t="s">
        <v>17057</v>
      </c>
      <c r="F3015" s="5" t="s">
        <v>1553</v>
      </c>
      <c r="G3015" s="7">
        <f>DATE(2019,10,27)</f>
        <v>43765</v>
      </c>
      <c r="H3015" s="34">
        <v>1.8333333333333335</v>
      </c>
      <c r="I3015" s="5" t="s">
        <v>106</v>
      </c>
      <c r="J3015" s="7" t="s">
        <v>17058</v>
      </c>
      <c r="K3015" s="5" t="s">
        <v>1555</v>
      </c>
      <c r="L3015" s="5" t="s">
        <v>17059</v>
      </c>
      <c r="M3015" s="5" t="s">
        <v>45</v>
      </c>
      <c r="N3015" s="5" t="s">
        <v>123</v>
      </c>
      <c r="O3015" s="5" t="s">
        <v>59</v>
      </c>
      <c r="P3015" s="7" t="s">
        <v>60</v>
      </c>
      <c r="Q3015" s="7" t="s">
        <v>9053</v>
      </c>
      <c r="R3015" s="7" t="s">
        <v>6413</v>
      </c>
      <c r="S3015" s="5">
        <v>0</v>
      </c>
      <c r="T3015" s="36">
        <v>0</v>
      </c>
      <c r="U3015" s="5">
        <v>0</v>
      </c>
      <c r="V3015" s="36">
        <v>0</v>
      </c>
      <c r="W3015" s="5">
        <v>0</v>
      </c>
      <c r="X3015" s="5">
        <v>0</v>
      </c>
      <c r="Y3015" s="5">
        <v>0</v>
      </c>
      <c r="Z3015" s="36">
        <v>0</v>
      </c>
      <c r="AA3015" s="5">
        <v>0</v>
      </c>
      <c r="AB3015" s="5">
        <v>0</v>
      </c>
      <c r="AC3015" s="5">
        <v>0</v>
      </c>
      <c r="AD3015" s="5">
        <v>0</v>
      </c>
      <c r="AE3015" s="7" t="s">
        <v>73</v>
      </c>
      <c r="AF3015" s="7"/>
      <c r="AG3015" s="7" t="s">
        <v>114</v>
      </c>
      <c r="AH3015" s="7">
        <v>43768</v>
      </c>
      <c r="AI3015" s="5">
        <v>1</v>
      </c>
      <c r="AJ3015" s="7" t="s">
        <v>17060</v>
      </c>
      <c r="AK3015" s="7" t="s">
        <v>17061</v>
      </c>
    </row>
    <row r="3016" spans="1:37" ht="36.75" customHeight="1" x14ac:dyDescent="0.35">
      <c r="A3016" s="23" t="s">
        <v>4890</v>
      </c>
      <c r="B3016" s="5" t="s">
        <v>37</v>
      </c>
      <c r="C3016" s="73" t="str">
        <f t="shared" si="47"/>
        <v>Closed</v>
      </c>
      <c r="D3016" s="45" t="s">
        <v>17062</v>
      </c>
      <c r="E3016" s="54" t="s">
        <v>17063</v>
      </c>
      <c r="F3016" s="5" t="s">
        <v>2316</v>
      </c>
      <c r="G3016" s="7">
        <f>DATE(2019,10,28)</f>
        <v>43766</v>
      </c>
      <c r="H3016" s="110">
        <v>1.5381944444444444</v>
      </c>
      <c r="I3016" s="5" t="s">
        <v>259</v>
      </c>
      <c r="J3016" s="7" t="s">
        <v>17064</v>
      </c>
      <c r="K3016" s="5" t="s">
        <v>2318</v>
      </c>
      <c r="L3016" s="5" t="s">
        <v>17065</v>
      </c>
      <c r="M3016" s="5" t="s">
        <v>45</v>
      </c>
      <c r="N3016" s="5" t="s">
        <v>123</v>
      </c>
      <c r="O3016" s="5" t="s">
        <v>59</v>
      </c>
      <c r="P3016" s="7" t="s">
        <v>47</v>
      </c>
      <c r="Q3016" s="7" t="s">
        <v>2925</v>
      </c>
      <c r="R3016" s="7" t="s">
        <v>2321</v>
      </c>
      <c r="S3016" s="5">
        <v>0</v>
      </c>
      <c r="T3016" s="38">
        <v>1</v>
      </c>
      <c r="U3016" s="5">
        <v>0</v>
      </c>
      <c r="V3016" s="38">
        <v>0</v>
      </c>
      <c r="W3016" s="5">
        <v>0</v>
      </c>
      <c r="X3016" s="5">
        <v>1</v>
      </c>
      <c r="Y3016" s="5">
        <v>0</v>
      </c>
      <c r="Z3016" s="38">
        <v>0</v>
      </c>
      <c r="AA3016" s="5">
        <v>0</v>
      </c>
      <c r="AB3016" s="5">
        <v>0</v>
      </c>
      <c r="AC3016" s="5">
        <v>0</v>
      </c>
      <c r="AD3016" s="5">
        <v>0</v>
      </c>
      <c r="AE3016" s="5" t="s">
        <v>73</v>
      </c>
      <c r="AF3016" s="7"/>
      <c r="AG3016" s="5" t="s">
        <v>64</v>
      </c>
      <c r="AH3016" s="7">
        <v>43773</v>
      </c>
      <c r="AI3016" s="5">
        <v>7</v>
      </c>
      <c r="AJ3016" s="7" t="s">
        <v>50</v>
      </c>
      <c r="AK3016" s="7" t="s">
        <v>50</v>
      </c>
    </row>
    <row r="3017" spans="1:37" ht="36.75" customHeight="1" x14ac:dyDescent="0.35">
      <c r="A3017" s="23" t="s">
        <v>4890</v>
      </c>
      <c r="B3017" s="5" t="s">
        <v>37</v>
      </c>
      <c r="C3017" s="73" t="str">
        <f t="shared" si="47"/>
        <v>Closed</v>
      </c>
      <c r="D3017" s="45" t="s">
        <v>17066</v>
      </c>
      <c r="E3017" s="54" t="s">
        <v>17067</v>
      </c>
      <c r="F3017" s="5" t="s">
        <v>404</v>
      </c>
      <c r="G3017" s="7">
        <f>DATE(2019,11,3)</f>
        <v>43772</v>
      </c>
      <c r="H3017" s="34">
        <v>1.6680555555555556</v>
      </c>
      <c r="I3017" s="5" t="s">
        <v>55</v>
      </c>
      <c r="J3017" s="7" t="s">
        <v>17068</v>
      </c>
      <c r="K3017" s="5" t="s">
        <v>406</v>
      </c>
      <c r="L3017" s="5" t="s">
        <v>17069</v>
      </c>
      <c r="M3017" s="5" t="s">
        <v>45</v>
      </c>
      <c r="N3017" s="5" t="s">
        <v>123</v>
      </c>
      <c r="O3017" s="5" t="s">
        <v>59</v>
      </c>
      <c r="P3017" s="7" t="s">
        <v>60</v>
      </c>
      <c r="Q3017" s="7" t="s">
        <v>2562</v>
      </c>
      <c r="R3017" s="7" t="s">
        <v>3083</v>
      </c>
      <c r="S3017" s="5">
        <v>0</v>
      </c>
      <c r="T3017" s="36">
        <v>0</v>
      </c>
      <c r="U3017" s="5">
        <v>0</v>
      </c>
      <c r="V3017" s="36">
        <v>0</v>
      </c>
      <c r="W3017" s="5">
        <v>0</v>
      </c>
      <c r="X3017" s="5">
        <v>0</v>
      </c>
      <c r="Y3017" s="5">
        <v>0</v>
      </c>
      <c r="Z3017" s="36">
        <v>0</v>
      </c>
      <c r="AA3017" s="5">
        <v>0</v>
      </c>
      <c r="AB3017" s="5">
        <v>0</v>
      </c>
      <c r="AC3017" s="5">
        <v>0</v>
      </c>
      <c r="AD3017" s="5">
        <v>0</v>
      </c>
      <c r="AE3017" s="7" t="s">
        <v>375</v>
      </c>
      <c r="AF3017" s="7"/>
      <c r="AG3017" s="7" t="s">
        <v>64</v>
      </c>
      <c r="AH3017" s="7">
        <v>43535</v>
      </c>
      <c r="AI3017" s="5">
        <v>1</v>
      </c>
      <c r="AJ3017" s="7" t="s">
        <v>50</v>
      </c>
      <c r="AK3017" s="7" t="s">
        <v>50</v>
      </c>
    </row>
    <row r="3018" spans="1:37" ht="36.75" customHeight="1" x14ac:dyDescent="0.35">
      <c r="A3018" s="23" t="s">
        <v>4890</v>
      </c>
      <c r="B3018" s="5" t="s">
        <v>37</v>
      </c>
      <c r="C3018" s="73" t="str">
        <f t="shared" si="47"/>
        <v>Closed</v>
      </c>
      <c r="D3018" s="45" t="s">
        <v>17070</v>
      </c>
      <c r="E3018" s="54" t="s">
        <v>17071</v>
      </c>
      <c r="F3018" s="5" t="s">
        <v>404</v>
      </c>
      <c r="G3018" s="7">
        <f>DATE(2019,11,5)</f>
        <v>43774</v>
      </c>
      <c r="H3018" s="34">
        <v>1.59375</v>
      </c>
      <c r="I3018" s="5" t="s">
        <v>2059</v>
      </c>
      <c r="J3018" s="7" t="s">
        <v>17072</v>
      </c>
      <c r="K3018" s="5" t="s">
        <v>406</v>
      </c>
      <c r="L3018" s="5" t="s">
        <v>17073</v>
      </c>
      <c r="M3018" s="5" t="s">
        <v>45</v>
      </c>
      <c r="N3018" s="5" t="s">
        <v>80</v>
      </c>
      <c r="O3018" s="5" t="s">
        <v>46</v>
      </c>
      <c r="P3018" s="7" t="s">
        <v>1893</v>
      </c>
      <c r="Q3018" s="7" t="s">
        <v>10667</v>
      </c>
      <c r="R3018" s="7" t="s">
        <v>3083</v>
      </c>
      <c r="S3018" s="5">
        <v>0</v>
      </c>
      <c r="T3018" s="38">
        <v>0</v>
      </c>
      <c r="U3018" s="5">
        <v>0</v>
      </c>
      <c r="V3018" s="38">
        <v>0</v>
      </c>
      <c r="W3018" s="5">
        <v>0</v>
      </c>
      <c r="X3018" s="5">
        <v>0</v>
      </c>
      <c r="Y3018" s="5">
        <v>0</v>
      </c>
      <c r="Z3018" s="38">
        <v>0</v>
      </c>
      <c r="AA3018" s="5">
        <v>0</v>
      </c>
      <c r="AB3018" s="5">
        <v>0</v>
      </c>
      <c r="AC3018" s="5">
        <v>0</v>
      </c>
      <c r="AD3018" s="5">
        <v>0</v>
      </c>
      <c r="AE3018" s="5" t="s">
        <v>73</v>
      </c>
      <c r="AF3018" s="7"/>
      <c r="AG3018" s="7" t="s">
        <v>114</v>
      </c>
      <c r="AH3018" s="7">
        <v>43596</v>
      </c>
      <c r="AI3018" s="5">
        <v>1</v>
      </c>
      <c r="AJ3018" s="7" t="s">
        <v>50</v>
      </c>
      <c r="AK3018" s="7" t="s">
        <v>50</v>
      </c>
    </row>
    <row r="3019" spans="1:37" ht="36.75" customHeight="1" x14ac:dyDescent="0.35">
      <c r="A3019" s="5"/>
      <c r="B3019" s="5" t="s">
        <v>37</v>
      </c>
      <c r="C3019" s="73" t="str">
        <f t="shared" si="47"/>
        <v>Closed</v>
      </c>
      <c r="D3019" s="45" t="s">
        <v>17074</v>
      </c>
      <c r="E3019" s="54" t="s">
        <v>17075</v>
      </c>
      <c r="F3019" s="5" t="s">
        <v>1553</v>
      </c>
      <c r="G3019" s="7">
        <f>DATE(2019,11,5)</f>
        <v>43774</v>
      </c>
      <c r="H3019" s="34">
        <v>1.8888888888888888</v>
      </c>
      <c r="I3019" s="5" t="s">
        <v>55</v>
      </c>
      <c r="J3019" s="7" t="s">
        <v>17076</v>
      </c>
      <c r="K3019" s="5" t="s">
        <v>1555</v>
      </c>
      <c r="L3019" s="5" t="s">
        <v>17077</v>
      </c>
      <c r="M3019" s="5" t="s">
        <v>45</v>
      </c>
      <c r="N3019" s="5" t="s">
        <v>80</v>
      </c>
      <c r="O3019" s="5" t="s">
        <v>46</v>
      </c>
      <c r="P3019" s="7" t="s">
        <v>60</v>
      </c>
      <c r="Q3019" s="7" t="s">
        <v>4899</v>
      </c>
      <c r="R3019" s="7" t="s">
        <v>6413</v>
      </c>
      <c r="S3019" s="5">
        <v>0</v>
      </c>
      <c r="T3019" s="36">
        <v>0</v>
      </c>
      <c r="U3019" s="5">
        <v>0</v>
      </c>
      <c r="V3019" s="36">
        <v>0</v>
      </c>
      <c r="W3019" s="5">
        <v>0</v>
      </c>
      <c r="X3019" s="5">
        <v>0</v>
      </c>
      <c r="Y3019" s="5">
        <v>0</v>
      </c>
      <c r="Z3019" s="36">
        <v>0</v>
      </c>
      <c r="AA3019" s="5">
        <v>0</v>
      </c>
      <c r="AB3019" s="5">
        <v>0</v>
      </c>
      <c r="AC3019" s="5">
        <v>0</v>
      </c>
      <c r="AD3019" s="5">
        <v>0</v>
      </c>
      <c r="AE3019" s="7" t="s">
        <v>73</v>
      </c>
      <c r="AF3019" s="7"/>
      <c r="AG3019" s="7" t="s">
        <v>114</v>
      </c>
      <c r="AH3019" s="7">
        <v>43775</v>
      </c>
      <c r="AI3019" s="5">
        <v>0</v>
      </c>
      <c r="AJ3019" s="7" t="s">
        <v>17078</v>
      </c>
      <c r="AK3019" s="7" t="s">
        <v>17079</v>
      </c>
    </row>
    <row r="3020" spans="1:37" ht="36.75" customHeight="1" x14ac:dyDescent="0.35">
      <c r="A3020" s="5"/>
      <c r="B3020" s="5" t="s">
        <v>37</v>
      </c>
      <c r="C3020" s="73" t="str">
        <f t="shared" si="47"/>
        <v>Closed</v>
      </c>
      <c r="D3020" s="45" t="s">
        <v>17080</v>
      </c>
      <c r="E3020" s="54" t="s">
        <v>17081</v>
      </c>
      <c r="F3020" s="5" t="s">
        <v>105</v>
      </c>
      <c r="G3020" s="7">
        <f>DATE(2019,11,7)</f>
        <v>43776</v>
      </c>
      <c r="H3020" s="51">
        <v>1.125</v>
      </c>
      <c r="I3020" s="5" t="s">
        <v>55</v>
      </c>
      <c r="J3020" s="7" t="s">
        <v>17082</v>
      </c>
      <c r="K3020" s="5" t="s">
        <v>108</v>
      </c>
      <c r="L3020" s="5" t="s">
        <v>17083</v>
      </c>
      <c r="M3020" s="5" t="s">
        <v>45</v>
      </c>
      <c r="N3020" s="5" t="s">
        <v>70</v>
      </c>
      <c r="O3020" s="5" t="s">
        <v>59</v>
      </c>
      <c r="P3020" s="7" t="s">
        <v>60</v>
      </c>
      <c r="Q3020" s="7" t="s">
        <v>382</v>
      </c>
      <c r="R3020" s="7" t="s">
        <v>148</v>
      </c>
      <c r="S3020" s="5">
        <v>0</v>
      </c>
      <c r="T3020" s="36">
        <v>0</v>
      </c>
      <c r="U3020" s="5">
        <v>0</v>
      </c>
      <c r="V3020" s="36">
        <v>0</v>
      </c>
      <c r="W3020" s="5">
        <v>0</v>
      </c>
      <c r="X3020" s="5">
        <v>0</v>
      </c>
      <c r="Y3020" s="5">
        <v>0</v>
      </c>
      <c r="Z3020" s="36">
        <v>0</v>
      </c>
      <c r="AA3020" s="5">
        <v>0</v>
      </c>
      <c r="AB3020" s="5">
        <v>0</v>
      </c>
      <c r="AC3020" s="5">
        <v>0</v>
      </c>
      <c r="AD3020" s="5">
        <v>0</v>
      </c>
      <c r="AE3020" s="7" t="s">
        <v>375</v>
      </c>
      <c r="AF3020" s="7"/>
      <c r="AG3020" s="9" t="s">
        <v>64</v>
      </c>
      <c r="AH3020" s="7">
        <v>43780</v>
      </c>
      <c r="AI3020" s="5">
        <v>3</v>
      </c>
      <c r="AJ3020" s="7" t="s">
        <v>17084</v>
      </c>
      <c r="AK3020" s="7" t="s">
        <v>50</v>
      </c>
    </row>
    <row r="3021" spans="1:37" ht="36.75" customHeight="1" x14ac:dyDescent="0.35">
      <c r="A3021" s="5"/>
      <c r="B3021" s="5" t="s">
        <v>37</v>
      </c>
      <c r="C3021" s="73" t="str">
        <f t="shared" si="47"/>
        <v>Closed</v>
      </c>
      <c r="D3021" s="45" t="s">
        <v>17085</v>
      </c>
      <c r="E3021" s="54" t="s">
        <v>17086</v>
      </c>
      <c r="F3021" s="5" t="s">
        <v>816</v>
      </c>
      <c r="G3021" s="7">
        <f>DATE(2019,11,11)</f>
        <v>43780</v>
      </c>
      <c r="H3021" s="51">
        <v>1.3958333333333333</v>
      </c>
      <c r="I3021" s="5" t="s">
        <v>55</v>
      </c>
      <c r="J3021" s="7" t="s">
        <v>17087</v>
      </c>
      <c r="K3021" s="5" t="s">
        <v>818</v>
      </c>
      <c r="L3021" s="5" t="s">
        <v>17088</v>
      </c>
      <c r="M3021" s="5" t="s">
        <v>45</v>
      </c>
      <c r="N3021" s="5" t="s">
        <v>70</v>
      </c>
      <c r="O3021" s="5" t="s">
        <v>59</v>
      </c>
      <c r="P3021" s="7" t="s">
        <v>60</v>
      </c>
      <c r="Q3021" s="7" t="s">
        <v>6539</v>
      </c>
      <c r="R3021" s="7" t="s">
        <v>821</v>
      </c>
      <c r="S3021" s="5">
        <v>0</v>
      </c>
      <c r="T3021" s="36">
        <v>0</v>
      </c>
      <c r="U3021" s="5">
        <v>0</v>
      </c>
      <c r="V3021" s="36">
        <v>0</v>
      </c>
      <c r="W3021" s="5">
        <v>0</v>
      </c>
      <c r="X3021" s="5">
        <v>0</v>
      </c>
      <c r="Y3021" s="5">
        <v>0</v>
      </c>
      <c r="Z3021" s="36">
        <v>0</v>
      </c>
      <c r="AA3021" s="5">
        <v>0</v>
      </c>
      <c r="AB3021" s="5">
        <v>0</v>
      </c>
      <c r="AC3021" s="5">
        <v>0</v>
      </c>
      <c r="AD3021" s="5">
        <v>0</v>
      </c>
      <c r="AE3021" s="7" t="s">
        <v>73</v>
      </c>
      <c r="AF3021" s="7"/>
      <c r="AG3021" s="9" t="s">
        <v>333</v>
      </c>
      <c r="AH3021" s="9">
        <v>43780</v>
      </c>
      <c r="AI3021" s="5">
        <v>1</v>
      </c>
      <c r="AJ3021" s="7" t="s">
        <v>17089</v>
      </c>
      <c r="AK3021" s="7" t="s">
        <v>17090</v>
      </c>
    </row>
    <row r="3022" spans="1:37" ht="36.75" customHeight="1" x14ac:dyDescent="0.35">
      <c r="A3022" s="5"/>
      <c r="B3022" s="5" t="s">
        <v>37</v>
      </c>
      <c r="C3022" s="73" t="str">
        <f t="shared" si="47"/>
        <v>Closed</v>
      </c>
      <c r="D3022" s="45" t="s">
        <v>17091</v>
      </c>
      <c r="E3022" s="54" t="s">
        <v>17092</v>
      </c>
      <c r="F3022" s="5" t="s">
        <v>2581</v>
      </c>
      <c r="G3022" s="7">
        <f>DATE(2019,11,12)</f>
        <v>43781</v>
      </c>
      <c r="H3022" s="34">
        <v>1.2805555555555554</v>
      </c>
      <c r="I3022" s="5" t="s">
        <v>97</v>
      </c>
      <c r="J3022" s="7" t="s">
        <v>17093</v>
      </c>
      <c r="K3022" s="5" t="s">
        <v>2583</v>
      </c>
      <c r="L3022" s="5" t="s">
        <v>17094</v>
      </c>
      <c r="M3022" s="5" t="s">
        <v>45</v>
      </c>
      <c r="N3022" s="5" t="s">
        <v>80</v>
      </c>
      <c r="O3022" s="5" t="s">
        <v>46</v>
      </c>
      <c r="P3022" s="7" t="s">
        <v>146</v>
      </c>
      <c r="Q3022" s="7" t="s">
        <v>6321</v>
      </c>
      <c r="R3022" s="7" t="s">
        <v>2586</v>
      </c>
      <c r="S3022" s="5">
        <v>0</v>
      </c>
      <c r="T3022" s="38">
        <v>0</v>
      </c>
      <c r="U3022" s="5">
        <v>1</v>
      </c>
      <c r="V3022" s="38">
        <v>0</v>
      </c>
      <c r="W3022" s="5">
        <v>0</v>
      </c>
      <c r="X3022" s="5">
        <v>1</v>
      </c>
      <c r="Y3022" s="5">
        <v>0</v>
      </c>
      <c r="Z3022" s="38">
        <v>0</v>
      </c>
      <c r="AA3022" s="5">
        <v>2</v>
      </c>
      <c r="AB3022" s="5">
        <v>0</v>
      </c>
      <c r="AC3022" s="5">
        <v>0</v>
      </c>
      <c r="AD3022" s="5">
        <v>2</v>
      </c>
      <c r="AE3022" s="7" t="s">
        <v>73</v>
      </c>
      <c r="AF3022" s="7"/>
      <c r="AG3022" s="7" t="s">
        <v>333</v>
      </c>
      <c r="AH3022" s="7">
        <v>43782</v>
      </c>
      <c r="AI3022" s="5">
        <v>4</v>
      </c>
      <c r="AJ3022" s="7" t="s">
        <v>50</v>
      </c>
      <c r="AK3022" s="7" t="s">
        <v>50</v>
      </c>
    </row>
    <row r="3023" spans="1:37" ht="36.75" customHeight="1" x14ac:dyDescent="0.35">
      <c r="A3023" s="5" t="s">
        <v>4890</v>
      </c>
      <c r="B3023" s="5" t="s">
        <v>37</v>
      </c>
      <c r="C3023" s="73" t="str">
        <f t="shared" si="47"/>
        <v>Closed</v>
      </c>
      <c r="D3023" s="45" t="s">
        <v>17095</v>
      </c>
      <c r="E3023" s="54" t="s">
        <v>17096</v>
      </c>
      <c r="F3023" s="5" t="s">
        <v>214</v>
      </c>
      <c r="G3023" s="7">
        <f>DATE(2019,11,13)</f>
        <v>43782</v>
      </c>
      <c r="H3023" s="34">
        <v>1.9097222222222223</v>
      </c>
      <c r="I3023" s="5" t="s">
        <v>179</v>
      </c>
      <c r="J3023" s="7" t="s">
        <v>17097</v>
      </c>
      <c r="K3023" s="5" t="s">
        <v>216</v>
      </c>
      <c r="L3023" s="5" t="s">
        <v>17098</v>
      </c>
      <c r="M3023" s="5" t="s">
        <v>45</v>
      </c>
      <c r="N3023" s="5" t="s">
        <v>80</v>
      </c>
      <c r="O3023" s="5" t="s">
        <v>6854</v>
      </c>
      <c r="P3023" s="7" t="s">
        <v>146</v>
      </c>
      <c r="Q3023" s="7" t="s">
        <v>1055</v>
      </c>
      <c r="R3023" s="7" t="s">
        <v>216</v>
      </c>
      <c r="S3023" s="5">
        <v>0</v>
      </c>
      <c r="T3023" s="36">
        <v>0</v>
      </c>
      <c r="U3023" s="5">
        <v>0</v>
      </c>
      <c r="V3023" s="36">
        <v>0</v>
      </c>
      <c r="W3023" s="5">
        <v>0</v>
      </c>
      <c r="X3023" s="5">
        <v>0</v>
      </c>
      <c r="Y3023" s="5">
        <v>0</v>
      </c>
      <c r="Z3023" s="36">
        <v>0</v>
      </c>
      <c r="AA3023" s="5">
        <v>0</v>
      </c>
      <c r="AB3023" s="5">
        <v>0</v>
      </c>
      <c r="AC3023" s="5">
        <v>0</v>
      </c>
      <c r="AD3023" s="5">
        <v>0</v>
      </c>
      <c r="AE3023" s="7" t="s">
        <v>73</v>
      </c>
      <c r="AF3023" s="7"/>
      <c r="AG3023" s="7" t="s">
        <v>114</v>
      </c>
      <c r="AH3023" s="7">
        <v>43787</v>
      </c>
      <c r="AI3023" s="5">
        <v>0</v>
      </c>
      <c r="AJ3023" s="7" t="s">
        <v>17099</v>
      </c>
      <c r="AK3023" s="7" t="s">
        <v>17100</v>
      </c>
    </row>
    <row r="3024" spans="1:37" ht="36.75" customHeight="1" x14ac:dyDescent="0.35">
      <c r="A3024" s="5"/>
      <c r="B3024" s="5" t="s">
        <v>37</v>
      </c>
      <c r="C3024" s="73" t="str">
        <f t="shared" si="47"/>
        <v>Closed</v>
      </c>
      <c r="D3024" s="45" t="s">
        <v>17101</v>
      </c>
      <c r="E3024" s="54" t="s">
        <v>17102</v>
      </c>
      <c r="F3024" s="5" t="s">
        <v>816</v>
      </c>
      <c r="G3024" s="7">
        <f>DATE(2019,11,14)</f>
        <v>43783</v>
      </c>
      <c r="H3024" s="34">
        <v>1.5604166666666668</v>
      </c>
      <c r="I3024" s="5" t="s">
        <v>85</v>
      </c>
      <c r="J3024" s="7" t="s">
        <v>17103</v>
      </c>
      <c r="K3024" s="5" t="s">
        <v>818</v>
      </c>
      <c r="L3024" s="5" t="s">
        <v>17104</v>
      </c>
      <c r="M3024" s="5" t="s">
        <v>45</v>
      </c>
      <c r="N3024" s="5" t="s">
        <v>123</v>
      </c>
      <c r="O3024" s="5" t="s">
        <v>59</v>
      </c>
      <c r="P3024" s="7" t="s">
        <v>146</v>
      </c>
      <c r="Q3024" s="7" t="s">
        <v>2142</v>
      </c>
      <c r="R3024" s="7" t="s">
        <v>821</v>
      </c>
      <c r="S3024" s="5">
        <v>0</v>
      </c>
      <c r="T3024" s="36">
        <v>0</v>
      </c>
      <c r="U3024" s="5">
        <v>0</v>
      </c>
      <c r="V3024" s="36">
        <v>0</v>
      </c>
      <c r="W3024" s="5">
        <v>0</v>
      </c>
      <c r="X3024" s="5">
        <v>0</v>
      </c>
      <c r="Y3024" s="5">
        <v>0</v>
      </c>
      <c r="Z3024" s="36">
        <v>0</v>
      </c>
      <c r="AA3024" s="5">
        <v>0</v>
      </c>
      <c r="AB3024" s="5">
        <v>0</v>
      </c>
      <c r="AC3024" s="5">
        <v>0</v>
      </c>
      <c r="AD3024" s="5">
        <v>0</v>
      </c>
      <c r="AE3024" s="7" t="s">
        <v>73</v>
      </c>
      <c r="AF3024" s="7" t="s">
        <v>16920</v>
      </c>
      <c r="AG3024" s="7" t="s">
        <v>13508</v>
      </c>
      <c r="AH3024" s="7">
        <v>43784</v>
      </c>
      <c r="AI3024" s="5">
        <v>0</v>
      </c>
      <c r="AJ3024" s="7" t="s">
        <v>17105</v>
      </c>
      <c r="AK3024" s="7" t="s">
        <v>17106</v>
      </c>
    </row>
    <row r="3025" spans="1:37" ht="36.75" customHeight="1" x14ac:dyDescent="0.35">
      <c r="A3025" s="5"/>
      <c r="B3025" s="5" t="s">
        <v>37</v>
      </c>
      <c r="C3025" s="73" t="str">
        <f t="shared" si="47"/>
        <v>Closed</v>
      </c>
      <c r="D3025" s="45" t="s">
        <v>17107</v>
      </c>
      <c r="E3025" s="54" t="s">
        <v>17108</v>
      </c>
      <c r="F3025" s="5" t="s">
        <v>404</v>
      </c>
      <c r="G3025" s="7">
        <f>DATE(2019,11,18)</f>
        <v>43787</v>
      </c>
      <c r="H3025" s="34">
        <v>1.8055555555555554</v>
      </c>
      <c r="I3025" s="5" t="s">
        <v>85</v>
      </c>
      <c r="J3025" s="7" t="s">
        <v>17109</v>
      </c>
      <c r="K3025" s="5" t="s">
        <v>406</v>
      </c>
      <c r="L3025" s="5" t="s">
        <v>17110</v>
      </c>
      <c r="M3025" s="5" t="s">
        <v>45</v>
      </c>
      <c r="N3025" s="5" t="s">
        <v>80</v>
      </c>
      <c r="O3025" s="5" t="s">
        <v>59</v>
      </c>
      <c r="P3025" s="7" t="s">
        <v>9784</v>
      </c>
      <c r="Q3025" s="7" t="s">
        <v>17111</v>
      </c>
      <c r="R3025" s="7" t="s">
        <v>3083</v>
      </c>
      <c r="S3025" s="5">
        <v>0</v>
      </c>
      <c r="T3025" s="36">
        <v>0</v>
      </c>
      <c r="U3025" s="5">
        <v>0</v>
      </c>
      <c r="V3025" s="36">
        <v>0</v>
      </c>
      <c r="W3025" s="5">
        <v>0</v>
      </c>
      <c r="X3025" s="5">
        <v>0</v>
      </c>
      <c r="Y3025" s="5">
        <v>0</v>
      </c>
      <c r="Z3025" s="36">
        <v>0</v>
      </c>
      <c r="AA3025" s="5">
        <v>0</v>
      </c>
      <c r="AB3025" s="5">
        <v>0</v>
      </c>
      <c r="AC3025" s="5">
        <v>0</v>
      </c>
      <c r="AD3025" s="5">
        <v>0</v>
      </c>
      <c r="AE3025" s="7" t="s">
        <v>73</v>
      </c>
      <c r="AF3025" s="7"/>
      <c r="AG3025" s="7" t="s">
        <v>333</v>
      </c>
      <c r="AH3025" s="7">
        <v>43787</v>
      </c>
      <c r="AI3025" s="5">
        <v>0</v>
      </c>
      <c r="AJ3025" s="7" t="s">
        <v>17112</v>
      </c>
      <c r="AK3025" s="7" t="s">
        <v>17113</v>
      </c>
    </row>
    <row r="3026" spans="1:37" ht="36.75" customHeight="1" x14ac:dyDescent="0.35">
      <c r="A3026" s="5"/>
      <c r="B3026" s="5" t="s">
        <v>37</v>
      </c>
      <c r="C3026" s="73" t="str">
        <f t="shared" si="47"/>
        <v>Closed</v>
      </c>
      <c r="D3026" s="45" t="s">
        <v>17114</v>
      </c>
      <c r="E3026" s="54" t="s">
        <v>17115</v>
      </c>
      <c r="F3026" s="5" t="s">
        <v>1553</v>
      </c>
      <c r="G3026" s="7">
        <f>DATE(2019,11,19)</f>
        <v>43788</v>
      </c>
      <c r="H3026" s="34">
        <v>1.5798611111111112</v>
      </c>
      <c r="I3026" s="5" t="s">
        <v>55</v>
      </c>
      <c r="J3026" s="7" t="s">
        <v>17116</v>
      </c>
      <c r="K3026" s="5" t="s">
        <v>1555</v>
      </c>
      <c r="L3026" s="5" t="s">
        <v>17117</v>
      </c>
      <c r="M3026" s="5" t="s">
        <v>45</v>
      </c>
      <c r="N3026" s="5" t="s">
        <v>123</v>
      </c>
      <c r="O3026" s="5" t="s">
        <v>59</v>
      </c>
      <c r="P3026" s="7" t="s">
        <v>6920</v>
      </c>
      <c r="Q3026" s="7" t="s">
        <v>1555</v>
      </c>
      <c r="R3026" s="7" t="s">
        <v>6413</v>
      </c>
      <c r="S3026" s="5">
        <v>0</v>
      </c>
      <c r="T3026" s="36">
        <v>0</v>
      </c>
      <c r="U3026" s="5">
        <v>0</v>
      </c>
      <c r="V3026" s="36">
        <v>0</v>
      </c>
      <c r="W3026" s="5">
        <v>0</v>
      </c>
      <c r="X3026" s="5">
        <v>0</v>
      </c>
      <c r="Y3026" s="5">
        <v>0</v>
      </c>
      <c r="Z3026" s="36">
        <v>0</v>
      </c>
      <c r="AA3026" s="5">
        <v>0</v>
      </c>
      <c r="AB3026" s="5">
        <v>0</v>
      </c>
      <c r="AC3026" s="5">
        <v>0</v>
      </c>
      <c r="AD3026" s="5">
        <v>0</v>
      </c>
      <c r="AE3026" s="7" t="s">
        <v>73</v>
      </c>
      <c r="AF3026" s="7"/>
      <c r="AG3026" s="7" t="s">
        <v>114</v>
      </c>
      <c r="AH3026" s="7">
        <v>43790</v>
      </c>
      <c r="AI3026" s="5">
        <v>0</v>
      </c>
      <c r="AJ3026" s="7" t="s">
        <v>17118</v>
      </c>
      <c r="AK3026" s="7" t="s">
        <v>17119</v>
      </c>
    </row>
    <row r="3027" spans="1:37" ht="36.75" customHeight="1" x14ac:dyDescent="0.35">
      <c r="A3027" s="5"/>
      <c r="B3027" s="5" t="s">
        <v>37</v>
      </c>
      <c r="C3027" s="73" t="str">
        <f t="shared" si="47"/>
        <v>Closed</v>
      </c>
      <c r="D3027" s="45" t="s">
        <v>17120</v>
      </c>
      <c r="E3027" s="54" t="s">
        <v>17121</v>
      </c>
      <c r="F3027" s="5" t="s">
        <v>6434</v>
      </c>
      <c r="G3027" s="7">
        <f>DATE(2019,11,22)</f>
        <v>43791</v>
      </c>
      <c r="H3027" s="34">
        <v>1.6736111111111112</v>
      </c>
      <c r="I3027" s="5" t="s">
        <v>55</v>
      </c>
      <c r="J3027" s="7" t="s">
        <v>17122</v>
      </c>
      <c r="K3027" s="5" t="s">
        <v>565</v>
      </c>
      <c r="L3027" s="5" t="s">
        <v>17123</v>
      </c>
      <c r="M3027" s="5" t="s">
        <v>45</v>
      </c>
      <c r="N3027" s="5" t="s">
        <v>123</v>
      </c>
      <c r="O3027" s="5" t="s">
        <v>59</v>
      </c>
      <c r="P3027" s="7" t="s">
        <v>146</v>
      </c>
      <c r="Q3027" s="7" t="s">
        <v>17124</v>
      </c>
      <c r="R3027" s="7" t="s">
        <v>9830</v>
      </c>
      <c r="S3027" s="5">
        <v>0</v>
      </c>
      <c r="T3027" s="36">
        <v>0</v>
      </c>
      <c r="U3027" s="5">
        <v>0</v>
      </c>
      <c r="V3027" s="36">
        <v>0</v>
      </c>
      <c r="W3027" s="5">
        <v>0</v>
      </c>
      <c r="X3027" s="5">
        <v>0</v>
      </c>
      <c r="Y3027" s="5">
        <v>0</v>
      </c>
      <c r="Z3027" s="36">
        <v>0</v>
      </c>
      <c r="AA3027" s="5">
        <v>0</v>
      </c>
      <c r="AB3027" s="5">
        <v>0</v>
      </c>
      <c r="AC3027" s="5">
        <v>0</v>
      </c>
      <c r="AD3027" s="5">
        <v>0</v>
      </c>
      <c r="AE3027" s="7" t="s">
        <v>126</v>
      </c>
      <c r="AF3027" s="7" t="s">
        <v>17125</v>
      </c>
      <c r="AG3027" s="7" t="s">
        <v>8837</v>
      </c>
      <c r="AH3027" s="7">
        <v>43794</v>
      </c>
      <c r="AI3027" s="5">
        <v>0</v>
      </c>
      <c r="AJ3027" s="7" t="s">
        <v>17126</v>
      </c>
      <c r="AK3027" s="7" t="s">
        <v>50</v>
      </c>
    </row>
    <row r="3028" spans="1:37" ht="36.75" customHeight="1" x14ac:dyDescent="0.35">
      <c r="A3028" s="5" t="s">
        <v>4890</v>
      </c>
      <c r="B3028" s="5" t="s">
        <v>37</v>
      </c>
      <c r="C3028" s="73" t="str">
        <f t="shared" si="47"/>
        <v>Closed</v>
      </c>
      <c r="D3028" s="45" t="s">
        <v>17127</v>
      </c>
      <c r="E3028" s="54" t="s">
        <v>17128</v>
      </c>
      <c r="F3028" s="5" t="s">
        <v>214</v>
      </c>
      <c r="G3028" s="7">
        <f>DATE(2019,11,24)</f>
        <v>43793</v>
      </c>
      <c r="H3028" s="34">
        <v>1.8263888888888888</v>
      </c>
      <c r="I3028" s="5" t="s">
        <v>2398</v>
      </c>
      <c r="J3028" s="7" t="s">
        <v>17129</v>
      </c>
      <c r="K3028" s="5" t="s">
        <v>216</v>
      </c>
      <c r="L3028" s="5" t="s">
        <v>17130</v>
      </c>
      <c r="M3028" s="5" t="s">
        <v>45</v>
      </c>
      <c r="N3028" s="5" t="s">
        <v>123</v>
      </c>
      <c r="O3028" s="5" t="s">
        <v>67</v>
      </c>
      <c r="P3028" s="7" t="s">
        <v>146</v>
      </c>
      <c r="Q3028" s="7" t="s">
        <v>699</v>
      </c>
      <c r="R3028" s="7" t="s">
        <v>216</v>
      </c>
      <c r="S3028" s="5">
        <v>0</v>
      </c>
      <c r="T3028" s="36">
        <v>0</v>
      </c>
      <c r="U3028" s="5">
        <v>0</v>
      </c>
      <c r="V3028" s="36">
        <v>0</v>
      </c>
      <c r="W3028" s="5">
        <v>0</v>
      </c>
      <c r="X3028" s="5">
        <v>0</v>
      </c>
      <c r="Y3028" s="5">
        <v>0</v>
      </c>
      <c r="Z3028" s="36">
        <v>0</v>
      </c>
      <c r="AA3028" s="5">
        <v>0</v>
      </c>
      <c r="AB3028" s="5">
        <v>0</v>
      </c>
      <c r="AC3028" s="5">
        <v>0</v>
      </c>
      <c r="AD3028" s="5">
        <v>0</v>
      </c>
      <c r="AE3028" s="7" t="s">
        <v>73</v>
      </c>
      <c r="AF3028" s="7"/>
      <c r="AG3028" s="7" t="s">
        <v>114</v>
      </c>
      <c r="AH3028" s="7">
        <v>43801</v>
      </c>
      <c r="AI3028" s="5">
        <v>0</v>
      </c>
      <c r="AJ3028" s="7" t="s">
        <v>50</v>
      </c>
      <c r="AK3028" s="7" t="s">
        <v>50</v>
      </c>
    </row>
    <row r="3029" spans="1:37" ht="36.75" customHeight="1" x14ac:dyDescent="0.35">
      <c r="A3029" s="5"/>
      <c r="B3029" s="5" t="s">
        <v>37</v>
      </c>
      <c r="C3029" s="73" t="str">
        <f t="shared" si="47"/>
        <v>Closed</v>
      </c>
      <c r="D3029" s="45" t="s">
        <v>17131</v>
      </c>
      <c r="E3029" s="54" t="s">
        <v>17132</v>
      </c>
      <c r="F3029" s="5" t="s">
        <v>1553</v>
      </c>
      <c r="G3029" s="7">
        <f>DATE(2019,11,26)</f>
        <v>43795</v>
      </c>
      <c r="H3029" s="34">
        <v>1.6930555555555555</v>
      </c>
      <c r="I3029" s="5" t="s">
        <v>106</v>
      </c>
      <c r="J3029" s="7" t="s">
        <v>17133</v>
      </c>
      <c r="K3029" s="5" t="s">
        <v>1555</v>
      </c>
      <c r="L3029" s="5" t="s">
        <v>17134</v>
      </c>
      <c r="M3029" s="5" t="s">
        <v>45</v>
      </c>
      <c r="N3029" s="5" t="s">
        <v>123</v>
      </c>
      <c r="O3029" s="5" t="s">
        <v>46</v>
      </c>
      <c r="P3029" s="7" t="s">
        <v>6920</v>
      </c>
      <c r="Q3029" s="7" t="s">
        <v>2393</v>
      </c>
      <c r="R3029" s="7" t="s">
        <v>6413</v>
      </c>
      <c r="S3029" s="5">
        <v>0</v>
      </c>
      <c r="T3029" s="36">
        <v>0</v>
      </c>
      <c r="U3029" s="5">
        <v>0</v>
      </c>
      <c r="V3029" s="36">
        <v>0</v>
      </c>
      <c r="W3029" s="5">
        <v>0</v>
      </c>
      <c r="X3029" s="5">
        <v>0</v>
      </c>
      <c r="Y3029" s="5">
        <v>0</v>
      </c>
      <c r="Z3029" s="36">
        <v>0</v>
      </c>
      <c r="AA3029" s="5">
        <v>0</v>
      </c>
      <c r="AB3029" s="5">
        <v>0</v>
      </c>
      <c r="AC3029" s="5">
        <v>0</v>
      </c>
      <c r="AD3029" s="5">
        <v>0</v>
      </c>
      <c r="AE3029" s="7" t="s">
        <v>375</v>
      </c>
      <c r="AF3029" s="7"/>
      <c r="AG3029" s="7" t="s">
        <v>114</v>
      </c>
      <c r="AH3029" s="7">
        <v>43797</v>
      </c>
      <c r="AI3029" s="5">
        <v>0</v>
      </c>
      <c r="AJ3029" s="7" t="s">
        <v>17135</v>
      </c>
      <c r="AK3029" s="7" t="s">
        <v>17136</v>
      </c>
    </row>
    <row r="3030" spans="1:37" ht="36.75" customHeight="1" x14ac:dyDescent="0.35">
      <c r="A3030" s="5"/>
      <c r="B3030" s="5" t="s">
        <v>37</v>
      </c>
      <c r="C3030" s="73" t="str">
        <f t="shared" si="47"/>
        <v>Closed</v>
      </c>
      <c r="D3030" s="45" t="s">
        <v>17137</v>
      </c>
      <c r="E3030" s="54" t="s">
        <v>17138</v>
      </c>
      <c r="F3030" s="5" t="s">
        <v>404</v>
      </c>
      <c r="G3030" s="7">
        <f>DATE(2019,11,27)</f>
        <v>43796</v>
      </c>
      <c r="H3030" s="34">
        <v>1.8368055555555554</v>
      </c>
      <c r="I3030" s="5" t="s">
        <v>85</v>
      </c>
      <c r="J3030" s="7" t="s">
        <v>17139</v>
      </c>
      <c r="K3030" s="5" t="s">
        <v>406</v>
      </c>
      <c r="L3030" s="5" t="s">
        <v>17140</v>
      </c>
      <c r="M3030" s="5" t="s">
        <v>45</v>
      </c>
      <c r="N3030" s="5" t="s">
        <v>70</v>
      </c>
      <c r="O3030" s="5" t="s">
        <v>59</v>
      </c>
      <c r="P3030" s="7" t="s">
        <v>534</v>
      </c>
      <c r="Q3030" s="7" t="s">
        <v>5031</v>
      </c>
      <c r="R3030" s="7" t="s">
        <v>3083</v>
      </c>
      <c r="S3030" s="5">
        <v>0</v>
      </c>
      <c r="T3030" s="36">
        <v>0</v>
      </c>
      <c r="U3030" s="5">
        <v>0</v>
      </c>
      <c r="V3030" s="36">
        <v>0</v>
      </c>
      <c r="W3030" s="5">
        <v>0</v>
      </c>
      <c r="X3030" s="5">
        <v>0</v>
      </c>
      <c r="Y3030" s="5">
        <v>0</v>
      </c>
      <c r="Z3030" s="36">
        <v>0</v>
      </c>
      <c r="AA3030" s="5">
        <v>0</v>
      </c>
      <c r="AB3030" s="5">
        <v>0</v>
      </c>
      <c r="AC3030" s="5">
        <v>0</v>
      </c>
      <c r="AD3030" s="5">
        <v>0</v>
      </c>
      <c r="AE3030" s="7" t="s">
        <v>73</v>
      </c>
      <c r="AF3030" s="7"/>
      <c r="AG3030" s="7" t="s">
        <v>333</v>
      </c>
      <c r="AH3030" s="7">
        <v>43796</v>
      </c>
      <c r="AI3030" s="5">
        <v>1</v>
      </c>
      <c r="AJ3030" s="7" t="s">
        <v>17141</v>
      </c>
      <c r="AK3030" s="7" t="s">
        <v>17142</v>
      </c>
    </row>
    <row r="3031" spans="1:37" ht="36.75" customHeight="1" x14ac:dyDescent="0.35">
      <c r="A3031" s="5"/>
      <c r="B3031" s="5" t="s">
        <v>37</v>
      </c>
      <c r="C3031" s="73" t="str">
        <f t="shared" si="47"/>
        <v>Closed</v>
      </c>
      <c r="D3031" s="45" t="s">
        <v>17143</v>
      </c>
      <c r="E3031" s="54" t="s">
        <v>17144</v>
      </c>
      <c r="F3031" s="5" t="s">
        <v>816</v>
      </c>
      <c r="G3031" s="7">
        <f>DATE(2019,11,28)</f>
        <v>43797</v>
      </c>
      <c r="H3031" s="34">
        <v>1.9354166666666668</v>
      </c>
      <c r="I3031" s="5" t="s">
        <v>85</v>
      </c>
      <c r="J3031" s="7" t="s">
        <v>17145</v>
      </c>
      <c r="K3031" s="5" t="s">
        <v>818</v>
      </c>
      <c r="L3031" s="5" t="s">
        <v>17146</v>
      </c>
      <c r="M3031" s="5" t="s">
        <v>45</v>
      </c>
      <c r="N3031" s="5" t="s">
        <v>123</v>
      </c>
      <c r="O3031" s="5" t="s">
        <v>59</v>
      </c>
      <c r="P3031" s="7" t="s">
        <v>60</v>
      </c>
      <c r="Q3031" s="7" t="s">
        <v>4688</v>
      </c>
      <c r="R3031" s="7" t="s">
        <v>4688</v>
      </c>
      <c r="S3031" s="5">
        <v>0</v>
      </c>
      <c r="T3031" s="36">
        <v>0</v>
      </c>
      <c r="U3031" s="5">
        <v>0</v>
      </c>
      <c r="V3031" s="36">
        <v>0</v>
      </c>
      <c r="W3031" s="5">
        <v>0</v>
      </c>
      <c r="X3031" s="5">
        <v>0</v>
      </c>
      <c r="Y3031" s="5">
        <v>0</v>
      </c>
      <c r="Z3031" s="36">
        <v>0</v>
      </c>
      <c r="AA3031" s="5">
        <v>0</v>
      </c>
      <c r="AB3031" s="5">
        <v>0</v>
      </c>
      <c r="AC3031" s="5">
        <v>0</v>
      </c>
      <c r="AD3031" s="5">
        <v>0</v>
      </c>
      <c r="AE3031" s="7" t="s">
        <v>73</v>
      </c>
      <c r="AF3031" s="7"/>
      <c r="AG3031" s="7" t="s">
        <v>7474</v>
      </c>
      <c r="AH3031" s="7">
        <v>43798</v>
      </c>
      <c r="AI3031" s="5">
        <v>0</v>
      </c>
      <c r="AJ3031" s="7" t="s">
        <v>17147</v>
      </c>
      <c r="AK3031" s="7" t="s">
        <v>17148</v>
      </c>
    </row>
    <row r="3032" spans="1:37" ht="36.75" customHeight="1" x14ac:dyDescent="0.35">
      <c r="A3032" s="23" t="s">
        <v>4890</v>
      </c>
      <c r="B3032" s="5" t="s">
        <v>37</v>
      </c>
      <c r="C3032" s="73" t="str">
        <f t="shared" si="47"/>
        <v>Closed</v>
      </c>
      <c r="D3032" s="45" t="s">
        <v>17149</v>
      </c>
      <c r="E3032" s="54" t="s">
        <v>17150</v>
      </c>
      <c r="F3032" s="5" t="s">
        <v>9767</v>
      </c>
      <c r="G3032" s="7">
        <f>DATE(2019,12,3)</f>
        <v>43802</v>
      </c>
      <c r="H3032" s="34">
        <v>1.2569444444444444</v>
      </c>
      <c r="I3032" s="5" t="s">
        <v>55</v>
      </c>
      <c r="J3032" s="7" t="s">
        <v>17151</v>
      </c>
      <c r="K3032" s="5" t="s">
        <v>9769</v>
      </c>
      <c r="L3032" s="5" t="s">
        <v>17152</v>
      </c>
      <c r="M3032" s="5" t="s">
        <v>45</v>
      </c>
      <c r="N3032" s="5" t="s">
        <v>123</v>
      </c>
      <c r="O3032" s="5" t="s">
        <v>59</v>
      </c>
      <c r="P3032" s="7" t="s">
        <v>6920</v>
      </c>
      <c r="Q3032" s="7" t="s">
        <v>9938</v>
      </c>
      <c r="R3032" s="7" t="s">
        <v>9772</v>
      </c>
      <c r="S3032" s="5">
        <v>0</v>
      </c>
      <c r="T3032" s="38">
        <v>0</v>
      </c>
      <c r="U3032" s="5">
        <v>0</v>
      </c>
      <c r="V3032" s="38">
        <v>0</v>
      </c>
      <c r="W3032" s="5">
        <v>0</v>
      </c>
      <c r="X3032" s="5">
        <v>0</v>
      </c>
      <c r="Y3032" s="5">
        <v>0</v>
      </c>
      <c r="Z3032" s="38">
        <v>0</v>
      </c>
      <c r="AA3032" s="5">
        <v>0</v>
      </c>
      <c r="AB3032" s="5">
        <v>0</v>
      </c>
      <c r="AC3032" s="5">
        <v>0</v>
      </c>
      <c r="AD3032" s="5">
        <v>0</v>
      </c>
      <c r="AE3032" s="7" t="s">
        <v>73</v>
      </c>
      <c r="AF3032" s="7"/>
      <c r="AG3032" s="7" t="s">
        <v>570</v>
      </c>
      <c r="AH3032" s="7">
        <v>43803</v>
      </c>
      <c r="AI3032" s="5">
        <v>1</v>
      </c>
      <c r="AJ3032" s="7" t="s">
        <v>17153</v>
      </c>
      <c r="AK3032" s="7" t="s">
        <v>17154</v>
      </c>
    </row>
    <row r="3033" spans="1:37" ht="36.75" customHeight="1" x14ac:dyDescent="0.35">
      <c r="A3033" s="23" t="s">
        <v>4890</v>
      </c>
      <c r="B3033" s="5" t="s">
        <v>37</v>
      </c>
      <c r="C3033" s="73" t="str">
        <f t="shared" si="47"/>
        <v>Closed</v>
      </c>
      <c r="D3033" s="45" t="s">
        <v>17155</v>
      </c>
      <c r="E3033" s="54" t="s">
        <v>17156</v>
      </c>
      <c r="F3033" s="5" t="s">
        <v>105</v>
      </c>
      <c r="G3033" s="7">
        <f>DATE(2019,12,7)</f>
        <v>43806</v>
      </c>
      <c r="H3033" s="34">
        <v>1.6694444444444443</v>
      </c>
      <c r="I3033" s="5" t="s">
        <v>137</v>
      </c>
      <c r="J3033" s="7" t="s">
        <v>17157</v>
      </c>
      <c r="K3033" s="5" t="s">
        <v>108</v>
      </c>
      <c r="L3033" s="5" t="s">
        <v>17158</v>
      </c>
      <c r="M3033" s="5" t="s">
        <v>45</v>
      </c>
      <c r="N3033" s="5" t="s">
        <v>80</v>
      </c>
      <c r="O3033" s="5" t="s">
        <v>46</v>
      </c>
      <c r="P3033" s="7" t="s">
        <v>60</v>
      </c>
      <c r="Q3033" s="7" t="s">
        <v>382</v>
      </c>
      <c r="R3033" s="7" t="s">
        <v>148</v>
      </c>
      <c r="S3033" s="5">
        <v>0</v>
      </c>
      <c r="T3033" s="38">
        <v>1</v>
      </c>
      <c r="U3033" s="5">
        <v>0</v>
      </c>
      <c r="V3033" s="38">
        <v>0</v>
      </c>
      <c r="W3033" s="5">
        <v>0</v>
      </c>
      <c r="X3033" s="5">
        <v>1</v>
      </c>
      <c r="Y3033" s="5">
        <v>0</v>
      </c>
      <c r="Z3033" s="38">
        <v>0</v>
      </c>
      <c r="AA3033" s="5">
        <v>0</v>
      </c>
      <c r="AB3033" s="5">
        <v>0</v>
      </c>
      <c r="AC3033" s="5">
        <v>0</v>
      </c>
      <c r="AD3033" s="5">
        <v>0</v>
      </c>
      <c r="AE3033" s="7" t="s">
        <v>375</v>
      </c>
      <c r="AF3033" s="7"/>
      <c r="AG3033" s="7" t="s">
        <v>64</v>
      </c>
      <c r="AH3033" s="7">
        <v>43810</v>
      </c>
      <c r="AI3033" s="5">
        <v>2</v>
      </c>
      <c r="AJ3033" s="7" t="s">
        <v>50</v>
      </c>
      <c r="AK3033" s="7" t="s">
        <v>50</v>
      </c>
    </row>
    <row r="3034" spans="1:37" ht="36.75" customHeight="1" x14ac:dyDescent="0.35">
      <c r="A3034" s="23" t="s">
        <v>4890</v>
      </c>
      <c r="B3034" s="5" t="s">
        <v>37</v>
      </c>
      <c r="C3034" s="73" t="str">
        <f t="shared" si="47"/>
        <v>Closed</v>
      </c>
      <c r="D3034" s="45" t="s">
        <v>17159</v>
      </c>
      <c r="E3034" s="54" t="s">
        <v>17160</v>
      </c>
      <c r="F3034" s="5" t="s">
        <v>404</v>
      </c>
      <c r="G3034" s="7">
        <f>DATE(2019,12,9)</f>
        <v>43808</v>
      </c>
      <c r="H3034" s="34">
        <v>1.3770833333333334</v>
      </c>
      <c r="I3034" s="5" t="s">
        <v>137</v>
      </c>
      <c r="J3034" s="7" t="s">
        <v>17161</v>
      </c>
      <c r="K3034" s="5" t="s">
        <v>406</v>
      </c>
      <c r="L3034" s="5" t="s">
        <v>17162</v>
      </c>
      <c r="M3034" s="5" t="s">
        <v>45</v>
      </c>
      <c r="N3034" s="5" t="s">
        <v>123</v>
      </c>
      <c r="O3034" s="5" t="s">
        <v>59</v>
      </c>
      <c r="P3034" s="7" t="s">
        <v>47</v>
      </c>
      <c r="Q3034" s="7" t="s">
        <v>4531</v>
      </c>
      <c r="R3034" s="7" t="s">
        <v>3083</v>
      </c>
      <c r="S3034" s="5">
        <v>0</v>
      </c>
      <c r="T3034" s="36">
        <v>0</v>
      </c>
      <c r="U3034" s="5">
        <v>0</v>
      </c>
      <c r="V3034" s="36">
        <v>0</v>
      </c>
      <c r="W3034" s="5">
        <v>0</v>
      </c>
      <c r="X3034" s="5">
        <v>0</v>
      </c>
      <c r="Y3034" s="5">
        <v>0</v>
      </c>
      <c r="Z3034" s="36">
        <v>0</v>
      </c>
      <c r="AA3034" s="5">
        <v>0</v>
      </c>
      <c r="AB3034" s="5">
        <v>0</v>
      </c>
      <c r="AC3034" s="5">
        <v>0</v>
      </c>
      <c r="AD3034" s="5">
        <v>0</v>
      </c>
      <c r="AE3034" s="7" t="s">
        <v>375</v>
      </c>
      <c r="AF3034" s="7"/>
      <c r="AG3034" s="7" t="s">
        <v>64</v>
      </c>
      <c r="AH3034" s="7">
        <v>43781</v>
      </c>
      <c r="AI3034" s="5">
        <v>1</v>
      </c>
      <c r="AJ3034" s="7" t="s">
        <v>50</v>
      </c>
      <c r="AK3034" s="7" t="s">
        <v>50</v>
      </c>
    </row>
    <row r="3035" spans="1:37" ht="36.75" customHeight="1" x14ac:dyDescent="0.35">
      <c r="A3035" s="5"/>
      <c r="B3035" s="5" t="s">
        <v>37</v>
      </c>
      <c r="C3035" s="73" t="str">
        <f t="shared" si="47"/>
        <v>Closed</v>
      </c>
      <c r="D3035" s="45" t="s">
        <v>17163</v>
      </c>
      <c r="E3035" s="54" t="s">
        <v>17164</v>
      </c>
      <c r="F3035" s="5" t="s">
        <v>619</v>
      </c>
      <c r="G3035" s="7">
        <f>DATE(2019,12,9)</f>
        <v>43808</v>
      </c>
      <c r="H3035" s="34">
        <v>1.6958333333333333</v>
      </c>
      <c r="I3035" s="5" t="s">
        <v>85</v>
      </c>
      <c r="J3035" s="7" t="s">
        <v>17165</v>
      </c>
      <c r="K3035" s="5" t="s">
        <v>621</v>
      </c>
      <c r="L3035" s="5" t="s">
        <v>17166</v>
      </c>
      <c r="M3035" s="5" t="s">
        <v>45</v>
      </c>
      <c r="N3035" s="5" t="s">
        <v>123</v>
      </c>
      <c r="O3035" s="5" t="s">
        <v>59</v>
      </c>
      <c r="P3035" s="7" t="s">
        <v>6881</v>
      </c>
      <c r="Q3035" s="7" t="s">
        <v>1167</v>
      </c>
      <c r="R3035" s="7" t="s">
        <v>624</v>
      </c>
      <c r="S3035" s="5">
        <v>0</v>
      </c>
      <c r="T3035" s="36">
        <v>0</v>
      </c>
      <c r="U3035" s="5">
        <v>0</v>
      </c>
      <c r="V3035" s="36">
        <v>0</v>
      </c>
      <c r="W3035" s="5">
        <v>0</v>
      </c>
      <c r="X3035" s="5">
        <v>0</v>
      </c>
      <c r="Y3035" s="5">
        <v>0</v>
      </c>
      <c r="Z3035" s="36">
        <v>0</v>
      </c>
      <c r="AA3035" s="5">
        <v>0</v>
      </c>
      <c r="AB3035" s="5">
        <v>0</v>
      </c>
      <c r="AC3035" s="5">
        <v>0</v>
      </c>
      <c r="AD3035" s="5">
        <v>0</v>
      </c>
      <c r="AE3035" s="7" t="s">
        <v>73</v>
      </c>
      <c r="AF3035" s="7"/>
      <c r="AG3035" s="7" t="s">
        <v>114</v>
      </c>
      <c r="AH3035" s="7">
        <v>43816</v>
      </c>
      <c r="AI3035" s="5">
        <v>0</v>
      </c>
      <c r="AJ3035" s="7" t="s">
        <v>17167</v>
      </c>
      <c r="AK3035" s="7" t="s">
        <v>50</v>
      </c>
    </row>
    <row r="3036" spans="1:37" ht="36.75" customHeight="1" x14ac:dyDescent="0.35">
      <c r="A3036" s="5"/>
      <c r="B3036" s="5" t="s">
        <v>37</v>
      </c>
      <c r="C3036" s="73" t="str">
        <f t="shared" si="47"/>
        <v>Closed</v>
      </c>
      <c r="D3036" s="45" t="s">
        <v>17168</v>
      </c>
      <c r="E3036" s="54" t="s">
        <v>17169</v>
      </c>
      <c r="F3036" s="5" t="s">
        <v>40</v>
      </c>
      <c r="G3036" s="7">
        <f>DATE(2019,12,9)</f>
        <v>43808</v>
      </c>
      <c r="H3036" s="34">
        <v>1.625</v>
      </c>
      <c r="I3036" s="5" t="s">
        <v>137</v>
      </c>
      <c r="J3036" s="7" t="s">
        <v>17170</v>
      </c>
      <c r="K3036" s="5" t="s">
        <v>43</v>
      </c>
      <c r="L3036" s="5" t="s">
        <v>17171</v>
      </c>
      <c r="M3036" s="5" t="s">
        <v>45</v>
      </c>
      <c r="N3036" s="5" t="s">
        <v>80</v>
      </c>
      <c r="O3036" s="5" t="s">
        <v>46</v>
      </c>
      <c r="P3036" s="7" t="s">
        <v>60</v>
      </c>
      <c r="Q3036" s="7" t="s">
        <v>48</v>
      </c>
      <c r="R3036" s="7" t="s">
        <v>49</v>
      </c>
      <c r="S3036" s="5">
        <v>0</v>
      </c>
      <c r="T3036" s="36">
        <v>0</v>
      </c>
      <c r="U3036" s="5">
        <v>0</v>
      </c>
      <c r="V3036" s="36">
        <v>0</v>
      </c>
      <c r="W3036" s="5">
        <v>0</v>
      </c>
      <c r="X3036" s="5">
        <v>0</v>
      </c>
      <c r="Y3036" s="5">
        <v>0</v>
      </c>
      <c r="Z3036" s="36">
        <v>0</v>
      </c>
      <c r="AA3036" s="5">
        <v>0</v>
      </c>
      <c r="AB3036" s="5">
        <v>0</v>
      </c>
      <c r="AC3036" s="5">
        <v>0</v>
      </c>
      <c r="AD3036" s="5">
        <v>0</v>
      </c>
      <c r="AE3036" s="7" t="s">
        <v>73</v>
      </c>
      <c r="AF3036" s="7"/>
      <c r="AG3036" s="7" t="s">
        <v>114</v>
      </c>
      <c r="AH3036" s="7">
        <v>43817</v>
      </c>
      <c r="AI3036" s="5">
        <v>4</v>
      </c>
      <c r="AJ3036" s="7" t="s">
        <v>17172</v>
      </c>
      <c r="AK3036" s="7" t="s">
        <v>17173</v>
      </c>
    </row>
    <row r="3037" spans="1:37" ht="36.75" customHeight="1" x14ac:dyDescent="0.35">
      <c r="A3037" s="5"/>
      <c r="B3037" s="5" t="s">
        <v>37</v>
      </c>
      <c r="C3037" s="73" t="str">
        <f t="shared" si="47"/>
        <v>Closed</v>
      </c>
      <c r="D3037" s="45" t="s">
        <v>17174</v>
      </c>
      <c r="E3037" s="54" t="s">
        <v>17175</v>
      </c>
      <c r="F3037" s="5" t="s">
        <v>214</v>
      </c>
      <c r="G3037" s="7">
        <f>DATE(2019,12,14)</f>
        <v>43813</v>
      </c>
      <c r="H3037" s="34">
        <v>1.8333333333333335</v>
      </c>
      <c r="I3037" s="5" t="s">
        <v>259</v>
      </c>
      <c r="J3037" s="7" t="s">
        <v>17176</v>
      </c>
      <c r="K3037" s="5" t="s">
        <v>216</v>
      </c>
      <c r="L3037" s="5" t="s">
        <v>17177</v>
      </c>
      <c r="M3037" s="5" t="s">
        <v>45</v>
      </c>
      <c r="N3037" s="5" t="s">
        <v>70</v>
      </c>
      <c r="O3037" s="5" t="s">
        <v>71</v>
      </c>
      <c r="P3037" s="7" t="s">
        <v>72</v>
      </c>
      <c r="Q3037" s="7"/>
      <c r="R3037" s="7" t="s">
        <v>216</v>
      </c>
      <c r="S3037" s="5">
        <v>0</v>
      </c>
      <c r="T3037" s="36">
        <v>1</v>
      </c>
      <c r="U3037" s="5">
        <v>0</v>
      </c>
      <c r="V3037" s="36">
        <v>0</v>
      </c>
      <c r="W3037" s="5">
        <v>0</v>
      </c>
      <c r="X3037" s="5">
        <v>1</v>
      </c>
      <c r="Y3037" s="5">
        <v>0</v>
      </c>
      <c r="Z3037" s="36">
        <v>0</v>
      </c>
      <c r="AA3037" s="5">
        <v>0</v>
      </c>
      <c r="AB3037" s="5">
        <v>0</v>
      </c>
      <c r="AC3037" s="5">
        <v>0</v>
      </c>
      <c r="AD3037" s="5">
        <v>0</v>
      </c>
      <c r="AE3037" s="7" t="s">
        <v>73</v>
      </c>
      <c r="AF3037" s="7"/>
      <c r="AG3037" s="7" t="s">
        <v>114</v>
      </c>
      <c r="AH3037" s="7">
        <v>43815</v>
      </c>
      <c r="AI3037" s="5">
        <v>2</v>
      </c>
      <c r="AJ3037" s="7" t="s">
        <v>17178</v>
      </c>
      <c r="AK3037" s="7" t="s">
        <v>17179</v>
      </c>
    </row>
    <row r="3038" spans="1:37" ht="36.75" customHeight="1" x14ac:dyDescent="0.35">
      <c r="A3038" s="5"/>
      <c r="B3038" s="5" t="s">
        <v>37</v>
      </c>
      <c r="C3038" s="73" t="str">
        <f t="shared" si="47"/>
        <v>Closed</v>
      </c>
      <c r="D3038" s="45" t="s">
        <v>17180</v>
      </c>
      <c r="E3038" s="54" t="s">
        <v>17181</v>
      </c>
      <c r="F3038" s="5" t="s">
        <v>6434</v>
      </c>
      <c r="G3038" s="7">
        <f>DATE(2019,12,18)</f>
        <v>43817</v>
      </c>
      <c r="H3038" s="34">
        <v>1.0208333333333333</v>
      </c>
      <c r="I3038" s="5" t="s">
        <v>179</v>
      </c>
      <c r="J3038" s="7" t="s">
        <v>17182</v>
      </c>
      <c r="K3038" s="5" t="s">
        <v>565</v>
      </c>
      <c r="L3038" s="5" t="s">
        <v>17183</v>
      </c>
      <c r="M3038" s="5" t="s">
        <v>45</v>
      </c>
      <c r="N3038" s="5" t="s">
        <v>123</v>
      </c>
      <c r="O3038" s="5" t="s">
        <v>59</v>
      </c>
      <c r="P3038" s="7" t="s">
        <v>60</v>
      </c>
      <c r="Q3038" s="7" t="s">
        <v>17184</v>
      </c>
      <c r="R3038" s="7" t="s">
        <v>568</v>
      </c>
      <c r="S3038" s="5">
        <v>0</v>
      </c>
      <c r="T3038" s="36">
        <v>0</v>
      </c>
      <c r="U3038" s="5">
        <v>0</v>
      </c>
      <c r="V3038" s="36">
        <v>0</v>
      </c>
      <c r="W3038" s="5">
        <v>0</v>
      </c>
      <c r="X3038" s="5">
        <v>0</v>
      </c>
      <c r="Y3038" s="5">
        <v>6</v>
      </c>
      <c r="Z3038" s="36">
        <v>0</v>
      </c>
      <c r="AA3038" s="5">
        <v>0</v>
      </c>
      <c r="AB3038" s="5">
        <v>0</v>
      </c>
      <c r="AC3038" s="5">
        <v>0</v>
      </c>
      <c r="AD3038" s="5">
        <v>6</v>
      </c>
      <c r="AE3038" s="7" t="s">
        <v>375</v>
      </c>
      <c r="AF3038" s="7" t="s">
        <v>17185</v>
      </c>
      <c r="AG3038" s="7" t="s">
        <v>8837</v>
      </c>
      <c r="AH3038" s="7">
        <v>43818</v>
      </c>
      <c r="AI3038" s="5">
        <v>0</v>
      </c>
      <c r="AJ3038" s="7" t="s">
        <v>17186</v>
      </c>
      <c r="AK3038" s="7" t="s">
        <v>50</v>
      </c>
    </row>
    <row r="3039" spans="1:37" ht="36.75" customHeight="1" x14ac:dyDescent="0.35">
      <c r="A3039" s="23" t="s">
        <v>4890</v>
      </c>
      <c r="B3039" s="5" t="s">
        <v>37</v>
      </c>
      <c r="C3039" s="73" t="str">
        <f t="shared" si="47"/>
        <v>Closed</v>
      </c>
      <c r="D3039" s="45" t="s">
        <v>17187</v>
      </c>
      <c r="E3039" s="54" t="s">
        <v>17188</v>
      </c>
      <c r="F3039" s="5" t="s">
        <v>1553</v>
      </c>
      <c r="G3039" s="7">
        <f>DATE(2019,12,18)</f>
        <v>43817</v>
      </c>
      <c r="H3039" s="34">
        <v>1.6493055555555556</v>
      </c>
      <c r="I3039" s="5" t="s">
        <v>179</v>
      </c>
      <c r="J3039" s="7" t="s">
        <v>17189</v>
      </c>
      <c r="K3039" s="5" t="s">
        <v>1555</v>
      </c>
      <c r="L3039" s="5" t="s">
        <v>17190</v>
      </c>
      <c r="M3039" s="5" t="s">
        <v>45</v>
      </c>
      <c r="N3039" s="5" t="s">
        <v>123</v>
      </c>
      <c r="O3039" s="5" t="s">
        <v>59</v>
      </c>
      <c r="P3039" s="7" t="s">
        <v>10132</v>
      </c>
      <c r="Q3039" s="7" t="s">
        <v>17191</v>
      </c>
      <c r="R3039" s="7" t="s">
        <v>6413</v>
      </c>
      <c r="S3039" s="5">
        <v>0</v>
      </c>
      <c r="T3039" s="38">
        <v>0</v>
      </c>
      <c r="U3039" s="5">
        <v>0</v>
      </c>
      <c r="V3039" s="38">
        <v>0</v>
      </c>
      <c r="W3039" s="5">
        <v>0</v>
      </c>
      <c r="X3039" s="5">
        <v>0</v>
      </c>
      <c r="Y3039" s="5">
        <v>0</v>
      </c>
      <c r="Z3039" s="38">
        <v>0</v>
      </c>
      <c r="AA3039" s="5">
        <v>0</v>
      </c>
      <c r="AB3039" s="5">
        <v>0</v>
      </c>
      <c r="AC3039" s="5">
        <v>0</v>
      </c>
      <c r="AD3039" s="5">
        <v>0</v>
      </c>
      <c r="AE3039" s="7" t="s">
        <v>126</v>
      </c>
      <c r="AF3039" s="7"/>
      <c r="AG3039" s="7" t="s">
        <v>64</v>
      </c>
      <c r="AH3039" s="7">
        <v>43818</v>
      </c>
      <c r="AI3039" s="5">
        <v>9</v>
      </c>
      <c r="AJ3039" s="7" t="s">
        <v>50</v>
      </c>
      <c r="AK3039" s="7" t="s">
        <v>50</v>
      </c>
    </row>
    <row r="3040" spans="1:37" ht="36.75" customHeight="1" x14ac:dyDescent="0.35">
      <c r="A3040" s="23" t="s">
        <v>4890</v>
      </c>
      <c r="B3040" s="5" t="s">
        <v>37</v>
      </c>
      <c r="C3040" s="73" t="str">
        <f t="shared" si="47"/>
        <v>Closed</v>
      </c>
      <c r="D3040" s="45" t="s">
        <v>17192</v>
      </c>
      <c r="E3040" s="54" t="s">
        <v>17193</v>
      </c>
      <c r="F3040" s="5" t="s">
        <v>1553</v>
      </c>
      <c r="G3040" s="7">
        <f>DATE(2019,12,20)</f>
        <v>43819</v>
      </c>
      <c r="H3040" s="34">
        <v>1.4895833333333333</v>
      </c>
      <c r="I3040" s="5" t="s">
        <v>55</v>
      </c>
      <c r="J3040" s="7" t="s">
        <v>17194</v>
      </c>
      <c r="K3040" s="5" t="s">
        <v>1555</v>
      </c>
      <c r="L3040" s="5" t="s">
        <v>12393</v>
      </c>
      <c r="M3040" s="5" t="s">
        <v>45</v>
      </c>
      <c r="N3040" s="5" t="s">
        <v>80</v>
      </c>
      <c r="O3040" s="5" t="s">
        <v>59</v>
      </c>
      <c r="P3040" s="7" t="s">
        <v>60</v>
      </c>
      <c r="Q3040" s="7" t="s">
        <v>2635</v>
      </c>
      <c r="R3040" s="7" t="s">
        <v>6413</v>
      </c>
      <c r="S3040" s="5">
        <v>0</v>
      </c>
      <c r="T3040" s="38">
        <v>0</v>
      </c>
      <c r="U3040" s="5">
        <v>0</v>
      </c>
      <c r="V3040" s="38">
        <v>0</v>
      </c>
      <c r="W3040" s="5">
        <v>0</v>
      </c>
      <c r="X3040" s="5">
        <v>0</v>
      </c>
      <c r="Y3040" s="5">
        <v>0</v>
      </c>
      <c r="Z3040" s="38">
        <v>0</v>
      </c>
      <c r="AA3040" s="5">
        <v>0</v>
      </c>
      <c r="AB3040" s="5">
        <v>0</v>
      </c>
      <c r="AC3040" s="5">
        <v>0</v>
      </c>
      <c r="AD3040" s="5">
        <v>0</v>
      </c>
      <c r="AE3040" s="7" t="s">
        <v>375</v>
      </c>
      <c r="AF3040" s="7"/>
      <c r="AG3040" s="7" t="s">
        <v>114</v>
      </c>
      <c r="AH3040" s="7">
        <v>43822</v>
      </c>
      <c r="AI3040" s="5">
        <v>4</v>
      </c>
      <c r="AJ3040" s="7" t="s">
        <v>50</v>
      </c>
      <c r="AK3040" s="7" t="s">
        <v>50</v>
      </c>
    </row>
    <row r="3041" spans="1:37" ht="36.75" customHeight="1" x14ac:dyDescent="0.35">
      <c r="A3041" s="23" t="s">
        <v>4890</v>
      </c>
      <c r="B3041" s="5" t="s">
        <v>37</v>
      </c>
      <c r="C3041" s="73" t="str">
        <f t="shared" si="47"/>
        <v>Closed</v>
      </c>
      <c r="D3041" s="45" t="s">
        <v>17195</v>
      </c>
      <c r="E3041" s="54" t="s">
        <v>17196</v>
      </c>
      <c r="F3041" s="5" t="s">
        <v>1553</v>
      </c>
      <c r="G3041" s="7">
        <f>DATE(2019,12,20)</f>
        <v>43819</v>
      </c>
      <c r="H3041" s="34">
        <v>1.7361111111111112</v>
      </c>
      <c r="I3041" s="5" t="s">
        <v>55</v>
      </c>
      <c r="J3041" s="7" t="s">
        <v>17197</v>
      </c>
      <c r="K3041" s="5" t="s">
        <v>1555</v>
      </c>
      <c r="L3041" s="5" t="s">
        <v>16978</v>
      </c>
      <c r="M3041" s="5" t="s">
        <v>45</v>
      </c>
      <c r="N3041" s="5" t="s">
        <v>80</v>
      </c>
      <c r="O3041" s="5" t="s">
        <v>46</v>
      </c>
      <c r="P3041" s="7" t="s">
        <v>60</v>
      </c>
      <c r="Q3041" s="7" t="s">
        <v>1565</v>
      </c>
      <c r="R3041" s="7" t="s">
        <v>6413</v>
      </c>
      <c r="S3041" s="5">
        <v>0</v>
      </c>
      <c r="T3041" s="38">
        <v>0</v>
      </c>
      <c r="U3041" s="5">
        <v>0</v>
      </c>
      <c r="V3041" s="38">
        <v>0</v>
      </c>
      <c r="W3041" s="5">
        <v>0</v>
      </c>
      <c r="X3041" s="5">
        <v>0</v>
      </c>
      <c r="Y3041" s="5">
        <v>0</v>
      </c>
      <c r="Z3041" s="38">
        <v>0</v>
      </c>
      <c r="AA3041" s="5">
        <v>0</v>
      </c>
      <c r="AB3041" s="5">
        <v>0</v>
      </c>
      <c r="AC3041" s="5">
        <v>0</v>
      </c>
      <c r="AD3041" s="5">
        <v>0</v>
      </c>
      <c r="AE3041" s="7" t="s">
        <v>73</v>
      </c>
      <c r="AF3041" s="7"/>
      <c r="AG3041" s="7" t="s">
        <v>114</v>
      </c>
      <c r="AH3041" s="7">
        <v>43822</v>
      </c>
      <c r="AI3041" s="5">
        <v>2</v>
      </c>
      <c r="AJ3041" s="7" t="s">
        <v>50</v>
      </c>
      <c r="AK3041" s="7" t="s">
        <v>50</v>
      </c>
    </row>
    <row r="3042" spans="1:37" ht="36.75" customHeight="1" x14ac:dyDescent="0.35">
      <c r="A3042" s="5"/>
      <c r="B3042" s="5" t="s">
        <v>37</v>
      </c>
      <c r="C3042" s="73" t="str">
        <f t="shared" si="47"/>
        <v>Closed</v>
      </c>
      <c r="D3042" s="45" t="s">
        <v>17198</v>
      </c>
      <c r="E3042" s="54" t="s">
        <v>17199</v>
      </c>
      <c r="F3042" s="5" t="s">
        <v>96</v>
      </c>
      <c r="G3042" s="7">
        <f>DATE(2019,12,22)</f>
        <v>43821</v>
      </c>
      <c r="H3042" s="34">
        <v>1.6979166666666665</v>
      </c>
      <c r="I3042" s="5" t="s">
        <v>41</v>
      </c>
      <c r="J3042" s="7" t="s">
        <v>17200</v>
      </c>
      <c r="K3042" s="5" t="s">
        <v>99</v>
      </c>
      <c r="L3042" s="5" t="s">
        <v>17201</v>
      </c>
      <c r="M3042" s="5" t="s">
        <v>45</v>
      </c>
      <c r="N3042" s="5" t="s">
        <v>123</v>
      </c>
      <c r="O3042" s="5" t="s">
        <v>46</v>
      </c>
      <c r="P3042" s="7" t="s">
        <v>443</v>
      </c>
      <c r="Q3042" s="7" t="s">
        <v>16281</v>
      </c>
      <c r="R3042" s="7" t="s">
        <v>16282</v>
      </c>
      <c r="S3042" s="5">
        <v>0</v>
      </c>
      <c r="T3042" s="36">
        <v>0</v>
      </c>
      <c r="U3042" s="5">
        <v>0</v>
      </c>
      <c r="V3042" s="36">
        <v>0</v>
      </c>
      <c r="W3042" s="5">
        <v>0</v>
      </c>
      <c r="X3042" s="5">
        <v>0</v>
      </c>
      <c r="Y3042" s="5">
        <v>0</v>
      </c>
      <c r="Z3042" s="36">
        <v>0</v>
      </c>
      <c r="AA3042" s="5">
        <v>0</v>
      </c>
      <c r="AB3042" s="5">
        <v>0</v>
      </c>
      <c r="AC3042" s="5">
        <v>0</v>
      </c>
      <c r="AD3042" s="5">
        <v>0</v>
      </c>
      <c r="AE3042" s="7" t="s">
        <v>73</v>
      </c>
      <c r="AF3042" s="7" t="s">
        <v>17202</v>
      </c>
      <c r="AG3042" s="7" t="s">
        <v>8837</v>
      </c>
      <c r="AH3042" s="7">
        <v>43836</v>
      </c>
      <c r="AI3042" s="5">
        <v>4</v>
      </c>
      <c r="AJ3042" s="7" t="s">
        <v>17203</v>
      </c>
      <c r="AK3042" s="7" t="s">
        <v>17204</v>
      </c>
    </row>
    <row r="3043" spans="1:37" ht="36.75" customHeight="1" x14ac:dyDescent="0.35">
      <c r="A3043" s="23" t="s">
        <v>4890</v>
      </c>
      <c r="B3043" s="5" t="s">
        <v>37</v>
      </c>
      <c r="C3043" s="73" t="str">
        <f t="shared" si="47"/>
        <v>Closed</v>
      </c>
      <c r="D3043" s="45" t="s">
        <v>17205</v>
      </c>
      <c r="E3043" s="54" t="s">
        <v>17206</v>
      </c>
      <c r="F3043" s="5" t="s">
        <v>1553</v>
      </c>
      <c r="G3043" s="7">
        <f>DATE(2019,12,22)</f>
        <v>43821</v>
      </c>
      <c r="H3043" s="51">
        <v>1.2256944444444444</v>
      </c>
      <c r="I3043" s="5" t="s">
        <v>468</v>
      </c>
      <c r="J3043" s="7" t="s">
        <v>17207</v>
      </c>
      <c r="K3043" s="5" t="s">
        <v>1555</v>
      </c>
      <c r="L3043" s="5" t="s">
        <v>17208</v>
      </c>
      <c r="M3043" s="5" t="s">
        <v>45</v>
      </c>
      <c r="N3043" s="5" t="s">
        <v>123</v>
      </c>
      <c r="O3043" s="5" t="s">
        <v>59</v>
      </c>
      <c r="P3043" s="7" t="s">
        <v>67</v>
      </c>
      <c r="Q3043" s="7" t="s">
        <v>17209</v>
      </c>
      <c r="R3043" s="7" t="s">
        <v>6413</v>
      </c>
      <c r="S3043" s="5">
        <v>0</v>
      </c>
      <c r="T3043" s="36">
        <v>0</v>
      </c>
      <c r="U3043" s="5">
        <v>0</v>
      </c>
      <c r="V3043" s="36">
        <v>0</v>
      </c>
      <c r="W3043" s="5">
        <v>0</v>
      </c>
      <c r="X3043" s="5">
        <v>0</v>
      </c>
      <c r="Y3043" s="5">
        <v>0</v>
      </c>
      <c r="Z3043" s="36">
        <v>0</v>
      </c>
      <c r="AA3043" s="5">
        <v>0</v>
      </c>
      <c r="AB3043" s="5">
        <v>0</v>
      </c>
      <c r="AC3043" s="5">
        <v>0</v>
      </c>
      <c r="AD3043" s="5">
        <v>0</v>
      </c>
      <c r="AE3043" s="7" t="s">
        <v>73</v>
      </c>
      <c r="AF3043" s="7"/>
      <c r="AG3043" s="9" t="s">
        <v>1489</v>
      </c>
      <c r="AH3043" s="9">
        <v>43822</v>
      </c>
      <c r="AI3043" s="5">
        <v>1</v>
      </c>
      <c r="AJ3043" s="7" t="s">
        <v>50</v>
      </c>
      <c r="AK3043" s="7" t="s">
        <v>50</v>
      </c>
    </row>
    <row r="3044" spans="1:37" ht="36.75" customHeight="1" x14ac:dyDescent="0.35">
      <c r="A3044" s="23" t="s">
        <v>4890</v>
      </c>
      <c r="B3044" s="5" t="s">
        <v>37</v>
      </c>
      <c r="C3044" s="73" t="str">
        <f t="shared" si="47"/>
        <v>Closed</v>
      </c>
      <c r="D3044" s="45" t="s">
        <v>17210</v>
      </c>
      <c r="E3044" s="54" t="s">
        <v>17211</v>
      </c>
      <c r="F3044" s="5" t="s">
        <v>1919</v>
      </c>
      <c r="G3044" s="7">
        <f>DATE(2020,1,11)</f>
        <v>43841</v>
      </c>
      <c r="H3044" s="34">
        <v>0</v>
      </c>
      <c r="I3044" s="5" t="s">
        <v>137</v>
      </c>
      <c r="J3044" s="7" t="s">
        <v>17212</v>
      </c>
      <c r="K3044" s="5" t="s">
        <v>1921</v>
      </c>
      <c r="L3044" s="5" t="s">
        <v>17213</v>
      </c>
      <c r="M3044" s="5" t="s">
        <v>45</v>
      </c>
      <c r="N3044" s="5" t="s">
        <v>80</v>
      </c>
      <c r="O3044" s="5" t="s">
        <v>46</v>
      </c>
      <c r="P3044" s="7" t="s">
        <v>146</v>
      </c>
      <c r="Q3044" s="7" t="s">
        <v>1923</v>
      </c>
      <c r="R3044" s="7" t="s">
        <v>1921</v>
      </c>
      <c r="S3044" s="5">
        <v>0</v>
      </c>
      <c r="T3044" s="36">
        <v>0</v>
      </c>
      <c r="U3044" s="5">
        <v>0</v>
      </c>
      <c r="V3044" s="36">
        <v>0</v>
      </c>
      <c r="W3044" s="5">
        <v>0</v>
      </c>
      <c r="X3044" s="5">
        <v>0</v>
      </c>
      <c r="Y3044" s="5">
        <v>0</v>
      </c>
      <c r="Z3044" s="36">
        <v>0</v>
      </c>
      <c r="AA3044" s="5">
        <v>0</v>
      </c>
      <c r="AB3044" s="5">
        <v>0</v>
      </c>
      <c r="AC3044" s="5">
        <v>0</v>
      </c>
      <c r="AD3044" s="5">
        <v>0</v>
      </c>
      <c r="AE3044" s="7" t="s">
        <v>73</v>
      </c>
      <c r="AF3044" s="7"/>
      <c r="AG3044" s="7" t="s">
        <v>64</v>
      </c>
      <c r="AH3044" s="7">
        <v>43847</v>
      </c>
      <c r="AI3044" s="5">
        <v>4</v>
      </c>
      <c r="AJ3044" s="7" t="s">
        <v>50</v>
      </c>
      <c r="AK3044" s="7" t="s">
        <v>50</v>
      </c>
    </row>
    <row r="3045" spans="1:37" ht="36.75" customHeight="1" x14ac:dyDescent="0.35">
      <c r="A3045" s="23" t="s">
        <v>4890</v>
      </c>
      <c r="B3045" s="5" t="s">
        <v>37</v>
      </c>
      <c r="C3045" s="73" t="str">
        <f t="shared" si="47"/>
        <v>Closed</v>
      </c>
      <c r="D3045" s="45" t="s">
        <v>17214</v>
      </c>
      <c r="E3045" s="54" t="s">
        <v>17215</v>
      </c>
      <c r="F3045" s="5" t="s">
        <v>2316</v>
      </c>
      <c r="G3045" s="7">
        <f>DATE(2020,1,11)</f>
        <v>43841</v>
      </c>
      <c r="H3045" s="111">
        <v>1.1909722222222223</v>
      </c>
      <c r="I3045" s="5" t="s">
        <v>259</v>
      </c>
      <c r="J3045" s="7" t="s">
        <v>17216</v>
      </c>
      <c r="K3045" s="5" t="s">
        <v>2318</v>
      </c>
      <c r="L3045" s="5" t="s">
        <v>17217</v>
      </c>
      <c r="M3045" s="5" t="s">
        <v>45</v>
      </c>
      <c r="N3045" s="5" t="s">
        <v>123</v>
      </c>
      <c r="O3045" s="5" t="s">
        <v>46</v>
      </c>
      <c r="P3045" s="7" t="s">
        <v>282</v>
      </c>
      <c r="Q3045" s="7" t="s">
        <v>17218</v>
      </c>
      <c r="R3045" s="7" t="s">
        <v>2321</v>
      </c>
      <c r="S3045" s="5">
        <v>0</v>
      </c>
      <c r="T3045" s="38">
        <v>1</v>
      </c>
      <c r="U3045" s="5">
        <v>0</v>
      </c>
      <c r="V3045" s="38">
        <v>0</v>
      </c>
      <c r="W3045" s="5">
        <v>0</v>
      </c>
      <c r="X3045" s="5">
        <v>1</v>
      </c>
      <c r="Y3045" s="5">
        <v>0</v>
      </c>
      <c r="Z3045" s="38">
        <v>0</v>
      </c>
      <c r="AA3045" s="5">
        <v>0</v>
      </c>
      <c r="AB3045" s="5">
        <v>0</v>
      </c>
      <c r="AC3045" s="5">
        <v>0</v>
      </c>
      <c r="AD3045" s="5">
        <v>0</v>
      </c>
      <c r="AE3045" s="7" t="s">
        <v>73</v>
      </c>
      <c r="AF3045" s="7"/>
      <c r="AG3045" s="5" t="s">
        <v>13175</v>
      </c>
      <c r="AH3045" s="7">
        <v>43857</v>
      </c>
      <c r="AI3045" s="5">
        <v>10</v>
      </c>
      <c r="AJ3045" s="7" t="s">
        <v>50</v>
      </c>
      <c r="AK3045" s="7" t="s">
        <v>50</v>
      </c>
    </row>
    <row r="3046" spans="1:37" ht="36.75" customHeight="1" x14ac:dyDescent="0.35">
      <c r="A3046" s="5"/>
      <c r="B3046" s="5" t="s">
        <v>37</v>
      </c>
      <c r="C3046" s="73" t="str">
        <f t="shared" si="47"/>
        <v>Closed</v>
      </c>
      <c r="D3046" s="45" t="s">
        <v>17219</v>
      </c>
      <c r="E3046" s="54" t="s">
        <v>17220</v>
      </c>
      <c r="F3046" s="5" t="s">
        <v>816</v>
      </c>
      <c r="G3046" s="7">
        <f>DATE(2020,1,15)</f>
        <v>43845</v>
      </c>
      <c r="H3046" s="34">
        <v>1.2451388888888888</v>
      </c>
      <c r="I3046" s="5" t="s">
        <v>106</v>
      </c>
      <c r="J3046" s="7" t="s">
        <v>17221</v>
      </c>
      <c r="K3046" s="5" t="s">
        <v>818</v>
      </c>
      <c r="L3046" s="5" t="s">
        <v>17222</v>
      </c>
      <c r="M3046" s="5" t="s">
        <v>45</v>
      </c>
      <c r="N3046" s="5" t="s">
        <v>123</v>
      </c>
      <c r="O3046" s="5" t="s">
        <v>59</v>
      </c>
      <c r="P3046" s="7" t="s">
        <v>6881</v>
      </c>
      <c r="Q3046" s="7" t="s">
        <v>2142</v>
      </c>
      <c r="R3046" s="7" t="s">
        <v>821</v>
      </c>
      <c r="S3046" s="5">
        <v>0</v>
      </c>
      <c r="T3046" s="36">
        <v>0</v>
      </c>
      <c r="U3046" s="5">
        <v>0</v>
      </c>
      <c r="V3046" s="36">
        <v>0</v>
      </c>
      <c r="W3046" s="5">
        <v>0</v>
      </c>
      <c r="X3046" s="5">
        <v>0</v>
      </c>
      <c r="Y3046" s="5">
        <v>0</v>
      </c>
      <c r="Z3046" s="36">
        <v>0</v>
      </c>
      <c r="AA3046" s="5">
        <v>0</v>
      </c>
      <c r="AB3046" s="5">
        <v>0</v>
      </c>
      <c r="AC3046" s="5">
        <v>0</v>
      </c>
      <c r="AD3046" s="5">
        <v>0</v>
      </c>
      <c r="AE3046" s="7" t="s">
        <v>73</v>
      </c>
      <c r="AF3046" s="7" t="s">
        <v>17223</v>
      </c>
      <c r="AG3046" s="7" t="s">
        <v>8837</v>
      </c>
      <c r="AH3046" s="7">
        <v>43846</v>
      </c>
      <c r="AI3046" s="5">
        <v>1</v>
      </c>
      <c r="AJ3046" s="7" t="s">
        <v>17224</v>
      </c>
      <c r="AK3046" s="7" t="s">
        <v>17225</v>
      </c>
    </row>
    <row r="3047" spans="1:37" ht="36.75" customHeight="1" x14ac:dyDescent="0.35">
      <c r="A3047" s="5"/>
      <c r="B3047" s="5" t="s">
        <v>37</v>
      </c>
      <c r="C3047" s="73" t="str">
        <f t="shared" si="47"/>
        <v>Closed</v>
      </c>
      <c r="D3047" s="45" t="s">
        <v>17226</v>
      </c>
      <c r="E3047" s="54" t="s">
        <v>17227</v>
      </c>
      <c r="F3047" s="5" t="s">
        <v>404</v>
      </c>
      <c r="G3047" s="7">
        <f>DATE(2020,1,17)</f>
        <v>43847</v>
      </c>
      <c r="H3047" s="34">
        <v>1.2409722222222221</v>
      </c>
      <c r="I3047" s="5" t="s">
        <v>55</v>
      </c>
      <c r="J3047" s="7" t="s">
        <v>17228</v>
      </c>
      <c r="K3047" s="5" t="s">
        <v>406</v>
      </c>
      <c r="L3047" s="5" t="s">
        <v>17229</v>
      </c>
      <c r="M3047" s="5" t="s">
        <v>45</v>
      </c>
      <c r="N3047" s="5" t="s">
        <v>80</v>
      </c>
      <c r="O3047" s="5" t="s">
        <v>59</v>
      </c>
      <c r="P3047" s="7" t="s">
        <v>146</v>
      </c>
      <c r="Q3047" s="7" t="s">
        <v>12560</v>
      </c>
      <c r="R3047" s="7" t="s">
        <v>3083</v>
      </c>
      <c r="S3047" s="5">
        <v>0</v>
      </c>
      <c r="T3047" s="36">
        <v>0</v>
      </c>
      <c r="U3047" s="5">
        <v>0</v>
      </c>
      <c r="V3047" s="36">
        <v>0</v>
      </c>
      <c r="W3047" s="5">
        <v>0</v>
      </c>
      <c r="X3047" s="5">
        <v>0</v>
      </c>
      <c r="Y3047" s="5">
        <v>0</v>
      </c>
      <c r="Z3047" s="36">
        <v>0</v>
      </c>
      <c r="AA3047" s="5">
        <v>0</v>
      </c>
      <c r="AB3047" s="5">
        <v>0</v>
      </c>
      <c r="AC3047" s="5">
        <v>0</v>
      </c>
      <c r="AD3047" s="5">
        <v>0</v>
      </c>
      <c r="AE3047" s="7" t="s">
        <v>73</v>
      </c>
      <c r="AF3047" s="7"/>
      <c r="AG3047" s="7" t="s">
        <v>333</v>
      </c>
      <c r="AH3047" s="7">
        <v>43847</v>
      </c>
      <c r="AI3047" s="5">
        <v>1</v>
      </c>
      <c r="AJ3047" s="7" t="s">
        <v>17230</v>
      </c>
      <c r="AK3047" s="7" t="s">
        <v>17231</v>
      </c>
    </row>
    <row r="3048" spans="1:37" ht="36.75" customHeight="1" x14ac:dyDescent="0.35">
      <c r="A3048" s="5"/>
      <c r="B3048" s="5" t="s">
        <v>37</v>
      </c>
      <c r="C3048" s="73" t="str">
        <f t="shared" si="47"/>
        <v>Closed</v>
      </c>
      <c r="D3048" s="91" t="s">
        <v>17232</v>
      </c>
      <c r="E3048" s="54" t="s">
        <v>17233</v>
      </c>
      <c r="F3048" s="5" t="s">
        <v>6434</v>
      </c>
      <c r="G3048" s="7">
        <f>DATE(2020,1,22)</f>
        <v>43852</v>
      </c>
      <c r="H3048" s="34">
        <v>1.6986111111111111</v>
      </c>
      <c r="I3048" s="5" t="s">
        <v>2244</v>
      </c>
      <c r="J3048" s="7" t="s">
        <v>17234</v>
      </c>
      <c r="K3048" s="5" t="s">
        <v>565</v>
      </c>
      <c r="L3048" s="5" t="s">
        <v>17235</v>
      </c>
      <c r="M3048" s="5" t="s">
        <v>45</v>
      </c>
      <c r="N3048" s="5" t="s">
        <v>80</v>
      </c>
      <c r="O3048" s="5" t="s">
        <v>46</v>
      </c>
      <c r="P3048" s="7" t="s">
        <v>146</v>
      </c>
      <c r="Q3048" s="7" t="s">
        <v>4467</v>
      </c>
      <c r="R3048" s="7" t="s">
        <v>17236</v>
      </c>
      <c r="S3048" s="5">
        <v>0</v>
      </c>
      <c r="T3048" s="36">
        <v>0</v>
      </c>
      <c r="U3048" s="5">
        <v>0</v>
      </c>
      <c r="V3048" s="36">
        <v>0</v>
      </c>
      <c r="W3048" s="5">
        <v>0</v>
      </c>
      <c r="X3048" s="5">
        <v>0</v>
      </c>
      <c r="Y3048" s="5">
        <v>0</v>
      </c>
      <c r="Z3048" s="36">
        <v>0</v>
      </c>
      <c r="AA3048" s="5">
        <v>0</v>
      </c>
      <c r="AB3048" s="5">
        <v>0</v>
      </c>
      <c r="AC3048" s="5">
        <v>0</v>
      </c>
      <c r="AD3048" s="5">
        <v>0</v>
      </c>
      <c r="AE3048" s="7" t="s">
        <v>73</v>
      </c>
      <c r="AF3048" s="7" t="s">
        <v>17237</v>
      </c>
      <c r="AG3048" s="7" t="s">
        <v>14532</v>
      </c>
      <c r="AH3048" s="7">
        <v>43852</v>
      </c>
      <c r="AI3048" s="5">
        <v>1</v>
      </c>
      <c r="AJ3048" s="7" t="s">
        <v>17238</v>
      </c>
      <c r="AK3048" s="7" t="s">
        <v>17239</v>
      </c>
    </row>
    <row r="3049" spans="1:37" ht="36.75" customHeight="1" x14ac:dyDescent="0.35">
      <c r="A3049" s="23" t="s">
        <v>4890</v>
      </c>
      <c r="B3049" s="5" t="s">
        <v>37</v>
      </c>
      <c r="C3049" s="73" t="str">
        <f t="shared" si="47"/>
        <v>Closed</v>
      </c>
      <c r="D3049" s="45" t="s">
        <v>17240</v>
      </c>
      <c r="E3049" s="54" t="s">
        <v>17241</v>
      </c>
      <c r="F3049" s="5" t="s">
        <v>563</v>
      </c>
      <c r="G3049" s="7">
        <f>DATE(2020,1,23)</f>
        <v>43853</v>
      </c>
      <c r="H3049" s="34">
        <v>1.8333333333333335</v>
      </c>
      <c r="I3049" s="5" t="s">
        <v>55</v>
      </c>
      <c r="J3049" s="7" t="s">
        <v>17242</v>
      </c>
      <c r="K3049" s="5" t="s">
        <v>565</v>
      </c>
      <c r="L3049" s="5" t="s">
        <v>17243</v>
      </c>
      <c r="M3049" s="5" t="s">
        <v>45</v>
      </c>
      <c r="N3049" s="5" t="s">
        <v>70</v>
      </c>
      <c r="O3049" s="5" t="s">
        <v>59</v>
      </c>
      <c r="P3049" s="7" t="s">
        <v>47</v>
      </c>
      <c r="Q3049" s="7" t="s">
        <v>2002</v>
      </c>
      <c r="R3049" s="7" t="s">
        <v>568</v>
      </c>
      <c r="S3049" s="5">
        <v>0</v>
      </c>
      <c r="T3049" s="38">
        <v>0</v>
      </c>
      <c r="U3049" s="5">
        <v>0</v>
      </c>
      <c r="V3049" s="38">
        <v>0</v>
      </c>
      <c r="W3049" s="5">
        <v>0</v>
      </c>
      <c r="X3049" s="5">
        <v>0</v>
      </c>
      <c r="Y3049" s="5">
        <v>0</v>
      </c>
      <c r="Z3049" s="38">
        <v>0</v>
      </c>
      <c r="AA3049" s="5">
        <v>0</v>
      </c>
      <c r="AB3049" s="5">
        <v>0</v>
      </c>
      <c r="AC3049" s="5">
        <v>0</v>
      </c>
      <c r="AD3049" s="5">
        <v>0</v>
      </c>
      <c r="AE3049" s="7" t="s">
        <v>375</v>
      </c>
      <c r="AF3049" s="7"/>
      <c r="AG3049" s="7" t="s">
        <v>570</v>
      </c>
      <c r="AH3049" s="7">
        <v>43854</v>
      </c>
      <c r="AI3049" s="5">
        <v>0</v>
      </c>
      <c r="AJ3049" s="7" t="s">
        <v>50</v>
      </c>
      <c r="AK3049" s="7" t="s">
        <v>50</v>
      </c>
    </row>
    <row r="3050" spans="1:37" ht="36.75" customHeight="1" x14ac:dyDescent="0.35">
      <c r="A3050" s="5"/>
      <c r="B3050" s="5" t="s">
        <v>37</v>
      </c>
      <c r="C3050" s="73" t="str">
        <f t="shared" si="47"/>
        <v>Closed</v>
      </c>
      <c r="D3050" s="91" t="s">
        <v>17244</v>
      </c>
      <c r="E3050" s="54" t="s">
        <v>17245</v>
      </c>
      <c r="F3050" s="5" t="s">
        <v>6434</v>
      </c>
      <c r="G3050" s="7">
        <f>DATE(2020,1,23)</f>
        <v>43853</v>
      </c>
      <c r="H3050" s="34">
        <v>1.6027777777777779</v>
      </c>
      <c r="I3050" s="5" t="s">
        <v>179</v>
      </c>
      <c r="J3050" s="7" t="s">
        <v>17246</v>
      </c>
      <c r="K3050" s="5" t="s">
        <v>565</v>
      </c>
      <c r="L3050" s="5" t="s">
        <v>17247</v>
      </c>
      <c r="M3050" s="5" t="s">
        <v>45</v>
      </c>
      <c r="N3050" s="5" t="s">
        <v>70</v>
      </c>
      <c r="O3050" s="5" t="s">
        <v>59</v>
      </c>
      <c r="P3050" s="7" t="s">
        <v>47</v>
      </c>
      <c r="Q3050" s="7" t="s">
        <v>4810</v>
      </c>
      <c r="R3050" s="7" t="s">
        <v>568</v>
      </c>
      <c r="S3050" s="5">
        <v>0</v>
      </c>
      <c r="T3050" s="36">
        <v>0</v>
      </c>
      <c r="U3050" s="5">
        <v>0</v>
      </c>
      <c r="V3050" s="36">
        <v>0</v>
      </c>
      <c r="W3050" s="5">
        <v>0</v>
      </c>
      <c r="X3050" s="5">
        <v>0</v>
      </c>
      <c r="Y3050" s="5">
        <v>0</v>
      </c>
      <c r="Z3050" s="36">
        <v>0</v>
      </c>
      <c r="AA3050" s="5">
        <v>0</v>
      </c>
      <c r="AB3050" s="5">
        <v>0</v>
      </c>
      <c r="AC3050" s="5">
        <v>0</v>
      </c>
      <c r="AD3050" s="5">
        <v>0</v>
      </c>
      <c r="AE3050" s="7" t="s">
        <v>73</v>
      </c>
      <c r="AF3050" s="7" t="s">
        <v>17248</v>
      </c>
      <c r="AG3050" s="7" t="s">
        <v>8837</v>
      </c>
      <c r="AH3050" s="7">
        <v>43853</v>
      </c>
      <c r="AI3050" s="5">
        <v>0</v>
      </c>
      <c r="AJ3050" s="7" t="s">
        <v>4590</v>
      </c>
      <c r="AK3050" s="7" t="s">
        <v>50</v>
      </c>
    </row>
    <row r="3051" spans="1:37" ht="36.75" customHeight="1" x14ac:dyDescent="0.35">
      <c r="A3051" s="5"/>
      <c r="B3051" s="5" t="s">
        <v>37</v>
      </c>
      <c r="C3051" s="73" t="str">
        <f t="shared" si="47"/>
        <v>Closed</v>
      </c>
      <c r="D3051" s="45" t="s">
        <v>17249</v>
      </c>
      <c r="E3051" s="54" t="s">
        <v>17250</v>
      </c>
      <c r="F3051" s="5" t="s">
        <v>575</v>
      </c>
      <c r="G3051" s="7">
        <f>DATE(2020,1,23)</f>
        <v>43853</v>
      </c>
      <c r="H3051" s="34">
        <v>1.9097222222222223</v>
      </c>
      <c r="I3051" s="5" t="s">
        <v>259</v>
      </c>
      <c r="J3051" s="7" t="s">
        <v>17251</v>
      </c>
      <c r="K3051" s="5" t="s">
        <v>577</v>
      </c>
      <c r="L3051" s="5" t="s">
        <v>17252</v>
      </c>
      <c r="M3051" s="5" t="s">
        <v>45</v>
      </c>
      <c r="N3051" s="5" t="s">
        <v>123</v>
      </c>
      <c r="O3051" s="5" t="s">
        <v>59</v>
      </c>
      <c r="P3051" s="7" t="s">
        <v>47</v>
      </c>
      <c r="Q3051" s="7" t="s">
        <v>17253</v>
      </c>
      <c r="R3051" s="7" t="s">
        <v>17254</v>
      </c>
      <c r="S3051" s="5">
        <v>1</v>
      </c>
      <c r="T3051" s="36">
        <v>0</v>
      </c>
      <c r="U3051" s="5">
        <v>0</v>
      </c>
      <c r="V3051" s="36">
        <v>0</v>
      </c>
      <c r="W3051" s="5">
        <v>0</v>
      </c>
      <c r="X3051" s="5">
        <v>1</v>
      </c>
      <c r="Y3051" s="5">
        <v>0</v>
      </c>
      <c r="Z3051" s="36">
        <v>0</v>
      </c>
      <c r="AA3051" s="5">
        <v>0</v>
      </c>
      <c r="AB3051" s="5">
        <v>0</v>
      </c>
      <c r="AC3051" s="5">
        <v>0</v>
      </c>
      <c r="AD3051" s="5">
        <v>0</v>
      </c>
      <c r="AE3051" s="7" t="s">
        <v>73</v>
      </c>
      <c r="AF3051" s="7" t="s">
        <v>6998</v>
      </c>
      <c r="AG3051" s="7" t="s">
        <v>6438</v>
      </c>
      <c r="AH3051" s="7">
        <v>43860</v>
      </c>
      <c r="AI3051" s="5">
        <v>1</v>
      </c>
      <c r="AJ3051" s="7" t="s">
        <v>17255</v>
      </c>
      <c r="AK3051" s="7" t="s">
        <v>17256</v>
      </c>
    </row>
    <row r="3052" spans="1:37" ht="36.75" customHeight="1" x14ac:dyDescent="0.35">
      <c r="A3052" s="5" t="s">
        <v>4890</v>
      </c>
      <c r="B3052" s="5" t="s">
        <v>37</v>
      </c>
      <c r="C3052" s="73" t="str">
        <f t="shared" si="47"/>
        <v>Closed</v>
      </c>
      <c r="D3052" s="45" t="s">
        <v>17257</v>
      </c>
      <c r="E3052" s="54" t="s">
        <v>17258</v>
      </c>
      <c r="F3052" s="5" t="s">
        <v>214</v>
      </c>
      <c r="G3052" s="7">
        <f>DATE(2020,1,23)</f>
        <v>43853</v>
      </c>
      <c r="H3052" s="34">
        <v>1.2534722222222223</v>
      </c>
      <c r="I3052" s="5" t="s">
        <v>55</v>
      </c>
      <c r="J3052" s="7" t="s">
        <v>17259</v>
      </c>
      <c r="K3052" s="5" t="s">
        <v>216</v>
      </c>
      <c r="L3052" s="5" t="s">
        <v>17260</v>
      </c>
      <c r="M3052" s="5" t="s">
        <v>45</v>
      </c>
      <c r="N3052" s="5" t="s">
        <v>123</v>
      </c>
      <c r="O3052" s="5" t="s">
        <v>67</v>
      </c>
      <c r="P3052" s="7" t="s">
        <v>60</v>
      </c>
      <c r="Q3052" s="7" t="s">
        <v>4022</v>
      </c>
      <c r="R3052" s="7" t="s">
        <v>216</v>
      </c>
      <c r="S3052" s="5">
        <v>0</v>
      </c>
      <c r="T3052" s="36">
        <v>0</v>
      </c>
      <c r="U3052" s="5">
        <v>0</v>
      </c>
      <c r="V3052" s="36">
        <v>0</v>
      </c>
      <c r="W3052" s="5">
        <v>0</v>
      </c>
      <c r="X3052" s="5">
        <v>0</v>
      </c>
      <c r="Y3052" s="5">
        <v>0</v>
      </c>
      <c r="Z3052" s="36">
        <v>0</v>
      </c>
      <c r="AA3052" s="5">
        <v>0</v>
      </c>
      <c r="AB3052" s="5">
        <v>0</v>
      </c>
      <c r="AC3052" s="5">
        <v>0</v>
      </c>
      <c r="AD3052" s="5">
        <v>0</v>
      </c>
      <c r="AE3052" s="7" t="s">
        <v>126</v>
      </c>
      <c r="AF3052" s="7"/>
      <c r="AG3052" s="7" t="s">
        <v>64</v>
      </c>
      <c r="AH3052" s="7">
        <v>43857</v>
      </c>
      <c r="AI3052" s="5">
        <v>0</v>
      </c>
      <c r="AJ3052" s="7" t="s">
        <v>17261</v>
      </c>
      <c r="AK3052" s="7" t="s">
        <v>17262</v>
      </c>
    </row>
    <row r="3053" spans="1:37" ht="36.75" customHeight="1" x14ac:dyDescent="0.35">
      <c r="A3053" s="5"/>
      <c r="B3053" s="5" t="s">
        <v>37</v>
      </c>
      <c r="C3053" s="73" t="str">
        <f t="shared" si="47"/>
        <v>Closed</v>
      </c>
      <c r="D3053" s="45" t="s">
        <v>17263</v>
      </c>
      <c r="E3053" s="54" t="s">
        <v>17264</v>
      </c>
      <c r="F3053" s="5" t="s">
        <v>619</v>
      </c>
      <c r="G3053" s="7">
        <f>DATE(2020,1,24)</f>
        <v>43854</v>
      </c>
      <c r="H3053" s="52">
        <v>1.7965277777777779</v>
      </c>
      <c r="I3053" s="5" t="s">
        <v>55</v>
      </c>
      <c r="J3053" s="7" t="s">
        <v>17265</v>
      </c>
      <c r="K3053" s="5" t="s">
        <v>621</v>
      </c>
      <c r="L3053" s="5" t="s">
        <v>17266</v>
      </c>
      <c r="M3053" s="5" t="s">
        <v>45</v>
      </c>
      <c r="N3053" s="5" t="s">
        <v>80</v>
      </c>
      <c r="O3053" s="5" t="s">
        <v>67</v>
      </c>
      <c r="P3053" s="7" t="s">
        <v>47</v>
      </c>
      <c r="Q3053" s="7" t="s">
        <v>1167</v>
      </c>
      <c r="R3053" s="7" t="s">
        <v>624</v>
      </c>
      <c r="S3053" s="5">
        <v>0</v>
      </c>
      <c r="T3053" s="38">
        <v>0</v>
      </c>
      <c r="U3053" s="5">
        <v>0</v>
      </c>
      <c r="V3053" s="38">
        <v>0</v>
      </c>
      <c r="W3053" s="5">
        <v>0</v>
      </c>
      <c r="X3053" s="5">
        <v>0</v>
      </c>
      <c r="Y3053" s="5">
        <v>0</v>
      </c>
      <c r="Z3053" s="38">
        <v>0</v>
      </c>
      <c r="AA3053" s="5">
        <v>0</v>
      </c>
      <c r="AB3053" s="5">
        <v>0</v>
      </c>
      <c r="AC3053" s="5">
        <v>0</v>
      </c>
      <c r="AD3053" s="5">
        <v>0</v>
      </c>
      <c r="AE3053" s="7" t="s">
        <v>73</v>
      </c>
      <c r="AF3053" s="7"/>
      <c r="AG3053" s="5" t="s">
        <v>333</v>
      </c>
      <c r="AH3053" s="7">
        <v>43879</v>
      </c>
      <c r="AI3053" s="5">
        <v>3</v>
      </c>
      <c r="AJ3053" s="7" t="s">
        <v>50</v>
      </c>
      <c r="AK3053" s="7" t="s">
        <v>50</v>
      </c>
    </row>
    <row r="3054" spans="1:37" ht="36.75" customHeight="1" x14ac:dyDescent="0.35">
      <c r="A3054" s="23" t="s">
        <v>4890</v>
      </c>
      <c r="B3054" s="5" t="s">
        <v>37</v>
      </c>
      <c r="C3054" s="73" t="str">
        <f t="shared" si="47"/>
        <v>Closed</v>
      </c>
      <c r="D3054" s="45" t="s">
        <v>17267</v>
      </c>
      <c r="E3054" s="54" t="s">
        <v>17268</v>
      </c>
      <c r="F3054" s="5" t="s">
        <v>1553</v>
      </c>
      <c r="G3054" s="7">
        <f>DATE(2020,1,24)</f>
        <v>43854</v>
      </c>
      <c r="H3054" s="52">
        <v>1.7951388888888888</v>
      </c>
      <c r="I3054" s="5" t="s">
        <v>55</v>
      </c>
      <c r="J3054" s="7" t="s">
        <v>17269</v>
      </c>
      <c r="K3054" s="5" t="s">
        <v>1555</v>
      </c>
      <c r="L3054" s="5" t="s">
        <v>7909</v>
      </c>
      <c r="M3054" s="5" t="s">
        <v>45</v>
      </c>
      <c r="N3054" s="5" t="s">
        <v>123</v>
      </c>
      <c r="O3054" s="5" t="s">
        <v>59</v>
      </c>
      <c r="P3054" s="7" t="s">
        <v>60</v>
      </c>
      <c r="Q3054" s="7" t="s">
        <v>15538</v>
      </c>
      <c r="R3054" s="7" t="s">
        <v>6413</v>
      </c>
      <c r="S3054" s="5">
        <v>0</v>
      </c>
      <c r="T3054" s="38">
        <v>0</v>
      </c>
      <c r="U3054" s="5">
        <v>0</v>
      </c>
      <c r="V3054" s="38">
        <v>0</v>
      </c>
      <c r="W3054" s="5">
        <v>0</v>
      </c>
      <c r="X3054" s="5">
        <v>0</v>
      </c>
      <c r="Y3054" s="5">
        <v>0</v>
      </c>
      <c r="Z3054" s="38">
        <v>0</v>
      </c>
      <c r="AA3054" s="5">
        <v>0</v>
      </c>
      <c r="AB3054" s="5">
        <v>0</v>
      </c>
      <c r="AC3054" s="5">
        <v>0</v>
      </c>
      <c r="AD3054" s="5">
        <v>0</v>
      </c>
      <c r="AE3054" s="7" t="s">
        <v>73</v>
      </c>
      <c r="AF3054" s="7"/>
      <c r="AG3054" s="5" t="s">
        <v>114</v>
      </c>
      <c r="AH3054" s="7">
        <v>43858</v>
      </c>
      <c r="AI3054" s="5">
        <v>1</v>
      </c>
      <c r="AJ3054" s="7" t="s">
        <v>50</v>
      </c>
      <c r="AK3054" s="7" t="s">
        <v>50</v>
      </c>
    </row>
    <row r="3055" spans="1:37" ht="36.75" customHeight="1" x14ac:dyDescent="0.35">
      <c r="A3055" s="23" t="s">
        <v>4890</v>
      </c>
      <c r="B3055" s="5" t="s">
        <v>37</v>
      </c>
      <c r="C3055" s="73" t="str">
        <f t="shared" si="47"/>
        <v>Closed</v>
      </c>
      <c r="D3055" s="45" t="s">
        <v>17270</v>
      </c>
      <c r="E3055" s="54" t="s">
        <v>17271</v>
      </c>
      <c r="F3055" s="5" t="s">
        <v>1553</v>
      </c>
      <c r="G3055" s="7">
        <f>DATE(2020,1,25)</f>
        <v>43855</v>
      </c>
      <c r="H3055" s="34">
        <v>1.9930555555555554</v>
      </c>
      <c r="I3055" s="5" t="s">
        <v>106</v>
      </c>
      <c r="J3055" s="7" t="s">
        <v>17272</v>
      </c>
      <c r="K3055" s="5" t="s">
        <v>1555</v>
      </c>
      <c r="L3055" s="5" t="s">
        <v>17273</v>
      </c>
      <c r="M3055" s="5" t="s">
        <v>45</v>
      </c>
      <c r="N3055" s="5" t="s">
        <v>123</v>
      </c>
      <c r="O3055" s="5" t="s">
        <v>46</v>
      </c>
      <c r="P3055" s="7" t="s">
        <v>60</v>
      </c>
      <c r="Q3055" s="7" t="s">
        <v>6072</v>
      </c>
      <c r="R3055" s="7" t="s">
        <v>6413</v>
      </c>
      <c r="S3055" s="5">
        <v>0</v>
      </c>
      <c r="T3055" s="36">
        <v>0</v>
      </c>
      <c r="U3055" s="5">
        <v>0</v>
      </c>
      <c r="V3055" s="36">
        <v>0</v>
      </c>
      <c r="W3055" s="5">
        <v>0</v>
      </c>
      <c r="X3055" s="5">
        <v>0</v>
      </c>
      <c r="Y3055" s="5">
        <v>0</v>
      </c>
      <c r="Z3055" s="36">
        <v>0</v>
      </c>
      <c r="AA3055" s="5">
        <v>0</v>
      </c>
      <c r="AB3055" s="5">
        <v>0</v>
      </c>
      <c r="AC3055" s="5">
        <v>0</v>
      </c>
      <c r="AD3055" s="5">
        <v>0</v>
      </c>
      <c r="AE3055" s="7" t="s">
        <v>375</v>
      </c>
      <c r="AF3055" s="7"/>
      <c r="AG3055" s="7" t="s">
        <v>114</v>
      </c>
      <c r="AH3055" s="7">
        <v>43858</v>
      </c>
      <c r="AI3055" s="5">
        <v>5</v>
      </c>
      <c r="AJ3055" s="7" t="s">
        <v>50</v>
      </c>
      <c r="AK3055" s="7" t="s">
        <v>50</v>
      </c>
    </row>
    <row r="3056" spans="1:37" ht="36.75" customHeight="1" x14ac:dyDescent="0.35">
      <c r="A3056" s="5"/>
      <c r="B3056" s="5" t="s">
        <v>37</v>
      </c>
      <c r="C3056" s="73" t="str">
        <f t="shared" si="47"/>
        <v>Closed</v>
      </c>
      <c r="D3056" s="45" t="s">
        <v>17274</v>
      </c>
      <c r="E3056" s="54" t="s">
        <v>17275</v>
      </c>
      <c r="F3056" s="5" t="s">
        <v>214</v>
      </c>
      <c r="G3056" s="7">
        <f>DATE(2020,1,25)</f>
        <v>43855</v>
      </c>
      <c r="H3056" s="34">
        <v>1.4875</v>
      </c>
      <c r="I3056" s="5" t="s">
        <v>179</v>
      </c>
      <c r="J3056" s="7" t="s">
        <v>17276</v>
      </c>
      <c r="K3056" s="5" t="s">
        <v>216</v>
      </c>
      <c r="L3056" s="5" t="s">
        <v>17277</v>
      </c>
      <c r="M3056" s="5" t="s">
        <v>45</v>
      </c>
      <c r="N3056" s="5" t="s">
        <v>123</v>
      </c>
      <c r="O3056" s="5" t="s">
        <v>46</v>
      </c>
      <c r="P3056" s="7" t="s">
        <v>67</v>
      </c>
      <c r="Q3056" s="7" t="s">
        <v>699</v>
      </c>
      <c r="R3056" s="7" t="s">
        <v>216</v>
      </c>
      <c r="S3056" s="5">
        <v>0</v>
      </c>
      <c r="T3056" s="36">
        <v>0</v>
      </c>
      <c r="U3056" s="5">
        <v>0</v>
      </c>
      <c r="V3056" s="36">
        <v>0</v>
      </c>
      <c r="W3056" s="5">
        <v>0</v>
      </c>
      <c r="X3056" s="5">
        <v>0</v>
      </c>
      <c r="Y3056" s="5">
        <v>0</v>
      </c>
      <c r="Z3056" s="36">
        <v>0</v>
      </c>
      <c r="AA3056" s="5">
        <v>0</v>
      </c>
      <c r="AB3056" s="5">
        <v>0</v>
      </c>
      <c r="AC3056" s="5">
        <v>0</v>
      </c>
      <c r="AD3056" s="5">
        <v>0</v>
      </c>
      <c r="AE3056" s="7" t="s">
        <v>73</v>
      </c>
      <c r="AF3056" s="7"/>
      <c r="AG3056" s="7" t="s">
        <v>114</v>
      </c>
      <c r="AH3056" s="7">
        <v>43871</v>
      </c>
      <c r="AI3056" s="5">
        <v>5</v>
      </c>
      <c r="AJ3056" s="7" t="s">
        <v>17278</v>
      </c>
      <c r="AK3056" s="7" t="s">
        <v>17279</v>
      </c>
    </row>
    <row r="3057" spans="1:37" ht="36.75" customHeight="1" x14ac:dyDescent="0.35">
      <c r="A3057" s="5"/>
      <c r="B3057" s="5" t="s">
        <v>37</v>
      </c>
      <c r="C3057" s="73" t="str">
        <f t="shared" si="47"/>
        <v>Closed</v>
      </c>
      <c r="D3057" s="45" t="s">
        <v>17280</v>
      </c>
      <c r="E3057" s="54" t="s">
        <v>17281</v>
      </c>
      <c r="F3057" s="5" t="s">
        <v>816</v>
      </c>
      <c r="G3057" s="7">
        <f>DATE(2020,1,28)</f>
        <v>43858</v>
      </c>
      <c r="H3057" s="34">
        <v>1.3895833333333334</v>
      </c>
      <c r="I3057" s="5" t="s">
        <v>85</v>
      </c>
      <c r="J3057" s="7" t="s">
        <v>17282</v>
      </c>
      <c r="K3057" s="5" t="s">
        <v>818</v>
      </c>
      <c r="L3057" s="5" t="s">
        <v>17283</v>
      </c>
      <c r="M3057" s="5" t="s">
        <v>45</v>
      </c>
      <c r="N3057" s="5" t="s">
        <v>80</v>
      </c>
      <c r="O3057" s="5" t="s">
        <v>46</v>
      </c>
      <c r="P3057" s="7" t="s">
        <v>47</v>
      </c>
      <c r="Q3057" s="7" t="s">
        <v>2142</v>
      </c>
      <c r="R3057" s="7" t="s">
        <v>821</v>
      </c>
      <c r="S3057" s="5">
        <v>0</v>
      </c>
      <c r="T3057" s="36">
        <v>0</v>
      </c>
      <c r="U3057" s="5">
        <v>0</v>
      </c>
      <c r="V3057" s="36">
        <v>0</v>
      </c>
      <c r="W3057" s="5">
        <v>0</v>
      </c>
      <c r="X3057" s="5">
        <v>0</v>
      </c>
      <c r="Y3057" s="5">
        <v>0</v>
      </c>
      <c r="Z3057" s="36">
        <v>0</v>
      </c>
      <c r="AA3057" s="5">
        <v>0</v>
      </c>
      <c r="AB3057" s="5">
        <v>0</v>
      </c>
      <c r="AC3057" s="5">
        <v>0</v>
      </c>
      <c r="AD3057" s="5">
        <v>0</v>
      </c>
      <c r="AE3057" s="7" t="s">
        <v>73</v>
      </c>
      <c r="AF3057" s="7" t="s">
        <v>16920</v>
      </c>
      <c r="AG3057" s="7" t="s">
        <v>13508</v>
      </c>
      <c r="AH3057" s="7">
        <v>43868</v>
      </c>
      <c r="AI3057" s="5">
        <v>0</v>
      </c>
      <c r="AJ3057" s="7" t="s">
        <v>17284</v>
      </c>
      <c r="AK3057" s="7" t="s">
        <v>17285</v>
      </c>
    </row>
    <row r="3058" spans="1:37" ht="36.75" customHeight="1" x14ac:dyDescent="0.35">
      <c r="A3058" s="23" t="s">
        <v>4890</v>
      </c>
      <c r="B3058" s="5" t="s">
        <v>37</v>
      </c>
      <c r="C3058" s="73" t="str">
        <f t="shared" si="47"/>
        <v>Closed</v>
      </c>
      <c r="D3058" s="45" t="s">
        <v>17286</v>
      </c>
      <c r="E3058" s="54" t="s">
        <v>17287</v>
      </c>
      <c r="F3058" s="5" t="s">
        <v>105</v>
      </c>
      <c r="G3058" s="7">
        <f>DATE(2020,1,28)</f>
        <v>43858</v>
      </c>
      <c r="H3058" s="34">
        <v>1.8888888888888888</v>
      </c>
      <c r="I3058" s="5" t="s">
        <v>97</v>
      </c>
      <c r="J3058" s="7" t="s">
        <v>17288</v>
      </c>
      <c r="K3058" s="5" t="s">
        <v>108</v>
      </c>
      <c r="L3058" s="5" t="s">
        <v>17289</v>
      </c>
      <c r="M3058" s="5" t="s">
        <v>45</v>
      </c>
      <c r="N3058" s="5" t="s">
        <v>80</v>
      </c>
      <c r="O3058" s="5" t="s">
        <v>59</v>
      </c>
      <c r="P3058" s="7" t="s">
        <v>6920</v>
      </c>
      <c r="Q3058" s="7" t="s">
        <v>210</v>
      </c>
      <c r="R3058" s="7" t="s">
        <v>148</v>
      </c>
      <c r="S3058" s="5">
        <v>0</v>
      </c>
      <c r="T3058" s="36">
        <v>0</v>
      </c>
      <c r="U3058" s="5">
        <v>1</v>
      </c>
      <c r="V3058" s="36">
        <v>0</v>
      </c>
      <c r="W3058" s="5">
        <v>0</v>
      </c>
      <c r="X3058" s="5">
        <v>1</v>
      </c>
      <c r="Y3058" s="5">
        <v>0</v>
      </c>
      <c r="Z3058" s="36">
        <v>0</v>
      </c>
      <c r="AA3058" s="5">
        <v>0</v>
      </c>
      <c r="AB3058" s="5">
        <v>0</v>
      </c>
      <c r="AC3058" s="5">
        <v>0</v>
      </c>
      <c r="AD3058" s="5">
        <v>0</v>
      </c>
      <c r="AE3058" s="7" t="s">
        <v>73</v>
      </c>
      <c r="AF3058" s="7"/>
      <c r="AG3058" s="7" t="s">
        <v>64</v>
      </c>
      <c r="AH3058" s="7">
        <v>43859</v>
      </c>
      <c r="AI3058" s="5">
        <v>1</v>
      </c>
      <c r="AJ3058" s="7" t="s">
        <v>50</v>
      </c>
      <c r="AK3058" s="7" t="s">
        <v>50</v>
      </c>
    </row>
    <row r="3059" spans="1:37" ht="36.75" customHeight="1" x14ac:dyDescent="0.35">
      <c r="A3059" s="5"/>
      <c r="B3059" s="5" t="s">
        <v>37</v>
      </c>
      <c r="C3059" s="73" t="str">
        <f t="shared" si="47"/>
        <v>Closed</v>
      </c>
      <c r="D3059" s="45" t="s">
        <v>17290</v>
      </c>
      <c r="E3059" s="54" t="s">
        <v>17291</v>
      </c>
      <c r="F3059" s="5" t="s">
        <v>214</v>
      </c>
      <c r="G3059" s="7">
        <f>DATE(2020,1,28)</f>
        <v>43858</v>
      </c>
      <c r="H3059" s="34">
        <v>1.4805555555555556</v>
      </c>
      <c r="I3059" s="5" t="s">
        <v>55</v>
      </c>
      <c r="J3059" s="7" t="s">
        <v>17292</v>
      </c>
      <c r="K3059" s="5" t="s">
        <v>216</v>
      </c>
      <c r="L3059" s="5" t="s">
        <v>17293</v>
      </c>
      <c r="M3059" s="5" t="s">
        <v>45</v>
      </c>
      <c r="N3059" s="5" t="s">
        <v>70</v>
      </c>
      <c r="O3059" s="5" t="s">
        <v>46</v>
      </c>
      <c r="P3059" s="7" t="s">
        <v>60</v>
      </c>
      <c r="Q3059" s="7" t="s">
        <v>415</v>
      </c>
      <c r="R3059" s="7" t="s">
        <v>216</v>
      </c>
      <c r="S3059" s="5">
        <v>0</v>
      </c>
      <c r="T3059" s="36">
        <v>0</v>
      </c>
      <c r="U3059" s="5">
        <v>0</v>
      </c>
      <c r="V3059" s="36">
        <v>0</v>
      </c>
      <c r="W3059" s="5">
        <v>0</v>
      </c>
      <c r="X3059" s="5">
        <v>0</v>
      </c>
      <c r="Y3059" s="5">
        <v>0</v>
      </c>
      <c r="Z3059" s="36">
        <v>0</v>
      </c>
      <c r="AA3059" s="5">
        <v>0</v>
      </c>
      <c r="AB3059" s="5">
        <v>0</v>
      </c>
      <c r="AC3059" s="5">
        <v>0</v>
      </c>
      <c r="AD3059" s="5">
        <v>0</v>
      </c>
      <c r="AE3059" s="7" t="s">
        <v>375</v>
      </c>
      <c r="AF3059" s="7"/>
      <c r="AG3059" s="7" t="s">
        <v>114</v>
      </c>
      <c r="AH3059" s="7">
        <v>43864</v>
      </c>
      <c r="AI3059" s="5">
        <v>2</v>
      </c>
      <c r="AJ3059" s="7" t="s">
        <v>17294</v>
      </c>
      <c r="AK3059" s="7" t="s">
        <v>17295</v>
      </c>
    </row>
    <row r="3060" spans="1:37" ht="36.75" customHeight="1" x14ac:dyDescent="0.35">
      <c r="A3060" s="23" t="s">
        <v>4890</v>
      </c>
      <c r="B3060" s="5" t="s">
        <v>37</v>
      </c>
      <c r="C3060" s="73" t="str">
        <f t="shared" si="47"/>
        <v>Closed</v>
      </c>
      <c r="D3060" s="45" t="s">
        <v>17296</v>
      </c>
      <c r="E3060" s="54" t="s">
        <v>17297</v>
      </c>
      <c r="F3060" s="5" t="s">
        <v>1553</v>
      </c>
      <c r="G3060" s="7">
        <f>DATE(2020,1,29)</f>
        <v>43859</v>
      </c>
      <c r="H3060" s="34">
        <v>1.5916666666666668</v>
      </c>
      <c r="I3060" s="5" t="s">
        <v>55</v>
      </c>
      <c r="J3060" s="7" t="s">
        <v>17298</v>
      </c>
      <c r="K3060" s="5" t="s">
        <v>1555</v>
      </c>
      <c r="L3060" s="5" t="s">
        <v>13691</v>
      </c>
      <c r="M3060" s="5" t="s">
        <v>45</v>
      </c>
      <c r="N3060" s="5" t="s">
        <v>123</v>
      </c>
      <c r="O3060" s="5" t="s">
        <v>59</v>
      </c>
      <c r="P3060" s="7" t="s">
        <v>60</v>
      </c>
      <c r="Q3060" s="7" t="s">
        <v>2635</v>
      </c>
      <c r="R3060" s="7" t="s">
        <v>6413</v>
      </c>
      <c r="S3060" s="5">
        <v>0</v>
      </c>
      <c r="T3060" s="36">
        <v>0</v>
      </c>
      <c r="U3060" s="5">
        <v>0</v>
      </c>
      <c r="V3060" s="36">
        <v>0</v>
      </c>
      <c r="W3060" s="5">
        <v>0</v>
      </c>
      <c r="X3060" s="5">
        <v>0</v>
      </c>
      <c r="Y3060" s="5">
        <v>0</v>
      </c>
      <c r="Z3060" s="36">
        <v>0</v>
      </c>
      <c r="AA3060" s="5">
        <v>0</v>
      </c>
      <c r="AB3060" s="5">
        <v>0</v>
      </c>
      <c r="AC3060" s="5">
        <v>0</v>
      </c>
      <c r="AD3060" s="5">
        <v>0</v>
      </c>
      <c r="AE3060" s="7" t="s">
        <v>73</v>
      </c>
      <c r="AF3060" s="7"/>
      <c r="AG3060" s="7" t="s">
        <v>114</v>
      </c>
      <c r="AH3060" s="7">
        <v>43861</v>
      </c>
      <c r="AI3060" s="5">
        <v>1</v>
      </c>
      <c r="AJ3060" s="7" t="s">
        <v>50</v>
      </c>
      <c r="AK3060" s="7" t="s">
        <v>50</v>
      </c>
    </row>
    <row r="3061" spans="1:37" ht="36.75" customHeight="1" x14ac:dyDescent="0.35">
      <c r="A3061" s="23" t="s">
        <v>4890</v>
      </c>
      <c r="B3061" s="5" t="s">
        <v>37</v>
      </c>
      <c r="C3061" s="73" t="str">
        <f t="shared" si="47"/>
        <v>Closed</v>
      </c>
      <c r="D3061" s="45" t="s">
        <v>17299</v>
      </c>
      <c r="E3061" s="54" t="s">
        <v>17300</v>
      </c>
      <c r="F3061" s="5" t="s">
        <v>1553</v>
      </c>
      <c r="G3061" s="7">
        <f>DATE(2020,1,29)</f>
        <v>43859</v>
      </c>
      <c r="H3061" s="34">
        <v>1.7604166666666665</v>
      </c>
      <c r="I3061" s="5" t="s">
        <v>55</v>
      </c>
      <c r="J3061" s="7" t="s">
        <v>17301</v>
      </c>
      <c r="K3061" s="5" t="s">
        <v>1555</v>
      </c>
      <c r="L3061" s="5" t="s">
        <v>17302</v>
      </c>
      <c r="M3061" s="5" t="s">
        <v>45</v>
      </c>
      <c r="N3061" s="5" t="s">
        <v>80</v>
      </c>
      <c r="O3061" s="5" t="s">
        <v>46</v>
      </c>
      <c r="P3061" s="7" t="s">
        <v>60</v>
      </c>
      <c r="Q3061" s="7" t="s">
        <v>2635</v>
      </c>
      <c r="R3061" s="7" t="s">
        <v>6413</v>
      </c>
      <c r="S3061" s="5">
        <v>0</v>
      </c>
      <c r="T3061" s="36">
        <v>0</v>
      </c>
      <c r="U3061" s="5">
        <v>0</v>
      </c>
      <c r="V3061" s="36">
        <v>0</v>
      </c>
      <c r="W3061" s="5">
        <v>0</v>
      </c>
      <c r="X3061" s="5">
        <v>0</v>
      </c>
      <c r="Y3061" s="5">
        <v>0</v>
      </c>
      <c r="Z3061" s="36">
        <v>0</v>
      </c>
      <c r="AA3061" s="5">
        <v>0</v>
      </c>
      <c r="AB3061" s="5">
        <v>0</v>
      </c>
      <c r="AC3061" s="5">
        <v>0</v>
      </c>
      <c r="AD3061" s="5">
        <v>0</v>
      </c>
      <c r="AE3061" s="7" t="s">
        <v>73</v>
      </c>
      <c r="AF3061" s="7"/>
      <c r="AG3061" s="7" t="s">
        <v>114</v>
      </c>
      <c r="AH3061" s="7">
        <v>43861</v>
      </c>
      <c r="AI3061" s="5">
        <v>1</v>
      </c>
      <c r="AJ3061" s="7" t="s">
        <v>50</v>
      </c>
      <c r="AK3061" s="7" t="s">
        <v>50</v>
      </c>
    </row>
    <row r="3062" spans="1:37" ht="36.75" customHeight="1" x14ac:dyDescent="0.35">
      <c r="A3062" s="5"/>
      <c r="B3062" s="5" t="s">
        <v>37</v>
      </c>
      <c r="C3062" s="73" t="str">
        <f t="shared" si="47"/>
        <v>Closed</v>
      </c>
      <c r="D3062" s="45" t="s">
        <v>17303</v>
      </c>
      <c r="E3062" s="54" t="s">
        <v>17304</v>
      </c>
      <c r="F3062" s="5" t="s">
        <v>17305</v>
      </c>
      <c r="G3062" s="7">
        <f>DATE(2020,2,1)</f>
        <v>43862</v>
      </c>
      <c r="H3062" s="34">
        <v>0</v>
      </c>
      <c r="I3062" s="5" t="s">
        <v>10353</v>
      </c>
      <c r="J3062" s="7" t="s">
        <v>17306</v>
      </c>
      <c r="K3062" s="5" t="s">
        <v>108</v>
      </c>
      <c r="L3062" s="5" t="s">
        <v>17307</v>
      </c>
      <c r="M3062" s="5" t="s">
        <v>45</v>
      </c>
      <c r="N3062" s="5" t="s">
        <v>123</v>
      </c>
      <c r="O3062" s="5" t="s">
        <v>46</v>
      </c>
      <c r="P3062" s="7" t="s">
        <v>67</v>
      </c>
      <c r="Q3062" s="7" t="s">
        <v>17308</v>
      </c>
      <c r="R3062" s="7" t="s">
        <v>148</v>
      </c>
      <c r="S3062" s="5">
        <v>0</v>
      </c>
      <c r="T3062" s="36">
        <v>0</v>
      </c>
      <c r="U3062" s="5">
        <v>0</v>
      </c>
      <c r="V3062" s="36">
        <v>0</v>
      </c>
      <c r="W3062" s="5">
        <v>0</v>
      </c>
      <c r="X3062" s="5">
        <v>0</v>
      </c>
      <c r="Y3062" s="5">
        <v>0</v>
      </c>
      <c r="Z3062" s="36">
        <v>3</v>
      </c>
      <c r="AA3062" s="5">
        <v>0</v>
      </c>
      <c r="AB3062" s="5">
        <v>0</v>
      </c>
      <c r="AC3062" s="5">
        <v>0</v>
      </c>
      <c r="AD3062" s="5">
        <v>3</v>
      </c>
      <c r="AE3062" s="7" t="s">
        <v>73</v>
      </c>
      <c r="AF3062" s="7"/>
      <c r="AG3062" s="7" t="s">
        <v>333</v>
      </c>
      <c r="AH3062" s="7">
        <v>43862</v>
      </c>
      <c r="AI3062" s="5">
        <v>4</v>
      </c>
      <c r="AJ3062" s="7" t="s">
        <v>50</v>
      </c>
      <c r="AK3062" s="7" t="s">
        <v>17309</v>
      </c>
    </row>
    <row r="3063" spans="1:37" ht="36.75" customHeight="1" x14ac:dyDescent="0.35">
      <c r="A3063" s="5"/>
      <c r="B3063" s="5" t="s">
        <v>887</v>
      </c>
      <c r="C3063" s="73" t="str">
        <f t="shared" si="47"/>
        <v>Open</v>
      </c>
      <c r="D3063" s="45" t="s">
        <v>17310</v>
      </c>
      <c r="E3063" s="54" t="s">
        <v>17311</v>
      </c>
      <c r="F3063" s="5" t="s">
        <v>575</v>
      </c>
      <c r="G3063" s="7">
        <f>DATE(2020,2,1)</f>
        <v>43862</v>
      </c>
      <c r="H3063" s="34">
        <v>1.3798611111111112</v>
      </c>
      <c r="I3063" s="5" t="s">
        <v>55</v>
      </c>
      <c r="J3063" s="7" t="s">
        <v>17312</v>
      </c>
      <c r="K3063" s="5" t="s">
        <v>577</v>
      </c>
      <c r="L3063" s="5" t="s">
        <v>17313</v>
      </c>
      <c r="M3063" s="5" t="s">
        <v>45</v>
      </c>
      <c r="N3063" s="5" t="s">
        <v>80</v>
      </c>
      <c r="O3063" s="5" t="s">
        <v>46</v>
      </c>
      <c r="P3063" s="7" t="s">
        <v>60</v>
      </c>
      <c r="Q3063" s="7" t="s">
        <v>13117</v>
      </c>
      <c r="R3063" s="7" t="s">
        <v>12052</v>
      </c>
      <c r="S3063" s="5">
        <v>0</v>
      </c>
      <c r="T3063" s="36">
        <v>0</v>
      </c>
      <c r="U3063" s="5">
        <v>0</v>
      </c>
      <c r="V3063" s="36">
        <v>0</v>
      </c>
      <c r="W3063" s="5">
        <v>0</v>
      </c>
      <c r="X3063" s="5">
        <v>0</v>
      </c>
      <c r="Y3063" s="5">
        <v>0</v>
      </c>
      <c r="Z3063" s="36">
        <v>0</v>
      </c>
      <c r="AA3063" s="5">
        <v>0</v>
      </c>
      <c r="AB3063" s="5">
        <v>0</v>
      </c>
      <c r="AC3063" s="5">
        <v>0</v>
      </c>
      <c r="AD3063" s="5">
        <v>0</v>
      </c>
      <c r="AE3063" s="7" t="s">
        <v>73</v>
      </c>
      <c r="AF3063" s="7"/>
      <c r="AG3063" s="7" t="s">
        <v>114</v>
      </c>
      <c r="AH3063" s="7">
        <v>43923</v>
      </c>
      <c r="AI3063" s="5">
        <v>0</v>
      </c>
      <c r="AJ3063" s="7" t="s">
        <v>50</v>
      </c>
      <c r="AK3063" s="7" t="s">
        <v>50</v>
      </c>
    </row>
    <row r="3064" spans="1:37" ht="36.75" customHeight="1" x14ac:dyDescent="0.35">
      <c r="A3064" s="23" t="s">
        <v>4890</v>
      </c>
      <c r="B3064" s="5" t="s">
        <v>37</v>
      </c>
      <c r="C3064" s="73" t="str">
        <f t="shared" si="47"/>
        <v>Closed</v>
      </c>
      <c r="D3064" s="45" t="s">
        <v>17314</v>
      </c>
      <c r="E3064" s="54" t="s">
        <v>17315</v>
      </c>
      <c r="F3064" s="5" t="s">
        <v>1553</v>
      </c>
      <c r="G3064" s="7">
        <f>DATE(2020,2,2)</f>
        <v>43863</v>
      </c>
      <c r="H3064" s="34">
        <v>1.4479166666666667</v>
      </c>
      <c r="I3064" s="5" t="s">
        <v>55</v>
      </c>
      <c r="J3064" s="7" t="s">
        <v>17316</v>
      </c>
      <c r="K3064" s="5" t="s">
        <v>1555</v>
      </c>
      <c r="L3064" s="5" t="s">
        <v>7909</v>
      </c>
      <c r="M3064" s="5" t="s">
        <v>45</v>
      </c>
      <c r="N3064" s="5" t="s">
        <v>123</v>
      </c>
      <c r="O3064" s="5" t="s">
        <v>59</v>
      </c>
      <c r="P3064" s="7" t="s">
        <v>60</v>
      </c>
      <c r="Q3064" s="7" t="s">
        <v>15538</v>
      </c>
      <c r="R3064" s="7" t="s">
        <v>6413</v>
      </c>
      <c r="S3064" s="5">
        <v>0</v>
      </c>
      <c r="T3064" s="36">
        <v>0</v>
      </c>
      <c r="U3064" s="5">
        <v>0</v>
      </c>
      <c r="V3064" s="36">
        <v>0</v>
      </c>
      <c r="W3064" s="5">
        <v>0</v>
      </c>
      <c r="X3064" s="5">
        <v>0</v>
      </c>
      <c r="Y3064" s="5">
        <v>0</v>
      </c>
      <c r="Z3064" s="36">
        <v>0</v>
      </c>
      <c r="AA3064" s="5">
        <v>0</v>
      </c>
      <c r="AB3064" s="5">
        <v>0</v>
      </c>
      <c r="AC3064" s="5">
        <v>0</v>
      </c>
      <c r="AD3064" s="5">
        <v>0</v>
      </c>
      <c r="AE3064" s="7" t="s">
        <v>73</v>
      </c>
      <c r="AF3064" s="7"/>
      <c r="AG3064" s="7" t="s">
        <v>114</v>
      </c>
      <c r="AH3064" s="7">
        <v>43865</v>
      </c>
      <c r="AI3064" s="5">
        <v>2</v>
      </c>
      <c r="AJ3064" s="7" t="s">
        <v>50</v>
      </c>
      <c r="AK3064" s="7" t="s">
        <v>50</v>
      </c>
    </row>
    <row r="3065" spans="1:37" ht="36.75" customHeight="1" x14ac:dyDescent="0.35">
      <c r="A3065" s="5"/>
      <c r="B3065" s="5" t="s">
        <v>37</v>
      </c>
      <c r="C3065" s="73" t="str">
        <f t="shared" si="47"/>
        <v>Closed</v>
      </c>
      <c r="D3065" s="45" t="s">
        <v>17317</v>
      </c>
      <c r="E3065" s="54" t="s">
        <v>17318</v>
      </c>
      <c r="F3065" s="5" t="s">
        <v>816</v>
      </c>
      <c r="G3065" s="7">
        <f>DATE(2020,2,3)</f>
        <v>43864</v>
      </c>
      <c r="H3065" s="34">
        <v>1.8986111111111112</v>
      </c>
      <c r="I3065" s="5" t="s">
        <v>179</v>
      </c>
      <c r="J3065" s="7" t="s">
        <v>17319</v>
      </c>
      <c r="K3065" s="5" t="s">
        <v>818</v>
      </c>
      <c r="L3065" s="5" t="s">
        <v>17320</v>
      </c>
      <c r="M3065" s="5" t="s">
        <v>45</v>
      </c>
      <c r="N3065" s="5" t="s">
        <v>70</v>
      </c>
      <c r="O3065" s="5" t="s">
        <v>59</v>
      </c>
      <c r="P3065" s="7" t="s">
        <v>12339</v>
      </c>
      <c r="Q3065" s="7" t="s">
        <v>17321</v>
      </c>
      <c r="R3065" s="7" t="s">
        <v>821</v>
      </c>
      <c r="S3065" s="5">
        <v>0</v>
      </c>
      <c r="T3065" s="36">
        <v>0</v>
      </c>
      <c r="U3065" s="5">
        <v>0</v>
      </c>
      <c r="V3065" s="36">
        <v>0</v>
      </c>
      <c r="W3065" s="5">
        <v>0</v>
      </c>
      <c r="X3065" s="5">
        <v>0</v>
      </c>
      <c r="Y3065" s="5">
        <v>0</v>
      </c>
      <c r="Z3065" s="36">
        <v>0</v>
      </c>
      <c r="AA3065" s="5">
        <v>0</v>
      </c>
      <c r="AB3065" s="5">
        <v>0</v>
      </c>
      <c r="AC3065" s="5">
        <v>0</v>
      </c>
      <c r="AD3065" s="5">
        <v>0</v>
      </c>
      <c r="AE3065" s="7" t="s">
        <v>73</v>
      </c>
      <c r="AF3065" s="7" t="s">
        <v>17322</v>
      </c>
      <c r="AG3065" s="7" t="s">
        <v>333</v>
      </c>
      <c r="AH3065" s="7">
        <v>43864</v>
      </c>
      <c r="AI3065" s="5">
        <v>0</v>
      </c>
      <c r="AJ3065" s="7" t="s">
        <v>17323</v>
      </c>
      <c r="AK3065" s="7" t="s">
        <v>17324</v>
      </c>
    </row>
    <row r="3066" spans="1:37" ht="36.75" customHeight="1" x14ac:dyDescent="0.35">
      <c r="A3066" s="5"/>
      <c r="B3066" s="5" t="s">
        <v>37</v>
      </c>
      <c r="C3066" s="73" t="str">
        <f t="shared" si="47"/>
        <v>Closed</v>
      </c>
      <c r="D3066" s="45" t="s">
        <v>17325</v>
      </c>
      <c r="E3066" s="54" t="s">
        <v>17326</v>
      </c>
      <c r="F3066" s="5" t="s">
        <v>16397</v>
      </c>
      <c r="G3066" s="7">
        <f>DATE(2020,2,4)</f>
        <v>43865</v>
      </c>
      <c r="H3066" s="34">
        <v>1.9381944444444446</v>
      </c>
      <c r="I3066" s="5" t="s">
        <v>85</v>
      </c>
      <c r="J3066" s="7" t="s">
        <v>17327</v>
      </c>
      <c r="K3066" s="5" t="s">
        <v>406</v>
      </c>
      <c r="L3066" s="5" t="s">
        <v>17328</v>
      </c>
      <c r="M3066" s="5" t="s">
        <v>45</v>
      </c>
      <c r="N3066" s="5" t="s">
        <v>70</v>
      </c>
      <c r="O3066" s="5" t="s">
        <v>59</v>
      </c>
      <c r="P3066" s="7" t="s">
        <v>7341</v>
      </c>
      <c r="Q3066" s="7" t="s">
        <v>17329</v>
      </c>
      <c r="R3066" s="7" t="s">
        <v>17330</v>
      </c>
      <c r="S3066" s="5">
        <v>0</v>
      </c>
      <c r="T3066" s="36">
        <v>0</v>
      </c>
      <c r="U3066" s="5">
        <v>0</v>
      </c>
      <c r="V3066" s="36">
        <v>0</v>
      </c>
      <c r="W3066" s="5">
        <v>0</v>
      </c>
      <c r="X3066" s="5">
        <v>0</v>
      </c>
      <c r="Y3066" s="5">
        <v>0</v>
      </c>
      <c r="Z3066" s="36">
        <v>0</v>
      </c>
      <c r="AA3066" s="5">
        <v>0</v>
      </c>
      <c r="AB3066" s="5">
        <v>0</v>
      </c>
      <c r="AC3066" s="5">
        <v>0</v>
      </c>
      <c r="AD3066" s="5">
        <v>0</v>
      </c>
      <c r="AE3066" s="5">
        <v>0</v>
      </c>
      <c r="AF3066" s="7"/>
      <c r="AG3066" s="7" t="s">
        <v>17331</v>
      </c>
      <c r="AH3066" s="7">
        <v>43865</v>
      </c>
      <c r="AI3066" s="5">
        <v>0</v>
      </c>
      <c r="AJ3066" s="7" t="s">
        <v>17332</v>
      </c>
      <c r="AK3066" s="7" t="s">
        <v>17333</v>
      </c>
    </row>
    <row r="3067" spans="1:37" ht="36.75" customHeight="1" x14ac:dyDescent="0.35">
      <c r="A3067" s="5"/>
      <c r="B3067" s="5" t="s">
        <v>37</v>
      </c>
      <c r="C3067" s="73" t="str">
        <f t="shared" si="47"/>
        <v>Closed</v>
      </c>
      <c r="D3067" s="45" t="s">
        <v>17334</v>
      </c>
      <c r="E3067" s="54" t="s">
        <v>17335</v>
      </c>
      <c r="F3067" s="5" t="s">
        <v>6434</v>
      </c>
      <c r="G3067" s="7">
        <f>DATE(2020,2,4)</f>
        <v>43865</v>
      </c>
      <c r="H3067" s="34">
        <v>1.4875</v>
      </c>
      <c r="I3067" s="5" t="s">
        <v>55</v>
      </c>
      <c r="J3067" s="7" t="s">
        <v>17336</v>
      </c>
      <c r="K3067" s="5" t="s">
        <v>565</v>
      </c>
      <c r="L3067" s="5" t="s">
        <v>17337</v>
      </c>
      <c r="M3067" s="5" t="s">
        <v>45</v>
      </c>
      <c r="N3067" s="5" t="s">
        <v>123</v>
      </c>
      <c r="O3067" s="5" t="s">
        <v>59</v>
      </c>
      <c r="P3067" s="7" t="s">
        <v>60</v>
      </c>
      <c r="Q3067" s="7" t="s">
        <v>17338</v>
      </c>
      <c r="R3067" s="7" t="s">
        <v>17339</v>
      </c>
      <c r="S3067" s="5">
        <v>0</v>
      </c>
      <c r="T3067" s="36">
        <v>0</v>
      </c>
      <c r="U3067" s="5">
        <v>0</v>
      </c>
      <c r="V3067" s="36">
        <v>0</v>
      </c>
      <c r="W3067" s="5">
        <v>0</v>
      </c>
      <c r="X3067" s="5">
        <v>0</v>
      </c>
      <c r="Y3067" s="5">
        <v>0</v>
      </c>
      <c r="Z3067" s="36">
        <v>0</v>
      </c>
      <c r="AA3067" s="5">
        <v>0</v>
      </c>
      <c r="AB3067" s="5">
        <v>0</v>
      </c>
      <c r="AC3067" s="5">
        <v>0</v>
      </c>
      <c r="AD3067" s="5">
        <v>0</v>
      </c>
      <c r="AE3067" s="7" t="s">
        <v>375</v>
      </c>
      <c r="AF3067" s="7" t="s">
        <v>17340</v>
      </c>
      <c r="AG3067" s="7" t="s">
        <v>6438</v>
      </c>
      <c r="AH3067" s="7">
        <v>43866</v>
      </c>
      <c r="AI3067" s="5">
        <v>0</v>
      </c>
      <c r="AJ3067" s="7" t="s">
        <v>17341</v>
      </c>
      <c r="AK3067" s="7" t="s">
        <v>50</v>
      </c>
    </row>
    <row r="3068" spans="1:37" ht="36.75" customHeight="1" x14ac:dyDescent="0.35">
      <c r="A3068" s="5"/>
      <c r="B3068" s="5" t="s">
        <v>37</v>
      </c>
      <c r="C3068" s="73" t="str">
        <f t="shared" si="47"/>
        <v>Closed</v>
      </c>
      <c r="D3068" s="45" t="s">
        <v>17342</v>
      </c>
      <c r="E3068" s="54" t="s">
        <v>17343</v>
      </c>
      <c r="F3068" s="5" t="s">
        <v>816</v>
      </c>
      <c r="G3068" s="7">
        <f>DATE(2020,2,4)</f>
        <v>43865</v>
      </c>
      <c r="H3068" s="34">
        <v>1.3958333333333333</v>
      </c>
      <c r="I3068" s="5" t="s">
        <v>55</v>
      </c>
      <c r="J3068" s="7" t="s">
        <v>17344</v>
      </c>
      <c r="K3068" s="5" t="s">
        <v>818</v>
      </c>
      <c r="L3068" s="5" t="s">
        <v>17345</v>
      </c>
      <c r="M3068" s="5" t="s">
        <v>45</v>
      </c>
      <c r="N3068" s="5" t="s">
        <v>123</v>
      </c>
      <c r="O3068" s="5" t="s">
        <v>59</v>
      </c>
      <c r="P3068" s="7" t="s">
        <v>6920</v>
      </c>
      <c r="Q3068" s="7" t="s">
        <v>2142</v>
      </c>
      <c r="R3068" s="7" t="s">
        <v>821</v>
      </c>
      <c r="S3068" s="5">
        <v>0</v>
      </c>
      <c r="T3068" s="36">
        <v>0</v>
      </c>
      <c r="U3068" s="5">
        <v>0</v>
      </c>
      <c r="V3068" s="36">
        <v>0</v>
      </c>
      <c r="W3068" s="5">
        <v>0</v>
      </c>
      <c r="X3068" s="5">
        <v>0</v>
      </c>
      <c r="Y3068" s="5">
        <v>0</v>
      </c>
      <c r="Z3068" s="36">
        <v>0</v>
      </c>
      <c r="AA3068" s="5">
        <v>0</v>
      </c>
      <c r="AB3068" s="5">
        <v>0</v>
      </c>
      <c r="AC3068" s="5">
        <v>0</v>
      </c>
      <c r="AD3068" s="5">
        <v>0</v>
      </c>
      <c r="AE3068" s="7" t="s">
        <v>73</v>
      </c>
      <c r="AF3068" s="7" t="s">
        <v>17346</v>
      </c>
      <c r="AG3068" s="7" t="s">
        <v>2064</v>
      </c>
      <c r="AH3068" s="7">
        <v>43865</v>
      </c>
      <c r="AI3068" s="5">
        <v>0</v>
      </c>
      <c r="AJ3068" s="7" t="s">
        <v>17347</v>
      </c>
      <c r="AK3068" s="7" t="s">
        <v>17348</v>
      </c>
    </row>
    <row r="3069" spans="1:37" ht="36.75" customHeight="1" x14ac:dyDescent="0.35">
      <c r="A3069" s="5"/>
      <c r="B3069" s="5" t="s">
        <v>37</v>
      </c>
      <c r="C3069" s="73" t="str">
        <f t="shared" si="47"/>
        <v>Closed</v>
      </c>
      <c r="D3069" s="45" t="s">
        <v>17349</v>
      </c>
      <c r="E3069" s="54" t="s">
        <v>17350</v>
      </c>
      <c r="F3069" s="5" t="s">
        <v>14722</v>
      </c>
      <c r="G3069" s="7">
        <f>DATE(2020,2,6)</f>
        <v>43867</v>
      </c>
      <c r="H3069" s="34">
        <v>1.5166666666666666</v>
      </c>
      <c r="I3069" s="5" t="s">
        <v>55</v>
      </c>
      <c r="J3069" s="7" t="s">
        <v>17351</v>
      </c>
      <c r="K3069" s="5" t="s">
        <v>1753</v>
      </c>
      <c r="L3069" s="5" t="s">
        <v>17352</v>
      </c>
      <c r="M3069" s="5" t="s">
        <v>45</v>
      </c>
      <c r="N3069" s="5" t="s">
        <v>123</v>
      </c>
      <c r="O3069" s="5" t="s">
        <v>46</v>
      </c>
      <c r="P3069" s="7" t="s">
        <v>60</v>
      </c>
      <c r="Q3069" s="7" t="s">
        <v>14724</v>
      </c>
      <c r="R3069" s="7" t="s">
        <v>1756</v>
      </c>
      <c r="S3069" s="5">
        <v>0</v>
      </c>
      <c r="T3069" s="36">
        <v>0</v>
      </c>
      <c r="U3069" s="5">
        <v>0</v>
      </c>
      <c r="V3069" s="36">
        <v>0</v>
      </c>
      <c r="W3069" s="5">
        <v>0</v>
      </c>
      <c r="X3069" s="5">
        <v>0</v>
      </c>
      <c r="Y3069" s="5">
        <v>0</v>
      </c>
      <c r="Z3069" s="36">
        <v>0</v>
      </c>
      <c r="AA3069" s="5">
        <v>0</v>
      </c>
      <c r="AB3069" s="5">
        <v>0</v>
      </c>
      <c r="AC3069" s="5">
        <v>0</v>
      </c>
      <c r="AD3069" s="5">
        <v>0</v>
      </c>
      <c r="AE3069" s="7" t="s">
        <v>126</v>
      </c>
      <c r="AF3069" s="7" t="s">
        <v>17353</v>
      </c>
      <c r="AG3069" s="7" t="s">
        <v>6438</v>
      </c>
      <c r="AH3069" s="7">
        <v>43872</v>
      </c>
      <c r="AI3069" s="5">
        <v>2</v>
      </c>
      <c r="AJ3069" s="7" t="s">
        <v>17354</v>
      </c>
      <c r="AK3069" s="7" t="s">
        <v>17355</v>
      </c>
    </row>
    <row r="3070" spans="1:37" ht="36.75" customHeight="1" x14ac:dyDescent="0.35">
      <c r="A3070" s="5"/>
      <c r="B3070" s="5" t="s">
        <v>37</v>
      </c>
      <c r="C3070" s="73" t="str">
        <f t="shared" si="47"/>
        <v>Closed</v>
      </c>
      <c r="D3070" s="45" t="s">
        <v>17356</v>
      </c>
      <c r="E3070" s="54" t="s">
        <v>17357</v>
      </c>
      <c r="F3070" s="5" t="s">
        <v>358</v>
      </c>
      <c r="G3070" s="7">
        <f>DATE(2020,2,6)</f>
        <v>43867</v>
      </c>
      <c r="H3070" s="34">
        <v>1.2291666666666667</v>
      </c>
      <c r="I3070" s="5" t="s">
        <v>55</v>
      </c>
      <c r="J3070" s="7" t="s">
        <v>17358</v>
      </c>
      <c r="K3070" s="5" t="s">
        <v>360</v>
      </c>
      <c r="L3070" s="5" t="s">
        <v>17359</v>
      </c>
      <c r="M3070" s="5" t="s">
        <v>45</v>
      </c>
      <c r="N3070" s="5" t="s">
        <v>123</v>
      </c>
      <c r="O3070" s="5" t="s">
        <v>46</v>
      </c>
      <c r="P3070" s="7" t="s">
        <v>443</v>
      </c>
      <c r="Q3070" s="7" t="s">
        <v>17360</v>
      </c>
      <c r="R3070" s="7" t="s">
        <v>17361</v>
      </c>
      <c r="S3070" s="5">
        <v>0</v>
      </c>
      <c r="T3070" s="36">
        <v>2</v>
      </c>
      <c r="U3070" s="5">
        <v>0</v>
      </c>
      <c r="V3070" s="36">
        <v>0</v>
      </c>
      <c r="W3070" s="5">
        <v>0</v>
      </c>
      <c r="X3070" s="5">
        <v>2</v>
      </c>
      <c r="Y3070" s="5">
        <v>0</v>
      </c>
      <c r="Z3070" s="36">
        <v>1</v>
      </c>
      <c r="AA3070" s="5">
        <v>0</v>
      </c>
      <c r="AB3070" s="5">
        <v>0</v>
      </c>
      <c r="AC3070" s="5">
        <v>0</v>
      </c>
      <c r="AD3070" s="5">
        <v>1</v>
      </c>
      <c r="AE3070" s="7" t="s">
        <v>126</v>
      </c>
      <c r="AF3070" s="7" t="s">
        <v>17362</v>
      </c>
      <c r="AG3070" s="7" t="s">
        <v>6438</v>
      </c>
      <c r="AH3070" s="7">
        <v>43867</v>
      </c>
      <c r="AI3070" s="5">
        <v>5</v>
      </c>
      <c r="AJ3070" s="7" t="s">
        <v>17363</v>
      </c>
      <c r="AK3070" s="7" t="s">
        <v>17364</v>
      </c>
    </row>
    <row r="3071" spans="1:37" ht="36.75" customHeight="1" x14ac:dyDescent="0.35">
      <c r="A3071" s="23" t="s">
        <v>4890</v>
      </c>
      <c r="B3071" s="5" t="s">
        <v>37</v>
      </c>
      <c r="C3071" s="73" t="str">
        <f t="shared" si="47"/>
        <v>Closed</v>
      </c>
      <c r="D3071" s="45" t="s">
        <v>17365</v>
      </c>
      <c r="E3071" s="54" t="s">
        <v>17366</v>
      </c>
      <c r="F3071" s="5" t="s">
        <v>1553</v>
      </c>
      <c r="G3071" s="7">
        <f>DATE(2020,2,8)</f>
        <v>43869</v>
      </c>
      <c r="H3071" s="34">
        <v>1.3631944444444444</v>
      </c>
      <c r="I3071" s="5" t="s">
        <v>55</v>
      </c>
      <c r="J3071" s="7" t="s">
        <v>17367</v>
      </c>
      <c r="K3071" s="5" t="s">
        <v>1555</v>
      </c>
      <c r="L3071" s="5" t="s">
        <v>17368</v>
      </c>
      <c r="M3071" s="5" t="s">
        <v>45</v>
      </c>
      <c r="N3071" s="5" t="s">
        <v>80</v>
      </c>
      <c r="O3071" s="5" t="s">
        <v>46</v>
      </c>
      <c r="P3071" s="7" t="s">
        <v>6920</v>
      </c>
      <c r="Q3071" s="7" t="s">
        <v>2393</v>
      </c>
      <c r="R3071" s="7" t="s">
        <v>6413</v>
      </c>
      <c r="S3071" s="5">
        <v>0</v>
      </c>
      <c r="T3071" s="36">
        <v>0</v>
      </c>
      <c r="U3071" s="5">
        <v>0</v>
      </c>
      <c r="V3071" s="36">
        <v>0</v>
      </c>
      <c r="W3071" s="5">
        <v>0</v>
      </c>
      <c r="X3071" s="5">
        <v>0</v>
      </c>
      <c r="Y3071" s="5">
        <v>0</v>
      </c>
      <c r="Z3071" s="36">
        <v>0</v>
      </c>
      <c r="AA3071" s="5">
        <v>0</v>
      </c>
      <c r="AB3071" s="5">
        <v>0</v>
      </c>
      <c r="AC3071" s="5">
        <v>0</v>
      </c>
      <c r="AD3071" s="5">
        <v>0</v>
      </c>
      <c r="AE3071" s="7" t="s">
        <v>73</v>
      </c>
      <c r="AF3071" s="7"/>
      <c r="AG3071" s="7" t="s">
        <v>114</v>
      </c>
      <c r="AH3071" s="7">
        <v>43871</v>
      </c>
      <c r="AI3071" s="5">
        <v>3</v>
      </c>
      <c r="AJ3071" s="7" t="s">
        <v>50</v>
      </c>
      <c r="AK3071" s="7" t="s">
        <v>50</v>
      </c>
    </row>
    <row r="3072" spans="1:37" ht="36.75" customHeight="1" x14ac:dyDescent="0.35">
      <c r="A3072" s="5"/>
      <c r="B3072" s="5" t="s">
        <v>37</v>
      </c>
      <c r="C3072" s="73" t="str">
        <f t="shared" si="47"/>
        <v>Closed</v>
      </c>
      <c r="D3072" s="45" t="s">
        <v>17369</v>
      </c>
      <c r="E3072" s="54" t="s">
        <v>17370</v>
      </c>
      <c r="F3072" s="5" t="s">
        <v>816</v>
      </c>
      <c r="G3072" s="7">
        <f>DATE(2020,2,11)</f>
        <v>43872</v>
      </c>
      <c r="H3072" s="34">
        <v>1.7743055555555554</v>
      </c>
      <c r="I3072" s="5" t="s">
        <v>97</v>
      </c>
      <c r="J3072" s="7" t="s">
        <v>17371</v>
      </c>
      <c r="K3072" s="5" t="s">
        <v>818</v>
      </c>
      <c r="L3072" s="5" t="s">
        <v>17372</v>
      </c>
      <c r="M3072" s="5" t="s">
        <v>45</v>
      </c>
      <c r="N3072" s="5" t="s">
        <v>123</v>
      </c>
      <c r="O3072" s="5" t="s">
        <v>46</v>
      </c>
      <c r="P3072" s="7" t="s">
        <v>60</v>
      </c>
      <c r="Q3072" s="7" t="s">
        <v>1379</v>
      </c>
      <c r="R3072" s="7" t="s">
        <v>821</v>
      </c>
      <c r="S3072" s="5">
        <v>0</v>
      </c>
      <c r="T3072" s="36">
        <v>0</v>
      </c>
      <c r="U3072" s="5">
        <v>0</v>
      </c>
      <c r="V3072" s="36">
        <v>0</v>
      </c>
      <c r="W3072" s="5">
        <v>0</v>
      </c>
      <c r="X3072" s="5">
        <v>0</v>
      </c>
      <c r="Y3072" s="5">
        <v>0</v>
      </c>
      <c r="Z3072" s="36">
        <v>0</v>
      </c>
      <c r="AA3072" s="5">
        <v>0</v>
      </c>
      <c r="AB3072" s="5">
        <v>0</v>
      </c>
      <c r="AC3072" s="5">
        <v>0</v>
      </c>
      <c r="AD3072" s="5">
        <v>0</v>
      </c>
      <c r="AE3072" s="7" t="s">
        <v>73</v>
      </c>
      <c r="AF3072" s="7"/>
      <c r="AG3072" s="7" t="s">
        <v>333</v>
      </c>
      <c r="AH3072" s="7">
        <v>44025</v>
      </c>
      <c r="AI3072" s="5">
        <v>1</v>
      </c>
      <c r="AJ3072" s="7" t="s">
        <v>17373</v>
      </c>
      <c r="AK3072" s="7" t="s">
        <v>17374</v>
      </c>
    </row>
    <row r="3073" spans="1:37" ht="36.75" customHeight="1" x14ac:dyDescent="0.35">
      <c r="A3073" s="23" t="s">
        <v>4890</v>
      </c>
      <c r="B3073" s="5" t="s">
        <v>37</v>
      </c>
      <c r="C3073" s="73" t="str">
        <f t="shared" si="47"/>
        <v>Closed</v>
      </c>
      <c r="D3073" s="45" t="s">
        <v>17375</v>
      </c>
      <c r="E3073" s="54" t="s">
        <v>17376</v>
      </c>
      <c r="F3073" s="5" t="s">
        <v>1553</v>
      </c>
      <c r="G3073" s="7">
        <f>DATE(2020,2,12)</f>
        <v>43873</v>
      </c>
      <c r="H3073" s="34">
        <v>1.5381944444444444</v>
      </c>
      <c r="I3073" s="5" t="s">
        <v>55</v>
      </c>
      <c r="J3073" s="7" t="s">
        <v>17377</v>
      </c>
      <c r="K3073" s="5" t="s">
        <v>1555</v>
      </c>
      <c r="L3073" s="5" t="s">
        <v>15629</v>
      </c>
      <c r="M3073" s="5" t="s">
        <v>45</v>
      </c>
      <c r="N3073" s="5" t="s">
        <v>123</v>
      </c>
      <c r="O3073" s="5" t="s">
        <v>59</v>
      </c>
      <c r="P3073" s="7" t="s">
        <v>60</v>
      </c>
      <c r="Q3073" s="7" t="s">
        <v>16212</v>
      </c>
      <c r="R3073" s="7" t="s">
        <v>6413</v>
      </c>
      <c r="S3073" s="5">
        <v>0</v>
      </c>
      <c r="T3073" s="36">
        <v>0</v>
      </c>
      <c r="U3073" s="5">
        <v>0</v>
      </c>
      <c r="V3073" s="36">
        <v>0</v>
      </c>
      <c r="W3073" s="5">
        <v>0</v>
      </c>
      <c r="X3073" s="5">
        <v>0</v>
      </c>
      <c r="Y3073" s="5">
        <v>0</v>
      </c>
      <c r="Z3073" s="36">
        <v>0</v>
      </c>
      <c r="AA3073" s="5">
        <v>0</v>
      </c>
      <c r="AB3073" s="5">
        <v>0</v>
      </c>
      <c r="AC3073" s="5">
        <v>0</v>
      </c>
      <c r="AD3073" s="5">
        <v>0</v>
      </c>
      <c r="AE3073" s="7" t="s">
        <v>375</v>
      </c>
      <c r="AF3073" s="7"/>
      <c r="AG3073" s="7" t="s">
        <v>114</v>
      </c>
      <c r="AH3073" s="7">
        <v>43874</v>
      </c>
      <c r="AI3073" s="5">
        <v>0</v>
      </c>
      <c r="AJ3073" s="7" t="s">
        <v>50</v>
      </c>
      <c r="AK3073" s="7" t="s">
        <v>50</v>
      </c>
    </row>
    <row r="3074" spans="1:37" ht="36.75" customHeight="1" x14ac:dyDescent="0.35">
      <c r="A3074" s="5"/>
      <c r="B3074" s="5" t="s">
        <v>14851</v>
      </c>
      <c r="C3074" s="73" t="str">
        <f t="shared" ref="C3074:C3137" si="48">IF(B3074="Notification","Open",IF(B3074="Interim Statement","In progress","Closed"))</f>
        <v>In progress</v>
      </c>
      <c r="D3074" s="45" t="s">
        <v>17378</v>
      </c>
      <c r="E3074" s="54" t="s">
        <v>17379</v>
      </c>
      <c r="F3074" s="5" t="s">
        <v>6434</v>
      </c>
      <c r="G3074" s="7">
        <f>DATE(2020,2,16)</f>
        <v>43877</v>
      </c>
      <c r="H3074" s="51">
        <v>1.9180555555555556</v>
      </c>
      <c r="I3074" s="5" t="s">
        <v>179</v>
      </c>
      <c r="J3074" s="7" t="s">
        <v>17380</v>
      </c>
      <c r="K3074" s="5" t="s">
        <v>565</v>
      </c>
      <c r="L3074" s="5" t="s">
        <v>17381</v>
      </c>
      <c r="M3074" s="5" t="s">
        <v>45</v>
      </c>
      <c r="N3074" s="5" t="s">
        <v>123</v>
      </c>
      <c r="O3074" s="5" t="s">
        <v>59</v>
      </c>
      <c r="P3074" s="7" t="s">
        <v>60</v>
      </c>
      <c r="Q3074" s="7" t="s">
        <v>17382</v>
      </c>
      <c r="R3074" s="7" t="s">
        <v>568</v>
      </c>
      <c r="S3074" s="5">
        <v>0</v>
      </c>
      <c r="T3074" s="36">
        <v>0</v>
      </c>
      <c r="U3074" s="5">
        <v>0</v>
      </c>
      <c r="V3074" s="36">
        <v>0</v>
      </c>
      <c r="W3074" s="5">
        <v>0</v>
      </c>
      <c r="X3074" s="5">
        <v>0</v>
      </c>
      <c r="Y3074" s="5">
        <v>0</v>
      </c>
      <c r="Z3074" s="36">
        <v>0</v>
      </c>
      <c r="AA3074" s="5">
        <v>0</v>
      </c>
      <c r="AB3074" s="5">
        <v>0</v>
      </c>
      <c r="AC3074" s="5">
        <v>0</v>
      </c>
      <c r="AD3074" s="5">
        <v>0</v>
      </c>
      <c r="AE3074" s="7" t="s">
        <v>375</v>
      </c>
      <c r="AF3074" s="7"/>
      <c r="AG3074" s="9" t="s">
        <v>570</v>
      </c>
      <c r="AH3074" s="9">
        <v>43885</v>
      </c>
      <c r="AI3074" s="5">
        <v>0</v>
      </c>
      <c r="AJ3074" s="7" t="s">
        <v>17383</v>
      </c>
      <c r="AK3074" s="7" t="s">
        <v>50</v>
      </c>
    </row>
    <row r="3075" spans="1:37" ht="36.75" customHeight="1" x14ac:dyDescent="0.35">
      <c r="A3075" s="5"/>
      <c r="B3075" s="5" t="s">
        <v>37</v>
      </c>
      <c r="C3075" s="73" t="str">
        <f t="shared" si="48"/>
        <v>Closed</v>
      </c>
      <c r="D3075" s="45" t="s">
        <v>17384</v>
      </c>
      <c r="E3075" s="54" t="s">
        <v>17385</v>
      </c>
      <c r="F3075" s="5" t="s">
        <v>816</v>
      </c>
      <c r="G3075" s="7">
        <f>DATE(2020,2,16)</f>
        <v>43877</v>
      </c>
      <c r="H3075" s="34">
        <v>1.3791666666666667</v>
      </c>
      <c r="I3075" s="5" t="s">
        <v>97</v>
      </c>
      <c r="J3075" s="7" t="s">
        <v>17386</v>
      </c>
      <c r="K3075" s="5" t="s">
        <v>818</v>
      </c>
      <c r="L3075" s="5" t="s">
        <v>17387</v>
      </c>
      <c r="M3075" s="5" t="s">
        <v>45</v>
      </c>
      <c r="N3075" s="5" t="s">
        <v>80</v>
      </c>
      <c r="O3075" s="5" t="s">
        <v>59</v>
      </c>
      <c r="P3075" s="7" t="s">
        <v>47</v>
      </c>
      <c r="Q3075" s="7" t="s">
        <v>2142</v>
      </c>
      <c r="R3075" s="7" t="s">
        <v>821</v>
      </c>
      <c r="S3075" s="5">
        <v>0</v>
      </c>
      <c r="T3075" s="36">
        <v>0</v>
      </c>
      <c r="U3075" s="5">
        <v>2</v>
      </c>
      <c r="V3075" s="36">
        <v>0</v>
      </c>
      <c r="W3075" s="5">
        <v>0</v>
      </c>
      <c r="X3075" s="5">
        <v>2</v>
      </c>
      <c r="Y3075" s="5">
        <v>0</v>
      </c>
      <c r="Z3075" s="36">
        <v>0</v>
      </c>
      <c r="AA3075" s="5">
        <v>1</v>
      </c>
      <c r="AB3075" s="5">
        <v>0</v>
      </c>
      <c r="AC3075" s="5">
        <v>0</v>
      </c>
      <c r="AD3075" s="5">
        <v>1</v>
      </c>
      <c r="AE3075" s="7" t="s">
        <v>73</v>
      </c>
      <c r="AF3075" s="7"/>
      <c r="AG3075" s="7" t="s">
        <v>570</v>
      </c>
      <c r="AH3075" s="7">
        <v>43878</v>
      </c>
      <c r="AI3075" s="5">
        <v>0</v>
      </c>
      <c r="AJ3075" s="7" t="s">
        <v>17388</v>
      </c>
      <c r="AK3075" s="7" t="s">
        <v>1215</v>
      </c>
    </row>
    <row r="3076" spans="1:37" ht="36.75" customHeight="1" x14ac:dyDescent="0.35">
      <c r="A3076" s="23" t="s">
        <v>4890</v>
      </c>
      <c r="B3076" s="5" t="s">
        <v>37</v>
      </c>
      <c r="C3076" s="73" t="str">
        <f t="shared" si="48"/>
        <v>Closed</v>
      </c>
      <c r="D3076" s="45" t="s">
        <v>17389</v>
      </c>
      <c r="E3076" s="54" t="s">
        <v>17390</v>
      </c>
      <c r="F3076" s="5" t="s">
        <v>404</v>
      </c>
      <c r="G3076" s="7">
        <f>DATE(2020,2,17)</f>
        <v>43878</v>
      </c>
      <c r="H3076" s="34">
        <v>1.3493055555555555</v>
      </c>
      <c r="I3076" s="5" t="s">
        <v>179</v>
      </c>
      <c r="J3076" s="7" t="s">
        <v>17391</v>
      </c>
      <c r="K3076" s="5" t="s">
        <v>406</v>
      </c>
      <c r="L3076" s="5" t="s">
        <v>17392</v>
      </c>
      <c r="M3076" s="5" t="s">
        <v>236</v>
      </c>
      <c r="N3076" s="5" t="s">
        <v>123</v>
      </c>
      <c r="O3076" s="5" t="s">
        <v>46</v>
      </c>
      <c r="P3076" s="7" t="s">
        <v>6531</v>
      </c>
      <c r="Q3076" s="7" t="s">
        <v>2695</v>
      </c>
      <c r="R3076" s="7" t="s">
        <v>2695</v>
      </c>
      <c r="S3076" s="5">
        <v>0</v>
      </c>
      <c r="T3076" s="36">
        <v>0</v>
      </c>
      <c r="U3076" s="5">
        <v>0</v>
      </c>
      <c r="V3076" s="36">
        <v>0</v>
      </c>
      <c r="W3076" s="5">
        <v>0</v>
      </c>
      <c r="X3076" s="5">
        <v>0</v>
      </c>
      <c r="Y3076" s="5">
        <v>0</v>
      </c>
      <c r="Z3076" s="36">
        <v>1</v>
      </c>
      <c r="AA3076" s="5">
        <v>0</v>
      </c>
      <c r="AB3076" s="5">
        <v>0</v>
      </c>
      <c r="AC3076" s="5">
        <v>0</v>
      </c>
      <c r="AD3076" s="5">
        <v>1</v>
      </c>
      <c r="AE3076" s="7" t="s">
        <v>73</v>
      </c>
      <c r="AF3076" s="7"/>
      <c r="AG3076" s="7" t="s">
        <v>114</v>
      </c>
      <c r="AH3076" s="7">
        <v>43878</v>
      </c>
      <c r="AI3076" s="5">
        <v>0</v>
      </c>
      <c r="AJ3076" s="7" t="s">
        <v>50</v>
      </c>
      <c r="AK3076" s="7" t="s">
        <v>50</v>
      </c>
    </row>
    <row r="3077" spans="1:37" ht="36.75" customHeight="1" x14ac:dyDescent="0.35">
      <c r="A3077" s="5"/>
      <c r="B3077" s="5" t="s">
        <v>37</v>
      </c>
      <c r="C3077" s="73" t="str">
        <f t="shared" si="48"/>
        <v>Closed</v>
      </c>
      <c r="D3077" s="45" t="s">
        <v>17393</v>
      </c>
      <c r="E3077" s="54" t="s">
        <v>17394</v>
      </c>
      <c r="F3077" s="5" t="s">
        <v>2316</v>
      </c>
      <c r="G3077" s="7">
        <f>DATE(2020,2,17)</f>
        <v>43878</v>
      </c>
      <c r="H3077" s="34">
        <v>1.8145833333333332</v>
      </c>
      <c r="I3077" s="5" t="s">
        <v>97</v>
      </c>
      <c r="J3077" s="7" t="s">
        <v>17395</v>
      </c>
      <c r="K3077" s="5" t="s">
        <v>2318</v>
      </c>
      <c r="L3077" s="5" t="s">
        <v>17396</v>
      </c>
      <c r="M3077" s="5" t="s">
        <v>45</v>
      </c>
      <c r="N3077" s="5" t="s">
        <v>80</v>
      </c>
      <c r="O3077" s="5" t="s">
        <v>46</v>
      </c>
      <c r="P3077" s="7" t="s">
        <v>146</v>
      </c>
      <c r="Q3077" s="7" t="s">
        <v>17397</v>
      </c>
      <c r="R3077" s="7" t="s">
        <v>2321</v>
      </c>
      <c r="S3077" s="5">
        <v>0</v>
      </c>
      <c r="T3077" s="36">
        <v>0</v>
      </c>
      <c r="U3077" s="5">
        <v>0</v>
      </c>
      <c r="V3077" s="36">
        <v>0</v>
      </c>
      <c r="W3077" s="5">
        <v>0</v>
      </c>
      <c r="X3077" s="5">
        <v>0</v>
      </c>
      <c r="Y3077" s="5">
        <v>0</v>
      </c>
      <c r="Z3077" s="36">
        <v>0</v>
      </c>
      <c r="AA3077" s="5">
        <v>0</v>
      </c>
      <c r="AB3077" s="5">
        <v>0</v>
      </c>
      <c r="AC3077" s="5">
        <v>0</v>
      </c>
      <c r="AD3077" s="5">
        <v>0</v>
      </c>
      <c r="AE3077" s="7" t="s">
        <v>73</v>
      </c>
      <c r="AF3077" s="7"/>
      <c r="AG3077" s="7" t="s">
        <v>12358</v>
      </c>
      <c r="AH3077" s="7">
        <v>43887</v>
      </c>
      <c r="AI3077" s="5">
        <v>8</v>
      </c>
      <c r="AJ3077" s="7" t="s">
        <v>17398</v>
      </c>
      <c r="AK3077" s="7" t="s">
        <v>17399</v>
      </c>
    </row>
    <row r="3078" spans="1:37" ht="36.75" customHeight="1" x14ac:dyDescent="0.35">
      <c r="A3078" s="23" t="s">
        <v>4890</v>
      </c>
      <c r="B3078" s="5" t="s">
        <v>37</v>
      </c>
      <c r="C3078" s="73" t="str">
        <f t="shared" si="48"/>
        <v>Closed</v>
      </c>
      <c r="D3078" s="45" t="s">
        <v>17400</v>
      </c>
      <c r="E3078" s="54" t="s">
        <v>17401</v>
      </c>
      <c r="F3078" s="5" t="s">
        <v>1553</v>
      </c>
      <c r="G3078" s="7">
        <f>DATE(2020,2,17)</f>
        <v>43878</v>
      </c>
      <c r="H3078" s="34">
        <v>1.1041666666666667</v>
      </c>
      <c r="I3078" s="5" t="s">
        <v>55</v>
      </c>
      <c r="J3078" s="7" t="s">
        <v>17402</v>
      </c>
      <c r="K3078" s="5" t="s">
        <v>1555</v>
      </c>
      <c r="L3078" s="5" t="s">
        <v>17403</v>
      </c>
      <c r="M3078" s="5" t="s">
        <v>45</v>
      </c>
      <c r="N3078" s="5" t="s">
        <v>123</v>
      </c>
      <c r="O3078" s="5" t="s">
        <v>46</v>
      </c>
      <c r="P3078" s="7" t="s">
        <v>60</v>
      </c>
      <c r="Q3078" s="7" t="s">
        <v>17404</v>
      </c>
      <c r="R3078" s="7" t="s">
        <v>6413</v>
      </c>
      <c r="S3078" s="5">
        <v>0</v>
      </c>
      <c r="T3078" s="36">
        <v>0</v>
      </c>
      <c r="U3078" s="5">
        <v>0</v>
      </c>
      <c r="V3078" s="36">
        <v>0</v>
      </c>
      <c r="W3078" s="5">
        <v>0</v>
      </c>
      <c r="X3078" s="5">
        <v>0</v>
      </c>
      <c r="Y3078" s="5">
        <v>0</v>
      </c>
      <c r="Z3078" s="36">
        <v>0</v>
      </c>
      <c r="AA3078" s="5">
        <v>0</v>
      </c>
      <c r="AB3078" s="5">
        <v>0</v>
      </c>
      <c r="AC3078" s="5">
        <v>0</v>
      </c>
      <c r="AD3078" s="5">
        <v>0</v>
      </c>
      <c r="AE3078" s="7" t="s">
        <v>375</v>
      </c>
      <c r="AF3078" s="7"/>
      <c r="AG3078" s="7" t="s">
        <v>114</v>
      </c>
      <c r="AH3078" s="7">
        <v>43879</v>
      </c>
      <c r="AI3078" s="5">
        <v>4</v>
      </c>
      <c r="AJ3078" s="7" t="s">
        <v>50</v>
      </c>
      <c r="AK3078" s="7" t="s">
        <v>50</v>
      </c>
    </row>
    <row r="3079" spans="1:37" ht="36.75" customHeight="1" x14ac:dyDescent="0.35">
      <c r="A3079" s="23" t="s">
        <v>4890</v>
      </c>
      <c r="B3079" s="5" t="s">
        <v>37</v>
      </c>
      <c r="C3079" s="73" t="str">
        <f t="shared" si="48"/>
        <v>Closed</v>
      </c>
      <c r="D3079" s="45" t="s">
        <v>17405</v>
      </c>
      <c r="E3079" s="54" t="s">
        <v>17406</v>
      </c>
      <c r="F3079" s="5" t="s">
        <v>1553</v>
      </c>
      <c r="G3079" s="7">
        <f>DATE(2020,2,17)</f>
        <v>43878</v>
      </c>
      <c r="H3079" s="34">
        <v>1.7048611111111112</v>
      </c>
      <c r="I3079" s="5" t="s">
        <v>55</v>
      </c>
      <c r="J3079" s="7" t="s">
        <v>17407</v>
      </c>
      <c r="K3079" s="5" t="s">
        <v>1555</v>
      </c>
      <c r="L3079" s="5" t="s">
        <v>17408</v>
      </c>
      <c r="M3079" s="5" t="s">
        <v>45</v>
      </c>
      <c r="N3079" s="5" t="s">
        <v>80</v>
      </c>
      <c r="O3079" s="5" t="s">
        <v>46</v>
      </c>
      <c r="P3079" s="7" t="s">
        <v>60</v>
      </c>
      <c r="Q3079" s="7" t="s">
        <v>15538</v>
      </c>
      <c r="R3079" s="7" t="s">
        <v>2541</v>
      </c>
      <c r="S3079" s="5">
        <v>0</v>
      </c>
      <c r="T3079" s="36">
        <v>0</v>
      </c>
      <c r="U3079" s="5">
        <v>0</v>
      </c>
      <c r="V3079" s="36">
        <v>0</v>
      </c>
      <c r="W3079" s="5">
        <v>0</v>
      </c>
      <c r="X3079" s="5">
        <v>0</v>
      </c>
      <c r="Y3079" s="5">
        <v>0</v>
      </c>
      <c r="Z3079" s="36">
        <v>0</v>
      </c>
      <c r="AA3079" s="5">
        <v>0</v>
      </c>
      <c r="AB3079" s="5">
        <v>0</v>
      </c>
      <c r="AC3079" s="5">
        <v>0</v>
      </c>
      <c r="AD3079" s="5">
        <v>0</v>
      </c>
      <c r="AE3079" s="7" t="s">
        <v>73</v>
      </c>
      <c r="AF3079" s="7"/>
      <c r="AG3079" s="7" t="s">
        <v>114</v>
      </c>
      <c r="AH3079" s="7">
        <v>43879</v>
      </c>
      <c r="AI3079" s="5">
        <v>1</v>
      </c>
      <c r="AJ3079" s="7" t="s">
        <v>50</v>
      </c>
      <c r="AK3079" s="7" t="s">
        <v>50</v>
      </c>
    </row>
    <row r="3080" spans="1:37" ht="36.75" customHeight="1" x14ac:dyDescent="0.35">
      <c r="A3080" s="23" t="s">
        <v>4890</v>
      </c>
      <c r="B3080" s="5" t="s">
        <v>37</v>
      </c>
      <c r="C3080" s="73" t="str">
        <f t="shared" si="48"/>
        <v>Closed</v>
      </c>
      <c r="D3080" s="45" t="s">
        <v>17409</v>
      </c>
      <c r="E3080" s="54" t="s">
        <v>17410</v>
      </c>
      <c r="F3080" s="5" t="s">
        <v>404</v>
      </c>
      <c r="G3080" s="7">
        <f>DATE(2020,2,18)</f>
        <v>43879</v>
      </c>
      <c r="H3080" s="34">
        <v>1.4520833333333334</v>
      </c>
      <c r="I3080" s="5" t="s">
        <v>259</v>
      </c>
      <c r="J3080" s="7" t="s">
        <v>17411</v>
      </c>
      <c r="K3080" s="5" t="s">
        <v>406</v>
      </c>
      <c r="L3080" s="5" t="s">
        <v>17412</v>
      </c>
      <c r="M3080" s="5" t="s">
        <v>45</v>
      </c>
      <c r="N3080" s="5" t="s">
        <v>123</v>
      </c>
      <c r="O3080" s="5" t="s">
        <v>46</v>
      </c>
      <c r="P3080" s="7" t="s">
        <v>60</v>
      </c>
      <c r="Q3080" s="7" t="s">
        <v>2562</v>
      </c>
      <c r="R3080" s="7" t="s">
        <v>3083</v>
      </c>
      <c r="S3080" s="5">
        <v>0</v>
      </c>
      <c r="T3080" s="38">
        <v>1</v>
      </c>
      <c r="U3080" s="5">
        <v>0</v>
      </c>
      <c r="V3080" s="38">
        <v>0</v>
      </c>
      <c r="W3080" s="5">
        <v>0</v>
      </c>
      <c r="X3080" s="5">
        <v>1</v>
      </c>
      <c r="Y3080" s="5">
        <v>0</v>
      </c>
      <c r="Z3080" s="38">
        <v>0</v>
      </c>
      <c r="AA3080" s="5">
        <v>0</v>
      </c>
      <c r="AB3080" s="5">
        <v>0</v>
      </c>
      <c r="AC3080" s="5">
        <v>0</v>
      </c>
      <c r="AD3080" s="5">
        <v>0</v>
      </c>
      <c r="AE3080" s="5" t="s">
        <v>73</v>
      </c>
      <c r="AF3080" s="7"/>
      <c r="AG3080" s="7" t="s">
        <v>114</v>
      </c>
      <c r="AH3080" s="7">
        <v>43880</v>
      </c>
      <c r="AI3080" s="5">
        <v>0</v>
      </c>
      <c r="AJ3080" s="7" t="s">
        <v>50</v>
      </c>
      <c r="AK3080" s="7" t="s">
        <v>50</v>
      </c>
    </row>
    <row r="3081" spans="1:37" ht="36.75" customHeight="1" x14ac:dyDescent="0.35">
      <c r="A3081" s="5"/>
      <c r="B3081" s="5" t="s">
        <v>37</v>
      </c>
      <c r="C3081" s="73" t="str">
        <f t="shared" si="48"/>
        <v>Closed</v>
      </c>
      <c r="D3081" s="45" t="s">
        <v>17413</v>
      </c>
      <c r="E3081" s="54" t="s">
        <v>17414</v>
      </c>
      <c r="F3081" s="5" t="s">
        <v>404</v>
      </c>
      <c r="G3081" s="7">
        <f>DATE(2020,2,21)</f>
        <v>43882</v>
      </c>
      <c r="H3081" s="34">
        <v>1.6326388888888888</v>
      </c>
      <c r="I3081" s="5" t="s">
        <v>97</v>
      </c>
      <c r="J3081" s="7" t="s">
        <v>17415</v>
      </c>
      <c r="K3081" s="5" t="s">
        <v>406</v>
      </c>
      <c r="L3081" s="5" t="s">
        <v>17416</v>
      </c>
      <c r="M3081" s="5" t="s">
        <v>45</v>
      </c>
      <c r="N3081" s="5" t="s">
        <v>80</v>
      </c>
      <c r="O3081" s="5" t="s">
        <v>46</v>
      </c>
      <c r="P3081" s="7" t="s">
        <v>146</v>
      </c>
      <c r="Q3081" s="7" t="s">
        <v>4531</v>
      </c>
      <c r="R3081" s="7" t="s">
        <v>3083</v>
      </c>
      <c r="S3081" s="5">
        <v>0</v>
      </c>
      <c r="T3081" s="36">
        <v>0</v>
      </c>
      <c r="U3081" s="5">
        <v>0</v>
      </c>
      <c r="V3081" s="36">
        <v>0</v>
      </c>
      <c r="W3081" s="5">
        <v>0</v>
      </c>
      <c r="X3081" s="5">
        <v>0</v>
      </c>
      <c r="Y3081" s="5">
        <v>0</v>
      </c>
      <c r="Z3081" s="36">
        <v>1</v>
      </c>
      <c r="AA3081" s="5">
        <v>0</v>
      </c>
      <c r="AB3081" s="5">
        <v>0</v>
      </c>
      <c r="AC3081" s="5">
        <v>0</v>
      </c>
      <c r="AD3081" s="5">
        <v>1</v>
      </c>
      <c r="AE3081" s="7" t="s">
        <v>73</v>
      </c>
      <c r="AF3081" s="7"/>
      <c r="AG3081" s="7" t="s">
        <v>855</v>
      </c>
      <c r="AH3081" s="7">
        <v>43882</v>
      </c>
      <c r="AI3081" s="5">
        <v>1</v>
      </c>
      <c r="AJ3081" s="7" t="s">
        <v>17417</v>
      </c>
      <c r="AK3081" s="7" t="s">
        <v>17418</v>
      </c>
    </row>
    <row r="3082" spans="1:37" ht="36.75" customHeight="1" x14ac:dyDescent="0.35">
      <c r="A3082" s="23" t="s">
        <v>4890</v>
      </c>
      <c r="B3082" s="5" t="s">
        <v>37</v>
      </c>
      <c r="C3082" s="73" t="str">
        <f t="shared" si="48"/>
        <v>Closed</v>
      </c>
      <c r="D3082" s="45" t="s">
        <v>17419</v>
      </c>
      <c r="E3082" s="54" t="s">
        <v>17420</v>
      </c>
      <c r="F3082" s="5" t="s">
        <v>404</v>
      </c>
      <c r="G3082" s="7">
        <f>DATE(2020,2,21)</f>
        <v>43882</v>
      </c>
      <c r="H3082" s="34">
        <v>1.4895833333333333</v>
      </c>
      <c r="I3082" s="5" t="s">
        <v>97</v>
      </c>
      <c r="J3082" s="7" t="s">
        <v>17421</v>
      </c>
      <c r="K3082" s="5" t="s">
        <v>406</v>
      </c>
      <c r="L3082" s="5" t="s">
        <v>17422</v>
      </c>
      <c r="M3082" s="5" t="s">
        <v>45</v>
      </c>
      <c r="N3082" s="5" t="s">
        <v>80</v>
      </c>
      <c r="O3082" s="5" t="s">
        <v>46</v>
      </c>
      <c r="P3082" s="7" t="s">
        <v>146</v>
      </c>
      <c r="Q3082" s="7" t="s">
        <v>4531</v>
      </c>
      <c r="R3082" s="7" t="s">
        <v>3083</v>
      </c>
      <c r="S3082" s="5">
        <v>0</v>
      </c>
      <c r="T3082" s="36">
        <v>0</v>
      </c>
      <c r="U3082" s="5">
        <v>0</v>
      </c>
      <c r="V3082" s="36">
        <v>0</v>
      </c>
      <c r="W3082" s="5">
        <v>0</v>
      </c>
      <c r="X3082" s="5">
        <v>0</v>
      </c>
      <c r="Y3082" s="5">
        <v>0</v>
      </c>
      <c r="Z3082" s="36">
        <v>0</v>
      </c>
      <c r="AA3082" s="5">
        <v>0</v>
      </c>
      <c r="AB3082" s="5">
        <v>0</v>
      </c>
      <c r="AC3082" s="5">
        <v>0</v>
      </c>
      <c r="AD3082" s="5">
        <v>0</v>
      </c>
      <c r="AE3082" s="7" t="s">
        <v>375</v>
      </c>
      <c r="AF3082" s="7"/>
      <c r="AG3082" s="7" t="s">
        <v>64</v>
      </c>
      <c r="AH3082" s="7">
        <v>43882</v>
      </c>
      <c r="AI3082" s="5">
        <v>3</v>
      </c>
      <c r="AJ3082" s="7" t="s">
        <v>50</v>
      </c>
      <c r="AK3082" s="7" t="s">
        <v>50</v>
      </c>
    </row>
    <row r="3083" spans="1:37" ht="36.75" customHeight="1" x14ac:dyDescent="0.35">
      <c r="A3083" s="5"/>
      <c r="B3083" s="5" t="s">
        <v>37</v>
      </c>
      <c r="C3083" s="73" t="str">
        <f t="shared" si="48"/>
        <v>Closed</v>
      </c>
      <c r="D3083" s="45" t="s">
        <v>17423</v>
      </c>
      <c r="E3083" s="54" t="s">
        <v>17424</v>
      </c>
      <c r="F3083" s="5" t="s">
        <v>816</v>
      </c>
      <c r="G3083" s="7">
        <f>DATE(2020,2,21)</f>
        <v>43882</v>
      </c>
      <c r="H3083" s="34">
        <v>1.6277777777777778</v>
      </c>
      <c r="I3083" s="5" t="s">
        <v>85</v>
      </c>
      <c r="J3083" s="7" t="s">
        <v>17425</v>
      </c>
      <c r="K3083" s="5" t="s">
        <v>818</v>
      </c>
      <c r="L3083" s="5" t="s">
        <v>17426</v>
      </c>
      <c r="M3083" s="5" t="s">
        <v>45</v>
      </c>
      <c r="N3083" s="5" t="s">
        <v>80</v>
      </c>
      <c r="O3083" s="5" t="s">
        <v>59</v>
      </c>
      <c r="P3083" s="7" t="s">
        <v>362</v>
      </c>
      <c r="Q3083" s="7" t="s">
        <v>17427</v>
      </c>
      <c r="R3083" s="7" t="s">
        <v>821</v>
      </c>
      <c r="S3083" s="5">
        <v>0</v>
      </c>
      <c r="T3083" s="36">
        <v>0</v>
      </c>
      <c r="U3083" s="5">
        <v>0</v>
      </c>
      <c r="V3083" s="36">
        <v>0</v>
      </c>
      <c r="W3083" s="5">
        <v>0</v>
      </c>
      <c r="X3083" s="5">
        <v>0</v>
      </c>
      <c r="Y3083" s="5">
        <v>0</v>
      </c>
      <c r="Z3083" s="36">
        <v>0</v>
      </c>
      <c r="AA3083" s="5">
        <v>0</v>
      </c>
      <c r="AB3083" s="5">
        <v>0</v>
      </c>
      <c r="AC3083" s="5">
        <v>0</v>
      </c>
      <c r="AD3083" s="5">
        <v>0</v>
      </c>
      <c r="AE3083" s="7" t="s">
        <v>73</v>
      </c>
      <c r="AF3083" s="7" t="s">
        <v>17428</v>
      </c>
      <c r="AG3083" s="7" t="s">
        <v>2064</v>
      </c>
      <c r="AH3083" s="7">
        <v>43885</v>
      </c>
      <c r="AI3083" s="5">
        <v>0</v>
      </c>
      <c r="AJ3083" s="7" t="s">
        <v>17429</v>
      </c>
      <c r="AK3083" s="7" t="s">
        <v>50</v>
      </c>
    </row>
    <row r="3084" spans="1:37" ht="36.75" customHeight="1" x14ac:dyDescent="0.35">
      <c r="A3084" s="23" t="s">
        <v>4890</v>
      </c>
      <c r="B3084" s="5" t="s">
        <v>37</v>
      </c>
      <c r="C3084" s="73" t="str">
        <f t="shared" si="48"/>
        <v>Closed</v>
      </c>
      <c r="D3084" s="45" t="s">
        <v>17430</v>
      </c>
      <c r="E3084" s="54" t="s">
        <v>17431</v>
      </c>
      <c r="F3084" s="5" t="s">
        <v>1553</v>
      </c>
      <c r="G3084" s="7">
        <f>DATE(2020,2,21)</f>
        <v>43882</v>
      </c>
      <c r="H3084" s="52">
        <v>1.0104166666666667</v>
      </c>
      <c r="I3084" s="5" t="s">
        <v>2059</v>
      </c>
      <c r="J3084" s="7" t="s">
        <v>17432</v>
      </c>
      <c r="K3084" s="5" t="s">
        <v>1555</v>
      </c>
      <c r="L3084" s="5" t="s">
        <v>17433</v>
      </c>
      <c r="M3084" s="5" t="s">
        <v>45</v>
      </c>
      <c r="N3084" s="5" t="s">
        <v>123</v>
      </c>
      <c r="O3084" s="5" t="s">
        <v>59</v>
      </c>
      <c r="P3084" s="7" t="s">
        <v>60</v>
      </c>
      <c r="Q3084" s="7" t="s">
        <v>2635</v>
      </c>
      <c r="R3084" s="7" t="s">
        <v>6413</v>
      </c>
      <c r="S3084" s="5">
        <v>0</v>
      </c>
      <c r="T3084" s="38">
        <v>0</v>
      </c>
      <c r="U3084" s="5">
        <v>0</v>
      </c>
      <c r="V3084" s="38">
        <v>0</v>
      </c>
      <c r="W3084" s="5">
        <v>0</v>
      </c>
      <c r="X3084" s="5">
        <v>0</v>
      </c>
      <c r="Y3084" s="5">
        <v>0</v>
      </c>
      <c r="Z3084" s="38">
        <v>0</v>
      </c>
      <c r="AA3084" s="5">
        <v>0</v>
      </c>
      <c r="AB3084" s="5">
        <v>0</v>
      </c>
      <c r="AC3084" s="5">
        <v>0</v>
      </c>
      <c r="AD3084" s="5">
        <v>0</v>
      </c>
      <c r="AE3084" s="7" t="s">
        <v>73</v>
      </c>
      <c r="AF3084" s="7"/>
      <c r="AG3084" s="5" t="s">
        <v>1489</v>
      </c>
      <c r="AH3084" s="7">
        <v>43882</v>
      </c>
      <c r="AI3084" s="5">
        <v>0</v>
      </c>
      <c r="AJ3084" s="7" t="s">
        <v>50</v>
      </c>
      <c r="AK3084" s="7" t="s">
        <v>50</v>
      </c>
    </row>
    <row r="3085" spans="1:37" ht="36.75" customHeight="1" x14ac:dyDescent="0.35">
      <c r="A3085" s="5"/>
      <c r="B3085" s="5" t="s">
        <v>37</v>
      </c>
      <c r="C3085" s="73" t="str">
        <f t="shared" si="48"/>
        <v>Closed</v>
      </c>
      <c r="D3085" s="45" t="s">
        <v>17434</v>
      </c>
      <c r="E3085" s="54" t="s">
        <v>17435</v>
      </c>
      <c r="F3085" s="5" t="s">
        <v>563</v>
      </c>
      <c r="G3085" s="7">
        <f>DATE(2020,2,25)</f>
        <v>43886</v>
      </c>
      <c r="H3085" s="34">
        <v>1.4569444444444444</v>
      </c>
      <c r="I3085" s="5" t="s">
        <v>137</v>
      </c>
      <c r="J3085" s="7" t="s">
        <v>17436</v>
      </c>
      <c r="K3085" s="5" t="s">
        <v>565</v>
      </c>
      <c r="L3085" s="5" t="s">
        <v>17437</v>
      </c>
      <c r="M3085" s="5" t="s">
        <v>45</v>
      </c>
      <c r="N3085" s="5" t="s">
        <v>123</v>
      </c>
      <c r="O3085" s="5" t="s">
        <v>46</v>
      </c>
      <c r="P3085" s="7" t="s">
        <v>362</v>
      </c>
      <c r="Q3085" s="7" t="s">
        <v>17438</v>
      </c>
      <c r="R3085" s="7" t="s">
        <v>13228</v>
      </c>
      <c r="S3085" s="5">
        <v>0</v>
      </c>
      <c r="T3085" s="36">
        <v>0</v>
      </c>
      <c r="U3085" s="5">
        <v>0</v>
      </c>
      <c r="V3085" s="36">
        <v>0</v>
      </c>
      <c r="W3085" s="5">
        <v>0</v>
      </c>
      <c r="X3085" s="5">
        <v>0</v>
      </c>
      <c r="Y3085" s="5">
        <v>0</v>
      </c>
      <c r="Z3085" s="36">
        <v>0</v>
      </c>
      <c r="AA3085" s="5">
        <v>0</v>
      </c>
      <c r="AB3085" s="5">
        <v>0</v>
      </c>
      <c r="AC3085" s="5">
        <v>0</v>
      </c>
      <c r="AD3085" s="5">
        <v>0</v>
      </c>
      <c r="AE3085" s="7" t="s">
        <v>73</v>
      </c>
      <c r="AF3085" s="7" t="s">
        <v>17439</v>
      </c>
      <c r="AG3085" s="7" t="s">
        <v>8837</v>
      </c>
      <c r="AH3085" s="7">
        <v>43887</v>
      </c>
      <c r="AI3085" s="5">
        <v>0</v>
      </c>
      <c r="AJ3085" s="7" t="s">
        <v>17440</v>
      </c>
      <c r="AK3085" s="7" t="s">
        <v>50</v>
      </c>
    </row>
    <row r="3086" spans="1:37" ht="36.75" customHeight="1" x14ac:dyDescent="0.35">
      <c r="A3086" s="23" t="s">
        <v>4890</v>
      </c>
      <c r="B3086" s="5" t="s">
        <v>37</v>
      </c>
      <c r="C3086" s="73" t="str">
        <f t="shared" si="48"/>
        <v>Closed</v>
      </c>
      <c r="D3086" s="45" t="s">
        <v>17441</v>
      </c>
      <c r="E3086" s="54" t="s">
        <v>17442</v>
      </c>
      <c r="F3086" s="5" t="s">
        <v>1553</v>
      </c>
      <c r="G3086" s="7">
        <f>DATE(2020,2,25)</f>
        <v>43886</v>
      </c>
      <c r="H3086" s="34">
        <v>1.4409722222222223</v>
      </c>
      <c r="I3086" s="5" t="s">
        <v>179</v>
      </c>
      <c r="J3086" s="7" t="s">
        <v>17443</v>
      </c>
      <c r="K3086" s="5" t="s">
        <v>1555</v>
      </c>
      <c r="L3086" s="5" t="s">
        <v>17444</v>
      </c>
      <c r="M3086" s="5" t="s">
        <v>45</v>
      </c>
      <c r="N3086" s="5" t="s">
        <v>80</v>
      </c>
      <c r="O3086" s="5" t="s">
        <v>59</v>
      </c>
      <c r="P3086" s="7" t="s">
        <v>5578</v>
      </c>
      <c r="Q3086" s="7" t="s">
        <v>17445</v>
      </c>
      <c r="R3086" s="7" t="s">
        <v>6413</v>
      </c>
      <c r="S3086" s="5">
        <v>0</v>
      </c>
      <c r="T3086" s="36">
        <v>0</v>
      </c>
      <c r="U3086" s="5">
        <v>0</v>
      </c>
      <c r="V3086" s="36">
        <v>0</v>
      </c>
      <c r="W3086" s="5">
        <v>0</v>
      </c>
      <c r="X3086" s="5">
        <v>0</v>
      </c>
      <c r="Y3086" s="5">
        <v>0</v>
      </c>
      <c r="Z3086" s="36">
        <v>0</v>
      </c>
      <c r="AA3086" s="5">
        <v>0</v>
      </c>
      <c r="AB3086" s="5">
        <v>0</v>
      </c>
      <c r="AC3086" s="5">
        <v>0</v>
      </c>
      <c r="AD3086" s="5">
        <v>0</v>
      </c>
      <c r="AE3086" s="7" t="s">
        <v>375</v>
      </c>
      <c r="AF3086" s="7"/>
      <c r="AG3086" s="7" t="s">
        <v>114</v>
      </c>
      <c r="AH3086" s="7">
        <v>43888</v>
      </c>
      <c r="AI3086" s="5">
        <v>2</v>
      </c>
      <c r="AJ3086" s="7" t="s">
        <v>50</v>
      </c>
      <c r="AK3086" s="7" t="s">
        <v>50</v>
      </c>
    </row>
    <row r="3087" spans="1:37" ht="36.75" customHeight="1" x14ac:dyDescent="0.35">
      <c r="A3087" s="5"/>
      <c r="B3087" s="5" t="s">
        <v>37</v>
      </c>
      <c r="C3087" s="73" t="str">
        <f t="shared" si="48"/>
        <v>Closed</v>
      </c>
      <c r="D3087" s="45" t="s">
        <v>17446</v>
      </c>
      <c r="E3087" s="54" t="s">
        <v>17447</v>
      </c>
      <c r="F3087" s="5" t="s">
        <v>214</v>
      </c>
      <c r="G3087" s="7">
        <f>DATE(2020,2,26)</f>
        <v>43887</v>
      </c>
      <c r="H3087" s="34">
        <v>1.7965277777777779</v>
      </c>
      <c r="I3087" s="5" t="s">
        <v>259</v>
      </c>
      <c r="J3087" s="7" t="s">
        <v>17448</v>
      </c>
      <c r="K3087" s="5" t="s">
        <v>216</v>
      </c>
      <c r="L3087" s="5" t="s">
        <v>17449</v>
      </c>
      <c r="M3087" s="5" t="s">
        <v>45</v>
      </c>
      <c r="N3087" s="5" t="s">
        <v>123</v>
      </c>
      <c r="O3087" s="5" t="s">
        <v>59</v>
      </c>
      <c r="P3087" s="7" t="s">
        <v>146</v>
      </c>
      <c r="Q3087" s="7" t="s">
        <v>1503</v>
      </c>
      <c r="R3087" s="7" t="s">
        <v>216</v>
      </c>
      <c r="S3087" s="5">
        <v>1</v>
      </c>
      <c r="T3087" s="36">
        <v>0</v>
      </c>
      <c r="U3087" s="5">
        <v>0</v>
      </c>
      <c r="V3087" s="36">
        <v>0</v>
      </c>
      <c r="W3087" s="5">
        <v>0</v>
      </c>
      <c r="X3087" s="5">
        <v>1</v>
      </c>
      <c r="Y3087" s="5">
        <v>0</v>
      </c>
      <c r="Z3087" s="36">
        <v>0</v>
      </c>
      <c r="AA3087" s="5">
        <v>0</v>
      </c>
      <c r="AB3087" s="5">
        <v>0</v>
      </c>
      <c r="AC3087" s="5">
        <v>0</v>
      </c>
      <c r="AD3087" s="5">
        <v>0</v>
      </c>
      <c r="AE3087" s="7" t="s">
        <v>73</v>
      </c>
      <c r="AF3087" s="7"/>
      <c r="AG3087" s="7" t="s">
        <v>64</v>
      </c>
      <c r="AH3087" s="7">
        <v>43927</v>
      </c>
      <c r="AI3087" s="5">
        <v>6</v>
      </c>
      <c r="AJ3087" s="7" t="s">
        <v>17450</v>
      </c>
      <c r="AK3087" s="7" t="s">
        <v>17451</v>
      </c>
    </row>
    <row r="3088" spans="1:37" ht="36.75" customHeight="1" x14ac:dyDescent="0.35">
      <c r="A3088" s="23" t="s">
        <v>4890</v>
      </c>
      <c r="B3088" s="5" t="s">
        <v>37</v>
      </c>
      <c r="C3088" s="73" t="str">
        <f t="shared" si="48"/>
        <v>Closed</v>
      </c>
      <c r="D3088" s="45" t="s">
        <v>17452</v>
      </c>
      <c r="E3088" s="54" t="s">
        <v>17453</v>
      </c>
      <c r="F3088" s="5" t="s">
        <v>1553</v>
      </c>
      <c r="G3088" s="7">
        <f>DATE(2020,2,27)</f>
        <v>43888</v>
      </c>
      <c r="H3088" s="34">
        <v>1.1354166666666667</v>
      </c>
      <c r="I3088" s="5" t="s">
        <v>106</v>
      </c>
      <c r="J3088" s="7" t="s">
        <v>17454</v>
      </c>
      <c r="K3088" s="5" t="s">
        <v>1555</v>
      </c>
      <c r="L3088" s="5" t="s">
        <v>17455</v>
      </c>
      <c r="M3088" s="5" t="s">
        <v>45</v>
      </c>
      <c r="N3088" s="5" t="s">
        <v>123</v>
      </c>
      <c r="O3088" s="5" t="s">
        <v>46</v>
      </c>
      <c r="P3088" s="7" t="s">
        <v>60</v>
      </c>
      <c r="Q3088" s="7" t="s">
        <v>2635</v>
      </c>
      <c r="R3088" s="7" t="s">
        <v>6413</v>
      </c>
      <c r="S3088" s="5">
        <v>0</v>
      </c>
      <c r="T3088" s="36">
        <v>0</v>
      </c>
      <c r="U3088" s="5">
        <v>0</v>
      </c>
      <c r="V3088" s="36">
        <v>0</v>
      </c>
      <c r="W3088" s="5">
        <v>0</v>
      </c>
      <c r="X3088" s="5">
        <v>0</v>
      </c>
      <c r="Y3088" s="5">
        <v>0</v>
      </c>
      <c r="Z3088" s="36">
        <v>0</v>
      </c>
      <c r="AA3088" s="5">
        <v>0</v>
      </c>
      <c r="AB3088" s="5">
        <v>0</v>
      </c>
      <c r="AC3088" s="5">
        <v>0</v>
      </c>
      <c r="AD3088" s="5">
        <v>0</v>
      </c>
      <c r="AE3088" s="7" t="s">
        <v>375</v>
      </c>
      <c r="AF3088" s="7"/>
      <c r="AG3088" s="7" t="s">
        <v>114</v>
      </c>
      <c r="AH3088" s="7">
        <v>43889</v>
      </c>
      <c r="AI3088" s="5">
        <v>1</v>
      </c>
      <c r="AJ3088" s="7" t="s">
        <v>50</v>
      </c>
      <c r="AK3088" s="7" t="s">
        <v>50</v>
      </c>
    </row>
    <row r="3089" spans="1:37" ht="36.75" customHeight="1" x14ac:dyDescent="0.35">
      <c r="A3089" s="5"/>
      <c r="B3089" s="5" t="s">
        <v>37</v>
      </c>
      <c r="C3089" s="73" t="str">
        <f t="shared" si="48"/>
        <v>Closed</v>
      </c>
      <c r="D3089" s="45" t="s">
        <v>17456</v>
      </c>
      <c r="E3089" s="54" t="s">
        <v>17457</v>
      </c>
      <c r="F3089" s="5" t="s">
        <v>404</v>
      </c>
      <c r="G3089" s="7">
        <f>DATE(2020,2,28)</f>
        <v>43889</v>
      </c>
      <c r="H3089" s="34">
        <v>1.2590277777777779</v>
      </c>
      <c r="I3089" s="5" t="s">
        <v>259</v>
      </c>
      <c r="J3089" s="7" t="s">
        <v>17458</v>
      </c>
      <c r="K3089" s="5" t="s">
        <v>406</v>
      </c>
      <c r="L3089" s="5" t="s">
        <v>17459</v>
      </c>
      <c r="M3089" s="5" t="s">
        <v>45</v>
      </c>
      <c r="N3089" s="5" t="s">
        <v>123</v>
      </c>
      <c r="O3089" s="5" t="s">
        <v>59</v>
      </c>
      <c r="P3089" s="7" t="s">
        <v>146</v>
      </c>
      <c r="Q3089" s="7" t="s">
        <v>4531</v>
      </c>
      <c r="R3089" s="7" t="s">
        <v>3083</v>
      </c>
      <c r="S3089" s="5">
        <v>0</v>
      </c>
      <c r="T3089" s="36">
        <v>1</v>
      </c>
      <c r="U3089" s="5">
        <v>0</v>
      </c>
      <c r="V3089" s="36">
        <v>0</v>
      </c>
      <c r="W3089" s="5">
        <v>0</v>
      </c>
      <c r="X3089" s="5">
        <v>1</v>
      </c>
      <c r="Y3089" s="5">
        <v>0</v>
      </c>
      <c r="Z3089" s="36">
        <v>0</v>
      </c>
      <c r="AA3089" s="5">
        <v>0</v>
      </c>
      <c r="AB3089" s="5">
        <v>0</v>
      </c>
      <c r="AC3089" s="5">
        <v>0</v>
      </c>
      <c r="AD3089" s="5">
        <v>0</v>
      </c>
      <c r="AE3089" s="7" t="s">
        <v>73</v>
      </c>
      <c r="AF3089" s="7"/>
      <c r="AG3089" s="7" t="s">
        <v>855</v>
      </c>
      <c r="AH3089" s="7">
        <v>43889</v>
      </c>
      <c r="AI3089" s="5">
        <v>0</v>
      </c>
      <c r="AJ3089" s="7" t="s">
        <v>17460</v>
      </c>
      <c r="AK3089" s="7" t="s">
        <v>17461</v>
      </c>
    </row>
    <row r="3090" spans="1:37" ht="36.75" customHeight="1" x14ac:dyDescent="0.35">
      <c r="A3090" s="5"/>
      <c r="B3090" s="5" t="s">
        <v>37</v>
      </c>
      <c r="C3090" s="73" t="str">
        <f t="shared" si="48"/>
        <v>Closed</v>
      </c>
      <c r="D3090" s="45" t="s">
        <v>17462</v>
      </c>
      <c r="E3090" s="54" t="s">
        <v>17463</v>
      </c>
      <c r="F3090" s="5" t="s">
        <v>404</v>
      </c>
      <c r="G3090" s="7">
        <f>DATE(2020,2,28)</f>
        <v>43889</v>
      </c>
      <c r="H3090" s="34">
        <v>1.3854166666666667</v>
      </c>
      <c r="I3090" s="5" t="s">
        <v>55</v>
      </c>
      <c r="J3090" s="7" t="s">
        <v>17464</v>
      </c>
      <c r="K3090" s="5" t="s">
        <v>406</v>
      </c>
      <c r="L3090" s="5" t="s">
        <v>17465</v>
      </c>
      <c r="M3090" s="5" t="s">
        <v>45</v>
      </c>
      <c r="N3090" s="5" t="s">
        <v>123</v>
      </c>
      <c r="O3090" s="5" t="s">
        <v>59</v>
      </c>
      <c r="P3090" s="7" t="s">
        <v>17466</v>
      </c>
      <c r="Q3090" s="7" t="s">
        <v>7562</v>
      </c>
      <c r="R3090" s="7" t="s">
        <v>3083</v>
      </c>
      <c r="S3090" s="5">
        <v>0</v>
      </c>
      <c r="T3090" s="36">
        <v>0</v>
      </c>
      <c r="U3090" s="5">
        <v>0</v>
      </c>
      <c r="V3090" s="36">
        <v>0</v>
      </c>
      <c r="W3090" s="5">
        <v>0</v>
      </c>
      <c r="X3090" s="5">
        <v>0</v>
      </c>
      <c r="Y3090" s="5">
        <v>0</v>
      </c>
      <c r="Z3090" s="36">
        <v>0</v>
      </c>
      <c r="AA3090" s="5">
        <v>0</v>
      </c>
      <c r="AB3090" s="5">
        <v>0</v>
      </c>
      <c r="AC3090" s="5">
        <v>0</v>
      </c>
      <c r="AD3090" s="5">
        <v>0</v>
      </c>
      <c r="AE3090" s="7" t="s">
        <v>73</v>
      </c>
      <c r="AF3090" s="7"/>
      <c r="AG3090" s="7" t="s">
        <v>114</v>
      </c>
      <c r="AH3090" s="7">
        <v>43889</v>
      </c>
      <c r="AI3090" s="5">
        <v>0</v>
      </c>
      <c r="AJ3090" s="7" t="s">
        <v>17467</v>
      </c>
      <c r="AK3090" s="7" t="s">
        <v>17468</v>
      </c>
    </row>
    <row r="3091" spans="1:37" ht="36.75" customHeight="1" x14ac:dyDescent="0.35">
      <c r="A3091" s="5"/>
      <c r="B3091" s="5" t="s">
        <v>37</v>
      </c>
      <c r="C3091" s="73" t="str">
        <f t="shared" si="48"/>
        <v>Closed</v>
      </c>
      <c r="D3091" s="45" t="s">
        <v>17469</v>
      </c>
      <c r="E3091" s="54" t="s">
        <v>17470</v>
      </c>
      <c r="F3091" s="5" t="s">
        <v>17305</v>
      </c>
      <c r="G3091" s="7">
        <f>DATE(2020,3,2)</f>
        <v>43892</v>
      </c>
      <c r="H3091" s="34">
        <v>1.6097222222222221</v>
      </c>
      <c r="I3091" s="5" t="s">
        <v>41</v>
      </c>
      <c r="J3091" s="7" t="s">
        <v>17471</v>
      </c>
      <c r="K3091" s="5" t="s">
        <v>108</v>
      </c>
      <c r="L3091" s="5" t="s">
        <v>17472</v>
      </c>
      <c r="M3091" s="5" t="s">
        <v>110</v>
      </c>
      <c r="N3091" s="5" t="s">
        <v>123</v>
      </c>
      <c r="O3091" s="5" t="s">
        <v>59</v>
      </c>
      <c r="P3091" s="7" t="s">
        <v>110</v>
      </c>
      <c r="Q3091" s="7" t="s">
        <v>10097</v>
      </c>
      <c r="R3091" s="7" t="s">
        <v>17473</v>
      </c>
      <c r="S3091" s="5">
        <v>0</v>
      </c>
      <c r="T3091" s="36">
        <v>0</v>
      </c>
      <c r="U3091" s="5">
        <v>0</v>
      </c>
      <c r="V3091" s="36">
        <v>0</v>
      </c>
      <c r="W3091" s="5">
        <v>0</v>
      </c>
      <c r="X3091" s="5">
        <v>0</v>
      </c>
      <c r="Y3091" s="5">
        <v>0</v>
      </c>
      <c r="Z3091" s="36">
        <v>0</v>
      </c>
      <c r="AA3091" s="5">
        <v>0</v>
      </c>
      <c r="AB3091" s="5">
        <v>0</v>
      </c>
      <c r="AC3091" s="5">
        <v>0</v>
      </c>
      <c r="AD3091" s="5">
        <v>0</v>
      </c>
      <c r="AE3091" s="7" t="s">
        <v>73</v>
      </c>
      <c r="AF3091" s="7" t="s">
        <v>16828</v>
      </c>
      <c r="AG3091" s="7" t="s">
        <v>16899</v>
      </c>
      <c r="AH3091" s="7">
        <v>43907</v>
      </c>
      <c r="AI3091" s="5">
        <v>2</v>
      </c>
      <c r="AJ3091" s="7" t="s">
        <v>17474</v>
      </c>
      <c r="AK3091" s="7" t="s">
        <v>17475</v>
      </c>
    </row>
    <row r="3092" spans="1:37" ht="36.75" customHeight="1" x14ac:dyDescent="0.35">
      <c r="A3092" s="5"/>
      <c r="B3092" s="5" t="s">
        <v>37</v>
      </c>
      <c r="C3092" s="73" t="str">
        <f t="shared" si="48"/>
        <v>Closed</v>
      </c>
      <c r="D3092" s="45" t="s">
        <v>17476</v>
      </c>
      <c r="E3092" s="54" t="s">
        <v>17477</v>
      </c>
      <c r="F3092" s="5" t="s">
        <v>1751</v>
      </c>
      <c r="G3092" s="7">
        <f>DATE(2020,3,3)</f>
        <v>43893</v>
      </c>
      <c r="H3092" s="34">
        <v>1.682638888888889</v>
      </c>
      <c r="I3092" s="5" t="s">
        <v>9004</v>
      </c>
      <c r="J3092" s="7" t="s">
        <v>17478</v>
      </c>
      <c r="K3092" s="5" t="s">
        <v>1753</v>
      </c>
      <c r="L3092" s="5" t="s">
        <v>17479</v>
      </c>
      <c r="M3092" s="5" t="s">
        <v>45</v>
      </c>
      <c r="N3092" s="5" t="s">
        <v>123</v>
      </c>
      <c r="O3092" s="5" t="s">
        <v>46</v>
      </c>
      <c r="P3092" s="7" t="s">
        <v>67</v>
      </c>
      <c r="Q3092" s="7" t="s">
        <v>860</v>
      </c>
      <c r="R3092" s="7" t="s">
        <v>1756</v>
      </c>
      <c r="S3092" s="5">
        <v>0</v>
      </c>
      <c r="T3092" s="36">
        <v>0</v>
      </c>
      <c r="U3092" s="5">
        <v>0</v>
      </c>
      <c r="V3092" s="36">
        <v>0</v>
      </c>
      <c r="W3092" s="5">
        <v>0</v>
      </c>
      <c r="X3092" s="5">
        <v>0</v>
      </c>
      <c r="Y3092" s="5">
        <v>0</v>
      </c>
      <c r="Z3092" s="36">
        <v>0</v>
      </c>
      <c r="AA3092" s="5">
        <v>0</v>
      </c>
      <c r="AB3092" s="5">
        <v>0</v>
      </c>
      <c r="AC3092" s="5">
        <v>0</v>
      </c>
      <c r="AD3092" s="5">
        <v>0</v>
      </c>
      <c r="AE3092" s="7" t="s">
        <v>73</v>
      </c>
      <c r="AF3092" s="7" t="s">
        <v>17480</v>
      </c>
      <c r="AG3092" s="7" t="s">
        <v>14532</v>
      </c>
      <c r="AH3092" s="7">
        <v>43915</v>
      </c>
      <c r="AI3092" s="5">
        <v>1</v>
      </c>
      <c r="AJ3092" s="7" t="s">
        <v>17481</v>
      </c>
      <c r="AK3092" s="7" t="s">
        <v>17482</v>
      </c>
    </row>
    <row r="3093" spans="1:37" ht="36.75" customHeight="1" x14ac:dyDescent="0.35">
      <c r="A3093" s="5"/>
      <c r="B3093" s="5" t="s">
        <v>37</v>
      </c>
      <c r="C3093" s="73" t="str">
        <f t="shared" si="48"/>
        <v>Closed</v>
      </c>
      <c r="D3093" s="45" t="s">
        <v>17483</v>
      </c>
      <c r="E3093" s="54" t="s">
        <v>17484</v>
      </c>
      <c r="F3093" s="5" t="s">
        <v>1553</v>
      </c>
      <c r="G3093" s="7">
        <f>DATE(2020,3,3)</f>
        <v>43893</v>
      </c>
      <c r="H3093" s="34">
        <v>1.4027777777777777</v>
      </c>
      <c r="I3093" s="5" t="s">
        <v>5473</v>
      </c>
      <c r="J3093" s="7" t="s">
        <v>17485</v>
      </c>
      <c r="K3093" s="5" t="s">
        <v>1555</v>
      </c>
      <c r="L3093" s="5" t="s">
        <v>17486</v>
      </c>
      <c r="M3093" s="5" t="s">
        <v>45</v>
      </c>
      <c r="N3093" s="5" t="s">
        <v>123</v>
      </c>
      <c r="O3093" s="5" t="s">
        <v>59</v>
      </c>
      <c r="P3093" s="7" t="s">
        <v>6920</v>
      </c>
      <c r="Q3093" s="7" t="s">
        <v>2393</v>
      </c>
      <c r="R3093" s="7" t="s">
        <v>6413</v>
      </c>
      <c r="S3093" s="5">
        <v>0</v>
      </c>
      <c r="T3093" s="36">
        <v>0</v>
      </c>
      <c r="U3093" s="5">
        <v>0</v>
      </c>
      <c r="V3093" s="36">
        <v>0</v>
      </c>
      <c r="W3093" s="5">
        <v>0</v>
      </c>
      <c r="X3093" s="5">
        <v>0</v>
      </c>
      <c r="Y3093" s="5">
        <v>0</v>
      </c>
      <c r="Z3093" s="36">
        <v>0</v>
      </c>
      <c r="AA3093" s="5">
        <v>0</v>
      </c>
      <c r="AB3093" s="5">
        <v>0</v>
      </c>
      <c r="AC3093" s="5">
        <v>0</v>
      </c>
      <c r="AD3093" s="5">
        <v>0</v>
      </c>
      <c r="AE3093" s="7" t="s">
        <v>73</v>
      </c>
      <c r="AF3093" s="7"/>
      <c r="AG3093" s="7" t="s">
        <v>1489</v>
      </c>
      <c r="AH3093" s="7">
        <v>43894</v>
      </c>
      <c r="AI3093" s="5">
        <v>4</v>
      </c>
      <c r="AJ3093" s="7" t="s">
        <v>17487</v>
      </c>
      <c r="AK3093" s="7" t="s">
        <v>17488</v>
      </c>
    </row>
    <row r="3094" spans="1:37" ht="36.75" customHeight="1" x14ac:dyDescent="0.35">
      <c r="A3094" s="15" t="s">
        <v>12448</v>
      </c>
      <c r="B3094" s="15" t="s">
        <v>37</v>
      </c>
      <c r="C3094" s="73" t="str">
        <f t="shared" si="48"/>
        <v>Closed</v>
      </c>
      <c r="D3094" s="16" t="s">
        <v>17489</v>
      </c>
      <c r="E3094" s="55" t="s">
        <v>17490</v>
      </c>
      <c r="F3094" s="15" t="s">
        <v>17491</v>
      </c>
      <c r="G3094" s="7">
        <f>DATE(2020,3,4)</f>
        <v>43894</v>
      </c>
      <c r="H3094" s="52">
        <v>0.94027777777777777</v>
      </c>
      <c r="I3094" s="15" t="s">
        <v>6754</v>
      </c>
      <c r="J3094" s="7" t="s">
        <v>17492</v>
      </c>
      <c r="K3094" s="15" t="s">
        <v>621</v>
      </c>
      <c r="L3094" s="15" t="s">
        <v>17493</v>
      </c>
      <c r="M3094" s="15" t="s">
        <v>45</v>
      </c>
      <c r="N3094" s="15" t="s">
        <v>80</v>
      </c>
      <c r="O3094" s="15" t="s">
        <v>46</v>
      </c>
      <c r="P3094" s="7" t="s">
        <v>6881</v>
      </c>
      <c r="Q3094" s="7" t="s">
        <v>17494</v>
      </c>
      <c r="R3094" s="7" t="s">
        <v>17495</v>
      </c>
      <c r="S3094" s="15">
        <v>0</v>
      </c>
      <c r="T3094" s="15">
        <v>0</v>
      </c>
      <c r="U3094" s="15">
        <v>0</v>
      </c>
      <c r="V3094" s="15">
        <v>0</v>
      </c>
      <c r="W3094" s="15">
        <v>0</v>
      </c>
      <c r="X3094" s="15">
        <v>0</v>
      </c>
      <c r="Y3094" s="15">
        <v>0</v>
      </c>
      <c r="Z3094" s="15">
        <v>0</v>
      </c>
      <c r="AA3094" s="15">
        <v>0</v>
      </c>
      <c r="AB3094" s="15">
        <v>0</v>
      </c>
      <c r="AC3094" s="15">
        <v>0</v>
      </c>
      <c r="AD3094" s="15">
        <v>0</v>
      </c>
      <c r="AE3094" s="7" t="s">
        <v>17496</v>
      </c>
      <c r="AF3094" s="7" t="s">
        <v>17497</v>
      </c>
      <c r="AG3094" s="5" t="s">
        <v>17498</v>
      </c>
      <c r="AH3094" s="7">
        <v>44124</v>
      </c>
      <c r="AI3094" s="5">
        <v>5</v>
      </c>
      <c r="AJ3094" s="7" t="s">
        <v>17499</v>
      </c>
      <c r="AK3094" s="7" t="s">
        <v>17500</v>
      </c>
    </row>
    <row r="3095" spans="1:37" ht="36.75" customHeight="1" x14ac:dyDescent="0.35">
      <c r="A3095" s="5" t="s">
        <v>12448</v>
      </c>
      <c r="B3095" s="5" t="s">
        <v>37</v>
      </c>
      <c r="C3095" s="73" t="str">
        <f t="shared" si="48"/>
        <v>Closed</v>
      </c>
      <c r="D3095" s="47" t="s">
        <v>17501</v>
      </c>
      <c r="E3095" s="55" t="s">
        <v>17502</v>
      </c>
      <c r="F3095" s="15" t="s">
        <v>12887</v>
      </c>
      <c r="G3095" s="7">
        <f>DATE(2020,3,5)</f>
        <v>43895</v>
      </c>
      <c r="H3095" s="52">
        <v>0.50347222222222221</v>
      </c>
      <c r="I3095" s="15" t="s">
        <v>97</v>
      </c>
      <c r="J3095" s="15" t="s">
        <v>17503</v>
      </c>
      <c r="K3095" s="15" t="s">
        <v>434</v>
      </c>
      <c r="L3095" s="15" t="s">
        <v>17504</v>
      </c>
      <c r="M3095" s="15"/>
      <c r="N3095" s="15"/>
      <c r="O3095" s="15" t="s">
        <v>46</v>
      </c>
      <c r="P3095" s="15" t="s">
        <v>6531</v>
      </c>
      <c r="Q3095" s="15" t="s">
        <v>16552</v>
      </c>
      <c r="R3095" s="15" t="s">
        <v>17505</v>
      </c>
      <c r="S3095" s="15">
        <v>0</v>
      </c>
      <c r="T3095" s="15">
        <v>0</v>
      </c>
      <c r="U3095" s="15">
        <v>0</v>
      </c>
      <c r="V3095" s="15">
        <v>0</v>
      </c>
      <c r="W3095" s="15">
        <v>0</v>
      </c>
      <c r="X3095" s="15">
        <v>0</v>
      </c>
      <c r="Y3095" s="15">
        <v>0</v>
      </c>
      <c r="Z3095" s="15">
        <v>0</v>
      </c>
      <c r="AA3095" s="15">
        <v>1</v>
      </c>
      <c r="AB3095" s="15">
        <v>0</v>
      </c>
      <c r="AC3095" s="15">
        <v>0</v>
      </c>
      <c r="AD3095" s="15">
        <v>1</v>
      </c>
      <c r="AE3095" s="15"/>
      <c r="AF3095" s="15"/>
      <c r="AG3095" s="15"/>
      <c r="AH3095" s="15" t="s">
        <v>50</v>
      </c>
      <c r="AI3095" s="15">
        <v>0</v>
      </c>
      <c r="AJ3095" s="15"/>
      <c r="AK3095" s="15"/>
    </row>
    <row r="3096" spans="1:37" ht="36.75" customHeight="1" x14ac:dyDescent="0.35">
      <c r="A3096" s="5"/>
      <c r="B3096" s="5" t="s">
        <v>37</v>
      </c>
      <c r="C3096" s="73" t="str">
        <f t="shared" si="48"/>
        <v>Closed</v>
      </c>
      <c r="D3096" s="45" t="s">
        <v>17506</v>
      </c>
      <c r="E3096" s="54" t="s">
        <v>17507</v>
      </c>
      <c r="F3096" s="5" t="s">
        <v>96</v>
      </c>
      <c r="G3096" s="7">
        <f>DATE(2020,3,5)</f>
        <v>43895</v>
      </c>
      <c r="H3096" s="34">
        <v>1.3138888888888889</v>
      </c>
      <c r="I3096" s="5" t="s">
        <v>55</v>
      </c>
      <c r="J3096" s="7" t="s">
        <v>17508</v>
      </c>
      <c r="K3096" s="5" t="s">
        <v>99</v>
      </c>
      <c r="L3096" s="5" t="s">
        <v>17509</v>
      </c>
      <c r="M3096" s="5" t="s">
        <v>45</v>
      </c>
      <c r="N3096" s="5" t="s">
        <v>123</v>
      </c>
      <c r="O3096" s="5" t="s">
        <v>46</v>
      </c>
      <c r="P3096" s="7" t="s">
        <v>443</v>
      </c>
      <c r="Q3096" s="7" t="s">
        <v>101</v>
      </c>
      <c r="R3096" s="7" t="s">
        <v>102</v>
      </c>
      <c r="S3096" s="5">
        <v>0</v>
      </c>
      <c r="T3096" s="36">
        <v>0</v>
      </c>
      <c r="U3096" s="5">
        <v>0</v>
      </c>
      <c r="V3096" s="36">
        <v>0</v>
      </c>
      <c r="W3096" s="5">
        <v>0</v>
      </c>
      <c r="X3096" s="5">
        <v>0</v>
      </c>
      <c r="Y3096" s="5">
        <v>0</v>
      </c>
      <c r="Z3096" s="36">
        <v>1</v>
      </c>
      <c r="AA3096" s="5">
        <v>0</v>
      </c>
      <c r="AB3096" s="5">
        <v>0</v>
      </c>
      <c r="AC3096" s="5">
        <v>0</v>
      </c>
      <c r="AD3096" s="5">
        <v>1</v>
      </c>
      <c r="AE3096" s="7" t="s">
        <v>126</v>
      </c>
      <c r="AF3096" s="7" t="s">
        <v>17510</v>
      </c>
      <c r="AG3096" s="7" t="s">
        <v>6438</v>
      </c>
      <c r="AH3096" s="7">
        <v>43895</v>
      </c>
      <c r="AI3096" s="5">
        <v>4</v>
      </c>
      <c r="AJ3096" s="7" t="s">
        <v>17511</v>
      </c>
      <c r="AK3096" s="7" t="s">
        <v>17512</v>
      </c>
    </row>
    <row r="3097" spans="1:37" ht="36.75" customHeight="1" x14ac:dyDescent="0.35">
      <c r="A3097" s="5"/>
      <c r="B3097" s="5" t="s">
        <v>37</v>
      </c>
      <c r="C3097" s="73" t="str">
        <f t="shared" si="48"/>
        <v>Closed</v>
      </c>
      <c r="D3097" s="45" t="s">
        <v>17513</v>
      </c>
      <c r="E3097" s="54" t="s">
        <v>17514</v>
      </c>
      <c r="F3097" s="5" t="s">
        <v>1553</v>
      </c>
      <c r="G3097" s="7">
        <f>DATE(2020,3,5)</f>
        <v>43895</v>
      </c>
      <c r="H3097" s="34">
        <v>1.476388888888889</v>
      </c>
      <c r="I3097" s="5" t="s">
        <v>5473</v>
      </c>
      <c r="J3097" s="7" t="s">
        <v>17515</v>
      </c>
      <c r="K3097" s="5" t="s">
        <v>1555</v>
      </c>
      <c r="L3097" s="5" t="s">
        <v>17516</v>
      </c>
      <c r="M3097" s="5" t="s">
        <v>45</v>
      </c>
      <c r="N3097" s="5" t="s">
        <v>123</v>
      </c>
      <c r="O3097" s="5" t="s">
        <v>59</v>
      </c>
      <c r="P3097" s="7" t="s">
        <v>6920</v>
      </c>
      <c r="Q3097" s="7" t="s">
        <v>2393</v>
      </c>
      <c r="R3097" s="7" t="s">
        <v>6413</v>
      </c>
      <c r="S3097" s="5">
        <v>0</v>
      </c>
      <c r="T3097" s="36">
        <v>0</v>
      </c>
      <c r="U3097" s="5">
        <v>0</v>
      </c>
      <c r="V3097" s="36">
        <v>0</v>
      </c>
      <c r="W3097" s="5">
        <v>0</v>
      </c>
      <c r="X3097" s="5">
        <v>0</v>
      </c>
      <c r="Y3097" s="5">
        <v>0</v>
      </c>
      <c r="Z3097" s="36">
        <v>0</v>
      </c>
      <c r="AA3097" s="5">
        <v>0</v>
      </c>
      <c r="AB3097" s="5">
        <v>0</v>
      </c>
      <c r="AC3097" s="5">
        <v>0</v>
      </c>
      <c r="AD3097" s="5">
        <v>0</v>
      </c>
      <c r="AE3097" s="7" t="s">
        <v>73</v>
      </c>
      <c r="AF3097" s="7"/>
      <c r="AG3097" s="7" t="s">
        <v>1489</v>
      </c>
      <c r="AH3097" s="7">
        <v>43895</v>
      </c>
      <c r="AI3097" s="5">
        <v>0</v>
      </c>
      <c r="AJ3097" s="7" t="s">
        <v>17517</v>
      </c>
      <c r="AK3097" s="7" t="s">
        <v>17518</v>
      </c>
    </row>
    <row r="3098" spans="1:37" ht="36.75" customHeight="1" x14ac:dyDescent="0.35">
      <c r="A3098" s="5"/>
      <c r="B3098" s="5" t="s">
        <v>37</v>
      </c>
      <c r="C3098" s="73" t="str">
        <f t="shared" si="48"/>
        <v>Closed</v>
      </c>
      <c r="D3098" s="45" t="s">
        <v>17519</v>
      </c>
      <c r="E3098" s="54" t="s">
        <v>17520</v>
      </c>
      <c r="F3098" s="5" t="s">
        <v>119</v>
      </c>
      <c r="G3098" s="7">
        <f>DATE(2020,3,5)</f>
        <v>43895</v>
      </c>
      <c r="H3098" s="34">
        <v>1.786111111111111</v>
      </c>
      <c r="I3098" s="5" t="s">
        <v>97</v>
      </c>
      <c r="J3098" s="7" t="s">
        <v>17521</v>
      </c>
      <c r="K3098" s="5" t="s">
        <v>121</v>
      </c>
      <c r="L3098" s="5" t="s">
        <v>17522</v>
      </c>
      <c r="M3098" s="5" t="s">
        <v>45</v>
      </c>
      <c r="N3098" s="5" t="s">
        <v>80</v>
      </c>
      <c r="O3098" s="5" t="s">
        <v>46</v>
      </c>
      <c r="P3098" s="7" t="s">
        <v>146</v>
      </c>
      <c r="Q3098" s="7" t="s">
        <v>2015</v>
      </c>
      <c r="R3098" s="7" t="s">
        <v>4913</v>
      </c>
      <c r="S3098" s="5">
        <v>0</v>
      </c>
      <c r="T3098" s="38">
        <v>0</v>
      </c>
      <c r="U3098" s="5">
        <v>0</v>
      </c>
      <c r="V3098" s="38">
        <v>0</v>
      </c>
      <c r="W3098" s="5">
        <v>0</v>
      </c>
      <c r="X3098" s="5">
        <v>0</v>
      </c>
      <c r="Y3098" s="5">
        <v>0</v>
      </c>
      <c r="Z3098" s="38">
        <v>0</v>
      </c>
      <c r="AA3098" s="5">
        <v>0</v>
      </c>
      <c r="AB3098" s="5">
        <v>0</v>
      </c>
      <c r="AC3098" s="5">
        <v>0</v>
      </c>
      <c r="AD3098" s="5">
        <v>0</v>
      </c>
      <c r="AE3098" s="7" t="s">
        <v>375</v>
      </c>
      <c r="AF3098" s="7"/>
      <c r="AG3098" s="7" t="s">
        <v>64</v>
      </c>
      <c r="AH3098" s="7">
        <v>43910</v>
      </c>
      <c r="AI3098" s="5">
        <v>6</v>
      </c>
      <c r="AJ3098" s="7" t="s">
        <v>50</v>
      </c>
      <c r="AK3098" s="7" t="s">
        <v>50</v>
      </c>
    </row>
    <row r="3099" spans="1:37" ht="36.75" customHeight="1" x14ac:dyDescent="0.35">
      <c r="A3099" s="23" t="s">
        <v>4890</v>
      </c>
      <c r="B3099" s="5" t="s">
        <v>37</v>
      </c>
      <c r="C3099" s="73" t="str">
        <f t="shared" si="48"/>
        <v>Closed</v>
      </c>
      <c r="D3099" s="45" t="s">
        <v>17523</v>
      </c>
      <c r="E3099" s="54" t="s">
        <v>17524</v>
      </c>
      <c r="F3099" s="5" t="s">
        <v>1553</v>
      </c>
      <c r="G3099" s="7">
        <f>DATE(2020,3,6)</f>
        <v>43896</v>
      </c>
      <c r="H3099" s="34">
        <v>1.6354166666666665</v>
      </c>
      <c r="I3099" s="5" t="s">
        <v>5473</v>
      </c>
      <c r="J3099" s="7" t="s">
        <v>17525</v>
      </c>
      <c r="K3099" s="5" t="s">
        <v>1555</v>
      </c>
      <c r="L3099" s="5" t="s">
        <v>11980</v>
      </c>
      <c r="M3099" s="5" t="s">
        <v>45</v>
      </c>
      <c r="N3099" s="5" t="s">
        <v>123</v>
      </c>
      <c r="O3099" s="5" t="s">
        <v>59</v>
      </c>
      <c r="P3099" s="7" t="s">
        <v>6920</v>
      </c>
      <c r="Q3099" s="7" t="s">
        <v>2393</v>
      </c>
      <c r="R3099" s="7" t="s">
        <v>6413</v>
      </c>
      <c r="S3099" s="5">
        <v>0</v>
      </c>
      <c r="T3099" s="38">
        <v>0</v>
      </c>
      <c r="U3099" s="5">
        <v>0</v>
      </c>
      <c r="V3099" s="38">
        <v>0</v>
      </c>
      <c r="W3099" s="5">
        <v>0</v>
      </c>
      <c r="X3099" s="5">
        <v>0</v>
      </c>
      <c r="Y3099" s="5">
        <v>0</v>
      </c>
      <c r="Z3099" s="38">
        <v>0</v>
      </c>
      <c r="AA3099" s="5">
        <v>0</v>
      </c>
      <c r="AB3099" s="5">
        <v>0</v>
      </c>
      <c r="AC3099" s="5">
        <v>0</v>
      </c>
      <c r="AD3099" s="5">
        <v>0</v>
      </c>
      <c r="AE3099" s="7" t="s">
        <v>73</v>
      </c>
      <c r="AF3099" s="7"/>
      <c r="AG3099" s="7" t="s">
        <v>1489</v>
      </c>
      <c r="AH3099" s="7">
        <v>43899</v>
      </c>
      <c r="AI3099" s="5">
        <v>2</v>
      </c>
      <c r="AJ3099" s="7" t="s">
        <v>50</v>
      </c>
      <c r="AK3099" s="7" t="s">
        <v>50</v>
      </c>
    </row>
    <row r="3100" spans="1:37" ht="36.75" customHeight="1" x14ac:dyDescent="0.35">
      <c r="A3100" s="23" t="s">
        <v>4890</v>
      </c>
      <c r="B3100" s="5" t="s">
        <v>37</v>
      </c>
      <c r="C3100" s="73" t="str">
        <f t="shared" si="48"/>
        <v>Closed</v>
      </c>
      <c r="D3100" s="45" t="s">
        <v>17526</v>
      </c>
      <c r="E3100" s="54" t="s">
        <v>17527</v>
      </c>
      <c r="F3100" s="5" t="s">
        <v>2316</v>
      </c>
      <c r="G3100" s="7">
        <f>DATE(2020,3,9)</f>
        <v>43899</v>
      </c>
      <c r="H3100" s="34">
        <v>1.1770833333333333</v>
      </c>
      <c r="I3100" s="5" t="s">
        <v>179</v>
      </c>
      <c r="J3100" s="7" t="s">
        <v>17528</v>
      </c>
      <c r="K3100" s="5" t="s">
        <v>2318</v>
      </c>
      <c r="L3100" s="5" t="s">
        <v>17529</v>
      </c>
      <c r="M3100" s="5" t="s">
        <v>45</v>
      </c>
      <c r="N3100" s="5" t="s">
        <v>123</v>
      </c>
      <c r="O3100" s="5" t="s">
        <v>59</v>
      </c>
      <c r="P3100" s="7" t="s">
        <v>17530</v>
      </c>
      <c r="Q3100" s="7" t="s">
        <v>2318</v>
      </c>
      <c r="R3100" s="7" t="s">
        <v>2321</v>
      </c>
      <c r="S3100" s="5">
        <v>0</v>
      </c>
      <c r="T3100" s="36">
        <v>2</v>
      </c>
      <c r="U3100" s="5">
        <v>0</v>
      </c>
      <c r="V3100" s="36">
        <v>0</v>
      </c>
      <c r="W3100" s="5">
        <v>0</v>
      </c>
      <c r="X3100" s="5">
        <v>2</v>
      </c>
      <c r="Y3100" s="5">
        <v>0</v>
      </c>
      <c r="Z3100" s="36">
        <v>0</v>
      </c>
      <c r="AA3100" s="5">
        <v>0</v>
      </c>
      <c r="AB3100" s="5">
        <v>0</v>
      </c>
      <c r="AC3100" s="5">
        <v>0</v>
      </c>
      <c r="AD3100" s="5">
        <v>0</v>
      </c>
      <c r="AE3100" s="7" t="s">
        <v>73</v>
      </c>
      <c r="AF3100" s="7"/>
      <c r="AG3100" s="7" t="s">
        <v>64</v>
      </c>
      <c r="AH3100" s="7">
        <v>43902</v>
      </c>
      <c r="AI3100" s="5">
        <v>7</v>
      </c>
      <c r="AJ3100" s="7" t="s">
        <v>50</v>
      </c>
      <c r="AK3100" s="7" t="s">
        <v>50</v>
      </c>
    </row>
    <row r="3101" spans="1:37" ht="36.75" customHeight="1" x14ac:dyDescent="0.35">
      <c r="A3101" s="5" t="s">
        <v>4890</v>
      </c>
      <c r="B3101" s="5" t="s">
        <v>37</v>
      </c>
      <c r="C3101" s="73" t="str">
        <f t="shared" si="48"/>
        <v>Closed</v>
      </c>
      <c r="D3101" s="45" t="s">
        <v>17531</v>
      </c>
      <c r="E3101" s="54" t="s">
        <v>17532</v>
      </c>
      <c r="F3101" s="5" t="s">
        <v>214</v>
      </c>
      <c r="G3101" s="7">
        <f>DATE(2020,3,9)</f>
        <v>43899</v>
      </c>
      <c r="H3101" s="51">
        <v>1.3527777777777779</v>
      </c>
      <c r="I3101" s="5" t="s">
        <v>468</v>
      </c>
      <c r="J3101" s="7" t="s">
        <v>17533</v>
      </c>
      <c r="K3101" s="5" t="s">
        <v>216</v>
      </c>
      <c r="L3101" s="5" t="s">
        <v>17534</v>
      </c>
      <c r="M3101" s="5" t="s">
        <v>45</v>
      </c>
      <c r="N3101" s="5" t="s">
        <v>123</v>
      </c>
      <c r="O3101" s="5" t="s">
        <v>46</v>
      </c>
      <c r="P3101" s="7" t="s">
        <v>72</v>
      </c>
      <c r="Q3101" s="7" t="s">
        <v>2739</v>
      </c>
      <c r="R3101" s="7" t="s">
        <v>216</v>
      </c>
      <c r="S3101" s="5">
        <v>0</v>
      </c>
      <c r="T3101" s="36">
        <v>0</v>
      </c>
      <c r="U3101" s="5">
        <v>0</v>
      </c>
      <c r="V3101" s="36">
        <v>0</v>
      </c>
      <c r="W3101" s="5">
        <v>0</v>
      </c>
      <c r="X3101" s="5">
        <v>0</v>
      </c>
      <c r="Y3101" s="5">
        <v>0</v>
      </c>
      <c r="Z3101" s="36">
        <v>0</v>
      </c>
      <c r="AA3101" s="5">
        <v>0</v>
      </c>
      <c r="AB3101" s="5">
        <v>0</v>
      </c>
      <c r="AC3101" s="5">
        <v>0</v>
      </c>
      <c r="AD3101" s="5">
        <v>0</v>
      </c>
      <c r="AE3101" s="7" t="s">
        <v>73</v>
      </c>
      <c r="AF3101" s="7"/>
      <c r="AG3101" s="7" t="s">
        <v>114</v>
      </c>
      <c r="AH3101" s="7">
        <v>43906</v>
      </c>
      <c r="AI3101" s="5">
        <v>0</v>
      </c>
      <c r="AJ3101" s="7" t="s">
        <v>50</v>
      </c>
      <c r="AK3101" s="7" t="s">
        <v>50</v>
      </c>
    </row>
    <row r="3102" spans="1:37" ht="36.75" customHeight="1" x14ac:dyDescent="0.35">
      <c r="A3102" s="5" t="s">
        <v>12448</v>
      </c>
      <c r="B3102" s="5" t="s">
        <v>37</v>
      </c>
      <c r="C3102" s="73" t="str">
        <f t="shared" si="48"/>
        <v>Closed</v>
      </c>
      <c r="D3102" s="47" t="s">
        <v>17535</v>
      </c>
      <c r="E3102" s="54" t="s">
        <v>17536</v>
      </c>
      <c r="F3102" s="5" t="s">
        <v>17537</v>
      </c>
      <c r="G3102" s="7">
        <f>DATE(2020,3,15)</f>
        <v>43905</v>
      </c>
      <c r="H3102" s="52">
        <v>0.81874999999999998</v>
      </c>
      <c r="I3102" s="5" t="s">
        <v>85</v>
      </c>
      <c r="J3102" s="5" t="s">
        <v>17538</v>
      </c>
      <c r="K3102" s="5" t="s">
        <v>818</v>
      </c>
      <c r="L3102" s="5" t="s">
        <v>17539</v>
      </c>
      <c r="M3102" s="5" t="s">
        <v>45</v>
      </c>
      <c r="N3102" s="5" t="s">
        <v>70</v>
      </c>
      <c r="O3102" s="5" t="s">
        <v>59</v>
      </c>
      <c r="P3102" s="5" t="s">
        <v>146</v>
      </c>
      <c r="Q3102" s="5" t="s">
        <v>17540</v>
      </c>
      <c r="R3102" s="5" t="s">
        <v>17330</v>
      </c>
      <c r="S3102" s="5">
        <v>0</v>
      </c>
      <c r="T3102" s="5">
        <v>0</v>
      </c>
      <c r="U3102" s="5">
        <v>0</v>
      </c>
      <c r="V3102" s="5">
        <v>0</v>
      </c>
      <c r="W3102" s="5">
        <v>0</v>
      </c>
      <c r="X3102" s="5">
        <v>0</v>
      </c>
      <c r="Y3102" s="5">
        <v>0</v>
      </c>
      <c r="Z3102" s="5">
        <v>0</v>
      </c>
      <c r="AA3102" s="5">
        <v>0</v>
      </c>
      <c r="AB3102" s="5">
        <v>0</v>
      </c>
      <c r="AC3102" s="5">
        <v>0</v>
      </c>
      <c r="AD3102" s="5">
        <v>0</v>
      </c>
      <c r="AE3102" s="7" t="s">
        <v>73</v>
      </c>
      <c r="AF3102" s="5" t="s">
        <v>17428</v>
      </c>
      <c r="AG3102" s="5" t="s">
        <v>17498</v>
      </c>
      <c r="AH3102" s="7">
        <v>43906</v>
      </c>
      <c r="AI3102" s="5">
        <v>0</v>
      </c>
      <c r="AJ3102" s="5" t="s">
        <v>17541</v>
      </c>
      <c r="AK3102" s="5"/>
    </row>
    <row r="3103" spans="1:37" ht="36.75" customHeight="1" x14ac:dyDescent="0.35">
      <c r="A3103" s="5"/>
      <c r="B3103" s="5" t="s">
        <v>37</v>
      </c>
      <c r="C3103" s="73" t="str">
        <f t="shared" si="48"/>
        <v>Closed</v>
      </c>
      <c r="D3103" s="45" t="s">
        <v>17542</v>
      </c>
      <c r="E3103" s="54" t="s">
        <v>17543</v>
      </c>
      <c r="F3103" s="5" t="s">
        <v>16278</v>
      </c>
      <c r="G3103" s="7">
        <f>DATE(2020,3,18)</f>
        <v>43908</v>
      </c>
      <c r="H3103" s="34">
        <v>1.4013888888888888</v>
      </c>
      <c r="I3103" s="5" t="s">
        <v>259</v>
      </c>
      <c r="J3103" s="7" t="s">
        <v>17544</v>
      </c>
      <c r="K3103" s="5" t="s">
        <v>99</v>
      </c>
      <c r="L3103" s="5" t="s">
        <v>17545</v>
      </c>
      <c r="M3103" s="5" t="s">
        <v>45</v>
      </c>
      <c r="N3103" s="5" t="s">
        <v>70</v>
      </c>
      <c r="O3103" s="5" t="s">
        <v>46</v>
      </c>
      <c r="P3103" s="7" t="s">
        <v>146</v>
      </c>
      <c r="Q3103" s="7" t="s">
        <v>16281</v>
      </c>
      <c r="R3103" s="7" t="s">
        <v>16282</v>
      </c>
      <c r="S3103" s="5">
        <v>0</v>
      </c>
      <c r="T3103" s="36">
        <v>1</v>
      </c>
      <c r="U3103" s="5">
        <v>0</v>
      </c>
      <c r="V3103" s="36">
        <v>0</v>
      </c>
      <c r="W3103" s="5">
        <v>0</v>
      </c>
      <c r="X3103" s="5">
        <v>1</v>
      </c>
      <c r="Y3103" s="5">
        <v>0</v>
      </c>
      <c r="Z3103" s="36">
        <v>1</v>
      </c>
      <c r="AA3103" s="5">
        <v>0</v>
      </c>
      <c r="AB3103" s="5">
        <v>0</v>
      </c>
      <c r="AC3103" s="5">
        <v>0</v>
      </c>
      <c r="AD3103" s="5">
        <v>1</v>
      </c>
      <c r="AE3103" s="7" t="s">
        <v>73</v>
      </c>
      <c r="AF3103" s="7" t="s">
        <v>17546</v>
      </c>
      <c r="AG3103" s="7" t="s">
        <v>6438</v>
      </c>
      <c r="AH3103" s="7">
        <v>43909</v>
      </c>
      <c r="AI3103" s="5">
        <v>4</v>
      </c>
      <c r="AJ3103" s="7" t="s">
        <v>17547</v>
      </c>
      <c r="AK3103" s="7" t="s">
        <v>17548</v>
      </c>
    </row>
    <row r="3104" spans="1:37" ht="36.75" customHeight="1" x14ac:dyDescent="0.35">
      <c r="A3104" s="23" t="s">
        <v>4890</v>
      </c>
      <c r="B3104" s="5" t="s">
        <v>37</v>
      </c>
      <c r="C3104" s="73" t="str">
        <f t="shared" si="48"/>
        <v>Closed</v>
      </c>
      <c r="D3104" s="45" t="s">
        <v>17549</v>
      </c>
      <c r="E3104" s="54" t="s">
        <v>17550</v>
      </c>
      <c r="F3104" s="5" t="s">
        <v>404</v>
      </c>
      <c r="G3104" s="7">
        <f>DATE(2020,3,20)</f>
        <v>43910</v>
      </c>
      <c r="H3104" s="34">
        <v>1.9513888888888888</v>
      </c>
      <c r="I3104" s="5" t="s">
        <v>179</v>
      </c>
      <c r="J3104" s="7" t="s">
        <v>17551</v>
      </c>
      <c r="K3104" s="5" t="s">
        <v>406</v>
      </c>
      <c r="L3104" s="5" t="s">
        <v>12696</v>
      </c>
      <c r="M3104" s="5" t="s">
        <v>45</v>
      </c>
      <c r="N3104" s="5" t="s">
        <v>70</v>
      </c>
      <c r="O3104" s="5" t="s">
        <v>59</v>
      </c>
      <c r="P3104" s="7" t="s">
        <v>15593</v>
      </c>
      <c r="Q3104" s="7" t="s">
        <v>2562</v>
      </c>
      <c r="R3104" s="7" t="s">
        <v>3083</v>
      </c>
      <c r="S3104" s="5">
        <v>0</v>
      </c>
      <c r="T3104" s="36">
        <v>0</v>
      </c>
      <c r="U3104" s="5">
        <v>0</v>
      </c>
      <c r="V3104" s="36">
        <v>0</v>
      </c>
      <c r="W3104" s="5">
        <v>0</v>
      </c>
      <c r="X3104" s="5">
        <v>0</v>
      </c>
      <c r="Y3104" s="5">
        <v>0</v>
      </c>
      <c r="Z3104" s="36">
        <v>0</v>
      </c>
      <c r="AA3104" s="5">
        <v>0</v>
      </c>
      <c r="AB3104" s="5">
        <v>0</v>
      </c>
      <c r="AC3104" s="5">
        <v>0</v>
      </c>
      <c r="AD3104" s="5">
        <v>0</v>
      </c>
      <c r="AE3104" s="7" t="s">
        <v>375</v>
      </c>
      <c r="AF3104" s="7"/>
      <c r="AG3104" s="7" t="s">
        <v>114</v>
      </c>
      <c r="AH3104" s="7">
        <v>44020</v>
      </c>
      <c r="AI3104" s="5">
        <v>2</v>
      </c>
      <c r="AJ3104" s="7" t="s">
        <v>50</v>
      </c>
      <c r="AK3104" s="7" t="s">
        <v>50</v>
      </c>
    </row>
    <row r="3105" spans="1:37" ht="36.75" customHeight="1" x14ac:dyDescent="0.35">
      <c r="A3105" s="23" t="s">
        <v>4890</v>
      </c>
      <c r="B3105" s="5" t="s">
        <v>37</v>
      </c>
      <c r="C3105" s="73" t="str">
        <f t="shared" si="48"/>
        <v>Closed</v>
      </c>
      <c r="D3105" s="45" t="s">
        <v>17552</v>
      </c>
      <c r="E3105" s="54" t="s">
        <v>17553</v>
      </c>
      <c r="F3105" s="5" t="s">
        <v>9767</v>
      </c>
      <c r="G3105" s="7">
        <f>DATE(2020,3,20)</f>
        <v>43910</v>
      </c>
      <c r="H3105" s="34">
        <v>1.2972222222222223</v>
      </c>
      <c r="I3105" s="5" t="s">
        <v>55</v>
      </c>
      <c r="J3105" s="7" t="s">
        <v>17554</v>
      </c>
      <c r="K3105" s="5" t="s">
        <v>9769</v>
      </c>
      <c r="L3105" s="5" t="s">
        <v>17555</v>
      </c>
      <c r="M3105" s="5" t="s">
        <v>45</v>
      </c>
      <c r="N3105" s="5" t="s">
        <v>70</v>
      </c>
      <c r="O3105" s="5" t="s">
        <v>59</v>
      </c>
      <c r="P3105" s="7" t="s">
        <v>6920</v>
      </c>
      <c r="Q3105" s="7" t="s">
        <v>9938</v>
      </c>
      <c r="R3105" s="7" t="s">
        <v>9772</v>
      </c>
      <c r="S3105" s="5">
        <v>0</v>
      </c>
      <c r="T3105" s="36">
        <v>0</v>
      </c>
      <c r="U3105" s="5">
        <v>0</v>
      </c>
      <c r="V3105" s="36">
        <v>0</v>
      </c>
      <c r="W3105" s="5">
        <v>0</v>
      </c>
      <c r="X3105" s="5">
        <v>0</v>
      </c>
      <c r="Y3105" s="5">
        <v>0</v>
      </c>
      <c r="Z3105" s="36">
        <v>0</v>
      </c>
      <c r="AA3105" s="5">
        <v>0</v>
      </c>
      <c r="AB3105" s="5">
        <v>0</v>
      </c>
      <c r="AC3105" s="5">
        <v>0</v>
      </c>
      <c r="AD3105" s="5">
        <v>0</v>
      </c>
      <c r="AE3105" s="7" t="s">
        <v>73</v>
      </c>
      <c r="AF3105" s="7"/>
      <c r="AG3105" s="7" t="s">
        <v>114</v>
      </c>
      <c r="AH3105" s="7">
        <v>43913</v>
      </c>
      <c r="AI3105" s="5">
        <v>1</v>
      </c>
      <c r="AJ3105" s="7" t="s">
        <v>17556</v>
      </c>
      <c r="AK3105" s="7" t="s">
        <v>17557</v>
      </c>
    </row>
    <row r="3106" spans="1:37" ht="36.75" customHeight="1" x14ac:dyDescent="0.35">
      <c r="A3106" s="5"/>
      <c r="B3106" s="5" t="s">
        <v>37</v>
      </c>
      <c r="C3106" s="73" t="str">
        <f t="shared" si="48"/>
        <v>Closed</v>
      </c>
      <c r="D3106" s="45" t="s">
        <v>17558</v>
      </c>
      <c r="E3106" s="54" t="s">
        <v>17559</v>
      </c>
      <c r="F3106" s="5" t="s">
        <v>17537</v>
      </c>
      <c r="G3106" s="7">
        <f>DATE(2020,3,21)</f>
        <v>43911</v>
      </c>
      <c r="H3106" s="34">
        <v>1.0069444444444444</v>
      </c>
      <c r="I3106" s="5" t="s">
        <v>4590</v>
      </c>
      <c r="J3106" s="7" t="s">
        <v>17560</v>
      </c>
      <c r="K3106" s="5" t="s">
        <v>818</v>
      </c>
      <c r="L3106" s="5" t="s">
        <v>17561</v>
      </c>
      <c r="M3106" s="5" t="s">
        <v>45</v>
      </c>
      <c r="N3106" s="5" t="s">
        <v>70</v>
      </c>
      <c r="O3106" s="5" t="s">
        <v>59</v>
      </c>
      <c r="P3106" s="7" t="s">
        <v>60</v>
      </c>
      <c r="Q3106" s="7" t="s">
        <v>821</v>
      </c>
      <c r="R3106" s="7" t="s">
        <v>17562</v>
      </c>
      <c r="S3106" s="5">
        <v>0</v>
      </c>
      <c r="T3106" s="36">
        <v>0</v>
      </c>
      <c r="U3106" s="5">
        <v>0</v>
      </c>
      <c r="V3106" s="36">
        <v>0</v>
      </c>
      <c r="W3106" s="5">
        <v>0</v>
      </c>
      <c r="X3106" s="5">
        <v>0</v>
      </c>
      <c r="Y3106" s="5">
        <v>0</v>
      </c>
      <c r="Z3106" s="36">
        <v>0</v>
      </c>
      <c r="AA3106" s="5">
        <v>0</v>
      </c>
      <c r="AB3106" s="5">
        <v>0</v>
      </c>
      <c r="AC3106" s="5">
        <v>0</v>
      </c>
      <c r="AD3106" s="5">
        <v>0</v>
      </c>
      <c r="AE3106" s="7" t="s">
        <v>73</v>
      </c>
      <c r="AF3106" s="7" t="s">
        <v>860</v>
      </c>
      <c r="AG3106" s="7" t="s">
        <v>13508</v>
      </c>
      <c r="AH3106" s="7">
        <v>43972</v>
      </c>
      <c r="AI3106" s="5">
        <v>3</v>
      </c>
      <c r="AJ3106" s="7" t="s">
        <v>17563</v>
      </c>
      <c r="AK3106" s="7" t="s">
        <v>17564</v>
      </c>
    </row>
    <row r="3107" spans="1:37" ht="36.75" customHeight="1" x14ac:dyDescent="0.35">
      <c r="A3107" s="15" t="s">
        <v>12448</v>
      </c>
      <c r="B3107" s="15" t="s">
        <v>37</v>
      </c>
      <c r="C3107" s="73" t="str">
        <f t="shared" si="48"/>
        <v>Closed</v>
      </c>
      <c r="D3107" s="16" t="s">
        <v>17565</v>
      </c>
      <c r="E3107" s="55" t="s">
        <v>17566</v>
      </c>
      <c r="F3107" s="15" t="s">
        <v>17537</v>
      </c>
      <c r="G3107" s="7">
        <f>DATE(2020,3,22)</f>
        <v>43912</v>
      </c>
      <c r="H3107" s="52">
        <v>0.40972222222222227</v>
      </c>
      <c r="I3107" s="15" t="s">
        <v>55</v>
      </c>
      <c r="J3107" s="7" t="s">
        <v>17567</v>
      </c>
      <c r="K3107" s="15" t="s">
        <v>818</v>
      </c>
      <c r="L3107" s="15" t="s">
        <v>17568</v>
      </c>
      <c r="M3107" s="15" t="s">
        <v>45</v>
      </c>
      <c r="N3107" s="15" t="s">
        <v>123</v>
      </c>
      <c r="O3107" s="15" t="s">
        <v>59</v>
      </c>
      <c r="P3107" s="7" t="s">
        <v>60</v>
      </c>
      <c r="Q3107" s="7" t="s">
        <v>17569</v>
      </c>
      <c r="R3107" s="7" t="s">
        <v>17570</v>
      </c>
      <c r="S3107" s="15">
        <v>0</v>
      </c>
      <c r="T3107" s="15">
        <v>0</v>
      </c>
      <c r="U3107" s="15">
        <v>0</v>
      </c>
      <c r="V3107" s="15">
        <v>0</v>
      </c>
      <c r="W3107" s="15">
        <v>0</v>
      </c>
      <c r="X3107" s="15">
        <v>0</v>
      </c>
      <c r="Y3107" s="15">
        <v>0</v>
      </c>
      <c r="Z3107" s="15">
        <v>0</v>
      </c>
      <c r="AA3107" s="15">
        <v>0</v>
      </c>
      <c r="AB3107" s="15">
        <v>0</v>
      </c>
      <c r="AC3107" s="15">
        <v>0</v>
      </c>
      <c r="AD3107" s="15">
        <v>0</v>
      </c>
      <c r="AE3107" s="7" t="s">
        <v>17571</v>
      </c>
      <c r="AF3107" s="7" t="s">
        <v>17572</v>
      </c>
      <c r="AG3107" s="5" t="s">
        <v>13508</v>
      </c>
      <c r="AH3107" s="7">
        <v>43912</v>
      </c>
      <c r="AI3107" s="36">
        <v>1</v>
      </c>
      <c r="AJ3107" s="7" t="s">
        <v>17573</v>
      </c>
      <c r="AK3107" s="7" t="s">
        <v>1070</v>
      </c>
    </row>
    <row r="3108" spans="1:37" ht="36.75" customHeight="1" x14ac:dyDescent="0.35">
      <c r="A3108" s="23" t="s">
        <v>4890</v>
      </c>
      <c r="B3108" s="5" t="s">
        <v>37</v>
      </c>
      <c r="C3108" s="73" t="str">
        <f t="shared" si="48"/>
        <v>Closed</v>
      </c>
      <c r="D3108" s="45" t="s">
        <v>17574</v>
      </c>
      <c r="E3108" s="54" t="s">
        <v>17575</v>
      </c>
      <c r="F3108" s="5" t="s">
        <v>1553</v>
      </c>
      <c r="G3108" s="7">
        <f>DATE(2020,3,23)</f>
        <v>43913</v>
      </c>
      <c r="H3108" s="34">
        <v>1.1666666666666667</v>
      </c>
      <c r="I3108" s="5" t="s">
        <v>106</v>
      </c>
      <c r="J3108" s="7" t="s">
        <v>17576</v>
      </c>
      <c r="K3108" s="5" t="s">
        <v>1555</v>
      </c>
      <c r="L3108" s="5" t="s">
        <v>17577</v>
      </c>
      <c r="M3108" s="5" t="s">
        <v>45</v>
      </c>
      <c r="N3108" s="5" t="s">
        <v>123</v>
      </c>
      <c r="O3108" s="5" t="s">
        <v>46</v>
      </c>
      <c r="P3108" s="7" t="s">
        <v>6920</v>
      </c>
      <c r="Q3108" s="7" t="s">
        <v>2393</v>
      </c>
      <c r="R3108" s="7" t="s">
        <v>6413</v>
      </c>
      <c r="S3108" s="5">
        <v>0</v>
      </c>
      <c r="T3108" s="36">
        <v>0</v>
      </c>
      <c r="U3108" s="5">
        <v>0</v>
      </c>
      <c r="V3108" s="36">
        <v>0</v>
      </c>
      <c r="W3108" s="5">
        <v>0</v>
      </c>
      <c r="X3108" s="5">
        <v>0</v>
      </c>
      <c r="Y3108" s="5">
        <v>0</v>
      </c>
      <c r="Z3108" s="36">
        <v>0</v>
      </c>
      <c r="AA3108" s="5">
        <v>0</v>
      </c>
      <c r="AB3108" s="5">
        <v>0</v>
      </c>
      <c r="AC3108" s="5">
        <v>0</v>
      </c>
      <c r="AD3108" s="5">
        <v>0</v>
      </c>
      <c r="AE3108" s="7" t="s">
        <v>73</v>
      </c>
      <c r="AF3108" s="7"/>
      <c r="AG3108" s="7" t="s">
        <v>114</v>
      </c>
      <c r="AH3108" s="7">
        <v>43913</v>
      </c>
      <c r="AI3108" s="5">
        <v>2</v>
      </c>
      <c r="AJ3108" s="7" t="s">
        <v>50</v>
      </c>
      <c r="AK3108" s="7" t="s">
        <v>50</v>
      </c>
    </row>
    <row r="3109" spans="1:37" ht="36.75" customHeight="1" x14ac:dyDescent="0.35">
      <c r="A3109" s="5" t="s">
        <v>4890</v>
      </c>
      <c r="B3109" s="5" t="s">
        <v>37</v>
      </c>
      <c r="C3109" s="73" t="str">
        <f t="shared" si="48"/>
        <v>Closed</v>
      </c>
      <c r="D3109" s="45" t="s">
        <v>17578</v>
      </c>
      <c r="E3109" s="54" t="s">
        <v>17579</v>
      </c>
      <c r="F3109" s="5" t="s">
        <v>214</v>
      </c>
      <c r="G3109" s="7">
        <f>DATE(2020,3,23)</f>
        <v>43913</v>
      </c>
      <c r="H3109" s="34">
        <v>1.9513888888888888</v>
      </c>
      <c r="I3109" s="5" t="s">
        <v>179</v>
      </c>
      <c r="J3109" s="7" t="s">
        <v>17580</v>
      </c>
      <c r="K3109" s="5" t="s">
        <v>216</v>
      </c>
      <c r="L3109" s="5" t="s">
        <v>17581</v>
      </c>
      <c r="M3109" s="5" t="s">
        <v>45</v>
      </c>
      <c r="N3109" s="5" t="s">
        <v>123</v>
      </c>
      <c r="O3109" s="5" t="s">
        <v>46</v>
      </c>
      <c r="P3109" s="7" t="s">
        <v>362</v>
      </c>
      <c r="Q3109" s="7" t="s">
        <v>4022</v>
      </c>
      <c r="R3109" s="7" t="s">
        <v>216</v>
      </c>
      <c r="S3109" s="5">
        <v>0</v>
      </c>
      <c r="T3109" s="36">
        <v>0</v>
      </c>
      <c r="U3109" s="5">
        <v>0</v>
      </c>
      <c r="V3109" s="36">
        <v>0</v>
      </c>
      <c r="W3109" s="5">
        <v>0</v>
      </c>
      <c r="X3109" s="5">
        <v>0</v>
      </c>
      <c r="Y3109" s="5">
        <v>0</v>
      </c>
      <c r="Z3109" s="36">
        <v>0</v>
      </c>
      <c r="AA3109" s="5">
        <v>0</v>
      </c>
      <c r="AB3109" s="5">
        <v>0</v>
      </c>
      <c r="AC3109" s="5">
        <v>0</v>
      </c>
      <c r="AD3109" s="5">
        <v>0</v>
      </c>
      <c r="AE3109" s="7" t="s">
        <v>73</v>
      </c>
      <c r="AF3109" s="7"/>
      <c r="AG3109" s="7" t="s">
        <v>114</v>
      </c>
      <c r="AH3109" s="7">
        <v>43920</v>
      </c>
      <c r="AI3109" s="5">
        <v>0</v>
      </c>
      <c r="AJ3109" s="7" t="s">
        <v>17582</v>
      </c>
      <c r="AK3109" s="7" t="s">
        <v>17583</v>
      </c>
    </row>
    <row r="3110" spans="1:37" ht="36.75" customHeight="1" x14ac:dyDescent="0.35">
      <c r="A3110" s="5"/>
      <c r="B3110" s="5" t="s">
        <v>37</v>
      </c>
      <c r="C3110" s="73" t="str">
        <f t="shared" si="48"/>
        <v>Closed</v>
      </c>
      <c r="D3110" s="45" t="s">
        <v>17584</v>
      </c>
      <c r="E3110" s="54" t="s">
        <v>17585</v>
      </c>
      <c r="F3110" s="5" t="s">
        <v>214</v>
      </c>
      <c r="G3110" s="7">
        <f>DATE(2020,3,26)</f>
        <v>43916</v>
      </c>
      <c r="H3110" s="34">
        <v>1.4583333333333333</v>
      </c>
      <c r="I3110" s="5" t="s">
        <v>85</v>
      </c>
      <c r="J3110" s="7" t="s">
        <v>17586</v>
      </c>
      <c r="K3110" s="5" t="s">
        <v>216</v>
      </c>
      <c r="L3110" s="5" t="s">
        <v>17587</v>
      </c>
      <c r="M3110" s="5" t="s">
        <v>45</v>
      </c>
      <c r="N3110" s="5" t="s">
        <v>70</v>
      </c>
      <c r="O3110" s="5" t="s">
        <v>46</v>
      </c>
      <c r="P3110" s="7" t="s">
        <v>67</v>
      </c>
      <c r="Q3110" s="7" t="s">
        <v>699</v>
      </c>
      <c r="R3110" s="7" t="s">
        <v>216</v>
      </c>
      <c r="S3110" s="5">
        <v>0</v>
      </c>
      <c r="T3110" s="36">
        <v>0</v>
      </c>
      <c r="U3110" s="5">
        <v>0</v>
      </c>
      <c r="V3110" s="36">
        <v>0</v>
      </c>
      <c r="W3110" s="5">
        <v>0</v>
      </c>
      <c r="X3110" s="5">
        <v>0</v>
      </c>
      <c r="Y3110" s="5">
        <v>0</v>
      </c>
      <c r="Z3110" s="36">
        <v>0</v>
      </c>
      <c r="AA3110" s="5">
        <v>0</v>
      </c>
      <c r="AB3110" s="5">
        <v>0</v>
      </c>
      <c r="AC3110" s="5">
        <v>0</v>
      </c>
      <c r="AD3110" s="5">
        <v>0</v>
      </c>
      <c r="AE3110" s="7" t="s">
        <v>73</v>
      </c>
      <c r="AF3110" s="7"/>
      <c r="AG3110" s="7" t="s">
        <v>114</v>
      </c>
      <c r="AH3110" s="7">
        <v>43927</v>
      </c>
      <c r="AI3110" s="5">
        <v>1</v>
      </c>
      <c r="AJ3110" s="7" t="s">
        <v>17588</v>
      </c>
      <c r="AK3110" s="7" t="s">
        <v>17589</v>
      </c>
    </row>
    <row r="3111" spans="1:37" ht="36.75" customHeight="1" x14ac:dyDescent="0.35">
      <c r="A3111" s="5" t="s">
        <v>12448</v>
      </c>
      <c r="B3111" s="5" t="s">
        <v>37</v>
      </c>
      <c r="C3111" s="73" t="str">
        <f t="shared" si="48"/>
        <v>Closed</v>
      </c>
      <c r="D3111" s="47" t="s">
        <v>17590</v>
      </c>
      <c r="E3111" s="54" t="s">
        <v>17591</v>
      </c>
      <c r="F3111" s="5" t="s">
        <v>105</v>
      </c>
      <c r="G3111" s="7">
        <f>DATE(2020,3,27)</f>
        <v>43917</v>
      </c>
      <c r="H3111" s="34"/>
      <c r="I3111" s="5" t="s">
        <v>55</v>
      </c>
      <c r="J3111" s="7" t="s">
        <v>17592</v>
      </c>
      <c r="K3111" s="5" t="s">
        <v>108</v>
      </c>
      <c r="L3111" s="5" t="s">
        <v>17593</v>
      </c>
      <c r="M3111" s="5" t="s">
        <v>45</v>
      </c>
      <c r="N3111" s="5" t="s">
        <v>123</v>
      </c>
      <c r="O3111" s="5" t="s">
        <v>59</v>
      </c>
      <c r="P3111" s="7" t="s">
        <v>60</v>
      </c>
      <c r="Q3111" s="7" t="s">
        <v>382</v>
      </c>
      <c r="R3111" s="7" t="s">
        <v>148</v>
      </c>
      <c r="S3111" s="5">
        <v>0</v>
      </c>
      <c r="T3111" s="36">
        <v>0</v>
      </c>
      <c r="U3111" s="5">
        <v>0</v>
      </c>
      <c r="V3111" s="36">
        <v>0</v>
      </c>
      <c r="W3111" s="5">
        <v>0</v>
      </c>
      <c r="X3111" s="5">
        <v>0</v>
      </c>
      <c r="Y3111" s="5">
        <v>0</v>
      </c>
      <c r="Z3111" s="36">
        <v>0</v>
      </c>
      <c r="AA3111" s="5">
        <v>0</v>
      </c>
      <c r="AB3111" s="5">
        <v>0</v>
      </c>
      <c r="AC3111" s="5">
        <v>0</v>
      </c>
      <c r="AD3111" s="5">
        <v>0</v>
      </c>
      <c r="AE3111" s="7" t="s">
        <v>375</v>
      </c>
      <c r="AF3111" s="7"/>
      <c r="AG3111" s="5" t="s">
        <v>17594</v>
      </c>
      <c r="AH3111" s="7" t="s">
        <v>50</v>
      </c>
      <c r="AI3111" s="5">
        <v>3</v>
      </c>
      <c r="AJ3111" s="7" t="s">
        <v>17084</v>
      </c>
      <c r="AK3111" s="7" t="s">
        <v>50</v>
      </c>
    </row>
    <row r="3112" spans="1:37" ht="36.75" customHeight="1" x14ac:dyDescent="0.35">
      <c r="A3112" s="5"/>
      <c r="B3112" s="5" t="s">
        <v>37</v>
      </c>
      <c r="C3112" s="73" t="str">
        <f t="shared" si="48"/>
        <v>Closed</v>
      </c>
      <c r="D3112" s="45" t="s">
        <v>17595</v>
      </c>
      <c r="E3112" s="54" t="s">
        <v>17596</v>
      </c>
      <c r="F3112" s="5" t="s">
        <v>563</v>
      </c>
      <c r="G3112" s="7">
        <f>DATE(2020,4,2)</f>
        <v>43923</v>
      </c>
      <c r="H3112" s="34">
        <v>1.8111111111111109</v>
      </c>
      <c r="I3112" s="5" t="s">
        <v>137</v>
      </c>
      <c r="J3112" s="7" t="s">
        <v>17597</v>
      </c>
      <c r="K3112" s="5" t="s">
        <v>565</v>
      </c>
      <c r="L3112" s="5" t="s">
        <v>17598</v>
      </c>
      <c r="M3112" s="5" t="s">
        <v>45</v>
      </c>
      <c r="N3112" s="5" t="s">
        <v>123</v>
      </c>
      <c r="O3112" s="5" t="s">
        <v>46</v>
      </c>
      <c r="P3112" s="7" t="s">
        <v>60</v>
      </c>
      <c r="Q3112" s="7" t="s">
        <v>11077</v>
      </c>
      <c r="R3112" s="7" t="s">
        <v>568</v>
      </c>
      <c r="S3112" s="5">
        <v>0</v>
      </c>
      <c r="T3112" s="36">
        <v>1</v>
      </c>
      <c r="U3112" s="5">
        <v>0</v>
      </c>
      <c r="V3112" s="36">
        <v>0</v>
      </c>
      <c r="W3112" s="5">
        <v>0</v>
      </c>
      <c r="X3112" s="5">
        <v>1</v>
      </c>
      <c r="Y3112" s="5">
        <v>0</v>
      </c>
      <c r="Z3112" s="36">
        <v>0</v>
      </c>
      <c r="AA3112" s="5">
        <v>0</v>
      </c>
      <c r="AB3112" s="5">
        <v>0</v>
      </c>
      <c r="AC3112" s="5">
        <v>2</v>
      </c>
      <c r="AD3112" s="5">
        <v>2</v>
      </c>
      <c r="AE3112" s="7" t="s">
        <v>126</v>
      </c>
      <c r="AF3112" s="7" t="s">
        <v>17599</v>
      </c>
      <c r="AG3112" s="7" t="s">
        <v>6438</v>
      </c>
      <c r="AH3112" s="7">
        <v>43924</v>
      </c>
      <c r="AI3112" s="5">
        <v>1</v>
      </c>
      <c r="AJ3112" s="7" t="s">
        <v>17600</v>
      </c>
      <c r="AK3112" s="7" t="s">
        <v>50</v>
      </c>
    </row>
    <row r="3113" spans="1:37" ht="36.75" customHeight="1" x14ac:dyDescent="0.35">
      <c r="A3113" s="23" t="s">
        <v>4890</v>
      </c>
      <c r="B3113" s="5" t="s">
        <v>37</v>
      </c>
      <c r="C3113" s="73" t="str">
        <f t="shared" si="48"/>
        <v>Closed</v>
      </c>
      <c r="D3113" s="45" t="s">
        <v>17601</v>
      </c>
      <c r="E3113" s="54" t="s">
        <v>17602</v>
      </c>
      <c r="F3113" s="5" t="s">
        <v>2527</v>
      </c>
      <c r="G3113" s="7">
        <f>DATE(2020,4,2)</f>
        <v>43923</v>
      </c>
      <c r="H3113" s="34">
        <v>1.4479166666666667</v>
      </c>
      <c r="I3113" s="5" t="s">
        <v>6579</v>
      </c>
      <c r="J3113" s="7" t="s">
        <v>17603</v>
      </c>
      <c r="K3113" s="5" t="s">
        <v>2529</v>
      </c>
      <c r="L3113" s="5" t="s">
        <v>16040</v>
      </c>
      <c r="M3113" s="5" t="s">
        <v>45</v>
      </c>
      <c r="N3113" s="5" t="s">
        <v>70</v>
      </c>
      <c r="O3113" s="5" t="s">
        <v>59</v>
      </c>
      <c r="P3113" s="7" t="s">
        <v>60</v>
      </c>
      <c r="Q3113" s="7" t="s">
        <v>3484</v>
      </c>
      <c r="R3113" s="7" t="s">
        <v>10282</v>
      </c>
      <c r="S3113" s="5">
        <v>0</v>
      </c>
      <c r="T3113" s="36">
        <v>0</v>
      </c>
      <c r="U3113" s="5">
        <v>0</v>
      </c>
      <c r="V3113" s="36">
        <v>0</v>
      </c>
      <c r="W3113" s="5">
        <v>0</v>
      </c>
      <c r="X3113" s="5">
        <v>0</v>
      </c>
      <c r="Y3113" s="5">
        <v>0</v>
      </c>
      <c r="Z3113" s="36">
        <v>0</v>
      </c>
      <c r="AA3113" s="5">
        <v>0</v>
      </c>
      <c r="AB3113" s="5">
        <v>0</v>
      </c>
      <c r="AC3113" s="5">
        <v>0</v>
      </c>
      <c r="AD3113" s="5">
        <v>0</v>
      </c>
      <c r="AE3113" s="7" t="s">
        <v>73</v>
      </c>
      <c r="AF3113" s="7"/>
      <c r="AG3113" s="7" t="s">
        <v>570</v>
      </c>
      <c r="AH3113" s="7">
        <v>43944</v>
      </c>
      <c r="AI3113" s="5">
        <v>3</v>
      </c>
      <c r="AJ3113" s="7" t="s">
        <v>50</v>
      </c>
      <c r="AK3113" s="7" t="s">
        <v>50</v>
      </c>
    </row>
    <row r="3114" spans="1:37" ht="36.75" customHeight="1" x14ac:dyDescent="0.35">
      <c r="A3114" s="23" t="s">
        <v>4890</v>
      </c>
      <c r="B3114" s="5" t="s">
        <v>37</v>
      </c>
      <c r="C3114" s="73" t="str">
        <f t="shared" si="48"/>
        <v>Closed</v>
      </c>
      <c r="D3114" s="45" t="s">
        <v>17604</v>
      </c>
      <c r="E3114" s="54" t="s">
        <v>17605</v>
      </c>
      <c r="F3114" s="5" t="s">
        <v>2527</v>
      </c>
      <c r="G3114" s="7">
        <f>DATE(2020,4,4)</f>
        <v>43925</v>
      </c>
      <c r="H3114" s="34">
        <v>1.3680555555555556</v>
      </c>
      <c r="I3114" s="5" t="s">
        <v>97</v>
      </c>
      <c r="J3114" s="7" t="s">
        <v>17606</v>
      </c>
      <c r="K3114" s="5" t="s">
        <v>2529</v>
      </c>
      <c r="L3114" s="5" t="s">
        <v>17607</v>
      </c>
      <c r="M3114" s="5" t="s">
        <v>45</v>
      </c>
      <c r="N3114" s="5" t="s">
        <v>80</v>
      </c>
      <c r="O3114" s="5" t="s">
        <v>46</v>
      </c>
      <c r="P3114" s="7" t="s">
        <v>6920</v>
      </c>
      <c r="Q3114" s="7" t="s">
        <v>16041</v>
      </c>
      <c r="R3114" s="7" t="s">
        <v>10282</v>
      </c>
      <c r="S3114" s="5">
        <v>0</v>
      </c>
      <c r="T3114" s="36">
        <v>0</v>
      </c>
      <c r="U3114" s="5">
        <v>0</v>
      </c>
      <c r="V3114" s="36">
        <v>0</v>
      </c>
      <c r="W3114" s="5">
        <v>0</v>
      </c>
      <c r="X3114" s="5">
        <v>0</v>
      </c>
      <c r="Y3114" s="5">
        <v>0</v>
      </c>
      <c r="Z3114" s="36">
        <v>0</v>
      </c>
      <c r="AA3114" s="5">
        <v>1</v>
      </c>
      <c r="AB3114" s="5">
        <v>0</v>
      </c>
      <c r="AC3114" s="5">
        <v>0</v>
      </c>
      <c r="AD3114" s="5">
        <v>0</v>
      </c>
      <c r="AE3114" s="7" t="s">
        <v>50</v>
      </c>
      <c r="AF3114" s="7"/>
      <c r="AG3114" s="7" t="s">
        <v>17608</v>
      </c>
      <c r="AH3114" s="7">
        <v>43930</v>
      </c>
      <c r="AI3114" s="5">
        <v>3</v>
      </c>
      <c r="AJ3114" s="7" t="s">
        <v>50</v>
      </c>
      <c r="AK3114" s="7" t="s">
        <v>50</v>
      </c>
    </row>
    <row r="3115" spans="1:37" ht="36.75" customHeight="1" x14ac:dyDescent="0.35">
      <c r="A3115" s="22" t="s">
        <v>4890</v>
      </c>
      <c r="B3115" s="5" t="s">
        <v>37</v>
      </c>
      <c r="C3115" s="73" t="str">
        <f t="shared" si="48"/>
        <v>Closed</v>
      </c>
      <c r="D3115" s="45" t="s">
        <v>17609</v>
      </c>
      <c r="E3115" s="54" t="s">
        <v>17610</v>
      </c>
      <c r="F3115" s="5" t="s">
        <v>1553</v>
      </c>
      <c r="G3115" s="7">
        <f>DATE(2020,4,6)</f>
        <v>43927</v>
      </c>
      <c r="H3115" s="34">
        <v>1.8923611111111112</v>
      </c>
      <c r="I3115" s="5" t="s">
        <v>106</v>
      </c>
      <c r="J3115" s="7" t="s">
        <v>17611</v>
      </c>
      <c r="K3115" s="5" t="s">
        <v>1555</v>
      </c>
      <c r="L3115" s="5" t="s">
        <v>17612</v>
      </c>
      <c r="M3115" s="5" t="s">
        <v>45</v>
      </c>
      <c r="N3115" s="5" t="s">
        <v>123</v>
      </c>
      <c r="O3115" s="5" t="s">
        <v>46</v>
      </c>
      <c r="P3115" s="7" t="s">
        <v>6920</v>
      </c>
      <c r="Q3115" s="7" t="s">
        <v>2393</v>
      </c>
      <c r="R3115" s="7" t="s">
        <v>6413</v>
      </c>
      <c r="S3115" s="5">
        <v>1</v>
      </c>
      <c r="T3115" s="36">
        <v>0</v>
      </c>
      <c r="U3115" s="5">
        <v>0</v>
      </c>
      <c r="V3115" s="36">
        <v>0</v>
      </c>
      <c r="W3115" s="5">
        <v>0</v>
      </c>
      <c r="X3115" s="5">
        <v>1</v>
      </c>
      <c r="Y3115" s="5">
        <v>0</v>
      </c>
      <c r="Z3115" s="36">
        <v>0</v>
      </c>
      <c r="AA3115" s="5">
        <v>0</v>
      </c>
      <c r="AB3115" s="5">
        <v>0</v>
      </c>
      <c r="AC3115" s="5">
        <v>0</v>
      </c>
      <c r="AD3115" s="5">
        <v>0</v>
      </c>
      <c r="AE3115" s="7" t="s">
        <v>126</v>
      </c>
      <c r="AF3115" s="7"/>
      <c r="AG3115" s="7" t="s">
        <v>114</v>
      </c>
      <c r="AH3115" s="7">
        <v>43927</v>
      </c>
      <c r="AI3115" s="5">
        <v>3</v>
      </c>
      <c r="AJ3115" s="7" t="s">
        <v>50</v>
      </c>
      <c r="AK3115" s="7" t="s">
        <v>50</v>
      </c>
    </row>
    <row r="3116" spans="1:37" ht="36.75" customHeight="1" x14ac:dyDescent="0.35">
      <c r="A3116" s="5"/>
      <c r="B3116" s="5" t="s">
        <v>37</v>
      </c>
      <c r="C3116" s="73" t="str">
        <f t="shared" si="48"/>
        <v>Closed</v>
      </c>
      <c r="D3116" s="45" t="s">
        <v>17613</v>
      </c>
      <c r="E3116" s="54" t="s">
        <v>17614</v>
      </c>
      <c r="F3116" s="5" t="s">
        <v>816</v>
      </c>
      <c r="G3116" s="7">
        <f>DATE(2020,4,7)</f>
        <v>43928</v>
      </c>
      <c r="H3116" s="51">
        <v>1.6875</v>
      </c>
      <c r="I3116" s="5" t="s">
        <v>85</v>
      </c>
      <c r="J3116" s="7" t="s">
        <v>17615</v>
      </c>
      <c r="K3116" s="5" t="s">
        <v>818</v>
      </c>
      <c r="L3116" s="5" t="s">
        <v>17088</v>
      </c>
      <c r="M3116" s="5" t="s">
        <v>45</v>
      </c>
      <c r="N3116" s="5" t="s">
        <v>80</v>
      </c>
      <c r="O3116" s="5" t="s">
        <v>59</v>
      </c>
      <c r="P3116" s="7" t="s">
        <v>60</v>
      </c>
      <c r="Q3116" s="7" t="s">
        <v>5819</v>
      </c>
      <c r="R3116" s="7" t="s">
        <v>821</v>
      </c>
      <c r="S3116" s="5">
        <v>0</v>
      </c>
      <c r="T3116" s="36">
        <v>0</v>
      </c>
      <c r="U3116" s="5">
        <v>0</v>
      </c>
      <c r="V3116" s="36">
        <v>0</v>
      </c>
      <c r="W3116" s="5">
        <v>0</v>
      </c>
      <c r="X3116" s="5">
        <v>0</v>
      </c>
      <c r="Y3116" s="5">
        <v>0</v>
      </c>
      <c r="Z3116" s="36">
        <v>0</v>
      </c>
      <c r="AA3116" s="5">
        <v>0</v>
      </c>
      <c r="AB3116" s="5">
        <v>0</v>
      </c>
      <c r="AC3116" s="5">
        <v>0</v>
      </c>
      <c r="AD3116" s="5">
        <v>0</v>
      </c>
      <c r="AE3116" s="7" t="s">
        <v>73</v>
      </c>
      <c r="AF3116" s="7" t="s">
        <v>17428</v>
      </c>
      <c r="AG3116" s="9" t="s">
        <v>570</v>
      </c>
      <c r="AH3116" s="7">
        <v>43929</v>
      </c>
      <c r="AI3116" s="5">
        <v>0</v>
      </c>
      <c r="AJ3116" s="7" t="s">
        <v>17616</v>
      </c>
      <c r="AK3116" s="7" t="s">
        <v>17617</v>
      </c>
    </row>
    <row r="3117" spans="1:37" ht="36.75" customHeight="1" x14ac:dyDescent="0.35">
      <c r="A3117" s="5"/>
      <c r="B3117" s="5" t="s">
        <v>37</v>
      </c>
      <c r="C3117" s="73" t="str">
        <f t="shared" si="48"/>
        <v>Closed</v>
      </c>
      <c r="D3117" s="45" t="s">
        <v>17618</v>
      </c>
      <c r="E3117" s="54" t="s">
        <v>17619</v>
      </c>
      <c r="F3117" s="5" t="s">
        <v>214</v>
      </c>
      <c r="G3117" s="7">
        <f>DATE(2020,4,8)</f>
        <v>43929</v>
      </c>
      <c r="H3117" s="34">
        <v>1.4513888888888888</v>
      </c>
      <c r="I3117" s="5" t="s">
        <v>259</v>
      </c>
      <c r="J3117" s="7" t="s">
        <v>17620</v>
      </c>
      <c r="K3117" s="5" t="s">
        <v>216</v>
      </c>
      <c r="L3117" s="5" t="s">
        <v>17621</v>
      </c>
      <c r="M3117" s="5" t="s">
        <v>45</v>
      </c>
      <c r="N3117" s="5" t="s">
        <v>70</v>
      </c>
      <c r="O3117" s="5" t="s">
        <v>46</v>
      </c>
      <c r="P3117" s="7" t="s">
        <v>146</v>
      </c>
      <c r="Q3117" s="7" t="s">
        <v>10436</v>
      </c>
      <c r="R3117" s="7" t="s">
        <v>216</v>
      </c>
      <c r="S3117" s="5">
        <v>0</v>
      </c>
      <c r="T3117" s="36">
        <v>1</v>
      </c>
      <c r="U3117" s="5">
        <v>0</v>
      </c>
      <c r="V3117" s="36">
        <v>0</v>
      </c>
      <c r="W3117" s="5">
        <v>0</v>
      </c>
      <c r="X3117" s="5">
        <v>1</v>
      </c>
      <c r="Y3117" s="5">
        <v>0</v>
      </c>
      <c r="Z3117" s="36">
        <v>0</v>
      </c>
      <c r="AA3117" s="5">
        <v>0</v>
      </c>
      <c r="AB3117" s="5">
        <v>0</v>
      </c>
      <c r="AC3117" s="5">
        <v>0</v>
      </c>
      <c r="AD3117" s="5">
        <v>0</v>
      </c>
      <c r="AE3117" s="7" t="s">
        <v>73</v>
      </c>
      <c r="AF3117" s="7"/>
      <c r="AG3117" s="7" t="s">
        <v>64</v>
      </c>
      <c r="AH3117" s="7">
        <v>43935</v>
      </c>
      <c r="AI3117" s="5">
        <v>3</v>
      </c>
      <c r="AJ3117" s="7" t="s">
        <v>17622</v>
      </c>
      <c r="AK3117" s="7" t="s">
        <v>17623</v>
      </c>
    </row>
    <row r="3118" spans="1:37" ht="36.75" customHeight="1" x14ac:dyDescent="0.35">
      <c r="A3118" s="5"/>
      <c r="B3118" s="5" t="s">
        <v>37</v>
      </c>
      <c r="C3118" s="73" t="str">
        <f t="shared" si="48"/>
        <v>Closed</v>
      </c>
      <c r="D3118" s="45" t="s">
        <v>17624</v>
      </c>
      <c r="E3118" s="54" t="s">
        <v>17625</v>
      </c>
      <c r="F3118" s="5" t="s">
        <v>1751</v>
      </c>
      <c r="G3118" s="7">
        <f>DATE(2020,4,14)</f>
        <v>43935</v>
      </c>
      <c r="H3118" s="34">
        <v>1.1944444444444444</v>
      </c>
      <c r="I3118" s="5" t="s">
        <v>55</v>
      </c>
      <c r="J3118" s="7" t="s">
        <v>17626</v>
      </c>
      <c r="K3118" s="5" t="s">
        <v>1753</v>
      </c>
      <c r="L3118" s="5" t="s">
        <v>17627</v>
      </c>
      <c r="M3118" s="5" t="s">
        <v>45</v>
      </c>
      <c r="N3118" s="5" t="s">
        <v>123</v>
      </c>
      <c r="O3118" s="5" t="s">
        <v>59</v>
      </c>
      <c r="P3118" s="7" t="s">
        <v>282</v>
      </c>
      <c r="Q3118" s="7" t="s">
        <v>860</v>
      </c>
      <c r="R3118" s="7" t="s">
        <v>1756</v>
      </c>
      <c r="S3118" s="5">
        <v>0</v>
      </c>
      <c r="T3118" s="36">
        <v>0</v>
      </c>
      <c r="U3118" s="5">
        <v>0</v>
      </c>
      <c r="V3118" s="36">
        <v>0</v>
      </c>
      <c r="W3118" s="5">
        <v>0</v>
      </c>
      <c r="X3118" s="5">
        <v>0</v>
      </c>
      <c r="Y3118" s="5">
        <v>0</v>
      </c>
      <c r="Z3118" s="36">
        <v>0</v>
      </c>
      <c r="AA3118" s="5">
        <v>0</v>
      </c>
      <c r="AB3118" s="5">
        <v>0</v>
      </c>
      <c r="AC3118" s="5">
        <v>0</v>
      </c>
      <c r="AD3118" s="5">
        <v>0</v>
      </c>
      <c r="AE3118" s="7" t="s">
        <v>73</v>
      </c>
      <c r="AF3118" s="7" t="s">
        <v>17628</v>
      </c>
      <c r="AG3118" s="7" t="s">
        <v>14532</v>
      </c>
      <c r="AH3118" s="7">
        <v>43941</v>
      </c>
      <c r="AI3118" s="5">
        <v>0</v>
      </c>
      <c r="AJ3118" s="7" t="s">
        <v>17629</v>
      </c>
      <c r="AK3118" s="7" t="s">
        <v>17630</v>
      </c>
    </row>
    <row r="3119" spans="1:37" ht="36.75" customHeight="1" x14ac:dyDescent="0.35">
      <c r="A3119" s="5"/>
      <c r="B3119" s="5" t="s">
        <v>14851</v>
      </c>
      <c r="C3119" s="73" t="str">
        <f t="shared" si="48"/>
        <v>In progress</v>
      </c>
      <c r="D3119" s="45" t="s">
        <v>17631</v>
      </c>
      <c r="E3119" s="54" t="s">
        <v>17632</v>
      </c>
      <c r="F3119" s="5" t="s">
        <v>6434</v>
      </c>
      <c r="G3119" s="7">
        <f>DATE(2020,4,15)</f>
        <v>43936</v>
      </c>
      <c r="H3119" s="34">
        <v>1.8770833333333332</v>
      </c>
      <c r="I3119" s="5" t="s">
        <v>55</v>
      </c>
      <c r="J3119" s="7" t="s">
        <v>17633</v>
      </c>
      <c r="K3119" s="5" t="s">
        <v>565</v>
      </c>
      <c r="L3119" s="5" t="s">
        <v>17634</v>
      </c>
      <c r="M3119" s="5" t="s">
        <v>45</v>
      </c>
      <c r="N3119" s="5" t="s">
        <v>123</v>
      </c>
      <c r="O3119" s="5" t="s">
        <v>59</v>
      </c>
      <c r="P3119" s="7" t="s">
        <v>146</v>
      </c>
      <c r="Q3119" s="7" t="s">
        <v>1283</v>
      </c>
      <c r="R3119" s="7" t="s">
        <v>568</v>
      </c>
      <c r="S3119" s="5">
        <v>0</v>
      </c>
      <c r="T3119" s="36">
        <v>0</v>
      </c>
      <c r="U3119" s="5">
        <v>0</v>
      </c>
      <c r="V3119" s="36">
        <v>0</v>
      </c>
      <c r="W3119" s="5">
        <v>0</v>
      </c>
      <c r="X3119" s="5">
        <v>0</v>
      </c>
      <c r="Y3119" s="5">
        <v>0</v>
      </c>
      <c r="Z3119" s="36">
        <v>0</v>
      </c>
      <c r="AA3119" s="5">
        <v>0</v>
      </c>
      <c r="AB3119" s="5">
        <v>0</v>
      </c>
      <c r="AC3119" s="5">
        <v>0</v>
      </c>
      <c r="AD3119" s="5">
        <v>0</v>
      </c>
      <c r="AE3119" s="7" t="s">
        <v>375</v>
      </c>
      <c r="AF3119" s="7"/>
      <c r="AG3119" s="7" t="s">
        <v>570</v>
      </c>
      <c r="AH3119" s="7">
        <v>43943</v>
      </c>
      <c r="AI3119" s="5">
        <v>0</v>
      </c>
      <c r="AJ3119" s="7" t="s">
        <v>17635</v>
      </c>
      <c r="AK3119" s="7" t="s">
        <v>50</v>
      </c>
    </row>
    <row r="3120" spans="1:37" ht="36.75" customHeight="1" x14ac:dyDescent="0.35">
      <c r="A3120" s="5"/>
      <c r="B3120" s="5" t="s">
        <v>37</v>
      </c>
      <c r="C3120" s="73" t="str">
        <f t="shared" si="48"/>
        <v>Closed</v>
      </c>
      <c r="D3120" s="45" t="s">
        <v>17636</v>
      </c>
      <c r="E3120" s="54" t="s">
        <v>17637</v>
      </c>
      <c r="F3120" s="5" t="s">
        <v>17638</v>
      </c>
      <c r="G3120" s="7">
        <f>DATE(2020,4,17)</f>
        <v>43938</v>
      </c>
      <c r="H3120" s="34">
        <v>1.6423611111111112</v>
      </c>
      <c r="I3120" s="5" t="s">
        <v>55</v>
      </c>
      <c r="J3120" s="7" t="s">
        <v>17639</v>
      </c>
      <c r="K3120" s="5" t="s">
        <v>1555</v>
      </c>
      <c r="L3120" s="5" t="s">
        <v>17640</v>
      </c>
      <c r="M3120" s="5" t="s">
        <v>45</v>
      </c>
      <c r="N3120" s="5" t="s">
        <v>80</v>
      </c>
      <c r="O3120" s="5" t="s">
        <v>59</v>
      </c>
      <c r="P3120" s="7" t="s">
        <v>362</v>
      </c>
      <c r="Q3120" s="7" t="s">
        <v>17641</v>
      </c>
      <c r="R3120" s="7" t="s">
        <v>17642</v>
      </c>
      <c r="S3120" s="5">
        <v>0</v>
      </c>
      <c r="T3120" s="36">
        <v>0</v>
      </c>
      <c r="U3120" s="5">
        <v>0</v>
      </c>
      <c r="V3120" s="36">
        <v>0</v>
      </c>
      <c r="W3120" s="5">
        <v>0</v>
      </c>
      <c r="X3120" s="5">
        <v>0</v>
      </c>
      <c r="Y3120" s="5">
        <v>0</v>
      </c>
      <c r="Z3120" s="36">
        <v>0</v>
      </c>
      <c r="AA3120" s="5">
        <v>0</v>
      </c>
      <c r="AB3120" s="5">
        <v>0</v>
      </c>
      <c r="AC3120" s="5">
        <v>0</v>
      </c>
      <c r="AD3120" s="5">
        <v>0</v>
      </c>
      <c r="AE3120" s="7" t="s">
        <v>73</v>
      </c>
      <c r="AF3120" s="7" t="s">
        <v>17643</v>
      </c>
      <c r="AG3120" s="7" t="s">
        <v>8837</v>
      </c>
      <c r="AH3120" s="7">
        <v>43943</v>
      </c>
      <c r="AI3120" s="5">
        <v>1</v>
      </c>
      <c r="AJ3120" s="7" t="s">
        <v>17644</v>
      </c>
      <c r="AK3120" s="7" t="s">
        <v>17645</v>
      </c>
    </row>
    <row r="3121" spans="1:37" ht="36.75" customHeight="1" x14ac:dyDescent="0.35">
      <c r="A3121" s="5"/>
      <c r="B3121" s="5" t="s">
        <v>887</v>
      </c>
      <c r="C3121" s="73" t="str">
        <f t="shared" si="48"/>
        <v>Open</v>
      </c>
      <c r="D3121" s="45" t="s">
        <v>17646</v>
      </c>
      <c r="E3121" s="54" t="s">
        <v>17647</v>
      </c>
      <c r="F3121" s="5" t="s">
        <v>5406</v>
      </c>
      <c r="G3121" s="7">
        <f>DATE(2020,4,22)</f>
        <v>43943</v>
      </c>
      <c r="H3121" s="34">
        <v>1.7868055555555555</v>
      </c>
      <c r="I3121" s="5" t="s">
        <v>97</v>
      </c>
      <c r="J3121" s="7" t="s">
        <v>17648</v>
      </c>
      <c r="K3121" s="5" t="s">
        <v>577</v>
      </c>
      <c r="L3121" s="5" t="s">
        <v>12935</v>
      </c>
      <c r="M3121" s="5" t="s">
        <v>45</v>
      </c>
      <c r="N3121" s="5" t="s">
        <v>123</v>
      </c>
      <c r="O3121" s="5" t="s">
        <v>46</v>
      </c>
      <c r="P3121" s="7" t="s">
        <v>47</v>
      </c>
      <c r="Q3121" s="7" t="s">
        <v>10507</v>
      </c>
      <c r="R3121" s="7" t="s">
        <v>12052</v>
      </c>
      <c r="S3121" s="5">
        <v>0</v>
      </c>
      <c r="T3121" s="36">
        <v>0</v>
      </c>
      <c r="U3121" s="5">
        <v>1</v>
      </c>
      <c r="V3121" s="36">
        <v>0</v>
      </c>
      <c r="W3121" s="5">
        <v>0</v>
      </c>
      <c r="X3121" s="5">
        <v>1</v>
      </c>
      <c r="Y3121" s="5">
        <v>0</v>
      </c>
      <c r="Z3121" s="36">
        <v>0</v>
      </c>
      <c r="AA3121" s="5">
        <v>0</v>
      </c>
      <c r="AB3121" s="5">
        <v>0</v>
      </c>
      <c r="AC3121" s="5">
        <v>0</v>
      </c>
      <c r="AD3121" s="5">
        <v>0</v>
      </c>
      <c r="AE3121" s="7" t="s">
        <v>375</v>
      </c>
      <c r="AF3121" s="7"/>
      <c r="AG3121" s="7" t="s">
        <v>64</v>
      </c>
      <c r="AH3121" s="7">
        <v>43949</v>
      </c>
      <c r="AI3121" s="5">
        <v>0</v>
      </c>
      <c r="AJ3121" s="7" t="s">
        <v>50</v>
      </c>
      <c r="AK3121" s="7" t="s">
        <v>50</v>
      </c>
    </row>
    <row r="3122" spans="1:37" ht="36.75" customHeight="1" x14ac:dyDescent="0.35">
      <c r="A3122" s="5"/>
      <c r="B3122" s="5" t="s">
        <v>37</v>
      </c>
      <c r="C3122" s="73" t="str">
        <f t="shared" si="48"/>
        <v>Closed</v>
      </c>
      <c r="D3122" s="45" t="s">
        <v>17649</v>
      </c>
      <c r="E3122" s="54" t="s">
        <v>17650</v>
      </c>
      <c r="F3122" s="5" t="s">
        <v>9767</v>
      </c>
      <c r="G3122" s="7">
        <f>DATE(2020,4,26)</f>
        <v>43947</v>
      </c>
      <c r="H3122" s="34">
        <v>1.8472222222222223</v>
      </c>
      <c r="I3122" s="5" t="s">
        <v>97</v>
      </c>
      <c r="J3122" s="7" t="s">
        <v>17651</v>
      </c>
      <c r="K3122" s="5" t="s">
        <v>9769</v>
      </c>
      <c r="L3122" s="5" t="s">
        <v>17652</v>
      </c>
      <c r="M3122" s="5" t="s">
        <v>45</v>
      </c>
      <c r="N3122" s="5" t="s">
        <v>123</v>
      </c>
      <c r="O3122" s="5" t="s">
        <v>46</v>
      </c>
      <c r="P3122" s="7" t="s">
        <v>362</v>
      </c>
      <c r="Q3122" s="7" t="s">
        <v>17653</v>
      </c>
      <c r="R3122" s="7" t="s">
        <v>9772</v>
      </c>
      <c r="S3122" s="5">
        <v>0</v>
      </c>
      <c r="T3122" s="38">
        <v>0</v>
      </c>
      <c r="U3122" s="5">
        <v>1</v>
      </c>
      <c r="V3122" s="38">
        <v>0</v>
      </c>
      <c r="W3122" s="5">
        <v>0</v>
      </c>
      <c r="X3122" s="5">
        <v>1</v>
      </c>
      <c r="Y3122" s="5">
        <v>0</v>
      </c>
      <c r="Z3122" s="38">
        <v>0</v>
      </c>
      <c r="AA3122" s="5">
        <v>0</v>
      </c>
      <c r="AB3122" s="5">
        <v>0</v>
      </c>
      <c r="AC3122" s="5">
        <v>0</v>
      </c>
      <c r="AD3122" s="5">
        <v>0</v>
      </c>
      <c r="AE3122" s="7" t="s">
        <v>375</v>
      </c>
      <c r="AF3122" s="7"/>
      <c r="AG3122" s="7" t="s">
        <v>64</v>
      </c>
      <c r="AH3122" s="7">
        <v>43997</v>
      </c>
      <c r="AI3122" s="5">
        <v>0</v>
      </c>
      <c r="AJ3122" s="7" t="s">
        <v>17654</v>
      </c>
      <c r="AK3122" s="7" t="s">
        <v>17655</v>
      </c>
    </row>
    <row r="3123" spans="1:37" ht="36.75" customHeight="1" x14ac:dyDescent="0.35">
      <c r="A3123" s="5"/>
      <c r="B3123" s="5" t="s">
        <v>37</v>
      </c>
      <c r="C3123" s="73" t="str">
        <f t="shared" si="48"/>
        <v>Closed</v>
      </c>
      <c r="D3123" s="45" t="s">
        <v>17656</v>
      </c>
      <c r="E3123" s="54" t="s">
        <v>17657</v>
      </c>
      <c r="F3123" s="5" t="s">
        <v>404</v>
      </c>
      <c r="G3123" s="7">
        <f>DATE(2020,4,27)</f>
        <v>43948</v>
      </c>
      <c r="H3123" s="34">
        <v>1.3819444444444444</v>
      </c>
      <c r="I3123" s="5" t="s">
        <v>97</v>
      </c>
      <c r="J3123" s="7" t="s">
        <v>17658</v>
      </c>
      <c r="K3123" s="5" t="s">
        <v>406</v>
      </c>
      <c r="L3123" s="5" t="s">
        <v>17659</v>
      </c>
      <c r="M3123" s="5" t="s">
        <v>45</v>
      </c>
      <c r="N3123" s="5" t="s">
        <v>80</v>
      </c>
      <c r="O3123" s="5" t="s">
        <v>46</v>
      </c>
      <c r="P3123" s="7" t="s">
        <v>146</v>
      </c>
      <c r="Q3123" s="7" t="s">
        <v>4531</v>
      </c>
      <c r="R3123" s="7" t="s">
        <v>3083</v>
      </c>
      <c r="S3123" s="5">
        <v>0</v>
      </c>
      <c r="T3123" s="36">
        <v>0</v>
      </c>
      <c r="U3123" s="5">
        <v>3</v>
      </c>
      <c r="V3123" s="36">
        <v>0</v>
      </c>
      <c r="W3123" s="5">
        <v>0</v>
      </c>
      <c r="X3123" s="5">
        <v>3</v>
      </c>
      <c r="Y3123" s="5">
        <v>0</v>
      </c>
      <c r="Z3123" s="36">
        <v>0</v>
      </c>
      <c r="AA3123" s="5">
        <v>1</v>
      </c>
      <c r="AB3123" s="5">
        <v>0</v>
      </c>
      <c r="AC3123" s="5">
        <v>0</v>
      </c>
      <c r="AD3123" s="5">
        <v>1</v>
      </c>
      <c r="AE3123" s="7" t="s">
        <v>73</v>
      </c>
      <c r="AF3123" s="7"/>
      <c r="AG3123" s="7" t="s">
        <v>114</v>
      </c>
      <c r="AH3123" s="7">
        <v>43948</v>
      </c>
      <c r="AI3123" s="5">
        <v>2</v>
      </c>
      <c r="AJ3123" s="7" t="s">
        <v>17660</v>
      </c>
      <c r="AK3123" s="7" t="s">
        <v>17661</v>
      </c>
    </row>
    <row r="3124" spans="1:37" ht="36.75" customHeight="1" x14ac:dyDescent="0.35">
      <c r="A3124" s="5"/>
      <c r="B3124" s="5" t="s">
        <v>37</v>
      </c>
      <c r="C3124" s="73" t="str">
        <f t="shared" si="48"/>
        <v>Closed</v>
      </c>
      <c r="D3124" s="45" t="s">
        <v>17662</v>
      </c>
      <c r="E3124" s="54" t="s">
        <v>17663</v>
      </c>
      <c r="F3124" s="5" t="s">
        <v>816</v>
      </c>
      <c r="G3124" s="7">
        <f>DATE(2020,4,27)</f>
        <v>43948</v>
      </c>
      <c r="H3124" s="34">
        <v>1.3416666666666666</v>
      </c>
      <c r="I3124" s="5" t="s">
        <v>5473</v>
      </c>
      <c r="J3124" s="7" t="s">
        <v>17664</v>
      </c>
      <c r="K3124" s="5" t="s">
        <v>818</v>
      </c>
      <c r="L3124" s="5" t="s">
        <v>17665</v>
      </c>
      <c r="M3124" s="5" t="s">
        <v>236</v>
      </c>
      <c r="N3124" s="5" t="s">
        <v>123</v>
      </c>
      <c r="O3124" s="5" t="s">
        <v>59</v>
      </c>
      <c r="P3124" s="7" t="s">
        <v>6531</v>
      </c>
      <c r="Q3124" s="7" t="s">
        <v>4190</v>
      </c>
      <c r="R3124" s="7" t="s">
        <v>4190</v>
      </c>
      <c r="S3124" s="5">
        <v>0</v>
      </c>
      <c r="T3124" s="36">
        <v>0</v>
      </c>
      <c r="U3124" s="5">
        <v>0</v>
      </c>
      <c r="V3124" s="36">
        <v>0</v>
      </c>
      <c r="W3124" s="5">
        <v>0</v>
      </c>
      <c r="X3124" s="5">
        <v>0</v>
      </c>
      <c r="Y3124" s="5">
        <v>0</v>
      </c>
      <c r="Z3124" s="36">
        <v>0</v>
      </c>
      <c r="AA3124" s="5">
        <v>0</v>
      </c>
      <c r="AB3124" s="5">
        <v>0</v>
      </c>
      <c r="AC3124" s="5">
        <v>0</v>
      </c>
      <c r="AD3124" s="5">
        <v>0</v>
      </c>
      <c r="AE3124" s="7" t="s">
        <v>73</v>
      </c>
      <c r="AF3124" s="7" t="s">
        <v>17666</v>
      </c>
      <c r="AG3124" s="7" t="s">
        <v>570</v>
      </c>
      <c r="AH3124" s="7">
        <v>43949</v>
      </c>
      <c r="AI3124" s="5">
        <v>0</v>
      </c>
      <c r="AJ3124" s="7" t="s">
        <v>17667</v>
      </c>
      <c r="AK3124" s="7" t="s">
        <v>17668</v>
      </c>
    </row>
    <row r="3125" spans="1:37" ht="36.75" customHeight="1" x14ac:dyDescent="0.35">
      <c r="A3125" s="5"/>
      <c r="B3125" s="5" t="s">
        <v>37</v>
      </c>
      <c r="C3125" s="73" t="str">
        <f t="shared" si="48"/>
        <v>Closed</v>
      </c>
      <c r="D3125" s="45" t="s">
        <v>17669</v>
      </c>
      <c r="E3125" s="54" t="s">
        <v>17670</v>
      </c>
      <c r="F3125" s="5" t="s">
        <v>816</v>
      </c>
      <c r="G3125" s="7">
        <f>DATE(2020,4,29)</f>
        <v>43950</v>
      </c>
      <c r="H3125" s="34">
        <v>1.3618055555555555</v>
      </c>
      <c r="I3125" s="5" t="s">
        <v>85</v>
      </c>
      <c r="J3125" s="7" t="s">
        <v>17671</v>
      </c>
      <c r="K3125" s="5" t="s">
        <v>818</v>
      </c>
      <c r="L3125" s="5" t="s">
        <v>17672</v>
      </c>
      <c r="M3125" s="5" t="s">
        <v>45</v>
      </c>
      <c r="N3125" s="5" t="s">
        <v>123</v>
      </c>
      <c r="O3125" s="5" t="s">
        <v>59</v>
      </c>
      <c r="P3125" s="7" t="s">
        <v>362</v>
      </c>
      <c r="Q3125" s="7" t="s">
        <v>2142</v>
      </c>
      <c r="R3125" s="7" t="s">
        <v>821</v>
      </c>
      <c r="S3125" s="5">
        <v>0</v>
      </c>
      <c r="T3125" s="36">
        <v>0</v>
      </c>
      <c r="U3125" s="5">
        <v>0</v>
      </c>
      <c r="V3125" s="36">
        <v>0</v>
      </c>
      <c r="W3125" s="5">
        <v>0</v>
      </c>
      <c r="X3125" s="5">
        <v>0</v>
      </c>
      <c r="Y3125" s="5">
        <v>0</v>
      </c>
      <c r="Z3125" s="36">
        <v>0</v>
      </c>
      <c r="AA3125" s="5">
        <v>0</v>
      </c>
      <c r="AB3125" s="5">
        <v>0</v>
      </c>
      <c r="AC3125" s="5">
        <v>0</v>
      </c>
      <c r="AD3125" s="5">
        <v>0</v>
      </c>
      <c r="AE3125" s="7" t="s">
        <v>73</v>
      </c>
      <c r="AF3125" s="7"/>
      <c r="AG3125" s="7" t="s">
        <v>570</v>
      </c>
      <c r="AH3125" s="7">
        <v>43957</v>
      </c>
      <c r="AI3125" s="5">
        <v>0</v>
      </c>
      <c r="AJ3125" s="7" t="s">
        <v>17673</v>
      </c>
      <c r="AK3125" s="7" t="s">
        <v>17674</v>
      </c>
    </row>
    <row r="3126" spans="1:37" ht="36.75" customHeight="1" x14ac:dyDescent="0.35">
      <c r="A3126" s="23" t="s">
        <v>4890</v>
      </c>
      <c r="B3126" s="5" t="s">
        <v>37</v>
      </c>
      <c r="C3126" s="73" t="str">
        <f t="shared" si="48"/>
        <v>Closed</v>
      </c>
      <c r="D3126" s="45" t="s">
        <v>17675</v>
      </c>
      <c r="E3126" s="54" t="s">
        <v>17676</v>
      </c>
      <c r="F3126" s="5" t="s">
        <v>1919</v>
      </c>
      <c r="G3126" s="7">
        <f>DATE(2020,4,29)</f>
        <v>43950</v>
      </c>
      <c r="H3126" s="34">
        <v>0.56944444444444442</v>
      </c>
      <c r="I3126" s="5" t="s">
        <v>97</v>
      </c>
      <c r="J3126" s="7" t="s">
        <v>17677</v>
      </c>
      <c r="K3126" s="5" t="s">
        <v>1921</v>
      </c>
      <c r="L3126" s="5" t="s">
        <v>17678</v>
      </c>
      <c r="M3126" s="5" t="s">
        <v>45</v>
      </c>
      <c r="N3126" s="5" t="s">
        <v>70</v>
      </c>
      <c r="O3126" s="5" t="s">
        <v>46</v>
      </c>
      <c r="P3126" s="7" t="s">
        <v>146</v>
      </c>
      <c r="Q3126" s="7" t="s">
        <v>17679</v>
      </c>
      <c r="R3126" s="7" t="s">
        <v>17679</v>
      </c>
      <c r="S3126" s="5">
        <v>0</v>
      </c>
      <c r="T3126" s="36">
        <v>0</v>
      </c>
      <c r="U3126" s="5">
        <v>0</v>
      </c>
      <c r="V3126" s="36">
        <v>0</v>
      </c>
      <c r="W3126" s="5">
        <v>0</v>
      </c>
      <c r="X3126" s="5">
        <v>0</v>
      </c>
      <c r="Y3126" s="5">
        <v>0</v>
      </c>
      <c r="Z3126" s="36">
        <v>0</v>
      </c>
      <c r="AA3126" s="5">
        <v>0</v>
      </c>
      <c r="AB3126" s="5">
        <v>0</v>
      </c>
      <c r="AC3126" s="5">
        <v>0</v>
      </c>
      <c r="AD3126" s="5">
        <v>0</v>
      </c>
      <c r="AE3126" s="7" t="s">
        <v>375</v>
      </c>
      <c r="AF3126" s="7" t="s">
        <v>17680</v>
      </c>
      <c r="AG3126" s="7" t="s">
        <v>6438</v>
      </c>
      <c r="AH3126" s="7">
        <v>43956</v>
      </c>
      <c r="AI3126" s="5">
        <v>4</v>
      </c>
      <c r="AJ3126" s="7" t="s">
        <v>50</v>
      </c>
      <c r="AK3126" s="7" t="s">
        <v>50</v>
      </c>
    </row>
    <row r="3127" spans="1:37" ht="36.75" customHeight="1" x14ac:dyDescent="0.35">
      <c r="A3127" s="23" t="s">
        <v>4890</v>
      </c>
      <c r="B3127" s="5" t="s">
        <v>37</v>
      </c>
      <c r="C3127" s="73" t="str">
        <f t="shared" si="48"/>
        <v>Closed</v>
      </c>
      <c r="D3127" s="45" t="s">
        <v>17681</v>
      </c>
      <c r="E3127" s="54" t="s">
        <v>17682</v>
      </c>
      <c r="F3127" s="5" t="s">
        <v>17305</v>
      </c>
      <c r="G3127" s="7">
        <f>DATE(2020,4,29)</f>
        <v>43950</v>
      </c>
      <c r="H3127" s="34">
        <v>1.4916666666666667</v>
      </c>
      <c r="I3127" s="5" t="s">
        <v>97</v>
      </c>
      <c r="J3127" s="7" t="s">
        <v>17683</v>
      </c>
      <c r="K3127" s="5" t="s">
        <v>108</v>
      </c>
      <c r="L3127" s="5" t="s">
        <v>17684</v>
      </c>
      <c r="M3127" s="5" t="s">
        <v>45</v>
      </c>
      <c r="N3127" s="5" t="s">
        <v>80</v>
      </c>
      <c r="O3127" s="5" t="s">
        <v>46</v>
      </c>
      <c r="P3127" s="7" t="s">
        <v>146</v>
      </c>
      <c r="Q3127" s="7" t="s">
        <v>148</v>
      </c>
      <c r="R3127" s="7" t="s">
        <v>17685</v>
      </c>
      <c r="S3127" s="5">
        <v>0</v>
      </c>
      <c r="T3127" s="36">
        <v>0</v>
      </c>
      <c r="U3127" s="5">
        <v>0</v>
      </c>
      <c r="V3127" s="36">
        <v>0</v>
      </c>
      <c r="W3127" s="5">
        <v>0</v>
      </c>
      <c r="X3127" s="5">
        <v>0</v>
      </c>
      <c r="Y3127" s="5">
        <v>0</v>
      </c>
      <c r="Z3127" s="36">
        <v>0</v>
      </c>
      <c r="AA3127" s="5">
        <v>0</v>
      </c>
      <c r="AB3127" s="5">
        <v>0</v>
      </c>
      <c r="AC3127" s="5">
        <v>0</v>
      </c>
      <c r="AD3127" s="5">
        <v>0</v>
      </c>
      <c r="AE3127" s="7" t="s">
        <v>126</v>
      </c>
      <c r="AF3127" s="7" t="s">
        <v>17686</v>
      </c>
      <c r="AG3127" s="7" t="s">
        <v>6438</v>
      </c>
      <c r="AH3127" s="7">
        <v>43956</v>
      </c>
      <c r="AI3127" s="5">
        <v>4</v>
      </c>
      <c r="AJ3127" s="7" t="s">
        <v>17687</v>
      </c>
      <c r="AK3127" s="7" t="s">
        <v>17688</v>
      </c>
    </row>
    <row r="3128" spans="1:37" ht="36.75" customHeight="1" x14ac:dyDescent="0.35">
      <c r="A3128" s="23" t="s">
        <v>4890</v>
      </c>
      <c r="B3128" s="5" t="s">
        <v>37</v>
      </c>
      <c r="C3128" s="73" t="str">
        <f t="shared" si="48"/>
        <v>Closed</v>
      </c>
      <c r="D3128" s="45" t="s">
        <v>17689</v>
      </c>
      <c r="E3128" s="54" t="s">
        <v>17690</v>
      </c>
      <c r="F3128" s="5" t="s">
        <v>2316</v>
      </c>
      <c r="G3128" s="7">
        <f>DATE(2020,4,29)</f>
        <v>43950</v>
      </c>
      <c r="H3128" s="110">
        <v>1.7305555555555556</v>
      </c>
      <c r="I3128" s="5" t="s">
        <v>97</v>
      </c>
      <c r="J3128" s="7" t="s">
        <v>17691</v>
      </c>
      <c r="K3128" s="5" t="s">
        <v>2318</v>
      </c>
      <c r="L3128" s="5" t="s">
        <v>17692</v>
      </c>
      <c r="M3128" s="5" t="s">
        <v>45</v>
      </c>
      <c r="N3128" s="5" t="s">
        <v>80</v>
      </c>
      <c r="O3128" s="5" t="s">
        <v>46</v>
      </c>
      <c r="P3128" s="7" t="s">
        <v>146</v>
      </c>
      <c r="Q3128" s="7" t="s">
        <v>17397</v>
      </c>
      <c r="R3128" s="7" t="s">
        <v>2321</v>
      </c>
      <c r="S3128" s="5">
        <v>0</v>
      </c>
      <c r="T3128" s="38">
        <v>0</v>
      </c>
      <c r="U3128" s="5">
        <v>0</v>
      </c>
      <c r="V3128" s="38">
        <v>0</v>
      </c>
      <c r="W3128" s="5">
        <v>0</v>
      </c>
      <c r="X3128" s="5">
        <v>0</v>
      </c>
      <c r="Y3128" s="5">
        <v>1</v>
      </c>
      <c r="Z3128" s="38">
        <v>2</v>
      </c>
      <c r="AA3128" s="5">
        <v>2</v>
      </c>
      <c r="AB3128" s="5">
        <v>0</v>
      </c>
      <c r="AC3128" s="5">
        <v>0</v>
      </c>
      <c r="AD3128" s="5">
        <v>5</v>
      </c>
      <c r="AE3128" s="7" t="s">
        <v>126</v>
      </c>
      <c r="AF3128" s="7"/>
      <c r="AG3128" s="5" t="s">
        <v>64</v>
      </c>
      <c r="AH3128" s="7">
        <v>43956</v>
      </c>
      <c r="AI3128" s="5">
        <v>6</v>
      </c>
      <c r="AJ3128" s="7" t="s">
        <v>50</v>
      </c>
      <c r="AK3128" s="7" t="s">
        <v>50</v>
      </c>
    </row>
    <row r="3129" spans="1:37" ht="36.75" customHeight="1" x14ac:dyDescent="0.35">
      <c r="A3129" s="23" t="s">
        <v>4890</v>
      </c>
      <c r="B3129" s="5" t="s">
        <v>37</v>
      </c>
      <c r="C3129" s="73" t="str">
        <f t="shared" si="48"/>
        <v>Closed</v>
      </c>
      <c r="D3129" s="45" t="s">
        <v>17693</v>
      </c>
      <c r="E3129" s="54" t="s">
        <v>17694</v>
      </c>
      <c r="F3129" s="5" t="s">
        <v>1553</v>
      </c>
      <c r="G3129" s="7">
        <f>DATE(2020,4,29)</f>
        <v>43950</v>
      </c>
      <c r="H3129" s="34">
        <v>1.3923611111111112</v>
      </c>
      <c r="I3129" s="5" t="s">
        <v>55</v>
      </c>
      <c r="J3129" s="7" t="s">
        <v>17695</v>
      </c>
      <c r="K3129" s="5" t="s">
        <v>1555</v>
      </c>
      <c r="L3129" s="5" t="s">
        <v>12144</v>
      </c>
      <c r="M3129" s="5" t="s">
        <v>45</v>
      </c>
      <c r="N3129" s="5" t="s">
        <v>80</v>
      </c>
      <c r="O3129" s="5" t="s">
        <v>59</v>
      </c>
      <c r="P3129" s="7" t="s">
        <v>6920</v>
      </c>
      <c r="Q3129" s="7" t="s">
        <v>17696</v>
      </c>
      <c r="R3129" s="7" t="s">
        <v>6413</v>
      </c>
      <c r="S3129" s="5">
        <v>0</v>
      </c>
      <c r="T3129" s="36">
        <v>0</v>
      </c>
      <c r="U3129" s="5">
        <v>0</v>
      </c>
      <c r="V3129" s="36">
        <v>0</v>
      </c>
      <c r="W3129" s="5">
        <v>0</v>
      </c>
      <c r="X3129" s="5">
        <v>0</v>
      </c>
      <c r="Y3129" s="5">
        <v>0</v>
      </c>
      <c r="Z3129" s="36">
        <v>0</v>
      </c>
      <c r="AA3129" s="5">
        <v>0</v>
      </c>
      <c r="AB3129" s="5">
        <v>0</v>
      </c>
      <c r="AC3129" s="5">
        <v>0</v>
      </c>
      <c r="AD3129" s="5">
        <v>0</v>
      </c>
      <c r="AE3129" s="7" t="s">
        <v>73</v>
      </c>
      <c r="AF3129" s="7"/>
      <c r="AG3129" s="7" t="s">
        <v>114</v>
      </c>
      <c r="AH3129" s="7">
        <v>43951</v>
      </c>
      <c r="AI3129" s="5">
        <v>1</v>
      </c>
      <c r="AJ3129" s="7" t="s">
        <v>50</v>
      </c>
      <c r="AK3129" s="7" t="s">
        <v>50</v>
      </c>
    </row>
    <row r="3130" spans="1:37" ht="36.75" customHeight="1" x14ac:dyDescent="0.35">
      <c r="A3130" s="5" t="s">
        <v>12448</v>
      </c>
      <c r="B3130" s="5" t="s">
        <v>37</v>
      </c>
      <c r="C3130" s="73" t="str">
        <f t="shared" si="48"/>
        <v>Closed</v>
      </c>
      <c r="D3130" s="47" t="s">
        <v>17697</v>
      </c>
      <c r="E3130" s="54" t="s">
        <v>17698</v>
      </c>
      <c r="F3130" s="5" t="s">
        <v>17018</v>
      </c>
      <c r="G3130" s="7">
        <f>DATE(2020,4,30)</f>
        <v>43951</v>
      </c>
      <c r="H3130" s="52" t="s">
        <v>17699</v>
      </c>
      <c r="I3130" s="5" t="s">
        <v>468</v>
      </c>
      <c r="J3130" s="7" t="s">
        <v>17700</v>
      </c>
      <c r="K3130" s="5" t="s">
        <v>2318</v>
      </c>
      <c r="L3130" s="5" t="s">
        <v>17701</v>
      </c>
      <c r="M3130" s="5" t="s">
        <v>45</v>
      </c>
      <c r="N3130" s="5" t="s">
        <v>80</v>
      </c>
      <c r="O3130" s="5" t="s">
        <v>46</v>
      </c>
      <c r="P3130" s="7" t="s">
        <v>282</v>
      </c>
      <c r="Q3130" s="5" t="s">
        <v>17702</v>
      </c>
      <c r="R3130" s="5" t="s">
        <v>2321</v>
      </c>
      <c r="S3130" s="5">
        <v>0</v>
      </c>
      <c r="T3130" s="5">
        <v>0</v>
      </c>
      <c r="U3130" s="5">
        <v>0</v>
      </c>
      <c r="V3130" s="5">
        <v>0</v>
      </c>
      <c r="W3130" s="5">
        <v>0</v>
      </c>
      <c r="X3130" s="5">
        <v>0</v>
      </c>
      <c r="Y3130" s="5">
        <v>0</v>
      </c>
      <c r="Z3130" s="5">
        <v>1</v>
      </c>
      <c r="AA3130" s="5">
        <v>0</v>
      </c>
      <c r="AB3130" s="5">
        <v>0</v>
      </c>
      <c r="AC3130" s="5">
        <v>0</v>
      </c>
      <c r="AD3130" s="5">
        <v>1</v>
      </c>
      <c r="AE3130" s="7" t="s">
        <v>73</v>
      </c>
      <c r="AF3130" s="5" t="s">
        <v>17703</v>
      </c>
      <c r="AG3130" s="5" t="s">
        <v>8837</v>
      </c>
      <c r="AH3130" s="7">
        <v>44391</v>
      </c>
      <c r="AI3130" s="5">
        <v>5</v>
      </c>
      <c r="AJ3130" s="5" t="s">
        <v>17704</v>
      </c>
      <c r="AK3130" s="5" t="s">
        <v>17705</v>
      </c>
    </row>
    <row r="3131" spans="1:37" ht="36.75" customHeight="1" x14ac:dyDescent="0.35">
      <c r="A3131" s="5" t="s">
        <v>12448</v>
      </c>
      <c r="B3131" s="5" t="s">
        <v>37</v>
      </c>
      <c r="C3131" s="73" t="str">
        <f t="shared" si="48"/>
        <v>Closed</v>
      </c>
      <c r="D3131" s="47" t="s">
        <v>17706</v>
      </c>
      <c r="E3131" s="55" t="s">
        <v>17707</v>
      </c>
      <c r="F3131" s="15" t="s">
        <v>12887</v>
      </c>
      <c r="G3131" s="7">
        <f>DATE(2020,5,2)</f>
        <v>43953</v>
      </c>
      <c r="H3131" s="52">
        <v>0.25</v>
      </c>
      <c r="I3131" s="5" t="s">
        <v>137</v>
      </c>
      <c r="J3131" s="15" t="s">
        <v>17708</v>
      </c>
      <c r="K3131" s="15" t="s">
        <v>434</v>
      </c>
      <c r="L3131" s="15" t="s">
        <v>17709</v>
      </c>
      <c r="M3131" s="15"/>
      <c r="N3131" s="15"/>
      <c r="O3131" s="15" t="s">
        <v>46</v>
      </c>
      <c r="P3131" s="15" t="s">
        <v>47</v>
      </c>
      <c r="Q3131" s="15" t="s">
        <v>12889</v>
      </c>
      <c r="R3131" s="15" t="s">
        <v>12890</v>
      </c>
      <c r="S3131" s="15">
        <v>0</v>
      </c>
      <c r="T3131" s="15">
        <v>0</v>
      </c>
      <c r="U3131" s="15">
        <v>0</v>
      </c>
      <c r="V3131" s="15">
        <v>0</v>
      </c>
      <c r="W3131" s="15">
        <v>0</v>
      </c>
      <c r="X3131" s="15">
        <v>0</v>
      </c>
      <c r="Y3131" s="15">
        <v>0</v>
      </c>
      <c r="Z3131" s="15">
        <v>0</v>
      </c>
      <c r="AA3131" s="15">
        <v>0</v>
      </c>
      <c r="AB3131" s="15">
        <v>0</v>
      </c>
      <c r="AC3131" s="15">
        <v>0</v>
      </c>
      <c r="AD3131" s="15">
        <v>0</v>
      </c>
      <c r="AE3131" s="15"/>
      <c r="AF3131" s="15"/>
      <c r="AG3131" s="15"/>
      <c r="AH3131" s="15" t="s">
        <v>50</v>
      </c>
      <c r="AI3131" s="15">
        <v>2</v>
      </c>
      <c r="AJ3131" s="15"/>
      <c r="AK3131" s="15"/>
    </row>
    <row r="3132" spans="1:37" ht="36.75" customHeight="1" x14ac:dyDescent="0.35">
      <c r="A3132" s="5"/>
      <c r="B3132" s="5" t="s">
        <v>37</v>
      </c>
      <c r="C3132" s="73" t="str">
        <f t="shared" si="48"/>
        <v>Closed</v>
      </c>
      <c r="D3132" s="45" t="s">
        <v>17710</v>
      </c>
      <c r="E3132" s="54" t="s">
        <v>17711</v>
      </c>
      <c r="F3132" s="5" t="s">
        <v>404</v>
      </c>
      <c r="G3132" s="7">
        <f>DATE(2020,5,7)</f>
        <v>43958</v>
      </c>
      <c r="H3132" s="34">
        <v>1.4215277777777777</v>
      </c>
      <c r="I3132" s="5" t="s">
        <v>179</v>
      </c>
      <c r="J3132" s="7" t="s">
        <v>17712</v>
      </c>
      <c r="K3132" s="5" t="s">
        <v>406</v>
      </c>
      <c r="L3132" s="5" t="s">
        <v>17713</v>
      </c>
      <c r="M3132" s="5" t="s">
        <v>45</v>
      </c>
      <c r="N3132" s="5" t="s">
        <v>123</v>
      </c>
      <c r="O3132" s="5" t="s">
        <v>46</v>
      </c>
      <c r="P3132" s="7" t="s">
        <v>11914</v>
      </c>
      <c r="Q3132" s="7" t="s">
        <v>17714</v>
      </c>
      <c r="R3132" s="7" t="s">
        <v>3083</v>
      </c>
      <c r="S3132" s="5">
        <v>0</v>
      </c>
      <c r="T3132" s="38">
        <v>0</v>
      </c>
      <c r="U3132" s="5">
        <v>0</v>
      </c>
      <c r="V3132" s="38">
        <v>0</v>
      </c>
      <c r="W3132" s="5">
        <v>0</v>
      </c>
      <c r="X3132" s="5">
        <v>0</v>
      </c>
      <c r="Y3132" s="5">
        <v>0</v>
      </c>
      <c r="Z3132" s="38">
        <v>0</v>
      </c>
      <c r="AA3132" s="5">
        <v>0</v>
      </c>
      <c r="AB3132" s="5">
        <v>0</v>
      </c>
      <c r="AC3132" s="5">
        <v>0</v>
      </c>
      <c r="AD3132" s="5">
        <v>0</v>
      </c>
      <c r="AE3132" s="7" t="s">
        <v>73</v>
      </c>
      <c r="AF3132" s="7"/>
      <c r="AG3132" s="7" t="s">
        <v>114</v>
      </c>
      <c r="AH3132" s="7">
        <v>44017</v>
      </c>
      <c r="AI3132" s="5">
        <v>1</v>
      </c>
      <c r="AJ3132" s="7" t="s">
        <v>50</v>
      </c>
      <c r="AK3132" s="7" t="s">
        <v>50</v>
      </c>
    </row>
    <row r="3133" spans="1:37" ht="36.75" customHeight="1" x14ac:dyDescent="0.35">
      <c r="A3133" s="5"/>
      <c r="B3133" s="5" t="s">
        <v>37</v>
      </c>
      <c r="C3133" s="73" t="str">
        <f t="shared" si="48"/>
        <v>Closed</v>
      </c>
      <c r="D3133" s="45" t="s">
        <v>17715</v>
      </c>
      <c r="E3133" s="54" t="s">
        <v>17716</v>
      </c>
      <c r="F3133" s="5" t="s">
        <v>563</v>
      </c>
      <c r="G3133" s="7">
        <f>DATE(2020,5,7)</f>
        <v>43958</v>
      </c>
      <c r="H3133" s="34">
        <v>1.8347222222222221</v>
      </c>
      <c r="I3133" s="5" t="s">
        <v>97</v>
      </c>
      <c r="J3133" s="7" t="s">
        <v>17717</v>
      </c>
      <c r="K3133" s="5" t="s">
        <v>565</v>
      </c>
      <c r="L3133" s="5" t="s">
        <v>17718</v>
      </c>
      <c r="M3133" s="5" t="s">
        <v>45</v>
      </c>
      <c r="N3133" s="5" t="s">
        <v>123</v>
      </c>
      <c r="O3133" s="5" t="s">
        <v>46</v>
      </c>
      <c r="P3133" s="7" t="s">
        <v>146</v>
      </c>
      <c r="Q3133" s="7" t="s">
        <v>17719</v>
      </c>
      <c r="R3133" s="7" t="s">
        <v>13228</v>
      </c>
      <c r="S3133" s="5">
        <v>0</v>
      </c>
      <c r="T3133" s="36">
        <v>0</v>
      </c>
      <c r="U3133" s="5">
        <v>1</v>
      </c>
      <c r="V3133" s="36">
        <v>0</v>
      </c>
      <c r="W3133" s="5">
        <v>0</v>
      </c>
      <c r="X3133" s="5">
        <v>1</v>
      </c>
      <c r="Y3133" s="5">
        <v>0</v>
      </c>
      <c r="Z3133" s="36">
        <v>0</v>
      </c>
      <c r="AA3133" s="5">
        <v>2</v>
      </c>
      <c r="AB3133" s="5">
        <v>0</v>
      </c>
      <c r="AC3133" s="5">
        <v>0</v>
      </c>
      <c r="AD3133" s="5">
        <v>2</v>
      </c>
      <c r="AE3133" s="7" t="s">
        <v>375</v>
      </c>
      <c r="AF3133" s="7" t="s">
        <v>17720</v>
      </c>
      <c r="AG3133" s="7" t="s">
        <v>6438</v>
      </c>
      <c r="AH3133" s="7">
        <v>43962</v>
      </c>
      <c r="AI3133" s="5">
        <v>3</v>
      </c>
      <c r="AJ3133" s="7" t="s">
        <v>17721</v>
      </c>
      <c r="AK3133" s="7" t="s">
        <v>50</v>
      </c>
    </row>
    <row r="3134" spans="1:37" ht="39" customHeight="1" x14ac:dyDescent="0.35">
      <c r="A3134" s="23" t="s">
        <v>4890</v>
      </c>
      <c r="B3134" s="5" t="s">
        <v>37</v>
      </c>
      <c r="C3134" s="73" t="str">
        <f t="shared" si="48"/>
        <v>Closed</v>
      </c>
      <c r="D3134" s="45" t="s">
        <v>17722</v>
      </c>
      <c r="E3134" s="54" t="s">
        <v>17723</v>
      </c>
      <c r="F3134" s="5" t="s">
        <v>40</v>
      </c>
      <c r="G3134" s="7">
        <f>DATE(2020,5,14)</f>
        <v>43965</v>
      </c>
      <c r="H3134" s="52">
        <v>1.9666666666666668</v>
      </c>
      <c r="I3134" s="5" t="s">
        <v>97</v>
      </c>
      <c r="J3134" s="7" t="s">
        <v>17724</v>
      </c>
      <c r="K3134" s="5" t="s">
        <v>43</v>
      </c>
      <c r="L3134" s="5" t="s">
        <v>17725</v>
      </c>
      <c r="M3134" s="5" t="s">
        <v>45</v>
      </c>
      <c r="N3134" s="5" t="s">
        <v>80</v>
      </c>
      <c r="O3134" s="5" t="s">
        <v>46</v>
      </c>
      <c r="P3134" s="7" t="s">
        <v>146</v>
      </c>
      <c r="Q3134" s="7" t="s">
        <v>10848</v>
      </c>
      <c r="R3134" s="7" t="s">
        <v>49</v>
      </c>
      <c r="S3134" s="5">
        <v>0</v>
      </c>
      <c r="T3134" s="38">
        <v>0</v>
      </c>
      <c r="U3134" s="5">
        <v>0</v>
      </c>
      <c r="V3134" s="38">
        <v>0</v>
      </c>
      <c r="W3134" s="5">
        <v>0</v>
      </c>
      <c r="X3134" s="5">
        <v>0</v>
      </c>
      <c r="Y3134" s="5">
        <v>0</v>
      </c>
      <c r="Z3134" s="38">
        <v>0</v>
      </c>
      <c r="AA3134" s="5">
        <v>0</v>
      </c>
      <c r="AB3134" s="5">
        <v>0</v>
      </c>
      <c r="AC3134" s="5">
        <v>0</v>
      </c>
      <c r="AD3134" s="5">
        <v>0</v>
      </c>
      <c r="AE3134" s="7" t="s">
        <v>375</v>
      </c>
      <c r="AF3134" s="7"/>
      <c r="AG3134" s="7" t="s">
        <v>114</v>
      </c>
      <c r="AH3134" s="7">
        <v>43970</v>
      </c>
      <c r="AI3134" s="5">
        <v>4</v>
      </c>
      <c r="AJ3134" s="7" t="s">
        <v>50</v>
      </c>
      <c r="AK3134" s="7" t="s">
        <v>50</v>
      </c>
    </row>
    <row r="3135" spans="1:37" ht="36.75" customHeight="1" x14ac:dyDescent="0.35">
      <c r="A3135" s="5" t="s">
        <v>12448</v>
      </c>
      <c r="B3135" s="5" t="s">
        <v>37</v>
      </c>
      <c r="C3135" s="73" t="str">
        <f t="shared" si="48"/>
        <v>Closed</v>
      </c>
      <c r="D3135" s="47" t="s">
        <v>17726</v>
      </c>
      <c r="E3135" s="54" t="s">
        <v>17727</v>
      </c>
      <c r="F3135" s="5" t="s">
        <v>17728</v>
      </c>
      <c r="G3135" s="7">
        <f>DATE(2020,5,15)</f>
        <v>43966</v>
      </c>
      <c r="H3135" s="52">
        <v>0.13749999999999998</v>
      </c>
      <c r="I3135" s="5" t="s">
        <v>55</v>
      </c>
      <c r="J3135" s="5" t="s">
        <v>17729</v>
      </c>
      <c r="K3135" s="5" t="s">
        <v>2583</v>
      </c>
      <c r="L3135" s="5" t="s">
        <v>17730</v>
      </c>
      <c r="M3135" s="5" t="s">
        <v>45</v>
      </c>
      <c r="N3135" s="5" t="s">
        <v>123</v>
      </c>
      <c r="O3135" s="5" t="s">
        <v>59</v>
      </c>
      <c r="P3135" s="5" t="s">
        <v>47</v>
      </c>
      <c r="Q3135" s="5" t="s">
        <v>17540</v>
      </c>
      <c r="R3135" s="5" t="s">
        <v>17330</v>
      </c>
      <c r="S3135" s="5">
        <v>0</v>
      </c>
      <c r="T3135" s="5">
        <v>0</v>
      </c>
      <c r="U3135" s="5">
        <v>0</v>
      </c>
      <c r="V3135" s="5">
        <v>0</v>
      </c>
      <c r="W3135" s="5">
        <v>0</v>
      </c>
      <c r="X3135" s="5">
        <v>0</v>
      </c>
      <c r="Y3135" s="5">
        <v>0</v>
      </c>
      <c r="Z3135" s="5">
        <v>0</v>
      </c>
      <c r="AA3135" s="5">
        <v>0</v>
      </c>
      <c r="AB3135" s="5">
        <v>0</v>
      </c>
      <c r="AC3135" s="5">
        <v>0</v>
      </c>
      <c r="AD3135" s="5">
        <v>0</v>
      </c>
      <c r="AE3135" s="7" t="s">
        <v>17731</v>
      </c>
      <c r="AF3135" s="5" t="s">
        <v>17732</v>
      </c>
      <c r="AG3135" s="5" t="s">
        <v>17733</v>
      </c>
      <c r="AH3135" s="7">
        <v>43966</v>
      </c>
      <c r="AI3135" s="5">
        <v>7</v>
      </c>
      <c r="AJ3135" s="5" t="s">
        <v>17734</v>
      </c>
      <c r="AK3135" s="5"/>
    </row>
    <row r="3136" spans="1:37" ht="36.75" customHeight="1" x14ac:dyDescent="0.35">
      <c r="A3136" s="5"/>
      <c r="B3136" s="5" t="s">
        <v>37</v>
      </c>
      <c r="C3136" s="73" t="str">
        <f t="shared" si="48"/>
        <v>Closed</v>
      </c>
      <c r="D3136" s="45" t="s">
        <v>17735</v>
      </c>
      <c r="E3136" s="54" t="s">
        <v>17736</v>
      </c>
      <c r="F3136" s="5" t="s">
        <v>404</v>
      </c>
      <c r="G3136" s="7">
        <f>DATE(2020,5,16)</f>
        <v>43967</v>
      </c>
      <c r="H3136" s="34">
        <v>1.5451388888888888</v>
      </c>
      <c r="I3136" s="5" t="s">
        <v>97</v>
      </c>
      <c r="J3136" s="7" t="s">
        <v>17737</v>
      </c>
      <c r="K3136" s="5" t="s">
        <v>406</v>
      </c>
      <c r="L3136" s="5" t="s">
        <v>17738</v>
      </c>
      <c r="M3136" s="5" t="s">
        <v>45</v>
      </c>
      <c r="N3136" s="5" t="s">
        <v>80</v>
      </c>
      <c r="O3136" s="5" t="s">
        <v>46</v>
      </c>
      <c r="P3136" s="7" t="s">
        <v>146</v>
      </c>
      <c r="Q3136" s="7" t="s">
        <v>4531</v>
      </c>
      <c r="R3136" s="7" t="s">
        <v>3083</v>
      </c>
      <c r="S3136" s="5">
        <v>0</v>
      </c>
      <c r="T3136" s="36">
        <v>0</v>
      </c>
      <c r="U3136" s="5">
        <v>0</v>
      </c>
      <c r="V3136" s="36">
        <v>0</v>
      </c>
      <c r="W3136" s="5">
        <v>0</v>
      </c>
      <c r="X3136" s="5">
        <v>0</v>
      </c>
      <c r="Y3136" s="5">
        <v>0</v>
      </c>
      <c r="Z3136" s="36">
        <v>0</v>
      </c>
      <c r="AA3136" s="5">
        <v>1</v>
      </c>
      <c r="AB3136" s="5">
        <v>0</v>
      </c>
      <c r="AC3136" s="5">
        <v>0</v>
      </c>
      <c r="AD3136" s="5">
        <v>1</v>
      </c>
      <c r="AE3136" s="7" t="s">
        <v>73</v>
      </c>
      <c r="AF3136" s="7"/>
      <c r="AG3136" s="7" t="s">
        <v>855</v>
      </c>
      <c r="AH3136" s="7">
        <v>43967</v>
      </c>
      <c r="AI3136" s="5">
        <v>1</v>
      </c>
      <c r="AJ3136" s="7" t="s">
        <v>17739</v>
      </c>
      <c r="AK3136" s="7" t="s">
        <v>17740</v>
      </c>
    </row>
    <row r="3137" spans="1:37" ht="36.75" customHeight="1" x14ac:dyDescent="0.35">
      <c r="A3137" s="5"/>
      <c r="B3137" s="5" t="s">
        <v>14851</v>
      </c>
      <c r="C3137" s="73" t="str">
        <f t="shared" si="48"/>
        <v>In progress</v>
      </c>
      <c r="D3137" s="45" t="s">
        <v>17741</v>
      </c>
      <c r="E3137" s="54" t="s">
        <v>17742</v>
      </c>
      <c r="F3137" s="5" t="s">
        <v>563</v>
      </c>
      <c r="G3137" s="7">
        <f>DATE(2020,5,20)</f>
        <v>43971</v>
      </c>
      <c r="H3137" s="34">
        <v>1.6986111111111111</v>
      </c>
      <c r="I3137" s="5" t="s">
        <v>55</v>
      </c>
      <c r="J3137" s="7" t="s">
        <v>17743</v>
      </c>
      <c r="K3137" s="5" t="s">
        <v>565</v>
      </c>
      <c r="L3137" s="5" t="s">
        <v>17744</v>
      </c>
      <c r="M3137" s="5" t="s">
        <v>45</v>
      </c>
      <c r="N3137" s="5" t="s">
        <v>123</v>
      </c>
      <c r="O3137" s="5" t="s">
        <v>59</v>
      </c>
      <c r="P3137" s="7" t="s">
        <v>60</v>
      </c>
      <c r="Q3137" s="7" t="s">
        <v>17745</v>
      </c>
      <c r="R3137" s="7" t="s">
        <v>568</v>
      </c>
      <c r="S3137" s="5">
        <v>0</v>
      </c>
      <c r="T3137" s="36">
        <v>0</v>
      </c>
      <c r="U3137" s="5">
        <v>0</v>
      </c>
      <c r="V3137" s="36">
        <v>0</v>
      </c>
      <c r="W3137" s="5">
        <v>0</v>
      </c>
      <c r="X3137" s="5">
        <v>0</v>
      </c>
      <c r="Y3137" s="5">
        <v>0</v>
      </c>
      <c r="Z3137" s="36">
        <v>0</v>
      </c>
      <c r="AA3137" s="5">
        <v>0</v>
      </c>
      <c r="AB3137" s="5">
        <v>0</v>
      </c>
      <c r="AC3137" s="5">
        <v>0</v>
      </c>
      <c r="AD3137" s="5">
        <v>0</v>
      </c>
      <c r="AE3137" s="7" t="s">
        <v>375</v>
      </c>
      <c r="AF3137" s="7"/>
      <c r="AG3137" s="7" t="s">
        <v>13508</v>
      </c>
      <c r="AH3137" s="7">
        <v>43971</v>
      </c>
      <c r="AI3137" s="5">
        <v>1</v>
      </c>
      <c r="AJ3137" s="7" t="s">
        <v>17746</v>
      </c>
      <c r="AK3137" s="7" t="s">
        <v>50</v>
      </c>
    </row>
    <row r="3138" spans="1:37" ht="36.75" customHeight="1" x14ac:dyDescent="0.35">
      <c r="A3138" s="5"/>
      <c r="B3138" s="5" t="s">
        <v>14851</v>
      </c>
      <c r="C3138" s="73" t="str">
        <f t="shared" ref="C3138:C3180" si="49">IF(B3138="Notification","Open",IF(B3138="Interim Statement","In progress","Closed"))</f>
        <v>In progress</v>
      </c>
      <c r="D3138" s="45" t="s">
        <v>17747</v>
      </c>
      <c r="E3138" s="54" t="s">
        <v>43544</v>
      </c>
      <c r="F3138" s="5" t="s">
        <v>6434</v>
      </c>
      <c r="G3138" s="7">
        <f>DATE(2020,5,23)</f>
        <v>43974</v>
      </c>
      <c r="H3138" s="34">
        <v>1.9298611111111112</v>
      </c>
      <c r="I3138" s="5" t="s">
        <v>179</v>
      </c>
      <c r="J3138" s="7" t="s">
        <v>17748</v>
      </c>
      <c r="K3138" s="5" t="s">
        <v>565</v>
      </c>
      <c r="L3138" s="5" t="s">
        <v>43545</v>
      </c>
      <c r="M3138" s="5" t="s">
        <v>45</v>
      </c>
      <c r="N3138" s="5" t="s">
        <v>123</v>
      </c>
      <c r="O3138" s="5" t="s">
        <v>71</v>
      </c>
      <c r="P3138" s="7" t="s">
        <v>60</v>
      </c>
      <c r="Q3138" s="7" t="s">
        <v>4760</v>
      </c>
      <c r="R3138" s="7" t="s">
        <v>568</v>
      </c>
      <c r="S3138" s="5">
        <v>0</v>
      </c>
      <c r="T3138" s="36">
        <v>1</v>
      </c>
      <c r="U3138" s="5">
        <v>0</v>
      </c>
      <c r="V3138" s="36">
        <v>0</v>
      </c>
      <c r="W3138" s="5">
        <v>0</v>
      </c>
      <c r="X3138" s="5">
        <v>1</v>
      </c>
      <c r="Y3138" s="5">
        <v>0</v>
      </c>
      <c r="Z3138" s="36">
        <v>0</v>
      </c>
      <c r="AA3138" s="5">
        <v>0</v>
      </c>
      <c r="AB3138" s="5">
        <v>0</v>
      </c>
      <c r="AC3138" s="5">
        <v>0</v>
      </c>
      <c r="AD3138" s="5">
        <v>0</v>
      </c>
      <c r="AE3138" s="7" t="s">
        <v>375</v>
      </c>
      <c r="AF3138" s="7" t="s">
        <v>43546</v>
      </c>
      <c r="AG3138" s="7" t="s">
        <v>8837</v>
      </c>
      <c r="AH3138" s="7">
        <v>43974</v>
      </c>
      <c r="AI3138" s="5">
        <v>0</v>
      </c>
      <c r="AJ3138" s="7" t="s">
        <v>17749</v>
      </c>
      <c r="AK3138" s="7" t="s">
        <v>50</v>
      </c>
    </row>
    <row r="3139" spans="1:37" ht="36.75" customHeight="1" x14ac:dyDescent="0.35">
      <c r="A3139" s="23" t="s">
        <v>4890</v>
      </c>
      <c r="B3139" s="5" t="s">
        <v>37</v>
      </c>
      <c r="C3139" s="73" t="str">
        <f t="shared" si="49"/>
        <v>Closed</v>
      </c>
      <c r="D3139" s="45" t="s">
        <v>17750</v>
      </c>
      <c r="E3139" s="54" t="s">
        <v>17751</v>
      </c>
      <c r="F3139" s="5" t="s">
        <v>1919</v>
      </c>
      <c r="G3139" s="7">
        <f>DATE(2020,5,24)</f>
        <v>43975</v>
      </c>
      <c r="H3139" s="34">
        <v>0.51041666666666663</v>
      </c>
      <c r="I3139" s="5" t="s">
        <v>9004</v>
      </c>
      <c r="J3139" s="7" t="s">
        <v>17752</v>
      </c>
      <c r="K3139" s="5" t="s">
        <v>1921</v>
      </c>
      <c r="L3139" s="5" t="s">
        <v>17753</v>
      </c>
      <c r="M3139" s="5" t="s">
        <v>45</v>
      </c>
      <c r="N3139" s="5" t="s">
        <v>123</v>
      </c>
      <c r="O3139" s="5" t="s">
        <v>46</v>
      </c>
      <c r="P3139" s="7" t="s">
        <v>146</v>
      </c>
      <c r="Q3139" s="7" t="s">
        <v>17679</v>
      </c>
      <c r="R3139" s="7" t="s">
        <v>17679</v>
      </c>
      <c r="S3139" s="5">
        <v>0</v>
      </c>
      <c r="T3139" s="38">
        <v>0</v>
      </c>
      <c r="U3139" s="5">
        <v>0</v>
      </c>
      <c r="V3139" s="38">
        <v>0</v>
      </c>
      <c r="W3139" s="5">
        <v>0</v>
      </c>
      <c r="X3139" s="5">
        <v>0</v>
      </c>
      <c r="Y3139" s="5">
        <v>0</v>
      </c>
      <c r="Z3139" s="38">
        <v>0</v>
      </c>
      <c r="AA3139" s="5">
        <v>0</v>
      </c>
      <c r="AB3139" s="5">
        <v>0</v>
      </c>
      <c r="AC3139" s="5">
        <v>0</v>
      </c>
      <c r="AD3139" s="5">
        <v>0</v>
      </c>
      <c r="AE3139" s="5" t="s">
        <v>375</v>
      </c>
      <c r="AF3139" s="7"/>
      <c r="AG3139" s="7" t="s">
        <v>6438</v>
      </c>
      <c r="AH3139" s="7">
        <v>44013</v>
      </c>
      <c r="AI3139" s="5">
        <v>6</v>
      </c>
      <c r="AJ3139" s="7" t="s">
        <v>50</v>
      </c>
      <c r="AK3139" s="7" t="s">
        <v>50</v>
      </c>
    </row>
    <row r="3140" spans="1:37" ht="36.75" customHeight="1" x14ac:dyDescent="0.35">
      <c r="A3140" s="5"/>
      <c r="B3140" s="5" t="s">
        <v>37</v>
      </c>
      <c r="C3140" s="73" t="str">
        <f t="shared" si="49"/>
        <v>Closed</v>
      </c>
      <c r="D3140" s="45" t="s">
        <v>17754</v>
      </c>
      <c r="E3140" s="54" t="s">
        <v>17755</v>
      </c>
      <c r="F3140" s="5" t="s">
        <v>214</v>
      </c>
      <c r="G3140" s="7">
        <f>DATE(2020,5,26)</f>
        <v>43977</v>
      </c>
      <c r="H3140" s="34">
        <v>1.4208333333333334</v>
      </c>
      <c r="I3140" s="5" t="s">
        <v>259</v>
      </c>
      <c r="J3140" s="7" t="s">
        <v>17756</v>
      </c>
      <c r="K3140" s="5" t="s">
        <v>216</v>
      </c>
      <c r="L3140" s="5" t="s">
        <v>17757</v>
      </c>
      <c r="M3140" s="5" t="s">
        <v>110</v>
      </c>
      <c r="N3140" s="5" t="s">
        <v>80</v>
      </c>
      <c r="O3140" s="5" t="s">
        <v>59</v>
      </c>
      <c r="P3140" s="7" t="s">
        <v>110</v>
      </c>
      <c r="Q3140" s="7" t="s">
        <v>664</v>
      </c>
      <c r="R3140" s="7" t="s">
        <v>216</v>
      </c>
      <c r="S3140" s="5">
        <v>1</v>
      </c>
      <c r="T3140" s="36">
        <v>0</v>
      </c>
      <c r="U3140" s="5">
        <v>0</v>
      </c>
      <c r="V3140" s="36">
        <v>0</v>
      </c>
      <c r="W3140" s="5">
        <v>0</v>
      </c>
      <c r="X3140" s="5">
        <v>1</v>
      </c>
      <c r="Y3140" s="5">
        <v>0</v>
      </c>
      <c r="Z3140" s="36">
        <v>0</v>
      </c>
      <c r="AA3140" s="5">
        <v>0</v>
      </c>
      <c r="AB3140" s="5">
        <v>0</v>
      </c>
      <c r="AC3140" s="5">
        <v>0</v>
      </c>
      <c r="AD3140" s="5">
        <v>0</v>
      </c>
      <c r="AE3140" s="7" t="s">
        <v>73</v>
      </c>
      <c r="AF3140" s="7"/>
      <c r="AG3140" s="7" t="s">
        <v>64</v>
      </c>
      <c r="AH3140" s="7">
        <v>43983</v>
      </c>
      <c r="AI3140" s="5">
        <v>3</v>
      </c>
      <c r="AJ3140" s="7" t="s">
        <v>17758</v>
      </c>
      <c r="AK3140" s="7" t="s">
        <v>17759</v>
      </c>
    </row>
    <row r="3141" spans="1:37" ht="36.75" customHeight="1" x14ac:dyDescent="0.35">
      <c r="A3141" s="5"/>
      <c r="B3141" s="5" t="s">
        <v>37</v>
      </c>
      <c r="C3141" s="73" t="str">
        <f t="shared" si="49"/>
        <v>Closed</v>
      </c>
      <c r="D3141" s="45" t="s">
        <v>17760</v>
      </c>
      <c r="E3141" s="54" t="s">
        <v>17761</v>
      </c>
      <c r="F3141" s="5" t="s">
        <v>816</v>
      </c>
      <c r="G3141" s="7">
        <f>DATE(2020,5,27)</f>
        <v>43978</v>
      </c>
      <c r="H3141" s="34">
        <v>0</v>
      </c>
      <c r="I3141" s="5" t="s">
        <v>85</v>
      </c>
      <c r="J3141" s="7" t="s">
        <v>17762</v>
      </c>
      <c r="K3141" s="5" t="s">
        <v>818</v>
      </c>
      <c r="L3141" s="5" t="s">
        <v>17763</v>
      </c>
      <c r="M3141" s="5" t="s">
        <v>45</v>
      </c>
      <c r="N3141" s="5" t="s">
        <v>123</v>
      </c>
      <c r="O3141" s="5" t="s">
        <v>59</v>
      </c>
      <c r="P3141" s="7" t="s">
        <v>362</v>
      </c>
      <c r="Q3141" s="7" t="s">
        <v>17764</v>
      </c>
      <c r="R3141" s="7" t="s">
        <v>821</v>
      </c>
      <c r="S3141" s="5">
        <v>0</v>
      </c>
      <c r="T3141" s="36">
        <v>0</v>
      </c>
      <c r="U3141" s="5">
        <v>0</v>
      </c>
      <c r="V3141" s="36">
        <v>0</v>
      </c>
      <c r="W3141" s="5">
        <v>0</v>
      </c>
      <c r="X3141" s="5">
        <v>0</v>
      </c>
      <c r="Y3141" s="5">
        <v>0</v>
      </c>
      <c r="Z3141" s="36">
        <v>0</v>
      </c>
      <c r="AA3141" s="5">
        <v>0</v>
      </c>
      <c r="AB3141" s="5">
        <v>0</v>
      </c>
      <c r="AC3141" s="5">
        <v>0</v>
      </c>
      <c r="AD3141" s="5">
        <v>0</v>
      </c>
      <c r="AE3141" s="7" t="s">
        <v>73</v>
      </c>
      <c r="AF3141" s="7" t="s">
        <v>17428</v>
      </c>
      <c r="AG3141" s="7" t="s">
        <v>333</v>
      </c>
      <c r="AH3141" s="7">
        <v>43978</v>
      </c>
      <c r="AI3141" s="5">
        <v>0</v>
      </c>
      <c r="AJ3141" s="7" t="s">
        <v>17765</v>
      </c>
      <c r="AK3141" s="7" t="s">
        <v>17766</v>
      </c>
    </row>
    <row r="3142" spans="1:37" ht="36.75" customHeight="1" x14ac:dyDescent="0.35">
      <c r="A3142" s="5"/>
      <c r="B3142" s="5" t="s">
        <v>37</v>
      </c>
      <c r="C3142" s="73" t="str">
        <f t="shared" si="49"/>
        <v>Closed</v>
      </c>
      <c r="D3142" s="45" t="s">
        <v>17767</v>
      </c>
      <c r="E3142" s="54" t="s">
        <v>17768</v>
      </c>
      <c r="F3142" s="5" t="s">
        <v>17769</v>
      </c>
      <c r="G3142" s="7">
        <f>DATE(2020,6,2)</f>
        <v>43984</v>
      </c>
      <c r="H3142" s="34">
        <v>1.6736111111111112</v>
      </c>
      <c r="I3142" s="5" t="s">
        <v>137</v>
      </c>
      <c r="J3142" s="7" t="s">
        <v>17770</v>
      </c>
      <c r="K3142" s="5" t="s">
        <v>621</v>
      </c>
      <c r="L3142" s="5" t="s">
        <v>17771</v>
      </c>
      <c r="M3142" s="5" t="s">
        <v>45</v>
      </c>
      <c r="N3142" s="5" t="s">
        <v>80</v>
      </c>
      <c r="O3142" s="5" t="s">
        <v>46</v>
      </c>
      <c r="P3142" s="7" t="s">
        <v>47</v>
      </c>
      <c r="Q3142" s="7" t="s">
        <v>17772</v>
      </c>
      <c r="R3142" s="7" t="s">
        <v>1997</v>
      </c>
      <c r="S3142" s="5">
        <v>0</v>
      </c>
      <c r="T3142" s="36">
        <v>1</v>
      </c>
      <c r="U3142" s="5">
        <v>0</v>
      </c>
      <c r="V3142" s="36">
        <v>1</v>
      </c>
      <c r="W3142" s="5">
        <v>0</v>
      </c>
      <c r="X3142" s="5">
        <v>2</v>
      </c>
      <c r="Y3142" s="5">
        <v>0</v>
      </c>
      <c r="Z3142" s="36">
        <v>1</v>
      </c>
      <c r="AA3142" s="5">
        <v>0</v>
      </c>
      <c r="AB3142" s="5">
        <v>0</v>
      </c>
      <c r="AC3142" s="5">
        <v>0</v>
      </c>
      <c r="AD3142" s="5">
        <v>1</v>
      </c>
      <c r="AE3142" s="7" t="s">
        <v>126</v>
      </c>
      <c r="AF3142" s="7" t="s">
        <v>17773</v>
      </c>
      <c r="AG3142" s="7" t="s">
        <v>6438</v>
      </c>
      <c r="AH3142" s="7">
        <v>43984</v>
      </c>
      <c r="AI3142" s="5">
        <v>6</v>
      </c>
      <c r="AJ3142" s="7" t="s">
        <v>17774</v>
      </c>
      <c r="AK3142" s="7" t="s">
        <v>17775</v>
      </c>
    </row>
    <row r="3143" spans="1:37" ht="36.75" customHeight="1" x14ac:dyDescent="0.35">
      <c r="A3143" s="5"/>
      <c r="B3143" s="5" t="s">
        <v>37</v>
      </c>
      <c r="C3143" s="73" t="str">
        <f t="shared" si="49"/>
        <v>Closed</v>
      </c>
      <c r="D3143" s="45" t="s">
        <v>17776</v>
      </c>
      <c r="E3143" s="54" t="s">
        <v>17777</v>
      </c>
      <c r="F3143" s="5" t="s">
        <v>17537</v>
      </c>
      <c r="G3143" s="7">
        <f>DATE(2020,6,2)</f>
        <v>43984</v>
      </c>
      <c r="H3143" s="34">
        <v>1.7618055555555556</v>
      </c>
      <c r="I3143" s="5" t="s">
        <v>55</v>
      </c>
      <c r="J3143" s="7" t="s">
        <v>17778</v>
      </c>
      <c r="K3143" s="5" t="s">
        <v>818</v>
      </c>
      <c r="L3143" s="5" t="s">
        <v>9339</v>
      </c>
      <c r="M3143" s="5" t="s">
        <v>45</v>
      </c>
      <c r="N3143" s="5" t="s">
        <v>70</v>
      </c>
      <c r="O3143" s="5" t="s">
        <v>59</v>
      </c>
      <c r="P3143" s="7" t="s">
        <v>60</v>
      </c>
      <c r="Q3143" s="7" t="s">
        <v>821</v>
      </c>
      <c r="R3143" s="7" t="s">
        <v>17779</v>
      </c>
      <c r="S3143" s="5">
        <v>0</v>
      </c>
      <c r="T3143" s="36">
        <v>0</v>
      </c>
      <c r="U3143" s="5">
        <v>0</v>
      </c>
      <c r="V3143" s="36">
        <v>0</v>
      </c>
      <c r="W3143" s="5">
        <v>0</v>
      </c>
      <c r="X3143" s="5">
        <v>0</v>
      </c>
      <c r="Y3143" s="5">
        <v>0</v>
      </c>
      <c r="Z3143" s="36">
        <v>0</v>
      </c>
      <c r="AA3143" s="5">
        <v>0</v>
      </c>
      <c r="AB3143" s="5">
        <v>0</v>
      </c>
      <c r="AC3143" s="5">
        <v>0</v>
      </c>
      <c r="AD3143" s="5">
        <v>0</v>
      </c>
      <c r="AE3143" s="7" t="s">
        <v>73</v>
      </c>
      <c r="AF3143" s="7" t="s">
        <v>860</v>
      </c>
      <c r="AG3143" s="7" t="s">
        <v>13508</v>
      </c>
      <c r="AH3143" s="7">
        <v>43986</v>
      </c>
      <c r="AI3143" s="5">
        <v>1</v>
      </c>
      <c r="AJ3143" s="7" t="s">
        <v>17780</v>
      </c>
      <c r="AK3143" s="7" t="s">
        <v>17781</v>
      </c>
    </row>
    <row r="3144" spans="1:37" ht="36.75" customHeight="1" x14ac:dyDescent="0.35">
      <c r="A3144" s="5"/>
      <c r="B3144" s="5" t="s">
        <v>37</v>
      </c>
      <c r="C3144" s="73" t="str">
        <f t="shared" si="49"/>
        <v>Closed</v>
      </c>
      <c r="D3144" s="45" t="s">
        <v>17782</v>
      </c>
      <c r="E3144" s="54" t="s">
        <v>17783</v>
      </c>
      <c r="F3144" s="5" t="s">
        <v>1553</v>
      </c>
      <c r="G3144" s="7">
        <f>DATE(2020,6,4)</f>
        <v>43986</v>
      </c>
      <c r="H3144" s="34">
        <v>1.6666666666666665</v>
      </c>
      <c r="I3144" s="5" t="s">
        <v>55</v>
      </c>
      <c r="J3144" s="7" t="s">
        <v>17784</v>
      </c>
      <c r="K3144" s="5" t="s">
        <v>1555</v>
      </c>
      <c r="L3144" s="5" t="s">
        <v>14082</v>
      </c>
      <c r="M3144" s="5" t="s">
        <v>45</v>
      </c>
      <c r="N3144" s="5" t="s">
        <v>80</v>
      </c>
      <c r="O3144" s="5" t="s">
        <v>59</v>
      </c>
      <c r="P3144" s="7" t="s">
        <v>60</v>
      </c>
      <c r="Q3144" s="7" t="s">
        <v>6072</v>
      </c>
      <c r="R3144" s="7" t="s">
        <v>4899</v>
      </c>
      <c r="S3144" s="5">
        <v>0</v>
      </c>
      <c r="T3144" s="36">
        <v>0</v>
      </c>
      <c r="U3144" s="5">
        <v>0</v>
      </c>
      <c r="V3144" s="36">
        <v>0</v>
      </c>
      <c r="W3144" s="5">
        <v>0</v>
      </c>
      <c r="X3144" s="5">
        <v>0</v>
      </c>
      <c r="Y3144" s="5">
        <v>0</v>
      </c>
      <c r="Z3144" s="36">
        <v>0</v>
      </c>
      <c r="AA3144" s="5">
        <v>0</v>
      </c>
      <c r="AB3144" s="5">
        <v>0</v>
      </c>
      <c r="AC3144" s="5">
        <v>0</v>
      </c>
      <c r="AD3144" s="5">
        <v>0</v>
      </c>
      <c r="AE3144" s="7" t="s">
        <v>375</v>
      </c>
      <c r="AF3144" s="7"/>
      <c r="AG3144" s="7" t="s">
        <v>114</v>
      </c>
      <c r="AH3144" s="7">
        <v>43991</v>
      </c>
      <c r="AI3144" s="5">
        <v>3</v>
      </c>
      <c r="AJ3144" s="7" t="s">
        <v>50</v>
      </c>
      <c r="AK3144" s="7" t="s">
        <v>50</v>
      </c>
    </row>
    <row r="3145" spans="1:37" ht="36.75" customHeight="1" x14ac:dyDescent="0.35">
      <c r="A3145" s="22" t="s">
        <v>4890</v>
      </c>
      <c r="B3145" s="5" t="s">
        <v>37</v>
      </c>
      <c r="C3145" s="73" t="str">
        <f t="shared" si="49"/>
        <v>Closed</v>
      </c>
      <c r="D3145" s="14" t="s">
        <v>17785</v>
      </c>
      <c r="E3145" s="54" t="s">
        <v>17786</v>
      </c>
      <c r="F3145" s="5" t="s">
        <v>1919</v>
      </c>
      <c r="G3145" s="7">
        <f>DATE(2020,6,8)</f>
        <v>43990</v>
      </c>
      <c r="H3145" s="34"/>
      <c r="I3145" s="5" t="s">
        <v>17787</v>
      </c>
      <c r="J3145" s="7"/>
      <c r="K3145" s="5" t="s">
        <v>1921</v>
      </c>
      <c r="L3145" s="5" t="s">
        <v>17788</v>
      </c>
      <c r="M3145" s="5" t="s">
        <v>45</v>
      </c>
      <c r="N3145" s="5" t="s">
        <v>80</v>
      </c>
      <c r="O3145" s="5" t="s">
        <v>46</v>
      </c>
      <c r="P3145" s="7"/>
      <c r="Q3145" s="7"/>
      <c r="R3145" s="7"/>
      <c r="S3145" s="5">
        <v>0</v>
      </c>
      <c r="T3145" s="36"/>
      <c r="U3145" s="5">
        <v>0</v>
      </c>
      <c r="V3145" s="36"/>
      <c r="W3145" s="5">
        <v>0</v>
      </c>
      <c r="X3145" s="5">
        <v>0</v>
      </c>
      <c r="Y3145" s="5">
        <v>0</v>
      </c>
      <c r="Z3145" s="36"/>
      <c r="AA3145" s="5">
        <v>0</v>
      </c>
      <c r="AB3145" s="5">
        <v>0</v>
      </c>
      <c r="AC3145" s="5">
        <v>0</v>
      </c>
      <c r="AD3145" s="5">
        <v>0</v>
      </c>
      <c r="AE3145" s="7"/>
      <c r="AF3145" s="7"/>
      <c r="AG3145" s="7"/>
      <c r="AH3145" s="7" t="s">
        <v>50</v>
      </c>
      <c r="AI3145" s="5">
        <v>4</v>
      </c>
      <c r="AJ3145" s="7"/>
      <c r="AK3145" s="7"/>
    </row>
    <row r="3146" spans="1:37" ht="36.75" customHeight="1" x14ac:dyDescent="0.35">
      <c r="A3146" s="5"/>
      <c r="B3146" s="5" t="s">
        <v>37</v>
      </c>
      <c r="C3146" s="73" t="str">
        <f t="shared" si="49"/>
        <v>Closed</v>
      </c>
      <c r="D3146" s="45" t="s">
        <v>17789</v>
      </c>
      <c r="E3146" s="54" t="s">
        <v>17790</v>
      </c>
      <c r="F3146" s="5" t="s">
        <v>17638</v>
      </c>
      <c r="G3146" s="7">
        <f>DATE(2020,6,11)</f>
        <v>43993</v>
      </c>
      <c r="H3146" s="34" t="s">
        <v>17791</v>
      </c>
      <c r="I3146" s="5" t="s">
        <v>55</v>
      </c>
      <c r="J3146" s="7" t="s">
        <v>17792</v>
      </c>
      <c r="K3146" s="5" t="s">
        <v>1555</v>
      </c>
      <c r="L3146" s="5" t="s">
        <v>17793</v>
      </c>
      <c r="M3146" s="5" t="s">
        <v>45</v>
      </c>
      <c r="N3146" s="5" t="s">
        <v>123</v>
      </c>
      <c r="O3146" s="5" t="s">
        <v>46</v>
      </c>
      <c r="P3146" s="7" t="s">
        <v>60</v>
      </c>
      <c r="Q3146" s="7" t="s">
        <v>17794</v>
      </c>
      <c r="R3146" s="7" t="s">
        <v>17642</v>
      </c>
      <c r="S3146" s="5">
        <v>0</v>
      </c>
      <c r="T3146" s="36">
        <v>0</v>
      </c>
      <c r="U3146" s="5">
        <v>0</v>
      </c>
      <c r="V3146" s="36">
        <v>0</v>
      </c>
      <c r="W3146" s="5">
        <v>0</v>
      </c>
      <c r="X3146" s="5">
        <v>0</v>
      </c>
      <c r="Y3146" s="5">
        <v>0</v>
      </c>
      <c r="Z3146" s="36">
        <v>0</v>
      </c>
      <c r="AA3146" s="5">
        <v>0</v>
      </c>
      <c r="AB3146" s="5">
        <v>0</v>
      </c>
      <c r="AC3146" s="5">
        <v>0</v>
      </c>
      <c r="AD3146" s="5">
        <v>0</v>
      </c>
      <c r="AE3146" s="7" t="s">
        <v>73</v>
      </c>
      <c r="AF3146" s="7" t="s">
        <v>17795</v>
      </c>
      <c r="AG3146" s="7" t="s">
        <v>8837</v>
      </c>
      <c r="AH3146" s="7">
        <v>43994</v>
      </c>
      <c r="AI3146" s="5">
        <v>1</v>
      </c>
      <c r="AJ3146" s="7" t="s">
        <v>17796</v>
      </c>
      <c r="AK3146" s="7" t="s">
        <v>17797</v>
      </c>
    </row>
    <row r="3147" spans="1:37" ht="36.75" customHeight="1" x14ac:dyDescent="0.35">
      <c r="A3147" s="24" t="s">
        <v>4890</v>
      </c>
      <c r="B3147" s="5" t="s">
        <v>37</v>
      </c>
      <c r="C3147" s="73" t="str">
        <f t="shared" si="49"/>
        <v>Closed</v>
      </c>
      <c r="D3147" s="14" t="s">
        <v>17799</v>
      </c>
      <c r="E3147" s="54" t="s">
        <v>17800</v>
      </c>
      <c r="F3147" s="5" t="s">
        <v>16397</v>
      </c>
      <c r="G3147" s="7">
        <f>DATE(2020,6,12)</f>
        <v>43994</v>
      </c>
      <c r="H3147" s="34">
        <v>1.425</v>
      </c>
      <c r="I3147" s="5" t="s">
        <v>55</v>
      </c>
      <c r="J3147" s="7" t="s">
        <v>17801</v>
      </c>
      <c r="K3147" s="5" t="s">
        <v>406</v>
      </c>
      <c r="L3147" s="5" t="s">
        <v>17802</v>
      </c>
      <c r="M3147" s="5" t="s">
        <v>45</v>
      </c>
      <c r="N3147" s="5"/>
      <c r="O3147" s="5" t="s">
        <v>46</v>
      </c>
      <c r="P3147" s="7" t="s">
        <v>60</v>
      </c>
      <c r="Q3147" s="7" t="s">
        <v>12690</v>
      </c>
      <c r="R3147" s="7" t="s">
        <v>12690</v>
      </c>
      <c r="S3147" s="5">
        <v>0</v>
      </c>
      <c r="T3147" s="36">
        <v>0</v>
      </c>
      <c r="U3147" s="5">
        <v>0</v>
      </c>
      <c r="V3147" s="36">
        <v>0</v>
      </c>
      <c r="W3147" s="5">
        <v>0</v>
      </c>
      <c r="X3147" s="5">
        <v>0</v>
      </c>
      <c r="Y3147" s="5">
        <v>0</v>
      </c>
      <c r="Z3147" s="36">
        <v>0</v>
      </c>
      <c r="AA3147" s="5">
        <v>0</v>
      </c>
      <c r="AB3147" s="5">
        <v>0</v>
      </c>
      <c r="AC3147" s="5">
        <v>0</v>
      </c>
      <c r="AD3147" s="5">
        <v>0</v>
      </c>
      <c r="AE3147" s="7" t="s">
        <v>73</v>
      </c>
      <c r="AF3147" s="7"/>
      <c r="AG3147" s="7" t="s">
        <v>333</v>
      </c>
      <c r="AH3147" s="7">
        <v>44171</v>
      </c>
      <c r="AI3147" s="5">
        <v>1</v>
      </c>
      <c r="AJ3147" s="7" t="s">
        <v>50</v>
      </c>
      <c r="AK3147" s="7" t="s">
        <v>50</v>
      </c>
    </row>
    <row r="3148" spans="1:37" ht="36.75" customHeight="1" x14ac:dyDescent="0.35">
      <c r="A3148" s="5"/>
      <c r="B3148" s="5" t="s">
        <v>887</v>
      </c>
      <c r="C3148" s="73" t="str">
        <f t="shared" si="49"/>
        <v>Open</v>
      </c>
      <c r="D3148" s="45" t="s">
        <v>17799</v>
      </c>
      <c r="E3148" s="54" t="s">
        <v>17803</v>
      </c>
      <c r="F3148" s="5" t="s">
        <v>404</v>
      </c>
      <c r="G3148" s="7">
        <f>DATE(2020,6,12)</f>
        <v>43994</v>
      </c>
      <c r="H3148" s="34">
        <v>1.425</v>
      </c>
      <c r="I3148" s="5" t="s">
        <v>55</v>
      </c>
      <c r="J3148" s="7" t="s">
        <v>17801</v>
      </c>
      <c r="K3148" s="5" t="s">
        <v>406</v>
      </c>
      <c r="L3148" s="5" t="s">
        <v>17804</v>
      </c>
      <c r="M3148" s="5" t="s">
        <v>45</v>
      </c>
      <c r="N3148" s="5" t="s">
        <v>80</v>
      </c>
      <c r="O3148" s="5" t="s">
        <v>46</v>
      </c>
      <c r="P3148" s="7" t="s">
        <v>60</v>
      </c>
      <c r="Q3148" s="7" t="s">
        <v>12690</v>
      </c>
      <c r="R3148" s="7" t="s">
        <v>12690</v>
      </c>
      <c r="S3148" s="5">
        <v>0</v>
      </c>
      <c r="T3148" s="36">
        <v>0</v>
      </c>
      <c r="U3148" s="5">
        <v>0</v>
      </c>
      <c r="V3148" s="36">
        <v>0</v>
      </c>
      <c r="W3148" s="5">
        <v>0</v>
      </c>
      <c r="X3148" s="5">
        <v>0</v>
      </c>
      <c r="Y3148" s="5">
        <v>0</v>
      </c>
      <c r="Z3148" s="36">
        <v>0</v>
      </c>
      <c r="AA3148" s="5">
        <v>0</v>
      </c>
      <c r="AB3148" s="5">
        <v>0</v>
      </c>
      <c r="AC3148" s="5">
        <v>0</v>
      </c>
      <c r="AD3148" s="5">
        <v>0</v>
      </c>
      <c r="AE3148" s="7" t="s">
        <v>73</v>
      </c>
      <c r="AF3148" s="7"/>
      <c r="AG3148" s="7" t="s">
        <v>333</v>
      </c>
      <c r="AH3148" s="7">
        <v>44171</v>
      </c>
      <c r="AI3148" s="5">
        <v>0</v>
      </c>
      <c r="AJ3148" s="7" t="s">
        <v>50</v>
      </c>
      <c r="AK3148" s="7" t="s">
        <v>50</v>
      </c>
    </row>
    <row r="3149" spans="1:37" ht="36.75" customHeight="1" x14ac:dyDescent="0.35">
      <c r="A3149" s="23" t="s">
        <v>4890</v>
      </c>
      <c r="B3149" s="5" t="s">
        <v>37</v>
      </c>
      <c r="C3149" s="73" t="str">
        <f t="shared" si="49"/>
        <v>Closed</v>
      </c>
      <c r="D3149" s="45" t="s">
        <v>17805</v>
      </c>
      <c r="E3149" s="54" t="s">
        <v>17806</v>
      </c>
      <c r="F3149" s="5" t="s">
        <v>404</v>
      </c>
      <c r="G3149" s="7">
        <f>DATE(2020,6,14)</f>
        <v>43996</v>
      </c>
      <c r="H3149" s="34">
        <v>1.2743055555555556</v>
      </c>
      <c r="I3149" s="5" t="s">
        <v>97</v>
      </c>
      <c r="J3149" s="7" t="s">
        <v>17807</v>
      </c>
      <c r="K3149" s="5" t="s">
        <v>406</v>
      </c>
      <c r="L3149" s="5" t="s">
        <v>17808</v>
      </c>
      <c r="M3149" s="5" t="s">
        <v>45</v>
      </c>
      <c r="N3149" s="5" t="s">
        <v>80</v>
      </c>
      <c r="O3149" s="5" t="s">
        <v>46</v>
      </c>
      <c r="P3149" s="7" t="s">
        <v>146</v>
      </c>
      <c r="Q3149" s="7" t="s">
        <v>4531</v>
      </c>
      <c r="R3149" s="7" t="s">
        <v>3083</v>
      </c>
      <c r="S3149" s="5">
        <v>0</v>
      </c>
      <c r="T3149" s="36">
        <v>0</v>
      </c>
      <c r="U3149" s="5">
        <v>0</v>
      </c>
      <c r="V3149" s="36">
        <v>0</v>
      </c>
      <c r="W3149" s="5">
        <v>0</v>
      </c>
      <c r="X3149" s="5">
        <v>0</v>
      </c>
      <c r="Y3149" s="5">
        <v>0</v>
      </c>
      <c r="Z3149" s="36">
        <v>0</v>
      </c>
      <c r="AA3149" s="5">
        <v>1</v>
      </c>
      <c r="AB3149" s="5">
        <v>0</v>
      </c>
      <c r="AC3149" s="5">
        <v>0</v>
      </c>
      <c r="AD3149" s="5">
        <v>1</v>
      </c>
      <c r="AE3149" s="7" t="s">
        <v>73</v>
      </c>
      <c r="AF3149" s="7"/>
      <c r="AG3149" s="7" t="s">
        <v>114</v>
      </c>
      <c r="AH3149" s="7">
        <v>43996</v>
      </c>
      <c r="AI3149" s="5">
        <v>0</v>
      </c>
      <c r="AJ3149" s="7" t="s">
        <v>50</v>
      </c>
      <c r="AK3149" s="7" t="s">
        <v>50</v>
      </c>
    </row>
    <row r="3150" spans="1:37" ht="36.75" customHeight="1" x14ac:dyDescent="0.35">
      <c r="A3150" s="5" t="s">
        <v>12448</v>
      </c>
      <c r="B3150" s="5" t="s">
        <v>37</v>
      </c>
      <c r="C3150" s="73" t="str">
        <f t="shared" si="49"/>
        <v>Closed</v>
      </c>
      <c r="D3150" s="47" t="s">
        <v>17809</v>
      </c>
      <c r="E3150" s="54" t="s">
        <v>17810</v>
      </c>
      <c r="F3150" s="5" t="s">
        <v>17537</v>
      </c>
      <c r="G3150" s="7">
        <f>DATE(2020,6,14)</f>
        <v>43996</v>
      </c>
      <c r="H3150" s="52">
        <v>0.33333333333333331</v>
      </c>
      <c r="I3150" s="5" t="s">
        <v>4590</v>
      </c>
      <c r="J3150" s="5" t="s">
        <v>17811</v>
      </c>
      <c r="K3150" s="5" t="s">
        <v>818</v>
      </c>
      <c r="L3150" s="5" t="s">
        <v>9801</v>
      </c>
      <c r="M3150" s="5" t="s">
        <v>45</v>
      </c>
      <c r="N3150" s="5" t="s">
        <v>70</v>
      </c>
      <c r="O3150" s="5" t="s">
        <v>59</v>
      </c>
      <c r="P3150" s="5" t="s">
        <v>146</v>
      </c>
      <c r="Q3150" s="5" t="s">
        <v>2142</v>
      </c>
      <c r="R3150" s="5" t="s">
        <v>821</v>
      </c>
      <c r="S3150" s="5">
        <v>0</v>
      </c>
      <c r="T3150" s="5">
        <v>0</v>
      </c>
      <c r="U3150" s="5">
        <v>0</v>
      </c>
      <c r="V3150" s="5">
        <v>0</v>
      </c>
      <c r="W3150" s="5">
        <v>0</v>
      </c>
      <c r="X3150" s="5">
        <v>0</v>
      </c>
      <c r="Y3150" s="5">
        <v>0</v>
      </c>
      <c r="Z3150" s="5">
        <v>0</v>
      </c>
      <c r="AA3150" s="5">
        <v>0</v>
      </c>
      <c r="AB3150" s="5">
        <v>0</v>
      </c>
      <c r="AC3150" s="5">
        <v>0</v>
      </c>
      <c r="AD3150" s="5">
        <v>0</v>
      </c>
      <c r="AE3150" s="5" t="s">
        <v>73</v>
      </c>
      <c r="AF3150" s="5" t="s">
        <v>17812</v>
      </c>
      <c r="AG3150" s="5" t="s">
        <v>8837</v>
      </c>
      <c r="AH3150" s="62">
        <v>43996</v>
      </c>
      <c r="AI3150" s="5">
        <v>0</v>
      </c>
      <c r="AJ3150" s="5" t="s">
        <v>17813</v>
      </c>
      <c r="AK3150" s="5" t="s">
        <v>17814</v>
      </c>
    </row>
    <row r="3151" spans="1:37" ht="36.75" customHeight="1" x14ac:dyDescent="0.35">
      <c r="A3151" s="23" t="s">
        <v>4890</v>
      </c>
      <c r="B3151" s="5" t="s">
        <v>37</v>
      </c>
      <c r="C3151" s="73" t="str">
        <f t="shared" si="49"/>
        <v>Closed</v>
      </c>
      <c r="D3151" s="45" t="s">
        <v>17815</v>
      </c>
      <c r="E3151" s="54" t="s">
        <v>17816</v>
      </c>
      <c r="F3151" s="5" t="s">
        <v>404</v>
      </c>
      <c r="G3151" s="7">
        <f>DATE(2020,6,18)</f>
        <v>44000</v>
      </c>
      <c r="H3151" s="34">
        <v>1.6222222222222222</v>
      </c>
      <c r="I3151" s="5" t="s">
        <v>259</v>
      </c>
      <c r="J3151" s="7" t="s">
        <v>17817</v>
      </c>
      <c r="K3151" s="5" t="s">
        <v>406</v>
      </c>
      <c r="L3151" s="5" t="s">
        <v>17818</v>
      </c>
      <c r="M3151" s="5" t="s">
        <v>45</v>
      </c>
      <c r="N3151" s="5" t="s">
        <v>123</v>
      </c>
      <c r="O3151" s="5" t="s">
        <v>46</v>
      </c>
      <c r="P3151" s="7" t="s">
        <v>146</v>
      </c>
      <c r="Q3151" s="7" t="s">
        <v>4531</v>
      </c>
      <c r="R3151" s="7" t="s">
        <v>3083</v>
      </c>
      <c r="S3151" s="5">
        <v>0</v>
      </c>
      <c r="T3151" s="38">
        <v>1</v>
      </c>
      <c r="U3151" s="5">
        <v>0</v>
      </c>
      <c r="V3151" s="38">
        <v>0</v>
      </c>
      <c r="W3151" s="5">
        <v>0</v>
      </c>
      <c r="X3151" s="5">
        <v>1</v>
      </c>
      <c r="Y3151" s="5">
        <v>0</v>
      </c>
      <c r="Z3151" s="38">
        <v>0</v>
      </c>
      <c r="AA3151" s="5">
        <v>0</v>
      </c>
      <c r="AB3151" s="5">
        <v>0</v>
      </c>
      <c r="AC3151" s="5">
        <v>0</v>
      </c>
      <c r="AD3151" s="5">
        <v>0</v>
      </c>
      <c r="AE3151" s="5" t="s">
        <v>73</v>
      </c>
      <c r="AF3151" s="7"/>
      <c r="AG3151" s="7" t="s">
        <v>114</v>
      </c>
      <c r="AH3151" s="7">
        <v>44000</v>
      </c>
      <c r="AI3151" s="5">
        <v>0</v>
      </c>
      <c r="AJ3151" s="7" t="s">
        <v>50</v>
      </c>
      <c r="AK3151" s="7" t="s">
        <v>50</v>
      </c>
    </row>
    <row r="3152" spans="1:37" ht="36.75" customHeight="1" x14ac:dyDescent="0.35">
      <c r="A3152" s="23" t="s">
        <v>4890</v>
      </c>
      <c r="B3152" s="5" t="s">
        <v>37</v>
      </c>
      <c r="C3152" s="73" t="str">
        <f t="shared" si="49"/>
        <v>Closed</v>
      </c>
      <c r="D3152" s="45" t="s">
        <v>17819</v>
      </c>
      <c r="E3152" s="54" t="s">
        <v>17820</v>
      </c>
      <c r="F3152" s="5" t="s">
        <v>404</v>
      </c>
      <c r="G3152" s="7">
        <f>DATE(2020,6,18)</f>
        <v>44000</v>
      </c>
      <c r="H3152" s="34">
        <v>1.3368055555555556</v>
      </c>
      <c r="I3152" s="5" t="s">
        <v>55</v>
      </c>
      <c r="J3152" s="7" t="s">
        <v>17821</v>
      </c>
      <c r="K3152" s="5" t="s">
        <v>406</v>
      </c>
      <c r="L3152" s="5" t="s">
        <v>17822</v>
      </c>
      <c r="M3152" s="5" t="s">
        <v>45</v>
      </c>
      <c r="N3152" s="5" t="s">
        <v>123</v>
      </c>
      <c r="O3152" s="5" t="s">
        <v>59</v>
      </c>
      <c r="P3152" s="7" t="s">
        <v>146</v>
      </c>
      <c r="Q3152" s="7" t="s">
        <v>699</v>
      </c>
      <c r="R3152" s="7" t="s">
        <v>3083</v>
      </c>
      <c r="S3152" s="5">
        <v>0</v>
      </c>
      <c r="T3152" s="38">
        <v>0</v>
      </c>
      <c r="U3152" s="5">
        <v>0</v>
      </c>
      <c r="V3152" s="38">
        <v>0</v>
      </c>
      <c r="W3152" s="5">
        <v>0</v>
      </c>
      <c r="X3152" s="5">
        <v>0</v>
      </c>
      <c r="Y3152" s="5">
        <v>0</v>
      </c>
      <c r="Z3152" s="38">
        <v>0</v>
      </c>
      <c r="AA3152" s="5">
        <v>0</v>
      </c>
      <c r="AB3152" s="5">
        <v>0</v>
      </c>
      <c r="AC3152" s="5">
        <v>0</v>
      </c>
      <c r="AD3152" s="5">
        <v>0</v>
      </c>
      <c r="AE3152" s="7" t="s">
        <v>73</v>
      </c>
      <c r="AF3152" s="7"/>
      <c r="AG3152" s="7" t="s">
        <v>114</v>
      </c>
      <c r="AH3152" s="7">
        <v>44000</v>
      </c>
      <c r="AI3152" s="5">
        <v>0</v>
      </c>
      <c r="AJ3152" s="7" t="s">
        <v>50</v>
      </c>
      <c r="AK3152" s="7" t="s">
        <v>50</v>
      </c>
    </row>
    <row r="3153" spans="1:37" ht="36.75" customHeight="1" x14ac:dyDescent="0.35">
      <c r="A3153" s="5"/>
      <c r="B3153" s="5" t="s">
        <v>37</v>
      </c>
      <c r="C3153" s="73" t="str">
        <f t="shared" si="49"/>
        <v>Closed</v>
      </c>
      <c r="D3153" s="45" t="s">
        <v>17823</v>
      </c>
      <c r="E3153" s="54" t="s">
        <v>17824</v>
      </c>
      <c r="F3153" s="5" t="s">
        <v>214</v>
      </c>
      <c r="G3153" s="7">
        <f>DATE(2020,6,21)</f>
        <v>44003</v>
      </c>
      <c r="H3153" s="34">
        <v>1.90625</v>
      </c>
      <c r="I3153" s="5" t="s">
        <v>85</v>
      </c>
      <c r="J3153" s="7" t="s">
        <v>17825</v>
      </c>
      <c r="K3153" s="5" t="s">
        <v>216</v>
      </c>
      <c r="L3153" s="5" t="s">
        <v>17826</v>
      </c>
      <c r="M3153" s="5" t="s">
        <v>110</v>
      </c>
      <c r="N3153" s="5" t="s">
        <v>123</v>
      </c>
      <c r="O3153" s="5" t="s">
        <v>46</v>
      </c>
      <c r="P3153" s="7" t="s">
        <v>146</v>
      </c>
      <c r="Q3153" s="7" t="s">
        <v>9722</v>
      </c>
      <c r="R3153" s="7" t="s">
        <v>216</v>
      </c>
      <c r="S3153" s="5">
        <v>0</v>
      </c>
      <c r="T3153" s="36">
        <v>0</v>
      </c>
      <c r="U3153" s="5">
        <v>0</v>
      </c>
      <c r="V3153" s="36">
        <v>0</v>
      </c>
      <c r="W3153" s="5">
        <v>0</v>
      </c>
      <c r="X3153" s="5">
        <v>0</v>
      </c>
      <c r="Y3153" s="5">
        <v>0</v>
      </c>
      <c r="Z3153" s="36">
        <v>0</v>
      </c>
      <c r="AA3153" s="5">
        <v>0</v>
      </c>
      <c r="AB3153" s="5">
        <v>0</v>
      </c>
      <c r="AC3153" s="5">
        <v>0</v>
      </c>
      <c r="AD3153" s="5">
        <v>0</v>
      </c>
      <c r="AE3153" s="7" t="s">
        <v>73</v>
      </c>
      <c r="AF3153" s="7"/>
      <c r="AG3153" s="7" t="s">
        <v>114</v>
      </c>
      <c r="AH3153" s="7">
        <v>44011</v>
      </c>
      <c r="AI3153" s="5">
        <v>3</v>
      </c>
      <c r="AJ3153" s="7" t="s">
        <v>17827</v>
      </c>
      <c r="AK3153" s="7" t="s">
        <v>17828</v>
      </c>
    </row>
    <row r="3154" spans="1:37" ht="36.75" customHeight="1" x14ac:dyDescent="0.35">
      <c r="A3154" s="5"/>
      <c r="B3154" s="5" t="s">
        <v>37</v>
      </c>
      <c r="C3154" s="73" t="str">
        <f t="shared" si="49"/>
        <v>Closed</v>
      </c>
      <c r="D3154" s="45" t="s">
        <v>17829</v>
      </c>
      <c r="E3154" s="54" t="s">
        <v>17830</v>
      </c>
      <c r="F3154" s="5" t="s">
        <v>9767</v>
      </c>
      <c r="G3154" s="7">
        <f>DATE(2020,6,22)</f>
        <v>44004</v>
      </c>
      <c r="H3154" s="34">
        <v>1.7847222222222223</v>
      </c>
      <c r="I3154" s="5" t="s">
        <v>97</v>
      </c>
      <c r="J3154" s="7" t="s">
        <v>17831</v>
      </c>
      <c r="K3154" s="5" t="s">
        <v>9769</v>
      </c>
      <c r="L3154" s="5" t="s">
        <v>17832</v>
      </c>
      <c r="M3154" s="5" t="s">
        <v>45</v>
      </c>
      <c r="N3154" s="5" t="s">
        <v>80</v>
      </c>
      <c r="O3154" s="5" t="s">
        <v>46</v>
      </c>
      <c r="P3154" s="7" t="s">
        <v>146</v>
      </c>
      <c r="Q3154" s="7" t="s">
        <v>9938</v>
      </c>
      <c r="R3154" s="7" t="s">
        <v>9772</v>
      </c>
      <c r="S3154" s="5">
        <v>0</v>
      </c>
      <c r="T3154" s="36">
        <v>0</v>
      </c>
      <c r="U3154" s="5">
        <v>0</v>
      </c>
      <c r="V3154" s="36">
        <v>0</v>
      </c>
      <c r="W3154" s="5">
        <v>0</v>
      </c>
      <c r="X3154" s="5">
        <v>0</v>
      </c>
      <c r="Y3154" s="5">
        <v>0</v>
      </c>
      <c r="Z3154" s="36">
        <v>0</v>
      </c>
      <c r="AA3154" s="5">
        <v>0</v>
      </c>
      <c r="AB3154" s="5">
        <v>0</v>
      </c>
      <c r="AC3154" s="5">
        <v>0</v>
      </c>
      <c r="AD3154" s="5">
        <v>0</v>
      </c>
      <c r="AE3154" s="7" t="s">
        <v>73</v>
      </c>
      <c r="AF3154" s="7" t="s">
        <v>17833</v>
      </c>
      <c r="AG3154" s="7" t="s">
        <v>8837</v>
      </c>
      <c r="AH3154" s="7">
        <v>44034</v>
      </c>
      <c r="AI3154" s="5">
        <v>1</v>
      </c>
      <c r="AJ3154" s="7" t="s">
        <v>17834</v>
      </c>
      <c r="AK3154" s="7" t="s">
        <v>17835</v>
      </c>
    </row>
    <row r="3155" spans="1:37" ht="36.75" customHeight="1" x14ac:dyDescent="0.35">
      <c r="A3155" s="23" t="s">
        <v>4890</v>
      </c>
      <c r="B3155" s="5" t="s">
        <v>37</v>
      </c>
      <c r="C3155" s="73" t="str">
        <f t="shared" si="49"/>
        <v>Closed</v>
      </c>
      <c r="D3155" s="45" t="s">
        <v>17836</v>
      </c>
      <c r="E3155" s="54" t="s">
        <v>17837</v>
      </c>
      <c r="F3155" s="5" t="s">
        <v>404</v>
      </c>
      <c r="G3155" s="7">
        <f>DATE(2020,6,23)</f>
        <v>44005</v>
      </c>
      <c r="H3155" s="34">
        <v>1.425</v>
      </c>
      <c r="I3155" s="5" t="s">
        <v>97</v>
      </c>
      <c r="J3155" s="7" t="s">
        <v>17838</v>
      </c>
      <c r="K3155" s="5" t="s">
        <v>406</v>
      </c>
      <c r="L3155" s="5" t="s">
        <v>17839</v>
      </c>
      <c r="M3155" s="5" t="s">
        <v>45</v>
      </c>
      <c r="N3155" s="5" t="s">
        <v>80</v>
      </c>
      <c r="O3155" s="5" t="s">
        <v>46</v>
      </c>
      <c r="P3155" s="7" t="s">
        <v>146</v>
      </c>
      <c r="Q3155" s="7" t="s">
        <v>4531</v>
      </c>
      <c r="R3155" s="7" t="s">
        <v>3083</v>
      </c>
      <c r="S3155" s="5">
        <v>0</v>
      </c>
      <c r="T3155" s="36">
        <v>0</v>
      </c>
      <c r="U3155" s="5">
        <v>1</v>
      </c>
      <c r="V3155" s="36">
        <v>0</v>
      </c>
      <c r="W3155" s="5">
        <v>0</v>
      </c>
      <c r="X3155" s="5">
        <v>1</v>
      </c>
      <c r="Y3155" s="5">
        <v>0</v>
      </c>
      <c r="Z3155" s="36">
        <v>0</v>
      </c>
      <c r="AA3155" s="5">
        <v>1</v>
      </c>
      <c r="AB3155" s="5">
        <v>0</v>
      </c>
      <c r="AC3155" s="5">
        <v>0</v>
      </c>
      <c r="AD3155" s="5">
        <v>1</v>
      </c>
      <c r="AE3155" s="7" t="s">
        <v>73</v>
      </c>
      <c r="AF3155" s="7"/>
      <c r="AG3155" s="7" t="s">
        <v>114</v>
      </c>
      <c r="AH3155" s="7">
        <v>44005</v>
      </c>
      <c r="AI3155" s="5">
        <v>0</v>
      </c>
      <c r="AJ3155" s="7" t="s">
        <v>50</v>
      </c>
      <c r="AK3155" s="7" t="s">
        <v>50</v>
      </c>
    </row>
    <row r="3156" spans="1:37" ht="36.75" customHeight="1" x14ac:dyDescent="0.35">
      <c r="A3156" s="5"/>
      <c r="B3156" s="5" t="s">
        <v>37</v>
      </c>
      <c r="C3156" s="73" t="str">
        <f t="shared" si="49"/>
        <v>Closed</v>
      </c>
      <c r="D3156" s="45" t="s">
        <v>17840</v>
      </c>
      <c r="E3156" s="54" t="s">
        <v>17841</v>
      </c>
      <c r="F3156" s="5" t="s">
        <v>105</v>
      </c>
      <c r="G3156" s="7">
        <f>DATE(2020,6,23)</f>
        <v>44005</v>
      </c>
      <c r="H3156" s="34">
        <v>0</v>
      </c>
      <c r="I3156" s="5" t="s">
        <v>55</v>
      </c>
      <c r="J3156" s="7" t="s">
        <v>17842</v>
      </c>
      <c r="K3156" s="5" t="s">
        <v>108</v>
      </c>
      <c r="L3156" s="5" t="s">
        <v>17843</v>
      </c>
      <c r="M3156" s="5" t="s">
        <v>45</v>
      </c>
      <c r="N3156" s="5" t="s">
        <v>80</v>
      </c>
      <c r="O3156" s="5" t="s">
        <v>46</v>
      </c>
      <c r="P3156" s="7" t="s">
        <v>362</v>
      </c>
      <c r="Q3156" s="7" t="s">
        <v>16965</v>
      </c>
      <c r="R3156" s="7" t="s">
        <v>148</v>
      </c>
      <c r="S3156" s="5">
        <v>0</v>
      </c>
      <c r="T3156" s="38">
        <v>0</v>
      </c>
      <c r="U3156" s="5">
        <v>0</v>
      </c>
      <c r="V3156" s="38">
        <v>0</v>
      </c>
      <c r="W3156" s="5">
        <v>0</v>
      </c>
      <c r="X3156" s="5">
        <v>0</v>
      </c>
      <c r="Y3156" s="5">
        <v>0</v>
      </c>
      <c r="Z3156" s="38">
        <v>0</v>
      </c>
      <c r="AA3156" s="5">
        <v>0</v>
      </c>
      <c r="AB3156" s="5">
        <v>0</v>
      </c>
      <c r="AC3156" s="5">
        <v>0</v>
      </c>
      <c r="AD3156" s="5">
        <v>0</v>
      </c>
      <c r="AE3156" s="7" t="s">
        <v>73</v>
      </c>
      <c r="AF3156" s="7"/>
      <c r="AG3156" s="7" t="s">
        <v>64</v>
      </c>
      <c r="AH3156" s="7">
        <v>44006</v>
      </c>
      <c r="AI3156" s="5">
        <v>1</v>
      </c>
      <c r="AJ3156" s="7" t="s">
        <v>50</v>
      </c>
      <c r="AK3156" s="7" t="s">
        <v>50</v>
      </c>
    </row>
    <row r="3157" spans="1:37" ht="36.75" customHeight="1" x14ac:dyDescent="0.35">
      <c r="A3157" s="5"/>
      <c r="B3157" s="5" t="s">
        <v>37</v>
      </c>
      <c r="C3157" s="73" t="str">
        <f t="shared" si="49"/>
        <v>Closed</v>
      </c>
      <c r="D3157" s="45" t="s">
        <v>17844</v>
      </c>
      <c r="E3157" s="54" t="s">
        <v>17845</v>
      </c>
      <c r="F3157" s="5" t="s">
        <v>816</v>
      </c>
      <c r="G3157" s="7">
        <f>DATE(2020,6,24)</f>
        <v>44006</v>
      </c>
      <c r="H3157" s="34">
        <v>1.6458333333333335</v>
      </c>
      <c r="I3157" s="5" t="s">
        <v>55</v>
      </c>
      <c r="J3157" s="7" t="s">
        <v>17846</v>
      </c>
      <c r="K3157" s="5" t="s">
        <v>818</v>
      </c>
      <c r="L3157" s="5" t="s">
        <v>17847</v>
      </c>
      <c r="M3157" s="5" t="s">
        <v>9897</v>
      </c>
      <c r="N3157" s="5" t="s">
        <v>80</v>
      </c>
      <c r="O3157" s="5" t="s">
        <v>46</v>
      </c>
      <c r="P3157" s="7" t="s">
        <v>7960</v>
      </c>
      <c r="Q3157" s="7" t="s">
        <v>17848</v>
      </c>
      <c r="R3157" s="7" t="s">
        <v>17848</v>
      </c>
      <c r="S3157" s="5">
        <v>0</v>
      </c>
      <c r="T3157" s="36">
        <v>0</v>
      </c>
      <c r="U3157" s="5">
        <v>0</v>
      </c>
      <c r="V3157" s="36">
        <v>0</v>
      </c>
      <c r="W3157" s="5">
        <v>0</v>
      </c>
      <c r="X3157" s="5">
        <v>0</v>
      </c>
      <c r="Y3157" s="5">
        <v>0</v>
      </c>
      <c r="Z3157" s="36">
        <v>0</v>
      </c>
      <c r="AA3157" s="5">
        <v>0</v>
      </c>
      <c r="AB3157" s="5">
        <v>0</v>
      </c>
      <c r="AC3157" s="5">
        <v>0</v>
      </c>
      <c r="AD3157" s="5">
        <v>0</v>
      </c>
      <c r="AE3157" s="7" t="s">
        <v>73</v>
      </c>
      <c r="AF3157" s="7" t="s">
        <v>860</v>
      </c>
      <c r="AG3157" s="7" t="s">
        <v>13508</v>
      </c>
      <c r="AH3157" s="7">
        <v>44029</v>
      </c>
      <c r="AI3157" s="5">
        <v>3</v>
      </c>
      <c r="AJ3157" s="7" t="s">
        <v>17849</v>
      </c>
      <c r="AK3157" s="7" t="s">
        <v>17850</v>
      </c>
    </row>
    <row r="3158" spans="1:37" ht="36.75" customHeight="1" x14ac:dyDescent="0.35">
      <c r="A3158" s="23" t="s">
        <v>4890</v>
      </c>
      <c r="B3158" s="5" t="s">
        <v>37</v>
      </c>
      <c r="C3158" s="73" t="str">
        <f t="shared" si="49"/>
        <v>Closed</v>
      </c>
      <c r="D3158" s="45" t="s">
        <v>17851</v>
      </c>
      <c r="E3158" s="54" t="s">
        <v>17852</v>
      </c>
      <c r="F3158" s="5" t="s">
        <v>404</v>
      </c>
      <c r="G3158" s="7">
        <f>DATE(2020,6,25)</f>
        <v>44007</v>
      </c>
      <c r="H3158" s="34">
        <v>1.0569444444444445</v>
      </c>
      <c r="I3158" s="5" t="s">
        <v>55</v>
      </c>
      <c r="J3158" s="7" t="s">
        <v>17853</v>
      </c>
      <c r="K3158" s="5" t="s">
        <v>406</v>
      </c>
      <c r="L3158" s="5" t="s">
        <v>16170</v>
      </c>
      <c r="M3158" s="5" t="s">
        <v>45</v>
      </c>
      <c r="N3158" s="5" t="s">
        <v>123</v>
      </c>
      <c r="O3158" s="5" t="s">
        <v>59</v>
      </c>
      <c r="P3158" s="7" t="s">
        <v>60</v>
      </c>
      <c r="Q3158" s="7" t="s">
        <v>2562</v>
      </c>
      <c r="R3158" s="7" t="s">
        <v>3083</v>
      </c>
      <c r="S3158" s="5">
        <v>0</v>
      </c>
      <c r="T3158" s="38">
        <v>0</v>
      </c>
      <c r="U3158" s="5">
        <v>0</v>
      </c>
      <c r="V3158" s="38">
        <v>0</v>
      </c>
      <c r="W3158" s="5">
        <v>0</v>
      </c>
      <c r="X3158" s="5">
        <v>0</v>
      </c>
      <c r="Y3158" s="5">
        <v>0</v>
      </c>
      <c r="Z3158" s="38">
        <v>0</v>
      </c>
      <c r="AA3158" s="5">
        <v>0</v>
      </c>
      <c r="AB3158" s="5">
        <v>0</v>
      </c>
      <c r="AC3158" s="5">
        <v>0</v>
      </c>
      <c r="AD3158" s="5">
        <v>0</v>
      </c>
      <c r="AE3158" s="7" t="s">
        <v>73</v>
      </c>
      <c r="AF3158" s="7"/>
      <c r="AG3158" s="7" t="s">
        <v>114</v>
      </c>
      <c r="AH3158" s="7">
        <v>44007</v>
      </c>
      <c r="AI3158" s="5">
        <v>0</v>
      </c>
      <c r="AJ3158" s="7" t="s">
        <v>50</v>
      </c>
      <c r="AK3158" s="7" t="s">
        <v>50</v>
      </c>
    </row>
    <row r="3159" spans="1:37" ht="36.75" customHeight="1" x14ac:dyDescent="0.35">
      <c r="A3159" s="5"/>
      <c r="B3159" s="5" t="s">
        <v>37</v>
      </c>
      <c r="C3159" s="73" t="str">
        <f t="shared" si="49"/>
        <v>Closed</v>
      </c>
      <c r="D3159" s="45" t="s">
        <v>17854</v>
      </c>
      <c r="E3159" s="54" t="s">
        <v>17855</v>
      </c>
      <c r="F3159" s="5" t="s">
        <v>17305</v>
      </c>
      <c r="G3159" s="7">
        <f>DATE(2020,6,25)</f>
        <v>44007</v>
      </c>
      <c r="H3159" s="34">
        <v>1.59375</v>
      </c>
      <c r="I3159" s="5" t="s">
        <v>55</v>
      </c>
      <c r="J3159" s="7" t="s">
        <v>17856</v>
      </c>
      <c r="K3159" s="5" t="s">
        <v>108</v>
      </c>
      <c r="L3159" s="5" t="s">
        <v>17857</v>
      </c>
      <c r="M3159" s="5" t="s">
        <v>45</v>
      </c>
      <c r="N3159" s="5" t="s">
        <v>80</v>
      </c>
      <c r="O3159" s="5" t="s">
        <v>46</v>
      </c>
      <c r="P3159" s="7" t="s">
        <v>60</v>
      </c>
      <c r="Q3159" s="7" t="s">
        <v>17858</v>
      </c>
      <c r="R3159" s="7" t="s">
        <v>148</v>
      </c>
      <c r="S3159" s="5">
        <v>0</v>
      </c>
      <c r="T3159" s="36">
        <v>0</v>
      </c>
      <c r="U3159" s="5">
        <v>0</v>
      </c>
      <c r="V3159" s="36">
        <v>0</v>
      </c>
      <c r="W3159" s="5">
        <v>0</v>
      </c>
      <c r="X3159" s="5">
        <v>0</v>
      </c>
      <c r="Y3159" s="5">
        <v>0</v>
      </c>
      <c r="Z3159" s="36">
        <v>0</v>
      </c>
      <c r="AA3159" s="5">
        <v>0</v>
      </c>
      <c r="AB3159" s="5">
        <v>0</v>
      </c>
      <c r="AC3159" s="5">
        <v>0</v>
      </c>
      <c r="AD3159" s="5">
        <v>0</v>
      </c>
      <c r="AE3159" s="7" t="s">
        <v>375</v>
      </c>
      <c r="AF3159" s="7" t="s">
        <v>17859</v>
      </c>
      <c r="AG3159" s="7" t="s">
        <v>6438</v>
      </c>
      <c r="AH3159" s="7">
        <v>44014</v>
      </c>
      <c r="AI3159" s="5">
        <v>1</v>
      </c>
      <c r="AJ3159" s="7" t="s">
        <v>17860</v>
      </c>
      <c r="AK3159" s="7" t="s">
        <v>17861</v>
      </c>
    </row>
    <row r="3160" spans="1:37" ht="36.75" customHeight="1" x14ac:dyDescent="0.35">
      <c r="A3160" s="5"/>
      <c r="B3160" s="5" t="s">
        <v>37</v>
      </c>
      <c r="C3160" s="73" t="str">
        <f t="shared" si="49"/>
        <v>Closed</v>
      </c>
      <c r="D3160" s="45" t="s">
        <v>17862</v>
      </c>
      <c r="E3160" s="54" t="s">
        <v>17863</v>
      </c>
      <c r="F3160" s="5" t="s">
        <v>1553</v>
      </c>
      <c r="G3160" s="7">
        <f>DATE(2020,6,26)</f>
        <v>44008</v>
      </c>
      <c r="H3160" s="34">
        <v>1.9097222222222223</v>
      </c>
      <c r="I3160" s="5" t="s">
        <v>55</v>
      </c>
      <c r="J3160" s="7" t="s">
        <v>17864</v>
      </c>
      <c r="K3160" s="5" t="s">
        <v>1555</v>
      </c>
      <c r="L3160" s="5" t="s">
        <v>17444</v>
      </c>
      <c r="M3160" s="5" t="s">
        <v>45</v>
      </c>
      <c r="N3160" s="5" t="s">
        <v>80</v>
      </c>
      <c r="O3160" s="5" t="s">
        <v>59</v>
      </c>
      <c r="P3160" s="7" t="s">
        <v>60</v>
      </c>
      <c r="Q3160" s="7" t="s">
        <v>15538</v>
      </c>
      <c r="R3160" s="7" t="s">
        <v>6413</v>
      </c>
      <c r="S3160" s="5">
        <v>0</v>
      </c>
      <c r="T3160" s="36">
        <v>0</v>
      </c>
      <c r="U3160" s="5">
        <v>0</v>
      </c>
      <c r="V3160" s="36">
        <v>0</v>
      </c>
      <c r="W3160" s="5">
        <v>0</v>
      </c>
      <c r="X3160" s="5">
        <v>0</v>
      </c>
      <c r="Y3160" s="5">
        <v>0</v>
      </c>
      <c r="Z3160" s="36">
        <v>0</v>
      </c>
      <c r="AA3160" s="5">
        <v>0</v>
      </c>
      <c r="AB3160" s="5">
        <v>0</v>
      </c>
      <c r="AC3160" s="5">
        <v>0</v>
      </c>
      <c r="AD3160" s="5">
        <v>0</v>
      </c>
      <c r="AE3160" s="7" t="s">
        <v>17865</v>
      </c>
      <c r="AF3160" s="7" t="s">
        <v>17866</v>
      </c>
      <c r="AG3160" s="7" t="s">
        <v>8837</v>
      </c>
      <c r="AH3160" s="7">
        <v>44011</v>
      </c>
      <c r="AI3160" s="5">
        <v>2</v>
      </c>
      <c r="AJ3160" s="7" t="s">
        <v>17867</v>
      </c>
      <c r="AK3160" s="7" t="s">
        <v>17868</v>
      </c>
    </row>
    <row r="3161" spans="1:37" ht="36.75" customHeight="1" x14ac:dyDescent="0.35">
      <c r="A3161" s="5"/>
      <c r="B3161" s="5" t="s">
        <v>37</v>
      </c>
      <c r="C3161" s="73" t="str">
        <f t="shared" si="49"/>
        <v>Closed</v>
      </c>
      <c r="D3161" s="45" t="s">
        <v>17869</v>
      </c>
      <c r="E3161" s="54" t="s">
        <v>17870</v>
      </c>
      <c r="F3161" s="5" t="s">
        <v>816</v>
      </c>
      <c r="G3161" s="7">
        <f>DATE(2020,6,27)</f>
        <v>44009</v>
      </c>
      <c r="H3161" s="34">
        <v>1.5423611111111111</v>
      </c>
      <c r="I3161" s="5" t="s">
        <v>85</v>
      </c>
      <c r="J3161" s="7" t="s">
        <v>17871</v>
      </c>
      <c r="K3161" s="5" t="s">
        <v>818</v>
      </c>
      <c r="L3161" s="5" t="s">
        <v>17872</v>
      </c>
      <c r="M3161" s="5" t="s">
        <v>45</v>
      </c>
      <c r="N3161" s="5" t="s">
        <v>80</v>
      </c>
      <c r="O3161" s="5" t="s">
        <v>59</v>
      </c>
      <c r="P3161" s="7" t="s">
        <v>146</v>
      </c>
      <c r="Q3161" s="7" t="s">
        <v>2142</v>
      </c>
      <c r="R3161" s="7" t="s">
        <v>821</v>
      </c>
      <c r="S3161" s="5">
        <v>0</v>
      </c>
      <c r="T3161" s="36">
        <v>0</v>
      </c>
      <c r="U3161" s="5">
        <v>0</v>
      </c>
      <c r="V3161" s="36">
        <v>0</v>
      </c>
      <c r="W3161" s="5">
        <v>0</v>
      </c>
      <c r="X3161" s="5">
        <v>0</v>
      </c>
      <c r="Y3161" s="5">
        <v>0</v>
      </c>
      <c r="Z3161" s="36">
        <v>0</v>
      </c>
      <c r="AA3161" s="5">
        <v>0</v>
      </c>
      <c r="AB3161" s="5">
        <v>0</v>
      </c>
      <c r="AC3161" s="5">
        <v>0</v>
      </c>
      <c r="AD3161" s="5">
        <v>0</v>
      </c>
      <c r="AE3161" s="7" t="s">
        <v>73</v>
      </c>
      <c r="AF3161" s="7" t="s">
        <v>17428</v>
      </c>
      <c r="AG3161" s="7" t="s">
        <v>570</v>
      </c>
      <c r="AH3161" s="7">
        <v>44009</v>
      </c>
      <c r="AI3161" s="5">
        <v>0</v>
      </c>
      <c r="AJ3161" s="7" t="s">
        <v>17873</v>
      </c>
      <c r="AK3161" s="7" t="s">
        <v>17874</v>
      </c>
    </row>
    <row r="3162" spans="1:37" ht="36.75" customHeight="1" x14ac:dyDescent="0.35">
      <c r="A3162" s="23" t="s">
        <v>4890</v>
      </c>
      <c r="B3162" s="5" t="s">
        <v>37</v>
      </c>
      <c r="C3162" s="73" t="str">
        <f t="shared" si="49"/>
        <v>Closed</v>
      </c>
      <c r="D3162" s="45" t="s">
        <v>17875</v>
      </c>
      <c r="E3162" s="54" t="s">
        <v>17876</v>
      </c>
      <c r="F3162" s="5" t="s">
        <v>404</v>
      </c>
      <c r="G3162" s="7">
        <f>DATE(2020,6,29)</f>
        <v>44011</v>
      </c>
      <c r="H3162" s="34">
        <v>1.35</v>
      </c>
      <c r="I3162" s="5" t="s">
        <v>2059</v>
      </c>
      <c r="J3162" s="7" t="s">
        <v>17877</v>
      </c>
      <c r="K3162" s="5" t="s">
        <v>406</v>
      </c>
      <c r="L3162" s="5" t="s">
        <v>17878</v>
      </c>
      <c r="M3162" s="5" t="s">
        <v>45</v>
      </c>
      <c r="N3162" s="5" t="s">
        <v>123</v>
      </c>
      <c r="O3162" s="5" t="s">
        <v>59</v>
      </c>
      <c r="P3162" s="7" t="s">
        <v>47</v>
      </c>
      <c r="Q3162" s="7" t="s">
        <v>4531</v>
      </c>
      <c r="R3162" s="7" t="s">
        <v>3083</v>
      </c>
      <c r="S3162" s="5">
        <v>0</v>
      </c>
      <c r="T3162" s="36">
        <v>0</v>
      </c>
      <c r="U3162" s="5">
        <v>0</v>
      </c>
      <c r="V3162" s="36">
        <v>0</v>
      </c>
      <c r="W3162" s="5">
        <v>0</v>
      </c>
      <c r="X3162" s="5">
        <v>0</v>
      </c>
      <c r="Y3162" s="5">
        <v>0</v>
      </c>
      <c r="Z3162" s="36">
        <v>0</v>
      </c>
      <c r="AA3162" s="5">
        <v>0</v>
      </c>
      <c r="AB3162" s="5">
        <v>0</v>
      </c>
      <c r="AC3162" s="5">
        <v>0</v>
      </c>
      <c r="AD3162" s="5">
        <v>0</v>
      </c>
      <c r="AE3162" s="7" t="s">
        <v>73</v>
      </c>
      <c r="AF3162" s="7"/>
      <c r="AG3162" s="7" t="s">
        <v>333</v>
      </c>
      <c r="AH3162" s="7">
        <v>44011</v>
      </c>
      <c r="AI3162" s="5">
        <v>1</v>
      </c>
      <c r="AJ3162" s="7" t="s">
        <v>50</v>
      </c>
      <c r="AK3162" s="7" t="s">
        <v>50</v>
      </c>
    </row>
    <row r="3163" spans="1:37" ht="36.75" customHeight="1" x14ac:dyDescent="0.35">
      <c r="A3163" s="5"/>
      <c r="B3163" s="5" t="s">
        <v>37</v>
      </c>
      <c r="C3163" s="73" t="str">
        <f t="shared" si="49"/>
        <v>Closed</v>
      </c>
      <c r="D3163" s="45" t="s">
        <v>17879</v>
      </c>
      <c r="E3163" s="54" t="s">
        <v>17880</v>
      </c>
      <c r="F3163" s="5" t="s">
        <v>404</v>
      </c>
      <c r="G3163" s="7">
        <f>DATE(2020,7,4)</f>
        <v>44016</v>
      </c>
      <c r="H3163" s="34">
        <v>1.5</v>
      </c>
      <c r="I3163" s="5" t="s">
        <v>137</v>
      </c>
      <c r="J3163" s="7" t="s">
        <v>17881</v>
      </c>
      <c r="K3163" s="5" t="s">
        <v>406</v>
      </c>
      <c r="L3163" s="5" t="s">
        <v>17882</v>
      </c>
      <c r="M3163" s="5" t="s">
        <v>45</v>
      </c>
      <c r="N3163" s="5" t="s">
        <v>123</v>
      </c>
      <c r="O3163" s="5" t="s">
        <v>59</v>
      </c>
      <c r="P3163" s="7" t="s">
        <v>47</v>
      </c>
      <c r="Q3163" s="7" t="s">
        <v>13680</v>
      </c>
      <c r="R3163" s="7" t="s">
        <v>3083</v>
      </c>
      <c r="S3163" s="5">
        <v>0</v>
      </c>
      <c r="T3163" s="36">
        <v>0</v>
      </c>
      <c r="U3163" s="5">
        <v>0</v>
      </c>
      <c r="V3163" s="36">
        <v>0</v>
      </c>
      <c r="W3163" s="5">
        <v>0</v>
      </c>
      <c r="X3163" s="5">
        <v>0</v>
      </c>
      <c r="Y3163" s="5">
        <v>0</v>
      </c>
      <c r="Z3163" s="36">
        <v>0</v>
      </c>
      <c r="AA3163" s="5">
        <v>0</v>
      </c>
      <c r="AB3163" s="5">
        <v>0</v>
      </c>
      <c r="AC3163" s="5">
        <v>0</v>
      </c>
      <c r="AD3163" s="5">
        <v>0</v>
      </c>
      <c r="AE3163" s="7" t="s">
        <v>73</v>
      </c>
      <c r="AF3163" s="7" t="s">
        <v>17883</v>
      </c>
      <c r="AG3163" s="7" t="s">
        <v>12457</v>
      </c>
      <c r="AH3163" s="7">
        <v>44016</v>
      </c>
      <c r="AI3163" s="5">
        <v>0</v>
      </c>
      <c r="AJ3163" s="7" t="s">
        <v>17884</v>
      </c>
      <c r="AK3163" s="7" t="s">
        <v>17885</v>
      </c>
    </row>
    <row r="3164" spans="1:37" ht="36.75" customHeight="1" x14ac:dyDescent="0.35">
      <c r="A3164" s="23" t="s">
        <v>4890</v>
      </c>
      <c r="B3164" s="5" t="s">
        <v>37</v>
      </c>
      <c r="C3164" s="73" t="str">
        <f t="shared" si="49"/>
        <v>Closed</v>
      </c>
      <c r="D3164" s="45" t="s">
        <v>17886</v>
      </c>
      <c r="E3164" s="54" t="s">
        <v>17887</v>
      </c>
      <c r="F3164" s="5" t="s">
        <v>404</v>
      </c>
      <c r="G3164" s="7">
        <f>DATE(2020,7,7)</f>
        <v>44019</v>
      </c>
      <c r="H3164" s="34">
        <v>1.6319444444444444</v>
      </c>
      <c r="I3164" s="5" t="s">
        <v>179</v>
      </c>
      <c r="J3164" s="7" t="s">
        <v>17888</v>
      </c>
      <c r="K3164" s="5" t="s">
        <v>406</v>
      </c>
      <c r="L3164" s="5" t="s">
        <v>17889</v>
      </c>
      <c r="M3164" s="5" t="s">
        <v>45</v>
      </c>
      <c r="N3164" s="5" t="s">
        <v>80</v>
      </c>
      <c r="O3164" s="5" t="s">
        <v>46</v>
      </c>
      <c r="P3164" s="7" t="s">
        <v>146</v>
      </c>
      <c r="Q3164" s="7" t="s">
        <v>4531</v>
      </c>
      <c r="R3164" s="7" t="s">
        <v>3083</v>
      </c>
      <c r="S3164" s="5">
        <v>2</v>
      </c>
      <c r="T3164" s="38">
        <v>0</v>
      </c>
      <c r="U3164" s="5">
        <v>0</v>
      </c>
      <c r="V3164" s="38">
        <v>0</v>
      </c>
      <c r="W3164" s="5">
        <v>0</v>
      </c>
      <c r="X3164" s="5">
        <v>2</v>
      </c>
      <c r="Y3164" s="5">
        <v>7</v>
      </c>
      <c r="Z3164" s="38">
        <v>2</v>
      </c>
      <c r="AA3164" s="5">
        <v>0</v>
      </c>
      <c r="AB3164" s="5">
        <v>0</v>
      </c>
      <c r="AC3164" s="5">
        <v>0</v>
      </c>
      <c r="AD3164" s="5">
        <v>9</v>
      </c>
      <c r="AE3164" s="7" t="s">
        <v>375</v>
      </c>
      <c r="AF3164" s="7"/>
      <c r="AG3164" s="7" t="s">
        <v>64</v>
      </c>
      <c r="AH3164" s="7">
        <v>44019</v>
      </c>
      <c r="AI3164" s="5">
        <v>1</v>
      </c>
      <c r="AJ3164" s="7" t="s">
        <v>50</v>
      </c>
      <c r="AK3164" s="7" t="s">
        <v>50</v>
      </c>
    </row>
    <row r="3165" spans="1:37" ht="36.75" customHeight="1" x14ac:dyDescent="0.35">
      <c r="A3165" s="5"/>
      <c r="B3165" s="5" t="s">
        <v>37</v>
      </c>
      <c r="C3165" s="73" t="str">
        <f t="shared" si="49"/>
        <v>Closed</v>
      </c>
      <c r="D3165" s="45" t="s">
        <v>17890</v>
      </c>
      <c r="E3165" s="54" t="s">
        <v>17891</v>
      </c>
      <c r="F3165" s="5" t="s">
        <v>1919</v>
      </c>
      <c r="G3165" s="7">
        <f>DATE(2020,7,7)</f>
        <v>44019</v>
      </c>
      <c r="H3165" s="34">
        <v>0</v>
      </c>
      <c r="I3165" s="5" t="s">
        <v>5473</v>
      </c>
      <c r="J3165" s="7" t="s">
        <v>17892</v>
      </c>
      <c r="K3165" s="5" t="s">
        <v>1921</v>
      </c>
      <c r="L3165" s="5" t="s">
        <v>17893</v>
      </c>
      <c r="M3165" s="5" t="s">
        <v>45</v>
      </c>
      <c r="N3165" s="5" t="s">
        <v>70</v>
      </c>
      <c r="O3165" s="5" t="s">
        <v>46</v>
      </c>
      <c r="P3165" s="7" t="s">
        <v>47</v>
      </c>
      <c r="Q3165" s="7" t="s">
        <v>1923</v>
      </c>
      <c r="R3165" s="7" t="s">
        <v>1921</v>
      </c>
      <c r="S3165" s="5">
        <v>0</v>
      </c>
      <c r="T3165" s="36">
        <v>0</v>
      </c>
      <c r="U3165" s="5">
        <v>0</v>
      </c>
      <c r="V3165" s="36">
        <v>0</v>
      </c>
      <c r="W3165" s="5">
        <v>0</v>
      </c>
      <c r="X3165" s="5">
        <v>0</v>
      </c>
      <c r="Y3165" s="5">
        <v>0</v>
      </c>
      <c r="Z3165" s="36">
        <v>0</v>
      </c>
      <c r="AA3165" s="5">
        <v>0</v>
      </c>
      <c r="AB3165" s="5">
        <v>0</v>
      </c>
      <c r="AC3165" s="5">
        <v>0</v>
      </c>
      <c r="AD3165" s="5">
        <v>0</v>
      </c>
      <c r="AE3165" s="7" t="s">
        <v>375</v>
      </c>
      <c r="AF3165" s="7" t="s">
        <v>17894</v>
      </c>
      <c r="AG3165" s="7" t="s">
        <v>64</v>
      </c>
      <c r="AH3165" s="7">
        <v>44028</v>
      </c>
      <c r="AI3165" s="5">
        <v>3</v>
      </c>
      <c r="AJ3165" s="7" t="s">
        <v>17895</v>
      </c>
      <c r="AK3165" s="7" t="s">
        <v>17896</v>
      </c>
    </row>
    <row r="3166" spans="1:37" ht="36.75" customHeight="1" x14ac:dyDescent="0.35">
      <c r="A3166" s="5"/>
      <c r="B3166" s="5" t="s">
        <v>37</v>
      </c>
      <c r="C3166" s="73" t="str">
        <f t="shared" si="49"/>
        <v>Closed</v>
      </c>
      <c r="D3166" s="45" t="s">
        <v>17897</v>
      </c>
      <c r="E3166" s="54" t="s">
        <v>17898</v>
      </c>
      <c r="F3166" s="5" t="s">
        <v>6434</v>
      </c>
      <c r="G3166" s="7">
        <f>DATE(2020,7,9)</f>
        <v>44021</v>
      </c>
      <c r="H3166" s="34">
        <v>1.461111111111111</v>
      </c>
      <c r="I3166" s="5" t="s">
        <v>106</v>
      </c>
      <c r="J3166" s="7" t="s">
        <v>17899</v>
      </c>
      <c r="K3166" s="5" t="s">
        <v>565</v>
      </c>
      <c r="L3166" s="5" t="s">
        <v>17900</v>
      </c>
      <c r="M3166" s="5" t="s">
        <v>45</v>
      </c>
      <c r="N3166" s="5" t="s">
        <v>123</v>
      </c>
      <c r="O3166" s="5" t="s">
        <v>46</v>
      </c>
      <c r="P3166" s="7" t="s">
        <v>362</v>
      </c>
      <c r="Q3166" s="7" t="s">
        <v>568</v>
      </c>
      <c r="R3166" s="7" t="s">
        <v>568</v>
      </c>
      <c r="S3166" s="5">
        <v>0</v>
      </c>
      <c r="T3166" s="36">
        <v>0</v>
      </c>
      <c r="U3166" s="5">
        <v>0</v>
      </c>
      <c r="V3166" s="36">
        <v>0</v>
      </c>
      <c r="W3166" s="5">
        <v>0</v>
      </c>
      <c r="X3166" s="5">
        <v>0</v>
      </c>
      <c r="Y3166" s="5">
        <v>0</v>
      </c>
      <c r="Z3166" s="36">
        <v>0</v>
      </c>
      <c r="AA3166" s="5">
        <v>0</v>
      </c>
      <c r="AB3166" s="5">
        <v>0</v>
      </c>
      <c r="AC3166" s="5">
        <v>0</v>
      </c>
      <c r="AD3166" s="5">
        <v>0</v>
      </c>
      <c r="AE3166" s="7" t="s">
        <v>126</v>
      </c>
      <c r="AF3166" s="7" t="s">
        <v>17901</v>
      </c>
      <c r="AG3166" s="7" t="s">
        <v>6438</v>
      </c>
      <c r="AH3166" s="7">
        <v>44068</v>
      </c>
      <c r="AI3166" s="5">
        <v>1</v>
      </c>
      <c r="AJ3166" s="7" t="s">
        <v>17902</v>
      </c>
      <c r="AK3166" s="7" t="s">
        <v>10547</v>
      </c>
    </row>
    <row r="3167" spans="1:37" ht="36.75" customHeight="1" x14ac:dyDescent="0.35">
      <c r="A3167" s="5"/>
      <c r="B3167" s="5" t="s">
        <v>37</v>
      </c>
      <c r="C3167" s="73" t="str">
        <f t="shared" si="49"/>
        <v>Closed</v>
      </c>
      <c r="D3167" s="45" t="s">
        <v>17903</v>
      </c>
      <c r="E3167" s="54" t="s">
        <v>17904</v>
      </c>
      <c r="F3167" s="5" t="s">
        <v>16397</v>
      </c>
      <c r="G3167" s="7">
        <f>DATE(2020,7,10)</f>
        <v>44022</v>
      </c>
      <c r="H3167" s="34">
        <v>1.7354166666666666</v>
      </c>
      <c r="I3167" s="5" t="s">
        <v>179</v>
      </c>
      <c r="J3167" s="7" t="s">
        <v>17905</v>
      </c>
      <c r="K3167" s="5" t="s">
        <v>406</v>
      </c>
      <c r="L3167" s="5" t="s">
        <v>17906</v>
      </c>
      <c r="M3167" s="5" t="s">
        <v>45</v>
      </c>
      <c r="N3167" s="5" t="s">
        <v>70</v>
      </c>
      <c r="O3167" s="5" t="s">
        <v>59</v>
      </c>
      <c r="P3167" s="7" t="s">
        <v>17907</v>
      </c>
      <c r="Q3167" s="7" t="s">
        <v>4531</v>
      </c>
      <c r="R3167" s="7" t="s">
        <v>3083</v>
      </c>
      <c r="S3167" s="5">
        <v>0</v>
      </c>
      <c r="T3167" s="36">
        <v>0</v>
      </c>
      <c r="U3167" s="5">
        <v>0</v>
      </c>
      <c r="V3167" s="36">
        <v>0</v>
      </c>
      <c r="W3167" s="5">
        <v>0</v>
      </c>
      <c r="X3167" s="5">
        <v>0</v>
      </c>
      <c r="Y3167" s="5">
        <v>0</v>
      </c>
      <c r="Z3167" s="36">
        <v>0</v>
      </c>
      <c r="AA3167" s="5">
        <v>0</v>
      </c>
      <c r="AB3167" s="5">
        <v>0</v>
      </c>
      <c r="AC3167" s="5">
        <v>0</v>
      </c>
      <c r="AD3167" s="5">
        <v>0</v>
      </c>
      <c r="AE3167" s="7" t="s">
        <v>375</v>
      </c>
      <c r="AF3167" s="7" t="s">
        <v>17908</v>
      </c>
      <c r="AG3167" s="7" t="s">
        <v>16251</v>
      </c>
      <c r="AH3167" s="7">
        <v>44022</v>
      </c>
      <c r="AI3167" s="5">
        <v>1</v>
      </c>
      <c r="AJ3167" s="7" t="s">
        <v>17909</v>
      </c>
      <c r="AK3167" s="7" t="s">
        <v>860</v>
      </c>
    </row>
    <row r="3168" spans="1:37" ht="36.75" customHeight="1" x14ac:dyDescent="0.35">
      <c r="A3168" s="5"/>
      <c r="B3168" s="5" t="s">
        <v>37</v>
      </c>
      <c r="C3168" s="73" t="str">
        <f t="shared" si="49"/>
        <v>Closed</v>
      </c>
      <c r="D3168" s="45" t="s">
        <v>17910</v>
      </c>
      <c r="E3168" s="54" t="s">
        <v>17911</v>
      </c>
      <c r="F3168" s="5" t="s">
        <v>816</v>
      </c>
      <c r="G3168" s="7">
        <f>DATE(2020,7,10)</f>
        <v>44022</v>
      </c>
      <c r="H3168" s="34">
        <v>1.5625</v>
      </c>
      <c r="I3168" s="5" t="s">
        <v>55</v>
      </c>
      <c r="J3168" s="7" t="s">
        <v>17912</v>
      </c>
      <c r="K3168" s="5" t="s">
        <v>818</v>
      </c>
      <c r="L3168" s="5" t="s">
        <v>17913</v>
      </c>
      <c r="M3168" s="5" t="s">
        <v>9897</v>
      </c>
      <c r="N3168" s="5" t="s">
        <v>80</v>
      </c>
      <c r="O3168" s="5" t="s">
        <v>46</v>
      </c>
      <c r="P3168" s="7" t="s">
        <v>7960</v>
      </c>
      <c r="Q3168" s="7" t="s">
        <v>17848</v>
      </c>
      <c r="R3168" s="7" t="s">
        <v>17848</v>
      </c>
      <c r="S3168" s="5">
        <v>0</v>
      </c>
      <c r="T3168" s="36">
        <v>0</v>
      </c>
      <c r="U3168" s="5">
        <v>0</v>
      </c>
      <c r="V3168" s="36">
        <v>0</v>
      </c>
      <c r="W3168" s="5">
        <v>0</v>
      </c>
      <c r="X3168" s="5">
        <v>0</v>
      </c>
      <c r="Y3168" s="5">
        <v>0</v>
      </c>
      <c r="Z3168" s="36">
        <v>0</v>
      </c>
      <c r="AA3168" s="5">
        <v>0</v>
      </c>
      <c r="AB3168" s="5">
        <v>0</v>
      </c>
      <c r="AC3168" s="5">
        <v>0</v>
      </c>
      <c r="AD3168" s="5">
        <v>0</v>
      </c>
      <c r="AE3168" s="7" t="s">
        <v>73</v>
      </c>
      <c r="AF3168" s="7" t="s">
        <v>860</v>
      </c>
      <c r="AG3168" s="7" t="s">
        <v>13508</v>
      </c>
      <c r="AH3168" s="7">
        <v>44029</v>
      </c>
      <c r="AI3168" s="5">
        <v>3</v>
      </c>
      <c r="AJ3168" s="7" t="s">
        <v>17849</v>
      </c>
      <c r="AK3168" s="7" t="s">
        <v>17850</v>
      </c>
    </row>
    <row r="3169" spans="1:37" ht="36.75" customHeight="1" x14ac:dyDescent="0.35">
      <c r="A3169" s="5"/>
      <c r="B3169" s="5" t="s">
        <v>37</v>
      </c>
      <c r="C3169" s="73" t="str">
        <f t="shared" si="49"/>
        <v>Closed</v>
      </c>
      <c r="D3169" s="45" t="s">
        <v>17914</v>
      </c>
      <c r="E3169" s="54" t="s">
        <v>17915</v>
      </c>
      <c r="F3169" s="5" t="s">
        <v>1553</v>
      </c>
      <c r="G3169" s="7">
        <f>DATE(2020,7,10)</f>
        <v>44022</v>
      </c>
      <c r="H3169" s="34">
        <v>1.2013888888888888</v>
      </c>
      <c r="I3169" s="5" t="s">
        <v>55</v>
      </c>
      <c r="J3169" s="7" t="s">
        <v>17916</v>
      </c>
      <c r="K3169" s="5" t="s">
        <v>1555</v>
      </c>
      <c r="L3169" s="5" t="s">
        <v>17917</v>
      </c>
      <c r="M3169" s="5" t="s">
        <v>45</v>
      </c>
      <c r="N3169" s="5" t="s">
        <v>123</v>
      </c>
      <c r="O3169" s="5" t="s">
        <v>46</v>
      </c>
      <c r="P3169" s="7" t="s">
        <v>60</v>
      </c>
      <c r="Q3169" s="7" t="s">
        <v>15538</v>
      </c>
      <c r="R3169" s="7" t="s">
        <v>6413</v>
      </c>
      <c r="S3169" s="5">
        <v>0</v>
      </c>
      <c r="T3169" s="36">
        <v>0</v>
      </c>
      <c r="U3169" s="5">
        <v>0</v>
      </c>
      <c r="V3169" s="36">
        <v>0</v>
      </c>
      <c r="W3169" s="5">
        <v>0</v>
      </c>
      <c r="X3169" s="5">
        <v>0</v>
      </c>
      <c r="Y3169" s="5">
        <v>0</v>
      </c>
      <c r="Z3169" s="36">
        <v>0</v>
      </c>
      <c r="AA3169" s="5">
        <v>0</v>
      </c>
      <c r="AB3169" s="5">
        <v>0</v>
      </c>
      <c r="AC3169" s="5">
        <v>0</v>
      </c>
      <c r="AD3169" s="5">
        <v>0</v>
      </c>
      <c r="AE3169" s="7" t="s">
        <v>73</v>
      </c>
      <c r="AF3169" s="7" t="s">
        <v>17918</v>
      </c>
      <c r="AG3169" s="7" t="s">
        <v>8837</v>
      </c>
      <c r="AH3169" s="7">
        <v>44025</v>
      </c>
      <c r="AI3169" s="5">
        <v>2</v>
      </c>
      <c r="AJ3169" s="7" t="s">
        <v>17919</v>
      </c>
      <c r="AK3169" s="7" t="s">
        <v>17920</v>
      </c>
    </row>
    <row r="3170" spans="1:37" ht="36.75" customHeight="1" x14ac:dyDescent="0.35">
      <c r="A3170" s="5" t="s">
        <v>12448</v>
      </c>
      <c r="B3170" s="5" t="s">
        <v>37</v>
      </c>
      <c r="C3170" s="73" t="str">
        <f t="shared" si="49"/>
        <v>Closed</v>
      </c>
      <c r="D3170" s="47" t="s">
        <v>17921</v>
      </c>
      <c r="E3170" s="55" t="s">
        <v>17922</v>
      </c>
      <c r="F3170" s="15" t="s">
        <v>12887</v>
      </c>
      <c r="G3170" s="7">
        <f>DATE(2020,7,11)</f>
        <v>44023</v>
      </c>
      <c r="H3170" s="52">
        <v>0.93402777777777779</v>
      </c>
      <c r="I3170" s="15" t="s">
        <v>259</v>
      </c>
      <c r="J3170" s="15" t="s">
        <v>17923</v>
      </c>
      <c r="K3170" s="15" t="s">
        <v>434</v>
      </c>
      <c r="L3170" s="15" t="s">
        <v>17924</v>
      </c>
      <c r="M3170" s="15"/>
      <c r="N3170" s="15"/>
      <c r="O3170" s="15" t="s">
        <v>46</v>
      </c>
      <c r="P3170" s="15" t="s">
        <v>47</v>
      </c>
      <c r="Q3170" s="15" t="s">
        <v>12889</v>
      </c>
      <c r="R3170" s="15" t="s">
        <v>12890</v>
      </c>
      <c r="S3170" s="15">
        <v>0</v>
      </c>
      <c r="T3170" s="15">
        <v>0</v>
      </c>
      <c r="U3170" s="15">
        <v>0</v>
      </c>
      <c r="V3170" s="15">
        <v>1</v>
      </c>
      <c r="W3170" s="15">
        <v>0</v>
      </c>
      <c r="X3170" s="15">
        <v>1</v>
      </c>
      <c r="Y3170" s="15">
        <v>0</v>
      </c>
      <c r="Z3170" s="15">
        <v>0</v>
      </c>
      <c r="AA3170" s="15">
        <v>0</v>
      </c>
      <c r="AB3170" s="15">
        <v>0</v>
      </c>
      <c r="AC3170" s="15">
        <v>0</v>
      </c>
      <c r="AD3170" s="15">
        <v>0</v>
      </c>
      <c r="AE3170" s="15"/>
      <c r="AF3170" s="15"/>
      <c r="AG3170" s="15"/>
      <c r="AH3170" s="15" t="s">
        <v>50</v>
      </c>
      <c r="AI3170" s="15">
        <v>0</v>
      </c>
      <c r="AJ3170" s="15"/>
      <c r="AK3170" s="15"/>
    </row>
    <row r="3171" spans="1:37" ht="36.75" customHeight="1" x14ac:dyDescent="0.35">
      <c r="A3171" s="5"/>
      <c r="B3171" s="5" t="s">
        <v>37</v>
      </c>
      <c r="C3171" s="73" t="str">
        <f t="shared" si="49"/>
        <v>Closed</v>
      </c>
      <c r="D3171" s="45" t="s">
        <v>17925</v>
      </c>
      <c r="E3171" s="54" t="s">
        <v>17926</v>
      </c>
      <c r="F3171" s="5" t="s">
        <v>404</v>
      </c>
      <c r="G3171" s="7">
        <f>DATE(2020,7,14)</f>
        <v>44026</v>
      </c>
      <c r="H3171" s="34">
        <v>1.8993055555555554</v>
      </c>
      <c r="I3171" s="5" t="s">
        <v>179</v>
      </c>
      <c r="J3171" s="7" t="s">
        <v>17927</v>
      </c>
      <c r="K3171" s="5" t="s">
        <v>406</v>
      </c>
      <c r="L3171" s="5" t="s">
        <v>17928</v>
      </c>
      <c r="M3171" s="5" t="s">
        <v>45</v>
      </c>
      <c r="N3171" s="5" t="s">
        <v>70</v>
      </c>
      <c r="O3171" s="5" t="s">
        <v>46</v>
      </c>
      <c r="P3171" s="7" t="s">
        <v>8003</v>
      </c>
      <c r="Q3171" s="7" t="s">
        <v>10667</v>
      </c>
      <c r="R3171" s="7" t="s">
        <v>3083</v>
      </c>
      <c r="S3171" s="5">
        <v>0</v>
      </c>
      <c r="T3171" s="36">
        <v>1</v>
      </c>
      <c r="U3171" s="5">
        <v>0</v>
      </c>
      <c r="V3171" s="36">
        <v>0</v>
      </c>
      <c r="W3171" s="5">
        <v>0</v>
      </c>
      <c r="X3171" s="5">
        <v>1</v>
      </c>
      <c r="Y3171" s="5">
        <v>8</v>
      </c>
      <c r="Z3171" s="36">
        <v>2</v>
      </c>
      <c r="AA3171" s="5">
        <v>0</v>
      </c>
      <c r="AB3171" s="5">
        <v>0</v>
      </c>
      <c r="AC3171" s="5">
        <v>0</v>
      </c>
      <c r="AD3171" s="5">
        <v>10</v>
      </c>
      <c r="AE3171" s="7" t="s">
        <v>375</v>
      </c>
      <c r="AF3171" s="7"/>
      <c r="AG3171" s="7" t="s">
        <v>6438</v>
      </c>
      <c r="AH3171" s="7">
        <v>44026</v>
      </c>
      <c r="AI3171" s="5">
        <v>2</v>
      </c>
      <c r="AJ3171" s="7" t="s">
        <v>17929</v>
      </c>
      <c r="AK3171" s="7" t="s">
        <v>860</v>
      </c>
    </row>
    <row r="3172" spans="1:37" ht="36.75" customHeight="1" x14ac:dyDescent="0.35">
      <c r="A3172" s="5"/>
      <c r="B3172" s="5" t="s">
        <v>37</v>
      </c>
      <c r="C3172" s="73" t="str">
        <f t="shared" si="49"/>
        <v>Closed</v>
      </c>
      <c r="D3172" s="45" t="s">
        <v>17930</v>
      </c>
      <c r="E3172" s="54" t="s">
        <v>17931</v>
      </c>
      <c r="F3172" s="5" t="s">
        <v>816</v>
      </c>
      <c r="G3172" s="7">
        <f>DATE(2020,7,14)</f>
        <v>44026</v>
      </c>
      <c r="H3172" s="34">
        <v>1.5659722222222223</v>
      </c>
      <c r="I3172" s="5" t="s">
        <v>55</v>
      </c>
      <c r="J3172" s="7" t="s">
        <v>17932</v>
      </c>
      <c r="K3172" s="5" t="s">
        <v>818</v>
      </c>
      <c r="L3172" s="5" t="s">
        <v>17847</v>
      </c>
      <c r="M3172" s="5" t="s">
        <v>9897</v>
      </c>
      <c r="N3172" s="5" t="s">
        <v>80</v>
      </c>
      <c r="O3172" s="5" t="s">
        <v>46</v>
      </c>
      <c r="P3172" s="7" t="s">
        <v>7960</v>
      </c>
      <c r="Q3172" s="7" t="s">
        <v>17848</v>
      </c>
      <c r="R3172" s="7" t="s">
        <v>17848</v>
      </c>
      <c r="S3172" s="5">
        <v>0</v>
      </c>
      <c r="T3172" s="36">
        <v>0</v>
      </c>
      <c r="U3172" s="5">
        <v>0</v>
      </c>
      <c r="V3172" s="36">
        <v>0</v>
      </c>
      <c r="W3172" s="5">
        <v>0</v>
      </c>
      <c r="X3172" s="5">
        <v>0</v>
      </c>
      <c r="Y3172" s="5">
        <v>0</v>
      </c>
      <c r="Z3172" s="36">
        <v>0</v>
      </c>
      <c r="AA3172" s="5">
        <v>0</v>
      </c>
      <c r="AB3172" s="5">
        <v>0</v>
      </c>
      <c r="AC3172" s="5">
        <v>0</v>
      </c>
      <c r="AD3172" s="5">
        <v>0</v>
      </c>
      <c r="AE3172" s="7" t="s">
        <v>73</v>
      </c>
      <c r="AF3172" s="7" t="s">
        <v>860</v>
      </c>
      <c r="AG3172" s="7" t="s">
        <v>13508</v>
      </c>
      <c r="AH3172" s="7">
        <v>44029</v>
      </c>
      <c r="AI3172" s="5">
        <v>3</v>
      </c>
      <c r="AJ3172" s="7" t="s">
        <v>17849</v>
      </c>
      <c r="AK3172" s="7" t="s">
        <v>17850</v>
      </c>
    </row>
    <row r="3173" spans="1:37" ht="36.75" customHeight="1" x14ac:dyDescent="0.35">
      <c r="A3173" s="5" t="s">
        <v>12448</v>
      </c>
      <c r="B3173" s="5" t="s">
        <v>37</v>
      </c>
      <c r="C3173" s="73" t="str">
        <f t="shared" si="49"/>
        <v>Closed</v>
      </c>
      <c r="D3173" s="47" t="s">
        <v>17933</v>
      </c>
      <c r="E3173" s="54" t="s">
        <v>17934</v>
      </c>
      <c r="F3173" s="5" t="s">
        <v>17728</v>
      </c>
      <c r="G3173" s="7">
        <f>DATE(2020,7,15)</f>
        <v>44027</v>
      </c>
      <c r="H3173" s="52">
        <v>0.40972222222222227</v>
      </c>
      <c r="I3173" s="5" t="s">
        <v>55</v>
      </c>
      <c r="J3173" s="5" t="s">
        <v>17935</v>
      </c>
      <c r="K3173" s="5" t="s">
        <v>2583</v>
      </c>
      <c r="L3173" s="5" t="s">
        <v>17936</v>
      </c>
      <c r="M3173" s="5" t="s">
        <v>45</v>
      </c>
      <c r="N3173" s="22" t="s">
        <v>17937</v>
      </c>
      <c r="O3173" s="5" t="s">
        <v>59</v>
      </c>
      <c r="P3173" s="5" t="s">
        <v>60</v>
      </c>
      <c r="Q3173" s="5" t="s">
        <v>17938</v>
      </c>
      <c r="R3173" s="5" t="s">
        <v>17939</v>
      </c>
      <c r="S3173" s="5">
        <v>0</v>
      </c>
      <c r="T3173" s="5">
        <v>0</v>
      </c>
      <c r="U3173" s="5">
        <v>0</v>
      </c>
      <c r="V3173" s="5">
        <v>0</v>
      </c>
      <c r="W3173" s="5">
        <v>0</v>
      </c>
      <c r="X3173" s="5">
        <v>0</v>
      </c>
      <c r="Y3173" s="5">
        <v>0</v>
      </c>
      <c r="Z3173" s="5">
        <v>0</v>
      </c>
      <c r="AA3173" s="5">
        <v>0</v>
      </c>
      <c r="AB3173" s="5">
        <v>0</v>
      </c>
      <c r="AC3173" s="5">
        <v>0</v>
      </c>
      <c r="AD3173" s="5">
        <v>0</v>
      </c>
      <c r="AE3173" s="5"/>
      <c r="AF3173" s="5" t="s">
        <v>17940</v>
      </c>
      <c r="AG3173" s="5" t="s">
        <v>17941</v>
      </c>
      <c r="AH3173" s="7">
        <v>44027</v>
      </c>
      <c r="AI3173" s="5">
        <v>4</v>
      </c>
      <c r="AJ3173" s="5" t="s">
        <v>17942</v>
      </c>
      <c r="AK3173" s="5"/>
    </row>
    <row r="3174" spans="1:37" ht="36.75" customHeight="1" x14ac:dyDescent="0.35">
      <c r="A3174" s="23" t="s">
        <v>4890</v>
      </c>
      <c r="B3174" s="5" t="s">
        <v>37</v>
      </c>
      <c r="C3174" s="73" t="str">
        <f t="shared" si="49"/>
        <v>Closed</v>
      </c>
      <c r="D3174" s="45" t="s">
        <v>17943</v>
      </c>
      <c r="E3174" s="54" t="s">
        <v>17944</v>
      </c>
      <c r="F3174" s="5" t="s">
        <v>404</v>
      </c>
      <c r="G3174" s="7">
        <f>DATE(2020,7,15)</f>
        <v>44027</v>
      </c>
      <c r="H3174" s="34">
        <v>1.3298611111111112</v>
      </c>
      <c r="I3174" s="5" t="s">
        <v>97</v>
      </c>
      <c r="J3174" s="7" t="s">
        <v>17945</v>
      </c>
      <c r="K3174" s="5" t="s">
        <v>406</v>
      </c>
      <c r="L3174" s="5" t="s">
        <v>17946</v>
      </c>
      <c r="M3174" s="5" t="s">
        <v>45</v>
      </c>
      <c r="N3174" s="5" t="s">
        <v>80</v>
      </c>
      <c r="O3174" s="5" t="s">
        <v>46</v>
      </c>
      <c r="P3174" s="7" t="s">
        <v>146</v>
      </c>
      <c r="Q3174" s="7" t="s">
        <v>4531</v>
      </c>
      <c r="R3174" s="7" t="s">
        <v>3083</v>
      </c>
      <c r="S3174" s="5">
        <v>0</v>
      </c>
      <c r="T3174" s="36">
        <v>0</v>
      </c>
      <c r="U3174" s="5">
        <v>0</v>
      </c>
      <c r="V3174" s="36">
        <v>0</v>
      </c>
      <c r="W3174" s="5">
        <v>0</v>
      </c>
      <c r="X3174" s="5">
        <v>0</v>
      </c>
      <c r="Y3174" s="5">
        <v>0</v>
      </c>
      <c r="Z3174" s="36">
        <v>0</v>
      </c>
      <c r="AA3174" s="5">
        <v>0</v>
      </c>
      <c r="AB3174" s="5">
        <v>0</v>
      </c>
      <c r="AC3174" s="5">
        <v>0</v>
      </c>
      <c r="AD3174" s="5">
        <v>0</v>
      </c>
      <c r="AE3174" s="7" t="s">
        <v>73</v>
      </c>
      <c r="AF3174" s="7"/>
      <c r="AG3174" s="7" t="s">
        <v>333</v>
      </c>
      <c r="AH3174" s="7">
        <v>44027</v>
      </c>
      <c r="AI3174" s="5">
        <v>1</v>
      </c>
      <c r="AJ3174" s="7" t="s">
        <v>50</v>
      </c>
      <c r="AK3174" s="7" t="s">
        <v>50</v>
      </c>
    </row>
    <row r="3175" spans="1:37" ht="36.75" customHeight="1" x14ac:dyDescent="0.35">
      <c r="A3175" s="5"/>
      <c r="B3175" s="5" t="s">
        <v>37</v>
      </c>
      <c r="C3175" s="73" t="str">
        <f t="shared" si="49"/>
        <v>Closed</v>
      </c>
      <c r="D3175" s="45" t="s">
        <v>17947</v>
      </c>
      <c r="E3175" s="54" t="s">
        <v>17948</v>
      </c>
      <c r="F3175" s="5" t="s">
        <v>404</v>
      </c>
      <c r="G3175" s="7">
        <f>DATE(2020,7,15)</f>
        <v>44027</v>
      </c>
      <c r="H3175" s="34">
        <v>1.8055555555555554</v>
      </c>
      <c r="I3175" s="5" t="s">
        <v>55</v>
      </c>
      <c r="J3175" s="7" t="s">
        <v>17949</v>
      </c>
      <c r="K3175" s="5" t="s">
        <v>406</v>
      </c>
      <c r="L3175" s="5" t="s">
        <v>17950</v>
      </c>
      <c r="M3175" s="5" t="s">
        <v>45</v>
      </c>
      <c r="N3175" s="5" t="s">
        <v>80</v>
      </c>
      <c r="O3175" s="5" t="s">
        <v>59</v>
      </c>
      <c r="P3175" s="7" t="s">
        <v>146</v>
      </c>
      <c r="Q3175" s="7" t="s">
        <v>4531</v>
      </c>
      <c r="R3175" s="7" t="s">
        <v>3083</v>
      </c>
      <c r="S3175" s="5">
        <v>0</v>
      </c>
      <c r="T3175" s="36">
        <v>0</v>
      </c>
      <c r="U3175" s="5">
        <v>0</v>
      </c>
      <c r="V3175" s="36">
        <v>0</v>
      </c>
      <c r="W3175" s="5">
        <v>0</v>
      </c>
      <c r="X3175" s="5">
        <v>0</v>
      </c>
      <c r="Y3175" s="5">
        <v>0</v>
      </c>
      <c r="Z3175" s="36">
        <v>0</v>
      </c>
      <c r="AA3175" s="5">
        <v>0</v>
      </c>
      <c r="AB3175" s="5">
        <v>0</v>
      </c>
      <c r="AC3175" s="5">
        <v>0</v>
      </c>
      <c r="AD3175" s="5">
        <v>0</v>
      </c>
      <c r="AE3175" s="7" t="s">
        <v>73</v>
      </c>
      <c r="AF3175" s="7"/>
      <c r="AG3175" s="7" t="s">
        <v>333</v>
      </c>
      <c r="AH3175" s="7">
        <v>44027</v>
      </c>
      <c r="AI3175" s="5">
        <v>0</v>
      </c>
      <c r="AJ3175" s="7" t="s">
        <v>17951</v>
      </c>
      <c r="AK3175" s="7" t="s">
        <v>50</v>
      </c>
    </row>
    <row r="3176" spans="1:37" ht="36.75" customHeight="1" x14ac:dyDescent="0.35">
      <c r="A3176" s="5"/>
      <c r="B3176" s="5" t="s">
        <v>37</v>
      </c>
      <c r="C3176" s="73" t="str">
        <f t="shared" si="49"/>
        <v>Closed</v>
      </c>
      <c r="D3176" s="45" t="s">
        <v>17952</v>
      </c>
      <c r="E3176" s="54" t="s">
        <v>17953</v>
      </c>
      <c r="F3176" s="5" t="s">
        <v>404</v>
      </c>
      <c r="G3176" s="7">
        <f>DATE(2020,7,21)</f>
        <v>44033</v>
      </c>
      <c r="H3176" s="34">
        <v>1.6972222222222224</v>
      </c>
      <c r="I3176" s="5" t="s">
        <v>97</v>
      </c>
      <c r="J3176" s="7" t="s">
        <v>17954</v>
      </c>
      <c r="K3176" s="5" t="s">
        <v>406</v>
      </c>
      <c r="L3176" s="5" t="s">
        <v>17955</v>
      </c>
      <c r="M3176" s="5" t="s">
        <v>45</v>
      </c>
      <c r="N3176" s="5" t="s">
        <v>80</v>
      </c>
      <c r="O3176" s="5" t="s">
        <v>46</v>
      </c>
      <c r="P3176" s="7" t="s">
        <v>146</v>
      </c>
      <c r="Q3176" s="7" t="s">
        <v>4531</v>
      </c>
      <c r="R3176" s="7" t="s">
        <v>17330</v>
      </c>
      <c r="S3176" s="5">
        <v>0</v>
      </c>
      <c r="T3176" s="36">
        <v>0</v>
      </c>
      <c r="U3176" s="5">
        <v>2</v>
      </c>
      <c r="V3176" s="36">
        <v>0</v>
      </c>
      <c r="W3176" s="5">
        <v>0</v>
      </c>
      <c r="X3176" s="5">
        <v>2</v>
      </c>
      <c r="Y3176" s="5">
        <v>0</v>
      </c>
      <c r="Z3176" s="36">
        <v>0</v>
      </c>
      <c r="AA3176" s="5">
        <v>0</v>
      </c>
      <c r="AB3176" s="5">
        <v>0</v>
      </c>
      <c r="AC3176" s="5">
        <v>0</v>
      </c>
      <c r="AD3176" s="5">
        <v>0</v>
      </c>
      <c r="AE3176" s="7" t="s">
        <v>73</v>
      </c>
      <c r="AF3176" s="7" t="s">
        <v>17956</v>
      </c>
      <c r="AG3176" s="7" t="s">
        <v>16251</v>
      </c>
      <c r="AH3176" s="7">
        <v>44033</v>
      </c>
      <c r="AI3176" s="5">
        <v>3</v>
      </c>
      <c r="AJ3176" s="7" t="s">
        <v>17957</v>
      </c>
      <c r="AK3176" s="7" t="s">
        <v>860</v>
      </c>
    </row>
    <row r="3177" spans="1:37" ht="36.75" customHeight="1" x14ac:dyDescent="0.35">
      <c r="A3177" s="23" t="s">
        <v>4890</v>
      </c>
      <c r="B3177" s="5" t="s">
        <v>37</v>
      </c>
      <c r="C3177" s="73" t="str">
        <f t="shared" si="49"/>
        <v>Closed</v>
      </c>
      <c r="D3177" s="45" t="s">
        <v>17958</v>
      </c>
      <c r="E3177" s="54" t="s">
        <v>17959</v>
      </c>
      <c r="F3177" s="5" t="s">
        <v>404</v>
      </c>
      <c r="G3177" s="7">
        <f>DATE(2020,7,22)</f>
        <v>44034</v>
      </c>
      <c r="H3177" s="34">
        <v>1.2993055555555555</v>
      </c>
      <c r="I3177" s="5" t="s">
        <v>85</v>
      </c>
      <c r="J3177" s="7" t="s">
        <v>17960</v>
      </c>
      <c r="K3177" s="5" t="s">
        <v>406</v>
      </c>
      <c r="L3177" s="5" t="s">
        <v>17961</v>
      </c>
      <c r="M3177" s="5" t="s">
        <v>45</v>
      </c>
      <c r="N3177" s="5" t="s">
        <v>80</v>
      </c>
      <c r="O3177" s="5" t="s">
        <v>59</v>
      </c>
      <c r="P3177" s="7" t="s">
        <v>146</v>
      </c>
      <c r="Q3177" s="7" t="s">
        <v>17962</v>
      </c>
      <c r="R3177" s="7" t="s">
        <v>3083</v>
      </c>
      <c r="S3177" s="5">
        <v>0</v>
      </c>
      <c r="T3177" s="36">
        <v>0</v>
      </c>
      <c r="U3177" s="5">
        <v>0</v>
      </c>
      <c r="V3177" s="36">
        <v>0</v>
      </c>
      <c r="W3177" s="5">
        <v>0</v>
      </c>
      <c r="X3177" s="5">
        <v>0</v>
      </c>
      <c r="Y3177" s="5">
        <v>0</v>
      </c>
      <c r="Z3177" s="36">
        <v>0</v>
      </c>
      <c r="AA3177" s="5">
        <v>0</v>
      </c>
      <c r="AB3177" s="5">
        <v>0</v>
      </c>
      <c r="AC3177" s="5">
        <v>0</v>
      </c>
      <c r="AD3177" s="5">
        <v>0</v>
      </c>
      <c r="AE3177" s="7" t="s">
        <v>73</v>
      </c>
      <c r="AF3177" s="7"/>
      <c r="AG3177" s="7" t="s">
        <v>855</v>
      </c>
      <c r="AH3177" s="7">
        <v>44034</v>
      </c>
      <c r="AI3177" s="5">
        <v>0</v>
      </c>
      <c r="AJ3177" s="7" t="s">
        <v>50</v>
      </c>
      <c r="AK3177" s="7" t="s">
        <v>50</v>
      </c>
    </row>
    <row r="3178" spans="1:37" ht="36.75" customHeight="1" x14ac:dyDescent="0.35">
      <c r="A3178" s="5"/>
      <c r="B3178" s="5" t="s">
        <v>37</v>
      </c>
      <c r="C3178" s="73" t="str">
        <f t="shared" si="49"/>
        <v>Closed</v>
      </c>
      <c r="D3178" s="45" t="s">
        <v>17963</v>
      </c>
      <c r="E3178" s="54" t="s">
        <v>17964</v>
      </c>
      <c r="F3178" s="5" t="s">
        <v>404</v>
      </c>
      <c r="G3178" s="7">
        <f>DATE(2020,7,22)</f>
        <v>44034</v>
      </c>
      <c r="H3178" s="34">
        <v>1.6194444444444445</v>
      </c>
      <c r="I3178" s="5" t="s">
        <v>55</v>
      </c>
      <c r="J3178" s="7" t="s">
        <v>17965</v>
      </c>
      <c r="K3178" s="5" t="s">
        <v>406</v>
      </c>
      <c r="L3178" s="5" t="s">
        <v>17966</v>
      </c>
      <c r="M3178" s="5" t="s">
        <v>45</v>
      </c>
      <c r="N3178" s="5" t="s">
        <v>80</v>
      </c>
      <c r="O3178" s="5" t="s">
        <v>59</v>
      </c>
      <c r="P3178" s="7" t="s">
        <v>146</v>
      </c>
      <c r="Q3178" s="7" t="s">
        <v>4531</v>
      </c>
      <c r="R3178" s="7" t="s">
        <v>3083</v>
      </c>
      <c r="S3178" s="5">
        <v>0</v>
      </c>
      <c r="T3178" s="36">
        <v>0</v>
      </c>
      <c r="U3178" s="5">
        <v>0</v>
      </c>
      <c r="V3178" s="36">
        <v>0</v>
      </c>
      <c r="W3178" s="5">
        <v>0</v>
      </c>
      <c r="X3178" s="5">
        <v>0</v>
      </c>
      <c r="Y3178" s="5">
        <v>0</v>
      </c>
      <c r="Z3178" s="36">
        <v>0</v>
      </c>
      <c r="AA3178" s="5">
        <v>0</v>
      </c>
      <c r="AB3178" s="5">
        <v>0</v>
      </c>
      <c r="AC3178" s="5">
        <v>0</v>
      </c>
      <c r="AD3178" s="5">
        <v>0</v>
      </c>
      <c r="AE3178" s="5">
        <v>0</v>
      </c>
      <c r="AF3178" s="5">
        <v>0</v>
      </c>
      <c r="AG3178" s="7" t="s">
        <v>16251</v>
      </c>
      <c r="AH3178" s="7">
        <v>44034</v>
      </c>
      <c r="AI3178" s="5">
        <v>1</v>
      </c>
      <c r="AJ3178" s="7" t="s">
        <v>17967</v>
      </c>
      <c r="AK3178" s="7" t="s">
        <v>860</v>
      </c>
    </row>
    <row r="3179" spans="1:37" ht="36.75" customHeight="1" x14ac:dyDescent="0.35">
      <c r="A3179" s="5"/>
      <c r="B3179" s="5" t="s">
        <v>37</v>
      </c>
      <c r="C3179" s="73" t="str">
        <f t="shared" si="49"/>
        <v>Closed</v>
      </c>
      <c r="D3179" s="45" t="s">
        <v>17968</v>
      </c>
      <c r="E3179" s="54" t="s">
        <v>17969</v>
      </c>
      <c r="F3179" s="5" t="s">
        <v>816</v>
      </c>
      <c r="G3179" s="7">
        <f>DATE(2020,7,23)</f>
        <v>44035</v>
      </c>
      <c r="H3179" s="34">
        <v>1.6458333333333335</v>
      </c>
      <c r="I3179" s="5" t="s">
        <v>85</v>
      </c>
      <c r="J3179" s="7" t="s">
        <v>17970</v>
      </c>
      <c r="K3179" s="5" t="s">
        <v>818</v>
      </c>
      <c r="L3179" s="5" t="s">
        <v>17971</v>
      </c>
      <c r="M3179" s="5" t="s">
        <v>45</v>
      </c>
      <c r="N3179" s="5" t="s">
        <v>70</v>
      </c>
      <c r="O3179" s="5" t="s">
        <v>59</v>
      </c>
      <c r="P3179" s="7" t="s">
        <v>362</v>
      </c>
      <c r="Q3179" s="7" t="s">
        <v>2142</v>
      </c>
      <c r="R3179" s="7" t="s">
        <v>821</v>
      </c>
      <c r="S3179" s="5">
        <v>0</v>
      </c>
      <c r="T3179" s="36">
        <v>0</v>
      </c>
      <c r="U3179" s="5">
        <v>0</v>
      </c>
      <c r="V3179" s="36">
        <v>0</v>
      </c>
      <c r="W3179" s="5">
        <v>0</v>
      </c>
      <c r="X3179" s="5">
        <v>0</v>
      </c>
      <c r="Y3179" s="5">
        <v>0</v>
      </c>
      <c r="Z3179" s="36">
        <v>0</v>
      </c>
      <c r="AA3179" s="5">
        <v>0</v>
      </c>
      <c r="AB3179" s="5">
        <v>0</v>
      </c>
      <c r="AC3179" s="5">
        <v>0</v>
      </c>
      <c r="AD3179" s="5">
        <v>0</v>
      </c>
      <c r="AE3179" s="7" t="s">
        <v>73</v>
      </c>
      <c r="AF3179" s="7" t="s">
        <v>17428</v>
      </c>
      <c r="AG3179" s="7" t="s">
        <v>570</v>
      </c>
      <c r="AH3179" s="7">
        <v>44036</v>
      </c>
      <c r="AI3179" s="5">
        <v>0</v>
      </c>
      <c r="AJ3179" s="7" t="s">
        <v>17972</v>
      </c>
      <c r="AK3179" s="7" t="s">
        <v>17973</v>
      </c>
    </row>
    <row r="3180" spans="1:37" ht="36.75" customHeight="1" x14ac:dyDescent="0.35">
      <c r="A3180" s="5"/>
      <c r="B3180" s="5" t="s">
        <v>14851</v>
      </c>
      <c r="C3180" s="73" t="str">
        <f t="shared" si="49"/>
        <v>In progress</v>
      </c>
      <c r="D3180" s="45" t="s">
        <v>17974</v>
      </c>
      <c r="E3180" s="54" t="s">
        <v>17975</v>
      </c>
      <c r="F3180" s="5" t="s">
        <v>563</v>
      </c>
      <c r="G3180" s="7">
        <f>DATE(2020,7,27)</f>
        <v>44039</v>
      </c>
      <c r="H3180" s="34">
        <v>1.7625000000000002</v>
      </c>
      <c r="I3180" s="5" t="s">
        <v>97</v>
      </c>
      <c r="J3180" s="7" t="s">
        <v>17976</v>
      </c>
      <c r="K3180" s="5" t="s">
        <v>565</v>
      </c>
      <c r="L3180" s="5" t="s">
        <v>17977</v>
      </c>
      <c r="M3180" s="5" t="s">
        <v>45</v>
      </c>
      <c r="N3180" s="5" t="s">
        <v>80</v>
      </c>
      <c r="O3180" s="5" t="s">
        <v>46</v>
      </c>
      <c r="P3180" s="7" t="s">
        <v>146</v>
      </c>
      <c r="Q3180" s="7" t="s">
        <v>9663</v>
      </c>
      <c r="R3180" s="7" t="s">
        <v>568</v>
      </c>
      <c r="S3180" s="5">
        <v>0</v>
      </c>
      <c r="T3180" s="36">
        <v>0</v>
      </c>
      <c r="U3180" s="5">
        <v>2</v>
      </c>
      <c r="V3180" s="36">
        <v>0</v>
      </c>
      <c r="W3180" s="5">
        <v>0</v>
      </c>
      <c r="X3180" s="5">
        <v>2</v>
      </c>
      <c r="Y3180" s="5">
        <v>0</v>
      </c>
      <c r="Z3180" s="36">
        <v>0</v>
      </c>
      <c r="AA3180" s="5">
        <v>0</v>
      </c>
      <c r="AB3180" s="5">
        <v>0</v>
      </c>
      <c r="AC3180" s="5">
        <v>0</v>
      </c>
      <c r="AD3180" s="5">
        <v>0</v>
      </c>
      <c r="AE3180" s="7" t="s">
        <v>73</v>
      </c>
      <c r="AF3180" s="7"/>
      <c r="AG3180" s="7" t="s">
        <v>64</v>
      </c>
      <c r="AH3180" s="7">
        <v>44071</v>
      </c>
      <c r="AI3180" s="5">
        <v>0</v>
      </c>
      <c r="AJ3180" s="7" t="s">
        <v>17978</v>
      </c>
      <c r="AK3180" s="7" t="s">
        <v>50</v>
      </c>
    </row>
    <row r="3181" spans="1:37" ht="36.75" customHeight="1" x14ac:dyDescent="0.35">
      <c r="A3181" s="5"/>
      <c r="B3181" s="5" t="s">
        <v>37</v>
      </c>
      <c r="C3181" s="73" t="s">
        <v>17979</v>
      </c>
      <c r="D3181" s="45" t="s">
        <v>17980</v>
      </c>
      <c r="E3181" s="54" t="s">
        <v>17981</v>
      </c>
      <c r="F3181" s="5" t="s">
        <v>816</v>
      </c>
      <c r="G3181" s="7">
        <f>DATE(2020,7,27)</f>
        <v>44039</v>
      </c>
      <c r="H3181" s="51">
        <v>1.3944444444444444</v>
      </c>
      <c r="I3181" s="5" t="s">
        <v>85</v>
      </c>
      <c r="J3181" s="7" t="s">
        <v>17982</v>
      </c>
      <c r="K3181" s="5" t="s">
        <v>818</v>
      </c>
      <c r="L3181" s="5" t="s">
        <v>17983</v>
      </c>
      <c r="M3181" s="5" t="s">
        <v>45</v>
      </c>
      <c r="N3181" s="5" t="s">
        <v>80</v>
      </c>
      <c r="O3181" s="5" t="s">
        <v>46</v>
      </c>
      <c r="P3181" s="7" t="s">
        <v>146</v>
      </c>
      <c r="Q3181" s="7" t="s">
        <v>2142</v>
      </c>
      <c r="R3181" s="7" t="s">
        <v>821</v>
      </c>
      <c r="S3181" s="5">
        <v>0</v>
      </c>
      <c r="T3181" s="36">
        <v>0</v>
      </c>
      <c r="U3181" s="5">
        <v>0</v>
      </c>
      <c r="V3181" s="36">
        <v>0</v>
      </c>
      <c r="W3181" s="5">
        <v>0</v>
      </c>
      <c r="X3181" s="5">
        <v>0</v>
      </c>
      <c r="Y3181" s="5">
        <v>0</v>
      </c>
      <c r="Z3181" s="36">
        <v>0</v>
      </c>
      <c r="AA3181" s="5">
        <v>0</v>
      </c>
      <c r="AB3181" s="5">
        <v>0</v>
      </c>
      <c r="AC3181" s="5">
        <v>0</v>
      </c>
      <c r="AD3181" s="5">
        <v>0</v>
      </c>
      <c r="AE3181" s="10" t="s">
        <v>17984</v>
      </c>
      <c r="AF3181" s="7" t="s">
        <v>17985</v>
      </c>
      <c r="AG3181" s="9" t="s">
        <v>11868</v>
      </c>
      <c r="AH3181" s="9">
        <v>44040</v>
      </c>
      <c r="AI3181" s="5">
        <v>1</v>
      </c>
      <c r="AJ3181" s="7" t="s">
        <v>17986</v>
      </c>
      <c r="AK3181" s="7" t="s">
        <v>17987</v>
      </c>
    </row>
    <row r="3182" spans="1:37" ht="36.75" customHeight="1" x14ac:dyDescent="0.35">
      <c r="A3182" s="5"/>
      <c r="B3182" s="5" t="s">
        <v>37</v>
      </c>
      <c r="C3182" s="73" t="str">
        <f t="shared" ref="C3182:C3191" si="50">IF(B3182="Notification","Open",IF(B3182="Interim Statement","In progress","Closed"))</f>
        <v>Closed</v>
      </c>
      <c r="D3182" s="45" t="s">
        <v>17988</v>
      </c>
      <c r="E3182" s="54" t="s">
        <v>17989</v>
      </c>
      <c r="F3182" s="5" t="s">
        <v>404</v>
      </c>
      <c r="G3182" s="7">
        <f>DATE(2020,7,28)</f>
        <v>44040</v>
      </c>
      <c r="H3182" s="34">
        <v>1.4770833333333333</v>
      </c>
      <c r="I3182" s="5" t="s">
        <v>10353</v>
      </c>
      <c r="J3182" s="7" t="s">
        <v>17990</v>
      </c>
      <c r="K3182" s="5" t="s">
        <v>406</v>
      </c>
      <c r="L3182" s="5" t="s">
        <v>406</v>
      </c>
      <c r="M3182" s="5" t="s">
        <v>17991</v>
      </c>
      <c r="N3182" s="5" t="s">
        <v>45</v>
      </c>
      <c r="O3182" s="5" t="s">
        <v>123</v>
      </c>
      <c r="P3182" s="7" t="s">
        <v>72</v>
      </c>
      <c r="Q3182" s="7" t="s">
        <v>3900</v>
      </c>
      <c r="R3182" s="7" t="s">
        <v>3083</v>
      </c>
      <c r="S3182" s="5">
        <v>0</v>
      </c>
      <c r="T3182" s="36">
        <v>0</v>
      </c>
      <c r="U3182" s="5">
        <v>0</v>
      </c>
      <c r="V3182" s="36">
        <v>0</v>
      </c>
      <c r="W3182" s="5">
        <v>0</v>
      </c>
      <c r="X3182" s="5">
        <v>0</v>
      </c>
      <c r="Y3182" s="5">
        <v>0</v>
      </c>
      <c r="Z3182" s="36">
        <v>1</v>
      </c>
      <c r="AA3182" s="5">
        <v>0</v>
      </c>
      <c r="AB3182" s="5">
        <v>0</v>
      </c>
      <c r="AC3182" s="5">
        <v>0</v>
      </c>
      <c r="AD3182" s="5">
        <v>1</v>
      </c>
      <c r="AE3182" s="7" t="s">
        <v>73</v>
      </c>
      <c r="AF3182" s="7" t="s">
        <v>17992</v>
      </c>
      <c r="AG3182" s="7" t="s">
        <v>16251</v>
      </c>
      <c r="AH3182" s="7">
        <v>44040</v>
      </c>
      <c r="AI3182" s="5">
        <v>0</v>
      </c>
      <c r="AJ3182" s="7" t="s">
        <v>17993</v>
      </c>
      <c r="AK3182" s="7" t="s">
        <v>17885</v>
      </c>
    </row>
    <row r="3183" spans="1:37" ht="36.75" customHeight="1" x14ac:dyDescent="0.35">
      <c r="A3183" s="5"/>
      <c r="B3183" s="5" t="s">
        <v>37</v>
      </c>
      <c r="C3183" s="73" t="str">
        <f t="shared" si="50"/>
        <v>Closed</v>
      </c>
      <c r="D3183" s="45" t="s">
        <v>17994</v>
      </c>
      <c r="E3183" s="54" t="s">
        <v>17995</v>
      </c>
      <c r="F3183" s="5" t="s">
        <v>5406</v>
      </c>
      <c r="G3183" s="7">
        <f>DATE(2020,7,31)</f>
        <v>44043</v>
      </c>
      <c r="H3183" s="34">
        <v>1.6430555555555557</v>
      </c>
      <c r="I3183" s="5" t="s">
        <v>179</v>
      </c>
      <c r="J3183" s="7" t="s">
        <v>17996</v>
      </c>
      <c r="K3183" s="5" t="s">
        <v>577</v>
      </c>
      <c r="L3183" s="5" t="s">
        <v>17997</v>
      </c>
      <c r="M3183" s="5" t="s">
        <v>45</v>
      </c>
      <c r="N3183" s="5" t="s">
        <v>123</v>
      </c>
      <c r="O3183" s="5" t="s">
        <v>59</v>
      </c>
      <c r="P3183" s="7" t="s">
        <v>47</v>
      </c>
      <c r="Q3183" s="7" t="s">
        <v>17253</v>
      </c>
      <c r="R3183" s="7" t="s">
        <v>17254</v>
      </c>
      <c r="S3183" s="5">
        <v>0</v>
      </c>
      <c r="T3183" s="36">
        <v>2</v>
      </c>
      <c r="U3183" s="5">
        <v>0</v>
      </c>
      <c r="V3183" s="36">
        <v>0</v>
      </c>
      <c r="W3183" s="5">
        <v>0</v>
      </c>
      <c r="X3183" s="5">
        <v>2</v>
      </c>
      <c r="Y3183" s="5">
        <v>2</v>
      </c>
      <c r="Z3183" s="36">
        <v>1</v>
      </c>
      <c r="AA3183" s="5">
        <v>0</v>
      </c>
      <c r="AB3183" s="5">
        <v>0</v>
      </c>
      <c r="AC3183" s="5">
        <v>0</v>
      </c>
      <c r="AD3183" s="5">
        <v>3</v>
      </c>
      <c r="AE3183" s="7" t="s">
        <v>126</v>
      </c>
      <c r="AF3183" s="7" t="s">
        <v>17998</v>
      </c>
      <c r="AG3183" s="7" t="s">
        <v>6438</v>
      </c>
      <c r="AH3183" s="7">
        <v>44044</v>
      </c>
      <c r="AI3183" s="5">
        <v>10</v>
      </c>
      <c r="AJ3183" s="7" t="s">
        <v>4590</v>
      </c>
      <c r="AK3183" s="7" t="s">
        <v>17999</v>
      </c>
    </row>
    <row r="3184" spans="1:37" ht="36.75" customHeight="1" x14ac:dyDescent="0.35">
      <c r="A3184" s="23" t="s">
        <v>4890</v>
      </c>
      <c r="B3184" s="5" t="s">
        <v>37</v>
      </c>
      <c r="C3184" s="73" t="str">
        <f t="shared" si="50"/>
        <v>Closed</v>
      </c>
      <c r="D3184" s="45" t="s">
        <v>18000</v>
      </c>
      <c r="E3184" s="54" t="s">
        <v>18001</v>
      </c>
      <c r="F3184" s="5" t="s">
        <v>404</v>
      </c>
      <c r="G3184" s="7">
        <f>DATE(2020,8,5)</f>
        <v>44048</v>
      </c>
      <c r="H3184" s="34">
        <v>1.3493055555555555</v>
      </c>
      <c r="I3184" s="5" t="s">
        <v>97</v>
      </c>
      <c r="J3184" s="7" t="s">
        <v>18002</v>
      </c>
      <c r="K3184" s="5" t="s">
        <v>406</v>
      </c>
      <c r="L3184" s="5" t="s">
        <v>18003</v>
      </c>
      <c r="M3184" s="5" t="s">
        <v>45</v>
      </c>
      <c r="N3184" s="5" t="s">
        <v>80</v>
      </c>
      <c r="O3184" s="5" t="s">
        <v>46</v>
      </c>
      <c r="P3184" s="7" t="s">
        <v>60</v>
      </c>
      <c r="Q3184" s="7" t="s">
        <v>2562</v>
      </c>
      <c r="R3184" s="7" t="s">
        <v>3083</v>
      </c>
      <c r="S3184" s="5">
        <v>0</v>
      </c>
      <c r="T3184" s="38">
        <v>0</v>
      </c>
      <c r="U3184" s="5">
        <v>1</v>
      </c>
      <c r="V3184" s="38">
        <v>0</v>
      </c>
      <c r="W3184" s="5">
        <v>0</v>
      </c>
      <c r="X3184" s="5">
        <v>1</v>
      </c>
      <c r="Y3184" s="5">
        <v>0</v>
      </c>
      <c r="Z3184" s="38">
        <v>0</v>
      </c>
      <c r="AA3184" s="5">
        <v>0</v>
      </c>
      <c r="AB3184" s="5">
        <v>0</v>
      </c>
      <c r="AC3184" s="5">
        <v>0</v>
      </c>
      <c r="AD3184" s="5">
        <v>0</v>
      </c>
      <c r="AE3184" s="7" t="s">
        <v>73</v>
      </c>
      <c r="AF3184" s="7"/>
      <c r="AG3184" s="7" t="s">
        <v>855</v>
      </c>
      <c r="AH3184" s="7">
        <v>43959</v>
      </c>
      <c r="AI3184" s="5">
        <v>0</v>
      </c>
      <c r="AJ3184" s="7" t="s">
        <v>50</v>
      </c>
      <c r="AK3184" s="7" t="s">
        <v>50</v>
      </c>
    </row>
    <row r="3185" spans="1:37" ht="36.75" customHeight="1" x14ac:dyDescent="0.35">
      <c r="A3185" s="5"/>
      <c r="B3185" s="5" t="s">
        <v>37</v>
      </c>
      <c r="C3185" s="73" t="str">
        <f t="shared" si="50"/>
        <v>Closed</v>
      </c>
      <c r="D3185" s="45" t="s">
        <v>18004</v>
      </c>
      <c r="E3185" s="54" t="s">
        <v>18005</v>
      </c>
      <c r="F3185" s="5" t="s">
        <v>1553</v>
      </c>
      <c r="G3185" s="7">
        <f>DATE(2020,8,5)</f>
        <v>44048</v>
      </c>
      <c r="H3185" s="34">
        <v>1.5625</v>
      </c>
      <c r="I3185" s="5" t="s">
        <v>55</v>
      </c>
      <c r="J3185" s="7" t="s">
        <v>18006</v>
      </c>
      <c r="K3185" s="5" t="s">
        <v>1555</v>
      </c>
      <c r="L3185" s="5" t="s">
        <v>18007</v>
      </c>
      <c r="M3185" s="5" t="s">
        <v>45</v>
      </c>
      <c r="N3185" s="5" t="s">
        <v>80</v>
      </c>
      <c r="O3185" s="5" t="s">
        <v>46</v>
      </c>
      <c r="P3185" s="7" t="s">
        <v>60</v>
      </c>
      <c r="Q3185" s="7" t="s">
        <v>18008</v>
      </c>
      <c r="R3185" s="7" t="s">
        <v>18009</v>
      </c>
      <c r="S3185" s="5">
        <v>0</v>
      </c>
      <c r="T3185" s="36">
        <v>0</v>
      </c>
      <c r="U3185" s="5">
        <v>0</v>
      </c>
      <c r="V3185" s="36">
        <v>0</v>
      </c>
      <c r="W3185" s="5">
        <v>0</v>
      </c>
      <c r="X3185" s="5">
        <v>0</v>
      </c>
      <c r="Y3185" s="5">
        <v>0</v>
      </c>
      <c r="Z3185" s="36">
        <v>0</v>
      </c>
      <c r="AA3185" s="5">
        <v>0</v>
      </c>
      <c r="AB3185" s="5">
        <v>0</v>
      </c>
      <c r="AC3185" s="5">
        <v>0</v>
      </c>
      <c r="AD3185" s="5">
        <v>0</v>
      </c>
      <c r="AE3185" s="7" t="s">
        <v>73</v>
      </c>
      <c r="AF3185" s="7" t="s">
        <v>18010</v>
      </c>
      <c r="AG3185" s="7" t="s">
        <v>8837</v>
      </c>
      <c r="AH3185" s="7">
        <v>44049</v>
      </c>
      <c r="AI3185" s="5">
        <v>1</v>
      </c>
      <c r="AJ3185" s="7" t="s">
        <v>18011</v>
      </c>
      <c r="AK3185" s="7" t="s">
        <v>18012</v>
      </c>
    </row>
    <row r="3186" spans="1:37" ht="36.75" customHeight="1" x14ac:dyDescent="0.35">
      <c r="A3186" s="5"/>
      <c r="B3186" s="5" t="s">
        <v>37</v>
      </c>
      <c r="C3186" s="73" t="str">
        <f t="shared" si="50"/>
        <v>Closed</v>
      </c>
      <c r="D3186" s="45" t="s">
        <v>18013</v>
      </c>
      <c r="E3186" s="54" t="s">
        <v>18014</v>
      </c>
      <c r="F3186" s="5" t="s">
        <v>18015</v>
      </c>
      <c r="G3186" s="7">
        <f>DATE(2020,8,5)</f>
        <v>44048</v>
      </c>
      <c r="H3186" s="34">
        <v>1.2430555555555556</v>
      </c>
      <c r="I3186" s="5" t="s">
        <v>259</v>
      </c>
      <c r="J3186" s="7" t="s">
        <v>18016</v>
      </c>
      <c r="K3186" s="5" t="s">
        <v>121</v>
      </c>
      <c r="L3186" s="5" t="s">
        <v>18017</v>
      </c>
      <c r="M3186" s="5" t="s">
        <v>45</v>
      </c>
      <c r="N3186" s="5" t="s">
        <v>70</v>
      </c>
      <c r="O3186" s="5" t="s">
        <v>6854</v>
      </c>
      <c r="P3186" s="7" t="s">
        <v>72</v>
      </c>
      <c r="Q3186" s="7" t="s">
        <v>18018</v>
      </c>
      <c r="R3186" s="7" t="s">
        <v>18019</v>
      </c>
      <c r="S3186" s="5">
        <v>0</v>
      </c>
      <c r="T3186" s="36">
        <v>1</v>
      </c>
      <c r="U3186" s="5">
        <v>0</v>
      </c>
      <c r="V3186" s="36">
        <v>0</v>
      </c>
      <c r="W3186" s="5">
        <v>0</v>
      </c>
      <c r="X3186" s="5">
        <v>1</v>
      </c>
      <c r="Y3186" s="5">
        <v>0</v>
      </c>
      <c r="Z3186" s="36">
        <v>0</v>
      </c>
      <c r="AA3186" s="5">
        <v>0</v>
      </c>
      <c r="AB3186" s="5">
        <v>0</v>
      </c>
      <c r="AC3186" s="5">
        <v>0</v>
      </c>
      <c r="AD3186" s="5">
        <v>0</v>
      </c>
      <c r="AE3186" s="7" t="s">
        <v>73</v>
      </c>
      <c r="AF3186" s="7" t="s">
        <v>18020</v>
      </c>
      <c r="AG3186" s="7" t="s">
        <v>13508</v>
      </c>
      <c r="AH3186" s="7">
        <v>44053</v>
      </c>
      <c r="AI3186" s="5">
        <v>5</v>
      </c>
      <c r="AJ3186" s="7" t="s">
        <v>18021</v>
      </c>
      <c r="AK3186" s="7" t="s">
        <v>18022</v>
      </c>
    </row>
    <row r="3187" spans="1:37" ht="36.75" customHeight="1" x14ac:dyDescent="0.35">
      <c r="A3187" s="5"/>
      <c r="B3187" s="5" t="s">
        <v>37</v>
      </c>
      <c r="C3187" s="73" t="str">
        <f t="shared" si="50"/>
        <v>Closed</v>
      </c>
      <c r="D3187" s="45" t="s">
        <v>18023</v>
      </c>
      <c r="E3187" s="54" t="s">
        <v>18024</v>
      </c>
      <c r="F3187" s="5" t="s">
        <v>404</v>
      </c>
      <c r="G3187" s="7">
        <f>DATE(2020,8,11)</f>
        <v>44054</v>
      </c>
      <c r="H3187" s="34">
        <v>1.2444444444444445</v>
      </c>
      <c r="I3187" s="5" t="s">
        <v>179</v>
      </c>
      <c r="J3187" s="7" t="s">
        <v>18025</v>
      </c>
      <c r="K3187" s="5" t="s">
        <v>406</v>
      </c>
      <c r="L3187" s="5" t="s">
        <v>18026</v>
      </c>
      <c r="M3187" s="5" t="s">
        <v>45</v>
      </c>
      <c r="N3187" s="5" t="s">
        <v>80</v>
      </c>
      <c r="O3187" s="5" t="s">
        <v>59</v>
      </c>
      <c r="P3187" s="7" t="s">
        <v>60</v>
      </c>
      <c r="Q3187" s="7" t="s">
        <v>18027</v>
      </c>
      <c r="R3187" s="7" t="s">
        <v>17330</v>
      </c>
      <c r="S3187" s="5">
        <v>0</v>
      </c>
      <c r="T3187" s="36">
        <v>0</v>
      </c>
      <c r="U3187" s="5">
        <v>0</v>
      </c>
      <c r="V3187" s="36">
        <v>0</v>
      </c>
      <c r="W3187" s="5">
        <v>0</v>
      </c>
      <c r="X3187" s="5">
        <v>0</v>
      </c>
      <c r="Y3187" s="5">
        <v>0</v>
      </c>
      <c r="Z3187" s="36">
        <v>0</v>
      </c>
      <c r="AA3187" s="5">
        <v>0</v>
      </c>
      <c r="AB3187" s="5">
        <v>0</v>
      </c>
      <c r="AC3187" s="5">
        <v>0</v>
      </c>
      <c r="AD3187" s="5">
        <v>0</v>
      </c>
      <c r="AE3187" s="7" t="s">
        <v>375</v>
      </c>
      <c r="AF3187" s="7" t="s">
        <v>18028</v>
      </c>
      <c r="AG3187" s="7" t="s">
        <v>18029</v>
      </c>
      <c r="AH3187" s="7">
        <v>44054</v>
      </c>
      <c r="AI3187" s="5">
        <v>0</v>
      </c>
      <c r="AJ3187" s="7" t="s">
        <v>18030</v>
      </c>
      <c r="AK3187" s="7" t="s">
        <v>860</v>
      </c>
    </row>
    <row r="3188" spans="1:37" ht="36.75" customHeight="1" x14ac:dyDescent="0.35">
      <c r="A3188" s="5"/>
      <c r="B3188" s="5" t="s">
        <v>887</v>
      </c>
      <c r="C3188" s="73" t="str">
        <f t="shared" si="50"/>
        <v>Open</v>
      </c>
      <c r="D3188" s="45" t="s">
        <v>18031</v>
      </c>
      <c r="E3188" s="54" t="s">
        <v>18032</v>
      </c>
      <c r="F3188" s="5" t="s">
        <v>214</v>
      </c>
      <c r="G3188" s="7">
        <f>DATE(2020,8,12)</f>
        <v>44055</v>
      </c>
      <c r="H3188" s="34">
        <v>1.4027777777777777</v>
      </c>
      <c r="I3188" s="5" t="s">
        <v>55</v>
      </c>
      <c r="J3188" s="7" t="s">
        <v>18033</v>
      </c>
      <c r="K3188" s="5" t="s">
        <v>216</v>
      </c>
      <c r="L3188" s="5" t="s">
        <v>18034</v>
      </c>
      <c r="M3188" s="5" t="s">
        <v>45</v>
      </c>
      <c r="N3188" s="5" t="s">
        <v>123</v>
      </c>
      <c r="O3188" s="5" t="s">
        <v>46</v>
      </c>
      <c r="P3188" s="7" t="s">
        <v>146</v>
      </c>
      <c r="Q3188" s="7" t="s">
        <v>3658</v>
      </c>
      <c r="R3188" s="7" t="s">
        <v>216</v>
      </c>
      <c r="S3188" s="5">
        <v>1</v>
      </c>
      <c r="T3188" s="36">
        <v>2</v>
      </c>
      <c r="U3188" s="5">
        <v>0</v>
      </c>
      <c r="V3188" s="36">
        <v>0</v>
      </c>
      <c r="W3188" s="5">
        <v>0</v>
      </c>
      <c r="X3188" s="5">
        <v>3</v>
      </c>
      <c r="Y3188" s="5">
        <v>0</v>
      </c>
      <c r="Z3188" s="36">
        <v>0</v>
      </c>
      <c r="AA3188" s="5">
        <v>0</v>
      </c>
      <c r="AB3188" s="5">
        <v>0</v>
      </c>
      <c r="AC3188" s="5">
        <v>0</v>
      </c>
      <c r="AD3188" s="5">
        <v>0</v>
      </c>
      <c r="AE3188" s="7" t="s">
        <v>126</v>
      </c>
      <c r="AF3188" s="7"/>
      <c r="AG3188" s="7" t="s">
        <v>64</v>
      </c>
      <c r="AH3188" s="7">
        <v>44055</v>
      </c>
      <c r="AI3188" s="5">
        <v>0</v>
      </c>
      <c r="AJ3188" s="7" t="s">
        <v>50</v>
      </c>
      <c r="AK3188" s="7" t="s">
        <v>50</v>
      </c>
    </row>
    <row r="3189" spans="1:37" ht="36.75" customHeight="1" x14ac:dyDescent="0.35">
      <c r="A3189" s="23" t="s">
        <v>4890</v>
      </c>
      <c r="B3189" s="5" t="s">
        <v>37</v>
      </c>
      <c r="C3189" s="73" t="str">
        <f t="shared" si="50"/>
        <v>Closed</v>
      </c>
      <c r="D3189" s="45" t="s">
        <v>18035</v>
      </c>
      <c r="E3189" s="54" t="s">
        <v>18036</v>
      </c>
      <c r="F3189" s="5" t="s">
        <v>404</v>
      </c>
      <c r="G3189" s="7">
        <f>DATE(2020,8,13)</f>
        <v>44056</v>
      </c>
      <c r="H3189" s="34">
        <v>1.3854166666666667</v>
      </c>
      <c r="I3189" s="5" t="s">
        <v>55</v>
      </c>
      <c r="J3189" s="7" t="s">
        <v>18037</v>
      </c>
      <c r="K3189" s="5" t="s">
        <v>406</v>
      </c>
      <c r="L3189" s="5" t="s">
        <v>18038</v>
      </c>
      <c r="M3189" s="5" t="s">
        <v>45</v>
      </c>
      <c r="N3189" s="5" t="s">
        <v>123</v>
      </c>
      <c r="O3189" s="5" t="s">
        <v>59</v>
      </c>
      <c r="P3189" s="7" t="s">
        <v>47</v>
      </c>
      <c r="Q3189" s="7" t="s">
        <v>4531</v>
      </c>
      <c r="R3189" s="7" t="s">
        <v>3083</v>
      </c>
      <c r="S3189" s="5">
        <v>0</v>
      </c>
      <c r="T3189" s="36">
        <v>0</v>
      </c>
      <c r="U3189" s="5">
        <v>0</v>
      </c>
      <c r="V3189" s="36">
        <v>0</v>
      </c>
      <c r="W3189" s="5">
        <v>0</v>
      </c>
      <c r="X3189" s="5">
        <v>0</v>
      </c>
      <c r="Y3189" s="5">
        <v>0</v>
      </c>
      <c r="Z3189" s="36">
        <v>0</v>
      </c>
      <c r="AA3189" s="5">
        <v>0</v>
      </c>
      <c r="AB3189" s="5">
        <v>0</v>
      </c>
      <c r="AC3189" s="5">
        <v>0</v>
      </c>
      <c r="AD3189" s="5">
        <v>0</v>
      </c>
      <c r="AE3189" s="7" t="s">
        <v>73</v>
      </c>
      <c r="AF3189" s="7"/>
      <c r="AG3189" s="7" t="s">
        <v>114</v>
      </c>
      <c r="AH3189" s="7">
        <v>44056</v>
      </c>
      <c r="AI3189" s="5">
        <v>0</v>
      </c>
      <c r="AJ3189" s="7" t="s">
        <v>50</v>
      </c>
      <c r="AK3189" s="7" t="s">
        <v>50</v>
      </c>
    </row>
    <row r="3190" spans="1:37" ht="36.75" customHeight="1" x14ac:dyDescent="0.35">
      <c r="A3190" s="5"/>
      <c r="B3190" s="5" t="s">
        <v>37</v>
      </c>
      <c r="C3190" s="73" t="str">
        <f t="shared" si="50"/>
        <v>Closed</v>
      </c>
      <c r="D3190" s="45" t="s">
        <v>18039</v>
      </c>
      <c r="E3190" s="54" t="s">
        <v>18040</v>
      </c>
      <c r="F3190" s="5" t="s">
        <v>16397</v>
      </c>
      <c r="G3190" s="7">
        <f>DATE(2020,8,14)</f>
        <v>44057</v>
      </c>
      <c r="H3190" s="34">
        <v>1.3763888888888889</v>
      </c>
      <c r="I3190" s="5" t="s">
        <v>55</v>
      </c>
      <c r="J3190" s="7" t="s">
        <v>18041</v>
      </c>
      <c r="K3190" s="5" t="s">
        <v>406</v>
      </c>
      <c r="L3190" s="5" t="s">
        <v>18042</v>
      </c>
      <c r="M3190" s="5" t="s">
        <v>45</v>
      </c>
      <c r="N3190" s="5" t="s">
        <v>80</v>
      </c>
      <c r="O3190" s="5" t="s">
        <v>6854</v>
      </c>
      <c r="P3190" s="7" t="s">
        <v>72</v>
      </c>
      <c r="Q3190" s="7" t="s">
        <v>18043</v>
      </c>
      <c r="R3190" s="7" t="s">
        <v>18044</v>
      </c>
      <c r="S3190" s="5">
        <v>0</v>
      </c>
      <c r="T3190" s="36">
        <v>0</v>
      </c>
      <c r="U3190" s="5">
        <v>0</v>
      </c>
      <c r="V3190" s="36">
        <v>0</v>
      </c>
      <c r="W3190" s="5">
        <v>0</v>
      </c>
      <c r="X3190" s="5">
        <v>0</v>
      </c>
      <c r="Y3190" s="5">
        <v>0</v>
      </c>
      <c r="Z3190" s="36">
        <v>0</v>
      </c>
      <c r="AA3190" s="5">
        <v>0</v>
      </c>
      <c r="AB3190" s="5">
        <v>0</v>
      </c>
      <c r="AC3190" s="5">
        <v>0</v>
      </c>
      <c r="AD3190" s="5">
        <v>0</v>
      </c>
      <c r="AE3190" s="7" t="s">
        <v>73</v>
      </c>
      <c r="AF3190" s="7" t="s">
        <v>18045</v>
      </c>
      <c r="AG3190" s="7" t="s">
        <v>16251</v>
      </c>
      <c r="AH3190" s="7">
        <v>44057</v>
      </c>
      <c r="AI3190" s="5">
        <v>1</v>
      </c>
      <c r="AJ3190" s="7" t="s">
        <v>18046</v>
      </c>
      <c r="AK3190" s="7" t="s">
        <v>18047</v>
      </c>
    </row>
    <row r="3191" spans="1:37" ht="36.75" customHeight="1" x14ac:dyDescent="0.35">
      <c r="A3191" s="5"/>
      <c r="B3191" s="5" t="s">
        <v>37</v>
      </c>
      <c r="C3191" s="73" t="str">
        <f t="shared" si="50"/>
        <v>Closed</v>
      </c>
      <c r="D3191" s="45" t="s">
        <v>18048</v>
      </c>
      <c r="E3191" s="54" t="s">
        <v>18049</v>
      </c>
      <c r="F3191" s="5" t="s">
        <v>816</v>
      </c>
      <c r="G3191" s="7">
        <f>DATE(2020,8,14)</f>
        <v>44057</v>
      </c>
      <c r="H3191" s="52">
        <v>1.2749999999999999</v>
      </c>
      <c r="I3191" s="5" t="s">
        <v>106</v>
      </c>
      <c r="J3191" s="7" t="s">
        <v>18050</v>
      </c>
      <c r="K3191" s="5" t="s">
        <v>818</v>
      </c>
      <c r="L3191" s="5" t="s">
        <v>18051</v>
      </c>
      <c r="M3191" s="5" t="s">
        <v>45</v>
      </c>
      <c r="N3191" s="5" t="s">
        <v>123</v>
      </c>
      <c r="O3191" s="5" t="s">
        <v>59</v>
      </c>
      <c r="P3191" s="7" t="s">
        <v>534</v>
      </c>
      <c r="Q3191" s="7" t="s">
        <v>5819</v>
      </c>
      <c r="R3191" s="7" t="s">
        <v>821</v>
      </c>
      <c r="S3191" s="5">
        <v>0</v>
      </c>
      <c r="T3191" s="38">
        <v>0</v>
      </c>
      <c r="U3191" s="5">
        <v>0</v>
      </c>
      <c r="V3191" s="38">
        <v>0</v>
      </c>
      <c r="W3191" s="5">
        <v>0</v>
      </c>
      <c r="X3191" s="5">
        <v>0</v>
      </c>
      <c r="Y3191" s="5">
        <v>0</v>
      </c>
      <c r="Z3191" s="38">
        <v>0</v>
      </c>
      <c r="AA3191" s="5">
        <v>0</v>
      </c>
      <c r="AB3191" s="5">
        <v>0</v>
      </c>
      <c r="AC3191" s="5">
        <v>0</v>
      </c>
      <c r="AD3191" s="5">
        <v>0</v>
      </c>
      <c r="AE3191" s="7" t="s">
        <v>375</v>
      </c>
      <c r="AF3191" s="7"/>
      <c r="AG3191" s="5" t="s">
        <v>1489</v>
      </c>
      <c r="AH3191" s="7">
        <v>44057</v>
      </c>
      <c r="AI3191" s="5">
        <v>0</v>
      </c>
      <c r="AJ3191" s="7" t="s">
        <v>50</v>
      </c>
      <c r="AK3191" s="7" t="s">
        <v>50</v>
      </c>
    </row>
    <row r="3192" spans="1:37" ht="36.75" customHeight="1" x14ac:dyDescent="0.35">
      <c r="A3192" s="5"/>
      <c r="B3192" s="5" t="s">
        <v>37</v>
      </c>
      <c r="C3192" s="73" t="s">
        <v>17979</v>
      </c>
      <c r="D3192" s="45" t="s">
        <v>18052</v>
      </c>
      <c r="E3192" s="54" t="s">
        <v>18053</v>
      </c>
      <c r="F3192" s="5" t="s">
        <v>816</v>
      </c>
      <c r="G3192" s="7">
        <f>DATE(2020,8,16)</f>
        <v>44059</v>
      </c>
      <c r="H3192" s="34">
        <v>1.5902777777777777</v>
      </c>
      <c r="I3192" s="5" t="s">
        <v>55</v>
      </c>
      <c r="J3192" s="7" t="s">
        <v>18054</v>
      </c>
      <c r="K3192" s="5" t="s">
        <v>818</v>
      </c>
      <c r="L3192" s="5" t="s">
        <v>18055</v>
      </c>
      <c r="M3192" s="5" t="s">
        <v>45</v>
      </c>
      <c r="N3192" s="5" t="s">
        <v>80</v>
      </c>
      <c r="O3192" s="5" t="s">
        <v>46</v>
      </c>
      <c r="P3192" s="7" t="s">
        <v>60</v>
      </c>
      <c r="Q3192" s="7" t="s">
        <v>4688</v>
      </c>
      <c r="R3192" s="7" t="s">
        <v>821</v>
      </c>
      <c r="S3192" s="5">
        <v>0</v>
      </c>
      <c r="T3192" s="36">
        <v>0</v>
      </c>
      <c r="U3192" s="5">
        <v>0</v>
      </c>
      <c r="V3192" s="36">
        <v>0</v>
      </c>
      <c r="W3192" s="5">
        <v>0</v>
      </c>
      <c r="X3192" s="5">
        <v>0</v>
      </c>
      <c r="Y3192" s="5">
        <v>0</v>
      </c>
      <c r="Z3192" s="36">
        <v>0</v>
      </c>
      <c r="AA3192" s="5">
        <v>0</v>
      </c>
      <c r="AB3192" s="5">
        <v>0</v>
      </c>
      <c r="AC3192" s="5">
        <v>0</v>
      </c>
      <c r="AD3192" s="5">
        <v>0</v>
      </c>
      <c r="AE3192" s="7" t="s">
        <v>375</v>
      </c>
      <c r="AF3192" s="7" t="s">
        <v>18056</v>
      </c>
      <c r="AG3192" s="7" t="s">
        <v>333</v>
      </c>
      <c r="AH3192" s="7">
        <v>44060</v>
      </c>
      <c r="AI3192" s="5">
        <v>0</v>
      </c>
      <c r="AJ3192" s="7" t="s">
        <v>18057</v>
      </c>
      <c r="AK3192" s="7" t="s">
        <v>18058</v>
      </c>
    </row>
    <row r="3193" spans="1:37" ht="36.75" customHeight="1" x14ac:dyDescent="0.35">
      <c r="A3193" s="5"/>
      <c r="B3193" s="5" t="s">
        <v>37</v>
      </c>
      <c r="C3193" s="73" t="str">
        <f>IF(B3193="Notification","Open",IF(B3193="Interim Statement","In progress","Closed"))</f>
        <v>Closed</v>
      </c>
      <c r="D3193" s="45" t="s">
        <v>18059</v>
      </c>
      <c r="E3193" s="54" t="s">
        <v>18060</v>
      </c>
      <c r="F3193" s="5" t="s">
        <v>404</v>
      </c>
      <c r="G3193" s="7">
        <f>DATE(2020,8,18)</f>
        <v>44061</v>
      </c>
      <c r="H3193" s="34">
        <v>1.9624999999999999</v>
      </c>
      <c r="I3193" s="5" t="s">
        <v>137</v>
      </c>
      <c r="J3193" s="7" t="s">
        <v>18061</v>
      </c>
      <c r="K3193" s="5" t="s">
        <v>406</v>
      </c>
      <c r="L3193" s="5" t="s">
        <v>18062</v>
      </c>
      <c r="M3193" s="5" t="s">
        <v>45</v>
      </c>
      <c r="N3193" s="5" t="s">
        <v>123</v>
      </c>
      <c r="O3193" s="5" t="s">
        <v>46</v>
      </c>
      <c r="P3193" s="7" t="s">
        <v>146</v>
      </c>
      <c r="Q3193" s="7" t="s">
        <v>4531</v>
      </c>
      <c r="R3193" s="7" t="s">
        <v>3083</v>
      </c>
      <c r="S3193" s="5">
        <v>0</v>
      </c>
      <c r="T3193" s="38">
        <v>1</v>
      </c>
      <c r="U3193" s="5">
        <v>0</v>
      </c>
      <c r="V3193" s="38">
        <v>0</v>
      </c>
      <c r="W3193" s="5">
        <v>0</v>
      </c>
      <c r="X3193" s="5">
        <v>1</v>
      </c>
      <c r="Y3193" s="5">
        <v>0</v>
      </c>
      <c r="Z3193" s="38">
        <v>0</v>
      </c>
      <c r="AA3193" s="5">
        <v>0</v>
      </c>
      <c r="AB3193" s="5">
        <v>0</v>
      </c>
      <c r="AC3193" s="5">
        <v>0</v>
      </c>
      <c r="AD3193" s="5">
        <v>0</v>
      </c>
      <c r="AE3193" s="7" t="s">
        <v>73</v>
      </c>
      <c r="AF3193" s="7"/>
      <c r="AG3193" s="7" t="s">
        <v>114</v>
      </c>
      <c r="AH3193" s="7">
        <v>44062</v>
      </c>
      <c r="AI3193" s="5">
        <v>0</v>
      </c>
      <c r="AJ3193" s="7" t="s">
        <v>50</v>
      </c>
      <c r="AK3193" s="7" t="s">
        <v>50</v>
      </c>
    </row>
    <row r="3194" spans="1:37" ht="36.75" customHeight="1" x14ac:dyDescent="0.35">
      <c r="A3194" s="5"/>
      <c r="B3194" s="5" t="s">
        <v>37</v>
      </c>
      <c r="C3194" s="73" t="str">
        <f>IF(B3194="Notification","Open",IF(B3194="Interim Statement","In progress","Closed"))</f>
        <v>Closed</v>
      </c>
      <c r="D3194" s="45" t="s">
        <v>18063</v>
      </c>
      <c r="E3194" s="54" t="s">
        <v>18064</v>
      </c>
      <c r="F3194" s="5" t="s">
        <v>2316</v>
      </c>
      <c r="G3194" s="7">
        <f>DATE(2020,8,18)</f>
        <v>44061</v>
      </c>
      <c r="H3194" s="34">
        <v>1.3125</v>
      </c>
      <c r="I3194" s="5" t="s">
        <v>97</v>
      </c>
      <c r="J3194" s="7" t="s">
        <v>18065</v>
      </c>
      <c r="K3194" s="5" t="s">
        <v>2318</v>
      </c>
      <c r="L3194" s="5" t="s">
        <v>18066</v>
      </c>
      <c r="M3194" s="5" t="s">
        <v>45</v>
      </c>
      <c r="N3194" s="5" t="s">
        <v>123</v>
      </c>
      <c r="O3194" s="5" t="s">
        <v>46</v>
      </c>
      <c r="P3194" s="7" t="s">
        <v>47</v>
      </c>
      <c r="Q3194" s="7" t="s">
        <v>2925</v>
      </c>
      <c r="R3194" s="7" t="s">
        <v>2321</v>
      </c>
      <c r="S3194" s="5">
        <v>0</v>
      </c>
      <c r="T3194" s="36">
        <v>0</v>
      </c>
      <c r="U3194" s="5">
        <v>1</v>
      </c>
      <c r="V3194" s="36">
        <v>0</v>
      </c>
      <c r="W3194" s="5">
        <v>0</v>
      </c>
      <c r="X3194" s="5">
        <v>1</v>
      </c>
      <c r="Y3194" s="5">
        <v>0</v>
      </c>
      <c r="Z3194" s="36">
        <v>1</v>
      </c>
      <c r="AA3194" s="5">
        <v>0</v>
      </c>
      <c r="AB3194" s="5">
        <v>0</v>
      </c>
      <c r="AC3194" s="5">
        <v>0</v>
      </c>
      <c r="AD3194" s="5">
        <v>1</v>
      </c>
      <c r="AE3194" s="7" t="s">
        <v>375</v>
      </c>
      <c r="AF3194" s="7" t="s">
        <v>18067</v>
      </c>
      <c r="AG3194" s="7" t="s">
        <v>6438</v>
      </c>
      <c r="AH3194" s="7">
        <v>44063</v>
      </c>
      <c r="AI3194" s="5">
        <v>3</v>
      </c>
      <c r="AJ3194" s="7" t="s">
        <v>18068</v>
      </c>
      <c r="AK3194" s="7" t="s">
        <v>18069</v>
      </c>
    </row>
    <row r="3195" spans="1:37" ht="36.75" customHeight="1" x14ac:dyDescent="0.35">
      <c r="A3195" s="5"/>
      <c r="B3195" s="5" t="s">
        <v>14851</v>
      </c>
      <c r="C3195" s="73" t="str">
        <f>IF(B3195="Notification","Open",IF(B3195="Interim Statement","In progress","Closed"))</f>
        <v>In progress</v>
      </c>
      <c r="D3195" s="45" t="s">
        <v>18070</v>
      </c>
      <c r="E3195" s="54" t="s">
        <v>18071</v>
      </c>
      <c r="F3195" s="5" t="s">
        <v>96</v>
      </c>
      <c r="G3195" s="7">
        <f>DATE(2020,8,19)</f>
        <v>44062</v>
      </c>
      <c r="H3195" s="34">
        <v>1.2131944444444445</v>
      </c>
      <c r="I3195" s="5" t="s">
        <v>55</v>
      </c>
      <c r="J3195" s="7" t="s">
        <v>18072</v>
      </c>
      <c r="K3195" s="5" t="s">
        <v>99</v>
      </c>
      <c r="L3195" s="5" t="s">
        <v>18073</v>
      </c>
      <c r="M3195" s="5" t="s">
        <v>45</v>
      </c>
      <c r="N3195" s="5" t="s">
        <v>70</v>
      </c>
      <c r="O3195" s="5" t="s">
        <v>46</v>
      </c>
      <c r="P3195" s="7" t="s">
        <v>60</v>
      </c>
      <c r="Q3195" s="7" t="s">
        <v>101</v>
      </c>
      <c r="R3195" s="7" t="s">
        <v>102</v>
      </c>
      <c r="S3195" s="5">
        <v>0</v>
      </c>
      <c r="T3195" s="36">
        <v>0</v>
      </c>
      <c r="U3195" s="5">
        <v>0</v>
      </c>
      <c r="V3195" s="36">
        <v>0</v>
      </c>
      <c r="W3195" s="5">
        <v>0</v>
      </c>
      <c r="X3195" s="5">
        <v>0</v>
      </c>
      <c r="Y3195" s="5">
        <v>0</v>
      </c>
      <c r="Z3195" s="36">
        <v>0</v>
      </c>
      <c r="AA3195" s="5">
        <v>0</v>
      </c>
      <c r="AB3195" s="5">
        <v>0</v>
      </c>
      <c r="AC3195" s="5">
        <v>0</v>
      </c>
      <c r="AD3195" s="5">
        <v>0</v>
      </c>
      <c r="AE3195" s="7" t="s">
        <v>126</v>
      </c>
      <c r="AF3195" s="7"/>
      <c r="AG3195" s="7" t="s">
        <v>64</v>
      </c>
      <c r="AH3195" s="7">
        <v>44064</v>
      </c>
      <c r="AI3195" s="5">
        <v>0</v>
      </c>
      <c r="AJ3195" s="7" t="s">
        <v>50</v>
      </c>
      <c r="AK3195" s="7" t="s">
        <v>50</v>
      </c>
    </row>
    <row r="3196" spans="1:37" ht="36.75" customHeight="1" x14ac:dyDescent="0.35">
      <c r="A3196" s="5"/>
      <c r="B3196" s="5" t="s">
        <v>37</v>
      </c>
      <c r="C3196" s="73" t="str">
        <f>IF(B3196="Notification","Open",IF(B3196="Interim Statement","In progress","Closed"))</f>
        <v>Closed</v>
      </c>
      <c r="D3196" s="45" t="s">
        <v>18074</v>
      </c>
      <c r="E3196" s="54" t="s">
        <v>18075</v>
      </c>
      <c r="F3196" s="5" t="s">
        <v>18076</v>
      </c>
      <c r="G3196" s="7">
        <f>DATE(2020,8,19)</f>
        <v>44062</v>
      </c>
      <c r="H3196" s="34">
        <v>1.4930555555555556</v>
      </c>
      <c r="I3196" s="5" t="s">
        <v>468</v>
      </c>
      <c r="J3196" s="7" t="s">
        <v>18077</v>
      </c>
      <c r="K3196" s="5" t="s">
        <v>360</v>
      </c>
      <c r="L3196" s="5" t="s">
        <v>18078</v>
      </c>
      <c r="M3196" s="5" t="s">
        <v>45</v>
      </c>
      <c r="N3196" s="5" t="s">
        <v>123</v>
      </c>
      <c r="O3196" s="5" t="s">
        <v>59</v>
      </c>
      <c r="P3196" s="7" t="s">
        <v>146</v>
      </c>
      <c r="Q3196" s="7" t="s">
        <v>18079</v>
      </c>
      <c r="R3196" s="7" t="s">
        <v>17360</v>
      </c>
      <c r="S3196" s="5">
        <v>0</v>
      </c>
      <c r="T3196" s="36">
        <v>0</v>
      </c>
      <c r="U3196" s="5">
        <v>0</v>
      </c>
      <c r="V3196" s="36">
        <v>0</v>
      </c>
      <c r="W3196" s="5">
        <v>0</v>
      </c>
      <c r="X3196" s="5">
        <v>0</v>
      </c>
      <c r="Y3196" s="5">
        <v>0</v>
      </c>
      <c r="Z3196" s="36">
        <v>0</v>
      </c>
      <c r="AA3196" s="5">
        <v>0</v>
      </c>
      <c r="AB3196" s="5">
        <v>0</v>
      </c>
      <c r="AC3196" s="5">
        <v>0</v>
      </c>
      <c r="AD3196" s="5">
        <v>0</v>
      </c>
      <c r="AE3196" s="7" t="s">
        <v>126</v>
      </c>
      <c r="AF3196" s="7" t="s">
        <v>18080</v>
      </c>
      <c r="AG3196" s="7" t="s">
        <v>6438</v>
      </c>
      <c r="AH3196" s="7">
        <v>44062</v>
      </c>
      <c r="AI3196" s="5">
        <v>6</v>
      </c>
      <c r="AJ3196" s="7" t="s">
        <v>18081</v>
      </c>
      <c r="AK3196" s="7" t="s">
        <v>18082</v>
      </c>
    </row>
    <row r="3197" spans="1:37" ht="36.75" customHeight="1" thickBot="1" x14ac:dyDescent="0.4">
      <c r="A3197" s="5"/>
      <c r="B3197" s="5" t="s">
        <v>37</v>
      </c>
      <c r="C3197" s="73" t="str">
        <f>IF(B3197="Notification","Open",IF(B3197="Interim Statement","In progress","Closed"))</f>
        <v>Closed</v>
      </c>
      <c r="D3197" s="45" t="s">
        <v>18083</v>
      </c>
      <c r="E3197" s="54" t="s">
        <v>18084</v>
      </c>
      <c r="F3197" s="5" t="s">
        <v>1553</v>
      </c>
      <c r="G3197" s="7">
        <f>DATE(2020,8,24)</f>
        <v>44067</v>
      </c>
      <c r="H3197" s="34">
        <v>1.1513888888888888</v>
      </c>
      <c r="I3197" s="5" t="s">
        <v>106</v>
      </c>
      <c r="J3197" s="7" t="s">
        <v>18085</v>
      </c>
      <c r="K3197" s="5" t="s">
        <v>1555</v>
      </c>
      <c r="L3197" s="5" t="s">
        <v>18086</v>
      </c>
      <c r="M3197" s="5" t="s">
        <v>45</v>
      </c>
      <c r="N3197" s="5" t="s">
        <v>123</v>
      </c>
      <c r="O3197" s="5" t="s">
        <v>46</v>
      </c>
      <c r="P3197" s="7" t="s">
        <v>60</v>
      </c>
      <c r="Q3197" s="7" t="s">
        <v>18087</v>
      </c>
      <c r="R3197" s="7" t="s">
        <v>18009</v>
      </c>
      <c r="S3197" s="5">
        <v>0</v>
      </c>
      <c r="T3197" s="36">
        <v>0</v>
      </c>
      <c r="U3197" s="5">
        <v>0</v>
      </c>
      <c r="V3197" s="36">
        <v>0</v>
      </c>
      <c r="W3197" s="5">
        <v>0</v>
      </c>
      <c r="X3197" s="5">
        <v>0</v>
      </c>
      <c r="Y3197" s="5">
        <v>0</v>
      </c>
      <c r="Z3197" s="36">
        <v>0</v>
      </c>
      <c r="AA3197" s="5">
        <v>0</v>
      </c>
      <c r="AB3197" s="5">
        <v>0</v>
      </c>
      <c r="AC3197" s="5">
        <v>0</v>
      </c>
      <c r="AD3197" s="5">
        <v>0</v>
      </c>
      <c r="AE3197" s="7" t="s">
        <v>375</v>
      </c>
      <c r="AF3197" s="7" t="s">
        <v>18088</v>
      </c>
      <c r="AG3197" s="7" t="s">
        <v>8837</v>
      </c>
      <c r="AH3197" s="7">
        <v>44067</v>
      </c>
      <c r="AI3197" s="5">
        <v>1</v>
      </c>
      <c r="AJ3197" s="60" t="s">
        <v>18089</v>
      </c>
      <c r="AK3197" s="61" t="s">
        <v>18090</v>
      </c>
    </row>
    <row r="3198" spans="1:37" ht="36.75" customHeight="1" x14ac:dyDescent="0.35">
      <c r="A3198" s="5"/>
      <c r="B3198" s="5" t="s">
        <v>37</v>
      </c>
      <c r="C3198" s="73" t="s">
        <v>17979</v>
      </c>
      <c r="D3198" s="47" t="s">
        <v>18091</v>
      </c>
      <c r="E3198" s="54" t="s">
        <v>18092</v>
      </c>
      <c r="F3198" s="5" t="s">
        <v>17537</v>
      </c>
      <c r="G3198" s="7">
        <f>DATE(2020,8,25)</f>
        <v>44068</v>
      </c>
      <c r="H3198" s="52">
        <v>0.40625</v>
      </c>
      <c r="I3198" s="5" t="s">
        <v>4590</v>
      </c>
      <c r="J3198" s="5" t="s">
        <v>18093</v>
      </c>
      <c r="K3198" s="5" t="s">
        <v>818</v>
      </c>
      <c r="L3198" s="5" t="s">
        <v>18094</v>
      </c>
      <c r="M3198" s="5" t="s">
        <v>45</v>
      </c>
      <c r="N3198" s="5" t="s">
        <v>123</v>
      </c>
      <c r="O3198" s="5" t="s">
        <v>59</v>
      </c>
      <c r="P3198" s="5" t="s">
        <v>60</v>
      </c>
      <c r="Q3198" s="5" t="s">
        <v>18095</v>
      </c>
      <c r="R3198" s="5" t="s">
        <v>821</v>
      </c>
      <c r="S3198" s="5">
        <v>0</v>
      </c>
      <c r="T3198" s="5">
        <v>0</v>
      </c>
      <c r="U3198" s="5">
        <v>0</v>
      </c>
      <c r="V3198" s="5">
        <v>0</v>
      </c>
      <c r="W3198" s="5">
        <v>0</v>
      </c>
      <c r="X3198" s="5">
        <v>0</v>
      </c>
      <c r="Y3198" s="5">
        <v>0</v>
      </c>
      <c r="Z3198" s="5">
        <v>0</v>
      </c>
      <c r="AA3198" s="5">
        <v>0</v>
      </c>
      <c r="AB3198" s="5">
        <v>0</v>
      </c>
      <c r="AC3198" s="5">
        <v>0</v>
      </c>
      <c r="AD3198" s="5">
        <v>0</v>
      </c>
      <c r="AE3198" s="5" t="s">
        <v>73</v>
      </c>
      <c r="AF3198" s="5" t="s">
        <v>17985</v>
      </c>
      <c r="AG3198" s="5" t="s">
        <v>8837</v>
      </c>
      <c r="AH3198" s="62">
        <v>44433</v>
      </c>
      <c r="AI3198" s="5">
        <v>0</v>
      </c>
      <c r="AJ3198" s="5" t="s">
        <v>18096</v>
      </c>
      <c r="AK3198" s="5" t="s">
        <v>18097</v>
      </c>
    </row>
    <row r="3199" spans="1:37" ht="36.75" customHeight="1" x14ac:dyDescent="0.35">
      <c r="A3199" s="5"/>
      <c r="B3199" s="5" t="s">
        <v>37</v>
      </c>
      <c r="C3199" s="73" t="str">
        <f t="shared" ref="C3199:C3212" si="51">IF(B3199="Notification","Open",IF(B3199="Interim Statement","In progress","Closed"))</f>
        <v>Closed</v>
      </c>
      <c r="D3199" s="45" t="s">
        <v>18098</v>
      </c>
      <c r="E3199" s="54" t="s">
        <v>18099</v>
      </c>
      <c r="F3199" s="5" t="s">
        <v>6434</v>
      </c>
      <c r="G3199" s="7">
        <f>DATE(2020,8,30)</f>
        <v>44073</v>
      </c>
      <c r="H3199" s="34">
        <v>1.7743055555555554</v>
      </c>
      <c r="I3199" s="5" t="s">
        <v>55</v>
      </c>
      <c r="J3199" s="7" t="s">
        <v>18100</v>
      </c>
      <c r="K3199" s="5" t="s">
        <v>565</v>
      </c>
      <c r="L3199" s="5" t="s">
        <v>18101</v>
      </c>
      <c r="M3199" s="5" t="s">
        <v>45</v>
      </c>
      <c r="N3199" s="5" t="s">
        <v>123</v>
      </c>
      <c r="O3199" s="5" t="s">
        <v>46</v>
      </c>
      <c r="P3199" s="7" t="s">
        <v>60</v>
      </c>
      <c r="Q3199" s="7" t="s">
        <v>18102</v>
      </c>
      <c r="R3199" s="7" t="s">
        <v>9830</v>
      </c>
      <c r="S3199" s="5">
        <v>0</v>
      </c>
      <c r="T3199" s="36">
        <v>0</v>
      </c>
      <c r="U3199" s="5">
        <v>0</v>
      </c>
      <c r="V3199" s="36">
        <v>0</v>
      </c>
      <c r="W3199" s="5">
        <v>0</v>
      </c>
      <c r="X3199" s="5">
        <v>0</v>
      </c>
      <c r="Y3199" s="5">
        <v>0</v>
      </c>
      <c r="Z3199" s="36">
        <v>0</v>
      </c>
      <c r="AA3199" s="5">
        <v>0</v>
      </c>
      <c r="AB3199" s="5">
        <v>0</v>
      </c>
      <c r="AC3199" s="5">
        <v>0</v>
      </c>
      <c r="AD3199" s="5">
        <v>0</v>
      </c>
      <c r="AE3199" s="7" t="s">
        <v>126</v>
      </c>
      <c r="AF3199" s="7" t="s">
        <v>18103</v>
      </c>
      <c r="AG3199" s="7" t="s">
        <v>6438</v>
      </c>
      <c r="AH3199" s="7">
        <v>44076</v>
      </c>
      <c r="AI3199" s="5">
        <v>4</v>
      </c>
      <c r="AJ3199" s="7" t="s">
        <v>18104</v>
      </c>
      <c r="AK3199" s="7" t="s">
        <v>50</v>
      </c>
    </row>
    <row r="3200" spans="1:37" ht="36.75" customHeight="1" x14ac:dyDescent="0.35">
      <c r="A3200" s="5" t="s">
        <v>4890</v>
      </c>
      <c r="B3200" s="5" t="s">
        <v>37</v>
      </c>
      <c r="C3200" s="73" t="str">
        <f t="shared" si="51"/>
        <v>Closed</v>
      </c>
      <c r="D3200" s="45" t="s">
        <v>18105</v>
      </c>
      <c r="E3200" s="54" t="s">
        <v>18106</v>
      </c>
      <c r="F3200" s="5" t="s">
        <v>404</v>
      </c>
      <c r="G3200" s="7">
        <f>DATE(2020,8,31)</f>
        <v>44074</v>
      </c>
      <c r="H3200" s="34">
        <v>1.4736111111111112</v>
      </c>
      <c r="I3200" s="5" t="s">
        <v>259</v>
      </c>
      <c r="J3200" s="7" t="s">
        <v>18107</v>
      </c>
      <c r="K3200" s="5" t="s">
        <v>406</v>
      </c>
      <c r="L3200" s="5" t="s">
        <v>18108</v>
      </c>
      <c r="M3200" s="5" t="s">
        <v>45</v>
      </c>
      <c r="N3200" s="5" t="s">
        <v>80</v>
      </c>
      <c r="O3200" s="5" t="s">
        <v>46</v>
      </c>
      <c r="P3200" s="7" t="s">
        <v>146</v>
      </c>
      <c r="Q3200" s="7" t="s">
        <v>4531</v>
      </c>
      <c r="R3200" s="7" t="s">
        <v>3083</v>
      </c>
      <c r="S3200" s="5">
        <v>0</v>
      </c>
      <c r="T3200" s="36">
        <v>1</v>
      </c>
      <c r="U3200" s="5">
        <v>1</v>
      </c>
      <c r="V3200" s="36">
        <v>0</v>
      </c>
      <c r="W3200" s="5">
        <v>0</v>
      </c>
      <c r="X3200" s="5">
        <v>1</v>
      </c>
      <c r="Y3200" s="5">
        <v>0</v>
      </c>
      <c r="Z3200" s="36">
        <v>0</v>
      </c>
      <c r="AA3200" s="5">
        <v>0</v>
      </c>
      <c r="AB3200" s="5">
        <v>0</v>
      </c>
      <c r="AC3200" s="5">
        <v>0</v>
      </c>
      <c r="AD3200" s="5">
        <v>0</v>
      </c>
      <c r="AE3200" s="7" t="s">
        <v>73</v>
      </c>
      <c r="AF3200" s="7"/>
      <c r="AG3200" s="7" t="s">
        <v>855</v>
      </c>
      <c r="AH3200" s="7">
        <v>44074</v>
      </c>
      <c r="AI3200" s="5">
        <v>0</v>
      </c>
      <c r="AJ3200" s="7" t="s">
        <v>50</v>
      </c>
      <c r="AK3200" s="7" t="s">
        <v>50</v>
      </c>
    </row>
    <row r="3201" spans="1:37" ht="36.75" customHeight="1" x14ac:dyDescent="0.35">
      <c r="A3201" s="23" t="s">
        <v>4890</v>
      </c>
      <c r="B3201" s="5" t="s">
        <v>37</v>
      </c>
      <c r="C3201" s="73" t="str">
        <f t="shared" si="51"/>
        <v>Closed</v>
      </c>
      <c r="D3201" s="45" t="s">
        <v>18109</v>
      </c>
      <c r="E3201" s="54" t="s">
        <v>18110</v>
      </c>
      <c r="F3201" s="5" t="s">
        <v>404</v>
      </c>
      <c r="G3201" s="7">
        <f>DATE(2020,9,2)</f>
        <v>44076</v>
      </c>
      <c r="H3201" s="34">
        <v>1.3416666666666666</v>
      </c>
      <c r="I3201" s="5" t="s">
        <v>97</v>
      </c>
      <c r="J3201" s="7" t="s">
        <v>18111</v>
      </c>
      <c r="K3201" s="5" t="s">
        <v>406</v>
      </c>
      <c r="L3201" s="5" t="s">
        <v>18112</v>
      </c>
      <c r="M3201" s="5" t="s">
        <v>45</v>
      </c>
      <c r="N3201" s="5" t="s">
        <v>80</v>
      </c>
      <c r="O3201" s="5" t="s">
        <v>46</v>
      </c>
      <c r="P3201" s="7" t="s">
        <v>146</v>
      </c>
      <c r="Q3201" s="7" t="s">
        <v>4531</v>
      </c>
      <c r="R3201" s="7" t="s">
        <v>3083</v>
      </c>
      <c r="S3201" s="5">
        <v>0</v>
      </c>
      <c r="T3201" s="36">
        <v>0</v>
      </c>
      <c r="U3201" s="5">
        <v>1</v>
      </c>
      <c r="V3201" s="36">
        <v>0</v>
      </c>
      <c r="W3201" s="5">
        <v>0</v>
      </c>
      <c r="X3201" s="5">
        <v>1</v>
      </c>
      <c r="Y3201" s="5">
        <v>0</v>
      </c>
      <c r="Z3201" s="36">
        <v>0</v>
      </c>
      <c r="AA3201" s="5">
        <v>0</v>
      </c>
      <c r="AB3201" s="5">
        <v>0</v>
      </c>
      <c r="AC3201" s="5">
        <v>0</v>
      </c>
      <c r="AD3201" s="5">
        <v>0</v>
      </c>
      <c r="AE3201" s="7" t="s">
        <v>73</v>
      </c>
      <c r="AF3201" s="7"/>
      <c r="AG3201" s="7" t="s">
        <v>114</v>
      </c>
      <c r="AH3201" s="7">
        <v>43899</v>
      </c>
      <c r="AI3201" s="5">
        <v>0</v>
      </c>
      <c r="AJ3201" s="7" t="s">
        <v>50</v>
      </c>
      <c r="AK3201" s="7" t="s">
        <v>50</v>
      </c>
    </row>
    <row r="3202" spans="1:37" ht="36.75" customHeight="1" x14ac:dyDescent="0.35">
      <c r="A3202" s="5"/>
      <c r="B3202" s="5" t="s">
        <v>37</v>
      </c>
      <c r="C3202" s="73" t="str">
        <f t="shared" si="51"/>
        <v>Closed</v>
      </c>
      <c r="D3202" s="45" t="s">
        <v>18113</v>
      </c>
      <c r="E3202" s="54" t="s">
        <v>18114</v>
      </c>
      <c r="F3202" s="5" t="s">
        <v>2316</v>
      </c>
      <c r="G3202" s="7">
        <f>DATE(2020,9,3)</f>
        <v>44077</v>
      </c>
      <c r="H3202" s="34">
        <v>1.5763888888888888</v>
      </c>
      <c r="I3202" s="5" t="s">
        <v>97</v>
      </c>
      <c r="J3202" s="7" t="s">
        <v>18115</v>
      </c>
      <c r="K3202" s="5" t="s">
        <v>2318</v>
      </c>
      <c r="L3202" s="5" t="s">
        <v>18116</v>
      </c>
      <c r="M3202" s="5" t="s">
        <v>45</v>
      </c>
      <c r="N3202" s="5" t="s">
        <v>80</v>
      </c>
      <c r="O3202" s="5" t="s">
        <v>46</v>
      </c>
      <c r="P3202" s="7" t="s">
        <v>47</v>
      </c>
      <c r="Q3202" s="7" t="s">
        <v>2925</v>
      </c>
      <c r="R3202" s="7" t="s">
        <v>2321</v>
      </c>
      <c r="S3202" s="5">
        <v>0</v>
      </c>
      <c r="T3202" s="36">
        <v>0</v>
      </c>
      <c r="U3202" s="5">
        <v>2</v>
      </c>
      <c r="V3202" s="36">
        <v>0</v>
      </c>
      <c r="W3202" s="5">
        <v>0</v>
      </c>
      <c r="X3202" s="5">
        <v>2</v>
      </c>
      <c r="Y3202" s="5">
        <v>0</v>
      </c>
      <c r="Z3202" s="36">
        <v>0</v>
      </c>
      <c r="AA3202" s="5">
        <v>0</v>
      </c>
      <c r="AB3202" s="5">
        <v>0</v>
      </c>
      <c r="AC3202" s="5">
        <v>0</v>
      </c>
      <c r="AD3202" s="5">
        <v>0</v>
      </c>
      <c r="AE3202" s="7" t="s">
        <v>18067</v>
      </c>
      <c r="AF3202" s="7"/>
      <c r="AG3202" s="7" t="s">
        <v>64</v>
      </c>
      <c r="AH3202" s="7">
        <v>44084</v>
      </c>
      <c r="AI3202" s="5">
        <v>5</v>
      </c>
      <c r="AJ3202" s="7" t="s">
        <v>18117</v>
      </c>
      <c r="AK3202" s="7" t="s">
        <v>50</v>
      </c>
    </row>
    <row r="3203" spans="1:37" ht="36.75" customHeight="1" x14ac:dyDescent="0.35">
      <c r="A3203" s="5" t="s">
        <v>12448</v>
      </c>
      <c r="B3203" s="5" t="s">
        <v>37</v>
      </c>
      <c r="C3203" s="73" t="str">
        <f t="shared" si="51"/>
        <v>Closed</v>
      </c>
      <c r="D3203" s="91" t="s">
        <v>18118</v>
      </c>
      <c r="E3203" s="85" t="s">
        <v>18119</v>
      </c>
      <c r="F3203" s="69" t="s">
        <v>6434</v>
      </c>
      <c r="G3203" s="7">
        <f>DATE(2020,9,5)</f>
        <v>44079</v>
      </c>
      <c r="H3203" s="52">
        <v>1.1041666666666667</v>
      </c>
      <c r="I3203" s="69" t="s">
        <v>55</v>
      </c>
      <c r="J3203" s="69" t="s">
        <v>18120</v>
      </c>
      <c r="K3203" s="69" t="s">
        <v>565</v>
      </c>
      <c r="L3203" s="69" t="s">
        <v>18121</v>
      </c>
      <c r="M3203" s="69" t="s">
        <v>45</v>
      </c>
      <c r="N3203" s="69" t="s">
        <v>123</v>
      </c>
      <c r="O3203" s="69" t="s">
        <v>59</v>
      </c>
      <c r="P3203" s="69" t="s">
        <v>60</v>
      </c>
      <c r="Q3203" s="69" t="s">
        <v>13588</v>
      </c>
      <c r="R3203" s="69" t="s">
        <v>9830</v>
      </c>
      <c r="S3203" s="69">
        <v>0</v>
      </c>
      <c r="T3203" s="69">
        <v>0</v>
      </c>
      <c r="U3203" s="69">
        <v>0</v>
      </c>
      <c r="V3203" s="69">
        <v>0</v>
      </c>
      <c r="W3203" s="69">
        <v>0</v>
      </c>
      <c r="X3203" s="69">
        <v>0</v>
      </c>
      <c r="Y3203" s="69">
        <v>0</v>
      </c>
      <c r="Z3203" s="69">
        <v>0</v>
      </c>
      <c r="AA3203" s="69">
        <v>0</v>
      </c>
      <c r="AB3203" s="69">
        <v>0</v>
      </c>
      <c r="AC3203" s="69">
        <v>0</v>
      </c>
      <c r="AD3203" s="69">
        <v>0</v>
      </c>
      <c r="AE3203" s="69" t="s">
        <v>375</v>
      </c>
      <c r="AF3203" s="69" t="s">
        <v>18122</v>
      </c>
      <c r="AG3203" s="69" t="s">
        <v>8837</v>
      </c>
      <c r="AH3203" s="62">
        <v>44812</v>
      </c>
      <c r="AI3203" s="69">
        <v>0</v>
      </c>
      <c r="AJ3203" s="69" t="s">
        <v>18123</v>
      </c>
      <c r="AK3203" s="69"/>
    </row>
    <row r="3204" spans="1:37" ht="36.75" customHeight="1" x14ac:dyDescent="0.35">
      <c r="A3204" s="5"/>
      <c r="B3204" s="5" t="s">
        <v>37</v>
      </c>
      <c r="C3204" s="73" t="str">
        <f t="shared" si="51"/>
        <v>Closed</v>
      </c>
      <c r="D3204" s="45" t="s">
        <v>18124</v>
      </c>
      <c r="E3204" s="54" t="s">
        <v>18125</v>
      </c>
      <c r="F3204" s="5" t="s">
        <v>9767</v>
      </c>
      <c r="G3204" s="7">
        <f>DATE(2020,9,7)</f>
        <v>44081</v>
      </c>
      <c r="H3204" s="34">
        <v>1.6291666666666667</v>
      </c>
      <c r="I3204" s="5" t="s">
        <v>97</v>
      </c>
      <c r="J3204" s="7" t="s">
        <v>18126</v>
      </c>
      <c r="K3204" s="5" t="s">
        <v>9769</v>
      </c>
      <c r="L3204" s="5" t="s">
        <v>18127</v>
      </c>
      <c r="M3204" s="5" t="s">
        <v>45</v>
      </c>
      <c r="N3204" s="5" t="s">
        <v>80</v>
      </c>
      <c r="O3204" s="5" t="s">
        <v>46</v>
      </c>
      <c r="P3204" s="7" t="s">
        <v>60</v>
      </c>
      <c r="Q3204" s="7" t="s">
        <v>10235</v>
      </c>
      <c r="R3204" s="7" t="s">
        <v>9772</v>
      </c>
      <c r="S3204" s="5">
        <v>0</v>
      </c>
      <c r="T3204" s="36">
        <v>0</v>
      </c>
      <c r="U3204" s="5">
        <v>0</v>
      </c>
      <c r="V3204" s="36">
        <v>0</v>
      </c>
      <c r="W3204" s="5">
        <v>0</v>
      </c>
      <c r="X3204" s="5">
        <v>0</v>
      </c>
      <c r="Y3204" s="5">
        <v>0</v>
      </c>
      <c r="Z3204" s="36">
        <v>0</v>
      </c>
      <c r="AA3204" s="5">
        <v>1</v>
      </c>
      <c r="AB3204" s="5">
        <v>0</v>
      </c>
      <c r="AC3204" s="5">
        <v>0</v>
      </c>
      <c r="AD3204" s="5">
        <v>1</v>
      </c>
      <c r="AE3204" s="7" t="s">
        <v>73</v>
      </c>
      <c r="AF3204" s="7" t="s">
        <v>18128</v>
      </c>
      <c r="AG3204" s="7" t="s">
        <v>8837</v>
      </c>
      <c r="AH3204" s="7">
        <v>44083</v>
      </c>
      <c r="AI3204" s="5">
        <v>1</v>
      </c>
      <c r="AJ3204" s="7" t="s">
        <v>18129</v>
      </c>
      <c r="AK3204" s="7" t="s">
        <v>18130</v>
      </c>
    </row>
    <row r="3205" spans="1:37" ht="36.75" customHeight="1" x14ac:dyDescent="0.35">
      <c r="A3205" s="5"/>
      <c r="B3205" s="5" t="s">
        <v>37</v>
      </c>
      <c r="C3205" s="73" t="str">
        <f t="shared" si="51"/>
        <v>Closed</v>
      </c>
      <c r="D3205" s="45" t="s">
        <v>18131</v>
      </c>
      <c r="E3205" s="54" t="s">
        <v>18132</v>
      </c>
      <c r="F3205" s="5" t="s">
        <v>404</v>
      </c>
      <c r="G3205" s="7">
        <f>DATE(2020,9,9)</f>
        <v>44083</v>
      </c>
      <c r="H3205" s="34">
        <v>1.2972222222222223</v>
      </c>
      <c r="I3205" s="5" t="s">
        <v>179</v>
      </c>
      <c r="J3205" s="7" t="s">
        <v>18133</v>
      </c>
      <c r="K3205" s="5" t="s">
        <v>406</v>
      </c>
      <c r="L3205" s="5" t="s">
        <v>18134</v>
      </c>
      <c r="M3205" s="5" t="s">
        <v>45</v>
      </c>
      <c r="N3205" s="5" t="s">
        <v>80</v>
      </c>
      <c r="O3205" s="5" t="s">
        <v>59</v>
      </c>
      <c r="P3205" s="7" t="s">
        <v>18135</v>
      </c>
      <c r="Q3205" s="7" t="s">
        <v>10667</v>
      </c>
      <c r="R3205" s="7" t="s">
        <v>17330</v>
      </c>
      <c r="S3205" s="5">
        <v>0</v>
      </c>
      <c r="T3205" s="36">
        <v>0</v>
      </c>
      <c r="U3205" s="5">
        <v>0</v>
      </c>
      <c r="V3205" s="36">
        <v>0</v>
      </c>
      <c r="W3205" s="5">
        <v>0</v>
      </c>
      <c r="X3205" s="5">
        <v>0</v>
      </c>
      <c r="Y3205" s="5">
        <v>9</v>
      </c>
      <c r="Z3205" s="36">
        <v>2</v>
      </c>
      <c r="AA3205" s="5">
        <v>0</v>
      </c>
      <c r="AB3205" s="5">
        <v>0</v>
      </c>
      <c r="AC3205" s="5">
        <v>0</v>
      </c>
      <c r="AD3205" s="5">
        <v>11</v>
      </c>
      <c r="AE3205" s="7" t="s">
        <v>375</v>
      </c>
      <c r="AF3205" s="7" t="s">
        <v>18136</v>
      </c>
      <c r="AG3205" s="7" t="s">
        <v>64</v>
      </c>
      <c r="AH3205" s="7">
        <v>44083</v>
      </c>
      <c r="AI3205" s="5">
        <v>2</v>
      </c>
      <c r="AJ3205" s="7" t="s">
        <v>18137</v>
      </c>
      <c r="AK3205" s="7" t="s">
        <v>860</v>
      </c>
    </row>
    <row r="3206" spans="1:37" ht="36.75" customHeight="1" x14ac:dyDescent="0.35">
      <c r="A3206" s="5"/>
      <c r="B3206" s="5" t="s">
        <v>37</v>
      </c>
      <c r="C3206" s="73" t="str">
        <f t="shared" si="51"/>
        <v>Closed</v>
      </c>
      <c r="D3206" s="45" t="s">
        <v>18138</v>
      </c>
      <c r="E3206" s="54" t="s">
        <v>18139</v>
      </c>
      <c r="F3206" s="5" t="s">
        <v>1553</v>
      </c>
      <c r="G3206" s="7">
        <f>DATE(2020,9,13)</f>
        <v>44087</v>
      </c>
      <c r="H3206" s="34">
        <v>1.3145833333333332</v>
      </c>
      <c r="I3206" s="5" t="s">
        <v>55</v>
      </c>
      <c r="J3206" s="7" t="s">
        <v>18140</v>
      </c>
      <c r="K3206" s="5" t="s">
        <v>1555</v>
      </c>
      <c r="L3206" s="5" t="s">
        <v>18141</v>
      </c>
      <c r="M3206" s="5" t="s">
        <v>45</v>
      </c>
      <c r="N3206" s="5" t="s">
        <v>80</v>
      </c>
      <c r="O3206" s="5" t="s">
        <v>59</v>
      </c>
      <c r="P3206" s="7" t="s">
        <v>146</v>
      </c>
      <c r="Q3206" s="7" t="s">
        <v>18142</v>
      </c>
      <c r="R3206" s="7" t="s">
        <v>18009</v>
      </c>
      <c r="S3206" s="5">
        <v>0</v>
      </c>
      <c r="T3206" s="36">
        <v>0</v>
      </c>
      <c r="U3206" s="5">
        <v>0</v>
      </c>
      <c r="V3206" s="36">
        <v>0</v>
      </c>
      <c r="W3206" s="5">
        <v>0</v>
      </c>
      <c r="X3206" s="5">
        <v>0</v>
      </c>
      <c r="Y3206" s="5">
        <v>0</v>
      </c>
      <c r="Z3206" s="36">
        <v>0</v>
      </c>
      <c r="AA3206" s="5">
        <v>0</v>
      </c>
      <c r="AB3206" s="5">
        <v>0</v>
      </c>
      <c r="AC3206" s="5">
        <v>0</v>
      </c>
      <c r="AD3206" s="5">
        <v>0</v>
      </c>
      <c r="AE3206" s="7" t="s">
        <v>73</v>
      </c>
      <c r="AF3206" s="7" t="s">
        <v>18143</v>
      </c>
      <c r="AG3206" s="7" t="s">
        <v>8837</v>
      </c>
      <c r="AH3206" s="7">
        <v>44088</v>
      </c>
      <c r="AI3206" s="5">
        <v>2</v>
      </c>
      <c r="AJ3206" s="7" t="s">
        <v>18144</v>
      </c>
      <c r="AK3206" s="7" t="s">
        <v>18145</v>
      </c>
    </row>
    <row r="3207" spans="1:37" ht="36.75" customHeight="1" x14ac:dyDescent="0.35">
      <c r="A3207" s="5"/>
      <c r="B3207" s="5" t="s">
        <v>37</v>
      </c>
      <c r="C3207" s="73" t="str">
        <f t="shared" si="51"/>
        <v>Closed</v>
      </c>
      <c r="D3207" s="45" t="s">
        <v>18146</v>
      </c>
      <c r="E3207" s="54" t="s">
        <v>18147</v>
      </c>
      <c r="F3207" s="5" t="s">
        <v>1553</v>
      </c>
      <c r="G3207" s="7">
        <f>DATE(2020,9,13)</f>
        <v>44087</v>
      </c>
      <c r="H3207" s="34">
        <v>1.4479166666666667</v>
      </c>
      <c r="I3207" s="5" t="s">
        <v>55</v>
      </c>
      <c r="J3207" s="7" t="s">
        <v>18148</v>
      </c>
      <c r="K3207" s="5" t="s">
        <v>1555</v>
      </c>
      <c r="L3207" s="5" t="s">
        <v>18149</v>
      </c>
      <c r="M3207" s="5" t="s">
        <v>45</v>
      </c>
      <c r="N3207" s="5" t="s">
        <v>80</v>
      </c>
      <c r="O3207" s="5" t="s">
        <v>46</v>
      </c>
      <c r="P3207" s="7" t="s">
        <v>60</v>
      </c>
      <c r="Q3207" s="7" t="s">
        <v>18150</v>
      </c>
      <c r="R3207" s="7" t="s">
        <v>18009</v>
      </c>
      <c r="S3207" s="5">
        <v>0</v>
      </c>
      <c r="T3207" s="36">
        <v>0</v>
      </c>
      <c r="U3207" s="5">
        <v>0</v>
      </c>
      <c r="V3207" s="36">
        <v>0</v>
      </c>
      <c r="W3207" s="5">
        <v>0</v>
      </c>
      <c r="X3207" s="5">
        <v>0</v>
      </c>
      <c r="Y3207" s="5">
        <v>0</v>
      </c>
      <c r="Z3207" s="36">
        <v>0</v>
      </c>
      <c r="AA3207" s="5">
        <v>0</v>
      </c>
      <c r="AB3207" s="5">
        <v>0</v>
      </c>
      <c r="AC3207" s="5">
        <v>0</v>
      </c>
      <c r="AD3207" s="5">
        <v>0</v>
      </c>
      <c r="AE3207" s="7" t="s">
        <v>375</v>
      </c>
      <c r="AF3207" s="7" t="s">
        <v>18151</v>
      </c>
      <c r="AG3207" s="7" t="s">
        <v>8837</v>
      </c>
      <c r="AH3207" s="7">
        <v>44088</v>
      </c>
      <c r="AI3207" s="5">
        <v>4</v>
      </c>
      <c r="AJ3207" s="7" t="s">
        <v>18152</v>
      </c>
      <c r="AK3207" s="7" t="s">
        <v>18153</v>
      </c>
    </row>
    <row r="3208" spans="1:37" ht="36.75" customHeight="1" x14ac:dyDescent="0.35">
      <c r="A3208" s="5"/>
      <c r="B3208" s="5" t="s">
        <v>37</v>
      </c>
      <c r="C3208" s="73" t="str">
        <f t="shared" si="51"/>
        <v>Closed</v>
      </c>
      <c r="D3208" s="45" t="s">
        <v>18154</v>
      </c>
      <c r="E3208" s="54" t="s">
        <v>18155</v>
      </c>
      <c r="F3208" s="5" t="s">
        <v>16278</v>
      </c>
      <c r="G3208" s="7">
        <f>DATE(2020,9,17)</f>
        <v>44091</v>
      </c>
      <c r="H3208" s="34">
        <v>1.5729166666666665</v>
      </c>
      <c r="I3208" s="5" t="s">
        <v>55</v>
      </c>
      <c r="J3208" s="7" t="s">
        <v>18156</v>
      </c>
      <c r="K3208" s="5" t="s">
        <v>99</v>
      </c>
      <c r="L3208" s="5" t="s">
        <v>18157</v>
      </c>
      <c r="M3208" s="5" t="s">
        <v>45</v>
      </c>
      <c r="N3208" s="5" t="s">
        <v>123</v>
      </c>
      <c r="O3208" s="5" t="s">
        <v>46</v>
      </c>
      <c r="P3208" s="7" t="s">
        <v>60</v>
      </c>
      <c r="Q3208" s="7" t="s">
        <v>18158</v>
      </c>
      <c r="R3208" s="7" t="s">
        <v>18159</v>
      </c>
      <c r="S3208" s="5">
        <v>0</v>
      </c>
      <c r="T3208" s="36">
        <v>0</v>
      </c>
      <c r="U3208" s="5">
        <v>0</v>
      </c>
      <c r="V3208" s="36">
        <v>0</v>
      </c>
      <c r="W3208" s="5">
        <v>0</v>
      </c>
      <c r="X3208" s="5">
        <v>0</v>
      </c>
      <c r="Y3208" s="5">
        <v>0</v>
      </c>
      <c r="Z3208" s="36">
        <v>0</v>
      </c>
      <c r="AA3208" s="5">
        <v>0</v>
      </c>
      <c r="AB3208" s="5">
        <v>0</v>
      </c>
      <c r="AC3208" s="5">
        <v>0</v>
      </c>
      <c r="AD3208" s="5">
        <v>0</v>
      </c>
      <c r="AE3208" s="7" t="s">
        <v>126</v>
      </c>
      <c r="AF3208" s="7" t="s">
        <v>18160</v>
      </c>
      <c r="AG3208" s="7" t="s">
        <v>6438</v>
      </c>
      <c r="AH3208" s="7">
        <v>44102</v>
      </c>
      <c r="AI3208" s="5">
        <v>3</v>
      </c>
      <c r="AJ3208" s="7" t="s">
        <v>18161</v>
      </c>
      <c r="AK3208" s="7" t="s">
        <v>18162</v>
      </c>
    </row>
    <row r="3209" spans="1:37" ht="36.75" customHeight="1" x14ac:dyDescent="0.35">
      <c r="A3209" s="5"/>
      <c r="B3209" s="5" t="s">
        <v>37</v>
      </c>
      <c r="C3209" s="73" t="str">
        <f t="shared" si="51"/>
        <v>Closed</v>
      </c>
      <c r="D3209" s="45" t="s">
        <v>18163</v>
      </c>
      <c r="E3209" s="54" t="s">
        <v>18164</v>
      </c>
      <c r="F3209" s="5" t="s">
        <v>404</v>
      </c>
      <c r="G3209" s="7">
        <f>DATE(2020,9,18)</f>
        <v>44092</v>
      </c>
      <c r="H3209" s="34">
        <v>1.5534722222222221</v>
      </c>
      <c r="I3209" s="5" t="s">
        <v>97</v>
      </c>
      <c r="J3209" s="7" t="s">
        <v>18165</v>
      </c>
      <c r="K3209" s="5" t="s">
        <v>406</v>
      </c>
      <c r="L3209" s="5" t="s">
        <v>18166</v>
      </c>
      <c r="M3209" s="5" t="s">
        <v>45</v>
      </c>
      <c r="N3209" s="5" t="s">
        <v>80</v>
      </c>
      <c r="O3209" s="5" t="s">
        <v>59</v>
      </c>
      <c r="P3209" s="7" t="s">
        <v>146</v>
      </c>
      <c r="Q3209" s="7" t="s">
        <v>4531</v>
      </c>
      <c r="R3209" s="7" t="s">
        <v>3083</v>
      </c>
      <c r="S3209" s="5">
        <v>0</v>
      </c>
      <c r="T3209" s="36">
        <v>0</v>
      </c>
      <c r="U3209" s="5">
        <v>0</v>
      </c>
      <c r="V3209" s="36">
        <v>0</v>
      </c>
      <c r="W3209" s="5">
        <v>0</v>
      </c>
      <c r="X3209" s="5">
        <v>0</v>
      </c>
      <c r="Y3209" s="5">
        <v>0</v>
      </c>
      <c r="Z3209" s="36">
        <v>0</v>
      </c>
      <c r="AA3209" s="5">
        <v>0</v>
      </c>
      <c r="AB3209" s="5">
        <v>0</v>
      </c>
      <c r="AC3209" s="5">
        <v>0</v>
      </c>
      <c r="AD3209" s="5">
        <v>0</v>
      </c>
      <c r="AE3209" s="7" t="s">
        <v>73</v>
      </c>
      <c r="AF3209" s="7" t="s">
        <v>18167</v>
      </c>
      <c r="AG3209" s="7" t="s">
        <v>16251</v>
      </c>
      <c r="AH3209" s="7">
        <v>44092</v>
      </c>
      <c r="AI3209" s="5">
        <v>1</v>
      </c>
      <c r="AJ3209" s="7" t="s">
        <v>18168</v>
      </c>
      <c r="AK3209" s="7" t="s">
        <v>17885</v>
      </c>
    </row>
    <row r="3210" spans="1:37" ht="36.75" customHeight="1" x14ac:dyDescent="0.35">
      <c r="A3210" s="5"/>
      <c r="B3210" s="5" t="s">
        <v>37</v>
      </c>
      <c r="C3210" s="73" t="str">
        <f t="shared" si="51"/>
        <v>Closed</v>
      </c>
      <c r="D3210" s="45" t="s">
        <v>18169</v>
      </c>
      <c r="E3210" s="54" t="s">
        <v>18170</v>
      </c>
      <c r="F3210" s="5" t="s">
        <v>1553</v>
      </c>
      <c r="G3210" s="7">
        <f>DATE(2020,9,22)</f>
        <v>44096</v>
      </c>
      <c r="H3210" s="34">
        <v>1.9305555555555554</v>
      </c>
      <c r="I3210" s="5" t="s">
        <v>106</v>
      </c>
      <c r="J3210" s="7" t="s">
        <v>18171</v>
      </c>
      <c r="K3210" s="5" t="s">
        <v>1555</v>
      </c>
      <c r="L3210" s="5" t="s">
        <v>18172</v>
      </c>
      <c r="M3210" s="5" t="s">
        <v>45</v>
      </c>
      <c r="N3210" s="5" t="s">
        <v>123</v>
      </c>
      <c r="O3210" s="5" t="s">
        <v>46</v>
      </c>
      <c r="P3210" s="7" t="s">
        <v>60</v>
      </c>
      <c r="Q3210" s="7" t="s">
        <v>17404</v>
      </c>
      <c r="R3210" s="7" t="s">
        <v>6413</v>
      </c>
      <c r="S3210" s="5">
        <v>0</v>
      </c>
      <c r="T3210" s="36">
        <v>0</v>
      </c>
      <c r="U3210" s="5">
        <v>0</v>
      </c>
      <c r="V3210" s="36">
        <v>0</v>
      </c>
      <c r="W3210" s="5">
        <v>0</v>
      </c>
      <c r="X3210" s="5">
        <v>0</v>
      </c>
      <c r="Y3210" s="5">
        <v>0</v>
      </c>
      <c r="Z3210" s="36">
        <v>0</v>
      </c>
      <c r="AA3210" s="5">
        <v>0</v>
      </c>
      <c r="AB3210" s="5">
        <v>0</v>
      </c>
      <c r="AC3210" s="5">
        <v>0</v>
      </c>
      <c r="AD3210" s="5">
        <v>0</v>
      </c>
      <c r="AE3210" s="7" t="s">
        <v>73</v>
      </c>
      <c r="AF3210" s="7" t="s">
        <v>18173</v>
      </c>
      <c r="AG3210" s="7" t="s">
        <v>8837</v>
      </c>
      <c r="AH3210" s="7">
        <v>44097</v>
      </c>
      <c r="AI3210" s="5">
        <v>2</v>
      </c>
      <c r="AJ3210" s="7" t="s">
        <v>18174</v>
      </c>
      <c r="AK3210" s="7" t="s">
        <v>18175</v>
      </c>
    </row>
    <row r="3211" spans="1:37" ht="36.75" customHeight="1" x14ac:dyDescent="0.35">
      <c r="A3211" s="5"/>
      <c r="B3211" s="5" t="s">
        <v>14851</v>
      </c>
      <c r="C3211" s="73" t="str">
        <f t="shared" si="51"/>
        <v>In progress</v>
      </c>
      <c r="D3211" s="45" t="s">
        <v>18176</v>
      </c>
      <c r="E3211" s="54" t="s">
        <v>18177</v>
      </c>
      <c r="F3211" s="5" t="s">
        <v>6434</v>
      </c>
      <c r="G3211" s="7">
        <f>DATE(2020,9,24)</f>
        <v>44098</v>
      </c>
      <c r="H3211" s="34">
        <v>1.7777777777777777</v>
      </c>
      <c r="I3211" s="5" t="s">
        <v>55</v>
      </c>
      <c r="J3211" s="7" t="s">
        <v>18178</v>
      </c>
      <c r="K3211" s="5" t="s">
        <v>565</v>
      </c>
      <c r="L3211" s="5" t="s">
        <v>18179</v>
      </c>
      <c r="M3211" s="5" t="s">
        <v>45</v>
      </c>
      <c r="N3211" s="5" t="s">
        <v>123</v>
      </c>
      <c r="O3211" s="5" t="s">
        <v>59</v>
      </c>
      <c r="P3211" s="7" t="s">
        <v>60</v>
      </c>
      <c r="Q3211" s="7" t="s">
        <v>567</v>
      </c>
      <c r="R3211" s="7" t="s">
        <v>568</v>
      </c>
      <c r="S3211" s="5">
        <v>0</v>
      </c>
      <c r="T3211" s="36">
        <v>0</v>
      </c>
      <c r="U3211" s="5">
        <v>0</v>
      </c>
      <c r="V3211" s="36">
        <v>0</v>
      </c>
      <c r="W3211" s="5">
        <v>0</v>
      </c>
      <c r="X3211" s="5">
        <v>0</v>
      </c>
      <c r="Y3211" s="5">
        <v>0</v>
      </c>
      <c r="Z3211" s="36">
        <v>0</v>
      </c>
      <c r="AA3211" s="5">
        <v>0</v>
      </c>
      <c r="AB3211" s="5">
        <v>0</v>
      </c>
      <c r="AC3211" s="5">
        <v>0</v>
      </c>
      <c r="AD3211" s="5">
        <v>0</v>
      </c>
      <c r="AE3211" s="7" t="s">
        <v>375</v>
      </c>
      <c r="AF3211" s="7"/>
      <c r="AG3211" s="7" t="s">
        <v>570</v>
      </c>
      <c r="AH3211" s="7">
        <v>44099</v>
      </c>
      <c r="AI3211" s="5">
        <v>0</v>
      </c>
      <c r="AJ3211" s="7" t="s">
        <v>18180</v>
      </c>
      <c r="AK3211" s="7" t="s">
        <v>50</v>
      </c>
    </row>
    <row r="3212" spans="1:37" ht="36.75" customHeight="1" x14ac:dyDescent="0.35">
      <c r="A3212" s="5"/>
      <c r="B3212" s="5" t="s">
        <v>14851</v>
      </c>
      <c r="C3212" s="73" t="str">
        <f t="shared" si="51"/>
        <v>In progress</v>
      </c>
      <c r="D3212" s="45" t="s">
        <v>18181</v>
      </c>
      <c r="E3212" s="54" t="s">
        <v>18182</v>
      </c>
      <c r="F3212" s="5" t="s">
        <v>404</v>
      </c>
      <c r="G3212" s="7">
        <f>DATE(2020,9,26)</f>
        <v>44100</v>
      </c>
      <c r="H3212" s="34">
        <v>1.3583333333333334</v>
      </c>
      <c r="I3212" s="5" t="s">
        <v>55</v>
      </c>
      <c r="J3212" s="7" t="s">
        <v>18183</v>
      </c>
      <c r="K3212" s="5" t="s">
        <v>406</v>
      </c>
      <c r="L3212" s="5" t="s">
        <v>18184</v>
      </c>
      <c r="M3212" s="5" t="s">
        <v>45</v>
      </c>
      <c r="N3212" s="5" t="s">
        <v>123</v>
      </c>
      <c r="O3212" s="5" t="s">
        <v>59</v>
      </c>
      <c r="P3212" s="7" t="s">
        <v>60</v>
      </c>
      <c r="Q3212" s="7" t="s">
        <v>18185</v>
      </c>
      <c r="R3212" s="7" t="s">
        <v>17330</v>
      </c>
      <c r="S3212" s="5">
        <v>0</v>
      </c>
      <c r="T3212" s="36">
        <v>0</v>
      </c>
      <c r="U3212" s="5">
        <v>0</v>
      </c>
      <c r="V3212" s="36">
        <v>0</v>
      </c>
      <c r="W3212" s="5">
        <v>0</v>
      </c>
      <c r="X3212" s="5">
        <v>0</v>
      </c>
      <c r="Y3212" s="5">
        <v>0</v>
      </c>
      <c r="Z3212" s="36">
        <v>0</v>
      </c>
      <c r="AA3212" s="5">
        <v>0</v>
      </c>
      <c r="AB3212" s="5">
        <v>0</v>
      </c>
      <c r="AC3212" s="5">
        <v>0</v>
      </c>
      <c r="AD3212" s="5">
        <v>0</v>
      </c>
      <c r="AE3212" s="7" t="s">
        <v>375</v>
      </c>
      <c r="AF3212" s="7" t="s">
        <v>18186</v>
      </c>
      <c r="AG3212" s="7" t="s">
        <v>6438</v>
      </c>
      <c r="AH3212" s="7">
        <v>44100</v>
      </c>
      <c r="AI3212" s="5">
        <v>0</v>
      </c>
      <c r="AJ3212" s="7" t="s">
        <v>50</v>
      </c>
      <c r="AK3212" s="7" t="s">
        <v>50</v>
      </c>
    </row>
    <row r="3213" spans="1:37" ht="36.75" customHeight="1" x14ac:dyDescent="0.35">
      <c r="A3213" s="5"/>
      <c r="B3213" s="5" t="s">
        <v>37</v>
      </c>
      <c r="C3213" s="73" t="s">
        <v>17979</v>
      </c>
      <c r="D3213" s="47" t="s">
        <v>18187</v>
      </c>
      <c r="E3213" s="54" t="s">
        <v>18188</v>
      </c>
      <c r="F3213" s="5" t="s">
        <v>17537</v>
      </c>
      <c r="G3213" s="7">
        <f>DATE(2020,9,26)</f>
        <v>44100</v>
      </c>
      <c r="H3213" s="107">
        <v>1.03125</v>
      </c>
      <c r="I3213" s="5" t="s">
        <v>55</v>
      </c>
      <c r="J3213" s="5" t="s">
        <v>18189</v>
      </c>
      <c r="K3213" s="5" t="s">
        <v>818</v>
      </c>
      <c r="L3213" s="5" t="s">
        <v>18190</v>
      </c>
      <c r="M3213" s="5" t="s">
        <v>45</v>
      </c>
      <c r="N3213" s="5" t="s">
        <v>123</v>
      </c>
      <c r="O3213" s="5" t="s">
        <v>59</v>
      </c>
      <c r="P3213" s="5" t="s">
        <v>60</v>
      </c>
      <c r="Q3213" s="5" t="s">
        <v>18191</v>
      </c>
      <c r="R3213" s="5" t="s">
        <v>2777</v>
      </c>
      <c r="S3213" s="5">
        <v>0</v>
      </c>
      <c r="T3213" s="5">
        <v>0</v>
      </c>
      <c r="U3213" s="5">
        <v>0</v>
      </c>
      <c r="V3213" s="5">
        <v>0</v>
      </c>
      <c r="W3213" s="5">
        <v>0</v>
      </c>
      <c r="X3213" s="5">
        <v>0</v>
      </c>
      <c r="Y3213" s="5">
        <v>0</v>
      </c>
      <c r="Z3213" s="5">
        <v>0</v>
      </c>
      <c r="AA3213" s="5">
        <v>0</v>
      </c>
      <c r="AB3213" s="5">
        <v>0</v>
      </c>
      <c r="AC3213" s="5">
        <v>0</v>
      </c>
      <c r="AD3213" s="5">
        <v>0</v>
      </c>
      <c r="AE3213" s="21" t="s">
        <v>73</v>
      </c>
      <c r="AF3213" s="5" t="s">
        <v>18192</v>
      </c>
      <c r="AG3213" s="21" t="s">
        <v>8837</v>
      </c>
      <c r="AH3213" s="62">
        <v>44100</v>
      </c>
      <c r="AI3213" s="5">
        <v>1</v>
      </c>
      <c r="AJ3213" s="5" t="s">
        <v>18193</v>
      </c>
      <c r="AK3213" s="5" t="s">
        <v>18194</v>
      </c>
    </row>
    <row r="3214" spans="1:37" ht="36.75" customHeight="1" x14ac:dyDescent="0.35">
      <c r="A3214" s="5" t="s">
        <v>12448</v>
      </c>
      <c r="B3214" s="5" t="s">
        <v>37</v>
      </c>
      <c r="C3214" s="73" t="str">
        <f t="shared" ref="C3214:C3235" si="52">IF(B3214="Notification","Open",IF(B3214="Interim Statement","In progress","Closed"))</f>
        <v>Closed</v>
      </c>
      <c r="D3214" s="47" t="s">
        <v>18195</v>
      </c>
      <c r="E3214" s="54" t="s">
        <v>18196</v>
      </c>
      <c r="F3214" s="5" t="s">
        <v>17728</v>
      </c>
      <c r="G3214" s="7">
        <f>DATE(2020,9,28)</f>
        <v>44102</v>
      </c>
      <c r="H3214" s="107">
        <v>0.54652777777777783</v>
      </c>
      <c r="I3214" s="5" t="s">
        <v>106</v>
      </c>
      <c r="J3214" s="5" t="s">
        <v>18197</v>
      </c>
      <c r="K3214" s="5" t="s">
        <v>2583</v>
      </c>
      <c r="L3214" s="5" t="s">
        <v>18198</v>
      </c>
      <c r="M3214" s="5" t="s">
        <v>45</v>
      </c>
      <c r="N3214" s="5" t="s">
        <v>123</v>
      </c>
      <c r="O3214" s="5" t="s">
        <v>46</v>
      </c>
      <c r="P3214" s="5" t="s">
        <v>47</v>
      </c>
      <c r="Q3214" s="5" t="s">
        <v>17540</v>
      </c>
      <c r="R3214" s="5" t="s">
        <v>17330</v>
      </c>
      <c r="S3214" s="5">
        <v>0</v>
      </c>
      <c r="T3214" s="5">
        <v>0</v>
      </c>
      <c r="U3214" s="5">
        <v>0</v>
      </c>
      <c r="V3214" s="5">
        <v>0</v>
      </c>
      <c r="W3214" s="5">
        <v>0</v>
      </c>
      <c r="X3214" s="5">
        <v>0</v>
      </c>
      <c r="Y3214" s="5">
        <v>0</v>
      </c>
      <c r="Z3214" s="5">
        <v>0</v>
      </c>
      <c r="AA3214" s="5">
        <v>0</v>
      </c>
      <c r="AB3214" s="5">
        <v>0</v>
      </c>
      <c r="AC3214" s="5">
        <v>0</v>
      </c>
      <c r="AD3214" s="5">
        <v>0</v>
      </c>
      <c r="AE3214" s="5" t="s">
        <v>17731</v>
      </c>
      <c r="AF3214" s="5" t="s">
        <v>17732</v>
      </c>
      <c r="AG3214" s="21" t="s">
        <v>17941</v>
      </c>
      <c r="AH3214" s="7">
        <v>44102</v>
      </c>
      <c r="AI3214" s="5">
        <v>3</v>
      </c>
      <c r="AJ3214" s="5" t="s">
        <v>18199</v>
      </c>
      <c r="AK3214" s="5"/>
    </row>
    <row r="3215" spans="1:37" ht="36.75" customHeight="1" x14ac:dyDescent="0.35">
      <c r="A3215" s="5"/>
      <c r="B3215" s="5" t="s">
        <v>37</v>
      </c>
      <c r="C3215" s="73" t="str">
        <f t="shared" si="52"/>
        <v>Closed</v>
      </c>
      <c r="D3215" s="45" t="s">
        <v>18200</v>
      </c>
      <c r="E3215" s="54" t="s">
        <v>18201</v>
      </c>
      <c r="F3215" s="5" t="s">
        <v>9767</v>
      </c>
      <c r="G3215" s="7">
        <f>DATE(2020,9,28)</f>
        <v>44102</v>
      </c>
      <c r="H3215" s="51">
        <v>1.9409722222222223</v>
      </c>
      <c r="I3215" s="5" t="s">
        <v>55</v>
      </c>
      <c r="J3215" s="7" t="s">
        <v>18202</v>
      </c>
      <c r="K3215" s="5" t="s">
        <v>9769</v>
      </c>
      <c r="L3215" s="5" t="s">
        <v>18203</v>
      </c>
      <c r="M3215" s="5" t="s">
        <v>45</v>
      </c>
      <c r="N3215" s="5" t="s">
        <v>80</v>
      </c>
      <c r="O3215" s="5" t="s">
        <v>59</v>
      </c>
      <c r="P3215" s="7" t="s">
        <v>146</v>
      </c>
      <c r="Q3215" s="7" t="s">
        <v>9938</v>
      </c>
      <c r="R3215" s="7" t="s">
        <v>9772</v>
      </c>
      <c r="S3215" s="5">
        <v>0</v>
      </c>
      <c r="T3215" s="36">
        <v>0</v>
      </c>
      <c r="U3215" s="5">
        <v>0</v>
      </c>
      <c r="V3215" s="36">
        <v>0</v>
      </c>
      <c r="W3215" s="5">
        <v>0</v>
      </c>
      <c r="X3215" s="5">
        <v>0</v>
      </c>
      <c r="Y3215" s="5">
        <v>0</v>
      </c>
      <c r="Z3215" s="36">
        <v>0</v>
      </c>
      <c r="AA3215" s="5">
        <v>0</v>
      </c>
      <c r="AB3215" s="5">
        <v>0</v>
      </c>
      <c r="AC3215" s="5">
        <v>0</v>
      </c>
      <c r="AD3215" s="5">
        <v>0</v>
      </c>
      <c r="AE3215" s="7" t="s">
        <v>73</v>
      </c>
      <c r="AF3215" s="7" t="s">
        <v>18204</v>
      </c>
      <c r="AG3215" s="7" t="s">
        <v>8837</v>
      </c>
      <c r="AH3215" s="7">
        <v>44109</v>
      </c>
      <c r="AI3215" s="5">
        <v>0</v>
      </c>
      <c r="AJ3215" s="7" t="s">
        <v>18205</v>
      </c>
      <c r="AK3215" s="7" t="s">
        <v>18206</v>
      </c>
    </row>
    <row r="3216" spans="1:37" ht="36.75" customHeight="1" x14ac:dyDescent="0.35">
      <c r="A3216" s="5" t="s">
        <v>12448</v>
      </c>
      <c r="B3216" s="5" t="s">
        <v>37</v>
      </c>
      <c r="C3216" s="73" t="str">
        <f t="shared" si="52"/>
        <v>Closed</v>
      </c>
      <c r="D3216" s="47" t="s">
        <v>18207</v>
      </c>
      <c r="E3216" s="55" t="s">
        <v>18208</v>
      </c>
      <c r="F3216" s="15" t="s">
        <v>12887</v>
      </c>
      <c r="G3216" s="7">
        <f>DATE(2020,10,3)</f>
        <v>44107</v>
      </c>
      <c r="H3216" s="107">
        <v>2.5694444444444447E-2</v>
      </c>
      <c r="I3216" s="5" t="s">
        <v>137</v>
      </c>
      <c r="J3216" s="15" t="s">
        <v>18209</v>
      </c>
      <c r="K3216" s="15" t="s">
        <v>434</v>
      </c>
      <c r="L3216" s="15" t="s">
        <v>18210</v>
      </c>
      <c r="M3216" s="15"/>
      <c r="N3216" s="15"/>
      <c r="O3216" s="15" t="s">
        <v>46</v>
      </c>
      <c r="P3216" s="15" t="s">
        <v>47</v>
      </c>
      <c r="Q3216" s="15" t="s">
        <v>18211</v>
      </c>
      <c r="R3216" s="15" t="s">
        <v>12890</v>
      </c>
      <c r="S3216" s="15">
        <v>0</v>
      </c>
      <c r="T3216" s="15">
        <v>1</v>
      </c>
      <c r="U3216" s="15">
        <v>0</v>
      </c>
      <c r="V3216" s="15">
        <v>0</v>
      </c>
      <c r="W3216" s="15">
        <v>0</v>
      </c>
      <c r="X3216" s="15">
        <v>1</v>
      </c>
      <c r="Y3216" s="15">
        <v>0</v>
      </c>
      <c r="Z3216" s="15">
        <v>0</v>
      </c>
      <c r="AA3216" s="15">
        <v>0</v>
      </c>
      <c r="AB3216" s="15">
        <v>0</v>
      </c>
      <c r="AC3216" s="15">
        <v>0</v>
      </c>
      <c r="AD3216" s="15">
        <v>0</v>
      </c>
      <c r="AE3216" s="15"/>
      <c r="AF3216" s="15"/>
      <c r="AG3216" s="15"/>
      <c r="AH3216" s="15" t="s">
        <v>50</v>
      </c>
      <c r="AI3216" s="15">
        <v>1</v>
      </c>
      <c r="AJ3216" s="15"/>
      <c r="AK3216" s="15"/>
    </row>
    <row r="3217" spans="1:37" ht="36.75" customHeight="1" x14ac:dyDescent="0.35">
      <c r="A3217" s="26" t="s">
        <v>4890</v>
      </c>
      <c r="B3217" s="15" t="s">
        <v>37</v>
      </c>
      <c r="C3217" s="73" t="str">
        <f t="shared" si="52"/>
        <v>Closed</v>
      </c>
      <c r="D3217" s="45" t="s">
        <v>18212</v>
      </c>
      <c r="E3217" s="55" t="s">
        <v>18213</v>
      </c>
      <c r="F3217" s="15" t="s">
        <v>404</v>
      </c>
      <c r="G3217" s="7">
        <f>DATE(2020,10,6)</f>
        <v>44110</v>
      </c>
      <c r="H3217" s="51">
        <v>1.7374999999999998</v>
      </c>
      <c r="I3217" s="15" t="s">
        <v>97</v>
      </c>
      <c r="J3217" s="7" t="s">
        <v>18214</v>
      </c>
      <c r="K3217" s="15" t="s">
        <v>406</v>
      </c>
      <c r="L3217" s="15" t="s">
        <v>18215</v>
      </c>
      <c r="M3217" s="15" t="s">
        <v>45</v>
      </c>
      <c r="N3217" s="15" t="s">
        <v>80</v>
      </c>
      <c r="O3217" s="15" t="s">
        <v>59</v>
      </c>
      <c r="P3217" s="7" t="s">
        <v>47</v>
      </c>
      <c r="Q3217" s="7" t="s">
        <v>4531</v>
      </c>
      <c r="R3217" s="7" t="s">
        <v>3083</v>
      </c>
      <c r="S3217" s="15">
        <v>0</v>
      </c>
      <c r="T3217" s="36">
        <v>0</v>
      </c>
      <c r="U3217" s="15">
        <v>0</v>
      </c>
      <c r="V3217" s="36">
        <v>0</v>
      </c>
      <c r="W3217" s="15">
        <v>0</v>
      </c>
      <c r="X3217" s="15">
        <v>0</v>
      </c>
      <c r="Y3217" s="15">
        <v>0</v>
      </c>
      <c r="Z3217" s="36">
        <v>0</v>
      </c>
      <c r="AA3217" s="15">
        <v>0</v>
      </c>
      <c r="AB3217" s="15">
        <v>0</v>
      </c>
      <c r="AC3217" s="15">
        <v>0</v>
      </c>
      <c r="AD3217" s="15">
        <v>0</v>
      </c>
      <c r="AE3217" s="7" t="s">
        <v>375</v>
      </c>
      <c r="AF3217" s="7"/>
      <c r="AG3217" s="9" t="s">
        <v>64</v>
      </c>
      <c r="AH3217" s="7">
        <v>44176</v>
      </c>
      <c r="AI3217" s="5">
        <v>0</v>
      </c>
      <c r="AJ3217" s="7" t="s">
        <v>50</v>
      </c>
      <c r="AK3217" s="7" t="s">
        <v>50</v>
      </c>
    </row>
    <row r="3218" spans="1:37" ht="36.75" customHeight="1" x14ac:dyDescent="0.35">
      <c r="A3218" s="5"/>
      <c r="B3218" s="5" t="s">
        <v>37</v>
      </c>
      <c r="C3218" s="73" t="str">
        <f t="shared" si="52"/>
        <v>Closed</v>
      </c>
      <c r="D3218" s="45" t="s">
        <v>18216</v>
      </c>
      <c r="E3218" s="54" t="s">
        <v>18217</v>
      </c>
      <c r="F3218" s="5" t="s">
        <v>816</v>
      </c>
      <c r="G3218" s="7">
        <f>DATE(2020,10,7)</f>
        <v>44111</v>
      </c>
      <c r="H3218" s="51">
        <v>1.0243055555555556</v>
      </c>
      <c r="I3218" s="5" t="s">
        <v>179</v>
      </c>
      <c r="J3218" s="7" t="s">
        <v>18218</v>
      </c>
      <c r="K3218" s="5" t="s">
        <v>818</v>
      </c>
      <c r="L3218" s="5" t="s">
        <v>18219</v>
      </c>
      <c r="M3218" s="5" t="s">
        <v>45</v>
      </c>
      <c r="N3218" s="5" t="s">
        <v>70</v>
      </c>
      <c r="O3218" s="5" t="s">
        <v>46</v>
      </c>
      <c r="P3218" s="7" t="s">
        <v>60</v>
      </c>
      <c r="Q3218" s="7" t="s">
        <v>821</v>
      </c>
      <c r="R3218" s="7" t="s">
        <v>18220</v>
      </c>
      <c r="S3218" s="5">
        <v>0</v>
      </c>
      <c r="T3218" s="36">
        <v>0</v>
      </c>
      <c r="U3218" s="5">
        <v>0</v>
      </c>
      <c r="V3218" s="36">
        <v>0</v>
      </c>
      <c r="W3218" s="5">
        <v>0</v>
      </c>
      <c r="X3218" s="5">
        <v>0</v>
      </c>
      <c r="Y3218" s="5">
        <v>0</v>
      </c>
      <c r="Z3218" s="36">
        <v>0</v>
      </c>
      <c r="AA3218" s="5">
        <v>0</v>
      </c>
      <c r="AB3218" s="5">
        <v>0</v>
      </c>
      <c r="AC3218" s="5">
        <v>0</v>
      </c>
      <c r="AD3218" s="5">
        <v>0</v>
      </c>
      <c r="AE3218" s="7" t="s">
        <v>73</v>
      </c>
      <c r="AF3218" s="7" t="s">
        <v>860</v>
      </c>
      <c r="AG3218" s="7" t="s">
        <v>8837</v>
      </c>
      <c r="AH3218" s="7">
        <v>44111</v>
      </c>
      <c r="AI3218" s="5">
        <v>0</v>
      </c>
      <c r="AJ3218" s="7" t="s">
        <v>11857</v>
      </c>
      <c r="AK3218" s="7" t="s">
        <v>18221</v>
      </c>
    </row>
    <row r="3219" spans="1:37" ht="36.75" customHeight="1" x14ac:dyDescent="0.35">
      <c r="A3219" s="5"/>
      <c r="B3219" s="5" t="s">
        <v>37</v>
      </c>
      <c r="C3219" s="73" t="str">
        <f t="shared" si="52"/>
        <v>Closed</v>
      </c>
      <c r="D3219" s="45" t="s">
        <v>18222</v>
      </c>
      <c r="E3219" s="54" t="s">
        <v>18223</v>
      </c>
      <c r="F3219" s="5" t="s">
        <v>1553</v>
      </c>
      <c r="G3219" s="7">
        <f>DATE(2020,10,8)</f>
        <v>44112</v>
      </c>
      <c r="H3219" s="51">
        <v>1.0652777777777778</v>
      </c>
      <c r="I3219" s="5" t="s">
        <v>106</v>
      </c>
      <c r="J3219" s="7" t="s">
        <v>18224</v>
      </c>
      <c r="K3219" s="5" t="s">
        <v>1555</v>
      </c>
      <c r="L3219" s="5" t="s">
        <v>18225</v>
      </c>
      <c r="M3219" s="5" t="s">
        <v>45</v>
      </c>
      <c r="N3219" s="5" t="s">
        <v>123</v>
      </c>
      <c r="O3219" s="5" t="s">
        <v>59</v>
      </c>
      <c r="P3219" s="7" t="s">
        <v>60</v>
      </c>
      <c r="Q3219" s="7" t="s">
        <v>18226</v>
      </c>
      <c r="R3219" s="7" t="s">
        <v>6413</v>
      </c>
      <c r="S3219" s="5">
        <v>0</v>
      </c>
      <c r="T3219" s="36">
        <v>0</v>
      </c>
      <c r="U3219" s="5">
        <v>0</v>
      </c>
      <c r="V3219" s="36">
        <v>0</v>
      </c>
      <c r="W3219" s="5">
        <v>0</v>
      </c>
      <c r="X3219" s="5">
        <v>0</v>
      </c>
      <c r="Y3219" s="5">
        <v>0</v>
      </c>
      <c r="Z3219" s="36">
        <v>0</v>
      </c>
      <c r="AA3219" s="5">
        <v>0</v>
      </c>
      <c r="AB3219" s="5">
        <v>0</v>
      </c>
      <c r="AC3219" s="5">
        <v>0</v>
      </c>
      <c r="AD3219" s="5">
        <v>0</v>
      </c>
      <c r="AE3219" s="7" t="s">
        <v>375</v>
      </c>
      <c r="AF3219" s="7" t="s">
        <v>18227</v>
      </c>
      <c r="AG3219" s="9" t="s">
        <v>8837</v>
      </c>
      <c r="AH3219" s="7">
        <v>44116</v>
      </c>
      <c r="AI3219" s="5">
        <v>2</v>
      </c>
      <c r="AJ3219" s="7" t="s">
        <v>18228</v>
      </c>
      <c r="AK3219" s="7" t="s">
        <v>18229</v>
      </c>
    </row>
    <row r="3220" spans="1:37" ht="36.75" customHeight="1" x14ac:dyDescent="0.35">
      <c r="A3220" s="40"/>
      <c r="B3220" s="40" t="s">
        <v>37</v>
      </c>
      <c r="C3220" s="73" t="str">
        <f t="shared" si="52"/>
        <v>Closed</v>
      </c>
      <c r="D3220" s="45" t="s">
        <v>18230</v>
      </c>
      <c r="E3220" s="75" t="s">
        <v>18231</v>
      </c>
      <c r="F3220" s="40" t="s">
        <v>16278</v>
      </c>
      <c r="G3220" s="19">
        <f>DATE(2020,10,9)</f>
        <v>44113</v>
      </c>
      <c r="H3220" s="51">
        <v>1.4409722222222223</v>
      </c>
      <c r="I3220" s="40" t="s">
        <v>97</v>
      </c>
      <c r="J3220" s="19" t="s">
        <v>18232</v>
      </c>
      <c r="K3220" s="40" t="s">
        <v>99</v>
      </c>
      <c r="L3220" s="40" t="s">
        <v>18233</v>
      </c>
      <c r="M3220" s="40" t="s">
        <v>45</v>
      </c>
      <c r="N3220" s="40" t="s">
        <v>80</v>
      </c>
      <c r="O3220" s="40" t="s">
        <v>46</v>
      </c>
      <c r="P3220" s="19" t="s">
        <v>146</v>
      </c>
      <c r="Q3220" s="19" t="s">
        <v>16281</v>
      </c>
      <c r="R3220" s="19" t="s">
        <v>16282</v>
      </c>
      <c r="S3220" s="5">
        <v>0</v>
      </c>
      <c r="T3220" s="36">
        <v>0</v>
      </c>
      <c r="U3220" s="5">
        <v>2</v>
      </c>
      <c r="V3220" s="36">
        <v>0</v>
      </c>
      <c r="W3220" s="5">
        <v>0</v>
      </c>
      <c r="X3220" s="5">
        <v>2</v>
      </c>
      <c r="Y3220" s="5">
        <v>0</v>
      </c>
      <c r="Z3220" s="36">
        <v>0</v>
      </c>
      <c r="AA3220" s="5">
        <v>0</v>
      </c>
      <c r="AB3220" s="5">
        <v>0</v>
      </c>
      <c r="AC3220" s="5">
        <v>0</v>
      </c>
      <c r="AD3220" s="5">
        <v>0</v>
      </c>
      <c r="AE3220" s="19" t="s">
        <v>73</v>
      </c>
      <c r="AF3220" s="19" t="s">
        <v>18234</v>
      </c>
      <c r="AG3220" s="19" t="s">
        <v>8837</v>
      </c>
      <c r="AH3220" s="19">
        <v>44116</v>
      </c>
      <c r="AI3220" s="40">
        <v>1</v>
      </c>
      <c r="AJ3220" s="19" t="s">
        <v>18235</v>
      </c>
      <c r="AK3220" s="19" t="s">
        <v>18236</v>
      </c>
    </row>
    <row r="3221" spans="1:37" ht="36.75" customHeight="1" x14ac:dyDescent="0.35">
      <c r="A3221" s="13"/>
      <c r="B3221" s="13" t="s">
        <v>37</v>
      </c>
      <c r="C3221" s="73" t="str">
        <f t="shared" si="52"/>
        <v>Closed</v>
      </c>
      <c r="D3221" s="45" t="s">
        <v>18237</v>
      </c>
      <c r="E3221" s="78" t="s">
        <v>18238</v>
      </c>
      <c r="F3221" s="13" t="s">
        <v>9767</v>
      </c>
      <c r="G3221" s="9">
        <f>DATE(2020,10,16)</f>
        <v>44120</v>
      </c>
      <c r="H3221" s="51">
        <v>1.8819444444444446</v>
      </c>
      <c r="I3221" s="13" t="s">
        <v>106</v>
      </c>
      <c r="J3221" s="9" t="s">
        <v>18239</v>
      </c>
      <c r="K3221" s="13" t="s">
        <v>9769</v>
      </c>
      <c r="L3221" s="13" t="s">
        <v>18240</v>
      </c>
      <c r="M3221" s="13" t="s">
        <v>45</v>
      </c>
      <c r="N3221" s="13" t="s">
        <v>80</v>
      </c>
      <c r="O3221" s="13" t="s">
        <v>46</v>
      </c>
      <c r="P3221" s="9" t="s">
        <v>146</v>
      </c>
      <c r="Q3221" s="9" t="s">
        <v>18241</v>
      </c>
      <c r="R3221" s="9" t="s">
        <v>18242</v>
      </c>
      <c r="S3221" s="13">
        <v>0</v>
      </c>
      <c r="T3221" s="57">
        <v>0</v>
      </c>
      <c r="U3221" s="13">
        <v>0</v>
      </c>
      <c r="V3221" s="57">
        <v>0</v>
      </c>
      <c r="W3221" s="13">
        <v>0</v>
      </c>
      <c r="X3221" s="13">
        <v>0</v>
      </c>
      <c r="Y3221" s="13">
        <v>0</v>
      </c>
      <c r="Z3221" s="57">
        <v>0</v>
      </c>
      <c r="AA3221" s="13">
        <v>0</v>
      </c>
      <c r="AB3221" s="13">
        <v>0</v>
      </c>
      <c r="AC3221" s="13">
        <v>0</v>
      </c>
      <c r="AD3221" s="13">
        <v>0</v>
      </c>
      <c r="AE3221" s="9" t="s">
        <v>375</v>
      </c>
      <c r="AF3221" s="9" t="s">
        <v>18243</v>
      </c>
      <c r="AG3221" s="9" t="s">
        <v>8837</v>
      </c>
      <c r="AH3221" s="9">
        <v>44147</v>
      </c>
      <c r="AI3221" s="21">
        <v>2</v>
      </c>
      <c r="AJ3221" s="9" t="s">
        <v>18244</v>
      </c>
      <c r="AK3221" s="9" t="s">
        <v>18245</v>
      </c>
    </row>
    <row r="3222" spans="1:37" ht="36.75" customHeight="1" x14ac:dyDescent="0.35">
      <c r="A3222" s="41"/>
      <c r="B3222" s="41" t="s">
        <v>37</v>
      </c>
      <c r="C3222" s="73" t="str">
        <f t="shared" si="52"/>
        <v>Closed</v>
      </c>
      <c r="D3222" s="45" t="s">
        <v>18246</v>
      </c>
      <c r="E3222" s="77" t="s">
        <v>18247</v>
      </c>
      <c r="F3222" s="25" t="s">
        <v>1553</v>
      </c>
      <c r="G3222" s="9">
        <f>DATE(2020,10,16)</f>
        <v>44120</v>
      </c>
      <c r="H3222" s="53">
        <v>1.9305555555555554</v>
      </c>
      <c r="I3222" s="41" t="s">
        <v>55</v>
      </c>
      <c r="J3222" s="42" t="s">
        <v>18248</v>
      </c>
      <c r="K3222" s="41" t="s">
        <v>1555</v>
      </c>
      <c r="L3222" s="41" t="s">
        <v>18249</v>
      </c>
      <c r="M3222" s="41" t="s">
        <v>45</v>
      </c>
      <c r="N3222" s="41" t="s">
        <v>80</v>
      </c>
      <c r="O3222" s="41" t="s">
        <v>59</v>
      </c>
      <c r="P3222" s="42" t="s">
        <v>60</v>
      </c>
      <c r="Q3222" s="42" t="s">
        <v>18250</v>
      </c>
      <c r="R3222" s="42" t="s">
        <v>18009</v>
      </c>
      <c r="S3222" s="41">
        <v>0</v>
      </c>
      <c r="T3222" s="59">
        <v>0</v>
      </c>
      <c r="U3222" s="41">
        <v>0</v>
      </c>
      <c r="V3222" s="59">
        <v>0</v>
      </c>
      <c r="W3222" s="41">
        <v>0</v>
      </c>
      <c r="X3222" s="41">
        <v>0</v>
      </c>
      <c r="Y3222" s="41">
        <v>0</v>
      </c>
      <c r="Z3222" s="59">
        <v>0</v>
      </c>
      <c r="AA3222" s="41">
        <v>0</v>
      </c>
      <c r="AB3222" s="41">
        <v>0</v>
      </c>
      <c r="AC3222" s="41">
        <v>0</v>
      </c>
      <c r="AD3222" s="41">
        <v>0</v>
      </c>
      <c r="AE3222" s="42" t="s">
        <v>73</v>
      </c>
      <c r="AF3222" s="42" t="s">
        <v>18251</v>
      </c>
      <c r="AG3222" s="42" t="s">
        <v>8837</v>
      </c>
      <c r="AH3222" s="42">
        <v>44123</v>
      </c>
      <c r="AI3222" s="41">
        <v>0</v>
      </c>
      <c r="AJ3222" s="127" t="s">
        <v>18252</v>
      </c>
      <c r="AK3222" s="132" t="s">
        <v>18253</v>
      </c>
    </row>
    <row r="3223" spans="1:37" ht="36.75" customHeight="1" x14ac:dyDescent="0.35">
      <c r="A3223" s="21" t="s">
        <v>12448</v>
      </c>
      <c r="B3223" s="21" t="s">
        <v>14851</v>
      </c>
      <c r="C3223" s="73" t="str">
        <f t="shared" si="52"/>
        <v>In progress</v>
      </c>
      <c r="D3223" s="47" t="s">
        <v>18254</v>
      </c>
      <c r="E3223" s="104" t="s">
        <v>18255</v>
      </c>
      <c r="F3223" s="102" t="s">
        <v>6434</v>
      </c>
      <c r="G3223" s="9">
        <f>DATE(2020,10,16)</f>
        <v>44120</v>
      </c>
      <c r="H3223" s="107">
        <v>1.4270833333333333</v>
      </c>
      <c r="I3223" s="102" t="s">
        <v>137</v>
      </c>
      <c r="J3223" s="102" t="s">
        <v>18256</v>
      </c>
      <c r="K3223" s="102" t="s">
        <v>565</v>
      </c>
      <c r="L3223" s="102" t="s">
        <v>18257</v>
      </c>
      <c r="M3223" s="102" t="s">
        <v>45</v>
      </c>
      <c r="N3223" s="102" t="s">
        <v>123</v>
      </c>
      <c r="O3223" s="102" t="s">
        <v>59</v>
      </c>
      <c r="P3223" s="102" t="s">
        <v>47</v>
      </c>
      <c r="Q3223" s="102" t="s">
        <v>18258</v>
      </c>
      <c r="R3223" s="102" t="s">
        <v>9830</v>
      </c>
      <c r="S3223" s="102">
        <v>0</v>
      </c>
      <c r="T3223" s="102">
        <v>0</v>
      </c>
      <c r="U3223" s="102">
        <v>0</v>
      </c>
      <c r="V3223" s="102">
        <v>0</v>
      </c>
      <c r="W3223" s="102">
        <v>0</v>
      </c>
      <c r="X3223" s="102">
        <v>0</v>
      </c>
      <c r="Y3223" s="102">
        <v>0</v>
      </c>
      <c r="Z3223" s="102">
        <v>1</v>
      </c>
      <c r="AA3223" s="102">
        <v>0</v>
      </c>
      <c r="AB3223" s="102">
        <v>0</v>
      </c>
      <c r="AC3223" s="102">
        <v>0</v>
      </c>
      <c r="AD3223" s="102">
        <v>1</v>
      </c>
      <c r="AE3223" s="102" t="s">
        <v>126</v>
      </c>
      <c r="AF3223" s="102" t="s">
        <v>18259</v>
      </c>
      <c r="AG3223" s="102" t="s">
        <v>6438</v>
      </c>
      <c r="AH3223" s="43">
        <v>44123</v>
      </c>
      <c r="AI3223" s="102"/>
      <c r="AJ3223" s="102" t="s">
        <v>18260</v>
      </c>
      <c r="AK3223" s="102"/>
    </row>
    <row r="3224" spans="1:37" ht="36.75" customHeight="1" x14ac:dyDescent="0.35">
      <c r="A3224" s="21"/>
      <c r="B3224" s="21" t="s">
        <v>37</v>
      </c>
      <c r="C3224" s="73" t="str">
        <f t="shared" si="52"/>
        <v>Closed</v>
      </c>
      <c r="D3224" s="45" t="s">
        <v>18261</v>
      </c>
      <c r="E3224" s="76" t="s">
        <v>18262</v>
      </c>
      <c r="F3224" s="21" t="s">
        <v>1553</v>
      </c>
      <c r="G3224" s="9">
        <f>DATE(2020,10,17)</f>
        <v>44121</v>
      </c>
      <c r="H3224" s="51">
        <v>1.6597222222222223</v>
      </c>
      <c r="I3224" s="21" t="s">
        <v>55</v>
      </c>
      <c r="J3224" s="9" t="s">
        <v>18263</v>
      </c>
      <c r="K3224" s="21" t="s">
        <v>1555</v>
      </c>
      <c r="L3224" s="21" t="s">
        <v>18264</v>
      </c>
      <c r="M3224" s="21" t="s">
        <v>45</v>
      </c>
      <c r="N3224" s="21" t="s">
        <v>123</v>
      </c>
      <c r="O3224" s="21" t="s">
        <v>59</v>
      </c>
      <c r="P3224" s="9" t="s">
        <v>60</v>
      </c>
      <c r="Q3224" s="9" t="s">
        <v>2635</v>
      </c>
      <c r="R3224" s="9" t="s">
        <v>6413</v>
      </c>
      <c r="S3224" s="21">
        <v>0</v>
      </c>
      <c r="T3224" s="57">
        <v>0</v>
      </c>
      <c r="U3224" s="21">
        <v>0</v>
      </c>
      <c r="V3224" s="57">
        <v>0</v>
      </c>
      <c r="W3224" s="21">
        <v>0</v>
      </c>
      <c r="X3224" s="21">
        <v>0</v>
      </c>
      <c r="Y3224" s="21">
        <v>0</v>
      </c>
      <c r="Z3224" s="57">
        <v>0</v>
      </c>
      <c r="AA3224" s="21">
        <v>0</v>
      </c>
      <c r="AB3224" s="21">
        <v>0</v>
      </c>
      <c r="AC3224" s="21">
        <v>0</v>
      </c>
      <c r="AD3224" s="21">
        <v>0</v>
      </c>
      <c r="AE3224" s="9" t="s">
        <v>73</v>
      </c>
      <c r="AF3224" s="9" t="s">
        <v>18265</v>
      </c>
      <c r="AG3224" s="9" t="s">
        <v>8837</v>
      </c>
      <c r="AH3224" s="9">
        <v>44123</v>
      </c>
      <c r="AI3224" s="21">
        <v>0</v>
      </c>
      <c r="AJ3224" s="9" t="s">
        <v>18266</v>
      </c>
      <c r="AK3224" s="9" t="s">
        <v>18267</v>
      </c>
    </row>
    <row r="3225" spans="1:37" ht="36.75" customHeight="1" x14ac:dyDescent="0.35">
      <c r="A3225" s="21" t="s">
        <v>12448</v>
      </c>
      <c r="B3225" s="21" t="s">
        <v>887</v>
      </c>
      <c r="C3225" s="73" t="str">
        <f t="shared" si="52"/>
        <v>Open</v>
      </c>
      <c r="D3225" s="47" t="s">
        <v>18268</v>
      </c>
      <c r="E3225" s="76" t="s">
        <v>18269</v>
      </c>
      <c r="F3225" s="21" t="s">
        <v>15039</v>
      </c>
      <c r="G3225" s="9">
        <f>DATE(2020,10,19)</f>
        <v>44123</v>
      </c>
      <c r="H3225" s="107">
        <v>0.88194444444444453</v>
      </c>
      <c r="I3225" s="21" t="s">
        <v>4973</v>
      </c>
      <c r="J3225" s="21" t="s">
        <v>18270</v>
      </c>
      <c r="K3225" s="21" t="s">
        <v>13412</v>
      </c>
      <c r="L3225" s="21" t="s">
        <v>18271</v>
      </c>
      <c r="M3225" s="21" t="s">
        <v>45</v>
      </c>
      <c r="N3225" s="21" t="s">
        <v>70</v>
      </c>
      <c r="O3225" s="21" t="s">
        <v>59</v>
      </c>
      <c r="P3225" s="21" t="s">
        <v>60</v>
      </c>
      <c r="Q3225" s="21" t="s">
        <v>18272</v>
      </c>
      <c r="R3225" s="21" t="s">
        <v>18273</v>
      </c>
      <c r="S3225" s="21"/>
      <c r="T3225" s="21"/>
      <c r="U3225" s="21"/>
      <c r="V3225" s="21"/>
      <c r="W3225" s="21"/>
      <c r="X3225" s="21"/>
      <c r="Y3225" s="21"/>
      <c r="Z3225" s="21"/>
      <c r="AA3225" s="21"/>
      <c r="AB3225" s="21"/>
      <c r="AC3225" s="21"/>
      <c r="AD3225" s="21"/>
      <c r="AE3225" s="21"/>
      <c r="AF3225" s="21" t="s">
        <v>18274</v>
      </c>
      <c r="AG3225" s="21" t="s">
        <v>8837</v>
      </c>
      <c r="AH3225" s="21" t="s">
        <v>50</v>
      </c>
      <c r="AI3225" s="21" t="s">
        <v>18275</v>
      </c>
      <c r="AJ3225" s="21" t="s">
        <v>18276</v>
      </c>
      <c r="AK3225" s="21"/>
    </row>
    <row r="3226" spans="1:37" ht="36.75" customHeight="1" x14ac:dyDescent="0.35">
      <c r="A3226" s="103" t="s">
        <v>4890</v>
      </c>
      <c r="B3226" s="21" t="s">
        <v>37</v>
      </c>
      <c r="C3226" s="73" t="str">
        <f t="shared" si="52"/>
        <v>Closed</v>
      </c>
      <c r="D3226" s="45" t="s">
        <v>18277</v>
      </c>
      <c r="E3226" s="76" t="s">
        <v>18278</v>
      </c>
      <c r="F3226" s="21" t="s">
        <v>2316</v>
      </c>
      <c r="G3226" s="9">
        <f>DATE(2020,10,21)</f>
        <v>44125</v>
      </c>
      <c r="H3226" s="51">
        <v>1.536111111111111</v>
      </c>
      <c r="I3226" s="21" t="s">
        <v>97</v>
      </c>
      <c r="J3226" s="9" t="s">
        <v>18279</v>
      </c>
      <c r="K3226" s="21" t="s">
        <v>2318</v>
      </c>
      <c r="L3226" s="21" t="s">
        <v>18280</v>
      </c>
      <c r="M3226" s="21" t="s">
        <v>45</v>
      </c>
      <c r="N3226" s="21" t="s">
        <v>123</v>
      </c>
      <c r="O3226" s="21" t="s">
        <v>46</v>
      </c>
      <c r="P3226" s="9" t="s">
        <v>47</v>
      </c>
      <c r="Q3226" s="9" t="s">
        <v>2925</v>
      </c>
      <c r="R3226" s="9" t="s">
        <v>2321</v>
      </c>
      <c r="S3226" s="21">
        <v>0</v>
      </c>
      <c r="T3226" s="57">
        <v>0</v>
      </c>
      <c r="U3226" s="21">
        <v>2</v>
      </c>
      <c r="V3226" s="57">
        <v>0</v>
      </c>
      <c r="W3226" s="21">
        <v>0</v>
      </c>
      <c r="X3226" s="21">
        <v>2</v>
      </c>
      <c r="Y3226" s="21">
        <v>0</v>
      </c>
      <c r="Z3226" s="57">
        <v>0</v>
      </c>
      <c r="AA3226" s="21">
        <v>0</v>
      </c>
      <c r="AB3226" s="21">
        <v>0</v>
      </c>
      <c r="AC3226" s="21">
        <v>0</v>
      </c>
      <c r="AD3226" s="21">
        <v>0</v>
      </c>
      <c r="AE3226" s="9" t="s">
        <v>73</v>
      </c>
      <c r="AF3226" s="9"/>
      <c r="AG3226" s="9" t="s">
        <v>64</v>
      </c>
      <c r="AH3226" s="9">
        <v>44130</v>
      </c>
      <c r="AI3226" s="21">
        <v>11</v>
      </c>
      <c r="AJ3226" s="9" t="s">
        <v>50</v>
      </c>
      <c r="AK3226" s="9" t="s">
        <v>50</v>
      </c>
    </row>
    <row r="3227" spans="1:37" ht="36.75" customHeight="1" x14ac:dyDescent="0.35">
      <c r="A3227" s="21"/>
      <c r="B3227" s="21" t="s">
        <v>37</v>
      </c>
      <c r="C3227" s="73" t="str">
        <f t="shared" si="52"/>
        <v>Closed</v>
      </c>
      <c r="D3227" s="45" t="s">
        <v>18281</v>
      </c>
      <c r="E3227" s="76" t="s">
        <v>18282</v>
      </c>
      <c r="F3227" s="21" t="s">
        <v>17537</v>
      </c>
      <c r="G3227" s="9">
        <f>DATE(2020,10,23)</f>
        <v>44127</v>
      </c>
      <c r="H3227" s="51">
        <v>1.5437500000000002</v>
      </c>
      <c r="I3227" s="21" t="s">
        <v>18283</v>
      </c>
      <c r="J3227" s="9" t="s">
        <v>18284</v>
      </c>
      <c r="K3227" s="21" t="s">
        <v>818</v>
      </c>
      <c r="L3227" s="21" t="s">
        <v>18285</v>
      </c>
      <c r="M3227" s="21" t="s">
        <v>45</v>
      </c>
      <c r="N3227" s="21" t="s">
        <v>70</v>
      </c>
      <c r="O3227" s="21" t="s">
        <v>59</v>
      </c>
      <c r="P3227" s="9" t="s">
        <v>146</v>
      </c>
      <c r="Q3227" s="9" t="s">
        <v>18286</v>
      </c>
      <c r="R3227" s="9" t="s">
        <v>821</v>
      </c>
      <c r="S3227" s="21">
        <v>0</v>
      </c>
      <c r="T3227" s="57">
        <v>0</v>
      </c>
      <c r="U3227" s="21">
        <v>0</v>
      </c>
      <c r="V3227" s="57">
        <v>0</v>
      </c>
      <c r="W3227" s="21">
        <v>0</v>
      </c>
      <c r="X3227" s="21">
        <v>0</v>
      </c>
      <c r="Y3227" s="21">
        <v>0</v>
      </c>
      <c r="Z3227" s="57">
        <v>0</v>
      </c>
      <c r="AA3227" s="21">
        <v>0</v>
      </c>
      <c r="AB3227" s="21">
        <v>0</v>
      </c>
      <c r="AC3227" s="21">
        <v>0</v>
      </c>
      <c r="AD3227" s="21">
        <v>0</v>
      </c>
      <c r="AE3227" s="9" t="s">
        <v>73</v>
      </c>
      <c r="AF3227" s="9" t="s">
        <v>860</v>
      </c>
      <c r="AG3227" s="9" t="s">
        <v>8837</v>
      </c>
      <c r="AH3227" s="9">
        <v>44130</v>
      </c>
      <c r="AI3227" s="21">
        <v>1</v>
      </c>
      <c r="AJ3227" s="9" t="s">
        <v>18287</v>
      </c>
      <c r="AK3227" s="9" t="s">
        <v>18288</v>
      </c>
    </row>
    <row r="3228" spans="1:37" ht="36.75" customHeight="1" x14ac:dyDescent="0.35">
      <c r="A3228" s="21"/>
      <c r="B3228" s="21" t="s">
        <v>37</v>
      </c>
      <c r="C3228" s="73" t="str">
        <f t="shared" si="52"/>
        <v>Closed</v>
      </c>
      <c r="D3228" s="45" t="s">
        <v>18289</v>
      </c>
      <c r="E3228" s="76" t="s">
        <v>18290</v>
      </c>
      <c r="F3228" s="21" t="s">
        <v>17638</v>
      </c>
      <c r="G3228" s="9">
        <f>DATE(2020,10,25)</f>
        <v>44129</v>
      </c>
      <c r="H3228" s="51">
        <v>1.0659722222222223</v>
      </c>
      <c r="I3228" s="21" t="s">
        <v>106</v>
      </c>
      <c r="J3228" s="9" t="s">
        <v>18291</v>
      </c>
      <c r="K3228" s="21" t="s">
        <v>1555</v>
      </c>
      <c r="L3228" s="21" t="s">
        <v>18292</v>
      </c>
      <c r="M3228" s="21" t="s">
        <v>45</v>
      </c>
      <c r="N3228" s="21" t="s">
        <v>123</v>
      </c>
      <c r="O3228" s="21" t="s">
        <v>46</v>
      </c>
      <c r="P3228" s="9" t="s">
        <v>60</v>
      </c>
      <c r="Q3228" s="9" t="s">
        <v>18293</v>
      </c>
      <c r="R3228" s="9" t="s">
        <v>17642</v>
      </c>
      <c r="S3228" s="21">
        <v>0</v>
      </c>
      <c r="T3228" s="57">
        <v>0</v>
      </c>
      <c r="U3228" s="21">
        <v>0</v>
      </c>
      <c r="V3228" s="57">
        <v>0</v>
      </c>
      <c r="W3228" s="21">
        <v>0</v>
      </c>
      <c r="X3228" s="21">
        <v>0</v>
      </c>
      <c r="Y3228" s="21">
        <v>0</v>
      </c>
      <c r="Z3228" s="57">
        <v>0</v>
      </c>
      <c r="AA3228" s="21">
        <v>0</v>
      </c>
      <c r="AB3228" s="21">
        <v>0</v>
      </c>
      <c r="AC3228" s="21">
        <v>0</v>
      </c>
      <c r="AD3228" s="21">
        <v>0</v>
      </c>
      <c r="AE3228" s="9" t="s">
        <v>73</v>
      </c>
      <c r="AF3228" s="9" t="s">
        <v>18294</v>
      </c>
      <c r="AG3228" s="9" t="s">
        <v>8837</v>
      </c>
      <c r="AH3228" s="9">
        <v>44130</v>
      </c>
      <c r="AI3228" s="21">
        <v>1</v>
      </c>
      <c r="AJ3228" s="9" t="s">
        <v>18295</v>
      </c>
      <c r="AK3228" s="9" t="s">
        <v>18296</v>
      </c>
    </row>
    <row r="3229" spans="1:37" ht="36.75" customHeight="1" x14ac:dyDescent="0.35">
      <c r="A3229" s="103" t="s">
        <v>4890</v>
      </c>
      <c r="B3229" s="21" t="s">
        <v>37</v>
      </c>
      <c r="C3229" s="73" t="str">
        <f t="shared" si="52"/>
        <v>Closed</v>
      </c>
      <c r="D3229" s="45" t="s">
        <v>18297</v>
      </c>
      <c r="E3229" s="76" t="s">
        <v>18298</v>
      </c>
      <c r="F3229" s="21" t="s">
        <v>404</v>
      </c>
      <c r="G3229" s="9">
        <f>DATE(2020,10,29)</f>
        <v>44133</v>
      </c>
      <c r="H3229" s="51">
        <v>1.7250000000000001</v>
      </c>
      <c r="I3229" s="21" t="s">
        <v>179</v>
      </c>
      <c r="J3229" s="9" t="s">
        <v>18299</v>
      </c>
      <c r="K3229" s="21" t="s">
        <v>406</v>
      </c>
      <c r="L3229" s="21" t="s">
        <v>18300</v>
      </c>
      <c r="M3229" s="21" t="s">
        <v>236</v>
      </c>
      <c r="N3229" s="21" t="s">
        <v>123</v>
      </c>
      <c r="O3229" s="21" t="s">
        <v>46</v>
      </c>
      <c r="P3229" s="9" t="s">
        <v>6531</v>
      </c>
      <c r="Q3229" s="9" t="s">
        <v>1325</v>
      </c>
      <c r="R3229" s="9" t="s">
        <v>1325</v>
      </c>
      <c r="S3229" s="21">
        <v>0</v>
      </c>
      <c r="T3229" s="57">
        <v>0</v>
      </c>
      <c r="U3229" s="21">
        <v>0</v>
      </c>
      <c r="V3229" s="57">
        <v>0</v>
      </c>
      <c r="W3229" s="21">
        <v>0</v>
      </c>
      <c r="X3229" s="21">
        <v>0</v>
      </c>
      <c r="Y3229" s="21">
        <v>0</v>
      </c>
      <c r="Z3229" s="57">
        <v>0</v>
      </c>
      <c r="AA3229" s="21">
        <v>0</v>
      </c>
      <c r="AB3229" s="21">
        <v>0</v>
      </c>
      <c r="AC3229" s="21">
        <v>0</v>
      </c>
      <c r="AD3229" s="21">
        <v>0</v>
      </c>
      <c r="AE3229" s="9" t="s">
        <v>73</v>
      </c>
      <c r="AF3229" s="9"/>
      <c r="AG3229" s="9" t="s">
        <v>114</v>
      </c>
      <c r="AH3229" s="9">
        <v>44134</v>
      </c>
      <c r="AI3229" s="21">
        <v>0</v>
      </c>
      <c r="AJ3229" s="9" t="s">
        <v>50</v>
      </c>
      <c r="AK3229" s="9" t="s">
        <v>50</v>
      </c>
    </row>
    <row r="3230" spans="1:37" ht="36.75" customHeight="1" x14ac:dyDescent="0.35">
      <c r="A3230" s="21"/>
      <c r="B3230" s="21" t="s">
        <v>37</v>
      </c>
      <c r="C3230" s="73" t="str">
        <f t="shared" si="52"/>
        <v>Closed</v>
      </c>
      <c r="D3230" s="45" t="s">
        <v>18301</v>
      </c>
      <c r="E3230" s="76" t="s">
        <v>18302</v>
      </c>
      <c r="F3230" s="21" t="s">
        <v>12451</v>
      </c>
      <c r="G3230" s="9">
        <f>DATE(2020,10,30)</f>
        <v>44134</v>
      </c>
      <c r="H3230" s="51">
        <v>1.9493055555555556</v>
      </c>
      <c r="I3230" s="21" t="s">
        <v>55</v>
      </c>
      <c r="J3230" s="9" t="s">
        <v>18303</v>
      </c>
      <c r="K3230" s="21" t="s">
        <v>181</v>
      </c>
      <c r="L3230" s="21" t="s">
        <v>18304</v>
      </c>
      <c r="M3230" s="21" t="s">
        <v>45</v>
      </c>
      <c r="N3230" s="21" t="s">
        <v>123</v>
      </c>
      <c r="O3230" s="21" t="s">
        <v>59</v>
      </c>
      <c r="P3230" s="9" t="s">
        <v>60</v>
      </c>
      <c r="Q3230" s="9" t="s">
        <v>2433</v>
      </c>
      <c r="R3230" s="9" t="s">
        <v>13549</v>
      </c>
      <c r="S3230" s="21">
        <v>0</v>
      </c>
      <c r="T3230" s="57">
        <v>0</v>
      </c>
      <c r="U3230" s="21">
        <v>0</v>
      </c>
      <c r="V3230" s="57">
        <v>0</v>
      </c>
      <c r="W3230" s="21">
        <v>0</v>
      </c>
      <c r="X3230" s="21">
        <v>0</v>
      </c>
      <c r="Y3230" s="21">
        <v>0</v>
      </c>
      <c r="Z3230" s="57">
        <v>0</v>
      </c>
      <c r="AA3230" s="21">
        <v>0</v>
      </c>
      <c r="AB3230" s="21">
        <v>0</v>
      </c>
      <c r="AC3230" s="21">
        <v>0</v>
      </c>
      <c r="AD3230" s="21">
        <v>0</v>
      </c>
      <c r="AE3230" s="9" t="s">
        <v>126</v>
      </c>
      <c r="AF3230" s="9" t="s">
        <v>18305</v>
      </c>
      <c r="AG3230" s="9" t="s">
        <v>6438</v>
      </c>
      <c r="AH3230" s="9">
        <v>44144</v>
      </c>
      <c r="AI3230" s="21">
        <v>0</v>
      </c>
      <c r="AJ3230" s="9" t="s">
        <v>18306</v>
      </c>
      <c r="AK3230" s="9" t="s">
        <v>14534</v>
      </c>
    </row>
    <row r="3231" spans="1:37" ht="36.75" customHeight="1" x14ac:dyDescent="0.35">
      <c r="A3231" s="21"/>
      <c r="B3231" s="21" t="s">
        <v>37</v>
      </c>
      <c r="C3231" s="73" t="str">
        <f t="shared" si="52"/>
        <v>Closed</v>
      </c>
      <c r="D3231" s="45" t="s">
        <v>18307</v>
      </c>
      <c r="E3231" s="76" t="s">
        <v>18308</v>
      </c>
      <c r="F3231" s="21" t="s">
        <v>404</v>
      </c>
      <c r="G3231" s="9">
        <f>DATE(2020,11,6)</f>
        <v>44141</v>
      </c>
      <c r="H3231" s="51">
        <v>1.5805555555555557</v>
      </c>
      <c r="I3231" s="21" t="s">
        <v>55</v>
      </c>
      <c r="J3231" s="9" t="s">
        <v>18309</v>
      </c>
      <c r="K3231" s="21" t="s">
        <v>406</v>
      </c>
      <c r="L3231" s="21" t="s">
        <v>12696</v>
      </c>
      <c r="M3231" s="21" t="s">
        <v>45</v>
      </c>
      <c r="N3231" s="21" t="s">
        <v>123</v>
      </c>
      <c r="O3231" s="21" t="s">
        <v>59</v>
      </c>
      <c r="P3231" s="9" t="s">
        <v>72</v>
      </c>
      <c r="Q3231" s="9" t="s">
        <v>18310</v>
      </c>
      <c r="R3231" s="9" t="s">
        <v>3083</v>
      </c>
      <c r="S3231" s="21">
        <v>0</v>
      </c>
      <c r="T3231" s="57">
        <v>0</v>
      </c>
      <c r="U3231" s="21">
        <v>0</v>
      </c>
      <c r="V3231" s="57">
        <v>0</v>
      </c>
      <c r="W3231" s="21">
        <v>0</v>
      </c>
      <c r="X3231" s="21">
        <v>0</v>
      </c>
      <c r="Y3231" s="21">
        <v>0</v>
      </c>
      <c r="Z3231" s="57">
        <v>0</v>
      </c>
      <c r="AA3231" s="21">
        <v>0</v>
      </c>
      <c r="AB3231" s="21">
        <v>0</v>
      </c>
      <c r="AC3231" s="21">
        <v>0</v>
      </c>
      <c r="AD3231" s="21">
        <v>0</v>
      </c>
      <c r="AE3231" s="9" t="s">
        <v>16403</v>
      </c>
      <c r="AF3231" s="9" t="s">
        <v>18311</v>
      </c>
      <c r="AG3231" s="9" t="s">
        <v>16251</v>
      </c>
      <c r="AH3231" s="9">
        <v>44141</v>
      </c>
      <c r="AI3231" s="21">
        <v>1</v>
      </c>
      <c r="AJ3231" s="9" t="s">
        <v>18312</v>
      </c>
      <c r="AK3231" s="9" t="s">
        <v>860</v>
      </c>
    </row>
    <row r="3232" spans="1:37" ht="36.75" customHeight="1" x14ac:dyDescent="0.35">
      <c r="A3232" s="5"/>
      <c r="B3232" s="5" t="s">
        <v>37</v>
      </c>
      <c r="C3232" s="73" t="str">
        <f t="shared" si="52"/>
        <v>Closed</v>
      </c>
      <c r="D3232" s="45" t="s">
        <v>18313</v>
      </c>
      <c r="E3232" s="76" t="s">
        <v>18314</v>
      </c>
      <c r="F3232" s="21" t="s">
        <v>16397</v>
      </c>
      <c r="G3232" s="9">
        <f>DATE(2020,11,6)</f>
        <v>44141</v>
      </c>
      <c r="H3232" s="51">
        <v>1.3298611111111112</v>
      </c>
      <c r="I3232" s="21" t="s">
        <v>137</v>
      </c>
      <c r="J3232" s="9" t="s">
        <v>18315</v>
      </c>
      <c r="K3232" s="21" t="s">
        <v>406</v>
      </c>
      <c r="L3232" s="21" t="s">
        <v>18316</v>
      </c>
      <c r="M3232" s="21" t="s">
        <v>45</v>
      </c>
      <c r="N3232" s="21" t="s">
        <v>123</v>
      </c>
      <c r="O3232" s="21" t="s">
        <v>59</v>
      </c>
      <c r="P3232" s="9" t="s">
        <v>146</v>
      </c>
      <c r="Q3232" s="9" t="s">
        <v>4531</v>
      </c>
      <c r="R3232" s="9" t="s">
        <v>17330</v>
      </c>
      <c r="S3232" s="21">
        <v>0</v>
      </c>
      <c r="T3232" s="57">
        <v>0</v>
      </c>
      <c r="U3232" s="21">
        <v>0</v>
      </c>
      <c r="V3232" s="57">
        <v>0</v>
      </c>
      <c r="W3232" s="21">
        <v>0</v>
      </c>
      <c r="X3232" s="21">
        <v>0</v>
      </c>
      <c r="Y3232" s="21">
        <v>0</v>
      </c>
      <c r="Z3232" s="57">
        <v>0</v>
      </c>
      <c r="AA3232" s="21">
        <v>0</v>
      </c>
      <c r="AB3232" s="21">
        <v>0</v>
      </c>
      <c r="AC3232" s="21">
        <v>0</v>
      </c>
      <c r="AD3232" s="21">
        <v>0</v>
      </c>
      <c r="AE3232" s="9" t="s">
        <v>16403</v>
      </c>
      <c r="AF3232" s="9" t="s">
        <v>18317</v>
      </c>
      <c r="AG3232" s="9" t="s">
        <v>16251</v>
      </c>
      <c r="AH3232" s="9">
        <v>44141</v>
      </c>
      <c r="AI3232" s="25">
        <v>0</v>
      </c>
      <c r="AJ3232" s="9" t="s">
        <v>18318</v>
      </c>
      <c r="AK3232" s="9" t="s">
        <v>860</v>
      </c>
    </row>
    <row r="3233" spans="1:37" ht="36.75" customHeight="1" x14ac:dyDescent="0.35">
      <c r="A3233" s="13"/>
      <c r="B3233" s="13" t="s">
        <v>37</v>
      </c>
      <c r="C3233" s="73" t="str">
        <f t="shared" si="52"/>
        <v>Closed</v>
      </c>
      <c r="D3233" s="45" t="s">
        <v>18319</v>
      </c>
      <c r="E3233" s="78" t="s">
        <v>18320</v>
      </c>
      <c r="F3233" s="13" t="s">
        <v>17537</v>
      </c>
      <c r="G3233" s="9">
        <f>DATE(2020,11,14)</f>
        <v>44149</v>
      </c>
      <c r="H3233" s="51">
        <v>1.536111111111111</v>
      </c>
      <c r="I3233" s="13" t="s">
        <v>55</v>
      </c>
      <c r="J3233" s="9" t="s">
        <v>18321</v>
      </c>
      <c r="K3233" s="13" t="s">
        <v>818</v>
      </c>
      <c r="L3233" s="13" t="s">
        <v>18240</v>
      </c>
      <c r="M3233" s="13" t="s">
        <v>45</v>
      </c>
      <c r="N3233" s="13" t="s">
        <v>80</v>
      </c>
      <c r="O3233" s="13" t="s">
        <v>46</v>
      </c>
      <c r="P3233" s="9" t="s">
        <v>6881</v>
      </c>
      <c r="Q3233" s="9" t="s">
        <v>18322</v>
      </c>
      <c r="R3233" s="9" t="s">
        <v>18322</v>
      </c>
      <c r="S3233" s="13">
        <v>0</v>
      </c>
      <c r="T3233" s="57">
        <v>0</v>
      </c>
      <c r="U3233" s="13">
        <v>0</v>
      </c>
      <c r="V3233" s="57">
        <v>0</v>
      </c>
      <c r="W3233" s="13">
        <v>0</v>
      </c>
      <c r="X3233" s="13">
        <v>0</v>
      </c>
      <c r="Y3233" s="13">
        <v>0</v>
      </c>
      <c r="Z3233" s="57">
        <v>0</v>
      </c>
      <c r="AA3233" s="13">
        <v>0</v>
      </c>
      <c r="AB3233" s="13">
        <v>0</v>
      </c>
      <c r="AC3233" s="13">
        <v>0</v>
      </c>
      <c r="AD3233" s="13">
        <v>0</v>
      </c>
      <c r="AE3233" s="9" t="s">
        <v>73</v>
      </c>
      <c r="AF3233" s="9" t="s">
        <v>18323</v>
      </c>
      <c r="AG3233" s="9" t="s">
        <v>14532</v>
      </c>
      <c r="AH3233" s="9">
        <v>44149</v>
      </c>
      <c r="AI3233" s="13">
        <v>2</v>
      </c>
      <c r="AJ3233" s="9" t="s">
        <v>17780</v>
      </c>
      <c r="AK3233" s="9" t="s">
        <v>17781</v>
      </c>
    </row>
    <row r="3234" spans="1:37" ht="36.75" customHeight="1" x14ac:dyDescent="0.35">
      <c r="A3234" s="13" t="s">
        <v>12448</v>
      </c>
      <c r="B3234" s="13" t="s">
        <v>37</v>
      </c>
      <c r="C3234" s="73" t="str">
        <f t="shared" si="52"/>
        <v>Closed</v>
      </c>
      <c r="D3234" s="16" t="s">
        <v>18324</v>
      </c>
      <c r="E3234" s="78" t="s">
        <v>18325</v>
      </c>
      <c r="F3234" s="13" t="s">
        <v>9767</v>
      </c>
      <c r="G3234" s="9">
        <f>DATE(2020,11,15)</f>
        <v>44150</v>
      </c>
      <c r="H3234" s="107">
        <v>0.32013888888888892</v>
      </c>
      <c r="I3234" s="13" t="s">
        <v>468</v>
      </c>
      <c r="J3234" s="9" t="s">
        <v>18326</v>
      </c>
      <c r="K3234" s="13" t="s">
        <v>9769</v>
      </c>
      <c r="L3234" s="13" t="s">
        <v>18240</v>
      </c>
      <c r="M3234" s="13" t="s">
        <v>45</v>
      </c>
      <c r="N3234" s="13" t="s">
        <v>80</v>
      </c>
      <c r="O3234" s="13" t="s">
        <v>46</v>
      </c>
      <c r="P3234" s="9" t="s">
        <v>60</v>
      </c>
      <c r="Q3234" s="9" t="s">
        <v>18327</v>
      </c>
      <c r="R3234" s="9" t="s">
        <v>18328</v>
      </c>
      <c r="S3234" s="13">
        <v>0</v>
      </c>
      <c r="T3234" s="13">
        <v>0</v>
      </c>
      <c r="U3234" s="13">
        <v>0</v>
      </c>
      <c r="V3234" s="13">
        <v>0</v>
      </c>
      <c r="W3234" s="13">
        <v>0</v>
      </c>
      <c r="X3234" s="13">
        <v>0</v>
      </c>
      <c r="Y3234" s="13">
        <v>0</v>
      </c>
      <c r="Z3234" s="13">
        <v>0</v>
      </c>
      <c r="AA3234" s="13">
        <v>0</v>
      </c>
      <c r="AB3234" s="13">
        <v>0</v>
      </c>
      <c r="AC3234" s="13">
        <v>0</v>
      </c>
      <c r="AD3234" s="13">
        <v>0</v>
      </c>
      <c r="AE3234" s="9" t="s">
        <v>73</v>
      </c>
      <c r="AF3234" s="9" t="s">
        <v>18329</v>
      </c>
      <c r="AG3234" s="21" t="s">
        <v>18330</v>
      </c>
      <c r="AH3234" s="9">
        <v>44173</v>
      </c>
      <c r="AI3234" s="21">
        <v>0</v>
      </c>
      <c r="AJ3234" s="9"/>
      <c r="AK3234" s="9"/>
    </row>
    <row r="3235" spans="1:37" ht="36.75" customHeight="1" x14ac:dyDescent="0.35">
      <c r="A3235" s="13"/>
      <c r="B3235" s="13" t="s">
        <v>887</v>
      </c>
      <c r="C3235" s="73" t="str">
        <f t="shared" si="52"/>
        <v>Open</v>
      </c>
      <c r="D3235" s="45" t="s">
        <v>18331</v>
      </c>
      <c r="E3235" s="78" t="s">
        <v>18332</v>
      </c>
      <c r="F3235" s="13" t="s">
        <v>5406</v>
      </c>
      <c r="G3235" s="9">
        <f>DATE(2020,11,18)</f>
        <v>44153</v>
      </c>
      <c r="H3235" s="51">
        <v>1.75</v>
      </c>
      <c r="I3235" s="13" t="s">
        <v>259</v>
      </c>
      <c r="J3235" s="9" t="s">
        <v>18333</v>
      </c>
      <c r="K3235" s="13" t="s">
        <v>577</v>
      </c>
      <c r="L3235" s="13" t="s">
        <v>18240</v>
      </c>
      <c r="M3235" s="13" t="s">
        <v>45</v>
      </c>
      <c r="N3235" s="13" t="s">
        <v>80</v>
      </c>
      <c r="O3235" s="13" t="s">
        <v>46</v>
      </c>
      <c r="P3235" s="9" t="s">
        <v>47</v>
      </c>
      <c r="Q3235" s="9" t="s">
        <v>10507</v>
      </c>
      <c r="R3235" s="9" t="s">
        <v>12052</v>
      </c>
      <c r="S3235" s="13">
        <v>0</v>
      </c>
      <c r="T3235" s="57">
        <v>1</v>
      </c>
      <c r="U3235" s="13">
        <v>0</v>
      </c>
      <c r="V3235" s="57">
        <v>0</v>
      </c>
      <c r="W3235" s="13">
        <v>0</v>
      </c>
      <c r="X3235" s="13">
        <v>1</v>
      </c>
      <c r="Y3235" s="13">
        <v>0</v>
      </c>
      <c r="Z3235" s="57">
        <v>0</v>
      </c>
      <c r="AA3235" s="13">
        <v>0</v>
      </c>
      <c r="AB3235" s="13">
        <v>0</v>
      </c>
      <c r="AC3235" s="13">
        <v>0</v>
      </c>
      <c r="AD3235" s="13">
        <v>0</v>
      </c>
      <c r="AE3235" s="7" t="s">
        <v>73</v>
      </c>
      <c r="AF3235" s="9"/>
      <c r="AG3235" s="9" t="s">
        <v>64</v>
      </c>
      <c r="AH3235" s="9">
        <v>43902</v>
      </c>
      <c r="AI3235" s="21">
        <v>0</v>
      </c>
      <c r="AJ3235" s="9" t="s">
        <v>50</v>
      </c>
      <c r="AK3235" s="9" t="s">
        <v>50</v>
      </c>
    </row>
    <row r="3236" spans="1:37" ht="36.75" customHeight="1" thickBot="1" x14ac:dyDescent="0.4">
      <c r="A3236" s="21"/>
      <c r="B3236" s="21" t="s">
        <v>37</v>
      </c>
      <c r="C3236" s="73" t="s">
        <v>17979</v>
      </c>
      <c r="D3236" s="45" t="s">
        <v>18334</v>
      </c>
      <c r="E3236" s="78" t="s">
        <v>18335</v>
      </c>
      <c r="F3236" s="13" t="s">
        <v>816</v>
      </c>
      <c r="G3236" s="9">
        <f>DATE(2020,11,25)</f>
        <v>44160</v>
      </c>
      <c r="H3236" s="51">
        <v>1.2708333333333333</v>
      </c>
      <c r="I3236" s="13" t="s">
        <v>41</v>
      </c>
      <c r="J3236" s="9" t="s">
        <v>18336</v>
      </c>
      <c r="K3236" s="13" t="s">
        <v>818</v>
      </c>
      <c r="L3236" s="13" t="s">
        <v>18337</v>
      </c>
      <c r="M3236" s="13" t="s">
        <v>45</v>
      </c>
      <c r="N3236" s="13" t="s">
        <v>80</v>
      </c>
      <c r="O3236" s="13" t="s">
        <v>46</v>
      </c>
      <c r="P3236" s="9" t="s">
        <v>6881</v>
      </c>
      <c r="Q3236" s="9" t="s">
        <v>2142</v>
      </c>
      <c r="R3236" s="9" t="s">
        <v>821</v>
      </c>
      <c r="S3236" s="13">
        <v>0</v>
      </c>
      <c r="T3236" s="57">
        <v>0</v>
      </c>
      <c r="U3236" s="13">
        <v>0</v>
      </c>
      <c r="V3236" s="57">
        <v>0</v>
      </c>
      <c r="W3236" s="13">
        <v>0</v>
      </c>
      <c r="X3236" s="13">
        <v>0</v>
      </c>
      <c r="Y3236" s="13">
        <v>0</v>
      </c>
      <c r="Z3236" s="57">
        <v>0</v>
      </c>
      <c r="AA3236" s="13">
        <v>0</v>
      </c>
      <c r="AB3236" s="13">
        <v>0</v>
      </c>
      <c r="AC3236" s="13">
        <v>0</v>
      </c>
      <c r="AD3236" s="13">
        <v>0</v>
      </c>
      <c r="AE3236" s="9" t="s">
        <v>17984</v>
      </c>
      <c r="AF3236" s="9" t="s">
        <v>17985</v>
      </c>
      <c r="AG3236" s="9" t="s">
        <v>570</v>
      </c>
      <c r="AH3236" s="9">
        <v>44160</v>
      </c>
      <c r="AI3236" s="8">
        <v>1</v>
      </c>
      <c r="AJ3236" s="60" t="s">
        <v>18338</v>
      </c>
      <c r="AK3236" s="61" t="s">
        <v>18339</v>
      </c>
    </row>
    <row r="3237" spans="1:37" ht="36.75" customHeight="1" x14ac:dyDescent="0.35">
      <c r="A3237" s="13" t="s">
        <v>12448</v>
      </c>
      <c r="B3237" s="13" t="s">
        <v>14851</v>
      </c>
      <c r="C3237" s="73" t="str">
        <f t="shared" ref="C3237:C3253" si="53">IF(B3237="Notification","Open",IF(B3237="Interim Statement","In progress","Closed"))</f>
        <v>In progress</v>
      </c>
      <c r="D3237" s="16" t="s">
        <v>18340</v>
      </c>
      <c r="E3237" s="78" t="s">
        <v>18341</v>
      </c>
      <c r="F3237" s="13" t="s">
        <v>18342</v>
      </c>
      <c r="G3237" s="9">
        <f>DATE(2020,12,5)</f>
        <v>44170</v>
      </c>
      <c r="H3237" s="107">
        <v>0.95624999999999993</v>
      </c>
      <c r="I3237" s="13" t="s">
        <v>179</v>
      </c>
      <c r="J3237" s="9" t="s">
        <v>18341</v>
      </c>
      <c r="K3237" s="13" t="s">
        <v>181</v>
      </c>
      <c r="L3237" s="13" t="s">
        <v>18343</v>
      </c>
      <c r="M3237" s="13" t="s">
        <v>45</v>
      </c>
      <c r="N3237" s="13" t="s">
        <v>17785</v>
      </c>
      <c r="O3237" s="13" t="s">
        <v>46</v>
      </c>
      <c r="P3237" s="33"/>
      <c r="Q3237" s="9" t="s">
        <v>18344</v>
      </c>
      <c r="R3237" s="9" t="s">
        <v>18345</v>
      </c>
      <c r="S3237" s="13">
        <v>0</v>
      </c>
      <c r="T3237" s="13">
        <v>0</v>
      </c>
      <c r="U3237" s="13">
        <v>0</v>
      </c>
      <c r="V3237" s="13">
        <v>0</v>
      </c>
      <c r="W3237" s="13">
        <v>0</v>
      </c>
      <c r="X3237" s="13">
        <v>0</v>
      </c>
      <c r="Y3237" s="13">
        <v>0</v>
      </c>
      <c r="Z3237" s="13">
        <v>0</v>
      </c>
      <c r="AA3237" s="13">
        <v>0</v>
      </c>
      <c r="AB3237" s="13">
        <v>0</v>
      </c>
      <c r="AC3237" s="13">
        <v>0</v>
      </c>
      <c r="AD3237" s="13">
        <v>0</v>
      </c>
      <c r="AE3237" s="9" t="s">
        <v>17496</v>
      </c>
      <c r="AF3237" s="9" t="s">
        <v>18346</v>
      </c>
      <c r="AG3237" s="33"/>
      <c r="AH3237" s="33"/>
      <c r="AI3237" s="124"/>
      <c r="AJ3237" s="33"/>
      <c r="AK3237" s="33"/>
    </row>
    <row r="3238" spans="1:37" ht="36.75" customHeight="1" x14ac:dyDescent="0.35">
      <c r="A3238" s="13" t="s">
        <v>12448</v>
      </c>
      <c r="B3238" s="13" t="s">
        <v>37</v>
      </c>
      <c r="C3238" s="73" t="str">
        <f t="shared" si="53"/>
        <v>Closed</v>
      </c>
      <c r="D3238" s="16" t="s">
        <v>18347</v>
      </c>
      <c r="E3238" s="78" t="s">
        <v>18348</v>
      </c>
      <c r="F3238" s="13" t="s">
        <v>18349</v>
      </c>
      <c r="G3238" s="9">
        <f>DATE(2020,12,19)</f>
        <v>44184</v>
      </c>
      <c r="H3238" s="107">
        <v>0.76597222222222217</v>
      </c>
      <c r="I3238" s="13" t="s">
        <v>55</v>
      </c>
      <c r="J3238" s="9" t="s">
        <v>18348</v>
      </c>
      <c r="K3238" s="13" t="s">
        <v>406</v>
      </c>
      <c r="L3238" s="13" t="s">
        <v>18350</v>
      </c>
      <c r="M3238" s="13" t="s">
        <v>45</v>
      </c>
      <c r="N3238" s="13" t="s">
        <v>80</v>
      </c>
      <c r="O3238" s="13" t="s">
        <v>59</v>
      </c>
      <c r="P3238" s="9" t="s">
        <v>18351</v>
      </c>
      <c r="Q3238" s="9" t="s">
        <v>18352</v>
      </c>
      <c r="R3238" s="9" t="s">
        <v>17330</v>
      </c>
      <c r="S3238" s="13">
        <v>0</v>
      </c>
      <c r="T3238" s="13">
        <v>0</v>
      </c>
      <c r="U3238" s="13">
        <v>0</v>
      </c>
      <c r="V3238" s="13">
        <v>0</v>
      </c>
      <c r="W3238" s="13">
        <v>0</v>
      </c>
      <c r="X3238" s="13">
        <v>0</v>
      </c>
      <c r="Y3238" s="13">
        <v>0</v>
      </c>
      <c r="Z3238" s="13">
        <v>0</v>
      </c>
      <c r="AA3238" s="13">
        <v>0</v>
      </c>
      <c r="AB3238" s="13">
        <v>0</v>
      </c>
      <c r="AC3238" s="13">
        <v>0</v>
      </c>
      <c r="AD3238" s="13">
        <v>0</v>
      </c>
      <c r="AE3238" s="9" t="s">
        <v>17496</v>
      </c>
      <c r="AF3238" s="9" t="s">
        <v>18353</v>
      </c>
      <c r="AG3238" s="9" t="s">
        <v>16251</v>
      </c>
      <c r="AH3238" s="9">
        <f>DATE(2020,12,19)</f>
        <v>44184</v>
      </c>
      <c r="AI3238" s="124">
        <v>1</v>
      </c>
      <c r="AJ3238" s="9" t="s">
        <v>18354</v>
      </c>
      <c r="AK3238" s="9" t="s">
        <v>860</v>
      </c>
    </row>
    <row r="3239" spans="1:37" ht="36.75" customHeight="1" x14ac:dyDescent="0.35">
      <c r="A3239" s="20" t="s">
        <v>12448</v>
      </c>
      <c r="B3239" s="20" t="s">
        <v>37</v>
      </c>
      <c r="C3239" s="73" t="str">
        <f t="shared" si="53"/>
        <v>Closed</v>
      </c>
      <c r="D3239" s="47" t="s">
        <v>18355</v>
      </c>
      <c r="E3239" s="79" t="s">
        <v>18356</v>
      </c>
      <c r="F3239" s="20" t="s">
        <v>17537</v>
      </c>
      <c r="G3239" s="9">
        <f>DATE(2020,12,28)</f>
        <v>44193</v>
      </c>
      <c r="H3239" s="33"/>
      <c r="I3239" s="20" t="s">
        <v>179</v>
      </c>
      <c r="J3239" s="9" t="s">
        <v>18357</v>
      </c>
      <c r="K3239" s="20" t="s">
        <v>818</v>
      </c>
      <c r="L3239" s="13" t="s">
        <v>18358</v>
      </c>
      <c r="M3239" s="20" t="s">
        <v>236</v>
      </c>
      <c r="N3239" s="20" t="s">
        <v>18359</v>
      </c>
      <c r="O3239" s="20" t="s">
        <v>59</v>
      </c>
      <c r="P3239" s="9" t="s">
        <v>6531</v>
      </c>
      <c r="Q3239" s="9" t="s">
        <v>18360</v>
      </c>
      <c r="R3239" s="9" t="s">
        <v>18360</v>
      </c>
      <c r="S3239" s="20">
        <v>0</v>
      </c>
      <c r="T3239" s="20">
        <v>0</v>
      </c>
      <c r="U3239" s="20">
        <v>0</v>
      </c>
      <c r="V3239" s="20">
        <v>0</v>
      </c>
      <c r="W3239" s="20">
        <v>0</v>
      </c>
      <c r="X3239" s="20">
        <v>0</v>
      </c>
      <c r="Y3239" s="20">
        <v>0</v>
      </c>
      <c r="Z3239" s="20">
        <v>0</v>
      </c>
      <c r="AA3239" s="20">
        <v>0</v>
      </c>
      <c r="AB3239" s="20">
        <v>0</v>
      </c>
      <c r="AC3239" s="20">
        <v>0</v>
      </c>
      <c r="AD3239" s="20">
        <v>0</v>
      </c>
      <c r="AE3239" s="9" t="s">
        <v>73</v>
      </c>
      <c r="AF3239" s="9" t="s">
        <v>18361</v>
      </c>
      <c r="AG3239" s="9" t="s">
        <v>8837</v>
      </c>
      <c r="AH3239" s="9"/>
      <c r="AI3239" s="20">
        <v>0</v>
      </c>
      <c r="AJ3239" s="9" t="s">
        <v>18362</v>
      </c>
      <c r="AK3239" s="9" t="s">
        <v>18363</v>
      </c>
    </row>
    <row r="3240" spans="1:37" ht="36.75" customHeight="1" x14ac:dyDescent="0.35">
      <c r="A3240" s="13" t="s">
        <v>12448</v>
      </c>
      <c r="B3240" s="13" t="s">
        <v>37</v>
      </c>
      <c r="C3240" s="73" t="str">
        <f t="shared" si="53"/>
        <v>Closed</v>
      </c>
      <c r="D3240" s="16" t="s">
        <v>18364</v>
      </c>
      <c r="E3240" s="78" t="s">
        <v>18365</v>
      </c>
      <c r="F3240" s="13" t="s">
        <v>17638</v>
      </c>
      <c r="G3240" s="9">
        <f>DATE(2020,12,28)</f>
        <v>44193</v>
      </c>
      <c r="H3240" s="50">
        <v>0.2986111111111111</v>
      </c>
      <c r="I3240" s="13" t="s">
        <v>55</v>
      </c>
      <c r="J3240" s="9" t="s">
        <v>18366</v>
      </c>
      <c r="K3240" s="13" t="s">
        <v>1555</v>
      </c>
      <c r="L3240" s="13" t="s">
        <v>18367</v>
      </c>
      <c r="M3240" s="13" t="s">
        <v>45</v>
      </c>
      <c r="N3240" s="13" t="s">
        <v>80</v>
      </c>
      <c r="O3240" s="13" t="s">
        <v>46</v>
      </c>
      <c r="P3240" s="9" t="s">
        <v>60</v>
      </c>
      <c r="Q3240" s="9" t="s">
        <v>18368</v>
      </c>
      <c r="R3240" s="9" t="s">
        <v>18009</v>
      </c>
      <c r="S3240" s="13">
        <v>0</v>
      </c>
      <c r="T3240" s="13">
        <v>0</v>
      </c>
      <c r="U3240" s="13">
        <v>0</v>
      </c>
      <c r="V3240" s="13">
        <v>0</v>
      </c>
      <c r="W3240" s="13">
        <v>0</v>
      </c>
      <c r="X3240" s="13">
        <v>0</v>
      </c>
      <c r="Y3240" s="13">
        <v>0</v>
      </c>
      <c r="Z3240" s="13">
        <v>0</v>
      </c>
      <c r="AA3240" s="13">
        <v>0</v>
      </c>
      <c r="AB3240" s="13">
        <v>0</v>
      </c>
      <c r="AC3240" s="13">
        <v>0</v>
      </c>
      <c r="AD3240" s="13">
        <v>0</v>
      </c>
      <c r="AE3240" s="13" t="s">
        <v>73</v>
      </c>
      <c r="AF3240" s="9" t="s">
        <v>18369</v>
      </c>
      <c r="AG3240" s="9" t="s">
        <v>8837</v>
      </c>
      <c r="AH3240" s="10">
        <f>DATE(2020,12,29)</f>
        <v>44194</v>
      </c>
      <c r="AI3240" s="13">
        <v>3</v>
      </c>
      <c r="AJ3240" s="126" t="s">
        <v>18370</v>
      </c>
      <c r="AK3240" s="129" t="s">
        <v>18371</v>
      </c>
    </row>
    <row r="3241" spans="1:37" ht="36.75" customHeight="1" x14ac:dyDescent="0.35">
      <c r="A3241" s="13" t="s">
        <v>12448</v>
      </c>
      <c r="B3241" s="13" t="s">
        <v>37</v>
      </c>
      <c r="C3241" s="73" t="str">
        <f t="shared" si="53"/>
        <v>Closed</v>
      </c>
      <c r="D3241" s="16" t="s">
        <v>18372</v>
      </c>
      <c r="E3241" s="78" t="s">
        <v>18373</v>
      </c>
      <c r="F3241" s="13" t="s">
        <v>9767</v>
      </c>
      <c r="G3241" s="9">
        <f>DATE(2021,1,13)</f>
        <v>44209</v>
      </c>
      <c r="H3241" s="50">
        <v>0.4375</v>
      </c>
      <c r="I3241" s="13" t="s">
        <v>55</v>
      </c>
      <c r="J3241" s="9" t="s">
        <v>18374</v>
      </c>
      <c r="K3241" s="13" t="s">
        <v>9769</v>
      </c>
      <c r="L3241" s="13" t="s">
        <v>18375</v>
      </c>
      <c r="M3241" s="13" t="s">
        <v>45</v>
      </c>
      <c r="N3241" s="15" t="s">
        <v>80</v>
      </c>
      <c r="O3241" s="13" t="s">
        <v>46</v>
      </c>
      <c r="P3241" s="9" t="s">
        <v>60</v>
      </c>
      <c r="Q3241" s="9" t="s">
        <v>18376</v>
      </c>
      <c r="R3241" s="9" t="s">
        <v>18377</v>
      </c>
      <c r="S3241" s="13">
        <v>0</v>
      </c>
      <c r="T3241" s="13">
        <v>0</v>
      </c>
      <c r="U3241" s="13">
        <v>0</v>
      </c>
      <c r="V3241" s="13">
        <v>0</v>
      </c>
      <c r="W3241" s="13">
        <v>0</v>
      </c>
      <c r="X3241" s="13">
        <v>0</v>
      </c>
      <c r="Y3241" s="13">
        <v>0</v>
      </c>
      <c r="Z3241" s="13">
        <v>0</v>
      </c>
      <c r="AA3241" s="13">
        <v>0</v>
      </c>
      <c r="AB3241" s="13">
        <v>0</v>
      </c>
      <c r="AC3241" s="13">
        <v>0</v>
      </c>
      <c r="AD3241" s="13">
        <v>0</v>
      </c>
      <c r="AE3241" s="9" t="s">
        <v>375</v>
      </c>
      <c r="AF3241" s="9" t="s">
        <v>18378</v>
      </c>
      <c r="AG3241" s="9" t="s">
        <v>8837</v>
      </c>
      <c r="AH3241" s="10">
        <v>44216</v>
      </c>
      <c r="AI3241" s="13">
        <v>1</v>
      </c>
      <c r="AJ3241" s="9" t="s">
        <v>18379</v>
      </c>
      <c r="AK3241" s="9" t="s">
        <v>18380</v>
      </c>
    </row>
    <row r="3242" spans="1:37" ht="36.75" customHeight="1" x14ac:dyDescent="0.35">
      <c r="A3242" s="21" t="s">
        <v>12448</v>
      </c>
      <c r="B3242" s="21" t="s">
        <v>37</v>
      </c>
      <c r="C3242" s="73" t="str">
        <f t="shared" si="53"/>
        <v>Closed</v>
      </c>
      <c r="D3242" s="47" t="s">
        <v>18381</v>
      </c>
      <c r="E3242" s="76" t="s">
        <v>18382</v>
      </c>
      <c r="F3242" s="21" t="s">
        <v>12887</v>
      </c>
      <c r="G3242" s="9">
        <f>DATE(2021,1,13)</f>
        <v>44209</v>
      </c>
      <c r="H3242" s="50">
        <v>1.6215277777777777</v>
      </c>
      <c r="I3242" s="21" t="s">
        <v>16663</v>
      </c>
      <c r="J3242" s="21" t="s">
        <v>18383</v>
      </c>
      <c r="K3242" s="21" t="s">
        <v>434</v>
      </c>
      <c r="L3242" s="21" t="s">
        <v>18384</v>
      </c>
      <c r="M3242" s="21" t="s">
        <v>45</v>
      </c>
      <c r="N3242" s="21" t="s">
        <v>123</v>
      </c>
      <c r="O3242" s="21" t="s">
        <v>46</v>
      </c>
      <c r="P3242" s="21" t="s">
        <v>60</v>
      </c>
      <c r="Q3242" s="21" t="s">
        <v>18385</v>
      </c>
      <c r="R3242" s="21" t="s">
        <v>553</v>
      </c>
      <c r="S3242" s="21">
        <v>0</v>
      </c>
      <c r="T3242" s="21">
        <v>0</v>
      </c>
      <c r="U3242" s="21">
        <v>0</v>
      </c>
      <c r="V3242" s="21">
        <v>0</v>
      </c>
      <c r="W3242" s="21">
        <v>0</v>
      </c>
      <c r="X3242" s="21">
        <v>0</v>
      </c>
      <c r="Y3242" s="21">
        <v>0</v>
      </c>
      <c r="Z3242" s="21">
        <v>0</v>
      </c>
      <c r="AA3242" s="21">
        <v>0</v>
      </c>
      <c r="AB3242" s="21">
        <v>0</v>
      </c>
      <c r="AC3242" s="21">
        <v>0</v>
      </c>
      <c r="AD3242" s="21">
        <v>0</v>
      </c>
      <c r="AE3242" s="21" t="s">
        <v>73</v>
      </c>
      <c r="AF3242" s="21" t="s">
        <v>18386</v>
      </c>
      <c r="AG3242" s="21" t="s">
        <v>6438</v>
      </c>
      <c r="AH3242" s="56">
        <v>44209</v>
      </c>
      <c r="AI3242" s="21">
        <v>3</v>
      </c>
      <c r="AJ3242" s="21" t="s">
        <v>18387</v>
      </c>
      <c r="AK3242" s="21">
        <v>0</v>
      </c>
    </row>
    <row r="3243" spans="1:37" ht="36.75" customHeight="1" x14ac:dyDescent="0.35">
      <c r="A3243" s="21" t="s">
        <v>12448</v>
      </c>
      <c r="B3243" s="21" t="s">
        <v>37</v>
      </c>
      <c r="C3243" s="73" t="str">
        <f t="shared" si="53"/>
        <v>Closed</v>
      </c>
      <c r="D3243" s="47" t="s">
        <v>18388</v>
      </c>
      <c r="E3243" s="76" t="s">
        <v>18389</v>
      </c>
      <c r="F3243" s="21" t="s">
        <v>17728</v>
      </c>
      <c r="G3243" s="9">
        <f>DATE(2021,1,15)</f>
        <v>44211</v>
      </c>
      <c r="H3243" s="107">
        <v>0.375</v>
      </c>
      <c r="I3243" s="21" t="s">
        <v>55</v>
      </c>
      <c r="J3243" s="9" t="s">
        <v>18390</v>
      </c>
      <c r="K3243" s="21" t="s">
        <v>2583</v>
      </c>
      <c r="L3243" s="21" t="s">
        <v>18391</v>
      </c>
      <c r="M3243" s="21" t="s">
        <v>45</v>
      </c>
      <c r="N3243" s="21" t="s">
        <v>80</v>
      </c>
      <c r="O3243" s="21" t="s">
        <v>59</v>
      </c>
      <c r="P3243" s="9" t="s">
        <v>60</v>
      </c>
      <c r="Q3243" s="21" t="s">
        <v>18392</v>
      </c>
      <c r="R3243" s="21" t="s">
        <v>18393</v>
      </c>
      <c r="S3243" s="21">
        <v>0</v>
      </c>
      <c r="T3243" s="21">
        <v>0</v>
      </c>
      <c r="U3243" s="21">
        <v>0</v>
      </c>
      <c r="V3243" s="21">
        <v>0</v>
      </c>
      <c r="W3243" s="21">
        <v>0</v>
      </c>
      <c r="X3243" s="21">
        <v>0</v>
      </c>
      <c r="Y3243" s="21">
        <v>0</v>
      </c>
      <c r="Z3243" s="21">
        <v>0</v>
      </c>
      <c r="AA3243" s="21">
        <v>0</v>
      </c>
      <c r="AB3243" s="21">
        <v>0</v>
      </c>
      <c r="AC3243" s="21">
        <v>0</v>
      </c>
      <c r="AD3243" s="21">
        <v>0</v>
      </c>
      <c r="AE3243" s="21" t="s">
        <v>73</v>
      </c>
      <c r="AF3243" s="21" t="s">
        <v>18394</v>
      </c>
      <c r="AG3243" s="21" t="s">
        <v>8837</v>
      </c>
      <c r="AH3243" s="9">
        <v>44211</v>
      </c>
      <c r="AI3243" s="21">
        <v>3</v>
      </c>
      <c r="AJ3243" s="21" t="s">
        <v>18395</v>
      </c>
      <c r="AK3243" s="21" t="s">
        <v>18396</v>
      </c>
    </row>
    <row r="3244" spans="1:37" ht="36.75" customHeight="1" x14ac:dyDescent="0.35">
      <c r="A3244" s="13" t="s">
        <v>12448</v>
      </c>
      <c r="B3244" s="13" t="s">
        <v>37</v>
      </c>
      <c r="C3244" s="73" t="str">
        <f t="shared" si="53"/>
        <v>Closed</v>
      </c>
      <c r="D3244" s="16" t="s">
        <v>18397</v>
      </c>
      <c r="E3244" s="78" t="s">
        <v>18398</v>
      </c>
      <c r="F3244" s="13" t="s">
        <v>18349</v>
      </c>
      <c r="G3244" s="9">
        <f>DATE(2021,1,15)</f>
        <v>44211</v>
      </c>
      <c r="H3244" s="107">
        <v>0.26111111111111113</v>
      </c>
      <c r="I3244" s="13" t="s">
        <v>179</v>
      </c>
      <c r="J3244" s="9" t="s">
        <v>18399</v>
      </c>
      <c r="K3244" s="13" t="s">
        <v>406</v>
      </c>
      <c r="L3244" s="13" t="s">
        <v>18400</v>
      </c>
      <c r="M3244" s="13" t="s">
        <v>236</v>
      </c>
      <c r="N3244" s="13" t="s">
        <v>123</v>
      </c>
      <c r="O3244" s="13" t="s">
        <v>46</v>
      </c>
      <c r="P3244" s="9" t="s">
        <v>6531</v>
      </c>
      <c r="Q3244" s="9" t="s">
        <v>1325</v>
      </c>
      <c r="R3244" s="9" t="s">
        <v>1325</v>
      </c>
      <c r="S3244" s="13">
        <v>0</v>
      </c>
      <c r="T3244" s="13">
        <v>0</v>
      </c>
      <c r="U3244" s="13">
        <v>0</v>
      </c>
      <c r="V3244" s="13">
        <v>0</v>
      </c>
      <c r="W3244" s="13">
        <v>0</v>
      </c>
      <c r="X3244" s="13">
        <v>0</v>
      </c>
      <c r="Y3244" s="13">
        <v>0</v>
      </c>
      <c r="Z3244" s="13">
        <v>0</v>
      </c>
      <c r="AA3244" s="13">
        <v>0</v>
      </c>
      <c r="AB3244" s="13">
        <v>0</v>
      </c>
      <c r="AC3244" s="13">
        <v>0</v>
      </c>
      <c r="AD3244" s="13">
        <v>0</v>
      </c>
      <c r="AE3244" s="9" t="s">
        <v>17571</v>
      </c>
      <c r="AF3244" s="9"/>
      <c r="AG3244" s="21" t="s">
        <v>17498</v>
      </c>
      <c r="AH3244" s="9">
        <f>DATE(2021,1,18)</f>
        <v>44214</v>
      </c>
      <c r="AI3244" s="13">
        <v>1</v>
      </c>
      <c r="AJ3244" s="9" t="s">
        <v>18401</v>
      </c>
      <c r="AK3244" s="9" t="s">
        <v>18402</v>
      </c>
    </row>
    <row r="3245" spans="1:37" ht="36.75" customHeight="1" x14ac:dyDescent="0.35">
      <c r="A3245" s="20" t="s">
        <v>12448</v>
      </c>
      <c r="B3245" s="20" t="s">
        <v>37</v>
      </c>
      <c r="C3245" s="73" t="str">
        <f t="shared" si="53"/>
        <v>Closed</v>
      </c>
      <c r="D3245" s="47" t="s">
        <v>18403</v>
      </c>
      <c r="E3245" s="76" t="s">
        <v>18404</v>
      </c>
      <c r="F3245" s="20" t="s">
        <v>16278</v>
      </c>
      <c r="G3245" s="9">
        <f>DATE(2021,1,15)</f>
        <v>44211</v>
      </c>
      <c r="H3245" s="51">
        <v>1.5868055555555556</v>
      </c>
      <c r="I3245" s="21" t="s">
        <v>97</v>
      </c>
      <c r="J3245" s="9" t="s">
        <v>18405</v>
      </c>
      <c r="K3245" s="20" t="s">
        <v>99</v>
      </c>
      <c r="L3245" s="13" t="s">
        <v>18406</v>
      </c>
      <c r="M3245" s="20" t="s">
        <v>45</v>
      </c>
      <c r="N3245" s="20" t="s">
        <v>80</v>
      </c>
      <c r="O3245" s="20" t="s">
        <v>46</v>
      </c>
      <c r="P3245" s="9" t="s">
        <v>146</v>
      </c>
      <c r="Q3245" s="9" t="s">
        <v>16281</v>
      </c>
      <c r="R3245" s="9" t="s">
        <v>18159</v>
      </c>
      <c r="S3245" s="48">
        <v>0</v>
      </c>
      <c r="T3245" s="48">
        <v>0</v>
      </c>
      <c r="U3245" s="48">
        <v>1</v>
      </c>
      <c r="V3245" s="48">
        <v>0</v>
      </c>
      <c r="W3245" s="48">
        <v>0</v>
      </c>
      <c r="X3245" s="48">
        <v>1</v>
      </c>
      <c r="Y3245" s="48">
        <v>0</v>
      </c>
      <c r="Z3245" s="48">
        <v>0</v>
      </c>
      <c r="AA3245" s="48">
        <v>0</v>
      </c>
      <c r="AB3245" s="48">
        <v>0</v>
      </c>
      <c r="AC3245" s="48">
        <v>0</v>
      </c>
      <c r="AD3245" s="48">
        <v>0</v>
      </c>
      <c r="AE3245" s="9" t="s">
        <v>73</v>
      </c>
      <c r="AF3245" s="9" t="s">
        <v>18407</v>
      </c>
      <c r="AG3245" s="9" t="s">
        <v>8837</v>
      </c>
      <c r="AH3245" s="9">
        <v>44214</v>
      </c>
      <c r="AI3245" s="20">
        <v>4</v>
      </c>
      <c r="AJ3245" s="9" t="s">
        <v>18408</v>
      </c>
      <c r="AK3245" s="9"/>
    </row>
    <row r="3246" spans="1:37" ht="36.75" customHeight="1" x14ac:dyDescent="0.35">
      <c r="A3246" s="20" t="s">
        <v>12448</v>
      </c>
      <c r="B3246" s="20" t="s">
        <v>37</v>
      </c>
      <c r="C3246" s="73" t="str">
        <f t="shared" si="53"/>
        <v>Closed</v>
      </c>
      <c r="D3246" s="47" t="s">
        <v>18409</v>
      </c>
      <c r="E3246" s="76" t="s">
        <v>18410</v>
      </c>
      <c r="F3246" s="20" t="s">
        <v>17537</v>
      </c>
      <c r="G3246" s="9">
        <f>DATE(2021,1,17)</f>
        <v>44213</v>
      </c>
      <c r="H3246" s="35">
        <v>1.4479166666666667</v>
      </c>
      <c r="I3246" s="20" t="s">
        <v>55</v>
      </c>
      <c r="J3246" s="9" t="s">
        <v>18411</v>
      </c>
      <c r="K3246" s="20" t="s">
        <v>818</v>
      </c>
      <c r="L3246" s="13" t="s">
        <v>18412</v>
      </c>
      <c r="M3246" s="20" t="s">
        <v>45</v>
      </c>
      <c r="N3246" s="21" t="s">
        <v>80</v>
      </c>
      <c r="O3246" s="20" t="s">
        <v>59</v>
      </c>
      <c r="P3246" s="9" t="s">
        <v>60</v>
      </c>
      <c r="Q3246" s="9" t="s">
        <v>5525</v>
      </c>
      <c r="R3246" s="9" t="s">
        <v>821</v>
      </c>
      <c r="S3246" s="20">
        <v>0</v>
      </c>
      <c r="T3246" s="20">
        <v>0</v>
      </c>
      <c r="U3246" s="20">
        <v>0</v>
      </c>
      <c r="V3246" s="20">
        <v>0</v>
      </c>
      <c r="W3246" s="20">
        <v>0</v>
      </c>
      <c r="X3246" s="20">
        <v>0</v>
      </c>
      <c r="Y3246" s="20">
        <v>0</v>
      </c>
      <c r="Z3246" s="20">
        <v>0</v>
      </c>
      <c r="AA3246" s="20">
        <v>0</v>
      </c>
      <c r="AB3246" s="20">
        <v>0</v>
      </c>
      <c r="AC3246" s="20">
        <v>0</v>
      </c>
      <c r="AD3246" s="20">
        <v>0</v>
      </c>
      <c r="AE3246" s="9" t="s">
        <v>375</v>
      </c>
      <c r="AF3246" s="9" t="s">
        <v>18413</v>
      </c>
      <c r="AG3246" s="9" t="s">
        <v>8837</v>
      </c>
      <c r="AH3246" s="10">
        <v>44213</v>
      </c>
      <c r="AI3246" s="20">
        <v>1</v>
      </c>
      <c r="AJ3246" s="9" t="s">
        <v>18414</v>
      </c>
      <c r="AK3246" s="9" t="s">
        <v>18415</v>
      </c>
    </row>
    <row r="3247" spans="1:37" ht="36.75" customHeight="1" x14ac:dyDescent="0.35">
      <c r="A3247" s="20" t="s">
        <v>12448</v>
      </c>
      <c r="B3247" s="20" t="s">
        <v>37</v>
      </c>
      <c r="C3247" s="73" t="str">
        <f t="shared" si="53"/>
        <v>Closed</v>
      </c>
      <c r="D3247" s="47" t="s">
        <v>18416</v>
      </c>
      <c r="E3247" s="76" t="s">
        <v>18417</v>
      </c>
      <c r="F3247" s="20" t="s">
        <v>17305</v>
      </c>
      <c r="G3247" s="9">
        <f>DATE(2021,1,22)</f>
        <v>44218</v>
      </c>
      <c r="H3247" s="35">
        <v>1.3326388888888889</v>
      </c>
      <c r="I3247" s="20" t="s">
        <v>55</v>
      </c>
      <c r="J3247" s="9" t="s">
        <v>18418</v>
      </c>
      <c r="K3247" s="20" t="s">
        <v>108</v>
      </c>
      <c r="L3247" s="13" t="s">
        <v>18419</v>
      </c>
      <c r="M3247" s="20" t="s">
        <v>236</v>
      </c>
      <c r="N3247" s="20" t="s">
        <v>123</v>
      </c>
      <c r="O3247" s="20" t="s">
        <v>46</v>
      </c>
      <c r="P3247" s="9" t="s">
        <v>18420</v>
      </c>
      <c r="Q3247" s="9" t="s">
        <v>10533</v>
      </c>
      <c r="R3247" s="9" t="s">
        <v>10533</v>
      </c>
      <c r="S3247" s="20">
        <v>0</v>
      </c>
      <c r="T3247" s="20">
        <v>0</v>
      </c>
      <c r="U3247" s="20">
        <v>0</v>
      </c>
      <c r="V3247" s="20">
        <v>0</v>
      </c>
      <c r="W3247" s="20">
        <v>0</v>
      </c>
      <c r="X3247" s="20">
        <v>0</v>
      </c>
      <c r="Y3247" s="20">
        <v>0</v>
      </c>
      <c r="Z3247" s="20">
        <v>0</v>
      </c>
      <c r="AA3247" s="20">
        <v>0</v>
      </c>
      <c r="AB3247" s="20">
        <v>0</v>
      </c>
      <c r="AC3247" s="20">
        <v>0</v>
      </c>
      <c r="AD3247" s="20">
        <v>0</v>
      </c>
      <c r="AE3247" s="10" t="s">
        <v>375</v>
      </c>
      <c r="AF3247" s="9" t="s">
        <v>18421</v>
      </c>
      <c r="AG3247" s="9" t="s">
        <v>16899</v>
      </c>
      <c r="AH3247" s="10">
        <v>44224</v>
      </c>
      <c r="AI3247" s="20">
        <v>0</v>
      </c>
      <c r="AJ3247" s="9" t="s">
        <v>18422</v>
      </c>
      <c r="AK3247" s="9" t="s">
        <v>18423</v>
      </c>
    </row>
    <row r="3248" spans="1:37" ht="36.75" customHeight="1" x14ac:dyDescent="0.35">
      <c r="A3248" s="48" t="s">
        <v>12448</v>
      </c>
      <c r="B3248" s="20" t="s">
        <v>37</v>
      </c>
      <c r="C3248" s="73" t="str">
        <f t="shared" si="53"/>
        <v>Closed</v>
      </c>
      <c r="D3248" s="47" t="s">
        <v>18424</v>
      </c>
      <c r="E3248" s="79" t="s">
        <v>18425</v>
      </c>
      <c r="F3248" s="20" t="s">
        <v>17537</v>
      </c>
      <c r="G3248" s="9">
        <f>DATE(2021,1,25)</f>
        <v>44221</v>
      </c>
      <c r="H3248" s="107">
        <v>1.40625</v>
      </c>
      <c r="I3248" s="13" t="s">
        <v>137</v>
      </c>
      <c r="J3248" s="9" t="s">
        <v>18426</v>
      </c>
      <c r="K3248" s="20" t="s">
        <v>818</v>
      </c>
      <c r="L3248" s="13" t="s">
        <v>18427</v>
      </c>
      <c r="M3248" s="20" t="s">
        <v>45</v>
      </c>
      <c r="N3248" s="20" t="s">
        <v>80</v>
      </c>
      <c r="O3248" s="20" t="s">
        <v>46</v>
      </c>
      <c r="P3248" s="9" t="s">
        <v>60</v>
      </c>
      <c r="Q3248" s="9" t="s">
        <v>11459</v>
      </c>
      <c r="R3248" s="9" t="s">
        <v>821</v>
      </c>
      <c r="S3248" s="20">
        <v>0</v>
      </c>
      <c r="T3248" s="20">
        <v>0</v>
      </c>
      <c r="U3248" s="20">
        <v>0</v>
      </c>
      <c r="V3248" s="20">
        <v>0</v>
      </c>
      <c r="W3248" s="20">
        <v>0</v>
      </c>
      <c r="X3248" s="20">
        <v>0</v>
      </c>
      <c r="Y3248" s="20">
        <v>0</v>
      </c>
      <c r="Z3248" s="20">
        <v>0</v>
      </c>
      <c r="AA3248" s="20">
        <v>0</v>
      </c>
      <c r="AB3248" s="20">
        <v>0</v>
      </c>
      <c r="AC3248" s="20">
        <v>0</v>
      </c>
      <c r="AD3248" s="20">
        <v>0</v>
      </c>
      <c r="AE3248" s="9" t="s">
        <v>73</v>
      </c>
      <c r="AF3248" s="9" t="s">
        <v>18428</v>
      </c>
      <c r="AG3248" s="9" t="s">
        <v>8837</v>
      </c>
      <c r="AH3248" s="43">
        <v>44221</v>
      </c>
      <c r="AI3248" s="20">
        <v>0</v>
      </c>
      <c r="AJ3248" s="9" t="s">
        <v>18429</v>
      </c>
      <c r="AK3248" s="9" t="s">
        <v>18430</v>
      </c>
    </row>
    <row r="3249" spans="1:37" ht="36.75" customHeight="1" x14ac:dyDescent="0.35">
      <c r="A3249" s="20" t="s">
        <v>12448</v>
      </c>
      <c r="B3249" s="20" t="s">
        <v>37</v>
      </c>
      <c r="C3249" s="73" t="str">
        <f t="shared" si="53"/>
        <v>Closed</v>
      </c>
      <c r="D3249" s="47" t="s">
        <v>18431</v>
      </c>
      <c r="E3249" s="76" t="s">
        <v>18432</v>
      </c>
      <c r="F3249" s="20" t="s">
        <v>17018</v>
      </c>
      <c r="G3249" s="9">
        <f>DATE(2021,1,26)</f>
        <v>44222</v>
      </c>
      <c r="H3249" s="10" t="s">
        <v>18433</v>
      </c>
      <c r="I3249" s="21" t="s">
        <v>97</v>
      </c>
      <c r="J3249" s="9" t="s">
        <v>18434</v>
      </c>
      <c r="K3249" s="20" t="s">
        <v>2318</v>
      </c>
      <c r="L3249" s="20" t="s">
        <v>18435</v>
      </c>
      <c r="M3249" s="20" t="s">
        <v>45</v>
      </c>
      <c r="N3249" s="20" t="s">
        <v>80</v>
      </c>
      <c r="O3249" s="20" t="s">
        <v>46</v>
      </c>
      <c r="P3249" s="9" t="s">
        <v>146</v>
      </c>
      <c r="Q3249" s="9" t="s">
        <v>18436</v>
      </c>
      <c r="R3249" s="9" t="s">
        <v>2321</v>
      </c>
      <c r="S3249" s="20">
        <v>0</v>
      </c>
      <c r="T3249" s="20">
        <v>0</v>
      </c>
      <c r="U3249" s="20">
        <v>1</v>
      </c>
      <c r="V3249" s="20">
        <v>0</v>
      </c>
      <c r="W3249" s="20">
        <v>0</v>
      </c>
      <c r="X3249" s="20">
        <v>1</v>
      </c>
      <c r="Y3249" s="20">
        <v>0</v>
      </c>
      <c r="Z3249" s="20">
        <v>0</v>
      </c>
      <c r="AA3249" s="20">
        <v>0</v>
      </c>
      <c r="AB3249" s="20">
        <v>0</v>
      </c>
      <c r="AC3249" s="20">
        <v>0</v>
      </c>
      <c r="AD3249" s="20">
        <v>0</v>
      </c>
      <c r="AE3249" s="10" t="s">
        <v>375</v>
      </c>
      <c r="AF3249" s="9" t="s">
        <v>18437</v>
      </c>
      <c r="AG3249" s="9" t="s">
        <v>6438</v>
      </c>
      <c r="AH3249" s="10">
        <v>44229</v>
      </c>
      <c r="AI3249" s="20">
        <v>4</v>
      </c>
      <c r="AJ3249" s="9" t="s">
        <v>18438</v>
      </c>
      <c r="AK3249" s="9" t="s">
        <v>18439</v>
      </c>
    </row>
    <row r="3250" spans="1:37" ht="36.75" customHeight="1" x14ac:dyDescent="0.35">
      <c r="A3250" s="21" t="s">
        <v>12448</v>
      </c>
      <c r="B3250" s="21" t="s">
        <v>37</v>
      </c>
      <c r="C3250" s="73" t="str">
        <f t="shared" si="53"/>
        <v>Closed</v>
      </c>
      <c r="D3250" s="47" t="s">
        <v>18440</v>
      </c>
      <c r="E3250" s="76" t="s">
        <v>18441</v>
      </c>
      <c r="F3250" s="21" t="s">
        <v>9767</v>
      </c>
      <c r="G3250" s="9">
        <f>DATE(2021,1,27)</f>
        <v>44223</v>
      </c>
      <c r="H3250" s="50">
        <v>0.14583333333333334</v>
      </c>
      <c r="I3250" s="21" t="s">
        <v>55</v>
      </c>
      <c r="J3250" s="9" t="s">
        <v>18442</v>
      </c>
      <c r="K3250" s="21" t="s">
        <v>9769</v>
      </c>
      <c r="L3250" s="21" t="s">
        <v>18443</v>
      </c>
      <c r="M3250" s="21" t="s">
        <v>45</v>
      </c>
      <c r="N3250" s="21" t="s">
        <v>80</v>
      </c>
      <c r="O3250" s="21" t="s">
        <v>59</v>
      </c>
      <c r="P3250" s="9" t="s">
        <v>60</v>
      </c>
      <c r="Q3250" s="9" t="s">
        <v>17653</v>
      </c>
      <c r="R3250" s="9" t="s">
        <v>18377</v>
      </c>
      <c r="S3250" s="13">
        <v>0</v>
      </c>
      <c r="T3250" s="13">
        <v>0</v>
      </c>
      <c r="U3250" s="13">
        <v>0</v>
      </c>
      <c r="V3250" s="13">
        <v>0</v>
      </c>
      <c r="W3250" s="13">
        <v>0</v>
      </c>
      <c r="X3250" s="13">
        <v>0</v>
      </c>
      <c r="Y3250" s="13">
        <v>0</v>
      </c>
      <c r="Z3250" s="13">
        <v>0</v>
      </c>
      <c r="AA3250" s="13">
        <v>0</v>
      </c>
      <c r="AB3250" s="13">
        <v>0</v>
      </c>
      <c r="AC3250" s="13">
        <v>0</v>
      </c>
      <c r="AD3250" s="13">
        <v>0</v>
      </c>
      <c r="AE3250" s="9" t="s">
        <v>73</v>
      </c>
      <c r="AF3250" s="9" t="s">
        <v>18444</v>
      </c>
      <c r="AG3250" s="9" t="s">
        <v>8837</v>
      </c>
      <c r="AH3250" s="10">
        <v>44250</v>
      </c>
      <c r="AI3250" s="21">
        <v>1</v>
      </c>
      <c r="AJ3250" s="9" t="s">
        <v>18445</v>
      </c>
      <c r="AK3250" s="9" t="s">
        <v>18446</v>
      </c>
    </row>
    <row r="3251" spans="1:37" ht="36.75" customHeight="1" x14ac:dyDescent="0.35">
      <c r="A3251" s="20" t="s">
        <v>12448</v>
      </c>
      <c r="B3251" s="20" t="s">
        <v>37</v>
      </c>
      <c r="C3251" s="73" t="str">
        <f t="shared" si="53"/>
        <v>Closed</v>
      </c>
      <c r="D3251" s="47" t="s">
        <v>18447</v>
      </c>
      <c r="E3251" s="80" t="s">
        <v>18448</v>
      </c>
      <c r="F3251" s="20" t="s">
        <v>14722</v>
      </c>
      <c r="G3251" s="9">
        <f>DATE(2021,1,28)</f>
        <v>44224</v>
      </c>
      <c r="H3251" s="99">
        <v>1.2604166666666667</v>
      </c>
      <c r="I3251" s="20" t="s">
        <v>55</v>
      </c>
      <c r="J3251" s="9" t="s">
        <v>18449</v>
      </c>
      <c r="K3251" s="20" t="s">
        <v>1753</v>
      </c>
      <c r="L3251" s="8" t="s">
        <v>18450</v>
      </c>
      <c r="M3251" s="20" t="s">
        <v>45</v>
      </c>
      <c r="N3251" s="20" t="s">
        <v>123</v>
      </c>
      <c r="O3251" s="20" t="s">
        <v>46</v>
      </c>
      <c r="P3251" s="9" t="s">
        <v>146</v>
      </c>
      <c r="Q3251" s="9" t="s">
        <v>18451</v>
      </c>
      <c r="R3251" s="9" t="s">
        <v>1756</v>
      </c>
      <c r="S3251" s="20">
        <v>0</v>
      </c>
      <c r="T3251" s="20">
        <v>0</v>
      </c>
      <c r="U3251" s="20">
        <v>0</v>
      </c>
      <c r="V3251" s="20">
        <v>0</v>
      </c>
      <c r="W3251" s="20">
        <v>0</v>
      </c>
      <c r="X3251" s="20">
        <v>0</v>
      </c>
      <c r="Y3251" s="20">
        <v>0</v>
      </c>
      <c r="Z3251" s="20">
        <v>0</v>
      </c>
      <c r="AA3251" s="20">
        <v>0</v>
      </c>
      <c r="AB3251" s="20">
        <v>0</v>
      </c>
      <c r="AC3251" s="20">
        <v>0</v>
      </c>
      <c r="AD3251" s="20">
        <v>0</v>
      </c>
      <c r="AE3251" s="9" t="s">
        <v>73</v>
      </c>
      <c r="AF3251" s="9" t="s">
        <v>18452</v>
      </c>
      <c r="AG3251" s="9" t="s">
        <v>14532</v>
      </c>
      <c r="AH3251" s="9">
        <v>44225</v>
      </c>
      <c r="AI3251" s="20">
        <v>5</v>
      </c>
      <c r="AJ3251" s="9" t="s">
        <v>18453</v>
      </c>
      <c r="AK3251" s="9" t="s">
        <v>18454</v>
      </c>
    </row>
    <row r="3252" spans="1:37" ht="36.75" customHeight="1" x14ac:dyDescent="0.35">
      <c r="A3252" s="21" t="s">
        <v>12448</v>
      </c>
      <c r="B3252" s="21" t="s">
        <v>37</v>
      </c>
      <c r="C3252" s="73" t="str">
        <f t="shared" si="53"/>
        <v>Closed</v>
      </c>
      <c r="D3252" s="47" t="s">
        <v>18455</v>
      </c>
      <c r="E3252" s="76" t="s">
        <v>18456</v>
      </c>
      <c r="F3252" s="21" t="s">
        <v>17769</v>
      </c>
      <c r="G3252" s="9">
        <f>DATE(2021,1,29)</f>
        <v>44225</v>
      </c>
      <c r="H3252" s="107">
        <v>1.8888888888888888</v>
      </c>
      <c r="I3252" s="21" t="s">
        <v>6754</v>
      </c>
      <c r="J3252" s="21" t="s">
        <v>18457</v>
      </c>
      <c r="K3252" s="21" t="s">
        <v>621</v>
      </c>
      <c r="L3252" s="21" t="s">
        <v>18458</v>
      </c>
      <c r="M3252" s="21" t="s">
        <v>45</v>
      </c>
      <c r="N3252" s="21" t="s">
        <v>123</v>
      </c>
      <c r="O3252" s="21" t="s">
        <v>67</v>
      </c>
      <c r="P3252" s="21" t="s">
        <v>6881</v>
      </c>
      <c r="Q3252" s="21" t="s">
        <v>18459</v>
      </c>
      <c r="R3252" s="21" t="s">
        <v>1997</v>
      </c>
      <c r="S3252" s="21">
        <v>0</v>
      </c>
      <c r="T3252" s="21">
        <v>0</v>
      </c>
      <c r="U3252" s="21">
        <v>0</v>
      </c>
      <c r="V3252" s="21">
        <v>0</v>
      </c>
      <c r="W3252" s="21">
        <v>0</v>
      </c>
      <c r="X3252" s="21">
        <v>0</v>
      </c>
      <c r="Y3252" s="21">
        <v>0</v>
      </c>
      <c r="Z3252" s="21">
        <v>0</v>
      </c>
      <c r="AA3252" s="21">
        <v>0</v>
      </c>
      <c r="AB3252" s="21">
        <v>0</v>
      </c>
      <c r="AC3252" s="21">
        <v>0</v>
      </c>
      <c r="AD3252" s="21">
        <v>0</v>
      </c>
      <c r="AE3252" s="21" t="s">
        <v>73</v>
      </c>
      <c r="AF3252" s="21" t="s">
        <v>18460</v>
      </c>
      <c r="AG3252" s="21" t="s">
        <v>14532</v>
      </c>
      <c r="AH3252" s="43">
        <v>44545</v>
      </c>
      <c r="AI3252" s="21">
        <v>4</v>
      </c>
      <c r="AJ3252" s="21" t="s">
        <v>18461</v>
      </c>
      <c r="AK3252" s="21" t="s">
        <v>18462</v>
      </c>
    </row>
    <row r="3253" spans="1:37" ht="36.75" customHeight="1" x14ac:dyDescent="0.35">
      <c r="A3253" s="20" t="s">
        <v>12448</v>
      </c>
      <c r="B3253" s="20" t="s">
        <v>37</v>
      </c>
      <c r="C3253" s="73" t="str">
        <f t="shared" si="53"/>
        <v>Closed</v>
      </c>
      <c r="D3253" s="47" t="s">
        <v>18463</v>
      </c>
      <c r="E3253" s="76" t="s">
        <v>18464</v>
      </c>
      <c r="F3253" s="20" t="s">
        <v>16397</v>
      </c>
      <c r="G3253" s="9">
        <f>DATE(2021,2,1)</f>
        <v>44228</v>
      </c>
      <c r="H3253" s="35">
        <v>1.9611111111111112</v>
      </c>
      <c r="I3253" s="20" t="s">
        <v>55</v>
      </c>
      <c r="J3253" s="9" t="s">
        <v>18465</v>
      </c>
      <c r="K3253" s="20" t="s">
        <v>406</v>
      </c>
      <c r="L3253" s="13" t="s">
        <v>8753</v>
      </c>
      <c r="M3253" s="20" t="s">
        <v>45</v>
      </c>
      <c r="N3253" s="20" t="s">
        <v>80</v>
      </c>
      <c r="O3253" s="20" t="s">
        <v>59</v>
      </c>
      <c r="P3253" s="9" t="s">
        <v>146</v>
      </c>
      <c r="Q3253" s="9" t="s">
        <v>18466</v>
      </c>
      <c r="R3253" s="9" t="s">
        <v>17330</v>
      </c>
      <c r="S3253" s="20">
        <v>0</v>
      </c>
      <c r="T3253" s="20">
        <v>0</v>
      </c>
      <c r="U3253" s="20">
        <v>0</v>
      </c>
      <c r="V3253" s="20">
        <v>0</v>
      </c>
      <c r="W3253" s="20">
        <v>0</v>
      </c>
      <c r="X3253" s="20">
        <v>0</v>
      </c>
      <c r="Y3253" s="20">
        <v>0</v>
      </c>
      <c r="Z3253" s="20">
        <v>0</v>
      </c>
      <c r="AA3253" s="20">
        <v>0</v>
      </c>
      <c r="AB3253" s="20">
        <v>0</v>
      </c>
      <c r="AC3253" s="20">
        <v>0</v>
      </c>
      <c r="AD3253" s="20">
        <v>0</v>
      </c>
      <c r="AE3253" s="9" t="s">
        <v>73</v>
      </c>
      <c r="AF3253" s="9" t="s">
        <v>18467</v>
      </c>
      <c r="AG3253" s="9" t="s">
        <v>17331</v>
      </c>
      <c r="AH3253" s="10">
        <v>44229</v>
      </c>
      <c r="AI3253" s="20">
        <v>0</v>
      </c>
      <c r="AJ3253" s="9" t="s">
        <v>18468</v>
      </c>
      <c r="AK3253" s="9" t="s">
        <v>693</v>
      </c>
    </row>
    <row r="3254" spans="1:37" ht="36.75" customHeight="1" x14ac:dyDescent="0.35">
      <c r="A3254" s="21"/>
      <c r="B3254" s="20" t="s">
        <v>37</v>
      </c>
      <c r="C3254" s="73" t="s">
        <v>17979</v>
      </c>
      <c r="D3254" s="47" t="s">
        <v>18469</v>
      </c>
      <c r="E3254" s="76" t="s">
        <v>18470</v>
      </c>
      <c r="F3254" s="20" t="s">
        <v>17537</v>
      </c>
      <c r="G3254" s="9">
        <f>DATE(2021,2,1)</f>
        <v>44228</v>
      </c>
      <c r="H3254" s="50">
        <v>0.5</v>
      </c>
      <c r="I3254" s="20" t="s">
        <v>55</v>
      </c>
      <c r="J3254" s="9" t="s">
        <v>18471</v>
      </c>
      <c r="K3254" s="20" t="s">
        <v>818</v>
      </c>
      <c r="L3254" s="13" t="s">
        <v>18472</v>
      </c>
      <c r="M3254" s="20" t="s">
        <v>45</v>
      </c>
      <c r="N3254" s="20" t="s">
        <v>123</v>
      </c>
      <c r="O3254" s="20" t="s">
        <v>59</v>
      </c>
      <c r="P3254" s="9" t="s">
        <v>47</v>
      </c>
      <c r="Q3254" s="9" t="s">
        <v>2142</v>
      </c>
      <c r="R3254" s="9" t="s">
        <v>821</v>
      </c>
      <c r="S3254" s="20">
        <v>0</v>
      </c>
      <c r="T3254" s="20">
        <v>0</v>
      </c>
      <c r="U3254" s="20">
        <v>0</v>
      </c>
      <c r="V3254" s="20">
        <v>0</v>
      </c>
      <c r="W3254" s="20">
        <v>0</v>
      </c>
      <c r="X3254" s="20">
        <v>0</v>
      </c>
      <c r="Y3254" s="20">
        <v>0</v>
      </c>
      <c r="Z3254" s="20">
        <v>0</v>
      </c>
      <c r="AA3254" s="20">
        <v>0</v>
      </c>
      <c r="AB3254" s="20">
        <v>0</v>
      </c>
      <c r="AC3254" s="20">
        <v>0</v>
      </c>
      <c r="AD3254" s="20">
        <v>0</v>
      </c>
      <c r="AE3254" s="9" t="s">
        <v>375</v>
      </c>
      <c r="AF3254" s="9" t="s">
        <v>18473</v>
      </c>
      <c r="AG3254" s="9" t="s">
        <v>14532</v>
      </c>
      <c r="AH3254" s="10">
        <f>DATE(2021,2,1)</f>
        <v>44228</v>
      </c>
      <c r="AI3254" s="20">
        <v>0</v>
      </c>
      <c r="AJ3254" s="9" t="s">
        <v>18474</v>
      </c>
      <c r="AK3254" s="9" t="s">
        <v>18475</v>
      </c>
    </row>
    <row r="3255" spans="1:37" ht="36.75" customHeight="1" thickBot="1" x14ac:dyDescent="0.4">
      <c r="A3255" s="20" t="s">
        <v>12448</v>
      </c>
      <c r="B3255" s="20" t="s">
        <v>37</v>
      </c>
      <c r="C3255" s="73" t="str">
        <f t="shared" ref="C3255:C3262" si="54">IF(B3255="Notification","Open",IF(B3255="Interim Statement","In progress","Closed"))</f>
        <v>Closed</v>
      </c>
      <c r="D3255" s="47" t="s">
        <v>18476</v>
      </c>
      <c r="E3255" s="78" t="s">
        <v>18477</v>
      </c>
      <c r="F3255" s="20" t="s">
        <v>18015</v>
      </c>
      <c r="G3255" s="9">
        <f>DATE(2021,2,1)</f>
        <v>44228</v>
      </c>
      <c r="H3255" s="35">
        <v>1.223611111111111</v>
      </c>
      <c r="I3255" s="20" t="s">
        <v>2244</v>
      </c>
      <c r="J3255" s="9" t="s">
        <v>18478</v>
      </c>
      <c r="K3255" s="20" t="s">
        <v>121</v>
      </c>
      <c r="L3255" s="8" t="s">
        <v>18479</v>
      </c>
      <c r="M3255" s="20" t="s">
        <v>45</v>
      </c>
      <c r="N3255" s="20" t="s">
        <v>80</v>
      </c>
      <c r="O3255" s="20" t="s">
        <v>46</v>
      </c>
      <c r="P3255" s="20" t="s">
        <v>146</v>
      </c>
      <c r="Q3255" s="21" t="s">
        <v>2247</v>
      </c>
      <c r="R3255" s="20" t="s">
        <v>18480</v>
      </c>
      <c r="S3255" s="20">
        <v>0</v>
      </c>
      <c r="T3255" s="20">
        <v>0</v>
      </c>
      <c r="U3255" s="20">
        <v>0</v>
      </c>
      <c r="V3255" s="20">
        <v>0</v>
      </c>
      <c r="W3255" s="20">
        <v>0</v>
      </c>
      <c r="X3255" s="20">
        <v>0</v>
      </c>
      <c r="Y3255" s="20">
        <v>0</v>
      </c>
      <c r="Z3255" s="20">
        <v>0</v>
      </c>
      <c r="AA3255" s="20">
        <v>0</v>
      </c>
      <c r="AB3255" s="20">
        <v>0</v>
      </c>
      <c r="AC3255" s="20">
        <v>0</v>
      </c>
      <c r="AD3255" s="20">
        <v>0</v>
      </c>
      <c r="AE3255" s="9" t="s">
        <v>73</v>
      </c>
      <c r="AF3255" s="9" t="s">
        <v>17202</v>
      </c>
      <c r="AG3255" s="9" t="s">
        <v>14532</v>
      </c>
      <c r="AH3255" s="7">
        <v>44230</v>
      </c>
      <c r="AI3255" s="20">
        <v>2</v>
      </c>
      <c r="AJ3255" s="121" t="s">
        <v>18481</v>
      </c>
      <c r="AK3255" s="131"/>
    </row>
    <row r="3256" spans="1:37" ht="36.75" customHeight="1" x14ac:dyDescent="0.35">
      <c r="A3256" s="20" t="s">
        <v>12448</v>
      </c>
      <c r="B3256" s="20" t="s">
        <v>37</v>
      </c>
      <c r="C3256" s="73" t="str">
        <f t="shared" si="54"/>
        <v>Closed</v>
      </c>
      <c r="D3256" s="47" t="s">
        <v>18482</v>
      </c>
      <c r="E3256" s="76" t="s">
        <v>18483</v>
      </c>
      <c r="F3256" s="20" t="s">
        <v>17638</v>
      </c>
      <c r="G3256" s="9">
        <f>DATE(2021,2,4)</f>
        <v>44231</v>
      </c>
      <c r="H3256" s="35">
        <v>1.4791666666666667</v>
      </c>
      <c r="I3256" s="20" t="s">
        <v>106</v>
      </c>
      <c r="J3256" s="9" t="s">
        <v>18484</v>
      </c>
      <c r="K3256" s="20" t="s">
        <v>1555</v>
      </c>
      <c r="L3256" s="13" t="s">
        <v>18485</v>
      </c>
      <c r="M3256" s="20" t="s">
        <v>45</v>
      </c>
      <c r="N3256" s="20" t="s">
        <v>80</v>
      </c>
      <c r="O3256" s="20" t="s">
        <v>46</v>
      </c>
      <c r="P3256" s="9" t="s">
        <v>60</v>
      </c>
      <c r="Q3256" s="9" t="s">
        <v>18150</v>
      </c>
      <c r="R3256" s="9" t="s">
        <v>18009</v>
      </c>
      <c r="S3256" s="20">
        <v>0</v>
      </c>
      <c r="T3256" s="20">
        <v>0</v>
      </c>
      <c r="U3256" s="20">
        <v>0</v>
      </c>
      <c r="V3256" s="20">
        <v>0</v>
      </c>
      <c r="W3256" s="20">
        <v>0</v>
      </c>
      <c r="X3256" s="20">
        <v>0</v>
      </c>
      <c r="Y3256" s="20">
        <v>0</v>
      </c>
      <c r="Z3256" s="20">
        <v>0</v>
      </c>
      <c r="AA3256" s="20">
        <v>0</v>
      </c>
      <c r="AB3256" s="20">
        <v>0</v>
      </c>
      <c r="AC3256" s="20">
        <v>0</v>
      </c>
      <c r="AD3256" s="20">
        <v>0</v>
      </c>
      <c r="AE3256" s="9" t="s">
        <v>375</v>
      </c>
      <c r="AF3256" s="9" t="s">
        <v>18486</v>
      </c>
      <c r="AG3256" s="9" t="s">
        <v>8837</v>
      </c>
      <c r="AH3256" s="9">
        <v>44232</v>
      </c>
      <c r="AI3256" s="20">
        <v>3</v>
      </c>
      <c r="AJ3256" s="9" t="s">
        <v>18487</v>
      </c>
      <c r="AK3256" s="9" t="s">
        <v>18488</v>
      </c>
    </row>
    <row r="3257" spans="1:37" ht="36.75" customHeight="1" x14ac:dyDescent="0.35">
      <c r="A3257" s="48" t="s">
        <v>12448</v>
      </c>
      <c r="B3257" s="20" t="s">
        <v>37</v>
      </c>
      <c r="C3257" s="73" t="str">
        <f t="shared" si="54"/>
        <v>Closed</v>
      </c>
      <c r="D3257" s="47" t="s">
        <v>18489</v>
      </c>
      <c r="E3257" s="76" t="s">
        <v>18490</v>
      </c>
      <c r="F3257" s="20" t="s">
        <v>16397</v>
      </c>
      <c r="G3257" s="9">
        <f>DATE(2021,2,5)</f>
        <v>44232</v>
      </c>
      <c r="H3257" s="109">
        <v>6.31944444444444E-2</v>
      </c>
      <c r="I3257" s="20" t="s">
        <v>179</v>
      </c>
      <c r="J3257" s="9" t="s">
        <v>18491</v>
      </c>
      <c r="K3257" s="20" t="s">
        <v>406</v>
      </c>
      <c r="L3257" s="21" t="s">
        <v>18492</v>
      </c>
      <c r="M3257" s="20" t="s">
        <v>45</v>
      </c>
      <c r="N3257" s="20" t="s">
        <v>123</v>
      </c>
      <c r="O3257" s="20" t="s">
        <v>46</v>
      </c>
      <c r="P3257" s="9" t="s">
        <v>18493</v>
      </c>
      <c r="Q3257" s="9" t="s">
        <v>18494</v>
      </c>
      <c r="R3257" s="9" t="s">
        <v>17330</v>
      </c>
      <c r="S3257" s="20">
        <v>0</v>
      </c>
      <c r="T3257" s="20">
        <v>0</v>
      </c>
      <c r="U3257" s="20">
        <v>0</v>
      </c>
      <c r="V3257" s="20">
        <v>0</v>
      </c>
      <c r="W3257" s="20">
        <v>0</v>
      </c>
      <c r="X3257" s="20">
        <v>0</v>
      </c>
      <c r="Y3257" s="20">
        <v>0</v>
      </c>
      <c r="Z3257" s="20">
        <v>0</v>
      </c>
      <c r="AA3257" s="20">
        <v>0</v>
      </c>
      <c r="AB3257" s="20">
        <v>0</v>
      </c>
      <c r="AC3257" s="20">
        <v>0</v>
      </c>
      <c r="AD3257" s="20">
        <v>0</v>
      </c>
      <c r="AE3257" s="9" t="s">
        <v>16403</v>
      </c>
      <c r="AF3257" s="9" t="s">
        <v>18495</v>
      </c>
      <c r="AG3257" s="9" t="s">
        <v>16251</v>
      </c>
      <c r="AH3257" s="9">
        <v>44232</v>
      </c>
      <c r="AI3257" s="20">
        <v>0</v>
      </c>
      <c r="AJ3257" s="9" t="s">
        <v>18496</v>
      </c>
      <c r="AK3257" s="9" t="s">
        <v>860</v>
      </c>
    </row>
    <row r="3258" spans="1:37" ht="36.75" customHeight="1" thickBot="1" x14ac:dyDescent="0.4">
      <c r="A3258" s="21" t="s">
        <v>12448</v>
      </c>
      <c r="B3258" s="21" t="s">
        <v>37</v>
      </c>
      <c r="C3258" s="73" t="str">
        <f t="shared" si="54"/>
        <v>Closed</v>
      </c>
      <c r="D3258" s="47" t="s">
        <v>18497</v>
      </c>
      <c r="E3258" s="76" t="s">
        <v>18498</v>
      </c>
      <c r="F3258" s="21" t="s">
        <v>17769</v>
      </c>
      <c r="G3258" s="9">
        <f>DATE(2021,2,5)</f>
        <v>44232</v>
      </c>
      <c r="H3258" s="50">
        <v>0.3298611111111111</v>
      </c>
      <c r="I3258" s="21" t="s">
        <v>6754</v>
      </c>
      <c r="J3258" s="21" t="s">
        <v>18499</v>
      </c>
      <c r="K3258" s="21" t="s">
        <v>621</v>
      </c>
      <c r="L3258" s="21" t="s">
        <v>18500</v>
      </c>
      <c r="M3258" s="21" t="s">
        <v>45</v>
      </c>
      <c r="N3258" s="21" t="s">
        <v>80</v>
      </c>
      <c r="O3258" s="21" t="s">
        <v>59</v>
      </c>
      <c r="P3258" s="21" t="s">
        <v>6881</v>
      </c>
      <c r="Q3258" s="21" t="s">
        <v>18459</v>
      </c>
      <c r="R3258" s="21" t="s">
        <v>1997</v>
      </c>
      <c r="S3258" s="21">
        <v>0</v>
      </c>
      <c r="T3258" s="21">
        <v>0</v>
      </c>
      <c r="U3258" s="21">
        <v>0</v>
      </c>
      <c r="V3258" s="21">
        <v>0</v>
      </c>
      <c r="W3258" s="21">
        <v>0</v>
      </c>
      <c r="X3258" s="21">
        <v>0</v>
      </c>
      <c r="Y3258" s="21">
        <v>0</v>
      </c>
      <c r="Z3258" s="21">
        <v>0</v>
      </c>
      <c r="AA3258" s="21">
        <v>0</v>
      </c>
      <c r="AB3258" s="21">
        <v>0</v>
      </c>
      <c r="AC3258" s="21">
        <v>0</v>
      </c>
      <c r="AD3258" s="21">
        <v>0</v>
      </c>
      <c r="AE3258" s="21" t="s">
        <v>73</v>
      </c>
      <c r="AF3258" s="21" t="s">
        <v>17497</v>
      </c>
      <c r="AG3258" s="21" t="s">
        <v>8837</v>
      </c>
      <c r="AH3258" s="101">
        <v>44399</v>
      </c>
      <c r="AI3258" s="21">
        <v>5</v>
      </c>
      <c r="AJ3258" s="121" t="s">
        <v>18501</v>
      </c>
      <c r="AK3258" s="130" t="s">
        <v>18502</v>
      </c>
    </row>
    <row r="3259" spans="1:37" ht="36.75" customHeight="1" x14ac:dyDescent="0.35">
      <c r="A3259" s="20" t="s">
        <v>12448</v>
      </c>
      <c r="B3259" s="20" t="s">
        <v>37</v>
      </c>
      <c r="C3259" s="73" t="str">
        <f t="shared" si="54"/>
        <v>Closed</v>
      </c>
      <c r="D3259" s="47" t="s">
        <v>18503</v>
      </c>
      <c r="E3259" s="79" t="s">
        <v>18504</v>
      </c>
      <c r="F3259" s="20" t="s">
        <v>17018</v>
      </c>
      <c r="G3259" s="9">
        <f>DATE(2021,2,5)</f>
        <v>44232</v>
      </c>
      <c r="H3259" s="34">
        <v>1.3993055555555556</v>
      </c>
      <c r="I3259" s="20" t="s">
        <v>6754</v>
      </c>
      <c r="J3259" s="9" t="s">
        <v>18505</v>
      </c>
      <c r="K3259" s="20" t="s">
        <v>2318</v>
      </c>
      <c r="L3259" s="20" t="s">
        <v>18506</v>
      </c>
      <c r="M3259" s="20" t="s">
        <v>45</v>
      </c>
      <c r="N3259" s="20" t="s">
        <v>123</v>
      </c>
      <c r="O3259" s="20" t="s">
        <v>59</v>
      </c>
      <c r="P3259" s="9" t="s">
        <v>60</v>
      </c>
      <c r="Q3259" s="9" t="s">
        <v>2955</v>
      </c>
      <c r="R3259" s="9" t="s">
        <v>2321</v>
      </c>
      <c r="S3259" s="20">
        <v>0</v>
      </c>
      <c r="T3259" s="20">
        <v>0</v>
      </c>
      <c r="U3259" s="20">
        <v>0</v>
      </c>
      <c r="V3259" s="20">
        <v>0</v>
      </c>
      <c r="W3259" s="20">
        <v>0</v>
      </c>
      <c r="X3259" s="20">
        <v>0</v>
      </c>
      <c r="Y3259" s="20">
        <v>0</v>
      </c>
      <c r="Z3259" s="20">
        <v>0</v>
      </c>
      <c r="AA3259" s="20">
        <v>0</v>
      </c>
      <c r="AB3259" s="20">
        <v>0</v>
      </c>
      <c r="AC3259" s="20">
        <v>0</v>
      </c>
      <c r="AD3259" s="20">
        <v>0</v>
      </c>
      <c r="AE3259" s="9" t="s">
        <v>73</v>
      </c>
      <c r="AF3259" s="9" t="s">
        <v>18507</v>
      </c>
      <c r="AG3259" s="9" t="s">
        <v>13508</v>
      </c>
      <c r="AH3259" s="7">
        <v>44246</v>
      </c>
      <c r="AI3259" s="20">
        <v>3</v>
      </c>
      <c r="AJ3259" s="9" t="s">
        <v>18508</v>
      </c>
      <c r="AK3259" s="9" t="s">
        <v>18509</v>
      </c>
    </row>
    <row r="3260" spans="1:37" ht="36.75" customHeight="1" x14ac:dyDescent="0.35">
      <c r="A3260" s="20" t="s">
        <v>12448</v>
      </c>
      <c r="B3260" s="20" t="s">
        <v>37</v>
      </c>
      <c r="C3260" s="73" t="str">
        <f t="shared" si="54"/>
        <v>Closed</v>
      </c>
      <c r="D3260" s="47" t="s">
        <v>18510</v>
      </c>
      <c r="E3260" s="81" t="s">
        <v>18511</v>
      </c>
      <c r="F3260" s="20" t="s">
        <v>17305</v>
      </c>
      <c r="G3260" s="9">
        <f>DATE(2021,2,9)</f>
        <v>44236</v>
      </c>
      <c r="H3260" s="35">
        <v>1.4479166666666667</v>
      </c>
      <c r="I3260" s="20" t="s">
        <v>179</v>
      </c>
      <c r="J3260" s="9" t="s">
        <v>18512</v>
      </c>
      <c r="K3260" s="20" t="s">
        <v>108</v>
      </c>
      <c r="L3260" s="20" t="s">
        <v>18513</v>
      </c>
      <c r="M3260" s="20" t="s">
        <v>45</v>
      </c>
      <c r="N3260" s="20" t="s">
        <v>80</v>
      </c>
      <c r="O3260" s="20" t="s">
        <v>46</v>
      </c>
      <c r="P3260" s="9" t="s">
        <v>282</v>
      </c>
      <c r="Q3260" s="9" t="s">
        <v>148</v>
      </c>
      <c r="R3260" s="9" t="s">
        <v>148</v>
      </c>
      <c r="S3260" s="20">
        <v>0</v>
      </c>
      <c r="T3260" s="20">
        <v>0</v>
      </c>
      <c r="U3260" s="20">
        <v>0</v>
      </c>
      <c r="V3260" s="20">
        <v>0</v>
      </c>
      <c r="W3260" s="20">
        <v>0</v>
      </c>
      <c r="X3260" s="20">
        <v>0</v>
      </c>
      <c r="Y3260" s="20">
        <v>0</v>
      </c>
      <c r="Z3260" s="20">
        <v>0</v>
      </c>
      <c r="AA3260" s="20">
        <v>0</v>
      </c>
      <c r="AB3260" s="20">
        <v>0</v>
      </c>
      <c r="AC3260" s="20">
        <v>0</v>
      </c>
      <c r="AD3260" s="20">
        <v>0</v>
      </c>
      <c r="AE3260" s="9" t="s">
        <v>375</v>
      </c>
      <c r="AF3260" s="9" t="s">
        <v>18514</v>
      </c>
      <c r="AG3260" s="9" t="s">
        <v>13508</v>
      </c>
      <c r="AH3260" s="10">
        <v>44252</v>
      </c>
      <c r="AI3260" s="20">
        <v>2</v>
      </c>
      <c r="AJ3260" s="9" t="s">
        <v>18515</v>
      </c>
      <c r="AK3260" s="9" t="s">
        <v>18516</v>
      </c>
    </row>
    <row r="3261" spans="1:37" ht="36.75" customHeight="1" x14ac:dyDescent="0.35">
      <c r="A3261" s="20" t="s">
        <v>12448</v>
      </c>
      <c r="B3261" s="20" t="s">
        <v>37</v>
      </c>
      <c r="C3261" s="73" t="str">
        <f t="shared" si="54"/>
        <v>Closed</v>
      </c>
      <c r="D3261" s="47" t="s">
        <v>18517</v>
      </c>
      <c r="E3261" s="80" t="s">
        <v>18518</v>
      </c>
      <c r="F3261" s="20" t="s">
        <v>17638</v>
      </c>
      <c r="G3261" s="9">
        <f>DATE(2021,2,11)</f>
        <v>44238</v>
      </c>
      <c r="H3261" s="35">
        <v>2.4305555555555556E-2</v>
      </c>
      <c r="I3261" s="20" t="s">
        <v>55</v>
      </c>
      <c r="J3261" s="9" t="s">
        <v>18519</v>
      </c>
      <c r="K3261" s="20" t="s">
        <v>1555</v>
      </c>
      <c r="L3261" s="115" t="s">
        <v>13691</v>
      </c>
      <c r="M3261" s="20" t="s">
        <v>45</v>
      </c>
      <c r="N3261" s="20" t="s">
        <v>80</v>
      </c>
      <c r="O3261" s="20" t="s">
        <v>59</v>
      </c>
      <c r="P3261" s="9" t="s">
        <v>60</v>
      </c>
      <c r="Q3261" s="9" t="s">
        <v>18520</v>
      </c>
      <c r="R3261" s="9" t="s">
        <v>18009</v>
      </c>
      <c r="S3261" s="20">
        <v>0</v>
      </c>
      <c r="T3261" s="20">
        <v>0</v>
      </c>
      <c r="U3261" s="20">
        <v>0</v>
      </c>
      <c r="V3261" s="20">
        <v>0</v>
      </c>
      <c r="W3261" s="20">
        <v>0</v>
      </c>
      <c r="X3261" s="20">
        <v>0</v>
      </c>
      <c r="Y3261" s="20">
        <v>0</v>
      </c>
      <c r="Z3261" s="20">
        <v>0</v>
      </c>
      <c r="AA3261" s="20">
        <v>0</v>
      </c>
      <c r="AB3261" s="20">
        <v>0</v>
      </c>
      <c r="AC3261" s="20">
        <v>0</v>
      </c>
      <c r="AD3261" s="20">
        <v>0</v>
      </c>
      <c r="AE3261" s="9" t="s">
        <v>73</v>
      </c>
      <c r="AF3261" s="9" t="s">
        <v>18521</v>
      </c>
      <c r="AG3261" s="9" t="s">
        <v>8837</v>
      </c>
      <c r="AH3261" s="10">
        <v>44238</v>
      </c>
      <c r="AI3261" s="20">
        <v>0</v>
      </c>
      <c r="AJ3261" s="126" t="s">
        <v>18522</v>
      </c>
      <c r="AK3261" s="129" t="s">
        <v>18523</v>
      </c>
    </row>
    <row r="3262" spans="1:37" ht="36.75" customHeight="1" x14ac:dyDescent="0.35">
      <c r="A3262" s="20" t="s">
        <v>12448</v>
      </c>
      <c r="B3262" s="20" t="s">
        <v>37</v>
      </c>
      <c r="C3262" s="73" t="str">
        <f t="shared" si="54"/>
        <v>Closed</v>
      </c>
      <c r="D3262" s="47" t="s">
        <v>18524</v>
      </c>
      <c r="E3262" s="76" t="s">
        <v>18525</v>
      </c>
      <c r="F3262" s="20" t="s">
        <v>18015</v>
      </c>
      <c r="G3262" s="9">
        <f>DATE(2021,2,11)</f>
        <v>44238</v>
      </c>
      <c r="H3262" s="35">
        <v>1.1006944444444444</v>
      </c>
      <c r="I3262" s="20" t="s">
        <v>55</v>
      </c>
      <c r="J3262" s="9" t="s">
        <v>18526</v>
      </c>
      <c r="K3262" s="20" t="s">
        <v>121</v>
      </c>
      <c r="L3262" s="20" t="s">
        <v>18527</v>
      </c>
      <c r="M3262" s="20" t="s">
        <v>45</v>
      </c>
      <c r="N3262" s="20" t="s">
        <v>70</v>
      </c>
      <c r="O3262" s="20" t="s">
        <v>46</v>
      </c>
      <c r="P3262" s="9" t="s">
        <v>60</v>
      </c>
      <c r="Q3262" s="9" t="s">
        <v>18528</v>
      </c>
      <c r="R3262" s="9" t="s">
        <v>18480</v>
      </c>
      <c r="S3262" s="20">
        <v>0</v>
      </c>
      <c r="T3262" s="20">
        <v>0</v>
      </c>
      <c r="U3262" s="20">
        <v>0</v>
      </c>
      <c r="V3262" s="20">
        <v>0</v>
      </c>
      <c r="W3262" s="20">
        <v>0</v>
      </c>
      <c r="X3262" s="20">
        <v>0</v>
      </c>
      <c r="Y3262" s="20">
        <v>0</v>
      </c>
      <c r="Z3262" s="20">
        <v>0</v>
      </c>
      <c r="AA3262" s="20">
        <v>0</v>
      </c>
      <c r="AB3262" s="20">
        <v>0</v>
      </c>
      <c r="AC3262" s="20">
        <v>0</v>
      </c>
      <c r="AD3262" s="20">
        <v>0</v>
      </c>
      <c r="AE3262" s="9" t="s">
        <v>126</v>
      </c>
      <c r="AF3262" s="9" t="s">
        <v>18529</v>
      </c>
      <c r="AG3262" s="9" t="s">
        <v>6438</v>
      </c>
      <c r="AH3262" s="10">
        <v>44252</v>
      </c>
      <c r="AI3262" s="20">
        <v>3</v>
      </c>
      <c r="AJ3262" s="9" t="s">
        <v>18530</v>
      </c>
      <c r="AK3262" s="9"/>
    </row>
    <row r="3263" spans="1:37" ht="36.75" customHeight="1" x14ac:dyDescent="0.35">
      <c r="A3263" s="21"/>
      <c r="B3263" s="20" t="s">
        <v>37</v>
      </c>
      <c r="C3263" s="73" t="s">
        <v>17979</v>
      </c>
      <c r="D3263" s="47" t="s">
        <v>18531</v>
      </c>
      <c r="E3263" s="76" t="s">
        <v>18532</v>
      </c>
      <c r="F3263" s="21" t="s">
        <v>17537</v>
      </c>
      <c r="G3263" s="9">
        <f>DATE(2021,2,14)</f>
        <v>44241</v>
      </c>
      <c r="H3263" s="50">
        <v>0.19097222222222221</v>
      </c>
      <c r="I3263" s="21" t="s">
        <v>85</v>
      </c>
      <c r="J3263" s="9" t="s">
        <v>18533</v>
      </c>
      <c r="K3263" s="21" t="s">
        <v>818</v>
      </c>
      <c r="L3263" s="21" t="s">
        <v>18534</v>
      </c>
      <c r="M3263" s="21" t="s">
        <v>45</v>
      </c>
      <c r="N3263" s="21" t="s">
        <v>123</v>
      </c>
      <c r="O3263" s="21" t="s">
        <v>59</v>
      </c>
      <c r="P3263" s="9" t="s">
        <v>362</v>
      </c>
      <c r="Q3263" s="9" t="s">
        <v>17562</v>
      </c>
      <c r="R3263" s="9" t="s">
        <v>821</v>
      </c>
      <c r="S3263" s="21">
        <v>0</v>
      </c>
      <c r="T3263" s="21">
        <v>0</v>
      </c>
      <c r="U3263" s="21">
        <v>0</v>
      </c>
      <c r="V3263" s="21">
        <v>0</v>
      </c>
      <c r="W3263" s="21">
        <v>0</v>
      </c>
      <c r="X3263" s="21">
        <v>0</v>
      </c>
      <c r="Y3263" s="21">
        <v>0</v>
      </c>
      <c r="Z3263" s="21">
        <v>0</v>
      </c>
      <c r="AA3263" s="21">
        <v>0</v>
      </c>
      <c r="AB3263" s="21">
        <v>0</v>
      </c>
      <c r="AC3263" s="21">
        <v>0</v>
      </c>
      <c r="AD3263" s="21">
        <v>0</v>
      </c>
      <c r="AE3263" s="9" t="s">
        <v>17984</v>
      </c>
      <c r="AF3263" s="9" t="s">
        <v>17985</v>
      </c>
      <c r="AG3263" s="9" t="s">
        <v>14532</v>
      </c>
      <c r="AH3263" s="10" t="s">
        <v>18535</v>
      </c>
      <c r="AI3263" s="21">
        <v>1</v>
      </c>
      <c r="AJ3263" s="9" t="s">
        <v>18536</v>
      </c>
      <c r="AK3263" s="9" t="s">
        <v>18537</v>
      </c>
    </row>
    <row r="3264" spans="1:37" ht="36.75" customHeight="1" x14ac:dyDescent="0.35">
      <c r="A3264" s="20" t="s">
        <v>12448</v>
      </c>
      <c r="B3264" s="20" t="s">
        <v>37</v>
      </c>
      <c r="C3264" s="73" t="str">
        <f t="shared" ref="C3264:C3274" si="55">IF(B3264="Notification","Open",IF(B3264="Interim Statement","In progress","Closed"))</f>
        <v>Closed</v>
      </c>
      <c r="D3264" s="47" t="s">
        <v>18538</v>
      </c>
      <c r="E3264" s="76" t="s">
        <v>18539</v>
      </c>
      <c r="F3264" s="20" t="s">
        <v>17638</v>
      </c>
      <c r="G3264" s="9">
        <f>DATE(2021,2,16)</f>
        <v>44243</v>
      </c>
      <c r="H3264" s="99">
        <v>1.8472222222222223</v>
      </c>
      <c r="I3264" s="20" t="s">
        <v>55</v>
      </c>
      <c r="J3264" s="9" t="s">
        <v>18540</v>
      </c>
      <c r="K3264" s="20" t="s">
        <v>1555</v>
      </c>
      <c r="L3264" s="20" t="s">
        <v>18541</v>
      </c>
      <c r="M3264" s="20" t="s">
        <v>45</v>
      </c>
      <c r="N3264" s="20" t="s">
        <v>123</v>
      </c>
      <c r="O3264" s="20" t="s">
        <v>59</v>
      </c>
      <c r="P3264" s="9" t="s">
        <v>60</v>
      </c>
      <c r="Q3264" s="9" t="s">
        <v>18542</v>
      </c>
      <c r="R3264" s="9" t="s">
        <v>18009</v>
      </c>
      <c r="S3264" s="20">
        <v>0</v>
      </c>
      <c r="T3264" s="20">
        <v>0</v>
      </c>
      <c r="U3264" s="20">
        <v>0</v>
      </c>
      <c r="V3264" s="20">
        <v>0</v>
      </c>
      <c r="W3264" s="20">
        <v>0</v>
      </c>
      <c r="X3264" s="20">
        <v>0</v>
      </c>
      <c r="Y3264" s="20">
        <v>0</v>
      </c>
      <c r="Z3264" s="20">
        <v>0</v>
      </c>
      <c r="AA3264" s="20">
        <v>0</v>
      </c>
      <c r="AB3264" s="20">
        <v>0</v>
      </c>
      <c r="AC3264" s="20">
        <v>0</v>
      </c>
      <c r="AD3264" s="20">
        <v>0</v>
      </c>
      <c r="AE3264" s="9" t="s">
        <v>73</v>
      </c>
      <c r="AF3264" s="9" t="s">
        <v>18543</v>
      </c>
      <c r="AG3264" s="9" t="s">
        <v>8837</v>
      </c>
      <c r="AH3264" s="9">
        <v>44244</v>
      </c>
      <c r="AI3264" s="20">
        <v>0</v>
      </c>
      <c r="AJ3264" s="126" t="s">
        <v>18544</v>
      </c>
      <c r="AK3264" s="129" t="s">
        <v>18545</v>
      </c>
    </row>
    <row r="3265" spans="1:37" ht="36.75" customHeight="1" x14ac:dyDescent="0.35">
      <c r="A3265" s="21" t="s">
        <v>12448</v>
      </c>
      <c r="B3265" s="21" t="s">
        <v>37</v>
      </c>
      <c r="C3265" s="73" t="str">
        <f t="shared" si="55"/>
        <v>Closed</v>
      </c>
      <c r="D3265" s="47" t="s">
        <v>18546</v>
      </c>
      <c r="E3265" s="76" t="s">
        <v>18547</v>
      </c>
      <c r="F3265" s="21" t="s">
        <v>17018</v>
      </c>
      <c r="G3265" s="9">
        <f>DATE(2021,2,26)</f>
        <v>44253</v>
      </c>
      <c r="H3265" s="51">
        <v>1.2291666666666667</v>
      </c>
      <c r="I3265" s="21" t="s">
        <v>179</v>
      </c>
      <c r="J3265" s="9" t="s">
        <v>18548</v>
      </c>
      <c r="K3265" s="21" t="s">
        <v>2318</v>
      </c>
      <c r="L3265" s="21" t="s">
        <v>18549</v>
      </c>
      <c r="M3265" s="21" t="s">
        <v>45</v>
      </c>
      <c r="N3265" s="21" t="s">
        <v>80</v>
      </c>
      <c r="O3265" s="21" t="s">
        <v>46</v>
      </c>
      <c r="P3265" s="9" t="s">
        <v>67</v>
      </c>
      <c r="Q3265" s="9" t="s">
        <v>18550</v>
      </c>
      <c r="R3265" s="9" t="s">
        <v>2321</v>
      </c>
      <c r="S3265" s="21">
        <v>0</v>
      </c>
      <c r="T3265" s="21">
        <v>0</v>
      </c>
      <c r="U3265" s="21">
        <v>0</v>
      </c>
      <c r="V3265" s="21">
        <v>0</v>
      </c>
      <c r="W3265" s="21">
        <v>0</v>
      </c>
      <c r="X3265" s="21">
        <v>0</v>
      </c>
      <c r="Y3265" s="21">
        <v>0</v>
      </c>
      <c r="Z3265" s="21">
        <v>0</v>
      </c>
      <c r="AA3265" s="21">
        <v>0</v>
      </c>
      <c r="AB3265" s="21">
        <v>0</v>
      </c>
      <c r="AC3265" s="21">
        <v>0</v>
      </c>
      <c r="AD3265" s="21">
        <v>0</v>
      </c>
      <c r="AE3265" s="9" t="s">
        <v>375</v>
      </c>
      <c r="AF3265" s="9" t="s">
        <v>18551</v>
      </c>
      <c r="AG3265" s="9" t="s">
        <v>8837</v>
      </c>
      <c r="AH3265" s="9">
        <v>44266</v>
      </c>
      <c r="AI3265" s="21">
        <v>8</v>
      </c>
      <c r="AJ3265" s="9" t="s">
        <v>18552</v>
      </c>
      <c r="AK3265" s="9" t="s">
        <v>18553</v>
      </c>
    </row>
    <row r="3266" spans="1:37" ht="36.75" customHeight="1" x14ac:dyDescent="0.35">
      <c r="A3266" s="20" t="s">
        <v>12448</v>
      </c>
      <c r="B3266" s="20" t="s">
        <v>37</v>
      </c>
      <c r="C3266" s="73" t="str">
        <f t="shared" si="55"/>
        <v>Closed</v>
      </c>
      <c r="D3266" s="47" t="s">
        <v>18554</v>
      </c>
      <c r="E3266" s="76" t="s">
        <v>18555</v>
      </c>
      <c r="F3266" s="20" t="s">
        <v>14722</v>
      </c>
      <c r="G3266" s="9">
        <f>DATE(2021,2,27)</f>
        <v>44254</v>
      </c>
      <c r="H3266" s="35">
        <v>0.25</v>
      </c>
      <c r="I3266" s="21" t="s">
        <v>259</v>
      </c>
      <c r="J3266" s="9" t="s">
        <v>18556</v>
      </c>
      <c r="K3266" s="20" t="s">
        <v>1753</v>
      </c>
      <c r="L3266" s="20" t="s">
        <v>18557</v>
      </c>
      <c r="M3266" s="20" t="s">
        <v>45</v>
      </c>
      <c r="N3266" s="20" t="s">
        <v>70</v>
      </c>
      <c r="O3266" s="20" t="s">
        <v>46</v>
      </c>
      <c r="P3266" s="9" t="s">
        <v>146</v>
      </c>
      <c r="Q3266" s="9" t="s">
        <v>16054</v>
      </c>
      <c r="R3266" s="9" t="s">
        <v>1756</v>
      </c>
      <c r="S3266" s="20">
        <v>0</v>
      </c>
      <c r="T3266" s="20">
        <v>1</v>
      </c>
      <c r="U3266" s="20">
        <v>0</v>
      </c>
      <c r="V3266" s="20">
        <v>0</v>
      </c>
      <c r="W3266" s="20">
        <v>0</v>
      </c>
      <c r="X3266" s="20">
        <v>1</v>
      </c>
      <c r="Y3266" s="20">
        <v>0</v>
      </c>
      <c r="Z3266" s="20">
        <v>0</v>
      </c>
      <c r="AA3266" s="20">
        <v>0</v>
      </c>
      <c r="AB3266" s="20">
        <v>0</v>
      </c>
      <c r="AC3266" s="20">
        <v>0</v>
      </c>
      <c r="AD3266" s="20">
        <v>0</v>
      </c>
      <c r="AE3266" s="9" t="s">
        <v>73</v>
      </c>
      <c r="AF3266" s="9" t="s">
        <v>18558</v>
      </c>
      <c r="AG3266" s="9" t="s">
        <v>6438</v>
      </c>
      <c r="AH3266" s="9">
        <v>44256</v>
      </c>
      <c r="AI3266" s="20">
        <v>0</v>
      </c>
      <c r="AJ3266" s="9" t="s">
        <v>18559</v>
      </c>
      <c r="AK3266" s="9" t="s">
        <v>18560</v>
      </c>
    </row>
    <row r="3267" spans="1:37" ht="36.75" customHeight="1" x14ac:dyDescent="0.35">
      <c r="A3267" s="20" t="s">
        <v>12448</v>
      </c>
      <c r="B3267" s="20" t="s">
        <v>37</v>
      </c>
      <c r="C3267" s="73" t="str">
        <f t="shared" si="55"/>
        <v>Closed</v>
      </c>
      <c r="D3267" s="47" t="s">
        <v>18561</v>
      </c>
      <c r="E3267" s="76" t="s">
        <v>18562</v>
      </c>
      <c r="F3267" s="20" t="s">
        <v>16397</v>
      </c>
      <c r="G3267" s="9">
        <f>DATE(2021,3,3)</f>
        <v>44258</v>
      </c>
      <c r="H3267" s="51">
        <v>1.3041666666666667</v>
      </c>
      <c r="I3267" s="48" t="s">
        <v>55</v>
      </c>
      <c r="J3267" s="9" t="s">
        <v>18563</v>
      </c>
      <c r="K3267" s="20" t="s">
        <v>406</v>
      </c>
      <c r="L3267" s="20" t="s">
        <v>18564</v>
      </c>
      <c r="M3267" s="20" t="s">
        <v>45</v>
      </c>
      <c r="N3267" s="20" t="s">
        <v>123</v>
      </c>
      <c r="O3267" s="20" t="s">
        <v>59</v>
      </c>
      <c r="P3267" s="9" t="s">
        <v>146</v>
      </c>
      <c r="Q3267" s="9" t="s">
        <v>18565</v>
      </c>
      <c r="R3267" s="9" t="s">
        <v>17330</v>
      </c>
      <c r="S3267" s="20">
        <v>0</v>
      </c>
      <c r="T3267" s="20">
        <v>0</v>
      </c>
      <c r="U3267" s="20">
        <v>0</v>
      </c>
      <c r="V3267" s="20">
        <v>0</v>
      </c>
      <c r="W3267" s="20">
        <v>0</v>
      </c>
      <c r="X3267" s="20">
        <v>0</v>
      </c>
      <c r="Y3267" s="20">
        <v>0</v>
      </c>
      <c r="Z3267" s="20">
        <v>0</v>
      </c>
      <c r="AA3267" s="20">
        <v>0</v>
      </c>
      <c r="AB3267" s="20">
        <v>0</v>
      </c>
      <c r="AC3267" s="20">
        <v>0</v>
      </c>
      <c r="AD3267" s="20">
        <v>0</v>
      </c>
      <c r="AE3267" s="9" t="s">
        <v>73</v>
      </c>
      <c r="AF3267" s="9" t="s">
        <v>18566</v>
      </c>
      <c r="AG3267" s="9" t="s">
        <v>16251</v>
      </c>
      <c r="AH3267" s="9">
        <v>44258</v>
      </c>
      <c r="AI3267" s="20">
        <v>1</v>
      </c>
      <c r="AJ3267" s="9" t="s">
        <v>18567</v>
      </c>
      <c r="AK3267" s="9" t="s">
        <v>860</v>
      </c>
    </row>
    <row r="3268" spans="1:37" ht="36.75" customHeight="1" x14ac:dyDescent="0.35">
      <c r="A3268" s="20" t="s">
        <v>12448</v>
      </c>
      <c r="B3268" s="21" t="s">
        <v>37</v>
      </c>
      <c r="C3268" s="73" t="str">
        <f t="shared" si="55"/>
        <v>Closed</v>
      </c>
      <c r="D3268" s="47" t="s">
        <v>18568</v>
      </c>
      <c r="E3268" s="76" t="s">
        <v>18569</v>
      </c>
      <c r="F3268" s="21" t="s">
        <v>17305</v>
      </c>
      <c r="G3268" s="9">
        <f>DATE(2021,3,3)</f>
        <v>44258</v>
      </c>
      <c r="H3268" s="51">
        <v>1.5590277777777777</v>
      </c>
      <c r="I3268" s="112" t="s">
        <v>137</v>
      </c>
      <c r="J3268" s="9" t="s">
        <v>18570</v>
      </c>
      <c r="K3268" s="21" t="s">
        <v>108</v>
      </c>
      <c r="L3268" s="112" t="s">
        <v>18571</v>
      </c>
      <c r="M3268" s="21" t="s">
        <v>45</v>
      </c>
      <c r="N3268" s="21" t="s">
        <v>70</v>
      </c>
      <c r="O3268" s="21" t="s">
        <v>46</v>
      </c>
      <c r="P3268" s="9" t="s">
        <v>146</v>
      </c>
      <c r="Q3268" s="9" t="s">
        <v>17685</v>
      </c>
      <c r="R3268" s="9" t="s">
        <v>18572</v>
      </c>
      <c r="S3268" s="21">
        <v>0</v>
      </c>
      <c r="T3268" s="21">
        <v>0</v>
      </c>
      <c r="U3268" s="21">
        <v>0</v>
      </c>
      <c r="V3268" s="21">
        <v>0</v>
      </c>
      <c r="W3268" s="21">
        <v>0</v>
      </c>
      <c r="X3268" s="21">
        <v>0</v>
      </c>
      <c r="Y3268" s="21">
        <v>0</v>
      </c>
      <c r="Z3268" s="21">
        <v>0</v>
      </c>
      <c r="AA3268" s="21">
        <v>0</v>
      </c>
      <c r="AB3268" s="21">
        <v>0</v>
      </c>
      <c r="AC3268" s="21">
        <v>0</v>
      </c>
      <c r="AD3268" s="21">
        <v>0</v>
      </c>
      <c r="AE3268" s="9" t="s">
        <v>73</v>
      </c>
      <c r="AF3268" s="9" t="s">
        <v>18573</v>
      </c>
      <c r="AG3268" s="9" t="s">
        <v>6438</v>
      </c>
      <c r="AH3268" s="9">
        <v>44263</v>
      </c>
      <c r="AI3268" s="20">
        <v>0</v>
      </c>
      <c r="AJ3268" s="9" t="s">
        <v>18574</v>
      </c>
      <c r="AK3268" s="9" t="s">
        <v>18575</v>
      </c>
    </row>
    <row r="3269" spans="1:37" ht="36.75" customHeight="1" x14ac:dyDescent="0.35">
      <c r="A3269" s="5" t="s">
        <v>12448</v>
      </c>
      <c r="B3269" s="21" t="s">
        <v>37</v>
      </c>
      <c r="C3269" s="73" t="str">
        <f t="shared" si="55"/>
        <v>Closed</v>
      </c>
      <c r="D3269" s="47" t="s">
        <v>18576</v>
      </c>
      <c r="E3269" s="76" t="s">
        <v>18577</v>
      </c>
      <c r="F3269" s="21" t="s">
        <v>14722</v>
      </c>
      <c r="G3269" s="9">
        <f>DATE(2021,3,4)</f>
        <v>44259</v>
      </c>
      <c r="H3269" s="51">
        <v>1.7743055555555554</v>
      </c>
      <c r="I3269" s="21" t="s">
        <v>55</v>
      </c>
      <c r="J3269" s="9" t="s">
        <v>18449</v>
      </c>
      <c r="K3269" s="21" t="s">
        <v>1753</v>
      </c>
      <c r="L3269" s="21" t="s">
        <v>18578</v>
      </c>
      <c r="M3269" s="21" t="s">
        <v>45</v>
      </c>
      <c r="N3269" s="21" t="s">
        <v>123</v>
      </c>
      <c r="O3269" s="21" t="s">
        <v>59</v>
      </c>
      <c r="P3269" s="9" t="s">
        <v>146</v>
      </c>
      <c r="Q3269" s="9" t="s">
        <v>18579</v>
      </c>
      <c r="R3269" s="9" t="s">
        <v>1756</v>
      </c>
      <c r="S3269" s="21">
        <v>0</v>
      </c>
      <c r="T3269" s="21">
        <v>0</v>
      </c>
      <c r="U3269" s="21">
        <v>0</v>
      </c>
      <c r="V3269" s="21">
        <v>0</v>
      </c>
      <c r="W3269" s="21">
        <v>0</v>
      </c>
      <c r="X3269" s="21">
        <v>0</v>
      </c>
      <c r="Y3269" s="21">
        <v>0</v>
      </c>
      <c r="Z3269" s="21">
        <v>0</v>
      </c>
      <c r="AA3269" s="21">
        <v>0</v>
      </c>
      <c r="AB3269" s="21">
        <v>0</v>
      </c>
      <c r="AC3269" s="21">
        <v>0</v>
      </c>
      <c r="AD3269" s="21">
        <v>0</v>
      </c>
      <c r="AE3269" s="9" t="s">
        <v>73</v>
      </c>
      <c r="AF3269" s="9" t="s">
        <v>18580</v>
      </c>
      <c r="AG3269" s="9" t="s">
        <v>14532</v>
      </c>
      <c r="AH3269" s="9">
        <v>44264</v>
      </c>
      <c r="AI3269" s="21">
        <v>0</v>
      </c>
      <c r="AJ3269" s="9" t="s">
        <v>18581</v>
      </c>
      <c r="AK3269" s="9" t="s">
        <v>18582</v>
      </c>
    </row>
    <row r="3270" spans="1:37" ht="36.75" customHeight="1" x14ac:dyDescent="0.35">
      <c r="A3270" s="21" t="s">
        <v>12448</v>
      </c>
      <c r="B3270" s="21" t="s">
        <v>37</v>
      </c>
      <c r="C3270" s="73" t="str">
        <f t="shared" si="55"/>
        <v>Closed</v>
      </c>
      <c r="D3270" s="47" t="s">
        <v>18583</v>
      </c>
      <c r="E3270" s="76" t="s">
        <v>18584</v>
      </c>
      <c r="F3270" s="21" t="s">
        <v>16397</v>
      </c>
      <c r="G3270" s="9">
        <f>DATE(2021,3,4)</f>
        <v>44259</v>
      </c>
      <c r="H3270" s="100">
        <v>0.59722222222222221</v>
      </c>
      <c r="I3270" s="21" t="s">
        <v>97</v>
      </c>
      <c r="J3270" s="9" t="s">
        <v>18585</v>
      </c>
      <c r="K3270" s="21" t="s">
        <v>406</v>
      </c>
      <c r="L3270" s="21" t="s">
        <v>18586</v>
      </c>
      <c r="M3270" s="21" t="s">
        <v>45</v>
      </c>
      <c r="N3270" s="21" t="s">
        <v>80</v>
      </c>
      <c r="O3270" s="21" t="s">
        <v>46</v>
      </c>
      <c r="P3270" s="9" t="s">
        <v>146</v>
      </c>
      <c r="Q3270" s="9" t="s">
        <v>18565</v>
      </c>
      <c r="R3270" s="9" t="s">
        <v>17330</v>
      </c>
      <c r="S3270" s="21">
        <v>0</v>
      </c>
      <c r="T3270" s="21">
        <v>0</v>
      </c>
      <c r="U3270" s="21">
        <v>2</v>
      </c>
      <c r="V3270" s="21">
        <v>0</v>
      </c>
      <c r="W3270" s="21">
        <v>0</v>
      </c>
      <c r="X3270" s="21">
        <v>2</v>
      </c>
      <c r="Y3270" s="21">
        <v>0</v>
      </c>
      <c r="Z3270" s="21">
        <v>0</v>
      </c>
      <c r="AA3270" s="21">
        <v>0</v>
      </c>
      <c r="AB3270" s="21">
        <v>0</v>
      </c>
      <c r="AC3270" s="21">
        <v>0</v>
      </c>
      <c r="AD3270" s="21">
        <v>0</v>
      </c>
      <c r="AE3270" s="9" t="s">
        <v>73</v>
      </c>
      <c r="AF3270" s="9" t="s">
        <v>18587</v>
      </c>
      <c r="AG3270" s="9" t="s">
        <v>16251</v>
      </c>
      <c r="AH3270" s="10">
        <v>44259</v>
      </c>
      <c r="AI3270" s="21">
        <v>1</v>
      </c>
      <c r="AJ3270" s="9" t="s">
        <v>18588</v>
      </c>
      <c r="AK3270" s="9" t="s">
        <v>860</v>
      </c>
    </row>
    <row r="3271" spans="1:37" ht="36.75" customHeight="1" x14ac:dyDescent="0.35">
      <c r="A3271" s="21" t="s">
        <v>12448</v>
      </c>
      <c r="B3271" s="21" t="s">
        <v>37</v>
      </c>
      <c r="C3271" s="73" t="str">
        <f t="shared" si="55"/>
        <v>Closed</v>
      </c>
      <c r="D3271" s="47" t="s">
        <v>18589</v>
      </c>
      <c r="E3271" s="76" t="s">
        <v>18590</v>
      </c>
      <c r="F3271" s="21" t="s">
        <v>9767</v>
      </c>
      <c r="G3271" s="9">
        <f>DATE(2021,3,5)</f>
        <v>44260</v>
      </c>
      <c r="H3271" s="50">
        <v>0.57291666666666663</v>
      </c>
      <c r="I3271" s="21" t="s">
        <v>259</v>
      </c>
      <c r="J3271" s="9" t="s">
        <v>18591</v>
      </c>
      <c r="K3271" s="21" t="s">
        <v>9769</v>
      </c>
      <c r="L3271" s="21" t="s">
        <v>18592</v>
      </c>
      <c r="M3271" s="21" t="s">
        <v>45</v>
      </c>
      <c r="N3271" s="21" t="s">
        <v>123</v>
      </c>
      <c r="O3271" s="21" t="s">
        <v>46</v>
      </c>
      <c r="P3271" s="9" t="s">
        <v>362</v>
      </c>
      <c r="Q3271" s="9" t="s">
        <v>18593</v>
      </c>
      <c r="R3271" s="9" t="s">
        <v>18242</v>
      </c>
      <c r="S3271" s="116">
        <v>0</v>
      </c>
      <c r="T3271" s="118">
        <v>0</v>
      </c>
      <c r="U3271" s="116">
        <v>0</v>
      </c>
      <c r="V3271" s="118">
        <v>0</v>
      </c>
      <c r="W3271" s="116">
        <v>1</v>
      </c>
      <c r="X3271" s="116">
        <v>1</v>
      </c>
      <c r="Y3271" s="116">
        <v>0</v>
      </c>
      <c r="Z3271" s="118">
        <v>0</v>
      </c>
      <c r="AA3271" s="116">
        <v>0</v>
      </c>
      <c r="AB3271" s="116">
        <v>0</v>
      </c>
      <c r="AC3271" s="116">
        <v>0</v>
      </c>
      <c r="AD3271" s="116">
        <v>0</v>
      </c>
      <c r="AE3271" s="9" t="s">
        <v>73</v>
      </c>
      <c r="AF3271" s="9" t="s">
        <v>18594</v>
      </c>
      <c r="AG3271" s="9" t="s">
        <v>6438</v>
      </c>
      <c r="AH3271" s="10">
        <v>44264</v>
      </c>
      <c r="AI3271" s="21">
        <v>4</v>
      </c>
      <c r="AJ3271" s="9" t="s">
        <v>18595</v>
      </c>
      <c r="AK3271" s="9" t="s">
        <v>18596</v>
      </c>
    </row>
    <row r="3272" spans="1:37" ht="36.75" customHeight="1" x14ac:dyDescent="0.35">
      <c r="A3272" s="21" t="s">
        <v>12448</v>
      </c>
      <c r="B3272" s="21" t="s">
        <v>37</v>
      </c>
      <c r="C3272" s="73" t="str">
        <f t="shared" si="55"/>
        <v>Closed</v>
      </c>
      <c r="D3272" s="47" t="s">
        <v>18597</v>
      </c>
      <c r="E3272" s="76" t="s">
        <v>18598</v>
      </c>
      <c r="F3272" s="21" t="s">
        <v>17537</v>
      </c>
      <c r="G3272" s="9">
        <f>DATE(2021,3,10)</f>
        <v>44265</v>
      </c>
      <c r="H3272" s="35">
        <v>1.5104166666666665</v>
      </c>
      <c r="I3272" s="21" t="s">
        <v>4590</v>
      </c>
      <c r="J3272" s="9" t="s">
        <v>18599</v>
      </c>
      <c r="K3272" s="21" t="s">
        <v>818</v>
      </c>
      <c r="L3272" s="21" t="s">
        <v>18600</v>
      </c>
      <c r="M3272" s="21" t="s">
        <v>45</v>
      </c>
      <c r="N3272" s="21" t="s">
        <v>123</v>
      </c>
      <c r="O3272" s="21" t="s">
        <v>59</v>
      </c>
      <c r="P3272" s="9" t="s">
        <v>60</v>
      </c>
      <c r="Q3272" s="9" t="s">
        <v>6560</v>
      </c>
      <c r="R3272" s="9" t="s">
        <v>821</v>
      </c>
      <c r="S3272" s="21">
        <v>0</v>
      </c>
      <c r="T3272" s="21">
        <v>0</v>
      </c>
      <c r="U3272" s="21">
        <v>0</v>
      </c>
      <c r="V3272" s="21">
        <v>0</v>
      </c>
      <c r="W3272" s="21">
        <v>0</v>
      </c>
      <c r="X3272" s="21">
        <v>0</v>
      </c>
      <c r="Y3272" s="21">
        <v>0</v>
      </c>
      <c r="Z3272" s="21">
        <v>0</v>
      </c>
      <c r="AA3272" s="21">
        <v>0</v>
      </c>
      <c r="AB3272" s="21">
        <v>0</v>
      </c>
      <c r="AC3272" s="21">
        <v>0</v>
      </c>
      <c r="AD3272" s="21">
        <v>0</v>
      </c>
      <c r="AE3272" s="9" t="s">
        <v>73</v>
      </c>
      <c r="AF3272" s="9" t="s">
        <v>860</v>
      </c>
      <c r="AG3272" s="9" t="s">
        <v>13508</v>
      </c>
      <c r="AH3272" s="10" t="s">
        <v>18601</v>
      </c>
      <c r="AI3272" s="21">
        <v>1</v>
      </c>
      <c r="AJ3272" s="9" t="s">
        <v>18602</v>
      </c>
      <c r="AK3272" s="9" t="s">
        <v>18603</v>
      </c>
    </row>
    <row r="3273" spans="1:37" ht="36.75" customHeight="1" x14ac:dyDescent="0.35">
      <c r="A3273" s="21" t="s">
        <v>12448</v>
      </c>
      <c r="B3273" s="21" t="s">
        <v>37</v>
      </c>
      <c r="C3273" s="73" t="str">
        <f t="shared" si="55"/>
        <v>Closed</v>
      </c>
      <c r="D3273" s="47" t="s">
        <v>18604</v>
      </c>
      <c r="E3273" s="76" t="s">
        <v>18605</v>
      </c>
      <c r="F3273" s="21" t="s">
        <v>17728</v>
      </c>
      <c r="G3273" s="9">
        <f>DATE(2021,3,12)</f>
        <v>44267</v>
      </c>
      <c r="H3273" s="50">
        <v>0.71180555555555547</v>
      </c>
      <c r="I3273" s="21" t="s">
        <v>55</v>
      </c>
      <c r="J3273" s="21" t="s">
        <v>18606</v>
      </c>
      <c r="K3273" s="21" t="s">
        <v>2583</v>
      </c>
      <c r="L3273" s="21" t="s">
        <v>18607</v>
      </c>
      <c r="M3273" s="21" t="s">
        <v>45</v>
      </c>
      <c r="N3273" s="21" t="s">
        <v>80</v>
      </c>
      <c r="O3273" s="21" t="s">
        <v>46</v>
      </c>
      <c r="P3273" s="54" t="s">
        <v>60</v>
      </c>
      <c r="Q3273" s="21" t="s">
        <v>18565</v>
      </c>
      <c r="R3273" s="21" t="s">
        <v>17330</v>
      </c>
      <c r="S3273" s="21">
        <v>0</v>
      </c>
      <c r="T3273" s="21">
        <v>0</v>
      </c>
      <c r="U3273" s="21">
        <v>2</v>
      </c>
      <c r="V3273" s="21">
        <v>0</v>
      </c>
      <c r="W3273" s="21">
        <v>0</v>
      </c>
      <c r="X3273" s="21">
        <v>2</v>
      </c>
      <c r="Y3273" s="21">
        <v>0</v>
      </c>
      <c r="Z3273" s="21">
        <v>0</v>
      </c>
      <c r="AA3273" s="21">
        <v>0</v>
      </c>
      <c r="AB3273" s="21">
        <v>0</v>
      </c>
      <c r="AC3273" s="21">
        <v>0</v>
      </c>
      <c r="AD3273" s="21">
        <v>0</v>
      </c>
      <c r="AE3273" s="21" t="s">
        <v>73</v>
      </c>
      <c r="AF3273" s="21" t="s">
        <v>18587</v>
      </c>
      <c r="AG3273" s="21" t="s">
        <v>8837</v>
      </c>
      <c r="AH3273" s="43">
        <v>44267</v>
      </c>
      <c r="AI3273" s="21">
        <v>3</v>
      </c>
      <c r="AJ3273" s="21" t="s">
        <v>18608</v>
      </c>
      <c r="AK3273" s="21" t="s">
        <v>18609</v>
      </c>
    </row>
    <row r="3274" spans="1:37" ht="36.75" customHeight="1" x14ac:dyDescent="0.35">
      <c r="A3274" s="21" t="s">
        <v>12448</v>
      </c>
      <c r="B3274" s="21" t="s">
        <v>37</v>
      </c>
      <c r="C3274" s="73" t="str">
        <f t="shared" si="55"/>
        <v>Closed</v>
      </c>
      <c r="D3274" s="47" t="s">
        <v>18610</v>
      </c>
      <c r="E3274" s="76" t="s">
        <v>18611</v>
      </c>
      <c r="F3274" s="21" t="s">
        <v>18076</v>
      </c>
      <c r="G3274" s="9">
        <f>DATE(2021,3,21)</f>
        <v>44276</v>
      </c>
      <c r="H3274" s="107" t="s">
        <v>17791</v>
      </c>
      <c r="I3274" s="21" t="s">
        <v>2059</v>
      </c>
      <c r="J3274" s="21" t="s">
        <v>18612</v>
      </c>
      <c r="K3274" s="21" t="s">
        <v>360</v>
      </c>
      <c r="L3274" s="21" t="s">
        <v>18613</v>
      </c>
      <c r="M3274" s="21" t="s">
        <v>45</v>
      </c>
      <c r="N3274" s="21" t="s">
        <v>70</v>
      </c>
      <c r="O3274" s="21" t="s">
        <v>67</v>
      </c>
      <c r="P3274" s="21" t="s">
        <v>146</v>
      </c>
      <c r="Q3274" s="21" t="s">
        <v>18079</v>
      </c>
      <c r="R3274" s="21" t="s">
        <v>17360</v>
      </c>
      <c r="S3274" s="21">
        <v>0</v>
      </c>
      <c r="T3274" s="21">
        <v>0</v>
      </c>
      <c r="U3274" s="21">
        <v>0</v>
      </c>
      <c r="V3274" s="21">
        <v>0</v>
      </c>
      <c r="W3274" s="21">
        <v>0</v>
      </c>
      <c r="X3274" s="21">
        <v>0</v>
      </c>
      <c r="Y3274" s="21">
        <v>0</v>
      </c>
      <c r="Z3274" s="21">
        <v>0</v>
      </c>
      <c r="AA3274" s="21">
        <v>0</v>
      </c>
      <c r="AB3274" s="21">
        <v>0</v>
      </c>
      <c r="AC3274" s="21">
        <v>0</v>
      </c>
      <c r="AD3274" s="21">
        <v>0</v>
      </c>
      <c r="AE3274" s="21" t="s">
        <v>375</v>
      </c>
      <c r="AF3274" s="21" t="s">
        <v>18614</v>
      </c>
      <c r="AG3274" s="21" t="s">
        <v>14532</v>
      </c>
      <c r="AH3274" s="9">
        <f>DATE(2021,5,6)</f>
        <v>44322</v>
      </c>
      <c r="AI3274" s="21">
        <v>7</v>
      </c>
      <c r="AJ3274" s="21" t="s">
        <v>18615</v>
      </c>
      <c r="AK3274" s="21" t="s">
        <v>18616</v>
      </c>
    </row>
    <row r="3275" spans="1:37" ht="36.75" customHeight="1" x14ac:dyDescent="0.35">
      <c r="A3275" s="21"/>
      <c r="B3275" s="20" t="s">
        <v>37</v>
      </c>
      <c r="C3275" s="73" t="s">
        <v>17979</v>
      </c>
      <c r="D3275" s="47" t="s">
        <v>18617</v>
      </c>
      <c r="E3275" s="76" t="s">
        <v>18618</v>
      </c>
      <c r="F3275" s="21" t="s">
        <v>17537</v>
      </c>
      <c r="G3275" s="9">
        <f>DATE(2021,3,25)</f>
        <v>44280</v>
      </c>
      <c r="H3275" s="50">
        <v>0.26944444444444443</v>
      </c>
      <c r="I3275" s="21" t="s">
        <v>55</v>
      </c>
      <c r="J3275" s="21" t="s">
        <v>18619</v>
      </c>
      <c r="K3275" s="21" t="s">
        <v>818</v>
      </c>
      <c r="L3275" s="21" t="s">
        <v>18620</v>
      </c>
      <c r="M3275" s="21" t="s">
        <v>45</v>
      </c>
      <c r="N3275" s="21" t="s">
        <v>123</v>
      </c>
      <c r="O3275" s="21" t="s">
        <v>59</v>
      </c>
      <c r="P3275" s="21" t="s">
        <v>47</v>
      </c>
      <c r="Q3275" s="21" t="s">
        <v>2142</v>
      </c>
      <c r="R3275" s="21" t="s">
        <v>821</v>
      </c>
      <c r="S3275" s="21">
        <v>0</v>
      </c>
      <c r="T3275" s="21">
        <v>0</v>
      </c>
      <c r="U3275" s="21">
        <v>2</v>
      </c>
      <c r="V3275" s="21">
        <v>0</v>
      </c>
      <c r="W3275" s="21">
        <v>0</v>
      </c>
      <c r="X3275" s="21">
        <v>2</v>
      </c>
      <c r="Y3275" s="21">
        <v>0</v>
      </c>
      <c r="Z3275" s="21">
        <v>0</v>
      </c>
      <c r="AA3275" s="21">
        <v>0</v>
      </c>
      <c r="AB3275" s="21">
        <v>0</v>
      </c>
      <c r="AC3275" s="21">
        <v>0</v>
      </c>
      <c r="AD3275" s="21">
        <v>0</v>
      </c>
      <c r="AE3275" s="54" t="s">
        <v>73</v>
      </c>
      <c r="AF3275" s="21" t="s">
        <v>18587</v>
      </c>
      <c r="AG3275" s="21" t="s">
        <v>18621</v>
      </c>
      <c r="AH3275" s="10">
        <f>DATE(2021,3,25)</f>
        <v>44280</v>
      </c>
      <c r="AI3275" s="21">
        <v>0</v>
      </c>
      <c r="AJ3275" s="21" t="s">
        <v>18622</v>
      </c>
      <c r="AK3275" s="21" t="s">
        <v>18623</v>
      </c>
    </row>
    <row r="3276" spans="1:37" ht="36.75" customHeight="1" x14ac:dyDescent="0.35">
      <c r="A3276" s="21" t="s">
        <v>12448</v>
      </c>
      <c r="B3276" s="21" t="s">
        <v>37</v>
      </c>
      <c r="C3276" s="73" t="str">
        <f t="shared" ref="C3276:C3284" si="56">IF(B3276="Notification","Open",IF(B3276="Interim Statement","In progress","Closed"))</f>
        <v>Closed</v>
      </c>
      <c r="D3276" s="47" t="s">
        <v>18624</v>
      </c>
      <c r="E3276" s="76" t="s">
        <v>18625</v>
      </c>
      <c r="F3276" s="21" t="s">
        <v>17638</v>
      </c>
      <c r="G3276" s="9">
        <f>DATE(2021,3,26)</f>
        <v>44281</v>
      </c>
      <c r="H3276" s="34">
        <v>1.5486111111111112</v>
      </c>
      <c r="I3276" s="21" t="s">
        <v>55</v>
      </c>
      <c r="J3276" s="9" t="s">
        <v>18626</v>
      </c>
      <c r="K3276" s="21" t="s">
        <v>1555</v>
      </c>
      <c r="L3276" s="21" t="s">
        <v>12243</v>
      </c>
      <c r="M3276" s="21" t="s">
        <v>45</v>
      </c>
      <c r="N3276" s="21" t="s">
        <v>123</v>
      </c>
      <c r="O3276" s="21" t="s">
        <v>59</v>
      </c>
      <c r="P3276" s="9" t="s">
        <v>60</v>
      </c>
      <c r="Q3276" s="9" t="s">
        <v>18627</v>
      </c>
      <c r="R3276" s="9" t="s">
        <v>18009</v>
      </c>
      <c r="S3276" s="21">
        <v>0</v>
      </c>
      <c r="T3276" s="21">
        <v>0</v>
      </c>
      <c r="U3276" s="21">
        <v>0</v>
      </c>
      <c r="V3276" s="21">
        <v>0</v>
      </c>
      <c r="W3276" s="21">
        <v>0</v>
      </c>
      <c r="X3276" s="21">
        <v>0</v>
      </c>
      <c r="Y3276" s="21">
        <v>0</v>
      </c>
      <c r="Z3276" s="21">
        <v>0</v>
      </c>
      <c r="AA3276" s="21">
        <v>0</v>
      </c>
      <c r="AB3276" s="21">
        <v>0</v>
      </c>
      <c r="AC3276" s="21">
        <v>0</v>
      </c>
      <c r="AD3276" s="21">
        <v>0</v>
      </c>
      <c r="AE3276" s="9" t="s">
        <v>73</v>
      </c>
      <c r="AF3276" s="9" t="s">
        <v>18628</v>
      </c>
      <c r="AG3276" s="9" t="s">
        <v>8837</v>
      </c>
      <c r="AH3276" s="7">
        <v>44284</v>
      </c>
      <c r="AI3276" s="21">
        <v>1</v>
      </c>
      <c r="AJ3276" s="9" t="s">
        <v>18629</v>
      </c>
      <c r="AK3276" s="9" t="s">
        <v>18630</v>
      </c>
    </row>
    <row r="3277" spans="1:37" ht="36.75" customHeight="1" x14ac:dyDescent="0.35">
      <c r="A3277" s="21" t="s">
        <v>12448</v>
      </c>
      <c r="B3277" s="21" t="s">
        <v>37</v>
      </c>
      <c r="C3277" s="73" t="str">
        <f t="shared" si="56"/>
        <v>Closed</v>
      </c>
      <c r="D3277" s="47" t="s">
        <v>18631</v>
      </c>
      <c r="E3277" s="76" t="s">
        <v>18632</v>
      </c>
      <c r="F3277" s="21" t="s">
        <v>17638</v>
      </c>
      <c r="G3277" s="9">
        <f>DATE(2021,3,29)</f>
        <v>44284</v>
      </c>
      <c r="H3277" s="35">
        <v>1.6458333333333335</v>
      </c>
      <c r="I3277" s="21" t="s">
        <v>18633</v>
      </c>
      <c r="J3277" s="9" t="s">
        <v>18634</v>
      </c>
      <c r="K3277" s="21" t="s">
        <v>1555</v>
      </c>
      <c r="L3277" s="21" t="s">
        <v>18635</v>
      </c>
      <c r="M3277" s="21" t="s">
        <v>110</v>
      </c>
      <c r="N3277" s="21" t="s">
        <v>123</v>
      </c>
      <c r="O3277" s="21" t="s">
        <v>46</v>
      </c>
      <c r="P3277" s="9" t="s">
        <v>18627</v>
      </c>
      <c r="Q3277" s="9" t="s">
        <v>18636</v>
      </c>
      <c r="R3277" s="9" t="s">
        <v>18636</v>
      </c>
      <c r="S3277" s="21">
        <v>0</v>
      </c>
      <c r="T3277" s="21">
        <v>0</v>
      </c>
      <c r="U3277" s="21">
        <v>0</v>
      </c>
      <c r="V3277" s="21">
        <v>0</v>
      </c>
      <c r="W3277" s="21">
        <v>0</v>
      </c>
      <c r="X3277" s="21">
        <v>0</v>
      </c>
      <c r="Y3277" s="21">
        <v>0</v>
      </c>
      <c r="Z3277" s="21">
        <v>0</v>
      </c>
      <c r="AA3277" s="21">
        <v>0</v>
      </c>
      <c r="AB3277" s="21">
        <v>0</v>
      </c>
      <c r="AC3277" s="21">
        <v>0</v>
      </c>
      <c r="AD3277" s="21">
        <v>0</v>
      </c>
      <c r="AE3277" s="9" t="s">
        <v>73</v>
      </c>
      <c r="AF3277" s="9" t="s">
        <v>18637</v>
      </c>
      <c r="AG3277" s="9" t="s">
        <v>16899</v>
      </c>
      <c r="AH3277" s="10">
        <v>44286</v>
      </c>
      <c r="AI3277" s="21">
        <v>0</v>
      </c>
      <c r="AJ3277" s="9" t="s">
        <v>18638</v>
      </c>
      <c r="AK3277" s="9" t="s">
        <v>18639</v>
      </c>
    </row>
    <row r="3278" spans="1:37" ht="36.75" customHeight="1" x14ac:dyDescent="0.35">
      <c r="A3278" s="21" t="s">
        <v>12448</v>
      </c>
      <c r="B3278" s="21" t="s">
        <v>37</v>
      </c>
      <c r="C3278" s="73" t="str">
        <f t="shared" si="56"/>
        <v>Closed</v>
      </c>
      <c r="D3278" s="47" t="s">
        <v>18640</v>
      </c>
      <c r="E3278" s="76" t="s">
        <v>18641</v>
      </c>
      <c r="F3278" s="21" t="s">
        <v>17638</v>
      </c>
      <c r="G3278" s="9">
        <f>DATE(2021,3,30)</f>
        <v>44285</v>
      </c>
      <c r="H3278" s="35">
        <v>1.9444444444444446</v>
      </c>
      <c r="I3278" s="20" t="s">
        <v>55</v>
      </c>
      <c r="J3278" s="60" t="s">
        <v>18642</v>
      </c>
      <c r="K3278" s="21" t="s">
        <v>1555</v>
      </c>
      <c r="L3278" s="21" t="s">
        <v>18643</v>
      </c>
      <c r="M3278" s="21" t="s">
        <v>45</v>
      </c>
      <c r="N3278" s="21" t="s">
        <v>123</v>
      </c>
      <c r="O3278" s="21" t="s">
        <v>59</v>
      </c>
      <c r="P3278" s="9"/>
      <c r="Q3278" s="9" t="s">
        <v>18644</v>
      </c>
      <c r="R3278" s="9" t="s">
        <v>18009</v>
      </c>
      <c r="S3278" s="21">
        <v>0</v>
      </c>
      <c r="T3278" s="21">
        <v>0</v>
      </c>
      <c r="U3278" s="21">
        <v>0</v>
      </c>
      <c r="V3278" s="21">
        <v>0</v>
      </c>
      <c r="W3278" s="21">
        <v>0</v>
      </c>
      <c r="X3278" s="21">
        <v>0</v>
      </c>
      <c r="Y3278" s="21">
        <v>0</v>
      </c>
      <c r="Z3278" s="21">
        <v>0</v>
      </c>
      <c r="AA3278" s="21">
        <v>0</v>
      </c>
      <c r="AB3278" s="21">
        <v>0</v>
      </c>
      <c r="AC3278" s="21">
        <v>0</v>
      </c>
      <c r="AD3278" s="21">
        <v>0</v>
      </c>
      <c r="AE3278" s="9" t="s">
        <v>73</v>
      </c>
      <c r="AF3278" s="9" t="s">
        <v>18543</v>
      </c>
      <c r="AG3278" s="9" t="s">
        <v>8837</v>
      </c>
      <c r="AH3278" s="10">
        <v>44287</v>
      </c>
      <c r="AI3278" s="21">
        <v>0</v>
      </c>
      <c r="AJ3278" s="9" t="s">
        <v>18645</v>
      </c>
      <c r="AK3278" s="9" t="s">
        <v>18646</v>
      </c>
    </row>
    <row r="3279" spans="1:37" ht="36.75" customHeight="1" x14ac:dyDescent="0.35">
      <c r="A3279" s="5" t="s">
        <v>12448</v>
      </c>
      <c r="B3279" s="21" t="s">
        <v>14851</v>
      </c>
      <c r="C3279" s="73" t="str">
        <f t="shared" si="56"/>
        <v>In progress</v>
      </c>
      <c r="D3279" s="47" t="s">
        <v>18647</v>
      </c>
      <c r="E3279" s="76" t="s">
        <v>18648</v>
      </c>
      <c r="F3279" s="21" t="s">
        <v>563</v>
      </c>
      <c r="G3279" s="9">
        <f>DATE(2021,3,31)</f>
        <v>44286</v>
      </c>
      <c r="H3279" s="51">
        <v>0.75</v>
      </c>
      <c r="I3279" s="21" t="s">
        <v>18649</v>
      </c>
      <c r="J3279" s="9" t="s">
        <v>18650</v>
      </c>
      <c r="K3279" s="21" t="s">
        <v>565</v>
      </c>
      <c r="L3279" s="21" t="s">
        <v>18651</v>
      </c>
      <c r="M3279" s="21" t="s">
        <v>45</v>
      </c>
      <c r="N3279" s="21" t="s">
        <v>123</v>
      </c>
      <c r="O3279" s="21" t="s">
        <v>59</v>
      </c>
      <c r="P3279" s="9" t="s">
        <v>60</v>
      </c>
      <c r="Q3279" s="9" t="s">
        <v>18652</v>
      </c>
      <c r="R3279" s="9" t="s">
        <v>18653</v>
      </c>
      <c r="S3279" s="21">
        <v>0</v>
      </c>
      <c r="T3279" s="21">
        <v>0</v>
      </c>
      <c r="U3279" s="21">
        <v>0</v>
      </c>
      <c r="V3279" s="21">
        <v>0</v>
      </c>
      <c r="W3279" s="21">
        <v>0</v>
      </c>
      <c r="X3279" s="21">
        <v>0</v>
      </c>
      <c r="Y3279" s="21">
        <v>0</v>
      </c>
      <c r="Z3279" s="21">
        <v>0</v>
      </c>
      <c r="AA3279" s="21">
        <v>0</v>
      </c>
      <c r="AB3279" s="21">
        <v>0</v>
      </c>
      <c r="AC3279" s="21">
        <v>0</v>
      </c>
      <c r="AD3279" s="21">
        <v>0</v>
      </c>
      <c r="AE3279" s="9" t="s">
        <v>375</v>
      </c>
      <c r="AF3279" s="9" t="s">
        <v>18654</v>
      </c>
      <c r="AG3279" s="9" t="s">
        <v>18655</v>
      </c>
      <c r="AH3279" s="7">
        <v>44287</v>
      </c>
      <c r="AI3279" s="21"/>
      <c r="AJ3279" s="9" t="s">
        <v>18656</v>
      </c>
      <c r="AK3279" s="9"/>
    </row>
    <row r="3280" spans="1:37" ht="36.75" customHeight="1" x14ac:dyDescent="0.35">
      <c r="A3280" s="21" t="s">
        <v>12448</v>
      </c>
      <c r="B3280" s="21" t="s">
        <v>37</v>
      </c>
      <c r="C3280" s="73" t="str">
        <f t="shared" si="56"/>
        <v>Closed</v>
      </c>
      <c r="D3280" s="47" t="s">
        <v>18657</v>
      </c>
      <c r="E3280" s="76" t="s">
        <v>18658</v>
      </c>
      <c r="F3280" s="21" t="s">
        <v>18076</v>
      </c>
      <c r="G3280" s="9">
        <f>DATE(2021,4,2)</f>
        <v>44288</v>
      </c>
      <c r="H3280" s="50" t="s">
        <v>18659</v>
      </c>
      <c r="I3280" s="21" t="s">
        <v>137</v>
      </c>
      <c r="J3280" s="21" t="s">
        <v>18660</v>
      </c>
      <c r="K3280" s="21" t="s">
        <v>360</v>
      </c>
      <c r="L3280" s="21" t="s">
        <v>18661</v>
      </c>
      <c r="M3280" s="21" t="s">
        <v>45</v>
      </c>
      <c r="N3280" s="21" t="s">
        <v>123</v>
      </c>
      <c r="O3280" s="21" t="s">
        <v>46</v>
      </c>
      <c r="P3280" s="21" t="s">
        <v>146</v>
      </c>
      <c r="Q3280" s="21" t="s">
        <v>18662</v>
      </c>
      <c r="R3280" s="21" t="s">
        <v>18662</v>
      </c>
      <c r="S3280" s="21">
        <v>0</v>
      </c>
      <c r="T3280" s="21">
        <v>0</v>
      </c>
      <c r="U3280" s="21">
        <v>0</v>
      </c>
      <c r="V3280" s="21">
        <v>0</v>
      </c>
      <c r="W3280" s="21">
        <v>0</v>
      </c>
      <c r="X3280" s="21">
        <v>0</v>
      </c>
      <c r="Y3280" s="21">
        <v>0</v>
      </c>
      <c r="Z3280" s="21">
        <v>0</v>
      </c>
      <c r="AA3280" s="21">
        <v>0</v>
      </c>
      <c r="AB3280" s="21">
        <v>0</v>
      </c>
      <c r="AC3280" s="21">
        <v>0</v>
      </c>
      <c r="AD3280" s="21">
        <v>0</v>
      </c>
      <c r="AE3280" s="21" t="s">
        <v>375</v>
      </c>
      <c r="AF3280" s="21" t="s">
        <v>18663</v>
      </c>
      <c r="AG3280" s="21" t="s">
        <v>14532</v>
      </c>
      <c r="AH3280" s="10">
        <f>DATE(2021,4,28)</f>
        <v>44314</v>
      </c>
      <c r="AI3280" s="21">
        <v>8</v>
      </c>
      <c r="AJ3280" s="21" t="s">
        <v>18664</v>
      </c>
      <c r="AK3280" s="21"/>
    </row>
    <row r="3281" spans="1:37" ht="36.75" customHeight="1" x14ac:dyDescent="0.35">
      <c r="A3281" s="21" t="s">
        <v>12448</v>
      </c>
      <c r="B3281" s="21" t="s">
        <v>14851</v>
      </c>
      <c r="C3281" s="73" t="str">
        <f t="shared" si="56"/>
        <v>In progress</v>
      </c>
      <c r="D3281" s="47" t="s">
        <v>18665</v>
      </c>
      <c r="E3281" s="76" t="s">
        <v>18666</v>
      </c>
      <c r="F3281" s="21" t="s">
        <v>16397</v>
      </c>
      <c r="G3281" s="9">
        <f>DATE(2021,4,4)</f>
        <v>44290</v>
      </c>
      <c r="H3281" s="34">
        <v>1.5944444444444446</v>
      </c>
      <c r="I3281" s="21" t="s">
        <v>18649</v>
      </c>
      <c r="J3281" s="7" t="s">
        <v>18667</v>
      </c>
      <c r="K3281" s="21" t="s">
        <v>406</v>
      </c>
      <c r="L3281" s="21" t="s">
        <v>18668</v>
      </c>
      <c r="M3281" s="21" t="s">
        <v>45</v>
      </c>
      <c r="N3281" s="21" t="s">
        <v>123</v>
      </c>
      <c r="O3281" s="21" t="s">
        <v>59</v>
      </c>
      <c r="P3281" s="9" t="s">
        <v>18669</v>
      </c>
      <c r="Q3281" s="9" t="s">
        <v>18670</v>
      </c>
      <c r="R3281" s="9" t="s">
        <v>17330</v>
      </c>
      <c r="S3281" s="21">
        <v>0</v>
      </c>
      <c r="T3281" s="21">
        <v>1</v>
      </c>
      <c r="U3281" s="21">
        <v>0</v>
      </c>
      <c r="V3281" s="21">
        <v>0</v>
      </c>
      <c r="W3281" s="21">
        <v>0</v>
      </c>
      <c r="X3281" s="21">
        <v>1</v>
      </c>
      <c r="Y3281" s="21">
        <v>0</v>
      </c>
      <c r="Z3281" s="21">
        <v>1</v>
      </c>
      <c r="AA3281" s="21">
        <v>0</v>
      </c>
      <c r="AB3281" s="21">
        <v>0</v>
      </c>
      <c r="AC3281" s="21">
        <v>0</v>
      </c>
      <c r="AD3281" s="21">
        <v>1</v>
      </c>
      <c r="AE3281" s="9" t="s">
        <v>18671</v>
      </c>
      <c r="AF3281" s="9" t="s">
        <v>18672</v>
      </c>
      <c r="AG3281" s="9" t="s">
        <v>6438</v>
      </c>
      <c r="AH3281" s="7">
        <v>44290</v>
      </c>
      <c r="AI3281" s="21"/>
      <c r="AJ3281" s="9"/>
      <c r="AK3281" s="9"/>
    </row>
    <row r="3282" spans="1:37" ht="36.75" customHeight="1" x14ac:dyDescent="0.35">
      <c r="A3282" s="21" t="s">
        <v>12448</v>
      </c>
      <c r="B3282" s="21" t="s">
        <v>37</v>
      </c>
      <c r="C3282" s="73" t="str">
        <f t="shared" si="56"/>
        <v>Closed</v>
      </c>
      <c r="D3282" s="47" t="s">
        <v>18673</v>
      </c>
      <c r="E3282" s="76" t="s">
        <v>18674</v>
      </c>
      <c r="F3282" s="21" t="s">
        <v>17018</v>
      </c>
      <c r="G3282" s="9">
        <f>DATE(2021,4,4)</f>
        <v>44290</v>
      </c>
      <c r="H3282" s="35">
        <v>1.3819444444444444</v>
      </c>
      <c r="I3282" s="5" t="s">
        <v>97</v>
      </c>
      <c r="J3282" s="9" t="s">
        <v>18675</v>
      </c>
      <c r="K3282" s="21" t="s">
        <v>2318</v>
      </c>
      <c r="L3282" s="21" t="s">
        <v>18676</v>
      </c>
      <c r="M3282" s="21" t="s">
        <v>45</v>
      </c>
      <c r="N3282" s="21" t="s">
        <v>80</v>
      </c>
      <c r="O3282" s="21" t="s">
        <v>46</v>
      </c>
      <c r="P3282" s="9">
        <v>0</v>
      </c>
      <c r="Q3282" s="9" t="s">
        <v>18677</v>
      </c>
      <c r="R3282" s="9" t="s">
        <v>2321</v>
      </c>
      <c r="S3282" s="21">
        <v>0</v>
      </c>
      <c r="T3282" s="21">
        <v>0</v>
      </c>
      <c r="U3282" s="21">
        <v>1</v>
      </c>
      <c r="V3282" s="21">
        <v>0</v>
      </c>
      <c r="W3282" s="21">
        <v>0</v>
      </c>
      <c r="X3282" s="21">
        <v>1</v>
      </c>
      <c r="Y3282" s="21">
        <v>0</v>
      </c>
      <c r="Z3282" s="21">
        <v>0</v>
      </c>
      <c r="AA3282" s="21">
        <v>0</v>
      </c>
      <c r="AB3282" s="21">
        <v>0</v>
      </c>
      <c r="AC3282" s="21">
        <v>0</v>
      </c>
      <c r="AD3282" s="21">
        <v>0</v>
      </c>
      <c r="AE3282" s="9" t="s">
        <v>73</v>
      </c>
      <c r="AF3282" s="9" t="s">
        <v>18678</v>
      </c>
      <c r="AG3282" s="9" t="s">
        <v>6438</v>
      </c>
      <c r="AH3282" s="10">
        <v>44295</v>
      </c>
      <c r="AI3282" s="21">
        <v>3</v>
      </c>
      <c r="AJ3282" s="9" t="s">
        <v>18679</v>
      </c>
      <c r="AK3282" s="9" t="s">
        <v>18680</v>
      </c>
    </row>
    <row r="3283" spans="1:37" ht="36.75" customHeight="1" x14ac:dyDescent="0.35">
      <c r="A3283" s="21" t="s">
        <v>12448</v>
      </c>
      <c r="B3283" s="21" t="s">
        <v>37</v>
      </c>
      <c r="C3283" s="73" t="str">
        <f t="shared" si="56"/>
        <v>Closed</v>
      </c>
      <c r="D3283" s="47" t="s">
        <v>18681</v>
      </c>
      <c r="E3283" s="76" t="s">
        <v>18682</v>
      </c>
      <c r="F3283" s="21" t="s">
        <v>17537</v>
      </c>
      <c r="G3283" s="9">
        <f>DATE(2021,4,5)</f>
        <v>44291</v>
      </c>
      <c r="H3283" s="51">
        <v>1.5451388888888888</v>
      </c>
      <c r="I3283" s="21" t="s">
        <v>67</v>
      </c>
      <c r="J3283" s="9" t="s">
        <v>18683</v>
      </c>
      <c r="K3283" s="21" t="s">
        <v>818</v>
      </c>
      <c r="L3283" s="21" t="s">
        <v>11504</v>
      </c>
      <c r="M3283" s="21" t="s">
        <v>45</v>
      </c>
      <c r="N3283" s="21" t="s">
        <v>70</v>
      </c>
      <c r="O3283" s="21" t="s">
        <v>59</v>
      </c>
      <c r="P3283" s="9" t="s">
        <v>47</v>
      </c>
      <c r="Q3283" s="9" t="s">
        <v>2142</v>
      </c>
      <c r="R3283" s="9" t="s">
        <v>821</v>
      </c>
      <c r="S3283" s="21">
        <v>0</v>
      </c>
      <c r="T3283" s="21">
        <v>0</v>
      </c>
      <c r="U3283" s="21">
        <v>0</v>
      </c>
      <c r="V3283" s="21">
        <v>0</v>
      </c>
      <c r="W3283" s="21">
        <v>0</v>
      </c>
      <c r="X3283" s="21">
        <v>0</v>
      </c>
      <c r="Y3283" s="21">
        <v>0</v>
      </c>
      <c r="Z3283" s="21">
        <v>0</v>
      </c>
      <c r="AA3283" s="21">
        <v>0</v>
      </c>
      <c r="AB3283" s="21">
        <v>0</v>
      </c>
      <c r="AC3283" s="21">
        <v>0</v>
      </c>
      <c r="AD3283" s="21">
        <v>0</v>
      </c>
      <c r="AE3283" s="9" t="s">
        <v>73</v>
      </c>
      <c r="AF3283" s="9" t="s">
        <v>17812</v>
      </c>
      <c r="AG3283" s="9" t="s">
        <v>13508</v>
      </c>
      <c r="AH3283" s="9">
        <v>44291</v>
      </c>
      <c r="AI3283" s="21">
        <v>0</v>
      </c>
      <c r="AJ3283" s="9" t="s">
        <v>18684</v>
      </c>
      <c r="AK3283" s="9" t="s">
        <v>18685</v>
      </c>
    </row>
    <row r="3284" spans="1:37" ht="36.75" customHeight="1" x14ac:dyDescent="0.35">
      <c r="A3284" s="21" t="s">
        <v>12448</v>
      </c>
      <c r="B3284" s="21" t="s">
        <v>37</v>
      </c>
      <c r="C3284" s="73" t="str">
        <f t="shared" si="56"/>
        <v>Closed</v>
      </c>
      <c r="D3284" s="47" t="s">
        <v>18686</v>
      </c>
      <c r="E3284" s="76" t="s">
        <v>18687</v>
      </c>
      <c r="F3284" s="21" t="s">
        <v>17638</v>
      </c>
      <c r="G3284" s="9">
        <f>DATE(2021,4,6)</f>
        <v>44292</v>
      </c>
      <c r="H3284" s="51">
        <v>1.0694444444444444</v>
      </c>
      <c r="I3284" s="21" t="s">
        <v>55</v>
      </c>
      <c r="J3284" s="113" t="s">
        <v>18688</v>
      </c>
      <c r="K3284" s="21" t="s">
        <v>1555</v>
      </c>
      <c r="L3284" s="21" t="s">
        <v>18689</v>
      </c>
      <c r="M3284" s="21" t="s">
        <v>45</v>
      </c>
      <c r="N3284" s="21" t="s">
        <v>123</v>
      </c>
      <c r="O3284" s="21" t="s">
        <v>59</v>
      </c>
      <c r="P3284" s="9">
        <v>0</v>
      </c>
      <c r="Q3284" s="9" t="s">
        <v>18690</v>
      </c>
      <c r="R3284" s="9" t="s">
        <v>18009</v>
      </c>
      <c r="S3284" s="21">
        <v>0</v>
      </c>
      <c r="T3284" s="21">
        <v>0</v>
      </c>
      <c r="U3284" s="21">
        <v>0</v>
      </c>
      <c r="V3284" s="21">
        <v>0</v>
      </c>
      <c r="W3284" s="21">
        <v>0</v>
      </c>
      <c r="X3284" s="21">
        <v>0</v>
      </c>
      <c r="Y3284" s="21">
        <v>0</v>
      </c>
      <c r="Z3284" s="21">
        <v>0</v>
      </c>
      <c r="AA3284" s="21">
        <v>0</v>
      </c>
      <c r="AB3284" s="21">
        <v>0</v>
      </c>
      <c r="AC3284" s="21">
        <v>0</v>
      </c>
      <c r="AD3284" s="21">
        <v>0</v>
      </c>
      <c r="AE3284" s="9" t="s">
        <v>73</v>
      </c>
      <c r="AF3284" s="9" t="s">
        <v>18691</v>
      </c>
      <c r="AG3284" s="9" t="s">
        <v>8837</v>
      </c>
      <c r="AH3284" s="9">
        <v>44293</v>
      </c>
      <c r="AI3284" s="21">
        <v>0</v>
      </c>
      <c r="AJ3284" s="9" t="s">
        <v>18692</v>
      </c>
      <c r="AK3284" s="9" t="s">
        <v>18693</v>
      </c>
    </row>
    <row r="3285" spans="1:37" ht="36.75" customHeight="1" x14ac:dyDescent="0.35">
      <c r="A3285" s="21"/>
      <c r="B3285" s="20" t="s">
        <v>37</v>
      </c>
      <c r="C3285" s="73" t="s">
        <v>17979</v>
      </c>
      <c r="D3285" s="47" t="s">
        <v>18694</v>
      </c>
      <c r="E3285" s="76" t="s">
        <v>18695</v>
      </c>
      <c r="F3285" s="21" t="s">
        <v>17537</v>
      </c>
      <c r="G3285" s="9">
        <f>DATE(2021,4,7)</f>
        <v>44293</v>
      </c>
      <c r="H3285" s="50">
        <v>0.73263888888888884</v>
      </c>
      <c r="I3285" s="21" t="s">
        <v>2059</v>
      </c>
      <c r="J3285" s="9" t="s">
        <v>18696</v>
      </c>
      <c r="K3285" s="21" t="s">
        <v>818</v>
      </c>
      <c r="L3285" s="21" t="s">
        <v>18697</v>
      </c>
      <c r="M3285" s="21" t="s">
        <v>45</v>
      </c>
      <c r="N3285" s="21" t="s">
        <v>123</v>
      </c>
      <c r="O3285" s="21" t="s">
        <v>59</v>
      </c>
      <c r="P3285" s="9" t="s">
        <v>146</v>
      </c>
      <c r="Q3285" s="9" t="s">
        <v>2142</v>
      </c>
      <c r="R3285" s="9" t="s">
        <v>821</v>
      </c>
      <c r="S3285" s="21">
        <v>0</v>
      </c>
      <c r="T3285" s="21">
        <v>0</v>
      </c>
      <c r="U3285" s="21">
        <v>0</v>
      </c>
      <c r="V3285" s="21">
        <v>0</v>
      </c>
      <c r="W3285" s="21">
        <v>0</v>
      </c>
      <c r="X3285" s="21">
        <v>0</v>
      </c>
      <c r="Y3285" s="21">
        <v>0</v>
      </c>
      <c r="Z3285" s="21">
        <v>0</v>
      </c>
      <c r="AA3285" s="21">
        <v>0</v>
      </c>
      <c r="AB3285" s="21">
        <v>0</v>
      </c>
      <c r="AC3285" s="21">
        <v>0</v>
      </c>
      <c r="AD3285" s="21">
        <v>0</v>
      </c>
      <c r="AE3285" s="9" t="s">
        <v>17984</v>
      </c>
      <c r="AF3285" s="9" t="s">
        <v>17985</v>
      </c>
      <c r="AG3285" s="10" t="s">
        <v>14532</v>
      </c>
      <c r="AH3285" s="10">
        <f>DATE(2021,4,7)</f>
        <v>44293</v>
      </c>
      <c r="AI3285" s="21">
        <v>0</v>
      </c>
      <c r="AJ3285" s="9" t="s">
        <v>18698</v>
      </c>
      <c r="AK3285" s="9" t="s">
        <v>18699</v>
      </c>
    </row>
    <row r="3286" spans="1:37" ht="36.75" customHeight="1" x14ac:dyDescent="0.35">
      <c r="A3286" s="21"/>
      <c r="B3286" s="21" t="s">
        <v>37</v>
      </c>
      <c r="C3286" s="73" t="s">
        <v>17979</v>
      </c>
      <c r="D3286" s="47" t="s">
        <v>18700</v>
      </c>
      <c r="E3286" s="76" t="s">
        <v>18701</v>
      </c>
      <c r="F3286" s="21" t="s">
        <v>17537</v>
      </c>
      <c r="G3286" s="9">
        <f>DATE(2021,4,7)</f>
        <v>44293</v>
      </c>
      <c r="H3286" s="107">
        <v>1.9618055555555554</v>
      </c>
      <c r="I3286" s="21" t="s">
        <v>67</v>
      </c>
      <c r="J3286" s="21" t="s">
        <v>18702</v>
      </c>
      <c r="K3286" s="21" t="s">
        <v>818</v>
      </c>
      <c r="L3286" s="21" t="s">
        <v>18703</v>
      </c>
      <c r="M3286" s="21" t="s">
        <v>45</v>
      </c>
      <c r="N3286" s="21" t="s">
        <v>123</v>
      </c>
      <c r="O3286" s="21" t="s">
        <v>59</v>
      </c>
      <c r="P3286" s="21" t="s">
        <v>146</v>
      </c>
      <c r="Q3286" s="21" t="s">
        <v>18704</v>
      </c>
      <c r="R3286" s="21" t="s">
        <v>821</v>
      </c>
      <c r="S3286" s="21">
        <v>0</v>
      </c>
      <c r="T3286" s="21">
        <v>0</v>
      </c>
      <c r="U3286" s="21">
        <v>0</v>
      </c>
      <c r="V3286" s="21">
        <v>0</v>
      </c>
      <c r="W3286" s="21">
        <v>0</v>
      </c>
      <c r="X3286" s="21">
        <v>0</v>
      </c>
      <c r="Y3286" s="21">
        <v>0</v>
      </c>
      <c r="Z3286" s="21">
        <v>0</v>
      </c>
      <c r="AA3286" s="21">
        <v>0</v>
      </c>
      <c r="AB3286" s="21">
        <v>0</v>
      </c>
      <c r="AC3286" s="21">
        <v>0</v>
      </c>
      <c r="AD3286" s="21">
        <v>0</v>
      </c>
      <c r="AE3286" s="21" t="s">
        <v>73</v>
      </c>
      <c r="AF3286" s="21" t="s">
        <v>18705</v>
      </c>
      <c r="AG3286" s="21" t="s">
        <v>8837</v>
      </c>
      <c r="AH3286" s="43">
        <v>44557</v>
      </c>
      <c r="AI3286" s="21">
        <v>0</v>
      </c>
      <c r="AJ3286" s="21" t="s">
        <v>18706</v>
      </c>
      <c r="AK3286" s="21" t="s">
        <v>18707</v>
      </c>
    </row>
    <row r="3287" spans="1:37" ht="36.75" customHeight="1" x14ac:dyDescent="0.35">
      <c r="A3287" s="21" t="s">
        <v>12448</v>
      </c>
      <c r="B3287" s="21" t="s">
        <v>37</v>
      </c>
      <c r="C3287" s="73" t="str">
        <f t="shared" ref="C3287:C3297" si="57">IF(B3287="Notification","Open",IF(B3287="Interim Statement","In progress","Closed"))</f>
        <v>Closed</v>
      </c>
      <c r="D3287" s="47" t="s">
        <v>18708</v>
      </c>
      <c r="E3287" s="76" t="s">
        <v>18709</v>
      </c>
      <c r="F3287" s="21" t="s">
        <v>17638</v>
      </c>
      <c r="G3287" s="9">
        <f>DATE(2021,4,9)</f>
        <v>44295</v>
      </c>
      <c r="H3287" s="35">
        <v>1.5694444444444444</v>
      </c>
      <c r="I3287" s="21" t="s">
        <v>55</v>
      </c>
      <c r="J3287" s="9" t="s">
        <v>18710</v>
      </c>
      <c r="K3287" s="21" t="s">
        <v>1555</v>
      </c>
      <c r="L3287" s="21" t="s">
        <v>18711</v>
      </c>
      <c r="M3287" s="21" t="s">
        <v>45</v>
      </c>
      <c r="N3287" s="21" t="s">
        <v>80</v>
      </c>
      <c r="O3287" s="21" t="s">
        <v>46</v>
      </c>
      <c r="P3287" s="9">
        <v>0</v>
      </c>
      <c r="Q3287" s="9" t="s">
        <v>18712</v>
      </c>
      <c r="R3287" s="9" t="s">
        <v>18712</v>
      </c>
      <c r="S3287" s="21">
        <v>0</v>
      </c>
      <c r="T3287" s="21">
        <v>0</v>
      </c>
      <c r="U3287" s="21">
        <v>0</v>
      </c>
      <c r="V3287" s="21">
        <v>0</v>
      </c>
      <c r="W3287" s="21">
        <v>0</v>
      </c>
      <c r="X3287" s="21">
        <v>0</v>
      </c>
      <c r="Y3287" s="21">
        <v>0</v>
      </c>
      <c r="Z3287" s="21">
        <v>0</v>
      </c>
      <c r="AA3287" s="21">
        <v>0</v>
      </c>
      <c r="AB3287" s="21">
        <v>0</v>
      </c>
      <c r="AC3287" s="21">
        <v>0</v>
      </c>
      <c r="AD3287" s="21">
        <v>0</v>
      </c>
      <c r="AE3287" s="9" t="s">
        <v>73</v>
      </c>
      <c r="AF3287" s="9" t="s">
        <v>18543</v>
      </c>
      <c r="AG3287" s="10" t="s">
        <v>8837</v>
      </c>
      <c r="AH3287" s="10">
        <v>44298</v>
      </c>
      <c r="AI3287" s="21">
        <v>0</v>
      </c>
      <c r="AJ3287" s="9" t="s">
        <v>18713</v>
      </c>
      <c r="AK3287" s="9" t="s">
        <v>18714</v>
      </c>
    </row>
    <row r="3288" spans="1:37" ht="36.75" customHeight="1" x14ac:dyDescent="0.35">
      <c r="A3288" s="21" t="s">
        <v>12448</v>
      </c>
      <c r="B3288" s="21" t="s">
        <v>37</v>
      </c>
      <c r="C3288" s="73" t="str">
        <f t="shared" si="57"/>
        <v>Closed</v>
      </c>
      <c r="D3288" s="47" t="s">
        <v>18715</v>
      </c>
      <c r="E3288" s="76" t="s">
        <v>18716</v>
      </c>
      <c r="F3288" s="21" t="s">
        <v>17638</v>
      </c>
      <c r="G3288" s="9">
        <f>DATE(2021,4,11)</f>
        <v>44297</v>
      </c>
      <c r="H3288" s="35">
        <v>1.4166666666666667</v>
      </c>
      <c r="I3288" s="21" t="s">
        <v>55</v>
      </c>
      <c r="J3288" s="9" t="s">
        <v>18717</v>
      </c>
      <c r="K3288" s="21" t="s">
        <v>1555</v>
      </c>
      <c r="L3288" s="21" t="s">
        <v>18718</v>
      </c>
      <c r="M3288" s="21" t="s">
        <v>45</v>
      </c>
      <c r="N3288" s="21" t="s">
        <v>123</v>
      </c>
      <c r="O3288" s="21" t="s">
        <v>46</v>
      </c>
      <c r="P3288" s="21" t="s">
        <v>60</v>
      </c>
      <c r="Q3288" s="21" t="s">
        <v>18712</v>
      </c>
      <c r="R3288" s="21" t="s">
        <v>18712</v>
      </c>
      <c r="S3288" s="21">
        <v>0</v>
      </c>
      <c r="T3288" s="21">
        <v>0</v>
      </c>
      <c r="U3288" s="21">
        <v>0</v>
      </c>
      <c r="V3288" s="21">
        <v>0</v>
      </c>
      <c r="W3288" s="21">
        <v>0</v>
      </c>
      <c r="X3288" s="21">
        <v>0</v>
      </c>
      <c r="Y3288" s="21">
        <v>0</v>
      </c>
      <c r="Z3288" s="21">
        <v>0</v>
      </c>
      <c r="AA3288" s="21">
        <v>0</v>
      </c>
      <c r="AB3288" s="21">
        <v>0</v>
      </c>
      <c r="AC3288" s="21">
        <v>0</v>
      </c>
      <c r="AD3288" s="21">
        <v>0</v>
      </c>
      <c r="AE3288" s="54" t="s">
        <v>73</v>
      </c>
      <c r="AF3288" s="21" t="s">
        <v>18719</v>
      </c>
      <c r="AG3288" s="21" t="s">
        <v>8837</v>
      </c>
      <c r="AH3288" s="10">
        <v>44298</v>
      </c>
      <c r="AI3288" s="21">
        <v>1</v>
      </c>
      <c r="AJ3288" s="21" t="s">
        <v>18720</v>
      </c>
      <c r="AK3288" s="21" t="s">
        <v>18721</v>
      </c>
    </row>
    <row r="3289" spans="1:37" ht="36.75" customHeight="1" x14ac:dyDescent="0.35">
      <c r="A3289" s="21" t="s">
        <v>12448</v>
      </c>
      <c r="B3289" s="21" t="s">
        <v>37</v>
      </c>
      <c r="C3289" s="73" t="str">
        <f t="shared" si="57"/>
        <v>Closed</v>
      </c>
      <c r="D3289" s="47" t="s">
        <v>18722</v>
      </c>
      <c r="E3289" s="76" t="s">
        <v>18723</v>
      </c>
      <c r="F3289" s="21" t="s">
        <v>17305</v>
      </c>
      <c r="G3289" s="9">
        <f>DATE(2021,4,14)</f>
        <v>44300</v>
      </c>
      <c r="H3289" s="51">
        <v>1.6770833333333335</v>
      </c>
      <c r="I3289" s="21" t="s">
        <v>67</v>
      </c>
      <c r="J3289" s="9" t="s">
        <v>18724</v>
      </c>
      <c r="K3289" s="21" t="s">
        <v>108</v>
      </c>
      <c r="L3289" s="21" t="s">
        <v>18725</v>
      </c>
      <c r="M3289" s="21" t="s">
        <v>45</v>
      </c>
      <c r="N3289" s="21" t="s">
        <v>123</v>
      </c>
      <c r="O3289" s="21" t="s">
        <v>59</v>
      </c>
      <c r="P3289" s="9" t="s">
        <v>6881</v>
      </c>
      <c r="Q3289" s="9" t="s">
        <v>17685</v>
      </c>
      <c r="R3289" s="9" t="s">
        <v>148</v>
      </c>
      <c r="S3289" s="21">
        <v>0</v>
      </c>
      <c r="T3289" s="21">
        <v>0</v>
      </c>
      <c r="U3289" s="21">
        <v>0</v>
      </c>
      <c r="V3289" s="21">
        <v>0</v>
      </c>
      <c r="W3289" s="21">
        <v>0</v>
      </c>
      <c r="X3289" s="21">
        <v>0</v>
      </c>
      <c r="Y3289" s="21">
        <v>0</v>
      </c>
      <c r="Z3289" s="21">
        <v>0</v>
      </c>
      <c r="AA3289" s="21">
        <v>0</v>
      </c>
      <c r="AB3289" s="21">
        <v>0</v>
      </c>
      <c r="AC3289" s="21">
        <v>0</v>
      </c>
      <c r="AD3289" s="21">
        <v>0</v>
      </c>
      <c r="AE3289" s="9" t="s">
        <v>73</v>
      </c>
      <c r="AF3289" s="9" t="s">
        <v>18726</v>
      </c>
      <c r="AG3289" s="9" t="s">
        <v>8837</v>
      </c>
      <c r="AH3289" s="9">
        <v>44303</v>
      </c>
      <c r="AI3289" s="21">
        <v>0</v>
      </c>
      <c r="AJ3289" s="9" t="s">
        <v>18727</v>
      </c>
      <c r="AK3289" s="9" t="s">
        <v>18728</v>
      </c>
    </row>
    <row r="3290" spans="1:37" ht="36.75" customHeight="1" x14ac:dyDescent="0.35">
      <c r="A3290" s="5" t="s">
        <v>12448</v>
      </c>
      <c r="B3290" s="5" t="s">
        <v>37</v>
      </c>
      <c r="C3290" s="73" t="str">
        <f t="shared" si="57"/>
        <v>Closed</v>
      </c>
      <c r="D3290" s="47" t="s">
        <v>18731</v>
      </c>
      <c r="E3290" s="54" t="s">
        <v>18732</v>
      </c>
      <c r="F3290" s="5" t="s">
        <v>17537</v>
      </c>
      <c r="G3290" s="7">
        <f>DATE(2021,4,20)</f>
        <v>44306</v>
      </c>
      <c r="H3290" s="108"/>
      <c r="I3290" s="5" t="s">
        <v>97</v>
      </c>
      <c r="J3290" s="7" t="s">
        <v>18733</v>
      </c>
      <c r="K3290" s="5" t="s">
        <v>818</v>
      </c>
      <c r="L3290" s="5" t="s">
        <v>18734</v>
      </c>
      <c r="M3290" s="5" t="s">
        <v>45</v>
      </c>
      <c r="N3290" s="21" t="s">
        <v>80</v>
      </c>
      <c r="O3290" s="5" t="s">
        <v>46</v>
      </c>
      <c r="P3290" s="7" t="s">
        <v>146</v>
      </c>
      <c r="Q3290" s="7" t="s">
        <v>18735</v>
      </c>
      <c r="R3290" s="7" t="s">
        <v>18736</v>
      </c>
      <c r="S3290" s="5">
        <v>0</v>
      </c>
      <c r="T3290" s="5">
        <v>0</v>
      </c>
      <c r="U3290" s="5">
        <v>1</v>
      </c>
      <c r="V3290" s="5">
        <v>0</v>
      </c>
      <c r="W3290" s="5">
        <v>0</v>
      </c>
      <c r="X3290" s="5">
        <v>1</v>
      </c>
      <c r="Y3290" s="5">
        <v>0</v>
      </c>
      <c r="Z3290" s="5">
        <v>0</v>
      </c>
      <c r="AA3290" s="5">
        <v>0</v>
      </c>
      <c r="AB3290" s="5">
        <v>0</v>
      </c>
      <c r="AC3290" s="5">
        <v>0</v>
      </c>
      <c r="AD3290" s="5">
        <v>0</v>
      </c>
      <c r="AE3290" s="7" t="s">
        <v>375</v>
      </c>
      <c r="AF3290" s="7" t="s">
        <v>18737</v>
      </c>
      <c r="AG3290" s="33"/>
      <c r="AH3290" s="108"/>
      <c r="AI3290" s="5">
        <v>0</v>
      </c>
      <c r="AJ3290" s="7" t="s">
        <v>18738</v>
      </c>
      <c r="AK3290" s="7"/>
    </row>
    <row r="3291" spans="1:37" ht="36.75" customHeight="1" x14ac:dyDescent="0.35">
      <c r="A3291" s="21" t="s">
        <v>12448</v>
      </c>
      <c r="B3291" s="5" t="s">
        <v>37</v>
      </c>
      <c r="C3291" s="73" t="str">
        <f t="shared" si="57"/>
        <v>Closed</v>
      </c>
      <c r="D3291" s="47" t="s">
        <v>18739</v>
      </c>
      <c r="E3291" s="54" t="s">
        <v>18740</v>
      </c>
      <c r="F3291" s="5" t="s">
        <v>17728</v>
      </c>
      <c r="G3291" s="9">
        <f>DATE(2021,4,23)</f>
        <v>44309</v>
      </c>
      <c r="H3291" s="107" t="s">
        <v>18741</v>
      </c>
      <c r="I3291" s="21" t="s">
        <v>55</v>
      </c>
      <c r="J3291" s="7" t="s">
        <v>18742</v>
      </c>
      <c r="K3291" s="5" t="s">
        <v>2583</v>
      </c>
      <c r="L3291" s="5" t="s">
        <v>18743</v>
      </c>
      <c r="M3291" s="5" t="s">
        <v>45</v>
      </c>
      <c r="N3291" s="21" t="s">
        <v>80</v>
      </c>
      <c r="O3291" s="5" t="s">
        <v>46</v>
      </c>
      <c r="P3291" s="7">
        <v>0</v>
      </c>
      <c r="Q3291" s="5" t="s">
        <v>18744</v>
      </c>
      <c r="R3291" s="5" t="s">
        <v>18393</v>
      </c>
      <c r="S3291" s="5">
        <v>0</v>
      </c>
      <c r="T3291" s="5">
        <v>0</v>
      </c>
      <c r="U3291" s="5">
        <v>0</v>
      </c>
      <c r="V3291" s="5">
        <v>0</v>
      </c>
      <c r="W3291" s="5">
        <v>0</v>
      </c>
      <c r="X3291" s="5">
        <v>0</v>
      </c>
      <c r="Y3291" s="5">
        <v>0</v>
      </c>
      <c r="Z3291" s="5">
        <v>0</v>
      </c>
      <c r="AA3291" s="5">
        <v>0</v>
      </c>
      <c r="AB3291" s="5">
        <v>0</v>
      </c>
      <c r="AC3291" s="5">
        <v>0</v>
      </c>
      <c r="AD3291" s="5">
        <v>0</v>
      </c>
      <c r="AE3291" s="7" t="s">
        <v>375</v>
      </c>
      <c r="AF3291" s="5" t="s">
        <v>18745</v>
      </c>
      <c r="AG3291" s="21" t="s">
        <v>8837</v>
      </c>
      <c r="AH3291" s="7" t="s">
        <v>18746</v>
      </c>
      <c r="AI3291" s="5">
        <v>4</v>
      </c>
      <c r="AJ3291" s="5" t="s">
        <v>18747</v>
      </c>
      <c r="AK3291" s="5" t="s">
        <v>18748</v>
      </c>
    </row>
    <row r="3292" spans="1:37" ht="36.75" customHeight="1" x14ac:dyDescent="0.35">
      <c r="A3292" s="21" t="s">
        <v>12448</v>
      </c>
      <c r="B3292" s="5" t="s">
        <v>37</v>
      </c>
      <c r="C3292" s="73" t="str">
        <f t="shared" si="57"/>
        <v>Closed</v>
      </c>
      <c r="D3292" s="47" t="s">
        <v>18749</v>
      </c>
      <c r="E3292" s="76" t="s">
        <v>18750</v>
      </c>
      <c r="F3292" s="21" t="s">
        <v>17769</v>
      </c>
      <c r="G3292" s="9">
        <f>DATE(2021,5,3)</f>
        <v>44319</v>
      </c>
      <c r="H3292" s="107">
        <v>1.40625</v>
      </c>
      <c r="I3292" s="21" t="s">
        <v>55</v>
      </c>
      <c r="J3292" s="21" t="s">
        <v>18751</v>
      </c>
      <c r="K3292" s="21" t="s">
        <v>621</v>
      </c>
      <c r="L3292" s="21" t="s">
        <v>18752</v>
      </c>
      <c r="M3292" s="21" t="s">
        <v>45</v>
      </c>
      <c r="N3292" s="21" t="s">
        <v>123</v>
      </c>
      <c r="O3292" s="21" t="s">
        <v>67</v>
      </c>
      <c r="P3292" s="21" t="s">
        <v>47</v>
      </c>
      <c r="Q3292" s="21" t="s">
        <v>18459</v>
      </c>
      <c r="R3292" s="21" t="s">
        <v>1997</v>
      </c>
      <c r="S3292" s="21">
        <v>0</v>
      </c>
      <c r="T3292" s="21">
        <v>0</v>
      </c>
      <c r="U3292" s="21">
        <v>0</v>
      </c>
      <c r="V3292" s="21">
        <v>0</v>
      </c>
      <c r="W3292" s="21">
        <v>0</v>
      </c>
      <c r="X3292" s="21">
        <v>0</v>
      </c>
      <c r="Y3292" s="21">
        <v>0</v>
      </c>
      <c r="Z3292" s="21">
        <v>0</v>
      </c>
      <c r="AA3292" s="21">
        <v>0</v>
      </c>
      <c r="AB3292" s="21">
        <v>0</v>
      </c>
      <c r="AC3292" s="21">
        <v>0</v>
      </c>
      <c r="AD3292" s="21">
        <v>0</v>
      </c>
      <c r="AE3292" s="21" t="s">
        <v>73</v>
      </c>
      <c r="AF3292" s="21" t="s">
        <v>18460</v>
      </c>
      <c r="AG3292" s="21" t="s">
        <v>14532</v>
      </c>
      <c r="AH3292" s="43">
        <v>44680</v>
      </c>
      <c r="AI3292" s="21">
        <v>6</v>
      </c>
      <c r="AJ3292" s="21" t="s">
        <v>18753</v>
      </c>
      <c r="AK3292" s="21" t="s">
        <v>18754</v>
      </c>
    </row>
    <row r="3293" spans="1:37" ht="36.75" customHeight="1" x14ac:dyDescent="0.35">
      <c r="A3293" s="21" t="s">
        <v>12448</v>
      </c>
      <c r="B3293" s="5" t="s">
        <v>37</v>
      </c>
      <c r="C3293" s="73" t="str">
        <f t="shared" si="57"/>
        <v>Closed</v>
      </c>
      <c r="D3293" s="47" t="s">
        <v>18755</v>
      </c>
      <c r="E3293" s="54" t="s">
        <v>18756</v>
      </c>
      <c r="F3293" s="21" t="s">
        <v>16397</v>
      </c>
      <c r="G3293" s="9">
        <f>DATE(2021,5,5)</f>
        <v>44321</v>
      </c>
      <c r="H3293" s="51">
        <v>1.5965277777777778</v>
      </c>
      <c r="I3293" s="5" t="s">
        <v>179</v>
      </c>
      <c r="J3293" s="7" t="s">
        <v>18757</v>
      </c>
      <c r="K3293" s="21" t="s">
        <v>406</v>
      </c>
      <c r="L3293" s="21" t="s">
        <v>18758</v>
      </c>
      <c r="M3293" s="21" t="s">
        <v>45</v>
      </c>
      <c r="N3293" s="21" t="s">
        <v>123</v>
      </c>
      <c r="O3293" s="21" t="s">
        <v>46</v>
      </c>
      <c r="P3293" s="7" t="s">
        <v>47</v>
      </c>
      <c r="Q3293" s="9" t="s">
        <v>18759</v>
      </c>
      <c r="R3293" s="9" t="s">
        <v>17330</v>
      </c>
      <c r="S3293" s="5">
        <v>0</v>
      </c>
      <c r="T3293" s="5">
        <v>0</v>
      </c>
      <c r="U3293" s="5">
        <v>0</v>
      </c>
      <c r="V3293" s="5">
        <v>0</v>
      </c>
      <c r="W3293" s="5">
        <v>0</v>
      </c>
      <c r="X3293" s="5">
        <v>0</v>
      </c>
      <c r="Y3293" s="5">
        <v>0</v>
      </c>
      <c r="Z3293" s="5">
        <v>0</v>
      </c>
      <c r="AA3293" s="5">
        <v>0</v>
      </c>
      <c r="AB3293" s="5">
        <v>0</v>
      </c>
      <c r="AC3293" s="5">
        <v>0</v>
      </c>
      <c r="AD3293" s="5">
        <v>0</v>
      </c>
      <c r="AE3293" s="9" t="s">
        <v>375</v>
      </c>
      <c r="AF3293" s="9" t="s">
        <v>18760</v>
      </c>
      <c r="AG3293" s="9" t="s">
        <v>16251</v>
      </c>
      <c r="AH3293" s="9">
        <v>44321</v>
      </c>
      <c r="AI3293" s="21">
        <v>3</v>
      </c>
      <c r="AJ3293" s="9" t="s">
        <v>18761</v>
      </c>
      <c r="AK3293" s="9" t="s">
        <v>18762</v>
      </c>
    </row>
    <row r="3294" spans="1:37" ht="46.15" customHeight="1" x14ac:dyDescent="0.35">
      <c r="A3294" s="21" t="s">
        <v>12448</v>
      </c>
      <c r="B3294" s="5" t="s">
        <v>37</v>
      </c>
      <c r="C3294" s="73" t="str">
        <f t="shared" si="57"/>
        <v>Closed</v>
      </c>
      <c r="D3294" s="47" t="s">
        <v>18763</v>
      </c>
      <c r="E3294" s="54" t="s">
        <v>18764</v>
      </c>
      <c r="F3294" s="21" t="s">
        <v>16397</v>
      </c>
      <c r="G3294" s="9">
        <f>DATE(2021,5,5)</f>
        <v>44321</v>
      </c>
      <c r="H3294" s="51">
        <v>1.6854166666666668</v>
      </c>
      <c r="I3294" s="21" t="s">
        <v>97</v>
      </c>
      <c r="J3294" s="7" t="s">
        <v>18765</v>
      </c>
      <c r="K3294" s="21" t="s">
        <v>406</v>
      </c>
      <c r="L3294" s="21" t="s">
        <v>18766</v>
      </c>
      <c r="M3294" s="21" t="s">
        <v>45</v>
      </c>
      <c r="N3294" s="21" t="s">
        <v>80</v>
      </c>
      <c r="O3294" s="21" t="s">
        <v>46</v>
      </c>
      <c r="P3294" s="7" t="s">
        <v>18628</v>
      </c>
      <c r="Q3294" s="9" t="s">
        <v>17540</v>
      </c>
      <c r="R3294" s="9" t="s">
        <v>17330</v>
      </c>
      <c r="S3294" s="5">
        <v>0</v>
      </c>
      <c r="T3294" s="36">
        <v>0</v>
      </c>
      <c r="U3294" s="5">
        <v>0</v>
      </c>
      <c r="V3294" s="5">
        <v>0</v>
      </c>
      <c r="W3294" s="5">
        <v>0</v>
      </c>
      <c r="X3294" s="5">
        <v>0</v>
      </c>
      <c r="Y3294" s="5">
        <v>0</v>
      </c>
      <c r="Z3294" s="5">
        <v>0</v>
      </c>
      <c r="AA3294" s="5">
        <v>0</v>
      </c>
      <c r="AB3294" s="5">
        <v>0</v>
      </c>
      <c r="AC3294" s="5">
        <v>0</v>
      </c>
      <c r="AD3294" s="5">
        <v>0</v>
      </c>
      <c r="AE3294" s="9" t="s">
        <v>17731</v>
      </c>
      <c r="AF3294" s="9" t="s">
        <v>17732</v>
      </c>
      <c r="AG3294" s="9" t="s">
        <v>18029</v>
      </c>
      <c r="AH3294" s="9">
        <v>44321</v>
      </c>
      <c r="AI3294" s="21">
        <v>0</v>
      </c>
      <c r="AJ3294" s="9" t="s">
        <v>18767</v>
      </c>
      <c r="AK3294" s="9" t="s">
        <v>860</v>
      </c>
    </row>
    <row r="3295" spans="1:37" ht="38.25" customHeight="1" x14ac:dyDescent="0.35">
      <c r="A3295" s="21" t="s">
        <v>12448</v>
      </c>
      <c r="B3295" s="5" t="s">
        <v>37</v>
      </c>
      <c r="C3295" s="73" t="str">
        <f t="shared" si="57"/>
        <v>Closed</v>
      </c>
      <c r="D3295" s="47" t="s">
        <v>18768</v>
      </c>
      <c r="E3295" s="54" t="s">
        <v>18769</v>
      </c>
      <c r="F3295" s="21" t="s">
        <v>16397</v>
      </c>
      <c r="G3295" s="9">
        <f>DATE(2021,5,6)</f>
        <v>44322</v>
      </c>
      <c r="H3295" s="51">
        <v>1.5243055555555556</v>
      </c>
      <c r="I3295" s="21" t="s">
        <v>85</v>
      </c>
      <c r="J3295" s="7" t="s">
        <v>18770</v>
      </c>
      <c r="K3295" s="21" t="s">
        <v>406</v>
      </c>
      <c r="L3295" s="21" t="s">
        <v>18771</v>
      </c>
      <c r="M3295" s="21" t="s">
        <v>45</v>
      </c>
      <c r="N3295" s="21" t="s">
        <v>123</v>
      </c>
      <c r="O3295" s="21" t="s">
        <v>59</v>
      </c>
      <c r="P3295" s="7" t="s">
        <v>18772</v>
      </c>
      <c r="Q3295" s="9" t="s">
        <v>18773</v>
      </c>
      <c r="R3295" s="9" t="s">
        <v>17330</v>
      </c>
      <c r="S3295" s="5">
        <v>0</v>
      </c>
      <c r="T3295" s="5">
        <v>0</v>
      </c>
      <c r="U3295" s="5">
        <v>0</v>
      </c>
      <c r="V3295" s="5">
        <v>0</v>
      </c>
      <c r="W3295" s="5">
        <v>0</v>
      </c>
      <c r="X3295" s="5">
        <v>0</v>
      </c>
      <c r="Y3295" s="5">
        <v>0</v>
      </c>
      <c r="Z3295" s="5">
        <v>0</v>
      </c>
      <c r="AA3295" s="5">
        <v>0</v>
      </c>
      <c r="AB3295" s="5">
        <v>0</v>
      </c>
      <c r="AC3295" s="5">
        <v>0</v>
      </c>
      <c r="AD3295" s="5">
        <v>0</v>
      </c>
      <c r="AE3295" s="21">
        <v>0</v>
      </c>
      <c r="AF3295" s="9" t="s">
        <v>18774</v>
      </c>
      <c r="AG3295" s="9" t="s">
        <v>17331</v>
      </c>
      <c r="AH3295" s="9">
        <v>44322</v>
      </c>
      <c r="AI3295" s="21">
        <v>2</v>
      </c>
      <c r="AJ3295" s="9" t="s">
        <v>18775</v>
      </c>
      <c r="AK3295" s="9" t="s">
        <v>693</v>
      </c>
    </row>
    <row r="3296" spans="1:37" ht="36.75" customHeight="1" x14ac:dyDescent="0.35">
      <c r="A3296" s="21" t="s">
        <v>12448</v>
      </c>
      <c r="B3296" s="5" t="s">
        <v>37</v>
      </c>
      <c r="C3296" s="73" t="str">
        <f t="shared" si="57"/>
        <v>Closed</v>
      </c>
      <c r="D3296" s="47" t="s">
        <v>18776</v>
      </c>
      <c r="E3296" s="54" t="s">
        <v>18777</v>
      </c>
      <c r="F3296" s="21" t="s">
        <v>16397</v>
      </c>
      <c r="G3296" s="9">
        <f>DATE(2021,5,10)</f>
        <v>44326</v>
      </c>
      <c r="H3296" s="51">
        <v>1.2583333333333333</v>
      </c>
      <c r="I3296" s="21" t="s">
        <v>2059</v>
      </c>
      <c r="J3296" s="7" t="s">
        <v>18778</v>
      </c>
      <c r="K3296" s="21" t="s">
        <v>406</v>
      </c>
      <c r="L3296" s="21" t="s">
        <v>18779</v>
      </c>
      <c r="M3296" s="21" t="s">
        <v>45</v>
      </c>
      <c r="N3296" s="21" t="s">
        <v>70</v>
      </c>
      <c r="O3296" s="21" t="s">
        <v>59</v>
      </c>
      <c r="P3296" s="7" t="s">
        <v>146</v>
      </c>
      <c r="Q3296" s="9" t="s">
        <v>18565</v>
      </c>
      <c r="R3296" s="9" t="s">
        <v>17330</v>
      </c>
      <c r="S3296" s="5">
        <v>0</v>
      </c>
      <c r="T3296" s="5">
        <v>0</v>
      </c>
      <c r="U3296" s="5">
        <v>0</v>
      </c>
      <c r="V3296" s="5">
        <v>0</v>
      </c>
      <c r="W3296" s="5">
        <v>0</v>
      </c>
      <c r="X3296" s="5">
        <v>0</v>
      </c>
      <c r="Y3296" s="5">
        <v>0</v>
      </c>
      <c r="Z3296" s="5">
        <v>0</v>
      </c>
      <c r="AA3296" s="5">
        <v>0</v>
      </c>
      <c r="AB3296" s="5">
        <v>0</v>
      </c>
      <c r="AC3296" s="5">
        <v>0</v>
      </c>
      <c r="AD3296" s="5">
        <v>0</v>
      </c>
      <c r="AE3296" s="9" t="s">
        <v>73</v>
      </c>
      <c r="AF3296" s="9" t="s">
        <v>17992</v>
      </c>
      <c r="AG3296" s="9" t="s">
        <v>16251</v>
      </c>
      <c r="AH3296" s="9">
        <v>44326</v>
      </c>
      <c r="AI3296" s="21">
        <v>1</v>
      </c>
      <c r="AJ3296" s="9" t="s">
        <v>18780</v>
      </c>
      <c r="AK3296" s="9" t="s">
        <v>17885</v>
      </c>
    </row>
    <row r="3297" spans="1:37" ht="36.75" customHeight="1" x14ac:dyDescent="0.35">
      <c r="A3297" s="21" t="s">
        <v>12448</v>
      </c>
      <c r="B3297" s="5" t="s">
        <v>14851</v>
      </c>
      <c r="C3297" s="73" t="str">
        <f t="shared" si="57"/>
        <v>In progress</v>
      </c>
      <c r="D3297" s="47" t="s">
        <v>18781</v>
      </c>
      <c r="E3297" s="54" t="s">
        <v>18729</v>
      </c>
      <c r="F3297" s="21" t="s">
        <v>6434</v>
      </c>
      <c r="G3297" s="9">
        <f>DATE(2021,5,12)</f>
        <v>44328</v>
      </c>
      <c r="H3297" s="107">
        <v>2.4305555555555556E-2</v>
      </c>
      <c r="I3297" s="21" t="s">
        <v>55</v>
      </c>
      <c r="J3297" s="5" t="s">
        <v>18782</v>
      </c>
      <c r="K3297" s="21" t="s">
        <v>565</v>
      </c>
      <c r="L3297" s="21" t="s">
        <v>18730</v>
      </c>
      <c r="M3297" s="21" t="s">
        <v>45</v>
      </c>
      <c r="N3297" s="21" t="s">
        <v>123</v>
      </c>
      <c r="O3297" s="21" t="s">
        <v>59</v>
      </c>
      <c r="P3297" s="5" t="s">
        <v>60</v>
      </c>
      <c r="Q3297" s="21" t="s">
        <v>43442</v>
      </c>
      <c r="R3297" s="21" t="s">
        <v>568</v>
      </c>
      <c r="S3297" s="5">
        <v>0</v>
      </c>
      <c r="T3297" s="7">
        <v>0</v>
      </c>
      <c r="U3297" s="5">
        <v>0</v>
      </c>
      <c r="V3297" s="7">
        <v>0</v>
      </c>
      <c r="W3297" s="5">
        <v>0</v>
      </c>
      <c r="X3297" s="5">
        <v>0</v>
      </c>
      <c r="Y3297" s="5">
        <v>0</v>
      </c>
      <c r="Z3297" s="5">
        <v>0</v>
      </c>
      <c r="AA3297" s="5">
        <v>0</v>
      </c>
      <c r="AB3297" s="5">
        <v>0</v>
      </c>
      <c r="AC3297" s="5">
        <v>0</v>
      </c>
      <c r="AD3297" s="5">
        <v>0</v>
      </c>
      <c r="AE3297" s="9" t="s">
        <v>375</v>
      </c>
      <c r="AF3297" s="21" t="s">
        <v>43443</v>
      </c>
      <c r="AG3297" s="21" t="s">
        <v>13508</v>
      </c>
      <c r="AH3297" s="9">
        <f>DATE(2021,5,12)</f>
        <v>44328</v>
      </c>
      <c r="AI3297" s="21"/>
      <c r="AJ3297" s="21" t="s">
        <v>18783</v>
      </c>
      <c r="AK3297" s="21"/>
    </row>
    <row r="3298" spans="1:37" ht="36.75" customHeight="1" x14ac:dyDescent="0.35">
      <c r="A3298" s="21"/>
      <c r="B3298" s="5" t="s">
        <v>37</v>
      </c>
      <c r="C3298" s="73" t="s">
        <v>17979</v>
      </c>
      <c r="D3298" s="47" t="s">
        <v>18784</v>
      </c>
      <c r="E3298" s="54" t="s">
        <v>18785</v>
      </c>
      <c r="F3298" s="21" t="s">
        <v>17537</v>
      </c>
      <c r="G3298" s="9">
        <f>DATE(2021,5,17)</f>
        <v>44333</v>
      </c>
      <c r="H3298" s="107">
        <v>0.4694444444444445</v>
      </c>
      <c r="I3298" s="21" t="s">
        <v>85</v>
      </c>
      <c r="J3298" s="5" t="s">
        <v>18786</v>
      </c>
      <c r="K3298" s="21" t="s">
        <v>818</v>
      </c>
      <c r="L3298" s="21" t="s">
        <v>18787</v>
      </c>
      <c r="M3298" s="21" t="s">
        <v>45</v>
      </c>
      <c r="N3298" s="21" t="s">
        <v>123</v>
      </c>
      <c r="O3298" s="21" t="s">
        <v>59</v>
      </c>
      <c r="P3298" s="5" t="s">
        <v>47</v>
      </c>
      <c r="Q3298" s="21" t="s">
        <v>2142</v>
      </c>
      <c r="R3298" s="21" t="s">
        <v>821</v>
      </c>
      <c r="S3298" s="5">
        <v>0</v>
      </c>
      <c r="T3298" s="5">
        <v>0</v>
      </c>
      <c r="U3298" s="5">
        <v>0</v>
      </c>
      <c r="V3298" s="5">
        <v>0</v>
      </c>
      <c r="W3298" s="5">
        <v>0</v>
      </c>
      <c r="X3298" s="5">
        <v>0</v>
      </c>
      <c r="Y3298" s="5">
        <v>0</v>
      </c>
      <c r="Z3298" s="5">
        <v>0</v>
      </c>
      <c r="AA3298" s="5">
        <v>0</v>
      </c>
      <c r="AB3298" s="5">
        <v>0</v>
      </c>
      <c r="AC3298" s="5">
        <v>0</v>
      </c>
      <c r="AD3298" s="5">
        <v>0</v>
      </c>
      <c r="AE3298" s="21" t="s">
        <v>17731</v>
      </c>
      <c r="AF3298" s="21" t="s">
        <v>17732</v>
      </c>
      <c r="AG3298" s="21" t="s">
        <v>18788</v>
      </c>
      <c r="AH3298" s="9">
        <f>DATE(2021,5,18)</f>
        <v>44334</v>
      </c>
      <c r="AI3298" s="21">
        <v>0</v>
      </c>
      <c r="AJ3298" s="21" t="s">
        <v>18789</v>
      </c>
      <c r="AK3298" s="21" t="s">
        <v>18790</v>
      </c>
    </row>
    <row r="3299" spans="1:37" ht="36.75" customHeight="1" x14ac:dyDescent="0.35">
      <c r="A3299" s="5" t="s">
        <v>12448</v>
      </c>
      <c r="B3299" s="5" t="s">
        <v>37</v>
      </c>
      <c r="C3299" s="73" t="str">
        <f t="shared" ref="C3299:C3306" si="58">IF(B3299="Notification","Open",IF(B3299="Interim Statement","In progress","Closed"))</f>
        <v>Closed</v>
      </c>
      <c r="D3299" s="47" t="s">
        <v>18791</v>
      </c>
      <c r="E3299" s="54" t="s">
        <v>18792</v>
      </c>
      <c r="F3299" s="21" t="s">
        <v>16397</v>
      </c>
      <c r="G3299" s="9">
        <f>DATE(2021,5,21)</f>
        <v>44337</v>
      </c>
      <c r="H3299" s="107">
        <v>0.39999999999999997</v>
      </c>
      <c r="I3299" s="21" t="s">
        <v>179</v>
      </c>
      <c r="J3299" s="5" t="s">
        <v>18793</v>
      </c>
      <c r="K3299" s="21" t="s">
        <v>406</v>
      </c>
      <c r="L3299" s="21" t="s">
        <v>18794</v>
      </c>
      <c r="M3299" s="21" t="s">
        <v>45</v>
      </c>
      <c r="N3299" s="21" t="s">
        <v>70</v>
      </c>
      <c r="O3299" s="21" t="s">
        <v>59</v>
      </c>
      <c r="P3299" s="5" t="s">
        <v>72</v>
      </c>
      <c r="Q3299" s="21" t="s">
        <v>18565</v>
      </c>
      <c r="R3299" s="21" t="s">
        <v>17330</v>
      </c>
      <c r="S3299" s="5">
        <v>0</v>
      </c>
      <c r="T3299" s="5">
        <v>0</v>
      </c>
      <c r="U3299" s="5">
        <v>0</v>
      </c>
      <c r="V3299" s="5">
        <v>0</v>
      </c>
      <c r="W3299" s="5">
        <v>0</v>
      </c>
      <c r="X3299" s="5">
        <v>0</v>
      </c>
      <c r="Y3299" s="5">
        <v>0</v>
      </c>
      <c r="Z3299" s="5">
        <v>0</v>
      </c>
      <c r="AA3299" s="5">
        <v>0</v>
      </c>
      <c r="AB3299" s="5">
        <v>0</v>
      </c>
      <c r="AC3299" s="5">
        <v>0</v>
      </c>
      <c r="AD3299" s="5">
        <v>0</v>
      </c>
      <c r="AE3299" s="21" t="s">
        <v>73</v>
      </c>
      <c r="AF3299" s="21" t="s">
        <v>18795</v>
      </c>
      <c r="AG3299" s="21" t="s">
        <v>16251</v>
      </c>
      <c r="AH3299" s="9">
        <f>DATE(2021,5,24)</f>
        <v>44340</v>
      </c>
      <c r="AI3299" s="21">
        <v>0</v>
      </c>
      <c r="AJ3299" s="21" t="s">
        <v>18796</v>
      </c>
      <c r="AK3299" s="21" t="s">
        <v>860</v>
      </c>
    </row>
    <row r="3300" spans="1:37" ht="36.75" customHeight="1" x14ac:dyDescent="0.35">
      <c r="A3300" s="21" t="s">
        <v>12448</v>
      </c>
      <c r="B3300" s="5" t="s">
        <v>14851</v>
      </c>
      <c r="C3300" s="73" t="str">
        <f t="shared" si="58"/>
        <v>In progress</v>
      </c>
      <c r="D3300" s="47" t="s">
        <v>18797</v>
      </c>
      <c r="E3300" s="54" t="s">
        <v>18798</v>
      </c>
      <c r="F3300" s="21" t="s">
        <v>16278</v>
      </c>
      <c r="G3300" s="9">
        <f>DATE(2021,5,28)</f>
        <v>44344</v>
      </c>
      <c r="H3300" s="107">
        <v>0.8979166666666667</v>
      </c>
      <c r="I3300" s="21" t="s">
        <v>106</v>
      </c>
      <c r="J3300" s="5" t="s">
        <v>18799</v>
      </c>
      <c r="K3300" s="21" t="s">
        <v>99</v>
      </c>
      <c r="L3300" s="21" t="s">
        <v>18800</v>
      </c>
      <c r="M3300" s="21" t="s">
        <v>45</v>
      </c>
      <c r="N3300" s="21" t="s">
        <v>123</v>
      </c>
      <c r="O3300" s="21" t="s">
        <v>46</v>
      </c>
      <c r="P3300" s="5" t="s">
        <v>47</v>
      </c>
      <c r="Q3300" s="21" t="s">
        <v>17540</v>
      </c>
      <c r="R3300" s="21" t="s">
        <v>17330</v>
      </c>
      <c r="S3300" s="5">
        <v>0</v>
      </c>
      <c r="T3300" s="5">
        <v>0</v>
      </c>
      <c r="U3300" s="5">
        <v>0</v>
      </c>
      <c r="V3300" s="5">
        <v>0</v>
      </c>
      <c r="W3300" s="5">
        <v>0</v>
      </c>
      <c r="X3300" s="5">
        <v>0</v>
      </c>
      <c r="Y3300" s="5">
        <v>0</v>
      </c>
      <c r="Z3300" s="5">
        <v>0</v>
      </c>
      <c r="AA3300" s="5">
        <v>0</v>
      </c>
      <c r="AB3300" s="5">
        <v>0</v>
      </c>
      <c r="AC3300" s="5">
        <v>0</v>
      </c>
      <c r="AD3300" s="5">
        <v>0</v>
      </c>
      <c r="AE3300" s="21"/>
      <c r="AF3300" s="21"/>
      <c r="AG3300" s="21" t="s">
        <v>18621</v>
      </c>
      <c r="AH3300" s="9">
        <f>DATE(2021,6,1)</f>
        <v>44348</v>
      </c>
      <c r="AI3300" s="21"/>
      <c r="AJ3300" s="21"/>
      <c r="AK3300" s="21"/>
    </row>
    <row r="3301" spans="1:37" ht="38.65" customHeight="1" x14ac:dyDescent="0.35">
      <c r="A3301" s="21" t="s">
        <v>12448</v>
      </c>
      <c r="B3301" s="5" t="s">
        <v>37</v>
      </c>
      <c r="C3301" s="73" t="str">
        <f t="shared" si="58"/>
        <v>Closed</v>
      </c>
      <c r="D3301" s="47" t="s">
        <v>18801</v>
      </c>
      <c r="E3301" s="54" t="s">
        <v>18802</v>
      </c>
      <c r="F3301" s="21" t="s">
        <v>17537</v>
      </c>
      <c r="G3301" s="9">
        <f>DATE(2021,5,31)</f>
        <v>44347</v>
      </c>
      <c r="H3301" s="107">
        <v>0.88194444444444453</v>
      </c>
      <c r="I3301" s="21" t="s">
        <v>97</v>
      </c>
      <c r="J3301" s="5" t="s">
        <v>18803</v>
      </c>
      <c r="K3301" s="21" t="s">
        <v>818</v>
      </c>
      <c r="L3301" s="21" t="s">
        <v>18804</v>
      </c>
      <c r="M3301" s="21" t="s">
        <v>45</v>
      </c>
      <c r="N3301" s="21" t="s">
        <v>80</v>
      </c>
      <c r="O3301" s="21" t="s">
        <v>59</v>
      </c>
      <c r="P3301" s="5" t="s">
        <v>146</v>
      </c>
      <c r="Q3301" s="21" t="s">
        <v>18286</v>
      </c>
      <c r="R3301" s="21" t="s">
        <v>821</v>
      </c>
      <c r="S3301" s="5">
        <v>0</v>
      </c>
      <c r="T3301" s="5">
        <v>0</v>
      </c>
      <c r="U3301" s="5">
        <v>0</v>
      </c>
      <c r="V3301" s="5">
        <v>0</v>
      </c>
      <c r="W3301" s="5">
        <v>0</v>
      </c>
      <c r="X3301" s="5">
        <v>0</v>
      </c>
      <c r="Y3301" s="5">
        <v>0</v>
      </c>
      <c r="Z3301" s="5">
        <v>1</v>
      </c>
      <c r="AA3301" s="5">
        <v>1</v>
      </c>
      <c r="AB3301" s="5">
        <v>0</v>
      </c>
      <c r="AC3301" s="5">
        <v>0</v>
      </c>
      <c r="AD3301" s="5">
        <v>2</v>
      </c>
      <c r="AE3301" s="5" t="s">
        <v>375</v>
      </c>
      <c r="AF3301" s="21" t="s">
        <v>18805</v>
      </c>
      <c r="AG3301" s="21" t="s">
        <v>13508</v>
      </c>
      <c r="AH3301" s="9">
        <f>DATE(2021,5,31)</f>
        <v>44347</v>
      </c>
      <c r="AI3301" s="21">
        <v>0</v>
      </c>
      <c r="AJ3301" s="21" t="s">
        <v>18806</v>
      </c>
      <c r="AK3301" s="21"/>
    </row>
    <row r="3302" spans="1:37" ht="36.75" customHeight="1" x14ac:dyDescent="0.35">
      <c r="A3302" s="5" t="s">
        <v>12448</v>
      </c>
      <c r="B3302" s="5" t="s">
        <v>37</v>
      </c>
      <c r="C3302" s="73" t="str">
        <f t="shared" si="58"/>
        <v>Closed</v>
      </c>
      <c r="D3302" s="47" t="s">
        <v>18807</v>
      </c>
      <c r="E3302" s="54" t="s">
        <v>18808</v>
      </c>
      <c r="F3302" s="21" t="s">
        <v>17638</v>
      </c>
      <c r="G3302" s="9">
        <f>DATE(2021,6,1)</f>
        <v>44348</v>
      </c>
      <c r="H3302" s="107">
        <v>0.81597222222222221</v>
      </c>
      <c r="I3302" s="21" t="s">
        <v>4590</v>
      </c>
      <c r="J3302" s="5" t="s">
        <v>18809</v>
      </c>
      <c r="K3302" s="21" t="s">
        <v>1555</v>
      </c>
      <c r="L3302" s="21" t="s">
        <v>18810</v>
      </c>
      <c r="M3302" s="21" t="s">
        <v>45</v>
      </c>
      <c r="N3302" s="21" t="s">
        <v>123</v>
      </c>
      <c r="O3302" s="21" t="s">
        <v>59</v>
      </c>
      <c r="P3302" s="5" t="s">
        <v>47</v>
      </c>
      <c r="Q3302" s="21" t="s">
        <v>18690</v>
      </c>
      <c r="R3302" s="21" t="s">
        <v>18811</v>
      </c>
      <c r="S3302" s="5">
        <v>0</v>
      </c>
      <c r="T3302" s="5">
        <v>0</v>
      </c>
      <c r="U3302" s="5">
        <v>0</v>
      </c>
      <c r="V3302" s="5">
        <v>0</v>
      </c>
      <c r="W3302" s="5">
        <v>0</v>
      </c>
      <c r="X3302" s="5">
        <v>0</v>
      </c>
      <c r="Y3302" s="5">
        <v>0</v>
      </c>
      <c r="Z3302" s="5">
        <v>0</v>
      </c>
      <c r="AA3302" s="5">
        <v>0</v>
      </c>
      <c r="AB3302" s="5">
        <v>0</v>
      </c>
      <c r="AC3302" s="5">
        <v>0</v>
      </c>
      <c r="AD3302" s="5">
        <v>0</v>
      </c>
      <c r="AE3302" s="5" t="s">
        <v>73</v>
      </c>
      <c r="AF3302" s="21" t="s">
        <v>18812</v>
      </c>
      <c r="AG3302" s="21" t="s">
        <v>8837</v>
      </c>
      <c r="AH3302" s="9">
        <f>DATE(2021,6,2)</f>
        <v>44349</v>
      </c>
      <c r="AI3302" s="21">
        <v>3</v>
      </c>
      <c r="AJ3302" s="21" t="s">
        <v>18813</v>
      </c>
      <c r="AK3302" s="21" t="s">
        <v>18814</v>
      </c>
    </row>
    <row r="3303" spans="1:37" ht="36.75" customHeight="1" x14ac:dyDescent="0.35">
      <c r="A3303" s="21" t="s">
        <v>12448</v>
      </c>
      <c r="B3303" s="5" t="s">
        <v>37</v>
      </c>
      <c r="C3303" s="73" t="str">
        <f t="shared" si="58"/>
        <v>Closed</v>
      </c>
      <c r="D3303" s="47" t="s">
        <v>18816</v>
      </c>
      <c r="E3303" s="54" t="s">
        <v>18817</v>
      </c>
      <c r="F3303" s="21" t="s">
        <v>16397</v>
      </c>
      <c r="G3303" s="9">
        <f>DATE(2021,6,5)</f>
        <v>44352</v>
      </c>
      <c r="H3303" s="107">
        <v>0.8881944444444444</v>
      </c>
      <c r="I3303" s="21" t="s">
        <v>18818</v>
      </c>
      <c r="J3303" s="5" t="s">
        <v>18819</v>
      </c>
      <c r="K3303" s="21" t="s">
        <v>406</v>
      </c>
      <c r="L3303" s="21" t="s">
        <v>18820</v>
      </c>
      <c r="M3303" s="21" t="s">
        <v>45</v>
      </c>
      <c r="N3303" s="21" t="s">
        <v>123</v>
      </c>
      <c r="O3303" s="21" t="s">
        <v>59</v>
      </c>
      <c r="P3303" s="5" t="s">
        <v>18821</v>
      </c>
      <c r="Q3303" s="21" t="s">
        <v>18822</v>
      </c>
      <c r="R3303" s="21" t="s">
        <v>17330</v>
      </c>
      <c r="S3303" s="5">
        <v>0</v>
      </c>
      <c r="T3303" s="5">
        <v>0</v>
      </c>
      <c r="U3303" s="5">
        <v>0</v>
      </c>
      <c r="V3303" s="5">
        <v>0</v>
      </c>
      <c r="W3303" s="5">
        <v>0</v>
      </c>
      <c r="X3303" s="5">
        <v>0</v>
      </c>
      <c r="Y3303" s="5">
        <v>0</v>
      </c>
      <c r="Z3303" s="5">
        <v>0</v>
      </c>
      <c r="AA3303" s="5">
        <v>0</v>
      </c>
      <c r="AB3303" s="5">
        <v>0</v>
      </c>
      <c r="AC3303" s="5">
        <v>0</v>
      </c>
      <c r="AD3303" s="5">
        <v>0</v>
      </c>
      <c r="AE3303" s="5" t="s">
        <v>73</v>
      </c>
      <c r="AF3303" s="5" t="s">
        <v>18823</v>
      </c>
      <c r="AG3303" s="21" t="s">
        <v>17331</v>
      </c>
      <c r="AH3303" s="9">
        <f>DATE(2021,6,11)</f>
        <v>44358</v>
      </c>
      <c r="AI3303" s="21">
        <v>1</v>
      </c>
      <c r="AJ3303" s="21" t="s">
        <v>18824</v>
      </c>
      <c r="AK3303" s="21" t="s">
        <v>18825</v>
      </c>
    </row>
    <row r="3304" spans="1:37" ht="36.75" customHeight="1" x14ac:dyDescent="0.35">
      <c r="A3304" s="21" t="s">
        <v>12448</v>
      </c>
      <c r="B3304" s="5" t="s">
        <v>37</v>
      </c>
      <c r="C3304" s="73" t="str">
        <f t="shared" si="58"/>
        <v>Closed</v>
      </c>
      <c r="D3304" s="47" t="s">
        <v>18826</v>
      </c>
      <c r="E3304" s="54" t="s">
        <v>18827</v>
      </c>
      <c r="F3304" s="21" t="s">
        <v>18828</v>
      </c>
      <c r="G3304" s="9">
        <f>DATE(2021,6,5)</f>
        <v>44352</v>
      </c>
      <c r="H3304" s="107">
        <v>0.72916666666666663</v>
      </c>
      <c r="I3304" s="21" t="s">
        <v>106</v>
      </c>
      <c r="J3304" s="5" t="s">
        <v>18829</v>
      </c>
      <c r="K3304" s="21" t="s">
        <v>43</v>
      </c>
      <c r="L3304" s="21" t="s">
        <v>18830</v>
      </c>
      <c r="M3304" s="21" t="s">
        <v>45</v>
      </c>
      <c r="N3304" s="21" t="s">
        <v>80</v>
      </c>
      <c r="O3304" s="21" t="s">
        <v>46</v>
      </c>
      <c r="P3304" s="5" t="s">
        <v>146</v>
      </c>
      <c r="Q3304" s="21" t="s">
        <v>48</v>
      </c>
      <c r="R3304" s="21" t="s">
        <v>18831</v>
      </c>
      <c r="S3304" s="5">
        <v>0</v>
      </c>
      <c r="T3304" s="5">
        <v>0</v>
      </c>
      <c r="U3304" s="5">
        <v>0</v>
      </c>
      <c r="V3304" s="5">
        <v>0</v>
      </c>
      <c r="W3304" s="5">
        <v>0</v>
      </c>
      <c r="X3304" s="5">
        <v>0</v>
      </c>
      <c r="Y3304" s="5">
        <v>0</v>
      </c>
      <c r="Z3304" s="5">
        <v>0</v>
      </c>
      <c r="AA3304" s="5">
        <v>0</v>
      </c>
      <c r="AB3304" s="5">
        <v>0</v>
      </c>
      <c r="AC3304" s="5">
        <v>0</v>
      </c>
      <c r="AD3304" s="5">
        <v>0</v>
      </c>
      <c r="AE3304" s="5" t="s">
        <v>126</v>
      </c>
      <c r="AF3304" s="5" t="s">
        <v>18832</v>
      </c>
      <c r="AG3304" s="21" t="s">
        <v>8837</v>
      </c>
      <c r="AH3304" s="9">
        <f>DATE(2021,6,10)</f>
        <v>44357</v>
      </c>
      <c r="AI3304" s="21">
        <v>5</v>
      </c>
      <c r="AJ3304" s="21" t="s">
        <v>18833</v>
      </c>
      <c r="AK3304" s="21" t="s">
        <v>18834</v>
      </c>
    </row>
    <row r="3305" spans="1:37" ht="36.75" customHeight="1" x14ac:dyDescent="0.35">
      <c r="A3305" s="21" t="s">
        <v>12448</v>
      </c>
      <c r="B3305" s="5" t="s">
        <v>37</v>
      </c>
      <c r="C3305" s="73" t="str">
        <f t="shared" si="58"/>
        <v>Closed</v>
      </c>
      <c r="D3305" s="47" t="s">
        <v>18835</v>
      </c>
      <c r="E3305" s="54" t="s">
        <v>18836</v>
      </c>
      <c r="F3305" s="21" t="s">
        <v>17638</v>
      </c>
      <c r="G3305" s="9">
        <f>DATE(2021,6,6)</f>
        <v>44353</v>
      </c>
      <c r="H3305" s="107">
        <v>5.5555555555555552E-2</v>
      </c>
      <c r="I3305" s="21" t="s">
        <v>106</v>
      </c>
      <c r="J3305" s="5" t="s">
        <v>18837</v>
      </c>
      <c r="K3305" s="21" t="s">
        <v>1555</v>
      </c>
      <c r="L3305" s="21" t="s">
        <v>18838</v>
      </c>
      <c r="M3305" s="21" t="s">
        <v>45</v>
      </c>
      <c r="N3305" s="21" t="s">
        <v>80</v>
      </c>
      <c r="O3305" s="21" t="s">
        <v>59</v>
      </c>
      <c r="P3305" s="5" t="s">
        <v>60</v>
      </c>
      <c r="Q3305" s="21" t="s">
        <v>18839</v>
      </c>
      <c r="R3305" s="21" t="s">
        <v>18811</v>
      </c>
      <c r="S3305" s="5">
        <v>0</v>
      </c>
      <c r="T3305" s="5">
        <v>0</v>
      </c>
      <c r="U3305" s="5">
        <v>0</v>
      </c>
      <c r="V3305" s="5">
        <v>0</v>
      </c>
      <c r="W3305" s="5">
        <v>0</v>
      </c>
      <c r="X3305" s="5">
        <v>0</v>
      </c>
      <c r="Y3305" s="5">
        <v>0</v>
      </c>
      <c r="Z3305" s="5">
        <v>0</v>
      </c>
      <c r="AA3305" s="5">
        <v>0</v>
      </c>
      <c r="AB3305" s="5">
        <v>0</v>
      </c>
      <c r="AC3305" s="5">
        <v>0</v>
      </c>
      <c r="AD3305" s="5">
        <v>0</v>
      </c>
      <c r="AE3305" s="5" t="s">
        <v>375</v>
      </c>
      <c r="AF3305" s="5" t="s">
        <v>18840</v>
      </c>
      <c r="AG3305" s="21" t="s">
        <v>8837</v>
      </c>
      <c r="AH3305" s="9">
        <f>DATE(2021,6,7)</f>
        <v>44354</v>
      </c>
      <c r="AI3305" s="21">
        <v>1</v>
      </c>
      <c r="AJ3305" s="21" t="s">
        <v>18841</v>
      </c>
      <c r="AK3305" s="21" t="s">
        <v>18842</v>
      </c>
    </row>
    <row r="3306" spans="1:37" ht="36.75" customHeight="1" x14ac:dyDescent="0.35">
      <c r="A3306" s="21" t="s">
        <v>12448</v>
      </c>
      <c r="B3306" s="5" t="s">
        <v>37</v>
      </c>
      <c r="C3306" s="73" t="str">
        <f t="shared" si="58"/>
        <v>Closed</v>
      </c>
      <c r="D3306" s="47" t="s">
        <v>18843</v>
      </c>
      <c r="E3306" s="54" t="s">
        <v>18844</v>
      </c>
      <c r="F3306" s="21" t="s">
        <v>6434</v>
      </c>
      <c r="G3306" s="9">
        <f>DATE(2021,6,9)</f>
        <v>44356</v>
      </c>
      <c r="H3306" s="107">
        <v>0.51041666666666663</v>
      </c>
      <c r="I3306" s="21" t="s">
        <v>55</v>
      </c>
      <c r="J3306" s="5" t="s">
        <v>18845</v>
      </c>
      <c r="K3306" s="21" t="s">
        <v>565</v>
      </c>
      <c r="L3306" s="21" t="s">
        <v>18846</v>
      </c>
      <c r="M3306" s="21" t="s">
        <v>45</v>
      </c>
      <c r="N3306" s="21" t="s">
        <v>80</v>
      </c>
      <c r="O3306" s="21" t="s">
        <v>59</v>
      </c>
      <c r="P3306" s="5" t="s">
        <v>60</v>
      </c>
      <c r="Q3306" s="21" t="s">
        <v>11111</v>
      </c>
      <c r="R3306" s="21" t="s">
        <v>568</v>
      </c>
      <c r="S3306" s="5">
        <v>0</v>
      </c>
      <c r="T3306" s="5">
        <v>0</v>
      </c>
      <c r="U3306" s="5">
        <v>0</v>
      </c>
      <c r="V3306" s="5">
        <v>0</v>
      </c>
      <c r="W3306" s="5">
        <v>0</v>
      </c>
      <c r="X3306" s="5">
        <v>0</v>
      </c>
      <c r="Y3306" s="5">
        <v>0</v>
      </c>
      <c r="Z3306" s="5">
        <v>0</v>
      </c>
      <c r="AA3306" s="5">
        <v>0</v>
      </c>
      <c r="AB3306" s="5">
        <v>0</v>
      </c>
      <c r="AC3306" s="5">
        <v>0</v>
      </c>
      <c r="AD3306" s="5">
        <v>0</v>
      </c>
      <c r="AE3306" s="21" t="s">
        <v>375</v>
      </c>
      <c r="AF3306" s="21" t="s">
        <v>18847</v>
      </c>
      <c r="AG3306" s="21" t="s">
        <v>8837</v>
      </c>
      <c r="AH3306" s="43">
        <v>44357</v>
      </c>
      <c r="AI3306" s="21">
        <v>0</v>
      </c>
      <c r="AJ3306" s="21" t="s">
        <v>18848</v>
      </c>
      <c r="AK3306" s="21" t="s">
        <v>18849</v>
      </c>
    </row>
    <row r="3307" spans="1:37" ht="36.75" customHeight="1" x14ac:dyDescent="0.35">
      <c r="A3307" s="21"/>
      <c r="B3307" s="5" t="s">
        <v>37</v>
      </c>
      <c r="C3307" s="73" t="s">
        <v>17979</v>
      </c>
      <c r="D3307" s="47" t="s">
        <v>18850</v>
      </c>
      <c r="E3307" s="54" t="s">
        <v>18851</v>
      </c>
      <c r="F3307" s="21" t="s">
        <v>17537</v>
      </c>
      <c r="G3307" s="9">
        <f>DATE(2021,6,9)</f>
        <v>44356</v>
      </c>
      <c r="H3307" s="107">
        <v>0.5493055555555556</v>
      </c>
      <c r="I3307" s="21" t="s">
        <v>85</v>
      </c>
      <c r="J3307" s="21" t="s">
        <v>18852</v>
      </c>
      <c r="K3307" s="21" t="s">
        <v>818</v>
      </c>
      <c r="L3307" s="21" t="s">
        <v>18853</v>
      </c>
      <c r="M3307" s="21" t="s">
        <v>45</v>
      </c>
      <c r="N3307" s="21" t="s">
        <v>123</v>
      </c>
      <c r="O3307" s="21" t="s">
        <v>59</v>
      </c>
      <c r="P3307" s="21" t="s">
        <v>47</v>
      </c>
      <c r="Q3307" s="21" t="s">
        <v>2142</v>
      </c>
      <c r="R3307" s="21" t="s">
        <v>821</v>
      </c>
      <c r="S3307" s="21">
        <v>0</v>
      </c>
      <c r="T3307" s="21">
        <v>0</v>
      </c>
      <c r="U3307" s="21">
        <v>0</v>
      </c>
      <c r="V3307" s="21">
        <v>0</v>
      </c>
      <c r="W3307" s="21">
        <v>0</v>
      </c>
      <c r="X3307" s="21">
        <v>0</v>
      </c>
      <c r="Y3307" s="21">
        <v>0</v>
      </c>
      <c r="Z3307" s="21">
        <v>0</v>
      </c>
      <c r="AA3307" s="21">
        <v>0</v>
      </c>
      <c r="AB3307" s="21">
        <v>0</v>
      </c>
      <c r="AC3307" s="21">
        <v>0</v>
      </c>
      <c r="AD3307" s="21">
        <v>0</v>
      </c>
      <c r="AE3307" s="21" t="s">
        <v>17731</v>
      </c>
      <c r="AF3307" s="21" t="s">
        <v>17732</v>
      </c>
      <c r="AG3307" s="21" t="s">
        <v>18621</v>
      </c>
      <c r="AH3307" s="9">
        <f>DATE(2021,6,9)</f>
        <v>44356</v>
      </c>
      <c r="AI3307" s="21">
        <v>0</v>
      </c>
      <c r="AJ3307" s="21" t="s">
        <v>18854</v>
      </c>
      <c r="AK3307" s="21" t="s">
        <v>18855</v>
      </c>
    </row>
    <row r="3308" spans="1:37" ht="36.75" customHeight="1" x14ac:dyDescent="0.35">
      <c r="A3308" s="21" t="s">
        <v>12448</v>
      </c>
      <c r="B3308" s="5" t="s">
        <v>37</v>
      </c>
      <c r="C3308" s="73" t="str">
        <f>IF(B3308="Notification","Open",IF(B3308="Interim Statement","In progress","Closed"))</f>
        <v>Closed</v>
      </c>
      <c r="D3308" s="47" t="s">
        <v>18856</v>
      </c>
      <c r="E3308" s="54" t="s">
        <v>18857</v>
      </c>
      <c r="F3308" s="21" t="s">
        <v>17728</v>
      </c>
      <c r="G3308" s="9">
        <f>DATE(2021,6,11)</f>
        <v>44358</v>
      </c>
      <c r="H3308" s="107" t="s">
        <v>18858</v>
      </c>
      <c r="I3308" s="21" t="s">
        <v>55</v>
      </c>
      <c r="J3308" s="9" t="s">
        <v>18859</v>
      </c>
      <c r="K3308" s="21" t="s">
        <v>2583</v>
      </c>
      <c r="L3308" s="21" t="s">
        <v>18860</v>
      </c>
      <c r="M3308" s="21" t="s">
        <v>45</v>
      </c>
      <c r="N3308" s="21" t="s">
        <v>123</v>
      </c>
      <c r="O3308" s="21" t="s">
        <v>59</v>
      </c>
      <c r="P3308" s="9" t="s">
        <v>60</v>
      </c>
      <c r="Q3308" s="21" t="s">
        <v>18861</v>
      </c>
      <c r="R3308" s="21" t="s">
        <v>18862</v>
      </c>
      <c r="S3308" s="21">
        <v>0</v>
      </c>
      <c r="T3308" s="21">
        <v>0</v>
      </c>
      <c r="U3308" s="21">
        <v>0</v>
      </c>
      <c r="V3308" s="21">
        <v>0</v>
      </c>
      <c r="W3308" s="21">
        <v>0</v>
      </c>
      <c r="X3308" s="21">
        <v>0</v>
      </c>
      <c r="Y3308" s="21">
        <v>0</v>
      </c>
      <c r="Z3308" s="21">
        <v>0</v>
      </c>
      <c r="AA3308" s="21">
        <v>0</v>
      </c>
      <c r="AB3308" s="21">
        <v>0</v>
      </c>
      <c r="AC3308" s="21">
        <v>0</v>
      </c>
      <c r="AD3308" s="21">
        <v>0</v>
      </c>
      <c r="AE3308" s="9" t="s">
        <v>73</v>
      </c>
      <c r="AF3308" s="21" t="s">
        <v>18863</v>
      </c>
      <c r="AG3308" s="21" t="s">
        <v>8837</v>
      </c>
      <c r="AH3308" s="9" t="s">
        <v>18864</v>
      </c>
      <c r="AI3308" s="21">
        <v>3</v>
      </c>
      <c r="AJ3308" s="21" t="s">
        <v>18865</v>
      </c>
      <c r="AK3308" s="21" t="s">
        <v>18866</v>
      </c>
    </row>
    <row r="3309" spans="1:37" ht="36.75" customHeight="1" x14ac:dyDescent="0.35">
      <c r="A3309" s="5" t="s">
        <v>12448</v>
      </c>
      <c r="B3309" s="5" t="s">
        <v>37</v>
      </c>
      <c r="C3309" s="73" t="str">
        <f>IF(B3309="Notification","Open",IF(B3309="Interim Statement","In progress","Closed"))</f>
        <v>Closed</v>
      </c>
      <c r="D3309" s="47" t="s">
        <v>18867</v>
      </c>
      <c r="E3309" s="54" t="s">
        <v>18868</v>
      </c>
      <c r="F3309" s="21" t="s">
        <v>16397</v>
      </c>
      <c r="G3309" s="9">
        <f>DATE(2021,6,14)</f>
        <v>44361</v>
      </c>
      <c r="H3309" s="107">
        <v>0.94374999999999998</v>
      </c>
      <c r="I3309" s="21" t="s">
        <v>55</v>
      </c>
      <c r="J3309" s="21" t="s">
        <v>18869</v>
      </c>
      <c r="K3309" s="21" t="s">
        <v>406</v>
      </c>
      <c r="L3309" s="21" t="s">
        <v>18870</v>
      </c>
      <c r="M3309" s="21" t="s">
        <v>45</v>
      </c>
      <c r="N3309" s="21" t="s">
        <v>80</v>
      </c>
      <c r="O3309" s="21" t="s">
        <v>59</v>
      </c>
      <c r="P3309" s="21" t="s">
        <v>146</v>
      </c>
      <c r="Q3309" s="21" t="s">
        <v>18466</v>
      </c>
      <c r="R3309" s="21" t="s">
        <v>18871</v>
      </c>
      <c r="S3309" s="21">
        <v>0</v>
      </c>
      <c r="T3309" s="21">
        <v>0</v>
      </c>
      <c r="U3309" s="21">
        <v>0</v>
      </c>
      <c r="V3309" s="21">
        <v>0</v>
      </c>
      <c r="W3309" s="21">
        <v>0</v>
      </c>
      <c r="X3309" s="21">
        <v>0</v>
      </c>
      <c r="Y3309" s="21">
        <v>0</v>
      </c>
      <c r="Z3309" s="21">
        <v>0</v>
      </c>
      <c r="AA3309" s="21">
        <v>0</v>
      </c>
      <c r="AB3309" s="21">
        <v>0</v>
      </c>
      <c r="AC3309" s="21">
        <v>0</v>
      </c>
      <c r="AD3309" s="21">
        <v>0</v>
      </c>
      <c r="AE3309" s="21" t="s">
        <v>17496</v>
      </c>
      <c r="AF3309" s="21" t="s">
        <v>18872</v>
      </c>
      <c r="AG3309" s="21" t="s">
        <v>16251</v>
      </c>
      <c r="AH3309" s="9">
        <f>DATE(2021,6,14)</f>
        <v>44361</v>
      </c>
      <c r="AI3309" s="21">
        <v>0</v>
      </c>
      <c r="AJ3309" s="21" t="s">
        <v>18873</v>
      </c>
      <c r="AK3309" s="21" t="s">
        <v>860</v>
      </c>
    </row>
    <row r="3310" spans="1:37" ht="36.75" customHeight="1" x14ac:dyDescent="0.35">
      <c r="A3310" s="21"/>
      <c r="B3310" s="5" t="s">
        <v>37</v>
      </c>
      <c r="C3310" s="73" t="s">
        <v>17979</v>
      </c>
      <c r="D3310" s="47" t="s">
        <v>18874</v>
      </c>
      <c r="E3310" s="54" t="s">
        <v>18875</v>
      </c>
      <c r="F3310" s="21" t="s">
        <v>17537</v>
      </c>
      <c r="G3310" s="9">
        <f>DATE(2021,6,15)</f>
        <v>44362</v>
      </c>
      <c r="H3310" s="107">
        <v>0.9291666666666667</v>
      </c>
      <c r="I3310" s="21" t="s">
        <v>85</v>
      </c>
      <c r="J3310" s="21" t="s">
        <v>18876</v>
      </c>
      <c r="K3310" s="21" t="s">
        <v>818</v>
      </c>
      <c r="L3310" s="21" t="s">
        <v>18877</v>
      </c>
      <c r="M3310" s="21" t="s">
        <v>45</v>
      </c>
      <c r="N3310" s="21" t="s">
        <v>80</v>
      </c>
      <c r="O3310" s="21" t="s">
        <v>59</v>
      </c>
      <c r="P3310" s="21" t="s">
        <v>47</v>
      </c>
      <c r="Q3310" s="21" t="s">
        <v>2142</v>
      </c>
      <c r="R3310" s="21" t="s">
        <v>821</v>
      </c>
      <c r="S3310" s="21">
        <v>0</v>
      </c>
      <c r="T3310" s="21">
        <v>0</v>
      </c>
      <c r="U3310" s="21">
        <v>0</v>
      </c>
      <c r="V3310" s="21">
        <v>0</v>
      </c>
      <c r="W3310" s="21">
        <v>0</v>
      </c>
      <c r="X3310" s="21">
        <v>0</v>
      </c>
      <c r="Y3310" s="21">
        <v>0</v>
      </c>
      <c r="Z3310" s="21">
        <v>0</v>
      </c>
      <c r="AA3310" s="21">
        <v>0</v>
      </c>
      <c r="AB3310" s="21">
        <v>0</v>
      </c>
      <c r="AC3310" s="21">
        <v>0</v>
      </c>
      <c r="AD3310" s="21">
        <v>0</v>
      </c>
      <c r="AE3310" s="21" t="s">
        <v>17731</v>
      </c>
      <c r="AF3310" s="21" t="s">
        <v>17732</v>
      </c>
      <c r="AG3310" s="21" t="s">
        <v>18878</v>
      </c>
      <c r="AH3310" s="9">
        <f>DATE(2021,6,17)</f>
        <v>44364</v>
      </c>
      <c r="AI3310" s="21">
        <v>0</v>
      </c>
      <c r="AJ3310" s="21" t="s">
        <v>18879</v>
      </c>
      <c r="AK3310" s="21" t="s">
        <v>18880</v>
      </c>
    </row>
    <row r="3311" spans="1:37" ht="46.15" customHeight="1" x14ac:dyDescent="0.35">
      <c r="A3311" s="21" t="s">
        <v>12448</v>
      </c>
      <c r="B3311" s="5" t="s">
        <v>37</v>
      </c>
      <c r="C3311" s="73" t="str">
        <f t="shared" ref="C3311:C3316" si="59">IF(B3311="Notification","Open",IF(B3311="Interim Statement","In progress","Closed"))</f>
        <v>Closed</v>
      </c>
      <c r="D3311" s="47" t="s">
        <v>18881</v>
      </c>
      <c r="E3311" s="54" t="s">
        <v>18882</v>
      </c>
      <c r="F3311" s="21" t="s">
        <v>17018</v>
      </c>
      <c r="G3311" s="9">
        <f>DATE(2021,6,15)</f>
        <v>44362</v>
      </c>
      <c r="H3311" s="107">
        <v>0.4201388888888889</v>
      </c>
      <c r="I3311" s="21" t="s">
        <v>97</v>
      </c>
      <c r="J3311" s="21" t="s">
        <v>18883</v>
      </c>
      <c r="K3311" s="21" t="s">
        <v>2318</v>
      </c>
      <c r="L3311" s="21" t="s">
        <v>18884</v>
      </c>
      <c r="M3311" s="21" t="s">
        <v>45</v>
      </c>
      <c r="N3311" s="21" t="s">
        <v>80</v>
      </c>
      <c r="O3311" s="21" t="s">
        <v>46</v>
      </c>
      <c r="P3311" s="21" t="s">
        <v>282</v>
      </c>
      <c r="Q3311" s="21" t="s">
        <v>2321</v>
      </c>
      <c r="R3311" s="21" t="s">
        <v>2321</v>
      </c>
      <c r="S3311" s="21">
        <v>0</v>
      </c>
      <c r="T3311" s="21">
        <v>0</v>
      </c>
      <c r="U3311" s="21">
        <v>1</v>
      </c>
      <c r="V3311" s="21">
        <v>0</v>
      </c>
      <c r="W3311" s="21">
        <v>0</v>
      </c>
      <c r="X3311" s="21">
        <v>1</v>
      </c>
      <c r="Y3311" s="21">
        <v>0</v>
      </c>
      <c r="Z3311" s="21">
        <v>0</v>
      </c>
      <c r="AA3311" s="21">
        <v>0</v>
      </c>
      <c r="AB3311" s="21">
        <v>0</v>
      </c>
      <c r="AC3311" s="21">
        <v>0</v>
      </c>
      <c r="AD3311" s="21">
        <v>0</v>
      </c>
      <c r="AE3311" s="21" t="s">
        <v>73</v>
      </c>
      <c r="AF3311" s="21" t="s">
        <v>18885</v>
      </c>
      <c r="AG3311" s="43" t="s">
        <v>6438</v>
      </c>
      <c r="AH3311" s="9">
        <f>DATE(2021,6,22)</f>
        <v>44369</v>
      </c>
      <c r="AI3311" s="21">
        <v>4</v>
      </c>
      <c r="AJ3311" s="21" t="s">
        <v>18886</v>
      </c>
      <c r="AK3311" s="21" t="s">
        <v>18887</v>
      </c>
    </row>
    <row r="3312" spans="1:37" ht="36.75" customHeight="1" x14ac:dyDescent="0.35">
      <c r="A3312" s="21" t="s">
        <v>12448</v>
      </c>
      <c r="B3312" s="5" t="s">
        <v>37</v>
      </c>
      <c r="C3312" s="73" t="str">
        <f t="shared" si="59"/>
        <v>Closed</v>
      </c>
      <c r="D3312" s="47" t="s">
        <v>18888</v>
      </c>
      <c r="E3312" s="54" t="s">
        <v>18889</v>
      </c>
      <c r="F3312" s="21" t="s">
        <v>17638</v>
      </c>
      <c r="G3312" s="9">
        <f>DATE(2021,6,15)</f>
        <v>44362</v>
      </c>
      <c r="H3312" s="107">
        <v>0.92361111111111116</v>
      </c>
      <c r="I3312" s="21" t="s">
        <v>55</v>
      </c>
      <c r="J3312" s="21" t="s">
        <v>18890</v>
      </c>
      <c r="K3312" s="21" t="s">
        <v>1555</v>
      </c>
      <c r="L3312" s="21" t="s">
        <v>18891</v>
      </c>
      <c r="M3312" s="21" t="s">
        <v>45</v>
      </c>
      <c r="N3312" s="21" t="s">
        <v>123</v>
      </c>
      <c r="O3312" s="21" t="s">
        <v>59</v>
      </c>
      <c r="P3312" s="21" t="s">
        <v>60</v>
      </c>
      <c r="Q3312" s="21" t="s">
        <v>18839</v>
      </c>
      <c r="R3312" s="21" t="s">
        <v>17642</v>
      </c>
      <c r="S3312" s="21">
        <v>0</v>
      </c>
      <c r="T3312" s="21">
        <v>0</v>
      </c>
      <c r="U3312" s="21">
        <v>0</v>
      </c>
      <c r="V3312" s="21">
        <v>0</v>
      </c>
      <c r="W3312" s="21">
        <v>0</v>
      </c>
      <c r="X3312" s="21">
        <v>0</v>
      </c>
      <c r="Y3312" s="21">
        <v>0</v>
      </c>
      <c r="Z3312" s="21">
        <v>0</v>
      </c>
      <c r="AA3312" s="21">
        <v>0</v>
      </c>
      <c r="AB3312" s="21">
        <v>0</v>
      </c>
      <c r="AC3312" s="21">
        <v>0</v>
      </c>
      <c r="AD3312" s="21">
        <v>0</v>
      </c>
      <c r="AE3312" s="21" t="s">
        <v>73</v>
      </c>
      <c r="AF3312" s="21" t="s">
        <v>18892</v>
      </c>
      <c r="AG3312" s="21" t="s">
        <v>8837</v>
      </c>
      <c r="AH3312" s="9">
        <f>DATE(2021,6,16)</f>
        <v>44363</v>
      </c>
      <c r="AI3312" s="21">
        <v>2</v>
      </c>
      <c r="AJ3312" s="21" t="s">
        <v>18893</v>
      </c>
      <c r="AK3312" s="21" t="s">
        <v>18894</v>
      </c>
    </row>
    <row r="3313" spans="1:37" ht="57" customHeight="1" x14ac:dyDescent="0.35">
      <c r="A3313" s="21" t="s">
        <v>12448</v>
      </c>
      <c r="B3313" s="5" t="s">
        <v>37</v>
      </c>
      <c r="C3313" s="73" t="str">
        <f t="shared" si="59"/>
        <v>Closed</v>
      </c>
      <c r="D3313" s="47" t="s">
        <v>18895</v>
      </c>
      <c r="E3313" s="54" t="s">
        <v>18896</v>
      </c>
      <c r="F3313" s="21" t="s">
        <v>16278</v>
      </c>
      <c r="G3313" s="9">
        <f>DATE(2021,6,16)</f>
        <v>44363</v>
      </c>
      <c r="H3313" s="107">
        <v>0.1388888888888889</v>
      </c>
      <c r="I3313" s="21" t="s">
        <v>97</v>
      </c>
      <c r="J3313" s="9" t="s">
        <v>18897</v>
      </c>
      <c r="K3313" s="21" t="s">
        <v>99</v>
      </c>
      <c r="L3313" s="21" t="s">
        <v>18898</v>
      </c>
      <c r="M3313" s="21" t="s">
        <v>45</v>
      </c>
      <c r="N3313" s="21" t="s">
        <v>123</v>
      </c>
      <c r="O3313" s="21" t="s">
        <v>46</v>
      </c>
      <c r="P3313" s="9" t="s">
        <v>60</v>
      </c>
      <c r="Q3313" s="9" t="s">
        <v>18899</v>
      </c>
      <c r="R3313" s="9" t="s">
        <v>18900</v>
      </c>
      <c r="S3313" s="21">
        <v>0</v>
      </c>
      <c r="T3313" s="57">
        <v>0</v>
      </c>
      <c r="U3313" s="21">
        <v>0</v>
      </c>
      <c r="V3313" s="57">
        <v>0</v>
      </c>
      <c r="W3313" s="21">
        <v>0</v>
      </c>
      <c r="X3313" s="21">
        <v>0</v>
      </c>
      <c r="Y3313" s="21">
        <v>0</v>
      </c>
      <c r="Z3313" s="57">
        <v>1</v>
      </c>
      <c r="AA3313" s="21">
        <v>0</v>
      </c>
      <c r="AB3313" s="21">
        <v>0</v>
      </c>
      <c r="AC3313" s="21">
        <v>0</v>
      </c>
      <c r="AD3313" s="21">
        <v>1</v>
      </c>
      <c r="AE3313" s="9" t="s">
        <v>126</v>
      </c>
      <c r="AF3313" s="9" t="s">
        <v>18901</v>
      </c>
      <c r="AG3313" s="21" t="s">
        <v>6438</v>
      </c>
      <c r="AH3313" s="9" t="s">
        <v>18902</v>
      </c>
      <c r="AI3313" s="21">
        <v>5</v>
      </c>
      <c r="AJ3313" s="9" t="s">
        <v>18903</v>
      </c>
      <c r="AK3313" s="9" t="s">
        <v>18904</v>
      </c>
    </row>
    <row r="3314" spans="1:37" ht="36.75" customHeight="1" x14ac:dyDescent="0.35">
      <c r="A3314" s="21" t="s">
        <v>12448</v>
      </c>
      <c r="B3314" s="5" t="s">
        <v>37</v>
      </c>
      <c r="C3314" s="73" t="str">
        <f t="shared" si="59"/>
        <v>Closed</v>
      </c>
      <c r="D3314" s="47" t="s">
        <v>18905</v>
      </c>
      <c r="E3314" s="54" t="s">
        <v>18906</v>
      </c>
      <c r="F3314" s="21" t="s">
        <v>17537</v>
      </c>
      <c r="G3314" s="9">
        <f>DATE(2021,6,16)</f>
        <v>44363</v>
      </c>
      <c r="H3314" s="107">
        <v>0.3</v>
      </c>
      <c r="I3314" s="21" t="s">
        <v>85</v>
      </c>
      <c r="J3314" s="21" t="s">
        <v>18907</v>
      </c>
      <c r="K3314" s="21" t="s">
        <v>818</v>
      </c>
      <c r="L3314" s="21" t="s">
        <v>18908</v>
      </c>
      <c r="M3314" s="21" t="s">
        <v>45</v>
      </c>
      <c r="N3314" s="21" t="s">
        <v>123</v>
      </c>
      <c r="O3314" s="21" t="s">
        <v>59</v>
      </c>
      <c r="P3314" s="21" t="s">
        <v>146</v>
      </c>
      <c r="Q3314" s="21" t="s">
        <v>18286</v>
      </c>
      <c r="R3314" s="21" t="s">
        <v>821</v>
      </c>
      <c r="S3314" s="21">
        <v>0</v>
      </c>
      <c r="T3314" s="21">
        <v>0</v>
      </c>
      <c r="U3314" s="21">
        <v>0</v>
      </c>
      <c r="V3314" s="21">
        <v>0</v>
      </c>
      <c r="W3314" s="21">
        <v>0</v>
      </c>
      <c r="X3314" s="21">
        <v>0</v>
      </c>
      <c r="Y3314" s="21">
        <v>0</v>
      </c>
      <c r="Z3314" s="21">
        <v>0</v>
      </c>
      <c r="AA3314" s="21">
        <v>0</v>
      </c>
      <c r="AB3314" s="21">
        <v>0</v>
      </c>
      <c r="AC3314" s="21">
        <v>0</v>
      </c>
      <c r="AD3314" s="21">
        <v>0</v>
      </c>
      <c r="AE3314" s="21" t="s">
        <v>73</v>
      </c>
      <c r="AF3314" s="21" t="s">
        <v>860</v>
      </c>
      <c r="AG3314" s="21" t="s">
        <v>13508</v>
      </c>
      <c r="AH3314" s="9">
        <f>DATE(2021,6,16)</f>
        <v>44363</v>
      </c>
      <c r="AI3314" s="21">
        <v>0</v>
      </c>
      <c r="AJ3314" s="21" t="s">
        <v>18909</v>
      </c>
      <c r="AK3314" s="21" t="s">
        <v>18910</v>
      </c>
    </row>
    <row r="3315" spans="1:37" ht="62.65" customHeight="1" x14ac:dyDescent="0.35">
      <c r="A3315" s="21" t="s">
        <v>12448</v>
      </c>
      <c r="B3315" s="5" t="s">
        <v>37</v>
      </c>
      <c r="C3315" s="73" t="str">
        <f t="shared" si="59"/>
        <v>Closed</v>
      </c>
      <c r="D3315" s="47" t="s">
        <v>18911</v>
      </c>
      <c r="E3315" s="54" t="s">
        <v>18912</v>
      </c>
      <c r="F3315" s="21" t="s">
        <v>9767</v>
      </c>
      <c r="G3315" s="9">
        <f>DATE(2021,6,17)</f>
        <v>44364</v>
      </c>
      <c r="H3315" s="107">
        <v>0.43055555555555558</v>
      </c>
      <c r="I3315" s="21" t="s">
        <v>97</v>
      </c>
      <c r="J3315" s="21" t="s">
        <v>18913</v>
      </c>
      <c r="K3315" s="21" t="s">
        <v>9769</v>
      </c>
      <c r="L3315" s="21" t="s">
        <v>18914</v>
      </c>
      <c r="M3315" s="21" t="s">
        <v>45</v>
      </c>
      <c r="N3315" s="21" t="s">
        <v>80</v>
      </c>
      <c r="O3315" s="21" t="s">
        <v>46</v>
      </c>
      <c r="P3315" s="21" t="s">
        <v>146</v>
      </c>
      <c r="Q3315" s="21" t="s">
        <v>18915</v>
      </c>
      <c r="R3315" s="21" t="s">
        <v>9772</v>
      </c>
      <c r="S3315" s="21">
        <v>0</v>
      </c>
      <c r="T3315" s="21">
        <v>0</v>
      </c>
      <c r="U3315" s="21">
        <v>1</v>
      </c>
      <c r="V3315" s="21">
        <v>0</v>
      </c>
      <c r="W3315" s="21">
        <v>0</v>
      </c>
      <c r="X3315" s="21">
        <v>1</v>
      </c>
      <c r="Y3315" s="21">
        <v>0</v>
      </c>
      <c r="Z3315" s="21">
        <v>0</v>
      </c>
      <c r="AA3315" s="21">
        <v>0</v>
      </c>
      <c r="AB3315" s="21">
        <v>0</v>
      </c>
      <c r="AC3315" s="21">
        <v>0</v>
      </c>
      <c r="AD3315" s="21">
        <v>0</v>
      </c>
      <c r="AE3315" s="21" t="s">
        <v>73</v>
      </c>
      <c r="AF3315" s="21" t="s">
        <v>18916</v>
      </c>
      <c r="AG3315" s="21" t="s">
        <v>6438</v>
      </c>
      <c r="AH3315" s="123">
        <v>44382</v>
      </c>
      <c r="AI3315" s="21">
        <v>2</v>
      </c>
      <c r="AJ3315" s="21" t="s">
        <v>18917</v>
      </c>
      <c r="AK3315" s="21" t="s">
        <v>18918</v>
      </c>
    </row>
    <row r="3316" spans="1:37" ht="36.75" customHeight="1" x14ac:dyDescent="0.35">
      <c r="A3316" s="21" t="s">
        <v>12448</v>
      </c>
      <c r="B3316" s="5" t="s">
        <v>37</v>
      </c>
      <c r="C3316" s="73" t="str">
        <f t="shared" si="59"/>
        <v>Closed</v>
      </c>
      <c r="D3316" s="47" t="s">
        <v>18919</v>
      </c>
      <c r="E3316" s="54" t="s">
        <v>18920</v>
      </c>
      <c r="F3316" s="21" t="s">
        <v>16397</v>
      </c>
      <c r="G3316" s="9">
        <f>DATE(2021,6,18)</f>
        <v>44365</v>
      </c>
      <c r="H3316" s="107">
        <v>0.4236111111111111</v>
      </c>
      <c r="I3316" s="21" t="s">
        <v>179</v>
      </c>
      <c r="J3316" s="21" t="s">
        <v>18921</v>
      </c>
      <c r="K3316" s="21" t="s">
        <v>406</v>
      </c>
      <c r="L3316" s="21" t="s">
        <v>18922</v>
      </c>
      <c r="M3316" s="21" t="s">
        <v>45</v>
      </c>
      <c r="N3316" s="21" t="s">
        <v>123</v>
      </c>
      <c r="O3316" s="21" t="s">
        <v>59</v>
      </c>
      <c r="P3316" s="21" t="s">
        <v>18923</v>
      </c>
      <c r="Q3316" s="21" t="s">
        <v>18924</v>
      </c>
      <c r="R3316" s="21" t="s">
        <v>17330</v>
      </c>
      <c r="S3316" s="21">
        <v>0</v>
      </c>
      <c r="T3316" s="21">
        <v>0</v>
      </c>
      <c r="U3316" s="21">
        <v>0</v>
      </c>
      <c r="V3316" s="21">
        <v>0</v>
      </c>
      <c r="W3316" s="21">
        <v>0</v>
      </c>
      <c r="X3316" s="21">
        <v>0</v>
      </c>
      <c r="Y3316" s="21">
        <v>1</v>
      </c>
      <c r="Z3316" s="21">
        <v>0</v>
      </c>
      <c r="AA3316" s="21">
        <v>0</v>
      </c>
      <c r="AB3316" s="21">
        <v>0</v>
      </c>
      <c r="AC3316" s="21">
        <v>0</v>
      </c>
      <c r="AD3316" s="21">
        <v>0</v>
      </c>
      <c r="AE3316" s="21" t="s">
        <v>73</v>
      </c>
      <c r="AF3316" s="21" t="s">
        <v>18925</v>
      </c>
      <c r="AG3316" s="21" t="s">
        <v>16251</v>
      </c>
      <c r="AH3316" s="9">
        <f>DATE(2021,6,18)</f>
        <v>44365</v>
      </c>
      <c r="AI3316" s="21">
        <v>2</v>
      </c>
      <c r="AJ3316" s="21" t="s">
        <v>18926</v>
      </c>
      <c r="AK3316" s="21" t="s">
        <v>860</v>
      </c>
    </row>
    <row r="3317" spans="1:37" ht="36.75" customHeight="1" x14ac:dyDescent="0.35">
      <c r="A3317" s="21"/>
      <c r="B3317" s="5" t="s">
        <v>37</v>
      </c>
      <c r="C3317" s="73" t="s">
        <v>17979</v>
      </c>
      <c r="D3317" s="47" t="s">
        <v>18927</v>
      </c>
      <c r="E3317" s="82" t="s">
        <v>18928</v>
      </c>
      <c r="F3317" s="21" t="s">
        <v>17537</v>
      </c>
      <c r="G3317" s="9">
        <f>DATE(2021,6,18)</f>
        <v>44365</v>
      </c>
      <c r="H3317" s="107">
        <v>0.37708333333333338</v>
      </c>
      <c r="I3317" s="21" t="s">
        <v>137</v>
      </c>
      <c r="J3317" s="21" t="s">
        <v>18929</v>
      </c>
      <c r="K3317" s="21" t="s">
        <v>818</v>
      </c>
      <c r="L3317" s="21" t="s">
        <v>18930</v>
      </c>
      <c r="M3317" s="21" t="s">
        <v>45</v>
      </c>
      <c r="N3317" s="21" t="s">
        <v>80</v>
      </c>
      <c r="O3317" s="21" t="s">
        <v>46</v>
      </c>
      <c r="P3317" s="21" t="s">
        <v>146</v>
      </c>
      <c r="Q3317" s="21" t="s">
        <v>18931</v>
      </c>
      <c r="R3317" s="21" t="s">
        <v>2777</v>
      </c>
      <c r="S3317" s="21">
        <v>0</v>
      </c>
      <c r="T3317" s="21">
        <v>0</v>
      </c>
      <c r="U3317" s="21">
        <v>0</v>
      </c>
      <c r="V3317" s="21">
        <v>0</v>
      </c>
      <c r="W3317" s="21">
        <v>0</v>
      </c>
      <c r="X3317" s="21">
        <v>0</v>
      </c>
      <c r="Y3317" s="21">
        <v>0</v>
      </c>
      <c r="Z3317" s="21">
        <v>0</v>
      </c>
      <c r="AA3317" s="21">
        <v>0</v>
      </c>
      <c r="AB3317" s="21">
        <v>0</v>
      </c>
      <c r="AC3317" s="21">
        <v>0</v>
      </c>
      <c r="AD3317" s="21">
        <v>0</v>
      </c>
      <c r="AE3317" s="21">
        <v>0</v>
      </c>
      <c r="AF3317" s="21" t="s">
        <v>17985</v>
      </c>
      <c r="AG3317" s="21" t="s">
        <v>18878</v>
      </c>
      <c r="AH3317" s="9">
        <f>DATE(2021,6,18)</f>
        <v>44365</v>
      </c>
      <c r="AI3317" s="21">
        <v>0</v>
      </c>
      <c r="AJ3317" s="21" t="s">
        <v>18932</v>
      </c>
      <c r="AK3317" s="21" t="s">
        <v>18933</v>
      </c>
    </row>
    <row r="3318" spans="1:37" ht="54.75" customHeight="1" x14ac:dyDescent="0.35">
      <c r="A3318" s="21" t="s">
        <v>12448</v>
      </c>
      <c r="B3318" s="5" t="s">
        <v>887</v>
      </c>
      <c r="C3318" s="73" t="str">
        <f>IF(B3318="Notification","Open",IF(B3318="Interim Statement","In progress","Closed"))</f>
        <v>Open</v>
      </c>
      <c r="D3318" s="47" t="s">
        <v>18934</v>
      </c>
      <c r="E3318" s="54" t="s">
        <v>18935</v>
      </c>
      <c r="F3318" s="21" t="s">
        <v>16662</v>
      </c>
      <c r="G3318" s="9">
        <f>DATE(2021,6,19)</f>
        <v>44366</v>
      </c>
      <c r="H3318" s="107">
        <v>1.78125</v>
      </c>
      <c r="I3318" s="21" t="s">
        <v>97</v>
      </c>
      <c r="J3318" s="21" t="s">
        <v>18936</v>
      </c>
      <c r="K3318" s="21" t="s">
        <v>577</v>
      </c>
      <c r="L3318" s="21" t="s">
        <v>18937</v>
      </c>
      <c r="M3318" s="21" t="s">
        <v>45</v>
      </c>
      <c r="N3318" s="21" t="s">
        <v>80</v>
      </c>
      <c r="O3318" s="21" t="s">
        <v>67</v>
      </c>
      <c r="P3318" s="21" t="s">
        <v>60</v>
      </c>
      <c r="Q3318" s="21" t="s">
        <v>13117</v>
      </c>
      <c r="R3318" s="21" t="s">
        <v>17254</v>
      </c>
      <c r="S3318" s="21"/>
      <c r="T3318" s="21"/>
      <c r="U3318" s="21"/>
      <c r="V3318" s="21"/>
      <c r="W3318" s="21"/>
      <c r="X3318" s="21">
        <v>1</v>
      </c>
      <c r="Y3318" s="21"/>
      <c r="Z3318" s="21"/>
      <c r="AA3318" s="21"/>
      <c r="AB3318" s="21"/>
      <c r="AC3318" s="21"/>
      <c r="AD3318" s="21">
        <v>0</v>
      </c>
      <c r="AE3318" s="21" t="s">
        <v>73</v>
      </c>
      <c r="AF3318" s="21" t="s">
        <v>18938</v>
      </c>
      <c r="AG3318" s="21" t="s">
        <v>6438</v>
      </c>
      <c r="AH3318" s="43">
        <v>44424</v>
      </c>
      <c r="AI3318" s="21"/>
      <c r="AJ3318" s="21"/>
      <c r="AK3318" s="21"/>
    </row>
    <row r="3319" spans="1:37" ht="36.75" customHeight="1" x14ac:dyDescent="0.35">
      <c r="A3319" s="21"/>
      <c r="B3319" s="5" t="s">
        <v>37</v>
      </c>
      <c r="C3319" s="73" t="s">
        <v>17979</v>
      </c>
      <c r="D3319" s="47" t="s">
        <v>18939</v>
      </c>
      <c r="E3319" s="54" t="s">
        <v>18940</v>
      </c>
      <c r="F3319" s="21" t="s">
        <v>17537</v>
      </c>
      <c r="G3319" s="9">
        <f>DATE(2021,6,25)</f>
        <v>44372</v>
      </c>
      <c r="H3319" s="107">
        <v>1.75</v>
      </c>
      <c r="I3319" s="21" t="s">
        <v>55</v>
      </c>
      <c r="J3319" s="21" t="s">
        <v>18941</v>
      </c>
      <c r="K3319" s="21" t="s">
        <v>818</v>
      </c>
      <c r="L3319" s="21" t="s">
        <v>18942</v>
      </c>
      <c r="M3319" s="21" t="s">
        <v>45</v>
      </c>
      <c r="N3319" s="21" t="s">
        <v>80</v>
      </c>
      <c r="O3319" s="21" t="s">
        <v>46</v>
      </c>
      <c r="P3319" s="21" t="s">
        <v>146</v>
      </c>
      <c r="Q3319" s="21" t="s">
        <v>2142</v>
      </c>
      <c r="R3319" s="21" t="s">
        <v>821</v>
      </c>
      <c r="S3319" s="21">
        <v>0</v>
      </c>
      <c r="T3319" s="21">
        <v>0</v>
      </c>
      <c r="U3319" s="21">
        <v>0</v>
      </c>
      <c r="V3319" s="21">
        <v>0</v>
      </c>
      <c r="W3319" s="21">
        <v>0</v>
      </c>
      <c r="X3319" s="21">
        <v>0</v>
      </c>
      <c r="Y3319" s="21">
        <v>0</v>
      </c>
      <c r="Z3319" s="21">
        <v>0</v>
      </c>
      <c r="AA3319" s="21">
        <v>0</v>
      </c>
      <c r="AB3319" s="21">
        <v>0</v>
      </c>
      <c r="AC3319" s="21">
        <v>0</v>
      </c>
      <c r="AD3319" s="21">
        <v>0</v>
      </c>
      <c r="AE3319" s="21" t="s">
        <v>73</v>
      </c>
      <c r="AF3319" s="21" t="s">
        <v>17812</v>
      </c>
      <c r="AG3319" s="21" t="s">
        <v>8837</v>
      </c>
      <c r="AH3319" s="43">
        <v>44372</v>
      </c>
      <c r="AI3319" s="21">
        <v>1</v>
      </c>
      <c r="AJ3319" s="21" t="s">
        <v>18943</v>
      </c>
      <c r="AK3319" s="21" t="s">
        <v>18944</v>
      </c>
    </row>
    <row r="3320" spans="1:37" ht="36.75" customHeight="1" x14ac:dyDescent="0.35">
      <c r="A3320" s="21" t="s">
        <v>12448</v>
      </c>
      <c r="B3320" s="5" t="s">
        <v>37</v>
      </c>
      <c r="C3320" s="73" t="str">
        <f t="shared" ref="C3320:C3358" si="60">IF(B3320="Notification","Open",IF(B3320="Interim Statement","In progress","Closed"))</f>
        <v>Closed</v>
      </c>
      <c r="D3320" s="47" t="s">
        <v>18945</v>
      </c>
      <c r="E3320" s="54" t="s">
        <v>18946</v>
      </c>
      <c r="F3320" s="5" t="s">
        <v>17638</v>
      </c>
      <c r="G3320" s="9">
        <f>DATE(2021,6,26)</f>
        <v>44373</v>
      </c>
      <c r="H3320" s="107">
        <v>0.5541666666666667</v>
      </c>
      <c r="I3320" s="5" t="s">
        <v>55</v>
      </c>
      <c r="J3320" s="5" t="s">
        <v>18947</v>
      </c>
      <c r="K3320" s="5" t="s">
        <v>1555</v>
      </c>
      <c r="L3320" s="5" t="s">
        <v>18948</v>
      </c>
      <c r="M3320" s="5" t="s">
        <v>45</v>
      </c>
      <c r="N3320" s="5" t="s">
        <v>123</v>
      </c>
      <c r="O3320" s="5" t="s">
        <v>59</v>
      </c>
      <c r="P3320" s="5" t="s">
        <v>60</v>
      </c>
      <c r="Q3320" s="5" t="s">
        <v>18839</v>
      </c>
      <c r="R3320" s="5" t="s">
        <v>17642</v>
      </c>
      <c r="S3320" s="5">
        <v>0</v>
      </c>
      <c r="T3320" s="5">
        <v>0</v>
      </c>
      <c r="U3320" s="5">
        <v>0</v>
      </c>
      <c r="V3320" s="5">
        <v>0</v>
      </c>
      <c r="W3320" s="5">
        <v>0</v>
      </c>
      <c r="X3320" s="5">
        <v>0</v>
      </c>
      <c r="Y3320" s="5">
        <v>0</v>
      </c>
      <c r="Z3320" s="5">
        <v>0</v>
      </c>
      <c r="AA3320" s="5">
        <v>0</v>
      </c>
      <c r="AB3320" s="5">
        <v>0</v>
      </c>
      <c r="AC3320" s="5">
        <v>0</v>
      </c>
      <c r="AD3320" s="5">
        <v>0</v>
      </c>
      <c r="AE3320" s="21" t="s">
        <v>73</v>
      </c>
      <c r="AF3320" s="5" t="s">
        <v>18949</v>
      </c>
      <c r="AG3320" s="5" t="s">
        <v>8837</v>
      </c>
      <c r="AH3320" s="9">
        <f>DATE(2021,6,28)</f>
        <v>44375</v>
      </c>
      <c r="AI3320" s="5">
        <v>0</v>
      </c>
      <c r="AJ3320" s="5" t="s">
        <v>18950</v>
      </c>
      <c r="AK3320" s="5" t="s">
        <v>18951</v>
      </c>
    </row>
    <row r="3321" spans="1:37" ht="36.75" customHeight="1" x14ac:dyDescent="0.35">
      <c r="A3321" s="21" t="s">
        <v>12448</v>
      </c>
      <c r="B3321" s="5" t="s">
        <v>37</v>
      </c>
      <c r="C3321" s="73" t="str">
        <f t="shared" si="60"/>
        <v>Closed</v>
      </c>
      <c r="D3321" s="47" t="s">
        <v>18952</v>
      </c>
      <c r="E3321" s="54" t="s">
        <v>18953</v>
      </c>
      <c r="F3321" s="5" t="s">
        <v>17638</v>
      </c>
      <c r="G3321" s="9">
        <f>DATE(2021,6,28)</f>
        <v>44375</v>
      </c>
      <c r="H3321" s="107">
        <v>0.51736111111111105</v>
      </c>
      <c r="I3321" s="5" t="s">
        <v>5473</v>
      </c>
      <c r="J3321" s="5" t="s">
        <v>18954</v>
      </c>
      <c r="K3321" s="5" t="s">
        <v>1555</v>
      </c>
      <c r="L3321" s="5" t="s">
        <v>18955</v>
      </c>
      <c r="M3321" s="5" t="s">
        <v>45</v>
      </c>
      <c r="N3321" s="5" t="s">
        <v>80</v>
      </c>
      <c r="O3321" s="5" t="s">
        <v>59</v>
      </c>
      <c r="P3321" s="5" t="s">
        <v>47</v>
      </c>
      <c r="Q3321" s="5" t="s">
        <v>18690</v>
      </c>
      <c r="R3321" s="5" t="s">
        <v>18956</v>
      </c>
      <c r="S3321" s="5">
        <v>0</v>
      </c>
      <c r="T3321" s="5">
        <v>0</v>
      </c>
      <c r="U3321" s="5">
        <v>0</v>
      </c>
      <c r="V3321" s="5">
        <v>0</v>
      </c>
      <c r="W3321" s="5">
        <v>0</v>
      </c>
      <c r="X3321" s="5">
        <v>0</v>
      </c>
      <c r="Y3321" s="5">
        <v>0</v>
      </c>
      <c r="Z3321" s="5">
        <v>0</v>
      </c>
      <c r="AA3321" s="5">
        <v>0</v>
      </c>
      <c r="AB3321" s="5">
        <v>0</v>
      </c>
      <c r="AC3321" s="5">
        <v>0</v>
      </c>
      <c r="AD3321" s="5">
        <v>0</v>
      </c>
      <c r="AE3321" s="21" t="s">
        <v>73</v>
      </c>
      <c r="AF3321" s="5" t="s">
        <v>18812</v>
      </c>
      <c r="AG3321" s="5" t="s">
        <v>8837</v>
      </c>
      <c r="AH3321" s="9" t="s">
        <v>18957</v>
      </c>
      <c r="AI3321" s="5">
        <v>2</v>
      </c>
      <c r="AJ3321" s="5" t="s">
        <v>18958</v>
      </c>
      <c r="AK3321" s="5" t="s">
        <v>18959</v>
      </c>
    </row>
    <row r="3322" spans="1:37" ht="36.75" customHeight="1" x14ac:dyDescent="0.35">
      <c r="A3322" s="21" t="s">
        <v>12448</v>
      </c>
      <c r="B3322" s="5" t="s">
        <v>37</v>
      </c>
      <c r="C3322" s="73" t="str">
        <f t="shared" si="60"/>
        <v>Closed</v>
      </c>
      <c r="D3322" s="47" t="s">
        <v>18960</v>
      </c>
      <c r="E3322" s="54" t="s">
        <v>18961</v>
      </c>
      <c r="F3322" s="5" t="s">
        <v>12887</v>
      </c>
      <c r="G3322" s="9">
        <f>DATE(2021,6,29)</f>
        <v>44376</v>
      </c>
      <c r="H3322" s="107">
        <v>1.3784722222222223</v>
      </c>
      <c r="I3322" s="21" t="s">
        <v>97</v>
      </c>
      <c r="J3322" s="21" t="s">
        <v>18383</v>
      </c>
      <c r="K3322" s="21" t="s">
        <v>434</v>
      </c>
      <c r="L3322" s="21" t="s">
        <v>18962</v>
      </c>
      <c r="M3322" s="21" t="s">
        <v>45</v>
      </c>
      <c r="N3322" s="21" t="s">
        <v>80</v>
      </c>
      <c r="O3322" s="21" t="s">
        <v>46</v>
      </c>
      <c r="P3322" s="21" t="s">
        <v>146</v>
      </c>
      <c r="Q3322" s="21" t="s">
        <v>12161</v>
      </c>
      <c r="R3322" s="21" t="s">
        <v>553</v>
      </c>
      <c r="S3322" s="21">
        <v>0</v>
      </c>
      <c r="T3322" s="21">
        <v>0</v>
      </c>
      <c r="U3322" s="21">
        <v>1</v>
      </c>
      <c r="V3322" s="21">
        <v>0</v>
      </c>
      <c r="W3322" s="21">
        <v>0</v>
      </c>
      <c r="X3322" s="21">
        <v>1</v>
      </c>
      <c r="Y3322" s="21">
        <v>0</v>
      </c>
      <c r="Z3322" s="21">
        <v>0</v>
      </c>
      <c r="AA3322" s="21">
        <v>0</v>
      </c>
      <c r="AB3322" s="21">
        <v>0</v>
      </c>
      <c r="AC3322" s="21">
        <v>0</v>
      </c>
      <c r="AD3322" s="21">
        <v>0</v>
      </c>
      <c r="AE3322" s="21" t="s">
        <v>73</v>
      </c>
      <c r="AF3322" s="21" t="s">
        <v>18963</v>
      </c>
      <c r="AG3322" s="21" t="s">
        <v>6438</v>
      </c>
      <c r="AH3322" s="43">
        <v>44376</v>
      </c>
      <c r="AI3322" s="21">
        <v>0</v>
      </c>
      <c r="AJ3322" s="21" t="s">
        <v>18964</v>
      </c>
      <c r="AK3322" s="21">
        <v>0</v>
      </c>
    </row>
    <row r="3323" spans="1:37" ht="36.75" customHeight="1" x14ac:dyDescent="0.35">
      <c r="A3323" s="21" t="s">
        <v>12448</v>
      </c>
      <c r="B3323" s="5" t="s">
        <v>37</v>
      </c>
      <c r="C3323" s="73" t="str">
        <f t="shared" si="60"/>
        <v>Closed</v>
      </c>
      <c r="D3323" s="47" t="s">
        <v>18965</v>
      </c>
      <c r="E3323" s="55" t="s">
        <v>18966</v>
      </c>
      <c r="F3323" s="15" t="s">
        <v>17769</v>
      </c>
      <c r="G3323" s="9">
        <f>DATE(2021,7,2)</f>
        <v>44379</v>
      </c>
      <c r="H3323" s="107">
        <v>0.71527777777777779</v>
      </c>
      <c r="I3323" s="15" t="s">
        <v>97</v>
      </c>
      <c r="J3323" s="15" t="s">
        <v>18967</v>
      </c>
      <c r="K3323" s="15" t="s">
        <v>621</v>
      </c>
      <c r="L3323" s="15" t="s">
        <v>18968</v>
      </c>
      <c r="M3323" s="15" t="s">
        <v>45</v>
      </c>
      <c r="N3323" s="15" t="s">
        <v>80</v>
      </c>
      <c r="O3323" s="15" t="s">
        <v>59</v>
      </c>
      <c r="P3323" s="15" t="s">
        <v>47</v>
      </c>
      <c r="Q3323" s="15" t="s">
        <v>18459</v>
      </c>
      <c r="R3323" s="15" t="s">
        <v>1997</v>
      </c>
      <c r="S3323" s="15">
        <v>0</v>
      </c>
      <c r="T3323" s="15">
        <v>0</v>
      </c>
      <c r="U3323" s="15">
        <v>4</v>
      </c>
      <c r="V3323" s="15">
        <v>0</v>
      </c>
      <c r="W3323" s="15">
        <v>0</v>
      </c>
      <c r="X3323" s="15">
        <v>4</v>
      </c>
      <c r="Y3323" s="15">
        <v>0</v>
      </c>
      <c r="Z3323" s="15">
        <v>0</v>
      </c>
      <c r="AA3323" s="15">
        <v>0</v>
      </c>
      <c r="AB3323" s="15">
        <v>0</v>
      </c>
      <c r="AC3323" s="15">
        <v>0</v>
      </c>
      <c r="AD3323" s="15">
        <v>0</v>
      </c>
      <c r="AE3323" s="15" t="s">
        <v>73</v>
      </c>
      <c r="AF3323" s="15" t="s">
        <v>18969</v>
      </c>
      <c r="AG3323" s="15" t="s">
        <v>8837</v>
      </c>
      <c r="AH3323" s="43">
        <v>44455</v>
      </c>
      <c r="AI3323" s="15">
        <v>2</v>
      </c>
      <c r="AJ3323" s="15" t="s">
        <v>18970</v>
      </c>
      <c r="AK3323" s="15" t="s">
        <v>18971</v>
      </c>
    </row>
    <row r="3324" spans="1:37" ht="36.75" customHeight="1" x14ac:dyDescent="0.35">
      <c r="A3324" s="21" t="s">
        <v>12448</v>
      </c>
      <c r="B3324" s="5" t="s">
        <v>37</v>
      </c>
      <c r="C3324" s="73" t="str">
        <f t="shared" si="60"/>
        <v>Closed</v>
      </c>
      <c r="D3324" s="47" t="s">
        <v>18972</v>
      </c>
      <c r="E3324" s="54" t="s">
        <v>18973</v>
      </c>
      <c r="F3324" s="5" t="s">
        <v>18828</v>
      </c>
      <c r="G3324" s="9">
        <f>DATE(2021,7,3)</f>
        <v>44380</v>
      </c>
      <c r="H3324" s="107" t="s">
        <v>18974</v>
      </c>
      <c r="I3324" s="5" t="s">
        <v>55</v>
      </c>
      <c r="J3324" s="7" t="s">
        <v>18975</v>
      </c>
      <c r="K3324" s="5" t="s">
        <v>43</v>
      </c>
      <c r="L3324" s="5" t="s">
        <v>18976</v>
      </c>
      <c r="M3324" s="5" t="s">
        <v>45</v>
      </c>
      <c r="N3324" s="5" t="s">
        <v>80</v>
      </c>
      <c r="O3324" s="5" t="s">
        <v>46</v>
      </c>
      <c r="P3324" s="7" t="s">
        <v>60</v>
      </c>
      <c r="Q3324" s="5" t="s">
        <v>48</v>
      </c>
      <c r="R3324" s="5" t="s">
        <v>18831</v>
      </c>
      <c r="S3324" s="5">
        <v>0</v>
      </c>
      <c r="T3324" s="5">
        <v>0</v>
      </c>
      <c r="U3324" s="5">
        <v>0</v>
      </c>
      <c r="V3324" s="5">
        <v>0</v>
      </c>
      <c r="W3324" s="5">
        <v>0</v>
      </c>
      <c r="X3324" s="5">
        <v>0</v>
      </c>
      <c r="Y3324" s="5">
        <v>0</v>
      </c>
      <c r="Z3324" s="5">
        <v>0</v>
      </c>
      <c r="AA3324" s="5">
        <v>0</v>
      </c>
      <c r="AB3324" s="5">
        <v>0</v>
      </c>
      <c r="AC3324" s="5">
        <v>0</v>
      </c>
      <c r="AD3324" s="5">
        <v>0</v>
      </c>
      <c r="AE3324" s="5" t="s">
        <v>375</v>
      </c>
      <c r="AF3324" s="5" t="s">
        <v>18977</v>
      </c>
      <c r="AG3324" s="5" t="s">
        <v>8837</v>
      </c>
      <c r="AH3324" s="9" t="s">
        <v>18978</v>
      </c>
      <c r="AI3324" s="5">
        <v>4</v>
      </c>
      <c r="AJ3324" s="5" t="s">
        <v>18979</v>
      </c>
      <c r="AK3324" s="5" t="s">
        <v>18980</v>
      </c>
    </row>
    <row r="3325" spans="1:37" ht="36.75" customHeight="1" x14ac:dyDescent="0.35">
      <c r="A3325" s="21" t="s">
        <v>12448</v>
      </c>
      <c r="B3325" s="5" t="s">
        <v>37</v>
      </c>
      <c r="C3325" s="73" t="str">
        <f t="shared" si="60"/>
        <v>Closed</v>
      </c>
      <c r="D3325" s="47" t="s">
        <v>18981</v>
      </c>
      <c r="E3325" s="54" t="s">
        <v>18982</v>
      </c>
      <c r="F3325" s="5" t="s">
        <v>17305</v>
      </c>
      <c r="G3325" s="9">
        <f>DATE(2021,7,3)</f>
        <v>44380</v>
      </c>
      <c r="H3325" s="107">
        <v>0.46875</v>
      </c>
      <c r="I3325" s="5" t="s">
        <v>179</v>
      </c>
      <c r="J3325" s="5" t="s">
        <v>18983</v>
      </c>
      <c r="K3325" s="5" t="s">
        <v>108</v>
      </c>
      <c r="L3325" s="5" t="s">
        <v>18984</v>
      </c>
      <c r="M3325" s="5" t="s">
        <v>236</v>
      </c>
      <c r="N3325" s="5" t="s">
        <v>123</v>
      </c>
      <c r="O3325" s="5" t="s">
        <v>46</v>
      </c>
      <c r="P3325" s="5" t="s">
        <v>6531</v>
      </c>
      <c r="Q3325" s="5" t="s">
        <v>10533</v>
      </c>
      <c r="R3325" s="5" t="s">
        <v>10533</v>
      </c>
      <c r="S3325" s="5">
        <v>0</v>
      </c>
      <c r="T3325" s="5">
        <v>0</v>
      </c>
      <c r="U3325" s="5">
        <v>0</v>
      </c>
      <c r="V3325" s="5">
        <v>0</v>
      </c>
      <c r="W3325" s="5">
        <v>0</v>
      </c>
      <c r="X3325" s="5">
        <v>0</v>
      </c>
      <c r="Y3325" s="5">
        <v>0</v>
      </c>
      <c r="Z3325" s="5">
        <v>0</v>
      </c>
      <c r="AA3325" s="5">
        <v>0</v>
      </c>
      <c r="AB3325" s="5">
        <v>0</v>
      </c>
      <c r="AC3325" s="5">
        <v>0</v>
      </c>
      <c r="AD3325" s="5">
        <v>0</v>
      </c>
      <c r="AE3325" s="5" t="s">
        <v>73</v>
      </c>
      <c r="AF3325" s="5" t="s">
        <v>18985</v>
      </c>
      <c r="AG3325" s="5" t="s">
        <v>16899</v>
      </c>
      <c r="AH3325" s="43">
        <v>44385</v>
      </c>
      <c r="AI3325" s="5">
        <v>0</v>
      </c>
      <c r="AJ3325" s="5" t="s">
        <v>18986</v>
      </c>
      <c r="AK3325" s="5" t="s">
        <v>18987</v>
      </c>
    </row>
    <row r="3326" spans="1:37" ht="36.75" customHeight="1" x14ac:dyDescent="0.35">
      <c r="A3326" s="21" t="s">
        <v>12448</v>
      </c>
      <c r="B3326" s="5" t="s">
        <v>37</v>
      </c>
      <c r="C3326" s="73" t="str">
        <f t="shared" si="60"/>
        <v>Closed</v>
      </c>
      <c r="D3326" s="47" t="s">
        <v>18988</v>
      </c>
      <c r="E3326" s="54" t="s">
        <v>18989</v>
      </c>
      <c r="F3326" s="5" t="s">
        <v>12887</v>
      </c>
      <c r="G3326" s="9">
        <f>DATE(2021,7,7)</f>
        <v>44384</v>
      </c>
      <c r="H3326" s="107">
        <v>1.9583333333333335</v>
      </c>
      <c r="I3326" s="5" t="s">
        <v>55</v>
      </c>
      <c r="J3326" s="5" t="s">
        <v>18990</v>
      </c>
      <c r="K3326" s="5" t="s">
        <v>434</v>
      </c>
      <c r="L3326" s="5" t="s">
        <v>18991</v>
      </c>
      <c r="M3326" s="5" t="s">
        <v>45</v>
      </c>
      <c r="N3326" s="5" t="s">
        <v>70</v>
      </c>
      <c r="O3326" s="5" t="s">
        <v>59</v>
      </c>
      <c r="P3326" s="5" t="s">
        <v>47</v>
      </c>
      <c r="Q3326" s="5" t="s">
        <v>14350</v>
      </c>
      <c r="R3326" s="5" t="s">
        <v>553</v>
      </c>
      <c r="S3326" s="5">
        <v>0</v>
      </c>
      <c r="T3326" s="5">
        <v>0</v>
      </c>
      <c r="U3326" s="5">
        <v>0</v>
      </c>
      <c r="V3326" s="5">
        <v>0</v>
      </c>
      <c r="W3326" s="5">
        <v>0</v>
      </c>
      <c r="X3326" s="5">
        <v>0</v>
      </c>
      <c r="Y3326" s="5">
        <v>0</v>
      </c>
      <c r="Z3326" s="5">
        <v>0</v>
      </c>
      <c r="AA3326" s="5">
        <v>0</v>
      </c>
      <c r="AB3326" s="5">
        <v>0</v>
      </c>
      <c r="AC3326" s="5">
        <v>0</v>
      </c>
      <c r="AD3326" s="5">
        <v>0</v>
      </c>
      <c r="AE3326" s="5" t="s">
        <v>73</v>
      </c>
      <c r="AF3326" s="5" t="s">
        <v>18992</v>
      </c>
      <c r="AG3326" s="5" t="s">
        <v>13508</v>
      </c>
      <c r="AH3326" s="43">
        <v>44410</v>
      </c>
      <c r="AI3326" s="5">
        <v>1</v>
      </c>
      <c r="AJ3326" s="5" t="s">
        <v>18993</v>
      </c>
      <c r="AK3326" s="5" t="s">
        <v>18994</v>
      </c>
    </row>
    <row r="3327" spans="1:37" ht="36.75" customHeight="1" x14ac:dyDescent="0.35">
      <c r="A3327" s="21" t="s">
        <v>12448</v>
      </c>
      <c r="B3327" s="5" t="s">
        <v>37</v>
      </c>
      <c r="C3327" s="73" t="str">
        <f t="shared" si="60"/>
        <v>Closed</v>
      </c>
      <c r="D3327" s="47" t="s">
        <v>18995</v>
      </c>
      <c r="E3327" s="54" t="s">
        <v>18996</v>
      </c>
      <c r="F3327" s="5" t="s">
        <v>17638</v>
      </c>
      <c r="G3327" s="9">
        <f>DATE(2021,7,8)</f>
        <v>44385</v>
      </c>
      <c r="H3327" s="107">
        <v>0.17013888888888887</v>
      </c>
      <c r="I3327" s="5" t="s">
        <v>55</v>
      </c>
      <c r="J3327" s="7" t="s">
        <v>18997</v>
      </c>
      <c r="K3327" s="5" t="s">
        <v>1555</v>
      </c>
      <c r="L3327" s="5" t="s">
        <v>18998</v>
      </c>
      <c r="M3327" s="5" t="s">
        <v>45</v>
      </c>
      <c r="N3327" s="5" t="s">
        <v>123</v>
      </c>
      <c r="O3327" s="5" t="s">
        <v>59</v>
      </c>
      <c r="P3327" s="7" t="s">
        <v>146</v>
      </c>
      <c r="Q3327" s="5" t="s">
        <v>18690</v>
      </c>
      <c r="R3327" s="5" t="s">
        <v>17642</v>
      </c>
      <c r="S3327" s="5">
        <v>0</v>
      </c>
      <c r="T3327" s="5">
        <v>0</v>
      </c>
      <c r="U3327" s="5">
        <v>0</v>
      </c>
      <c r="V3327" s="5">
        <v>0</v>
      </c>
      <c r="W3327" s="5">
        <v>0</v>
      </c>
      <c r="X3327" s="5">
        <v>0</v>
      </c>
      <c r="Y3327" s="5">
        <v>0</v>
      </c>
      <c r="Z3327" s="5">
        <v>0</v>
      </c>
      <c r="AA3327" s="5">
        <v>0</v>
      </c>
      <c r="AB3327" s="5">
        <v>0</v>
      </c>
      <c r="AC3327" s="5">
        <v>0</v>
      </c>
      <c r="AD3327" s="5">
        <v>0</v>
      </c>
      <c r="AE3327" s="5" t="s">
        <v>73</v>
      </c>
      <c r="AF3327" s="5" t="s">
        <v>18999</v>
      </c>
      <c r="AG3327" s="5" t="s">
        <v>8837</v>
      </c>
      <c r="AH3327" s="9" t="s">
        <v>19000</v>
      </c>
      <c r="AI3327" s="5">
        <v>0</v>
      </c>
      <c r="AJ3327" s="5" t="s">
        <v>19001</v>
      </c>
      <c r="AK3327" s="5" t="s">
        <v>19002</v>
      </c>
    </row>
    <row r="3328" spans="1:37" ht="36.75" customHeight="1" x14ac:dyDescent="0.35">
      <c r="A3328" s="21" t="s">
        <v>12448</v>
      </c>
      <c r="B3328" s="5" t="s">
        <v>37</v>
      </c>
      <c r="C3328" s="73" t="str">
        <f t="shared" si="60"/>
        <v>Closed</v>
      </c>
      <c r="D3328" s="47" t="s">
        <v>19003</v>
      </c>
      <c r="E3328" s="54" t="s">
        <v>19004</v>
      </c>
      <c r="F3328" s="5" t="s">
        <v>17638</v>
      </c>
      <c r="G3328" s="9">
        <f>DATE(2021,7,8)</f>
        <v>44385</v>
      </c>
      <c r="H3328" s="107" t="s">
        <v>19005</v>
      </c>
      <c r="I3328" s="5" t="s">
        <v>106</v>
      </c>
      <c r="J3328" s="7" t="s">
        <v>19006</v>
      </c>
      <c r="K3328" s="5" t="s">
        <v>1555</v>
      </c>
      <c r="L3328" s="5" t="s">
        <v>19007</v>
      </c>
      <c r="M3328" s="5" t="s">
        <v>45</v>
      </c>
      <c r="N3328" s="5" t="s">
        <v>123</v>
      </c>
      <c r="O3328" s="5" t="s">
        <v>59</v>
      </c>
      <c r="P3328" s="7" t="s">
        <v>60</v>
      </c>
      <c r="Q3328" s="5" t="s">
        <v>18293</v>
      </c>
      <c r="R3328" s="5" t="s">
        <v>18956</v>
      </c>
      <c r="S3328" s="5">
        <v>0</v>
      </c>
      <c r="T3328" s="5">
        <v>0</v>
      </c>
      <c r="U3328" s="5">
        <v>0</v>
      </c>
      <c r="V3328" s="5">
        <v>0</v>
      </c>
      <c r="W3328" s="5">
        <v>0</v>
      </c>
      <c r="X3328" s="5">
        <v>0</v>
      </c>
      <c r="Y3328" s="5">
        <v>0</v>
      </c>
      <c r="Z3328" s="5">
        <v>0</v>
      </c>
      <c r="AA3328" s="5">
        <v>0</v>
      </c>
      <c r="AB3328" s="5">
        <v>0</v>
      </c>
      <c r="AC3328" s="5">
        <v>0</v>
      </c>
      <c r="AD3328" s="5">
        <v>0</v>
      </c>
      <c r="AE3328" s="5" t="s">
        <v>73</v>
      </c>
      <c r="AF3328" s="5" t="s">
        <v>19008</v>
      </c>
      <c r="AG3328" s="5" t="s">
        <v>8837</v>
      </c>
      <c r="AH3328" s="9" t="s">
        <v>19000</v>
      </c>
      <c r="AI3328" s="5">
        <v>0</v>
      </c>
      <c r="AJ3328" s="5" t="s">
        <v>19009</v>
      </c>
      <c r="AK3328" s="5" t="s">
        <v>19010</v>
      </c>
    </row>
    <row r="3329" spans="1:37" ht="36.75" customHeight="1" x14ac:dyDescent="0.35">
      <c r="A3329" s="21" t="s">
        <v>12448</v>
      </c>
      <c r="B3329" s="5" t="s">
        <v>37</v>
      </c>
      <c r="C3329" s="73" t="str">
        <f t="shared" si="60"/>
        <v>Closed</v>
      </c>
      <c r="D3329" s="47" t="s">
        <v>19011</v>
      </c>
      <c r="E3329" s="54" t="s">
        <v>19012</v>
      </c>
      <c r="F3329" s="5" t="s">
        <v>17537</v>
      </c>
      <c r="G3329" s="9">
        <f>DATE(2021,7,11)</f>
        <v>44388</v>
      </c>
      <c r="H3329" s="107" t="s">
        <v>19013</v>
      </c>
      <c r="I3329" s="5" t="s">
        <v>67</v>
      </c>
      <c r="J3329" s="7" t="s">
        <v>19014</v>
      </c>
      <c r="K3329" s="5" t="s">
        <v>818</v>
      </c>
      <c r="L3329" s="5" t="s">
        <v>12763</v>
      </c>
      <c r="M3329" s="5" t="s">
        <v>45</v>
      </c>
      <c r="N3329" s="5" t="s">
        <v>123</v>
      </c>
      <c r="O3329" s="5" t="s">
        <v>59</v>
      </c>
      <c r="P3329" s="7" t="s">
        <v>60</v>
      </c>
      <c r="Q3329" s="5" t="s">
        <v>18191</v>
      </c>
      <c r="R3329" s="5" t="s">
        <v>821</v>
      </c>
      <c r="S3329" s="5">
        <v>0</v>
      </c>
      <c r="T3329" s="5">
        <v>0</v>
      </c>
      <c r="U3329" s="5">
        <v>0</v>
      </c>
      <c r="V3329" s="5">
        <v>0</v>
      </c>
      <c r="W3329" s="5">
        <v>0</v>
      </c>
      <c r="X3329" s="5">
        <v>0</v>
      </c>
      <c r="Y3329" s="5">
        <v>0</v>
      </c>
      <c r="Z3329" s="5">
        <v>0</v>
      </c>
      <c r="AA3329" s="5">
        <v>0</v>
      </c>
      <c r="AB3329" s="5">
        <v>0</v>
      </c>
      <c r="AC3329" s="5">
        <v>0</v>
      </c>
      <c r="AD3329" s="5">
        <v>0</v>
      </c>
      <c r="AE3329" s="5" t="s">
        <v>73</v>
      </c>
      <c r="AF3329" s="5" t="s">
        <v>860</v>
      </c>
      <c r="AG3329" s="5" t="s">
        <v>8837</v>
      </c>
      <c r="AH3329" s="9" t="s">
        <v>19015</v>
      </c>
      <c r="AI3329" s="5">
        <v>4</v>
      </c>
      <c r="AJ3329" s="5" t="s">
        <v>19016</v>
      </c>
      <c r="AK3329" s="5" t="s">
        <v>19017</v>
      </c>
    </row>
    <row r="3330" spans="1:37" ht="36.75" customHeight="1" x14ac:dyDescent="0.35">
      <c r="A3330" s="21" t="s">
        <v>12448</v>
      </c>
      <c r="B3330" s="5" t="s">
        <v>37</v>
      </c>
      <c r="C3330" s="73" t="str">
        <f t="shared" si="60"/>
        <v>Closed</v>
      </c>
      <c r="D3330" s="47" t="s">
        <v>19019</v>
      </c>
      <c r="E3330" s="54" t="s">
        <v>19020</v>
      </c>
      <c r="F3330" s="5" t="s">
        <v>17638</v>
      </c>
      <c r="G3330" s="9">
        <f>DATE(2021,7,12)</f>
        <v>44389</v>
      </c>
      <c r="H3330" s="107" t="s">
        <v>19021</v>
      </c>
      <c r="I3330" s="5" t="s">
        <v>106</v>
      </c>
      <c r="J3330" s="7" t="s">
        <v>19022</v>
      </c>
      <c r="K3330" s="5" t="s">
        <v>1555</v>
      </c>
      <c r="L3330" s="5" t="s">
        <v>19023</v>
      </c>
      <c r="M3330" s="5" t="s">
        <v>45</v>
      </c>
      <c r="N3330" s="5" t="s">
        <v>123</v>
      </c>
      <c r="O3330" s="5" t="s">
        <v>59</v>
      </c>
      <c r="P3330" s="7" t="s">
        <v>60</v>
      </c>
      <c r="Q3330" s="5" t="s">
        <v>19024</v>
      </c>
      <c r="R3330" s="5" t="s">
        <v>18956</v>
      </c>
      <c r="S3330" s="5">
        <v>0</v>
      </c>
      <c r="T3330" s="5">
        <v>0</v>
      </c>
      <c r="U3330" s="5">
        <v>0</v>
      </c>
      <c r="V3330" s="5">
        <v>0</v>
      </c>
      <c r="W3330" s="5">
        <v>0</v>
      </c>
      <c r="X3330" s="5">
        <v>0</v>
      </c>
      <c r="Y3330" s="5">
        <v>0</v>
      </c>
      <c r="Z3330" s="5">
        <v>0</v>
      </c>
      <c r="AA3330" s="5">
        <v>0</v>
      </c>
      <c r="AB3330" s="5">
        <v>0</v>
      </c>
      <c r="AC3330" s="5">
        <v>0</v>
      </c>
      <c r="AD3330" s="5">
        <v>0</v>
      </c>
      <c r="AE3330" s="5" t="s">
        <v>73</v>
      </c>
      <c r="AF3330" s="5" t="s">
        <v>19025</v>
      </c>
      <c r="AG3330" s="5" t="s">
        <v>8837</v>
      </c>
      <c r="AH3330" s="9" t="s">
        <v>19026</v>
      </c>
      <c r="AI3330" s="5">
        <v>1</v>
      </c>
      <c r="AJ3330" s="5" t="s">
        <v>19027</v>
      </c>
      <c r="AK3330" s="5" t="s">
        <v>19028</v>
      </c>
    </row>
    <row r="3331" spans="1:37" ht="36.75" customHeight="1" x14ac:dyDescent="0.35">
      <c r="A3331" s="21" t="s">
        <v>12448</v>
      </c>
      <c r="B3331" s="5" t="s">
        <v>37</v>
      </c>
      <c r="C3331" s="73" t="str">
        <f t="shared" si="60"/>
        <v>Closed</v>
      </c>
      <c r="D3331" s="47" t="s">
        <v>19029</v>
      </c>
      <c r="E3331" s="54" t="s">
        <v>19030</v>
      </c>
      <c r="F3331" s="5" t="s">
        <v>17537</v>
      </c>
      <c r="G3331" s="9">
        <f>DATE(2021,7,13)</f>
        <v>44390</v>
      </c>
      <c r="H3331" s="107" t="s">
        <v>19031</v>
      </c>
      <c r="I3331" s="5" t="s">
        <v>55</v>
      </c>
      <c r="J3331" s="7" t="s">
        <v>19032</v>
      </c>
      <c r="K3331" s="5" t="s">
        <v>818</v>
      </c>
      <c r="L3331" s="5" t="s">
        <v>19033</v>
      </c>
      <c r="M3331" s="5" t="s">
        <v>45</v>
      </c>
      <c r="N3331" s="5" t="s">
        <v>123</v>
      </c>
      <c r="O3331" s="5" t="s">
        <v>59</v>
      </c>
      <c r="P3331" s="7" t="s">
        <v>60</v>
      </c>
      <c r="Q3331" s="5" t="s">
        <v>6560</v>
      </c>
      <c r="R3331" s="5" t="s">
        <v>821</v>
      </c>
      <c r="S3331" s="5">
        <v>0</v>
      </c>
      <c r="T3331" s="5">
        <v>0</v>
      </c>
      <c r="U3331" s="5">
        <v>0</v>
      </c>
      <c r="V3331" s="5">
        <v>0</v>
      </c>
      <c r="W3331" s="5">
        <v>0</v>
      </c>
      <c r="X3331" s="5">
        <v>0</v>
      </c>
      <c r="Y3331" s="5">
        <v>0</v>
      </c>
      <c r="Z3331" s="5">
        <v>0</v>
      </c>
      <c r="AA3331" s="5">
        <v>0</v>
      </c>
      <c r="AB3331" s="5">
        <v>0</v>
      </c>
      <c r="AC3331" s="5">
        <v>0</v>
      </c>
      <c r="AD3331" s="5">
        <v>0</v>
      </c>
      <c r="AE3331" s="5" t="s">
        <v>73</v>
      </c>
      <c r="AF3331" s="5" t="s">
        <v>19034</v>
      </c>
      <c r="AG3331" s="5" t="s">
        <v>8837</v>
      </c>
      <c r="AH3331" s="7" t="s">
        <v>19035</v>
      </c>
      <c r="AI3331" s="5">
        <v>0</v>
      </c>
      <c r="AJ3331" s="5" t="s">
        <v>19036</v>
      </c>
      <c r="AK3331" s="5" t="s">
        <v>19037</v>
      </c>
    </row>
    <row r="3332" spans="1:37" ht="36.75" customHeight="1" x14ac:dyDescent="0.35">
      <c r="A3332" s="21" t="s">
        <v>12448</v>
      </c>
      <c r="B3332" s="5" t="s">
        <v>37</v>
      </c>
      <c r="C3332" s="73" t="str">
        <f t="shared" si="60"/>
        <v>Closed</v>
      </c>
      <c r="D3332" s="47" t="s">
        <v>19038</v>
      </c>
      <c r="E3332" s="54" t="s">
        <v>19039</v>
      </c>
      <c r="F3332" s="5" t="s">
        <v>16397</v>
      </c>
      <c r="G3332" s="9">
        <f>DATE(2021,7,14)</f>
        <v>44391</v>
      </c>
      <c r="H3332" s="107">
        <v>0.72430555555555554</v>
      </c>
      <c r="I3332" s="5" t="s">
        <v>85</v>
      </c>
      <c r="J3332" s="7" t="s">
        <v>19040</v>
      </c>
      <c r="K3332" s="5" t="s">
        <v>406</v>
      </c>
      <c r="L3332" s="5" t="s">
        <v>18316</v>
      </c>
      <c r="M3332" s="5" t="s">
        <v>45</v>
      </c>
      <c r="N3332" s="5" t="s">
        <v>70</v>
      </c>
      <c r="O3332" s="5" t="s">
        <v>59</v>
      </c>
      <c r="P3332" s="7" t="s">
        <v>1198</v>
      </c>
      <c r="Q3332" s="5" t="s">
        <v>18466</v>
      </c>
      <c r="R3332" s="5" t="s">
        <v>17330</v>
      </c>
      <c r="S3332" s="5">
        <v>0</v>
      </c>
      <c r="T3332" s="5">
        <v>0</v>
      </c>
      <c r="U3332" s="5">
        <v>0</v>
      </c>
      <c r="V3332" s="5">
        <v>0</v>
      </c>
      <c r="W3332" s="5">
        <v>0</v>
      </c>
      <c r="X3332" s="5">
        <v>0</v>
      </c>
      <c r="Y3332" s="5">
        <v>0</v>
      </c>
      <c r="Z3332" s="5">
        <v>0</v>
      </c>
      <c r="AA3332" s="5">
        <v>0</v>
      </c>
      <c r="AB3332" s="5">
        <v>0</v>
      </c>
      <c r="AC3332" s="5">
        <v>0</v>
      </c>
      <c r="AD3332" s="5">
        <v>0</v>
      </c>
      <c r="AE3332" s="5" t="s">
        <v>73</v>
      </c>
      <c r="AF3332" s="5" t="s">
        <v>19041</v>
      </c>
      <c r="AG3332" s="5" t="s">
        <v>19042</v>
      </c>
      <c r="AH3332" s="9">
        <f>DATE(2021,7,14)</f>
        <v>44391</v>
      </c>
      <c r="AI3332" s="5">
        <v>1</v>
      </c>
      <c r="AJ3332" s="5" t="s">
        <v>19043</v>
      </c>
      <c r="AK3332" s="5" t="s">
        <v>19044</v>
      </c>
    </row>
    <row r="3333" spans="1:37" ht="36.75" customHeight="1" x14ac:dyDescent="0.35">
      <c r="A3333" s="21" t="s">
        <v>12448</v>
      </c>
      <c r="B3333" s="5" t="s">
        <v>37</v>
      </c>
      <c r="C3333" s="73" t="str">
        <f t="shared" si="60"/>
        <v>Closed</v>
      </c>
      <c r="D3333" s="47" t="s">
        <v>19045</v>
      </c>
      <c r="E3333" s="54" t="s">
        <v>19046</v>
      </c>
      <c r="F3333" s="5" t="s">
        <v>12887</v>
      </c>
      <c r="G3333" s="9">
        <f>DATE(2021,7,14)</f>
        <v>44391</v>
      </c>
      <c r="H3333" s="107">
        <v>1.6701388888888888</v>
      </c>
      <c r="I3333" s="5" t="s">
        <v>137</v>
      </c>
      <c r="J3333" s="5" t="s">
        <v>19047</v>
      </c>
      <c r="K3333" s="5" t="s">
        <v>434</v>
      </c>
      <c r="L3333" s="5" t="s">
        <v>19048</v>
      </c>
      <c r="M3333" s="5" t="s">
        <v>45</v>
      </c>
      <c r="N3333" s="5" t="s">
        <v>80</v>
      </c>
      <c r="O3333" s="5" t="s">
        <v>46</v>
      </c>
      <c r="P3333" s="5" t="s">
        <v>146</v>
      </c>
      <c r="Q3333" s="5" t="s">
        <v>14350</v>
      </c>
      <c r="R3333" s="5" t="s">
        <v>553</v>
      </c>
      <c r="S3333" s="5">
        <v>0</v>
      </c>
      <c r="T3333" s="5">
        <v>0</v>
      </c>
      <c r="U3333" s="5">
        <v>0</v>
      </c>
      <c r="V3333" s="5">
        <v>0</v>
      </c>
      <c r="W3333" s="5">
        <v>0</v>
      </c>
      <c r="X3333" s="5">
        <v>0</v>
      </c>
      <c r="Y3333" s="5">
        <v>0</v>
      </c>
      <c r="Z3333" s="5">
        <v>0</v>
      </c>
      <c r="AA3333" s="5">
        <v>1</v>
      </c>
      <c r="AB3333" s="5">
        <v>0</v>
      </c>
      <c r="AC3333" s="5">
        <v>0</v>
      </c>
      <c r="AD3333" s="5">
        <v>1</v>
      </c>
      <c r="AE3333" s="5" t="s">
        <v>375</v>
      </c>
      <c r="AF3333" s="5" t="s">
        <v>19049</v>
      </c>
      <c r="AG3333" s="5" t="s">
        <v>13508</v>
      </c>
      <c r="AH3333" s="43">
        <v>44391</v>
      </c>
      <c r="AI3333" s="5">
        <v>1</v>
      </c>
      <c r="AJ3333" s="5" t="s">
        <v>19050</v>
      </c>
      <c r="AK3333" s="5" t="s">
        <v>19051</v>
      </c>
    </row>
    <row r="3334" spans="1:37" ht="36.75" customHeight="1" x14ac:dyDescent="0.35">
      <c r="A3334" s="21" t="s">
        <v>12448</v>
      </c>
      <c r="B3334" s="5" t="s">
        <v>37</v>
      </c>
      <c r="C3334" s="73" t="str">
        <f t="shared" si="60"/>
        <v>Closed</v>
      </c>
      <c r="D3334" s="47" t="s">
        <v>19052</v>
      </c>
      <c r="E3334" s="54" t="s">
        <v>19053</v>
      </c>
      <c r="F3334" s="5" t="s">
        <v>16397</v>
      </c>
      <c r="G3334" s="9">
        <f>DATE(2021,7,15)</f>
        <v>44392</v>
      </c>
      <c r="H3334" s="107">
        <v>0.59652777777777777</v>
      </c>
      <c r="I3334" s="5" t="s">
        <v>55</v>
      </c>
      <c r="J3334" s="7" t="s">
        <v>19054</v>
      </c>
      <c r="K3334" s="5" t="s">
        <v>406</v>
      </c>
      <c r="L3334" s="5" t="s">
        <v>19055</v>
      </c>
      <c r="M3334" s="5" t="s">
        <v>45</v>
      </c>
      <c r="N3334" s="5" t="s">
        <v>80</v>
      </c>
      <c r="O3334" s="5" t="s">
        <v>46</v>
      </c>
      <c r="P3334" s="7" t="s">
        <v>146</v>
      </c>
      <c r="Q3334" s="5" t="s">
        <v>19056</v>
      </c>
      <c r="R3334" s="5" t="s">
        <v>19056</v>
      </c>
      <c r="S3334" s="5">
        <v>0</v>
      </c>
      <c r="T3334" s="5">
        <v>0</v>
      </c>
      <c r="U3334" s="5">
        <v>0</v>
      </c>
      <c r="V3334" s="5">
        <v>0</v>
      </c>
      <c r="W3334" s="5">
        <v>0</v>
      </c>
      <c r="X3334" s="5">
        <v>0</v>
      </c>
      <c r="Y3334" s="5">
        <v>0</v>
      </c>
      <c r="Z3334" s="5">
        <v>0</v>
      </c>
      <c r="AA3334" s="5">
        <v>0</v>
      </c>
      <c r="AB3334" s="5">
        <v>0</v>
      </c>
      <c r="AC3334" s="5">
        <v>0</v>
      </c>
      <c r="AD3334" s="5">
        <v>0</v>
      </c>
      <c r="AE3334" s="7" t="s">
        <v>73</v>
      </c>
      <c r="AF3334" s="5" t="s">
        <v>19057</v>
      </c>
      <c r="AG3334" s="5" t="s">
        <v>17331</v>
      </c>
      <c r="AH3334" s="9">
        <f>DATE(2021,7,15)</f>
        <v>44392</v>
      </c>
      <c r="AI3334" s="5">
        <v>1</v>
      </c>
      <c r="AJ3334" s="5" t="s">
        <v>19058</v>
      </c>
      <c r="AK3334" s="5" t="s">
        <v>19059</v>
      </c>
    </row>
    <row r="3335" spans="1:37" ht="36.75" customHeight="1" x14ac:dyDescent="0.35">
      <c r="A3335" s="21" t="s">
        <v>12448</v>
      </c>
      <c r="B3335" s="5" t="s">
        <v>37</v>
      </c>
      <c r="C3335" s="73" t="str">
        <f t="shared" si="60"/>
        <v>Closed</v>
      </c>
      <c r="D3335" s="47" t="s">
        <v>19060</v>
      </c>
      <c r="E3335" s="54" t="s">
        <v>19061</v>
      </c>
      <c r="F3335" s="5" t="s">
        <v>17638</v>
      </c>
      <c r="G3335" s="9">
        <f>DATE(2021,7,15)</f>
        <v>44392</v>
      </c>
      <c r="H3335" s="107">
        <v>0.79166666666666663</v>
      </c>
      <c r="I3335" s="5" t="s">
        <v>55</v>
      </c>
      <c r="J3335" s="7" t="s">
        <v>19062</v>
      </c>
      <c r="K3335" s="5" t="s">
        <v>1555</v>
      </c>
      <c r="L3335" s="5" t="s">
        <v>19063</v>
      </c>
      <c r="M3335" s="5" t="s">
        <v>45</v>
      </c>
      <c r="N3335" s="5" t="s">
        <v>123</v>
      </c>
      <c r="O3335" s="5" t="s">
        <v>59</v>
      </c>
      <c r="P3335" s="7" t="s">
        <v>60</v>
      </c>
      <c r="Q3335" s="5" t="s">
        <v>18008</v>
      </c>
      <c r="R3335" s="5" t="s">
        <v>18956</v>
      </c>
      <c r="S3335" s="5">
        <v>0</v>
      </c>
      <c r="T3335" s="5">
        <v>0</v>
      </c>
      <c r="U3335" s="5">
        <v>0</v>
      </c>
      <c r="V3335" s="5">
        <v>0</v>
      </c>
      <c r="W3335" s="5">
        <v>0</v>
      </c>
      <c r="X3335" s="5">
        <v>0</v>
      </c>
      <c r="Y3335" s="5">
        <v>0</v>
      </c>
      <c r="Z3335" s="5">
        <v>0</v>
      </c>
      <c r="AA3335" s="5">
        <v>0</v>
      </c>
      <c r="AB3335" s="5">
        <v>0</v>
      </c>
      <c r="AC3335" s="5">
        <v>0</v>
      </c>
      <c r="AD3335" s="5">
        <v>0</v>
      </c>
      <c r="AE3335" s="5" t="s">
        <v>73</v>
      </c>
      <c r="AF3335" s="5" t="s">
        <v>19064</v>
      </c>
      <c r="AG3335" s="5" t="s">
        <v>8837</v>
      </c>
      <c r="AH3335" s="9">
        <v>44396</v>
      </c>
      <c r="AI3335" s="5">
        <v>1</v>
      </c>
      <c r="AJ3335" s="5" t="s">
        <v>19065</v>
      </c>
      <c r="AK3335" s="5" t="s">
        <v>19066</v>
      </c>
    </row>
    <row r="3336" spans="1:37" ht="49.15" customHeight="1" x14ac:dyDescent="0.35">
      <c r="A3336" s="21" t="s">
        <v>12448</v>
      </c>
      <c r="B3336" s="5" t="s">
        <v>37</v>
      </c>
      <c r="C3336" s="73" t="str">
        <f t="shared" si="60"/>
        <v>Closed</v>
      </c>
      <c r="D3336" s="47" t="s">
        <v>19067</v>
      </c>
      <c r="E3336" s="54" t="s">
        <v>19068</v>
      </c>
      <c r="F3336" s="5" t="s">
        <v>17638</v>
      </c>
      <c r="G3336" s="9">
        <f>DATE(2021,7,18)</f>
        <v>44395</v>
      </c>
      <c r="H3336" s="107">
        <v>0.74305555555555547</v>
      </c>
      <c r="I3336" s="5" t="s">
        <v>106</v>
      </c>
      <c r="J3336" s="7" t="s">
        <v>19069</v>
      </c>
      <c r="K3336" s="5" t="s">
        <v>1555</v>
      </c>
      <c r="L3336" s="5" t="s">
        <v>19070</v>
      </c>
      <c r="M3336" s="5" t="s">
        <v>45</v>
      </c>
      <c r="N3336" s="5" t="s">
        <v>123</v>
      </c>
      <c r="O3336" s="5" t="s">
        <v>59</v>
      </c>
      <c r="P3336" s="7" t="s">
        <v>146</v>
      </c>
      <c r="Q3336" s="5" t="s">
        <v>19071</v>
      </c>
      <c r="R3336" s="5" t="s">
        <v>17642</v>
      </c>
      <c r="S3336" s="5">
        <v>0</v>
      </c>
      <c r="T3336" s="5">
        <v>0</v>
      </c>
      <c r="U3336" s="5">
        <v>0</v>
      </c>
      <c r="V3336" s="5">
        <v>0</v>
      </c>
      <c r="W3336" s="5">
        <v>0</v>
      </c>
      <c r="X3336" s="5">
        <v>0</v>
      </c>
      <c r="Y3336" s="5">
        <v>0</v>
      </c>
      <c r="Z3336" s="5">
        <v>0</v>
      </c>
      <c r="AA3336" s="5">
        <v>0</v>
      </c>
      <c r="AB3336" s="5">
        <v>0</v>
      </c>
      <c r="AC3336" s="5">
        <v>0</v>
      </c>
      <c r="AD3336" s="5">
        <v>0</v>
      </c>
      <c r="AE3336" s="5" t="s">
        <v>375</v>
      </c>
      <c r="AF3336" s="5" t="s">
        <v>19072</v>
      </c>
      <c r="AG3336" s="5" t="s">
        <v>8837</v>
      </c>
      <c r="AH3336" s="9" t="s">
        <v>19073</v>
      </c>
      <c r="AI3336" s="5">
        <v>0</v>
      </c>
      <c r="AJ3336" s="5" t="s">
        <v>19074</v>
      </c>
      <c r="AK3336" s="5" t="s">
        <v>19075</v>
      </c>
    </row>
    <row r="3337" spans="1:37" ht="36.75" customHeight="1" x14ac:dyDescent="0.35">
      <c r="A3337" s="21" t="s">
        <v>12448</v>
      </c>
      <c r="B3337" s="5" t="s">
        <v>37</v>
      </c>
      <c r="C3337" s="73" t="str">
        <f t="shared" si="60"/>
        <v>Closed</v>
      </c>
      <c r="D3337" s="47" t="s">
        <v>19076</v>
      </c>
      <c r="E3337" s="54" t="s">
        <v>19077</v>
      </c>
      <c r="F3337" s="5" t="s">
        <v>12887</v>
      </c>
      <c r="G3337" s="9">
        <f>DATE(2021,7,18)</f>
        <v>44395</v>
      </c>
      <c r="H3337" s="107">
        <v>1.9548611111111112</v>
      </c>
      <c r="I3337" s="5" t="s">
        <v>179</v>
      </c>
      <c r="J3337" s="5" t="s">
        <v>19078</v>
      </c>
      <c r="K3337" s="5" t="s">
        <v>434</v>
      </c>
      <c r="L3337" s="5" t="s">
        <v>19079</v>
      </c>
      <c r="M3337" s="5" t="s">
        <v>45</v>
      </c>
      <c r="N3337" s="5" t="s">
        <v>80</v>
      </c>
      <c r="O3337" s="5" t="s">
        <v>71</v>
      </c>
      <c r="P3337" s="5" t="s">
        <v>72</v>
      </c>
      <c r="Q3337" s="5" t="s">
        <v>14350</v>
      </c>
      <c r="R3337" s="5" t="s">
        <v>553</v>
      </c>
      <c r="S3337" s="5">
        <v>0</v>
      </c>
      <c r="T3337" s="5">
        <v>0</v>
      </c>
      <c r="U3337" s="5">
        <v>0</v>
      </c>
      <c r="V3337" s="5">
        <v>0</v>
      </c>
      <c r="W3337" s="5">
        <v>0</v>
      </c>
      <c r="X3337" s="5">
        <v>0</v>
      </c>
      <c r="Y3337" s="5">
        <v>0</v>
      </c>
      <c r="Z3337" s="5">
        <v>0</v>
      </c>
      <c r="AA3337" s="5">
        <v>0</v>
      </c>
      <c r="AB3337" s="5">
        <v>0</v>
      </c>
      <c r="AC3337" s="5">
        <v>0</v>
      </c>
      <c r="AD3337" s="5">
        <v>0</v>
      </c>
      <c r="AE3337" s="5" t="s">
        <v>126</v>
      </c>
      <c r="AF3337" s="5" t="s">
        <v>693</v>
      </c>
      <c r="AG3337" s="5" t="s">
        <v>6438</v>
      </c>
      <c r="AH3337" s="43">
        <v>44417</v>
      </c>
      <c r="AI3337" s="5">
        <v>0</v>
      </c>
      <c r="AJ3337" s="5" t="s">
        <v>19080</v>
      </c>
      <c r="AK3337" s="5" t="s">
        <v>19081</v>
      </c>
    </row>
    <row r="3338" spans="1:37" ht="36.75" customHeight="1" x14ac:dyDescent="0.35">
      <c r="A3338" s="21" t="s">
        <v>12448</v>
      </c>
      <c r="B3338" s="5" t="s">
        <v>37</v>
      </c>
      <c r="C3338" s="73" t="str">
        <f t="shared" si="60"/>
        <v>Closed</v>
      </c>
      <c r="D3338" s="47" t="s">
        <v>19082</v>
      </c>
      <c r="E3338" s="54" t="s">
        <v>19083</v>
      </c>
      <c r="F3338" s="5" t="s">
        <v>17638</v>
      </c>
      <c r="G3338" s="9">
        <f>DATE(2021,7,20)</f>
        <v>44397</v>
      </c>
      <c r="H3338" s="107" t="s">
        <v>19084</v>
      </c>
      <c r="I3338" s="48" t="s">
        <v>55</v>
      </c>
      <c r="J3338" s="62" t="s">
        <v>19085</v>
      </c>
      <c r="K3338" s="48" t="s">
        <v>1555</v>
      </c>
      <c r="L3338" s="48" t="s">
        <v>19086</v>
      </c>
      <c r="M3338" s="48" t="s">
        <v>45</v>
      </c>
      <c r="N3338" s="48" t="s">
        <v>123</v>
      </c>
      <c r="O3338" s="48" t="s">
        <v>59</v>
      </c>
      <c r="P3338" s="62" t="s">
        <v>60</v>
      </c>
      <c r="Q3338" s="62" t="s">
        <v>19087</v>
      </c>
      <c r="R3338" s="62" t="s">
        <v>17642</v>
      </c>
      <c r="S3338" s="48">
        <v>0</v>
      </c>
      <c r="T3338" s="48">
        <v>0</v>
      </c>
      <c r="U3338" s="48">
        <v>0</v>
      </c>
      <c r="V3338" s="48">
        <v>0</v>
      </c>
      <c r="W3338" s="48">
        <v>0</v>
      </c>
      <c r="X3338" s="48">
        <v>0</v>
      </c>
      <c r="Y3338" s="48">
        <v>0</v>
      </c>
      <c r="Z3338" s="48">
        <v>0</v>
      </c>
      <c r="AA3338" s="48">
        <v>0</v>
      </c>
      <c r="AB3338" s="48">
        <v>0</v>
      </c>
      <c r="AC3338" s="48">
        <v>0</v>
      </c>
      <c r="AD3338" s="48">
        <v>0</v>
      </c>
      <c r="AE3338" s="62" t="s">
        <v>375</v>
      </c>
      <c r="AF3338" s="62" t="s">
        <v>19088</v>
      </c>
      <c r="AG3338" s="62" t="s">
        <v>8837</v>
      </c>
      <c r="AH3338" s="43" t="s">
        <v>19089</v>
      </c>
      <c r="AI3338" s="48">
        <v>1</v>
      </c>
      <c r="AJ3338" s="62" t="s">
        <v>19090</v>
      </c>
      <c r="AK3338" s="62" t="s">
        <v>19091</v>
      </c>
    </row>
    <row r="3339" spans="1:37" ht="36.75" customHeight="1" x14ac:dyDescent="0.35">
      <c r="A3339" s="21" t="s">
        <v>12448</v>
      </c>
      <c r="B3339" s="5" t="s">
        <v>887</v>
      </c>
      <c r="C3339" s="73" t="str">
        <f t="shared" si="60"/>
        <v>Open</v>
      </c>
      <c r="D3339" s="47" t="s">
        <v>19092</v>
      </c>
      <c r="E3339" s="54" t="s">
        <v>19093</v>
      </c>
      <c r="F3339" s="5" t="s">
        <v>19094</v>
      </c>
      <c r="G3339" s="9">
        <f>DATE(2021,7,21)</f>
        <v>44398</v>
      </c>
      <c r="H3339" s="107">
        <v>0.4201388888888889</v>
      </c>
      <c r="I3339" s="5" t="s">
        <v>5473</v>
      </c>
      <c r="J3339" s="5" t="s">
        <v>19095</v>
      </c>
      <c r="K3339" s="5" t="s">
        <v>1921</v>
      </c>
      <c r="L3339" s="5" t="s">
        <v>19096</v>
      </c>
      <c r="M3339" s="5" t="s">
        <v>45</v>
      </c>
      <c r="N3339" s="5" t="s">
        <v>123</v>
      </c>
      <c r="O3339" s="5" t="s">
        <v>59</v>
      </c>
      <c r="P3339" s="5" t="s">
        <v>146</v>
      </c>
      <c r="Q3339" s="5" t="s">
        <v>17679</v>
      </c>
      <c r="R3339" s="5" t="s">
        <v>17679</v>
      </c>
      <c r="S3339" s="5">
        <v>0</v>
      </c>
      <c r="T3339" s="5">
        <v>0</v>
      </c>
      <c r="U3339" s="5">
        <v>0</v>
      </c>
      <c r="V3339" s="5">
        <v>0</v>
      </c>
      <c r="W3339" s="5">
        <v>0</v>
      </c>
      <c r="X3339" s="5">
        <v>0</v>
      </c>
      <c r="Y3339" s="5">
        <v>0</v>
      </c>
      <c r="Z3339" s="5">
        <v>0</v>
      </c>
      <c r="AA3339" s="5">
        <v>0</v>
      </c>
      <c r="AB3339" s="5">
        <v>0</v>
      </c>
      <c r="AC3339" s="5">
        <v>0</v>
      </c>
      <c r="AD3339" s="5">
        <v>0</v>
      </c>
      <c r="AE3339" s="5" t="s">
        <v>73</v>
      </c>
      <c r="AF3339" s="5" t="s">
        <v>19097</v>
      </c>
      <c r="AG3339" s="5" t="s">
        <v>6438</v>
      </c>
      <c r="AH3339" s="43">
        <v>44398</v>
      </c>
      <c r="AI3339" s="5"/>
      <c r="AJ3339" s="5"/>
      <c r="AK3339" s="5"/>
    </row>
    <row r="3340" spans="1:37" ht="36.75" customHeight="1" x14ac:dyDescent="0.35">
      <c r="A3340" s="21" t="s">
        <v>12448</v>
      </c>
      <c r="B3340" s="5" t="s">
        <v>37</v>
      </c>
      <c r="C3340" s="73" t="str">
        <f t="shared" si="60"/>
        <v>Closed</v>
      </c>
      <c r="D3340" s="47" t="s">
        <v>19098</v>
      </c>
      <c r="E3340" s="54" t="s">
        <v>19099</v>
      </c>
      <c r="F3340" s="5" t="s">
        <v>17638</v>
      </c>
      <c r="G3340" s="9">
        <f>DATE(2021,7,21)</f>
        <v>44398</v>
      </c>
      <c r="H3340" s="107">
        <v>0.58680555555555558</v>
      </c>
      <c r="I3340" s="48" t="s">
        <v>55</v>
      </c>
      <c r="J3340" s="62" t="s">
        <v>19100</v>
      </c>
      <c r="K3340" s="48" t="s">
        <v>1555</v>
      </c>
      <c r="L3340" s="48" t="s">
        <v>11886</v>
      </c>
      <c r="M3340" s="48" t="s">
        <v>45</v>
      </c>
      <c r="N3340" s="48" t="s">
        <v>123</v>
      </c>
      <c r="O3340" s="48" t="s">
        <v>59</v>
      </c>
      <c r="P3340" s="62" t="s">
        <v>60</v>
      </c>
      <c r="Q3340" s="62" t="s">
        <v>19101</v>
      </c>
      <c r="R3340" s="62" t="s">
        <v>17642</v>
      </c>
      <c r="S3340" s="48">
        <v>0</v>
      </c>
      <c r="T3340" s="48">
        <v>0</v>
      </c>
      <c r="U3340" s="48">
        <v>0</v>
      </c>
      <c r="V3340" s="48">
        <v>0</v>
      </c>
      <c r="W3340" s="48">
        <v>0</v>
      </c>
      <c r="X3340" s="48">
        <v>0</v>
      </c>
      <c r="Y3340" s="48">
        <v>0</v>
      </c>
      <c r="Z3340" s="48">
        <v>0</v>
      </c>
      <c r="AA3340" s="48">
        <v>0</v>
      </c>
      <c r="AB3340" s="48">
        <v>0</v>
      </c>
      <c r="AC3340" s="48">
        <v>0</v>
      </c>
      <c r="AD3340" s="48">
        <v>0</v>
      </c>
      <c r="AE3340" s="62" t="s">
        <v>73</v>
      </c>
      <c r="AF3340" s="62" t="s">
        <v>19102</v>
      </c>
      <c r="AG3340" s="62" t="s">
        <v>8837</v>
      </c>
      <c r="AH3340" s="43" t="s">
        <v>19089</v>
      </c>
      <c r="AI3340" s="48">
        <v>2</v>
      </c>
      <c r="AJ3340" s="62" t="s">
        <v>19103</v>
      </c>
      <c r="AK3340" s="62" t="s">
        <v>19104</v>
      </c>
    </row>
    <row r="3341" spans="1:37" ht="28.9" customHeight="1" x14ac:dyDescent="0.35">
      <c r="A3341" s="21" t="s">
        <v>12448</v>
      </c>
      <c r="B3341" s="5" t="s">
        <v>37</v>
      </c>
      <c r="C3341" s="73" t="str">
        <f t="shared" si="60"/>
        <v>Closed</v>
      </c>
      <c r="D3341" s="47" t="s">
        <v>19105</v>
      </c>
      <c r="E3341" s="54" t="s">
        <v>19106</v>
      </c>
      <c r="F3341" s="5" t="s">
        <v>19107</v>
      </c>
      <c r="G3341" s="9">
        <f>DATE(2021,7,26)</f>
        <v>44403</v>
      </c>
      <c r="H3341" s="107">
        <v>0.1875</v>
      </c>
      <c r="I3341" s="5" t="s">
        <v>259</v>
      </c>
      <c r="J3341" s="5" t="s">
        <v>19108</v>
      </c>
      <c r="K3341" s="5" t="s">
        <v>19109</v>
      </c>
      <c r="L3341" s="5" t="s">
        <v>19110</v>
      </c>
      <c r="M3341" s="5" t="s">
        <v>45</v>
      </c>
      <c r="N3341" s="5" t="s">
        <v>123</v>
      </c>
      <c r="O3341" s="5" t="s">
        <v>46</v>
      </c>
      <c r="P3341" s="5" t="s">
        <v>6881</v>
      </c>
      <c r="Q3341" s="5" t="s">
        <v>19111</v>
      </c>
      <c r="R3341" s="5" t="s">
        <v>19112</v>
      </c>
      <c r="S3341" s="5">
        <v>0</v>
      </c>
      <c r="T3341" s="5">
        <v>0</v>
      </c>
      <c r="U3341" s="5">
        <v>0</v>
      </c>
      <c r="V3341" s="5">
        <v>1</v>
      </c>
      <c r="W3341" s="5">
        <v>0</v>
      </c>
      <c r="X3341" s="5">
        <v>1</v>
      </c>
      <c r="Y3341" s="5">
        <v>0</v>
      </c>
      <c r="Z3341" s="5">
        <v>0</v>
      </c>
      <c r="AA3341" s="5">
        <v>0</v>
      </c>
      <c r="AB3341" s="5">
        <v>0</v>
      </c>
      <c r="AC3341" s="5">
        <v>0</v>
      </c>
      <c r="AD3341" s="5">
        <v>0</v>
      </c>
      <c r="AE3341" s="5" t="s">
        <v>73</v>
      </c>
      <c r="AF3341" s="5" t="s">
        <v>10534</v>
      </c>
      <c r="AG3341" s="5" t="s">
        <v>13508</v>
      </c>
      <c r="AH3341" s="43">
        <v>44403</v>
      </c>
      <c r="AI3341" s="5">
        <v>1</v>
      </c>
      <c r="AJ3341" s="5"/>
      <c r="AK3341" s="5"/>
    </row>
    <row r="3342" spans="1:37" ht="23.65" customHeight="1" x14ac:dyDescent="0.35">
      <c r="A3342" s="5" t="s">
        <v>12448</v>
      </c>
      <c r="B3342" s="5" t="s">
        <v>37</v>
      </c>
      <c r="C3342" s="73" t="str">
        <f t="shared" si="60"/>
        <v>Closed</v>
      </c>
      <c r="D3342" s="47" t="s">
        <v>19113</v>
      </c>
      <c r="E3342" s="54" t="s">
        <v>19114</v>
      </c>
      <c r="F3342" s="5" t="s">
        <v>17305</v>
      </c>
      <c r="G3342" s="9">
        <f>DATE(2021,7,27)</f>
        <v>44404</v>
      </c>
      <c r="H3342" s="107" t="s">
        <v>19115</v>
      </c>
      <c r="I3342" s="48" t="s">
        <v>19116</v>
      </c>
      <c r="J3342" s="62" t="s">
        <v>19117</v>
      </c>
      <c r="K3342" s="48" t="s">
        <v>108</v>
      </c>
      <c r="L3342" s="48" t="s">
        <v>19118</v>
      </c>
      <c r="M3342" s="48" t="s">
        <v>45</v>
      </c>
      <c r="N3342" s="48" t="s">
        <v>80</v>
      </c>
      <c r="O3342" s="48" t="s">
        <v>59</v>
      </c>
      <c r="P3342" s="62" t="s">
        <v>67</v>
      </c>
      <c r="Q3342" s="62" t="s">
        <v>19119</v>
      </c>
      <c r="R3342" s="62" t="s">
        <v>148</v>
      </c>
      <c r="S3342" s="48">
        <v>0</v>
      </c>
      <c r="T3342" s="48">
        <v>0</v>
      </c>
      <c r="U3342" s="48">
        <v>0</v>
      </c>
      <c r="V3342" s="48">
        <v>0</v>
      </c>
      <c r="W3342" s="48">
        <v>0</v>
      </c>
      <c r="X3342" s="48">
        <v>0</v>
      </c>
      <c r="Y3342" s="48">
        <v>0</v>
      </c>
      <c r="Z3342" s="48">
        <v>0</v>
      </c>
      <c r="AA3342" s="48">
        <v>0</v>
      </c>
      <c r="AB3342" s="48">
        <v>0</v>
      </c>
      <c r="AC3342" s="48">
        <v>0</v>
      </c>
      <c r="AD3342" s="48">
        <v>0</v>
      </c>
      <c r="AE3342" s="62" t="s">
        <v>126</v>
      </c>
      <c r="AF3342" s="62" t="s">
        <v>19120</v>
      </c>
      <c r="AG3342" s="62" t="s">
        <v>8837</v>
      </c>
      <c r="AH3342" s="62">
        <v>44419</v>
      </c>
      <c r="AI3342" s="48">
        <v>3</v>
      </c>
      <c r="AJ3342" s="62" t="s">
        <v>19121</v>
      </c>
      <c r="AK3342" s="62" t="s">
        <v>19122</v>
      </c>
    </row>
    <row r="3343" spans="1:37" ht="27.65" customHeight="1" x14ac:dyDescent="0.35">
      <c r="A3343" s="21" t="s">
        <v>12448</v>
      </c>
      <c r="B3343" s="5" t="s">
        <v>37</v>
      </c>
      <c r="C3343" s="73" t="str">
        <f t="shared" si="60"/>
        <v>Closed</v>
      </c>
      <c r="D3343" s="47" t="s">
        <v>19123</v>
      </c>
      <c r="E3343" s="54" t="s">
        <v>19124</v>
      </c>
      <c r="F3343" s="5" t="s">
        <v>17537</v>
      </c>
      <c r="G3343" s="9">
        <f>DATE(2021,7,28)</f>
        <v>44405</v>
      </c>
      <c r="H3343" s="107" t="s">
        <v>18974</v>
      </c>
      <c r="I3343" s="48" t="s">
        <v>55</v>
      </c>
      <c r="J3343" s="62" t="s">
        <v>19125</v>
      </c>
      <c r="K3343" s="48" t="s">
        <v>818</v>
      </c>
      <c r="L3343" s="48" t="s">
        <v>19126</v>
      </c>
      <c r="M3343" s="48" t="s">
        <v>45</v>
      </c>
      <c r="N3343" s="48" t="s">
        <v>70</v>
      </c>
      <c r="O3343" s="48" t="s">
        <v>59</v>
      </c>
      <c r="P3343" s="62" t="s">
        <v>362</v>
      </c>
      <c r="Q3343" s="62" t="s">
        <v>821</v>
      </c>
      <c r="R3343" s="62" t="s">
        <v>2142</v>
      </c>
      <c r="S3343" s="48">
        <v>0</v>
      </c>
      <c r="T3343" s="48">
        <v>0</v>
      </c>
      <c r="U3343" s="48">
        <v>0</v>
      </c>
      <c r="V3343" s="48">
        <v>0</v>
      </c>
      <c r="W3343" s="48">
        <v>0</v>
      </c>
      <c r="X3343" s="48">
        <v>0</v>
      </c>
      <c r="Y3343" s="48">
        <v>0</v>
      </c>
      <c r="Z3343" s="48">
        <v>0</v>
      </c>
      <c r="AA3343" s="48">
        <v>0</v>
      </c>
      <c r="AB3343" s="48">
        <v>0</v>
      </c>
      <c r="AC3343" s="48">
        <v>0</v>
      </c>
      <c r="AD3343" s="48">
        <v>0</v>
      </c>
      <c r="AE3343" s="62" t="s">
        <v>73</v>
      </c>
      <c r="AF3343" s="62" t="s">
        <v>860</v>
      </c>
      <c r="AG3343" s="62" t="s">
        <v>13508</v>
      </c>
      <c r="AH3343" s="62" t="s">
        <v>19127</v>
      </c>
      <c r="AI3343" s="48">
        <v>0</v>
      </c>
      <c r="AJ3343" s="62" t="s">
        <v>19128</v>
      </c>
      <c r="AK3343" s="62" t="s">
        <v>19129</v>
      </c>
    </row>
    <row r="3344" spans="1:37" ht="27.75" customHeight="1" x14ac:dyDescent="0.35">
      <c r="A3344" s="21" t="s">
        <v>12448</v>
      </c>
      <c r="B3344" s="5" t="s">
        <v>37</v>
      </c>
      <c r="C3344" s="73" t="str">
        <f t="shared" si="60"/>
        <v>Closed</v>
      </c>
      <c r="D3344" s="47" t="s">
        <v>19130</v>
      </c>
      <c r="E3344" s="54" t="s">
        <v>19131</v>
      </c>
      <c r="F3344" s="5" t="s">
        <v>17638</v>
      </c>
      <c r="G3344" s="9">
        <f>DATE(2021,7,28)</f>
        <v>44405</v>
      </c>
      <c r="H3344" s="107" t="s">
        <v>19132</v>
      </c>
      <c r="I3344" s="48" t="s">
        <v>179</v>
      </c>
      <c r="J3344" s="62" t="s">
        <v>19133</v>
      </c>
      <c r="K3344" s="48" t="s">
        <v>1555</v>
      </c>
      <c r="L3344" s="48" t="s">
        <v>19134</v>
      </c>
      <c r="M3344" s="48" t="s">
        <v>45</v>
      </c>
      <c r="N3344" s="48" t="s">
        <v>123</v>
      </c>
      <c r="O3344" s="48" t="s">
        <v>59</v>
      </c>
      <c r="P3344" s="62" t="s">
        <v>60</v>
      </c>
      <c r="Q3344" s="62" t="s">
        <v>19135</v>
      </c>
      <c r="R3344" s="62" t="s">
        <v>18956</v>
      </c>
      <c r="S3344" s="48">
        <v>0</v>
      </c>
      <c r="T3344" s="48">
        <v>0</v>
      </c>
      <c r="U3344" s="48">
        <v>0</v>
      </c>
      <c r="V3344" s="48">
        <v>0</v>
      </c>
      <c r="W3344" s="48">
        <v>0</v>
      </c>
      <c r="X3344" s="48">
        <v>0</v>
      </c>
      <c r="Y3344" s="48">
        <v>0</v>
      </c>
      <c r="Z3344" s="48">
        <v>0</v>
      </c>
      <c r="AA3344" s="48">
        <v>0</v>
      </c>
      <c r="AB3344" s="48">
        <v>0</v>
      </c>
      <c r="AC3344" s="48">
        <v>0</v>
      </c>
      <c r="AD3344" s="48">
        <v>0</v>
      </c>
      <c r="AE3344" s="62" t="s">
        <v>375</v>
      </c>
      <c r="AF3344" s="62" t="s">
        <v>19136</v>
      </c>
      <c r="AG3344" s="62" t="s">
        <v>8837</v>
      </c>
      <c r="AH3344" s="62" t="s">
        <v>19137</v>
      </c>
      <c r="AI3344" s="48">
        <v>4</v>
      </c>
      <c r="AJ3344" s="62" t="s">
        <v>19138</v>
      </c>
      <c r="AK3344" s="62" t="s">
        <v>19139</v>
      </c>
    </row>
    <row r="3345" spans="1:37" ht="32.65" customHeight="1" x14ac:dyDescent="0.35">
      <c r="A3345" s="21" t="s">
        <v>12448</v>
      </c>
      <c r="B3345" s="5" t="s">
        <v>37</v>
      </c>
      <c r="C3345" s="73" t="str">
        <f t="shared" si="60"/>
        <v>Closed</v>
      </c>
      <c r="D3345" s="47" t="s">
        <v>19140</v>
      </c>
      <c r="E3345" s="54" t="s">
        <v>19141</v>
      </c>
      <c r="F3345" s="5" t="s">
        <v>17018</v>
      </c>
      <c r="G3345" s="9">
        <f>DATE(2021,7,29)</f>
        <v>44406</v>
      </c>
      <c r="H3345" s="107" t="s">
        <v>19142</v>
      </c>
      <c r="I3345" s="48" t="s">
        <v>97</v>
      </c>
      <c r="J3345" s="62" t="s">
        <v>19143</v>
      </c>
      <c r="K3345" s="48" t="s">
        <v>2318</v>
      </c>
      <c r="L3345" s="5" t="s">
        <v>19144</v>
      </c>
      <c r="M3345" s="48" t="s">
        <v>45</v>
      </c>
      <c r="N3345" s="48" t="s">
        <v>80</v>
      </c>
      <c r="O3345" s="48" t="s">
        <v>46</v>
      </c>
      <c r="P3345" s="62" t="s">
        <v>146</v>
      </c>
      <c r="Q3345" s="62" t="s">
        <v>4467</v>
      </c>
      <c r="R3345" s="62" t="s">
        <v>2321</v>
      </c>
      <c r="S3345" s="48">
        <v>0</v>
      </c>
      <c r="T3345" s="48">
        <v>0</v>
      </c>
      <c r="U3345" s="48">
        <v>0</v>
      </c>
      <c r="V3345" s="48">
        <v>0</v>
      </c>
      <c r="W3345" s="48">
        <v>0</v>
      </c>
      <c r="X3345" s="48">
        <v>0</v>
      </c>
      <c r="Y3345" s="48">
        <v>0</v>
      </c>
      <c r="Z3345" s="48">
        <v>0</v>
      </c>
      <c r="AA3345" s="48">
        <v>0</v>
      </c>
      <c r="AB3345" s="48">
        <v>0</v>
      </c>
      <c r="AC3345" s="48">
        <v>0</v>
      </c>
      <c r="AD3345" s="48">
        <v>0</v>
      </c>
      <c r="AE3345" s="62" t="s">
        <v>375</v>
      </c>
      <c r="AF3345" s="62" t="s">
        <v>19145</v>
      </c>
      <c r="AG3345" s="62" t="s">
        <v>8837</v>
      </c>
      <c r="AH3345" s="62">
        <v>44419</v>
      </c>
      <c r="AI3345" s="48">
        <v>4</v>
      </c>
      <c r="AJ3345" s="62" t="s">
        <v>19146</v>
      </c>
      <c r="AK3345" s="62" t="s">
        <v>19147</v>
      </c>
    </row>
    <row r="3346" spans="1:37" ht="30.75" customHeight="1" x14ac:dyDescent="0.35">
      <c r="A3346" s="21" t="s">
        <v>12448</v>
      </c>
      <c r="B3346" s="5" t="s">
        <v>37</v>
      </c>
      <c r="C3346" s="73" t="str">
        <f t="shared" si="60"/>
        <v>Closed</v>
      </c>
      <c r="D3346" s="47" t="s">
        <v>19148</v>
      </c>
      <c r="E3346" s="54" t="s">
        <v>19149</v>
      </c>
      <c r="F3346" s="5" t="s">
        <v>17728</v>
      </c>
      <c r="G3346" s="9">
        <f>DATE(2021,7,31)</f>
        <v>44408</v>
      </c>
      <c r="H3346" s="107" t="s">
        <v>19150</v>
      </c>
      <c r="I3346" s="48" t="s">
        <v>55</v>
      </c>
      <c r="J3346" s="62" t="s">
        <v>19151</v>
      </c>
      <c r="K3346" s="48" t="s">
        <v>2583</v>
      </c>
      <c r="L3346" s="48" t="s">
        <v>19152</v>
      </c>
      <c r="M3346" s="48" t="s">
        <v>45</v>
      </c>
      <c r="N3346" s="48" t="s">
        <v>80</v>
      </c>
      <c r="O3346" s="48" t="s">
        <v>46</v>
      </c>
      <c r="P3346" s="62" t="s">
        <v>60</v>
      </c>
      <c r="Q3346" s="62" t="s">
        <v>19153</v>
      </c>
      <c r="R3346" s="62" t="s">
        <v>19154</v>
      </c>
      <c r="S3346" s="48">
        <v>0</v>
      </c>
      <c r="T3346" s="48">
        <v>0</v>
      </c>
      <c r="U3346" s="48">
        <v>0</v>
      </c>
      <c r="V3346" s="48">
        <v>0</v>
      </c>
      <c r="W3346" s="48">
        <v>0</v>
      </c>
      <c r="X3346" s="48">
        <v>0</v>
      </c>
      <c r="Y3346" s="48">
        <v>0</v>
      </c>
      <c r="Z3346" s="48">
        <v>0</v>
      </c>
      <c r="AA3346" s="48">
        <v>0</v>
      </c>
      <c r="AB3346" s="48">
        <v>0</v>
      </c>
      <c r="AC3346" s="48">
        <v>0</v>
      </c>
      <c r="AD3346" s="48">
        <v>0</v>
      </c>
      <c r="AE3346" s="62" t="s">
        <v>73</v>
      </c>
      <c r="AF3346" s="62" t="s">
        <v>19155</v>
      </c>
      <c r="AG3346" s="62" t="s">
        <v>8837</v>
      </c>
      <c r="AH3346" s="62" t="s">
        <v>19137</v>
      </c>
      <c r="AI3346" s="48">
        <v>3</v>
      </c>
      <c r="AJ3346" s="62" t="s">
        <v>19156</v>
      </c>
      <c r="AK3346" s="62" t="s">
        <v>19157</v>
      </c>
    </row>
    <row r="3347" spans="1:37" ht="32.65" customHeight="1" x14ac:dyDescent="0.35">
      <c r="A3347" s="21" t="s">
        <v>12448</v>
      </c>
      <c r="B3347" s="5" t="s">
        <v>37</v>
      </c>
      <c r="C3347" s="73" t="str">
        <f t="shared" si="60"/>
        <v>Closed</v>
      </c>
      <c r="D3347" s="47" t="s">
        <v>19158</v>
      </c>
      <c r="E3347" s="54" t="s">
        <v>19159</v>
      </c>
      <c r="F3347" s="5" t="s">
        <v>16397</v>
      </c>
      <c r="G3347" s="9">
        <f>DATE(2021,7,31)</f>
        <v>44408</v>
      </c>
      <c r="H3347" s="107">
        <v>0.56111111111111112</v>
      </c>
      <c r="I3347" s="48" t="s">
        <v>179</v>
      </c>
      <c r="J3347" s="62" t="s">
        <v>19160</v>
      </c>
      <c r="K3347" s="48" t="s">
        <v>406</v>
      </c>
      <c r="L3347" s="48" t="s">
        <v>19161</v>
      </c>
      <c r="M3347" s="48" t="s">
        <v>45</v>
      </c>
      <c r="N3347" s="48" t="s">
        <v>80</v>
      </c>
      <c r="O3347" s="48" t="s">
        <v>59</v>
      </c>
      <c r="P3347" s="62" t="s">
        <v>19162</v>
      </c>
      <c r="Q3347" s="62" t="s">
        <v>18565</v>
      </c>
      <c r="R3347" s="62" t="s">
        <v>17330</v>
      </c>
      <c r="S3347" s="48">
        <v>0</v>
      </c>
      <c r="T3347" s="48">
        <v>0</v>
      </c>
      <c r="U3347" s="48">
        <v>0</v>
      </c>
      <c r="V3347" s="48">
        <v>0</v>
      </c>
      <c r="W3347" s="48">
        <v>0</v>
      </c>
      <c r="X3347" s="48">
        <v>0</v>
      </c>
      <c r="Y3347" s="48">
        <v>0</v>
      </c>
      <c r="Z3347" s="48">
        <v>0</v>
      </c>
      <c r="AA3347" s="48">
        <v>0</v>
      </c>
      <c r="AB3347" s="48">
        <v>0</v>
      </c>
      <c r="AC3347" s="48">
        <v>0</v>
      </c>
      <c r="AD3347" s="48">
        <v>0</v>
      </c>
      <c r="AE3347" s="62" t="s">
        <v>375</v>
      </c>
      <c r="AF3347" s="62" t="s">
        <v>19163</v>
      </c>
      <c r="AG3347" s="62" t="s">
        <v>16251</v>
      </c>
      <c r="AH3347" s="62">
        <v>44408</v>
      </c>
      <c r="AI3347" s="48">
        <v>1</v>
      </c>
      <c r="AJ3347" s="62" t="s">
        <v>19164</v>
      </c>
      <c r="AK3347" s="62" t="s">
        <v>860</v>
      </c>
    </row>
    <row r="3348" spans="1:37" ht="32.65" customHeight="1" x14ac:dyDescent="0.35">
      <c r="A3348" s="21" t="s">
        <v>12448</v>
      </c>
      <c r="B3348" s="5" t="s">
        <v>37</v>
      </c>
      <c r="C3348" s="73" t="str">
        <f t="shared" si="60"/>
        <v>Closed</v>
      </c>
      <c r="D3348" s="47" t="s">
        <v>19165</v>
      </c>
      <c r="E3348" s="54" t="s">
        <v>19166</v>
      </c>
      <c r="F3348" s="5" t="s">
        <v>17638</v>
      </c>
      <c r="G3348" s="9">
        <f>DATE(2021,8,1)</f>
        <v>44409</v>
      </c>
      <c r="H3348" s="107">
        <v>0.68055555555555547</v>
      </c>
      <c r="I3348" s="48" t="s">
        <v>55</v>
      </c>
      <c r="J3348" s="62" t="s">
        <v>19167</v>
      </c>
      <c r="K3348" s="48" t="s">
        <v>1555</v>
      </c>
      <c r="L3348" s="48" t="s">
        <v>19168</v>
      </c>
      <c r="M3348" s="48" t="s">
        <v>45</v>
      </c>
      <c r="N3348" s="48" t="s">
        <v>80</v>
      </c>
      <c r="O3348" s="48" t="s">
        <v>59</v>
      </c>
      <c r="P3348" s="62" t="s">
        <v>60</v>
      </c>
      <c r="Q3348" s="62" t="s">
        <v>18542</v>
      </c>
      <c r="R3348" s="62" t="s">
        <v>19169</v>
      </c>
      <c r="S3348" s="48">
        <v>0</v>
      </c>
      <c r="T3348" s="48">
        <v>0</v>
      </c>
      <c r="U3348" s="48">
        <v>0</v>
      </c>
      <c r="V3348" s="48">
        <v>0</v>
      </c>
      <c r="W3348" s="48">
        <v>0</v>
      </c>
      <c r="X3348" s="48">
        <v>0</v>
      </c>
      <c r="Y3348" s="48">
        <v>0</v>
      </c>
      <c r="Z3348" s="48">
        <v>0</v>
      </c>
      <c r="AA3348" s="48">
        <v>0</v>
      </c>
      <c r="AB3348" s="48">
        <v>0</v>
      </c>
      <c r="AC3348" s="48">
        <v>0</v>
      </c>
      <c r="AD3348" s="48">
        <v>0</v>
      </c>
      <c r="AE3348" s="62" t="s">
        <v>73</v>
      </c>
      <c r="AF3348" s="62" t="s">
        <v>19170</v>
      </c>
      <c r="AG3348" s="62" t="s">
        <v>8837</v>
      </c>
      <c r="AH3348" s="62">
        <v>44412</v>
      </c>
      <c r="AI3348" s="48">
        <v>2</v>
      </c>
      <c r="AJ3348" s="62" t="s">
        <v>19171</v>
      </c>
      <c r="AK3348" s="62" t="s">
        <v>19172</v>
      </c>
    </row>
    <row r="3349" spans="1:37" ht="36.75" customHeight="1" x14ac:dyDescent="0.35">
      <c r="A3349" s="21" t="s">
        <v>12448</v>
      </c>
      <c r="B3349" s="5" t="s">
        <v>37</v>
      </c>
      <c r="C3349" s="73" t="str">
        <f t="shared" si="60"/>
        <v>Closed</v>
      </c>
      <c r="D3349" s="47" t="s">
        <v>19174</v>
      </c>
      <c r="E3349" s="54" t="s">
        <v>19175</v>
      </c>
      <c r="F3349" s="5" t="s">
        <v>12887</v>
      </c>
      <c r="G3349" s="9">
        <f>DATE(2021,8,2)</f>
        <v>44410</v>
      </c>
      <c r="H3349" s="107">
        <v>1.2916666666666667</v>
      </c>
      <c r="I3349" s="5" t="s">
        <v>97</v>
      </c>
      <c r="J3349" s="5" t="s">
        <v>19176</v>
      </c>
      <c r="K3349" s="5" t="s">
        <v>434</v>
      </c>
      <c r="L3349" s="5" t="s">
        <v>19177</v>
      </c>
      <c r="M3349" s="5" t="s">
        <v>45</v>
      </c>
      <c r="N3349" s="5" t="s">
        <v>80</v>
      </c>
      <c r="O3349" s="5" t="s">
        <v>46</v>
      </c>
      <c r="P3349" s="5" t="s">
        <v>146</v>
      </c>
      <c r="Q3349" s="5" t="s">
        <v>12161</v>
      </c>
      <c r="R3349" s="5" t="s">
        <v>553</v>
      </c>
      <c r="S3349" s="5">
        <v>0</v>
      </c>
      <c r="T3349" s="5">
        <v>0</v>
      </c>
      <c r="U3349" s="5">
        <v>0</v>
      </c>
      <c r="V3349" s="5">
        <v>0</v>
      </c>
      <c r="W3349" s="5">
        <v>0</v>
      </c>
      <c r="X3349" s="5">
        <v>0</v>
      </c>
      <c r="Y3349" s="5">
        <v>0</v>
      </c>
      <c r="Z3349" s="5">
        <v>0</v>
      </c>
      <c r="AA3349" s="5">
        <v>2</v>
      </c>
      <c r="AB3349" s="5">
        <v>0</v>
      </c>
      <c r="AC3349" s="5">
        <v>0</v>
      </c>
      <c r="AD3349" s="5">
        <v>2</v>
      </c>
      <c r="AE3349" s="5" t="s">
        <v>73</v>
      </c>
      <c r="AF3349" s="5" t="s">
        <v>19178</v>
      </c>
      <c r="AG3349" s="5" t="s">
        <v>14532</v>
      </c>
      <c r="AH3349" s="43">
        <v>44417</v>
      </c>
      <c r="AI3349" s="5">
        <v>0</v>
      </c>
      <c r="AJ3349" s="5" t="s">
        <v>19179</v>
      </c>
      <c r="AK3349" s="5">
        <v>0</v>
      </c>
    </row>
    <row r="3350" spans="1:37" ht="36.75" customHeight="1" x14ac:dyDescent="0.35">
      <c r="A3350" s="21" t="s">
        <v>12448</v>
      </c>
      <c r="B3350" s="5" t="s">
        <v>14851</v>
      </c>
      <c r="C3350" s="73" t="str">
        <f t="shared" si="60"/>
        <v>In progress</v>
      </c>
      <c r="D3350" s="47" t="s">
        <v>19180</v>
      </c>
      <c r="E3350" s="54" t="s">
        <v>19181</v>
      </c>
      <c r="F3350" s="5" t="s">
        <v>16397</v>
      </c>
      <c r="G3350" s="9">
        <f>DATE(2021,8,4)</f>
        <v>44412</v>
      </c>
      <c r="H3350" s="107">
        <v>0.20694444444444446</v>
      </c>
      <c r="I3350" s="48" t="s">
        <v>55</v>
      </c>
      <c r="J3350" s="62" t="s">
        <v>19182</v>
      </c>
      <c r="K3350" s="48" t="s">
        <v>406</v>
      </c>
      <c r="L3350" s="48" t="s">
        <v>19183</v>
      </c>
      <c r="M3350" s="48" t="s">
        <v>45</v>
      </c>
      <c r="N3350" s="48" t="s">
        <v>123</v>
      </c>
      <c r="O3350" s="48" t="s">
        <v>59</v>
      </c>
      <c r="P3350" s="62" t="s">
        <v>60</v>
      </c>
      <c r="Q3350" s="62" t="s">
        <v>18043</v>
      </c>
      <c r="R3350" s="62" t="s">
        <v>17330</v>
      </c>
      <c r="S3350" s="48">
        <v>0</v>
      </c>
      <c r="T3350" s="48">
        <v>0</v>
      </c>
      <c r="U3350" s="48">
        <v>0</v>
      </c>
      <c r="V3350" s="48">
        <v>0</v>
      </c>
      <c r="W3350" s="48">
        <v>0</v>
      </c>
      <c r="X3350" s="48">
        <v>0</v>
      </c>
      <c r="Y3350" s="48">
        <v>0</v>
      </c>
      <c r="Z3350" s="48">
        <v>0</v>
      </c>
      <c r="AA3350" s="48">
        <v>0</v>
      </c>
      <c r="AB3350" s="48">
        <v>0</v>
      </c>
      <c r="AC3350" s="48">
        <v>0</v>
      </c>
      <c r="AD3350" s="48">
        <v>0</v>
      </c>
      <c r="AE3350" s="62" t="s">
        <v>73</v>
      </c>
      <c r="AF3350" s="62" t="s">
        <v>19184</v>
      </c>
      <c r="AG3350" s="62" t="s">
        <v>17331</v>
      </c>
      <c r="AH3350" s="43">
        <v>44412</v>
      </c>
      <c r="AI3350" s="48"/>
      <c r="AJ3350" s="62"/>
      <c r="AK3350" s="62"/>
    </row>
    <row r="3351" spans="1:37" ht="36.75" customHeight="1" x14ac:dyDescent="0.35">
      <c r="A3351" s="21" t="s">
        <v>12448</v>
      </c>
      <c r="B3351" s="5" t="s">
        <v>37</v>
      </c>
      <c r="C3351" s="73" t="str">
        <f t="shared" si="60"/>
        <v>Closed</v>
      </c>
      <c r="D3351" s="47" t="s">
        <v>19185</v>
      </c>
      <c r="E3351" s="54" t="s">
        <v>19186</v>
      </c>
      <c r="F3351" s="5" t="s">
        <v>16397</v>
      </c>
      <c r="G3351" s="9">
        <f>DATE(2021,8,4)</f>
        <v>44412</v>
      </c>
      <c r="H3351" s="107">
        <v>0.33749999999999997</v>
      </c>
      <c r="I3351" s="48" t="s">
        <v>179</v>
      </c>
      <c r="J3351" s="62" t="s">
        <v>19187</v>
      </c>
      <c r="K3351" s="48" t="s">
        <v>406</v>
      </c>
      <c r="L3351" s="48" t="s">
        <v>19188</v>
      </c>
      <c r="M3351" s="48" t="s">
        <v>45</v>
      </c>
      <c r="N3351" s="48" t="s">
        <v>19189</v>
      </c>
      <c r="O3351" s="48" t="s">
        <v>59</v>
      </c>
      <c r="P3351" s="62" t="s">
        <v>19190</v>
      </c>
      <c r="Q3351" s="62" t="s">
        <v>18565</v>
      </c>
      <c r="R3351" s="62" t="s">
        <v>17330</v>
      </c>
      <c r="S3351" s="48">
        <v>1</v>
      </c>
      <c r="T3351" s="48">
        <v>2</v>
      </c>
      <c r="U3351" s="48">
        <v>0</v>
      </c>
      <c r="V3351" s="48">
        <v>0</v>
      </c>
      <c r="W3351" s="48">
        <v>0</v>
      </c>
      <c r="X3351" s="48">
        <v>3</v>
      </c>
      <c r="Y3351" s="48">
        <v>23</v>
      </c>
      <c r="Z3351" s="48">
        <v>3</v>
      </c>
      <c r="AA3351" s="48">
        <v>0</v>
      </c>
      <c r="AB3351" s="48">
        <v>0</v>
      </c>
      <c r="AC3351" s="48">
        <v>0</v>
      </c>
      <c r="AD3351" s="48">
        <v>26</v>
      </c>
      <c r="AE3351" s="62" t="s">
        <v>126</v>
      </c>
      <c r="AF3351" s="62" t="s">
        <v>19191</v>
      </c>
      <c r="AG3351" s="62" t="s">
        <v>6438</v>
      </c>
      <c r="AH3351" s="43">
        <v>44412</v>
      </c>
      <c r="AI3351" s="48">
        <v>0</v>
      </c>
      <c r="AJ3351" s="62" t="s">
        <v>19192</v>
      </c>
      <c r="AK3351" s="62" t="s">
        <v>860</v>
      </c>
    </row>
    <row r="3352" spans="1:37" ht="36.75" customHeight="1" x14ac:dyDescent="0.35">
      <c r="A3352" s="21" t="s">
        <v>12448</v>
      </c>
      <c r="B3352" s="5" t="s">
        <v>37</v>
      </c>
      <c r="C3352" s="73" t="str">
        <f t="shared" si="60"/>
        <v>Closed</v>
      </c>
      <c r="D3352" s="47" t="s">
        <v>19193</v>
      </c>
      <c r="E3352" s="105" t="s">
        <v>19194</v>
      </c>
      <c r="F3352" s="21" t="s">
        <v>17638</v>
      </c>
      <c r="G3352" s="9">
        <f>DATE(2021,8,5)</f>
        <v>44413</v>
      </c>
      <c r="H3352" s="107" t="s">
        <v>19195</v>
      </c>
      <c r="I3352" s="20" t="s">
        <v>55</v>
      </c>
      <c r="J3352" s="43" t="s">
        <v>19196</v>
      </c>
      <c r="K3352" s="20" t="s">
        <v>1555</v>
      </c>
      <c r="L3352" s="20" t="s">
        <v>12871</v>
      </c>
      <c r="M3352" s="20" t="s">
        <v>45</v>
      </c>
      <c r="N3352" s="20" t="s">
        <v>123</v>
      </c>
      <c r="O3352" s="20" t="s">
        <v>59</v>
      </c>
      <c r="P3352" s="43" t="s">
        <v>60</v>
      </c>
      <c r="Q3352" s="43" t="s">
        <v>19197</v>
      </c>
      <c r="R3352" s="43" t="s">
        <v>18956</v>
      </c>
      <c r="S3352" s="20">
        <v>0</v>
      </c>
      <c r="T3352" s="20">
        <v>0</v>
      </c>
      <c r="U3352" s="20">
        <v>0</v>
      </c>
      <c r="V3352" s="20">
        <v>0</v>
      </c>
      <c r="W3352" s="20">
        <v>0</v>
      </c>
      <c r="X3352" s="20">
        <v>0</v>
      </c>
      <c r="Y3352" s="20">
        <v>0</v>
      </c>
      <c r="Z3352" s="20">
        <v>0</v>
      </c>
      <c r="AA3352" s="20">
        <v>0</v>
      </c>
      <c r="AB3352" s="20">
        <v>0</v>
      </c>
      <c r="AC3352" s="20">
        <v>0</v>
      </c>
      <c r="AD3352" s="20">
        <v>0</v>
      </c>
      <c r="AE3352" s="43" t="s">
        <v>73</v>
      </c>
      <c r="AF3352" s="43" t="s">
        <v>19198</v>
      </c>
      <c r="AG3352" s="43" t="s">
        <v>8837</v>
      </c>
      <c r="AH3352" s="43">
        <v>44418</v>
      </c>
      <c r="AI3352" s="20">
        <v>0</v>
      </c>
      <c r="AJ3352" s="43" t="s">
        <v>19199</v>
      </c>
      <c r="AK3352" s="43" t="s">
        <v>19200</v>
      </c>
    </row>
    <row r="3353" spans="1:37" ht="36.75" customHeight="1" x14ac:dyDescent="0.35">
      <c r="A3353" s="21" t="s">
        <v>12448</v>
      </c>
      <c r="B3353" s="5" t="s">
        <v>37</v>
      </c>
      <c r="C3353" s="73" t="str">
        <f t="shared" si="60"/>
        <v>Closed</v>
      </c>
      <c r="D3353" s="47" t="s">
        <v>19201</v>
      </c>
      <c r="E3353" s="76" t="s">
        <v>19202</v>
      </c>
      <c r="F3353" s="21" t="s">
        <v>17638</v>
      </c>
      <c r="G3353" s="9">
        <f>DATE(2021,8,7)</f>
        <v>44415</v>
      </c>
      <c r="H3353" s="107">
        <v>0.10416666666666667</v>
      </c>
      <c r="I3353" s="20" t="s">
        <v>55</v>
      </c>
      <c r="J3353" s="43" t="s">
        <v>19203</v>
      </c>
      <c r="K3353" s="20" t="s">
        <v>1555</v>
      </c>
      <c r="L3353" s="20" t="s">
        <v>19204</v>
      </c>
      <c r="M3353" s="20" t="s">
        <v>45</v>
      </c>
      <c r="N3353" s="20" t="s">
        <v>80</v>
      </c>
      <c r="O3353" s="20" t="s">
        <v>46</v>
      </c>
      <c r="P3353" s="43" t="s">
        <v>60</v>
      </c>
      <c r="Q3353" s="43" t="s">
        <v>19205</v>
      </c>
      <c r="R3353" s="43" t="s">
        <v>18956</v>
      </c>
      <c r="S3353" s="20">
        <v>0</v>
      </c>
      <c r="T3353" s="20">
        <v>0</v>
      </c>
      <c r="U3353" s="20">
        <v>0</v>
      </c>
      <c r="V3353" s="20">
        <v>0</v>
      </c>
      <c r="W3353" s="20">
        <v>0</v>
      </c>
      <c r="X3353" s="20">
        <v>0</v>
      </c>
      <c r="Y3353" s="20">
        <v>0</v>
      </c>
      <c r="Z3353" s="20">
        <v>0</v>
      </c>
      <c r="AA3353" s="20">
        <v>0</v>
      </c>
      <c r="AB3353" s="20">
        <v>0</v>
      </c>
      <c r="AC3353" s="20">
        <v>0</v>
      </c>
      <c r="AD3353" s="20">
        <v>0</v>
      </c>
      <c r="AE3353" s="43" t="s">
        <v>375</v>
      </c>
      <c r="AF3353" s="43" t="s">
        <v>19206</v>
      </c>
      <c r="AG3353" s="43" t="s">
        <v>8837</v>
      </c>
      <c r="AH3353" s="43">
        <v>44418</v>
      </c>
      <c r="AI3353" s="20">
        <v>1</v>
      </c>
      <c r="AJ3353" s="43" t="s">
        <v>19207</v>
      </c>
      <c r="AK3353" s="43" t="s">
        <v>19208</v>
      </c>
    </row>
    <row r="3354" spans="1:37" ht="36.75" customHeight="1" x14ac:dyDescent="0.35">
      <c r="A3354" s="21" t="s">
        <v>12448</v>
      </c>
      <c r="B3354" s="5" t="s">
        <v>37</v>
      </c>
      <c r="C3354" s="73" t="str">
        <f t="shared" si="60"/>
        <v>Closed</v>
      </c>
      <c r="D3354" s="47" t="s">
        <v>19209</v>
      </c>
      <c r="E3354" s="76" t="s">
        <v>19210</v>
      </c>
      <c r="F3354" s="21" t="s">
        <v>17537</v>
      </c>
      <c r="G3354" s="9">
        <f>DATE(2021,8,9)</f>
        <v>44417</v>
      </c>
      <c r="H3354" s="107">
        <v>1.4201388888888888</v>
      </c>
      <c r="I3354" s="21" t="s">
        <v>179</v>
      </c>
      <c r="J3354" s="21" t="s">
        <v>19211</v>
      </c>
      <c r="K3354" s="21" t="s">
        <v>818</v>
      </c>
      <c r="L3354" s="21" t="s">
        <v>19212</v>
      </c>
      <c r="M3354" s="21" t="s">
        <v>45</v>
      </c>
      <c r="N3354" s="21" t="s">
        <v>123</v>
      </c>
      <c r="O3354" s="21" t="s">
        <v>46</v>
      </c>
      <c r="P3354" s="21" t="s">
        <v>146</v>
      </c>
      <c r="Q3354" s="21" t="s">
        <v>18322</v>
      </c>
      <c r="R3354" s="21" t="s">
        <v>18322</v>
      </c>
      <c r="S3354" s="21">
        <v>0</v>
      </c>
      <c r="T3354" s="21">
        <v>0</v>
      </c>
      <c r="U3354" s="21">
        <v>0</v>
      </c>
      <c r="V3354" s="21">
        <v>0</v>
      </c>
      <c r="W3354" s="21">
        <v>0</v>
      </c>
      <c r="X3354" s="21">
        <v>0</v>
      </c>
      <c r="Y3354" s="21">
        <v>0</v>
      </c>
      <c r="Z3354" s="21">
        <v>0</v>
      </c>
      <c r="AA3354" s="21">
        <v>0</v>
      </c>
      <c r="AB3354" s="21">
        <v>0</v>
      </c>
      <c r="AC3354" s="21">
        <v>0</v>
      </c>
      <c r="AD3354" s="21">
        <v>0</v>
      </c>
      <c r="AE3354" s="21" t="s">
        <v>73</v>
      </c>
      <c r="AF3354" s="21" t="s">
        <v>19213</v>
      </c>
      <c r="AG3354" s="21" t="s">
        <v>8837</v>
      </c>
      <c r="AH3354" s="43">
        <v>44417</v>
      </c>
      <c r="AI3354" s="21">
        <v>2</v>
      </c>
      <c r="AJ3354" s="21" t="s">
        <v>19214</v>
      </c>
      <c r="AK3354" s="21" t="s">
        <v>19215</v>
      </c>
    </row>
    <row r="3355" spans="1:37" ht="36.75" customHeight="1" x14ac:dyDescent="0.35">
      <c r="A3355" s="21" t="s">
        <v>12448</v>
      </c>
      <c r="B3355" s="5" t="s">
        <v>37</v>
      </c>
      <c r="C3355" s="73" t="str">
        <f t="shared" si="60"/>
        <v>Closed</v>
      </c>
      <c r="D3355" s="47" t="s">
        <v>19216</v>
      </c>
      <c r="E3355" s="78" t="s">
        <v>19217</v>
      </c>
      <c r="F3355" s="13" t="s">
        <v>17769</v>
      </c>
      <c r="G3355" s="9">
        <f>DATE(2021,8,11)</f>
        <v>44419</v>
      </c>
      <c r="H3355" s="107">
        <v>0.92708333333333337</v>
      </c>
      <c r="I3355" s="13" t="s">
        <v>5473</v>
      </c>
      <c r="J3355" s="13" t="s">
        <v>19218</v>
      </c>
      <c r="K3355" s="13" t="s">
        <v>621</v>
      </c>
      <c r="L3355" s="13" t="s">
        <v>19219</v>
      </c>
      <c r="M3355" s="13" t="s">
        <v>45</v>
      </c>
      <c r="N3355" s="13" t="s">
        <v>123</v>
      </c>
      <c r="O3355" s="13" t="s">
        <v>46</v>
      </c>
      <c r="P3355" s="13" t="s">
        <v>60</v>
      </c>
      <c r="Q3355" s="13" t="s">
        <v>19220</v>
      </c>
      <c r="R3355" s="13" t="s">
        <v>1997</v>
      </c>
      <c r="S3355" s="13">
        <v>0</v>
      </c>
      <c r="T3355" s="13">
        <v>0</v>
      </c>
      <c r="U3355" s="13">
        <v>0</v>
      </c>
      <c r="V3355" s="13">
        <v>0</v>
      </c>
      <c r="W3355" s="13">
        <v>0</v>
      </c>
      <c r="X3355" s="13">
        <v>0</v>
      </c>
      <c r="Y3355" s="13">
        <v>0</v>
      </c>
      <c r="Z3355" s="13">
        <v>0</v>
      </c>
      <c r="AA3355" s="13">
        <v>0</v>
      </c>
      <c r="AB3355" s="13">
        <v>0</v>
      </c>
      <c r="AC3355" s="13">
        <v>0</v>
      </c>
      <c r="AD3355" s="13">
        <v>0</v>
      </c>
      <c r="AE3355" s="13" t="s">
        <v>375</v>
      </c>
      <c r="AF3355" s="13" t="s">
        <v>19221</v>
      </c>
      <c r="AG3355" s="13" t="s">
        <v>8837</v>
      </c>
      <c r="AH3355" s="43">
        <v>44455</v>
      </c>
      <c r="AI3355" s="13">
        <v>3</v>
      </c>
      <c r="AJ3355" s="13" t="s">
        <v>19222</v>
      </c>
      <c r="AK3355" s="13" t="s">
        <v>19223</v>
      </c>
    </row>
    <row r="3356" spans="1:37" ht="36.75" customHeight="1" x14ac:dyDescent="0.35">
      <c r="A3356" s="21" t="s">
        <v>12448</v>
      </c>
      <c r="B3356" s="5" t="s">
        <v>37</v>
      </c>
      <c r="C3356" s="73" t="str">
        <f t="shared" si="60"/>
        <v>Closed</v>
      </c>
      <c r="D3356" s="47" t="s">
        <v>19224</v>
      </c>
      <c r="E3356" s="76" t="s">
        <v>19225</v>
      </c>
      <c r="F3356" s="21" t="s">
        <v>9767</v>
      </c>
      <c r="G3356" s="9">
        <f>DATE(2021,8,11)</f>
        <v>44419</v>
      </c>
      <c r="H3356" s="107">
        <v>0.19444444444444445</v>
      </c>
      <c r="I3356" s="21" t="s">
        <v>179</v>
      </c>
      <c r="J3356" s="21" t="s">
        <v>19226</v>
      </c>
      <c r="K3356" s="21" t="s">
        <v>9769</v>
      </c>
      <c r="L3356" s="21" t="s">
        <v>19227</v>
      </c>
      <c r="M3356" s="21" t="s">
        <v>45</v>
      </c>
      <c r="N3356" s="21" t="s">
        <v>80</v>
      </c>
      <c r="O3356" s="21" t="s">
        <v>46</v>
      </c>
      <c r="P3356" s="21" t="s">
        <v>60</v>
      </c>
      <c r="Q3356" s="21" t="s">
        <v>19228</v>
      </c>
      <c r="R3356" s="21" t="s">
        <v>18377</v>
      </c>
      <c r="S3356" s="21">
        <v>0</v>
      </c>
      <c r="T3356" s="21">
        <v>0</v>
      </c>
      <c r="U3356" s="21">
        <v>0</v>
      </c>
      <c r="V3356" s="21">
        <v>0</v>
      </c>
      <c r="W3356" s="21">
        <v>0</v>
      </c>
      <c r="X3356" s="21">
        <v>0</v>
      </c>
      <c r="Y3356" s="21">
        <v>0</v>
      </c>
      <c r="Z3356" s="21">
        <v>1</v>
      </c>
      <c r="AA3356" s="21">
        <v>0</v>
      </c>
      <c r="AB3356" s="21">
        <v>0</v>
      </c>
      <c r="AC3356" s="21">
        <v>0</v>
      </c>
      <c r="AD3356" s="21">
        <v>1</v>
      </c>
      <c r="AE3356" s="21" t="s">
        <v>126</v>
      </c>
      <c r="AF3356" s="21" t="s">
        <v>19229</v>
      </c>
      <c r="AG3356" s="21" t="s">
        <v>6438</v>
      </c>
      <c r="AH3356" s="43">
        <v>44431</v>
      </c>
      <c r="AI3356" s="21">
        <v>5</v>
      </c>
      <c r="AJ3356" s="21" t="s">
        <v>19230</v>
      </c>
      <c r="AK3356" s="21" t="s">
        <v>19231</v>
      </c>
    </row>
    <row r="3357" spans="1:37" ht="36.75" customHeight="1" x14ac:dyDescent="0.35">
      <c r="A3357" s="21" t="s">
        <v>12448</v>
      </c>
      <c r="B3357" s="5" t="s">
        <v>14851</v>
      </c>
      <c r="C3357" s="73" t="str">
        <f t="shared" si="60"/>
        <v>In progress</v>
      </c>
      <c r="D3357" s="45" t="s">
        <v>19232</v>
      </c>
      <c r="E3357" s="76" t="s">
        <v>19233</v>
      </c>
      <c r="F3357" s="21" t="s">
        <v>16397</v>
      </c>
      <c r="G3357" s="9">
        <f>DATE(2021,8,19)</f>
        <v>44427</v>
      </c>
      <c r="H3357" s="107">
        <v>0.20833333333333334</v>
      </c>
      <c r="I3357" s="21" t="s">
        <v>55</v>
      </c>
      <c r="J3357" s="21" t="s">
        <v>19234</v>
      </c>
      <c r="K3357" s="21" t="s">
        <v>406</v>
      </c>
      <c r="L3357" s="21" t="s">
        <v>19235</v>
      </c>
      <c r="M3357" s="21" t="s">
        <v>45</v>
      </c>
      <c r="N3357" s="21" t="s">
        <v>123</v>
      </c>
      <c r="O3357" s="21" t="s">
        <v>46</v>
      </c>
      <c r="P3357" s="21" t="s">
        <v>60</v>
      </c>
      <c r="Q3357" s="21" t="s">
        <v>19236</v>
      </c>
      <c r="R3357" s="21" t="s">
        <v>17330</v>
      </c>
      <c r="S3357" s="21">
        <v>0</v>
      </c>
      <c r="T3357" s="21">
        <v>0</v>
      </c>
      <c r="U3357" s="21">
        <v>0</v>
      </c>
      <c r="V3357" s="21">
        <v>0</v>
      </c>
      <c r="W3357" s="21">
        <v>0</v>
      </c>
      <c r="X3357" s="21">
        <v>0</v>
      </c>
      <c r="Y3357" s="21">
        <v>0</v>
      </c>
      <c r="Z3357" s="21">
        <v>0</v>
      </c>
      <c r="AA3357" s="21">
        <v>0</v>
      </c>
      <c r="AB3357" s="21">
        <v>0</v>
      </c>
      <c r="AC3357" s="21">
        <v>0</v>
      </c>
      <c r="AD3357" s="21">
        <v>0</v>
      </c>
      <c r="AE3357" s="43" t="s">
        <v>375</v>
      </c>
      <c r="AF3357" s="21" t="s">
        <v>19237</v>
      </c>
      <c r="AG3357" s="21" t="s">
        <v>19238</v>
      </c>
      <c r="AH3357" s="43">
        <v>44427</v>
      </c>
      <c r="AI3357" s="21"/>
      <c r="AJ3357" s="21"/>
      <c r="AK3357" s="21"/>
    </row>
    <row r="3358" spans="1:37" ht="36.75" customHeight="1" x14ac:dyDescent="0.35">
      <c r="A3358" s="21" t="s">
        <v>12448</v>
      </c>
      <c r="B3358" s="5" t="s">
        <v>37</v>
      </c>
      <c r="C3358" s="73" t="str">
        <f t="shared" si="60"/>
        <v>Closed</v>
      </c>
      <c r="D3358" s="47" t="s">
        <v>19239</v>
      </c>
      <c r="E3358" s="76" t="s">
        <v>19240</v>
      </c>
      <c r="F3358" s="21" t="s">
        <v>17638</v>
      </c>
      <c r="G3358" s="9">
        <f>DATE(2021,8,19)</f>
        <v>44427</v>
      </c>
      <c r="H3358" s="107">
        <v>0.59722222222222221</v>
      </c>
      <c r="I3358" s="21" t="s">
        <v>55</v>
      </c>
      <c r="J3358" s="21" t="s">
        <v>19241</v>
      </c>
      <c r="K3358" s="21" t="s">
        <v>1555</v>
      </c>
      <c r="L3358" s="21" t="s">
        <v>19242</v>
      </c>
      <c r="M3358" s="21" t="s">
        <v>45</v>
      </c>
      <c r="N3358" s="21" t="s">
        <v>123</v>
      </c>
      <c r="O3358" s="21" t="s">
        <v>46</v>
      </c>
      <c r="P3358" s="21" t="s">
        <v>60</v>
      </c>
      <c r="Q3358" s="21" t="s">
        <v>19243</v>
      </c>
      <c r="R3358" s="21" t="s">
        <v>18956</v>
      </c>
      <c r="S3358" s="21">
        <v>0</v>
      </c>
      <c r="T3358" s="21">
        <v>0</v>
      </c>
      <c r="U3358" s="21">
        <v>0</v>
      </c>
      <c r="V3358" s="21">
        <v>0</v>
      </c>
      <c r="W3358" s="21">
        <v>0</v>
      </c>
      <c r="X3358" s="21">
        <v>0</v>
      </c>
      <c r="Y3358" s="21">
        <v>0</v>
      </c>
      <c r="Z3358" s="21">
        <v>0</v>
      </c>
      <c r="AA3358" s="21">
        <v>0</v>
      </c>
      <c r="AB3358" s="21">
        <v>0</v>
      </c>
      <c r="AC3358" s="21">
        <v>0</v>
      </c>
      <c r="AD3358" s="21">
        <v>0</v>
      </c>
      <c r="AE3358" s="21" t="s">
        <v>73</v>
      </c>
      <c r="AF3358" s="21" t="s">
        <v>19244</v>
      </c>
      <c r="AG3358" s="21" t="s">
        <v>8837</v>
      </c>
      <c r="AH3358" s="43">
        <v>44428</v>
      </c>
      <c r="AI3358" s="21">
        <v>1</v>
      </c>
      <c r="AJ3358" s="21" t="s">
        <v>19245</v>
      </c>
      <c r="AK3358" s="21" t="s">
        <v>19246</v>
      </c>
    </row>
    <row r="3359" spans="1:37" ht="36.75" customHeight="1" x14ac:dyDescent="0.35">
      <c r="A3359" s="21"/>
      <c r="B3359" s="5" t="s">
        <v>37</v>
      </c>
      <c r="C3359" s="73" t="s">
        <v>17979</v>
      </c>
      <c r="D3359" s="47" t="s">
        <v>19247</v>
      </c>
      <c r="E3359" s="76" t="s">
        <v>19248</v>
      </c>
      <c r="F3359" s="21" t="s">
        <v>17537</v>
      </c>
      <c r="G3359" s="9">
        <f>DATE(2021,8,20)</f>
        <v>44428</v>
      </c>
      <c r="H3359" s="107">
        <v>0.69097222222222221</v>
      </c>
      <c r="I3359" s="21" t="s">
        <v>97</v>
      </c>
      <c r="J3359" s="21" t="s">
        <v>19249</v>
      </c>
      <c r="K3359" s="21" t="s">
        <v>818</v>
      </c>
      <c r="L3359" s="21" t="s">
        <v>19250</v>
      </c>
      <c r="M3359" s="21" t="s">
        <v>45</v>
      </c>
      <c r="N3359" s="21" t="s">
        <v>80</v>
      </c>
      <c r="O3359" s="21" t="s">
        <v>46</v>
      </c>
      <c r="P3359" s="21" t="s">
        <v>146</v>
      </c>
      <c r="Q3359" s="21" t="s">
        <v>18286</v>
      </c>
      <c r="R3359" s="21" t="s">
        <v>821</v>
      </c>
      <c r="S3359" s="21">
        <v>0</v>
      </c>
      <c r="T3359" s="21">
        <v>0</v>
      </c>
      <c r="U3359" s="21">
        <v>2</v>
      </c>
      <c r="V3359" s="21">
        <v>0</v>
      </c>
      <c r="W3359" s="21">
        <v>0</v>
      </c>
      <c r="X3359" s="21">
        <v>2</v>
      </c>
      <c r="Y3359" s="21">
        <v>0</v>
      </c>
      <c r="Z3359" s="21">
        <v>0</v>
      </c>
      <c r="AA3359" s="21">
        <v>0</v>
      </c>
      <c r="AB3359" s="21">
        <v>0</v>
      </c>
      <c r="AC3359" s="21">
        <v>0</v>
      </c>
      <c r="AD3359" s="21">
        <v>0</v>
      </c>
      <c r="AE3359" s="43" t="s">
        <v>73</v>
      </c>
      <c r="AF3359" s="21" t="s">
        <v>19251</v>
      </c>
      <c r="AG3359" s="21" t="s">
        <v>8837</v>
      </c>
      <c r="AH3359" s="43">
        <v>44431</v>
      </c>
      <c r="AI3359" s="21">
        <v>0</v>
      </c>
      <c r="AJ3359" s="21" t="s">
        <v>19252</v>
      </c>
      <c r="AK3359" s="21" t="s">
        <v>19253</v>
      </c>
    </row>
    <row r="3360" spans="1:37" ht="36.75" customHeight="1" x14ac:dyDescent="0.35">
      <c r="A3360" s="21" t="s">
        <v>12448</v>
      </c>
      <c r="B3360" s="5" t="s">
        <v>37</v>
      </c>
      <c r="C3360" s="73" t="str">
        <f t="shared" ref="C3360:C3373" si="61">IF(B3360="Notification","Open",IF(B3360="Interim Statement","In progress","Closed"))</f>
        <v>Closed</v>
      </c>
      <c r="D3360" s="47" t="s">
        <v>19254</v>
      </c>
      <c r="E3360" s="76" t="s">
        <v>19255</v>
      </c>
      <c r="F3360" s="21" t="s">
        <v>17638</v>
      </c>
      <c r="G3360" s="9">
        <f>DATE(2021,8,23)</f>
        <v>44431</v>
      </c>
      <c r="H3360" s="107">
        <v>0.23611111111111113</v>
      </c>
      <c r="I3360" s="21" t="s">
        <v>106</v>
      </c>
      <c r="J3360" s="21" t="s">
        <v>19256</v>
      </c>
      <c r="K3360" s="21" t="s">
        <v>1555</v>
      </c>
      <c r="L3360" s="21" t="s">
        <v>19257</v>
      </c>
      <c r="M3360" s="21" t="s">
        <v>45</v>
      </c>
      <c r="N3360" s="21" t="s">
        <v>80</v>
      </c>
      <c r="O3360" s="21" t="s">
        <v>46</v>
      </c>
      <c r="P3360" s="21" t="s">
        <v>146</v>
      </c>
      <c r="Q3360" s="21" t="s">
        <v>18690</v>
      </c>
      <c r="R3360" s="21" t="s">
        <v>18956</v>
      </c>
      <c r="S3360" s="21">
        <v>0</v>
      </c>
      <c r="T3360" s="21">
        <v>0</v>
      </c>
      <c r="U3360" s="21">
        <v>0</v>
      </c>
      <c r="V3360" s="21">
        <v>0</v>
      </c>
      <c r="W3360" s="21">
        <v>0</v>
      </c>
      <c r="X3360" s="21">
        <v>0</v>
      </c>
      <c r="Y3360" s="21">
        <v>0</v>
      </c>
      <c r="Z3360" s="21">
        <v>0</v>
      </c>
      <c r="AA3360" s="21">
        <v>0</v>
      </c>
      <c r="AB3360" s="21">
        <v>0</v>
      </c>
      <c r="AC3360" s="21">
        <v>0</v>
      </c>
      <c r="AD3360" s="21">
        <v>0</v>
      </c>
      <c r="AE3360" s="21" t="s">
        <v>375</v>
      </c>
      <c r="AF3360" s="21" t="s">
        <v>19258</v>
      </c>
      <c r="AG3360" s="21" t="s">
        <v>8837</v>
      </c>
      <c r="AH3360" s="43">
        <v>44431</v>
      </c>
      <c r="AI3360" s="21">
        <v>0</v>
      </c>
      <c r="AJ3360" s="21" t="s">
        <v>19259</v>
      </c>
      <c r="AK3360" s="21" t="s">
        <v>19260</v>
      </c>
    </row>
    <row r="3361" spans="1:37" ht="36.75" customHeight="1" x14ac:dyDescent="0.35">
      <c r="A3361" s="21" t="s">
        <v>12448</v>
      </c>
      <c r="B3361" s="5" t="s">
        <v>37</v>
      </c>
      <c r="C3361" s="73" t="str">
        <f t="shared" si="61"/>
        <v>Closed</v>
      </c>
      <c r="D3361" s="47" t="s">
        <v>19261</v>
      </c>
      <c r="E3361" s="76" t="s">
        <v>19262</v>
      </c>
      <c r="F3361" s="21" t="s">
        <v>17638</v>
      </c>
      <c r="G3361" s="9">
        <f>DATE(2021,8,23)</f>
        <v>44431</v>
      </c>
      <c r="H3361" s="107">
        <v>0.44791666666666669</v>
      </c>
      <c r="I3361" s="21" t="s">
        <v>55</v>
      </c>
      <c r="J3361" s="21" t="s">
        <v>19263</v>
      </c>
      <c r="K3361" s="21" t="s">
        <v>1555</v>
      </c>
      <c r="L3361" s="21" t="s">
        <v>19264</v>
      </c>
      <c r="M3361" s="21" t="s">
        <v>45</v>
      </c>
      <c r="N3361" s="21" t="s">
        <v>80</v>
      </c>
      <c r="O3361" s="21" t="s">
        <v>46</v>
      </c>
      <c r="P3361" s="21" t="s">
        <v>60</v>
      </c>
      <c r="Q3361" s="21" t="s">
        <v>19265</v>
      </c>
      <c r="R3361" s="21" t="s">
        <v>18956</v>
      </c>
      <c r="S3361" s="21">
        <v>0</v>
      </c>
      <c r="T3361" s="21">
        <v>0</v>
      </c>
      <c r="U3361" s="21">
        <v>0</v>
      </c>
      <c r="V3361" s="21">
        <v>0</v>
      </c>
      <c r="W3361" s="21">
        <v>0</v>
      </c>
      <c r="X3361" s="21">
        <v>0</v>
      </c>
      <c r="Y3361" s="21">
        <v>0</v>
      </c>
      <c r="Z3361" s="21">
        <v>0</v>
      </c>
      <c r="AA3361" s="21">
        <v>0</v>
      </c>
      <c r="AB3361" s="21">
        <v>0</v>
      </c>
      <c r="AC3361" s="21">
        <v>0</v>
      </c>
      <c r="AD3361" s="21">
        <v>0</v>
      </c>
      <c r="AE3361" s="21" t="s">
        <v>73</v>
      </c>
      <c r="AF3361" s="21" t="s">
        <v>19266</v>
      </c>
      <c r="AG3361" s="21" t="s">
        <v>8837</v>
      </c>
      <c r="AH3361" s="43">
        <v>44432</v>
      </c>
      <c r="AI3361" s="21">
        <v>0</v>
      </c>
      <c r="AJ3361" s="21" t="s">
        <v>19267</v>
      </c>
      <c r="AK3361" s="21" t="s">
        <v>19268</v>
      </c>
    </row>
    <row r="3362" spans="1:37" ht="36.75" customHeight="1" x14ac:dyDescent="0.35">
      <c r="A3362" s="21" t="s">
        <v>12448</v>
      </c>
      <c r="B3362" s="5" t="s">
        <v>37</v>
      </c>
      <c r="C3362" s="73" t="str">
        <f t="shared" si="61"/>
        <v>Closed</v>
      </c>
      <c r="D3362" s="47" t="s">
        <v>19269</v>
      </c>
      <c r="E3362" s="76" t="s">
        <v>19270</v>
      </c>
      <c r="F3362" s="21" t="s">
        <v>16278</v>
      </c>
      <c r="G3362" s="9">
        <f>DATE(2021,8,26)</f>
        <v>44434</v>
      </c>
      <c r="H3362" s="107">
        <v>0.91666666666666663</v>
      </c>
      <c r="I3362" s="21" t="s">
        <v>55</v>
      </c>
      <c r="J3362" s="21" t="s">
        <v>19271</v>
      </c>
      <c r="K3362" s="21" t="s">
        <v>99</v>
      </c>
      <c r="L3362" s="21" t="s">
        <v>19272</v>
      </c>
      <c r="M3362" s="21" t="s">
        <v>45</v>
      </c>
      <c r="N3362" s="21" t="s">
        <v>123</v>
      </c>
      <c r="O3362" s="21" t="s">
        <v>46</v>
      </c>
      <c r="P3362" s="21" t="s">
        <v>60</v>
      </c>
      <c r="Q3362" s="21" t="s">
        <v>19273</v>
      </c>
      <c r="R3362" s="21" t="s">
        <v>18900</v>
      </c>
      <c r="S3362" s="21">
        <v>0</v>
      </c>
      <c r="T3362" s="21">
        <v>0</v>
      </c>
      <c r="U3362" s="21">
        <v>0</v>
      </c>
      <c r="V3362" s="21">
        <v>0</v>
      </c>
      <c r="W3362" s="21">
        <v>0</v>
      </c>
      <c r="X3362" s="21">
        <v>0</v>
      </c>
      <c r="Y3362" s="21">
        <v>0</v>
      </c>
      <c r="Z3362" s="21">
        <v>0</v>
      </c>
      <c r="AA3362" s="21">
        <v>0</v>
      </c>
      <c r="AB3362" s="21">
        <v>0</v>
      </c>
      <c r="AC3362" s="21">
        <v>0</v>
      </c>
      <c r="AD3362" s="21">
        <v>0</v>
      </c>
      <c r="AE3362" s="21" t="s">
        <v>126</v>
      </c>
      <c r="AF3362" s="21" t="s">
        <v>19274</v>
      </c>
      <c r="AG3362" s="21" t="s">
        <v>6438</v>
      </c>
      <c r="AH3362" s="43">
        <v>44438</v>
      </c>
      <c r="AI3362" s="21">
        <v>6</v>
      </c>
      <c r="AJ3362" s="21" t="s">
        <v>19275</v>
      </c>
      <c r="AK3362" s="21" t="s">
        <v>19276</v>
      </c>
    </row>
    <row r="3363" spans="1:37" ht="36.75" customHeight="1" x14ac:dyDescent="0.35">
      <c r="A3363" s="21" t="s">
        <v>12448</v>
      </c>
      <c r="B3363" s="5" t="s">
        <v>37</v>
      </c>
      <c r="C3363" s="73" t="str">
        <f t="shared" si="61"/>
        <v>Closed</v>
      </c>
      <c r="D3363" s="47" t="s">
        <v>19277</v>
      </c>
      <c r="E3363" s="76" t="s">
        <v>19278</v>
      </c>
      <c r="F3363" s="21" t="s">
        <v>17638</v>
      </c>
      <c r="G3363" s="9">
        <f>DATE(2021,8,27)</f>
        <v>44435</v>
      </c>
      <c r="H3363" s="107">
        <v>0.86805555555555547</v>
      </c>
      <c r="I3363" s="21" t="s">
        <v>55</v>
      </c>
      <c r="J3363" s="21" t="s">
        <v>19279</v>
      </c>
      <c r="K3363" s="21" t="s">
        <v>1555</v>
      </c>
      <c r="L3363" s="21" t="s">
        <v>19280</v>
      </c>
      <c r="M3363" s="21" t="s">
        <v>45</v>
      </c>
      <c r="N3363" s="21" t="s">
        <v>123</v>
      </c>
      <c r="O3363" s="21" t="s">
        <v>59</v>
      </c>
      <c r="P3363" s="21" t="s">
        <v>60</v>
      </c>
      <c r="Q3363" s="21" t="s">
        <v>18087</v>
      </c>
      <c r="R3363" s="21" t="s">
        <v>18956</v>
      </c>
      <c r="S3363" s="21">
        <v>0</v>
      </c>
      <c r="T3363" s="21">
        <v>0</v>
      </c>
      <c r="U3363" s="21">
        <v>0</v>
      </c>
      <c r="V3363" s="21">
        <v>0</v>
      </c>
      <c r="W3363" s="21">
        <v>0</v>
      </c>
      <c r="X3363" s="21">
        <v>0</v>
      </c>
      <c r="Y3363" s="21">
        <v>0</v>
      </c>
      <c r="Z3363" s="21">
        <v>0</v>
      </c>
      <c r="AA3363" s="21">
        <v>0</v>
      </c>
      <c r="AB3363" s="21">
        <v>0</v>
      </c>
      <c r="AC3363" s="21">
        <v>0</v>
      </c>
      <c r="AD3363" s="21">
        <v>0</v>
      </c>
      <c r="AE3363" s="21" t="s">
        <v>73</v>
      </c>
      <c r="AF3363" s="21" t="s">
        <v>19244</v>
      </c>
      <c r="AG3363" s="21" t="s">
        <v>8837</v>
      </c>
      <c r="AH3363" s="43">
        <v>44438</v>
      </c>
      <c r="AI3363" s="21">
        <v>1</v>
      </c>
      <c r="AJ3363" s="21" t="s">
        <v>19281</v>
      </c>
      <c r="AK3363" s="21" t="s">
        <v>19282</v>
      </c>
    </row>
    <row r="3364" spans="1:37" ht="36.75" customHeight="1" x14ac:dyDescent="0.35">
      <c r="A3364" s="21" t="s">
        <v>12448</v>
      </c>
      <c r="B3364" s="5" t="s">
        <v>37</v>
      </c>
      <c r="C3364" s="73" t="str">
        <f t="shared" si="61"/>
        <v>Closed</v>
      </c>
      <c r="D3364" s="47" t="s">
        <v>19283</v>
      </c>
      <c r="E3364" s="104" t="s">
        <v>19284</v>
      </c>
      <c r="F3364" s="102" t="s">
        <v>19094</v>
      </c>
      <c r="G3364" s="9">
        <f>DATE(2021,8,27)</f>
        <v>44435</v>
      </c>
      <c r="H3364" s="107">
        <v>1.0138888888888888</v>
      </c>
      <c r="I3364" s="102" t="s">
        <v>5473</v>
      </c>
      <c r="J3364" s="102" t="s">
        <v>19285</v>
      </c>
      <c r="K3364" s="102" t="s">
        <v>1921</v>
      </c>
      <c r="L3364" s="102" t="s">
        <v>19286</v>
      </c>
      <c r="M3364" s="102" t="s">
        <v>45</v>
      </c>
      <c r="N3364" s="102" t="s">
        <v>123</v>
      </c>
      <c r="O3364" s="102" t="s">
        <v>46</v>
      </c>
      <c r="P3364" s="102" t="s">
        <v>146</v>
      </c>
      <c r="Q3364" s="102" t="s">
        <v>17679</v>
      </c>
      <c r="R3364" s="102" t="s">
        <v>17679</v>
      </c>
      <c r="S3364" s="102">
        <v>0</v>
      </c>
      <c r="T3364" s="102">
        <v>0</v>
      </c>
      <c r="U3364" s="102">
        <v>0</v>
      </c>
      <c r="V3364" s="102">
        <v>0</v>
      </c>
      <c r="W3364" s="102">
        <v>0</v>
      </c>
      <c r="X3364" s="102">
        <v>0</v>
      </c>
      <c r="Y3364" s="102">
        <v>0</v>
      </c>
      <c r="Z3364" s="102">
        <v>0</v>
      </c>
      <c r="AA3364" s="102">
        <v>0</v>
      </c>
      <c r="AB3364" s="102">
        <v>0</v>
      </c>
      <c r="AC3364" s="102">
        <v>0</v>
      </c>
      <c r="AD3364" s="102">
        <v>0</v>
      </c>
      <c r="AE3364" s="102" t="s">
        <v>375</v>
      </c>
      <c r="AF3364" s="102" t="s">
        <v>19287</v>
      </c>
      <c r="AG3364" s="102" t="s">
        <v>6438</v>
      </c>
      <c r="AH3364" s="43">
        <v>44469</v>
      </c>
      <c r="AI3364" s="102">
        <v>7</v>
      </c>
      <c r="AJ3364" s="102" t="s">
        <v>19288</v>
      </c>
      <c r="AK3364" s="102" t="s">
        <v>19289</v>
      </c>
    </row>
    <row r="3365" spans="1:37" ht="36.75" customHeight="1" x14ac:dyDescent="0.35">
      <c r="A3365" s="21" t="s">
        <v>12448</v>
      </c>
      <c r="B3365" s="5" t="s">
        <v>37</v>
      </c>
      <c r="C3365" s="73" t="str">
        <f t="shared" si="61"/>
        <v>Closed</v>
      </c>
      <c r="D3365" s="47" t="s">
        <v>19290</v>
      </c>
      <c r="E3365" s="76" t="s">
        <v>19291</v>
      </c>
      <c r="F3365" s="21" t="s">
        <v>12887</v>
      </c>
      <c r="G3365" s="9">
        <f>DATE(2021,9,1)</f>
        <v>44440</v>
      </c>
      <c r="H3365" s="107">
        <v>1.9548611111111112</v>
      </c>
      <c r="I3365" s="21" t="s">
        <v>259</v>
      </c>
      <c r="J3365" s="21" t="s">
        <v>19292</v>
      </c>
      <c r="K3365" s="21" t="s">
        <v>434</v>
      </c>
      <c r="L3365" s="21" t="s">
        <v>19079</v>
      </c>
      <c r="M3365" s="21" t="s">
        <v>45</v>
      </c>
      <c r="N3365" s="21" t="s">
        <v>80</v>
      </c>
      <c r="O3365" s="21" t="s">
        <v>59</v>
      </c>
      <c r="P3365" s="21" t="s">
        <v>146</v>
      </c>
      <c r="Q3365" s="21" t="s">
        <v>14350</v>
      </c>
      <c r="R3365" s="21" t="s">
        <v>553</v>
      </c>
      <c r="S3365" s="21">
        <v>0</v>
      </c>
      <c r="T3365" s="21">
        <v>0</v>
      </c>
      <c r="U3365" s="21">
        <v>0</v>
      </c>
      <c r="V3365" s="21">
        <v>1</v>
      </c>
      <c r="W3365" s="21">
        <v>0</v>
      </c>
      <c r="X3365" s="21">
        <v>1</v>
      </c>
      <c r="Y3365" s="21">
        <v>0</v>
      </c>
      <c r="Z3365" s="21">
        <v>0</v>
      </c>
      <c r="AA3365" s="21">
        <v>0</v>
      </c>
      <c r="AB3365" s="21">
        <v>0</v>
      </c>
      <c r="AC3365" s="21">
        <v>0</v>
      </c>
      <c r="AD3365" s="21">
        <v>0</v>
      </c>
      <c r="AE3365" s="21" t="s">
        <v>73</v>
      </c>
      <c r="AF3365" s="21" t="s">
        <v>693</v>
      </c>
      <c r="AG3365" s="21" t="s">
        <v>6438</v>
      </c>
      <c r="AH3365" s="43">
        <v>44440</v>
      </c>
      <c r="AI3365" s="21">
        <v>0</v>
      </c>
      <c r="AJ3365" s="21" t="s">
        <v>19179</v>
      </c>
      <c r="AK3365" s="21">
        <v>0</v>
      </c>
    </row>
    <row r="3366" spans="1:37" ht="36.75" customHeight="1" x14ac:dyDescent="0.35">
      <c r="A3366" s="21" t="s">
        <v>12448</v>
      </c>
      <c r="B3366" s="5" t="s">
        <v>37</v>
      </c>
      <c r="C3366" s="73" t="str">
        <f t="shared" si="61"/>
        <v>Closed</v>
      </c>
      <c r="D3366" s="47" t="s">
        <v>19293</v>
      </c>
      <c r="E3366" s="76" t="s">
        <v>19294</v>
      </c>
      <c r="F3366" s="21" t="s">
        <v>17638</v>
      </c>
      <c r="G3366" s="9">
        <f>DATE(2021,9,3)</f>
        <v>44442</v>
      </c>
      <c r="H3366" s="107">
        <v>0.60763888888888895</v>
      </c>
      <c r="I3366" s="21" t="s">
        <v>55</v>
      </c>
      <c r="J3366" s="21" t="s">
        <v>19295</v>
      </c>
      <c r="K3366" s="21" t="s">
        <v>1555</v>
      </c>
      <c r="L3366" s="21" t="s">
        <v>19296</v>
      </c>
      <c r="M3366" s="21" t="s">
        <v>45</v>
      </c>
      <c r="N3366" s="21" t="s">
        <v>80</v>
      </c>
      <c r="O3366" s="21" t="s">
        <v>59</v>
      </c>
      <c r="P3366" s="21" t="s">
        <v>60</v>
      </c>
      <c r="Q3366" s="21" t="s">
        <v>19297</v>
      </c>
      <c r="R3366" s="21" t="s">
        <v>18956</v>
      </c>
      <c r="S3366" s="21">
        <v>0</v>
      </c>
      <c r="T3366" s="21">
        <v>0</v>
      </c>
      <c r="U3366" s="21">
        <v>0</v>
      </c>
      <c r="V3366" s="21">
        <v>0</v>
      </c>
      <c r="W3366" s="21">
        <v>0</v>
      </c>
      <c r="X3366" s="21">
        <v>0</v>
      </c>
      <c r="Y3366" s="21">
        <v>0</v>
      </c>
      <c r="Z3366" s="21">
        <v>0</v>
      </c>
      <c r="AA3366" s="21">
        <v>0</v>
      </c>
      <c r="AB3366" s="21">
        <v>0</v>
      </c>
      <c r="AC3366" s="21">
        <v>0</v>
      </c>
      <c r="AD3366" s="21">
        <v>0</v>
      </c>
      <c r="AE3366" s="21" t="s">
        <v>73</v>
      </c>
      <c r="AF3366" s="21" t="s">
        <v>19298</v>
      </c>
      <c r="AG3366" s="21" t="s">
        <v>8837</v>
      </c>
      <c r="AH3366" s="43">
        <v>44446</v>
      </c>
      <c r="AI3366" s="21">
        <v>0</v>
      </c>
      <c r="AJ3366" s="21" t="s">
        <v>19299</v>
      </c>
      <c r="AK3366" s="21" t="s">
        <v>19300</v>
      </c>
    </row>
    <row r="3367" spans="1:37" ht="36.75" customHeight="1" x14ac:dyDescent="0.35">
      <c r="A3367" s="21" t="s">
        <v>12448</v>
      </c>
      <c r="B3367" s="5" t="s">
        <v>37</v>
      </c>
      <c r="C3367" s="73" t="str">
        <f t="shared" si="61"/>
        <v>Closed</v>
      </c>
      <c r="D3367" s="47" t="s">
        <v>19301</v>
      </c>
      <c r="E3367" s="76" t="s">
        <v>19302</v>
      </c>
      <c r="F3367" s="21" t="s">
        <v>17728</v>
      </c>
      <c r="G3367" s="9">
        <f>DATE(2021,9,4)</f>
        <v>44443</v>
      </c>
      <c r="H3367" s="107">
        <v>0.97222222222222221</v>
      </c>
      <c r="I3367" s="21" t="s">
        <v>106</v>
      </c>
      <c r="J3367" s="21" t="s">
        <v>19303</v>
      </c>
      <c r="K3367" s="21" t="s">
        <v>2583</v>
      </c>
      <c r="L3367" s="21" t="s">
        <v>19304</v>
      </c>
      <c r="M3367" s="21" t="s">
        <v>45</v>
      </c>
      <c r="N3367" s="21" t="s">
        <v>80</v>
      </c>
      <c r="O3367" s="21" t="s">
        <v>71</v>
      </c>
      <c r="P3367" s="21" t="s">
        <v>6881</v>
      </c>
      <c r="Q3367" s="21" t="s">
        <v>19305</v>
      </c>
      <c r="R3367" s="21" t="s">
        <v>18393</v>
      </c>
      <c r="S3367" s="21">
        <v>0</v>
      </c>
      <c r="T3367" s="21">
        <v>0</v>
      </c>
      <c r="U3367" s="21">
        <v>0</v>
      </c>
      <c r="V3367" s="21">
        <v>0</v>
      </c>
      <c r="W3367" s="21">
        <v>0</v>
      </c>
      <c r="X3367" s="21">
        <v>0</v>
      </c>
      <c r="Y3367" s="21">
        <v>0</v>
      </c>
      <c r="Z3367" s="21">
        <v>0</v>
      </c>
      <c r="AA3367" s="21">
        <v>0</v>
      </c>
      <c r="AB3367" s="21">
        <v>0</v>
      </c>
      <c r="AC3367" s="21">
        <v>0</v>
      </c>
      <c r="AD3367" s="21">
        <v>0</v>
      </c>
      <c r="AE3367" s="21" t="s">
        <v>73</v>
      </c>
      <c r="AF3367" s="21" t="s">
        <v>19244</v>
      </c>
      <c r="AG3367" s="21" t="s">
        <v>8837</v>
      </c>
      <c r="AH3367" s="43">
        <v>44449</v>
      </c>
      <c r="AI3367" s="21">
        <v>4</v>
      </c>
      <c r="AJ3367" s="21" t="s">
        <v>19306</v>
      </c>
      <c r="AK3367" s="21" t="s">
        <v>19307</v>
      </c>
    </row>
    <row r="3368" spans="1:37" ht="36.75" customHeight="1" x14ac:dyDescent="0.35">
      <c r="A3368" s="21" t="s">
        <v>12448</v>
      </c>
      <c r="B3368" s="5" t="s">
        <v>37</v>
      </c>
      <c r="C3368" s="73" t="str">
        <f t="shared" si="61"/>
        <v>Closed</v>
      </c>
      <c r="D3368" s="47" t="s">
        <v>19308</v>
      </c>
      <c r="E3368" s="76" t="s">
        <v>19309</v>
      </c>
      <c r="F3368" s="21" t="s">
        <v>17769</v>
      </c>
      <c r="G3368" s="9">
        <f>DATE(2021,9,6)</f>
        <v>44445</v>
      </c>
      <c r="H3368" s="107">
        <v>1.7361111111111112</v>
      </c>
      <c r="I3368" s="21" t="s">
        <v>55</v>
      </c>
      <c r="J3368" s="21" t="s">
        <v>19310</v>
      </c>
      <c r="K3368" s="21" t="s">
        <v>621</v>
      </c>
      <c r="L3368" s="21" t="s">
        <v>19311</v>
      </c>
      <c r="M3368" s="21" t="s">
        <v>45</v>
      </c>
      <c r="N3368" s="21" t="s">
        <v>123</v>
      </c>
      <c r="O3368" s="21" t="s">
        <v>67</v>
      </c>
      <c r="P3368" s="21" t="s">
        <v>6881</v>
      </c>
      <c r="Q3368" s="21" t="s">
        <v>18459</v>
      </c>
      <c r="R3368" s="21" t="s">
        <v>1997</v>
      </c>
      <c r="S3368" s="21">
        <v>0</v>
      </c>
      <c r="T3368" s="21">
        <v>0</v>
      </c>
      <c r="U3368" s="21">
        <v>0</v>
      </c>
      <c r="V3368" s="21">
        <v>0</v>
      </c>
      <c r="W3368" s="21">
        <v>0</v>
      </c>
      <c r="X3368" s="21">
        <v>0</v>
      </c>
      <c r="Y3368" s="21">
        <v>0</v>
      </c>
      <c r="Z3368" s="21">
        <v>0</v>
      </c>
      <c r="AA3368" s="21">
        <v>0</v>
      </c>
      <c r="AB3368" s="21">
        <v>0</v>
      </c>
      <c r="AC3368" s="21">
        <v>0</v>
      </c>
      <c r="AD3368" s="21">
        <v>0</v>
      </c>
      <c r="AE3368" s="21" t="s">
        <v>73</v>
      </c>
      <c r="AF3368" s="21" t="s">
        <v>18460</v>
      </c>
      <c r="AG3368" s="21" t="s">
        <v>14532</v>
      </c>
      <c r="AH3368" s="43">
        <v>44680</v>
      </c>
      <c r="AI3368" s="21">
        <v>3</v>
      </c>
      <c r="AJ3368" s="21" t="s">
        <v>19312</v>
      </c>
      <c r="AK3368" s="21" t="s">
        <v>19313</v>
      </c>
    </row>
    <row r="3369" spans="1:37" ht="36.75" customHeight="1" x14ac:dyDescent="0.35">
      <c r="A3369" s="21" t="s">
        <v>12448</v>
      </c>
      <c r="B3369" s="5" t="s">
        <v>14851</v>
      </c>
      <c r="C3369" s="73" t="str">
        <f t="shared" si="61"/>
        <v>In progress</v>
      </c>
      <c r="D3369" s="47" t="s">
        <v>19314</v>
      </c>
      <c r="E3369" s="76" t="s">
        <v>19315</v>
      </c>
      <c r="F3369" s="21" t="s">
        <v>6434</v>
      </c>
      <c r="G3369" s="9">
        <f>DATE(2021,9,8)</f>
        <v>44447</v>
      </c>
      <c r="H3369" s="107">
        <v>0.31944444444444448</v>
      </c>
      <c r="I3369" s="21" t="s">
        <v>55</v>
      </c>
      <c r="J3369" s="21" t="s">
        <v>19316</v>
      </c>
      <c r="K3369" s="21" t="s">
        <v>565</v>
      </c>
      <c r="L3369" s="21" t="s">
        <v>19317</v>
      </c>
      <c r="M3369" s="21" t="s">
        <v>45</v>
      </c>
      <c r="N3369" s="21" t="s">
        <v>123</v>
      </c>
      <c r="O3369" s="21" t="s">
        <v>59</v>
      </c>
      <c r="P3369" s="21" t="s">
        <v>146</v>
      </c>
      <c r="Q3369" s="21" t="s">
        <v>4467</v>
      </c>
      <c r="R3369" s="21" t="s">
        <v>568</v>
      </c>
      <c r="S3369" s="21">
        <v>0</v>
      </c>
      <c r="T3369" s="21">
        <v>0</v>
      </c>
      <c r="U3369" s="21">
        <v>0</v>
      </c>
      <c r="V3369" s="21">
        <v>0</v>
      </c>
      <c r="W3369" s="21">
        <v>0</v>
      </c>
      <c r="X3369" s="21">
        <v>0</v>
      </c>
      <c r="Y3369" s="21">
        <v>0</v>
      </c>
      <c r="Z3369" s="21">
        <v>0</v>
      </c>
      <c r="AA3369" s="21">
        <v>0</v>
      </c>
      <c r="AB3369" s="21">
        <v>0</v>
      </c>
      <c r="AC3369" s="21">
        <v>0</v>
      </c>
      <c r="AD3369" s="21">
        <v>0</v>
      </c>
      <c r="AE3369" s="21" t="s">
        <v>73</v>
      </c>
      <c r="AF3369" s="21" t="s">
        <v>19244</v>
      </c>
      <c r="AG3369" s="21" t="s">
        <v>8837</v>
      </c>
      <c r="AH3369" s="43">
        <v>44448</v>
      </c>
      <c r="AI3369" s="21"/>
      <c r="AJ3369" s="21" t="s">
        <v>19318</v>
      </c>
      <c r="AK3369" s="21"/>
    </row>
    <row r="3370" spans="1:37" ht="36.75" customHeight="1" x14ac:dyDescent="0.35">
      <c r="A3370" s="21" t="s">
        <v>12448</v>
      </c>
      <c r="B3370" s="5" t="s">
        <v>37</v>
      </c>
      <c r="C3370" s="73" t="str">
        <f t="shared" si="61"/>
        <v>Closed</v>
      </c>
      <c r="D3370" s="47" t="s">
        <v>19319</v>
      </c>
      <c r="E3370" s="78" t="s">
        <v>19320</v>
      </c>
      <c r="F3370" s="21" t="s">
        <v>16397</v>
      </c>
      <c r="G3370" s="9">
        <f>DATE(2021,9,22)</f>
        <v>44461</v>
      </c>
      <c r="H3370" s="107">
        <v>0.42430555555555555</v>
      </c>
      <c r="I3370" s="13" t="s">
        <v>259</v>
      </c>
      <c r="J3370" s="21" t="s">
        <v>19321</v>
      </c>
      <c r="K3370" s="21" t="s">
        <v>406</v>
      </c>
      <c r="L3370" s="21" t="s">
        <v>19322</v>
      </c>
      <c r="M3370" s="21" t="s">
        <v>45</v>
      </c>
      <c r="N3370" s="21" t="s">
        <v>80</v>
      </c>
      <c r="O3370" s="21" t="s">
        <v>59</v>
      </c>
      <c r="P3370" s="21" t="s">
        <v>146</v>
      </c>
      <c r="Q3370" s="21" t="s">
        <v>18565</v>
      </c>
      <c r="R3370" s="21" t="s">
        <v>17330</v>
      </c>
      <c r="S3370" s="21">
        <v>0</v>
      </c>
      <c r="T3370" s="21">
        <v>1</v>
      </c>
      <c r="U3370" s="21">
        <v>0</v>
      </c>
      <c r="V3370" s="21">
        <v>0</v>
      </c>
      <c r="W3370" s="21">
        <v>0</v>
      </c>
      <c r="X3370" s="21">
        <v>1</v>
      </c>
      <c r="Y3370" s="21">
        <v>0</v>
      </c>
      <c r="Z3370" s="21">
        <v>0</v>
      </c>
      <c r="AA3370" s="21">
        <v>0</v>
      </c>
      <c r="AB3370" s="21">
        <v>0</v>
      </c>
      <c r="AC3370" s="21">
        <v>0</v>
      </c>
      <c r="AD3370" s="21">
        <v>0</v>
      </c>
      <c r="AE3370" s="21" t="s">
        <v>73</v>
      </c>
      <c r="AF3370" s="21" t="s">
        <v>19323</v>
      </c>
      <c r="AG3370" s="21" t="s">
        <v>19324</v>
      </c>
      <c r="AH3370" s="43">
        <v>44461</v>
      </c>
      <c r="AI3370" s="21">
        <v>1</v>
      </c>
      <c r="AJ3370" s="21" t="s">
        <v>19325</v>
      </c>
      <c r="AK3370" s="21" t="s">
        <v>19326</v>
      </c>
    </row>
    <row r="3371" spans="1:37" ht="36.75" customHeight="1" x14ac:dyDescent="0.35">
      <c r="A3371" s="21" t="s">
        <v>12448</v>
      </c>
      <c r="B3371" s="5" t="s">
        <v>37</v>
      </c>
      <c r="C3371" s="73" t="str">
        <f t="shared" si="61"/>
        <v>Closed</v>
      </c>
      <c r="D3371" s="47" t="s">
        <v>19327</v>
      </c>
      <c r="E3371" s="78" t="s">
        <v>19328</v>
      </c>
      <c r="F3371" s="13" t="s">
        <v>17305</v>
      </c>
      <c r="G3371" s="9">
        <f>DATE(2021,9,26)</f>
        <v>44465</v>
      </c>
      <c r="H3371" s="107">
        <v>0.22569444444444445</v>
      </c>
      <c r="I3371" s="13" t="s">
        <v>19116</v>
      </c>
      <c r="J3371" s="13" t="s">
        <v>19329</v>
      </c>
      <c r="K3371" s="13" t="s">
        <v>108</v>
      </c>
      <c r="L3371" s="13" t="s">
        <v>19330</v>
      </c>
      <c r="M3371" s="13" t="s">
        <v>45</v>
      </c>
      <c r="N3371" s="13" t="s">
        <v>80</v>
      </c>
      <c r="O3371" s="13" t="s">
        <v>46</v>
      </c>
      <c r="P3371" s="13" t="s">
        <v>282</v>
      </c>
      <c r="Q3371" s="13" t="s">
        <v>148</v>
      </c>
      <c r="R3371" s="13" t="s">
        <v>148</v>
      </c>
      <c r="S3371" s="13">
        <v>0</v>
      </c>
      <c r="T3371" s="13">
        <v>0</v>
      </c>
      <c r="U3371" s="13">
        <v>0</v>
      </c>
      <c r="V3371" s="13">
        <v>0</v>
      </c>
      <c r="W3371" s="13">
        <v>0</v>
      </c>
      <c r="X3371" s="13">
        <v>0</v>
      </c>
      <c r="Y3371" s="13">
        <v>0</v>
      </c>
      <c r="Z3371" s="13">
        <v>0</v>
      </c>
      <c r="AA3371" s="13">
        <v>0</v>
      </c>
      <c r="AB3371" s="13">
        <v>0</v>
      </c>
      <c r="AC3371" s="13">
        <v>0</v>
      </c>
      <c r="AD3371" s="13">
        <v>0</v>
      </c>
      <c r="AE3371" s="13" t="s">
        <v>73</v>
      </c>
      <c r="AF3371" s="13" t="s">
        <v>19331</v>
      </c>
      <c r="AG3371" s="13" t="s">
        <v>6438</v>
      </c>
      <c r="AH3371" s="43">
        <v>44474</v>
      </c>
      <c r="AI3371" s="13">
        <v>1</v>
      </c>
      <c r="AJ3371" s="13" t="s">
        <v>19332</v>
      </c>
      <c r="AK3371" s="13" t="s">
        <v>19333</v>
      </c>
    </row>
    <row r="3372" spans="1:37" ht="36.75" customHeight="1" x14ac:dyDescent="0.35">
      <c r="A3372" s="21" t="s">
        <v>12448</v>
      </c>
      <c r="B3372" s="5" t="s">
        <v>37</v>
      </c>
      <c r="C3372" s="73" t="str">
        <f t="shared" si="61"/>
        <v>Closed</v>
      </c>
      <c r="D3372" s="47" t="s">
        <v>19334</v>
      </c>
      <c r="E3372" s="78" t="s">
        <v>19335</v>
      </c>
      <c r="F3372" s="13" t="s">
        <v>17305</v>
      </c>
      <c r="G3372" s="9">
        <f>DATE(2021,10,2)</f>
        <v>44471</v>
      </c>
      <c r="H3372" s="107">
        <v>0.16666666666666666</v>
      </c>
      <c r="I3372" s="13" t="s">
        <v>106</v>
      </c>
      <c r="J3372" s="13" t="s">
        <v>19336</v>
      </c>
      <c r="K3372" s="13" t="s">
        <v>108</v>
      </c>
      <c r="L3372" s="13" t="s">
        <v>19337</v>
      </c>
      <c r="M3372" s="13" t="s">
        <v>45</v>
      </c>
      <c r="N3372" s="13" t="s">
        <v>123</v>
      </c>
      <c r="O3372" s="13" t="s">
        <v>59</v>
      </c>
      <c r="P3372" s="13" t="s">
        <v>60</v>
      </c>
      <c r="Q3372" s="13" t="s">
        <v>382</v>
      </c>
      <c r="R3372" s="13" t="s">
        <v>148</v>
      </c>
      <c r="S3372" s="13">
        <v>0</v>
      </c>
      <c r="T3372" s="13">
        <v>0</v>
      </c>
      <c r="U3372" s="13">
        <v>0</v>
      </c>
      <c r="V3372" s="13">
        <v>0</v>
      </c>
      <c r="W3372" s="13">
        <v>0</v>
      </c>
      <c r="X3372" s="13">
        <v>0</v>
      </c>
      <c r="Y3372" s="13">
        <v>0</v>
      </c>
      <c r="Z3372" s="13">
        <v>0</v>
      </c>
      <c r="AA3372" s="13">
        <v>0</v>
      </c>
      <c r="AB3372" s="13">
        <v>0</v>
      </c>
      <c r="AC3372" s="13">
        <v>0</v>
      </c>
      <c r="AD3372" s="13">
        <v>0</v>
      </c>
      <c r="AE3372" s="13" t="s">
        <v>375</v>
      </c>
      <c r="AF3372" s="13" t="s">
        <v>19338</v>
      </c>
      <c r="AG3372" s="13" t="s">
        <v>6438</v>
      </c>
      <c r="AH3372" s="43">
        <v>44474</v>
      </c>
      <c r="AI3372" s="13">
        <v>0</v>
      </c>
      <c r="AJ3372" s="13" t="s">
        <v>19339</v>
      </c>
      <c r="AK3372" s="13" t="s">
        <v>50</v>
      </c>
    </row>
    <row r="3373" spans="1:37" ht="36.75" customHeight="1" x14ac:dyDescent="0.35">
      <c r="A3373" s="5" t="s">
        <v>12448</v>
      </c>
      <c r="B3373" s="5" t="s">
        <v>37</v>
      </c>
      <c r="C3373" s="73" t="str">
        <f t="shared" si="61"/>
        <v>Closed</v>
      </c>
      <c r="D3373" s="47" t="s">
        <v>19340</v>
      </c>
      <c r="E3373" s="76" t="s">
        <v>19341</v>
      </c>
      <c r="F3373" s="21" t="s">
        <v>18828</v>
      </c>
      <c r="G3373" s="9">
        <f>DATE(2021,10,5)</f>
        <v>44474</v>
      </c>
      <c r="H3373" s="107">
        <v>0.3298611111111111</v>
      </c>
      <c r="I3373" s="21" t="s">
        <v>97</v>
      </c>
      <c r="J3373" s="21" t="s">
        <v>19342</v>
      </c>
      <c r="K3373" s="21" t="s">
        <v>43</v>
      </c>
      <c r="L3373" s="21" t="s">
        <v>19343</v>
      </c>
      <c r="M3373" s="21" t="s">
        <v>45</v>
      </c>
      <c r="N3373" s="21" t="s">
        <v>80</v>
      </c>
      <c r="O3373" s="21" t="s">
        <v>46</v>
      </c>
      <c r="P3373" s="21" t="s">
        <v>282</v>
      </c>
      <c r="Q3373" s="21" t="s">
        <v>19344</v>
      </c>
      <c r="R3373" s="21" t="s">
        <v>18831</v>
      </c>
      <c r="S3373" s="21">
        <v>0</v>
      </c>
      <c r="T3373" s="21">
        <v>0</v>
      </c>
      <c r="U3373" s="21">
        <v>0</v>
      </c>
      <c r="V3373" s="21">
        <v>0</v>
      </c>
      <c r="W3373" s="21">
        <v>0</v>
      </c>
      <c r="X3373" s="21">
        <v>0</v>
      </c>
      <c r="Y3373" s="21">
        <v>0</v>
      </c>
      <c r="Z3373" s="21">
        <v>0</v>
      </c>
      <c r="AA3373" s="21">
        <v>2</v>
      </c>
      <c r="AB3373" s="21">
        <v>0</v>
      </c>
      <c r="AC3373" s="21">
        <v>0</v>
      </c>
      <c r="AD3373" s="21">
        <v>2</v>
      </c>
      <c r="AE3373" s="21" t="s">
        <v>73</v>
      </c>
      <c r="AF3373" s="21" t="s">
        <v>19345</v>
      </c>
      <c r="AG3373" s="21" t="s">
        <v>13508</v>
      </c>
      <c r="AH3373" s="43">
        <v>44475</v>
      </c>
      <c r="AI3373" s="21">
        <v>2</v>
      </c>
      <c r="AJ3373" s="21" t="s">
        <v>19346</v>
      </c>
      <c r="AK3373" s="21" t="s">
        <v>19347</v>
      </c>
    </row>
    <row r="3374" spans="1:37" ht="36.75" customHeight="1" x14ac:dyDescent="0.35">
      <c r="A3374" s="21"/>
      <c r="B3374" s="5" t="s">
        <v>37</v>
      </c>
      <c r="C3374" s="73" t="s">
        <v>17979</v>
      </c>
      <c r="D3374" s="47" t="s">
        <v>19348</v>
      </c>
      <c r="E3374" s="76" t="s">
        <v>19349</v>
      </c>
      <c r="F3374" s="21" t="s">
        <v>17537</v>
      </c>
      <c r="G3374" s="9">
        <f>DATE(2021,10,10)</f>
        <v>44479</v>
      </c>
      <c r="H3374" s="107">
        <v>1.6458333333333335</v>
      </c>
      <c r="I3374" s="21" t="s">
        <v>55</v>
      </c>
      <c r="J3374" s="21" t="s">
        <v>19350</v>
      </c>
      <c r="K3374" s="21" t="s">
        <v>818</v>
      </c>
      <c r="L3374" s="21" t="s">
        <v>19351</v>
      </c>
      <c r="M3374" s="21" t="s">
        <v>45</v>
      </c>
      <c r="N3374" s="21" t="s">
        <v>80</v>
      </c>
      <c r="O3374" s="21" t="s">
        <v>59</v>
      </c>
      <c r="P3374" s="21" t="s">
        <v>146</v>
      </c>
      <c r="Q3374" s="21" t="s">
        <v>2142</v>
      </c>
      <c r="R3374" s="21" t="s">
        <v>821</v>
      </c>
      <c r="S3374" s="21">
        <v>0</v>
      </c>
      <c r="T3374" s="21">
        <v>0</v>
      </c>
      <c r="U3374" s="21">
        <v>0</v>
      </c>
      <c r="V3374" s="21">
        <v>0</v>
      </c>
      <c r="W3374" s="21">
        <v>0</v>
      </c>
      <c r="X3374" s="21">
        <v>0</v>
      </c>
      <c r="Y3374" s="21">
        <v>0</v>
      </c>
      <c r="Z3374" s="21">
        <v>0</v>
      </c>
      <c r="AA3374" s="21">
        <v>0</v>
      </c>
      <c r="AB3374" s="21">
        <v>0</v>
      </c>
      <c r="AC3374" s="21">
        <v>0</v>
      </c>
      <c r="AD3374" s="21">
        <v>0</v>
      </c>
      <c r="AE3374" s="21" t="s">
        <v>375</v>
      </c>
      <c r="AF3374" s="21" t="s">
        <v>19352</v>
      </c>
      <c r="AG3374" s="21" t="s">
        <v>8837</v>
      </c>
      <c r="AH3374" s="43" t="s">
        <v>19353</v>
      </c>
      <c r="AI3374" s="21">
        <v>0</v>
      </c>
      <c r="AJ3374" s="21" t="s">
        <v>19354</v>
      </c>
      <c r="AK3374" s="21" t="s">
        <v>19355</v>
      </c>
    </row>
    <row r="3375" spans="1:37" ht="36.75" customHeight="1" x14ac:dyDescent="0.35">
      <c r="A3375" s="21" t="s">
        <v>12448</v>
      </c>
      <c r="B3375" s="5" t="s">
        <v>14851</v>
      </c>
      <c r="C3375" s="73" t="str">
        <f t="shared" ref="C3375:C3399" si="62">IF(B3375="Notification","Open",IF(B3375="Interim Statement","In progress","Closed"))</f>
        <v>In progress</v>
      </c>
      <c r="D3375" s="47" t="s">
        <v>19356</v>
      </c>
      <c r="E3375" s="76" t="s">
        <v>19357</v>
      </c>
      <c r="F3375" s="21" t="s">
        <v>6434</v>
      </c>
      <c r="G3375" s="9">
        <f>DATE(2021,10,12)</f>
        <v>44481</v>
      </c>
      <c r="H3375" s="107">
        <v>0.59027777777777779</v>
      </c>
      <c r="I3375" s="21" t="s">
        <v>55</v>
      </c>
      <c r="J3375" s="21" t="s">
        <v>19358</v>
      </c>
      <c r="K3375" s="21" t="s">
        <v>565</v>
      </c>
      <c r="L3375" s="21" t="s">
        <v>19359</v>
      </c>
      <c r="M3375" s="21" t="s">
        <v>45</v>
      </c>
      <c r="N3375" s="21" t="s">
        <v>123</v>
      </c>
      <c r="O3375" s="21" t="s">
        <v>59</v>
      </c>
      <c r="P3375" s="21" t="s">
        <v>146</v>
      </c>
      <c r="Q3375" s="21" t="s">
        <v>568</v>
      </c>
      <c r="R3375" s="21" t="s">
        <v>4467</v>
      </c>
      <c r="S3375" s="21">
        <v>0</v>
      </c>
      <c r="T3375" s="21">
        <v>0</v>
      </c>
      <c r="U3375" s="21">
        <v>0</v>
      </c>
      <c r="V3375" s="21">
        <v>0</v>
      </c>
      <c r="W3375" s="21">
        <v>0</v>
      </c>
      <c r="X3375" s="21">
        <v>0</v>
      </c>
      <c r="Y3375" s="21">
        <v>0</v>
      </c>
      <c r="Z3375" s="21">
        <v>0</v>
      </c>
      <c r="AA3375" s="21">
        <v>0</v>
      </c>
      <c r="AB3375" s="21">
        <v>0</v>
      </c>
      <c r="AC3375" s="21">
        <v>0</v>
      </c>
      <c r="AD3375" s="21">
        <v>0</v>
      </c>
      <c r="AE3375" s="21" t="s">
        <v>73</v>
      </c>
      <c r="AF3375" s="21" t="s">
        <v>19244</v>
      </c>
      <c r="AG3375" s="21" t="s">
        <v>8837</v>
      </c>
      <c r="AH3375" s="43">
        <v>44482</v>
      </c>
      <c r="AI3375" s="21"/>
      <c r="AJ3375" s="21" t="s">
        <v>19360</v>
      </c>
      <c r="AK3375" s="21"/>
    </row>
    <row r="3376" spans="1:37" ht="36.75" customHeight="1" x14ac:dyDescent="0.35">
      <c r="A3376" s="21" t="s">
        <v>12448</v>
      </c>
      <c r="B3376" s="5" t="s">
        <v>37</v>
      </c>
      <c r="C3376" s="73" t="str">
        <f t="shared" si="62"/>
        <v>Closed</v>
      </c>
      <c r="D3376" s="47" t="s">
        <v>19361</v>
      </c>
      <c r="E3376" s="78" t="s">
        <v>19362</v>
      </c>
      <c r="F3376" s="13" t="s">
        <v>16278</v>
      </c>
      <c r="G3376" s="9">
        <f>DATE(2021,10,12)</f>
        <v>44481</v>
      </c>
      <c r="H3376" s="107">
        <v>0.2076388888888889</v>
      </c>
      <c r="I3376" s="13" t="s">
        <v>259</v>
      </c>
      <c r="J3376" s="13" t="s">
        <v>19363</v>
      </c>
      <c r="K3376" s="13" t="s">
        <v>99</v>
      </c>
      <c r="L3376" s="13" t="s">
        <v>19364</v>
      </c>
      <c r="M3376" s="13" t="s">
        <v>45</v>
      </c>
      <c r="N3376" s="13" t="s">
        <v>123</v>
      </c>
      <c r="O3376" s="13" t="s">
        <v>46</v>
      </c>
      <c r="P3376" s="13" t="s">
        <v>146</v>
      </c>
      <c r="Q3376" s="13" t="s">
        <v>16281</v>
      </c>
      <c r="R3376" s="13" t="s">
        <v>18159</v>
      </c>
      <c r="S3376" s="13">
        <v>0</v>
      </c>
      <c r="T3376" s="13">
        <v>0</v>
      </c>
      <c r="U3376" s="13">
        <v>0</v>
      </c>
      <c r="V3376" s="13">
        <v>0</v>
      </c>
      <c r="W3376" s="13">
        <v>0</v>
      </c>
      <c r="X3376" s="13">
        <v>0</v>
      </c>
      <c r="Y3376" s="13">
        <v>0</v>
      </c>
      <c r="Z3376" s="13">
        <v>0</v>
      </c>
      <c r="AA3376" s="13">
        <v>0</v>
      </c>
      <c r="AB3376" s="13">
        <v>0</v>
      </c>
      <c r="AC3376" s="13">
        <v>0</v>
      </c>
      <c r="AD3376" s="13">
        <v>0</v>
      </c>
      <c r="AE3376" s="13" t="s">
        <v>73</v>
      </c>
      <c r="AF3376" s="13" t="s">
        <v>19244</v>
      </c>
      <c r="AG3376" s="13" t="s">
        <v>8837</v>
      </c>
      <c r="AH3376" s="43">
        <v>44484</v>
      </c>
      <c r="AI3376" s="13">
        <v>0</v>
      </c>
      <c r="AJ3376" s="13" t="s">
        <v>19365</v>
      </c>
      <c r="AK3376" s="13" t="s">
        <v>10534</v>
      </c>
    </row>
    <row r="3377" spans="1:37" ht="36.75" customHeight="1" x14ac:dyDescent="0.35">
      <c r="A3377" s="21" t="s">
        <v>12448</v>
      </c>
      <c r="B3377" s="5" t="s">
        <v>37</v>
      </c>
      <c r="C3377" s="73" t="str">
        <f t="shared" si="62"/>
        <v>Closed</v>
      </c>
      <c r="D3377" s="47" t="s">
        <v>19366</v>
      </c>
      <c r="E3377" s="78" t="s">
        <v>19367</v>
      </c>
      <c r="F3377" s="13" t="s">
        <v>17537</v>
      </c>
      <c r="G3377" s="9">
        <f>DATE(2021,10,15)</f>
        <v>44484</v>
      </c>
      <c r="H3377" s="107">
        <v>0.55208333333333337</v>
      </c>
      <c r="I3377" s="13" t="s">
        <v>55</v>
      </c>
      <c r="J3377" s="13" t="s">
        <v>19368</v>
      </c>
      <c r="K3377" s="13" t="s">
        <v>818</v>
      </c>
      <c r="L3377" s="13" t="s">
        <v>19369</v>
      </c>
      <c r="M3377" s="13" t="s">
        <v>45</v>
      </c>
      <c r="N3377" s="13" t="s">
        <v>123</v>
      </c>
      <c r="O3377" s="13" t="s">
        <v>59</v>
      </c>
      <c r="P3377" s="13" t="s">
        <v>60</v>
      </c>
      <c r="Q3377" s="13" t="s">
        <v>19370</v>
      </c>
      <c r="R3377" s="13" t="s">
        <v>821</v>
      </c>
      <c r="S3377" s="13">
        <v>0</v>
      </c>
      <c r="T3377" s="13">
        <v>0</v>
      </c>
      <c r="U3377" s="13">
        <v>0</v>
      </c>
      <c r="V3377" s="13">
        <v>0</v>
      </c>
      <c r="W3377" s="13">
        <v>0</v>
      </c>
      <c r="X3377" s="13">
        <v>0</v>
      </c>
      <c r="Y3377" s="13">
        <v>0</v>
      </c>
      <c r="Z3377" s="13">
        <v>0</v>
      </c>
      <c r="AA3377" s="13">
        <v>0</v>
      </c>
      <c r="AB3377" s="13">
        <v>0</v>
      </c>
      <c r="AC3377" s="13">
        <v>0</v>
      </c>
      <c r="AD3377" s="13">
        <v>0</v>
      </c>
      <c r="AE3377" s="13" t="s">
        <v>73</v>
      </c>
      <c r="AF3377" s="13" t="s">
        <v>860</v>
      </c>
      <c r="AG3377" s="13" t="s">
        <v>8837</v>
      </c>
      <c r="AH3377" s="43">
        <v>44484</v>
      </c>
      <c r="AI3377" s="13">
        <v>0</v>
      </c>
      <c r="AJ3377" s="13" t="s">
        <v>19371</v>
      </c>
      <c r="AK3377" s="13" t="s">
        <v>19372</v>
      </c>
    </row>
    <row r="3378" spans="1:37" ht="36.75" customHeight="1" x14ac:dyDescent="0.35">
      <c r="A3378" s="21" t="s">
        <v>12448</v>
      </c>
      <c r="B3378" s="5" t="s">
        <v>37</v>
      </c>
      <c r="C3378" s="73" t="str">
        <f t="shared" si="62"/>
        <v>Closed</v>
      </c>
      <c r="D3378" s="47" t="s">
        <v>19373</v>
      </c>
      <c r="E3378" s="76" t="s">
        <v>19374</v>
      </c>
      <c r="F3378" s="21" t="s">
        <v>12887</v>
      </c>
      <c r="G3378" s="9">
        <f>DATE(2021,10,16)</f>
        <v>44485</v>
      </c>
      <c r="H3378" s="107">
        <v>1.2326388888888888</v>
      </c>
      <c r="I3378" s="21" t="s">
        <v>259</v>
      </c>
      <c r="J3378" s="21" t="s">
        <v>19375</v>
      </c>
      <c r="K3378" s="21" t="s">
        <v>434</v>
      </c>
      <c r="L3378" s="21" t="s">
        <v>19079</v>
      </c>
      <c r="M3378" s="21" t="s">
        <v>45</v>
      </c>
      <c r="N3378" s="21" t="s">
        <v>80</v>
      </c>
      <c r="O3378" s="21" t="s">
        <v>59</v>
      </c>
      <c r="P3378" s="21" t="s">
        <v>146</v>
      </c>
      <c r="Q3378" s="21" t="s">
        <v>12161</v>
      </c>
      <c r="R3378" s="21" t="s">
        <v>553</v>
      </c>
      <c r="S3378" s="21">
        <v>0</v>
      </c>
      <c r="T3378" s="21">
        <v>0</v>
      </c>
      <c r="U3378" s="21">
        <v>0</v>
      </c>
      <c r="V3378" s="21">
        <v>1</v>
      </c>
      <c r="W3378" s="21">
        <v>0</v>
      </c>
      <c r="X3378" s="21">
        <v>1</v>
      </c>
      <c r="Y3378" s="21">
        <v>0</v>
      </c>
      <c r="Z3378" s="21">
        <v>0</v>
      </c>
      <c r="AA3378" s="21">
        <v>0</v>
      </c>
      <c r="AB3378" s="21">
        <v>0</v>
      </c>
      <c r="AC3378" s="21">
        <v>0</v>
      </c>
      <c r="AD3378" s="21">
        <v>0</v>
      </c>
      <c r="AE3378" s="21" t="s">
        <v>73</v>
      </c>
      <c r="AF3378" s="21" t="s">
        <v>693</v>
      </c>
      <c r="AG3378" s="21" t="s">
        <v>6438</v>
      </c>
      <c r="AH3378" s="43">
        <v>44485</v>
      </c>
      <c r="AI3378" s="21">
        <v>0</v>
      </c>
      <c r="AJ3378" s="21" t="s">
        <v>19376</v>
      </c>
      <c r="AK3378" s="21">
        <v>0</v>
      </c>
    </row>
    <row r="3379" spans="1:37" ht="36.75" customHeight="1" x14ac:dyDescent="0.35">
      <c r="A3379" s="21" t="s">
        <v>12448</v>
      </c>
      <c r="B3379" s="5" t="s">
        <v>14851</v>
      </c>
      <c r="C3379" s="73" t="str">
        <f t="shared" si="62"/>
        <v>In progress</v>
      </c>
      <c r="D3379" s="47" t="s">
        <v>19377</v>
      </c>
      <c r="E3379" s="76" t="s">
        <v>19378</v>
      </c>
      <c r="F3379" s="21" t="s">
        <v>6434</v>
      </c>
      <c r="G3379" s="9">
        <f>DATE(2021,10,19)</f>
        <v>44488</v>
      </c>
      <c r="H3379" s="107">
        <v>0.28472222222222221</v>
      </c>
      <c r="I3379" s="21" t="s">
        <v>179</v>
      </c>
      <c r="J3379" s="21" t="s">
        <v>19379</v>
      </c>
      <c r="K3379" s="21" t="s">
        <v>565</v>
      </c>
      <c r="L3379" s="21" t="s">
        <v>19380</v>
      </c>
      <c r="M3379" s="21" t="s">
        <v>45</v>
      </c>
      <c r="N3379" s="21" t="s">
        <v>80</v>
      </c>
      <c r="O3379" s="21" t="s">
        <v>59</v>
      </c>
      <c r="P3379" s="21" t="s">
        <v>60</v>
      </c>
      <c r="Q3379" s="21" t="s">
        <v>19381</v>
      </c>
      <c r="R3379" s="21" t="s">
        <v>568</v>
      </c>
      <c r="S3379" s="21">
        <v>0</v>
      </c>
      <c r="T3379" s="21">
        <v>0</v>
      </c>
      <c r="U3379" s="21">
        <v>0</v>
      </c>
      <c r="V3379" s="21">
        <v>0</v>
      </c>
      <c r="W3379" s="21">
        <v>0</v>
      </c>
      <c r="X3379" s="21">
        <v>0</v>
      </c>
      <c r="Y3379" s="21">
        <v>0</v>
      </c>
      <c r="Z3379" s="21">
        <v>0</v>
      </c>
      <c r="AA3379" s="21">
        <v>0</v>
      </c>
      <c r="AB3379" s="21">
        <v>0</v>
      </c>
      <c r="AC3379" s="21">
        <v>0</v>
      </c>
      <c r="AD3379" s="21">
        <v>0</v>
      </c>
      <c r="AE3379" s="21" t="s">
        <v>73</v>
      </c>
      <c r="AF3379" s="21" t="s">
        <v>19244</v>
      </c>
      <c r="AG3379" s="21" t="s">
        <v>8837</v>
      </c>
      <c r="AH3379" s="43">
        <v>44489</v>
      </c>
      <c r="AI3379" s="21"/>
      <c r="AJ3379" s="21" t="s">
        <v>19382</v>
      </c>
      <c r="AK3379" s="21"/>
    </row>
    <row r="3380" spans="1:37" ht="36.75" customHeight="1" x14ac:dyDescent="0.35">
      <c r="A3380" s="21" t="s">
        <v>12448</v>
      </c>
      <c r="B3380" s="5" t="s">
        <v>37</v>
      </c>
      <c r="C3380" s="73" t="str">
        <f t="shared" si="62"/>
        <v>Closed</v>
      </c>
      <c r="D3380" s="47" t="s">
        <v>19383</v>
      </c>
      <c r="E3380" s="76" t="s">
        <v>19384</v>
      </c>
      <c r="F3380" s="21" t="s">
        <v>17537</v>
      </c>
      <c r="G3380" s="9">
        <f>DATE(2021,10,21)</f>
        <v>44490</v>
      </c>
      <c r="H3380" s="107">
        <v>0.20138888888888887</v>
      </c>
      <c r="I3380" s="21" t="s">
        <v>4590</v>
      </c>
      <c r="J3380" s="21" t="s">
        <v>19385</v>
      </c>
      <c r="K3380" s="21" t="s">
        <v>818</v>
      </c>
      <c r="L3380" s="21" t="s">
        <v>19386</v>
      </c>
      <c r="M3380" s="21" t="s">
        <v>45</v>
      </c>
      <c r="N3380" s="21" t="s">
        <v>70</v>
      </c>
      <c r="O3380" s="21" t="s">
        <v>59</v>
      </c>
      <c r="P3380" s="21" t="s">
        <v>60</v>
      </c>
      <c r="Q3380" s="21" t="s">
        <v>18191</v>
      </c>
      <c r="R3380" s="21" t="s">
        <v>2142</v>
      </c>
      <c r="S3380" s="21">
        <v>0</v>
      </c>
      <c r="T3380" s="21">
        <v>0</v>
      </c>
      <c r="U3380" s="21">
        <v>0</v>
      </c>
      <c r="V3380" s="21">
        <v>0</v>
      </c>
      <c r="W3380" s="21">
        <v>0</v>
      </c>
      <c r="X3380" s="21">
        <v>0</v>
      </c>
      <c r="Y3380" s="21">
        <v>0</v>
      </c>
      <c r="Z3380" s="21">
        <v>0</v>
      </c>
      <c r="AA3380" s="21">
        <v>0</v>
      </c>
      <c r="AB3380" s="21">
        <v>0</v>
      </c>
      <c r="AC3380" s="21">
        <v>0</v>
      </c>
      <c r="AD3380" s="21">
        <v>0</v>
      </c>
      <c r="AE3380" s="21" t="s">
        <v>73</v>
      </c>
      <c r="AF3380" s="21" t="s">
        <v>860</v>
      </c>
      <c r="AG3380" s="21" t="s">
        <v>13508</v>
      </c>
      <c r="AH3380" s="43">
        <v>44502</v>
      </c>
      <c r="AI3380" s="21">
        <v>1</v>
      </c>
      <c r="AJ3380" s="21" t="s">
        <v>19387</v>
      </c>
      <c r="AK3380" s="21" t="s">
        <v>19388</v>
      </c>
    </row>
    <row r="3381" spans="1:37" ht="36.75" customHeight="1" x14ac:dyDescent="0.35">
      <c r="A3381" s="21" t="s">
        <v>12448</v>
      </c>
      <c r="B3381" s="5" t="s">
        <v>37</v>
      </c>
      <c r="C3381" s="73" t="str">
        <f t="shared" si="62"/>
        <v>Closed</v>
      </c>
      <c r="D3381" s="47" t="s">
        <v>19389</v>
      </c>
      <c r="E3381" s="76" t="s">
        <v>19390</v>
      </c>
      <c r="F3381" s="21" t="s">
        <v>12887</v>
      </c>
      <c r="G3381" s="9">
        <f>DATE(2021,10,24)</f>
        <v>44493</v>
      </c>
      <c r="H3381" s="107">
        <v>1.6770833333333335</v>
      </c>
      <c r="I3381" s="21" t="s">
        <v>259</v>
      </c>
      <c r="J3381" s="21" t="s">
        <v>19391</v>
      </c>
      <c r="K3381" s="21" t="s">
        <v>434</v>
      </c>
      <c r="L3381" s="21" t="s">
        <v>19392</v>
      </c>
      <c r="M3381" s="21" t="s">
        <v>45</v>
      </c>
      <c r="N3381" s="21" t="s">
        <v>123</v>
      </c>
      <c r="O3381" s="21" t="s">
        <v>46</v>
      </c>
      <c r="P3381" s="21" t="s">
        <v>47</v>
      </c>
      <c r="Q3381" s="21" t="s">
        <v>14350</v>
      </c>
      <c r="R3381" s="21" t="s">
        <v>553</v>
      </c>
      <c r="S3381" s="21">
        <v>0</v>
      </c>
      <c r="T3381" s="21">
        <v>0</v>
      </c>
      <c r="U3381" s="21">
        <v>0</v>
      </c>
      <c r="V3381" s="21">
        <v>1</v>
      </c>
      <c r="W3381" s="21">
        <v>0</v>
      </c>
      <c r="X3381" s="21">
        <v>1</v>
      </c>
      <c r="Y3381" s="21">
        <v>0</v>
      </c>
      <c r="Z3381" s="21">
        <v>0</v>
      </c>
      <c r="AA3381" s="21">
        <v>0</v>
      </c>
      <c r="AB3381" s="21">
        <v>0</v>
      </c>
      <c r="AC3381" s="21">
        <v>0</v>
      </c>
      <c r="AD3381" s="21">
        <v>0</v>
      </c>
      <c r="AE3381" s="21" t="s">
        <v>73</v>
      </c>
      <c r="AF3381" s="21" t="s">
        <v>19391</v>
      </c>
      <c r="AG3381" s="21" t="s">
        <v>6438</v>
      </c>
      <c r="AH3381" s="43">
        <v>44501</v>
      </c>
      <c r="AI3381" s="21">
        <v>0</v>
      </c>
      <c r="AJ3381" s="21" t="s">
        <v>19393</v>
      </c>
      <c r="AK3381" s="21" t="s">
        <v>19394</v>
      </c>
    </row>
    <row r="3382" spans="1:37" ht="36.75" customHeight="1" x14ac:dyDescent="0.35">
      <c r="A3382" s="5" t="s">
        <v>12448</v>
      </c>
      <c r="B3382" s="5" t="s">
        <v>37</v>
      </c>
      <c r="C3382" s="73" t="str">
        <f t="shared" si="62"/>
        <v>Closed</v>
      </c>
      <c r="D3382" s="47" t="s">
        <v>19395</v>
      </c>
      <c r="E3382" s="76" t="s">
        <v>19396</v>
      </c>
      <c r="F3382" s="21" t="s">
        <v>16397</v>
      </c>
      <c r="G3382" s="9">
        <f>DATE(2021,10,25)</f>
        <v>44494</v>
      </c>
      <c r="H3382" s="107">
        <v>0.40277777777777773</v>
      </c>
      <c r="I3382" s="21" t="s">
        <v>55</v>
      </c>
      <c r="J3382" s="21" t="s">
        <v>19397</v>
      </c>
      <c r="K3382" s="21" t="s">
        <v>406</v>
      </c>
      <c r="L3382" s="21" t="s">
        <v>19398</v>
      </c>
      <c r="M3382" s="21" t="s">
        <v>45</v>
      </c>
      <c r="N3382" s="21" t="s">
        <v>123</v>
      </c>
      <c r="O3382" s="21" t="s">
        <v>59</v>
      </c>
      <c r="P3382" s="21" t="s">
        <v>72</v>
      </c>
      <c r="Q3382" s="21" t="s">
        <v>18565</v>
      </c>
      <c r="R3382" s="21" t="s">
        <v>17330</v>
      </c>
      <c r="S3382" s="21">
        <v>0</v>
      </c>
      <c r="T3382" s="21">
        <v>0</v>
      </c>
      <c r="U3382" s="21">
        <v>0</v>
      </c>
      <c r="V3382" s="21">
        <v>0</v>
      </c>
      <c r="W3382" s="21">
        <v>0</v>
      </c>
      <c r="X3382" s="21">
        <v>0</v>
      </c>
      <c r="Y3382" s="21">
        <v>0</v>
      </c>
      <c r="Z3382" s="21">
        <v>0</v>
      </c>
      <c r="AA3382" s="21">
        <v>0</v>
      </c>
      <c r="AB3382" s="21">
        <v>0</v>
      </c>
      <c r="AC3382" s="21">
        <v>0</v>
      </c>
      <c r="AD3382" s="21">
        <v>0</v>
      </c>
      <c r="AE3382" s="21" t="s">
        <v>73</v>
      </c>
      <c r="AF3382" s="21" t="s">
        <v>19244</v>
      </c>
      <c r="AG3382" s="21" t="s">
        <v>16251</v>
      </c>
      <c r="AH3382" s="43">
        <v>44494</v>
      </c>
      <c r="AI3382" s="21">
        <v>0</v>
      </c>
      <c r="AJ3382" s="21" t="s">
        <v>19399</v>
      </c>
      <c r="AK3382" s="21" t="s">
        <v>860</v>
      </c>
    </row>
    <row r="3383" spans="1:37" ht="36.75" customHeight="1" x14ac:dyDescent="0.35">
      <c r="A3383" s="5" t="s">
        <v>12448</v>
      </c>
      <c r="B3383" s="5" t="s">
        <v>37</v>
      </c>
      <c r="C3383" s="73" t="str">
        <f t="shared" si="62"/>
        <v>Closed</v>
      </c>
      <c r="D3383" s="47" t="s">
        <v>19400</v>
      </c>
      <c r="E3383" s="76" t="s">
        <v>19401</v>
      </c>
      <c r="F3383" s="21" t="s">
        <v>16397</v>
      </c>
      <c r="G3383" s="9">
        <f>DATE(2021,10,26)</f>
        <v>44495</v>
      </c>
      <c r="H3383" s="107">
        <v>0.67569444444444438</v>
      </c>
      <c r="I3383" s="21" t="s">
        <v>2059</v>
      </c>
      <c r="J3383" s="21" t="s">
        <v>19402</v>
      </c>
      <c r="K3383" s="21" t="s">
        <v>406</v>
      </c>
      <c r="L3383" s="21" t="s">
        <v>19403</v>
      </c>
      <c r="M3383" s="21" t="s">
        <v>45</v>
      </c>
      <c r="N3383" s="21" t="s">
        <v>80</v>
      </c>
      <c r="O3383" s="21" t="s">
        <v>59</v>
      </c>
      <c r="P3383" s="21" t="s">
        <v>146</v>
      </c>
      <c r="Q3383" s="21" t="s">
        <v>18466</v>
      </c>
      <c r="R3383" s="21" t="s">
        <v>17330</v>
      </c>
      <c r="S3383" s="21">
        <v>0</v>
      </c>
      <c r="T3383" s="21">
        <v>0</v>
      </c>
      <c r="U3383" s="21">
        <v>0</v>
      </c>
      <c r="V3383" s="21">
        <v>0</v>
      </c>
      <c r="W3383" s="21">
        <v>0</v>
      </c>
      <c r="X3383" s="21">
        <v>0</v>
      </c>
      <c r="Y3383" s="21">
        <v>0</v>
      </c>
      <c r="Z3383" s="21">
        <v>0</v>
      </c>
      <c r="AA3383" s="21">
        <v>0</v>
      </c>
      <c r="AB3383" s="21">
        <v>0</v>
      </c>
      <c r="AC3383" s="21">
        <v>0</v>
      </c>
      <c r="AD3383" s="21">
        <v>0</v>
      </c>
      <c r="AE3383" s="21" t="s">
        <v>73</v>
      </c>
      <c r="AF3383" s="21" t="s">
        <v>19244</v>
      </c>
      <c r="AG3383" s="21" t="s">
        <v>16251</v>
      </c>
      <c r="AH3383" s="43">
        <v>44495</v>
      </c>
      <c r="AI3383" s="21">
        <v>0</v>
      </c>
      <c r="AJ3383" s="21" t="s">
        <v>19404</v>
      </c>
      <c r="AK3383" s="21" t="s">
        <v>860</v>
      </c>
    </row>
    <row r="3384" spans="1:37" ht="36.75" customHeight="1" x14ac:dyDescent="0.35">
      <c r="A3384" s="21" t="s">
        <v>12448</v>
      </c>
      <c r="B3384" s="5" t="s">
        <v>37</v>
      </c>
      <c r="C3384" s="73" t="str">
        <f t="shared" si="62"/>
        <v>Closed</v>
      </c>
      <c r="D3384" s="47" t="s">
        <v>19405</v>
      </c>
      <c r="E3384" s="76" t="s">
        <v>19406</v>
      </c>
      <c r="F3384" s="21" t="s">
        <v>16397</v>
      </c>
      <c r="G3384" s="9">
        <f>DATE(2021,10,28)</f>
        <v>44497</v>
      </c>
      <c r="H3384" s="107">
        <v>0.30902777777777779</v>
      </c>
      <c r="I3384" s="21" t="s">
        <v>97</v>
      </c>
      <c r="J3384" s="21" t="s">
        <v>19407</v>
      </c>
      <c r="K3384" s="21" t="s">
        <v>406</v>
      </c>
      <c r="L3384" s="21" t="s">
        <v>19408</v>
      </c>
      <c r="M3384" s="21" t="s">
        <v>45</v>
      </c>
      <c r="N3384" s="21" t="s">
        <v>123</v>
      </c>
      <c r="O3384" s="21" t="s">
        <v>46</v>
      </c>
      <c r="P3384" s="21" t="s">
        <v>146</v>
      </c>
      <c r="Q3384" s="21" t="s">
        <v>18565</v>
      </c>
      <c r="R3384" s="21" t="s">
        <v>17330</v>
      </c>
      <c r="S3384" s="21">
        <v>0</v>
      </c>
      <c r="T3384" s="21">
        <v>0</v>
      </c>
      <c r="U3384" s="21">
        <v>1</v>
      </c>
      <c r="V3384" s="21">
        <v>0</v>
      </c>
      <c r="W3384" s="21">
        <v>0</v>
      </c>
      <c r="X3384" s="21">
        <v>1</v>
      </c>
      <c r="Y3384" s="21">
        <v>0</v>
      </c>
      <c r="Z3384" s="21">
        <v>0</v>
      </c>
      <c r="AA3384" s="21">
        <v>0</v>
      </c>
      <c r="AB3384" s="21">
        <v>0</v>
      </c>
      <c r="AC3384" s="21">
        <v>0</v>
      </c>
      <c r="AD3384" s="21">
        <v>0</v>
      </c>
      <c r="AE3384" s="21" t="s">
        <v>73</v>
      </c>
      <c r="AF3384" s="21" t="s">
        <v>19409</v>
      </c>
      <c r="AG3384" s="21" t="s">
        <v>8837</v>
      </c>
      <c r="AH3384" s="43">
        <v>44497</v>
      </c>
      <c r="AI3384" s="21">
        <v>1</v>
      </c>
      <c r="AJ3384" s="21" t="s">
        <v>19410</v>
      </c>
      <c r="AK3384" s="21" t="s">
        <v>860</v>
      </c>
    </row>
    <row r="3385" spans="1:37" ht="36.75" customHeight="1" x14ac:dyDescent="0.35">
      <c r="A3385" s="21" t="s">
        <v>12448</v>
      </c>
      <c r="B3385" s="5" t="s">
        <v>37</v>
      </c>
      <c r="C3385" s="73" t="str">
        <f t="shared" si="62"/>
        <v>Closed</v>
      </c>
      <c r="D3385" s="47" t="s">
        <v>19411</v>
      </c>
      <c r="E3385" s="76" t="s">
        <v>19412</v>
      </c>
      <c r="F3385" s="21" t="s">
        <v>16397</v>
      </c>
      <c r="G3385" s="9">
        <f>DATE(2021,10,31)</f>
        <v>44500</v>
      </c>
      <c r="H3385" s="107">
        <v>0.1076388888888889</v>
      </c>
      <c r="I3385" s="21" t="s">
        <v>179</v>
      </c>
      <c r="J3385" s="21" t="s">
        <v>19413</v>
      </c>
      <c r="K3385" s="21" t="s">
        <v>406</v>
      </c>
      <c r="L3385" s="21" t="s">
        <v>19414</v>
      </c>
      <c r="M3385" s="21" t="s">
        <v>45</v>
      </c>
      <c r="N3385" s="21" t="s">
        <v>123</v>
      </c>
      <c r="O3385" s="21" t="s">
        <v>46</v>
      </c>
      <c r="P3385" s="21" t="s">
        <v>19415</v>
      </c>
      <c r="Q3385" s="21" t="s">
        <v>18043</v>
      </c>
      <c r="R3385" s="21" t="s">
        <v>17330</v>
      </c>
      <c r="S3385" s="21">
        <v>0</v>
      </c>
      <c r="T3385" s="21">
        <v>0</v>
      </c>
      <c r="U3385" s="21">
        <v>0</v>
      </c>
      <c r="V3385" s="21">
        <v>0</v>
      </c>
      <c r="W3385" s="21">
        <v>0</v>
      </c>
      <c r="X3385" s="21">
        <v>0</v>
      </c>
      <c r="Y3385" s="21">
        <v>0</v>
      </c>
      <c r="Z3385" s="21">
        <v>0</v>
      </c>
      <c r="AA3385" s="21">
        <v>0</v>
      </c>
      <c r="AB3385" s="21">
        <v>0</v>
      </c>
      <c r="AC3385" s="21">
        <v>0</v>
      </c>
      <c r="AD3385" s="21">
        <v>0</v>
      </c>
      <c r="AE3385" s="21" t="s">
        <v>73</v>
      </c>
      <c r="AF3385" s="21" t="s">
        <v>19416</v>
      </c>
      <c r="AG3385" s="21" t="s">
        <v>17331</v>
      </c>
      <c r="AH3385" s="43">
        <v>44500</v>
      </c>
      <c r="AI3385" s="21">
        <v>1</v>
      </c>
      <c r="AJ3385" s="21" t="s">
        <v>19417</v>
      </c>
      <c r="AK3385" s="21" t="s">
        <v>18825</v>
      </c>
    </row>
    <row r="3386" spans="1:37" ht="36.75" customHeight="1" x14ac:dyDescent="0.35">
      <c r="A3386" s="21" t="s">
        <v>12448</v>
      </c>
      <c r="B3386" s="5" t="s">
        <v>37</v>
      </c>
      <c r="C3386" s="73" t="str">
        <f t="shared" si="62"/>
        <v>Closed</v>
      </c>
      <c r="D3386" s="47" t="s">
        <v>19418</v>
      </c>
      <c r="E3386" s="76" t="s">
        <v>19419</v>
      </c>
      <c r="F3386" s="21" t="s">
        <v>17638</v>
      </c>
      <c r="G3386" s="9">
        <f>DATE(2021,11,3)</f>
        <v>44503</v>
      </c>
      <c r="H3386" s="107">
        <v>0.59722222222222221</v>
      </c>
      <c r="I3386" s="21" t="s">
        <v>55</v>
      </c>
      <c r="J3386" s="21" t="s">
        <v>19420</v>
      </c>
      <c r="K3386" s="21" t="s">
        <v>1555</v>
      </c>
      <c r="L3386" s="21" t="s">
        <v>19421</v>
      </c>
      <c r="M3386" s="21" t="s">
        <v>45</v>
      </c>
      <c r="N3386" s="21" t="s">
        <v>80</v>
      </c>
      <c r="O3386" s="21" t="s">
        <v>46</v>
      </c>
      <c r="P3386" s="21" t="s">
        <v>60</v>
      </c>
      <c r="Q3386" s="21" t="s">
        <v>19422</v>
      </c>
      <c r="R3386" s="21" t="s">
        <v>18956</v>
      </c>
      <c r="S3386" s="21">
        <v>0</v>
      </c>
      <c r="T3386" s="21">
        <v>0</v>
      </c>
      <c r="U3386" s="21">
        <v>0</v>
      </c>
      <c r="V3386" s="21">
        <v>0</v>
      </c>
      <c r="W3386" s="21">
        <v>0</v>
      </c>
      <c r="X3386" s="21">
        <v>0</v>
      </c>
      <c r="Y3386" s="21">
        <v>0</v>
      </c>
      <c r="Z3386" s="21">
        <v>0</v>
      </c>
      <c r="AA3386" s="21">
        <v>0</v>
      </c>
      <c r="AB3386" s="21">
        <v>0</v>
      </c>
      <c r="AC3386" s="21">
        <v>0</v>
      </c>
      <c r="AD3386" s="21">
        <v>0</v>
      </c>
      <c r="AE3386" s="21" t="s">
        <v>73</v>
      </c>
      <c r="AF3386" s="21" t="s">
        <v>19423</v>
      </c>
      <c r="AG3386" s="21" t="s">
        <v>8837</v>
      </c>
      <c r="AH3386" s="43">
        <v>44504</v>
      </c>
      <c r="AI3386" s="21">
        <v>0</v>
      </c>
      <c r="AJ3386" s="21" t="s">
        <v>19424</v>
      </c>
      <c r="AK3386" s="21" t="s">
        <v>19425</v>
      </c>
    </row>
    <row r="3387" spans="1:37" ht="36.75" customHeight="1" x14ac:dyDescent="0.35">
      <c r="A3387" s="21" t="s">
        <v>12448</v>
      </c>
      <c r="B3387" s="5" t="s">
        <v>37</v>
      </c>
      <c r="C3387" s="73" t="str">
        <f t="shared" si="62"/>
        <v>Closed</v>
      </c>
      <c r="D3387" s="47" t="s">
        <v>19426</v>
      </c>
      <c r="E3387" s="76" t="s">
        <v>19427</v>
      </c>
      <c r="F3387" s="21" t="s">
        <v>17537</v>
      </c>
      <c r="G3387" s="9">
        <f>DATE(2021,11,6)</f>
        <v>44506</v>
      </c>
      <c r="H3387" s="107">
        <v>0.33333333333333331</v>
      </c>
      <c r="I3387" s="21" t="s">
        <v>97</v>
      </c>
      <c r="J3387" s="21" t="s">
        <v>19428</v>
      </c>
      <c r="K3387" s="21" t="s">
        <v>818</v>
      </c>
      <c r="L3387" s="21" t="s">
        <v>19429</v>
      </c>
      <c r="M3387" s="21" t="s">
        <v>45</v>
      </c>
      <c r="N3387" s="21" t="s">
        <v>80</v>
      </c>
      <c r="O3387" s="21" t="s">
        <v>46</v>
      </c>
      <c r="P3387" s="21" t="s">
        <v>47</v>
      </c>
      <c r="Q3387" s="21" t="s">
        <v>18286</v>
      </c>
      <c r="R3387" s="21" t="s">
        <v>821</v>
      </c>
      <c r="S3387" s="21">
        <v>0</v>
      </c>
      <c r="T3387" s="21">
        <v>0</v>
      </c>
      <c r="U3387" s="21">
        <v>0</v>
      </c>
      <c r="V3387" s="21">
        <v>0</v>
      </c>
      <c r="W3387" s="21">
        <v>0</v>
      </c>
      <c r="X3387" s="21">
        <v>0</v>
      </c>
      <c r="Y3387" s="21">
        <v>0</v>
      </c>
      <c r="Z3387" s="21">
        <v>0</v>
      </c>
      <c r="AA3387" s="21">
        <v>0</v>
      </c>
      <c r="AB3387" s="21">
        <v>0</v>
      </c>
      <c r="AC3387" s="21">
        <v>0</v>
      </c>
      <c r="AD3387" s="21">
        <v>0</v>
      </c>
      <c r="AE3387" s="21" t="s">
        <v>73</v>
      </c>
      <c r="AF3387" s="21" t="s">
        <v>19430</v>
      </c>
      <c r="AG3387" s="21" t="s">
        <v>14532</v>
      </c>
      <c r="AH3387" s="43">
        <v>44506</v>
      </c>
      <c r="AI3387" s="21">
        <v>1</v>
      </c>
      <c r="AJ3387" s="21" t="s">
        <v>19431</v>
      </c>
      <c r="AK3387" s="21" t="s">
        <v>19432</v>
      </c>
    </row>
    <row r="3388" spans="1:37" ht="36.75" customHeight="1" x14ac:dyDescent="0.35">
      <c r="A3388" s="21" t="s">
        <v>12448</v>
      </c>
      <c r="B3388" s="5" t="s">
        <v>37</v>
      </c>
      <c r="C3388" s="73" t="str">
        <f t="shared" si="62"/>
        <v>Closed</v>
      </c>
      <c r="D3388" s="47" t="s">
        <v>19433</v>
      </c>
      <c r="E3388" s="76" t="s">
        <v>19434</v>
      </c>
      <c r="F3388" s="21" t="s">
        <v>18015</v>
      </c>
      <c r="G3388" s="9">
        <f>DATE(2021,11,7)</f>
        <v>44507</v>
      </c>
      <c r="H3388" s="107">
        <v>0.26041666666666669</v>
      </c>
      <c r="I3388" s="21" t="s">
        <v>55</v>
      </c>
      <c r="J3388" s="21" t="s">
        <v>19435</v>
      </c>
      <c r="K3388" s="21" t="s">
        <v>121</v>
      </c>
      <c r="L3388" s="21" t="s">
        <v>19436</v>
      </c>
      <c r="M3388" s="21" t="s">
        <v>45</v>
      </c>
      <c r="N3388" s="21" t="s">
        <v>80</v>
      </c>
      <c r="O3388" s="21" t="s">
        <v>46</v>
      </c>
      <c r="P3388" s="21" t="s">
        <v>60</v>
      </c>
      <c r="Q3388" s="21" t="s">
        <v>19437</v>
      </c>
      <c r="R3388" s="21" t="s">
        <v>18480</v>
      </c>
      <c r="S3388" s="21">
        <v>0</v>
      </c>
      <c r="T3388" s="21">
        <v>0</v>
      </c>
      <c r="U3388" s="21">
        <v>0</v>
      </c>
      <c r="V3388" s="21">
        <v>0</v>
      </c>
      <c r="W3388" s="21">
        <v>0</v>
      </c>
      <c r="X3388" s="21">
        <v>0</v>
      </c>
      <c r="Y3388" s="21">
        <v>0</v>
      </c>
      <c r="Z3388" s="21">
        <v>0</v>
      </c>
      <c r="AA3388" s="21">
        <v>0</v>
      </c>
      <c r="AB3388" s="21">
        <v>0</v>
      </c>
      <c r="AC3388" s="21">
        <v>0</v>
      </c>
      <c r="AD3388" s="21">
        <v>0</v>
      </c>
      <c r="AE3388" s="21" t="s">
        <v>126</v>
      </c>
      <c r="AF3388" s="21" t="s">
        <v>19438</v>
      </c>
      <c r="AG3388" s="21" t="s">
        <v>6438</v>
      </c>
      <c r="AH3388" s="43">
        <v>44510</v>
      </c>
      <c r="AI3388" s="21">
        <v>3</v>
      </c>
      <c r="AJ3388" s="21" t="s">
        <v>19439</v>
      </c>
      <c r="AK3388" s="21"/>
    </row>
    <row r="3389" spans="1:37" ht="36.75" customHeight="1" x14ac:dyDescent="0.35">
      <c r="A3389" s="21" t="s">
        <v>12448</v>
      </c>
      <c r="B3389" s="5" t="s">
        <v>37</v>
      </c>
      <c r="C3389" s="73" t="str">
        <f t="shared" si="62"/>
        <v>Closed</v>
      </c>
      <c r="D3389" s="47" t="s">
        <v>19440</v>
      </c>
      <c r="E3389" s="76" t="s">
        <v>19441</v>
      </c>
      <c r="F3389" s="21" t="s">
        <v>12887</v>
      </c>
      <c r="G3389" s="9">
        <f>DATE(2021,11,7)</f>
        <v>44507</v>
      </c>
      <c r="H3389" s="107">
        <v>1.1388888888888888</v>
      </c>
      <c r="I3389" s="21" t="s">
        <v>259</v>
      </c>
      <c r="J3389" s="21" t="s">
        <v>19391</v>
      </c>
      <c r="K3389" s="21" t="s">
        <v>434</v>
      </c>
      <c r="L3389" s="21" t="s">
        <v>19442</v>
      </c>
      <c r="M3389" s="21" t="s">
        <v>45</v>
      </c>
      <c r="N3389" s="21" t="s">
        <v>70</v>
      </c>
      <c r="O3389" s="21" t="s">
        <v>59</v>
      </c>
      <c r="P3389" s="21" t="s">
        <v>6881</v>
      </c>
      <c r="Q3389" s="21" t="s">
        <v>12672</v>
      </c>
      <c r="R3389" s="21" t="s">
        <v>553</v>
      </c>
      <c r="S3389" s="21">
        <v>0</v>
      </c>
      <c r="T3389" s="21">
        <v>0</v>
      </c>
      <c r="U3389" s="21">
        <v>0</v>
      </c>
      <c r="V3389" s="21">
        <v>1</v>
      </c>
      <c r="W3389" s="21">
        <v>0</v>
      </c>
      <c r="X3389" s="21">
        <v>1</v>
      </c>
      <c r="Y3389" s="21">
        <v>0</v>
      </c>
      <c r="Z3389" s="21">
        <v>0</v>
      </c>
      <c r="AA3389" s="21">
        <v>0</v>
      </c>
      <c r="AB3389" s="21">
        <v>0</v>
      </c>
      <c r="AC3389" s="21">
        <v>0</v>
      </c>
      <c r="AD3389" s="21">
        <v>0</v>
      </c>
      <c r="AE3389" s="21" t="s">
        <v>73</v>
      </c>
      <c r="AF3389" s="21" t="s">
        <v>19391</v>
      </c>
      <c r="AG3389" s="21" t="s">
        <v>6438</v>
      </c>
      <c r="AH3389" s="43">
        <v>44508</v>
      </c>
      <c r="AI3389" s="21">
        <v>0</v>
      </c>
      <c r="AJ3389" s="21" t="s">
        <v>19443</v>
      </c>
      <c r="AK3389" s="21" t="s">
        <v>19444</v>
      </c>
    </row>
    <row r="3390" spans="1:37" ht="36.75" customHeight="1" x14ac:dyDescent="0.35">
      <c r="A3390" s="21" t="s">
        <v>12448</v>
      </c>
      <c r="B3390" s="5" t="s">
        <v>37</v>
      </c>
      <c r="C3390" s="73" t="str">
        <f t="shared" si="62"/>
        <v>Closed</v>
      </c>
      <c r="D3390" s="47" t="s">
        <v>19445</v>
      </c>
      <c r="E3390" s="76" t="s">
        <v>19446</v>
      </c>
      <c r="F3390" s="21" t="s">
        <v>16278</v>
      </c>
      <c r="G3390" s="9">
        <f>DATE(2021,11,8)</f>
        <v>44508</v>
      </c>
      <c r="H3390" s="107">
        <v>0.33333333333333331</v>
      </c>
      <c r="I3390" s="21" t="s">
        <v>97</v>
      </c>
      <c r="J3390" s="21" t="s">
        <v>19447</v>
      </c>
      <c r="K3390" s="21" t="s">
        <v>99</v>
      </c>
      <c r="L3390" s="21" t="s">
        <v>19448</v>
      </c>
      <c r="M3390" s="21" t="s">
        <v>45</v>
      </c>
      <c r="N3390" s="21" t="s">
        <v>123</v>
      </c>
      <c r="O3390" s="21" t="s">
        <v>46</v>
      </c>
      <c r="P3390" s="21" t="s">
        <v>146</v>
      </c>
      <c r="Q3390" s="21" t="s">
        <v>16281</v>
      </c>
      <c r="R3390" s="21" t="s">
        <v>16282</v>
      </c>
      <c r="S3390" s="21">
        <v>0</v>
      </c>
      <c r="T3390" s="21">
        <v>0</v>
      </c>
      <c r="U3390" s="21">
        <v>0</v>
      </c>
      <c r="V3390" s="21">
        <v>0</v>
      </c>
      <c r="W3390" s="21">
        <v>0</v>
      </c>
      <c r="X3390" s="21">
        <v>0</v>
      </c>
      <c r="Y3390" s="21">
        <v>0</v>
      </c>
      <c r="Z3390" s="21">
        <v>0</v>
      </c>
      <c r="AA3390" s="21">
        <v>1</v>
      </c>
      <c r="AB3390" s="21">
        <v>0</v>
      </c>
      <c r="AC3390" s="21">
        <v>0</v>
      </c>
      <c r="AD3390" s="21">
        <v>1</v>
      </c>
      <c r="AE3390" s="21" t="s">
        <v>73</v>
      </c>
      <c r="AF3390" s="21" t="s">
        <v>19449</v>
      </c>
      <c r="AG3390" s="21" t="s">
        <v>13508</v>
      </c>
      <c r="AH3390" s="43">
        <v>44510</v>
      </c>
      <c r="AI3390" s="21">
        <v>2</v>
      </c>
      <c r="AJ3390" s="21" t="s">
        <v>19450</v>
      </c>
      <c r="AK3390" s="21" t="s">
        <v>19451</v>
      </c>
    </row>
    <row r="3391" spans="1:37" ht="36.75" customHeight="1" x14ac:dyDescent="0.35">
      <c r="A3391" s="21" t="s">
        <v>12448</v>
      </c>
      <c r="B3391" s="5" t="s">
        <v>37</v>
      </c>
      <c r="C3391" s="73" t="str">
        <f t="shared" si="62"/>
        <v>Closed</v>
      </c>
      <c r="D3391" s="47" t="s">
        <v>19452</v>
      </c>
      <c r="E3391" s="76" t="s">
        <v>19453</v>
      </c>
      <c r="F3391" s="21" t="s">
        <v>9767</v>
      </c>
      <c r="G3391" s="9">
        <f>DATE(2021,11,11)</f>
        <v>44511</v>
      </c>
      <c r="H3391" s="107">
        <v>0.42708333333333331</v>
      </c>
      <c r="I3391" s="21" t="s">
        <v>4590</v>
      </c>
      <c r="J3391" s="21" t="s">
        <v>19454</v>
      </c>
      <c r="K3391" s="21" t="s">
        <v>9769</v>
      </c>
      <c r="L3391" s="21" t="s">
        <v>19455</v>
      </c>
      <c r="M3391" s="21" t="s">
        <v>45</v>
      </c>
      <c r="N3391" s="21" t="s">
        <v>80</v>
      </c>
      <c r="O3391" s="21" t="s">
        <v>46</v>
      </c>
      <c r="P3391" s="21" t="s">
        <v>362</v>
      </c>
      <c r="Q3391" s="21" t="s">
        <v>19456</v>
      </c>
      <c r="R3391" s="21" t="s">
        <v>18242</v>
      </c>
      <c r="S3391" s="21">
        <v>0</v>
      </c>
      <c r="T3391" s="21">
        <v>0</v>
      </c>
      <c r="U3391" s="21">
        <v>0</v>
      </c>
      <c r="V3391" s="21">
        <v>0</v>
      </c>
      <c r="W3391" s="21">
        <v>0</v>
      </c>
      <c r="X3391" s="21">
        <v>0</v>
      </c>
      <c r="Y3391" s="21">
        <v>0</v>
      </c>
      <c r="Z3391" s="21">
        <v>0</v>
      </c>
      <c r="AA3391" s="21">
        <v>0</v>
      </c>
      <c r="AB3391" s="21">
        <v>0</v>
      </c>
      <c r="AC3391" s="21">
        <v>0</v>
      </c>
      <c r="AD3391" s="21">
        <v>0</v>
      </c>
      <c r="AE3391" s="21" t="s">
        <v>73</v>
      </c>
      <c r="AF3391" s="21" t="s">
        <v>19457</v>
      </c>
      <c r="AG3391" s="21" t="s">
        <v>14532</v>
      </c>
      <c r="AH3391" s="43">
        <v>44537</v>
      </c>
      <c r="AI3391" s="21">
        <v>3</v>
      </c>
      <c r="AJ3391" s="21" t="s">
        <v>19458</v>
      </c>
      <c r="AK3391" s="21" t="s">
        <v>19459</v>
      </c>
    </row>
    <row r="3392" spans="1:37" ht="36.75" customHeight="1" x14ac:dyDescent="0.35">
      <c r="A3392" s="21" t="s">
        <v>12448</v>
      </c>
      <c r="B3392" s="5" t="s">
        <v>37</v>
      </c>
      <c r="C3392" s="73" t="str">
        <f t="shared" si="62"/>
        <v>Closed</v>
      </c>
      <c r="D3392" s="47" t="s">
        <v>19460</v>
      </c>
      <c r="E3392" s="76" t="s">
        <v>19461</v>
      </c>
      <c r="F3392" s="21" t="s">
        <v>12451</v>
      </c>
      <c r="G3392" s="9">
        <f>DATE(2021,11,26)</f>
        <v>44526</v>
      </c>
      <c r="H3392" s="107">
        <v>1.4618055555555556</v>
      </c>
      <c r="I3392" s="21" t="s">
        <v>97</v>
      </c>
      <c r="J3392" s="21" t="s">
        <v>19462</v>
      </c>
      <c r="K3392" s="21" t="s">
        <v>181</v>
      </c>
      <c r="L3392" s="21" t="s">
        <v>19463</v>
      </c>
      <c r="M3392" s="21" t="s">
        <v>45</v>
      </c>
      <c r="N3392" s="21" t="s">
        <v>80</v>
      </c>
      <c r="O3392" s="21" t="s">
        <v>46</v>
      </c>
      <c r="P3392" s="21" t="s">
        <v>146</v>
      </c>
      <c r="Q3392" s="21" t="s">
        <v>19464</v>
      </c>
      <c r="R3392" s="21" t="s">
        <v>19464</v>
      </c>
      <c r="S3392" s="21">
        <v>0</v>
      </c>
      <c r="T3392" s="21">
        <v>0</v>
      </c>
      <c r="U3392" s="21">
        <v>1</v>
      </c>
      <c r="V3392" s="21">
        <v>0</v>
      </c>
      <c r="W3392" s="21">
        <v>0</v>
      </c>
      <c r="X3392" s="21">
        <v>1</v>
      </c>
      <c r="Y3392" s="21">
        <v>0</v>
      </c>
      <c r="Z3392" s="21">
        <v>0</v>
      </c>
      <c r="AA3392" s="21">
        <v>0</v>
      </c>
      <c r="AB3392" s="21">
        <v>0</v>
      </c>
      <c r="AC3392" s="21">
        <v>0</v>
      </c>
      <c r="AD3392" s="21">
        <v>0</v>
      </c>
      <c r="AE3392" s="21" t="s">
        <v>73</v>
      </c>
      <c r="AF3392" s="21" t="s">
        <v>19465</v>
      </c>
      <c r="AG3392" s="21" t="s">
        <v>14532</v>
      </c>
      <c r="AH3392" s="43">
        <v>44589</v>
      </c>
      <c r="AI3392" s="21">
        <v>0</v>
      </c>
      <c r="AJ3392" s="21" t="s">
        <v>19466</v>
      </c>
      <c r="AK3392" s="21" t="s">
        <v>19467</v>
      </c>
    </row>
    <row r="3393" spans="1:37" ht="36.75" customHeight="1" x14ac:dyDescent="0.35">
      <c r="A3393" s="21" t="s">
        <v>12448</v>
      </c>
      <c r="B3393" s="5" t="s">
        <v>37</v>
      </c>
      <c r="C3393" s="73" t="str">
        <f t="shared" si="62"/>
        <v>Closed</v>
      </c>
      <c r="D3393" s="47" t="s">
        <v>19468</v>
      </c>
      <c r="E3393" s="76" t="s">
        <v>19469</v>
      </c>
      <c r="F3393" s="21" t="s">
        <v>17305</v>
      </c>
      <c r="G3393" s="9">
        <f>DATE(2021,11,27)</f>
        <v>44527</v>
      </c>
      <c r="H3393" s="107">
        <v>0.3263888888888889</v>
      </c>
      <c r="I3393" s="21" t="s">
        <v>18283</v>
      </c>
      <c r="J3393" s="21" t="s">
        <v>19470</v>
      </c>
      <c r="K3393" s="21" t="s">
        <v>108</v>
      </c>
      <c r="L3393" s="21" t="s">
        <v>19471</v>
      </c>
      <c r="M3393" s="21" t="s">
        <v>110</v>
      </c>
      <c r="N3393" s="21" t="s">
        <v>123</v>
      </c>
      <c r="O3393" s="21" t="s">
        <v>59</v>
      </c>
      <c r="P3393" s="21" t="s">
        <v>110</v>
      </c>
      <c r="Q3393" s="21" t="s">
        <v>10097</v>
      </c>
      <c r="R3393" s="21" t="s">
        <v>17473</v>
      </c>
      <c r="S3393" s="21">
        <v>0</v>
      </c>
      <c r="T3393" s="21">
        <v>0</v>
      </c>
      <c r="U3393" s="21">
        <v>0</v>
      </c>
      <c r="V3393" s="21">
        <v>0</v>
      </c>
      <c r="W3393" s="21">
        <v>0</v>
      </c>
      <c r="X3393" s="21">
        <v>0</v>
      </c>
      <c r="Y3393" s="21">
        <v>0</v>
      </c>
      <c r="Z3393" s="21">
        <v>0</v>
      </c>
      <c r="AA3393" s="21">
        <v>0</v>
      </c>
      <c r="AB3393" s="21">
        <v>0</v>
      </c>
      <c r="AC3393" s="21">
        <v>0</v>
      </c>
      <c r="AD3393" s="21">
        <v>0</v>
      </c>
      <c r="AE3393" s="21" t="s">
        <v>73</v>
      </c>
      <c r="AF3393" s="21" t="s">
        <v>16828</v>
      </c>
      <c r="AG3393" s="21" t="s">
        <v>16899</v>
      </c>
      <c r="AH3393" s="43">
        <v>44532</v>
      </c>
      <c r="AI3393" s="21">
        <v>0</v>
      </c>
      <c r="AJ3393" s="21" t="s">
        <v>19472</v>
      </c>
      <c r="AK3393" s="21" t="s">
        <v>19473</v>
      </c>
    </row>
    <row r="3394" spans="1:37" ht="36.75" customHeight="1" x14ac:dyDescent="0.35">
      <c r="A3394" s="21" t="s">
        <v>12448</v>
      </c>
      <c r="B3394" s="5" t="s">
        <v>37</v>
      </c>
      <c r="C3394" s="73" t="str">
        <f t="shared" si="62"/>
        <v>Closed</v>
      </c>
      <c r="D3394" s="47" t="s">
        <v>19474</v>
      </c>
      <c r="E3394" s="76" t="s">
        <v>19475</v>
      </c>
      <c r="F3394" s="21" t="s">
        <v>17638</v>
      </c>
      <c r="G3394" s="9">
        <f>DATE(2021,11,28)</f>
        <v>44528</v>
      </c>
      <c r="H3394" s="107">
        <v>0.2986111111111111</v>
      </c>
      <c r="I3394" s="21" t="s">
        <v>55</v>
      </c>
      <c r="J3394" s="21" t="s">
        <v>19476</v>
      </c>
      <c r="K3394" s="21" t="s">
        <v>1555</v>
      </c>
      <c r="L3394" s="21" t="s">
        <v>19477</v>
      </c>
      <c r="M3394" s="21" t="s">
        <v>45</v>
      </c>
      <c r="N3394" s="21" t="s">
        <v>80</v>
      </c>
      <c r="O3394" s="21" t="s">
        <v>46</v>
      </c>
      <c r="P3394" s="21" t="s">
        <v>146</v>
      </c>
      <c r="Q3394" s="21" t="s">
        <v>19478</v>
      </c>
      <c r="R3394" s="21" t="s">
        <v>19479</v>
      </c>
      <c r="S3394" s="21">
        <v>0</v>
      </c>
      <c r="T3394" s="21">
        <v>0</v>
      </c>
      <c r="U3394" s="21">
        <v>0</v>
      </c>
      <c r="V3394" s="21">
        <v>0</v>
      </c>
      <c r="W3394" s="21">
        <v>0</v>
      </c>
      <c r="X3394" s="21">
        <v>0</v>
      </c>
      <c r="Y3394" s="21">
        <v>0</v>
      </c>
      <c r="Z3394" s="21">
        <v>0</v>
      </c>
      <c r="AA3394" s="21">
        <v>0</v>
      </c>
      <c r="AB3394" s="21">
        <v>0</v>
      </c>
      <c r="AC3394" s="21">
        <v>0</v>
      </c>
      <c r="AD3394" s="21">
        <v>0</v>
      </c>
      <c r="AE3394" s="21" t="s">
        <v>73</v>
      </c>
      <c r="AF3394" s="21" t="s">
        <v>19480</v>
      </c>
      <c r="AG3394" s="21" t="s">
        <v>8837</v>
      </c>
      <c r="AH3394" s="43">
        <v>44532</v>
      </c>
      <c r="AI3394" s="21">
        <v>0</v>
      </c>
      <c r="AJ3394" s="21" t="s">
        <v>19481</v>
      </c>
      <c r="AK3394" s="21" t="s">
        <v>19482</v>
      </c>
    </row>
    <row r="3395" spans="1:37" ht="36.75" customHeight="1" x14ac:dyDescent="0.35">
      <c r="A3395" s="21" t="s">
        <v>12448</v>
      </c>
      <c r="B3395" s="5" t="s">
        <v>37</v>
      </c>
      <c r="C3395" s="73" t="str">
        <f t="shared" si="62"/>
        <v>Closed</v>
      </c>
      <c r="D3395" s="47" t="s">
        <v>19483</v>
      </c>
      <c r="E3395" s="76" t="s">
        <v>19484</v>
      </c>
      <c r="F3395" s="21" t="s">
        <v>17638</v>
      </c>
      <c r="G3395" s="9">
        <f>DATE(2021,11,29)</f>
        <v>44529</v>
      </c>
      <c r="H3395" s="107">
        <v>0.50694444444444442</v>
      </c>
      <c r="I3395" s="21" t="s">
        <v>55</v>
      </c>
      <c r="J3395" s="21" t="s">
        <v>19485</v>
      </c>
      <c r="K3395" s="21" t="s">
        <v>1555</v>
      </c>
      <c r="L3395" s="21" t="s">
        <v>14904</v>
      </c>
      <c r="M3395" s="21" t="s">
        <v>45</v>
      </c>
      <c r="N3395" s="21" t="s">
        <v>80</v>
      </c>
      <c r="O3395" s="21" t="s">
        <v>59</v>
      </c>
      <c r="P3395" s="21" t="s">
        <v>60</v>
      </c>
      <c r="Q3395" s="21" t="s">
        <v>18008</v>
      </c>
      <c r="R3395" s="21" t="s">
        <v>18956</v>
      </c>
      <c r="S3395" s="21">
        <v>0</v>
      </c>
      <c r="T3395" s="21">
        <v>0</v>
      </c>
      <c r="U3395" s="21">
        <v>0</v>
      </c>
      <c r="V3395" s="21">
        <v>0</v>
      </c>
      <c r="W3395" s="21">
        <v>0</v>
      </c>
      <c r="X3395" s="21">
        <v>0</v>
      </c>
      <c r="Y3395" s="21">
        <v>0</v>
      </c>
      <c r="Z3395" s="21">
        <v>0</v>
      </c>
      <c r="AA3395" s="21">
        <v>0</v>
      </c>
      <c r="AB3395" s="21">
        <v>0</v>
      </c>
      <c r="AC3395" s="21">
        <v>0</v>
      </c>
      <c r="AD3395" s="21">
        <v>0</v>
      </c>
      <c r="AE3395" s="21" t="s">
        <v>73</v>
      </c>
      <c r="AF3395" s="21" t="s">
        <v>19486</v>
      </c>
      <c r="AG3395" s="21" t="s">
        <v>8837</v>
      </c>
      <c r="AH3395" s="43">
        <v>44529</v>
      </c>
      <c r="AI3395" s="21">
        <v>0</v>
      </c>
      <c r="AJ3395" s="21" t="s">
        <v>19487</v>
      </c>
      <c r="AK3395" s="21" t="s">
        <v>19488</v>
      </c>
    </row>
    <row r="3396" spans="1:37" ht="36.75" customHeight="1" x14ac:dyDescent="0.35">
      <c r="A3396" s="21" t="s">
        <v>12448</v>
      </c>
      <c r="B3396" s="5" t="s">
        <v>37</v>
      </c>
      <c r="C3396" s="73" t="str">
        <f t="shared" si="62"/>
        <v>Closed</v>
      </c>
      <c r="D3396" s="47" t="s">
        <v>19489</v>
      </c>
      <c r="E3396" s="76" t="s">
        <v>19490</v>
      </c>
      <c r="F3396" s="21" t="s">
        <v>18076</v>
      </c>
      <c r="G3396" s="9">
        <f>DATE(2021,12,1)</f>
        <v>44531</v>
      </c>
      <c r="H3396" s="107">
        <v>1.2569444444444444</v>
      </c>
      <c r="I3396" s="21" t="s">
        <v>137</v>
      </c>
      <c r="J3396" s="21" t="s">
        <v>19491</v>
      </c>
      <c r="K3396" s="21" t="s">
        <v>360</v>
      </c>
      <c r="L3396" s="21" t="s">
        <v>19492</v>
      </c>
      <c r="M3396" s="21" t="s">
        <v>45</v>
      </c>
      <c r="N3396" s="21" t="s">
        <v>80</v>
      </c>
      <c r="O3396" s="21" t="s">
        <v>46</v>
      </c>
      <c r="P3396" s="21" t="s">
        <v>146</v>
      </c>
      <c r="Q3396" s="21" t="s">
        <v>18079</v>
      </c>
      <c r="R3396" s="21" t="s">
        <v>19493</v>
      </c>
      <c r="S3396" s="21">
        <v>0</v>
      </c>
      <c r="T3396" s="21">
        <v>0</v>
      </c>
      <c r="U3396" s="21">
        <v>0</v>
      </c>
      <c r="V3396" s="21">
        <v>0</v>
      </c>
      <c r="W3396" s="21">
        <v>0</v>
      </c>
      <c r="X3396" s="21">
        <v>0</v>
      </c>
      <c r="Y3396" s="21">
        <v>0</v>
      </c>
      <c r="Z3396" s="21">
        <v>0</v>
      </c>
      <c r="AA3396" s="21">
        <v>0</v>
      </c>
      <c r="AB3396" s="21">
        <v>0</v>
      </c>
      <c r="AC3396" s="21">
        <v>0</v>
      </c>
      <c r="AD3396" s="21">
        <v>0</v>
      </c>
      <c r="AE3396" s="21" t="s">
        <v>375</v>
      </c>
      <c r="AF3396" s="21" t="s">
        <v>18663</v>
      </c>
      <c r="AG3396" s="21" t="s">
        <v>14532</v>
      </c>
      <c r="AH3396" s="43">
        <v>44537</v>
      </c>
      <c r="AI3396" s="21">
        <v>4</v>
      </c>
      <c r="AJ3396" s="21" t="s">
        <v>19494</v>
      </c>
      <c r="AK3396" s="21" t="s">
        <v>19495</v>
      </c>
    </row>
    <row r="3397" spans="1:37" ht="36.75" customHeight="1" x14ac:dyDescent="0.35">
      <c r="A3397" s="21" t="s">
        <v>12448</v>
      </c>
      <c r="B3397" s="5" t="s">
        <v>37</v>
      </c>
      <c r="C3397" s="73" t="str">
        <f t="shared" si="62"/>
        <v>Closed</v>
      </c>
      <c r="D3397" s="47" t="s">
        <v>19496</v>
      </c>
      <c r="E3397" s="76" t="s">
        <v>19497</v>
      </c>
      <c r="F3397" s="21" t="s">
        <v>18828</v>
      </c>
      <c r="G3397" s="9">
        <f>DATE(2021,12,2)</f>
        <v>44532</v>
      </c>
      <c r="H3397" s="107">
        <v>1.8298611111111112</v>
      </c>
      <c r="I3397" s="21" t="s">
        <v>55</v>
      </c>
      <c r="J3397" s="21" t="s">
        <v>19498</v>
      </c>
      <c r="K3397" s="21" t="s">
        <v>43</v>
      </c>
      <c r="L3397" s="21" t="s">
        <v>19499</v>
      </c>
      <c r="M3397" s="21" t="s">
        <v>45</v>
      </c>
      <c r="N3397" s="21" t="s">
        <v>70</v>
      </c>
      <c r="O3397" s="21" t="s">
        <v>46</v>
      </c>
      <c r="P3397" s="21" t="s">
        <v>60</v>
      </c>
      <c r="Q3397" s="21" t="s">
        <v>19500</v>
      </c>
      <c r="R3397" s="21" t="s">
        <v>18831</v>
      </c>
      <c r="S3397" s="21">
        <v>0</v>
      </c>
      <c r="T3397" s="21">
        <v>0</v>
      </c>
      <c r="U3397" s="21">
        <v>0</v>
      </c>
      <c r="V3397" s="21">
        <v>0</v>
      </c>
      <c r="W3397" s="21">
        <v>0</v>
      </c>
      <c r="X3397" s="21">
        <v>0</v>
      </c>
      <c r="Y3397" s="21">
        <v>0</v>
      </c>
      <c r="Z3397" s="21">
        <v>0</v>
      </c>
      <c r="AA3397" s="21">
        <v>0</v>
      </c>
      <c r="AB3397" s="21">
        <v>0</v>
      </c>
      <c r="AC3397" s="21">
        <v>0</v>
      </c>
      <c r="AD3397" s="21">
        <v>0</v>
      </c>
      <c r="AE3397" s="21" t="s">
        <v>375</v>
      </c>
      <c r="AF3397" s="21" t="s">
        <v>19501</v>
      </c>
      <c r="AG3397" s="21" t="s">
        <v>13508</v>
      </c>
      <c r="AH3397" s="43">
        <v>44540</v>
      </c>
      <c r="AI3397" s="21">
        <v>3</v>
      </c>
      <c r="AJ3397" s="21" t="s">
        <v>19502</v>
      </c>
      <c r="AK3397" s="21" t="s">
        <v>19503</v>
      </c>
    </row>
    <row r="3398" spans="1:37" ht="36.75" customHeight="1" x14ac:dyDescent="0.35">
      <c r="A3398" s="21" t="s">
        <v>12448</v>
      </c>
      <c r="B3398" s="5" t="s">
        <v>37</v>
      </c>
      <c r="C3398" s="73" t="str">
        <f t="shared" si="62"/>
        <v>Closed</v>
      </c>
      <c r="D3398" s="47" t="s">
        <v>19504</v>
      </c>
      <c r="E3398" s="76" t="s">
        <v>19505</v>
      </c>
      <c r="F3398" s="21" t="s">
        <v>9767</v>
      </c>
      <c r="G3398" s="9">
        <f>DATE(2021,12,3)</f>
        <v>44533</v>
      </c>
      <c r="H3398" s="107">
        <v>1.7638888888888888</v>
      </c>
      <c r="I3398" s="21" t="s">
        <v>97</v>
      </c>
      <c r="J3398" s="21" t="s">
        <v>19506</v>
      </c>
      <c r="K3398" s="21" t="s">
        <v>9769</v>
      </c>
      <c r="L3398" s="21" t="s">
        <v>19507</v>
      </c>
      <c r="M3398" s="21" t="s">
        <v>45</v>
      </c>
      <c r="N3398" s="21" t="s">
        <v>80</v>
      </c>
      <c r="O3398" s="21" t="s">
        <v>46</v>
      </c>
      <c r="P3398" s="21" t="s">
        <v>60</v>
      </c>
      <c r="Q3398" s="21" t="s">
        <v>19508</v>
      </c>
      <c r="R3398" s="21" t="s">
        <v>18242</v>
      </c>
      <c r="S3398" s="21">
        <v>0</v>
      </c>
      <c r="T3398" s="21">
        <v>0</v>
      </c>
      <c r="U3398" s="21">
        <v>0</v>
      </c>
      <c r="V3398" s="21">
        <v>0</v>
      </c>
      <c r="W3398" s="21">
        <v>0</v>
      </c>
      <c r="X3398" s="21">
        <v>0</v>
      </c>
      <c r="Y3398" s="21">
        <v>0</v>
      </c>
      <c r="Z3398" s="21">
        <v>0</v>
      </c>
      <c r="AA3398" s="21">
        <v>0</v>
      </c>
      <c r="AB3398" s="21">
        <v>0</v>
      </c>
      <c r="AC3398" s="21">
        <v>0</v>
      </c>
      <c r="AD3398" s="21">
        <v>0</v>
      </c>
      <c r="AE3398" s="21" t="s">
        <v>73</v>
      </c>
      <c r="AF3398" s="21" t="s">
        <v>19509</v>
      </c>
      <c r="AG3398" s="21" t="s">
        <v>8837</v>
      </c>
      <c r="AH3398" s="43">
        <v>44552</v>
      </c>
      <c r="AI3398" s="21">
        <v>0</v>
      </c>
      <c r="AJ3398" s="21" t="s">
        <v>19510</v>
      </c>
      <c r="AK3398" s="21" t="s">
        <v>19511</v>
      </c>
    </row>
    <row r="3399" spans="1:37" ht="36.75" customHeight="1" x14ac:dyDescent="0.35">
      <c r="A3399" s="21" t="s">
        <v>12448</v>
      </c>
      <c r="B3399" s="5" t="s">
        <v>37</v>
      </c>
      <c r="C3399" s="73" t="str">
        <f t="shared" si="62"/>
        <v>Closed</v>
      </c>
      <c r="D3399" s="47" t="s">
        <v>19512</v>
      </c>
      <c r="E3399" s="76" t="s">
        <v>19513</v>
      </c>
      <c r="F3399" s="21" t="s">
        <v>17638</v>
      </c>
      <c r="G3399" s="9">
        <f>DATE(2021,12,6)</f>
        <v>44536</v>
      </c>
      <c r="H3399" s="107">
        <v>0.34722222222222227</v>
      </c>
      <c r="I3399" s="21" t="s">
        <v>55</v>
      </c>
      <c r="J3399" s="21" t="s">
        <v>19514</v>
      </c>
      <c r="K3399" s="21" t="s">
        <v>1555</v>
      </c>
      <c r="L3399" s="21" t="s">
        <v>19515</v>
      </c>
      <c r="M3399" s="21" t="s">
        <v>45</v>
      </c>
      <c r="N3399" s="21" t="s">
        <v>123</v>
      </c>
      <c r="O3399" s="21" t="s">
        <v>59</v>
      </c>
      <c r="P3399" s="21" t="s">
        <v>60</v>
      </c>
      <c r="Q3399" s="21" t="s">
        <v>18542</v>
      </c>
      <c r="R3399" s="21" t="s">
        <v>18956</v>
      </c>
      <c r="S3399" s="21">
        <v>0</v>
      </c>
      <c r="T3399" s="21">
        <v>0</v>
      </c>
      <c r="U3399" s="21">
        <v>0</v>
      </c>
      <c r="V3399" s="21">
        <v>0</v>
      </c>
      <c r="W3399" s="21">
        <v>0</v>
      </c>
      <c r="X3399" s="21">
        <v>0</v>
      </c>
      <c r="Y3399" s="21">
        <v>0</v>
      </c>
      <c r="Z3399" s="21">
        <v>0</v>
      </c>
      <c r="AA3399" s="21">
        <v>0</v>
      </c>
      <c r="AB3399" s="21">
        <v>0</v>
      </c>
      <c r="AC3399" s="21">
        <v>0</v>
      </c>
      <c r="AD3399" s="21">
        <v>0</v>
      </c>
      <c r="AE3399" s="21" t="s">
        <v>73</v>
      </c>
      <c r="AF3399" s="21" t="s">
        <v>19516</v>
      </c>
      <c r="AG3399" s="21" t="s">
        <v>8837</v>
      </c>
      <c r="AH3399" s="43">
        <v>44537</v>
      </c>
      <c r="AI3399" s="21">
        <v>0</v>
      </c>
      <c r="AJ3399" s="21" t="s">
        <v>19517</v>
      </c>
      <c r="AK3399" s="21" t="s">
        <v>19518</v>
      </c>
    </row>
    <row r="3400" spans="1:37" ht="36.75" customHeight="1" x14ac:dyDescent="0.35">
      <c r="A3400" s="21"/>
      <c r="B3400" s="5" t="s">
        <v>37</v>
      </c>
      <c r="C3400" s="73" t="s">
        <v>17979</v>
      </c>
      <c r="D3400" s="47" t="s">
        <v>19519</v>
      </c>
      <c r="E3400" s="76" t="s">
        <v>19520</v>
      </c>
      <c r="F3400" s="21" t="s">
        <v>17537</v>
      </c>
      <c r="G3400" s="9">
        <f>DATE(2021,12,7)</f>
        <v>44537</v>
      </c>
      <c r="H3400" s="107">
        <v>0.97916666666666663</v>
      </c>
      <c r="I3400" s="21" t="s">
        <v>137</v>
      </c>
      <c r="J3400" s="21" t="s">
        <v>19521</v>
      </c>
      <c r="K3400" s="21" t="s">
        <v>818</v>
      </c>
      <c r="L3400" s="21" t="s">
        <v>7863</v>
      </c>
      <c r="M3400" s="21" t="s">
        <v>45</v>
      </c>
      <c r="N3400" s="21" t="s">
        <v>80</v>
      </c>
      <c r="O3400" s="21" t="s">
        <v>59</v>
      </c>
      <c r="P3400" s="21" t="s">
        <v>146</v>
      </c>
      <c r="Q3400" s="21" t="s">
        <v>19522</v>
      </c>
      <c r="R3400" s="21" t="s">
        <v>821</v>
      </c>
      <c r="S3400" s="21">
        <v>0</v>
      </c>
      <c r="T3400" s="21">
        <v>0</v>
      </c>
      <c r="U3400" s="21">
        <v>0</v>
      </c>
      <c r="V3400" s="21">
        <v>0</v>
      </c>
      <c r="W3400" s="21">
        <v>0</v>
      </c>
      <c r="X3400" s="21">
        <v>0</v>
      </c>
      <c r="Y3400" s="21">
        <v>0</v>
      </c>
      <c r="Z3400" s="21">
        <v>0</v>
      </c>
      <c r="AA3400" s="21">
        <v>0</v>
      </c>
      <c r="AB3400" s="21">
        <v>0</v>
      </c>
      <c r="AC3400" s="21">
        <v>0</v>
      </c>
      <c r="AD3400" s="21">
        <v>0</v>
      </c>
      <c r="AE3400" s="21" t="s">
        <v>73</v>
      </c>
      <c r="AF3400" s="21" t="s">
        <v>19523</v>
      </c>
      <c r="AG3400" s="21" t="s">
        <v>14532</v>
      </c>
      <c r="AH3400" s="43">
        <v>44538</v>
      </c>
      <c r="AI3400" s="21">
        <v>1</v>
      </c>
      <c r="AJ3400" s="21" t="s">
        <v>19524</v>
      </c>
      <c r="AK3400" s="21" t="s">
        <v>19525</v>
      </c>
    </row>
    <row r="3401" spans="1:37" ht="36.75" customHeight="1" x14ac:dyDescent="0.35">
      <c r="A3401" s="21" t="s">
        <v>12448</v>
      </c>
      <c r="B3401" s="5" t="s">
        <v>37</v>
      </c>
      <c r="C3401" s="73" t="str">
        <f t="shared" ref="C3401:C3464" si="63">IF(B3401="Notification","Open",IF(B3401="Interim Statement","In progress","Closed"))</f>
        <v>Closed</v>
      </c>
      <c r="D3401" s="47" t="s">
        <v>19526</v>
      </c>
      <c r="E3401" s="104" t="s">
        <v>19527</v>
      </c>
      <c r="F3401" s="102" t="s">
        <v>19094</v>
      </c>
      <c r="G3401" s="9">
        <f>DATE(2021,12,7)</f>
        <v>44537</v>
      </c>
      <c r="H3401" s="107">
        <v>1.6701388888888888</v>
      </c>
      <c r="I3401" s="102" t="s">
        <v>6754</v>
      </c>
      <c r="J3401" s="102" t="s">
        <v>19528</v>
      </c>
      <c r="K3401" s="102" t="s">
        <v>1921</v>
      </c>
      <c r="L3401" s="102" t="s">
        <v>19529</v>
      </c>
      <c r="M3401" s="102" t="s">
        <v>45</v>
      </c>
      <c r="N3401" s="102" t="s">
        <v>70</v>
      </c>
      <c r="O3401" s="102" t="s">
        <v>46</v>
      </c>
      <c r="P3401" s="102" t="s">
        <v>6881</v>
      </c>
      <c r="Q3401" s="102" t="s">
        <v>17679</v>
      </c>
      <c r="R3401" s="102" t="s">
        <v>17679</v>
      </c>
      <c r="S3401" s="102">
        <v>0</v>
      </c>
      <c r="T3401" s="102">
        <v>0</v>
      </c>
      <c r="U3401" s="102">
        <v>0</v>
      </c>
      <c r="V3401" s="102">
        <v>0</v>
      </c>
      <c r="W3401" s="102">
        <v>0</v>
      </c>
      <c r="X3401" s="102">
        <v>0</v>
      </c>
      <c r="Y3401" s="102">
        <v>0</v>
      </c>
      <c r="Z3401" s="102">
        <v>0</v>
      </c>
      <c r="AA3401" s="102">
        <v>0</v>
      </c>
      <c r="AB3401" s="102">
        <v>0</v>
      </c>
      <c r="AC3401" s="102">
        <v>0</v>
      </c>
      <c r="AD3401" s="102">
        <v>0</v>
      </c>
      <c r="AE3401" s="102" t="s">
        <v>73</v>
      </c>
      <c r="AF3401" s="102" t="s">
        <v>17202</v>
      </c>
      <c r="AG3401" s="102" t="s">
        <v>6438</v>
      </c>
      <c r="AH3401" s="43">
        <v>44539</v>
      </c>
      <c r="AI3401" s="102">
        <v>12</v>
      </c>
      <c r="AJ3401" s="102" t="s">
        <v>19530</v>
      </c>
      <c r="AK3401" s="102" t="s">
        <v>19531</v>
      </c>
    </row>
    <row r="3402" spans="1:37" ht="36.75" customHeight="1" x14ac:dyDescent="0.35">
      <c r="A3402" s="21" t="s">
        <v>12448</v>
      </c>
      <c r="B3402" s="5" t="s">
        <v>37</v>
      </c>
      <c r="C3402" s="73" t="str">
        <f t="shared" si="63"/>
        <v>Closed</v>
      </c>
      <c r="D3402" s="47" t="s">
        <v>19532</v>
      </c>
      <c r="E3402" s="76" t="s">
        <v>19533</v>
      </c>
      <c r="F3402" s="21" t="s">
        <v>12887</v>
      </c>
      <c r="G3402" s="9">
        <f>DATE(2021,12,8)</f>
        <v>44538</v>
      </c>
      <c r="H3402" s="107">
        <v>1.3159722222222223</v>
      </c>
      <c r="I3402" s="21" t="s">
        <v>2244</v>
      </c>
      <c r="J3402" s="21" t="s">
        <v>19534</v>
      </c>
      <c r="K3402" s="21" t="s">
        <v>434</v>
      </c>
      <c r="L3402" s="21" t="s">
        <v>19535</v>
      </c>
      <c r="M3402" s="21" t="s">
        <v>45</v>
      </c>
      <c r="N3402" s="21" t="s">
        <v>80</v>
      </c>
      <c r="O3402" s="21" t="s">
        <v>46</v>
      </c>
      <c r="P3402" s="21" t="s">
        <v>146</v>
      </c>
      <c r="Q3402" s="21" t="s">
        <v>19536</v>
      </c>
      <c r="R3402" s="21" t="s">
        <v>19536</v>
      </c>
      <c r="S3402" s="21">
        <v>0</v>
      </c>
      <c r="T3402" s="21">
        <v>0</v>
      </c>
      <c r="U3402" s="21">
        <v>0</v>
      </c>
      <c r="V3402" s="21">
        <v>0</v>
      </c>
      <c r="W3402" s="21">
        <v>0</v>
      </c>
      <c r="X3402" s="21">
        <v>0</v>
      </c>
      <c r="Y3402" s="21">
        <v>0</v>
      </c>
      <c r="Z3402" s="21">
        <v>0</v>
      </c>
      <c r="AA3402" s="21">
        <v>0</v>
      </c>
      <c r="AB3402" s="21">
        <v>0</v>
      </c>
      <c r="AC3402" s="21">
        <v>0</v>
      </c>
      <c r="AD3402" s="21">
        <v>0</v>
      </c>
      <c r="AE3402" s="21" t="s">
        <v>73</v>
      </c>
      <c r="AF3402" s="21" t="s">
        <v>693</v>
      </c>
      <c r="AG3402" s="21" t="s">
        <v>8837</v>
      </c>
      <c r="AH3402" s="43">
        <v>44543</v>
      </c>
      <c r="AI3402" s="21">
        <v>4</v>
      </c>
      <c r="AJ3402" s="21" t="s">
        <v>19537</v>
      </c>
      <c r="AK3402" s="21" t="s">
        <v>19538</v>
      </c>
    </row>
    <row r="3403" spans="1:37" ht="36.75" customHeight="1" x14ac:dyDescent="0.35">
      <c r="A3403" s="21" t="s">
        <v>12448</v>
      </c>
      <c r="B3403" s="5" t="s">
        <v>37</v>
      </c>
      <c r="C3403" s="73" t="str">
        <f t="shared" si="63"/>
        <v>Closed</v>
      </c>
      <c r="D3403" s="47" t="s">
        <v>19539</v>
      </c>
      <c r="E3403" s="76" t="s">
        <v>19540</v>
      </c>
      <c r="F3403" s="21" t="s">
        <v>16397</v>
      </c>
      <c r="G3403" s="9">
        <f>DATE(2021,12,9)</f>
        <v>44539</v>
      </c>
      <c r="H3403" s="107">
        <v>1.3305555555555555</v>
      </c>
      <c r="I3403" s="21" t="s">
        <v>97</v>
      </c>
      <c r="J3403" s="21" t="s">
        <v>19541</v>
      </c>
      <c r="K3403" s="21" t="s">
        <v>406</v>
      </c>
      <c r="L3403" s="21" t="s">
        <v>19542</v>
      </c>
      <c r="M3403" s="21" t="s">
        <v>45</v>
      </c>
      <c r="N3403" s="21" t="s">
        <v>80</v>
      </c>
      <c r="O3403" s="21" t="s">
        <v>46</v>
      </c>
      <c r="P3403" s="21" t="s">
        <v>146</v>
      </c>
      <c r="Q3403" s="21" t="s">
        <v>17962</v>
      </c>
      <c r="R3403" s="21" t="s">
        <v>17330</v>
      </c>
      <c r="S3403" s="21">
        <v>0</v>
      </c>
      <c r="T3403" s="21">
        <v>0</v>
      </c>
      <c r="U3403" s="21">
        <v>0</v>
      </c>
      <c r="V3403" s="21">
        <v>0</v>
      </c>
      <c r="W3403" s="21">
        <v>0</v>
      </c>
      <c r="X3403" s="21">
        <v>0</v>
      </c>
      <c r="Y3403" s="21">
        <v>0</v>
      </c>
      <c r="Z3403" s="21">
        <v>0</v>
      </c>
      <c r="AA3403" s="21">
        <v>0</v>
      </c>
      <c r="AB3403" s="21">
        <v>0</v>
      </c>
      <c r="AC3403" s="21">
        <v>0</v>
      </c>
      <c r="AD3403" s="21">
        <v>0</v>
      </c>
      <c r="AE3403" s="21" t="s">
        <v>375</v>
      </c>
      <c r="AF3403" s="21" t="s">
        <v>19543</v>
      </c>
      <c r="AG3403" s="21" t="s">
        <v>8837</v>
      </c>
      <c r="AH3403" s="43">
        <v>44539</v>
      </c>
      <c r="AI3403" s="21">
        <v>0</v>
      </c>
      <c r="AJ3403" s="21" t="s">
        <v>19544</v>
      </c>
      <c r="AK3403" s="21" t="s">
        <v>860</v>
      </c>
    </row>
    <row r="3404" spans="1:37" ht="36.75" customHeight="1" x14ac:dyDescent="0.35">
      <c r="A3404" s="21" t="s">
        <v>12448</v>
      </c>
      <c r="B3404" s="5" t="s">
        <v>37</v>
      </c>
      <c r="C3404" s="73" t="str">
        <f t="shared" si="63"/>
        <v>Closed</v>
      </c>
      <c r="D3404" s="47" t="s">
        <v>19545</v>
      </c>
      <c r="E3404" s="76" t="s">
        <v>19546</v>
      </c>
      <c r="F3404" s="21" t="s">
        <v>17305</v>
      </c>
      <c r="G3404" s="9">
        <f>DATE(2021,12,9)</f>
        <v>44539</v>
      </c>
      <c r="H3404" s="107">
        <v>1.1666666666666667</v>
      </c>
      <c r="I3404" s="21" t="s">
        <v>55</v>
      </c>
      <c r="J3404" s="21" t="s">
        <v>19547</v>
      </c>
      <c r="K3404" s="21" t="s">
        <v>108</v>
      </c>
      <c r="L3404" s="21" t="s">
        <v>19548</v>
      </c>
      <c r="M3404" s="21" t="s">
        <v>45</v>
      </c>
      <c r="N3404" s="21" t="s">
        <v>80</v>
      </c>
      <c r="O3404" s="21" t="s">
        <v>59</v>
      </c>
      <c r="P3404" s="21" t="s">
        <v>60</v>
      </c>
      <c r="Q3404" s="21" t="s">
        <v>6110</v>
      </c>
      <c r="R3404" s="21" t="s">
        <v>148</v>
      </c>
      <c r="S3404" s="21">
        <v>0</v>
      </c>
      <c r="T3404" s="21">
        <v>0</v>
      </c>
      <c r="U3404" s="21">
        <v>0</v>
      </c>
      <c r="V3404" s="21">
        <v>0</v>
      </c>
      <c r="W3404" s="21">
        <v>0</v>
      </c>
      <c r="X3404" s="21">
        <v>0</v>
      </c>
      <c r="Y3404" s="21">
        <v>0</v>
      </c>
      <c r="Z3404" s="21">
        <v>0</v>
      </c>
      <c r="AA3404" s="21">
        <v>0</v>
      </c>
      <c r="AB3404" s="21">
        <v>0</v>
      </c>
      <c r="AC3404" s="21">
        <v>0</v>
      </c>
      <c r="AD3404" s="21">
        <v>0</v>
      </c>
      <c r="AE3404" s="21" t="s">
        <v>375</v>
      </c>
      <c r="AF3404" s="21" t="s">
        <v>19549</v>
      </c>
      <c r="AG3404" s="21" t="s">
        <v>8837</v>
      </c>
      <c r="AH3404" s="43">
        <v>44545</v>
      </c>
      <c r="AI3404" s="21">
        <v>1</v>
      </c>
      <c r="AJ3404" s="21" t="s">
        <v>19550</v>
      </c>
      <c r="AK3404" s="21" t="s">
        <v>19551</v>
      </c>
    </row>
    <row r="3405" spans="1:37" ht="36.75" customHeight="1" x14ac:dyDescent="0.35">
      <c r="A3405" s="21" t="s">
        <v>12448</v>
      </c>
      <c r="B3405" s="5" t="s">
        <v>37</v>
      </c>
      <c r="C3405" s="73" t="str">
        <f t="shared" si="63"/>
        <v>Closed</v>
      </c>
      <c r="D3405" s="47" t="s">
        <v>19552</v>
      </c>
      <c r="E3405" s="76" t="s">
        <v>19553</v>
      </c>
      <c r="F3405" s="21" t="s">
        <v>12451</v>
      </c>
      <c r="G3405" s="9">
        <f>DATE(2021,12,10)</f>
        <v>44540</v>
      </c>
      <c r="H3405" s="107">
        <v>1.5381944444444444</v>
      </c>
      <c r="I3405" s="21" t="s">
        <v>97</v>
      </c>
      <c r="J3405" s="21" t="s">
        <v>19554</v>
      </c>
      <c r="K3405" s="21" t="s">
        <v>181</v>
      </c>
      <c r="L3405" s="21" t="s">
        <v>19555</v>
      </c>
      <c r="M3405" s="21" t="s">
        <v>45</v>
      </c>
      <c r="N3405" s="21" t="s">
        <v>80</v>
      </c>
      <c r="O3405" s="21" t="s">
        <v>46</v>
      </c>
      <c r="P3405" s="21" t="s">
        <v>146</v>
      </c>
      <c r="Q3405" s="21" t="s">
        <v>4467</v>
      </c>
      <c r="R3405" s="21" t="s">
        <v>13549</v>
      </c>
      <c r="S3405" s="21">
        <v>0</v>
      </c>
      <c r="T3405" s="21">
        <v>0</v>
      </c>
      <c r="U3405" s="21">
        <v>0</v>
      </c>
      <c r="V3405" s="21">
        <v>0</v>
      </c>
      <c r="W3405" s="21">
        <v>0</v>
      </c>
      <c r="X3405" s="21">
        <v>0</v>
      </c>
      <c r="Y3405" s="21">
        <v>0</v>
      </c>
      <c r="Z3405" s="21">
        <v>0</v>
      </c>
      <c r="AA3405" s="21">
        <v>0</v>
      </c>
      <c r="AB3405" s="21">
        <v>0</v>
      </c>
      <c r="AC3405" s="21">
        <v>0</v>
      </c>
      <c r="AD3405" s="21">
        <v>0</v>
      </c>
      <c r="AE3405" s="21" t="s">
        <v>73</v>
      </c>
      <c r="AF3405" s="21" t="s">
        <v>19556</v>
      </c>
      <c r="AG3405" s="21" t="s">
        <v>14532</v>
      </c>
      <c r="AH3405" s="43">
        <v>44587</v>
      </c>
      <c r="AI3405" s="21">
        <v>0</v>
      </c>
      <c r="AJ3405" s="21" t="s">
        <v>19557</v>
      </c>
      <c r="AK3405" s="21" t="s">
        <v>14534</v>
      </c>
    </row>
    <row r="3406" spans="1:37" ht="36.75" customHeight="1" x14ac:dyDescent="0.35">
      <c r="A3406" s="21" t="s">
        <v>12448</v>
      </c>
      <c r="B3406" s="5" t="s">
        <v>37</v>
      </c>
      <c r="C3406" s="73" t="str">
        <f t="shared" si="63"/>
        <v>Closed</v>
      </c>
      <c r="D3406" s="47" t="s">
        <v>19558</v>
      </c>
      <c r="E3406" s="76" t="s">
        <v>19559</v>
      </c>
      <c r="F3406" s="21" t="s">
        <v>18076</v>
      </c>
      <c r="G3406" s="9">
        <f>DATE(2021,12,14)</f>
        <v>44544</v>
      </c>
      <c r="H3406" s="107">
        <v>1.8819444444444446</v>
      </c>
      <c r="I3406" s="21" t="s">
        <v>259</v>
      </c>
      <c r="J3406" s="21" t="s">
        <v>19560</v>
      </c>
      <c r="K3406" s="21" t="s">
        <v>360</v>
      </c>
      <c r="L3406" s="21" t="s">
        <v>19561</v>
      </c>
      <c r="M3406" s="21" t="s">
        <v>45</v>
      </c>
      <c r="N3406" s="21" t="s">
        <v>70</v>
      </c>
      <c r="O3406" s="21" t="s">
        <v>71</v>
      </c>
      <c r="P3406" s="21" t="s">
        <v>72</v>
      </c>
      <c r="Q3406" s="21" t="s">
        <v>19562</v>
      </c>
      <c r="R3406" s="21" t="s">
        <v>19563</v>
      </c>
      <c r="S3406" s="21">
        <v>0</v>
      </c>
      <c r="T3406" s="21">
        <v>1</v>
      </c>
      <c r="U3406" s="21">
        <v>0</v>
      </c>
      <c r="V3406" s="21">
        <v>0</v>
      </c>
      <c r="W3406" s="21">
        <v>0</v>
      </c>
      <c r="X3406" s="21">
        <v>1</v>
      </c>
      <c r="Y3406" s="21">
        <v>0</v>
      </c>
      <c r="Z3406" s="21">
        <v>0</v>
      </c>
      <c r="AA3406" s="21">
        <v>0</v>
      </c>
      <c r="AB3406" s="21">
        <v>0</v>
      </c>
      <c r="AC3406" s="21">
        <v>0</v>
      </c>
      <c r="AD3406" s="21">
        <v>0</v>
      </c>
      <c r="AE3406" s="21" t="s">
        <v>73</v>
      </c>
      <c r="AF3406" s="21" t="s">
        <v>19564</v>
      </c>
      <c r="AG3406" s="21" t="s">
        <v>6438</v>
      </c>
      <c r="AH3406" s="43">
        <v>44550</v>
      </c>
      <c r="AI3406" s="21">
        <v>6</v>
      </c>
      <c r="AJ3406" s="21" t="s">
        <v>19565</v>
      </c>
      <c r="AK3406" s="21" t="s">
        <v>19566</v>
      </c>
    </row>
    <row r="3407" spans="1:37" ht="36.75" customHeight="1" x14ac:dyDescent="0.35">
      <c r="A3407" s="21" t="s">
        <v>12448</v>
      </c>
      <c r="B3407" s="5" t="s">
        <v>37</v>
      </c>
      <c r="C3407" s="73" t="str">
        <f t="shared" si="63"/>
        <v>Closed</v>
      </c>
      <c r="D3407" s="47" t="s">
        <v>19567</v>
      </c>
      <c r="E3407" s="76" t="s">
        <v>19568</v>
      </c>
      <c r="F3407" s="21" t="s">
        <v>17728</v>
      </c>
      <c r="G3407" s="9">
        <f>DATE(2021,12,14)</f>
        <v>44544</v>
      </c>
      <c r="H3407" s="107">
        <v>1.9201388888888888</v>
      </c>
      <c r="I3407" s="21" t="s">
        <v>55</v>
      </c>
      <c r="J3407" s="21" t="s">
        <v>19569</v>
      </c>
      <c r="K3407" s="21" t="s">
        <v>2583</v>
      </c>
      <c r="L3407" s="21" t="s">
        <v>19570</v>
      </c>
      <c r="M3407" s="21" t="s">
        <v>45</v>
      </c>
      <c r="N3407" s="21" t="s">
        <v>123</v>
      </c>
      <c r="O3407" s="21" t="s">
        <v>59</v>
      </c>
      <c r="P3407" s="21" t="s">
        <v>60</v>
      </c>
      <c r="Q3407" s="21" t="s">
        <v>18861</v>
      </c>
      <c r="R3407" s="21" t="s">
        <v>18393</v>
      </c>
      <c r="S3407" s="21">
        <v>0</v>
      </c>
      <c r="T3407" s="21">
        <v>0</v>
      </c>
      <c r="U3407" s="21">
        <v>0</v>
      </c>
      <c r="V3407" s="21">
        <v>0</v>
      </c>
      <c r="W3407" s="21">
        <v>0</v>
      </c>
      <c r="X3407" s="21">
        <v>0</v>
      </c>
      <c r="Y3407" s="21">
        <v>0</v>
      </c>
      <c r="Z3407" s="21">
        <v>0</v>
      </c>
      <c r="AA3407" s="21">
        <v>0</v>
      </c>
      <c r="AB3407" s="21">
        <v>0</v>
      </c>
      <c r="AC3407" s="21">
        <v>0</v>
      </c>
      <c r="AD3407" s="21">
        <v>0</v>
      </c>
      <c r="AE3407" s="21" t="s">
        <v>73</v>
      </c>
      <c r="AF3407" s="21" t="s">
        <v>19571</v>
      </c>
      <c r="AG3407" s="21" t="s">
        <v>13508</v>
      </c>
      <c r="AH3407" s="43">
        <v>44544</v>
      </c>
      <c r="AI3407" s="21">
        <v>5</v>
      </c>
      <c r="AJ3407" s="21" t="s">
        <v>19572</v>
      </c>
      <c r="AK3407" s="21" t="s">
        <v>19573</v>
      </c>
    </row>
    <row r="3408" spans="1:37" ht="36.75" customHeight="1" x14ac:dyDescent="0.35">
      <c r="A3408" s="21" t="s">
        <v>12448</v>
      </c>
      <c r="B3408" s="5" t="s">
        <v>14851</v>
      </c>
      <c r="C3408" s="73" t="str">
        <f t="shared" si="63"/>
        <v>In progress</v>
      </c>
      <c r="D3408" s="47" t="s">
        <v>19574</v>
      </c>
      <c r="E3408" s="76" t="s">
        <v>19575</v>
      </c>
      <c r="F3408" s="21" t="s">
        <v>6434</v>
      </c>
      <c r="G3408" s="9">
        <f>DATE(2021,12,16)</f>
        <v>44546</v>
      </c>
      <c r="H3408" s="107">
        <v>1.0006944444444446</v>
      </c>
      <c r="I3408" s="21" t="s">
        <v>55</v>
      </c>
      <c r="J3408" s="21" t="s">
        <v>19576</v>
      </c>
      <c r="K3408" s="21" t="s">
        <v>565</v>
      </c>
      <c r="L3408" s="21" t="s">
        <v>19577</v>
      </c>
      <c r="M3408" s="21" t="s">
        <v>45</v>
      </c>
      <c r="N3408" s="21" t="s">
        <v>123</v>
      </c>
      <c r="O3408" s="21" t="s">
        <v>46</v>
      </c>
      <c r="P3408" s="21" t="s">
        <v>146</v>
      </c>
      <c r="Q3408" s="21" t="s">
        <v>19578</v>
      </c>
      <c r="R3408" s="21" t="s">
        <v>568</v>
      </c>
      <c r="S3408" s="21"/>
      <c r="T3408" s="21"/>
      <c r="U3408" s="21"/>
      <c r="V3408" s="21"/>
      <c r="W3408" s="21"/>
      <c r="X3408" s="21">
        <v>0</v>
      </c>
      <c r="Y3408" s="21"/>
      <c r="Z3408" s="21"/>
      <c r="AA3408" s="21"/>
      <c r="AB3408" s="21"/>
      <c r="AC3408" s="21"/>
      <c r="AD3408" s="21">
        <v>0</v>
      </c>
      <c r="AE3408" s="21" t="s">
        <v>73</v>
      </c>
      <c r="AF3408" s="21" t="s">
        <v>19579</v>
      </c>
      <c r="AG3408" s="21" t="s">
        <v>13508</v>
      </c>
      <c r="AH3408" s="43">
        <v>44547</v>
      </c>
      <c r="AI3408" s="21"/>
      <c r="AJ3408" s="21" t="s">
        <v>19580</v>
      </c>
      <c r="AK3408" s="21"/>
    </row>
    <row r="3409" spans="1:37" ht="36.75" customHeight="1" x14ac:dyDescent="0.35">
      <c r="A3409" s="21" t="s">
        <v>12448</v>
      </c>
      <c r="B3409" s="5" t="s">
        <v>887</v>
      </c>
      <c r="C3409" s="73" t="str">
        <f t="shared" si="63"/>
        <v>Open</v>
      </c>
      <c r="D3409" s="47" t="s">
        <v>19581</v>
      </c>
      <c r="E3409" s="76" t="s">
        <v>19582</v>
      </c>
      <c r="F3409" s="21" t="s">
        <v>16662</v>
      </c>
      <c r="G3409" s="9">
        <f>DATE(2021,12,19)</f>
        <v>44549</v>
      </c>
      <c r="H3409" s="107">
        <v>1.4861111111111112</v>
      </c>
      <c r="I3409" s="21" t="s">
        <v>259</v>
      </c>
      <c r="J3409" s="21" t="s">
        <v>19583</v>
      </c>
      <c r="K3409" s="21" t="s">
        <v>577</v>
      </c>
      <c r="L3409" s="21" t="s">
        <v>19584</v>
      </c>
      <c r="M3409" s="21" t="s">
        <v>45</v>
      </c>
      <c r="N3409" s="21" t="s">
        <v>70</v>
      </c>
      <c r="O3409" s="21" t="s">
        <v>59</v>
      </c>
      <c r="P3409" s="21" t="s">
        <v>6881</v>
      </c>
      <c r="Q3409" s="21" t="s">
        <v>19585</v>
      </c>
      <c r="R3409" s="21" t="s">
        <v>17254</v>
      </c>
      <c r="S3409" s="21"/>
      <c r="T3409" s="21"/>
      <c r="U3409" s="21"/>
      <c r="V3409" s="21"/>
      <c r="W3409" s="21"/>
      <c r="X3409" s="21">
        <v>1</v>
      </c>
      <c r="Y3409" s="21"/>
      <c r="Z3409" s="21"/>
      <c r="AA3409" s="21"/>
      <c r="AB3409" s="21"/>
      <c r="AC3409" s="21"/>
      <c r="AD3409" s="21">
        <v>0</v>
      </c>
      <c r="AE3409" s="21" t="s">
        <v>73</v>
      </c>
      <c r="AF3409" s="21" t="s">
        <v>693</v>
      </c>
      <c r="AG3409" s="21" t="s">
        <v>6438</v>
      </c>
      <c r="AH3409" s="43">
        <v>44588</v>
      </c>
      <c r="AI3409" s="21"/>
      <c r="AJ3409" s="21"/>
      <c r="AK3409" s="21"/>
    </row>
    <row r="3410" spans="1:37" ht="36.75" customHeight="1" x14ac:dyDescent="0.35">
      <c r="A3410" s="5" t="s">
        <v>12448</v>
      </c>
      <c r="B3410" s="5" t="s">
        <v>37</v>
      </c>
      <c r="C3410" s="73" t="str">
        <f t="shared" si="63"/>
        <v>Closed</v>
      </c>
      <c r="D3410" s="47" t="s">
        <v>19586</v>
      </c>
      <c r="E3410" s="76" t="s">
        <v>19587</v>
      </c>
      <c r="F3410" s="21" t="s">
        <v>12887</v>
      </c>
      <c r="G3410" s="9">
        <f>DATE(2021,12,21)</f>
        <v>44551</v>
      </c>
      <c r="H3410" s="107">
        <v>1.5</v>
      </c>
      <c r="I3410" s="21" t="s">
        <v>2244</v>
      </c>
      <c r="J3410" s="21" t="s">
        <v>19588</v>
      </c>
      <c r="K3410" s="21" t="s">
        <v>434</v>
      </c>
      <c r="L3410" s="21" t="s">
        <v>19589</v>
      </c>
      <c r="M3410" s="21" t="s">
        <v>45</v>
      </c>
      <c r="N3410" s="21" t="s">
        <v>80</v>
      </c>
      <c r="O3410" s="21" t="s">
        <v>46</v>
      </c>
      <c r="P3410" s="21" t="s">
        <v>146</v>
      </c>
      <c r="Q3410" s="21" t="s">
        <v>19536</v>
      </c>
      <c r="R3410" s="21" t="s">
        <v>19536</v>
      </c>
      <c r="S3410" s="21">
        <v>0</v>
      </c>
      <c r="T3410" s="21">
        <v>0</v>
      </c>
      <c r="U3410" s="21">
        <v>0</v>
      </c>
      <c r="V3410" s="21">
        <v>0</v>
      </c>
      <c r="W3410" s="21">
        <v>0</v>
      </c>
      <c r="X3410" s="21">
        <v>0</v>
      </c>
      <c r="Y3410" s="21">
        <v>0</v>
      </c>
      <c r="Z3410" s="21">
        <v>0</v>
      </c>
      <c r="AA3410" s="21">
        <v>0</v>
      </c>
      <c r="AB3410" s="21">
        <v>0</v>
      </c>
      <c r="AC3410" s="21">
        <v>0</v>
      </c>
      <c r="AD3410" s="21">
        <v>0</v>
      </c>
      <c r="AE3410" s="21" t="s">
        <v>73</v>
      </c>
      <c r="AF3410" s="21" t="s">
        <v>693</v>
      </c>
      <c r="AG3410" s="21" t="s">
        <v>8837</v>
      </c>
      <c r="AH3410" s="43">
        <v>44552</v>
      </c>
      <c r="AI3410" s="21">
        <v>0</v>
      </c>
      <c r="AJ3410" s="21" t="s">
        <v>19590</v>
      </c>
      <c r="AK3410" s="21" t="s">
        <v>19591</v>
      </c>
    </row>
    <row r="3411" spans="1:37" ht="36.75" customHeight="1" x14ac:dyDescent="0.35">
      <c r="A3411" s="21" t="s">
        <v>12448</v>
      </c>
      <c r="B3411" s="5" t="s">
        <v>37</v>
      </c>
      <c r="C3411" s="73" t="str">
        <f t="shared" si="63"/>
        <v>Closed</v>
      </c>
      <c r="D3411" s="47" t="s">
        <v>19592</v>
      </c>
      <c r="E3411" s="76" t="s">
        <v>19593</v>
      </c>
      <c r="F3411" s="21" t="s">
        <v>16662</v>
      </c>
      <c r="G3411" s="9">
        <f>DATE(2021,12,22)</f>
        <v>44552</v>
      </c>
      <c r="H3411" s="107">
        <v>1.78125</v>
      </c>
      <c r="I3411" s="21" t="s">
        <v>97</v>
      </c>
      <c r="J3411" s="21" t="s">
        <v>19594</v>
      </c>
      <c r="K3411" s="21" t="s">
        <v>577</v>
      </c>
      <c r="L3411" s="21" t="s">
        <v>19595</v>
      </c>
      <c r="M3411" s="21" t="s">
        <v>45</v>
      </c>
      <c r="N3411" s="21" t="s">
        <v>80</v>
      </c>
      <c r="O3411" s="21" t="s">
        <v>67</v>
      </c>
      <c r="P3411" s="21" t="s">
        <v>47</v>
      </c>
      <c r="Q3411" s="21" t="s">
        <v>19585</v>
      </c>
      <c r="R3411" s="21" t="s">
        <v>17254</v>
      </c>
      <c r="S3411" s="21">
        <v>0</v>
      </c>
      <c r="T3411" s="21">
        <v>0</v>
      </c>
      <c r="U3411" s="21">
        <v>1</v>
      </c>
      <c r="V3411" s="21">
        <v>0</v>
      </c>
      <c r="W3411" s="21">
        <v>0</v>
      </c>
      <c r="X3411" s="21">
        <v>1</v>
      </c>
      <c r="Y3411" s="21">
        <v>0</v>
      </c>
      <c r="Z3411" s="21">
        <v>0</v>
      </c>
      <c r="AA3411" s="21">
        <v>0</v>
      </c>
      <c r="AB3411" s="21">
        <v>0</v>
      </c>
      <c r="AC3411" s="21">
        <v>0</v>
      </c>
      <c r="AD3411" s="21">
        <v>0</v>
      </c>
      <c r="AE3411" s="21" t="s">
        <v>73</v>
      </c>
      <c r="AF3411" s="21" t="s">
        <v>19596</v>
      </c>
      <c r="AG3411" s="21" t="s">
        <v>6438</v>
      </c>
      <c r="AH3411" s="43">
        <v>44560</v>
      </c>
      <c r="AI3411" s="21">
        <v>2</v>
      </c>
      <c r="AJ3411" s="21" t="s">
        <v>19597</v>
      </c>
      <c r="AK3411" s="21" t="s">
        <v>19598</v>
      </c>
    </row>
    <row r="3412" spans="1:37" ht="36.75" customHeight="1" x14ac:dyDescent="0.35">
      <c r="A3412" s="21" t="s">
        <v>12448</v>
      </c>
      <c r="B3412" s="5" t="s">
        <v>37</v>
      </c>
      <c r="C3412" s="73" t="str">
        <f t="shared" si="63"/>
        <v>Closed</v>
      </c>
      <c r="D3412" s="47" t="s">
        <v>19599</v>
      </c>
      <c r="E3412" s="76" t="s">
        <v>19600</v>
      </c>
      <c r="F3412" s="21" t="s">
        <v>12887</v>
      </c>
      <c r="G3412" s="9">
        <f>DATE(2021,12,23)</f>
        <v>44553</v>
      </c>
      <c r="H3412" s="107">
        <v>1.3298611111111112</v>
      </c>
      <c r="I3412" s="21" t="s">
        <v>18633</v>
      </c>
      <c r="J3412" s="21" t="s">
        <v>19601</v>
      </c>
      <c r="K3412" s="21" t="s">
        <v>434</v>
      </c>
      <c r="L3412" s="21" t="s">
        <v>19602</v>
      </c>
      <c r="M3412" s="21" t="s">
        <v>45</v>
      </c>
      <c r="N3412" s="21" t="s">
        <v>123</v>
      </c>
      <c r="O3412" s="21" t="s">
        <v>59</v>
      </c>
      <c r="P3412" s="21" t="s">
        <v>146</v>
      </c>
      <c r="Q3412" s="21" t="s">
        <v>479</v>
      </c>
      <c r="R3412" s="21" t="s">
        <v>479</v>
      </c>
      <c r="S3412" s="21">
        <v>0</v>
      </c>
      <c r="T3412" s="21">
        <v>0</v>
      </c>
      <c r="U3412" s="21">
        <v>0</v>
      </c>
      <c r="V3412" s="21">
        <v>0</v>
      </c>
      <c r="W3412" s="21">
        <v>0</v>
      </c>
      <c r="X3412" s="21">
        <v>0</v>
      </c>
      <c r="Y3412" s="21">
        <v>0</v>
      </c>
      <c r="Z3412" s="21">
        <v>0</v>
      </c>
      <c r="AA3412" s="21">
        <v>0</v>
      </c>
      <c r="AB3412" s="21">
        <v>0</v>
      </c>
      <c r="AC3412" s="21">
        <v>0</v>
      </c>
      <c r="AD3412" s="21">
        <v>0</v>
      </c>
      <c r="AE3412" s="21" t="s">
        <v>73</v>
      </c>
      <c r="AF3412" s="21" t="s">
        <v>19601</v>
      </c>
      <c r="AG3412" s="21" t="s">
        <v>13508</v>
      </c>
      <c r="AH3412" s="43">
        <v>44578</v>
      </c>
      <c r="AI3412" s="21">
        <v>1</v>
      </c>
      <c r="AJ3412" s="21" t="s">
        <v>19603</v>
      </c>
      <c r="AK3412" s="21" t="s">
        <v>19604</v>
      </c>
    </row>
    <row r="3413" spans="1:37" ht="36.75" customHeight="1" x14ac:dyDescent="0.35">
      <c r="A3413" s="21" t="s">
        <v>12448</v>
      </c>
      <c r="B3413" s="5" t="s">
        <v>37</v>
      </c>
      <c r="C3413" s="73" t="str">
        <f t="shared" si="63"/>
        <v>Closed</v>
      </c>
      <c r="D3413" s="47" t="s">
        <v>19605</v>
      </c>
      <c r="E3413" s="76" t="s">
        <v>19606</v>
      </c>
      <c r="F3413" s="21" t="s">
        <v>17638</v>
      </c>
      <c r="G3413" s="9">
        <f>DATE(2021,12,27)</f>
        <v>44557</v>
      </c>
      <c r="H3413" s="107">
        <v>1.6493055555555556</v>
      </c>
      <c r="I3413" s="21" t="s">
        <v>55</v>
      </c>
      <c r="J3413" s="21" t="s">
        <v>19607</v>
      </c>
      <c r="K3413" s="21" t="s">
        <v>1555</v>
      </c>
      <c r="L3413" s="21" t="s">
        <v>19608</v>
      </c>
      <c r="M3413" s="21" t="s">
        <v>45</v>
      </c>
      <c r="N3413" s="21" t="s">
        <v>123</v>
      </c>
      <c r="O3413" s="21" t="s">
        <v>59</v>
      </c>
      <c r="P3413" s="21" t="s">
        <v>60</v>
      </c>
      <c r="Q3413" s="21" t="s">
        <v>19609</v>
      </c>
      <c r="R3413" s="21" t="s">
        <v>18956</v>
      </c>
      <c r="S3413" s="21">
        <v>0</v>
      </c>
      <c r="T3413" s="21">
        <v>0</v>
      </c>
      <c r="U3413" s="21">
        <v>0</v>
      </c>
      <c r="V3413" s="21">
        <v>0</v>
      </c>
      <c r="W3413" s="21">
        <v>0</v>
      </c>
      <c r="X3413" s="21">
        <v>0</v>
      </c>
      <c r="Y3413" s="21">
        <v>0</v>
      </c>
      <c r="Z3413" s="21">
        <v>0</v>
      </c>
      <c r="AA3413" s="21">
        <v>0</v>
      </c>
      <c r="AB3413" s="21">
        <v>0</v>
      </c>
      <c r="AC3413" s="21">
        <v>0</v>
      </c>
      <c r="AD3413" s="21">
        <v>0</v>
      </c>
      <c r="AE3413" s="21" t="s">
        <v>73</v>
      </c>
      <c r="AF3413" s="21" t="s">
        <v>19610</v>
      </c>
      <c r="AG3413" s="121" t="s">
        <v>8837</v>
      </c>
      <c r="AH3413" s="43">
        <v>44558</v>
      </c>
      <c r="AI3413" s="21">
        <v>1</v>
      </c>
      <c r="AJ3413" s="21" t="s">
        <v>19611</v>
      </c>
      <c r="AK3413" s="21" t="s">
        <v>19612</v>
      </c>
    </row>
    <row r="3414" spans="1:37" ht="36.75" customHeight="1" x14ac:dyDescent="0.35">
      <c r="A3414" s="21" t="s">
        <v>12448</v>
      </c>
      <c r="B3414" s="5" t="s">
        <v>37</v>
      </c>
      <c r="C3414" s="73" t="str">
        <f t="shared" si="63"/>
        <v>Closed</v>
      </c>
      <c r="D3414" s="47" t="s">
        <v>19613</v>
      </c>
      <c r="E3414" s="76" t="s">
        <v>19614</v>
      </c>
      <c r="F3414" s="21" t="s">
        <v>16397</v>
      </c>
      <c r="G3414" s="9">
        <f>DATE(2021,12,29)</f>
        <v>44559</v>
      </c>
      <c r="H3414" s="107">
        <v>1.2395833333333333</v>
      </c>
      <c r="I3414" s="21" t="s">
        <v>97</v>
      </c>
      <c r="J3414" s="21" t="s">
        <v>19615</v>
      </c>
      <c r="K3414" s="21" t="s">
        <v>406</v>
      </c>
      <c r="L3414" s="21" t="s">
        <v>19616</v>
      </c>
      <c r="M3414" s="21" t="s">
        <v>45</v>
      </c>
      <c r="N3414" s="21" t="s">
        <v>80</v>
      </c>
      <c r="O3414" s="21" t="s">
        <v>46</v>
      </c>
      <c r="P3414" s="21" t="s">
        <v>146</v>
      </c>
      <c r="Q3414" s="21" t="s">
        <v>18466</v>
      </c>
      <c r="R3414" s="21" t="s">
        <v>17330</v>
      </c>
      <c r="S3414" s="21">
        <v>0</v>
      </c>
      <c r="T3414" s="21">
        <v>0</v>
      </c>
      <c r="U3414" s="21">
        <v>0</v>
      </c>
      <c r="V3414" s="21">
        <v>0</v>
      </c>
      <c r="W3414" s="21">
        <v>0</v>
      </c>
      <c r="X3414" s="21">
        <v>0</v>
      </c>
      <c r="Y3414" s="21">
        <v>0</v>
      </c>
      <c r="Z3414" s="21">
        <v>0</v>
      </c>
      <c r="AA3414" s="21">
        <v>1</v>
      </c>
      <c r="AB3414" s="21">
        <v>0</v>
      </c>
      <c r="AC3414" s="21">
        <v>0</v>
      </c>
      <c r="AD3414" s="21">
        <v>1</v>
      </c>
      <c r="AE3414" s="21" t="s">
        <v>375</v>
      </c>
      <c r="AF3414" s="21" t="s">
        <v>19617</v>
      </c>
      <c r="AG3414" s="21" t="s">
        <v>6438</v>
      </c>
      <c r="AH3414" s="43">
        <v>44559</v>
      </c>
      <c r="AI3414" s="21">
        <v>1</v>
      </c>
      <c r="AJ3414" s="21" t="s">
        <v>19618</v>
      </c>
      <c r="AK3414" s="21" t="s">
        <v>19044</v>
      </c>
    </row>
    <row r="3415" spans="1:37" ht="36.75" customHeight="1" x14ac:dyDescent="0.35">
      <c r="A3415" s="21" t="s">
        <v>12448</v>
      </c>
      <c r="B3415" s="5" t="s">
        <v>37</v>
      </c>
      <c r="C3415" s="73" t="str">
        <f t="shared" si="63"/>
        <v>Closed</v>
      </c>
      <c r="D3415" s="47" t="s">
        <v>19619</v>
      </c>
      <c r="E3415" s="76" t="s">
        <v>19620</v>
      </c>
      <c r="F3415" s="21" t="s">
        <v>17638</v>
      </c>
      <c r="G3415" s="9">
        <f>DATE(2021,12,30)</f>
        <v>44560</v>
      </c>
      <c r="H3415" s="107">
        <v>1.8333333333333335</v>
      </c>
      <c r="I3415" s="21" t="s">
        <v>55</v>
      </c>
      <c r="J3415" s="21" t="s">
        <v>19621</v>
      </c>
      <c r="K3415" s="21" t="s">
        <v>1555</v>
      </c>
      <c r="L3415" s="21" t="s">
        <v>19622</v>
      </c>
      <c r="M3415" s="21" t="s">
        <v>45</v>
      </c>
      <c r="N3415" s="21" t="s">
        <v>80</v>
      </c>
      <c r="O3415" s="21" t="s">
        <v>59</v>
      </c>
      <c r="P3415" s="21" t="s">
        <v>60</v>
      </c>
      <c r="Q3415" s="21" t="s">
        <v>19623</v>
      </c>
      <c r="R3415" s="21" t="s">
        <v>19623</v>
      </c>
      <c r="S3415" s="21">
        <v>0</v>
      </c>
      <c r="T3415" s="21">
        <v>0</v>
      </c>
      <c r="U3415" s="21">
        <v>0</v>
      </c>
      <c r="V3415" s="21">
        <v>0</v>
      </c>
      <c r="W3415" s="21">
        <v>0</v>
      </c>
      <c r="X3415" s="21">
        <v>0</v>
      </c>
      <c r="Y3415" s="21">
        <v>0</v>
      </c>
      <c r="Z3415" s="21">
        <v>0</v>
      </c>
      <c r="AA3415" s="21">
        <v>0</v>
      </c>
      <c r="AB3415" s="21">
        <v>0</v>
      </c>
      <c r="AC3415" s="21">
        <v>0</v>
      </c>
      <c r="AD3415" s="21">
        <v>0</v>
      </c>
      <c r="AE3415" s="21" t="s">
        <v>73</v>
      </c>
      <c r="AF3415" s="21" t="s">
        <v>19624</v>
      </c>
      <c r="AG3415" s="21" t="s">
        <v>8837</v>
      </c>
      <c r="AH3415" s="43">
        <v>44564</v>
      </c>
      <c r="AI3415" s="21">
        <v>0</v>
      </c>
      <c r="AJ3415" s="21" t="s">
        <v>19625</v>
      </c>
      <c r="AK3415" s="21" t="s">
        <v>19626</v>
      </c>
    </row>
    <row r="3416" spans="1:37" ht="36.75" customHeight="1" x14ac:dyDescent="0.35">
      <c r="A3416" s="21" t="s">
        <v>12448</v>
      </c>
      <c r="B3416" s="5" t="s">
        <v>37</v>
      </c>
      <c r="C3416" s="73" t="str">
        <f t="shared" si="63"/>
        <v>Closed</v>
      </c>
      <c r="D3416" s="47" t="s">
        <v>19627</v>
      </c>
      <c r="E3416" s="76" t="s">
        <v>19628</v>
      </c>
      <c r="F3416" s="21" t="s">
        <v>19629</v>
      </c>
      <c r="G3416" s="9">
        <f>DATE(2022,1,1)</f>
        <v>44562</v>
      </c>
      <c r="H3416" s="107">
        <v>1.6631944444444444</v>
      </c>
      <c r="I3416" s="21" t="s">
        <v>55</v>
      </c>
      <c r="J3416" s="21" t="s">
        <v>19630</v>
      </c>
      <c r="K3416" s="21" t="s">
        <v>2529</v>
      </c>
      <c r="L3416" s="21" t="s">
        <v>19631</v>
      </c>
      <c r="M3416" s="21" t="s">
        <v>45</v>
      </c>
      <c r="N3416" s="21" t="s">
        <v>70</v>
      </c>
      <c r="O3416" s="21" t="s">
        <v>59</v>
      </c>
      <c r="P3416" s="21" t="s">
        <v>60</v>
      </c>
      <c r="Q3416" s="21" t="s">
        <v>19632</v>
      </c>
      <c r="R3416" s="21" t="s">
        <v>19633</v>
      </c>
      <c r="S3416" s="21">
        <v>0</v>
      </c>
      <c r="T3416" s="21">
        <v>0</v>
      </c>
      <c r="U3416" s="21">
        <v>0</v>
      </c>
      <c r="V3416" s="21">
        <v>0</v>
      </c>
      <c r="W3416" s="21">
        <v>0</v>
      </c>
      <c r="X3416" s="21">
        <v>0</v>
      </c>
      <c r="Y3416" s="21">
        <v>0</v>
      </c>
      <c r="Z3416" s="21">
        <v>0</v>
      </c>
      <c r="AA3416" s="21">
        <v>0</v>
      </c>
      <c r="AB3416" s="21">
        <v>0</v>
      </c>
      <c r="AC3416" s="21">
        <v>0</v>
      </c>
      <c r="AD3416" s="21">
        <v>0</v>
      </c>
      <c r="AE3416" s="21" t="s">
        <v>375</v>
      </c>
      <c r="AF3416" s="21" t="s">
        <v>19634</v>
      </c>
      <c r="AG3416" s="21" t="s">
        <v>14532</v>
      </c>
      <c r="AH3416" s="43">
        <v>44564</v>
      </c>
      <c r="AI3416" s="21">
        <v>0</v>
      </c>
      <c r="AJ3416" s="21" t="s">
        <v>19635</v>
      </c>
      <c r="AK3416" s="21" t="s">
        <v>19636</v>
      </c>
    </row>
    <row r="3417" spans="1:37" ht="36.75" customHeight="1" x14ac:dyDescent="0.35">
      <c r="A3417" s="21" t="s">
        <v>12448</v>
      </c>
      <c r="B3417" s="5" t="s">
        <v>37</v>
      </c>
      <c r="C3417" s="73" t="str">
        <f t="shared" si="63"/>
        <v>Closed</v>
      </c>
      <c r="D3417" s="91" t="s">
        <v>19637</v>
      </c>
      <c r="E3417" s="76" t="s">
        <v>19638</v>
      </c>
      <c r="F3417" s="21" t="s">
        <v>17537</v>
      </c>
      <c r="G3417" s="9">
        <f>DATE(2022,1,1)</f>
        <v>44562</v>
      </c>
      <c r="H3417" s="107">
        <v>1.4097222222222223</v>
      </c>
      <c r="I3417" s="21" t="s">
        <v>97</v>
      </c>
      <c r="J3417" s="21" t="s">
        <v>19639</v>
      </c>
      <c r="K3417" s="21" t="s">
        <v>818</v>
      </c>
      <c r="L3417" s="21" t="s">
        <v>19640</v>
      </c>
      <c r="M3417" s="21" t="s">
        <v>45</v>
      </c>
      <c r="N3417" s="21" t="s">
        <v>80</v>
      </c>
      <c r="O3417" s="21" t="s">
        <v>46</v>
      </c>
      <c r="P3417" s="21" t="s">
        <v>146</v>
      </c>
      <c r="Q3417" s="21" t="s">
        <v>2142</v>
      </c>
      <c r="R3417" s="21" t="s">
        <v>821</v>
      </c>
      <c r="S3417" s="21">
        <v>0</v>
      </c>
      <c r="T3417" s="21">
        <v>0</v>
      </c>
      <c r="U3417" s="21">
        <v>4</v>
      </c>
      <c r="V3417" s="21">
        <v>0</v>
      </c>
      <c r="W3417" s="21">
        <v>0</v>
      </c>
      <c r="X3417" s="21">
        <v>4</v>
      </c>
      <c r="Y3417" s="21">
        <v>0</v>
      </c>
      <c r="Z3417" s="21">
        <v>0</v>
      </c>
      <c r="AA3417" s="21">
        <v>1</v>
      </c>
      <c r="AB3417" s="21">
        <v>0</v>
      </c>
      <c r="AC3417" s="21">
        <v>0</v>
      </c>
      <c r="AD3417" s="21">
        <v>1</v>
      </c>
      <c r="AE3417" s="21" t="s">
        <v>73</v>
      </c>
      <c r="AF3417" s="21" t="s">
        <v>19641</v>
      </c>
      <c r="AG3417" s="21" t="s">
        <v>8837</v>
      </c>
      <c r="AH3417" s="43">
        <v>44562</v>
      </c>
      <c r="AI3417" s="21">
        <v>0</v>
      </c>
      <c r="AJ3417" s="21" t="s">
        <v>19642</v>
      </c>
      <c r="AK3417" s="21">
        <v>0</v>
      </c>
    </row>
    <row r="3418" spans="1:37" ht="36.75" customHeight="1" x14ac:dyDescent="0.35">
      <c r="A3418" s="21" t="s">
        <v>12448</v>
      </c>
      <c r="B3418" s="5" t="s">
        <v>37</v>
      </c>
      <c r="C3418" s="73" t="str">
        <f t="shared" si="63"/>
        <v>Closed</v>
      </c>
      <c r="D3418" s="47" t="s">
        <v>19643</v>
      </c>
      <c r="E3418" s="76" t="s">
        <v>19644</v>
      </c>
      <c r="F3418" s="21" t="s">
        <v>17638</v>
      </c>
      <c r="G3418" s="9">
        <f>DATE(2022,1,2)</f>
        <v>44563</v>
      </c>
      <c r="H3418" s="107">
        <v>1.6666666666666665</v>
      </c>
      <c r="I3418" s="21" t="s">
        <v>106</v>
      </c>
      <c r="J3418" s="21" t="s">
        <v>19645</v>
      </c>
      <c r="K3418" s="21" t="s">
        <v>1555</v>
      </c>
      <c r="L3418" s="21" t="s">
        <v>19646</v>
      </c>
      <c r="M3418" s="21" t="s">
        <v>45</v>
      </c>
      <c r="N3418" s="21" t="s">
        <v>123</v>
      </c>
      <c r="O3418" s="21" t="s">
        <v>46</v>
      </c>
      <c r="P3418" s="21" t="s">
        <v>60</v>
      </c>
      <c r="Q3418" s="21" t="s">
        <v>19623</v>
      </c>
      <c r="R3418" s="21" t="s">
        <v>18956</v>
      </c>
      <c r="S3418" s="21">
        <v>0</v>
      </c>
      <c r="T3418" s="21">
        <v>0</v>
      </c>
      <c r="U3418" s="21">
        <v>0</v>
      </c>
      <c r="V3418" s="21">
        <v>0</v>
      </c>
      <c r="W3418" s="21">
        <v>0</v>
      </c>
      <c r="X3418" s="21">
        <v>0</v>
      </c>
      <c r="Y3418" s="21">
        <v>0</v>
      </c>
      <c r="Z3418" s="21">
        <v>0</v>
      </c>
      <c r="AA3418" s="21">
        <v>0</v>
      </c>
      <c r="AB3418" s="21">
        <v>0</v>
      </c>
      <c r="AC3418" s="21">
        <v>0</v>
      </c>
      <c r="AD3418" s="21">
        <v>0</v>
      </c>
      <c r="AE3418" s="21" t="s">
        <v>73</v>
      </c>
      <c r="AF3418" s="21" t="s">
        <v>19647</v>
      </c>
      <c r="AG3418" s="21" t="s">
        <v>8837</v>
      </c>
      <c r="AH3418" s="43">
        <v>44564</v>
      </c>
      <c r="AI3418" s="21">
        <v>1</v>
      </c>
      <c r="AJ3418" s="21" t="s">
        <v>19648</v>
      </c>
      <c r="AK3418" s="21" t="s">
        <v>19649</v>
      </c>
    </row>
    <row r="3419" spans="1:37" ht="36.75" customHeight="1" x14ac:dyDescent="0.35">
      <c r="A3419" s="21" t="s">
        <v>12448</v>
      </c>
      <c r="B3419" s="5" t="s">
        <v>37</v>
      </c>
      <c r="C3419" s="73" t="str">
        <f t="shared" si="63"/>
        <v>Closed</v>
      </c>
      <c r="D3419" s="91" t="s">
        <v>19650</v>
      </c>
      <c r="E3419" s="76" t="s">
        <v>19651</v>
      </c>
      <c r="F3419" s="21" t="s">
        <v>18076</v>
      </c>
      <c r="G3419" s="9">
        <f>DATE(2022,1,4)</f>
        <v>44565</v>
      </c>
      <c r="H3419" s="107">
        <v>1.9583333333333335</v>
      </c>
      <c r="I3419" s="21" t="s">
        <v>18633</v>
      </c>
      <c r="J3419" s="21" t="s">
        <v>19652</v>
      </c>
      <c r="K3419" s="21" t="s">
        <v>360</v>
      </c>
      <c r="L3419" s="21" t="s">
        <v>19653</v>
      </c>
      <c r="M3419" s="21" t="s">
        <v>45</v>
      </c>
      <c r="N3419" s="21" t="s">
        <v>123</v>
      </c>
      <c r="O3419" s="21" t="s">
        <v>46</v>
      </c>
      <c r="P3419" s="21" t="s">
        <v>60</v>
      </c>
      <c r="Q3419" s="21" t="s">
        <v>19654</v>
      </c>
      <c r="R3419" s="21" t="s">
        <v>19655</v>
      </c>
      <c r="S3419" s="21">
        <v>0</v>
      </c>
      <c r="T3419" s="21">
        <v>0</v>
      </c>
      <c r="U3419" s="21">
        <v>0</v>
      </c>
      <c r="V3419" s="21">
        <v>0</v>
      </c>
      <c r="W3419" s="21">
        <v>0</v>
      </c>
      <c r="X3419" s="21">
        <v>0</v>
      </c>
      <c r="Y3419" s="21">
        <v>0</v>
      </c>
      <c r="Z3419" s="21">
        <v>0</v>
      </c>
      <c r="AA3419" s="21">
        <v>0</v>
      </c>
      <c r="AB3419" s="21">
        <v>0</v>
      </c>
      <c r="AC3419" s="21">
        <v>0</v>
      </c>
      <c r="AD3419" s="21">
        <v>0</v>
      </c>
      <c r="AE3419" s="21" t="s">
        <v>73</v>
      </c>
      <c r="AF3419" s="21" t="s">
        <v>19656</v>
      </c>
      <c r="AG3419" s="21" t="s">
        <v>13508</v>
      </c>
      <c r="AH3419" s="43">
        <v>44686</v>
      </c>
      <c r="AI3419" s="21">
        <v>3</v>
      </c>
      <c r="AJ3419" s="21" t="s">
        <v>19657</v>
      </c>
      <c r="AK3419" s="21" t="s">
        <v>19658</v>
      </c>
    </row>
    <row r="3420" spans="1:37" ht="36.75" customHeight="1" x14ac:dyDescent="0.35">
      <c r="A3420" s="21" t="s">
        <v>12448</v>
      </c>
      <c r="B3420" s="5" t="s">
        <v>37</v>
      </c>
      <c r="C3420" s="73" t="str">
        <f t="shared" si="63"/>
        <v>Closed</v>
      </c>
      <c r="D3420" s="47" t="s">
        <v>19659</v>
      </c>
      <c r="E3420" s="76" t="s">
        <v>19660</v>
      </c>
      <c r="F3420" s="21" t="s">
        <v>17638</v>
      </c>
      <c r="G3420" s="9">
        <f>DATE(2022,1,7)</f>
        <v>44568</v>
      </c>
      <c r="H3420" s="107">
        <v>1.59375</v>
      </c>
      <c r="I3420" s="21" t="s">
        <v>55</v>
      </c>
      <c r="J3420" s="21" t="s">
        <v>19661</v>
      </c>
      <c r="K3420" s="21" t="s">
        <v>1555</v>
      </c>
      <c r="L3420" s="21" t="s">
        <v>19662</v>
      </c>
      <c r="M3420" s="21" t="s">
        <v>45</v>
      </c>
      <c r="N3420" s="21" t="s">
        <v>80</v>
      </c>
      <c r="O3420" s="21" t="s">
        <v>46</v>
      </c>
      <c r="P3420" s="21" t="s">
        <v>60</v>
      </c>
      <c r="Q3420" s="21" t="s">
        <v>18087</v>
      </c>
      <c r="R3420" s="21" t="s">
        <v>18956</v>
      </c>
      <c r="S3420" s="21">
        <v>0</v>
      </c>
      <c r="T3420" s="21">
        <v>0</v>
      </c>
      <c r="U3420" s="21">
        <v>0</v>
      </c>
      <c r="V3420" s="21">
        <v>0</v>
      </c>
      <c r="W3420" s="21">
        <v>0</v>
      </c>
      <c r="X3420" s="21">
        <v>0</v>
      </c>
      <c r="Y3420" s="21">
        <v>0</v>
      </c>
      <c r="Z3420" s="21">
        <v>0</v>
      </c>
      <c r="AA3420" s="21">
        <v>0</v>
      </c>
      <c r="AB3420" s="21">
        <v>0</v>
      </c>
      <c r="AC3420" s="21">
        <v>0</v>
      </c>
      <c r="AD3420" s="21">
        <v>0</v>
      </c>
      <c r="AE3420" s="21" t="s">
        <v>73</v>
      </c>
      <c r="AF3420" s="21" t="s">
        <v>19663</v>
      </c>
      <c r="AG3420" s="21" t="s">
        <v>8837</v>
      </c>
      <c r="AH3420" s="43">
        <v>44571</v>
      </c>
      <c r="AI3420" s="21">
        <v>2</v>
      </c>
      <c r="AJ3420" s="21" t="s">
        <v>19664</v>
      </c>
      <c r="AK3420" s="21" t="s">
        <v>19665</v>
      </c>
    </row>
    <row r="3421" spans="1:37" ht="36.75" customHeight="1" x14ac:dyDescent="0.35">
      <c r="A3421" s="21" t="s">
        <v>12448</v>
      </c>
      <c r="B3421" s="5" t="s">
        <v>37</v>
      </c>
      <c r="C3421" s="73" t="str">
        <f t="shared" si="63"/>
        <v>Closed</v>
      </c>
      <c r="D3421" s="47" t="s">
        <v>19666</v>
      </c>
      <c r="E3421" s="76" t="s">
        <v>19667</v>
      </c>
      <c r="F3421" s="21" t="s">
        <v>17537</v>
      </c>
      <c r="G3421" s="9">
        <f>DATE(2022,1,10)</f>
        <v>44571</v>
      </c>
      <c r="H3421" s="107">
        <v>1.8958333333333335</v>
      </c>
      <c r="I3421" s="21" t="s">
        <v>468</v>
      </c>
      <c r="J3421" s="21" t="s">
        <v>19668</v>
      </c>
      <c r="K3421" s="21" t="s">
        <v>818</v>
      </c>
      <c r="L3421" s="21" t="s">
        <v>19669</v>
      </c>
      <c r="M3421" s="21" t="s">
        <v>45</v>
      </c>
      <c r="N3421" s="21" t="s">
        <v>80</v>
      </c>
      <c r="O3421" s="21" t="s">
        <v>59</v>
      </c>
      <c r="P3421" s="21" t="s">
        <v>60</v>
      </c>
      <c r="Q3421" s="21" t="s">
        <v>19670</v>
      </c>
      <c r="R3421" s="21" t="s">
        <v>821</v>
      </c>
      <c r="S3421" s="21">
        <v>0</v>
      </c>
      <c r="T3421" s="21">
        <v>0</v>
      </c>
      <c r="U3421" s="21">
        <v>0</v>
      </c>
      <c r="V3421" s="21">
        <v>0</v>
      </c>
      <c r="W3421" s="21">
        <v>0</v>
      </c>
      <c r="X3421" s="21">
        <v>0</v>
      </c>
      <c r="Y3421" s="21">
        <v>0</v>
      </c>
      <c r="Z3421" s="21">
        <v>0</v>
      </c>
      <c r="AA3421" s="21">
        <v>0</v>
      </c>
      <c r="AB3421" s="21">
        <v>0</v>
      </c>
      <c r="AC3421" s="21">
        <v>0</v>
      </c>
      <c r="AD3421" s="21">
        <v>0</v>
      </c>
      <c r="AE3421" s="21" t="s">
        <v>73</v>
      </c>
      <c r="AF3421" s="21" t="s">
        <v>860</v>
      </c>
      <c r="AG3421" s="21" t="s">
        <v>8837</v>
      </c>
      <c r="AH3421" s="43">
        <v>44571</v>
      </c>
      <c r="AI3421" s="21">
        <v>2</v>
      </c>
      <c r="AJ3421" s="21" t="s">
        <v>19671</v>
      </c>
      <c r="AK3421" s="21" t="s">
        <v>19672</v>
      </c>
    </row>
    <row r="3422" spans="1:37" ht="36.75" customHeight="1" x14ac:dyDescent="0.35">
      <c r="A3422" s="21" t="s">
        <v>12448</v>
      </c>
      <c r="B3422" s="5" t="s">
        <v>37</v>
      </c>
      <c r="C3422" s="73" t="str">
        <f t="shared" si="63"/>
        <v>Closed</v>
      </c>
      <c r="D3422" s="91" t="s">
        <v>19674</v>
      </c>
      <c r="E3422" s="76" t="s">
        <v>19675</v>
      </c>
      <c r="F3422" s="21" t="s">
        <v>17537</v>
      </c>
      <c r="G3422" s="9">
        <f>DATE(2022,1,10)</f>
        <v>44571</v>
      </c>
      <c r="H3422" s="107">
        <v>1.8368055555555554</v>
      </c>
      <c r="I3422" s="21" t="s">
        <v>4590</v>
      </c>
      <c r="J3422" s="21" t="s">
        <v>19676</v>
      </c>
      <c r="K3422" s="21" t="s">
        <v>818</v>
      </c>
      <c r="L3422" s="21" t="s">
        <v>19677</v>
      </c>
      <c r="M3422" s="21" t="s">
        <v>45</v>
      </c>
      <c r="N3422" s="21" t="s">
        <v>70</v>
      </c>
      <c r="O3422" s="21" t="s">
        <v>59</v>
      </c>
      <c r="P3422" s="21" t="s">
        <v>146</v>
      </c>
      <c r="Q3422" s="21" t="s">
        <v>18286</v>
      </c>
      <c r="R3422" s="21" t="s">
        <v>821</v>
      </c>
      <c r="S3422" s="21">
        <v>0</v>
      </c>
      <c r="T3422" s="21">
        <v>0</v>
      </c>
      <c r="U3422" s="21">
        <v>0</v>
      </c>
      <c r="V3422" s="21">
        <v>0</v>
      </c>
      <c r="W3422" s="21">
        <v>0</v>
      </c>
      <c r="X3422" s="21">
        <v>0</v>
      </c>
      <c r="Y3422" s="21">
        <v>0</v>
      </c>
      <c r="Z3422" s="21">
        <v>0</v>
      </c>
      <c r="AA3422" s="21">
        <v>0</v>
      </c>
      <c r="AB3422" s="21">
        <v>0</v>
      </c>
      <c r="AC3422" s="21">
        <v>0</v>
      </c>
      <c r="AD3422" s="21">
        <v>0</v>
      </c>
      <c r="AE3422" s="21" t="s">
        <v>73</v>
      </c>
      <c r="AF3422" s="21">
        <v>0</v>
      </c>
      <c r="AG3422" s="21" t="s">
        <v>13508</v>
      </c>
      <c r="AH3422" s="43">
        <v>44571</v>
      </c>
      <c r="AI3422" s="21">
        <v>1</v>
      </c>
      <c r="AJ3422" s="21" t="s">
        <v>19678</v>
      </c>
      <c r="AK3422" s="21" t="s">
        <v>19679</v>
      </c>
    </row>
    <row r="3423" spans="1:37" ht="36.75" customHeight="1" x14ac:dyDescent="0.35">
      <c r="A3423" s="21" t="s">
        <v>12448</v>
      </c>
      <c r="B3423" s="5" t="s">
        <v>37</v>
      </c>
      <c r="C3423" s="73" t="str">
        <f t="shared" si="63"/>
        <v>Closed</v>
      </c>
      <c r="D3423" s="47" t="s">
        <v>19680</v>
      </c>
      <c r="E3423" s="76" t="s">
        <v>19681</v>
      </c>
      <c r="F3423" s="21" t="s">
        <v>16397</v>
      </c>
      <c r="G3423" s="9">
        <f>DATE(2022,1,13)</f>
        <v>44574</v>
      </c>
      <c r="H3423" s="107">
        <v>1.9541666666666666</v>
      </c>
      <c r="I3423" s="21" t="s">
        <v>179</v>
      </c>
      <c r="J3423" s="21" t="s">
        <v>19682</v>
      </c>
      <c r="K3423" s="21" t="s">
        <v>406</v>
      </c>
      <c r="L3423" s="21" t="s">
        <v>19683</v>
      </c>
      <c r="M3423" s="21" t="s">
        <v>45</v>
      </c>
      <c r="N3423" s="21" t="s">
        <v>123</v>
      </c>
      <c r="O3423" s="21" t="s">
        <v>59</v>
      </c>
      <c r="P3423" s="21" t="s">
        <v>60</v>
      </c>
      <c r="Q3423" s="21" t="s">
        <v>19684</v>
      </c>
      <c r="R3423" s="21" t="s">
        <v>17330</v>
      </c>
      <c r="S3423" s="21">
        <v>0</v>
      </c>
      <c r="T3423" s="21">
        <v>0</v>
      </c>
      <c r="U3423" s="21">
        <v>0</v>
      </c>
      <c r="V3423" s="21">
        <v>0</v>
      </c>
      <c r="W3423" s="21">
        <v>0</v>
      </c>
      <c r="X3423" s="21">
        <v>0</v>
      </c>
      <c r="Y3423" s="21">
        <v>0</v>
      </c>
      <c r="Z3423" s="21">
        <v>0</v>
      </c>
      <c r="AA3423" s="21">
        <v>0</v>
      </c>
      <c r="AB3423" s="21">
        <v>0</v>
      </c>
      <c r="AC3423" s="21">
        <v>0</v>
      </c>
      <c r="AD3423" s="21">
        <v>0</v>
      </c>
      <c r="AE3423" s="21" t="s">
        <v>375</v>
      </c>
      <c r="AF3423" s="21" t="s">
        <v>19685</v>
      </c>
      <c r="AG3423" s="21" t="s">
        <v>16251</v>
      </c>
      <c r="AH3423" s="43">
        <v>44574</v>
      </c>
      <c r="AI3423" s="21">
        <v>2</v>
      </c>
      <c r="AJ3423" s="21" t="s">
        <v>19686</v>
      </c>
      <c r="AK3423" s="21" t="s">
        <v>19687</v>
      </c>
    </row>
    <row r="3424" spans="1:37" ht="36.75" customHeight="1" x14ac:dyDescent="0.35">
      <c r="A3424" s="21" t="s">
        <v>12448</v>
      </c>
      <c r="B3424" s="5" t="s">
        <v>37</v>
      </c>
      <c r="C3424" s="73" t="str">
        <f t="shared" si="63"/>
        <v>Closed</v>
      </c>
      <c r="D3424" s="91" t="s">
        <v>19688</v>
      </c>
      <c r="E3424" s="76" t="s">
        <v>19689</v>
      </c>
      <c r="F3424" s="21" t="s">
        <v>12887</v>
      </c>
      <c r="G3424" s="9">
        <f>DATE(2022,1,13)</f>
        <v>44574</v>
      </c>
      <c r="H3424" s="107">
        <v>1.4583333333333333</v>
      </c>
      <c r="I3424" s="21" t="s">
        <v>8481</v>
      </c>
      <c r="J3424" s="21" t="s">
        <v>19690</v>
      </c>
      <c r="K3424" s="21" t="s">
        <v>434</v>
      </c>
      <c r="L3424" s="21" t="s">
        <v>19691</v>
      </c>
      <c r="M3424" s="21" t="s">
        <v>45</v>
      </c>
      <c r="N3424" s="21" t="s">
        <v>123</v>
      </c>
      <c r="O3424" s="21" t="s">
        <v>46</v>
      </c>
      <c r="P3424" s="21" t="s">
        <v>60</v>
      </c>
      <c r="Q3424" s="21" t="s">
        <v>19692</v>
      </c>
      <c r="R3424" s="21" t="s">
        <v>553</v>
      </c>
      <c r="S3424" s="21">
        <v>0</v>
      </c>
      <c r="T3424" s="21">
        <v>0</v>
      </c>
      <c r="U3424" s="21">
        <v>0</v>
      </c>
      <c r="V3424" s="21">
        <v>0</v>
      </c>
      <c r="W3424" s="21">
        <v>0</v>
      </c>
      <c r="X3424" s="21">
        <v>0</v>
      </c>
      <c r="Y3424" s="21">
        <v>0</v>
      </c>
      <c r="Z3424" s="21">
        <v>0</v>
      </c>
      <c r="AA3424" s="21">
        <v>0</v>
      </c>
      <c r="AB3424" s="21">
        <v>0</v>
      </c>
      <c r="AC3424" s="21">
        <v>0</v>
      </c>
      <c r="AD3424" s="21">
        <v>0</v>
      </c>
      <c r="AE3424" s="21" t="s">
        <v>375</v>
      </c>
      <c r="AF3424" s="21" t="s">
        <v>19690</v>
      </c>
      <c r="AG3424" s="21" t="s">
        <v>13508</v>
      </c>
      <c r="AH3424" s="43">
        <v>44578</v>
      </c>
      <c r="AI3424" s="21">
        <v>2</v>
      </c>
      <c r="AJ3424" s="21" t="s">
        <v>19693</v>
      </c>
      <c r="AK3424" s="21" t="s">
        <v>19694</v>
      </c>
    </row>
    <row r="3425" spans="1:37" ht="36.75" customHeight="1" x14ac:dyDescent="0.35">
      <c r="A3425" s="21" t="s">
        <v>12448</v>
      </c>
      <c r="B3425" s="5" t="s">
        <v>37</v>
      </c>
      <c r="C3425" s="73" t="str">
        <f t="shared" si="63"/>
        <v>Closed</v>
      </c>
      <c r="D3425" s="47" t="s">
        <v>19695</v>
      </c>
      <c r="E3425" s="76" t="s">
        <v>19696</v>
      </c>
      <c r="F3425" s="21" t="s">
        <v>17018</v>
      </c>
      <c r="G3425" s="9">
        <f>DATE(2022,1,14)</f>
        <v>44575</v>
      </c>
      <c r="H3425" s="107">
        <v>1.4513888888888888</v>
      </c>
      <c r="I3425" s="21" t="s">
        <v>97</v>
      </c>
      <c r="J3425" s="21" t="s">
        <v>19697</v>
      </c>
      <c r="K3425" s="21" t="s">
        <v>2318</v>
      </c>
      <c r="L3425" s="21" t="s">
        <v>19698</v>
      </c>
      <c r="M3425" s="21" t="s">
        <v>45</v>
      </c>
      <c r="N3425" s="21" t="s">
        <v>80</v>
      </c>
      <c r="O3425" s="21" t="s">
        <v>59</v>
      </c>
      <c r="P3425" s="21" t="s">
        <v>146</v>
      </c>
      <c r="Q3425" s="21" t="s">
        <v>18677</v>
      </c>
      <c r="R3425" s="21" t="s">
        <v>2321</v>
      </c>
      <c r="S3425" s="21">
        <v>1</v>
      </c>
      <c r="T3425" s="21">
        <v>0</v>
      </c>
      <c r="U3425" s="21">
        <v>1</v>
      </c>
      <c r="V3425" s="21">
        <v>0</v>
      </c>
      <c r="W3425" s="21">
        <v>0</v>
      </c>
      <c r="X3425" s="21">
        <v>2</v>
      </c>
      <c r="Y3425" s="21">
        <v>0</v>
      </c>
      <c r="Z3425" s="21">
        <v>0</v>
      </c>
      <c r="AA3425" s="21">
        <v>0</v>
      </c>
      <c r="AB3425" s="21">
        <v>0</v>
      </c>
      <c r="AC3425" s="21">
        <v>0</v>
      </c>
      <c r="AD3425" s="21">
        <v>1</v>
      </c>
      <c r="AE3425" s="21" t="s">
        <v>375</v>
      </c>
      <c r="AF3425" s="21" t="s">
        <v>19699</v>
      </c>
      <c r="AG3425" s="21" t="s">
        <v>8837</v>
      </c>
      <c r="AH3425" s="43">
        <v>44588</v>
      </c>
      <c r="AI3425" s="21">
        <v>4</v>
      </c>
      <c r="AJ3425" s="21" t="s">
        <v>19700</v>
      </c>
      <c r="AK3425" s="21" t="s">
        <v>19701</v>
      </c>
    </row>
    <row r="3426" spans="1:37" ht="36.75" customHeight="1" x14ac:dyDescent="0.35">
      <c r="A3426" s="21" t="s">
        <v>12448</v>
      </c>
      <c r="B3426" s="5" t="s">
        <v>37</v>
      </c>
      <c r="C3426" s="73" t="str">
        <f t="shared" si="63"/>
        <v>Closed</v>
      </c>
      <c r="D3426" s="47" t="s">
        <v>19702</v>
      </c>
      <c r="E3426" s="104" t="s">
        <v>19703</v>
      </c>
      <c r="F3426" s="102" t="s">
        <v>12887</v>
      </c>
      <c r="G3426" s="9">
        <f>DATE(2022,1,14)</f>
        <v>44575</v>
      </c>
      <c r="H3426" s="107">
        <v>1.9618055555555554</v>
      </c>
      <c r="I3426" s="102" t="s">
        <v>19704</v>
      </c>
      <c r="J3426" s="102" t="s">
        <v>19705</v>
      </c>
      <c r="K3426" s="102" t="s">
        <v>434</v>
      </c>
      <c r="L3426" s="102" t="s">
        <v>19706</v>
      </c>
      <c r="M3426" s="102" t="s">
        <v>45</v>
      </c>
      <c r="N3426" s="102" t="s">
        <v>70</v>
      </c>
      <c r="O3426" s="102" t="s">
        <v>46</v>
      </c>
      <c r="P3426" s="102" t="s">
        <v>6881</v>
      </c>
      <c r="Q3426" s="102" t="s">
        <v>14350</v>
      </c>
      <c r="R3426" s="102" t="s">
        <v>553</v>
      </c>
      <c r="S3426" s="102">
        <v>0</v>
      </c>
      <c r="T3426" s="102">
        <v>0</v>
      </c>
      <c r="U3426" s="102">
        <v>0</v>
      </c>
      <c r="V3426" s="102">
        <v>1</v>
      </c>
      <c r="W3426" s="102">
        <v>0</v>
      </c>
      <c r="X3426" s="102">
        <v>1</v>
      </c>
      <c r="Y3426" s="102">
        <v>0</v>
      </c>
      <c r="Z3426" s="102">
        <v>0</v>
      </c>
      <c r="AA3426" s="102">
        <v>0</v>
      </c>
      <c r="AB3426" s="102">
        <v>0</v>
      </c>
      <c r="AC3426" s="102">
        <v>0</v>
      </c>
      <c r="AD3426" s="102">
        <v>0</v>
      </c>
      <c r="AE3426" s="102" t="s">
        <v>73</v>
      </c>
      <c r="AF3426" s="102" t="s">
        <v>693</v>
      </c>
      <c r="AG3426" s="102" t="s">
        <v>6438</v>
      </c>
      <c r="AH3426" s="43">
        <v>44576</v>
      </c>
      <c r="AI3426" s="102">
        <v>0</v>
      </c>
      <c r="AJ3426" s="102" t="s">
        <v>19707</v>
      </c>
      <c r="AK3426" s="102" t="s">
        <v>19708</v>
      </c>
    </row>
    <row r="3427" spans="1:37" ht="36.75" customHeight="1" x14ac:dyDescent="0.35">
      <c r="A3427" s="21" t="s">
        <v>12448</v>
      </c>
      <c r="B3427" s="5" t="s">
        <v>37</v>
      </c>
      <c r="C3427" s="73" t="str">
        <f t="shared" si="63"/>
        <v>Closed</v>
      </c>
      <c r="D3427" s="91" t="s">
        <v>19709</v>
      </c>
      <c r="E3427" s="76" t="s">
        <v>19710</v>
      </c>
      <c r="F3427" s="21" t="s">
        <v>17537</v>
      </c>
      <c r="G3427" s="9">
        <f>DATE(2022,1,16)</f>
        <v>44577</v>
      </c>
      <c r="H3427" s="107">
        <v>1.3819444444444444</v>
      </c>
      <c r="I3427" s="21" t="s">
        <v>4590</v>
      </c>
      <c r="J3427" s="21" t="s">
        <v>19711</v>
      </c>
      <c r="K3427" s="21" t="s">
        <v>818</v>
      </c>
      <c r="L3427" s="21" t="s">
        <v>19712</v>
      </c>
      <c r="M3427" s="21" t="s">
        <v>45</v>
      </c>
      <c r="N3427" s="21" t="s">
        <v>80</v>
      </c>
      <c r="O3427" s="21" t="s">
        <v>59</v>
      </c>
      <c r="P3427" s="21" t="s">
        <v>362</v>
      </c>
      <c r="Q3427" s="21" t="s">
        <v>18327</v>
      </c>
      <c r="R3427" s="21" t="s">
        <v>2777</v>
      </c>
      <c r="S3427" s="21">
        <v>0</v>
      </c>
      <c r="T3427" s="21">
        <v>0</v>
      </c>
      <c r="U3427" s="21">
        <v>0</v>
      </c>
      <c r="V3427" s="21">
        <v>0</v>
      </c>
      <c r="W3427" s="21">
        <v>0</v>
      </c>
      <c r="X3427" s="21">
        <v>0</v>
      </c>
      <c r="Y3427" s="21">
        <v>0</v>
      </c>
      <c r="Z3427" s="21">
        <v>0</v>
      </c>
      <c r="AA3427" s="21">
        <v>0</v>
      </c>
      <c r="AB3427" s="21">
        <v>0</v>
      </c>
      <c r="AC3427" s="21">
        <v>0</v>
      </c>
      <c r="AD3427" s="21">
        <v>0</v>
      </c>
      <c r="AE3427" s="21" t="s">
        <v>73</v>
      </c>
      <c r="AF3427" s="21">
        <v>0</v>
      </c>
      <c r="AG3427" s="21" t="s">
        <v>16899</v>
      </c>
      <c r="AH3427" s="43">
        <v>44577</v>
      </c>
      <c r="AI3427" s="21">
        <v>0</v>
      </c>
      <c r="AJ3427" s="21" t="s">
        <v>19713</v>
      </c>
      <c r="AK3427" s="21" t="s">
        <v>19714</v>
      </c>
    </row>
    <row r="3428" spans="1:37" ht="36.75" customHeight="1" x14ac:dyDescent="0.35">
      <c r="A3428" s="21" t="s">
        <v>12448</v>
      </c>
      <c r="B3428" s="5" t="s">
        <v>37</v>
      </c>
      <c r="C3428" s="73" t="str">
        <f t="shared" si="63"/>
        <v>Closed</v>
      </c>
      <c r="D3428" s="47" t="s">
        <v>19715</v>
      </c>
      <c r="E3428" s="104" t="s">
        <v>19716</v>
      </c>
      <c r="F3428" s="102" t="s">
        <v>12887</v>
      </c>
      <c r="G3428" s="9">
        <f>DATE(2022,1,18)</f>
        <v>44579</v>
      </c>
      <c r="H3428" s="107">
        <v>1.5</v>
      </c>
      <c r="I3428" s="102" t="s">
        <v>97</v>
      </c>
      <c r="J3428" s="102" t="s">
        <v>19717</v>
      </c>
      <c r="K3428" s="102" t="s">
        <v>434</v>
      </c>
      <c r="L3428" s="102" t="s">
        <v>19718</v>
      </c>
      <c r="M3428" s="102" t="s">
        <v>45</v>
      </c>
      <c r="N3428" s="102" t="s">
        <v>80</v>
      </c>
      <c r="O3428" s="102" t="s">
        <v>46</v>
      </c>
      <c r="P3428" s="102" t="s">
        <v>146</v>
      </c>
      <c r="Q3428" s="102" t="s">
        <v>19719</v>
      </c>
      <c r="R3428" s="102" t="s">
        <v>19719</v>
      </c>
      <c r="S3428" s="102">
        <v>0</v>
      </c>
      <c r="T3428" s="102">
        <v>0</v>
      </c>
      <c r="U3428" s="102">
        <v>0</v>
      </c>
      <c r="V3428" s="102">
        <v>0</v>
      </c>
      <c r="W3428" s="102">
        <v>0</v>
      </c>
      <c r="X3428" s="102">
        <v>0</v>
      </c>
      <c r="Y3428" s="102">
        <v>0</v>
      </c>
      <c r="Z3428" s="102">
        <v>0</v>
      </c>
      <c r="AA3428" s="102">
        <v>1</v>
      </c>
      <c r="AB3428" s="102">
        <v>0</v>
      </c>
      <c r="AC3428" s="102">
        <v>0</v>
      </c>
      <c r="AD3428" s="102">
        <v>1</v>
      </c>
      <c r="AE3428" s="102" t="s">
        <v>375</v>
      </c>
      <c r="AF3428" s="102" t="s">
        <v>19720</v>
      </c>
      <c r="AG3428" s="102" t="s">
        <v>8837</v>
      </c>
      <c r="AH3428" s="43">
        <v>44580</v>
      </c>
      <c r="AI3428" s="102">
        <v>0</v>
      </c>
      <c r="AJ3428" s="102" t="s">
        <v>19721</v>
      </c>
      <c r="AK3428" s="102" t="s">
        <v>19722</v>
      </c>
    </row>
    <row r="3429" spans="1:37" ht="36.75" customHeight="1" x14ac:dyDescent="0.35">
      <c r="A3429" s="21" t="s">
        <v>12448</v>
      </c>
      <c r="B3429" s="5" t="s">
        <v>37</v>
      </c>
      <c r="C3429" s="73" t="str">
        <f t="shared" si="63"/>
        <v>Closed</v>
      </c>
      <c r="D3429" s="47" t="s">
        <v>19723</v>
      </c>
      <c r="E3429" s="76" t="s">
        <v>19724</v>
      </c>
      <c r="F3429" s="21" t="s">
        <v>17728</v>
      </c>
      <c r="G3429" s="9">
        <f>DATE(2022,1,21)</f>
        <v>44582</v>
      </c>
      <c r="H3429" s="107">
        <v>1.1354166666666667</v>
      </c>
      <c r="I3429" s="21" t="s">
        <v>179</v>
      </c>
      <c r="J3429" s="21" t="s">
        <v>19725</v>
      </c>
      <c r="K3429" s="21" t="s">
        <v>2583</v>
      </c>
      <c r="L3429" s="21" t="s">
        <v>19726</v>
      </c>
      <c r="M3429" s="21" t="s">
        <v>45</v>
      </c>
      <c r="N3429" s="21" t="s">
        <v>70</v>
      </c>
      <c r="O3429" s="21" t="s">
        <v>59</v>
      </c>
      <c r="P3429" s="21" t="s">
        <v>60</v>
      </c>
      <c r="Q3429" s="21" t="s">
        <v>18861</v>
      </c>
      <c r="R3429" s="21" t="s">
        <v>18393</v>
      </c>
      <c r="S3429" s="21">
        <v>0</v>
      </c>
      <c r="T3429" s="21">
        <v>0</v>
      </c>
      <c r="U3429" s="21">
        <v>0</v>
      </c>
      <c r="V3429" s="21">
        <v>0</v>
      </c>
      <c r="W3429" s="21">
        <v>0</v>
      </c>
      <c r="X3429" s="21">
        <v>0</v>
      </c>
      <c r="Y3429" s="21">
        <v>0</v>
      </c>
      <c r="Z3429" s="21">
        <v>0</v>
      </c>
      <c r="AA3429" s="21">
        <v>0</v>
      </c>
      <c r="AB3429" s="21">
        <v>0</v>
      </c>
      <c r="AC3429" s="21">
        <v>0</v>
      </c>
      <c r="AD3429" s="21">
        <v>0</v>
      </c>
      <c r="AE3429" s="21" t="s">
        <v>73</v>
      </c>
      <c r="AF3429" s="21" t="s">
        <v>19727</v>
      </c>
      <c r="AG3429" s="21" t="s">
        <v>8837</v>
      </c>
      <c r="AH3429" s="43">
        <v>44582</v>
      </c>
      <c r="AI3429" s="21">
        <v>6</v>
      </c>
      <c r="AJ3429" s="21" t="s">
        <v>19728</v>
      </c>
      <c r="AK3429" s="21" t="s">
        <v>19729</v>
      </c>
    </row>
    <row r="3430" spans="1:37" ht="36.75" customHeight="1" x14ac:dyDescent="0.35">
      <c r="A3430" s="21" t="s">
        <v>12448</v>
      </c>
      <c r="B3430" s="5" t="s">
        <v>37</v>
      </c>
      <c r="C3430" s="73" t="str">
        <f t="shared" si="63"/>
        <v>Closed</v>
      </c>
      <c r="D3430" s="91" t="s">
        <v>19730</v>
      </c>
      <c r="E3430" s="76" t="s">
        <v>19731</v>
      </c>
      <c r="F3430" s="21" t="s">
        <v>17537</v>
      </c>
      <c r="G3430" s="9">
        <f>DATE(2022,1,21)</f>
        <v>44582</v>
      </c>
      <c r="H3430" s="107">
        <v>1.9791666666666665</v>
      </c>
      <c r="I3430" s="21" t="s">
        <v>179</v>
      </c>
      <c r="J3430" s="21" t="s">
        <v>19732</v>
      </c>
      <c r="K3430" s="21" t="s">
        <v>818</v>
      </c>
      <c r="L3430" s="21" t="s">
        <v>19733</v>
      </c>
      <c r="M3430" s="21" t="s">
        <v>110</v>
      </c>
      <c r="N3430" s="21" t="s">
        <v>70</v>
      </c>
      <c r="O3430" s="21" t="s">
        <v>59</v>
      </c>
      <c r="P3430" s="21" t="s">
        <v>110</v>
      </c>
      <c r="Q3430" s="21" t="s">
        <v>4190</v>
      </c>
      <c r="R3430" s="21" t="s">
        <v>4190</v>
      </c>
      <c r="S3430" s="21">
        <v>0</v>
      </c>
      <c r="T3430" s="21">
        <v>0</v>
      </c>
      <c r="U3430" s="21">
        <v>0</v>
      </c>
      <c r="V3430" s="21">
        <v>0</v>
      </c>
      <c r="W3430" s="21">
        <v>0</v>
      </c>
      <c r="X3430" s="21">
        <v>0</v>
      </c>
      <c r="Y3430" s="21">
        <v>0</v>
      </c>
      <c r="Z3430" s="21">
        <v>0</v>
      </c>
      <c r="AA3430" s="21">
        <v>0</v>
      </c>
      <c r="AB3430" s="21">
        <v>0</v>
      </c>
      <c r="AC3430" s="21">
        <v>0</v>
      </c>
      <c r="AD3430" s="21">
        <v>0</v>
      </c>
      <c r="AE3430" s="21" t="s">
        <v>375</v>
      </c>
      <c r="AF3430" s="21" t="s">
        <v>19734</v>
      </c>
      <c r="AG3430" s="21" t="s">
        <v>8837</v>
      </c>
      <c r="AH3430" s="43">
        <v>44582</v>
      </c>
      <c r="AI3430" s="21">
        <v>0</v>
      </c>
      <c r="AJ3430" s="21" t="s">
        <v>19735</v>
      </c>
      <c r="AK3430" s="21" t="s">
        <v>19736</v>
      </c>
    </row>
    <row r="3431" spans="1:37" ht="36.75" customHeight="1" x14ac:dyDescent="0.35">
      <c r="A3431" s="21" t="s">
        <v>12448</v>
      </c>
      <c r="B3431" s="5" t="s">
        <v>37</v>
      </c>
      <c r="C3431" s="73" t="str">
        <f t="shared" si="63"/>
        <v>Closed</v>
      </c>
      <c r="D3431" s="47" t="s">
        <v>19737</v>
      </c>
      <c r="E3431" s="76" t="s">
        <v>19738</v>
      </c>
      <c r="F3431" s="21" t="s">
        <v>16397</v>
      </c>
      <c r="G3431" s="9">
        <f>DATE(2022,1,29)</f>
        <v>44590</v>
      </c>
      <c r="H3431" s="107">
        <v>1.5499999999999998</v>
      </c>
      <c r="I3431" s="21" t="s">
        <v>55</v>
      </c>
      <c r="J3431" s="21" t="s">
        <v>19739</v>
      </c>
      <c r="K3431" s="21" t="s">
        <v>406</v>
      </c>
      <c r="L3431" s="21" t="s">
        <v>19740</v>
      </c>
      <c r="M3431" s="21" t="s">
        <v>45</v>
      </c>
      <c r="N3431" s="21" t="s">
        <v>123</v>
      </c>
      <c r="O3431" s="21" t="s">
        <v>59</v>
      </c>
      <c r="P3431" s="21" t="s">
        <v>146</v>
      </c>
      <c r="Q3431" s="21" t="s">
        <v>18565</v>
      </c>
      <c r="R3431" s="21" t="s">
        <v>17330</v>
      </c>
      <c r="S3431" s="21">
        <v>0</v>
      </c>
      <c r="T3431" s="21">
        <v>0</v>
      </c>
      <c r="U3431" s="21">
        <v>0</v>
      </c>
      <c r="V3431" s="21">
        <v>0</v>
      </c>
      <c r="W3431" s="21">
        <v>0</v>
      </c>
      <c r="X3431" s="21">
        <v>0</v>
      </c>
      <c r="Y3431" s="21">
        <v>0</v>
      </c>
      <c r="Z3431" s="21">
        <v>0</v>
      </c>
      <c r="AA3431" s="21">
        <v>0</v>
      </c>
      <c r="AB3431" s="21">
        <v>0</v>
      </c>
      <c r="AC3431" s="21">
        <v>0</v>
      </c>
      <c r="AD3431" s="21">
        <v>0</v>
      </c>
      <c r="AE3431" s="21" t="s">
        <v>73</v>
      </c>
      <c r="AF3431" s="21" t="s">
        <v>19741</v>
      </c>
      <c r="AG3431" s="21" t="s">
        <v>16251</v>
      </c>
      <c r="AH3431" s="43">
        <v>44590</v>
      </c>
      <c r="AI3431" s="21">
        <v>1</v>
      </c>
      <c r="AJ3431" s="21" t="s">
        <v>19742</v>
      </c>
      <c r="AK3431" s="21" t="s">
        <v>19743</v>
      </c>
    </row>
    <row r="3432" spans="1:37" ht="36.75" customHeight="1" x14ac:dyDescent="0.35">
      <c r="A3432" s="21" t="s">
        <v>12448</v>
      </c>
      <c r="B3432" s="5" t="s">
        <v>37</v>
      </c>
      <c r="C3432" s="73" t="str">
        <f t="shared" si="63"/>
        <v>Closed</v>
      </c>
      <c r="D3432" s="47" t="s">
        <v>19744</v>
      </c>
      <c r="E3432" s="76" t="s">
        <v>19745</v>
      </c>
      <c r="F3432" s="65" t="s">
        <v>17018</v>
      </c>
      <c r="G3432" s="9">
        <f>DATE(2022,2,3)</f>
        <v>44595</v>
      </c>
      <c r="H3432" s="107">
        <v>1.2604166666666667</v>
      </c>
      <c r="I3432" s="21" t="s">
        <v>97</v>
      </c>
      <c r="J3432" s="21" t="s">
        <v>19746</v>
      </c>
      <c r="K3432" s="21" t="s">
        <v>2318</v>
      </c>
      <c r="L3432" s="21" t="s">
        <v>19747</v>
      </c>
      <c r="M3432" s="21" t="s">
        <v>45</v>
      </c>
      <c r="N3432" s="21" t="s">
        <v>123</v>
      </c>
      <c r="O3432" s="21" t="s">
        <v>46</v>
      </c>
      <c r="P3432" s="21" t="s">
        <v>47</v>
      </c>
      <c r="Q3432" s="21" t="s">
        <v>2925</v>
      </c>
      <c r="R3432" s="21" t="s">
        <v>2321</v>
      </c>
      <c r="S3432" s="21">
        <v>0</v>
      </c>
      <c r="T3432" s="21">
        <v>0</v>
      </c>
      <c r="U3432" s="21">
        <v>1</v>
      </c>
      <c r="V3432" s="21">
        <v>0</v>
      </c>
      <c r="W3432" s="21">
        <v>0</v>
      </c>
      <c r="X3432" s="65">
        <v>1</v>
      </c>
      <c r="Y3432" s="21">
        <v>0</v>
      </c>
      <c r="Z3432" s="21">
        <v>0</v>
      </c>
      <c r="AA3432" s="21">
        <v>0</v>
      </c>
      <c r="AB3432" s="21">
        <v>0</v>
      </c>
      <c r="AC3432" s="21">
        <v>0</v>
      </c>
      <c r="AD3432" s="21">
        <v>0</v>
      </c>
      <c r="AE3432" s="21" t="s">
        <v>73</v>
      </c>
      <c r="AF3432" s="21" t="s">
        <v>19748</v>
      </c>
      <c r="AG3432" s="21" t="s">
        <v>8837</v>
      </c>
      <c r="AH3432" s="43">
        <v>44608</v>
      </c>
      <c r="AI3432" s="21">
        <v>5</v>
      </c>
      <c r="AJ3432" s="21" t="s">
        <v>19749</v>
      </c>
      <c r="AK3432" s="21" t="s">
        <v>19750</v>
      </c>
    </row>
    <row r="3433" spans="1:37" ht="36.75" customHeight="1" x14ac:dyDescent="0.35">
      <c r="A3433" s="21" t="s">
        <v>12448</v>
      </c>
      <c r="B3433" s="5" t="s">
        <v>14851</v>
      </c>
      <c r="C3433" s="73" t="str">
        <f t="shared" si="63"/>
        <v>In progress</v>
      </c>
      <c r="D3433" s="47" t="s">
        <v>19751</v>
      </c>
      <c r="E3433" s="76" t="s">
        <v>19752</v>
      </c>
      <c r="F3433" s="21" t="s">
        <v>16397</v>
      </c>
      <c r="G3433" s="9">
        <f>DATE(2022,2,10)</f>
        <v>44602</v>
      </c>
      <c r="H3433" s="107">
        <v>1.2020833333333334</v>
      </c>
      <c r="I3433" s="21" t="s">
        <v>2059</v>
      </c>
      <c r="J3433" s="21" t="s">
        <v>19753</v>
      </c>
      <c r="K3433" s="21" t="s">
        <v>406</v>
      </c>
      <c r="L3433" s="21" t="s">
        <v>19754</v>
      </c>
      <c r="M3433" s="21" t="s">
        <v>45</v>
      </c>
      <c r="N3433" s="21" t="s">
        <v>123</v>
      </c>
      <c r="O3433" s="21" t="s">
        <v>59</v>
      </c>
      <c r="P3433" s="21" t="s">
        <v>19755</v>
      </c>
      <c r="Q3433" s="21" t="s">
        <v>19756</v>
      </c>
      <c r="R3433" s="21" t="s">
        <v>17330</v>
      </c>
      <c r="S3433" s="21">
        <v>0</v>
      </c>
      <c r="T3433" s="21">
        <v>0</v>
      </c>
      <c r="U3433" s="21">
        <v>0</v>
      </c>
      <c r="V3433" s="21">
        <v>0</v>
      </c>
      <c r="W3433" s="21">
        <v>0</v>
      </c>
      <c r="X3433" s="21">
        <v>0</v>
      </c>
      <c r="Y3433" s="21">
        <v>0</v>
      </c>
      <c r="Z3433" s="21">
        <v>0</v>
      </c>
      <c r="AA3433" s="21">
        <v>0</v>
      </c>
      <c r="AB3433" s="21">
        <v>0</v>
      </c>
      <c r="AC3433" s="21">
        <v>0</v>
      </c>
      <c r="AD3433" s="21">
        <v>0</v>
      </c>
      <c r="AE3433" s="21">
        <v>0</v>
      </c>
      <c r="AF3433" s="21" t="s">
        <v>18774</v>
      </c>
      <c r="AG3433" s="21" t="s">
        <v>16251</v>
      </c>
      <c r="AH3433" s="43">
        <v>44602</v>
      </c>
      <c r="AI3433" s="21"/>
      <c r="AJ3433" s="21"/>
      <c r="AK3433" s="21"/>
    </row>
    <row r="3434" spans="1:37" ht="36.75" customHeight="1" x14ac:dyDescent="0.35">
      <c r="A3434" s="21" t="s">
        <v>12448</v>
      </c>
      <c r="B3434" s="5" t="s">
        <v>37</v>
      </c>
      <c r="C3434" s="73" t="str">
        <f t="shared" si="63"/>
        <v>Closed</v>
      </c>
      <c r="D3434" s="47" t="s">
        <v>19757</v>
      </c>
      <c r="E3434" s="76" t="s">
        <v>19758</v>
      </c>
      <c r="F3434" s="21" t="s">
        <v>17638</v>
      </c>
      <c r="G3434" s="9">
        <f>DATE(2022,2,14)</f>
        <v>44606</v>
      </c>
      <c r="H3434" s="107">
        <v>1.6944444444444446</v>
      </c>
      <c r="I3434" s="21" t="s">
        <v>55</v>
      </c>
      <c r="J3434" s="21" t="s">
        <v>19759</v>
      </c>
      <c r="K3434" s="21" t="s">
        <v>1555</v>
      </c>
      <c r="L3434" s="21" t="s">
        <v>19760</v>
      </c>
      <c r="M3434" s="21" t="s">
        <v>45</v>
      </c>
      <c r="N3434" s="21" t="s">
        <v>80</v>
      </c>
      <c r="O3434" s="21" t="s">
        <v>46</v>
      </c>
      <c r="P3434" s="21" t="s">
        <v>146</v>
      </c>
      <c r="Q3434" s="21" t="s">
        <v>18690</v>
      </c>
      <c r="R3434" s="21" t="s">
        <v>18956</v>
      </c>
      <c r="S3434" s="21">
        <v>0</v>
      </c>
      <c r="T3434" s="21">
        <v>0</v>
      </c>
      <c r="U3434" s="21">
        <v>0</v>
      </c>
      <c r="V3434" s="21">
        <v>0</v>
      </c>
      <c r="W3434" s="21">
        <v>0</v>
      </c>
      <c r="X3434" s="21">
        <v>0</v>
      </c>
      <c r="Y3434" s="21">
        <v>0</v>
      </c>
      <c r="Z3434" s="21">
        <v>0</v>
      </c>
      <c r="AA3434" s="21">
        <v>0</v>
      </c>
      <c r="AB3434" s="21">
        <v>0</v>
      </c>
      <c r="AC3434" s="21">
        <v>0</v>
      </c>
      <c r="AD3434" s="21">
        <v>0</v>
      </c>
      <c r="AE3434" s="21" t="s">
        <v>73</v>
      </c>
      <c r="AF3434" s="21" t="s">
        <v>19761</v>
      </c>
      <c r="AG3434" s="21" t="s">
        <v>8837</v>
      </c>
      <c r="AH3434" s="43">
        <v>44607</v>
      </c>
      <c r="AI3434" s="21">
        <v>1</v>
      </c>
      <c r="AJ3434" s="21" t="s">
        <v>19762</v>
      </c>
      <c r="AK3434" s="21" t="s">
        <v>19763</v>
      </c>
    </row>
    <row r="3435" spans="1:37" ht="36.75" customHeight="1" x14ac:dyDescent="0.35">
      <c r="A3435" s="21" t="s">
        <v>12448</v>
      </c>
      <c r="B3435" s="5" t="s">
        <v>14851</v>
      </c>
      <c r="C3435" s="73" t="str">
        <f t="shared" si="63"/>
        <v>In progress</v>
      </c>
      <c r="D3435" s="47" t="s">
        <v>19764</v>
      </c>
      <c r="E3435" s="76" t="s">
        <v>19765</v>
      </c>
      <c r="F3435" s="21" t="s">
        <v>6434</v>
      </c>
      <c r="G3435" s="9">
        <f>DATE(2022,2,14)</f>
        <v>44606</v>
      </c>
      <c r="H3435" s="107">
        <v>1.6909722222222223</v>
      </c>
      <c r="I3435" s="21" t="s">
        <v>179</v>
      </c>
      <c r="J3435" s="21" t="s">
        <v>19766</v>
      </c>
      <c r="K3435" s="21" t="s">
        <v>565</v>
      </c>
      <c r="L3435" s="21" t="s">
        <v>19767</v>
      </c>
      <c r="M3435" s="21" t="s">
        <v>45</v>
      </c>
      <c r="N3435" s="21" t="s">
        <v>80</v>
      </c>
      <c r="O3435" s="21" t="s">
        <v>46</v>
      </c>
      <c r="P3435" s="21" t="s">
        <v>146</v>
      </c>
      <c r="Q3435" s="21" t="s">
        <v>4467</v>
      </c>
      <c r="R3435" s="21" t="s">
        <v>568</v>
      </c>
      <c r="S3435" s="21">
        <v>1</v>
      </c>
      <c r="T3435" s="21">
        <v>0</v>
      </c>
      <c r="U3435" s="21">
        <v>0</v>
      </c>
      <c r="V3435" s="21">
        <v>0</v>
      </c>
      <c r="W3435" s="21">
        <v>0</v>
      </c>
      <c r="X3435" s="21">
        <v>1</v>
      </c>
      <c r="Y3435" s="21">
        <v>10</v>
      </c>
      <c r="Z3435" s="21">
        <v>0</v>
      </c>
      <c r="AA3435" s="21">
        <v>0</v>
      </c>
      <c r="AB3435" s="21">
        <v>0</v>
      </c>
      <c r="AC3435" s="21">
        <v>0</v>
      </c>
      <c r="AD3435" s="21">
        <v>10</v>
      </c>
      <c r="AE3435" s="21" t="s">
        <v>126</v>
      </c>
      <c r="AF3435" s="21" t="s">
        <v>19768</v>
      </c>
      <c r="AG3435" s="21" t="s">
        <v>6438</v>
      </c>
      <c r="AH3435" s="43">
        <v>44606</v>
      </c>
      <c r="AI3435" s="21">
        <v>2</v>
      </c>
      <c r="AJ3435" s="21" t="s">
        <v>19769</v>
      </c>
      <c r="AK3435" s="21"/>
    </row>
    <row r="3436" spans="1:37" ht="36.75" customHeight="1" x14ac:dyDescent="0.35">
      <c r="A3436" s="21" t="s">
        <v>12448</v>
      </c>
      <c r="B3436" s="5" t="s">
        <v>14851</v>
      </c>
      <c r="C3436" s="73" t="str">
        <f t="shared" si="63"/>
        <v>In progress</v>
      </c>
      <c r="D3436" s="47" t="s">
        <v>19770</v>
      </c>
      <c r="E3436" s="76" t="s">
        <v>19771</v>
      </c>
      <c r="F3436" s="65" t="s">
        <v>16397</v>
      </c>
      <c r="G3436" s="9">
        <f>DATE(2022,2,17)</f>
        <v>44609</v>
      </c>
      <c r="H3436" s="107">
        <v>1.3138888888888889</v>
      </c>
      <c r="I3436" s="21" t="s">
        <v>137</v>
      </c>
      <c r="J3436" s="21" t="s">
        <v>19772</v>
      </c>
      <c r="K3436" s="21" t="s">
        <v>406</v>
      </c>
      <c r="L3436" s="21" t="s">
        <v>19773</v>
      </c>
      <c r="M3436" s="21" t="s">
        <v>45</v>
      </c>
      <c r="N3436" s="21" t="s">
        <v>80</v>
      </c>
      <c r="O3436" s="21" t="s">
        <v>46</v>
      </c>
      <c r="P3436" s="21" t="s">
        <v>146</v>
      </c>
      <c r="Q3436" s="21" t="s">
        <v>18466</v>
      </c>
      <c r="R3436" s="21" t="s">
        <v>17330</v>
      </c>
      <c r="S3436" s="21">
        <v>0</v>
      </c>
      <c r="T3436" s="21">
        <v>0</v>
      </c>
      <c r="U3436" s="21">
        <v>0</v>
      </c>
      <c r="V3436" s="21">
        <v>0</v>
      </c>
      <c r="W3436" s="21">
        <v>0</v>
      </c>
      <c r="X3436" s="21">
        <v>0</v>
      </c>
      <c r="Y3436" s="21">
        <v>0</v>
      </c>
      <c r="Z3436" s="21">
        <v>0</v>
      </c>
      <c r="AA3436" s="21">
        <v>0</v>
      </c>
      <c r="AB3436" s="21">
        <v>0</v>
      </c>
      <c r="AC3436" s="21">
        <v>0</v>
      </c>
      <c r="AD3436" s="21">
        <v>0</v>
      </c>
      <c r="AE3436" s="21" t="s">
        <v>73</v>
      </c>
      <c r="AF3436" s="21" t="s">
        <v>19774</v>
      </c>
      <c r="AG3436" s="21" t="s">
        <v>17331</v>
      </c>
      <c r="AH3436" s="43">
        <v>44609</v>
      </c>
      <c r="AI3436" s="21"/>
      <c r="AJ3436" s="21"/>
      <c r="AK3436" s="21"/>
    </row>
    <row r="3437" spans="1:37" ht="36.75" customHeight="1" x14ac:dyDescent="0.35">
      <c r="A3437" s="21" t="s">
        <v>12448</v>
      </c>
      <c r="B3437" s="5" t="s">
        <v>37</v>
      </c>
      <c r="C3437" s="73" t="str">
        <f t="shared" si="63"/>
        <v>Closed</v>
      </c>
      <c r="D3437" s="47" t="s">
        <v>19775</v>
      </c>
      <c r="E3437" s="83" t="s">
        <v>19776</v>
      </c>
      <c r="F3437" s="65" t="s">
        <v>17638</v>
      </c>
      <c r="G3437" s="9">
        <f>DATE(2022,2,19)</f>
        <v>44611</v>
      </c>
      <c r="H3437" s="107">
        <v>1.0694444444444444</v>
      </c>
      <c r="I3437" s="65" t="s">
        <v>55</v>
      </c>
      <c r="J3437" s="21" t="s">
        <v>19777</v>
      </c>
      <c r="K3437" s="21" t="s">
        <v>1555</v>
      </c>
      <c r="L3437" s="21" t="s">
        <v>19778</v>
      </c>
      <c r="M3437" s="65" t="s">
        <v>45</v>
      </c>
      <c r="N3437" s="65" t="s">
        <v>123</v>
      </c>
      <c r="O3437" s="65" t="s">
        <v>59</v>
      </c>
      <c r="P3437" s="65" t="s">
        <v>60</v>
      </c>
      <c r="Q3437" s="65" t="s">
        <v>19779</v>
      </c>
      <c r="R3437" s="65" t="s">
        <v>18956</v>
      </c>
      <c r="S3437" s="65">
        <v>0</v>
      </c>
      <c r="T3437" s="65">
        <v>0</v>
      </c>
      <c r="U3437" s="65">
        <v>0</v>
      </c>
      <c r="V3437" s="65">
        <v>0</v>
      </c>
      <c r="W3437" s="65">
        <v>0</v>
      </c>
      <c r="X3437" s="65">
        <v>0</v>
      </c>
      <c r="Y3437" s="65">
        <v>0</v>
      </c>
      <c r="Z3437" s="65">
        <v>0</v>
      </c>
      <c r="AA3437" s="65">
        <v>0</v>
      </c>
      <c r="AB3437" s="65">
        <v>0</v>
      </c>
      <c r="AC3437" s="65">
        <v>0</v>
      </c>
      <c r="AD3437" s="65">
        <v>0</v>
      </c>
      <c r="AE3437" s="65" t="s">
        <v>73</v>
      </c>
      <c r="AF3437" s="21" t="s">
        <v>19780</v>
      </c>
      <c r="AG3437" s="21" t="s">
        <v>8837</v>
      </c>
      <c r="AH3437" s="43">
        <v>44613</v>
      </c>
      <c r="AI3437" s="65">
        <v>1</v>
      </c>
      <c r="AJ3437" s="125" t="s">
        <v>19781</v>
      </c>
      <c r="AK3437" s="128" t="s">
        <v>19782</v>
      </c>
    </row>
    <row r="3438" spans="1:37" ht="36.75" customHeight="1" x14ac:dyDescent="0.35">
      <c r="A3438" s="21" t="s">
        <v>12448</v>
      </c>
      <c r="B3438" s="5" t="s">
        <v>37</v>
      </c>
      <c r="C3438" s="73" t="str">
        <f t="shared" si="63"/>
        <v>Closed</v>
      </c>
      <c r="D3438" s="47" t="s">
        <v>19783</v>
      </c>
      <c r="E3438" s="76" t="s">
        <v>19784</v>
      </c>
      <c r="F3438" s="65" t="s">
        <v>16397</v>
      </c>
      <c r="G3438" s="9">
        <f>DATE(2022,2,21)</f>
        <v>44613</v>
      </c>
      <c r="H3438" s="107">
        <v>1.5638888888888889</v>
      </c>
      <c r="I3438" s="21" t="s">
        <v>55</v>
      </c>
      <c r="J3438" s="21" t="s">
        <v>19785</v>
      </c>
      <c r="K3438" s="21" t="s">
        <v>406</v>
      </c>
      <c r="L3438" s="21" t="s">
        <v>19786</v>
      </c>
      <c r="M3438" s="21" t="s">
        <v>45</v>
      </c>
      <c r="N3438" s="21" t="s">
        <v>80</v>
      </c>
      <c r="O3438" s="21" t="s">
        <v>59</v>
      </c>
      <c r="P3438" s="21" t="s">
        <v>146</v>
      </c>
      <c r="Q3438" s="21" t="s">
        <v>18565</v>
      </c>
      <c r="R3438" s="21" t="s">
        <v>17330</v>
      </c>
      <c r="S3438" s="21">
        <v>0</v>
      </c>
      <c r="T3438" s="21">
        <v>0</v>
      </c>
      <c r="U3438" s="21">
        <v>0</v>
      </c>
      <c r="V3438" s="21">
        <v>0</v>
      </c>
      <c r="W3438" s="21">
        <v>0</v>
      </c>
      <c r="X3438" s="21">
        <v>0</v>
      </c>
      <c r="Y3438" s="21">
        <v>0</v>
      </c>
      <c r="Z3438" s="21">
        <v>0</v>
      </c>
      <c r="AA3438" s="21">
        <v>0</v>
      </c>
      <c r="AB3438" s="21">
        <v>0</v>
      </c>
      <c r="AC3438" s="21">
        <v>0</v>
      </c>
      <c r="AD3438" s="21">
        <v>0</v>
      </c>
      <c r="AE3438" s="21" t="s">
        <v>73</v>
      </c>
      <c r="AF3438" s="21" t="s">
        <v>19787</v>
      </c>
      <c r="AG3438" s="21" t="s">
        <v>19324</v>
      </c>
      <c r="AH3438" s="43">
        <v>44613</v>
      </c>
      <c r="AI3438" s="21">
        <v>0</v>
      </c>
      <c r="AJ3438" s="21" t="s">
        <v>19788</v>
      </c>
      <c r="AK3438" s="21" t="s">
        <v>19044</v>
      </c>
    </row>
    <row r="3439" spans="1:37" ht="36.75" customHeight="1" x14ac:dyDescent="0.35">
      <c r="A3439" s="21" t="s">
        <v>12448</v>
      </c>
      <c r="B3439" s="5" t="s">
        <v>14851</v>
      </c>
      <c r="C3439" s="73" t="str">
        <f t="shared" si="63"/>
        <v>In progress</v>
      </c>
      <c r="D3439" s="47" t="s">
        <v>19789</v>
      </c>
      <c r="E3439" s="76" t="s">
        <v>19790</v>
      </c>
      <c r="F3439" s="21" t="s">
        <v>6434</v>
      </c>
      <c r="G3439" s="9">
        <f>DATE(2022,2,23)</f>
        <v>44615</v>
      </c>
      <c r="H3439" s="107">
        <v>1.9041666666666668</v>
      </c>
      <c r="I3439" s="21" t="s">
        <v>55</v>
      </c>
      <c r="J3439" s="21" t="s">
        <v>19791</v>
      </c>
      <c r="K3439" s="21" t="s">
        <v>565</v>
      </c>
      <c r="L3439" s="21" t="s">
        <v>19792</v>
      </c>
      <c r="M3439" s="21" t="s">
        <v>45</v>
      </c>
      <c r="N3439" s="21" t="s">
        <v>123</v>
      </c>
      <c r="O3439" s="21" t="s">
        <v>59</v>
      </c>
      <c r="P3439" s="21" t="s">
        <v>146</v>
      </c>
      <c r="Q3439" s="21" t="s">
        <v>4467</v>
      </c>
      <c r="R3439" s="21" t="s">
        <v>568</v>
      </c>
      <c r="S3439" s="21"/>
      <c r="T3439" s="21"/>
      <c r="U3439" s="21"/>
      <c r="V3439" s="21"/>
      <c r="W3439" s="21"/>
      <c r="X3439" s="21">
        <v>0</v>
      </c>
      <c r="Y3439" s="21"/>
      <c r="Z3439" s="21"/>
      <c r="AA3439" s="21"/>
      <c r="AB3439" s="21"/>
      <c r="AC3439" s="21"/>
      <c r="AD3439" s="21">
        <v>0</v>
      </c>
      <c r="AE3439" s="21" t="s">
        <v>126</v>
      </c>
      <c r="AF3439" s="21" t="s">
        <v>19793</v>
      </c>
      <c r="AG3439" s="21" t="s">
        <v>8837</v>
      </c>
      <c r="AH3439" s="43">
        <v>44616</v>
      </c>
      <c r="AI3439" s="21"/>
      <c r="AJ3439" s="21" t="s">
        <v>19794</v>
      </c>
      <c r="AK3439" s="21"/>
    </row>
    <row r="3440" spans="1:37" ht="36.75" customHeight="1" x14ac:dyDescent="0.35">
      <c r="A3440" s="21" t="s">
        <v>12448</v>
      </c>
      <c r="B3440" s="5" t="s">
        <v>37</v>
      </c>
      <c r="C3440" s="73" t="str">
        <f t="shared" si="63"/>
        <v>Closed</v>
      </c>
      <c r="D3440" s="47" t="s">
        <v>19795</v>
      </c>
      <c r="E3440" s="76" t="s">
        <v>19796</v>
      </c>
      <c r="F3440" s="21" t="s">
        <v>17638</v>
      </c>
      <c r="G3440" s="9">
        <f>DATE(2022,2,24)</f>
        <v>44616</v>
      </c>
      <c r="H3440" s="107">
        <v>1.3576388888888888</v>
      </c>
      <c r="I3440" s="21" t="s">
        <v>55</v>
      </c>
      <c r="J3440" s="21" t="s">
        <v>19797</v>
      </c>
      <c r="K3440" s="21" t="s">
        <v>1555</v>
      </c>
      <c r="L3440" s="21" t="s">
        <v>19798</v>
      </c>
      <c r="M3440" s="21" t="s">
        <v>45</v>
      </c>
      <c r="N3440" s="21" t="s">
        <v>80</v>
      </c>
      <c r="O3440" s="21" t="s">
        <v>46</v>
      </c>
      <c r="P3440" s="21" t="s">
        <v>60</v>
      </c>
      <c r="Q3440" s="21" t="s">
        <v>18008</v>
      </c>
      <c r="R3440" s="21" t="s">
        <v>18956</v>
      </c>
      <c r="S3440" s="21">
        <v>0</v>
      </c>
      <c r="T3440" s="21">
        <v>0</v>
      </c>
      <c r="U3440" s="21">
        <v>0</v>
      </c>
      <c r="V3440" s="21">
        <v>0</v>
      </c>
      <c r="W3440" s="21">
        <v>0</v>
      </c>
      <c r="X3440" s="21">
        <v>0</v>
      </c>
      <c r="Y3440" s="21">
        <v>0</v>
      </c>
      <c r="Z3440" s="21">
        <v>0</v>
      </c>
      <c r="AA3440" s="21">
        <v>0</v>
      </c>
      <c r="AB3440" s="21">
        <v>0</v>
      </c>
      <c r="AC3440" s="21">
        <v>0</v>
      </c>
      <c r="AD3440" s="21">
        <v>0</v>
      </c>
      <c r="AE3440" s="21" t="s">
        <v>73</v>
      </c>
      <c r="AF3440" s="21" t="s">
        <v>19799</v>
      </c>
      <c r="AG3440" s="21" t="s">
        <v>8837</v>
      </c>
      <c r="AH3440" s="43">
        <v>44617</v>
      </c>
      <c r="AI3440" s="21">
        <v>1</v>
      </c>
      <c r="AJ3440" s="21" t="s">
        <v>19800</v>
      </c>
      <c r="AK3440" s="21" t="s">
        <v>19801</v>
      </c>
    </row>
    <row r="3441" spans="1:37" ht="36.75" customHeight="1" x14ac:dyDescent="0.35">
      <c r="A3441" s="21" t="s">
        <v>12448</v>
      </c>
      <c r="B3441" s="5" t="s">
        <v>14851</v>
      </c>
      <c r="C3441" s="73" t="str">
        <f t="shared" si="63"/>
        <v>In progress</v>
      </c>
      <c r="D3441" s="47" t="s">
        <v>19802</v>
      </c>
      <c r="E3441" s="76" t="s">
        <v>19803</v>
      </c>
      <c r="F3441" s="21" t="s">
        <v>16278</v>
      </c>
      <c r="G3441" s="9">
        <f>DATE(2022,2,24)</f>
        <v>44616</v>
      </c>
      <c r="H3441" s="107">
        <v>1.4375</v>
      </c>
      <c r="I3441" s="21" t="s">
        <v>97</v>
      </c>
      <c r="J3441" s="21" t="s">
        <v>19804</v>
      </c>
      <c r="K3441" s="21" t="s">
        <v>99</v>
      </c>
      <c r="L3441" s="21" t="s">
        <v>19805</v>
      </c>
      <c r="M3441" s="21" t="s">
        <v>45</v>
      </c>
      <c r="N3441" s="21" t="s">
        <v>123</v>
      </c>
      <c r="O3441" s="21" t="s">
        <v>46</v>
      </c>
      <c r="P3441" s="21" t="s">
        <v>146</v>
      </c>
      <c r="Q3441" s="21" t="s">
        <v>16281</v>
      </c>
      <c r="R3441" s="21" t="s">
        <v>18159</v>
      </c>
      <c r="S3441" s="21">
        <v>1</v>
      </c>
      <c r="T3441" s="21">
        <v>0</v>
      </c>
      <c r="U3441" s="21">
        <v>0</v>
      </c>
      <c r="V3441" s="21">
        <v>0</v>
      </c>
      <c r="W3441" s="21">
        <v>0</v>
      </c>
      <c r="X3441" s="21">
        <v>1</v>
      </c>
      <c r="Y3441" s="21">
        <v>0</v>
      </c>
      <c r="Z3441" s="21">
        <v>0</v>
      </c>
      <c r="AA3441" s="21">
        <v>0</v>
      </c>
      <c r="AB3441" s="21">
        <v>0</v>
      </c>
      <c r="AC3441" s="21">
        <v>0</v>
      </c>
      <c r="AD3441" s="21">
        <v>0</v>
      </c>
      <c r="AE3441" s="21" t="s">
        <v>126</v>
      </c>
      <c r="AF3441" s="21" t="s">
        <v>19806</v>
      </c>
      <c r="AG3441" s="21" t="s">
        <v>8837</v>
      </c>
      <c r="AH3441" s="43">
        <v>44629</v>
      </c>
      <c r="AI3441" s="21"/>
      <c r="AJ3441" s="21"/>
      <c r="AK3441" s="21"/>
    </row>
    <row r="3442" spans="1:37" ht="36.75" customHeight="1" x14ac:dyDescent="0.35">
      <c r="A3442" s="21" t="s">
        <v>12448</v>
      </c>
      <c r="B3442" s="5" t="s">
        <v>37</v>
      </c>
      <c r="C3442" s="73" t="str">
        <f t="shared" si="63"/>
        <v>Closed</v>
      </c>
      <c r="D3442" s="47" t="s">
        <v>19807</v>
      </c>
      <c r="E3442" s="76" t="s">
        <v>19808</v>
      </c>
      <c r="F3442" s="21" t="s">
        <v>17638</v>
      </c>
      <c r="G3442" s="9">
        <f>DATE(2022,2,25)</f>
        <v>44617</v>
      </c>
      <c r="H3442" s="107">
        <v>1.4722222222222223</v>
      </c>
      <c r="I3442" s="21" t="s">
        <v>55</v>
      </c>
      <c r="J3442" s="21" t="s">
        <v>19809</v>
      </c>
      <c r="K3442" s="21" t="s">
        <v>1555</v>
      </c>
      <c r="L3442" s="21" t="s">
        <v>19063</v>
      </c>
      <c r="M3442" s="21" t="s">
        <v>45</v>
      </c>
      <c r="N3442" s="21" t="s">
        <v>123</v>
      </c>
      <c r="O3442" s="21" t="s">
        <v>59</v>
      </c>
      <c r="P3442" s="21" t="s">
        <v>60</v>
      </c>
      <c r="Q3442" s="21" t="s">
        <v>19810</v>
      </c>
      <c r="R3442" s="21" t="s">
        <v>18956</v>
      </c>
      <c r="S3442" s="21">
        <v>0</v>
      </c>
      <c r="T3442" s="21">
        <v>0</v>
      </c>
      <c r="U3442" s="21">
        <v>0</v>
      </c>
      <c r="V3442" s="21">
        <v>0</v>
      </c>
      <c r="W3442" s="21">
        <v>0</v>
      </c>
      <c r="X3442" s="21">
        <v>0</v>
      </c>
      <c r="Y3442" s="21">
        <v>0</v>
      </c>
      <c r="Z3442" s="21">
        <v>0</v>
      </c>
      <c r="AA3442" s="21">
        <v>0</v>
      </c>
      <c r="AB3442" s="21">
        <v>0</v>
      </c>
      <c r="AC3442" s="21">
        <v>0</v>
      </c>
      <c r="AD3442" s="21">
        <v>0</v>
      </c>
      <c r="AE3442" s="21" t="s">
        <v>73</v>
      </c>
      <c r="AF3442" s="21" t="s">
        <v>19811</v>
      </c>
      <c r="AG3442" s="21" t="s">
        <v>8837</v>
      </c>
      <c r="AH3442" s="43">
        <v>44620</v>
      </c>
      <c r="AI3442" s="21">
        <v>0</v>
      </c>
      <c r="AJ3442" s="21" t="s">
        <v>19812</v>
      </c>
      <c r="AK3442" s="21" t="s">
        <v>19813</v>
      </c>
    </row>
    <row r="3443" spans="1:37" ht="36.75" customHeight="1" x14ac:dyDescent="0.35">
      <c r="A3443" s="21" t="s">
        <v>12448</v>
      </c>
      <c r="B3443" s="5" t="s">
        <v>37</v>
      </c>
      <c r="C3443" s="73" t="str">
        <f t="shared" si="63"/>
        <v>Closed</v>
      </c>
      <c r="D3443" s="91" t="s">
        <v>19814</v>
      </c>
      <c r="E3443" s="76" t="s">
        <v>19815</v>
      </c>
      <c r="F3443" s="21" t="s">
        <v>16397</v>
      </c>
      <c r="G3443" s="9">
        <f>DATE(2022,3,10)</f>
        <v>44630</v>
      </c>
      <c r="H3443" s="107">
        <v>1.4125000000000001</v>
      </c>
      <c r="I3443" s="21" t="s">
        <v>179</v>
      </c>
      <c r="J3443" s="21" t="s">
        <v>19816</v>
      </c>
      <c r="K3443" s="21" t="s">
        <v>406</v>
      </c>
      <c r="L3443" s="21" t="s">
        <v>19817</v>
      </c>
      <c r="M3443" s="21" t="s">
        <v>45</v>
      </c>
      <c r="N3443" s="21" t="s">
        <v>80</v>
      </c>
      <c r="O3443" s="21" t="s">
        <v>46</v>
      </c>
      <c r="P3443" s="21" t="s">
        <v>60</v>
      </c>
      <c r="Q3443" s="21" t="s">
        <v>18043</v>
      </c>
      <c r="R3443" s="21" t="s">
        <v>17330</v>
      </c>
      <c r="S3443" s="21">
        <v>0</v>
      </c>
      <c r="T3443" s="21">
        <v>0</v>
      </c>
      <c r="U3443" s="21">
        <v>0</v>
      </c>
      <c r="V3443" s="21">
        <v>0</v>
      </c>
      <c r="W3443" s="21">
        <v>0</v>
      </c>
      <c r="X3443" s="21">
        <v>0</v>
      </c>
      <c r="Y3443" s="21">
        <v>0</v>
      </c>
      <c r="Z3443" s="21">
        <v>0</v>
      </c>
      <c r="AA3443" s="21">
        <v>0</v>
      </c>
      <c r="AB3443" s="21">
        <v>0</v>
      </c>
      <c r="AC3443" s="21">
        <v>0</v>
      </c>
      <c r="AD3443" s="21">
        <v>0</v>
      </c>
      <c r="AE3443" s="21" t="s">
        <v>16403</v>
      </c>
      <c r="AF3443" s="21" t="s">
        <v>19818</v>
      </c>
      <c r="AG3443" s="21" t="s">
        <v>16251</v>
      </c>
      <c r="AH3443" s="43">
        <v>44630</v>
      </c>
      <c r="AI3443" s="21">
        <v>1</v>
      </c>
      <c r="AJ3443" s="21" t="s">
        <v>19819</v>
      </c>
      <c r="AK3443" s="21" t="s">
        <v>860</v>
      </c>
    </row>
    <row r="3444" spans="1:37" ht="36.75" customHeight="1" x14ac:dyDescent="0.35">
      <c r="A3444" s="21" t="s">
        <v>12448</v>
      </c>
      <c r="B3444" s="5" t="s">
        <v>37</v>
      </c>
      <c r="C3444" s="73" t="str">
        <f t="shared" si="63"/>
        <v>Closed</v>
      </c>
      <c r="D3444" s="47" t="s">
        <v>19820</v>
      </c>
      <c r="E3444" s="76" t="s">
        <v>19821</v>
      </c>
      <c r="F3444" s="21" t="s">
        <v>19822</v>
      </c>
      <c r="G3444" s="9">
        <f>DATE(2022,3,11)</f>
        <v>44631</v>
      </c>
      <c r="H3444" s="107">
        <v>1.7326388888888888</v>
      </c>
      <c r="I3444" s="21" t="s">
        <v>97</v>
      </c>
      <c r="J3444" s="21" t="s">
        <v>19823</v>
      </c>
      <c r="K3444" s="21" t="s">
        <v>1732</v>
      </c>
      <c r="L3444" s="21" t="s">
        <v>19824</v>
      </c>
      <c r="M3444" s="21" t="s">
        <v>45</v>
      </c>
      <c r="N3444" s="21" t="s">
        <v>80</v>
      </c>
      <c r="O3444" s="21" t="s">
        <v>59</v>
      </c>
      <c r="P3444" s="21" t="s">
        <v>146</v>
      </c>
      <c r="Q3444" s="21" t="s">
        <v>19825</v>
      </c>
      <c r="R3444" s="21" t="s">
        <v>19826</v>
      </c>
      <c r="S3444" s="21">
        <v>0</v>
      </c>
      <c r="T3444" s="21">
        <v>0</v>
      </c>
      <c r="U3444" s="21">
        <v>0</v>
      </c>
      <c r="V3444" s="21">
        <v>0</v>
      </c>
      <c r="W3444" s="21">
        <v>0</v>
      </c>
      <c r="X3444" s="21">
        <v>0</v>
      </c>
      <c r="Y3444" s="21">
        <v>2</v>
      </c>
      <c r="Z3444" s="21">
        <v>0</v>
      </c>
      <c r="AA3444" s="21">
        <v>0</v>
      </c>
      <c r="AB3444" s="21">
        <v>0</v>
      </c>
      <c r="AC3444" s="21">
        <v>0</v>
      </c>
      <c r="AD3444" s="21">
        <v>2</v>
      </c>
      <c r="AE3444" s="21" t="s">
        <v>126</v>
      </c>
      <c r="AF3444" s="21" t="s">
        <v>19827</v>
      </c>
      <c r="AG3444" s="21" t="s">
        <v>6438</v>
      </c>
      <c r="AH3444" s="43">
        <v>44641</v>
      </c>
      <c r="AI3444" s="21">
        <v>5</v>
      </c>
      <c r="AJ3444" s="21" t="s">
        <v>19823</v>
      </c>
      <c r="AK3444" s="21"/>
    </row>
    <row r="3445" spans="1:37" ht="36.75" customHeight="1" x14ac:dyDescent="0.35">
      <c r="A3445" s="21" t="s">
        <v>12448</v>
      </c>
      <c r="B3445" s="5" t="s">
        <v>37</v>
      </c>
      <c r="C3445" s="73" t="str">
        <f t="shared" si="63"/>
        <v>Closed</v>
      </c>
      <c r="D3445" s="47" t="s">
        <v>19828</v>
      </c>
      <c r="E3445" s="76" t="s">
        <v>19829</v>
      </c>
      <c r="F3445" s="21" t="s">
        <v>17638</v>
      </c>
      <c r="G3445" s="9">
        <f>DATE(2022,3,13)</f>
        <v>44633</v>
      </c>
      <c r="H3445" s="107">
        <v>1.7777777777777777</v>
      </c>
      <c r="I3445" s="21" t="s">
        <v>55</v>
      </c>
      <c r="J3445" s="21" t="s">
        <v>19830</v>
      </c>
      <c r="K3445" s="21" t="s">
        <v>1555</v>
      </c>
      <c r="L3445" s="21" t="s">
        <v>19831</v>
      </c>
      <c r="M3445" s="21" t="s">
        <v>45</v>
      </c>
      <c r="N3445" s="21" t="s">
        <v>80</v>
      </c>
      <c r="O3445" s="21" t="s">
        <v>46</v>
      </c>
      <c r="P3445" s="21" t="s">
        <v>146</v>
      </c>
      <c r="Q3445" s="21" t="s">
        <v>19832</v>
      </c>
      <c r="R3445" s="21" t="s">
        <v>19833</v>
      </c>
      <c r="S3445" s="21">
        <v>0</v>
      </c>
      <c r="T3445" s="21">
        <v>0</v>
      </c>
      <c r="U3445" s="21">
        <v>0</v>
      </c>
      <c r="V3445" s="21">
        <v>0</v>
      </c>
      <c r="W3445" s="21">
        <v>0</v>
      </c>
      <c r="X3445" s="21">
        <v>0</v>
      </c>
      <c r="Y3445" s="21">
        <v>0</v>
      </c>
      <c r="Z3445" s="21">
        <v>0</v>
      </c>
      <c r="AA3445" s="21">
        <v>0</v>
      </c>
      <c r="AB3445" s="21">
        <v>0</v>
      </c>
      <c r="AC3445" s="21">
        <v>0</v>
      </c>
      <c r="AD3445" s="21">
        <v>0</v>
      </c>
      <c r="AE3445" s="21" t="s">
        <v>73</v>
      </c>
      <c r="AF3445" s="21" t="s">
        <v>19834</v>
      </c>
      <c r="AG3445" s="21" t="s">
        <v>8837</v>
      </c>
      <c r="AH3445" s="43">
        <v>44634</v>
      </c>
      <c r="AI3445" s="21">
        <v>0</v>
      </c>
      <c r="AJ3445" s="21" t="s">
        <v>19835</v>
      </c>
      <c r="AK3445" s="21" t="s">
        <v>19836</v>
      </c>
    </row>
    <row r="3446" spans="1:37" ht="36.75" customHeight="1" x14ac:dyDescent="0.35">
      <c r="A3446" s="21" t="s">
        <v>12448</v>
      </c>
      <c r="B3446" s="5" t="s">
        <v>37</v>
      </c>
      <c r="C3446" s="73" t="str">
        <f t="shared" si="63"/>
        <v>Closed</v>
      </c>
      <c r="D3446" s="47" t="s">
        <v>19837</v>
      </c>
      <c r="E3446" s="76" t="s">
        <v>19838</v>
      </c>
      <c r="F3446" s="21" t="s">
        <v>16397</v>
      </c>
      <c r="G3446" s="9">
        <f>DATE(2022,3,14)</f>
        <v>44634</v>
      </c>
      <c r="H3446" s="107">
        <v>1.35</v>
      </c>
      <c r="I3446" s="21" t="s">
        <v>55</v>
      </c>
      <c r="J3446" s="21" t="s">
        <v>19839</v>
      </c>
      <c r="K3446" s="21" t="s">
        <v>406</v>
      </c>
      <c r="L3446" s="21" t="s">
        <v>19840</v>
      </c>
      <c r="M3446" s="21" t="s">
        <v>45</v>
      </c>
      <c r="N3446" s="21" t="s">
        <v>123</v>
      </c>
      <c r="O3446" s="21" t="s">
        <v>59</v>
      </c>
      <c r="P3446" s="21" t="s">
        <v>60</v>
      </c>
      <c r="Q3446" s="21" t="s">
        <v>18043</v>
      </c>
      <c r="R3446" s="21" t="s">
        <v>17330</v>
      </c>
      <c r="S3446" s="21">
        <v>0</v>
      </c>
      <c r="T3446" s="21">
        <v>0</v>
      </c>
      <c r="U3446" s="21">
        <v>0</v>
      </c>
      <c r="V3446" s="21">
        <v>0</v>
      </c>
      <c r="W3446" s="21">
        <v>0</v>
      </c>
      <c r="X3446" s="21">
        <v>0</v>
      </c>
      <c r="Y3446" s="21">
        <v>0</v>
      </c>
      <c r="Z3446" s="21">
        <v>0</v>
      </c>
      <c r="AA3446" s="21">
        <v>0</v>
      </c>
      <c r="AB3446" s="21">
        <v>0</v>
      </c>
      <c r="AC3446" s="21">
        <v>0</v>
      </c>
      <c r="AD3446" s="21">
        <v>0</v>
      </c>
      <c r="AE3446" s="21" t="s">
        <v>16403</v>
      </c>
      <c r="AF3446" s="21" t="s">
        <v>19841</v>
      </c>
      <c r="AG3446" s="122" t="s">
        <v>16251</v>
      </c>
      <c r="AH3446" s="43">
        <v>44634</v>
      </c>
      <c r="AI3446" s="21">
        <v>0</v>
      </c>
      <c r="AJ3446" s="21" t="s">
        <v>19842</v>
      </c>
      <c r="AK3446" s="21" t="s">
        <v>860</v>
      </c>
    </row>
    <row r="3447" spans="1:37" ht="36.75" customHeight="1" x14ac:dyDescent="0.35">
      <c r="A3447" s="21" t="s">
        <v>12448</v>
      </c>
      <c r="B3447" s="5" t="s">
        <v>37</v>
      </c>
      <c r="C3447" s="73" t="str">
        <f t="shared" si="63"/>
        <v>Closed</v>
      </c>
      <c r="D3447" s="47" t="s">
        <v>19843</v>
      </c>
      <c r="E3447" s="76" t="s">
        <v>19844</v>
      </c>
      <c r="F3447" s="21" t="s">
        <v>16397</v>
      </c>
      <c r="G3447" s="9">
        <f>DATE(2022,3,18)</f>
        <v>44638</v>
      </c>
      <c r="H3447" s="107">
        <v>1.6736111111111112</v>
      </c>
      <c r="I3447" s="21" t="s">
        <v>55</v>
      </c>
      <c r="J3447" s="21" t="s">
        <v>19845</v>
      </c>
      <c r="K3447" s="21" t="s">
        <v>406</v>
      </c>
      <c r="L3447" s="21" t="s">
        <v>17822</v>
      </c>
      <c r="M3447" s="21" t="s">
        <v>45</v>
      </c>
      <c r="N3447" s="21" t="s">
        <v>123</v>
      </c>
      <c r="O3447" s="21" t="s">
        <v>59</v>
      </c>
      <c r="P3447" s="21" t="s">
        <v>72</v>
      </c>
      <c r="Q3447" s="21" t="s">
        <v>19846</v>
      </c>
      <c r="R3447" s="21" t="s">
        <v>17330</v>
      </c>
      <c r="S3447" s="21">
        <v>0</v>
      </c>
      <c r="T3447" s="21">
        <v>1</v>
      </c>
      <c r="U3447" s="21">
        <v>0</v>
      </c>
      <c r="V3447" s="21">
        <v>0</v>
      </c>
      <c r="W3447" s="21">
        <v>0</v>
      </c>
      <c r="X3447" s="21">
        <v>1</v>
      </c>
      <c r="Y3447" s="21">
        <v>0</v>
      </c>
      <c r="Z3447" s="21">
        <v>0</v>
      </c>
      <c r="AA3447" s="21">
        <v>0</v>
      </c>
      <c r="AB3447" s="21">
        <v>0</v>
      </c>
      <c r="AC3447" s="21">
        <v>0</v>
      </c>
      <c r="AD3447" s="21">
        <v>0</v>
      </c>
      <c r="AE3447" s="21" t="s">
        <v>73</v>
      </c>
      <c r="AF3447" s="21" t="s">
        <v>19847</v>
      </c>
      <c r="AG3447" s="21" t="s">
        <v>16251</v>
      </c>
      <c r="AH3447" s="43">
        <v>44638</v>
      </c>
      <c r="AI3447" s="21">
        <v>1</v>
      </c>
      <c r="AJ3447" s="21" t="s">
        <v>19848</v>
      </c>
      <c r="AK3447" s="21" t="s">
        <v>17885</v>
      </c>
    </row>
    <row r="3448" spans="1:37" ht="36.75" customHeight="1" x14ac:dyDescent="0.35">
      <c r="A3448" s="21" t="s">
        <v>12448</v>
      </c>
      <c r="B3448" s="5" t="s">
        <v>887</v>
      </c>
      <c r="C3448" s="73" t="str">
        <f t="shared" si="63"/>
        <v>Open</v>
      </c>
      <c r="D3448" s="47" t="s">
        <v>19849</v>
      </c>
      <c r="E3448" s="76" t="s">
        <v>19850</v>
      </c>
      <c r="F3448" s="21" t="s">
        <v>16662</v>
      </c>
      <c r="G3448" s="9">
        <f>DATE(2022,3,19)</f>
        <v>44639</v>
      </c>
      <c r="H3448" s="107">
        <v>1.9479166666666665</v>
      </c>
      <c r="I3448" s="21" t="s">
        <v>2244</v>
      </c>
      <c r="J3448" s="21" t="s">
        <v>19851</v>
      </c>
      <c r="K3448" s="21" t="s">
        <v>577</v>
      </c>
      <c r="L3448" s="21" t="s">
        <v>19852</v>
      </c>
      <c r="M3448" s="21" t="s">
        <v>45</v>
      </c>
      <c r="N3448" s="21" t="s">
        <v>123</v>
      </c>
      <c r="O3448" s="21" t="s">
        <v>59</v>
      </c>
      <c r="P3448" s="21" t="s">
        <v>282</v>
      </c>
      <c r="Q3448" s="21" t="s">
        <v>19853</v>
      </c>
      <c r="R3448" s="21" t="s">
        <v>17254</v>
      </c>
      <c r="S3448" s="21"/>
      <c r="T3448" s="21"/>
      <c r="U3448" s="21"/>
      <c r="V3448" s="21"/>
      <c r="W3448" s="21"/>
      <c r="X3448" s="21">
        <v>0</v>
      </c>
      <c r="Y3448" s="21"/>
      <c r="Z3448" s="21"/>
      <c r="AA3448" s="21"/>
      <c r="AB3448" s="21"/>
      <c r="AC3448" s="21"/>
      <c r="AD3448" s="21">
        <v>0</v>
      </c>
      <c r="AE3448" s="21" t="s">
        <v>73</v>
      </c>
      <c r="AF3448" s="21" t="s">
        <v>693</v>
      </c>
      <c r="AG3448" s="21" t="s">
        <v>8837</v>
      </c>
      <c r="AH3448" s="43">
        <v>44680</v>
      </c>
      <c r="AI3448" s="21"/>
      <c r="AJ3448" s="21"/>
      <c r="AK3448" s="21"/>
    </row>
    <row r="3449" spans="1:37" ht="36.75" customHeight="1" x14ac:dyDescent="0.35">
      <c r="A3449" s="21" t="s">
        <v>12448</v>
      </c>
      <c r="B3449" s="5" t="s">
        <v>37</v>
      </c>
      <c r="C3449" s="73" t="str">
        <f t="shared" si="63"/>
        <v>Closed</v>
      </c>
      <c r="D3449" s="91" t="s">
        <v>19854</v>
      </c>
      <c r="E3449" s="76" t="s">
        <v>19855</v>
      </c>
      <c r="F3449" s="21" t="s">
        <v>18076</v>
      </c>
      <c r="G3449" s="9">
        <f>DATE(2022,3,19)</f>
        <v>44639</v>
      </c>
      <c r="H3449" s="107">
        <v>1.2465277777777777</v>
      </c>
      <c r="I3449" s="21" t="s">
        <v>179</v>
      </c>
      <c r="J3449" s="21" t="s">
        <v>19856</v>
      </c>
      <c r="K3449" s="21" t="s">
        <v>360</v>
      </c>
      <c r="L3449" s="21" t="s">
        <v>19857</v>
      </c>
      <c r="M3449" s="21" t="s">
        <v>45</v>
      </c>
      <c r="N3449" s="21" t="s">
        <v>123</v>
      </c>
      <c r="O3449" s="21" t="s">
        <v>46</v>
      </c>
      <c r="P3449" s="21" t="s">
        <v>60</v>
      </c>
      <c r="Q3449" s="21" t="s">
        <v>19858</v>
      </c>
      <c r="R3449" s="21" t="s">
        <v>17360</v>
      </c>
      <c r="S3449" s="21">
        <v>0</v>
      </c>
      <c r="T3449" s="21">
        <v>0</v>
      </c>
      <c r="U3449" s="21">
        <v>0</v>
      </c>
      <c r="V3449" s="21">
        <v>0</v>
      </c>
      <c r="W3449" s="21">
        <v>0</v>
      </c>
      <c r="X3449" s="21">
        <v>0</v>
      </c>
      <c r="Y3449" s="21">
        <v>0</v>
      </c>
      <c r="Z3449" s="21">
        <v>0</v>
      </c>
      <c r="AA3449" s="21">
        <v>0</v>
      </c>
      <c r="AB3449" s="21">
        <v>0</v>
      </c>
      <c r="AC3449" s="21">
        <v>0</v>
      </c>
      <c r="AD3449" s="21">
        <v>0</v>
      </c>
      <c r="AE3449" s="21" t="s">
        <v>73</v>
      </c>
      <c r="AF3449" s="21" t="s">
        <v>19859</v>
      </c>
      <c r="AG3449" s="21" t="s">
        <v>14532</v>
      </c>
      <c r="AH3449" s="43">
        <v>44754</v>
      </c>
      <c r="AI3449" s="21">
        <v>7</v>
      </c>
      <c r="AJ3449" s="21" t="s">
        <v>19860</v>
      </c>
      <c r="AK3449" s="21" t="s">
        <v>19861</v>
      </c>
    </row>
    <row r="3450" spans="1:37" ht="36.75" customHeight="1" x14ac:dyDescent="0.35">
      <c r="A3450" s="21" t="s">
        <v>12448</v>
      </c>
      <c r="B3450" s="5" t="s">
        <v>37</v>
      </c>
      <c r="C3450" s="73" t="str">
        <f t="shared" si="63"/>
        <v>Closed</v>
      </c>
      <c r="D3450" s="47" t="s">
        <v>19862</v>
      </c>
      <c r="E3450" s="76" t="s">
        <v>19863</v>
      </c>
      <c r="F3450" s="21" t="s">
        <v>16397</v>
      </c>
      <c r="G3450" s="9">
        <f>DATE(2022,3,23)</f>
        <v>44643</v>
      </c>
      <c r="H3450" s="107">
        <v>1.6354166666666665</v>
      </c>
      <c r="I3450" s="21" t="s">
        <v>55</v>
      </c>
      <c r="J3450" s="21" t="s">
        <v>19864</v>
      </c>
      <c r="K3450" s="21" t="s">
        <v>406</v>
      </c>
      <c r="L3450" s="21" t="s">
        <v>19865</v>
      </c>
      <c r="M3450" s="21" t="s">
        <v>45</v>
      </c>
      <c r="N3450" s="21" t="s">
        <v>80</v>
      </c>
      <c r="O3450" s="21" t="s">
        <v>59</v>
      </c>
      <c r="P3450" s="21" t="s">
        <v>146</v>
      </c>
      <c r="Q3450" s="21" t="s">
        <v>18466</v>
      </c>
      <c r="R3450" s="21" t="s">
        <v>17330</v>
      </c>
      <c r="S3450" s="21">
        <v>0</v>
      </c>
      <c r="T3450" s="21">
        <v>0</v>
      </c>
      <c r="U3450" s="21">
        <v>0</v>
      </c>
      <c r="V3450" s="21">
        <v>0</v>
      </c>
      <c r="W3450" s="21">
        <v>0</v>
      </c>
      <c r="X3450" s="21">
        <v>0</v>
      </c>
      <c r="Y3450" s="21">
        <v>0</v>
      </c>
      <c r="Z3450" s="21">
        <v>0</v>
      </c>
      <c r="AA3450" s="21">
        <v>0</v>
      </c>
      <c r="AB3450" s="21">
        <v>0</v>
      </c>
      <c r="AC3450" s="21">
        <v>0</v>
      </c>
      <c r="AD3450" s="21">
        <v>0</v>
      </c>
      <c r="AE3450" s="21" t="s">
        <v>73</v>
      </c>
      <c r="AF3450" s="21" t="s">
        <v>19866</v>
      </c>
      <c r="AG3450" s="21" t="s">
        <v>17331</v>
      </c>
      <c r="AH3450" s="43">
        <v>44643</v>
      </c>
      <c r="AI3450" s="21">
        <v>0</v>
      </c>
      <c r="AJ3450" s="21" t="s">
        <v>19867</v>
      </c>
      <c r="AK3450" s="21" t="s">
        <v>19044</v>
      </c>
    </row>
    <row r="3451" spans="1:37" ht="36.75" customHeight="1" x14ac:dyDescent="0.35">
      <c r="A3451" s="21" t="s">
        <v>12448</v>
      </c>
      <c r="B3451" s="5" t="s">
        <v>37</v>
      </c>
      <c r="C3451" s="73" t="str">
        <f t="shared" si="63"/>
        <v>Closed</v>
      </c>
      <c r="D3451" s="47" t="s">
        <v>19868</v>
      </c>
      <c r="E3451" s="76" t="s">
        <v>19869</v>
      </c>
      <c r="F3451" s="21" t="s">
        <v>17638</v>
      </c>
      <c r="G3451" s="9">
        <f>DATE(2022,3,24)</f>
        <v>44644</v>
      </c>
      <c r="H3451" s="107">
        <v>1.7916666666666665</v>
      </c>
      <c r="I3451" s="21" t="s">
        <v>55</v>
      </c>
      <c r="J3451" s="21" t="s">
        <v>19870</v>
      </c>
      <c r="K3451" s="21" t="s">
        <v>1555</v>
      </c>
      <c r="L3451" s="21" t="s">
        <v>19871</v>
      </c>
      <c r="M3451" s="21" t="s">
        <v>45</v>
      </c>
      <c r="N3451" s="21" t="s">
        <v>80</v>
      </c>
      <c r="O3451" s="21" t="s">
        <v>59</v>
      </c>
      <c r="P3451" s="21" t="s">
        <v>60</v>
      </c>
      <c r="Q3451" s="21" t="s">
        <v>19872</v>
      </c>
      <c r="R3451" s="21" t="s">
        <v>17642</v>
      </c>
      <c r="S3451" s="21">
        <v>0</v>
      </c>
      <c r="T3451" s="21">
        <v>0</v>
      </c>
      <c r="U3451" s="21">
        <v>0</v>
      </c>
      <c r="V3451" s="21">
        <v>0</v>
      </c>
      <c r="W3451" s="21">
        <v>0</v>
      </c>
      <c r="X3451" s="21">
        <v>0</v>
      </c>
      <c r="Y3451" s="21">
        <v>0</v>
      </c>
      <c r="Z3451" s="21">
        <v>0</v>
      </c>
      <c r="AA3451" s="21">
        <v>0</v>
      </c>
      <c r="AB3451" s="21">
        <v>0</v>
      </c>
      <c r="AC3451" s="21">
        <v>0</v>
      </c>
      <c r="AD3451" s="21">
        <v>0</v>
      </c>
      <c r="AE3451" s="21" t="s">
        <v>73</v>
      </c>
      <c r="AF3451" s="21" t="s">
        <v>19873</v>
      </c>
      <c r="AG3451" s="21" t="s">
        <v>8837</v>
      </c>
      <c r="AH3451" s="43">
        <v>44645</v>
      </c>
      <c r="AI3451" s="21">
        <v>1</v>
      </c>
      <c r="AJ3451" s="21" t="s">
        <v>19874</v>
      </c>
      <c r="AK3451" s="21" t="s">
        <v>19875</v>
      </c>
    </row>
    <row r="3452" spans="1:37" ht="36.75" customHeight="1" x14ac:dyDescent="0.35">
      <c r="A3452" s="21" t="s">
        <v>12448</v>
      </c>
      <c r="B3452" s="5" t="s">
        <v>37</v>
      </c>
      <c r="C3452" s="73" t="str">
        <f t="shared" si="63"/>
        <v>Closed</v>
      </c>
      <c r="D3452" s="47" t="s">
        <v>19876</v>
      </c>
      <c r="E3452" s="76" t="s">
        <v>19877</v>
      </c>
      <c r="F3452" s="21" t="s">
        <v>17728</v>
      </c>
      <c r="G3452" s="9">
        <f>DATE(2022,3,24)</f>
        <v>44644</v>
      </c>
      <c r="H3452" s="107">
        <v>1.65625</v>
      </c>
      <c r="I3452" s="21" t="s">
        <v>10353</v>
      </c>
      <c r="J3452" s="21" t="s">
        <v>19878</v>
      </c>
      <c r="K3452" s="21" t="s">
        <v>2583</v>
      </c>
      <c r="L3452" s="21" t="s">
        <v>19879</v>
      </c>
      <c r="M3452" s="21" t="s">
        <v>45</v>
      </c>
      <c r="N3452" s="21" t="s">
        <v>80</v>
      </c>
      <c r="O3452" s="21" t="s">
        <v>67</v>
      </c>
      <c r="P3452" s="21" t="s">
        <v>67</v>
      </c>
      <c r="Q3452" s="21" t="s">
        <v>19305</v>
      </c>
      <c r="R3452" s="21" t="s">
        <v>19880</v>
      </c>
      <c r="S3452" s="21">
        <v>0</v>
      </c>
      <c r="T3452" s="21">
        <v>1</v>
      </c>
      <c r="U3452" s="21">
        <v>0</v>
      </c>
      <c r="V3452" s="21">
        <v>0</v>
      </c>
      <c r="W3452" s="21">
        <v>0</v>
      </c>
      <c r="X3452" s="21">
        <v>1</v>
      </c>
      <c r="Y3452" s="21">
        <v>0</v>
      </c>
      <c r="Z3452" s="21">
        <v>0</v>
      </c>
      <c r="AA3452" s="21">
        <v>0</v>
      </c>
      <c r="AB3452" s="21">
        <v>0</v>
      </c>
      <c r="AC3452" s="21">
        <v>0</v>
      </c>
      <c r="AD3452" s="21">
        <v>0</v>
      </c>
      <c r="AE3452" s="21" t="s">
        <v>73</v>
      </c>
      <c r="AF3452" s="21" t="s">
        <v>19881</v>
      </c>
      <c r="AG3452" s="21" t="s">
        <v>8837</v>
      </c>
      <c r="AH3452" s="43">
        <v>44648</v>
      </c>
      <c r="AI3452" s="21">
        <v>5</v>
      </c>
      <c r="AJ3452" s="21" t="s">
        <v>19882</v>
      </c>
      <c r="AK3452" s="21" t="s">
        <v>19883</v>
      </c>
    </row>
    <row r="3453" spans="1:37" ht="36.75" customHeight="1" x14ac:dyDescent="0.35">
      <c r="A3453" s="21" t="s">
        <v>12448</v>
      </c>
      <c r="B3453" s="5" t="s">
        <v>887</v>
      </c>
      <c r="C3453" s="73" t="str">
        <f t="shared" si="63"/>
        <v>Open</v>
      </c>
      <c r="D3453" s="47" t="s">
        <v>19885</v>
      </c>
      <c r="E3453" s="76" t="s">
        <v>19886</v>
      </c>
      <c r="F3453" s="21" t="s">
        <v>17537</v>
      </c>
      <c r="G3453" s="9">
        <f>DATE(2022,3,26)</f>
        <v>44646</v>
      </c>
      <c r="H3453" s="107">
        <v>1.5381944444444444</v>
      </c>
      <c r="I3453" s="21" t="s">
        <v>67</v>
      </c>
      <c r="J3453" s="21" t="s">
        <v>19887</v>
      </c>
      <c r="K3453" s="21" t="s">
        <v>818</v>
      </c>
      <c r="L3453" s="21" t="s">
        <v>19888</v>
      </c>
      <c r="M3453" s="21" t="s">
        <v>45</v>
      </c>
      <c r="N3453" s="21" t="s">
        <v>80</v>
      </c>
      <c r="O3453" s="21" t="s">
        <v>59</v>
      </c>
      <c r="P3453" s="21" t="s">
        <v>146</v>
      </c>
      <c r="Q3453" s="21" t="s">
        <v>2142</v>
      </c>
      <c r="R3453" s="21" t="s">
        <v>821</v>
      </c>
      <c r="S3453" s="21">
        <v>0</v>
      </c>
      <c r="T3453" s="21">
        <v>0</v>
      </c>
      <c r="U3453" s="21">
        <v>0</v>
      </c>
      <c r="V3453" s="21">
        <v>0</v>
      </c>
      <c r="W3453" s="21">
        <v>0</v>
      </c>
      <c r="X3453" s="21">
        <v>0</v>
      </c>
      <c r="Y3453" s="21">
        <v>0</v>
      </c>
      <c r="Z3453" s="21">
        <v>0</v>
      </c>
      <c r="AA3453" s="21">
        <v>0</v>
      </c>
      <c r="AB3453" s="21">
        <v>0</v>
      </c>
      <c r="AC3453" s="21">
        <v>0</v>
      </c>
      <c r="AD3453" s="21">
        <v>0</v>
      </c>
      <c r="AE3453" s="21" t="s">
        <v>73</v>
      </c>
      <c r="AF3453" s="21" t="s">
        <v>860</v>
      </c>
      <c r="AG3453" s="21" t="s">
        <v>13508</v>
      </c>
      <c r="AH3453" s="43">
        <v>44648</v>
      </c>
      <c r="AI3453" s="21"/>
      <c r="AJ3453" s="21"/>
      <c r="AK3453" s="21"/>
    </row>
    <row r="3454" spans="1:37" ht="36.75" customHeight="1" x14ac:dyDescent="0.35">
      <c r="A3454" s="21" t="s">
        <v>12448</v>
      </c>
      <c r="B3454" s="5" t="s">
        <v>37</v>
      </c>
      <c r="C3454" s="73" t="str">
        <f t="shared" si="63"/>
        <v>Closed</v>
      </c>
      <c r="D3454" s="47" t="s">
        <v>19889</v>
      </c>
      <c r="E3454" s="76" t="s">
        <v>19890</v>
      </c>
      <c r="F3454" s="21" t="s">
        <v>9767</v>
      </c>
      <c r="G3454" s="9">
        <f>DATE(2022,3,28)</f>
        <v>44648</v>
      </c>
      <c r="H3454" s="107">
        <v>1.4375</v>
      </c>
      <c r="I3454" s="21" t="s">
        <v>259</v>
      </c>
      <c r="J3454" s="21" t="s">
        <v>19891</v>
      </c>
      <c r="K3454" s="21" t="s">
        <v>9769</v>
      </c>
      <c r="L3454" s="21" t="s">
        <v>19892</v>
      </c>
      <c r="M3454" s="21" t="s">
        <v>45</v>
      </c>
      <c r="N3454" s="21" t="s">
        <v>123</v>
      </c>
      <c r="O3454" s="21" t="s">
        <v>46</v>
      </c>
      <c r="P3454" s="21" t="s">
        <v>146</v>
      </c>
      <c r="Q3454" s="21" t="s">
        <v>18241</v>
      </c>
      <c r="R3454" s="21" t="s">
        <v>18242</v>
      </c>
      <c r="S3454" s="21">
        <v>0</v>
      </c>
      <c r="T3454" s="21">
        <v>1</v>
      </c>
      <c r="U3454" s="21">
        <v>0</v>
      </c>
      <c r="V3454" s="21">
        <v>0</v>
      </c>
      <c r="W3454" s="21">
        <v>0</v>
      </c>
      <c r="X3454" s="21">
        <v>1</v>
      </c>
      <c r="Y3454" s="21">
        <v>0</v>
      </c>
      <c r="Z3454" s="21">
        <v>0</v>
      </c>
      <c r="AA3454" s="21">
        <v>0</v>
      </c>
      <c r="AB3454" s="21">
        <v>0</v>
      </c>
      <c r="AC3454" s="21">
        <v>0</v>
      </c>
      <c r="AD3454" s="21">
        <v>0</v>
      </c>
      <c r="AE3454" s="21" t="s">
        <v>73</v>
      </c>
      <c r="AF3454" s="21" t="s">
        <v>19893</v>
      </c>
      <c r="AG3454" s="21" t="s">
        <v>6438</v>
      </c>
      <c r="AH3454" s="43">
        <v>44650</v>
      </c>
      <c r="AI3454" s="21">
        <v>2</v>
      </c>
      <c r="AJ3454" s="21" t="s">
        <v>19894</v>
      </c>
      <c r="AK3454" s="21" t="s">
        <v>19895</v>
      </c>
    </row>
    <row r="3455" spans="1:37" ht="36.75" customHeight="1" x14ac:dyDescent="0.35">
      <c r="A3455" s="21" t="s">
        <v>12448</v>
      </c>
      <c r="B3455" s="5" t="s">
        <v>37</v>
      </c>
      <c r="C3455" s="73" t="str">
        <f t="shared" si="63"/>
        <v>Closed</v>
      </c>
      <c r="D3455" s="47" t="s">
        <v>19896</v>
      </c>
      <c r="E3455" s="76" t="s">
        <v>19897</v>
      </c>
      <c r="F3455" s="21" t="s">
        <v>16397</v>
      </c>
      <c r="G3455" s="9">
        <f>DATE(2022,4,1)</f>
        <v>44652</v>
      </c>
      <c r="H3455" s="107">
        <v>1.2472222222222222</v>
      </c>
      <c r="I3455" s="21" t="s">
        <v>55</v>
      </c>
      <c r="J3455" s="21" t="s">
        <v>19898</v>
      </c>
      <c r="K3455" s="21" t="s">
        <v>406</v>
      </c>
      <c r="L3455" s="21" t="s">
        <v>19899</v>
      </c>
      <c r="M3455" s="21" t="s">
        <v>45</v>
      </c>
      <c r="N3455" s="21" t="s">
        <v>80</v>
      </c>
      <c r="O3455" s="21" t="s">
        <v>59</v>
      </c>
      <c r="P3455" s="21" t="s">
        <v>146</v>
      </c>
      <c r="Q3455" s="21" t="s">
        <v>19900</v>
      </c>
      <c r="R3455" s="21" t="s">
        <v>17330</v>
      </c>
      <c r="S3455" s="21">
        <v>0</v>
      </c>
      <c r="T3455" s="21">
        <v>0</v>
      </c>
      <c r="U3455" s="21">
        <v>0</v>
      </c>
      <c r="V3455" s="21">
        <v>0</v>
      </c>
      <c r="W3455" s="21">
        <v>0</v>
      </c>
      <c r="X3455" s="21">
        <v>0</v>
      </c>
      <c r="Y3455" s="21">
        <v>0</v>
      </c>
      <c r="Z3455" s="21">
        <v>0</v>
      </c>
      <c r="AA3455" s="21">
        <v>0</v>
      </c>
      <c r="AB3455" s="21">
        <v>0</v>
      </c>
      <c r="AC3455" s="21">
        <v>0</v>
      </c>
      <c r="AD3455" s="21">
        <v>0</v>
      </c>
      <c r="AE3455" s="21" t="s">
        <v>73</v>
      </c>
      <c r="AF3455" s="21" t="s">
        <v>19901</v>
      </c>
      <c r="AG3455" s="21" t="s">
        <v>8837</v>
      </c>
      <c r="AH3455" s="43">
        <v>44652</v>
      </c>
      <c r="AI3455" s="21">
        <v>1</v>
      </c>
      <c r="AJ3455" s="21" t="s">
        <v>19902</v>
      </c>
      <c r="AK3455" s="21" t="s">
        <v>860</v>
      </c>
    </row>
    <row r="3456" spans="1:37" ht="36.75" customHeight="1" x14ac:dyDescent="0.35">
      <c r="A3456" s="21" t="s">
        <v>12448</v>
      </c>
      <c r="B3456" s="5" t="s">
        <v>37</v>
      </c>
      <c r="C3456" s="73" t="str">
        <f t="shared" si="63"/>
        <v>Closed</v>
      </c>
      <c r="D3456" s="47" t="s">
        <v>19903</v>
      </c>
      <c r="E3456" s="76" t="s">
        <v>19904</v>
      </c>
      <c r="F3456" s="21" t="s">
        <v>17638</v>
      </c>
      <c r="G3456" s="9">
        <f>DATE(2022,4,1)</f>
        <v>44652</v>
      </c>
      <c r="H3456" s="107">
        <v>1.9965277777777777</v>
      </c>
      <c r="I3456" s="21" t="s">
        <v>55</v>
      </c>
      <c r="J3456" s="21" t="s">
        <v>19905</v>
      </c>
      <c r="K3456" s="21" t="s">
        <v>1555</v>
      </c>
      <c r="L3456" s="21" t="s">
        <v>14904</v>
      </c>
      <c r="M3456" s="21" t="s">
        <v>45</v>
      </c>
      <c r="N3456" s="21" t="s">
        <v>80</v>
      </c>
      <c r="O3456" s="21" t="s">
        <v>59</v>
      </c>
      <c r="P3456" s="21" t="s">
        <v>60</v>
      </c>
      <c r="Q3456" s="21" t="s">
        <v>18008</v>
      </c>
      <c r="R3456" s="21" t="s">
        <v>17642</v>
      </c>
      <c r="S3456" s="21">
        <v>0</v>
      </c>
      <c r="T3456" s="21">
        <v>0</v>
      </c>
      <c r="U3456" s="21">
        <v>0</v>
      </c>
      <c r="V3456" s="21">
        <v>0</v>
      </c>
      <c r="W3456" s="21">
        <v>0</v>
      </c>
      <c r="X3456" s="21">
        <v>0</v>
      </c>
      <c r="Y3456" s="21">
        <v>0</v>
      </c>
      <c r="Z3456" s="21">
        <v>0</v>
      </c>
      <c r="AA3456" s="21">
        <v>0</v>
      </c>
      <c r="AB3456" s="21">
        <v>0</v>
      </c>
      <c r="AC3456" s="21">
        <v>0</v>
      </c>
      <c r="AD3456" s="21">
        <v>0</v>
      </c>
      <c r="AE3456" s="21" t="s">
        <v>73</v>
      </c>
      <c r="AF3456" s="21" t="s">
        <v>19906</v>
      </c>
      <c r="AG3456" s="21" t="s">
        <v>8837</v>
      </c>
      <c r="AH3456" s="43">
        <v>44655</v>
      </c>
      <c r="AI3456" s="21">
        <v>1</v>
      </c>
      <c r="AJ3456" s="21" t="s">
        <v>19907</v>
      </c>
      <c r="AK3456" s="21" t="s">
        <v>19908</v>
      </c>
    </row>
    <row r="3457" spans="1:37" ht="36.75" customHeight="1" x14ac:dyDescent="0.35">
      <c r="A3457" s="21" t="s">
        <v>12448</v>
      </c>
      <c r="B3457" s="5" t="s">
        <v>37</v>
      </c>
      <c r="C3457" s="73" t="str">
        <f t="shared" si="63"/>
        <v>Closed</v>
      </c>
      <c r="D3457" s="47" t="s">
        <v>19909</v>
      </c>
      <c r="E3457" s="76" t="s">
        <v>19910</v>
      </c>
      <c r="F3457" s="21" t="s">
        <v>17638</v>
      </c>
      <c r="G3457" s="9">
        <f>DATE(2022,4,2)</f>
        <v>44653</v>
      </c>
      <c r="H3457" s="107">
        <v>1.7604166666666665</v>
      </c>
      <c r="I3457" s="21" t="s">
        <v>55</v>
      </c>
      <c r="J3457" s="21" t="s">
        <v>19911</v>
      </c>
      <c r="K3457" s="21" t="s">
        <v>1555</v>
      </c>
      <c r="L3457" s="21" t="s">
        <v>12332</v>
      </c>
      <c r="M3457" s="21" t="s">
        <v>45</v>
      </c>
      <c r="N3457" s="21" t="s">
        <v>123</v>
      </c>
      <c r="O3457" s="21" t="s">
        <v>59</v>
      </c>
      <c r="P3457" s="21" t="s">
        <v>60</v>
      </c>
      <c r="Q3457" s="21" t="s">
        <v>19912</v>
      </c>
      <c r="R3457" s="21" t="s">
        <v>17642</v>
      </c>
      <c r="S3457" s="21">
        <v>0</v>
      </c>
      <c r="T3457" s="21">
        <v>0</v>
      </c>
      <c r="U3457" s="21">
        <v>0</v>
      </c>
      <c r="V3457" s="21">
        <v>0</v>
      </c>
      <c r="W3457" s="21">
        <v>0</v>
      </c>
      <c r="X3457" s="21">
        <v>0</v>
      </c>
      <c r="Y3457" s="21">
        <v>0</v>
      </c>
      <c r="Z3457" s="21">
        <v>0</v>
      </c>
      <c r="AA3457" s="21">
        <v>0</v>
      </c>
      <c r="AB3457" s="21">
        <v>0</v>
      </c>
      <c r="AC3457" s="21">
        <v>0</v>
      </c>
      <c r="AD3457" s="21">
        <v>0</v>
      </c>
      <c r="AE3457" s="21" t="s">
        <v>73</v>
      </c>
      <c r="AF3457" s="21" t="s">
        <v>19913</v>
      </c>
      <c r="AG3457" s="21" t="s">
        <v>8837</v>
      </c>
      <c r="AH3457" s="43">
        <v>44655</v>
      </c>
      <c r="AI3457" s="21">
        <v>1</v>
      </c>
      <c r="AJ3457" s="21" t="s">
        <v>19907</v>
      </c>
      <c r="AK3457" s="21" t="s">
        <v>19908</v>
      </c>
    </row>
    <row r="3458" spans="1:37" ht="36.75" customHeight="1" x14ac:dyDescent="0.35">
      <c r="A3458" s="21" t="s">
        <v>12448</v>
      </c>
      <c r="B3458" s="5" t="s">
        <v>37</v>
      </c>
      <c r="C3458" s="73" t="str">
        <f t="shared" si="63"/>
        <v>Closed</v>
      </c>
      <c r="D3458" s="47" t="s">
        <v>19914</v>
      </c>
      <c r="E3458" s="76" t="s">
        <v>19915</v>
      </c>
      <c r="F3458" s="21" t="s">
        <v>17537</v>
      </c>
      <c r="G3458" s="9">
        <f>DATE(2022,4,5)</f>
        <v>44656</v>
      </c>
      <c r="H3458" s="107">
        <v>1.2847222222222223</v>
      </c>
      <c r="I3458" s="21" t="s">
        <v>97</v>
      </c>
      <c r="J3458" s="21" t="s">
        <v>19916</v>
      </c>
      <c r="K3458" s="21" t="s">
        <v>818</v>
      </c>
      <c r="L3458" s="21" t="s">
        <v>19917</v>
      </c>
      <c r="M3458" s="21" t="s">
        <v>45</v>
      </c>
      <c r="N3458" s="21" t="s">
        <v>80</v>
      </c>
      <c r="O3458" s="21" t="s">
        <v>46</v>
      </c>
      <c r="P3458" s="21" t="s">
        <v>146</v>
      </c>
      <c r="Q3458" s="21" t="s">
        <v>2142</v>
      </c>
      <c r="R3458" s="21" t="s">
        <v>821</v>
      </c>
      <c r="S3458" s="21">
        <v>0</v>
      </c>
      <c r="T3458" s="21">
        <v>0</v>
      </c>
      <c r="U3458" s="21">
        <v>5</v>
      </c>
      <c r="V3458" s="21">
        <v>0</v>
      </c>
      <c r="W3458" s="21">
        <v>0</v>
      </c>
      <c r="X3458" s="21">
        <v>5</v>
      </c>
      <c r="Y3458" s="21">
        <v>3</v>
      </c>
      <c r="Z3458" s="21">
        <v>0</v>
      </c>
      <c r="AA3458" s="21">
        <v>2</v>
      </c>
      <c r="AB3458" s="21">
        <v>0</v>
      </c>
      <c r="AC3458" s="21">
        <v>0</v>
      </c>
      <c r="AD3458" s="21">
        <v>5</v>
      </c>
      <c r="AE3458" s="21" t="s">
        <v>375</v>
      </c>
      <c r="AF3458" s="21" t="s">
        <v>860</v>
      </c>
      <c r="AG3458" s="21" t="s">
        <v>8837</v>
      </c>
      <c r="AH3458" s="43">
        <v>44656</v>
      </c>
      <c r="AI3458" s="21">
        <v>3</v>
      </c>
      <c r="AJ3458" s="21" t="s">
        <v>19918</v>
      </c>
      <c r="AK3458" s="21" t="s">
        <v>19919</v>
      </c>
    </row>
    <row r="3459" spans="1:37" ht="36.75" customHeight="1" x14ac:dyDescent="0.35">
      <c r="A3459" s="21" t="s">
        <v>12448</v>
      </c>
      <c r="B3459" s="5" t="s">
        <v>37</v>
      </c>
      <c r="C3459" s="73" t="str">
        <f t="shared" si="63"/>
        <v>Closed</v>
      </c>
      <c r="D3459" s="47" t="s">
        <v>19920</v>
      </c>
      <c r="E3459" s="76" t="s">
        <v>19921</v>
      </c>
      <c r="F3459" s="21" t="s">
        <v>17638</v>
      </c>
      <c r="G3459" s="9">
        <f>DATE(2022,4,6)</f>
        <v>44657</v>
      </c>
      <c r="H3459" s="107">
        <v>1.7638888888888888</v>
      </c>
      <c r="I3459" s="21" t="s">
        <v>55</v>
      </c>
      <c r="J3459" s="21" t="s">
        <v>19922</v>
      </c>
      <c r="K3459" s="21" t="s">
        <v>1555</v>
      </c>
      <c r="L3459" s="21" t="s">
        <v>19622</v>
      </c>
      <c r="M3459" s="21" t="s">
        <v>45</v>
      </c>
      <c r="N3459" s="21" t="s">
        <v>80</v>
      </c>
      <c r="O3459" s="21" t="s">
        <v>59</v>
      </c>
      <c r="P3459" s="21" t="s">
        <v>60</v>
      </c>
      <c r="Q3459" s="21" t="s">
        <v>19923</v>
      </c>
      <c r="R3459" s="21" t="s">
        <v>17642</v>
      </c>
      <c r="S3459" s="21">
        <v>0</v>
      </c>
      <c r="T3459" s="21">
        <v>0</v>
      </c>
      <c r="U3459" s="21">
        <v>0</v>
      </c>
      <c r="V3459" s="21">
        <v>0</v>
      </c>
      <c r="W3459" s="21">
        <v>0</v>
      </c>
      <c r="X3459" s="21">
        <v>0</v>
      </c>
      <c r="Y3459" s="21">
        <v>0</v>
      </c>
      <c r="Z3459" s="21">
        <v>0</v>
      </c>
      <c r="AA3459" s="21">
        <v>0</v>
      </c>
      <c r="AB3459" s="21">
        <v>0</v>
      </c>
      <c r="AC3459" s="21">
        <v>0</v>
      </c>
      <c r="AD3459" s="21">
        <v>0</v>
      </c>
      <c r="AE3459" s="21" t="s">
        <v>73</v>
      </c>
      <c r="AF3459" s="21" t="s">
        <v>19924</v>
      </c>
      <c r="AG3459" s="21" t="s">
        <v>8837</v>
      </c>
      <c r="AH3459" s="43">
        <v>44658</v>
      </c>
      <c r="AI3459" s="21">
        <v>1</v>
      </c>
      <c r="AJ3459" s="21" t="s">
        <v>19925</v>
      </c>
      <c r="AK3459" s="21" t="s">
        <v>19926</v>
      </c>
    </row>
    <row r="3460" spans="1:37" ht="36.75" customHeight="1" x14ac:dyDescent="0.35">
      <c r="A3460" s="21" t="s">
        <v>12448</v>
      </c>
      <c r="B3460" s="5" t="s">
        <v>37</v>
      </c>
      <c r="C3460" s="73" t="str">
        <f t="shared" si="63"/>
        <v>Closed</v>
      </c>
      <c r="D3460" s="47" t="s">
        <v>19927</v>
      </c>
      <c r="E3460" s="76" t="s">
        <v>19928</v>
      </c>
      <c r="F3460" s="21" t="s">
        <v>12887</v>
      </c>
      <c r="G3460" s="9">
        <f>DATE(2022,4,7)</f>
        <v>44658</v>
      </c>
      <c r="H3460" s="107">
        <v>1.5</v>
      </c>
      <c r="I3460" s="21" t="s">
        <v>259</v>
      </c>
      <c r="J3460" s="21" t="s">
        <v>19929</v>
      </c>
      <c r="K3460" s="21" t="s">
        <v>434</v>
      </c>
      <c r="L3460" s="21" t="s">
        <v>19930</v>
      </c>
      <c r="M3460" s="21" t="s">
        <v>45</v>
      </c>
      <c r="N3460" s="21" t="s">
        <v>123</v>
      </c>
      <c r="O3460" s="21" t="s">
        <v>46</v>
      </c>
      <c r="P3460" s="21" t="s">
        <v>6881</v>
      </c>
      <c r="Q3460" s="21" t="s">
        <v>14350</v>
      </c>
      <c r="R3460" s="21" t="s">
        <v>553</v>
      </c>
      <c r="S3460" s="21">
        <v>0</v>
      </c>
      <c r="T3460" s="21">
        <v>0</v>
      </c>
      <c r="U3460" s="21">
        <v>0</v>
      </c>
      <c r="V3460" s="21">
        <v>1</v>
      </c>
      <c r="W3460" s="21">
        <v>0</v>
      </c>
      <c r="X3460" s="21">
        <v>1</v>
      </c>
      <c r="Y3460" s="21">
        <v>0</v>
      </c>
      <c r="Z3460" s="21">
        <v>0</v>
      </c>
      <c r="AA3460" s="21">
        <v>0</v>
      </c>
      <c r="AB3460" s="21">
        <v>0</v>
      </c>
      <c r="AC3460" s="21">
        <v>0</v>
      </c>
      <c r="AD3460" s="21">
        <v>0</v>
      </c>
      <c r="AE3460" s="21" t="s">
        <v>73</v>
      </c>
      <c r="AF3460" s="21" t="s">
        <v>693</v>
      </c>
      <c r="AG3460" s="21" t="s">
        <v>6438</v>
      </c>
      <c r="AH3460" s="43">
        <v>44671</v>
      </c>
      <c r="AI3460" s="21">
        <v>0</v>
      </c>
      <c r="AJ3460" s="21" t="s">
        <v>19443</v>
      </c>
      <c r="AK3460" s="21" t="s">
        <v>19931</v>
      </c>
    </row>
    <row r="3461" spans="1:37" ht="36.75" customHeight="1" x14ac:dyDescent="0.35">
      <c r="A3461" s="21" t="s">
        <v>12448</v>
      </c>
      <c r="B3461" s="5" t="s">
        <v>37</v>
      </c>
      <c r="C3461" s="73" t="str">
        <f t="shared" si="63"/>
        <v>Closed</v>
      </c>
      <c r="D3461" s="47" t="s">
        <v>19932</v>
      </c>
      <c r="E3461" s="76" t="s">
        <v>19933</v>
      </c>
      <c r="F3461" s="21" t="s">
        <v>17638</v>
      </c>
      <c r="G3461" s="9">
        <f>DATE(2022,4,11)</f>
        <v>44662</v>
      </c>
      <c r="H3461" s="107">
        <v>1.53125</v>
      </c>
      <c r="I3461" s="21" t="s">
        <v>55</v>
      </c>
      <c r="J3461" s="21" t="s">
        <v>19934</v>
      </c>
      <c r="K3461" s="21" t="s">
        <v>1555</v>
      </c>
      <c r="L3461" s="21" t="s">
        <v>19935</v>
      </c>
      <c r="M3461" s="21" t="s">
        <v>45</v>
      </c>
      <c r="N3461" s="21" t="s">
        <v>123</v>
      </c>
      <c r="O3461" s="21" t="s">
        <v>59</v>
      </c>
      <c r="P3461" s="21" t="s">
        <v>146</v>
      </c>
      <c r="Q3461" s="21" t="s">
        <v>18690</v>
      </c>
      <c r="R3461" s="21" t="s">
        <v>17642</v>
      </c>
      <c r="S3461" s="21">
        <v>0</v>
      </c>
      <c r="T3461" s="21">
        <v>0</v>
      </c>
      <c r="U3461" s="21">
        <v>0</v>
      </c>
      <c r="V3461" s="21">
        <v>0</v>
      </c>
      <c r="W3461" s="21">
        <v>0</v>
      </c>
      <c r="X3461" s="21">
        <v>0</v>
      </c>
      <c r="Y3461" s="21">
        <v>0</v>
      </c>
      <c r="Z3461" s="21">
        <v>0</v>
      </c>
      <c r="AA3461" s="21">
        <v>0</v>
      </c>
      <c r="AB3461" s="21">
        <v>0</v>
      </c>
      <c r="AC3461" s="21">
        <v>0</v>
      </c>
      <c r="AD3461" s="21">
        <v>0</v>
      </c>
      <c r="AE3461" s="21" t="s">
        <v>73</v>
      </c>
      <c r="AF3461" s="21" t="s">
        <v>19936</v>
      </c>
      <c r="AG3461" s="121" t="s">
        <v>8837</v>
      </c>
      <c r="AH3461" s="43">
        <v>44663</v>
      </c>
      <c r="AI3461" s="21">
        <v>0</v>
      </c>
      <c r="AJ3461" s="21" t="s">
        <v>19937</v>
      </c>
      <c r="AK3461" s="21" t="s">
        <v>19938</v>
      </c>
    </row>
    <row r="3462" spans="1:37" ht="36.75" customHeight="1" x14ac:dyDescent="0.35">
      <c r="A3462" s="21" t="s">
        <v>12448</v>
      </c>
      <c r="B3462" s="5" t="s">
        <v>14851</v>
      </c>
      <c r="C3462" s="73" t="str">
        <f t="shared" si="63"/>
        <v>In progress</v>
      </c>
      <c r="D3462" s="47" t="s">
        <v>19939</v>
      </c>
      <c r="E3462" s="104" t="s">
        <v>19940</v>
      </c>
      <c r="F3462" s="102" t="s">
        <v>17018</v>
      </c>
      <c r="G3462" s="9">
        <f>DATE(2022,4,12)</f>
        <v>44663</v>
      </c>
      <c r="H3462" s="107">
        <v>1.3888888888888888</v>
      </c>
      <c r="I3462" s="102" t="s">
        <v>55</v>
      </c>
      <c r="J3462" s="102" t="s">
        <v>19941</v>
      </c>
      <c r="K3462" s="102" t="s">
        <v>2318</v>
      </c>
      <c r="L3462" s="102" t="s">
        <v>19942</v>
      </c>
      <c r="M3462" s="102" t="s">
        <v>45</v>
      </c>
      <c r="N3462" s="102" t="s">
        <v>70</v>
      </c>
      <c r="O3462" s="102" t="s">
        <v>59</v>
      </c>
      <c r="P3462" s="102" t="s">
        <v>362</v>
      </c>
      <c r="Q3462" s="102" t="s">
        <v>2955</v>
      </c>
      <c r="R3462" s="102" t="s">
        <v>2321</v>
      </c>
      <c r="S3462" s="102"/>
      <c r="T3462" s="102"/>
      <c r="U3462" s="102"/>
      <c r="V3462" s="102"/>
      <c r="W3462" s="102"/>
      <c r="X3462" s="102">
        <v>0</v>
      </c>
      <c r="Y3462" s="102"/>
      <c r="Z3462" s="102"/>
      <c r="AA3462" s="102"/>
      <c r="AB3462" s="102"/>
      <c r="AC3462" s="102"/>
      <c r="AD3462" s="102">
        <v>0</v>
      </c>
      <c r="AE3462" s="102" t="s">
        <v>73</v>
      </c>
      <c r="AF3462" s="102" t="s">
        <v>19943</v>
      </c>
      <c r="AG3462" s="102" t="s">
        <v>17023</v>
      </c>
      <c r="AH3462" s="43">
        <v>45091</v>
      </c>
      <c r="AI3462" s="102"/>
      <c r="AJ3462" s="102"/>
      <c r="AK3462" s="102"/>
    </row>
    <row r="3463" spans="1:37" ht="36.75" customHeight="1" x14ac:dyDescent="0.35">
      <c r="A3463" s="21" t="s">
        <v>12448</v>
      </c>
      <c r="B3463" s="5" t="s">
        <v>37</v>
      </c>
      <c r="C3463" s="73" t="str">
        <f t="shared" si="63"/>
        <v>Closed</v>
      </c>
      <c r="D3463" s="47" t="s">
        <v>19944</v>
      </c>
      <c r="E3463" s="76" t="s">
        <v>19945</v>
      </c>
      <c r="F3463" s="21" t="s">
        <v>17638</v>
      </c>
      <c r="G3463" s="9">
        <f>DATE(2022,4,13)</f>
        <v>44664</v>
      </c>
      <c r="H3463" s="107">
        <v>1.2326388888888888</v>
      </c>
      <c r="I3463" s="21" t="s">
        <v>55</v>
      </c>
      <c r="J3463" s="21" t="s">
        <v>19946</v>
      </c>
      <c r="K3463" s="21" t="s">
        <v>1555</v>
      </c>
      <c r="L3463" s="21" t="s">
        <v>19947</v>
      </c>
      <c r="M3463" s="21" t="s">
        <v>45</v>
      </c>
      <c r="N3463" s="21" t="s">
        <v>80</v>
      </c>
      <c r="O3463" s="21" t="s">
        <v>59</v>
      </c>
      <c r="P3463" s="21" t="s">
        <v>60</v>
      </c>
      <c r="Q3463" s="21" t="s">
        <v>18008</v>
      </c>
      <c r="R3463" s="21" t="s">
        <v>17642</v>
      </c>
      <c r="S3463" s="21">
        <v>0</v>
      </c>
      <c r="T3463" s="21">
        <v>0</v>
      </c>
      <c r="U3463" s="21">
        <v>0</v>
      </c>
      <c r="V3463" s="21">
        <v>0</v>
      </c>
      <c r="W3463" s="21">
        <v>0</v>
      </c>
      <c r="X3463" s="21">
        <v>0</v>
      </c>
      <c r="Y3463" s="21">
        <v>0</v>
      </c>
      <c r="Z3463" s="21">
        <v>0</v>
      </c>
      <c r="AA3463" s="21">
        <v>0</v>
      </c>
      <c r="AB3463" s="21">
        <v>0</v>
      </c>
      <c r="AC3463" s="21">
        <v>0</v>
      </c>
      <c r="AD3463" s="21">
        <v>0</v>
      </c>
      <c r="AE3463" s="21" t="s">
        <v>73</v>
      </c>
      <c r="AF3463" s="21" t="s">
        <v>19948</v>
      </c>
      <c r="AG3463" s="21" t="s">
        <v>8837</v>
      </c>
      <c r="AH3463" s="43">
        <v>44665</v>
      </c>
      <c r="AI3463" s="21">
        <v>1</v>
      </c>
      <c r="AJ3463" s="21" t="s">
        <v>19949</v>
      </c>
      <c r="AK3463" s="21" t="s">
        <v>19950</v>
      </c>
    </row>
    <row r="3464" spans="1:37" ht="36.75" customHeight="1" x14ac:dyDescent="0.35">
      <c r="A3464" s="21" t="s">
        <v>12448</v>
      </c>
      <c r="B3464" s="5" t="s">
        <v>37</v>
      </c>
      <c r="C3464" s="73" t="str">
        <f t="shared" si="63"/>
        <v>Closed</v>
      </c>
      <c r="D3464" s="47" t="s">
        <v>19951</v>
      </c>
      <c r="E3464" s="76" t="s">
        <v>19952</v>
      </c>
      <c r="F3464" s="21" t="s">
        <v>16397</v>
      </c>
      <c r="G3464" s="9">
        <f>DATE(2022,4,19)</f>
        <v>44670</v>
      </c>
      <c r="H3464" s="107">
        <v>1.1645833333333333</v>
      </c>
      <c r="I3464" s="21" t="s">
        <v>179</v>
      </c>
      <c r="J3464" s="21" t="s">
        <v>19953</v>
      </c>
      <c r="K3464" s="21" t="s">
        <v>406</v>
      </c>
      <c r="L3464" s="21" t="s">
        <v>19954</v>
      </c>
      <c r="M3464" s="21" t="s">
        <v>45</v>
      </c>
      <c r="N3464" s="21" t="s">
        <v>123</v>
      </c>
      <c r="O3464" s="21" t="s">
        <v>59</v>
      </c>
      <c r="P3464" s="21" t="s">
        <v>19955</v>
      </c>
      <c r="Q3464" s="21" t="s">
        <v>19956</v>
      </c>
      <c r="R3464" s="21" t="s">
        <v>17330</v>
      </c>
      <c r="S3464" s="21">
        <v>0</v>
      </c>
      <c r="T3464" s="21">
        <v>0</v>
      </c>
      <c r="U3464" s="21">
        <v>0</v>
      </c>
      <c r="V3464" s="21">
        <v>0</v>
      </c>
      <c r="W3464" s="21">
        <v>0</v>
      </c>
      <c r="X3464" s="21">
        <v>0</v>
      </c>
      <c r="Y3464" s="21">
        <v>0</v>
      </c>
      <c r="Z3464" s="21">
        <v>0</v>
      </c>
      <c r="AA3464" s="21">
        <v>0</v>
      </c>
      <c r="AB3464" s="21">
        <v>0</v>
      </c>
      <c r="AC3464" s="21">
        <v>0</v>
      </c>
      <c r="AD3464" s="21">
        <v>0</v>
      </c>
      <c r="AE3464" s="21" t="s">
        <v>375</v>
      </c>
      <c r="AF3464" s="21" t="s">
        <v>19957</v>
      </c>
      <c r="AG3464" s="21" t="s">
        <v>19324</v>
      </c>
      <c r="AH3464" s="43">
        <v>44670</v>
      </c>
      <c r="AI3464" s="21">
        <v>0</v>
      </c>
      <c r="AJ3464" s="21" t="s">
        <v>19958</v>
      </c>
      <c r="AK3464" s="21" t="s">
        <v>19044</v>
      </c>
    </row>
    <row r="3465" spans="1:37" ht="36.75" customHeight="1" x14ac:dyDescent="0.35">
      <c r="A3465" s="21" t="s">
        <v>12448</v>
      </c>
      <c r="B3465" s="5" t="s">
        <v>37</v>
      </c>
      <c r="C3465" s="73" t="str">
        <f t="shared" ref="C3465:C3528" si="64">IF(B3465="Notification","Open",IF(B3465="Interim Statement","In progress","Closed"))</f>
        <v>Closed</v>
      </c>
      <c r="D3465" s="47" t="s">
        <v>19959</v>
      </c>
      <c r="E3465" s="76" t="s">
        <v>19960</v>
      </c>
      <c r="F3465" s="21" t="s">
        <v>16397</v>
      </c>
      <c r="G3465" s="9">
        <f>DATE(2022,4,23)</f>
        <v>44674</v>
      </c>
      <c r="H3465" s="107">
        <v>1.9437500000000001</v>
      </c>
      <c r="I3465" s="21" t="s">
        <v>2059</v>
      </c>
      <c r="J3465" s="21" t="s">
        <v>19961</v>
      </c>
      <c r="K3465" s="21" t="s">
        <v>406</v>
      </c>
      <c r="L3465" s="21" t="s">
        <v>16122</v>
      </c>
      <c r="M3465" s="21" t="s">
        <v>45</v>
      </c>
      <c r="N3465" s="21" t="s">
        <v>19962</v>
      </c>
      <c r="O3465" s="21" t="s">
        <v>59</v>
      </c>
      <c r="P3465" s="21" t="s">
        <v>19963</v>
      </c>
      <c r="Q3465" s="21" t="s">
        <v>18565</v>
      </c>
      <c r="R3465" s="21" t="s">
        <v>17330</v>
      </c>
      <c r="S3465" s="21">
        <v>0</v>
      </c>
      <c r="T3465" s="21">
        <v>0</v>
      </c>
      <c r="U3465" s="21">
        <v>0</v>
      </c>
      <c r="V3465" s="21">
        <v>0</v>
      </c>
      <c r="W3465" s="21">
        <v>0</v>
      </c>
      <c r="X3465" s="21">
        <v>0</v>
      </c>
      <c r="Y3465" s="21">
        <v>0</v>
      </c>
      <c r="Z3465" s="21">
        <v>0</v>
      </c>
      <c r="AA3465" s="21">
        <v>0</v>
      </c>
      <c r="AB3465" s="21">
        <v>0</v>
      </c>
      <c r="AC3465" s="21">
        <v>0</v>
      </c>
      <c r="AD3465" s="21">
        <v>0</v>
      </c>
      <c r="AE3465" s="21">
        <v>0</v>
      </c>
      <c r="AF3465" s="21" t="s">
        <v>19323</v>
      </c>
      <c r="AG3465" s="21" t="s">
        <v>12457</v>
      </c>
      <c r="AH3465" s="43">
        <v>44674</v>
      </c>
      <c r="AI3465" s="21">
        <v>0</v>
      </c>
      <c r="AJ3465" s="21" t="s">
        <v>19964</v>
      </c>
      <c r="AK3465" s="21" t="s">
        <v>19044</v>
      </c>
    </row>
    <row r="3466" spans="1:37" ht="36.75" customHeight="1" x14ac:dyDescent="0.35">
      <c r="A3466" s="21" t="s">
        <v>12448</v>
      </c>
      <c r="B3466" s="5" t="s">
        <v>37</v>
      </c>
      <c r="C3466" s="73" t="str">
        <f t="shared" si="64"/>
        <v>Closed</v>
      </c>
      <c r="D3466" s="47" t="s">
        <v>19965</v>
      </c>
      <c r="E3466" s="76" t="s">
        <v>19966</v>
      </c>
      <c r="F3466" s="21" t="s">
        <v>14722</v>
      </c>
      <c r="G3466" s="9">
        <f>DATE(2022,4,30)</f>
        <v>44681</v>
      </c>
      <c r="H3466" s="107">
        <v>1</v>
      </c>
      <c r="I3466" s="21" t="s">
        <v>5473</v>
      </c>
      <c r="J3466" s="21" t="s">
        <v>19967</v>
      </c>
      <c r="K3466" s="21" t="s">
        <v>1753</v>
      </c>
      <c r="L3466" s="21" t="s">
        <v>19968</v>
      </c>
      <c r="M3466" s="21" t="s">
        <v>45</v>
      </c>
      <c r="N3466" s="21" t="s">
        <v>70</v>
      </c>
      <c r="O3466" s="21" t="s">
        <v>6854</v>
      </c>
      <c r="P3466" s="21" t="s">
        <v>72</v>
      </c>
      <c r="Q3466" s="21" t="s">
        <v>19969</v>
      </c>
      <c r="R3466" s="21" t="s">
        <v>568</v>
      </c>
      <c r="S3466" s="21">
        <v>0</v>
      </c>
      <c r="T3466" s="21">
        <v>1</v>
      </c>
      <c r="U3466" s="21">
        <v>0</v>
      </c>
      <c r="V3466" s="21">
        <v>0</v>
      </c>
      <c r="W3466" s="21">
        <v>0</v>
      </c>
      <c r="X3466" s="21">
        <v>1</v>
      </c>
      <c r="Y3466" s="21">
        <v>0</v>
      </c>
      <c r="Z3466" s="21">
        <v>0</v>
      </c>
      <c r="AA3466" s="21">
        <v>0</v>
      </c>
      <c r="AB3466" s="21">
        <v>0</v>
      </c>
      <c r="AC3466" s="21">
        <v>0</v>
      </c>
      <c r="AD3466" s="21">
        <v>0</v>
      </c>
      <c r="AE3466" s="21" t="s">
        <v>375</v>
      </c>
      <c r="AF3466" s="21" t="s">
        <v>19970</v>
      </c>
      <c r="AG3466" s="21" t="s">
        <v>13508</v>
      </c>
      <c r="AH3466" s="43">
        <v>44693</v>
      </c>
      <c r="AI3466" s="21">
        <v>1</v>
      </c>
      <c r="AJ3466" s="21" t="s">
        <v>19971</v>
      </c>
      <c r="AK3466" s="21" t="s">
        <v>19972</v>
      </c>
    </row>
    <row r="3467" spans="1:37" ht="36.75" customHeight="1" x14ac:dyDescent="0.35">
      <c r="A3467" s="21" t="s">
        <v>12448</v>
      </c>
      <c r="B3467" s="5" t="s">
        <v>37</v>
      </c>
      <c r="C3467" s="73" t="str">
        <f t="shared" si="64"/>
        <v>Closed</v>
      </c>
      <c r="D3467" s="47" t="s">
        <v>19973</v>
      </c>
      <c r="E3467" s="82" t="s">
        <v>19974</v>
      </c>
      <c r="F3467" s="21" t="s">
        <v>17638</v>
      </c>
      <c r="G3467" s="9">
        <f>DATE(2022,5,7)</f>
        <v>44688</v>
      </c>
      <c r="H3467" s="107">
        <v>1.375</v>
      </c>
      <c r="I3467" s="21" t="s">
        <v>55</v>
      </c>
      <c r="J3467" s="21" t="s">
        <v>19975</v>
      </c>
      <c r="K3467" s="21" t="s">
        <v>1555</v>
      </c>
      <c r="L3467" s="21" t="s">
        <v>19134</v>
      </c>
      <c r="M3467" s="21" t="s">
        <v>45</v>
      </c>
      <c r="N3467" s="21" t="s">
        <v>123</v>
      </c>
      <c r="O3467" s="21" t="s">
        <v>59</v>
      </c>
      <c r="P3467" s="21" t="s">
        <v>60</v>
      </c>
      <c r="Q3467" s="21" t="s">
        <v>19976</v>
      </c>
      <c r="R3467" s="21" t="s">
        <v>17642</v>
      </c>
      <c r="S3467" s="21">
        <v>0</v>
      </c>
      <c r="T3467" s="21">
        <v>0</v>
      </c>
      <c r="U3467" s="21">
        <v>0</v>
      </c>
      <c r="V3467" s="21">
        <v>0</v>
      </c>
      <c r="W3467" s="21">
        <v>0</v>
      </c>
      <c r="X3467" s="21">
        <v>0</v>
      </c>
      <c r="Y3467" s="21">
        <v>0</v>
      </c>
      <c r="Z3467" s="21">
        <v>0</v>
      </c>
      <c r="AA3467" s="21">
        <v>0</v>
      </c>
      <c r="AB3467" s="21">
        <v>0</v>
      </c>
      <c r="AC3467" s="21">
        <v>0</v>
      </c>
      <c r="AD3467" s="21">
        <v>0</v>
      </c>
      <c r="AE3467" s="21" t="s">
        <v>73</v>
      </c>
      <c r="AF3467" s="21" t="s">
        <v>19977</v>
      </c>
      <c r="AG3467" s="21" t="s">
        <v>8837</v>
      </c>
      <c r="AH3467" s="43">
        <v>44691</v>
      </c>
      <c r="AI3467" s="21">
        <v>0</v>
      </c>
      <c r="AJ3467" s="21" t="s">
        <v>19978</v>
      </c>
      <c r="AK3467" s="21" t="s">
        <v>6998</v>
      </c>
    </row>
    <row r="3468" spans="1:37" ht="36.75" customHeight="1" x14ac:dyDescent="0.35">
      <c r="A3468" s="21" t="s">
        <v>12448</v>
      </c>
      <c r="B3468" s="133" t="s">
        <v>37</v>
      </c>
      <c r="C3468" s="135" t="str">
        <f t="shared" si="64"/>
        <v>Closed</v>
      </c>
      <c r="D3468" s="91" t="s">
        <v>19979</v>
      </c>
      <c r="E3468" s="54" t="s">
        <v>19980</v>
      </c>
      <c r="F3468" s="21" t="s">
        <v>12451</v>
      </c>
      <c r="G3468" s="9">
        <f>DATE(2022,5,9)</f>
        <v>44690</v>
      </c>
      <c r="H3468" s="107">
        <v>1.7638888888888888</v>
      </c>
      <c r="I3468" s="21" t="s">
        <v>55</v>
      </c>
      <c r="J3468" s="21" t="s">
        <v>43493</v>
      </c>
      <c r="K3468" s="21" t="s">
        <v>181</v>
      </c>
      <c r="L3468" s="21" t="s">
        <v>43494</v>
      </c>
      <c r="M3468" s="21" t="s">
        <v>45</v>
      </c>
      <c r="N3468" s="21" t="s">
        <v>123</v>
      </c>
      <c r="O3468" s="21" t="s">
        <v>59</v>
      </c>
      <c r="P3468" s="21" t="s">
        <v>146</v>
      </c>
      <c r="Q3468" s="21" t="s">
        <v>19981</v>
      </c>
      <c r="R3468" s="21" t="s">
        <v>13549</v>
      </c>
      <c r="S3468" s="21">
        <v>1</v>
      </c>
      <c r="T3468" s="21">
        <v>0</v>
      </c>
      <c r="U3468" s="21">
        <v>0</v>
      </c>
      <c r="V3468" s="21">
        <v>0</v>
      </c>
      <c r="W3468" s="21">
        <v>0</v>
      </c>
      <c r="X3468" s="21">
        <v>1</v>
      </c>
      <c r="Y3468" s="21">
        <v>2</v>
      </c>
      <c r="Z3468" s="21">
        <v>1</v>
      </c>
      <c r="AA3468" s="21">
        <v>0</v>
      </c>
      <c r="AB3468" s="21">
        <v>0</v>
      </c>
      <c r="AC3468" s="21">
        <v>0</v>
      </c>
      <c r="AD3468" s="21">
        <v>3</v>
      </c>
      <c r="AE3468" s="21" t="s">
        <v>126</v>
      </c>
      <c r="AF3468" s="21" t="s">
        <v>43495</v>
      </c>
      <c r="AG3468" s="21" t="s">
        <v>6438</v>
      </c>
      <c r="AH3468" s="43">
        <v>44690</v>
      </c>
      <c r="AI3468" s="21">
        <v>4</v>
      </c>
      <c r="AJ3468" s="21" t="s">
        <v>43496</v>
      </c>
      <c r="AK3468" s="21" t="s">
        <v>43497</v>
      </c>
    </row>
    <row r="3469" spans="1:37" ht="36.75" customHeight="1" x14ac:dyDescent="0.35">
      <c r="A3469" s="21" t="s">
        <v>12448</v>
      </c>
      <c r="B3469" s="5" t="s">
        <v>37</v>
      </c>
      <c r="C3469" s="73" t="str">
        <f t="shared" si="64"/>
        <v>Closed</v>
      </c>
      <c r="D3469" s="47" t="s">
        <v>19982</v>
      </c>
      <c r="E3469" s="54" t="s">
        <v>19983</v>
      </c>
      <c r="F3469" s="5" t="s">
        <v>17305</v>
      </c>
      <c r="G3469" s="9">
        <f>DATE(2022,5,11)</f>
        <v>44692</v>
      </c>
      <c r="H3469" s="107">
        <v>1.7916666666666665</v>
      </c>
      <c r="I3469" s="5" t="s">
        <v>2244</v>
      </c>
      <c r="J3469" s="5" t="s">
        <v>19984</v>
      </c>
      <c r="K3469" s="5" t="s">
        <v>108</v>
      </c>
      <c r="L3469" s="5" t="s">
        <v>19985</v>
      </c>
      <c r="M3469" s="5" t="s">
        <v>45</v>
      </c>
      <c r="N3469" s="5" t="s">
        <v>80</v>
      </c>
      <c r="O3469" s="5" t="s">
        <v>59</v>
      </c>
      <c r="P3469" s="5" t="s">
        <v>146</v>
      </c>
      <c r="Q3469" s="5" t="s">
        <v>19986</v>
      </c>
      <c r="R3469" s="5" t="s">
        <v>148</v>
      </c>
      <c r="S3469" s="5">
        <v>0</v>
      </c>
      <c r="T3469" s="5">
        <v>0</v>
      </c>
      <c r="U3469" s="5">
        <v>0</v>
      </c>
      <c r="V3469" s="5">
        <v>0</v>
      </c>
      <c r="W3469" s="5">
        <v>0</v>
      </c>
      <c r="X3469" s="5">
        <v>0</v>
      </c>
      <c r="Y3469" s="5">
        <v>0</v>
      </c>
      <c r="Z3469" s="5">
        <v>0</v>
      </c>
      <c r="AA3469" s="5">
        <v>0</v>
      </c>
      <c r="AB3469" s="5">
        <v>0</v>
      </c>
      <c r="AC3469" s="5">
        <v>0</v>
      </c>
      <c r="AD3469" s="5">
        <v>0</v>
      </c>
      <c r="AE3469" s="5" t="s">
        <v>73</v>
      </c>
      <c r="AF3469" s="5" t="s">
        <v>19987</v>
      </c>
      <c r="AG3469" s="5" t="s">
        <v>8837</v>
      </c>
      <c r="AH3469" s="43">
        <v>44711</v>
      </c>
      <c r="AI3469" s="5">
        <v>0</v>
      </c>
      <c r="AJ3469" s="5" t="s">
        <v>19988</v>
      </c>
      <c r="AK3469" s="5" t="s">
        <v>19989</v>
      </c>
    </row>
    <row r="3470" spans="1:37" ht="36.75" customHeight="1" x14ac:dyDescent="0.35">
      <c r="A3470" s="21" t="s">
        <v>12448</v>
      </c>
      <c r="B3470" s="5" t="s">
        <v>37</v>
      </c>
      <c r="C3470" s="73" t="str">
        <f t="shared" si="64"/>
        <v>Closed</v>
      </c>
      <c r="D3470" s="91" t="s">
        <v>19990</v>
      </c>
      <c r="E3470" s="85" t="s">
        <v>19991</v>
      </c>
      <c r="F3470" s="69" t="s">
        <v>17537</v>
      </c>
      <c r="G3470" s="9">
        <f>DATE(2022,5,13)</f>
        <v>44694</v>
      </c>
      <c r="H3470" s="107">
        <v>1.1736111111111112</v>
      </c>
      <c r="I3470" s="69" t="s">
        <v>55</v>
      </c>
      <c r="J3470" s="69" t="s">
        <v>19992</v>
      </c>
      <c r="K3470" s="69" t="s">
        <v>818</v>
      </c>
      <c r="L3470" s="69" t="s">
        <v>19993</v>
      </c>
      <c r="M3470" s="69" t="s">
        <v>45</v>
      </c>
      <c r="N3470" s="69" t="s">
        <v>80</v>
      </c>
      <c r="O3470" s="69" t="s">
        <v>59</v>
      </c>
      <c r="P3470" s="69" t="s">
        <v>60</v>
      </c>
      <c r="Q3470" s="69" t="s">
        <v>19994</v>
      </c>
      <c r="R3470" s="69" t="s">
        <v>821</v>
      </c>
      <c r="S3470" s="69">
        <v>0</v>
      </c>
      <c r="T3470" s="69">
        <v>0</v>
      </c>
      <c r="U3470" s="69">
        <v>0</v>
      </c>
      <c r="V3470" s="69">
        <v>0</v>
      </c>
      <c r="W3470" s="69">
        <v>0</v>
      </c>
      <c r="X3470" s="69">
        <v>0</v>
      </c>
      <c r="Y3470" s="69">
        <v>0</v>
      </c>
      <c r="Z3470" s="69">
        <v>0</v>
      </c>
      <c r="AA3470" s="69">
        <v>0</v>
      </c>
      <c r="AB3470" s="69">
        <v>0</v>
      </c>
      <c r="AC3470" s="69">
        <v>0</v>
      </c>
      <c r="AD3470" s="69">
        <v>0</v>
      </c>
      <c r="AE3470" s="69" t="s">
        <v>73</v>
      </c>
      <c r="AF3470" s="69" t="s">
        <v>19995</v>
      </c>
      <c r="AG3470" s="69" t="s">
        <v>8837</v>
      </c>
      <c r="AH3470" s="43">
        <v>44694</v>
      </c>
      <c r="AI3470" s="69">
        <v>0</v>
      </c>
      <c r="AJ3470" s="69" t="s">
        <v>13653</v>
      </c>
      <c r="AK3470" s="69" t="s">
        <v>19996</v>
      </c>
    </row>
    <row r="3471" spans="1:37" ht="36.75" customHeight="1" x14ac:dyDescent="0.35">
      <c r="A3471" s="21" t="s">
        <v>12448</v>
      </c>
      <c r="B3471" s="5" t="s">
        <v>37</v>
      </c>
      <c r="C3471" s="73" t="str">
        <f t="shared" si="64"/>
        <v>Closed</v>
      </c>
      <c r="D3471" s="47" t="s">
        <v>19997</v>
      </c>
      <c r="E3471" s="54" t="s">
        <v>19998</v>
      </c>
      <c r="F3471" s="5" t="s">
        <v>16397</v>
      </c>
      <c r="G3471" s="9">
        <f>DATE(2022,5,19)</f>
        <v>44700</v>
      </c>
      <c r="H3471" s="107">
        <v>1.3291666666666666</v>
      </c>
      <c r="I3471" s="5" t="s">
        <v>10353</v>
      </c>
      <c r="J3471" s="5" t="s">
        <v>19999</v>
      </c>
      <c r="K3471" s="5" t="s">
        <v>406</v>
      </c>
      <c r="L3471" s="5" t="s">
        <v>20000</v>
      </c>
      <c r="M3471" s="5" t="s">
        <v>45</v>
      </c>
      <c r="N3471" s="5" t="s">
        <v>123</v>
      </c>
      <c r="O3471" s="5" t="s">
        <v>59</v>
      </c>
      <c r="P3471" s="5" t="s">
        <v>146</v>
      </c>
      <c r="Q3471" s="5" t="s">
        <v>18565</v>
      </c>
      <c r="R3471" s="5" t="s">
        <v>17330</v>
      </c>
      <c r="S3471" s="5">
        <v>0</v>
      </c>
      <c r="T3471" s="5">
        <v>0</v>
      </c>
      <c r="U3471" s="5">
        <v>0</v>
      </c>
      <c r="V3471" s="5">
        <v>0</v>
      </c>
      <c r="W3471" s="5">
        <v>0</v>
      </c>
      <c r="X3471" s="5">
        <v>0</v>
      </c>
      <c r="Y3471" s="5">
        <v>0</v>
      </c>
      <c r="Z3471" s="5">
        <v>1</v>
      </c>
      <c r="AA3471" s="5">
        <v>0</v>
      </c>
      <c r="AB3471" s="5">
        <v>0</v>
      </c>
      <c r="AC3471" s="5">
        <v>0</v>
      </c>
      <c r="AD3471" s="5">
        <v>1</v>
      </c>
      <c r="AE3471" s="5" t="s">
        <v>73</v>
      </c>
      <c r="AF3471" s="5" t="s">
        <v>20001</v>
      </c>
      <c r="AG3471" s="5" t="s">
        <v>20002</v>
      </c>
      <c r="AH3471" s="43">
        <v>44707</v>
      </c>
      <c r="AI3471" s="5">
        <v>1</v>
      </c>
      <c r="AJ3471" s="5" t="s">
        <v>20003</v>
      </c>
      <c r="AK3471" s="5" t="s">
        <v>19044</v>
      </c>
    </row>
    <row r="3472" spans="1:37" ht="36.75" customHeight="1" x14ac:dyDescent="0.35">
      <c r="A3472" s="21" t="s">
        <v>12448</v>
      </c>
      <c r="B3472" s="5" t="s">
        <v>37</v>
      </c>
      <c r="C3472" s="73" t="str">
        <f t="shared" si="64"/>
        <v>Closed</v>
      </c>
      <c r="D3472" s="91" t="s">
        <v>20004</v>
      </c>
      <c r="E3472" s="54" t="s">
        <v>20005</v>
      </c>
      <c r="F3472" s="5" t="s">
        <v>6434</v>
      </c>
      <c r="G3472" s="9">
        <f>DATE(2022,5,19)</f>
        <v>44700</v>
      </c>
      <c r="H3472" s="107">
        <v>1.1666666666666667</v>
      </c>
      <c r="I3472" s="5" t="s">
        <v>179</v>
      </c>
      <c r="J3472" s="5" t="s">
        <v>20006</v>
      </c>
      <c r="K3472" s="5" t="s">
        <v>565</v>
      </c>
      <c r="L3472" s="5" t="s">
        <v>20007</v>
      </c>
      <c r="M3472" s="5" t="s">
        <v>45</v>
      </c>
      <c r="N3472" s="5" t="s">
        <v>123</v>
      </c>
      <c r="O3472" s="5" t="s">
        <v>46</v>
      </c>
      <c r="P3472" s="5" t="s">
        <v>60</v>
      </c>
      <c r="Q3472" s="5" t="s">
        <v>19969</v>
      </c>
      <c r="R3472" s="5" t="s">
        <v>568</v>
      </c>
      <c r="S3472" s="5">
        <v>0</v>
      </c>
      <c r="T3472" s="5">
        <v>1</v>
      </c>
      <c r="U3472" s="5">
        <v>0</v>
      </c>
      <c r="V3472" s="5">
        <v>0</v>
      </c>
      <c r="W3472" s="5">
        <v>0</v>
      </c>
      <c r="X3472" s="5">
        <v>1</v>
      </c>
      <c r="Y3472" s="5">
        <v>0</v>
      </c>
      <c r="Z3472" s="5">
        <v>0</v>
      </c>
      <c r="AA3472" s="5">
        <v>0</v>
      </c>
      <c r="AB3472" s="5">
        <v>0</v>
      </c>
      <c r="AC3472" s="5">
        <v>0</v>
      </c>
      <c r="AD3472" s="5">
        <v>0</v>
      </c>
      <c r="AE3472" s="5" t="s">
        <v>375</v>
      </c>
      <c r="AF3472" s="5" t="s">
        <v>19970</v>
      </c>
      <c r="AG3472" s="5" t="s">
        <v>6438</v>
      </c>
      <c r="AH3472" s="43">
        <v>44700</v>
      </c>
      <c r="AI3472" s="5">
        <v>5</v>
      </c>
      <c r="AJ3472" s="5" t="s">
        <v>20008</v>
      </c>
      <c r="AK3472" s="5" t="s">
        <v>20009</v>
      </c>
    </row>
    <row r="3473" spans="1:37" ht="36.75" customHeight="1" x14ac:dyDescent="0.35">
      <c r="A3473" s="21" t="s">
        <v>12448</v>
      </c>
      <c r="B3473" s="5" t="s">
        <v>14851</v>
      </c>
      <c r="C3473" s="73" t="str">
        <f t="shared" si="64"/>
        <v>In progress</v>
      </c>
      <c r="D3473" s="47" t="s">
        <v>20010</v>
      </c>
      <c r="E3473" s="85" t="s">
        <v>20011</v>
      </c>
      <c r="F3473" s="69" t="s">
        <v>6434</v>
      </c>
      <c r="G3473" s="9">
        <f>DATE(2022,5,21)</f>
        <v>44702</v>
      </c>
      <c r="H3473" s="107">
        <v>1.4131944444444444</v>
      </c>
      <c r="I3473" s="69" t="s">
        <v>55</v>
      </c>
      <c r="J3473" s="69" t="s">
        <v>20012</v>
      </c>
      <c r="K3473" s="69" t="s">
        <v>565</v>
      </c>
      <c r="L3473" s="69" t="s">
        <v>20013</v>
      </c>
      <c r="M3473" s="69" t="s">
        <v>45</v>
      </c>
      <c r="N3473" s="69" t="s">
        <v>123</v>
      </c>
      <c r="O3473" s="69" t="s">
        <v>59</v>
      </c>
      <c r="P3473" s="69" t="s">
        <v>60</v>
      </c>
      <c r="Q3473" s="69" t="s">
        <v>13421</v>
      </c>
      <c r="R3473" s="69" t="s">
        <v>568</v>
      </c>
      <c r="S3473" s="69">
        <v>0</v>
      </c>
      <c r="T3473" s="69">
        <v>0</v>
      </c>
      <c r="U3473" s="69">
        <v>0</v>
      </c>
      <c r="V3473" s="69">
        <v>0</v>
      </c>
      <c r="W3473" s="69">
        <v>0</v>
      </c>
      <c r="X3473" s="69">
        <v>0</v>
      </c>
      <c r="Y3473" s="69">
        <v>0</v>
      </c>
      <c r="Z3473" s="69">
        <v>0</v>
      </c>
      <c r="AA3473" s="69">
        <v>0</v>
      </c>
      <c r="AB3473" s="69">
        <v>0</v>
      </c>
      <c r="AC3473" s="69">
        <v>0</v>
      </c>
      <c r="AD3473" s="69">
        <v>0</v>
      </c>
      <c r="AE3473" s="69" t="s">
        <v>375</v>
      </c>
      <c r="AF3473" s="69" t="s">
        <v>43543</v>
      </c>
      <c r="AG3473" s="69" t="s">
        <v>13508</v>
      </c>
      <c r="AH3473" s="43">
        <v>44702</v>
      </c>
      <c r="AI3473" s="69"/>
      <c r="AJ3473" s="69" t="s">
        <v>20014</v>
      </c>
      <c r="AK3473" s="69"/>
    </row>
    <row r="3474" spans="1:37" ht="36.75" customHeight="1" x14ac:dyDescent="0.35">
      <c r="A3474" s="21" t="s">
        <v>12448</v>
      </c>
      <c r="B3474" s="5" t="s">
        <v>37</v>
      </c>
      <c r="C3474" s="73" t="str">
        <f t="shared" si="64"/>
        <v>Closed</v>
      </c>
      <c r="D3474" s="47" t="s">
        <v>20015</v>
      </c>
      <c r="E3474" s="54" t="s">
        <v>20016</v>
      </c>
      <c r="F3474" s="5" t="s">
        <v>17638</v>
      </c>
      <c r="G3474" s="9">
        <f>DATE(2022,5,24)</f>
        <v>44705</v>
      </c>
      <c r="H3474" s="107">
        <v>1.3645833333333333</v>
      </c>
      <c r="I3474" s="5" t="s">
        <v>18633</v>
      </c>
      <c r="J3474" s="5" t="s">
        <v>20017</v>
      </c>
      <c r="K3474" s="5" t="s">
        <v>1555</v>
      </c>
      <c r="L3474" s="5" t="s">
        <v>20018</v>
      </c>
      <c r="M3474" s="5" t="s">
        <v>110</v>
      </c>
      <c r="N3474" s="5" t="s">
        <v>123</v>
      </c>
      <c r="O3474" s="5" t="s">
        <v>46</v>
      </c>
      <c r="P3474" s="5" t="s">
        <v>110</v>
      </c>
      <c r="Q3474" s="5" t="s">
        <v>18636</v>
      </c>
      <c r="R3474" s="5" t="s">
        <v>18636</v>
      </c>
      <c r="S3474" s="5">
        <v>0</v>
      </c>
      <c r="T3474" s="5">
        <v>0</v>
      </c>
      <c r="U3474" s="5">
        <v>0</v>
      </c>
      <c r="V3474" s="5">
        <v>0</v>
      </c>
      <c r="W3474" s="5">
        <v>0</v>
      </c>
      <c r="X3474" s="5">
        <v>0</v>
      </c>
      <c r="Y3474" s="5">
        <v>0</v>
      </c>
      <c r="Z3474" s="5">
        <v>0</v>
      </c>
      <c r="AA3474" s="5">
        <v>0</v>
      </c>
      <c r="AB3474" s="5">
        <v>0</v>
      </c>
      <c r="AC3474" s="5">
        <v>0</v>
      </c>
      <c r="AD3474" s="5">
        <v>0</v>
      </c>
      <c r="AE3474" s="5" t="s">
        <v>73</v>
      </c>
      <c r="AF3474" s="5" t="s">
        <v>20019</v>
      </c>
      <c r="AG3474" s="5" t="s">
        <v>16899</v>
      </c>
      <c r="AH3474" s="43">
        <v>44711</v>
      </c>
      <c r="AI3474" s="5">
        <v>0</v>
      </c>
      <c r="AJ3474" s="5" t="s">
        <v>20020</v>
      </c>
      <c r="AK3474" s="5" t="s">
        <v>20021</v>
      </c>
    </row>
    <row r="3475" spans="1:37" ht="36.75" customHeight="1" x14ac:dyDescent="0.35">
      <c r="A3475" s="21" t="s">
        <v>12448</v>
      </c>
      <c r="B3475" s="5" t="s">
        <v>37</v>
      </c>
      <c r="C3475" s="73" t="str">
        <f t="shared" si="64"/>
        <v>Closed</v>
      </c>
      <c r="D3475" s="47" t="s">
        <v>20022</v>
      </c>
      <c r="E3475" s="54" t="s">
        <v>20023</v>
      </c>
      <c r="F3475" s="5" t="s">
        <v>17638</v>
      </c>
      <c r="G3475" s="9">
        <f>DATE(2022,5,26)</f>
        <v>44707</v>
      </c>
      <c r="H3475" s="107">
        <v>1.6840277777777777</v>
      </c>
      <c r="I3475" s="5" t="s">
        <v>55</v>
      </c>
      <c r="J3475" s="5" t="s">
        <v>20024</v>
      </c>
      <c r="K3475" s="5" t="s">
        <v>1555</v>
      </c>
      <c r="L3475" s="5" t="s">
        <v>20025</v>
      </c>
      <c r="M3475" s="5" t="s">
        <v>45</v>
      </c>
      <c r="N3475" s="5" t="s">
        <v>123</v>
      </c>
      <c r="O3475" s="5" t="s">
        <v>59</v>
      </c>
      <c r="P3475" s="5" t="s">
        <v>60</v>
      </c>
      <c r="Q3475" s="5" t="s">
        <v>20026</v>
      </c>
      <c r="R3475" s="5" t="s">
        <v>17642</v>
      </c>
      <c r="S3475" s="5">
        <v>0</v>
      </c>
      <c r="T3475" s="5">
        <v>0</v>
      </c>
      <c r="U3475" s="5">
        <v>0</v>
      </c>
      <c r="V3475" s="5">
        <v>0</v>
      </c>
      <c r="W3475" s="5">
        <v>0</v>
      </c>
      <c r="X3475" s="5">
        <v>0</v>
      </c>
      <c r="Y3475" s="5">
        <v>0</v>
      </c>
      <c r="Z3475" s="5">
        <v>1</v>
      </c>
      <c r="AA3475" s="5">
        <v>0</v>
      </c>
      <c r="AB3475" s="5">
        <v>0</v>
      </c>
      <c r="AC3475" s="5">
        <v>0</v>
      </c>
      <c r="AD3475" s="5">
        <v>1</v>
      </c>
      <c r="AE3475" s="5" t="s">
        <v>375</v>
      </c>
      <c r="AF3475" s="5" t="s">
        <v>20027</v>
      </c>
      <c r="AG3475" s="5" t="s">
        <v>8837</v>
      </c>
      <c r="AH3475" s="43">
        <v>44711</v>
      </c>
      <c r="AI3475" s="5">
        <v>0</v>
      </c>
      <c r="AJ3475" s="5" t="s">
        <v>20028</v>
      </c>
      <c r="AK3475" s="5" t="s">
        <v>20029</v>
      </c>
    </row>
    <row r="3476" spans="1:37" ht="36.75" customHeight="1" x14ac:dyDescent="0.35">
      <c r="A3476" s="21" t="s">
        <v>12448</v>
      </c>
      <c r="B3476" s="5" t="s">
        <v>37</v>
      </c>
      <c r="C3476" s="73" t="str">
        <f t="shared" si="64"/>
        <v>Closed</v>
      </c>
      <c r="D3476" s="47" t="s">
        <v>20030</v>
      </c>
      <c r="E3476" s="85" t="s">
        <v>20031</v>
      </c>
      <c r="F3476" s="69" t="s">
        <v>12887</v>
      </c>
      <c r="G3476" s="9">
        <f>DATE(2022,5,29)</f>
        <v>44710</v>
      </c>
      <c r="H3476" s="107">
        <v>1.8611111111111112</v>
      </c>
      <c r="I3476" s="69" t="s">
        <v>259</v>
      </c>
      <c r="J3476" s="69" t="s">
        <v>20032</v>
      </c>
      <c r="K3476" s="69" t="s">
        <v>434</v>
      </c>
      <c r="L3476" s="69" t="s">
        <v>20033</v>
      </c>
      <c r="M3476" s="69" t="s">
        <v>45</v>
      </c>
      <c r="N3476" s="69" t="s">
        <v>70</v>
      </c>
      <c r="O3476" s="69" t="s">
        <v>46</v>
      </c>
      <c r="P3476" s="69" t="s">
        <v>443</v>
      </c>
      <c r="Q3476" s="69" t="s">
        <v>20034</v>
      </c>
      <c r="R3476" s="69" t="s">
        <v>553</v>
      </c>
      <c r="S3476" s="69">
        <v>0</v>
      </c>
      <c r="T3476" s="69">
        <v>1</v>
      </c>
      <c r="U3476" s="69">
        <v>0</v>
      </c>
      <c r="V3476" s="69">
        <v>0</v>
      </c>
      <c r="W3476" s="69">
        <v>0</v>
      </c>
      <c r="X3476" s="69">
        <v>1</v>
      </c>
      <c r="Y3476" s="69">
        <v>0</v>
      </c>
      <c r="Z3476" s="69">
        <v>0</v>
      </c>
      <c r="AA3476" s="69">
        <v>0</v>
      </c>
      <c r="AB3476" s="69">
        <v>0</v>
      </c>
      <c r="AC3476" s="69">
        <v>0</v>
      </c>
      <c r="AD3476" s="69">
        <v>0</v>
      </c>
      <c r="AE3476" s="69" t="s">
        <v>73</v>
      </c>
      <c r="AF3476" s="69" t="s">
        <v>693</v>
      </c>
      <c r="AG3476" s="69" t="s">
        <v>6438</v>
      </c>
      <c r="AH3476" s="43">
        <v>44711</v>
      </c>
      <c r="AI3476" s="69">
        <v>1</v>
      </c>
      <c r="AJ3476" s="69" t="s">
        <v>20035</v>
      </c>
      <c r="AK3476" s="69" t="s">
        <v>20036</v>
      </c>
    </row>
    <row r="3477" spans="1:37" ht="36.75" customHeight="1" x14ac:dyDescent="0.35">
      <c r="A3477" s="21" t="s">
        <v>12448</v>
      </c>
      <c r="B3477" s="5" t="s">
        <v>37</v>
      </c>
      <c r="C3477" s="73" t="str">
        <f t="shared" si="64"/>
        <v>Closed</v>
      </c>
      <c r="D3477" s="47" t="s">
        <v>20037</v>
      </c>
      <c r="E3477" s="54" t="s">
        <v>20038</v>
      </c>
      <c r="F3477" s="5" t="s">
        <v>17305</v>
      </c>
      <c r="G3477" s="9">
        <f>DATE(2022,5,31)</f>
        <v>44712</v>
      </c>
      <c r="H3477" s="107">
        <v>1.28125</v>
      </c>
      <c r="I3477" s="5" t="s">
        <v>97</v>
      </c>
      <c r="J3477" s="5" t="s">
        <v>20039</v>
      </c>
      <c r="K3477" s="5" t="s">
        <v>108</v>
      </c>
      <c r="L3477" s="5" t="s">
        <v>20040</v>
      </c>
      <c r="M3477" s="5" t="s">
        <v>45</v>
      </c>
      <c r="N3477" s="5" t="s">
        <v>80</v>
      </c>
      <c r="O3477" s="5" t="s">
        <v>46</v>
      </c>
      <c r="P3477" s="5" t="s">
        <v>146</v>
      </c>
      <c r="Q3477" s="5" t="s">
        <v>20041</v>
      </c>
      <c r="R3477" s="5" t="s">
        <v>20042</v>
      </c>
      <c r="S3477" s="5">
        <v>0</v>
      </c>
      <c r="T3477" s="5">
        <v>1</v>
      </c>
      <c r="U3477" s="5">
        <v>0</v>
      </c>
      <c r="V3477" s="5">
        <v>0</v>
      </c>
      <c r="W3477" s="5">
        <v>0</v>
      </c>
      <c r="X3477" s="5">
        <v>1</v>
      </c>
      <c r="Y3477" s="5">
        <v>0</v>
      </c>
      <c r="Z3477" s="5">
        <v>0</v>
      </c>
      <c r="AA3477" s="5">
        <v>0</v>
      </c>
      <c r="AB3477" s="5">
        <v>0</v>
      </c>
      <c r="AC3477" s="5">
        <v>0</v>
      </c>
      <c r="AD3477" s="5">
        <v>0</v>
      </c>
      <c r="AE3477" s="5" t="s">
        <v>375</v>
      </c>
      <c r="AF3477" s="5" t="s">
        <v>19970</v>
      </c>
      <c r="AG3477" s="5" t="s">
        <v>8837</v>
      </c>
      <c r="AH3477" s="43">
        <v>44713</v>
      </c>
      <c r="AI3477" s="5">
        <v>1</v>
      </c>
      <c r="AJ3477" s="5" t="s">
        <v>20043</v>
      </c>
      <c r="AK3477" s="5" t="s">
        <v>20044</v>
      </c>
    </row>
    <row r="3478" spans="1:37" ht="36.75" customHeight="1" x14ac:dyDescent="0.35">
      <c r="A3478" s="21" t="s">
        <v>12448</v>
      </c>
      <c r="B3478" s="5" t="s">
        <v>37</v>
      </c>
      <c r="C3478" s="73" t="str">
        <f t="shared" si="64"/>
        <v>Closed</v>
      </c>
      <c r="D3478" s="47" t="s">
        <v>20045</v>
      </c>
      <c r="E3478" s="54" t="s">
        <v>20046</v>
      </c>
      <c r="F3478" s="5" t="s">
        <v>17769</v>
      </c>
      <c r="G3478" s="9">
        <f>DATE(2022,6,1)</f>
        <v>44713</v>
      </c>
      <c r="H3478" s="107">
        <v>1.4652777777777777</v>
      </c>
      <c r="I3478" s="5" t="s">
        <v>6754</v>
      </c>
      <c r="J3478" s="5" t="s">
        <v>20047</v>
      </c>
      <c r="K3478" s="5" t="s">
        <v>621</v>
      </c>
      <c r="L3478" s="5" t="s">
        <v>20048</v>
      </c>
      <c r="M3478" s="5" t="s">
        <v>45</v>
      </c>
      <c r="N3478" s="5" t="s">
        <v>123</v>
      </c>
      <c r="O3478" s="5" t="s">
        <v>46</v>
      </c>
      <c r="P3478" s="5" t="s">
        <v>6881</v>
      </c>
      <c r="Q3478" s="5" t="s">
        <v>18459</v>
      </c>
      <c r="R3478" s="5" t="s">
        <v>1997</v>
      </c>
      <c r="S3478" s="5">
        <v>0</v>
      </c>
      <c r="T3478" s="5">
        <v>0</v>
      </c>
      <c r="U3478" s="5">
        <v>0</v>
      </c>
      <c r="V3478" s="5">
        <v>0</v>
      </c>
      <c r="W3478" s="5">
        <v>0</v>
      </c>
      <c r="X3478" s="5">
        <v>0</v>
      </c>
      <c r="Y3478" s="5">
        <v>0</v>
      </c>
      <c r="Z3478" s="5">
        <v>0</v>
      </c>
      <c r="AA3478" s="5">
        <v>0</v>
      </c>
      <c r="AB3478" s="5">
        <v>0</v>
      </c>
      <c r="AC3478" s="5">
        <v>0</v>
      </c>
      <c r="AD3478" s="5">
        <v>0</v>
      </c>
      <c r="AE3478" s="5" t="s">
        <v>73</v>
      </c>
      <c r="AF3478" s="5" t="s">
        <v>18460</v>
      </c>
      <c r="AG3478" s="5" t="s">
        <v>17023</v>
      </c>
      <c r="AH3478" s="43">
        <v>44742</v>
      </c>
      <c r="AI3478" s="5">
        <v>6</v>
      </c>
      <c r="AJ3478" s="5" t="s">
        <v>20049</v>
      </c>
      <c r="AK3478" s="5" t="s">
        <v>20050</v>
      </c>
    </row>
    <row r="3479" spans="1:37" ht="36.75" customHeight="1" x14ac:dyDescent="0.35">
      <c r="A3479" s="21" t="s">
        <v>12448</v>
      </c>
      <c r="B3479" s="5" t="s">
        <v>37</v>
      </c>
      <c r="C3479" s="73" t="str">
        <f t="shared" si="64"/>
        <v>Closed</v>
      </c>
      <c r="D3479" s="47" t="s">
        <v>20051</v>
      </c>
      <c r="E3479" s="54" t="s">
        <v>20052</v>
      </c>
      <c r="F3479" s="5" t="s">
        <v>15039</v>
      </c>
      <c r="G3479" s="9">
        <f>DATE(2022,6,2)</f>
        <v>44714</v>
      </c>
      <c r="H3479" s="107">
        <v>1.4826388888888888</v>
      </c>
      <c r="I3479" s="5" t="s">
        <v>179</v>
      </c>
      <c r="J3479" s="5" t="s">
        <v>20053</v>
      </c>
      <c r="K3479" s="5" t="s">
        <v>13412</v>
      </c>
      <c r="L3479" s="5" t="s">
        <v>20054</v>
      </c>
      <c r="M3479" s="5" t="s">
        <v>45</v>
      </c>
      <c r="N3479" s="5" t="s">
        <v>70</v>
      </c>
      <c r="O3479" s="5" t="s">
        <v>59</v>
      </c>
      <c r="P3479" s="5" t="s">
        <v>362</v>
      </c>
      <c r="Q3479" s="5" t="s">
        <v>19969</v>
      </c>
      <c r="R3479" s="5" t="s">
        <v>568</v>
      </c>
      <c r="S3479" s="5">
        <v>0</v>
      </c>
      <c r="T3479" s="5">
        <v>1</v>
      </c>
      <c r="U3479" s="5">
        <v>0</v>
      </c>
      <c r="V3479" s="5">
        <v>0</v>
      </c>
      <c r="W3479" s="5">
        <v>0</v>
      </c>
      <c r="X3479" s="5">
        <v>1</v>
      </c>
      <c r="Y3479" s="5">
        <v>0</v>
      </c>
      <c r="Z3479" s="5">
        <v>0</v>
      </c>
      <c r="AA3479" s="5">
        <v>0</v>
      </c>
      <c r="AB3479" s="5">
        <v>0</v>
      </c>
      <c r="AC3479" s="5">
        <v>0</v>
      </c>
      <c r="AD3479" s="5">
        <v>0</v>
      </c>
      <c r="AE3479" s="5" t="s">
        <v>375</v>
      </c>
      <c r="AF3479" s="5" t="s">
        <v>19970</v>
      </c>
      <c r="AG3479" s="5" t="s">
        <v>6438</v>
      </c>
      <c r="AH3479" s="43">
        <v>44715</v>
      </c>
      <c r="AI3479" s="5">
        <v>2</v>
      </c>
      <c r="AJ3479" s="5" t="s">
        <v>20055</v>
      </c>
      <c r="AK3479" s="5" t="s">
        <v>20056</v>
      </c>
    </row>
    <row r="3480" spans="1:37" ht="36.75" customHeight="1" x14ac:dyDescent="0.35">
      <c r="A3480" s="21" t="s">
        <v>12448</v>
      </c>
      <c r="B3480" s="5" t="s">
        <v>14851</v>
      </c>
      <c r="C3480" s="73" t="str">
        <f t="shared" si="64"/>
        <v>In progress</v>
      </c>
      <c r="D3480" s="47" t="s">
        <v>20057</v>
      </c>
      <c r="E3480" s="54" t="s">
        <v>20058</v>
      </c>
      <c r="F3480" s="5" t="s">
        <v>16278</v>
      </c>
      <c r="G3480" s="9">
        <f>DATE(2022,6,2)</f>
        <v>44714</v>
      </c>
      <c r="H3480" s="107">
        <v>1.3541666666666667</v>
      </c>
      <c r="I3480" s="5" t="s">
        <v>2244</v>
      </c>
      <c r="J3480" s="5" t="s">
        <v>20059</v>
      </c>
      <c r="K3480" s="5" t="s">
        <v>99</v>
      </c>
      <c r="L3480" s="5" t="s">
        <v>20060</v>
      </c>
      <c r="M3480" s="5" t="s">
        <v>45</v>
      </c>
      <c r="N3480" s="5" t="s">
        <v>123</v>
      </c>
      <c r="O3480" s="5" t="s">
        <v>46</v>
      </c>
      <c r="P3480" s="5" t="s">
        <v>67</v>
      </c>
      <c r="Q3480" s="5" t="s">
        <v>20061</v>
      </c>
      <c r="R3480" s="5" t="s">
        <v>16282</v>
      </c>
      <c r="S3480" s="5">
        <v>0</v>
      </c>
      <c r="T3480" s="5">
        <v>0</v>
      </c>
      <c r="U3480" s="5">
        <v>0</v>
      </c>
      <c r="V3480" s="5">
        <v>0</v>
      </c>
      <c r="W3480" s="5">
        <v>0</v>
      </c>
      <c r="X3480" s="5">
        <v>0</v>
      </c>
      <c r="Y3480" s="5">
        <v>0</v>
      </c>
      <c r="Z3480" s="5">
        <v>0</v>
      </c>
      <c r="AA3480" s="5">
        <v>0</v>
      </c>
      <c r="AB3480" s="5">
        <v>0</v>
      </c>
      <c r="AC3480" s="5">
        <v>0</v>
      </c>
      <c r="AD3480" s="5">
        <v>0</v>
      </c>
      <c r="AE3480" s="5" t="s">
        <v>73</v>
      </c>
      <c r="AF3480" s="5" t="s">
        <v>20062</v>
      </c>
      <c r="AG3480" s="5" t="s">
        <v>13508</v>
      </c>
      <c r="AH3480" s="43">
        <v>44761</v>
      </c>
      <c r="AI3480" s="5"/>
      <c r="AJ3480" s="5"/>
      <c r="AK3480" s="5"/>
    </row>
    <row r="3481" spans="1:37" ht="36.75" customHeight="1" x14ac:dyDescent="0.35">
      <c r="A3481" s="21" t="s">
        <v>12448</v>
      </c>
      <c r="B3481" s="5" t="s">
        <v>37</v>
      </c>
      <c r="C3481" s="73" t="str">
        <f t="shared" si="64"/>
        <v>Closed</v>
      </c>
      <c r="D3481" s="47" t="s">
        <v>20063</v>
      </c>
      <c r="E3481" s="54" t="s">
        <v>20064</v>
      </c>
      <c r="F3481" s="5" t="s">
        <v>19107</v>
      </c>
      <c r="G3481" s="9">
        <f>DATE(2022,6,3)</f>
        <v>44715</v>
      </c>
      <c r="H3481" s="107">
        <v>1.7777777777777777</v>
      </c>
      <c r="I3481" s="5" t="s">
        <v>179</v>
      </c>
      <c r="J3481" s="5" t="s">
        <v>19108</v>
      </c>
      <c r="K3481" s="5" t="s">
        <v>19109</v>
      </c>
      <c r="L3481" s="5" t="s">
        <v>20065</v>
      </c>
      <c r="M3481" s="5" t="s">
        <v>45</v>
      </c>
      <c r="N3481" s="5" t="s">
        <v>123</v>
      </c>
      <c r="O3481" s="5" t="s">
        <v>46</v>
      </c>
      <c r="P3481" s="5" t="s">
        <v>6881</v>
      </c>
      <c r="Q3481" s="5" t="s">
        <v>19969</v>
      </c>
      <c r="R3481" s="5" t="s">
        <v>568</v>
      </c>
      <c r="S3481" s="5">
        <v>0</v>
      </c>
      <c r="T3481" s="5">
        <v>1</v>
      </c>
      <c r="U3481" s="5">
        <v>0</v>
      </c>
      <c r="V3481" s="5">
        <v>0</v>
      </c>
      <c r="W3481" s="5">
        <v>0</v>
      </c>
      <c r="X3481" s="5">
        <v>1</v>
      </c>
      <c r="Y3481" s="5">
        <v>0</v>
      </c>
      <c r="Z3481" s="5">
        <v>0</v>
      </c>
      <c r="AA3481" s="5">
        <v>0</v>
      </c>
      <c r="AB3481" s="5">
        <v>0</v>
      </c>
      <c r="AC3481" s="5">
        <v>0</v>
      </c>
      <c r="AD3481" s="5">
        <v>0</v>
      </c>
      <c r="AE3481" s="5" t="s">
        <v>375</v>
      </c>
      <c r="AF3481" s="5" t="s">
        <v>19970</v>
      </c>
      <c r="AG3481" s="5" t="s">
        <v>6438</v>
      </c>
      <c r="AH3481" s="43">
        <v>44715</v>
      </c>
      <c r="AI3481" s="5">
        <v>2</v>
      </c>
      <c r="AJ3481" s="5" t="s">
        <v>20066</v>
      </c>
      <c r="AK3481" s="5" t="s">
        <v>10534</v>
      </c>
    </row>
    <row r="3482" spans="1:37" ht="36.75" customHeight="1" x14ac:dyDescent="0.35">
      <c r="A3482" s="21" t="s">
        <v>12448</v>
      </c>
      <c r="B3482" s="5" t="s">
        <v>37</v>
      </c>
      <c r="C3482" s="73" t="str">
        <f t="shared" si="64"/>
        <v>Closed</v>
      </c>
      <c r="D3482" s="91" t="s">
        <v>20067</v>
      </c>
      <c r="E3482" s="54" t="s">
        <v>20068</v>
      </c>
      <c r="F3482" s="5" t="s">
        <v>18076</v>
      </c>
      <c r="G3482" s="9">
        <f>DATE(2022,6,3)</f>
        <v>44715</v>
      </c>
      <c r="H3482" s="107">
        <v>1.5868055555555556</v>
      </c>
      <c r="I3482" s="5" t="s">
        <v>55</v>
      </c>
      <c r="J3482" s="5" t="s">
        <v>20069</v>
      </c>
      <c r="K3482" s="5" t="s">
        <v>360</v>
      </c>
      <c r="L3482" s="5" t="s">
        <v>20070</v>
      </c>
      <c r="M3482" s="5" t="s">
        <v>45</v>
      </c>
      <c r="N3482" s="5" t="s">
        <v>70</v>
      </c>
      <c r="O3482" s="5" t="s">
        <v>46</v>
      </c>
      <c r="P3482" s="5" t="s">
        <v>443</v>
      </c>
      <c r="Q3482" s="5" t="s">
        <v>2886</v>
      </c>
      <c r="R3482" s="5" t="s">
        <v>20071</v>
      </c>
      <c r="S3482" s="5">
        <v>0</v>
      </c>
      <c r="T3482" s="5">
        <v>0</v>
      </c>
      <c r="U3482" s="5">
        <v>0</v>
      </c>
      <c r="V3482" s="5">
        <v>0</v>
      </c>
      <c r="W3482" s="5">
        <v>0</v>
      </c>
      <c r="X3482" s="5">
        <v>0</v>
      </c>
      <c r="Y3482" s="5">
        <v>0</v>
      </c>
      <c r="Z3482" s="5">
        <v>0</v>
      </c>
      <c r="AA3482" s="5">
        <v>0</v>
      </c>
      <c r="AB3482" s="5">
        <v>0</v>
      </c>
      <c r="AC3482" s="5">
        <v>0</v>
      </c>
      <c r="AD3482" s="5">
        <v>0</v>
      </c>
      <c r="AE3482" s="5" t="s">
        <v>126</v>
      </c>
      <c r="AF3482" s="5" t="s">
        <v>20072</v>
      </c>
      <c r="AG3482" s="5" t="s">
        <v>6438</v>
      </c>
      <c r="AH3482" s="43">
        <v>44720</v>
      </c>
      <c r="AI3482" s="5">
        <v>5</v>
      </c>
      <c r="AJ3482" s="5" t="s">
        <v>20073</v>
      </c>
      <c r="AK3482" s="5" t="s">
        <v>20074</v>
      </c>
    </row>
    <row r="3483" spans="1:37" ht="36.75" customHeight="1" x14ac:dyDescent="0.35">
      <c r="A3483" s="21" t="s">
        <v>12448</v>
      </c>
      <c r="B3483" s="5" t="s">
        <v>14851</v>
      </c>
      <c r="C3483" s="73" t="str">
        <f t="shared" si="64"/>
        <v>In progress</v>
      </c>
      <c r="D3483" s="47" t="s">
        <v>20075</v>
      </c>
      <c r="E3483" s="54" t="s">
        <v>43547</v>
      </c>
      <c r="F3483" s="5" t="s">
        <v>6434</v>
      </c>
      <c r="G3483" s="9">
        <f>DATE(2022,6,3)</f>
        <v>44715</v>
      </c>
      <c r="H3483" s="107">
        <v>1.5104166666666665</v>
      </c>
      <c r="I3483" s="5" t="s">
        <v>55</v>
      </c>
      <c r="J3483" s="5" t="s">
        <v>20076</v>
      </c>
      <c r="K3483" s="5" t="s">
        <v>565</v>
      </c>
      <c r="L3483" s="5" t="s">
        <v>43548</v>
      </c>
      <c r="M3483" s="5" t="s">
        <v>45</v>
      </c>
      <c r="N3483" s="5" t="s">
        <v>80</v>
      </c>
      <c r="O3483" s="5" t="s">
        <v>46</v>
      </c>
      <c r="P3483" s="5" t="s">
        <v>146</v>
      </c>
      <c r="Q3483" s="5" t="s">
        <v>4467</v>
      </c>
      <c r="R3483" s="5" t="s">
        <v>568</v>
      </c>
      <c r="S3483" s="5">
        <v>5</v>
      </c>
      <c r="T3483" s="5">
        <v>0</v>
      </c>
      <c r="U3483" s="5">
        <v>0</v>
      </c>
      <c r="V3483" s="5">
        <v>0</v>
      </c>
      <c r="W3483" s="5">
        <v>0</v>
      </c>
      <c r="X3483" s="5">
        <v>5</v>
      </c>
      <c r="Y3483" s="5">
        <v>16</v>
      </c>
      <c r="Z3483" s="5">
        <v>0</v>
      </c>
      <c r="AA3483" s="5">
        <v>0</v>
      </c>
      <c r="AB3483" s="5">
        <v>0</v>
      </c>
      <c r="AC3483" s="5">
        <v>0</v>
      </c>
      <c r="AD3483" s="5">
        <v>16</v>
      </c>
      <c r="AE3483" s="5" t="s">
        <v>126</v>
      </c>
      <c r="AF3483" s="5" t="s">
        <v>43549</v>
      </c>
      <c r="AG3483" s="5" t="s">
        <v>8837</v>
      </c>
      <c r="AH3483" s="43">
        <v>45446</v>
      </c>
      <c r="AI3483" s="5">
        <v>2</v>
      </c>
      <c r="AJ3483" s="5" t="s">
        <v>43550</v>
      </c>
      <c r="AK3483" s="5" t="s">
        <v>43551</v>
      </c>
    </row>
    <row r="3484" spans="1:37" ht="36.75" customHeight="1" x14ac:dyDescent="0.35">
      <c r="A3484" s="21" t="s">
        <v>12448</v>
      </c>
      <c r="B3484" s="5" t="s">
        <v>37</v>
      </c>
      <c r="C3484" s="73" t="str">
        <f t="shared" si="64"/>
        <v>Closed</v>
      </c>
      <c r="D3484" s="47" t="s">
        <v>20077</v>
      </c>
      <c r="E3484" s="54" t="s">
        <v>20078</v>
      </c>
      <c r="F3484" s="5" t="s">
        <v>17728</v>
      </c>
      <c r="G3484" s="9">
        <f>DATE(2022,6,7)</f>
        <v>44719</v>
      </c>
      <c r="H3484" s="107">
        <v>1.5625</v>
      </c>
      <c r="I3484" s="5" t="s">
        <v>97</v>
      </c>
      <c r="J3484" s="5" t="s">
        <v>20079</v>
      </c>
      <c r="K3484" s="5" t="s">
        <v>2583</v>
      </c>
      <c r="L3484" s="5" t="s">
        <v>20080</v>
      </c>
      <c r="M3484" s="5" t="s">
        <v>45</v>
      </c>
      <c r="N3484" s="5" t="s">
        <v>80</v>
      </c>
      <c r="O3484" s="5" t="s">
        <v>46</v>
      </c>
      <c r="P3484" s="5" t="s">
        <v>146</v>
      </c>
      <c r="Q3484" s="5" t="s">
        <v>19969</v>
      </c>
      <c r="R3484" s="5" t="s">
        <v>568</v>
      </c>
      <c r="S3484" s="5">
        <v>0</v>
      </c>
      <c r="T3484" s="5">
        <v>1</v>
      </c>
      <c r="U3484" s="5">
        <v>0</v>
      </c>
      <c r="V3484" s="5">
        <v>0</v>
      </c>
      <c r="W3484" s="5">
        <v>0</v>
      </c>
      <c r="X3484" s="5">
        <v>1</v>
      </c>
      <c r="Y3484" s="5">
        <v>0</v>
      </c>
      <c r="Z3484" s="5">
        <v>0</v>
      </c>
      <c r="AA3484" s="5">
        <v>0</v>
      </c>
      <c r="AB3484" s="5">
        <v>0</v>
      </c>
      <c r="AC3484" s="5">
        <v>0</v>
      </c>
      <c r="AD3484" s="5">
        <v>0</v>
      </c>
      <c r="AE3484" s="5" t="s">
        <v>375</v>
      </c>
      <c r="AF3484" s="5" t="s">
        <v>19970</v>
      </c>
      <c r="AG3484" s="5" t="s">
        <v>6438</v>
      </c>
      <c r="AH3484" s="43">
        <v>44720</v>
      </c>
      <c r="AI3484" s="5">
        <v>6</v>
      </c>
      <c r="AJ3484" s="5" t="s">
        <v>20081</v>
      </c>
      <c r="AK3484" s="5" t="s">
        <v>20082</v>
      </c>
    </row>
    <row r="3485" spans="1:37" ht="36.75" customHeight="1" x14ac:dyDescent="0.35">
      <c r="A3485" s="21" t="s">
        <v>12448</v>
      </c>
      <c r="B3485" s="5" t="s">
        <v>37</v>
      </c>
      <c r="C3485" s="73" t="str">
        <f t="shared" si="64"/>
        <v>Closed</v>
      </c>
      <c r="D3485" s="47" t="s">
        <v>20083</v>
      </c>
      <c r="E3485" s="54" t="s">
        <v>20084</v>
      </c>
      <c r="F3485" s="5" t="s">
        <v>16397</v>
      </c>
      <c r="G3485" s="9">
        <f>DATE(2022,6,7)</f>
        <v>44719</v>
      </c>
      <c r="H3485" s="107">
        <v>1.7215277777777778</v>
      </c>
      <c r="I3485" s="5" t="s">
        <v>67</v>
      </c>
      <c r="J3485" s="5" t="s">
        <v>20085</v>
      </c>
      <c r="K3485" s="5" t="s">
        <v>406</v>
      </c>
      <c r="L3485" s="5" t="s">
        <v>20086</v>
      </c>
      <c r="M3485" s="5" t="s">
        <v>45</v>
      </c>
      <c r="N3485" s="5" t="s">
        <v>123</v>
      </c>
      <c r="O3485" s="5" t="s">
        <v>59</v>
      </c>
      <c r="P3485" s="5" t="s">
        <v>60</v>
      </c>
      <c r="Q3485" s="5" t="s">
        <v>19969</v>
      </c>
      <c r="R3485" s="5" t="s">
        <v>568</v>
      </c>
      <c r="S3485" s="5">
        <v>0</v>
      </c>
      <c r="T3485" s="5">
        <v>1</v>
      </c>
      <c r="U3485" s="5">
        <v>0</v>
      </c>
      <c r="V3485" s="5">
        <v>0</v>
      </c>
      <c r="W3485" s="5">
        <v>0</v>
      </c>
      <c r="X3485" s="5">
        <v>1</v>
      </c>
      <c r="Y3485" s="5">
        <v>0</v>
      </c>
      <c r="Z3485" s="5">
        <v>0</v>
      </c>
      <c r="AA3485" s="5">
        <v>0</v>
      </c>
      <c r="AB3485" s="5">
        <v>0</v>
      </c>
      <c r="AC3485" s="5">
        <v>0</v>
      </c>
      <c r="AD3485" s="5">
        <v>0</v>
      </c>
      <c r="AE3485" s="5" t="s">
        <v>375</v>
      </c>
      <c r="AF3485" s="5" t="s">
        <v>19970</v>
      </c>
      <c r="AG3485" s="5" t="s">
        <v>16251</v>
      </c>
      <c r="AH3485" s="43">
        <v>44719</v>
      </c>
      <c r="AI3485" s="5">
        <v>2</v>
      </c>
      <c r="AJ3485" s="5" t="s">
        <v>20087</v>
      </c>
      <c r="AK3485" s="5" t="s">
        <v>17885</v>
      </c>
    </row>
    <row r="3486" spans="1:37" ht="36.75" customHeight="1" x14ac:dyDescent="0.35">
      <c r="A3486" s="21" t="s">
        <v>12448</v>
      </c>
      <c r="B3486" s="5" t="s">
        <v>37</v>
      </c>
      <c r="C3486" s="73" t="str">
        <f t="shared" si="64"/>
        <v>Closed</v>
      </c>
      <c r="D3486" s="47" t="s">
        <v>20088</v>
      </c>
      <c r="E3486" s="54" t="s">
        <v>20089</v>
      </c>
      <c r="F3486" s="5" t="s">
        <v>17769</v>
      </c>
      <c r="G3486" s="9">
        <f>DATE(2022,6,12)</f>
        <v>44724</v>
      </c>
      <c r="H3486" s="107">
        <v>1.90625</v>
      </c>
      <c r="I3486" s="5" t="s">
        <v>179</v>
      </c>
      <c r="J3486" s="5" t="s">
        <v>20090</v>
      </c>
      <c r="K3486" s="5" t="s">
        <v>621</v>
      </c>
      <c r="L3486" s="5" t="s">
        <v>20091</v>
      </c>
      <c r="M3486" s="5" t="s">
        <v>45</v>
      </c>
      <c r="N3486" s="5" t="s">
        <v>123</v>
      </c>
      <c r="O3486" s="5" t="s">
        <v>59</v>
      </c>
      <c r="P3486" s="5" t="s">
        <v>362</v>
      </c>
      <c r="Q3486" s="5" t="s">
        <v>20092</v>
      </c>
      <c r="R3486" s="5" t="s">
        <v>1997</v>
      </c>
      <c r="S3486" s="5">
        <v>0</v>
      </c>
      <c r="T3486" s="5">
        <v>0</v>
      </c>
      <c r="U3486" s="5">
        <v>0</v>
      </c>
      <c r="V3486" s="5">
        <v>0</v>
      </c>
      <c r="W3486" s="5">
        <v>0</v>
      </c>
      <c r="X3486" s="5">
        <v>0</v>
      </c>
      <c r="Y3486" s="5">
        <v>6</v>
      </c>
      <c r="Z3486" s="5">
        <v>0</v>
      </c>
      <c r="AA3486" s="5">
        <v>0</v>
      </c>
      <c r="AB3486" s="5">
        <v>0</v>
      </c>
      <c r="AC3486" s="5">
        <v>0</v>
      </c>
      <c r="AD3486" s="5">
        <v>6</v>
      </c>
      <c r="AE3486" s="5" t="s">
        <v>375</v>
      </c>
      <c r="AF3486" s="5" t="s">
        <v>20093</v>
      </c>
      <c r="AG3486" s="5" t="s">
        <v>6438</v>
      </c>
      <c r="AH3486" s="43">
        <v>44742</v>
      </c>
      <c r="AI3486" s="5">
        <v>2</v>
      </c>
      <c r="AJ3486" s="5" t="s">
        <v>20094</v>
      </c>
      <c r="AK3486" s="5" t="s">
        <v>20095</v>
      </c>
    </row>
    <row r="3487" spans="1:37" ht="36.75" customHeight="1" x14ac:dyDescent="0.35">
      <c r="A3487" s="21" t="s">
        <v>12448</v>
      </c>
      <c r="B3487" s="5" t="s">
        <v>37</v>
      </c>
      <c r="C3487" s="73" t="str">
        <f t="shared" si="64"/>
        <v>Closed</v>
      </c>
      <c r="D3487" s="47" t="s">
        <v>20096</v>
      </c>
      <c r="E3487" s="54" t="s">
        <v>20097</v>
      </c>
      <c r="F3487" s="5" t="s">
        <v>17638</v>
      </c>
      <c r="G3487" s="9">
        <f>DATE(2022,6,13)</f>
        <v>44725</v>
      </c>
      <c r="H3487" s="107">
        <v>1.6909722222222223</v>
      </c>
      <c r="I3487" s="5" t="s">
        <v>106</v>
      </c>
      <c r="J3487" s="5" t="s">
        <v>20098</v>
      </c>
      <c r="K3487" s="5" t="s">
        <v>1555</v>
      </c>
      <c r="L3487" s="5" t="s">
        <v>20099</v>
      </c>
      <c r="M3487" s="5" t="s">
        <v>45</v>
      </c>
      <c r="N3487" s="5" t="s">
        <v>123</v>
      </c>
      <c r="O3487" s="5" t="s">
        <v>59</v>
      </c>
      <c r="P3487" s="5" t="s">
        <v>60</v>
      </c>
      <c r="Q3487" s="5" t="s">
        <v>19969</v>
      </c>
      <c r="R3487" s="5" t="s">
        <v>568</v>
      </c>
      <c r="S3487" s="5">
        <v>0</v>
      </c>
      <c r="T3487" s="5">
        <v>1</v>
      </c>
      <c r="U3487" s="5">
        <v>0</v>
      </c>
      <c r="V3487" s="5">
        <v>0</v>
      </c>
      <c r="W3487" s="5">
        <v>0</v>
      </c>
      <c r="X3487" s="5">
        <v>1</v>
      </c>
      <c r="Y3487" s="5">
        <v>0</v>
      </c>
      <c r="Z3487" s="5">
        <v>0</v>
      </c>
      <c r="AA3487" s="5">
        <v>0</v>
      </c>
      <c r="AB3487" s="5">
        <v>0</v>
      </c>
      <c r="AC3487" s="5">
        <v>0</v>
      </c>
      <c r="AD3487" s="5">
        <v>0</v>
      </c>
      <c r="AE3487" s="5" t="s">
        <v>375</v>
      </c>
      <c r="AF3487" s="5" t="s">
        <v>19970</v>
      </c>
      <c r="AG3487" s="5" t="s">
        <v>8837</v>
      </c>
      <c r="AH3487" s="43">
        <v>44726</v>
      </c>
      <c r="AI3487" s="5">
        <v>1</v>
      </c>
      <c r="AJ3487" s="5" t="s">
        <v>20100</v>
      </c>
      <c r="AK3487" s="5" t="s">
        <v>20101</v>
      </c>
    </row>
    <row r="3488" spans="1:37" ht="36.75" customHeight="1" x14ac:dyDescent="0.35">
      <c r="A3488" s="21" t="s">
        <v>12448</v>
      </c>
      <c r="B3488" s="5" t="s">
        <v>37</v>
      </c>
      <c r="C3488" s="73" t="str">
        <f t="shared" si="64"/>
        <v>Closed</v>
      </c>
      <c r="D3488" s="91" t="s">
        <v>20102</v>
      </c>
      <c r="E3488" s="54" t="s">
        <v>20103</v>
      </c>
      <c r="F3488" s="5" t="s">
        <v>17537</v>
      </c>
      <c r="G3488" s="9">
        <f>DATE(2022,6,14)</f>
        <v>44726</v>
      </c>
      <c r="H3488" s="107">
        <v>1.7743055555555554</v>
      </c>
      <c r="I3488" s="5" t="s">
        <v>2059</v>
      </c>
      <c r="J3488" s="5" t="s">
        <v>20104</v>
      </c>
      <c r="K3488" s="5" t="s">
        <v>818</v>
      </c>
      <c r="L3488" s="5" t="s">
        <v>20105</v>
      </c>
      <c r="M3488" s="5" t="s">
        <v>45</v>
      </c>
      <c r="N3488" s="5" t="s">
        <v>80</v>
      </c>
      <c r="O3488" s="5" t="s">
        <v>59</v>
      </c>
      <c r="P3488" s="5" t="s">
        <v>146</v>
      </c>
      <c r="Q3488" s="5" t="s">
        <v>18286</v>
      </c>
      <c r="R3488" s="5" t="s">
        <v>821</v>
      </c>
      <c r="S3488" s="5">
        <v>0</v>
      </c>
      <c r="T3488" s="5">
        <v>0</v>
      </c>
      <c r="U3488" s="5">
        <v>0</v>
      </c>
      <c r="V3488" s="5">
        <v>0</v>
      </c>
      <c r="W3488" s="5">
        <v>0</v>
      </c>
      <c r="X3488" s="5">
        <v>0</v>
      </c>
      <c r="Y3488" s="5">
        <v>0</v>
      </c>
      <c r="Z3488" s="5">
        <v>0</v>
      </c>
      <c r="AA3488" s="5">
        <v>0</v>
      </c>
      <c r="AB3488" s="5">
        <v>0</v>
      </c>
      <c r="AC3488" s="5">
        <v>0</v>
      </c>
      <c r="AD3488" s="5">
        <v>0</v>
      </c>
      <c r="AE3488" s="5" t="s">
        <v>73</v>
      </c>
      <c r="AF3488" s="5" t="s">
        <v>860</v>
      </c>
      <c r="AG3488" s="5" t="s">
        <v>8837</v>
      </c>
      <c r="AH3488" s="43">
        <v>44726</v>
      </c>
      <c r="AI3488" s="5">
        <v>0</v>
      </c>
      <c r="AJ3488" s="5" t="s">
        <v>20106</v>
      </c>
      <c r="AK3488" s="5" t="s">
        <v>20107</v>
      </c>
    </row>
    <row r="3489" spans="1:37" ht="36.75" customHeight="1" x14ac:dyDescent="0.35">
      <c r="A3489" s="21" t="s">
        <v>12448</v>
      </c>
      <c r="B3489" s="5" t="s">
        <v>887</v>
      </c>
      <c r="C3489" s="73" t="str">
        <f t="shared" si="64"/>
        <v>Open</v>
      </c>
      <c r="D3489" s="47" t="s">
        <v>20108</v>
      </c>
      <c r="E3489" s="54" t="s">
        <v>20109</v>
      </c>
      <c r="F3489" s="5" t="s">
        <v>14722</v>
      </c>
      <c r="G3489" s="9">
        <f>DATE(2022,6,15)</f>
        <v>44727</v>
      </c>
      <c r="H3489" s="107">
        <v>1.0034722222222223</v>
      </c>
      <c r="I3489" s="5" t="s">
        <v>259</v>
      </c>
      <c r="J3489" s="5" t="s">
        <v>20110</v>
      </c>
      <c r="K3489" s="5" t="s">
        <v>1753</v>
      </c>
      <c r="L3489" s="5" t="s">
        <v>8695</v>
      </c>
      <c r="M3489" s="5" t="s">
        <v>45</v>
      </c>
      <c r="N3489" s="5" t="s">
        <v>123</v>
      </c>
      <c r="O3489" s="5" t="s">
        <v>46</v>
      </c>
      <c r="P3489" s="5" t="s">
        <v>146</v>
      </c>
      <c r="Q3489" s="5" t="s">
        <v>20111</v>
      </c>
      <c r="R3489" s="5" t="s">
        <v>1756</v>
      </c>
      <c r="S3489" s="5">
        <v>0</v>
      </c>
      <c r="T3489" s="5">
        <v>1</v>
      </c>
      <c r="U3489" s="5">
        <v>0</v>
      </c>
      <c r="V3489" s="5">
        <v>0</v>
      </c>
      <c r="W3489" s="5">
        <v>0</v>
      </c>
      <c r="X3489" s="5">
        <v>1</v>
      </c>
      <c r="Y3489" s="5">
        <v>0</v>
      </c>
      <c r="Z3489" s="5">
        <v>1</v>
      </c>
      <c r="AA3489" s="5">
        <v>0</v>
      </c>
      <c r="AB3489" s="5">
        <v>0</v>
      </c>
      <c r="AC3489" s="5">
        <v>0</v>
      </c>
      <c r="AD3489" s="5">
        <v>1</v>
      </c>
      <c r="AE3489" s="5" t="s">
        <v>73</v>
      </c>
      <c r="AF3489" s="5" t="s">
        <v>20112</v>
      </c>
      <c r="AG3489" s="5" t="s">
        <v>6438</v>
      </c>
      <c r="AH3489" s="43">
        <v>44727</v>
      </c>
      <c r="AI3489" s="5"/>
      <c r="AJ3489" s="5"/>
      <c r="AK3489" s="5"/>
    </row>
    <row r="3490" spans="1:37" ht="36.75" customHeight="1" x14ac:dyDescent="0.35">
      <c r="A3490" s="21" t="s">
        <v>12448</v>
      </c>
      <c r="B3490" s="5" t="s">
        <v>887</v>
      </c>
      <c r="C3490" s="73" t="str">
        <f t="shared" si="64"/>
        <v>Open</v>
      </c>
      <c r="D3490" s="47" t="s">
        <v>20113</v>
      </c>
      <c r="E3490" s="54" t="s">
        <v>20114</v>
      </c>
      <c r="F3490" s="5" t="s">
        <v>16397</v>
      </c>
      <c r="G3490" s="9">
        <f>DATE(2022,6,19)</f>
        <v>44731</v>
      </c>
      <c r="H3490" s="107">
        <v>1.40625</v>
      </c>
      <c r="I3490" s="5" t="s">
        <v>55</v>
      </c>
      <c r="J3490" s="5" t="s">
        <v>20115</v>
      </c>
      <c r="K3490" s="5" t="s">
        <v>406</v>
      </c>
      <c r="L3490" s="5" t="s">
        <v>20116</v>
      </c>
      <c r="M3490" s="5" t="s">
        <v>45</v>
      </c>
      <c r="N3490" s="5" t="s">
        <v>80</v>
      </c>
      <c r="O3490" s="5" t="s">
        <v>59</v>
      </c>
      <c r="P3490" s="5" t="s">
        <v>146</v>
      </c>
      <c r="Q3490" s="5" t="s">
        <v>19969</v>
      </c>
      <c r="R3490" s="5" t="s">
        <v>568</v>
      </c>
      <c r="S3490" s="5">
        <v>0</v>
      </c>
      <c r="T3490" s="5">
        <v>1</v>
      </c>
      <c r="U3490" s="5">
        <v>0</v>
      </c>
      <c r="V3490" s="5">
        <v>0</v>
      </c>
      <c r="W3490" s="5">
        <v>0</v>
      </c>
      <c r="X3490" s="5">
        <v>1</v>
      </c>
      <c r="Y3490" s="5">
        <v>0</v>
      </c>
      <c r="Z3490" s="5">
        <v>0</v>
      </c>
      <c r="AA3490" s="5">
        <v>0</v>
      </c>
      <c r="AB3490" s="5">
        <v>0</v>
      </c>
      <c r="AC3490" s="5">
        <v>0</v>
      </c>
      <c r="AD3490" s="5">
        <v>0</v>
      </c>
      <c r="AE3490" s="5" t="s">
        <v>375</v>
      </c>
      <c r="AF3490" s="5" t="s">
        <v>19970</v>
      </c>
      <c r="AG3490" s="5" t="s">
        <v>16251</v>
      </c>
      <c r="AH3490" s="43">
        <v>44731</v>
      </c>
      <c r="AI3490" s="5"/>
      <c r="AJ3490" s="5"/>
      <c r="AK3490" s="5"/>
    </row>
    <row r="3491" spans="1:37" ht="36.75" customHeight="1" x14ac:dyDescent="0.35">
      <c r="A3491" s="21" t="s">
        <v>12448</v>
      </c>
      <c r="B3491" s="5" t="s">
        <v>37</v>
      </c>
      <c r="C3491" s="73" t="str">
        <f t="shared" si="64"/>
        <v>Closed</v>
      </c>
      <c r="D3491" s="47" t="s">
        <v>20117</v>
      </c>
      <c r="E3491" s="54" t="s">
        <v>20118</v>
      </c>
      <c r="F3491" s="5" t="s">
        <v>17018</v>
      </c>
      <c r="G3491" s="9">
        <f>DATE(2022,6,20)</f>
        <v>44732</v>
      </c>
      <c r="H3491" s="107">
        <v>1.5381944444444444</v>
      </c>
      <c r="I3491" s="5" t="s">
        <v>179</v>
      </c>
      <c r="J3491" s="5" t="s">
        <v>20119</v>
      </c>
      <c r="K3491" s="5" t="s">
        <v>2318</v>
      </c>
      <c r="L3491" s="5" t="s">
        <v>20120</v>
      </c>
      <c r="M3491" s="5" t="s">
        <v>45</v>
      </c>
      <c r="N3491" s="5" t="s">
        <v>123</v>
      </c>
      <c r="O3491" s="5" t="s">
        <v>59</v>
      </c>
      <c r="P3491" s="5" t="s">
        <v>146</v>
      </c>
      <c r="Q3491" s="5" t="s">
        <v>19969</v>
      </c>
      <c r="R3491" s="5" t="s">
        <v>568</v>
      </c>
      <c r="S3491" s="5">
        <v>0</v>
      </c>
      <c r="T3491" s="5">
        <v>1</v>
      </c>
      <c r="U3491" s="5">
        <v>0</v>
      </c>
      <c r="V3491" s="5">
        <v>0</v>
      </c>
      <c r="W3491" s="5">
        <v>0</v>
      </c>
      <c r="X3491" s="5">
        <v>1</v>
      </c>
      <c r="Y3491" s="5">
        <v>0</v>
      </c>
      <c r="Z3491" s="5">
        <v>0</v>
      </c>
      <c r="AA3491" s="5">
        <v>0</v>
      </c>
      <c r="AB3491" s="5">
        <v>0</v>
      </c>
      <c r="AC3491" s="5">
        <v>0</v>
      </c>
      <c r="AD3491" s="5">
        <v>0</v>
      </c>
      <c r="AE3491" s="5" t="s">
        <v>375</v>
      </c>
      <c r="AF3491" s="5" t="s">
        <v>19970</v>
      </c>
      <c r="AG3491" s="5" t="s">
        <v>13508</v>
      </c>
      <c r="AH3491" s="43">
        <v>44741</v>
      </c>
      <c r="AI3491" s="5">
        <v>3</v>
      </c>
      <c r="AJ3491" s="5" t="s">
        <v>20121</v>
      </c>
      <c r="AK3491" s="5" t="s">
        <v>20122</v>
      </c>
    </row>
    <row r="3492" spans="1:37" ht="36.75" customHeight="1" x14ac:dyDescent="0.35">
      <c r="A3492" s="21" t="s">
        <v>12448</v>
      </c>
      <c r="B3492" s="5" t="s">
        <v>37</v>
      </c>
      <c r="C3492" s="73" t="str">
        <f t="shared" si="64"/>
        <v>Closed</v>
      </c>
      <c r="D3492" s="47" t="s">
        <v>20123</v>
      </c>
      <c r="E3492" s="54" t="s">
        <v>20124</v>
      </c>
      <c r="F3492" s="5" t="s">
        <v>17638</v>
      </c>
      <c r="G3492" s="9">
        <f>DATE(2022,6,22)</f>
        <v>44734</v>
      </c>
      <c r="H3492" s="107">
        <v>1.6111111111111112</v>
      </c>
      <c r="I3492" s="5" t="s">
        <v>106</v>
      </c>
      <c r="J3492" s="5" t="s">
        <v>20125</v>
      </c>
      <c r="K3492" s="5" t="s">
        <v>1555</v>
      </c>
      <c r="L3492" s="5" t="s">
        <v>20126</v>
      </c>
      <c r="M3492" s="5" t="s">
        <v>45</v>
      </c>
      <c r="N3492" s="5" t="s">
        <v>123</v>
      </c>
      <c r="O3492" s="5" t="s">
        <v>46</v>
      </c>
      <c r="P3492" s="5" t="s">
        <v>47</v>
      </c>
      <c r="Q3492" s="5" t="s">
        <v>19969</v>
      </c>
      <c r="R3492" s="5" t="s">
        <v>568</v>
      </c>
      <c r="S3492" s="5">
        <v>0</v>
      </c>
      <c r="T3492" s="5">
        <v>1</v>
      </c>
      <c r="U3492" s="5">
        <v>0</v>
      </c>
      <c r="V3492" s="5">
        <v>0</v>
      </c>
      <c r="W3492" s="5">
        <v>0</v>
      </c>
      <c r="X3492" s="5">
        <v>1</v>
      </c>
      <c r="Y3492" s="5">
        <v>0</v>
      </c>
      <c r="Z3492" s="5">
        <v>0</v>
      </c>
      <c r="AA3492" s="5">
        <v>0</v>
      </c>
      <c r="AB3492" s="5">
        <v>0</v>
      </c>
      <c r="AC3492" s="5">
        <v>0</v>
      </c>
      <c r="AD3492" s="5">
        <v>0</v>
      </c>
      <c r="AE3492" s="5" t="s">
        <v>375</v>
      </c>
      <c r="AF3492" s="5" t="s">
        <v>19970</v>
      </c>
      <c r="AG3492" s="5" t="s">
        <v>8837</v>
      </c>
      <c r="AH3492" s="43">
        <v>44735</v>
      </c>
      <c r="AI3492" s="5">
        <v>0</v>
      </c>
      <c r="AJ3492" s="5" t="s">
        <v>20127</v>
      </c>
      <c r="AK3492" s="5" t="s">
        <v>20128</v>
      </c>
    </row>
    <row r="3493" spans="1:37" ht="36.75" customHeight="1" x14ac:dyDescent="0.35">
      <c r="A3493" s="21" t="s">
        <v>12448</v>
      </c>
      <c r="B3493" s="5" t="s">
        <v>37</v>
      </c>
      <c r="C3493" s="73" t="str">
        <f t="shared" si="64"/>
        <v>Closed</v>
      </c>
      <c r="D3493" s="91" t="s">
        <v>20129</v>
      </c>
      <c r="E3493" s="54" t="s">
        <v>20130</v>
      </c>
      <c r="F3493" s="5" t="s">
        <v>17537</v>
      </c>
      <c r="G3493" s="9">
        <f>DATE(2022,6,26)</f>
        <v>44738</v>
      </c>
      <c r="H3493" s="107">
        <v>1.9027777777777777</v>
      </c>
      <c r="I3493" s="5" t="s">
        <v>468</v>
      </c>
      <c r="J3493" s="5" t="s">
        <v>20131</v>
      </c>
      <c r="K3493" s="5" t="s">
        <v>818</v>
      </c>
      <c r="L3493" s="5" t="s">
        <v>20132</v>
      </c>
      <c r="M3493" s="5" t="s">
        <v>45</v>
      </c>
      <c r="N3493" s="5" t="s">
        <v>80</v>
      </c>
      <c r="O3493" s="5" t="s">
        <v>59</v>
      </c>
      <c r="P3493" s="5" t="s">
        <v>72</v>
      </c>
      <c r="Q3493" s="5" t="s">
        <v>2142</v>
      </c>
      <c r="R3493" s="5" t="s">
        <v>821</v>
      </c>
      <c r="S3493" s="5">
        <v>0</v>
      </c>
      <c r="T3493" s="5">
        <v>0</v>
      </c>
      <c r="U3493" s="5">
        <v>0</v>
      </c>
      <c r="V3493" s="5">
        <v>0</v>
      </c>
      <c r="W3493" s="5">
        <v>0</v>
      </c>
      <c r="X3493" s="5">
        <v>0</v>
      </c>
      <c r="Y3493" s="5">
        <v>0</v>
      </c>
      <c r="Z3493" s="5">
        <v>0</v>
      </c>
      <c r="AA3493" s="5">
        <v>0</v>
      </c>
      <c r="AB3493" s="5">
        <v>0</v>
      </c>
      <c r="AC3493" s="5">
        <v>0</v>
      </c>
      <c r="AD3493" s="5">
        <v>0</v>
      </c>
      <c r="AE3493" s="5" t="s">
        <v>73</v>
      </c>
      <c r="AF3493" s="5">
        <v>0</v>
      </c>
      <c r="AG3493" s="5" t="s">
        <v>14532</v>
      </c>
      <c r="AH3493" s="43">
        <v>44741</v>
      </c>
      <c r="AI3493" s="5">
        <v>1</v>
      </c>
      <c r="AJ3493" s="5" t="s">
        <v>20133</v>
      </c>
      <c r="AK3493" s="5" t="s">
        <v>20134</v>
      </c>
    </row>
    <row r="3494" spans="1:37" ht="36.75" customHeight="1" x14ac:dyDescent="0.35">
      <c r="A3494" s="21" t="s">
        <v>12448</v>
      </c>
      <c r="B3494" s="5" t="s">
        <v>37</v>
      </c>
      <c r="C3494" s="73" t="str">
        <f t="shared" si="64"/>
        <v>Closed</v>
      </c>
      <c r="D3494" s="47" t="s">
        <v>20136</v>
      </c>
      <c r="E3494" s="54" t="s">
        <v>20137</v>
      </c>
      <c r="F3494" s="5" t="s">
        <v>16397</v>
      </c>
      <c r="G3494" s="9">
        <f>DATE(2022,6,27)</f>
        <v>44739</v>
      </c>
      <c r="H3494" s="107">
        <v>1.2104166666666667</v>
      </c>
      <c r="I3494" s="5" t="s">
        <v>179</v>
      </c>
      <c r="J3494" s="5" t="s">
        <v>20138</v>
      </c>
      <c r="K3494" s="5" t="s">
        <v>406</v>
      </c>
      <c r="L3494" s="5" t="s">
        <v>10601</v>
      </c>
      <c r="M3494" s="5" t="s">
        <v>45</v>
      </c>
      <c r="N3494" s="5" t="s">
        <v>123</v>
      </c>
      <c r="O3494" s="5" t="s">
        <v>59</v>
      </c>
      <c r="P3494" s="5" t="s">
        <v>4422</v>
      </c>
      <c r="Q3494" s="5" t="s">
        <v>19969</v>
      </c>
      <c r="R3494" s="5" t="s">
        <v>568</v>
      </c>
      <c r="S3494" s="5">
        <v>0</v>
      </c>
      <c r="T3494" s="5">
        <v>1</v>
      </c>
      <c r="U3494" s="5">
        <v>0</v>
      </c>
      <c r="V3494" s="5">
        <v>0</v>
      </c>
      <c r="W3494" s="5">
        <v>0</v>
      </c>
      <c r="X3494" s="5">
        <v>1</v>
      </c>
      <c r="Y3494" s="5">
        <v>0</v>
      </c>
      <c r="Z3494" s="5">
        <v>0</v>
      </c>
      <c r="AA3494" s="5">
        <v>0</v>
      </c>
      <c r="AB3494" s="5">
        <v>0</v>
      </c>
      <c r="AC3494" s="5">
        <v>0</v>
      </c>
      <c r="AD3494" s="5">
        <v>0</v>
      </c>
      <c r="AE3494" s="5" t="s">
        <v>375</v>
      </c>
      <c r="AF3494" s="5" t="s">
        <v>19970</v>
      </c>
      <c r="AG3494" s="5" t="s">
        <v>6438</v>
      </c>
      <c r="AH3494" s="43">
        <v>44739</v>
      </c>
      <c r="AI3494" s="5">
        <v>1</v>
      </c>
      <c r="AJ3494" s="5" t="s">
        <v>20139</v>
      </c>
      <c r="AK3494" s="5" t="s">
        <v>860</v>
      </c>
    </row>
    <row r="3495" spans="1:37" ht="36.75" customHeight="1" x14ac:dyDescent="0.35">
      <c r="A3495" s="21" t="s">
        <v>12448</v>
      </c>
      <c r="B3495" s="5" t="s">
        <v>37</v>
      </c>
      <c r="C3495" s="73" t="str">
        <f t="shared" si="64"/>
        <v>Closed</v>
      </c>
      <c r="D3495" s="47" t="s">
        <v>20140</v>
      </c>
      <c r="E3495" s="54" t="s">
        <v>20141</v>
      </c>
      <c r="F3495" s="5" t="s">
        <v>16397</v>
      </c>
      <c r="G3495" s="9">
        <f>DATE(2022,6,27)</f>
        <v>44739</v>
      </c>
      <c r="H3495" s="107">
        <v>1.413888888888889</v>
      </c>
      <c r="I3495" s="5" t="s">
        <v>10353</v>
      </c>
      <c r="J3495" s="5" t="s">
        <v>20142</v>
      </c>
      <c r="K3495" s="5" t="s">
        <v>406</v>
      </c>
      <c r="L3495" s="5" t="s">
        <v>20143</v>
      </c>
      <c r="M3495" s="5" t="s">
        <v>45</v>
      </c>
      <c r="N3495" s="5" t="s">
        <v>123</v>
      </c>
      <c r="O3495" s="5" t="s">
        <v>59</v>
      </c>
      <c r="P3495" s="5" t="s">
        <v>72</v>
      </c>
      <c r="Q3495" s="5" t="s">
        <v>19969</v>
      </c>
      <c r="R3495" s="5" t="s">
        <v>568</v>
      </c>
      <c r="S3495" s="5">
        <v>0</v>
      </c>
      <c r="T3495" s="5">
        <v>1</v>
      </c>
      <c r="U3495" s="5">
        <v>0</v>
      </c>
      <c r="V3495" s="5">
        <v>0</v>
      </c>
      <c r="W3495" s="5">
        <v>0</v>
      </c>
      <c r="X3495" s="5">
        <v>1</v>
      </c>
      <c r="Y3495" s="5">
        <v>0</v>
      </c>
      <c r="Z3495" s="5">
        <v>0</v>
      </c>
      <c r="AA3495" s="5">
        <v>0</v>
      </c>
      <c r="AB3495" s="5">
        <v>0</v>
      </c>
      <c r="AC3495" s="5">
        <v>0</v>
      </c>
      <c r="AD3495" s="5">
        <v>0</v>
      </c>
      <c r="AE3495" s="5" t="s">
        <v>375</v>
      </c>
      <c r="AF3495" s="5" t="s">
        <v>19970</v>
      </c>
      <c r="AG3495" s="5" t="s">
        <v>16251</v>
      </c>
      <c r="AH3495" s="43">
        <v>44739</v>
      </c>
      <c r="AI3495" s="5">
        <v>0</v>
      </c>
      <c r="AJ3495" s="5" t="s">
        <v>20144</v>
      </c>
      <c r="AK3495" s="5" t="s">
        <v>19044</v>
      </c>
    </row>
    <row r="3496" spans="1:37" ht="36.75" customHeight="1" x14ac:dyDescent="0.35">
      <c r="A3496" s="21" t="s">
        <v>12448</v>
      </c>
      <c r="B3496" s="5" t="s">
        <v>37</v>
      </c>
      <c r="C3496" s="73" t="str">
        <f t="shared" si="64"/>
        <v>Closed</v>
      </c>
      <c r="D3496" s="47" t="s">
        <v>20145</v>
      </c>
      <c r="E3496" s="54" t="s">
        <v>20146</v>
      </c>
      <c r="F3496" s="5" t="s">
        <v>17638</v>
      </c>
      <c r="G3496" s="9">
        <f>DATE(2022,6,29)</f>
        <v>44741</v>
      </c>
      <c r="H3496" s="107">
        <v>1.7222222222222223</v>
      </c>
      <c r="I3496" s="5" t="s">
        <v>55</v>
      </c>
      <c r="J3496" s="5" t="s">
        <v>20147</v>
      </c>
      <c r="K3496" s="5" t="s">
        <v>1555</v>
      </c>
      <c r="L3496" s="5" t="s">
        <v>20148</v>
      </c>
      <c r="M3496" s="5" t="s">
        <v>45</v>
      </c>
      <c r="N3496" s="5" t="s">
        <v>123</v>
      </c>
      <c r="O3496" s="5" t="s">
        <v>46</v>
      </c>
      <c r="P3496" s="5" t="s">
        <v>60</v>
      </c>
      <c r="Q3496" s="5" t="s">
        <v>19623</v>
      </c>
      <c r="R3496" s="5" t="s">
        <v>18956</v>
      </c>
      <c r="S3496" s="5">
        <v>0</v>
      </c>
      <c r="T3496" s="5">
        <v>0</v>
      </c>
      <c r="U3496" s="5">
        <v>0</v>
      </c>
      <c r="V3496" s="5">
        <v>0</v>
      </c>
      <c r="W3496" s="5">
        <v>0</v>
      </c>
      <c r="X3496" s="5">
        <v>0</v>
      </c>
      <c r="Y3496" s="5">
        <v>0</v>
      </c>
      <c r="Z3496" s="5">
        <v>0</v>
      </c>
      <c r="AA3496" s="5">
        <v>0</v>
      </c>
      <c r="AB3496" s="5">
        <v>0</v>
      </c>
      <c r="AC3496" s="5">
        <v>0</v>
      </c>
      <c r="AD3496" s="5">
        <v>0</v>
      </c>
      <c r="AE3496" s="5" t="s">
        <v>375</v>
      </c>
      <c r="AF3496" s="5" t="s">
        <v>20149</v>
      </c>
      <c r="AG3496" s="5" t="s">
        <v>8837</v>
      </c>
      <c r="AH3496" s="43">
        <v>44746</v>
      </c>
      <c r="AI3496" s="5">
        <v>2</v>
      </c>
      <c r="AJ3496" s="5" t="s">
        <v>20150</v>
      </c>
      <c r="AK3496" s="5" t="s">
        <v>20151</v>
      </c>
    </row>
    <row r="3497" spans="1:37" ht="36.75" customHeight="1" x14ac:dyDescent="0.35">
      <c r="A3497" s="21" t="s">
        <v>12448</v>
      </c>
      <c r="B3497" s="5" t="s">
        <v>14851</v>
      </c>
      <c r="C3497" s="73" t="str">
        <f t="shared" si="64"/>
        <v>In progress</v>
      </c>
      <c r="D3497" s="47" t="s">
        <v>20152</v>
      </c>
      <c r="E3497" s="54" t="s">
        <v>20153</v>
      </c>
      <c r="F3497" s="5" t="s">
        <v>16397</v>
      </c>
      <c r="G3497" s="9">
        <f>DATE(2022,6,30)</f>
        <v>44742</v>
      </c>
      <c r="H3497" s="107">
        <v>1.2631944444444445</v>
      </c>
      <c r="I3497" s="5" t="s">
        <v>137</v>
      </c>
      <c r="J3497" s="5" t="s">
        <v>20154</v>
      </c>
      <c r="K3497" s="5" t="s">
        <v>406</v>
      </c>
      <c r="L3497" s="5" t="s">
        <v>20155</v>
      </c>
      <c r="M3497" s="5" t="s">
        <v>45</v>
      </c>
      <c r="N3497" s="5" t="s">
        <v>123</v>
      </c>
      <c r="O3497" s="5" t="s">
        <v>46</v>
      </c>
      <c r="P3497" s="5" t="s">
        <v>47</v>
      </c>
      <c r="Q3497" s="5" t="s">
        <v>18466</v>
      </c>
      <c r="R3497" s="5" t="s">
        <v>17330</v>
      </c>
      <c r="S3497" s="5">
        <v>0</v>
      </c>
      <c r="T3497" s="5">
        <v>0</v>
      </c>
      <c r="U3497" s="5">
        <v>0</v>
      </c>
      <c r="V3497" s="5">
        <v>0</v>
      </c>
      <c r="W3497" s="5">
        <v>0</v>
      </c>
      <c r="X3497" s="5">
        <v>0</v>
      </c>
      <c r="Y3497" s="5">
        <v>0</v>
      </c>
      <c r="Z3497" s="5">
        <v>0</v>
      </c>
      <c r="AA3497" s="5">
        <v>0</v>
      </c>
      <c r="AB3497" s="5">
        <v>0</v>
      </c>
      <c r="AC3497" s="5">
        <v>0</v>
      </c>
      <c r="AD3497" s="5">
        <v>0</v>
      </c>
      <c r="AE3497" s="5" t="s">
        <v>126</v>
      </c>
      <c r="AF3497" s="5" t="s">
        <v>20156</v>
      </c>
      <c r="AG3497" s="119" t="s">
        <v>6438</v>
      </c>
      <c r="AH3497" s="43">
        <v>44742</v>
      </c>
      <c r="AI3497" s="5"/>
      <c r="AJ3497" s="5"/>
      <c r="AK3497" s="5"/>
    </row>
    <row r="3498" spans="1:37" ht="36.75" customHeight="1" x14ac:dyDescent="0.35">
      <c r="A3498" s="21" t="s">
        <v>12448</v>
      </c>
      <c r="B3498" s="5" t="s">
        <v>887</v>
      </c>
      <c r="C3498" s="73" t="str">
        <f t="shared" si="64"/>
        <v>Open</v>
      </c>
      <c r="D3498" s="47" t="s">
        <v>20157</v>
      </c>
      <c r="E3498" s="54" t="s">
        <v>20158</v>
      </c>
      <c r="F3498" s="5" t="s">
        <v>17537</v>
      </c>
      <c r="G3498" s="9">
        <f>DATE(2022,6,30)</f>
        <v>44742</v>
      </c>
      <c r="H3498" s="107">
        <v>1.8611111111111112</v>
      </c>
      <c r="I3498" s="5" t="s">
        <v>67</v>
      </c>
      <c r="J3498" s="5" t="s">
        <v>20159</v>
      </c>
      <c r="K3498" s="5" t="s">
        <v>818</v>
      </c>
      <c r="L3498" s="5" t="s">
        <v>2199</v>
      </c>
      <c r="M3498" s="5" t="s">
        <v>45</v>
      </c>
      <c r="N3498" s="5" t="s">
        <v>70</v>
      </c>
      <c r="O3498" s="5" t="s">
        <v>59</v>
      </c>
      <c r="P3498" s="5" t="s">
        <v>47</v>
      </c>
      <c r="Q3498" s="5" t="s">
        <v>2142</v>
      </c>
      <c r="R3498" s="5" t="s">
        <v>821</v>
      </c>
      <c r="S3498" s="5"/>
      <c r="T3498" s="5"/>
      <c r="U3498" s="5"/>
      <c r="V3498" s="5"/>
      <c r="W3498" s="5"/>
      <c r="X3498" s="5">
        <v>0</v>
      </c>
      <c r="Y3498" s="5"/>
      <c r="Z3498" s="5"/>
      <c r="AA3498" s="5"/>
      <c r="AB3498" s="5"/>
      <c r="AC3498" s="5"/>
      <c r="AD3498" s="5">
        <v>0</v>
      </c>
      <c r="AE3498" s="5" t="s">
        <v>73</v>
      </c>
      <c r="AF3498" s="5" t="s">
        <v>20160</v>
      </c>
      <c r="AG3498" s="5" t="s">
        <v>13508</v>
      </c>
      <c r="AH3498" s="43">
        <v>44743</v>
      </c>
      <c r="AI3498" s="5"/>
      <c r="AJ3498" s="5"/>
      <c r="AK3498" s="5"/>
    </row>
    <row r="3499" spans="1:37" ht="36.75" customHeight="1" x14ac:dyDescent="0.35">
      <c r="A3499" s="21" t="s">
        <v>12448</v>
      </c>
      <c r="B3499" s="5" t="s">
        <v>37</v>
      </c>
      <c r="C3499" s="73" t="str">
        <f t="shared" si="64"/>
        <v>Closed</v>
      </c>
      <c r="D3499" s="47" t="s">
        <v>20161</v>
      </c>
      <c r="E3499" s="98" t="s">
        <v>20162</v>
      </c>
      <c r="F3499" s="5" t="s">
        <v>16397</v>
      </c>
      <c r="G3499" s="9">
        <f>DATE(2022,7,4)</f>
        <v>44746</v>
      </c>
      <c r="H3499" s="107">
        <v>1.6326388888888888</v>
      </c>
      <c r="I3499" s="5" t="s">
        <v>97</v>
      </c>
      <c r="J3499" s="5" t="s">
        <v>20163</v>
      </c>
      <c r="K3499" s="5" t="s">
        <v>406</v>
      </c>
      <c r="L3499" s="5" t="s">
        <v>20164</v>
      </c>
      <c r="M3499" s="5" t="s">
        <v>45</v>
      </c>
      <c r="N3499" s="5" t="s">
        <v>80</v>
      </c>
      <c r="O3499" s="5" t="s">
        <v>46</v>
      </c>
      <c r="P3499" s="5" t="s">
        <v>146</v>
      </c>
      <c r="Q3499" s="5" t="s">
        <v>18565</v>
      </c>
      <c r="R3499" s="5" t="s">
        <v>17330</v>
      </c>
      <c r="S3499" s="5">
        <v>0</v>
      </c>
      <c r="T3499" s="5">
        <v>0</v>
      </c>
      <c r="U3499" s="5">
        <v>1</v>
      </c>
      <c r="V3499" s="5">
        <v>0</v>
      </c>
      <c r="W3499" s="5">
        <v>0</v>
      </c>
      <c r="X3499" s="5">
        <v>1</v>
      </c>
      <c r="Y3499" s="5">
        <v>0</v>
      </c>
      <c r="Z3499" s="5">
        <v>0</v>
      </c>
      <c r="AA3499" s="5">
        <v>0</v>
      </c>
      <c r="AB3499" s="5">
        <v>0</v>
      </c>
      <c r="AC3499" s="5">
        <v>0</v>
      </c>
      <c r="AD3499" s="5">
        <v>0</v>
      </c>
      <c r="AE3499" s="5" t="s">
        <v>16403</v>
      </c>
      <c r="AF3499" s="5" t="s">
        <v>20165</v>
      </c>
      <c r="AG3499" s="5" t="s">
        <v>16251</v>
      </c>
      <c r="AH3499" s="43">
        <v>44746</v>
      </c>
      <c r="AI3499" s="5">
        <v>1</v>
      </c>
      <c r="AJ3499" s="5" t="s">
        <v>20166</v>
      </c>
      <c r="AK3499" s="5" t="s">
        <v>860</v>
      </c>
    </row>
    <row r="3500" spans="1:37" ht="36.75" customHeight="1" x14ac:dyDescent="0.35">
      <c r="A3500" s="21" t="s">
        <v>12448</v>
      </c>
      <c r="B3500" s="5" t="s">
        <v>37</v>
      </c>
      <c r="C3500" s="73" t="str">
        <f t="shared" si="64"/>
        <v>Closed</v>
      </c>
      <c r="D3500" s="47" t="s">
        <v>20167</v>
      </c>
      <c r="E3500" s="54" t="s">
        <v>20168</v>
      </c>
      <c r="F3500" s="5" t="s">
        <v>17638</v>
      </c>
      <c r="G3500" s="9">
        <f>DATE(2022,7,8)</f>
        <v>44750</v>
      </c>
      <c r="H3500" s="107">
        <v>1.0729166666666667</v>
      </c>
      <c r="I3500" s="5" t="s">
        <v>55</v>
      </c>
      <c r="J3500" s="5" t="s">
        <v>20169</v>
      </c>
      <c r="K3500" s="5" t="s">
        <v>1555</v>
      </c>
      <c r="L3500" s="5" t="s">
        <v>14904</v>
      </c>
      <c r="M3500" s="5" t="s">
        <v>45</v>
      </c>
      <c r="N3500" s="5" t="s">
        <v>80</v>
      </c>
      <c r="O3500" s="5" t="s">
        <v>59</v>
      </c>
      <c r="P3500" s="5" t="s">
        <v>60</v>
      </c>
      <c r="Q3500" s="5" t="s">
        <v>18008</v>
      </c>
      <c r="R3500" s="5" t="s">
        <v>17642</v>
      </c>
      <c r="S3500" s="5">
        <v>0</v>
      </c>
      <c r="T3500" s="5">
        <v>0</v>
      </c>
      <c r="U3500" s="5">
        <v>0</v>
      </c>
      <c r="V3500" s="5">
        <v>0</v>
      </c>
      <c r="W3500" s="5">
        <v>0</v>
      </c>
      <c r="X3500" s="5">
        <v>0</v>
      </c>
      <c r="Y3500" s="5">
        <v>0</v>
      </c>
      <c r="Z3500" s="5">
        <v>0</v>
      </c>
      <c r="AA3500" s="5">
        <v>0</v>
      </c>
      <c r="AB3500" s="5">
        <v>0</v>
      </c>
      <c r="AC3500" s="5">
        <v>0</v>
      </c>
      <c r="AD3500" s="5">
        <v>0</v>
      </c>
      <c r="AE3500" s="5" t="s">
        <v>73</v>
      </c>
      <c r="AF3500" s="5" t="s">
        <v>20170</v>
      </c>
      <c r="AG3500" s="5" t="s">
        <v>8837</v>
      </c>
      <c r="AH3500" s="43">
        <v>44753</v>
      </c>
      <c r="AI3500" s="5">
        <v>0</v>
      </c>
      <c r="AJ3500" s="5" t="s">
        <v>20171</v>
      </c>
      <c r="AK3500" s="5" t="s">
        <v>20172</v>
      </c>
    </row>
    <row r="3501" spans="1:37" ht="36.75" customHeight="1" x14ac:dyDescent="0.35">
      <c r="A3501" s="21" t="s">
        <v>12448</v>
      </c>
      <c r="B3501" s="5" t="s">
        <v>37</v>
      </c>
      <c r="C3501" s="73" t="str">
        <f t="shared" si="64"/>
        <v>Closed</v>
      </c>
      <c r="D3501" s="47" t="s">
        <v>20173</v>
      </c>
      <c r="E3501" s="54" t="s">
        <v>20174</v>
      </c>
      <c r="F3501" s="5" t="s">
        <v>17537</v>
      </c>
      <c r="G3501" s="9">
        <f>DATE(2022,7,10)</f>
        <v>44752</v>
      </c>
      <c r="H3501" s="107">
        <v>1.0138888888888888</v>
      </c>
      <c r="I3501" s="5" t="s">
        <v>179</v>
      </c>
      <c r="J3501" s="5" t="s">
        <v>20175</v>
      </c>
      <c r="K3501" s="5" t="s">
        <v>818</v>
      </c>
      <c r="L3501" s="5" t="s">
        <v>20176</v>
      </c>
      <c r="M3501" s="5" t="s">
        <v>45</v>
      </c>
      <c r="N3501" s="5" t="s">
        <v>123</v>
      </c>
      <c r="O3501" s="5" t="s">
        <v>46</v>
      </c>
      <c r="P3501" s="5" t="s">
        <v>60</v>
      </c>
      <c r="Q3501" s="5" t="s">
        <v>2142</v>
      </c>
      <c r="R3501" s="5" t="s">
        <v>20177</v>
      </c>
      <c r="S3501" s="5">
        <v>0</v>
      </c>
      <c r="T3501" s="5">
        <v>0</v>
      </c>
      <c r="U3501" s="5">
        <v>0</v>
      </c>
      <c r="V3501" s="5">
        <v>0</v>
      </c>
      <c r="W3501" s="5">
        <v>0</v>
      </c>
      <c r="X3501" s="5">
        <v>0</v>
      </c>
      <c r="Y3501" s="5">
        <v>0</v>
      </c>
      <c r="Z3501" s="5">
        <v>0</v>
      </c>
      <c r="AA3501" s="5">
        <v>0</v>
      </c>
      <c r="AB3501" s="5">
        <v>0</v>
      </c>
      <c r="AC3501" s="5">
        <v>0</v>
      </c>
      <c r="AD3501" s="5">
        <v>5</v>
      </c>
      <c r="AE3501" s="5" t="s">
        <v>375</v>
      </c>
      <c r="AF3501" s="5" t="s">
        <v>20178</v>
      </c>
      <c r="AG3501" s="5" t="s">
        <v>8837</v>
      </c>
      <c r="AH3501" s="43">
        <v>44753</v>
      </c>
      <c r="AI3501" s="5">
        <v>0</v>
      </c>
      <c r="AJ3501" s="5" t="s">
        <v>11546</v>
      </c>
      <c r="AK3501" s="5" t="s">
        <v>10534</v>
      </c>
    </row>
    <row r="3502" spans="1:37" ht="36.75" customHeight="1" x14ac:dyDescent="0.35">
      <c r="A3502" s="21" t="s">
        <v>12448</v>
      </c>
      <c r="B3502" s="5" t="s">
        <v>37</v>
      </c>
      <c r="C3502" s="73" t="str">
        <f t="shared" si="64"/>
        <v>Closed</v>
      </c>
      <c r="D3502" s="91" t="s">
        <v>20179</v>
      </c>
      <c r="E3502" s="54" t="s">
        <v>20180</v>
      </c>
      <c r="F3502" s="5" t="s">
        <v>17537</v>
      </c>
      <c r="G3502" s="9">
        <f>DATE(2022,7,11)</f>
        <v>44753</v>
      </c>
      <c r="H3502" s="107">
        <v>1.5659722222222223</v>
      </c>
      <c r="I3502" s="5" t="s">
        <v>179</v>
      </c>
      <c r="J3502" s="5" t="s">
        <v>20181</v>
      </c>
      <c r="K3502" s="5" t="s">
        <v>818</v>
      </c>
      <c r="L3502" s="5" t="s">
        <v>20182</v>
      </c>
      <c r="M3502" s="5" t="s">
        <v>45</v>
      </c>
      <c r="N3502" s="5" t="s">
        <v>80</v>
      </c>
      <c r="O3502" s="5" t="s">
        <v>46</v>
      </c>
      <c r="P3502" s="5" t="s">
        <v>47</v>
      </c>
      <c r="Q3502" s="5" t="s">
        <v>18286</v>
      </c>
      <c r="R3502" s="5" t="s">
        <v>821</v>
      </c>
      <c r="S3502" s="5">
        <v>0</v>
      </c>
      <c r="T3502" s="5">
        <v>0</v>
      </c>
      <c r="U3502" s="5">
        <v>0</v>
      </c>
      <c r="V3502" s="5">
        <v>0</v>
      </c>
      <c r="W3502" s="5">
        <v>0</v>
      </c>
      <c r="X3502" s="5">
        <v>0</v>
      </c>
      <c r="Y3502" s="5">
        <v>0</v>
      </c>
      <c r="Z3502" s="5">
        <v>0</v>
      </c>
      <c r="AA3502" s="5">
        <v>0</v>
      </c>
      <c r="AB3502" s="5">
        <v>0</v>
      </c>
      <c r="AC3502" s="5">
        <v>0</v>
      </c>
      <c r="AD3502" s="5">
        <v>0</v>
      </c>
      <c r="AE3502" s="5" t="s">
        <v>73</v>
      </c>
      <c r="AF3502" s="5" t="s">
        <v>20183</v>
      </c>
      <c r="AG3502" s="5" t="s">
        <v>8837</v>
      </c>
      <c r="AH3502" s="43">
        <v>44753</v>
      </c>
      <c r="AI3502" s="5">
        <v>0</v>
      </c>
      <c r="AJ3502" s="5" t="s">
        <v>20184</v>
      </c>
      <c r="AK3502" s="5" t="s">
        <v>20185</v>
      </c>
    </row>
    <row r="3503" spans="1:37" ht="36.75" customHeight="1" x14ac:dyDescent="0.35">
      <c r="A3503" s="5" t="s">
        <v>12448</v>
      </c>
      <c r="B3503" s="5" t="s">
        <v>37</v>
      </c>
      <c r="C3503" s="73" t="str">
        <f t="shared" si="64"/>
        <v>Closed</v>
      </c>
      <c r="D3503" s="47" t="s">
        <v>20186</v>
      </c>
      <c r="E3503" s="54" t="s">
        <v>20187</v>
      </c>
      <c r="F3503" s="5" t="s">
        <v>16397</v>
      </c>
      <c r="G3503" s="9">
        <f>DATE(2022,7,13)</f>
        <v>44755</v>
      </c>
      <c r="H3503" s="107">
        <v>1.5805555555555557</v>
      </c>
      <c r="I3503" s="5" t="s">
        <v>55</v>
      </c>
      <c r="J3503" s="5" t="s">
        <v>20188</v>
      </c>
      <c r="K3503" s="5" t="s">
        <v>406</v>
      </c>
      <c r="L3503" s="5" t="s">
        <v>10601</v>
      </c>
      <c r="M3503" s="5" t="s">
        <v>45</v>
      </c>
      <c r="N3503" s="5" t="s">
        <v>123</v>
      </c>
      <c r="O3503" s="5" t="s">
        <v>59</v>
      </c>
      <c r="P3503" s="5" t="s">
        <v>60</v>
      </c>
      <c r="Q3503" s="5" t="s">
        <v>18043</v>
      </c>
      <c r="R3503" s="5" t="s">
        <v>18565</v>
      </c>
      <c r="S3503" s="5">
        <v>0</v>
      </c>
      <c r="T3503" s="5">
        <v>0</v>
      </c>
      <c r="U3503" s="5">
        <v>0</v>
      </c>
      <c r="V3503" s="5">
        <v>0</v>
      </c>
      <c r="W3503" s="5">
        <v>0</v>
      </c>
      <c r="X3503" s="5">
        <v>0</v>
      </c>
      <c r="Y3503" s="5">
        <v>0</v>
      </c>
      <c r="Z3503" s="5">
        <v>0</v>
      </c>
      <c r="AA3503" s="5">
        <v>0</v>
      </c>
      <c r="AB3503" s="5">
        <v>0</v>
      </c>
      <c r="AC3503" s="5">
        <v>0</v>
      </c>
      <c r="AD3503" s="5">
        <v>0</v>
      </c>
      <c r="AE3503" s="5" t="s">
        <v>16403</v>
      </c>
      <c r="AF3503" s="5" t="s">
        <v>20189</v>
      </c>
      <c r="AG3503" s="5" t="s">
        <v>16251</v>
      </c>
      <c r="AH3503" s="43">
        <v>44755</v>
      </c>
      <c r="AI3503" s="5">
        <v>0</v>
      </c>
      <c r="AJ3503" s="5" t="s">
        <v>20190</v>
      </c>
      <c r="AK3503" s="5" t="s">
        <v>860</v>
      </c>
    </row>
    <row r="3504" spans="1:37" ht="36.75" customHeight="1" x14ac:dyDescent="0.35">
      <c r="A3504" s="21" t="s">
        <v>12448</v>
      </c>
      <c r="B3504" s="5" t="s">
        <v>887</v>
      </c>
      <c r="C3504" s="73" t="str">
        <f t="shared" si="64"/>
        <v>Open</v>
      </c>
      <c r="D3504" s="47" t="s">
        <v>20191</v>
      </c>
      <c r="E3504" s="54" t="s">
        <v>20192</v>
      </c>
      <c r="F3504" s="5" t="s">
        <v>16278</v>
      </c>
      <c r="G3504" s="9">
        <f>DATE(2022,7,14)</f>
        <v>44756</v>
      </c>
      <c r="H3504" s="107">
        <v>1.6770833333333335</v>
      </c>
      <c r="I3504" s="5" t="s">
        <v>18633</v>
      </c>
      <c r="J3504" s="5" t="s">
        <v>20193</v>
      </c>
      <c r="K3504" s="5" t="s">
        <v>99</v>
      </c>
      <c r="L3504" s="5" t="s">
        <v>20194</v>
      </c>
      <c r="M3504" s="5" t="s">
        <v>45</v>
      </c>
      <c r="N3504" s="5" t="s">
        <v>123</v>
      </c>
      <c r="O3504" s="5" t="s">
        <v>46</v>
      </c>
      <c r="P3504" s="5" t="s">
        <v>60</v>
      </c>
      <c r="Q3504" s="5" t="s">
        <v>20195</v>
      </c>
      <c r="R3504" s="5" t="s">
        <v>16282</v>
      </c>
      <c r="S3504" s="5">
        <v>0</v>
      </c>
      <c r="T3504" s="5">
        <v>0</v>
      </c>
      <c r="U3504" s="5">
        <v>0</v>
      </c>
      <c r="V3504" s="5">
        <v>0</v>
      </c>
      <c r="W3504" s="5">
        <v>0</v>
      </c>
      <c r="X3504" s="5">
        <v>0</v>
      </c>
      <c r="Y3504" s="5">
        <v>0</v>
      </c>
      <c r="Z3504" s="5">
        <v>0</v>
      </c>
      <c r="AA3504" s="5">
        <v>0</v>
      </c>
      <c r="AB3504" s="5">
        <v>0</v>
      </c>
      <c r="AC3504" s="5">
        <v>0</v>
      </c>
      <c r="AD3504" s="5">
        <v>0</v>
      </c>
      <c r="AE3504" s="5" t="s">
        <v>126</v>
      </c>
      <c r="AF3504" s="5" t="s">
        <v>20196</v>
      </c>
      <c r="AG3504" s="5" t="s">
        <v>8837</v>
      </c>
      <c r="AH3504" s="43">
        <v>44775</v>
      </c>
      <c r="AI3504" s="5"/>
      <c r="AJ3504" s="5"/>
      <c r="AK3504" s="5"/>
    </row>
    <row r="3505" spans="1:37" ht="36.75" customHeight="1" x14ac:dyDescent="0.35">
      <c r="A3505" s="21" t="s">
        <v>12448</v>
      </c>
      <c r="B3505" s="5" t="s">
        <v>37</v>
      </c>
      <c r="C3505" s="73" t="str">
        <f t="shared" si="64"/>
        <v>Closed</v>
      </c>
      <c r="D3505" s="47" t="s">
        <v>20197</v>
      </c>
      <c r="E3505" s="54" t="s">
        <v>20198</v>
      </c>
      <c r="F3505" s="5" t="s">
        <v>17638</v>
      </c>
      <c r="G3505" s="9">
        <f>DATE(2022,7,19)</f>
        <v>44761</v>
      </c>
      <c r="H3505" s="107">
        <v>1.7083333333333335</v>
      </c>
      <c r="I3505" s="5" t="s">
        <v>106</v>
      </c>
      <c r="J3505" s="5" t="s">
        <v>20199</v>
      </c>
      <c r="K3505" s="5" t="s">
        <v>1555</v>
      </c>
      <c r="L3505" s="5" t="s">
        <v>20200</v>
      </c>
      <c r="M3505" s="5" t="s">
        <v>45</v>
      </c>
      <c r="N3505" s="5" t="s">
        <v>80</v>
      </c>
      <c r="O3505" s="5" t="s">
        <v>46</v>
      </c>
      <c r="P3505" s="5" t="s">
        <v>146</v>
      </c>
      <c r="Q3505" s="5" t="s">
        <v>18690</v>
      </c>
      <c r="R3505" s="5" t="s">
        <v>18956</v>
      </c>
      <c r="S3505" s="5">
        <v>0</v>
      </c>
      <c r="T3505" s="5">
        <v>0</v>
      </c>
      <c r="U3505" s="5">
        <v>0</v>
      </c>
      <c r="V3505" s="5">
        <v>0</v>
      </c>
      <c r="W3505" s="5">
        <v>0</v>
      </c>
      <c r="X3505" s="5">
        <v>0</v>
      </c>
      <c r="Y3505" s="5">
        <v>0</v>
      </c>
      <c r="Z3505" s="5">
        <v>0</v>
      </c>
      <c r="AA3505" s="5">
        <v>0</v>
      </c>
      <c r="AB3505" s="5">
        <v>0</v>
      </c>
      <c r="AC3505" s="5">
        <v>0</v>
      </c>
      <c r="AD3505" s="5">
        <v>0</v>
      </c>
      <c r="AE3505" s="5" t="s">
        <v>375</v>
      </c>
      <c r="AF3505" s="5" t="s">
        <v>20201</v>
      </c>
      <c r="AG3505" s="5" t="s">
        <v>8837</v>
      </c>
      <c r="AH3505" s="43">
        <v>44762</v>
      </c>
      <c r="AI3505" s="5">
        <v>1</v>
      </c>
      <c r="AJ3505" s="5" t="s">
        <v>20202</v>
      </c>
      <c r="AK3505" s="5" t="s">
        <v>6998</v>
      </c>
    </row>
    <row r="3506" spans="1:37" ht="36.75" customHeight="1" x14ac:dyDescent="0.35">
      <c r="A3506" s="21" t="s">
        <v>12448</v>
      </c>
      <c r="B3506" s="5" t="s">
        <v>37</v>
      </c>
      <c r="C3506" s="73" t="str">
        <f t="shared" si="64"/>
        <v>Closed</v>
      </c>
      <c r="D3506" s="47" t="s">
        <v>20203</v>
      </c>
      <c r="E3506" s="85" t="s">
        <v>20204</v>
      </c>
      <c r="F3506" s="69" t="s">
        <v>18076</v>
      </c>
      <c r="G3506" s="9">
        <f>DATE(2022,7,21)</f>
        <v>44763</v>
      </c>
      <c r="H3506" s="107">
        <v>1.3611111111111112</v>
      </c>
      <c r="I3506" s="69" t="s">
        <v>259</v>
      </c>
      <c r="J3506" s="69" t="s">
        <v>20205</v>
      </c>
      <c r="K3506" s="69" t="s">
        <v>360</v>
      </c>
      <c r="L3506" s="69" t="s">
        <v>20206</v>
      </c>
      <c r="M3506" s="69" t="s">
        <v>45</v>
      </c>
      <c r="N3506" s="69" t="s">
        <v>123</v>
      </c>
      <c r="O3506" s="69" t="s">
        <v>59</v>
      </c>
      <c r="P3506" s="69" t="s">
        <v>146</v>
      </c>
      <c r="Q3506" s="69" t="s">
        <v>2886</v>
      </c>
      <c r="R3506" s="69" t="s">
        <v>20207</v>
      </c>
      <c r="S3506" s="69">
        <v>1</v>
      </c>
      <c r="T3506" s="69">
        <v>0</v>
      </c>
      <c r="U3506" s="69">
        <v>0</v>
      </c>
      <c r="V3506" s="69">
        <v>0</v>
      </c>
      <c r="W3506" s="69">
        <v>0</v>
      </c>
      <c r="X3506" s="69">
        <v>1</v>
      </c>
      <c r="Y3506" s="69">
        <v>0</v>
      </c>
      <c r="Z3506" s="69">
        <v>0</v>
      </c>
      <c r="AA3506" s="69">
        <v>0</v>
      </c>
      <c r="AB3506" s="69">
        <v>0</v>
      </c>
      <c r="AC3506" s="69">
        <v>0</v>
      </c>
      <c r="AD3506" s="69">
        <v>0</v>
      </c>
      <c r="AE3506" s="69" t="s">
        <v>73</v>
      </c>
      <c r="AF3506" s="69" t="s">
        <v>19564</v>
      </c>
      <c r="AG3506" s="69" t="s">
        <v>6438</v>
      </c>
      <c r="AH3506" s="43">
        <v>44825</v>
      </c>
      <c r="AI3506" s="69">
        <v>4</v>
      </c>
      <c r="AJ3506" s="69" t="s">
        <v>20208</v>
      </c>
      <c r="AK3506" s="69" t="s">
        <v>20209</v>
      </c>
    </row>
    <row r="3507" spans="1:37" ht="36.75" customHeight="1" x14ac:dyDescent="0.35">
      <c r="A3507" s="21" t="s">
        <v>12448</v>
      </c>
      <c r="B3507" s="5" t="s">
        <v>37</v>
      </c>
      <c r="C3507" s="73" t="str">
        <f t="shared" si="64"/>
        <v>Closed</v>
      </c>
      <c r="D3507" s="47" t="s">
        <v>20210</v>
      </c>
      <c r="E3507" s="85" t="s">
        <v>20211</v>
      </c>
      <c r="F3507" s="69" t="s">
        <v>18076</v>
      </c>
      <c r="G3507" s="9">
        <f>DATE(2022,7,22)</f>
        <v>44764</v>
      </c>
      <c r="H3507" s="107">
        <v>1.6805555555555554</v>
      </c>
      <c r="I3507" s="69" t="s">
        <v>106</v>
      </c>
      <c r="J3507" s="69" t="s">
        <v>20212</v>
      </c>
      <c r="K3507" s="69" t="s">
        <v>360</v>
      </c>
      <c r="L3507" s="69" t="s">
        <v>20213</v>
      </c>
      <c r="M3507" s="69" t="s">
        <v>45</v>
      </c>
      <c r="N3507" s="69" t="s">
        <v>80</v>
      </c>
      <c r="O3507" s="69" t="s">
        <v>46</v>
      </c>
      <c r="P3507" s="69" t="s">
        <v>146</v>
      </c>
      <c r="Q3507" s="69" t="s">
        <v>20214</v>
      </c>
      <c r="R3507" s="69" t="s">
        <v>20215</v>
      </c>
      <c r="S3507" s="69">
        <v>0</v>
      </c>
      <c r="T3507" s="69">
        <v>0</v>
      </c>
      <c r="U3507" s="69">
        <v>0</v>
      </c>
      <c r="V3507" s="69">
        <v>0</v>
      </c>
      <c r="W3507" s="69">
        <v>0</v>
      </c>
      <c r="X3507" s="69">
        <v>0</v>
      </c>
      <c r="Y3507" s="69">
        <v>0</v>
      </c>
      <c r="Z3507" s="69">
        <v>0</v>
      </c>
      <c r="AA3507" s="69">
        <v>0</v>
      </c>
      <c r="AB3507" s="69">
        <v>0</v>
      </c>
      <c r="AC3507" s="69">
        <v>0</v>
      </c>
      <c r="AD3507" s="69">
        <v>0</v>
      </c>
      <c r="AE3507" s="69" t="s">
        <v>126</v>
      </c>
      <c r="AF3507" s="69" t="s">
        <v>20216</v>
      </c>
      <c r="AG3507" s="69" t="s">
        <v>6438</v>
      </c>
      <c r="AH3507" s="43">
        <v>44825</v>
      </c>
      <c r="AI3507" s="69">
        <v>3</v>
      </c>
      <c r="AJ3507" s="69" t="s">
        <v>20217</v>
      </c>
      <c r="AK3507" s="69" t="s">
        <v>20218</v>
      </c>
    </row>
    <row r="3508" spans="1:37" ht="36.75" customHeight="1" x14ac:dyDescent="0.35">
      <c r="A3508" s="21" t="s">
        <v>12448</v>
      </c>
      <c r="B3508" s="5" t="s">
        <v>37</v>
      </c>
      <c r="C3508" s="73" t="str">
        <f t="shared" si="64"/>
        <v>Closed</v>
      </c>
      <c r="D3508" s="47" t="s">
        <v>20219</v>
      </c>
      <c r="E3508" s="54" t="s">
        <v>20220</v>
      </c>
      <c r="F3508" s="5" t="s">
        <v>16397</v>
      </c>
      <c r="G3508" s="9">
        <f>DATE(2022,7,24)</f>
        <v>44766</v>
      </c>
      <c r="H3508" s="107">
        <v>1.6604166666666667</v>
      </c>
      <c r="I3508" s="5" t="s">
        <v>97</v>
      </c>
      <c r="J3508" s="5" t="s">
        <v>20221</v>
      </c>
      <c r="K3508" s="5" t="s">
        <v>406</v>
      </c>
      <c r="L3508" s="5" t="s">
        <v>20222</v>
      </c>
      <c r="M3508" s="5" t="s">
        <v>45</v>
      </c>
      <c r="N3508" s="5" t="s">
        <v>80</v>
      </c>
      <c r="O3508" s="5" t="s">
        <v>46</v>
      </c>
      <c r="P3508" s="5" t="s">
        <v>146</v>
      </c>
      <c r="Q3508" s="5" t="s">
        <v>18565</v>
      </c>
      <c r="R3508" s="5" t="s">
        <v>17330</v>
      </c>
      <c r="S3508" s="5">
        <v>0</v>
      </c>
      <c r="T3508" s="5">
        <v>0</v>
      </c>
      <c r="U3508" s="5">
        <v>1</v>
      </c>
      <c r="V3508" s="5">
        <v>0</v>
      </c>
      <c r="W3508" s="5">
        <v>0</v>
      </c>
      <c r="X3508" s="5">
        <v>1</v>
      </c>
      <c r="Y3508" s="5">
        <v>0</v>
      </c>
      <c r="Z3508" s="5">
        <v>0</v>
      </c>
      <c r="AA3508" s="5">
        <v>1</v>
      </c>
      <c r="AB3508" s="5">
        <v>0</v>
      </c>
      <c r="AC3508" s="5">
        <v>0</v>
      </c>
      <c r="AD3508" s="5">
        <v>1</v>
      </c>
      <c r="AE3508" s="5" t="s">
        <v>73</v>
      </c>
      <c r="AF3508" s="5" t="s">
        <v>20223</v>
      </c>
      <c r="AG3508" s="5" t="s">
        <v>8837</v>
      </c>
      <c r="AH3508" s="43">
        <v>44766</v>
      </c>
      <c r="AI3508" s="5">
        <v>0</v>
      </c>
      <c r="AJ3508" s="5" t="s">
        <v>20224</v>
      </c>
      <c r="AK3508" s="5" t="s">
        <v>860</v>
      </c>
    </row>
    <row r="3509" spans="1:37" ht="36.75" customHeight="1" x14ac:dyDescent="0.35">
      <c r="A3509" s="21" t="s">
        <v>12448</v>
      </c>
      <c r="B3509" s="5" t="s">
        <v>37</v>
      </c>
      <c r="C3509" s="73" t="str">
        <f t="shared" si="64"/>
        <v>Closed</v>
      </c>
      <c r="D3509" s="47" t="s">
        <v>20225</v>
      </c>
      <c r="E3509" s="54" t="s">
        <v>20226</v>
      </c>
      <c r="F3509" s="5" t="s">
        <v>16397</v>
      </c>
      <c r="G3509" s="9">
        <f>DATE(2022,7,24)</f>
        <v>44766</v>
      </c>
      <c r="H3509" s="107">
        <v>1.7298611111111111</v>
      </c>
      <c r="I3509" s="5" t="s">
        <v>97</v>
      </c>
      <c r="J3509" s="5" t="s">
        <v>20227</v>
      </c>
      <c r="K3509" s="5" t="s">
        <v>406</v>
      </c>
      <c r="L3509" s="5" t="s">
        <v>20228</v>
      </c>
      <c r="M3509" s="5" t="s">
        <v>45</v>
      </c>
      <c r="N3509" s="5" t="s">
        <v>80</v>
      </c>
      <c r="O3509" s="5" t="s">
        <v>46</v>
      </c>
      <c r="P3509" s="5" t="s">
        <v>146</v>
      </c>
      <c r="Q3509" s="5" t="s">
        <v>18565</v>
      </c>
      <c r="R3509" s="5" t="s">
        <v>17330</v>
      </c>
      <c r="S3509" s="5">
        <v>0</v>
      </c>
      <c r="T3509" s="5">
        <v>0</v>
      </c>
      <c r="U3509" s="5">
        <v>1</v>
      </c>
      <c r="V3509" s="5">
        <v>0</v>
      </c>
      <c r="W3509" s="5">
        <v>0</v>
      </c>
      <c r="X3509" s="5">
        <v>1</v>
      </c>
      <c r="Y3509" s="5">
        <v>0</v>
      </c>
      <c r="Z3509" s="5">
        <v>0</v>
      </c>
      <c r="AA3509" s="5">
        <v>0</v>
      </c>
      <c r="AB3509" s="5">
        <v>0</v>
      </c>
      <c r="AC3509" s="5">
        <v>0</v>
      </c>
      <c r="AD3509" s="5">
        <v>0</v>
      </c>
      <c r="AE3509" s="5" t="s">
        <v>73</v>
      </c>
      <c r="AF3509" s="5" t="s">
        <v>20229</v>
      </c>
      <c r="AG3509" s="5" t="s">
        <v>20230</v>
      </c>
      <c r="AH3509" s="43">
        <v>44766</v>
      </c>
      <c r="AI3509" s="5">
        <v>5</v>
      </c>
      <c r="AJ3509" s="5" t="s">
        <v>20231</v>
      </c>
      <c r="AK3509" s="5" t="s">
        <v>20232</v>
      </c>
    </row>
    <row r="3510" spans="1:37" ht="36.75" customHeight="1" x14ac:dyDescent="0.35">
      <c r="A3510" s="21" t="s">
        <v>12448</v>
      </c>
      <c r="B3510" s="5" t="s">
        <v>37</v>
      </c>
      <c r="C3510" s="73" t="str">
        <f t="shared" si="64"/>
        <v>Closed</v>
      </c>
      <c r="D3510" s="47" t="s">
        <v>20233</v>
      </c>
      <c r="E3510" s="54" t="s">
        <v>20234</v>
      </c>
      <c r="F3510" s="5" t="s">
        <v>17728</v>
      </c>
      <c r="G3510" s="9">
        <f>DATE(2022,7,26)</f>
        <v>44768</v>
      </c>
      <c r="H3510" s="107">
        <v>1.7222222222222223</v>
      </c>
      <c r="I3510" s="5" t="s">
        <v>55</v>
      </c>
      <c r="J3510" s="5" t="s">
        <v>20235</v>
      </c>
      <c r="K3510" s="5" t="s">
        <v>2583</v>
      </c>
      <c r="L3510" s="5" t="s">
        <v>20236</v>
      </c>
      <c r="M3510" s="5" t="s">
        <v>45</v>
      </c>
      <c r="N3510" s="5" t="s">
        <v>80</v>
      </c>
      <c r="O3510" s="5" t="s">
        <v>46</v>
      </c>
      <c r="P3510" s="5" t="s">
        <v>60</v>
      </c>
      <c r="Q3510" s="5" t="s">
        <v>20237</v>
      </c>
      <c r="R3510" s="5" t="s">
        <v>18393</v>
      </c>
      <c r="S3510" s="5">
        <v>0</v>
      </c>
      <c r="T3510" s="5">
        <v>0</v>
      </c>
      <c r="U3510" s="5">
        <v>0</v>
      </c>
      <c r="V3510" s="5">
        <v>0</v>
      </c>
      <c r="W3510" s="5">
        <v>0</v>
      </c>
      <c r="X3510" s="5">
        <v>0</v>
      </c>
      <c r="Y3510" s="5">
        <v>0</v>
      </c>
      <c r="Z3510" s="5">
        <v>0</v>
      </c>
      <c r="AA3510" s="5">
        <v>0</v>
      </c>
      <c r="AB3510" s="5">
        <v>0</v>
      </c>
      <c r="AC3510" s="5">
        <v>0</v>
      </c>
      <c r="AD3510" s="5">
        <v>0</v>
      </c>
      <c r="AE3510" s="5" t="s">
        <v>375</v>
      </c>
      <c r="AF3510" s="5" t="s">
        <v>20238</v>
      </c>
      <c r="AG3510" s="5" t="s">
        <v>8837</v>
      </c>
      <c r="AH3510" s="43">
        <v>44769</v>
      </c>
      <c r="AI3510" s="5">
        <v>4</v>
      </c>
      <c r="AJ3510" s="5" t="s">
        <v>20239</v>
      </c>
      <c r="AK3510" s="5" t="s">
        <v>20240</v>
      </c>
    </row>
    <row r="3511" spans="1:37" ht="36.75" customHeight="1" x14ac:dyDescent="0.35">
      <c r="A3511" s="21" t="s">
        <v>12448</v>
      </c>
      <c r="B3511" s="5" t="s">
        <v>37</v>
      </c>
      <c r="C3511" s="73" t="str">
        <f t="shared" si="64"/>
        <v>Closed</v>
      </c>
      <c r="D3511" s="47" t="s">
        <v>20241</v>
      </c>
      <c r="E3511" s="54" t="s">
        <v>20242</v>
      </c>
      <c r="F3511" s="5" t="s">
        <v>17638</v>
      </c>
      <c r="G3511" s="9">
        <f>DATE(2022,7,28)</f>
        <v>44770</v>
      </c>
      <c r="H3511" s="107">
        <v>1.7569444444444446</v>
      </c>
      <c r="I3511" s="5" t="s">
        <v>55</v>
      </c>
      <c r="J3511" s="5" t="s">
        <v>20243</v>
      </c>
      <c r="K3511" s="5" t="s">
        <v>1555</v>
      </c>
      <c r="L3511" s="5" t="s">
        <v>20244</v>
      </c>
      <c r="M3511" s="5" t="s">
        <v>45</v>
      </c>
      <c r="N3511" s="5" t="s">
        <v>80</v>
      </c>
      <c r="O3511" s="5" t="s">
        <v>46</v>
      </c>
      <c r="P3511" s="5" t="s">
        <v>60</v>
      </c>
      <c r="Q3511" s="5" t="s">
        <v>19623</v>
      </c>
      <c r="R3511" s="5" t="s">
        <v>19623</v>
      </c>
      <c r="S3511" s="5">
        <v>0</v>
      </c>
      <c r="T3511" s="5">
        <v>0</v>
      </c>
      <c r="U3511" s="5">
        <v>0</v>
      </c>
      <c r="V3511" s="5">
        <v>0</v>
      </c>
      <c r="W3511" s="5">
        <v>0</v>
      </c>
      <c r="X3511" s="5">
        <v>0</v>
      </c>
      <c r="Y3511" s="5">
        <v>0</v>
      </c>
      <c r="Z3511" s="5">
        <v>0</v>
      </c>
      <c r="AA3511" s="5">
        <v>0</v>
      </c>
      <c r="AB3511" s="5">
        <v>0</v>
      </c>
      <c r="AC3511" s="5">
        <v>0</v>
      </c>
      <c r="AD3511" s="5">
        <v>0</v>
      </c>
      <c r="AE3511" s="5" t="s">
        <v>73</v>
      </c>
      <c r="AF3511" s="5" t="s">
        <v>20245</v>
      </c>
      <c r="AG3511" s="5" t="s">
        <v>8837</v>
      </c>
      <c r="AH3511" s="43">
        <v>44774</v>
      </c>
      <c r="AI3511" s="5">
        <v>0</v>
      </c>
      <c r="AJ3511" s="5" t="s">
        <v>20246</v>
      </c>
      <c r="AK3511" s="5" t="s">
        <v>20247</v>
      </c>
    </row>
    <row r="3512" spans="1:37" ht="36.75" customHeight="1" x14ac:dyDescent="0.35">
      <c r="A3512" s="21" t="s">
        <v>12448</v>
      </c>
      <c r="B3512" s="5" t="s">
        <v>887</v>
      </c>
      <c r="C3512" s="73" t="str">
        <f t="shared" si="64"/>
        <v>Open</v>
      </c>
      <c r="D3512" s="47" t="s">
        <v>20248</v>
      </c>
      <c r="E3512" s="54" t="s">
        <v>20249</v>
      </c>
      <c r="F3512" s="5" t="s">
        <v>17537</v>
      </c>
      <c r="G3512" s="9">
        <f>DATE(2022,7,28)</f>
        <v>44770</v>
      </c>
      <c r="H3512" s="107">
        <v>1.7881944444444446</v>
      </c>
      <c r="I3512" s="5" t="s">
        <v>4590</v>
      </c>
      <c r="J3512" s="5" t="s">
        <v>20250</v>
      </c>
      <c r="K3512" s="5" t="s">
        <v>818</v>
      </c>
      <c r="L3512" s="5" t="s">
        <v>20251</v>
      </c>
      <c r="M3512" s="5" t="s">
        <v>45</v>
      </c>
      <c r="N3512" s="5" t="s">
        <v>80</v>
      </c>
      <c r="O3512" s="5" t="s">
        <v>59</v>
      </c>
      <c r="P3512" s="5" t="s">
        <v>60</v>
      </c>
      <c r="Q3512" s="5" t="s">
        <v>20252</v>
      </c>
      <c r="R3512" s="5" t="s">
        <v>821</v>
      </c>
      <c r="S3512" s="5">
        <v>0</v>
      </c>
      <c r="T3512" s="5"/>
      <c r="U3512" s="5"/>
      <c r="V3512" s="5"/>
      <c r="W3512" s="5"/>
      <c r="X3512" s="5"/>
      <c r="Y3512" s="5"/>
      <c r="Z3512" s="5"/>
      <c r="AA3512" s="5"/>
      <c r="AB3512" s="5"/>
      <c r="AC3512" s="5"/>
      <c r="AD3512" s="5">
        <v>0</v>
      </c>
      <c r="AE3512" s="5" t="s">
        <v>73</v>
      </c>
      <c r="AF3512" s="5" t="s">
        <v>17812</v>
      </c>
      <c r="AG3512" s="5" t="s">
        <v>13508</v>
      </c>
      <c r="AH3512" s="43">
        <v>44771</v>
      </c>
      <c r="AI3512" s="5"/>
      <c r="AJ3512" s="5"/>
      <c r="AK3512" s="5"/>
    </row>
    <row r="3513" spans="1:37" ht="36.75" customHeight="1" x14ac:dyDescent="0.35">
      <c r="A3513" s="21" t="s">
        <v>12448</v>
      </c>
      <c r="B3513" s="5" t="s">
        <v>37</v>
      </c>
      <c r="C3513" s="73" t="str">
        <f t="shared" si="64"/>
        <v>Closed</v>
      </c>
      <c r="D3513" s="47" t="s">
        <v>20253</v>
      </c>
      <c r="E3513" s="54" t="s">
        <v>20254</v>
      </c>
      <c r="F3513" s="5" t="s">
        <v>9767</v>
      </c>
      <c r="G3513" s="9">
        <f>DATE(2022,8,1)</f>
        <v>44774</v>
      </c>
      <c r="H3513" s="107">
        <v>1.901388888888889</v>
      </c>
      <c r="I3513" s="5" t="s">
        <v>97</v>
      </c>
      <c r="J3513" s="5" t="s">
        <v>20255</v>
      </c>
      <c r="K3513" s="5" t="s">
        <v>9769</v>
      </c>
      <c r="L3513" s="5" t="s">
        <v>20256</v>
      </c>
      <c r="M3513" s="5" t="s">
        <v>45</v>
      </c>
      <c r="N3513" s="5" t="s">
        <v>80</v>
      </c>
      <c r="O3513" s="5" t="s">
        <v>46</v>
      </c>
      <c r="P3513" s="5" t="s">
        <v>362</v>
      </c>
      <c r="Q3513" s="5" t="s">
        <v>20257</v>
      </c>
      <c r="R3513" s="5" t="s">
        <v>20258</v>
      </c>
      <c r="S3513" s="5">
        <v>0</v>
      </c>
      <c r="T3513" s="5">
        <v>0</v>
      </c>
      <c r="U3513" s="5">
        <v>0</v>
      </c>
      <c r="V3513" s="5">
        <v>0</v>
      </c>
      <c r="W3513" s="5">
        <v>0</v>
      </c>
      <c r="X3513" s="5">
        <v>0</v>
      </c>
      <c r="Y3513" s="5">
        <v>0</v>
      </c>
      <c r="Z3513" s="5">
        <v>0</v>
      </c>
      <c r="AA3513" s="5">
        <v>0</v>
      </c>
      <c r="AB3513" s="5">
        <v>0</v>
      </c>
      <c r="AC3513" s="5">
        <v>0</v>
      </c>
      <c r="AD3513" s="5">
        <v>0</v>
      </c>
      <c r="AE3513" s="5" t="s">
        <v>73</v>
      </c>
      <c r="AF3513" s="5" t="s">
        <v>20259</v>
      </c>
      <c r="AG3513" s="5" t="s">
        <v>8837</v>
      </c>
      <c r="AH3513" s="43">
        <v>44803</v>
      </c>
      <c r="AI3513" s="5">
        <v>1</v>
      </c>
      <c r="AJ3513" s="5" t="s">
        <v>20260</v>
      </c>
      <c r="AK3513" s="5" t="s">
        <v>20261</v>
      </c>
    </row>
    <row r="3514" spans="1:37" ht="36.75" customHeight="1" x14ac:dyDescent="0.35">
      <c r="A3514" s="21" t="s">
        <v>12448</v>
      </c>
      <c r="B3514" s="5" t="s">
        <v>37</v>
      </c>
      <c r="C3514" s="73" t="str">
        <f t="shared" si="64"/>
        <v>Closed</v>
      </c>
      <c r="D3514" s="47" t="s">
        <v>20262</v>
      </c>
      <c r="E3514" s="54" t="s">
        <v>20263</v>
      </c>
      <c r="F3514" s="5" t="s">
        <v>17638</v>
      </c>
      <c r="G3514" s="9">
        <f>DATE(2022,8,9)</f>
        <v>44782</v>
      </c>
      <c r="H3514" s="107">
        <v>1.3680555555555556</v>
      </c>
      <c r="I3514" s="5" t="s">
        <v>55</v>
      </c>
      <c r="J3514" s="5" t="s">
        <v>20264</v>
      </c>
      <c r="K3514" s="5" t="s">
        <v>1555</v>
      </c>
      <c r="L3514" s="5" t="s">
        <v>19935</v>
      </c>
      <c r="M3514" s="5" t="s">
        <v>45</v>
      </c>
      <c r="N3514" s="5" t="s">
        <v>123</v>
      </c>
      <c r="O3514" s="5" t="s">
        <v>59</v>
      </c>
      <c r="P3514" s="5" t="s">
        <v>60</v>
      </c>
      <c r="Q3514" s="5" t="s">
        <v>20265</v>
      </c>
      <c r="R3514" s="5" t="s">
        <v>17642</v>
      </c>
      <c r="S3514" s="5">
        <v>0</v>
      </c>
      <c r="T3514" s="5">
        <v>0</v>
      </c>
      <c r="U3514" s="5">
        <v>0</v>
      </c>
      <c r="V3514" s="5">
        <v>0</v>
      </c>
      <c r="W3514" s="5">
        <v>0</v>
      </c>
      <c r="X3514" s="5">
        <v>0</v>
      </c>
      <c r="Y3514" s="5">
        <v>0</v>
      </c>
      <c r="Z3514" s="5">
        <v>0</v>
      </c>
      <c r="AA3514" s="5">
        <v>0</v>
      </c>
      <c r="AB3514" s="5">
        <v>0</v>
      </c>
      <c r="AC3514" s="5">
        <v>0</v>
      </c>
      <c r="AD3514" s="5">
        <v>0</v>
      </c>
      <c r="AE3514" s="5" t="s">
        <v>73</v>
      </c>
      <c r="AF3514" s="5" t="s">
        <v>20266</v>
      </c>
      <c r="AG3514" s="5" t="s">
        <v>8837</v>
      </c>
      <c r="AH3514" s="43">
        <v>44783</v>
      </c>
      <c r="AI3514" s="5">
        <v>1</v>
      </c>
      <c r="AJ3514" s="5" t="s">
        <v>20267</v>
      </c>
      <c r="AK3514" s="5" t="s">
        <v>20268</v>
      </c>
    </row>
    <row r="3515" spans="1:37" ht="36.75" customHeight="1" x14ac:dyDescent="0.35">
      <c r="A3515" s="21" t="s">
        <v>12448</v>
      </c>
      <c r="B3515" s="5" t="s">
        <v>37</v>
      </c>
      <c r="C3515" s="73" t="str">
        <f t="shared" si="64"/>
        <v>Closed</v>
      </c>
      <c r="D3515" s="47" t="s">
        <v>20269</v>
      </c>
      <c r="E3515" s="85" t="s">
        <v>20270</v>
      </c>
      <c r="F3515" s="69" t="s">
        <v>16397</v>
      </c>
      <c r="G3515" s="9">
        <f>DATE(2022,8,10)</f>
        <v>44783</v>
      </c>
      <c r="H3515" s="107">
        <v>1.5868055555555556</v>
      </c>
      <c r="I3515" s="69" t="s">
        <v>97</v>
      </c>
      <c r="J3515" s="69" t="s">
        <v>20271</v>
      </c>
      <c r="K3515" s="69" t="s">
        <v>406</v>
      </c>
      <c r="L3515" s="69" t="s">
        <v>20272</v>
      </c>
      <c r="M3515" s="69" t="s">
        <v>45</v>
      </c>
      <c r="N3515" s="69" t="s">
        <v>80</v>
      </c>
      <c r="O3515" s="69" t="s">
        <v>59</v>
      </c>
      <c r="P3515" s="69" t="s">
        <v>146</v>
      </c>
      <c r="Q3515" s="69" t="s">
        <v>18565</v>
      </c>
      <c r="R3515" s="69" t="s">
        <v>17330</v>
      </c>
      <c r="S3515" s="69">
        <v>0</v>
      </c>
      <c r="T3515" s="69">
        <v>0</v>
      </c>
      <c r="U3515" s="69">
        <v>0</v>
      </c>
      <c r="V3515" s="69">
        <v>0</v>
      </c>
      <c r="W3515" s="69">
        <v>0</v>
      </c>
      <c r="X3515" s="69">
        <v>0</v>
      </c>
      <c r="Y3515" s="69">
        <v>0</v>
      </c>
      <c r="Z3515" s="69">
        <v>0</v>
      </c>
      <c r="AA3515" s="69">
        <v>0</v>
      </c>
      <c r="AB3515" s="69">
        <v>0</v>
      </c>
      <c r="AC3515" s="69">
        <v>0</v>
      </c>
      <c r="AD3515" s="69">
        <v>0</v>
      </c>
      <c r="AE3515" s="69" t="s">
        <v>16403</v>
      </c>
      <c r="AF3515" s="69" t="s">
        <v>20273</v>
      </c>
      <c r="AG3515" s="69" t="s">
        <v>16251</v>
      </c>
      <c r="AH3515" s="43">
        <v>44844</v>
      </c>
      <c r="AI3515" s="69">
        <v>0</v>
      </c>
      <c r="AJ3515" s="69" t="s">
        <v>20274</v>
      </c>
      <c r="AK3515" s="69" t="s">
        <v>860</v>
      </c>
    </row>
    <row r="3516" spans="1:37" ht="36.75" customHeight="1" x14ac:dyDescent="0.35">
      <c r="A3516" s="21" t="s">
        <v>12448</v>
      </c>
      <c r="B3516" s="5" t="s">
        <v>37</v>
      </c>
      <c r="C3516" s="73" t="str">
        <f t="shared" si="64"/>
        <v>Closed</v>
      </c>
      <c r="D3516" s="47" t="s">
        <v>20275</v>
      </c>
      <c r="E3516" s="85" t="s">
        <v>20276</v>
      </c>
      <c r="F3516" s="69" t="s">
        <v>17769</v>
      </c>
      <c r="G3516" s="9">
        <f>DATE(2022,8,15)</f>
        <v>44788</v>
      </c>
      <c r="H3516" s="107">
        <v>1.7777777777777777</v>
      </c>
      <c r="I3516" s="69" t="s">
        <v>6754</v>
      </c>
      <c r="J3516" s="69" t="s">
        <v>20277</v>
      </c>
      <c r="K3516" s="69" t="s">
        <v>621</v>
      </c>
      <c r="L3516" s="69" t="s">
        <v>20278</v>
      </c>
      <c r="M3516" s="69" t="s">
        <v>45</v>
      </c>
      <c r="N3516" s="69" t="s">
        <v>123</v>
      </c>
      <c r="O3516" s="69" t="s">
        <v>59</v>
      </c>
      <c r="P3516" s="69" t="s">
        <v>6881</v>
      </c>
      <c r="Q3516" s="69" t="s">
        <v>18459</v>
      </c>
      <c r="R3516" s="69" t="s">
        <v>1997</v>
      </c>
      <c r="S3516" s="69">
        <v>0</v>
      </c>
      <c r="T3516" s="69">
        <v>0</v>
      </c>
      <c r="U3516" s="69">
        <v>0</v>
      </c>
      <c r="V3516" s="69">
        <v>0</v>
      </c>
      <c r="W3516" s="69">
        <v>0</v>
      </c>
      <c r="X3516" s="69">
        <v>0</v>
      </c>
      <c r="Y3516" s="69">
        <v>0</v>
      </c>
      <c r="Z3516" s="69">
        <v>0</v>
      </c>
      <c r="AA3516" s="69">
        <v>0</v>
      </c>
      <c r="AB3516" s="69">
        <v>0</v>
      </c>
      <c r="AC3516" s="69">
        <v>0</v>
      </c>
      <c r="AD3516" s="69">
        <v>0</v>
      </c>
      <c r="AE3516" s="69" t="s">
        <v>73</v>
      </c>
      <c r="AF3516" s="69" t="s">
        <v>18460</v>
      </c>
      <c r="AG3516" s="69" t="s">
        <v>17023</v>
      </c>
      <c r="AH3516" s="43">
        <v>44819</v>
      </c>
      <c r="AI3516" s="69">
        <v>4</v>
      </c>
      <c r="AJ3516" s="69" t="s">
        <v>20279</v>
      </c>
      <c r="AK3516" s="69" t="s">
        <v>20280</v>
      </c>
    </row>
    <row r="3517" spans="1:37" ht="36.75" customHeight="1" x14ac:dyDescent="0.35">
      <c r="A3517" s="21" t="s">
        <v>12448</v>
      </c>
      <c r="B3517" s="5" t="s">
        <v>887</v>
      </c>
      <c r="C3517" s="73" t="str">
        <f t="shared" si="64"/>
        <v>Open</v>
      </c>
      <c r="D3517" s="47" t="s">
        <v>20281</v>
      </c>
      <c r="E3517" s="54" t="s">
        <v>20282</v>
      </c>
      <c r="F3517" s="5" t="s">
        <v>14854</v>
      </c>
      <c r="G3517" s="9">
        <f>DATE(2022,8,20)</f>
        <v>44793</v>
      </c>
      <c r="H3517" s="107">
        <v>1.625</v>
      </c>
      <c r="I3517" s="5" t="s">
        <v>97</v>
      </c>
      <c r="J3517" s="5" t="s">
        <v>20283</v>
      </c>
      <c r="K3517" s="5" t="s">
        <v>12858</v>
      </c>
      <c r="L3517" s="5" t="s">
        <v>20284</v>
      </c>
      <c r="M3517" s="5" t="s">
        <v>45</v>
      </c>
      <c r="N3517" s="5" t="s">
        <v>70</v>
      </c>
      <c r="O3517" s="5" t="s">
        <v>59</v>
      </c>
      <c r="P3517" s="5" t="s">
        <v>146</v>
      </c>
      <c r="Q3517" s="5" t="s">
        <v>20285</v>
      </c>
      <c r="R3517" s="5" t="s">
        <v>20286</v>
      </c>
      <c r="S3517" s="5"/>
      <c r="T3517" s="5"/>
      <c r="U3517" s="5"/>
      <c r="V3517" s="5"/>
      <c r="W3517" s="5"/>
      <c r="X3517" s="5">
        <v>2</v>
      </c>
      <c r="Y3517" s="5"/>
      <c r="Z3517" s="5"/>
      <c r="AA3517" s="5"/>
      <c r="AB3517" s="5"/>
      <c r="AC3517" s="5"/>
      <c r="AD3517" s="5">
        <v>0</v>
      </c>
      <c r="AE3517" s="5" t="s">
        <v>73</v>
      </c>
      <c r="AF3517" s="5" t="s">
        <v>20287</v>
      </c>
      <c r="AG3517" s="5" t="s">
        <v>6438</v>
      </c>
      <c r="AH3517" s="43">
        <v>44796</v>
      </c>
      <c r="AI3517" s="5"/>
      <c r="AJ3517" s="5"/>
      <c r="AK3517" s="5"/>
    </row>
    <row r="3518" spans="1:37" ht="36.75" customHeight="1" x14ac:dyDescent="0.35">
      <c r="A3518" s="21" t="s">
        <v>12448</v>
      </c>
      <c r="B3518" s="5" t="s">
        <v>37</v>
      </c>
      <c r="C3518" s="73" t="str">
        <f t="shared" si="64"/>
        <v>Closed</v>
      </c>
      <c r="D3518" s="47" t="s">
        <v>20288</v>
      </c>
      <c r="E3518" s="54" t="s">
        <v>20289</v>
      </c>
      <c r="F3518" s="5" t="s">
        <v>16397</v>
      </c>
      <c r="G3518" s="9">
        <f>DATE(2022,8,20)</f>
        <v>44793</v>
      </c>
      <c r="H3518" s="107">
        <v>1.2986111111111112</v>
      </c>
      <c r="I3518" s="5" t="s">
        <v>179</v>
      </c>
      <c r="J3518" s="5" t="s">
        <v>20290</v>
      </c>
      <c r="K3518" s="5" t="s">
        <v>406</v>
      </c>
      <c r="L3518" s="5" t="s">
        <v>20291</v>
      </c>
      <c r="M3518" s="5" t="s">
        <v>45</v>
      </c>
      <c r="N3518" s="5" t="s">
        <v>123</v>
      </c>
      <c r="O3518" s="5" t="s">
        <v>59</v>
      </c>
      <c r="P3518" s="5" t="s">
        <v>60</v>
      </c>
      <c r="Q3518" s="5" t="s">
        <v>18822</v>
      </c>
      <c r="R3518" s="5" t="s">
        <v>17330</v>
      </c>
      <c r="S3518" s="5">
        <v>0</v>
      </c>
      <c r="T3518" s="5">
        <v>0</v>
      </c>
      <c r="U3518" s="5">
        <v>0</v>
      </c>
      <c r="V3518" s="5">
        <v>0</v>
      </c>
      <c r="W3518" s="5">
        <v>0</v>
      </c>
      <c r="X3518" s="5">
        <v>0</v>
      </c>
      <c r="Y3518" s="5">
        <v>0</v>
      </c>
      <c r="Z3518" s="5">
        <v>0</v>
      </c>
      <c r="AA3518" s="5">
        <v>0</v>
      </c>
      <c r="AB3518" s="5">
        <v>0</v>
      </c>
      <c r="AC3518" s="5">
        <v>0</v>
      </c>
      <c r="AD3518" s="5">
        <v>0</v>
      </c>
      <c r="AE3518" s="5" t="s">
        <v>73</v>
      </c>
      <c r="AF3518" s="5" t="s">
        <v>20292</v>
      </c>
      <c r="AG3518" s="5" t="s">
        <v>20002</v>
      </c>
      <c r="AH3518" s="43">
        <v>44798</v>
      </c>
      <c r="AI3518" s="5">
        <v>0</v>
      </c>
      <c r="AJ3518" s="5" t="s">
        <v>20293</v>
      </c>
      <c r="AK3518" s="5" t="s">
        <v>18825</v>
      </c>
    </row>
    <row r="3519" spans="1:37" ht="36.75" customHeight="1" x14ac:dyDescent="0.35">
      <c r="A3519" s="21" t="s">
        <v>12448</v>
      </c>
      <c r="B3519" s="5" t="s">
        <v>37</v>
      </c>
      <c r="C3519" s="73" t="str">
        <f t="shared" si="64"/>
        <v>Closed</v>
      </c>
      <c r="D3519" s="91" t="s">
        <v>20294</v>
      </c>
      <c r="E3519" s="54" t="s">
        <v>20295</v>
      </c>
      <c r="F3519" s="5" t="s">
        <v>17537</v>
      </c>
      <c r="G3519" s="9">
        <f>DATE(2022,8,25)</f>
        <v>44798</v>
      </c>
      <c r="H3519" s="107">
        <v>1.1770833333333333</v>
      </c>
      <c r="I3519" s="5" t="s">
        <v>55</v>
      </c>
      <c r="J3519" s="5" t="s">
        <v>20296</v>
      </c>
      <c r="K3519" s="5" t="s">
        <v>818</v>
      </c>
      <c r="L3519" s="5" t="s">
        <v>20297</v>
      </c>
      <c r="M3519" s="5" t="s">
        <v>45</v>
      </c>
      <c r="N3519" s="5" t="s">
        <v>123</v>
      </c>
      <c r="O3519" s="5" t="s">
        <v>46</v>
      </c>
      <c r="P3519" s="5" t="s">
        <v>60</v>
      </c>
      <c r="Q3519" s="5" t="s">
        <v>20298</v>
      </c>
      <c r="R3519" s="5" t="s">
        <v>821</v>
      </c>
      <c r="S3519" s="5">
        <v>0</v>
      </c>
      <c r="T3519" s="5">
        <v>0</v>
      </c>
      <c r="U3519" s="5">
        <v>0</v>
      </c>
      <c r="V3519" s="5">
        <v>0</v>
      </c>
      <c r="W3519" s="5">
        <v>0</v>
      </c>
      <c r="X3519" s="5">
        <v>0</v>
      </c>
      <c r="Y3519" s="5">
        <v>0</v>
      </c>
      <c r="Z3519" s="5">
        <v>0</v>
      </c>
      <c r="AA3519" s="5">
        <v>0</v>
      </c>
      <c r="AB3519" s="5">
        <v>0</v>
      </c>
      <c r="AC3519" s="5">
        <v>0</v>
      </c>
      <c r="AD3519" s="5">
        <v>0</v>
      </c>
      <c r="AE3519" s="5" t="s">
        <v>126</v>
      </c>
      <c r="AF3519" s="5" t="s">
        <v>20299</v>
      </c>
      <c r="AG3519" s="5" t="s">
        <v>6438</v>
      </c>
      <c r="AH3519" s="43">
        <v>44798</v>
      </c>
      <c r="AI3519" s="5">
        <v>0</v>
      </c>
      <c r="AJ3519" s="5" t="s">
        <v>43481</v>
      </c>
      <c r="AK3519" s="5" t="s">
        <v>43482</v>
      </c>
    </row>
    <row r="3520" spans="1:37" ht="36.75" customHeight="1" x14ac:dyDescent="0.35">
      <c r="A3520" s="21" t="s">
        <v>12448</v>
      </c>
      <c r="B3520" s="5" t="s">
        <v>37</v>
      </c>
      <c r="C3520" s="73" t="str">
        <f t="shared" si="64"/>
        <v>Closed</v>
      </c>
      <c r="D3520" s="47" t="s">
        <v>20300</v>
      </c>
      <c r="E3520" s="85" t="s">
        <v>20301</v>
      </c>
      <c r="F3520" s="69" t="s">
        <v>12887</v>
      </c>
      <c r="G3520" s="9">
        <f>DATE(2022,8,26)</f>
        <v>44799</v>
      </c>
      <c r="H3520" s="107">
        <v>1.7361111111111112</v>
      </c>
      <c r="I3520" s="69" t="s">
        <v>19116</v>
      </c>
      <c r="J3520" s="69" t="s">
        <v>20302</v>
      </c>
      <c r="K3520" s="69" t="s">
        <v>434</v>
      </c>
      <c r="L3520" s="69" t="s">
        <v>20303</v>
      </c>
      <c r="M3520" s="69" t="s">
        <v>45</v>
      </c>
      <c r="N3520" s="69" t="s">
        <v>80</v>
      </c>
      <c r="O3520" s="69" t="s">
        <v>46</v>
      </c>
      <c r="P3520" s="69" t="s">
        <v>146</v>
      </c>
      <c r="Q3520" s="69" t="s">
        <v>12161</v>
      </c>
      <c r="R3520" s="69" t="s">
        <v>553</v>
      </c>
      <c r="S3520" s="69">
        <v>0</v>
      </c>
      <c r="T3520" s="69">
        <v>0</v>
      </c>
      <c r="U3520" s="69">
        <v>0</v>
      </c>
      <c r="V3520" s="69">
        <v>0</v>
      </c>
      <c r="W3520" s="69">
        <v>0</v>
      </c>
      <c r="X3520" s="69">
        <v>0</v>
      </c>
      <c r="Y3520" s="69">
        <v>0</v>
      </c>
      <c r="Z3520" s="69">
        <v>0</v>
      </c>
      <c r="AA3520" s="69">
        <v>0</v>
      </c>
      <c r="AB3520" s="69">
        <v>0</v>
      </c>
      <c r="AC3520" s="69">
        <v>0</v>
      </c>
      <c r="AD3520" s="69">
        <v>0</v>
      </c>
      <c r="AE3520" s="69" t="s">
        <v>126</v>
      </c>
      <c r="AF3520" s="69" t="s">
        <v>20304</v>
      </c>
      <c r="AG3520" s="69" t="s">
        <v>6438</v>
      </c>
      <c r="AH3520" s="43">
        <v>45188</v>
      </c>
      <c r="AI3520" s="69">
        <v>2</v>
      </c>
      <c r="AJ3520" s="69" t="s">
        <v>20305</v>
      </c>
      <c r="AK3520" s="69" t="s">
        <v>20306</v>
      </c>
    </row>
    <row r="3521" spans="1:37" ht="36.75" customHeight="1" x14ac:dyDescent="0.35">
      <c r="A3521" s="21" t="s">
        <v>12448</v>
      </c>
      <c r="B3521" s="5" t="s">
        <v>37</v>
      </c>
      <c r="C3521" s="73" t="str">
        <f t="shared" si="64"/>
        <v>Closed</v>
      </c>
      <c r="D3521" s="47" t="s">
        <v>20307</v>
      </c>
      <c r="E3521" s="54" t="s">
        <v>20308</v>
      </c>
      <c r="F3521" s="5" t="s">
        <v>17638</v>
      </c>
      <c r="G3521" s="9">
        <f>DATE(2022,8,27)</f>
        <v>44800</v>
      </c>
      <c r="H3521" s="107">
        <v>1.8506944444444446</v>
      </c>
      <c r="I3521" s="5" t="s">
        <v>106</v>
      </c>
      <c r="J3521" s="5" t="s">
        <v>20309</v>
      </c>
      <c r="K3521" s="5" t="s">
        <v>1555</v>
      </c>
      <c r="L3521" s="5" t="s">
        <v>20310</v>
      </c>
      <c r="M3521" s="5" t="s">
        <v>45</v>
      </c>
      <c r="N3521" s="5" t="s">
        <v>80</v>
      </c>
      <c r="O3521" s="5" t="s">
        <v>59</v>
      </c>
      <c r="P3521" s="5" t="s">
        <v>60</v>
      </c>
      <c r="Q3521" s="5" t="s">
        <v>18087</v>
      </c>
      <c r="R3521" s="5" t="s">
        <v>18956</v>
      </c>
      <c r="S3521" s="5">
        <v>0</v>
      </c>
      <c r="T3521" s="5">
        <v>0</v>
      </c>
      <c r="U3521" s="5">
        <v>0</v>
      </c>
      <c r="V3521" s="5">
        <v>0</v>
      </c>
      <c r="W3521" s="5">
        <v>0</v>
      </c>
      <c r="X3521" s="5">
        <v>0</v>
      </c>
      <c r="Y3521" s="5">
        <v>0</v>
      </c>
      <c r="Z3521" s="5">
        <v>0</v>
      </c>
      <c r="AA3521" s="5">
        <v>0</v>
      </c>
      <c r="AB3521" s="5">
        <v>0</v>
      </c>
      <c r="AC3521" s="5">
        <v>0</v>
      </c>
      <c r="AD3521" s="5">
        <v>0</v>
      </c>
      <c r="AE3521" s="5" t="s">
        <v>73</v>
      </c>
      <c r="AF3521" s="5" t="s">
        <v>20311</v>
      </c>
      <c r="AG3521" s="5" t="s">
        <v>8837</v>
      </c>
      <c r="AH3521" s="43">
        <v>44802</v>
      </c>
      <c r="AI3521" s="5">
        <v>2</v>
      </c>
      <c r="AJ3521" s="5" t="s">
        <v>20312</v>
      </c>
      <c r="AK3521" s="5" t="s">
        <v>20313</v>
      </c>
    </row>
    <row r="3522" spans="1:37" ht="36.75" customHeight="1" x14ac:dyDescent="0.35">
      <c r="A3522" s="21" t="s">
        <v>12448</v>
      </c>
      <c r="B3522" s="5" t="s">
        <v>37</v>
      </c>
      <c r="C3522" s="73" t="str">
        <f t="shared" si="64"/>
        <v>Closed</v>
      </c>
      <c r="D3522" s="47" t="s">
        <v>20314</v>
      </c>
      <c r="E3522" s="54" t="s">
        <v>20315</v>
      </c>
      <c r="F3522" s="5" t="s">
        <v>17638</v>
      </c>
      <c r="G3522" s="9">
        <f>DATE(2022,8,29)</f>
        <v>44802</v>
      </c>
      <c r="H3522" s="107">
        <v>1.9618055555555554</v>
      </c>
      <c r="I3522" s="5" t="s">
        <v>55</v>
      </c>
      <c r="J3522" s="5" t="s">
        <v>20316</v>
      </c>
      <c r="K3522" s="5" t="s">
        <v>1555</v>
      </c>
      <c r="L3522" s="5" t="s">
        <v>20317</v>
      </c>
      <c r="M3522" s="5" t="s">
        <v>45</v>
      </c>
      <c r="N3522" s="5" t="s">
        <v>70</v>
      </c>
      <c r="O3522" s="5" t="s">
        <v>59</v>
      </c>
      <c r="P3522" s="5" t="s">
        <v>60</v>
      </c>
      <c r="Q3522" s="5" t="s">
        <v>18008</v>
      </c>
      <c r="R3522" s="5" t="s">
        <v>17642</v>
      </c>
      <c r="S3522" s="5">
        <v>0</v>
      </c>
      <c r="T3522" s="5">
        <v>0</v>
      </c>
      <c r="U3522" s="5">
        <v>0</v>
      </c>
      <c r="V3522" s="5">
        <v>0</v>
      </c>
      <c r="W3522" s="5">
        <v>0</v>
      </c>
      <c r="X3522" s="5">
        <v>0</v>
      </c>
      <c r="Y3522" s="5">
        <v>0</v>
      </c>
      <c r="Z3522" s="5">
        <v>0</v>
      </c>
      <c r="AA3522" s="5">
        <v>0</v>
      </c>
      <c r="AB3522" s="5">
        <v>0</v>
      </c>
      <c r="AC3522" s="5">
        <v>0</v>
      </c>
      <c r="AD3522" s="5">
        <v>0</v>
      </c>
      <c r="AE3522" s="5" t="s">
        <v>73</v>
      </c>
      <c r="AF3522" s="5" t="s">
        <v>20318</v>
      </c>
      <c r="AG3522" s="5" t="s">
        <v>8837</v>
      </c>
      <c r="AH3522" s="43">
        <v>44803</v>
      </c>
      <c r="AI3522" s="5">
        <v>0</v>
      </c>
      <c r="AJ3522" s="5" t="s">
        <v>20319</v>
      </c>
      <c r="AK3522" s="5" t="s">
        <v>20320</v>
      </c>
    </row>
    <row r="3523" spans="1:37" ht="36.75" customHeight="1" x14ac:dyDescent="0.35">
      <c r="A3523" s="21" t="s">
        <v>12448</v>
      </c>
      <c r="B3523" s="5" t="s">
        <v>37</v>
      </c>
      <c r="C3523" s="73" t="str">
        <f t="shared" si="64"/>
        <v>Closed</v>
      </c>
      <c r="D3523" s="47" t="s">
        <v>20321</v>
      </c>
      <c r="E3523" s="54" t="s">
        <v>20322</v>
      </c>
      <c r="F3523" s="5" t="s">
        <v>14722</v>
      </c>
      <c r="G3523" s="9">
        <f>DATE(2022,8,29)</f>
        <v>44802</v>
      </c>
      <c r="H3523" s="107">
        <v>1.0416666666666667</v>
      </c>
      <c r="I3523" s="5" t="s">
        <v>55</v>
      </c>
      <c r="J3523" s="5" t="s">
        <v>20323</v>
      </c>
      <c r="K3523" s="5" t="s">
        <v>1753</v>
      </c>
      <c r="L3523" s="5" t="s">
        <v>20324</v>
      </c>
      <c r="M3523" s="5" t="s">
        <v>45</v>
      </c>
      <c r="N3523" s="5" t="s">
        <v>123</v>
      </c>
      <c r="O3523" s="5" t="s">
        <v>46</v>
      </c>
      <c r="P3523" s="5" t="s">
        <v>60</v>
      </c>
      <c r="Q3523" s="5" t="s">
        <v>16487</v>
      </c>
      <c r="R3523" s="5" t="s">
        <v>1756</v>
      </c>
      <c r="S3523" s="5">
        <v>0</v>
      </c>
      <c r="T3523" s="5">
        <v>0</v>
      </c>
      <c r="U3523" s="5">
        <v>0</v>
      </c>
      <c r="V3523" s="5">
        <v>0</v>
      </c>
      <c r="W3523" s="5">
        <v>0</v>
      </c>
      <c r="X3523" s="5">
        <v>0</v>
      </c>
      <c r="Y3523" s="5">
        <v>0</v>
      </c>
      <c r="Z3523" s="5">
        <v>0</v>
      </c>
      <c r="AA3523" s="5">
        <v>0</v>
      </c>
      <c r="AB3523" s="5">
        <v>0</v>
      </c>
      <c r="AC3523" s="5">
        <v>0</v>
      </c>
      <c r="AD3523" s="5">
        <v>0</v>
      </c>
      <c r="AE3523" s="5" t="s">
        <v>375</v>
      </c>
      <c r="AF3523" s="5" t="s">
        <v>20325</v>
      </c>
      <c r="AG3523" s="5" t="s">
        <v>8837</v>
      </c>
      <c r="AH3523" s="43">
        <v>44804</v>
      </c>
      <c r="AI3523" s="5">
        <v>1</v>
      </c>
      <c r="AJ3523" s="5" t="s">
        <v>20326</v>
      </c>
      <c r="AK3523" s="5" t="s">
        <v>20327</v>
      </c>
    </row>
    <row r="3524" spans="1:37" ht="36.75" customHeight="1" x14ac:dyDescent="0.35">
      <c r="A3524" s="21" t="s">
        <v>12448</v>
      </c>
      <c r="B3524" s="5" t="s">
        <v>37</v>
      </c>
      <c r="C3524" s="73" t="str">
        <f t="shared" si="64"/>
        <v>Closed</v>
      </c>
      <c r="D3524" s="91" t="s">
        <v>20328</v>
      </c>
      <c r="E3524" s="134" t="str">
        <f>('[1]Accident Investigation'!D12&amp;", "&amp;'[1]Accident Investigation'!D10&amp;", "&amp;'[1]Accident Investigation'!D16)</f>
        <v>Train derailment, 30/8/2022, Karcag</v>
      </c>
      <c r="F3524" s="5" t="s">
        <v>17537</v>
      </c>
      <c r="G3524" s="9">
        <f>DATE(2022,8,30)</f>
        <v>44803</v>
      </c>
      <c r="H3524" s="107">
        <v>1.6284722222222223</v>
      </c>
      <c r="I3524" s="5" t="s">
        <v>55</v>
      </c>
      <c r="J3524" s="5" t="s">
        <v>43483</v>
      </c>
      <c r="K3524" s="5" t="s">
        <v>818</v>
      </c>
      <c r="L3524" s="5" t="s">
        <v>43484</v>
      </c>
      <c r="M3524" s="5" t="s">
        <v>45</v>
      </c>
      <c r="N3524" s="5" t="s">
        <v>123</v>
      </c>
      <c r="O3524" s="5" t="s">
        <v>46</v>
      </c>
      <c r="P3524" s="5" t="s">
        <v>60</v>
      </c>
      <c r="Q3524" s="5" t="s">
        <v>43485</v>
      </c>
      <c r="R3524" s="5" t="s">
        <v>821</v>
      </c>
      <c r="S3524" s="5">
        <v>0</v>
      </c>
      <c r="T3524" s="5">
        <v>0</v>
      </c>
      <c r="U3524" s="5">
        <v>0</v>
      </c>
      <c r="V3524" s="5">
        <v>0</v>
      </c>
      <c r="W3524" s="5">
        <v>0</v>
      </c>
      <c r="X3524" s="5">
        <v>0</v>
      </c>
      <c r="Y3524" s="5">
        <v>0</v>
      </c>
      <c r="Z3524" s="5">
        <v>0</v>
      </c>
      <c r="AA3524" s="5">
        <v>0</v>
      </c>
      <c r="AB3524" s="5">
        <v>0</v>
      </c>
      <c r="AC3524" s="5">
        <v>0</v>
      </c>
      <c r="AD3524" s="5">
        <v>0</v>
      </c>
      <c r="AE3524" s="5" t="s">
        <v>375</v>
      </c>
      <c r="AF3524" s="5" t="s">
        <v>43486</v>
      </c>
      <c r="AG3524" s="5" t="s">
        <v>8837</v>
      </c>
      <c r="AH3524" s="43">
        <v>44803</v>
      </c>
      <c r="AI3524" s="5">
        <v>0</v>
      </c>
      <c r="AJ3524" s="5" t="s">
        <v>43487</v>
      </c>
      <c r="AK3524" s="5" t="s">
        <v>10534</v>
      </c>
    </row>
    <row r="3525" spans="1:37" ht="36.75" customHeight="1" x14ac:dyDescent="0.35">
      <c r="A3525" s="21" t="s">
        <v>12448</v>
      </c>
      <c r="B3525" s="5" t="s">
        <v>37</v>
      </c>
      <c r="C3525" s="73" t="str">
        <f t="shared" si="64"/>
        <v>Closed</v>
      </c>
      <c r="D3525" s="91" t="s">
        <v>20329</v>
      </c>
      <c r="E3525" s="85" t="s">
        <v>20330</v>
      </c>
      <c r="F3525" s="69" t="s">
        <v>17537</v>
      </c>
      <c r="G3525" s="9">
        <f>DATE(2022,9,5)</f>
        <v>44809</v>
      </c>
      <c r="H3525" s="107">
        <v>1.28125</v>
      </c>
      <c r="I3525" s="69" t="s">
        <v>97</v>
      </c>
      <c r="J3525" s="69" t="s">
        <v>20331</v>
      </c>
      <c r="K3525" s="69" t="s">
        <v>818</v>
      </c>
      <c r="L3525" s="69" t="s">
        <v>20332</v>
      </c>
      <c r="M3525" s="69" t="s">
        <v>45</v>
      </c>
      <c r="N3525" s="69" t="s">
        <v>80</v>
      </c>
      <c r="O3525" s="69" t="s">
        <v>46</v>
      </c>
      <c r="P3525" s="69" t="s">
        <v>146</v>
      </c>
      <c r="Q3525" s="69" t="s">
        <v>2142</v>
      </c>
      <c r="R3525" s="69" t="s">
        <v>821</v>
      </c>
      <c r="S3525" s="69">
        <v>0</v>
      </c>
      <c r="T3525" s="69">
        <v>0</v>
      </c>
      <c r="U3525" s="69">
        <v>7</v>
      </c>
      <c r="V3525" s="69">
        <v>0</v>
      </c>
      <c r="W3525" s="69">
        <v>0</v>
      </c>
      <c r="X3525" s="69">
        <v>7</v>
      </c>
      <c r="Y3525" s="69">
        <v>0</v>
      </c>
      <c r="Z3525" s="69">
        <v>0</v>
      </c>
      <c r="AA3525" s="69">
        <v>0</v>
      </c>
      <c r="AB3525" s="69">
        <v>0</v>
      </c>
      <c r="AC3525" s="69">
        <v>0</v>
      </c>
      <c r="AD3525" s="69">
        <v>0</v>
      </c>
      <c r="AE3525" s="69" t="s">
        <v>73</v>
      </c>
      <c r="AF3525" s="69" t="s">
        <v>20333</v>
      </c>
      <c r="AG3525" s="69" t="s">
        <v>8837</v>
      </c>
      <c r="AH3525" s="43">
        <v>44809</v>
      </c>
      <c r="AI3525" s="69">
        <v>1</v>
      </c>
      <c r="AJ3525" s="69" t="s">
        <v>20334</v>
      </c>
      <c r="AK3525" s="69">
        <v>0</v>
      </c>
    </row>
    <row r="3526" spans="1:37" ht="36.75" customHeight="1" x14ac:dyDescent="0.35">
      <c r="A3526" s="21" t="s">
        <v>12448</v>
      </c>
      <c r="B3526" s="5" t="s">
        <v>14851</v>
      </c>
      <c r="C3526" s="73" t="str">
        <f t="shared" si="64"/>
        <v>In progress</v>
      </c>
      <c r="D3526" s="47" t="s">
        <v>20335</v>
      </c>
      <c r="E3526" s="85" t="s">
        <v>20336</v>
      </c>
      <c r="F3526" s="69" t="s">
        <v>6434</v>
      </c>
      <c r="G3526" s="9">
        <f>DATE(2022,9,7)</f>
        <v>44811</v>
      </c>
      <c r="H3526" s="107">
        <v>1.6076388888888888</v>
      </c>
      <c r="I3526" s="69" t="s">
        <v>179</v>
      </c>
      <c r="J3526" s="69" t="s">
        <v>20337</v>
      </c>
      <c r="K3526" s="69" t="s">
        <v>565</v>
      </c>
      <c r="L3526" s="69" t="s">
        <v>20338</v>
      </c>
      <c r="M3526" s="69" t="s">
        <v>45</v>
      </c>
      <c r="N3526" s="69" t="s">
        <v>123</v>
      </c>
      <c r="O3526" s="69" t="s">
        <v>59</v>
      </c>
      <c r="P3526" s="69" t="s">
        <v>60</v>
      </c>
      <c r="Q3526" s="69" t="s">
        <v>20339</v>
      </c>
      <c r="R3526" s="69" t="s">
        <v>568</v>
      </c>
      <c r="S3526" s="69">
        <v>0</v>
      </c>
      <c r="T3526" s="69">
        <v>0</v>
      </c>
      <c r="U3526" s="69">
        <v>0</v>
      </c>
      <c r="V3526" s="69">
        <v>0</v>
      </c>
      <c r="W3526" s="69">
        <v>0</v>
      </c>
      <c r="X3526" s="69">
        <v>0</v>
      </c>
      <c r="Y3526" s="69">
        <v>0</v>
      </c>
      <c r="Z3526" s="69">
        <v>0</v>
      </c>
      <c r="AA3526" s="69">
        <v>0</v>
      </c>
      <c r="AB3526" s="69">
        <v>0</v>
      </c>
      <c r="AC3526" s="69">
        <v>0</v>
      </c>
      <c r="AD3526" s="69">
        <v>0</v>
      </c>
      <c r="AE3526" s="69" t="s">
        <v>126</v>
      </c>
      <c r="AF3526" s="69" t="s">
        <v>20340</v>
      </c>
      <c r="AG3526" s="69" t="s">
        <v>6438</v>
      </c>
      <c r="AH3526" s="43">
        <v>44812</v>
      </c>
      <c r="AI3526" s="69"/>
      <c r="AJ3526" s="69"/>
      <c r="AK3526" s="69"/>
    </row>
    <row r="3527" spans="1:37" ht="36.75" customHeight="1" x14ac:dyDescent="0.35">
      <c r="A3527" s="21" t="s">
        <v>12448</v>
      </c>
      <c r="B3527" s="5" t="s">
        <v>37</v>
      </c>
      <c r="C3527" s="73" t="str">
        <f t="shared" si="64"/>
        <v>Closed</v>
      </c>
      <c r="D3527" s="47" t="s">
        <v>20341</v>
      </c>
      <c r="E3527" s="54" t="s">
        <v>20342</v>
      </c>
      <c r="F3527" s="5" t="s">
        <v>17638</v>
      </c>
      <c r="G3527" s="9">
        <f>DATE(2022,9,8)</f>
        <v>44812</v>
      </c>
      <c r="H3527" s="107">
        <v>1.7847222222222223</v>
      </c>
      <c r="I3527" s="5" t="s">
        <v>55</v>
      </c>
      <c r="J3527" s="5" t="s">
        <v>20343</v>
      </c>
      <c r="K3527" s="5" t="s">
        <v>1555</v>
      </c>
      <c r="L3527" s="5" t="s">
        <v>20344</v>
      </c>
      <c r="M3527" s="5" t="s">
        <v>45</v>
      </c>
      <c r="N3527" s="5" t="s">
        <v>80</v>
      </c>
      <c r="O3527" s="5" t="s">
        <v>46</v>
      </c>
      <c r="P3527" s="5" t="s">
        <v>60</v>
      </c>
      <c r="Q3527" s="5" t="s">
        <v>18008</v>
      </c>
      <c r="R3527" s="5" t="s">
        <v>17642</v>
      </c>
      <c r="S3527" s="5">
        <v>0</v>
      </c>
      <c r="T3527" s="5">
        <v>0</v>
      </c>
      <c r="U3527" s="5">
        <v>0</v>
      </c>
      <c r="V3527" s="5">
        <v>0</v>
      </c>
      <c r="W3527" s="5">
        <v>0</v>
      </c>
      <c r="X3527" s="5">
        <v>0</v>
      </c>
      <c r="Y3527" s="5">
        <v>0</v>
      </c>
      <c r="Z3527" s="5">
        <v>0</v>
      </c>
      <c r="AA3527" s="5">
        <v>0</v>
      </c>
      <c r="AB3527" s="5">
        <v>0</v>
      </c>
      <c r="AC3527" s="5">
        <v>0</v>
      </c>
      <c r="AD3527" s="5">
        <v>0</v>
      </c>
      <c r="AE3527" s="5" t="s">
        <v>73</v>
      </c>
      <c r="AF3527" s="5" t="s">
        <v>20345</v>
      </c>
      <c r="AG3527" s="5" t="s">
        <v>8837</v>
      </c>
      <c r="AH3527" s="43">
        <v>44813</v>
      </c>
      <c r="AI3527" s="5">
        <v>2</v>
      </c>
      <c r="AJ3527" s="5" t="s">
        <v>20346</v>
      </c>
      <c r="AK3527" s="5" t="s">
        <v>20347</v>
      </c>
    </row>
    <row r="3528" spans="1:37" ht="36.75" customHeight="1" x14ac:dyDescent="0.35">
      <c r="A3528" s="21" t="s">
        <v>12448</v>
      </c>
      <c r="B3528" s="5" t="s">
        <v>37</v>
      </c>
      <c r="C3528" s="73" t="str">
        <f t="shared" si="64"/>
        <v>Closed</v>
      </c>
      <c r="D3528" s="47" t="s">
        <v>20348</v>
      </c>
      <c r="E3528" s="85" t="s">
        <v>20349</v>
      </c>
      <c r="F3528" s="69" t="s">
        <v>9767</v>
      </c>
      <c r="G3528" s="9">
        <f>DATE(2022,9,9)</f>
        <v>44813</v>
      </c>
      <c r="H3528" s="107">
        <v>1.8958333333333335</v>
      </c>
      <c r="I3528" s="69" t="s">
        <v>179</v>
      </c>
      <c r="J3528" s="69" t="s">
        <v>20350</v>
      </c>
      <c r="K3528" s="69" t="s">
        <v>9769</v>
      </c>
      <c r="L3528" s="69" t="s">
        <v>20351</v>
      </c>
      <c r="M3528" s="69" t="s">
        <v>45</v>
      </c>
      <c r="N3528" s="69" t="s">
        <v>123</v>
      </c>
      <c r="O3528" s="69" t="s">
        <v>46</v>
      </c>
      <c r="P3528" s="69" t="s">
        <v>146</v>
      </c>
      <c r="Q3528" s="69" t="s">
        <v>20352</v>
      </c>
      <c r="R3528" s="69" t="s">
        <v>20258</v>
      </c>
      <c r="S3528" s="69">
        <v>1</v>
      </c>
      <c r="T3528" s="69">
        <v>2</v>
      </c>
      <c r="U3528" s="69">
        <v>0</v>
      </c>
      <c r="V3528" s="69">
        <v>0</v>
      </c>
      <c r="W3528" s="69">
        <v>0</v>
      </c>
      <c r="X3528" s="69">
        <v>3</v>
      </c>
      <c r="Y3528" s="69">
        <v>2</v>
      </c>
      <c r="Z3528" s="69">
        <v>0</v>
      </c>
      <c r="AA3528" s="69">
        <v>0</v>
      </c>
      <c r="AB3528" s="69">
        <v>0</v>
      </c>
      <c r="AC3528" s="69">
        <v>0</v>
      </c>
      <c r="AD3528" s="69">
        <v>2</v>
      </c>
      <c r="AE3528" s="69" t="s">
        <v>375</v>
      </c>
      <c r="AF3528" s="69" t="s">
        <v>20353</v>
      </c>
      <c r="AG3528" s="69" t="s">
        <v>6438</v>
      </c>
      <c r="AH3528" s="43">
        <v>44816</v>
      </c>
      <c r="AI3528" s="69">
        <v>8</v>
      </c>
      <c r="AJ3528" s="69" t="s">
        <v>20354</v>
      </c>
      <c r="AK3528" s="69" t="s">
        <v>20355</v>
      </c>
    </row>
    <row r="3529" spans="1:37" ht="36.75" customHeight="1" x14ac:dyDescent="0.35">
      <c r="A3529" s="21" t="s">
        <v>12448</v>
      </c>
      <c r="B3529" s="5" t="s">
        <v>37</v>
      </c>
      <c r="C3529" s="73" t="str">
        <f t="shared" ref="C3529:C3592" si="65">IF(B3529="Notification","Open",IF(B3529="Interim Statement","In progress","Closed"))</f>
        <v>Closed</v>
      </c>
      <c r="D3529" s="47" t="s">
        <v>20356</v>
      </c>
      <c r="E3529" s="54" t="s">
        <v>20357</v>
      </c>
      <c r="F3529" s="5" t="s">
        <v>17638</v>
      </c>
      <c r="G3529" s="9">
        <f>DATE(2022,9,13)</f>
        <v>44817</v>
      </c>
      <c r="H3529" s="107">
        <v>1.5729166666666665</v>
      </c>
      <c r="I3529" s="5" t="s">
        <v>55</v>
      </c>
      <c r="J3529" s="5" t="s">
        <v>20358</v>
      </c>
      <c r="K3529" s="5" t="s">
        <v>1555</v>
      </c>
      <c r="L3529" s="5" t="s">
        <v>20359</v>
      </c>
      <c r="M3529" s="5" t="s">
        <v>45</v>
      </c>
      <c r="N3529" s="5" t="s">
        <v>80</v>
      </c>
      <c r="O3529" s="5" t="s">
        <v>46</v>
      </c>
      <c r="P3529" s="5" t="s">
        <v>60</v>
      </c>
      <c r="Q3529" s="5" t="s">
        <v>18008</v>
      </c>
      <c r="R3529" s="5" t="s">
        <v>17642</v>
      </c>
      <c r="S3529" s="5">
        <v>0</v>
      </c>
      <c r="T3529" s="5">
        <v>0</v>
      </c>
      <c r="U3529" s="5">
        <v>0</v>
      </c>
      <c r="V3529" s="5">
        <v>0</v>
      </c>
      <c r="W3529" s="5">
        <v>0</v>
      </c>
      <c r="X3529" s="5">
        <v>0</v>
      </c>
      <c r="Y3529" s="5">
        <v>0</v>
      </c>
      <c r="Z3529" s="5">
        <v>0</v>
      </c>
      <c r="AA3529" s="5">
        <v>0</v>
      </c>
      <c r="AB3529" s="5">
        <v>0</v>
      </c>
      <c r="AC3529" s="5">
        <v>0</v>
      </c>
      <c r="AD3529" s="5">
        <v>0</v>
      </c>
      <c r="AE3529" s="5" t="s">
        <v>73</v>
      </c>
      <c r="AF3529" s="5" t="s">
        <v>20360</v>
      </c>
      <c r="AG3529" s="5" t="s">
        <v>8837</v>
      </c>
      <c r="AH3529" s="43">
        <v>44818</v>
      </c>
      <c r="AI3529" s="5">
        <v>2</v>
      </c>
      <c r="AJ3529" s="5" t="s">
        <v>20361</v>
      </c>
      <c r="AK3529" s="5" t="s">
        <v>20362</v>
      </c>
    </row>
    <row r="3530" spans="1:37" ht="36.75" customHeight="1" x14ac:dyDescent="0.35">
      <c r="A3530" s="21" t="s">
        <v>12448</v>
      </c>
      <c r="B3530" s="5" t="s">
        <v>37</v>
      </c>
      <c r="C3530" s="73" t="str">
        <f t="shared" si="65"/>
        <v>Closed</v>
      </c>
      <c r="D3530" s="47" t="s">
        <v>20363</v>
      </c>
      <c r="E3530" s="85" t="s">
        <v>20364</v>
      </c>
      <c r="F3530" s="5" t="s">
        <v>16397</v>
      </c>
      <c r="G3530" s="9">
        <f>DATE(2022,9,15)</f>
        <v>44819</v>
      </c>
      <c r="H3530" s="107">
        <v>1.3597222222222223</v>
      </c>
      <c r="I3530" s="69" t="s">
        <v>2059</v>
      </c>
      <c r="J3530" s="5" t="s">
        <v>20365</v>
      </c>
      <c r="K3530" s="5" t="s">
        <v>406</v>
      </c>
      <c r="L3530" s="5" t="s">
        <v>20366</v>
      </c>
      <c r="M3530" s="5" t="s">
        <v>45</v>
      </c>
      <c r="N3530" s="5" t="s">
        <v>123</v>
      </c>
      <c r="O3530" s="5" t="s">
        <v>46</v>
      </c>
      <c r="P3530" s="5" t="s">
        <v>20367</v>
      </c>
      <c r="Q3530" s="5" t="s">
        <v>18565</v>
      </c>
      <c r="R3530" s="5" t="s">
        <v>17330</v>
      </c>
      <c r="S3530" s="5">
        <v>0</v>
      </c>
      <c r="T3530" s="5">
        <v>0</v>
      </c>
      <c r="U3530" s="5">
        <v>0</v>
      </c>
      <c r="V3530" s="5">
        <v>0</v>
      </c>
      <c r="W3530" s="5">
        <v>0</v>
      </c>
      <c r="X3530" s="5">
        <v>0</v>
      </c>
      <c r="Y3530" s="5">
        <v>0</v>
      </c>
      <c r="Z3530" s="5">
        <v>0</v>
      </c>
      <c r="AA3530" s="5">
        <v>0</v>
      </c>
      <c r="AB3530" s="5">
        <v>0</v>
      </c>
      <c r="AC3530" s="5">
        <v>0</v>
      </c>
      <c r="AD3530" s="5">
        <v>0</v>
      </c>
      <c r="AE3530" s="5" t="s">
        <v>73</v>
      </c>
      <c r="AF3530" s="5" t="s">
        <v>20368</v>
      </c>
      <c r="AG3530" s="5" t="s">
        <v>16251</v>
      </c>
      <c r="AH3530" s="43">
        <v>44819</v>
      </c>
      <c r="AI3530" s="5">
        <v>1</v>
      </c>
      <c r="AJ3530" s="5" t="s">
        <v>20369</v>
      </c>
      <c r="AK3530" s="5" t="s">
        <v>860</v>
      </c>
    </row>
    <row r="3531" spans="1:37" ht="36.75" customHeight="1" x14ac:dyDescent="0.35">
      <c r="A3531" s="21" t="s">
        <v>12448</v>
      </c>
      <c r="B3531" s="5" t="s">
        <v>37</v>
      </c>
      <c r="C3531" s="73" t="str">
        <f t="shared" si="65"/>
        <v>Closed</v>
      </c>
      <c r="D3531" s="47" t="s">
        <v>20370</v>
      </c>
      <c r="E3531" s="85" t="s">
        <v>20371</v>
      </c>
      <c r="F3531" s="69" t="s">
        <v>17638</v>
      </c>
      <c r="G3531" s="9">
        <f>DATE(2022,9,17)</f>
        <v>44821</v>
      </c>
      <c r="H3531" s="107">
        <v>1.5208333333333335</v>
      </c>
      <c r="I3531" s="69" t="s">
        <v>55</v>
      </c>
      <c r="J3531" s="69" t="s">
        <v>20372</v>
      </c>
      <c r="K3531" s="69" t="s">
        <v>1555</v>
      </c>
      <c r="L3531" s="69" t="s">
        <v>20244</v>
      </c>
      <c r="M3531" s="69" t="s">
        <v>45</v>
      </c>
      <c r="N3531" s="69" t="s">
        <v>80</v>
      </c>
      <c r="O3531" s="69" t="s">
        <v>46</v>
      </c>
      <c r="P3531" s="69" t="s">
        <v>60</v>
      </c>
      <c r="Q3531" s="69" t="s">
        <v>19623</v>
      </c>
      <c r="R3531" s="69" t="s">
        <v>19623</v>
      </c>
      <c r="S3531" s="69">
        <v>0</v>
      </c>
      <c r="T3531" s="69">
        <v>0</v>
      </c>
      <c r="U3531" s="69">
        <v>0</v>
      </c>
      <c r="V3531" s="69">
        <v>0</v>
      </c>
      <c r="W3531" s="69">
        <v>0</v>
      </c>
      <c r="X3531" s="69">
        <v>0</v>
      </c>
      <c r="Y3531" s="69">
        <v>0</v>
      </c>
      <c r="Z3531" s="69">
        <v>0</v>
      </c>
      <c r="AA3531" s="69">
        <v>0</v>
      </c>
      <c r="AB3531" s="69">
        <v>0</v>
      </c>
      <c r="AC3531" s="69">
        <v>0</v>
      </c>
      <c r="AD3531" s="69">
        <v>0</v>
      </c>
      <c r="AE3531" s="69" t="s">
        <v>73</v>
      </c>
      <c r="AF3531" s="69" t="s">
        <v>20373</v>
      </c>
      <c r="AG3531" s="69" t="s">
        <v>8837</v>
      </c>
      <c r="AH3531" s="43">
        <v>44823</v>
      </c>
      <c r="AI3531" s="69">
        <v>1</v>
      </c>
      <c r="AJ3531" s="69" t="s">
        <v>20374</v>
      </c>
      <c r="AK3531" s="69" t="s">
        <v>20375</v>
      </c>
    </row>
    <row r="3532" spans="1:37" ht="36.75" customHeight="1" x14ac:dyDescent="0.35">
      <c r="A3532" s="21" t="s">
        <v>12448</v>
      </c>
      <c r="B3532" s="5" t="s">
        <v>37</v>
      </c>
      <c r="C3532" s="73" t="str">
        <f t="shared" si="65"/>
        <v>Closed</v>
      </c>
      <c r="D3532" s="47" t="s">
        <v>20376</v>
      </c>
      <c r="E3532" s="85" t="s">
        <v>20377</v>
      </c>
      <c r="F3532" s="69" t="s">
        <v>17638</v>
      </c>
      <c r="G3532" s="9">
        <f>DATE(2022,9,20)</f>
        <v>44824</v>
      </c>
      <c r="H3532" s="107">
        <v>1.4722222222222223</v>
      </c>
      <c r="I3532" s="69" t="s">
        <v>55</v>
      </c>
      <c r="J3532" s="69" t="s">
        <v>20378</v>
      </c>
      <c r="K3532" s="69" t="s">
        <v>1555</v>
      </c>
      <c r="L3532" s="69" t="s">
        <v>20379</v>
      </c>
      <c r="M3532" s="69" t="s">
        <v>45</v>
      </c>
      <c r="N3532" s="69" t="s">
        <v>80</v>
      </c>
      <c r="O3532" s="69" t="s">
        <v>46</v>
      </c>
      <c r="P3532" s="69" t="s">
        <v>146</v>
      </c>
      <c r="Q3532" s="69" t="s">
        <v>19832</v>
      </c>
      <c r="R3532" s="69" t="s">
        <v>19833</v>
      </c>
      <c r="S3532" s="69">
        <v>0</v>
      </c>
      <c r="T3532" s="69">
        <v>0</v>
      </c>
      <c r="U3532" s="69">
        <v>0</v>
      </c>
      <c r="V3532" s="69">
        <v>0</v>
      </c>
      <c r="W3532" s="69">
        <v>0</v>
      </c>
      <c r="X3532" s="69">
        <v>0</v>
      </c>
      <c r="Y3532" s="69">
        <v>0</v>
      </c>
      <c r="Z3532" s="69">
        <v>0</v>
      </c>
      <c r="AA3532" s="69">
        <v>0</v>
      </c>
      <c r="AB3532" s="69">
        <v>0</v>
      </c>
      <c r="AC3532" s="69">
        <v>0</v>
      </c>
      <c r="AD3532" s="69">
        <v>0</v>
      </c>
      <c r="AE3532" s="69" t="s">
        <v>73</v>
      </c>
      <c r="AF3532" s="69" t="s">
        <v>20380</v>
      </c>
      <c r="AG3532" s="69" t="s">
        <v>8837</v>
      </c>
      <c r="AH3532" s="43">
        <v>44825</v>
      </c>
      <c r="AI3532" s="69">
        <v>0</v>
      </c>
      <c r="AJ3532" s="69" t="s">
        <v>20381</v>
      </c>
      <c r="AK3532" s="69" t="s">
        <v>20382</v>
      </c>
    </row>
    <row r="3533" spans="1:37" ht="36.75" customHeight="1" x14ac:dyDescent="0.35">
      <c r="A3533" s="21" t="s">
        <v>12448</v>
      </c>
      <c r="B3533" s="5" t="s">
        <v>37</v>
      </c>
      <c r="C3533" s="73" t="str">
        <f t="shared" si="65"/>
        <v>Closed</v>
      </c>
      <c r="D3533" s="47" t="s">
        <v>20383</v>
      </c>
      <c r="E3533" s="85" t="s">
        <v>20384</v>
      </c>
      <c r="F3533" s="69" t="s">
        <v>17638</v>
      </c>
      <c r="G3533" s="9">
        <f>DATE(2022,10,2)</f>
        <v>44836</v>
      </c>
      <c r="H3533" s="107">
        <v>1.0763888888888888</v>
      </c>
      <c r="I3533" s="69" t="s">
        <v>55</v>
      </c>
      <c r="J3533" s="69" t="s">
        <v>20385</v>
      </c>
      <c r="K3533" s="69" t="s">
        <v>1555</v>
      </c>
      <c r="L3533" s="69" t="s">
        <v>20386</v>
      </c>
      <c r="M3533" s="69" t="s">
        <v>45</v>
      </c>
      <c r="N3533" s="69" t="s">
        <v>80</v>
      </c>
      <c r="O3533" s="69" t="s">
        <v>59</v>
      </c>
      <c r="P3533" s="69" t="s">
        <v>60</v>
      </c>
      <c r="Q3533" s="69" t="s">
        <v>18008</v>
      </c>
      <c r="R3533" s="69" t="s">
        <v>17642</v>
      </c>
      <c r="S3533" s="69">
        <v>0</v>
      </c>
      <c r="T3533" s="69">
        <v>0</v>
      </c>
      <c r="U3533" s="69">
        <v>0</v>
      </c>
      <c r="V3533" s="69">
        <v>0</v>
      </c>
      <c r="W3533" s="69">
        <v>0</v>
      </c>
      <c r="X3533" s="69">
        <v>0</v>
      </c>
      <c r="Y3533" s="69">
        <v>0</v>
      </c>
      <c r="Z3533" s="69">
        <v>0</v>
      </c>
      <c r="AA3533" s="69">
        <v>0</v>
      </c>
      <c r="AB3533" s="69">
        <v>0</v>
      </c>
      <c r="AC3533" s="69">
        <v>0</v>
      </c>
      <c r="AD3533" s="69">
        <v>0</v>
      </c>
      <c r="AE3533" s="69" t="s">
        <v>73</v>
      </c>
      <c r="AF3533" s="69" t="s">
        <v>20387</v>
      </c>
      <c r="AG3533" s="69" t="s">
        <v>8837</v>
      </c>
      <c r="AH3533" s="43">
        <v>44837</v>
      </c>
      <c r="AI3533" s="69">
        <v>1</v>
      </c>
      <c r="AJ3533" s="69" t="s">
        <v>20388</v>
      </c>
      <c r="AK3533" s="69" t="s">
        <v>20389</v>
      </c>
    </row>
    <row r="3534" spans="1:37" ht="36.75" customHeight="1" x14ac:dyDescent="0.35">
      <c r="A3534" s="21" t="s">
        <v>12448</v>
      </c>
      <c r="B3534" s="5" t="s">
        <v>37</v>
      </c>
      <c r="C3534" s="73" t="str">
        <f t="shared" si="65"/>
        <v>Closed</v>
      </c>
      <c r="D3534" s="47" t="s">
        <v>20390</v>
      </c>
      <c r="E3534" s="85" t="s">
        <v>20391</v>
      </c>
      <c r="F3534" s="69" t="s">
        <v>12887</v>
      </c>
      <c r="G3534" s="9">
        <f>DATE(2022,10,2)</f>
        <v>44836</v>
      </c>
      <c r="H3534" s="107">
        <v>1.8715277777777777</v>
      </c>
      <c r="I3534" s="69" t="s">
        <v>259</v>
      </c>
      <c r="J3534" s="69" t="s">
        <v>20392</v>
      </c>
      <c r="K3534" s="69" t="s">
        <v>434</v>
      </c>
      <c r="L3534" s="69" t="s">
        <v>20393</v>
      </c>
      <c r="M3534" s="69" t="s">
        <v>45</v>
      </c>
      <c r="N3534" s="69" t="s">
        <v>123</v>
      </c>
      <c r="O3534" s="69" t="s">
        <v>59</v>
      </c>
      <c r="P3534" s="69" t="s">
        <v>146</v>
      </c>
      <c r="Q3534" s="69" t="s">
        <v>14350</v>
      </c>
      <c r="R3534" s="69" t="s">
        <v>553</v>
      </c>
      <c r="S3534" s="69">
        <v>0</v>
      </c>
      <c r="T3534" s="69">
        <v>0</v>
      </c>
      <c r="U3534" s="69">
        <v>0</v>
      </c>
      <c r="V3534" s="69">
        <v>1</v>
      </c>
      <c r="W3534" s="69">
        <v>0</v>
      </c>
      <c r="X3534" s="69">
        <v>1</v>
      </c>
      <c r="Y3534" s="69">
        <v>0</v>
      </c>
      <c r="Z3534" s="69">
        <v>0</v>
      </c>
      <c r="AA3534" s="69">
        <v>0</v>
      </c>
      <c r="AB3534" s="69">
        <v>0</v>
      </c>
      <c r="AC3534" s="69">
        <v>0</v>
      </c>
      <c r="AD3534" s="69">
        <v>0</v>
      </c>
      <c r="AE3534" s="69" t="s">
        <v>73</v>
      </c>
      <c r="AF3534" s="69" t="s">
        <v>20394</v>
      </c>
      <c r="AG3534" s="69" t="s">
        <v>6438</v>
      </c>
      <c r="AH3534" s="43">
        <v>44844</v>
      </c>
      <c r="AI3534" s="69">
        <v>0</v>
      </c>
      <c r="AJ3534" s="69" t="s">
        <v>20395</v>
      </c>
      <c r="AK3534" s="69" t="s">
        <v>693</v>
      </c>
    </row>
    <row r="3535" spans="1:37" ht="36.75" customHeight="1" x14ac:dyDescent="0.35">
      <c r="A3535" s="21" t="s">
        <v>12448</v>
      </c>
      <c r="B3535" s="5" t="s">
        <v>14851</v>
      </c>
      <c r="C3535" s="73" t="str">
        <f t="shared" si="65"/>
        <v>In progress</v>
      </c>
      <c r="D3535" s="45" t="s">
        <v>20396</v>
      </c>
      <c r="E3535" s="85" t="s">
        <v>20397</v>
      </c>
      <c r="F3535" s="69" t="s">
        <v>16397</v>
      </c>
      <c r="G3535" s="9">
        <f>DATE(2022,10,7)</f>
        <v>44841</v>
      </c>
      <c r="H3535" s="107">
        <v>1.3784722222222223</v>
      </c>
      <c r="I3535" s="69" t="s">
        <v>97</v>
      </c>
      <c r="J3535" s="69" t="s">
        <v>20398</v>
      </c>
      <c r="K3535" s="69" t="s">
        <v>406</v>
      </c>
      <c r="L3535" s="69" t="s">
        <v>20399</v>
      </c>
      <c r="M3535" s="69" t="s">
        <v>45</v>
      </c>
      <c r="N3535" s="69" t="s">
        <v>123</v>
      </c>
      <c r="O3535" s="69" t="s">
        <v>46</v>
      </c>
      <c r="P3535" s="69" t="s">
        <v>72</v>
      </c>
      <c r="Q3535" s="69" t="s">
        <v>3900</v>
      </c>
      <c r="R3535" s="69" t="s">
        <v>17330</v>
      </c>
      <c r="S3535" s="69">
        <v>0</v>
      </c>
      <c r="T3535" s="69">
        <v>0</v>
      </c>
      <c r="U3535" s="69">
        <v>0</v>
      </c>
      <c r="V3535" s="69">
        <v>0</v>
      </c>
      <c r="W3535" s="69">
        <v>0</v>
      </c>
      <c r="X3535" s="69">
        <v>0</v>
      </c>
      <c r="Y3535" s="69">
        <v>0</v>
      </c>
      <c r="Z3535" s="69">
        <v>0</v>
      </c>
      <c r="AA3535" s="69">
        <v>0</v>
      </c>
      <c r="AB3535" s="69">
        <v>0</v>
      </c>
      <c r="AC3535" s="69">
        <v>0</v>
      </c>
      <c r="AD3535" s="69">
        <v>0</v>
      </c>
      <c r="AE3535" s="69" t="s">
        <v>73</v>
      </c>
      <c r="AF3535" s="69" t="s">
        <v>20400</v>
      </c>
      <c r="AG3535" s="69" t="s">
        <v>20401</v>
      </c>
      <c r="AH3535" s="43">
        <v>44844</v>
      </c>
      <c r="AI3535" s="69"/>
      <c r="AJ3535" s="69"/>
      <c r="AK3535" s="69"/>
    </row>
    <row r="3536" spans="1:37" ht="36.75" customHeight="1" x14ac:dyDescent="0.35">
      <c r="A3536" s="21" t="s">
        <v>12448</v>
      </c>
      <c r="B3536" s="5" t="s">
        <v>14851</v>
      </c>
      <c r="C3536" s="73" t="str">
        <f t="shared" si="65"/>
        <v>In progress</v>
      </c>
      <c r="D3536" s="47" t="s">
        <v>20402</v>
      </c>
      <c r="E3536" s="85" t="s">
        <v>20403</v>
      </c>
      <c r="F3536" s="69" t="s">
        <v>16278</v>
      </c>
      <c r="G3536" s="9">
        <f>DATE(2022,10,9)</f>
        <v>44843</v>
      </c>
      <c r="H3536" s="107">
        <v>1.71875</v>
      </c>
      <c r="I3536" s="69" t="s">
        <v>5473</v>
      </c>
      <c r="J3536" s="69" t="s">
        <v>20404</v>
      </c>
      <c r="K3536" s="69" t="s">
        <v>99</v>
      </c>
      <c r="L3536" s="69" t="s">
        <v>8358</v>
      </c>
      <c r="M3536" s="69" t="s">
        <v>45</v>
      </c>
      <c r="N3536" s="69" t="s">
        <v>123</v>
      </c>
      <c r="O3536" s="69" t="s">
        <v>67</v>
      </c>
      <c r="P3536" s="69" t="s">
        <v>443</v>
      </c>
      <c r="Q3536" s="69" t="s">
        <v>20405</v>
      </c>
      <c r="R3536" s="69" t="s">
        <v>20406</v>
      </c>
      <c r="S3536" s="69">
        <v>0</v>
      </c>
      <c r="T3536" s="69">
        <v>0</v>
      </c>
      <c r="U3536" s="69">
        <v>0</v>
      </c>
      <c r="V3536" s="69">
        <v>0</v>
      </c>
      <c r="W3536" s="69">
        <v>0</v>
      </c>
      <c r="X3536" s="69">
        <v>0</v>
      </c>
      <c r="Y3536" s="69">
        <v>0</v>
      </c>
      <c r="Z3536" s="69">
        <v>0</v>
      </c>
      <c r="AA3536" s="69">
        <v>0</v>
      </c>
      <c r="AB3536" s="69">
        <v>0</v>
      </c>
      <c r="AC3536" s="69">
        <v>0</v>
      </c>
      <c r="AD3536" s="69">
        <v>0</v>
      </c>
      <c r="AE3536" s="69" t="s">
        <v>73</v>
      </c>
      <c r="AF3536" s="69" t="s">
        <v>20407</v>
      </c>
      <c r="AG3536" s="69" t="s">
        <v>17023</v>
      </c>
      <c r="AH3536" s="43">
        <v>44931</v>
      </c>
      <c r="AI3536" s="69"/>
      <c r="AJ3536" s="69"/>
      <c r="AK3536" s="69"/>
    </row>
    <row r="3537" spans="1:37" ht="36.75" customHeight="1" x14ac:dyDescent="0.35">
      <c r="A3537" s="21" t="s">
        <v>12448</v>
      </c>
      <c r="B3537" s="5" t="s">
        <v>37</v>
      </c>
      <c r="C3537" s="73" t="str">
        <f t="shared" si="65"/>
        <v>Closed</v>
      </c>
      <c r="D3537" s="91" t="s">
        <v>20408</v>
      </c>
      <c r="E3537" s="85" t="s">
        <v>20409</v>
      </c>
      <c r="F3537" s="69" t="s">
        <v>16397</v>
      </c>
      <c r="G3537" s="9">
        <f>DATE(2022,10,10)</f>
        <v>44844</v>
      </c>
      <c r="H3537" s="107">
        <v>1.7124999999999999</v>
      </c>
      <c r="I3537" s="69" t="s">
        <v>137</v>
      </c>
      <c r="J3537" s="69" t="s">
        <v>20410</v>
      </c>
      <c r="K3537" s="69" t="s">
        <v>406</v>
      </c>
      <c r="L3537" s="69" t="s">
        <v>18316</v>
      </c>
      <c r="M3537" s="69" t="s">
        <v>45</v>
      </c>
      <c r="N3537" s="69" t="s">
        <v>123</v>
      </c>
      <c r="O3537" s="69" t="s">
        <v>59</v>
      </c>
      <c r="P3537" s="69" t="s">
        <v>60</v>
      </c>
      <c r="Q3537" s="69" t="s">
        <v>18043</v>
      </c>
      <c r="R3537" s="69" t="s">
        <v>17330</v>
      </c>
      <c r="S3537" s="69">
        <v>0</v>
      </c>
      <c r="T3537" s="69">
        <v>0</v>
      </c>
      <c r="U3537" s="69">
        <v>0</v>
      </c>
      <c r="V3537" s="69">
        <v>0</v>
      </c>
      <c r="W3537" s="69">
        <v>0</v>
      </c>
      <c r="X3537" s="69">
        <v>0</v>
      </c>
      <c r="Y3537" s="69">
        <v>0</v>
      </c>
      <c r="Z3537" s="69">
        <v>0</v>
      </c>
      <c r="AA3537" s="69">
        <v>0</v>
      </c>
      <c r="AB3537" s="69">
        <v>0</v>
      </c>
      <c r="AC3537" s="69">
        <v>0</v>
      </c>
      <c r="AD3537" s="69">
        <v>0</v>
      </c>
      <c r="AE3537" s="69" t="s">
        <v>16403</v>
      </c>
      <c r="AF3537" s="69" t="s">
        <v>20411</v>
      </c>
      <c r="AG3537" s="69" t="s">
        <v>16251</v>
      </c>
      <c r="AH3537" s="43">
        <v>44844</v>
      </c>
      <c r="AI3537" s="69">
        <v>1</v>
      </c>
      <c r="AJ3537" s="69" t="s">
        <v>20412</v>
      </c>
      <c r="AK3537" s="69" t="s">
        <v>860</v>
      </c>
    </row>
    <row r="3538" spans="1:37" ht="36.75" customHeight="1" x14ac:dyDescent="0.35">
      <c r="A3538" s="21" t="s">
        <v>12448</v>
      </c>
      <c r="B3538" s="5" t="s">
        <v>37</v>
      </c>
      <c r="C3538" s="73" t="str">
        <f t="shared" si="65"/>
        <v>Closed</v>
      </c>
      <c r="D3538" s="47" t="s">
        <v>20413</v>
      </c>
      <c r="E3538" s="85" t="s">
        <v>20414</v>
      </c>
      <c r="F3538" s="69" t="s">
        <v>16397</v>
      </c>
      <c r="G3538" s="9">
        <f>DATE(2022,10,11)</f>
        <v>44845</v>
      </c>
      <c r="H3538" s="107">
        <v>1.6180555555555556</v>
      </c>
      <c r="I3538" s="69" t="s">
        <v>97</v>
      </c>
      <c r="J3538" s="69" t="s">
        <v>20415</v>
      </c>
      <c r="K3538" s="69" t="s">
        <v>406</v>
      </c>
      <c r="L3538" s="69" t="s">
        <v>20416</v>
      </c>
      <c r="M3538" s="69" t="s">
        <v>45</v>
      </c>
      <c r="N3538" s="69" t="s">
        <v>80</v>
      </c>
      <c r="O3538" s="69" t="s">
        <v>46</v>
      </c>
      <c r="P3538" s="69" t="s">
        <v>146</v>
      </c>
      <c r="Q3538" s="69" t="s">
        <v>14742</v>
      </c>
      <c r="R3538" s="69" t="s">
        <v>17330</v>
      </c>
      <c r="S3538" s="69">
        <v>0</v>
      </c>
      <c r="T3538" s="69">
        <v>0</v>
      </c>
      <c r="U3538" s="69">
        <v>0</v>
      </c>
      <c r="V3538" s="69">
        <v>0</v>
      </c>
      <c r="W3538" s="69">
        <v>0</v>
      </c>
      <c r="X3538" s="69">
        <v>0</v>
      </c>
      <c r="Y3538" s="69">
        <v>0</v>
      </c>
      <c r="Z3538" s="69">
        <v>0</v>
      </c>
      <c r="AA3538" s="69">
        <v>0</v>
      </c>
      <c r="AB3538" s="69">
        <v>0</v>
      </c>
      <c r="AC3538" s="69">
        <v>0</v>
      </c>
      <c r="AD3538" s="69">
        <v>0</v>
      </c>
      <c r="AE3538" s="69" t="s">
        <v>16403</v>
      </c>
      <c r="AF3538" s="69" t="s">
        <v>20417</v>
      </c>
      <c r="AG3538" s="69" t="s">
        <v>16251</v>
      </c>
      <c r="AH3538" s="43">
        <v>44845</v>
      </c>
      <c r="AI3538" s="69">
        <v>1</v>
      </c>
      <c r="AJ3538" s="69" t="s">
        <v>20418</v>
      </c>
      <c r="AK3538" s="69" t="s">
        <v>860</v>
      </c>
    </row>
    <row r="3539" spans="1:37" ht="36.75" customHeight="1" x14ac:dyDescent="0.35">
      <c r="A3539" s="21" t="s">
        <v>12448</v>
      </c>
      <c r="B3539" s="5" t="s">
        <v>37</v>
      </c>
      <c r="C3539" s="73" t="str">
        <f t="shared" si="65"/>
        <v>Closed</v>
      </c>
      <c r="D3539" s="47" t="s">
        <v>20419</v>
      </c>
      <c r="E3539" s="85" t="s">
        <v>20420</v>
      </c>
      <c r="F3539" s="69" t="s">
        <v>17537</v>
      </c>
      <c r="G3539" s="9">
        <f>DATE(2022,10,14)</f>
        <v>44848</v>
      </c>
      <c r="H3539" s="107">
        <v>1.3784722222222223</v>
      </c>
      <c r="I3539" s="69" t="s">
        <v>97</v>
      </c>
      <c r="J3539" s="69" t="s">
        <v>19916</v>
      </c>
      <c r="K3539" s="69" t="s">
        <v>818</v>
      </c>
      <c r="L3539" s="69" t="s">
        <v>20421</v>
      </c>
      <c r="M3539" s="69" t="s">
        <v>45</v>
      </c>
      <c r="N3539" s="69" t="s">
        <v>80</v>
      </c>
      <c r="O3539" s="69" t="s">
        <v>46</v>
      </c>
      <c r="P3539" s="69" t="s">
        <v>146</v>
      </c>
      <c r="Q3539" s="69" t="s">
        <v>2142</v>
      </c>
      <c r="R3539" s="69" t="s">
        <v>821</v>
      </c>
      <c r="S3539" s="69">
        <v>0</v>
      </c>
      <c r="T3539" s="69">
        <v>0</v>
      </c>
      <c r="U3539" s="69">
        <v>0</v>
      </c>
      <c r="V3539" s="69">
        <v>0</v>
      </c>
      <c r="W3539" s="69">
        <v>0</v>
      </c>
      <c r="X3539" s="69">
        <v>0</v>
      </c>
      <c r="Y3539" s="69">
        <v>4</v>
      </c>
      <c r="Z3539" s="69">
        <v>1</v>
      </c>
      <c r="AA3539" s="69">
        <v>0</v>
      </c>
      <c r="AB3539" s="69">
        <v>0</v>
      </c>
      <c r="AC3539" s="69">
        <v>0</v>
      </c>
      <c r="AD3539" s="69">
        <v>5</v>
      </c>
      <c r="AE3539" s="69" t="s">
        <v>375</v>
      </c>
      <c r="AF3539" s="69" t="s">
        <v>20422</v>
      </c>
      <c r="AG3539" s="69" t="s">
        <v>8837</v>
      </c>
      <c r="AH3539" s="43">
        <v>44849</v>
      </c>
      <c r="AI3539" s="69">
        <v>0</v>
      </c>
      <c r="AJ3539" s="69" t="s">
        <v>18806</v>
      </c>
      <c r="AK3539" s="69" t="s">
        <v>10534</v>
      </c>
    </row>
    <row r="3540" spans="1:37" ht="36.75" customHeight="1" x14ac:dyDescent="0.35">
      <c r="A3540" s="21" t="s">
        <v>12448</v>
      </c>
      <c r="B3540" s="5" t="s">
        <v>37</v>
      </c>
      <c r="C3540" s="73" t="str">
        <f t="shared" si="65"/>
        <v>Closed</v>
      </c>
      <c r="D3540" s="91" t="s">
        <v>20423</v>
      </c>
      <c r="E3540" s="85" t="s">
        <v>20424</v>
      </c>
      <c r="F3540" s="69" t="s">
        <v>17537</v>
      </c>
      <c r="G3540" s="9">
        <f>DATE(2022,10,17)</f>
        <v>44851</v>
      </c>
      <c r="H3540" s="107">
        <v>1.3541666666666667</v>
      </c>
      <c r="I3540" s="69" t="s">
        <v>106</v>
      </c>
      <c r="J3540" s="69" t="s">
        <v>20425</v>
      </c>
      <c r="K3540" s="69" t="s">
        <v>818</v>
      </c>
      <c r="L3540" s="69" t="s">
        <v>20426</v>
      </c>
      <c r="M3540" s="69" t="s">
        <v>110</v>
      </c>
      <c r="N3540" s="69" t="s">
        <v>123</v>
      </c>
      <c r="O3540" s="69" t="s">
        <v>59</v>
      </c>
      <c r="P3540" s="69" t="s">
        <v>110</v>
      </c>
      <c r="Q3540" s="69" t="s">
        <v>4190</v>
      </c>
      <c r="R3540" s="69" t="s">
        <v>4190</v>
      </c>
      <c r="S3540" s="69">
        <v>0</v>
      </c>
      <c r="T3540" s="69">
        <v>0</v>
      </c>
      <c r="U3540" s="69">
        <v>0</v>
      </c>
      <c r="V3540" s="69">
        <v>0</v>
      </c>
      <c r="W3540" s="69">
        <v>0</v>
      </c>
      <c r="X3540" s="69">
        <v>0</v>
      </c>
      <c r="Y3540" s="69">
        <v>0</v>
      </c>
      <c r="Z3540" s="69">
        <v>0</v>
      </c>
      <c r="AA3540" s="69">
        <v>0</v>
      </c>
      <c r="AB3540" s="69">
        <v>0</v>
      </c>
      <c r="AC3540" s="69">
        <v>0</v>
      </c>
      <c r="AD3540" s="69">
        <v>0</v>
      </c>
      <c r="AE3540" s="69" t="s">
        <v>73</v>
      </c>
      <c r="AF3540" s="69" t="s">
        <v>20427</v>
      </c>
      <c r="AG3540" s="69" t="s">
        <v>8837</v>
      </c>
      <c r="AH3540" s="43">
        <v>44852</v>
      </c>
      <c r="AI3540" s="69">
        <v>2</v>
      </c>
      <c r="AJ3540" s="69" t="s">
        <v>20428</v>
      </c>
      <c r="AK3540" s="69" t="s">
        <v>20429</v>
      </c>
    </row>
    <row r="3541" spans="1:37" ht="36.75" customHeight="1" x14ac:dyDescent="0.35">
      <c r="A3541" s="21" t="s">
        <v>12448</v>
      </c>
      <c r="B3541" s="5" t="s">
        <v>14851</v>
      </c>
      <c r="C3541" s="73" t="str">
        <f t="shared" si="65"/>
        <v>In progress</v>
      </c>
      <c r="D3541" s="47" t="s">
        <v>20430</v>
      </c>
      <c r="E3541" s="85" t="s">
        <v>20431</v>
      </c>
      <c r="F3541" s="69" t="s">
        <v>16397</v>
      </c>
      <c r="G3541" s="9">
        <f>DATE(2022,10,20)</f>
        <v>44854</v>
      </c>
      <c r="H3541" s="107">
        <v>1.34375</v>
      </c>
      <c r="I3541" s="69" t="s">
        <v>97</v>
      </c>
      <c r="J3541" s="69" t="s">
        <v>20432</v>
      </c>
      <c r="K3541" s="69" t="s">
        <v>406</v>
      </c>
      <c r="L3541" s="69" t="s">
        <v>15698</v>
      </c>
      <c r="M3541" s="69" t="s">
        <v>45</v>
      </c>
      <c r="N3541" s="69" t="s">
        <v>80</v>
      </c>
      <c r="O3541" s="69" t="s">
        <v>46</v>
      </c>
      <c r="P3541" s="69" t="s">
        <v>146</v>
      </c>
      <c r="Q3541" s="69" t="s">
        <v>18565</v>
      </c>
      <c r="R3541" s="69" t="s">
        <v>17330</v>
      </c>
      <c r="S3541" s="69">
        <v>0</v>
      </c>
      <c r="T3541" s="69">
        <v>0</v>
      </c>
      <c r="U3541" s="69">
        <v>2</v>
      </c>
      <c r="V3541" s="69">
        <v>0</v>
      </c>
      <c r="W3541" s="69">
        <v>0</v>
      </c>
      <c r="X3541" s="69">
        <v>2</v>
      </c>
      <c r="Y3541" s="69">
        <v>0</v>
      </c>
      <c r="Z3541" s="69">
        <v>0</v>
      </c>
      <c r="AA3541" s="69">
        <v>1</v>
      </c>
      <c r="AB3541" s="69">
        <v>0</v>
      </c>
      <c r="AC3541" s="69">
        <v>0</v>
      </c>
      <c r="AD3541" s="69">
        <v>1</v>
      </c>
      <c r="AE3541" s="69" t="s">
        <v>73</v>
      </c>
      <c r="AF3541" s="69" t="s">
        <v>20433</v>
      </c>
      <c r="AG3541" s="69" t="s">
        <v>16251</v>
      </c>
      <c r="AH3541" s="43">
        <v>44854</v>
      </c>
      <c r="AI3541" s="69"/>
      <c r="AJ3541" s="69"/>
      <c r="AK3541" s="69"/>
    </row>
    <row r="3542" spans="1:37" ht="36.75" customHeight="1" x14ac:dyDescent="0.35">
      <c r="A3542" s="21" t="s">
        <v>12448</v>
      </c>
      <c r="B3542" s="5" t="s">
        <v>37</v>
      </c>
      <c r="C3542" s="73" t="str">
        <f t="shared" si="65"/>
        <v>Closed</v>
      </c>
      <c r="D3542" s="91" t="s">
        <v>20434</v>
      </c>
      <c r="E3542" s="85" t="s">
        <v>20435</v>
      </c>
      <c r="F3542" s="69" t="s">
        <v>17537</v>
      </c>
      <c r="G3542" s="9">
        <f>DATE(2022,10,21)</f>
        <v>44855</v>
      </c>
      <c r="H3542" s="107">
        <v>1.1215277777777777</v>
      </c>
      <c r="I3542" s="69" t="s">
        <v>55</v>
      </c>
      <c r="J3542" s="69" t="s">
        <v>43476</v>
      </c>
      <c r="K3542" s="69" t="s">
        <v>818</v>
      </c>
      <c r="L3542" s="69" t="s">
        <v>20436</v>
      </c>
      <c r="M3542" s="69" t="s">
        <v>45</v>
      </c>
      <c r="N3542" s="69" t="s">
        <v>80</v>
      </c>
      <c r="O3542" s="69" t="s">
        <v>46</v>
      </c>
      <c r="P3542" s="69" t="s">
        <v>362</v>
      </c>
      <c r="Q3542" s="69" t="s">
        <v>6560</v>
      </c>
      <c r="R3542" s="69" t="s">
        <v>43477</v>
      </c>
      <c r="S3542" s="69" t="s">
        <v>821</v>
      </c>
      <c r="T3542" s="69">
        <v>0</v>
      </c>
      <c r="U3542" s="69">
        <v>0</v>
      </c>
      <c r="V3542" s="69">
        <v>0</v>
      </c>
      <c r="W3542" s="69">
        <v>0</v>
      </c>
      <c r="X3542" s="69">
        <v>0</v>
      </c>
      <c r="Y3542" s="69">
        <v>0</v>
      </c>
      <c r="Z3542" s="69">
        <v>0</v>
      </c>
      <c r="AA3542" s="69">
        <v>0</v>
      </c>
      <c r="AB3542" s="69">
        <v>0</v>
      </c>
      <c r="AC3542" s="69">
        <v>0</v>
      </c>
      <c r="AD3542" s="69">
        <v>0</v>
      </c>
      <c r="AE3542" s="69">
        <v>0</v>
      </c>
      <c r="AF3542" s="69" t="s">
        <v>73</v>
      </c>
      <c r="AG3542" s="69" t="s">
        <v>8837</v>
      </c>
      <c r="AH3542" s="43">
        <v>44855</v>
      </c>
      <c r="AI3542" s="69">
        <v>1</v>
      </c>
      <c r="AJ3542" s="69" t="s">
        <v>13653</v>
      </c>
      <c r="AK3542" s="69" t="s">
        <v>43478</v>
      </c>
    </row>
    <row r="3543" spans="1:37" ht="36.75" customHeight="1" x14ac:dyDescent="0.35">
      <c r="A3543" s="21" t="s">
        <v>12448</v>
      </c>
      <c r="B3543" s="5" t="s">
        <v>887</v>
      </c>
      <c r="C3543" s="73" t="str">
        <f t="shared" si="65"/>
        <v>Open</v>
      </c>
      <c r="D3543" s="47" t="s">
        <v>20437</v>
      </c>
      <c r="E3543" s="85" t="s">
        <v>20438</v>
      </c>
      <c r="F3543" s="69" t="s">
        <v>17537</v>
      </c>
      <c r="G3543" s="9">
        <f>DATE(2022,10,23)</f>
        <v>44857</v>
      </c>
      <c r="H3543" s="107">
        <v>1.1006944444444444</v>
      </c>
      <c r="I3543" s="69" t="s">
        <v>4590</v>
      </c>
      <c r="J3543" s="69" t="s">
        <v>20439</v>
      </c>
      <c r="K3543" s="69" t="s">
        <v>818</v>
      </c>
      <c r="L3543" s="69" t="s">
        <v>20440</v>
      </c>
      <c r="M3543" s="69" t="s">
        <v>45</v>
      </c>
      <c r="N3543" s="69" t="s">
        <v>80</v>
      </c>
      <c r="O3543" s="69" t="s">
        <v>59</v>
      </c>
      <c r="P3543" s="69" t="s">
        <v>362</v>
      </c>
      <c r="Q3543" s="69" t="s">
        <v>20441</v>
      </c>
      <c r="R3543" s="69" t="s">
        <v>43477</v>
      </c>
      <c r="S3543" s="69" t="s">
        <v>821</v>
      </c>
      <c r="T3543" s="69">
        <v>0</v>
      </c>
      <c r="U3543" s="69">
        <v>0</v>
      </c>
      <c r="V3543" s="69">
        <v>0</v>
      </c>
      <c r="W3543" s="69">
        <v>0</v>
      </c>
      <c r="X3543" s="69">
        <v>0</v>
      </c>
      <c r="Y3543" s="69">
        <v>0</v>
      </c>
      <c r="Z3543" s="69">
        <v>0</v>
      </c>
      <c r="AA3543" s="69">
        <v>0</v>
      </c>
      <c r="AB3543" s="69">
        <v>0</v>
      </c>
      <c r="AC3543" s="69">
        <v>0</v>
      </c>
      <c r="AD3543" s="69">
        <v>0</v>
      </c>
      <c r="AE3543" s="69">
        <v>0</v>
      </c>
      <c r="AF3543" s="69" t="s">
        <v>73</v>
      </c>
      <c r="AG3543" s="69" t="s">
        <v>860</v>
      </c>
      <c r="AH3543" s="43">
        <v>44858</v>
      </c>
      <c r="AI3543" s="69"/>
      <c r="AJ3543" s="69"/>
      <c r="AK3543" s="69"/>
    </row>
    <row r="3544" spans="1:37" ht="36.75" customHeight="1" x14ac:dyDescent="0.35">
      <c r="A3544" s="21" t="s">
        <v>12448</v>
      </c>
      <c r="B3544" s="5" t="s">
        <v>37</v>
      </c>
      <c r="C3544" s="73" t="str">
        <f t="shared" si="65"/>
        <v>Closed</v>
      </c>
      <c r="D3544" s="91" t="s">
        <v>20442</v>
      </c>
      <c r="E3544" s="85" t="s">
        <v>20443</v>
      </c>
      <c r="F3544" s="69" t="s">
        <v>17305</v>
      </c>
      <c r="G3544" s="9">
        <f>DATE(2022,10,23)</f>
        <v>44857</v>
      </c>
      <c r="H3544" s="107">
        <v>1.0381944444444444</v>
      </c>
      <c r="I3544" s="69" t="s">
        <v>468</v>
      </c>
      <c r="J3544" s="69" t="s">
        <v>20444</v>
      </c>
      <c r="K3544" s="69" t="s">
        <v>108</v>
      </c>
      <c r="L3544" s="69" t="s">
        <v>20445</v>
      </c>
      <c r="M3544" s="69" t="s">
        <v>45</v>
      </c>
      <c r="N3544" s="69" t="s">
        <v>70</v>
      </c>
      <c r="O3544" s="69" t="s">
        <v>71</v>
      </c>
      <c r="P3544" s="69" t="s">
        <v>362</v>
      </c>
      <c r="Q3544" s="69" t="s">
        <v>124</v>
      </c>
      <c r="R3544" s="69" t="s">
        <v>43477</v>
      </c>
      <c r="S3544" s="69" t="s">
        <v>821</v>
      </c>
      <c r="T3544" s="69">
        <v>0</v>
      </c>
      <c r="U3544" s="69">
        <v>0</v>
      </c>
      <c r="V3544" s="69">
        <v>0</v>
      </c>
      <c r="W3544" s="69">
        <v>0</v>
      </c>
      <c r="X3544" s="69">
        <v>0</v>
      </c>
      <c r="Y3544" s="69">
        <v>0</v>
      </c>
      <c r="Z3544" s="69">
        <v>0</v>
      </c>
      <c r="AA3544" s="69">
        <v>0</v>
      </c>
      <c r="AB3544" s="69">
        <v>0</v>
      </c>
      <c r="AC3544" s="69">
        <v>0</v>
      </c>
      <c r="AD3544" s="69">
        <v>0</v>
      </c>
      <c r="AE3544" s="69">
        <v>0</v>
      </c>
      <c r="AF3544" s="69" t="s">
        <v>73</v>
      </c>
      <c r="AG3544" s="69" t="s">
        <v>860</v>
      </c>
      <c r="AH3544" s="43">
        <v>44865</v>
      </c>
      <c r="AI3544" s="69">
        <v>0</v>
      </c>
      <c r="AJ3544" s="69" t="s">
        <v>20446</v>
      </c>
      <c r="AK3544" s="69" t="s">
        <v>20447</v>
      </c>
    </row>
    <row r="3545" spans="1:37" ht="36.75" customHeight="1" x14ac:dyDescent="0.35">
      <c r="A3545" s="21" t="s">
        <v>12448</v>
      </c>
      <c r="B3545" s="5" t="s">
        <v>37</v>
      </c>
      <c r="C3545" s="73" t="str">
        <f t="shared" si="65"/>
        <v>Closed</v>
      </c>
      <c r="D3545" s="47" t="s">
        <v>20448</v>
      </c>
      <c r="E3545" s="85" t="s">
        <v>20449</v>
      </c>
      <c r="F3545" s="69" t="s">
        <v>16397</v>
      </c>
      <c r="G3545" s="9">
        <f>DATE(2022,10,26)</f>
        <v>44860</v>
      </c>
      <c r="H3545" s="107">
        <v>1.8138888888888891</v>
      </c>
      <c r="I3545" s="69" t="s">
        <v>97</v>
      </c>
      <c r="J3545" s="69" t="s">
        <v>20450</v>
      </c>
      <c r="K3545" s="69" t="s">
        <v>406</v>
      </c>
      <c r="L3545" s="69" t="s">
        <v>20451</v>
      </c>
      <c r="M3545" s="69" t="s">
        <v>45</v>
      </c>
      <c r="N3545" s="69" t="s">
        <v>80</v>
      </c>
      <c r="O3545" s="69" t="s">
        <v>46</v>
      </c>
      <c r="P3545" s="69" t="s">
        <v>146</v>
      </c>
      <c r="Q3545" s="69" t="s">
        <v>18466</v>
      </c>
      <c r="R3545" s="69" t="s">
        <v>43477</v>
      </c>
      <c r="S3545" s="69" t="s">
        <v>821</v>
      </c>
      <c r="T3545" s="69">
        <v>0</v>
      </c>
      <c r="U3545" s="69">
        <v>0</v>
      </c>
      <c r="V3545" s="69">
        <v>0</v>
      </c>
      <c r="W3545" s="69">
        <v>0</v>
      </c>
      <c r="X3545" s="69">
        <v>0</v>
      </c>
      <c r="Y3545" s="69">
        <v>0</v>
      </c>
      <c r="Z3545" s="69">
        <v>0</v>
      </c>
      <c r="AA3545" s="69">
        <v>0</v>
      </c>
      <c r="AB3545" s="69">
        <v>0</v>
      </c>
      <c r="AC3545" s="69">
        <v>0</v>
      </c>
      <c r="AD3545" s="69">
        <v>0</v>
      </c>
      <c r="AE3545" s="69">
        <v>0</v>
      </c>
      <c r="AF3545" s="69" t="s">
        <v>73</v>
      </c>
      <c r="AG3545" s="69" t="s">
        <v>860</v>
      </c>
      <c r="AH3545" s="43">
        <v>44860</v>
      </c>
      <c r="AI3545" s="69">
        <v>2</v>
      </c>
      <c r="AJ3545" s="69" t="s">
        <v>20452</v>
      </c>
      <c r="AK3545" s="69" t="s">
        <v>860</v>
      </c>
    </row>
    <row r="3546" spans="1:37" ht="36.75" customHeight="1" x14ac:dyDescent="0.35">
      <c r="A3546" s="21" t="s">
        <v>12448</v>
      </c>
      <c r="B3546" s="5" t="s">
        <v>37</v>
      </c>
      <c r="C3546" s="73" t="str">
        <f t="shared" si="65"/>
        <v>Closed</v>
      </c>
      <c r="D3546" s="47" t="s">
        <v>20453</v>
      </c>
      <c r="E3546" s="85" t="s">
        <v>20454</v>
      </c>
      <c r="F3546" s="69" t="s">
        <v>16397</v>
      </c>
      <c r="G3546" s="9">
        <f>DATE(2022,10,27)</f>
        <v>44861</v>
      </c>
      <c r="H3546" s="107">
        <v>1.8152777777777778</v>
      </c>
      <c r="I3546" s="69" t="s">
        <v>4590</v>
      </c>
      <c r="J3546" s="69" t="s">
        <v>20455</v>
      </c>
      <c r="K3546" s="69" t="s">
        <v>406</v>
      </c>
      <c r="L3546" s="69" t="s">
        <v>20456</v>
      </c>
      <c r="M3546" s="69" t="s">
        <v>45</v>
      </c>
      <c r="N3546" s="69" t="s">
        <v>123</v>
      </c>
      <c r="O3546" s="69" t="s">
        <v>59</v>
      </c>
      <c r="P3546" s="69" t="s">
        <v>20457</v>
      </c>
      <c r="Q3546" s="69" t="s">
        <v>20458</v>
      </c>
      <c r="R3546" s="69" t="s">
        <v>43477</v>
      </c>
      <c r="S3546" s="69" t="s">
        <v>821</v>
      </c>
      <c r="T3546" s="69">
        <v>0</v>
      </c>
      <c r="U3546" s="69">
        <v>0</v>
      </c>
      <c r="V3546" s="69">
        <v>0</v>
      </c>
      <c r="W3546" s="69">
        <v>0</v>
      </c>
      <c r="X3546" s="69">
        <v>0</v>
      </c>
      <c r="Y3546" s="69">
        <v>0</v>
      </c>
      <c r="Z3546" s="69">
        <v>0</v>
      </c>
      <c r="AA3546" s="69">
        <v>0</v>
      </c>
      <c r="AB3546" s="69">
        <v>0</v>
      </c>
      <c r="AC3546" s="69">
        <v>0</v>
      </c>
      <c r="AD3546" s="69">
        <v>0</v>
      </c>
      <c r="AE3546" s="69">
        <v>0</v>
      </c>
      <c r="AF3546" s="69" t="s">
        <v>73</v>
      </c>
      <c r="AG3546" s="69" t="s">
        <v>860</v>
      </c>
      <c r="AH3546" s="43">
        <v>44861</v>
      </c>
      <c r="AI3546" s="69">
        <v>0</v>
      </c>
      <c r="AJ3546" s="69" t="s">
        <v>20459</v>
      </c>
      <c r="AK3546" s="69" t="s">
        <v>19743</v>
      </c>
    </row>
    <row r="3547" spans="1:37" ht="36.75" customHeight="1" x14ac:dyDescent="0.35">
      <c r="A3547" s="21" t="s">
        <v>12448</v>
      </c>
      <c r="B3547" s="5" t="s">
        <v>37</v>
      </c>
      <c r="C3547" s="73" t="str">
        <f t="shared" si="65"/>
        <v>Closed</v>
      </c>
      <c r="D3547" s="47" t="s">
        <v>20460</v>
      </c>
      <c r="E3547" s="85" t="s">
        <v>20461</v>
      </c>
      <c r="F3547" s="69" t="s">
        <v>16397</v>
      </c>
      <c r="G3547" s="9">
        <f>DATE(2022,10,30)</f>
        <v>44864</v>
      </c>
      <c r="H3547" s="107">
        <v>1.8347222222222221</v>
      </c>
      <c r="I3547" s="69" t="s">
        <v>4590</v>
      </c>
      <c r="J3547" s="69" t="s">
        <v>20462</v>
      </c>
      <c r="K3547" s="69" t="s">
        <v>406</v>
      </c>
      <c r="L3547" s="69" t="s">
        <v>20463</v>
      </c>
      <c r="M3547" s="69" t="s">
        <v>45</v>
      </c>
      <c r="N3547" s="69" t="s">
        <v>80</v>
      </c>
      <c r="O3547" s="69" t="s">
        <v>59</v>
      </c>
      <c r="P3547" s="69" t="s">
        <v>20464</v>
      </c>
      <c r="Q3547" s="69" t="s">
        <v>18565</v>
      </c>
      <c r="R3547" s="69" t="s">
        <v>43477</v>
      </c>
      <c r="S3547" s="69" t="s">
        <v>821</v>
      </c>
      <c r="T3547" s="69">
        <v>0</v>
      </c>
      <c r="U3547" s="69">
        <v>0</v>
      </c>
      <c r="V3547" s="69">
        <v>0</v>
      </c>
      <c r="W3547" s="69">
        <v>0</v>
      </c>
      <c r="X3547" s="69">
        <v>0</v>
      </c>
      <c r="Y3547" s="69">
        <v>0</v>
      </c>
      <c r="Z3547" s="69">
        <v>0</v>
      </c>
      <c r="AA3547" s="69">
        <v>0</v>
      </c>
      <c r="AB3547" s="69">
        <v>0</v>
      </c>
      <c r="AC3547" s="69">
        <v>0</v>
      </c>
      <c r="AD3547" s="69">
        <v>0</v>
      </c>
      <c r="AE3547" s="69">
        <v>0</v>
      </c>
      <c r="AF3547" s="69" t="s">
        <v>73</v>
      </c>
      <c r="AG3547" s="69" t="s">
        <v>860</v>
      </c>
      <c r="AH3547" s="43">
        <v>44864</v>
      </c>
      <c r="AI3547" s="69">
        <v>0</v>
      </c>
      <c r="AJ3547" s="69" t="s">
        <v>20465</v>
      </c>
      <c r="AK3547" s="69"/>
    </row>
    <row r="3548" spans="1:37" ht="36.75" customHeight="1" x14ac:dyDescent="0.35">
      <c r="A3548" s="21" t="s">
        <v>12448</v>
      </c>
      <c r="B3548" s="5" t="s">
        <v>37</v>
      </c>
      <c r="C3548" s="73" t="str">
        <f t="shared" si="65"/>
        <v>Closed</v>
      </c>
      <c r="D3548" s="91" t="s">
        <v>20466</v>
      </c>
      <c r="E3548" s="85" t="s">
        <v>20467</v>
      </c>
      <c r="F3548" s="69" t="s">
        <v>17638</v>
      </c>
      <c r="G3548" s="9">
        <f>DATE(2022,11,1)</f>
        <v>44866</v>
      </c>
      <c r="H3548" s="107">
        <v>1.3090277777777777</v>
      </c>
      <c r="I3548" s="69" t="s">
        <v>55</v>
      </c>
      <c r="J3548" s="69" t="s">
        <v>20468</v>
      </c>
      <c r="K3548" s="69" t="s">
        <v>1555</v>
      </c>
      <c r="L3548" s="69" t="s">
        <v>20469</v>
      </c>
      <c r="M3548" s="69" t="s">
        <v>45</v>
      </c>
      <c r="N3548" s="69" t="s">
        <v>123</v>
      </c>
      <c r="O3548" s="69" t="s">
        <v>59</v>
      </c>
      <c r="P3548" s="69" t="s">
        <v>60</v>
      </c>
      <c r="Q3548" s="69" t="s">
        <v>18008</v>
      </c>
      <c r="R3548" s="69" t="s">
        <v>43477</v>
      </c>
      <c r="S3548" s="69" t="s">
        <v>821</v>
      </c>
      <c r="T3548" s="69">
        <v>0</v>
      </c>
      <c r="U3548" s="69">
        <v>0</v>
      </c>
      <c r="V3548" s="69">
        <v>0</v>
      </c>
      <c r="W3548" s="69">
        <v>0</v>
      </c>
      <c r="X3548" s="69">
        <v>0</v>
      </c>
      <c r="Y3548" s="69">
        <v>0</v>
      </c>
      <c r="Z3548" s="69">
        <v>0</v>
      </c>
      <c r="AA3548" s="69">
        <v>0</v>
      </c>
      <c r="AB3548" s="69">
        <v>0</v>
      </c>
      <c r="AC3548" s="69">
        <v>0</v>
      </c>
      <c r="AD3548" s="69">
        <v>0</v>
      </c>
      <c r="AE3548" s="69">
        <v>0</v>
      </c>
      <c r="AF3548" s="69" t="s">
        <v>73</v>
      </c>
      <c r="AG3548" s="69" t="s">
        <v>860</v>
      </c>
      <c r="AH3548" s="43">
        <v>44867</v>
      </c>
      <c r="AI3548" s="69">
        <v>1</v>
      </c>
      <c r="AJ3548" s="69" t="s">
        <v>20470</v>
      </c>
      <c r="AK3548" s="69" t="s">
        <v>20471</v>
      </c>
    </row>
    <row r="3549" spans="1:37" ht="36.75" customHeight="1" x14ac:dyDescent="0.35">
      <c r="A3549" s="21" t="s">
        <v>12448</v>
      </c>
      <c r="B3549" s="5" t="s">
        <v>37</v>
      </c>
      <c r="C3549" s="73" t="str">
        <f t="shared" si="65"/>
        <v>Closed</v>
      </c>
      <c r="D3549" s="47" t="s">
        <v>20472</v>
      </c>
      <c r="E3549" s="85" t="s">
        <v>20473</v>
      </c>
      <c r="F3549" s="69" t="s">
        <v>17728</v>
      </c>
      <c r="G3549" s="9">
        <f>DATE(2022,11,3)</f>
        <v>44868</v>
      </c>
      <c r="H3549" s="107">
        <v>1.8159722222222223</v>
      </c>
      <c r="I3549" s="69" t="s">
        <v>106</v>
      </c>
      <c r="J3549" s="69" t="s">
        <v>20474</v>
      </c>
      <c r="K3549" s="69" t="s">
        <v>2583</v>
      </c>
      <c r="L3549" s="69" t="s">
        <v>20475</v>
      </c>
      <c r="M3549" s="69" t="s">
        <v>45</v>
      </c>
      <c r="N3549" s="69" t="s">
        <v>123</v>
      </c>
      <c r="O3549" s="69" t="s">
        <v>46</v>
      </c>
      <c r="P3549" s="69" t="s">
        <v>47</v>
      </c>
      <c r="Q3549" s="69" t="s">
        <v>20476</v>
      </c>
      <c r="R3549" s="69" t="s">
        <v>43477</v>
      </c>
      <c r="S3549" s="69" t="s">
        <v>821</v>
      </c>
      <c r="T3549" s="69">
        <v>0</v>
      </c>
      <c r="U3549" s="69">
        <v>0</v>
      </c>
      <c r="V3549" s="69">
        <v>0</v>
      </c>
      <c r="W3549" s="69">
        <v>0</v>
      </c>
      <c r="X3549" s="69">
        <v>0</v>
      </c>
      <c r="Y3549" s="69">
        <v>0</v>
      </c>
      <c r="Z3549" s="69">
        <v>0</v>
      </c>
      <c r="AA3549" s="69">
        <v>0</v>
      </c>
      <c r="AB3549" s="69">
        <v>0</v>
      </c>
      <c r="AC3549" s="69">
        <v>0</v>
      </c>
      <c r="AD3549" s="69">
        <v>0</v>
      </c>
      <c r="AE3549" s="69">
        <v>0</v>
      </c>
      <c r="AF3549" s="69" t="s">
        <v>73</v>
      </c>
      <c r="AG3549" s="69" t="s">
        <v>860</v>
      </c>
      <c r="AH3549" s="43">
        <v>44869</v>
      </c>
      <c r="AI3549" s="69">
        <v>5</v>
      </c>
      <c r="AJ3549" s="69" t="s">
        <v>20477</v>
      </c>
      <c r="AK3549" s="69" t="s">
        <v>20478</v>
      </c>
    </row>
    <row r="3550" spans="1:37" ht="36.75" customHeight="1" x14ac:dyDescent="0.35">
      <c r="A3550" s="21" t="s">
        <v>12448</v>
      </c>
      <c r="B3550" s="5" t="s">
        <v>37</v>
      </c>
      <c r="C3550" s="73" t="str">
        <f t="shared" si="65"/>
        <v>Closed</v>
      </c>
      <c r="D3550" s="91" t="s">
        <v>20479</v>
      </c>
      <c r="E3550" s="85" t="s">
        <v>20480</v>
      </c>
      <c r="F3550" s="69" t="s">
        <v>17018</v>
      </c>
      <c r="G3550" s="9">
        <f>DATE(2022,11,3)</f>
        <v>44868</v>
      </c>
      <c r="H3550" s="107">
        <v>1.78125</v>
      </c>
      <c r="I3550" s="69" t="s">
        <v>67</v>
      </c>
      <c r="J3550" s="69" t="s">
        <v>20481</v>
      </c>
      <c r="K3550" s="69" t="s">
        <v>2318</v>
      </c>
      <c r="L3550" s="69" t="s">
        <v>20482</v>
      </c>
      <c r="M3550" s="69" t="s">
        <v>45</v>
      </c>
      <c r="N3550" s="69" t="s">
        <v>123</v>
      </c>
      <c r="O3550" s="69" t="s">
        <v>67</v>
      </c>
      <c r="P3550" s="69" t="s">
        <v>146</v>
      </c>
      <c r="Q3550" s="69" t="s">
        <v>20483</v>
      </c>
      <c r="R3550" s="69" t="s">
        <v>43477</v>
      </c>
      <c r="S3550" s="69" t="s">
        <v>821</v>
      </c>
      <c r="T3550" s="69">
        <v>0</v>
      </c>
      <c r="U3550" s="69">
        <v>0</v>
      </c>
      <c r="V3550" s="69">
        <v>0</v>
      </c>
      <c r="W3550" s="69">
        <v>0</v>
      </c>
      <c r="X3550" s="69">
        <v>0</v>
      </c>
      <c r="Y3550" s="69">
        <v>0</v>
      </c>
      <c r="Z3550" s="69">
        <v>0</v>
      </c>
      <c r="AA3550" s="69">
        <v>0</v>
      </c>
      <c r="AB3550" s="69">
        <v>0</v>
      </c>
      <c r="AC3550" s="69">
        <v>0</v>
      </c>
      <c r="AD3550" s="69">
        <v>0</v>
      </c>
      <c r="AE3550" s="69">
        <v>0</v>
      </c>
      <c r="AF3550" s="69" t="s">
        <v>73</v>
      </c>
      <c r="AG3550" s="69" t="s">
        <v>860</v>
      </c>
      <c r="AH3550" s="43">
        <v>44935</v>
      </c>
      <c r="AI3550" s="69">
        <v>6</v>
      </c>
      <c r="AJ3550" s="69" t="s">
        <v>20484</v>
      </c>
      <c r="AK3550" s="69" t="s">
        <v>20485</v>
      </c>
    </row>
    <row r="3551" spans="1:37" ht="36.75" customHeight="1" x14ac:dyDescent="0.35">
      <c r="A3551" s="21" t="s">
        <v>12448</v>
      </c>
      <c r="B3551" s="5" t="s">
        <v>37</v>
      </c>
      <c r="C3551" s="73" t="str">
        <f t="shared" si="65"/>
        <v>Closed</v>
      </c>
      <c r="D3551" s="91" t="s">
        <v>20486</v>
      </c>
      <c r="E3551" s="85" t="s">
        <v>20487</v>
      </c>
      <c r="F3551" s="69" t="s">
        <v>17305</v>
      </c>
      <c r="G3551" s="9">
        <f>DATE(2022,11,4)</f>
        <v>44869</v>
      </c>
      <c r="H3551" s="107">
        <v>1.0833333333333333</v>
      </c>
      <c r="I3551" s="69" t="s">
        <v>137</v>
      </c>
      <c r="J3551" s="69" t="s">
        <v>20488</v>
      </c>
      <c r="K3551" s="69" t="s">
        <v>108</v>
      </c>
      <c r="L3551" s="69" t="s">
        <v>20489</v>
      </c>
      <c r="M3551" s="69" t="s">
        <v>45</v>
      </c>
      <c r="N3551" s="69" t="s">
        <v>80</v>
      </c>
      <c r="O3551" s="69" t="s">
        <v>46</v>
      </c>
      <c r="P3551" s="69" t="s">
        <v>60</v>
      </c>
      <c r="Q3551" s="69" t="s">
        <v>382</v>
      </c>
      <c r="R3551" s="69" t="s">
        <v>43477</v>
      </c>
      <c r="S3551" s="69" t="s">
        <v>821</v>
      </c>
      <c r="T3551" s="69">
        <v>0</v>
      </c>
      <c r="U3551" s="69">
        <v>0</v>
      </c>
      <c r="V3551" s="69">
        <v>0</v>
      </c>
      <c r="W3551" s="69">
        <v>0</v>
      </c>
      <c r="X3551" s="69">
        <v>0</v>
      </c>
      <c r="Y3551" s="69">
        <v>0</v>
      </c>
      <c r="Z3551" s="69">
        <v>0</v>
      </c>
      <c r="AA3551" s="69">
        <v>0</v>
      </c>
      <c r="AB3551" s="69">
        <v>0</v>
      </c>
      <c r="AC3551" s="69">
        <v>0</v>
      </c>
      <c r="AD3551" s="69">
        <v>0</v>
      </c>
      <c r="AE3551" s="69">
        <v>0</v>
      </c>
      <c r="AF3551" s="69" t="s">
        <v>73</v>
      </c>
      <c r="AG3551" s="69" t="s">
        <v>860</v>
      </c>
      <c r="AH3551" s="43">
        <v>44875</v>
      </c>
      <c r="AI3551" s="69">
        <v>2</v>
      </c>
      <c r="AJ3551" s="69" t="s">
        <v>20490</v>
      </c>
      <c r="AK3551" s="69" t="s">
        <v>20491</v>
      </c>
    </row>
    <row r="3552" spans="1:37" ht="36.75" customHeight="1" x14ac:dyDescent="0.35">
      <c r="A3552" s="21" t="s">
        <v>12448</v>
      </c>
      <c r="B3552" s="5" t="s">
        <v>37</v>
      </c>
      <c r="C3552" s="73" t="str">
        <f t="shared" si="65"/>
        <v>Closed</v>
      </c>
      <c r="D3552" s="47" t="s">
        <v>20492</v>
      </c>
      <c r="E3552" s="85" t="s">
        <v>20493</v>
      </c>
      <c r="F3552" s="69" t="s">
        <v>17769</v>
      </c>
      <c r="G3552" s="9">
        <f>DATE(2022,11,5)</f>
        <v>44870</v>
      </c>
      <c r="H3552" s="107">
        <v>1.4375</v>
      </c>
      <c r="I3552" s="69" t="s">
        <v>18283</v>
      </c>
      <c r="J3552" s="69" t="s">
        <v>20494</v>
      </c>
      <c r="K3552" s="69" t="s">
        <v>621</v>
      </c>
      <c r="L3552" s="69" t="s">
        <v>20495</v>
      </c>
      <c r="M3552" s="69" t="s">
        <v>45</v>
      </c>
      <c r="N3552" s="69" t="s">
        <v>123</v>
      </c>
      <c r="O3552" s="69" t="s">
        <v>59</v>
      </c>
      <c r="P3552" s="69" t="s">
        <v>6881</v>
      </c>
      <c r="Q3552" s="69" t="s">
        <v>18459</v>
      </c>
      <c r="R3552" s="69" t="s">
        <v>43477</v>
      </c>
      <c r="S3552" s="69" t="s">
        <v>821</v>
      </c>
      <c r="T3552" s="69">
        <v>0</v>
      </c>
      <c r="U3552" s="69">
        <v>0</v>
      </c>
      <c r="V3552" s="69">
        <v>0</v>
      </c>
      <c r="W3552" s="69">
        <v>0</v>
      </c>
      <c r="X3552" s="69">
        <v>0</v>
      </c>
      <c r="Y3552" s="69">
        <v>0</v>
      </c>
      <c r="Z3552" s="69">
        <v>0</v>
      </c>
      <c r="AA3552" s="69">
        <v>0</v>
      </c>
      <c r="AB3552" s="69">
        <v>0</v>
      </c>
      <c r="AC3552" s="69">
        <v>0</v>
      </c>
      <c r="AD3552" s="69">
        <v>0</v>
      </c>
      <c r="AE3552" s="69">
        <v>0</v>
      </c>
      <c r="AF3552" s="69" t="s">
        <v>73</v>
      </c>
      <c r="AG3552" s="69" t="s">
        <v>860</v>
      </c>
      <c r="AH3552" s="43">
        <v>44980</v>
      </c>
      <c r="AI3552" s="69">
        <v>2</v>
      </c>
      <c r="AJ3552" s="69" t="s">
        <v>20496</v>
      </c>
      <c r="AK3552" s="69" t="s">
        <v>20497</v>
      </c>
    </row>
    <row r="3553" spans="1:37" ht="36.75" customHeight="1" x14ac:dyDescent="0.35">
      <c r="A3553" s="21" t="s">
        <v>12448</v>
      </c>
      <c r="B3553" s="5" t="s">
        <v>37</v>
      </c>
      <c r="C3553" s="73" t="str">
        <f t="shared" si="65"/>
        <v>Closed</v>
      </c>
      <c r="D3553" s="91" t="s">
        <v>20498</v>
      </c>
      <c r="E3553" s="85" t="s">
        <v>20499</v>
      </c>
      <c r="F3553" s="69" t="s">
        <v>16662</v>
      </c>
      <c r="G3553" s="9">
        <f>DATE(2022,11,6)</f>
        <v>44871</v>
      </c>
      <c r="H3553" s="107">
        <v>1.4756944444444444</v>
      </c>
      <c r="I3553" s="69" t="s">
        <v>6754</v>
      </c>
      <c r="J3553" s="69" t="s">
        <v>20500</v>
      </c>
      <c r="K3553" s="69" t="s">
        <v>577</v>
      </c>
      <c r="L3553" s="69" t="s">
        <v>20501</v>
      </c>
      <c r="M3553" s="69" t="s">
        <v>45</v>
      </c>
      <c r="N3553" s="69" t="s">
        <v>80</v>
      </c>
      <c r="O3553" s="69" t="s">
        <v>46</v>
      </c>
      <c r="P3553" s="69" t="s">
        <v>146</v>
      </c>
      <c r="Q3553" s="69" t="s">
        <v>17253</v>
      </c>
      <c r="R3553" s="69" t="s">
        <v>43477</v>
      </c>
      <c r="S3553" s="69" t="s">
        <v>821</v>
      </c>
      <c r="T3553" s="69">
        <v>0</v>
      </c>
      <c r="U3553" s="69">
        <v>0</v>
      </c>
      <c r="V3553" s="69">
        <v>0</v>
      </c>
      <c r="W3553" s="69">
        <v>0</v>
      </c>
      <c r="X3553" s="69">
        <v>0</v>
      </c>
      <c r="Y3553" s="69">
        <v>0</v>
      </c>
      <c r="Z3553" s="69">
        <v>0</v>
      </c>
      <c r="AA3553" s="69">
        <v>0</v>
      </c>
      <c r="AB3553" s="69">
        <v>0</v>
      </c>
      <c r="AC3553" s="69">
        <v>0</v>
      </c>
      <c r="AD3553" s="69">
        <v>0</v>
      </c>
      <c r="AE3553" s="69">
        <v>0</v>
      </c>
      <c r="AF3553" s="69" t="s">
        <v>73</v>
      </c>
      <c r="AG3553" s="69" t="s">
        <v>860</v>
      </c>
      <c r="AH3553" s="43">
        <v>44932</v>
      </c>
      <c r="AI3553" s="69">
        <v>4</v>
      </c>
      <c r="AJ3553" s="69" t="s">
        <v>20502</v>
      </c>
      <c r="AK3553" s="69" t="s">
        <v>20503</v>
      </c>
    </row>
    <row r="3554" spans="1:37" ht="36.75" customHeight="1" x14ac:dyDescent="0.35">
      <c r="A3554" s="21" t="s">
        <v>12448</v>
      </c>
      <c r="B3554" s="5" t="s">
        <v>37</v>
      </c>
      <c r="C3554" s="73" t="str">
        <f t="shared" si="65"/>
        <v>Closed</v>
      </c>
      <c r="D3554" s="91" t="s">
        <v>20504</v>
      </c>
      <c r="E3554" s="85" t="s">
        <v>20505</v>
      </c>
      <c r="F3554" s="69" t="s">
        <v>18076</v>
      </c>
      <c r="G3554" s="9">
        <f>DATE(2022,11,7)</f>
        <v>44872</v>
      </c>
      <c r="H3554" s="107">
        <v>1.5694444444444444</v>
      </c>
      <c r="I3554" s="69" t="s">
        <v>55</v>
      </c>
      <c r="J3554" s="69" t="s">
        <v>20506</v>
      </c>
      <c r="K3554" s="69" t="s">
        <v>360</v>
      </c>
      <c r="L3554" s="69" t="s">
        <v>20507</v>
      </c>
      <c r="M3554" s="69" t="s">
        <v>45</v>
      </c>
      <c r="N3554" s="69" t="s">
        <v>80</v>
      </c>
      <c r="O3554" s="69" t="s">
        <v>59</v>
      </c>
      <c r="P3554" s="69" t="s">
        <v>146</v>
      </c>
      <c r="Q3554" s="69" t="s">
        <v>20508</v>
      </c>
      <c r="R3554" s="69" t="s">
        <v>43477</v>
      </c>
      <c r="S3554" s="69" t="s">
        <v>821</v>
      </c>
      <c r="T3554" s="69">
        <v>0</v>
      </c>
      <c r="U3554" s="69">
        <v>0</v>
      </c>
      <c r="V3554" s="69">
        <v>0</v>
      </c>
      <c r="W3554" s="69">
        <v>0</v>
      </c>
      <c r="X3554" s="69">
        <v>0</v>
      </c>
      <c r="Y3554" s="69">
        <v>0</v>
      </c>
      <c r="Z3554" s="69">
        <v>0</v>
      </c>
      <c r="AA3554" s="69">
        <v>0</v>
      </c>
      <c r="AB3554" s="69">
        <v>0</v>
      </c>
      <c r="AC3554" s="69">
        <v>0</v>
      </c>
      <c r="AD3554" s="69">
        <v>0</v>
      </c>
      <c r="AE3554" s="69">
        <v>0</v>
      </c>
      <c r="AF3554" s="69" t="s">
        <v>73</v>
      </c>
      <c r="AG3554" s="69" t="s">
        <v>860</v>
      </c>
      <c r="AH3554" s="43">
        <v>44873</v>
      </c>
      <c r="AI3554" s="69">
        <v>5</v>
      </c>
      <c r="AJ3554" s="69" t="s">
        <v>20511</v>
      </c>
      <c r="AK3554" s="69" t="s">
        <v>20512</v>
      </c>
    </row>
    <row r="3555" spans="1:37" ht="36.75" customHeight="1" x14ac:dyDescent="0.35">
      <c r="A3555" s="21" t="s">
        <v>12448</v>
      </c>
      <c r="B3555" s="5" t="s">
        <v>37</v>
      </c>
      <c r="C3555" s="73" t="str">
        <f t="shared" si="65"/>
        <v>Closed</v>
      </c>
      <c r="D3555" s="92" t="s">
        <v>20513</v>
      </c>
      <c r="E3555" s="85" t="s">
        <v>20514</v>
      </c>
      <c r="F3555" s="69" t="s">
        <v>16397</v>
      </c>
      <c r="G3555" s="9">
        <f>DATE(2022,11,9)</f>
        <v>44874</v>
      </c>
      <c r="H3555" s="107">
        <v>1.8430555555555554</v>
      </c>
      <c r="I3555" s="69" t="s">
        <v>179</v>
      </c>
      <c r="J3555" s="69" t="s">
        <v>20515</v>
      </c>
      <c r="K3555" s="69" t="s">
        <v>406</v>
      </c>
      <c r="L3555" s="69" t="s">
        <v>20516</v>
      </c>
      <c r="M3555" s="69" t="s">
        <v>45</v>
      </c>
      <c r="N3555" s="69" t="s">
        <v>123</v>
      </c>
      <c r="O3555" s="69" t="s">
        <v>59</v>
      </c>
      <c r="P3555" s="69" t="s">
        <v>20517</v>
      </c>
      <c r="Q3555" s="69" t="s">
        <v>18043</v>
      </c>
      <c r="R3555" s="69" t="s">
        <v>43477</v>
      </c>
      <c r="S3555" s="69" t="s">
        <v>821</v>
      </c>
      <c r="T3555" s="69">
        <v>0</v>
      </c>
      <c r="U3555" s="69">
        <v>0</v>
      </c>
      <c r="V3555" s="69">
        <v>0</v>
      </c>
      <c r="W3555" s="69">
        <v>0</v>
      </c>
      <c r="X3555" s="69">
        <v>0</v>
      </c>
      <c r="Y3555" s="69">
        <v>0</v>
      </c>
      <c r="Z3555" s="69">
        <v>0</v>
      </c>
      <c r="AA3555" s="69">
        <v>0</v>
      </c>
      <c r="AB3555" s="69">
        <v>0</v>
      </c>
      <c r="AC3555" s="69">
        <v>0</v>
      </c>
      <c r="AD3555" s="69">
        <v>0</v>
      </c>
      <c r="AE3555" s="69">
        <v>0</v>
      </c>
      <c r="AF3555" s="69" t="s">
        <v>73</v>
      </c>
      <c r="AG3555" s="69" t="s">
        <v>860</v>
      </c>
      <c r="AH3555" s="43">
        <v>44874</v>
      </c>
      <c r="AI3555" s="69">
        <v>1</v>
      </c>
      <c r="AJ3555" s="69" t="s">
        <v>20518</v>
      </c>
      <c r="AK3555" s="69" t="s">
        <v>860</v>
      </c>
    </row>
    <row r="3556" spans="1:37" ht="36.75" customHeight="1" x14ac:dyDescent="0.35">
      <c r="A3556" s="21" t="s">
        <v>12448</v>
      </c>
      <c r="B3556" s="5" t="s">
        <v>887</v>
      </c>
      <c r="C3556" s="73" t="str">
        <f t="shared" si="65"/>
        <v>Open</v>
      </c>
      <c r="D3556" s="47" t="s">
        <v>20519</v>
      </c>
      <c r="E3556" s="85" t="s">
        <v>20520</v>
      </c>
      <c r="F3556" s="69" t="s">
        <v>17537</v>
      </c>
      <c r="G3556" s="9">
        <f>DATE(2022,11,9)</f>
        <v>44874</v>
      </c>
      <c r="H3556" s="107">
        <v>1.2465277777777777</v>
      </c>
      <c r="I3556" s="69" t="s">
        <v>179</v>
      </c>
      <c r="J3556" s="69" t="s">
        <v>20521</v>
      </c>
      <c r="K3556" s="69" t="s">
        <v>818</v>
      </c>
      <c r="L3556" s="69" t="s">
        <v>20522</v>
      </c>
      <c r="M3556" s="69" t="s">
        <v>236</v>
      </c>
      <c r="N3556" s="69" t="s">
        <v>123</v>
      </c>
      <c r="O3556" s="69" t="s">
        <v>46</v>
      </c>
      <c r="P3556" s="69" t="s">
        <v>6531</v>
      </c>
      <c r="Q3556" s="69" t="s">
        <v>20523</v>
      </c>
      <c r="R3556" s="69" t="s">
        <v>43477</v>
      </c>
      <c r="S3556" s="69" t="s">
        <v>821</v>
      </c>
      <c r="T3556" s="69">
        <v>0</v>
      </c>
      <c r="U3556" s="69">
        <v>0</v>
      </c>
      <c r="V3556" s="69">
        <v>0</v>
      </c>
      <c r="W3556" s="69">
        <v>0</v>
      </c>
      <c r="X3556" s="69">
        <v>0</v>
      </c>
      <c r="Y3556" s="69">
        <v>0</v>
      </c>
      <c r="Z3556" s="69">
        <v>0</v>
      </c>
      <c r="AA3556" s="69">
        <v>0</v>
      </c>
      <c r="AB3556" s="69">
        <v>0</v>
      </c>
      <c r="AC3556" s="69">
        <v>0</v>
      </c>
      <c r="AD3556" s="69">
        <v>0</v>
      </c>
      <c r="AE3556" s="69">
        <v>0</v>
      </c>
      <c r="AF3556" s="69" t="s">
        <v>73</v>
      </c>
      <c r="AG3556" s="69" t="s">
        <v>860</v>
      </c>
      <c r="AH3556" s="43">
        <v>44874</v>
      </c>
      <c r="AI3556" s="69"/>
      <c r="AJ3556" s="69"/>
      <c r="AK3556" s="69"/>
    </row>
    <row r="3557" spans="1:37" ht="36.75" customHeight="1" x14ac:dyDescent="0.35">
      <c r="A3557" s="21" t="s">
        <v>12448</v>
      </c>
      <c r="B3557" s="5" t="s">
        <v>37</v>
      </c>
      <c r="C3557" s="73" t="str">
        <f t="shared" si="65"/>
        <v>Closed</v>
      </c>
      <c r="D3557" s="91" t="s">
        <v>20524</v>
      </c>
      <c r="E3557" s="85" t="s">
        <v>20525</v>
      </c>
      <c r="F3557" s="69" t="s">
        <v>12887</v>
      </c>
      <c r="G3557" s="9">
        <f>DATE(2022,11,12)</f>
        <v>44877</v>
      </c>
      <c r="H3557" s="107">
        <v>1.1284722222222223</v>
      </c>
      <c r="I3557" s="69" t="s">
        <v>259</v>
      </c>
      <c r="J3557" s="69" t="s">
        <v>20526</v>
      </c>
      <c r="K3557" s="69" t="s">
        <v>434</v>
      </c>
      <c r="L3557" s="69" t="s">
        <v>12877</v>
      </c>
      <c r="M3557" s="69" t="s">
        <v>45</v>
      </c>
      <c r="N3557" s="69" t="s">
        <v>70</v>
      </c>
      <c r="O3557" s="69" t="s">
        <v>46</v>
      </c>
      <c r="P3557" s="69" t="s">
        <v>47</v>
      </c>
      <c r="Q3557" s="69" t="s">
        <v>14350</v>
      </c>
      <c r="R3557" s="69" t="s">
        <v>43477</v>
      </c>
      <c r="S3557" s="69" t="s">
        <v>821</v>
      </c>
      <c r="T3557" s="69">
        <v>0</v>
      </c>
      <c r="U3557" s="69">
        <v>0</v>
      </c>
      <c r="V3557" s="69">
        <v>0</v>
      </c>
      <c r="W3557" s="69">
        <v>0</v>
      </c>
      <c r="X3557" s="69">
        <v>0</v>
      </c>
      <c r="Y3557" s="69">
        <v>0</v>
      </c>
      <c r="Z3557" s="69">
        <v>0</v>
      </c>
      <c r="AA3557" s="69">
        <v>0</v>
      </c>
      <c r="AB3557" s="69">
        <v>0</v>
      </c>
      <c r="AC3557" s="69">
        <v>0</v>
      </c>
      <c r="AD3557" s="69">
        <v>0</v>
      </c>
      <c r="AE3557" s="69">
        <v>0</v>
      </c>
      <c r="AF3557" s="69" t="s">
        <v>73</v>
      </c>
      <c r="AG3557" s="120" t="s">
        <v>860</v>
      </c>
      <c r="AH3557" s="43">
        <v>44879</v>
      </c>
      <c r="AI3557" s="69">
        <v>0</v>
      </c>
      <c r="AJ3557" s="69" t="s">
        <v>20527</v>
      </c>
      <c r="AK3557" s="69" t="s">
        <v>20528</v>
      </c>
    </row>
    <row r="3558" spans="1:37" ht="36.75" customHeight="1" x14ac:dyDescent="0.35">
      <c r="A3558" s="21" t="s">
        <v>12448</v>
      </c>
      <c r="B3558" s="5" t="s">
        <v>37</v>
      </c>
      <c r="C3558" s="73" t="str">
        <f t="shared" si="65"/>
        <v>Closed</v>
      </c>
      <c r="D3558" s="91" t="s">
        <v>20529</v>
      </c>
      <c r="E3558" s="85" t="s">
        <v>20530</v>
      </c>
      <c r="F3558" s="69" t="s">
        <v>17638</v>
      </c>
      <c r="G3558" s="9">
        <f>DATE(2022,11,13)</f>
        <v>44878</v>
      </c>
      <c r="H3558" s="107">
        <v>1.2430555555555556</v>
      </c>
      <c r="I3558" s="69" t="s">
        <v>55</v>
      </c>
      <c r="J3558" s="69" t="s">
        <v>20531</v>
      </c>
      <c r="K3558" s="69" t="s">
        <v>1555</v>
      </c>
      <c r="L3558" s="69" t="s">
        <v>20532</v>
      </c>
      <c r="M3558" s="69" t="s">
        <v>45</v>
      </c>
      <c r="N3558" s="69" t="s">
        <v>80</v>
      </c>
      <c r="O3558" s="69" t="s">
        <v>46</v>
      </c>
      <c r="P3558" s="69" t="s">
        <v>60</v>
      </c>
      <c r="Q3558" s="69" t="s">
        <v>18008</v>
      </c>
      <c r="R3558" s="69" t="s">
        <v>17642</v>
      </c>
      <c r="S3558" s="69">
        <v>0</v>
      </c>
      <c r="T3558" s="69">
        <v>0</v>
      </c>
      <c r="U3558" s="69">
        <v>0</v>
      </c>
      <c r="V3558" s="69">
        <v>0</v>
      </c>
      <c r="W3558" s="69">
        <v>0</v>
      </c>
      <c r="X3558" s="69">
        <v>0</v>
      </c>
      <c r="Y3558" s="69">
        <v>0</v>
      </c>
      <c r="Z3558" s="69">
        <v>0</v>
      </c>
      <c r="AA3558" s="69">
        <v>0</v>
      </c>
      <c r="AB3558" s="69">
        <v>0</v>
      </c>
      <c r="AC3558" s="69">
        <v>0</v>
      </c>
      <c r="AD3558" s="69">
        <v>0</v>
      </c>
      <c r="AE3558" s="69" t="s">
        <v>73</v>
      </c>
      <c r="AF3558" s="69" t="s">
        <v>20533</v>
      </c>
      <c r="AG3558" s="69" t="s">
        <v>8837</v>
      </c>
      <c r="AH3558" s="43">
        <v>44879</v>
      </c>
      <c r="AI3558" s="69">
        <v>0</v>
      </c>
      <c r="AJ3558" s="69" t="s">
        <v>20534</v>
      </c>
      <c r="AK3558" s="69" t="s">
        <v>20535</v>
      </c>
    </row>
    <row r="3559" spans="1:37" ht="36.75" customHeight="1" x14ac:dyDescent="0.35">
      <c r="A3559" s="21" t="s">
        <v>12448</v>
      </c>
      <c r="B3559" s="5" t="s">
        <v>887</v>
      </c>
      <c r="C3559" s="73" t="str">
        <f t="shared" si="65"/>
        <v>Open</v>
      </c>
      <c r="D3559" s="47" t="s">
        <v>20536</v>
      </c>
      <c r="E3559" s="85" t="s">
        <v>20537</v>
      </c>
      <c r="F3559" s="69" t="s">
        <v>17537</v>
      </c>
      <c r="G3559" s="9">
        <f>DATE(2022,11,13)</f>
        <v>44878</v>
      </c>
      <c r="H3559" s="107">
        <v>1.2118055555555556</v>
      </c>
      <c r="I3559" s="69" t="s">
        <v>4590</v>
      </c>
      <c r="J3559" s="69" t="s">
        <v>20538</v>
      </c>
      <c r="K3559" s="69" t="s">
        <v>818</v>
      </c>
      <c r="L3559" s="69" t="s">
        <v>20539</v>
      </c>
      <c r="M3559" s="69" t="s">
        <v>45</v>
      </c>
      <c r="N3559" s="69" t="s">
        <v>80</v>
      </c>
      <c r="O3559" s="69" t="s">
        <v>59</v>
      </c>
      <c r="P3559" s="69" t="s">
        <v>60</v>
      </c>
      <c r="Q3559" s="69" t="s">
        <v>20540</v>
      </c>
      <c r="R3559" s="69" t="s">
        <v>821</v>
      </c>
      <c r="S3559" s="69"/>
      <c r="T3559" s="69"/>
      <c r="U3559" s="69"/>
      <c r="V3559" s="69"/>
      <c r="W3559" s="69"/>
      <c r="X3559" s="69">
        <v>0</v>
      </c>
      <c r="Y3559" s="69"/>
      <c r="Z3559" s="69"/>
      <c r="AA3559" s="69"/>
      <c r="AB3559" s="69"/>
      <c r="AC3559" s="69"/>
      <c r="AD3559" s="69">
        <v>0</v>
      </c>
      <c r="AE3559" s="69" t="s">
        <v>73</v>
      </c>
      <c r="AF3559" s="69" t="s">
        <v>20541</v>
      </c>
      <c r="AG3559" s="69" t="s">
        <v>8837</v>
      </c>
      <c r="AH3559" s="43">
        <v>44878</v>
      </c>
      <c r="AI3559" s="69"/>
      <c r="AJ3559" s="69"/>
      <c r="AK3559" s="69"/>
    </row>
    <row r="3560" spans="1:37" ht="36.75" customHeight="1" x14ac:dyDescent="0.35">
      <c r="A3560" s="21" t="s">
        <v>12448</v>
      </c>
      <c r="B3560" s="5" t="s">
        <v>887</v>
      </c>
      <c r="C3560" s="73" t="str">
        <f t="shared" si="65"/>
        <v>Open</v>
      </c>
      <c r="D3560" s="47" t="s">
        <v>20542</v>
      </c>
      <c r="E3560" s="85" t="s">
        <v>20543</v>
      </c>
      <c r="F3560" s="69" t="s">
        <v>16278</v>
      </c>
      <c r="G3560" s="9">
        <f>DATE(2022,11,14)</f>
        <v>44879</v>
      </c>
      <c r="H3560" s="107">
        <v>1.7847222222222223</v>
      </c>
      <c r="I3560" s="69" t="s">
        <v>259</v>
      </c>
      <c r="J3560" s="69" t="s">
        <v>20544</v>
      </c>
      <c r="K3560" s="69" t="s">
        <v>99</v>
      </c>
      <c r="L3560" s="69" t="s">
        <v>20545</v>
      </c>
      <c r="M3560" s="69" t="s">
        <v>45</v>
      </c>
      <c r="N3560" s="69" t="s">
        <v>123</v>
      </c>
      <c r="O3560" s="69" t="s">
        <v>59</v>
      </c>
      <c r="P3560" s="69" t="s">
        <v>60</v>
      </c>
      <c r="Q3560" s="69" t="s">
        <v>20195</v>
      </c>
      <c r="R3560" s="69" t="s">
        <v>18159</v>
      </c>
      <c r="S3560" s="69">
        <v>0</v>
      </c>
      <c r="T3560" s="69">
        <v>0</v>
      </c>
      <c r="U3560" s="69">
        <v>0</v>
      </c>
      <c r="V3560" s="69">
        <v>2</v>
      </c>
      <c r="W3560" s="69">
        <v>0</v>
      </c>
      <c r="X3560" s="69">
        <v>2</v>
      </c>
      <c r="Y3560" s="69">
        <v>0</v>
      </c>
      <c r="Z3560" s="69">
        <v>0</v>
      </c>
      <c r="AA3560" s="69">
        <v>0</v>
      </c>
      <c r="AB3560" s="69">
        <v>0</v>
      </c>
      <c r="AC3560" s="69">
        <v>0</v>
      </c>
      <c r="AD3560" s="69">
        <v>0</v>
      </c>
      <c r="AE3560" s="69" t="s">
        <v>73</v>
      </c>
      <c r="AF3560" s="69" t="s">
        <v>17202</v>
      </c>
      <c r="AG3560" s="69" t="s">
        <v>8837</v>
      </c>
      <c r="AH3560" s="43">
        <v>44887</v>
      </c>
      <c r="AI3560" s="69"/>
      <c r="AJ3560" s="69"/>
      <c r="AK3560" s="69"/>
    </row>
    <row r="3561" spans="1:37" ht="36.75" customHeight="1" x14ac:dyDescent="0.35">
      <c r="A3561" s="21" t="s">
        <v>12448</v>
      </c>
      <c r="B3561" s="5" t="s">
        <v>37</v>
      </c>
      <c r="C3561" s="73" t="str">
        <f t="shared" si="65"/>
        <v>Closed</v>
      </c>
      <c r="D3561" s="91" t="s">
        <v>20546</v>
      </c>
      <c r="E3561" s="85" t="s">
        <v>20547</v>
      </c>
      <c r="F3561" s="69" t="s">
        <v>9767</v>
      </c>
      <c r="G3561" s="9">
        <f>DATE(2022,11,14)</f>
        <v>44879</v>
      </c>
      <c r="H3561" s="107">
        <v>1.0972222222222223</v>
      </c>
      <c r="I3561" s="69" t="s">
        <v>179</v>
      </c>
      <c r="J3561" s="69" t="s">
        <v>20548</v>
      </c>
      <c r="K3561" s="69" t="s">
        <v>9769</v>
      </c>
      <c r="L3561" s="69" t="s">
        <v>20549</v>
      </c>
      <c r="M3561" s="69" t="s">
        <v>45</v>
      </c>
      <c r="N3561" s="69" t="s">
        <v>80</v>
      </c>
      <c r="O3561" s="69" t="s">
        <v>59</v>
      </c>
      <c r="P3561" s="69" t="s">
        <v>60</v>
      </c>
      <c r="Q3561" s="69" t="s">
        <v>20550</v>
      </c>
      <c r="R3561" s="69" t="s">
        <v>20258</v>
      </c>
      <c r="S3561" s="69">
        <v>0</v>
      </c>
      <c r="T3561" s="69">
        <v>0</v>
      </c>
      <c r="U3561" s="69">
        <v>0</v>
      </c>
      <c r="V3561" s="69">
        <v>0</v>
      </c>
      <c r="W3561" s="69">
        <v>0</v>
      </c>
      <c r="X3561" s="69">
        <v>0</v>
      </c>
      <c r="Y3561" s="69">
        <v>0</v>
      </c>
      <c r="Z3561" s="69">
        <v>0</v>
      </c>
      <c r="AA3561" s="69">
        <v>0</v>
      </c>
      <c r="AB3561" s="69">
        <v>0</v>
      </c>
      <c r="AC3561" s="69">
        <v>0</v>
      </c>
      <c r="AD3561" s="69">
        <v>0</v>
      </c>
      <c r="AE3561" s="69" t="s">
        <v>375</v>
      </c>
      <c r="AF3561" s="69" t="s">
        <v>20551</v>
      </c>
      <c r="AG3561" s="69" t="s">
        <v>8837</v>
      </c>
      <c r="AH3561" s="43">
        <v>44888</v>
      </c>
      <c r="AI3561" s="69">
        <v>1</v>
      </c>
      <c r="AJ3561" s="69" t="s">
        <v>20552</v>
      </c>
      <c r="AK3561" s="69" t="s">
        <v>20553</v>
      </c>
    </row>
    <row r="3562" spans="1:37" ht="36.75" customHeight="1" x14ac:dyDescent="0.35">
      <c r="A3562" s="21" t="s">
        <v>12448</v>
      </c>
      <c r="B3562" s="5" t="s">
        <v>37</v>
      </c>
      <c r="C3562" s="73" t="str">
        <f t="shared" si="65"/>
        <v>Closed</v>
      </c>
      <c r="D3562" s="91" t="s">
        <v>20554</v>
      </c>
      <c r="E3562" s="85" t="s">
        <v>20555</v>
      </c>
      <c r="F3562" s="69" t="s">
        <v>18015</v>
      </c>
      <c r="G3562" s="9">
        <f>DATE(2022,11,16)</f>
        <v>44881</v>
      </c>
      <c r="H3562" s="107">
        <v>1.5381944444444444</v>
      </c>
      <c r="I3562" s="69" t="s">
        <v>97</v>
      </c>
      <c r="J3562" s="69" t="s">
        <v>20556</v>
      </c>
      <c r="K3562" s="69" t="s">
        <v>121</v>
      </c>
      <c r="L3562" s="69" t="s">
        <v>20557</v>
      </c>
      <c r="M3562" s="69" t="s">
        <v>45</v>
      </c>
      <c r="N3562" s="69" t="s">
        <v>80</v>
      </c>
      <c r="O3562" s="69" t="s">
        <v>6854</v>
      </c>
      <c r="P3562" s="69" t="s">
        <v>72</v>
      </c>
      <c r="Q3562" s="69" t="s">
        <v>19692</v>
      </c>
      <c r="R3562" s="69" t="s">
        <v>20558</v>
      </c>
      <c r="S3562" s="69">
        <v>0</v>
      </c>
      <c r="T3562" s="69">
        <v>1</v>
      </c>
      <c r="U3562" s="69">
        <v>0</v>
      </c>
      <c r="V3562" s="69">
        <v>0</v>
      </c>
      <c r="W3562" s="69">
        <v>0</v>
      </c>
      <c r="X3562" s="69">
        <v>1</v>
      </c>
      <c r="Y3562" s="69">
        <v>0</v>
      </c>
      <c r="Z3562" s="69">
        <v>0</v>
      </c>
      <c r="AA3562" s="69">
        <v>0</v>
      </c>
      <c r="AB3562" s="69">
        <v>0</v>
      </c>
      <c r="AC3562" s="69">
        <v>0</v>
      </c>
      <c r="AD3562" s="69">
        <v>0</v>
      </c>
      <c r="AE3562" s="69" t="s">
        <v>73</v>
      </c>
      <c r="AF3562" s="69" t="s">
        <v>20559</v>
      </c>
      <c r="AG3562" s="69" t="s">
        <v>13508</v>
      </c>
      <c r="AH3562" s="43">
        <v>44894</v>
      </c>
      <c r="AI3562" s="69">
        <v>0</v>
      </c>
      <c r="AJ3562" s="69" t="s">
        <v>20560</v>
      </c>
      <c r="AK3562" s="69" t="s">
        <v>20561</v>
      </c>
    </row>
    <row r="3563" spans="1:37" ht="36.75" customHeight="1" x14ac:dyDescent="0.35">
      <c r="A3563" s="21" t="s">
        <v>12448</v>
      </c>
      <c r="B3563" s="5" t="s">
        <v>14851</v>
      </c>
      <c r="C3563" s="73" t="str">
        <f t="shared" si="65"/>
        <v>In progress</v>
      </c>
      <c r="D3563" s="47" t="s">
        <v>20562</v>
      </c>
      <c r="E3563" s="85" t="s">
        <v>20563</v>
      </c>
      <c r="F3563" s="69" t="s">
        <v>6434</v>
      </c>
      <c r="G3563" s="9">
        <f>DATE(2022,11,17)</f>
        <v>44882</v>
      </c>
      <c r="H3563" s="107">
        <v>1.1423611111111112</v>
      </c>
      <c r="I3563" s="69" t="s">
        <v>179</v>
      </c>
      <c r="J3563" s="69" t="s">
        <v>20564</v>
      </c>
      <c r="K3563" s="69" t="s">
        <v>565</v>
      </c>
      <c r="L3563" s="69" t="s">
        <v>20565</v>
      </c>
      <c r="M3563" s="69" t="s">
        <v>45</v>
      </c>
      <c r="N3563" s="69" t="s">
        <v>123</v>
      </c>
      <c r="O3563" s="69" t="s">
        <v>46</v>
      </c>
      <c r="P3563" s="69" t="s">
        <v>60</v>
      </c>
      <c r="Q3563" s="69" t="s">
        <v>20566</v>
      </c>
      <c r="R3563" s="69" t="s">
        <v>568</v>
      </c>
      <c r="S3563" s="69">
        <v>0</v>
      </c>
      <c r="T3563" s="69">
        <v>0</v>
      </c>
      <c r="U3563" s="69">
        <v>0</v>
      </c>
      <c r="V3563" s="69">
        <v>0</v>
      </c>
      <c r="W3563" s="69">
        <v>0</v>
      </c>
      <c r="X3563" s="69">
        <v>0</v>
      </c>
      <c r="Y3563" s="69">
        <v>0</v>
      </c>
      <c r="Z3563" s="69">
        <v>0</v>
      </c>
      <c r="AA3563" s="69">
        <v>0</v>
      </c>
      <c r="AB3563" s="69">
        <v>0</v>
      </c>
      <c r="AC3563" s="69">
        <v>0</v>
      </c>
      <c r="AD3563" s="69">
        <v>0</v>
      </c>
      <c r="AE3563" s="69" t="s">
        <v>126</v>
      </c>
      <c r="AF3563" s="69" t="s">
        <v>20567</v>
      </c>
      <c r="AG3563" s="69" t="s">
        <v>6438</v>
      </c>
      <c r="AH3563" s="43">
        <v>44883</v>
      </c>
      <c r="AI3563" s="69"/>
      <c r="AJ3563" s="69" t="s">
        <v>19580</v>
      </c>
      <c r="AK3563" s="69"/>
    </row>
    <row r="3564" spans="1:37" ht="36.75" customHeight="1" x14ac:dyDescent="0.35">
      <c r="A3564" s="21" t="s">
        <v>12448</v>
      </c>
      <c r="B3564" s="5" t="s">
        <v>887</v>
      </c>
      <c r="C3564" s="73" t="str">
        <f t="shared" si="65"/>
        <v>Open</v>
      </c>
      <c r="D3564" s="47" t="s">
        <v>20568</v>
      </c>
      <c r="E3564" s="85" t="s">
        <v>20569</v>
      </c>
      <c r="F3564" s="69" t="s">
        <v>16662</v>
      </c>
      <c r="G3564" s="9">
        <f>DATE(2022,11,18)</f>
        <v>44883</v>
      </c>
      <c r="H3564" s="107">
        <v>1.1944444444444444</v>
      </c>
      <c r="I3564" s="69" t="s">
        <v>4590</v>
      </c>
      <c r="J3564" s="69" t="s">
        <v>20570</v>
      </c>
      <c r="K3564" s="69" t="s">
        <v>577</v>
      </c>
      <c r="L3564" s="69" t="s">
        <v>20571</v>
      </c>
      <c r="M3564" s="69" t="s">
        <v>45</v>
      </c>
      <c r="N3564" s="69" t="s">
        <v>123</v>
      </c>
      <c r="O3564" s="69" t="s">
        <v>59</v>
      </c>
      <c r="P3564" s="69" t="s">
        <v>282</v>
      </c>
      <c r="Q3564" s="69" t="s">
        <v>19853</v>
      </c>
      <c r="R3564" s="69" t="s">
        <v>17254</v>
      </c>
      <c r="S3564" s="69"/>
      <c r="T3564" s="69"/>
      <c r="U3564" s="69"/>
      <c r="V3564" s="69"/>
      <c r="W3564" s="69"/>
      <c r="X3564" s="69">
        <v>0</v>
      </c>
      <c r="Y3564" s="69"/>
      <c r="Z3564" s="69"/>
      <c r="AA3564" s="69"/>
      <c r="AB3564" s="69"/>
      <c r="AC3564" s="69"/>
      <c r="AD3564" s="69">
        <v>0</v>
      </c>
      <c r="AE3564" s="69" t="s">
        <v>73</v>
      </c>
      <c r="AF3564" s="69" t="s">
        <v>693</v>
      </c>
      <c r="AG3564" s="69" t="s">
        <v>13508</v>
      </c>
      <c r="AH3564" s="43">
        <v>44932</v>
      </c>
      <c r="AI3564" s="69"/>
      <c r="AJ3564" s="69"/>
      <c r="AK3564" s="69"/>
    </row>
    <row r="3565" spans="1:37" ht="36.75" customHeight="1" x14ac:dyDescent="0.35">
      <c r="A3565" s="21" t="s">
        <v>12448</v>
      </c>
      <c r="B3565" s="5" t="s">
        <v>37</v>
      </c>
      <c r="C3565" s="73" t="str">
        <f t="shared" si="65"/>
        <v>Closed</v>
      </c>
      <c r="D3565" s="91" t="s">
        <v>20572</v>
      </c>
      <c r="E3565" s="85" t="s">
        <v>20573</v>
      </c>
      <c r="F3565" s="69" t="s">
        <v>17537</v>
      </c>
      <c r="G3565" s="9">
        <f>DATE(2022,11,19)</f>
        <v>44884</v>
      </c>
      <c r="H3565" s="107">
        <v>1.0243055555555556</v>
      </c>
      <c r="I3565" s="69" t="s">
        <v>55</v>
      </c>
      <c r="J3565" s="69" t="s">
        <v>20574</v>
      </c>
      <c r="K3565" s="69" t="s">
        <v>818</v>
      </c>
      <c r="L3565" s="69" t="s">
        <v>20575</v>
      </c>
      <c r="M3565" s="69" t="s">
        <v>45</v>
      </c>
      <c r="N3565" s="69" t="s">
        <v>123</v>
      </c>
      <c r="O3565" s="69" t="s">
        <v>59</v>
      </c>
      <c r="P3565" s="69" t="s">
        <v>60</v>
      </c>
      <c r="Q3565" s="69" t="s">
        <v>20576</v>
      </c>
      <c r="R3565" s="69" t="s">
        <v>821</v>
      </c>
      <c r="S3565" s="69">
        <v>0</v>
      </c>
      <c r="T3565" s="69">
        <v>0</v>
      </c>
      <c r="U3565" s="69">
        <v>0</v>
      </c>
      <c r="V3565" s="69">
        <v>0</v>
      </c>
      <c r="W3565" s="69">
        <v>0</v>
      </c>
      <c r="X3565" s="69">
        <v>0</v>
      </c>
      <c r="Y3565" s="69">
        <v>0</v>
      </c>
      <c r="Z3565" s="69">
        <v>0</v>
      </c>
      <c r="AA3565" s="69">
        <v>0</v>
      </c>
      <c r="AB3565" s="69">
        <v>0</v>
      </c>
      <c r="AC3565" s="69">
        <v>0</v>
      </c>
      <c r="AD3565" s="69">
        <v>0</v>
      </c>
      <c r="AE3565" s="69" t="s">
        <v>73</v>
      </c>
      <c r="AF3565" s="69" t="s">
        <v>860</v>
      </c>
      <c r="AG3565" s="69" t="s">
        <v>8837</v>
      </c>
      <c r="AH3565" s="43">
        <v>44887</v>
      </c>
      <c r="AI3565" s="69">
        <v>0</v>
      </c>
      <c r="AJ3565" s="69" t="s">
        <v>20577</v>
      </c>
      <c r="AK3565" s="69" t="s">
        <v>860</v>
      </c>
    </row>
    <row r="3566" spans="1:37" ht="36.75" customHeight="1" x14ac:dyDescent="0.35">
      <c r="A3566" s="21" t="s">
        <v>12448</v>
      </c>
      <c r="B3566" s="5" t="s">
        <v>37</v>
      </c>
      <c r="C3566" s="73" t="str">
        <f t="shared" si="65"/>
        <v>Closed</v>
      </c>
      <c r="D3566" s="47" t="s">
        <v>20578</v>
      </c>
      <c r="E3566" s="85" t="s">
        <v>20579</v>
      </c>
      <c r="F3566" s="69" t="s">
        <v>12887</v>
      </c>
      <c r="G3566" s="9">
        <f>DATE(2022,11,19)</f>
        <v>44884</v>
      </c>
      <c r="H3566" s="107">
        <v>1.9722222222222223</v>
      </c>
      <c r="I3566" s="69" t="s">
        <v>259</v>
      </c>
      <c r="J3566" s="69" t="s">
        <v>20580</v>
      </c>
      <c r="K3566" s="69" t="s">
        <v>434</v>
      </c>
      <c r="L3566" s="69" t="s">
        <v>20581</v>
      </c>
      <c r="M3566" s="69" t="s">
        <v>45</v>
      </c>
      <c r="N3566" s="69" t="s">
        <v>123</v>
      </c>
      <c r="O3566" s="69" t="s">
        <v>59</v>
      </c>
      <c r="P3566" s="69" t="s">
        <v>47</v>
      </c>
      <c r="Q3566" s="69" t="s">
        <v>14350</v>
      </c>
      <c r="R3566" s="69" t="s">
        <v>553</v>
      </c>
      <c r="S3566" s="69">
        <v>0</v>
      </c>
      <c r="T3566" s="69">
        <v>0</v>
      </c>
      <c r="U3566" s="69">
        <v>0</v>
      </c>
      <c r="V3566" s="69">
        <v>1</v>
      </c>
      <c r="W3566" s="69">
        <v>0</v>
      </c>
      <c r="X3566" s="69">
        <v>1</v>
      </c>
      <c r="Y3566" s="69">
        <v>0</v>
      </c>
      <c r="Z3566" s="69">
        <v>0</v>
      </c>
      <c r="AA3566" s="69">
        <v>0</v>
      </c>
      <c r="AB3566" s="69">
        <v>0</v>
      </c>
      <c r="AC3566" s="69">
        <v>0</v>
      </c>
      <c r="AD3566" s="69">
        <v>0</v>
      </c>
      <c r="AE3566" s="69" t="s">
        <v>73</v>
      </c>
      <c r="AF3566" s="69">
        <v>0</v>
      </c>
      <c r="AG3566" s="69" t="s">
        <v>6438</v>
      </c>
      <c r="AH3566" s="43">
        <v>44886</v>
      </c>
      <c r="AI3566" s="69">
        <v>0</v>
      </c>
      <c r="AJ3566" s="69" t="s">
        <v>20582</v>
      </c>
      <c r="AK3566" s="69"/>
    </row>
    <row r="3567" spans="1:37" ht="36.75" customHeight="1" x14ac:dyDescent="0.35">
      <c r="A3567" s="21" t="s">
        <v>12448</v>
      </c>
      <c r="B3567" s="5" t="s">
        <v>887</v>
      </c>
      <c r="C3567" s="73" t="str">
        <f t="shared" si="65"/>
        <v>Open</v>
      </c>
      <c r="D3567" s="47" t="s">
        <v>20583</v>
      </c>
      <c r="E3567" s="85" t="s">
        <v>20584</v>
      </c>
      <c r="F3567" s="69" t="s">
        <v>16278</v>
      </c>
      <c r="G3567" s="9">
        <f>DATE(2022,11,23)</f>
        <v>44888</v>
      </c>
      <c r="H3567" s="107">
        <v>1.7152777777777777</v>
      </c>
      <c r="I3567" s="69" t="s">
        <v>55</v>
      </c>
      <c r="J3567" s="69" t="s">
        <v>20585</v>
      </c>
      <c r="K3567" s="69" t="s">
        <v>99</v>
      </c>
      <c r="L3567" s="69" t="s">
        <v>20586</v>
      </c>
      <c r="M3567" s="69" t="s">
        <v>45</v>
      </c>
      <c r="N3567" s="69" t="s">
        <v>123</v>
      </c>
      <c r="O3567" s="69" t="s">
        <v>46</v>
      </c>
      <c r="P3567" s="69" t="s">
        <v>60</v>
      </c>
      <c r="Q3567" s="69" t="s">
        <v>20195</v>
      </c>
      <c r="R3567" s="69" t="s">
        <v>18159</v>
      </c>
      <c r="S3567" s="69">
        <v>0</v>
      </c>
      <c r="T3567" s="69">
        <v>0</v>
      </c>
      <c r="U3567" s="69">
        <v>0</v>
      </c>
      <c r="V3567" s="69">
        <v>0</v>
      </c>
      <c r="W3567" s="69">
        <v>0</v>
      </c>
      <c r="X3567" s="69">
        <v>0</v>
      </c>
      <c r="Y3567" s="69">
        <v>0</v>
      </c>
      <c r="Z3567" s="69">
        <v>0</v>
      </c>
      <c r="AA3567" s="69">
        <v>0</v>
      </c>
      <c r="AB3567" s="69">
        <v>0</v>
      </c>
      <c r="AC3567" s="69">
        <v>0</v>
      </c>
      <c r="AD3567" s="69">
        <v>0</v>
      </c>
      <c r="AE3567" s="69" t="s">
        <v>126</v>
      </c>
      <c r="AF3567" s="69" t="s">
        <v>20587</v>
      </c>
      <c r="AG3567" s="69" t="s">
        <v>6438</v>
      </c>
      <c r="AH3567" s="43">
        <v>44893</v>
      </c>
      <c r="AI3567" s="69"/>
      <c r="AJ3567" s="69"/>
      <c r="AK3567" s="69"/>
    </row>
    <row r="3568" spans="1:37" ht="36.75" customHeight="1" x14ac:dyDescent="0.35">
      <c r="A3568" s="21" t="s">
        <v>12448</v>
      </c>
      <c r="B3568" s="5" t="s">
        <v>37</v>
      </c>
      <c r="C3568" s="73" t="str">
        <f t="shared" si="65"/>
        <v>Closed</v>
      </c>
      <c r="D3568" s="91" t="s">
        <v>20588</v>
      </c>
      <c r="E3568" s="85" t="s">
        <v>20589</v>
      </c>
      <c r="F3568" s="69" t="s">
        <v>17638</v>
      </c>
      <c r="G3568" s="9">
        <f>DATE(2022,12,1)</f>
        <v>44896</v>
      </c>
      <c r="H3568" s="107">
        <v>1.4027777777777777</v>
      </c>
      <c r="I3568" s="69" t="s">
        <v>179</v>
      </c>
      <c r="J3568" s="69" t="s">
        <v>20590</v>
      </c>
      <c r="K3568" s="69" t="s">
        <v>1555</v>
      </c>
      <c r="L3568" s="69" t="s">
        <v>20591</v>
      </c>
      <c r="M3568" s="69" t="s">
        <v>45</v>
      </c>
      <c r="N3568" s="69" t="s">
        <v>123</v>
      </c>
      <c r="O3568" s="69" t="s">
        <v>46</v>
      </c>
      <c r="P3568" s="69" t="s">
        <v>60</v>
      </c>
      <c r="Q3568" s="69" t="s">
        <v>20592</v>
      </c>
      <c r="R3568" s="69" t="s">
        <v>18956</v>
      </c>
      <c r="S3568" s="69">
        <v>0</v>
      </c>
      <c r="T3568" s="69">
        <v>0</v>
      </c>
      <c r="U3568" s="69">
        <v>0</v>
      </c>
      <c r="V3568" s="69">
        <v>0</v>
      </c>
      <c r="W3568" s="69">
        <v>0</v>
      </c>
      <c r="X3568" s="69">
        <v>0</v>
      </c>
      <c r="Y3568" s="69">
        <v>0</v>
      </c>
      <c r="Z3568" s="69">
        <v>0</v>
      </c>
      <c r="AA3568" s="69">
        <v>0</v>
      </c>
      <c r="AB3568" s="69">
        <v>0</v>
      </c>
      <c r="AC3568" s="69">
        <v>0</v>
      </c>
      <c r="AD3568" s="69">
        <v>0</v>
      </c>
      <c r="AE3568" s="69" t="s">
        <v>375</v>
      </c>
      <c r="AF3568" s="69" t="s">
        <v>20593</v>
      </c>
      <c r="AG3568" s="69" t="s">
        <v>8837</v>
      </c>
      <c r="AH3568" s="43">
        <v>44900</v>
      </c>
      <c r="AI3568" s="69">
        <v>2</v>
      </c>
      <c r="AJ3568" s="69" t="s">
        <v>20594</v>
      </c>
      <c r="AK3568" s="69" t="s">
        <v>20595</v>
      </c>
    </row>
    <row r="3569" spans="1:37" ht="36.75" customHeight="1" x14ac:dyDescent="0.35">
      <c r="A3569" s="21" t="s">
        <v>12448</v>
      </c>
      <c r="B3569" s="5" t="s">
        <v>14851</v>
      </c>
      <c r="C3569" s="73" t="str">
        <f t="shared" si="65"/>
        <v>In progress</v>
      </c>
      <c r="D3569" s="47" t="s">
        <v>20596</v>
      </c>
      <c r="E3569" s="85" t="s">
        <v>20597</v>
      </c>
      <c r="F3569" s="69" t="s">
        <v>16397</v>
      </c>
      <c r="G3569" s="9">
        <f>DATE(2022,12,5)</f>
        <v>44900</v>
      </c>
      <c r="H3569" s="107">
        <v>1.8506944444444446</v>
      </c>
      <c r="I3569" s="69" t="s">
        <v>179</v>
      </c>
      <c r="J3569" s="69" t="s">
        <v>20598</v>
      </c>
      <c r="K3569" s="69" t="s">
        <v>406</v>
      </c>
      <c r="L3569" s="69" t="s">
        <v>12696</v>
      </c>
      <c r="M3569" s="69" t="s">
        <v>45</v>
      </c>
      <c r="N3569" s="69" t="s">
        <v>70</v>
      </c>
      <c r="O3569" s="69" t="s">
        <v>59</v>
      </c>
      <c r="P3569" s="69" t="s">
        <v>72</v>
      </c>
      <c r="Q3569" s="69" t="s">
        <v>20599</v>
      </c>
      <c r="R3569" s="69" t="s">
        <v>17330</v>
      </c>
      <c r="S3569" s="69">
        <v>0</v>
      </c>
      <c r="T3569" s="69">
        <v>0</v>
      </c>
      <c r="U3569" s="69">
        <v>0</v>
      </c>
      <c r="V3569" s="69">
        <v>0</v>
      </c>
      <c r="W3569" s="69">
        <v>0</v>
      </c>
      <c r="X3569" s="69">
        <v>0</v>
      </c>
      <c r="Y3569" s="69">
        <v>0</v>
      </c>
      <c r="Z3569" s="69">
        <v>1</v>
      </c>
      <c r="AA3569" s="69">
        <v>0</v>
      </c>
      <c r="AB3569" s="69">
        <v>0</v>
      </c>
      <c r="AC3569" s="69">
        <v>0</v>
      </c>
      <c r="AD3569" s="69">
        <v>1</v>
      </c>
      <c r="AE3569" s="69" t="s">
        <v>16403</v>
      </c>
      <c r="AF3569" s="69" t="s">
        <v>20600</v>
      </c>
      <c r="AG3569" s="119" t="s">
        <v>16251</v>
      </c>
      <c r="AH3569" s="43">
        <v>44900</v>
      </c>
      <c r="AI3569" s="69"/>
      <c r="AJ3569" s="69"/>
      <c r="AK3569" s="69"/>
    </row>
    <row r="3570" spans="1:37" ht="36.75" customHeight="1" x14ac:dyDescent="0.35">
      <c r="A3570" s="21" t="s">
        <v>12448</v>
      </c>
      <c r="B3570" s="5" t="s">
        <v>14851</v>
      </c>
      <c r="C3570" s="73" t="str">
        <f t="shared" si="65"/>
        <v>In progress</v>
      </c>
      <c r="D3570" s="47" t="s">
        <v>20601</v>
      </c>
      <c r="E3570" s="85" t="s">
        <v>20602</v>
      </c>
      <c r="F3570" s="69" t="s">
        <v>6434</v>
      </c>
      <c r="G3570" s="9">
        <f>DATE(2022,12,6)</f>
        <v>44901</v>
      </c>
      <c r="H3570" s="107">
        <v>1.5729166666666665</v>
      </c>
      <c r="I3570" s="69" t="s">
        <v>55</v>
      </c>
      <c r="J3570" s="69" t="s">
        <v>20603</v>
      </c>
      <c r="K3570" s="69" t="s">
        <v>565</v>
      </c>
      <c r="L3570" s="69" t="s">
        <v>20604</v>
      </c>
      <c r="M3570" s="69" t="s">
        <v>45</v>
      </c>
      <c r="N3570" s="69" t="s">
        <v>123</v>
      </c>
      <c r="O3570" s="69" t="s">
        <v>59</v>
      </c>
      <c r="P3570" s="69" t="s">
        <v>60</v>
      </c>
      <c r="Q3570" s="69" t="s">
        <v>17338</v>
      </c>
      <c r="R3570" s="69" t="s">
        <v>568</v>
      </c>
      <c r="S3570" s="69">
        <v>0</v>
      </c>
      <c r="T3570" s="69">
        <v>0</v>
      </c>
      <c r="U3570" s="69">
        <v>0</v>
      </c>
      <c r="V3570" s="69">
        <v>0</v>
      </c>
      <c r="W3570" s="69">
        <v>0</v>
      </c>
      <c r="X3570" s="69">
        <v>0</v>
      </c>
      <c r="Y3570" s="69">
        <v>0</v>
      </c>
      <c r="Z3570" s="69">
        <v>0</v>
      </c>
      <c r="AA3570" s="69">
        <v>0</v>
      </c>
      <c r="AB3570" s="69">
        <v>0</v>
      </c>
      <c r="AC3570" s="69">
        <v>0</v>
      </c>
      <c r="AD3570" s="69">
        <v>0</v>
      </c>
      <c r="AE3570" s="69" t="s">
        <v>375</v>
      </c>
      <c r="AF3570" s="69" t="s">
        <v>20605</v>
      </c>
      <c r="AG3570" s="69" t="s">
        <v>8837</v>
      </c>
      <c r="AH3570" s="43">
        <v>44903</v>
      </c>
      <c r="AI3570" s="69"/>
      <c r="AJ3570" s="69"/>
      <c r="AK3570" s="69"/>
    </row>
    <row r="3571" spans="1:37" ht="36.75" customHeight="1" x14ac:dyDescent="0.35">
      <c r="A3571" s="21" t="s">
        <v>12448</v>
      </c>
      <c r="B3571" s="5" t="s">
        <v>37</v>
      </c>
      <c r="C3571" s="73" t="str">
        <f t="shared" si="65"/>
        <v>Closed</v>
      </c>
      <c r="D3571" s="91" t="s">
        <v>20606</v>
      </c>
      <c r="E3571" s="85" t="s">
        <v>20607</v>
      </c>
      <c r="F3571" s="69" t="s">
        <v>16397</v>
      </c>
      <c r="G3571" s="9">
        <f>DATE(2022,12,8)</f>
        <v>44903</v>
      </c>
      <c r="H3571" s="107">
        <v>1.2562500000000001</v>
      </c>
      <c r="I3571" s="69" t="s">
        <v>97</v>
      </c>
      <c r="J3571" s="69" t="s">
        <v>20608</v>
      </c>
      <c r="K3571" s="69" t="s">
        <v>406</v>
      </c>
      <c r="L3571" s="69" t="s">
        <v>20609</v>
      </c>
      <c r="M3571" s="69" t="s">
        <v>45</v>
      </c>
      <c r="N3571" s="69" t="s">
        <v>123</v>
      </c>
      <c r="O3571" s="69" t="s">
        <v>46</v>
      </c>
      <c r="P3571" s="69" t="s">
        <v>146</v>
      </c>
      <c r="Q3571" s="69" t="s">
        <v>18466</v>
      </c>
      <c r="R3571" s="69" t="s">
        <v>17330</v>
      </c>
      <c r="S3571" s="69">
        <v>0</v>
      </c>
      <c r="T3571" s="69">
        <v>0</v>
      </c>
      <c r="U3571" s="69">
        <v>0</v>
      </c>
      <c r="V3571" s="69">
        <v>0</v>
      </c>
      <c r="W3571" s="69">
        <v>0</v>
      </c>
      <c r="X3571" s="69">
        <v>0</v>
      </c>
      <c r="Y3571" s="69">
        <v>0</v>
      </c>
      <c r="Z3571" s="69">
        <v>0</v>
      </c>
      <c r="AA3571" s="69">
        <v>0</v>
      </c>
      <c r="AB3571" s="69">
        <v>0</v>
      </c>
      <c r="AC3571" s="69">
        <v>0</v>
      </c>
      <c r="AD3571" s="69">
        <v>0</v>
      </c>
      <c r="AE3571" s="69" t="s">
        <v>16403</v>
      </c>
      <c r="AF3571" s="69" t="s">
        <v>20610</v>
      </c>
      <c r="AG3571" s="69" t="s">
        <v>16251</v>
      </c>
      <c r="AH3571" s="43">
        <v>44903</v>
      </c>
      <c r="AI3571" s="69">
        <v>0</v>
      </c>
      <c r="AJ3571" s="69" t="s">
        <v>20611</v>
      </c>
      <c r="AK3571" s="69" t="s">
        <v>18825</v>
      </c>
    </row>
    <row r="3572" spans="1:37" ht="36.75" customHeight="1" x14ac:dyDescent="0.35">
      <c r="A3572" s="21" t="s">
        <v>12448</v>
      </c>
      <c r="B3572" s="5" t="s">
        <v>37</v>
      </c>
      <c r="C3572" s="73" t="str">
        <f t="shared" si="65"/>
        <v>Closed</v>
      </c>
      <c r="D3572" s="91" t="s">
        <v>20612</v>
      </c>
      <c r="E3572" s="85" t="s">
        <v>20613</v>
      </c>
      <c r="F3572" s="69" t="s">
        <v>16397</v>
      </c>
      <c r="G3572" s="9">
        <f>DATE(2022,12,8)</f>
        <v>44903</v>
      </c>
      <c r="H3572" s="107">
        <v>1.09375</v>
      </c>
      <c r="I3572" s="69" t="s">
        <v>55</v>
      </c>
      <c r="J3572" s="69" t="s">
        <v>20614</v>
      </c>
      <c r="K3572" s="69" t="s">
        <v>406</v>
      </c>
      <c r="L3572" s="69" t="s">
        <v>20615</v>
      </c>
      <c r="M3572" s="69" t="s">
        <v>45</v>
      </c>
      <c r="N3572" s="69" t="s">
        <v>123</v>
      </c>
      <c r="O3572" s="69" t="s">
        <v>59</v>
      </c>
      <c r="P3572" s="69" t="s">
        <v>60</v>
      </c>
      <c r="Q3572" s="69" t="s">
        <v>18043</v>
      </c>
      <c r="R3572" s="69" t="s">
        <v>17330</v>
      </c>
      <c r="S3572" s="69">
        <v>0</v>
      </c>
      <c r="T3572" s="69">
        <v>0</v>
      </c>
      <c r="U3572" s="69">
        <v>0</v>
      </c>
      <c r="V3572" s="69">
        <v>0</v>
      </c>
      <c r="W3572" s="69">
        <v>0</v>
      </c>
      <c r="X3572" s="69">
        <v>0</v>
      </c>
      <c r="Y3572" s="69">
        <v>0</v>
      </c>
      <c r="Z3572" s="69">
        <v>0</v>
      </c>
      <c r="AA3572" s="69">
        <v>0</v>
      </c>
      <c r="AB3572" s="69">
        <v>0</v>
      </c>
      <c r="AC3572" s="69">
        <v>0</v>
      </c>
      <c r="AD3572" s="69">
        <v>0</v>
      </c>
      <c r="AE3572" s="69" t="s">
        <v>375</v>
      </c>
      <c r="AF3572" s="69" t="s">
        <v>20616</v>
      </c>
      <c r="AG3572" s="69" t="s">
        <v>20617</v>
      </c>
      <c r="AH3572" s="43">
        <v>44903</v>
      </c>
      <c r="AI3572" s="69">
        <v>1</v>
      </c>
      <c r="AJ3572" s="69" t="s">
        <v>20618</v>
      </c>
      <c r="AK3572" s="69" t="s">
        <v>860</v>
      </c>
    </row>
    <row r="3573" spans="1:37" ht="36.75" customHeight="1" x14ac:dyDescent="0.35">
      <c r="A3573" s="21" t="s">
        <v>12448</v>
      </c>
      <c r="B3573" s="5" t="s">
        <v>887</v>
      </c>
      <c r="C3573" s="73" t="str">
        <f t="shared" si="65"/>
        <v>Open</v>
      </c>
      <c r="D3573" s="47" t="s">
        <v>20619</v>
      </c>
      <c r="E3573" s="85" t="s">
        <v>20620</v>
      </c>
      <c r="F3573" s="69" t="s">
        <v>18076</v>
      </c>
      <c r="G3573" s="9">
        <f>DATE(2022,12,10)</f>
        <v>44905</v>
      </c>
      <c r="H3573" s="107">
        <v>1.6909722222222223</v>
      </c>
      <c r="I3573" s="69" t="s">
        <v>55</v>
      </c>
      <c r="J3573" s="69" t="s">
        <v>20621</v>
      </c>
      <c r="K3573" s="69" t="s">
        <v>360</v>
      </c>
      <c r="L3573" s="69" t="s">
        <v>20622</v>
      </c>
      <c r="M3573" s="69" t="s">
        <v>45</v>
      </c>
      <c r="N3573" s="69" t="s">
        <v>80</v>
      </c>
      <c r="O3573" s="69" t="s">
        <v>59</v>
      </c>
      <c r="P3573" s="69" t="s">
        <v>146</v>
      </c>
      <c r="Q3573" s="69" t="s">
        <v>18079</v>
      </c>
      <c r="R3573" s="69" t="s">
        <v>19493</v>
      </c>
      <c r="S3573" s="69"/>
      <c r="T3573" s="69"/>
      <c r="U3573" s="69"/>
      <c r="V3573" s="69"/>
      <c r="W3573" s="69"/>
      <c r="X3573" s="69">
        <v>0</v>
      </c>
      <c r="Y3573" s="69"/>
      <c r="Z3573" s="69"/>
      <c r="AA3573" s="69"/>
      <c r="AB3573" s="69"/>
      <c r="AC3573" s="69"/>
      <c r="AD3573" s="69">
        <v>0</v>
      </c>
      <c r="AE3573" s="69" t="s">
        <v>126</v>
      </c>
      <c r="AF3573" s="69" t="s">
        <v>20623</v>
      </c>
      <c r="AG3573" s="69" t="s">
        <v>6438</v>
      </c>
      <c r="AH3573" s="43">
        <v>44911</v>
      </c>
      <c r="AI3573" s="69"/>
      <c r="AJ3573" s="69"/>
      <c r="AK3573" s="69"/>
    </row>
    <row r="3574" spans="1:37" ht="36.75" customHeight="1" x14ac:dyDescent="0.35">
      <c r="A3574" s="21" t="s">
        <v>12448</v>
      </c>
      <c r="B3574" s="5" t="s">
        <v>37</v>
      </c>
      <c r="C3574" s="73" t="str">
        <f t="shared" si="65"/>
        <v>Closed</v>
      </c>
      <c r="D3574" s="91" t="s">
        <v>20624</v>
      </c>
      <c r="E3574" s="85" t="s">
        <v>20625</v>
      </c>
      <c r="F3574" s="69" t="s">
        <v>17018</v>
      </c>
      <c r="G3574" s="9">
        <f>DATE(2022,12,12)</f>
        <v>44907</v>
      </c>
      <c r="H3574" s="107">
        <v>1.1076388888888888</v>
      </c>
      <c r="I3574" s="69" t="s">
        <v>97</v>
      </c>
      <c r="J3574" s="69" t="s">
        <v>20626</v>
      </c>
      <c r="K3574" s="69" t="s">
        <v>2318</v>
      </c>
      <c r="L3574" s="69" t="s">
        <v>20627</v>
      </c>
      <c r="M3574" s="69" t="s">
        <v>45</v>
      </c>
      <c r="N3574" s="69" t="s">
        <v>123</v>
      </c>
      <c r="O3574" s="69" t="s">
        <v>46</v>
      </c>
      <c r="P3574" s="69" t="s">
        <v>60</v>
      </c>
      <c r="Q3574" s="69" t="s">
        <v>2955</v>
      </c>
      <c r="R3574" s="69" t="s">
        <v>2321</v>
      </c>
      <c r="S3574" s="69">
        <v>0</v>
      </c>
      <c r="T3574" s="69">
        <v>0</v>
      </c>
      <c r="U3574" s="69">
        <v>0</v>
      </c>
      <c r="V3574" s="69">
        <v>0</v>
      </c>
      <c r="W3574" s="69">
        <v>0</v>
      </c>
      <c r="X3574" s="69">
        <v>0</v>
      </c>
      <c r="Y3574" s="69">
        <v>0</v>
      </c>
      <c r="Z3574" s="69">
        <v>0</v>
      </c>
      <c r="AA3574" s="69">
        <v>1</v>
      </c>
      <c r="AB3574" s="69">
        <v>0</v>
      </c>
      <c r="AC3574" s="69">
        <v>0</v>
      </c>
      <c r="AD3574" s="69">
        <v>0</v>
      </c>
      <c r="AE3574" s="69" t="s">
        <v>73</v>
      </c>
      <c r="AF3574" s="69" t="s">
        <v>20628</v>
      </c>
      <c r="AG3574" s="69" t="s">
        <v>8837</v>
      </c>
      <c r="AH3574" s="43">
        <v>44943</v>
      </c>
      <c r="AI3574" s="69">
        <v>8</v>
      </c>
      <c r="AJ3574" s="69" t="s">
        <v>20629</v>
      </c>
      <c r="AK3574" s="69" t="s">
        <v>20630</v>
      </c>
    </row>
    <row r="3575" spans="1:37" ht="36.75" customHeight="1" x14ac:dyDescent="0.35">
      <c r="A3575" s="21" t="s">
        <v>12448</v>
      </c>
      <c r="B3575" s="5" t="s">
        <v>37</v>
      </c>
      <c r="C3575" s="73" t="str">
        <f t="shared" si="65"/>
        <v>Closed</v>
      </c>
      <c r="D3575" s="47" t="s">
        <v>20631</v>
      </c>
      <c r="E3575" s="85" t="s">
        <v>20632</v>
      </c>
      <c r="F3575" s="69" t="s">
        <v>17769</v>
      </c>
      <c r="G3575" s="9">
        <f>DATE(2022,12,13)</f>
        <v>44908</v>
      </c>
      <c r="H3575" s="107">
        <v>1.8125</v>
      </c>
      <c r="I3575" s="69" t="s">
        <v>179</v>
      </c>
      <c r="J3575" s="69" t="s">
        <v>20633</v>
      </c>
      <c r="K3575" s="69" t="s">
        <v>621</v>
      </c>
      <c r="L3575" s="69" t="s">
        <v>20634</v>
      </c>
      <c r="M3575" s="69" t="s">
        <v>45</v>
      </c>
      <c r="N3575" s="69" t="s">
        <v>80</v>
      </c>
      <c r="O3575" s="69" t="s">
        <v>46</v>
      </c>
      <c r="P3575" s="69" t="s">
        <v>60</v>
      </c>
      <c r="Q3575" s="69" t="s">
        <v>20635</v>
      </c>
      <c r="R3575" s="69" t="s">
        <v>1997</v>
      </c>
      <c r="S3575" s="69">
        <v>0</v>
      </c>
      <c r="T3575" s="69">
        <v>0</v>
      </c>
      <c r="U3575" s="69">
        <v>0</v>
      </c>
      <c r="V3575" s="69">
        <v>0</v>
      </c>
      <c r="W3575" s="69">
        <v>0</v>
      </c>
      <c r="X3575" s="69">
        <v>0</v>
      </c>
      <c r="Y3575" s="69">
        <v>0</v>
      </c>
      <c r="Z3575" s="69">
        <v>0</v>
      </c>
      <c r="AA3575" s="69">
        <v>0</v>
      </c>
      <c r="AB3575" s="69">
        <v>0</v>
      </c>
      <c r="AC3575" s="69">
        <v>0</v>
      </c>
      <c r="AD3575" s="69">
        <v>0</v>
      </c>
      <c r="AE3575" s="69" t="s">
        <v>73</v>
      </c>
      <c r="AF3575" s="69" t="s">
        <v>20636</v>
      </c>
      <c r="AG3575" s="69" t="s">
        <v>13508</v>
      </c>
      <c r="AH3575" s="43">
        <v>44952</v>
      </c>
      <c r="AI3575" s="69">
        <v>2</v>
      </c>
      <c r="AJ3575" s="69" t="s">
        <v>20637</v>
      </c>
      <c r="AK3575" s="69" t="s">
        <v>20638</v>
      </c>
    </row>
    <row r="3576" spans="1:37" ht="36.75" customHeight="1" x14ac:dyDescent="0.35">
      <c r="A3576" s="21" t="s">
        <v>12448</v>
      </c>
      <c r="B3576" s="5" t="s">
        <v>887</v>
      </c>
      <c r="C3576" s="73" t="str">
        <f t="shared" si="65"/>
        <v>Open</v>
      </c>
      <c r="D3576" s="47" t="s">
        <v>20639</v>
      </c>
      <c r="E3576" s="85" t="s">
        <v>20640</v>
      </c>
      <c r="F3576" s="69" t="s">
        <v>17537</v>
      </c>
      <c r="G3576" s="9">
        <f>DATE(2022,12,19)</f>
        <v>44914</v>
      </c>
      <c r="H3576" s="107">
        <v>1.8611111111111112</v>
      </c>
      <c r="I3576" s="69" t="s">
        <v>179</v>
      </c>
      <c r="J3576" s="69" t="s">
        <v>20641</v>
      </c>
      <c r="K3576" s="69" t="s">
        <v>818</v>
      </c>
      <c r="L3576" s="69" t="s">
        <v>20642</v>
      </c>
      <c r="M3576" s="69" t="s">
        <v>236</v>
      </c>
      <c r="N3576" s="69" t="s">
        <v>123</v>
      </c>
      <c r="O3576" s="69" t="s">
        <v>46</v>
      </c>
      <c r="P3576" s="69" t="s">
        <v>6531</v>
      </c>
      <c r="Q3576" s="69" t="s">
        <v>20523</v>
      </c>
      <c r="R3576" s="69" t="s">
        <v>20523</v>
      </c>
      <c r="S3576" s="69"/>
      <c r="T3576" s="69"/>
      <c r="U3576" s="69"/>
      <c r="V3576" s="69"/>
      <c r="W3576" s="69"/>
      <c r="X3576" s="69">
        <v>0</v>
      </c>
      <c r="Y3576" s="69"/>
      <c r="Z3576" s="69"/>
      <c r="AA3576" s="69"/>
      <c r="AB3576" s="69"/>
      <c r="AC3576" s="69"/>
      <c r="AD3576" s="69">
        <v>2</v>
      </c>
      <c r="AE3576" s="69" t="s">
        <v>126</v>
      </c>
      <c r="AF3576" s="69" t="s">
        <v>20643</v>
      </c>
      <c r="AG3576" s="69" t="s">
        <v>6438</v>
      </c>
      <c r="AH3576" s="43">
        <v>44915</v>
      </c>
      <c r="AI3576" s="69"/>
      <c r="AJ3576" s="69"/>
      <c r="AK3576" s="69"/>
    </row>
    <row r="3577" spans="1:37" ht="36.75" customHeight="1" x14ac:dyDescent="0.35">
      <c r="A3577" s="21" t="s">
        <v>12448</v>
      </c>
      <c r="B3577" s="5" t="s">
        <v>887</v>
      </c>
      <c r="C3577" s="73" t="str">
        <f t="shared" si="65"/>
        <v>Open</v>
      </c>
      <c r="D3577" s="47" t="s">
        <v>20644</v>
      </c>
      <c r="E3577" s="85" t="s">
        <v>20645</v>
      </c>
      <c r="F3577" s="69" t="s">
        <v>16278</v>
      </c>
      <c r="G3577" s="9">
        <f>DATE(2022,12,26)</f>
        <v>44921</v>
      </c>
      <c r="H3577" s="107">
        <v>1.8506944444444446</v>
      </c>
      <c r="I3577" s="69" t="s">
        <v>97</v>
      </c>
      <c r="J3577" s="69" t="s">
        <v>20646</v>
      </c>
      <c r="K3577" s="69" t="s">
        <v>99</v>
      </c>
      <c r="L3577" s="69" t="s">
        <v>20647</v>
      </c>
      <c r="M3577" s="69" t="s">
        <v>45</v>
      </c>
      <c r="N3577" s="69" t="s">
        <v>80</v>
      </c>
      <c r="O3577" s="69" t="s">
        <v>46</v>
      </c>
      <c r="P3577" s="69" t="s">
        <v>146</v>
      </c>
      <c r="Q3577" s="69" t="s">
        <v>16281</v>
      </c>
      <c r="R3577" s="69" t="s">
        <v>18159</v>
      </c>
      <c r="S3577" s="69">
        <v>0</v>
      </c>
      <c r="T3577" s="69">
        <v>0</v>
      </c>
      <c r="U3577" s="69">
        <v>0</v>
      </c>
      <c r="V3577" s="69">
        <v>0</v>
      </c>
      <c r="W3577" s="69">
        <v>0</v>
      </c>
      <c r="X3577" s="69">
        <v>0</v>
      </c>
      <c r="Y3577" s="69">
        <v>0</v>
      </c>
      <c r="Z3577" s="69">
        <v>0</v>
      </c>
      <c r="AA3577" s="69">
        <v>0</v>
      </c>
      <c r="AB3577" s="69">
        <v>0</v>
      </c>
      <c r="AC3577" s="69">
        <v>0</v>
      </c>
      <c r="AD3577" s="69">
        <v>0</v>
      </c>
      <c r="AE3577" s="69" t="s">
        <v>73</v>
      </c>
      <c r="AF3577" s="69" t="s">
        <v>20648</v>
      </c>
      <c r="AG3577" s="69" t="s">
        <v>8837</v>
      </c>
      <c r="AH3577" s="43">
        <v>44936</v>
      </c>
      <c r="AI3577" s="69"/>
      <c r="AJ3577" s="69"/>
      <c r="AK3577" s="69"/>
    </row>
    <row r="3578" spans="1:37" ht="36.75" customHeight="1" x14ac:dyDescent="0.35">
      <c r="A3578" s="21" t="s">
        <v>12448</v>
      </c>
      <c r="B3578" s="5" t="s">
        <v>37</v>
      </c>
      <c r="C3578" s="73" t="str">
        <f t="shared" si="65"/>
        <v>Closed</v>
      </c>
      <c r="D3578" s="91" t="s">
        <v>20649</v>
      </c>
      <c r="E3578" s="85" t="s">
        <v>20650</v>
      </c>
      <c r="F3578" s="69" t="s">
        <v>17638</v>
      </c>
      <c r="G3578" s="9">
        <f>DATE(2022,12,29)</f>
        <v>44924</v>
      </c>
      <c r="H3578" s="107">
        <v>1.7256944444444446</v>
      </c>
      <c r="I3578" s="69" t="s">
        <v>55</v>
      </c>
      <c r="J3578" s="69" t="s">
        <v>20651</v>
      </c>
      <c r="K3578" s="69" t="s">
        <v>1555</v>
      </c>
      <c r="L3578" s="69" t="s">
        <v>20652</v>
      </c>
      <c r="M3578" s="69" t="s">
        <v>45</v>
      </c>
      <c r="N3578" s="69" t="s">
        <v>123</v>
      </c>
      <c r="O3578" s="69" t="s">
        <v>59</v>
      </c>
      <c r="P3578" s="69" t="s">
        <v>60</v>
      </c>
      <c r="Q3578" s="69" t="s">
        <v>18293</v>
      </c>
      <c r="R3578" s="69" t="s">
        <v>18956</v>
      </c>
      <c r="S3578" s="69">
        <v>0</v>
      </c>
      <c r="T3578" s="69">
        <v>0</v>
      </c>
      <c r="U3578" s="69">
        <v>0</v>
      </c>
      <c r="V3578" s="69">
        <v>0</v>
      </c>
      <c r="W3578" s="69">
        <v>0</v>
      </c>
      <c r="X3578" s="69">
        <v>0</v>
      </c>
      <c r="Y3578" s="69">
        <v>0</v>
      </c>
      <c r="Z3578" s="69">
        <v>0</v>
      </c>
      <c r="AA3578" s="69">
        <v>0</v>
      </c>
      <c r="AB3578" s="69">
        <v>0</v>
      </c>
      <c r="AC3578" s="69">
        <v>0</v>
      </c>
      <c r="AD3578" s="69">
        <v>0</v>
      </c>
      <c r="AE3578" s="69" t="s">
        <v>73</v>
      </c>
      <c r="AF3578" s="69" t="s">
        <v>20653</v>
      </c>
      <c r="AG3578" s="69" t="s">
        <v>8837</v>
      </c>
      <c r="AH3578" s="43">
        <v>44929</v>
      </c>
      <c r="AI3578" s="69">
        <v>1</v>
      </c>
      <c r="AJ3578" s="69" t="s">
        <v>20654</v>
      </c>
      <c r="AK3578" s="69" t="s">
        <v>20655</v>
      </c>
    </row>
    <row r="3579" spans="1:37" ht="36.75" customHeight="1" x14ac:dyDescent="0.35">
      <c r="A3579" s="21" t="s">
        <v>12448</v>
      </c>
      <c r="B3579" s="5" t="s">
        <v>887</v>
      </c>
      <c r="C3579" s="73" t="str">
        <f t="shared" si="65"/>
        <v>Open</v>
      </c>
      <c r="D3579" s="47" t="s">
        <v>20656</v>
      </c>
      <c r="E3579" s="85" t="s">
        <v>20657</v>
      </c>
      <c r="F3579" s="69" t="s">
        <v>16662</v>
      </c>
      <c r="G3579" s="9">
        <f>DATE(2023,1,1)</f>
        <v>44927</v>
      </c>
      <c r="H3579" s="107">
        <v>1.84375</v>
      </c>
      <c r="I3579" s="69" t="s">
        <v>55</v>
      </c>
      <c r="J3579" s="69" t="s">
        <v>20658</v>
      </c>
      <c r="K3579" s="69" t="s">
        <v>577</v>
      </c>
      <c r="L3579" s="69" t="s">
        <v>20659</v>
      </c>
      <c r="M3579" s="69" t="s">
        <v>45</v>
      </c>
      <c r="N3579" s="69" t="s">
        <v>80</v>
      </c>
      <c r="O3579" s="69" t="s">
        <v>46</v>
      </c>
      <c r="P3579" s="69" t="s">
        <v>47</v>
      </c>
      <c r="Q3579" s="69" t="s">
        <v>20660</v>
      </c>
      <c r="R3579" s="69" t="s">
        <v>17254</v>
      </c>
      <c r="S3579" s="69"/>
      <c r="T3579" s="69"/>
      <c r="U3579" s="69"/>
      <c r="V3579" s="69"/>
      <c r="W3579" s="69"/>
      <c r="X3579" s="69">
        <v>0</v>
      </c>
      <c r="Y3579" s="69"/>
      <c r="Z3579" s="69"/>
      <c r="AA3579" s="69"/>
      <c r="AB3579" s="69"/>
      <c r="AC3579" s="69"/>
      <c r="AD3579" s="69">
        <v>0</v>
      </c>
      <c r="AE3579" s="69" t="s">
        <v>73</v>
      </c>
      <c r="AF3579" s="69" t="s">
        <v>20661</v>
      </c>
      <c r="AG3579" s="69" t="s">
        <v>13508</v>
      </c>
      <c r="AH3579" s="43">
        <v>44957</v>
      </c>
      <c r="AI3579" s="69"/>
      <c r="AJ3579" s="69"/>
      <c r="AK3579" s="69"/>
    </row>
    <row r="3580" spans="1:37" ht="36.75" customHeight="1" x14ac:dyDescent="0.35">
      <c r="A3580" s="21" t="s">
        <v>12448</v>
      </c>
      <c r="B3580" s="5" t="s">
        <v>37</v>
      </c>
      <c r="C3580" s="73" t="str">
        <f t="shared" si="65"/>
        <v>Closed</v>
      </c>
      <c r="D3580" s="47" t="s">
        <v>20662</v>
      </c>
      <c r="E3580" s="85" t="s">
        <v>20663</v>
      </c>
      <c r="F3580" s="69" t="s">
        <v>17728</v>
      </c>
      <c r="G3580" s="9">
        <f>DATE(2023,1,6)</f>
        <v>44932</v>
      </c>
      <c r="H3580" s="107">
        <v>1.4583333333333333</v>
      </c>
      <c r="I3580" s="69" t="s">
        <v>106</v>
      </c>
      <c r="J3580" s="69" t="s">
        <v>20664</v>
      </c>
      <c r="K3580" s="69" t="s">
        <v>2583</v>
      </c>
      <c r="L3580" s="69" t="s">
        <v>20665</v>
      </c>
      <c r="M3580" s="69" t="s">
        <v>45</v>
      </c>
      <c r="N3580" s="69" t="s">
        <v>123</v>
      </c>
      <c r="O3580" s="69" t="s">
        <v>46</v>
      </c>
      <c r="P3580" s="69" t="s">
        <v>47</v>
      </c>
      <c r="Q3580" s="69" t="s">
        <v>20666</v>
      </c>
      <c r="R3580" s="69" t="s">
        <v>20667</v>
      </c>
      <c r="S3580" s="69">
        <v>0</v>
      </c>
      <c r="T3580" s="69">
        <v>0</v>
      </c>
      <c r="U3580" s="69">
        <v>0</v>
      </c>
      <c r="V3580" s="69">
        <v>0</v>
      </c>
      <c r="W3580" s="69">
        <v>0</v>
      </c>
      <c r="X3580" s="69">
        <v>0</v>
      </c>
      <c r="Y3580" s="69">
        <v>0</v>
      </c>
      <c r="Z3580" s="69">
        <v>0</v>
      </c>
      <c r="AA3580" s="69">
        <v>0</v>
      </c>
      <c r="AB3580" s="69">
        <v>0</v>
      </c>
      <c r="AC3580" s="69">
        <v>0</v>
      </c>
      <c r="AD3580" s="69">
        <v>0</v>
      </c>
      <c r="AE3580" s="69" t="s">
        <v>73</v>
      </c>
      <c r="AF3580" s="69" t="s">
        <v>20668</v>
      </c>
      <c r="AG3580" s="69" t="s">
        <v>8837</v>
      </c>
      <c r="AH3580" s="43">
        <v>44936</v>
      </c>
      <c r="AI3580" s="69">
        <v>8</v>
      </c>
      <c r="AJ3580" s="69" t="s">
        <v>20669</v>
      </c>
      <c r="AK3580" s="69" t="s">
        <v>20670</v>
      </c>
    </row>
    <row r="3581" spans="1:37" ht="36.75" customHeight="1" x14ac:dyDescent="0.35">
      <c r="A3581" s="21" t="s">
        <v>12448</v>
      </c>
      <c r="B3581" s="5" t="s">
        <v>37</v>
      </c>
      <c r="C3581" s="73" t="str">
        <f t="shared" si="65"/>
        <v>Closed</v>
      </c>
      <c r="D3581" s="91" t="s">
        <v>20671</v>
      </c>
      <c r="E3581" s="85" t="s">
        <v>20672</v>
      </c>
      <c r="F3581" s="69" t="s">
        <v>17638</v>
      </c>
      <c r="G3581" s="9">
        <f>DATE(2023,1,7)</f>
        <v>44933</v>
      </c>
      <c r="H3581" s="107">
        <v>1.1006944444444444</v>
      </c>
      <c r="I3581" s="69" t="s">
        <v>55</v>
      </c>
      <c r="J3581" s="69" t="s">
        <v>20673</v>
      </c>
      <c r="K3581" s="69" t="s">
        <v>1555</v>
      </c>
      <c r="L3581" s="69" t="s">
        <v>18998</v>
      </c>
      <c r="M3581" s="69" t="s">
        <v>45</v>
      </c>
      <c r="N3581" s="69" t="s">
        <v>123</v>
      </c>
      <c r="O3581" s="69" t="s">
        <v>59</v>
      </c>
      <c r="P3581" s="69" t="s">
        <v>60</v>
      </c>
      <c r="Q3581" s="69" t="s">
        <v>18008</v>
      </c>
      <c r="R3581" s="69" t="s">
        <v>18956</v>
      </c>
      <c r="S3581" s="69">
        <v>0</v>
      </c>
      <c r="T3581" s="69">
        <v>0</v>
      </c>
      <c r="U3581" s="69">
        <v>0</v>
      </c>
      <c r="V3581" s="69">
        <v>0</v>
      </c>
      <c r="W3581" s="69">
        <v>0</v>
      </c>
      <c r="X3581" s="69">
        <v>0</v>
      </c>
      <c r="Y3581" s="69">
        <v>0</v>
      </c>
      <c r="Z3581" s="69">
        <v>0</v>
      </c>
      <c r="AA3581" s="69">
        <v>0</v>
      </c>
      <c r="AB3581" s="69">
        <v>0</v>
      </c>
      <c r="AC3581" s="69">
        <v>0</v>
      </c>
      <c r="AD3581" s="69">
        <v>0</v>
      </c>
      <c r="AE3581" s="69" t="s">
        <v>73</v>
      </c>
      <c r="AF3581" s="69" t="s">
        <v>20674</v>
      </c>
      <c r="AG3581" s="69" t="s">
        <v>8837</v>
      </c>
      <c r="AH3581" s="43">
        <v>44935</v>
      </c>
      <c r="AI3581" s="69">
        <v>1</v>
      </c>
      <c r="AJ3581" s="69" t="s">
        <v>20675</v>
      </c>
      <c r="AK3581" s="69" t="s">
        <v>20676</v>
      </c>
    </row>
    <row r="3582" spans="1:37" ht="36.75" customHeight="1" x14ac:dyDescent="0.35">
      <c r="A3582" s="21" t="s">
        <v>12448</v>
      </c>
      <c r="B3582" s="5" t="s">
        <v>14851</v>
      </c>
      <c r="C3582" s="73" t="str">
        <f t="shared" si="65"/>
        <v>In progress</v>
      </c>
      <c r="D3582" s="47" t="s">
        <v>20677</v>
      </c>
      <c r="E3582" s="85" t="s">
        <v>20678</v>
      </c>
      <c r="F3582" s="69" t="s">
        <v>6434</v>
      </c>
      <c r="G3582" s="9">
        <f>DATE(2023,1,10)</f>
        <v>44936</v>
      </c>
      <c r="H3582" s="107">
        <v>1.3090277777777777</v>
      </c>
      <c r="I3582" s="69" t="s">
        <v>55</v>
      </c>
      <c r="J3582" s="69" t="s">
        <v>20679</v>
      </c>
      <c r="K3582" s="69" t="s">
        <v>565</v>
      </c>
      <c r="L3582" s="69" t="s">
        <v>20680</v>
      </c>
      <c r="M3582" s="69" t="s">
        <v>45</v>
      </c>
      <c r="N3582" s="69" t="s">
        <v>123</v>
      </c>
      <c r="O3582" s="69" t="s">
        <v>59</v>
      </c>
      <c r="P3582" s="69" t="s">
        <v>146</v>
      </c>
      <c r="Q3582" s="69" t="s">
        <v>20681</v>
      </c>
      <c r="R3582" s="69" t="s">
        <v>568</v>
      </c>
      <c r="S3582" s="69"/>
      <c r="T3582" s="69"/>
      <c r="U3582" s="69"/>
      <c r="V3582" s="69"/>
      <c r="W3582" s="69"/>
      <c r="X3582" s="69">
        <v>0</v>
      </c>
      <c r="Y3582" s="69"/>
      <c r="Z3582" s="69"/>
      <c r="AA3582" s="69"/>
      <c r="AB3582" s="69"/>
      <c r="AC3582" s="69"/>
      <c r="AD3582" s="69">
        <v>0</v>
      </c>
      <c r="AE3582" s="69" t="s">
        <v>375</v>
      </c>
      <c r="AF3582" s="69"/>
      <c r="AG3582" s="69" t="s">
        <v>8837</v>
      </c>
      <c r="AH3582" s="43">
        <v>44964</v>
      </c>
      <c r="AI3582" s="69"/>
      <c r="AJ3582" s="69"/>
      <c r="AK3582" s="69"/>
    </row>
    <row r="3583" spans="1:37" ht="36.75" customHeight="1" x14ac:dyDescent="0.35">
      <c r="A3583" s="21" t="s">
        <v>12448</v>
      </c>
      <c r="B3583" s="5" t="s">
        <v>37</v>
      </c>
      <c r="C3583" s="73" t="str">
        <f t="shared" si="65"/>
        <v>Closed</v>
      </c>
      <c r="D3583" s="91" t="s">
        <v>20682</v>
      </c>
      <c r="E3583" s="85" t="s">
        <v>20683</v>
      </c>
      <c r="F3583" s="69" t="s">
        <v>9767</v>
      </c>
      <c r="G3583" s="9">
        <f>DATE(2023,1,14)</f>
        <v>44940</v>
      </c>
      <c r="H3583" s="107">
        <v>1.9583333333333335</v>
      </c>
      <c r="I3583" s="69" t="s">
        <v>67</v>
      </c>
      <c r="J3583" s="69" t="s">
        <v>20684</v>
      </c>
      <c r="K3583" s="69" t="s">
        <v>9769</v>
      </c>
      <c r="L3583" s="69" t="s">
        <v>20685</v>
      </c>
      <c r="M3583" s="69" t="s">
        <v>45</v>
      </c>
      <c r="N3583" s="69" t="s">
        <v>80</v>
      </c>
      <c r="O3583" s="69" t="s">
        <v>59</v>
      </c>
      <c r="P3583" s="69" t="s">
        <v>146</v>
      </c>
      <c r="Q3583" s="69" t="s">
        <v>20686</v>
      </c>
      <c r="R3583" s="69" t="s">
        <v>20687</v>
      </c>
      <c r="S3583" s="69">
        <v>0</v>
      </c>
      <c r="T3583" s="69">
        <v>0</v>
      </c>
      <c r="U3583" s="69">
        <v>0</v>
      </c>
      <c r="V3583" s="69">
        <v>0</v>
      </c>
      <c r="W3583" s="69">
        <v>0</v>
      </c>
      <c r="X3583" s="69">
        <v>0</v>
      </c>
      <c r="Y3583" s="69">
        <v>0</v>
      </c>
      <c r="Z3583" s="69">
        <v>0</v>
      </c>
      <c r="AA3583" s="69">
        <v>0</v>
      </c>
      <c r="AB3583" s="69">
        <v>0</v>
      </c>
      <c r="AC3583" s="69">
        <v>0</v>
      </c>
      <c r="AD3583" s="69">
        <v>0</v>
      </c>
      <c r="AE3583" s="69" t="s">
        <v>73</v>
      </c>
      <c r="AF3583" s="69" t="s">
        <v>20688</v>
      </c>
      <c r="AG3583" s="69" t="s">
        <v>8837</v>
      </c>
      <c r="AH3583" s="43">
        <v>44943</v>
      </c>
      <c r="AI3583" s="69">
        <v>3</v>
      </c>
      <c r="AJ3583" s="69" t="s">
        <v>20689</v>
      </c>
      <c r="AK3583" s="69" t="s">
        <v>20690</v>
      </c>
    </row>
    <row r="3584" spans="1:37" ht="36.75" customHeight="1" x14ac:dyDescent="0.35">
      <c r="A3584" s="21" t="s">
        <v>12448</v>
      </c>
      <c r="B3584" s="5" t="s">
        <v>887</v>
      </c>
      <c r="C3584" s="73" t="str">
        <f t="shared" si="65"/>
        <v>Open</v>
      </c>
      <c r="D3584" s="47" t="s">
        <v>20691</v>
      </c>
      <c r="E3584" s="85" t="s">
        <v>20692</v>
      </c>
      <c r="F3584" s="69" t="s">
        <v>17537</v>
      </c>
      <c r="G3584" s="9">
        <f>DATE(2023,1,16)</f>
        <v>44942</v>
      </c>
      <c r="H3584" s="107">
        <v>1.2118055555555556</v>
      </c>
      <c r="I3584" s="69" t="s">
        <v>4590</v>
      </c>
      <c r="J3584" s="69" t="s">
        <v>20693</v>
      </c>
      <c r="K3584" s="69" t="s">
        <v>818</v>
      </c>
      <c r="L3584" s="69" t="s">
        <v>20694</v>
      </c>
      <c r="M3584" s="69" t="s">
        <v>45</v>
      </c>
      <c r="N3584" s="69" t="s">
        <v>123</v>
      </c>
      <c r="O3584" s="69" t="s">
        <v>59</v>
      </c>
      <c r="P3584" s="69" t="s">
        <v>146</v>
      </c>
      <c r="Q3584" s="69" t="s">
        <v>2142</v>
      </c>
      <c r="R3584" s="69" t="s">
        <v>821</v>
      </c>
      <c r="S3584" s="69"/>
      <c r="T3584" s="69"/>
      <c r="U3584" s="69"/>
      <c r="V3584" s="69"/>
      <c r="W3584" s="69"/>
      <c r="X3584" s="69">
        <v>0</v>
      </c>
      <c r="Y3584" s="69"/>
      <c r="Z3584" s="69"/>
      <c r="AA3584" s="69"/>
      <c r="AB3584" s="69"/>
      <c r="AC3584" s="69"/>
      <c r="AD3584" s="69">
        <v>0</v>
      </c>
      <c r="AE3584" s="69" t="s">
        <v>73</v>
      </c>
      <c r="AF3584" s="69" t="s">
        <v>20541</v>
      </c>
      <c r="AG3584" s="69" t="s">
        <v>8837</v>
      </c>
      <c r="AH3584" s="43">
        <v>44942</v>
      </c>
      <c r="AI3584" s="69"/>
      <c r="AJ3584" s="69"/>
      <c r="AK3584" s="69"/>
    </row>
    <row r="3585" spans="1:37" ht="36.75" customHeight="1" x14ac:dyDescent="0.35">
      <c r="A3585" s="21" t="s">
        <v>12448</v>
      </c>
      <c r="B3585" s="5" t="s">
        <v>37</v>
      </c>
      <c r="C3585" s="73" t="str">
        <f t="shared" si="65"/>
        <v>Closed</v>
      </c>
      <c r="D3585" s="47" t="s">
        <v>20695</v>
      </c>
      <c r="E3585" s="85" t="s">
        <v>20696</v>
      </c>
      <c r="F3585" s="69" t="s">
        <v>16397</v>
      </c>
      <c r="G3585" s="9">
        <f>DATE(2023,1,18)</f>
        <v>44944</v>
      </c>
      <c r="H3585" s="107">
        <v>1.3888888888888888</v>
      </c>
      <c r="I3585" s="69" t="s">
        <v>97</v>
      </c>
      <c r="J3585" s="69" t="s">
        <v>20697</v>
      </c>
      <c r="K3585" s="69" t="s">
        <v>406</v>
      </c>
      <c r="L3585" s="69" t="s">
        <v>20698</v>
      </c>
      <c r="M3585" s="69" t="s">
        <v>45</v>
      </c>
      <c r="N3585" s="69" t="s">
        <v>80</v>
      </c>
      <c r="O3585" s="69" t="s">
        <v>46</v>
      </c>
      <c r="P3585" s="69" t="s">
        <v>146</v>
      </c>
      <c r="Q3585" s="69" t="s">
        <v>18466</v>
      </c>
      <c r="R3585" s="69" t="s">
        <v>17330</v>
      </c>
      <c r="S3585" s="69">
        <v>0</v>
      </c>
      <c r="T3585" s="69">
        <v>0</v>
      </c>
      <c r="U3585" s="69">
        <v>0</v>
      </c>
      <c r="V3585" s="69">
        <v>0</v>
      </c>
      <c r="W3585" s="69">
        <v>0</v>
      </c>
      <c r="X3585" s="69">
        <v>0</v>
      </c>
      <c r="Y3585" s="69">
        <v>0</v>
      </c>
      <c r="Z3585" s="69">
        <v>0</v>
      </c>
      <c r="AA3585" s="69">
        <v>0</v>
      </c>
      <c r="AB3585" s="69">
        <v>0</v>
      </c>
      <c r="AC3585" s="69">
        <v>0</v>
      </c>
      <c r="AD3585" s="69">
        <v>0</v>
      </c>
      <c r="AE3585" s="69" t="s">
        <v>375</v>
      </c>
      <c r="AF3585" s="69" t="s">
        <v>20699</v>
      </c>
      <c r="AG3585" s="69" t="s">
        <v>20617</v>
      </c>
      <c r="AH3585" s="43">
        <v>44944</v>
      </c>
      <c r="AI3585" s="69">
        <v>0</v>
      </c>
      <c r="AJ3585" s="69" t="s">
        <v>20700</v>
      </c>
      <c r="AK3585" s="69" t="s">
        <v>860</v>
      </c>
    </row>
    <row r="3586" spans="1:37" ht="36.75" customHeight="1" x14ac:dyDescent="0.35">
      <c r="A3586" s="21" t="s">
        <v>12448</v>
      </c>
      <c r="B3586" s="5" t="s">
        <v>37</v>
      </c>
      <c r="C3586" s="73" t="str">
        <f t="shared" si="65"/>
        <v>Closed</v>
      </c>
      <c r="D3586" s="47" t="s">
        <v>20701</v>
      </c>
      <c r="E3586" s="85" t="s">
        <v>20702</v>
      </c>
      <c r="F3586" s="69" t="s">
        <v>12887</v>
      </c>
      <c r="G3586" s="9">
        <f>DATE(2023,1,19)</f>
        <v>44945</v>
      </c>
      <c r="H3586" s="107">
        <v>1.7604166666666665</v>
      </c>
      <c r="I3586" s="69" t="s">
        <v>259</v>
      </c>
      <c r="J3586" s="69" t="s">
        <v>20703</v>
      </c>
      <c r="K3586" s="69" t="s">
        <v>434</v>
      </c>
      <c r="L3586" s="69" t="s">
        <v>20704</v>
      </c>
      <c r="M3586" s="69" t="s">
        <v>45</v>
      </c>
      <c r="N3586" s="69" t="s">
        <v>123</v>
      </c>
      <c r="O3586" s="69" t="s">
        <v>59</v>
      </c>
      <c r="P3586" s="69" t="s">
        <v>47</v>
      </c>
      <c r="Q3586" s="69" t="s">
        <v>14350</v>
      </c>
      <c r="R3586" s="69" t="s">
        <v>553</v>
      </c>
      <c r="S3586" s="69">
        <v>0</v>
      </c>
      <c r="T3586" s="69">
        <v>0</v>
      </c>
      <c r="U3586" s="69">
        <v>0</v>
      </c>
      <c r="V3586" s="69">
        <v>1</v>
      </c>
      <c r="W3586" s="69">
        <v>0</v>
      </c>
      <c r="X3586" s="69">
        <v>1</v>
      </c>
      <c r="Y3586" s="69">
        <v>0</v>
      </c>
      <c r="Z3586" s="69">
        <v>0</v>
      </c>
      <c r="AA3586" s="69">
        <v>0</v>
      </c>
      <c r="AB3586" s="69">
        <v>0</v>
      </c>
      <c r="AC3586" s="69">
        <v>0</v>
      </c>
      <c r="AD3586" s="69">
        <v>0</v>
      </c>
      <c r="AE3586" s="69" t="s">
        <v>73</v>
      </c>
      <c r="AF3586" s="69" t="s">
        <v>693</v>
      </c>
      <c r="AG3586" s="69" t="s">
        <v>6438</v>
      </c>
      <c r="AH3586" s="43">
        <v>44951</v>
      </c>
      <c r="AI3586" s="69">
        <v>0</v>
      </c>
      <c r="AJ3586" s="69" t="s">
        <v>20705</v>
      </c>
      <c r="AK3586" s="69" t="s">
        <v>20706</v>
      </c>
    </row>
    <row r="3587" spans="1:37" ht="36.75" customHeight="1" x14ac:dyDescent="0.35">
      <c r="A3587" s="21" t="s">
        <v>12448</v>
      </c>
      <c r="B3587" s="5" t="s">
        <v>37</v>
      </c>
      <c r="C3587" s="73" t="str">
        <f t="shared" si="65"/>
        <v>Closed</v>
      </c>
      <c r="D3587" s="91" t="s">
        <v>20707</v>
      </c>
      <c r="E3587" s="85" t="s">
        <v>20708</v>
      </c>
      <c r="F3587" s="69" t="s">
        <v>17018</v>
      </c>
      <c r="G3587" s="9">
        <f>DATE(2023,1,19)</f>
        <v>44945</v>
      </c>
      <c r="H3587" s="107">
        <v>1.7743055555555554</v>
      </c>
      <c r="I3587" s="69" t="s">
        <v>179</v>
      </c>
      <c r="J3587" s="69" t="s">
        <v>20709</v>
      </c>
      <c r="K3587" s="69" t="s">
        <v>2318</v>
      </c>
      <c r="L3587" s="69" t="s">
        <v>20710</v>
      </c>
      <c r="M3587" s="69" t="s">
        <v>45</v>
      </c>
      <c r="N3587" s="69" t="s">
        <v>80</v>
      </c>
      <c r="O3587" s="69" t="s">
        <v>46</v>
      </c>
      <c r="P3587" s="69" t="s">
        <v>362</v>
      </c>
      <c r="Q3587" s="69" t="s">
        <v>20711</v>
      </c>
      <c r="R3587" s="69" t="s">
        <v>2321</v>
      </c>
      <c r="S3587" s="69">
        <v>0</v>
      </c>
      <c r="T3587" s="69">
        <v>0</v>
      </c>
      <c r="U3587" s="69">
        <v>0</v>
      </c>
      <c r="V3587" s="69">
        <v>0</v>
      </c>
      <c r="W3587" s="69">
        <v>0</v>
      </c>
      <c r="X3587" s="69">
        <v>0</v>
      </c>
      <c r="Y3587" s="69">
        <v>0</v>
      </c>
      <c r="Z3587" s="69">
        <v>0</v>
      </c>
      <c r="AA3587" s="69">
        <v>0</v>
      </c>
      <c r="AB3587" s="69">
        <v>0</v>
      </c>
      <c r="AC3587" s="69">
        <v>0</v>
      </c>
      <c r="AD3587" s="69">
        <v>0</v>
      </c>
      <c r="AE3587" s="69" t="s">
        <v>375</v>
      </c>
      <c r="AF3587" s="69" t="s">
        <v>20712</v>
      </c>
      <c r="AG3587" s="69" t="s">
        <v>13508</v>
      </c>
      <c r="AH3587" s="43">
        <v>44953</v>
      </c>
      <c r="AI3587" s="69">
        <v>8</v>
      </c>
      <c r="AJ3587" s="69" t="s">
        <v>20713</v>
      </c>
      <c r="AK3587" s="69" t="s">
        <v>20714</v>
      </c>
    </row>
    <row r="3588" spans="1:37" ht="36.75" customHeight="1" x14ac:dyDescent="0.35">
      <c r="A3588" s="21" t="s">
        <v>12448</v>
      </c>
      <c r="B3588" s="5" t="s">
        <v>887</v>
      </c>
      <c r="C3588" s="73" t="str">
        <f t="shared" si="65"/>
        <v>Open</v>
      </c>
      <c r="D3588" s="47" t="s">
        <v>20715</v>
      </c>
      <c r="E3588" s="85" t="s">
        <v>20716</v>
      </c>
      <c r="F3588" s="69" t="s">
        <v>12451</v>
      </c>
      <c r="G3588" s="9">
        <f>DATE(2023,1,20)</f>
        <v>44946</v>
      </c>
      <c r="H3588" s="107">
        <v>1.1805555555555556</v>
      </c>
      <c r="I3588" s="69" t="s">
        <v>179</v>
      </c>
      <c r="J3588" s="69" t="s">
        <v>20717</v>
      </c>
      <c r="K3588" s="69" t="s">
        <v>181</v>
      </c>
      <c r="L3588" s="69" t="s">
        <v>20718</v>
      </c>
      <c r="M3588" s="69" t="s">
        <v>45</v>
      </c>
      <c r="N3588" s="69" t="s">
        <v>123</v>
      </c>
      <c r="O3588" s="69" t="s">
        <v>59</v>
      </c>
      <c r="P3588" s="69" t="s">
        <v>60</v>
      </c>
      <c r="Q3588" s="69" t="s">
        <v>20719</v>
      </c>
      <c r="R3588" s="69" t="s">
        <v>13549</v>
      </c>
      <c r="S3588" s="69"/>
      <c r="T3588" s="69"/>
      <c r="U3588" s="69"/>
      <c r="V3588" s="69"/>
      <c r="W3588" s="69"/>
      <c r="X3588" s="69">
        <v>0</v>
      </c>
      <c r="Y3588" s="69"/>
      <c r="Z3588" s="69"/>
      <c r="AA3588" s="69"/>
      <c r="AB3588" s="69"/>
      <c r="AC3588" s="69"/>
      <c r="AD3588" s="69">
        <v>0</v>
      </c>
      <c r="AE3588" s="69" t="s">
        <v>126</v>
      </c>
      <c r="AF3588" s="69" t="s">
        <v>20720</v>
      </c>
      <c r="AG3588" s="69" t="s">
        <v>6438</v>
      </c>
      <c r="AH3588" s="43">
        <v>44951</v>
      </c>
      <c r="AI3588" s="69"/>
      <c r="AJ3588" s="69"/>
      <c r="AK3588" s="69"/>
    </row>
    <row r="3589" spans="1:37" ht="36.75" customHeight="1" x14ac:dyDescent="0.35">
      <c r="A3589" s="21" t="s">
        <v>12448</v>
      </c>
      <c r="B3589" s="5" t="s">
        <v>37</v>
      </c>
      <c r="C3589" s="73" t="str">
        <f t="shared" si="65"/>
        <v>Closed</v>
      </c>
      <c r="D3589" s="47" t="s">
        <v>20721</v>
      </c>
      <c r="E3589" s="85" t="s">
        <v>20722</v>
      </c>
      <c r="F3589" s="69" t="s">
        <v>16397</v>
      </c>
      <c r="G3589" s="9">
        <f>DATE(2023,1,21)</f>
        <v>44947</v>
      </c>
      <c r="H3589" s="107">
        <v>1.4222222222222223</v>
      </c>
      <c r="I3589" s="69" t="s">
        <v>97</v>
      </c>
      <c r="J3589" s="69" t="s">
        <v>20723</v>
      </c>
      <c r="K3589" s="69" t="s">
        <v>406</v>
      </c>
      <c r="L3589" s="69" t="s">
        <v>20724</v>
      </c>
      <c r="M3589" s="69" t="s">
        <v>45</v>
      </c>
      <c r="N3589" s="69" t="s">
        <v>80</v>
      </c>
      <c r="O3589" s="69" t="s">
        <v>59</v>
      </c>
      <c r="P3589" s="69" t="s">
        <v>47</v>
      </c>
      <c r="Q3589" s="69" t="s">
        <v>18565</v>
      </c>
      <c r="R3589" s="69" t="s">
        <v>17330</v>
      </c>
      <c r="S3589" s="69">
        <v>0</v>
      </c>
      <c r="T3589" s="69">
        <v>0</v>
      </c>
      <c r="U3589" s="69">
        <v>2</v>
      </c>
      <c r="V3589" s="69">
        <v>0</v>
      </c>
      <c r="W3589" s="69">
        <v>0</v>
      </c>
      <c r="X3589" s="69">
        <v>2</v>
      </c>
      <c r="Y3589" s="69">
        <v>0</v>
      </c>
      <c r="Z3589" s="69">
        <v>0</v>
      </c>
      <c r="AA3589" s="69">
        <v>0</v>
      </c>
      <c r="AB3589" s="69">
        <v>0</v>
      </c>
      <c r="AC3589" s="69">
        <v>0</v>
      </c>
      <c r="AD3589" s="69">
        <v>0</v>
      </c>
      <c r="AE3589" s="69" t="s">
        <v>73</v>
      </c>
      <c r="AF3589" s="69" t="s">
        <v>20725</v>
      </c>
      <c r="AG3589" s="69" t="s">
        <v>16251</v>
      </c>
      <c r="AH3589" s="43">
        <v>44947</v>
      </c>
      <c r="AI3589" s="69">
        <v>0</v>
      </c>
      <c r="AJ3589" s="69" t="s">
        <v>20726</v>
      </c>
      <c r="AK3589" s="69" t="s">
        <v>860</v>
      </c>
    </row>
    <row r="3590" spans="1:37" ht="36.75" customHeight="1" x14ac:dyDescent="0.35">
      <c r="A3590" s="21" t="s">
        <v>12448</v>
      </c>
      <c r="B3590" s="5" t="s">
        <v>887</v>
      </c>
      <c r="C3590" s="73" t="str">
        <f t="shared" si="65"/>
        <v>Open</v>
      </c>
      <c r="D3590" s="47" t="s">
        <v>20727</v>
      </c>
      <c r="E3590" s="85" t="s">
        <v>20728</v>
      </c>
      <c r="F3590" s="69" t="s">
        <v>16278</v>
      </c>
      <c r="G3590" s="9">
        <f>DATE(2023,1,24)</f>
        <v>44950</v>
      </c>
      <c r="H3590" s="107">
        <v>1.2951388888888888</v>
      </c>
      <c r="I3590" s="69" t="s">
        <v>97</v>
      </c>
      <c r="J3590" s="69" t="s">
        <v>20729</v>
      </c>
      <c r="K3590" s="69" t="s">
        <v>99</v>
      </c>
      <c r="L3590" s="69" t="s">
        <v>20730</v>
      </c>
      <c r="M3590" s="69" t="s">
        <v>45</v>
      </c>
      <c r="N3590" s="69" t="s">
        <v>80</v>
      </c>
      <c r="O3590" s="69" t="s">
        <v>46</v>
      </c>
      <c r="P3590" s="69" t="s">
        <v>146</v>
      </c>
      <c r="Q3590" s="69" t="s">
        <v>16281</v>
      </c>
      <c r="R3590" s="69" t="s">
        <v>18159</v>
      </c>
      <c r="S3590" s="69">
        <v>0</v>
      </c>
      <c r="T3590" s="69">
        <v>0</v>
      </c>
      <c r="U3590" s="69">
        <v>0</v>
      </c>
      <c r="V3590" s="69">
        <v>0</v>
      </c>
      <c r="W3590" s="69">
        <v>0</v>
      </c>
      <c r="X3590" s="69">
        <v>0</v>
      </c>
      <c r="Y3590" s="69">
        <v>0</v>
      </c>
      <c r="Z3590" s="69">
        <v>0</v>
      </c>
      <c r="AA3590" s="69">
        <v>0</v>
      </c>
      <c r="AB3590" s="69">
        <v>0</v>
      </c>
      <c r="AC3590" s="69">
        <v>0</v>
      </c>
      <c r="AD3590" s="69">
        <v>0</v>
      </c>
      <c r="AE3590" s="69" t="s">
        <v>375</v>
      </c>
      <c r="AF3590" s="69" t="s">
        <v>20731</v>
      </c>
      <c r="AG3590" s="69" t="s">
        <v>8837</v>
      </c>
      <c r="AH3590" s="43">
        <v>44959</v>
      </c>
      <c r="AI3590" s="69"/>
      <c r="AJ3590" s="69"/>
      <c r="AK3590" s="69"/>
    </row>
    <row r="3591" spans="1:37" ht="36.75" customHeight="1" x14ac:dyDescent="0.35">
      <c r="A3591" s="21" t="s">
        <v>12448</v>
      </c>
      <c r="B3591" s="5" t="s">
        <v>37</v>
      </c>
      <c r="C3591" s="73" t="str">
        <f t="shared" si="65"/>
        <v>Closed</v>
      </c>
      <c r="D3591" s="91" t="s">
        <v>20732</v>
      </c>
      <c r="E3591" s="85" t="s">
        <v>20733</v>
      </c>
      <c r="F3591" s="69" t="s">
        <v>17638</v>
      </c>
      <c r="G3591" s="9">
        <f>DATE(2023,1,26)</f>
        <v>44952</v>
      </c>
      <c r="H3591" s="107">
        <v>1.5902777777777777</v>
      </c>
      <c r="I3591" s="69" t="s">
        <v>55</v>
      </c>
      <c r="J3591" s="69" t="s">
        <v>20734</v>
      </c>
      <c r="K3591" s="69" t="s">
        <v>1555</v>
      </c>
      <c r="L3591" s="69" t="s">
        <v>19063</v>
      </c>
      <c r="M3591" s="69" t="s">
        <v>45</v>
      </c>
      <c r="N3591" s="69" t="s">
        <v>123</v>
      </c>
      <c r="O3591" s="69" t="s">
        <v>59</v>
      </c>
      <c r="P3591" s="69" t="s">
        <v>60</v>
      </c>
      <c r="Q3591" s="69" t="s">
        <v>20735</v>
      </c>
      <c r="R3591" s="69" t="s">
        <v>18956</v>
      </c>
      <c r="S3591" s="69">
        <v>0</v>
      </c>
      <c r="T3591" s="69">
        <v>0</v>
      </c>
      <c r="U3591" s="69">
        <v>0</v>
      </c>
      <c r="V3591" s="69">
        <v>0</v>
      </c>
      <c r="W3591" s="69">
        <v>0</v>
      </c>
      <c r="X3591" s="69">
        <v>0</v>
      </c>
      <c r="Y3591" s="69">
        <v>0</v>
      </c>
      <c r="Z3591" s="69">
        <v>0</v>
      </c>
      <c r="AA3591" s="69">
        <v>0</v>
      </c>
      <c r="AB3591" s="69">
        <v>0</v>
      </c>
      <c r="AC3591" s="69">
        <v>0</v>
      </c>
      <c r="AD3591" s="69">
        <v>0</v>
      </c>
      <c r="AE3591" s="69" t="s">
        <v>73</v>
      </c>
      <c r="AF3591" s="69" t="s">
        <v>20736</v>
      </c>
      <c r="AG3591" s="69" t="s">
        <v>8837</v>
      </c>
      <c r="AH3591" s="43">
        <v>44956</v>
      </c>
      <c r="AI3591" s="69">
        <v>0</v>
      </c>
      <c r="AJ3591" s="69" t="s">
        <v>20737</v>
      </c>
      <c r="AK3591" s="69" t="s">
        <v>20738</v>
      </c>
    </row>
    <row r="3592" spans="1:37" ht="36.75" customHeight="1" x14ac:dyDescent="0.35">
      <c r="A3592" s="21" t="s">
        <v>12448</v>
      </c>
      <c r="B3592" s="5" t="s">
        <v>37</v>
      </c>
      <c r="C3592" s="73" t="str">
        <f t="shared" si="65"/>
        <v>Closed</v>
      </c>
      <c r="D3592" s="91" t="s">
        <v>20739</v>
      </c>
      <c r="E3592" s="85" t="s">
        <v>20740</v>
      </c>
      <c r="F3592" s="69" t="s">
        <v>18076</v>
      </c>
      <c r="G3592" s="9">
        <f>DATE(2023,1,26)</f>
        <v>44952</v>
      </c>
      <c r="H3592" s="107">
        <v>1.875</v>
      </c>
      <c r="I3592" s="69" t="s">
        <v>55</v>
      </c>
      <c r="J3592" s="69" t="s">
        <v>20741</v>
      </c>
      <c r="K3592" s="69" t="s">
        <v>360</v>
      </c>
      <c r="L3592" s="69" t="s">
        <v>20742</v>
      </c>
      <c r="M3592" s="69" t="s">
        <v>45</v>
      </c>
      <c r="N3592" s="69" t="s">
        <v>80</v>
      </c>
      <c r="O3592" s="69" t="s">
        <v>46</v>
      </c>
      <c r="P3592" s="69" t="s">
        <v>146</v>
      </c>
      <c r="Q3592" s="69" t="s">
        <v>20508</v>
      </c>
      <c r="R3592" s="69" t="s">
        <v>20508</v>
      </c>
      <c r="S3592" s="69">
        <v>0</v>
      </c>
      <c r="T3592" s="69">
        <v>0</v>
      </c>
      <c r="U3592" s="69">
        <v>0</v>
      </c>
      <c r="V3592" s="69">
        <v>0</v>
      </c>
      <c r="W3592" s="69">
        <v>0</v>
      </c>
      <c r="X3592" s="69">
        <v>0</v>
      </c>
      <c r="Y3592" s="69">
        <v>0</v>
      </c>
      <c r="Z3592" s="69">
        <v>0</v>
      </c>
      <c r="AA3592" s="69">
        <v>0</v>
      </c>
      <c r="AB3592" s="69">
        <v>0</v>
      </c>
      <c r="AC3592" s="69">
        <v>0</v>
      </c>
      <c r="AD3592" s="69">
        <v>0</v>
      </c>
      <c r="AE3592" s="69" t="s">
        <v>73</v>
      </c>
      <c r="AF3592" s="69" t="s">
        <v>20509</v>
      </c>
      <c r="AG3592" s="69" t="s">
        <v>20510</v>
      </c>
      <c r="AH3592" s="43">
        <v>44958</v>
      </c>
      <c r="AI3592" s="69">
        <v>6</v>
      </c>
      <c r="AJ3592" s="69" t="s">
        <v>43379</v>
      </c>
      <c r="AK3592" s="69" t="s">
        <v>43380</v>
      </c>
    </row>
    <row r="3593" spans="1:37" ht="36.75" customHeight="1" x14ac:dyDescent="0.35">
      <c r="A3593" s="21" t="s">
        <v>12448</v>
      </c>
      <c r="B3593" s="5" t="s">
        <v>37</v>
      </c>
      <c r="C3593" s="73" t="str">
        <f t="shared" ref="C3593:C3656" si="66">IF(B3593="Notification","Open",IF(B3593="Interim Statement","In progress","Closed"))</f>
        <v>Closed</v>
      </c>
      <c r="D3593" s="91" t="s">
        <v>20743</v>
      </c>
      <c r="E3593" s="85" t="s">
        <v>20744</v>
      </c>
      <c r="F3593" s="69" t="s">
        <v>17769</v>
      </c>
      <c r="G3593" s="9">
        <f>DATE(2023,1,30)</f>
        <v>44956</v>
      </c>
      <c r="H3593" s="107">
        <v>1.8194444444444446</v>
      </c>
      <c r="I3593" s="69" t="s">
        <v>106</v>
      </c>
      <c r="J3593" s="69" t="s">
        <v>20745</v>
      </c>
      <c r="K3593" s="69" t="s">
        <v>621</v>
      </c>
      <c r="L3593" s="69" t="s">
        <v>20746</v>
      </c>
      <c r="M3593" s="69" t="s">
        <v>45</v>
      </c>
      <c r="N3593" s="69" t="s">
        <v>70</v>
      </c>
      <c r="O3593" s="69" t="s">
        <v>67</v>
      </c>
      <c r="P3593" s="69" t="s">
        <v>47</v>
      </c>
      <c r="Q3593" s="69" t="s">
        <v>18459</v>
      </c>
      <c r="R3593" s="69" t="s">
        <v>1997</v>
      </c>
      <c r="S3593" s="69">
        <v>0</v>
      </c>
      <c r="T3593" s="69">
        <v>0</v>
      </c>
      <c r="U3593" s="69">
        <v>0</v>
      </c>
      <c r="V3593" s="69">
        <v>0</v>
      </c>
      <c r="W3593" s="69">
        <v>0</v>
      </c>
      <c r="X3593" s="69">
        <v>0</v>
      </c>
      <c r="Y3593" s="69">
        <v>0</v>
      </c>
      <c r="Z3593" s="69">
        <v>0</v>
      </c>
      <c r="AA3593" s="69">
        <v>0</v>
      </c>
      <c r="AB3593" s="69">
        <v>0</v>
      </c>
      <c r="AC3593" s="69">
        <v>0</v>
      </c>
      <c r="AD3593" s="69">
        <v>0</v>
      </c>
      <c r="AE3593" s="69" t="s">
        <v>73</v>
      </c>
      <c r="AF3593" s="69" t="s">
        <v>20747</v>
      </c>
      <c r="AG3593" s="69" t="s">
        <v>8837</v>
      </c>
      <c r="AH3593" s="43">
        <v>44980</v>
      </c>
      <c r="AI3593" s="69">
        <v>7</v>
      </c>
      <c r="AJ3593" s="69" t="s">
        <v>43408</v>
      </c>
      <c r="AK3593" s="69" t="s">
        <v>43409</v>
      </c>
    </row>
    <row r="3594" spans="1:37" ht="36.75" customHeight="1" x14ac:dyDescent="0.35">
      <c r="A3594" s="21" t="s">
        <v>12448</v>
      </c>
      <c r="B3594" s="5" t="s">
        <v>37</v>
      </c>
      <c r="C3594" s="73" t="str">
        <f t="shared" si="66"/>
        <v>Closed</v>
      </c>
      <c r="D3594" s="47" t="s">
        <v>20748</v>
      </c>
      <c r="E3594" s="85" t="s">
        <v>20749</v>
      </c>
      <c r="F3594" s="69" t="s">
        <v>12887</v>
      </c>
      <c r="G3594" s="9">
        <f>DATE(2023,2,6)</f>
        <v>44963</v>
      </c>
      <c r="H3594" s="107">
        <v>1.7604166666666665</v>
      </c>
      <c r="I3594" s="69" t="s">
        <v>9004</v>
      </c>
      <c r="J3594" s="69" t="s">
        <v>20750</v>
      </c>
      <c r="K3594" s="69" t="s">
        <v>434</v>
      </c>
      <c r="L3594" s="69" t="s">
        <v>20751</v>
      </c>
      <c r="M3594" s="69" t="s">
        <v>45</v>
      </c>
      <c r="N3594" s="69" t="s">
        <v>80</v>
      </c>
      <c r="O3594" s="69" t="s">
        <v>46</v>
      </c>
      <c r="P3594" s="69" t="s">
        <v>146</v>
      </c>
      <c r="Q3594" s="69" t="s">
        <v>12161</v>
      </c>
      <c r="R3594" s="69" t="s">
        <v>553</v>
      </c>
      <c r="S3594" s="69">
        <v>0</v>
      </c>
      <c r="T3594" s="69">
        <v>0</v>
      </c>
      <c r="U3594" s="69">
        <v>1</v>
      </c>
      <c r="V3594" s="69">
        <v>0</v>
      </c>
      <c r="W3594" s="69">
        <v>0</v>
      </c>
      <c r="X3594" s="69">
        <v>1</v>
      </c>
      <c r="Y3594" s="69">
        <v>0</v>
      </c>
      <c r="Z3594" s="69">
        <v>0</v>
      </c>
      <c r="AA3594" s="69">
        <v>0</v>
      </c>
      <c r="AB3594" s="69">
        <v>0</v>
      </c>
      <c r="AC3594" s="69">
        <v>0</v>
      </c>
      <c r="AD3594" s="69">
        <v>0</v>
      </c>
      <c r="AE3594" s="69" t="s">
        <v>73</v>
      </c>
      <c r="AF3594" s="69" t="s">
        <v>693</v>
      </c>
      <c r="AG3594" s="69" t="s">
        <v>6438</v>
      </c>
      <c r="AH3594" s="43">
        <v>44966</v>
      </c>
      <c r="AI3594" s="69">
        <v>0</v>
      </c>
      <c r="AJ3594" s="69" t="s">
        <v>20752</v>
      </c>
      <c r="AK3594" s="69" t="s">
        <v>20753</v>
      </c>
    </row>
    <row r="3595" spans="1:37" ht="36.75" customHeight="1" x14ac:dyDescent="0.35">
      <c r="A3595" s="21" t="s">
        <v>12448</v>
      </c>
      <c r="B3595" s="5" t="s">
        <v>37</v>
      </c>
      <c r="C3595" s="73" t="str">
        <f t="shared" si="66"/>
        <v>Closed</v>
      </c>
      <c r="D3595" s="91" t="s">
        <v>20754</v>
      </c>
      <c r="E3595" s="85" t="s">
        <v>20755</v>
      </c>
      <c r="F3595" s="69" t="s">
        <v>16397</v>
      </c>
      <c r="G3595" s="9">
        <f>DATE(2023,2,7)</f>
        <v>44964</v>
      </c>
      <c r="H3595" s="107">
        <v>1.9937499999999999</v>
      </c>
      <c r="I3595" s="69" t="s">
        <v>20756</v>
      </c>
      <c r="J3595" s="69" t="s">
        <v>20757</v>
      </c>
      <c r="K3595" s="69" t="s">
        <v>406</v>
      </c>
      <c r="L3595" s="69" t="s">
        <v>20758</v>
      </c>
      <c r="M3595" s="69" t="s">
        <v>45</v>
      </c>
      <c r="N3595" s="69" t="s">
        <v>123</v>
      </c>
      <c r="O3595" s="69" t="s">
        <v>59</v>
      </c>
      <c r="P3595" s="69" t="s">
        <v>146</v>
      </c>
      <c r="Q3595" s="69" t="s">
        <v>18565</v>
      </c>
      <c r="R3595" s="69" t="s">
        <v>17330</v>
      </c>
      <c r="S3595" s="69">
        <v>0</v>
      </c>
      <c r="T3595" s="69">
        <v>0</v>
      </c>
      <c r="U3595" s="69">
        <v>0</v>
      </c>
      <c r="V3595" s="69">
        <v>0</v>
      </c>
      <c r="W3595" s="69">
        <v>0</v>
      </c>
      <c r="X3595" s="69">
        <v>0</v>
      </c>
      <c r="Y3595" s="69">
        <v>0</v>
      </c>
      <c r="Z3595" s="69">
        <v>0</v>
      </c>
      <c r="AA3595" s="69">
        <v>0</v>
      </c>
      <c r="AB3595" s="69">
        <v>0</v>
      </c>
      <c r="AC3595" s="69">
        <v>0</v>
      </c>
      <c r="AD3595" s="69">
        <v>0</v>
      </c>
      <c r="AE3595" s="69" t="s">
        <v>375</v>
      </c>
      <c r="AF3595" s="69" t="s">
        <v>20759</v>
      </c>
      <c r="AG3595" s="69" t="s">
        <v>16251</v>
      </c>
      <c r="AH3595" s="43">
        <v>44964</v>
      </c>
      <c r="AI3595" s="69">
        <v>0</v>
      </c>
      <c r="AJ3595" s="69" t="s">
        <v>20760</v>
      </c>
      <c r="AK3595" s="69" t="s">
        <v>17885</v>
      </c>
    </row>
    <row r="3596" spans="1:37" ht="36.75" customHeight="1" x14ac:dyDescent="0.35">
      <c r="A3596" s="21" t="s">
        <v>12448</v>
      </c>
      <c r="B3596" s="5" t="s">
        <v>37</v>
      </c>
      <c r="C3596" s="73" t="str">
        <f t="shared" si="66"/>
        <v>Closed</v>
      </c>
      <c r="D3596" s="91" t="s">
        <v>20761</v>
      </c>
      <c r="E3596" s="85" t="s">
        <v>20762</v>
      </c>
      <c r="F3596" s="69" t="s">
        <v>17018</v>
      </c>
      <c r="G3596" s="9">
        <f>DATE(2023,2,7)</f>
        <v>44964</v>
      </c>
      <c r="H3596" s="107">
        <v>1.0833333333333333</v>
      </c>
      <c r="I3596" s="69" t="s">
        <v>55</v>
      </c>
      <c r="J3596" s="69" t="s">
        <v>20763</v>
      </c>
      <c r="K3596" s="69" t="s">
        <v>2318</v>
      </c>
      <c r="L3596" s="69" t="s">
        <v>20764</v>
      </c>
      <c r="M3596" s="69" t="s">
        <v>45</v>
      </c>
      <c r="N3596" s="69" t="s">
        <v>123</v>
      </c>
      <c r="O3596" s="69" t="s">
        <v>59</v>
      </c>
      <c r="P3596" s="69" t="s">
        <v>60</v>
      </c>
      <c r="Q3596" s="69" t="s">
        <v>20765</v>
      </c>
      <c r="R3596" s="69" t="s">
        <v>2321</v>
      </c>
      <c r="S3596" s="69">
        <v>0</v>
      </c>
      <c r="T3596" s="69">
        <v>0</v>
      </c>
      <c r="U3596" s="69">
        <v>0</v>
      </c>
      <c r="V3596" s="69">
        <v>0</v>
      </c>
      <c r="W3596" s="69">
        <v>0</v>
      </c>
      <c r="X3596" s="69">
        <v>0</v>
      </c>
      <c r="Y3596" s="69">
        <v>0</v>
      </c>
      <c r="Z3596" s="69">
        <v>0</v>
      </c>
      <c r="AA3596" s="69">
        <v>0</v>
      </c>
      <c r="AB3596" s="69">
        <v>0</v>
      </c>
      <c r="AC3596" s="69">
        <v>0</v>
      </c>
      <c r="AD3596" s="69">
        <v>0</v>
      </c>
      <c r="AE3596" s="69" t="s">
        <v>375</v>
      </c>
      <c r="AF3596" s="69" t="s">
        <v>20766</v>
      </c>
      <c r="AG3596" s="69" t="s">
        <v>13508</v>
      </c>
      <c r="AH3596" s="43">
        <v>44979</v>
      </c>
      <c r="AI3596" s="69">
        <v>7</v>
      </c>
      <c r="AJ3596" s="69" t="s">
        <v>20767</v>
      </c>
      <c r="AK3596" s="69" t="s">
        <v>20768</v>
      </c>
    </row>
    <row r="3597" spans="1:37" ht="36.75" customHeight="1" x14ac:dyDescent="0.35">
      <c r="A3597" s="21" t="s">
        <v>12448</v>
      </c>
      <c r="B3597" s="5" t="s">
        <v>14851</v>
      </c>
      <c r="C3597" s="73" t="str">
        <f t="shared" si="66"/>
        <v>In progress</v>
      </c>
      <c r="D3597" s="47" t="s">
        <v>20769</v>
      </c>
      <c r="E3597" s="85" t="s">
        <v>20770</v>
      </c>
      <c r="F3597" s="69" t="s">
        <v>16397</v>
      </c>
      <c r="G3597" s="9">
        <f>DATE(2023,2,13)</f>
        <v>44970</v>
      </c>
      <c r="H3597" s="107">
        <v>1.807638888888889</v>
      </c>
      <c r="I3597" s="69" t="s">
        <v>137</v>
      </c>
      <c r="J3597" s="69" t="s">
        <v>20771</v>
      </c>
      <c r="K3597" s="69" t="s">
        <v>406</v>
      </c>
      <c r="L3597" s="69" t="s">
        <v>20772</v>
      </c>
      <c r="M3597" s="69" t="s">
        <v>45</v>
      </c>
      <c r="N3597" s="69" t="s">
        <v>123</v>
      </c>
      <c r="O3597" s="69" t="s">
        <v>46</v>
      </c>
      <c r="P3597" s="69" t="s">
        <v>47</v>
      </c>
      <c r="Q3597" s="69" t="s">
        <v>18466</v>
      </c>
      <c r="R3597" s="69" t="s">
        <v>17330</v>
      </c>
      <c r="S3597" s="69">
        <v>0</v>
      </c>
      <c r="T3597" s="69">
        <v>0</v>
      </c>
      <c r="U3597" s="69">
        <v>0</v>
      </c>
      <c r="V3597" s="69">
        <v>0</v>
      </c>
      <c r="W3597" s="69">
        <v>0</v>
      </c>
      <c r="X3597" s="69">
        <v>0</v>
      </c>
      <c r="Y3597" s="69">
        <v>0</v>
      </c>
      <c r="Z3597" s="69">
        <v>0</v>
      </c>
      <c r="AA3597" s="69">
        <v>0</v>
      </c>
      <c r="AB3597" s="69">
        <v>0</v>
      </c>
      <c r="AC3597" s="69">
        <v>0</v>
      </c>
      <c r="AD3597" s="69">
        <v>0</v>
      </c>
      <c r="AE3597" s="69" t="s">
        <v>73</v>
      </c>
      <c r="AF3597" s="69" t="s">
        <v>20773</v>
      </c>
      <c r="AG3597" s="69" t="s">
        <v>20617</v>
      </c>
      <c r="AH3597" s="43">
        <v>44972</v>
      </c>
      <c r="AI3597" s="69"/>
      <c r="AJ3597" s="69"/>
      <c r="AK3597" s="69"/>
    </row>
    <row r="3598" spans="1:37" ht="36.75" customHeight="1" x14ac:dyDescent="0.35">
      <c r="A3598" s="21" t="s">
        <v>12448</v>
      </c>
      <c r="B3598" s="5" t="s">
        <v>37</v>
      </c>
      <c r="C3598" s="73" t="str">
        <f t="shared" si="66"/>
        <v>Closed</v>
      </c>
      <c r="D3598" s="91" t="s">
        <v>20774</v>
      </c>
      <c r="E3598" s="85" t="s">
        <v>20775</v>
      </c>
      <c r="F3598" s="69" t="s">
        <v>16397</v>
      </c>
      <c r="G3598" s="9">
        <f>DATE(2023,2,16)</f>
        <v>44973</v>
      </c>
      <c r="H3598" s="107">
        <v>1.2972222222222223</v>
      </c>
      <c r="I3598" s="69" t="s">
        <v>137</v>
      </c>
      <c r="J3598" s="69" t="s">
        <v>20776</v>
      </c>
      <c r="K3598" s="69" t="s">
        <v>406</v>
      </c>
      <c r="L3598" s="69" t="s">
        <v>20777</v>
      </c>
      <c r="M3598" s="69" t="s">
        <v>45</v>
      </c>
      <c r="N3598" s="69" t="s">
        <v>123</v>
      </c>
      <c r="O3598" s="69" t="s">
        <v>6854</v>
      </c>
      <c r="P3598" s="69" t="s">
        <v>72</v>
      </c>
      <c r="Q3598" s="69" t="s">
        <v>18043</v>
      </c>
      <c r="R3598" s="69" t="s">
        <v>20778</v>
      </c>
      <c r="S3598" s="69">
        <v>0</v>
      </c>
      <c r="T3598" s="69">
        <v>0</v>
      </c>
      <c r="U3598" s="69">
        <v>0</v>
      </c>
      <c r="V3598" s="69">
        <v>0</v>
      </c>
      <c r="W3598" s="69">
        <v>0</v>
      </c>
      <c r="X3598" s="69">
        <v>0</v>
      </c>
      <c r="Y3598" s="69">
        <v>0</v>
      </c>
      <c r="Z3598" s="69">
        <v>1</v>
      </c>
      <c r="AA3598" s="69">
        <v>0</v>
      </c>
      <c r="AB3598" s="69">
        <v>0</v>
      </c>
      <c r="AC3598" s="69">
        <v>0</v>
      </c>
      <c r="AD3598" s="69">
        <v>1</v>
      </c>
      <c r="AE3598" s="69" t="s">
        <v>73</v>
      </c>
      <c r="AF3598" s="69" t="s">
        <v>20779</v>
      </c>
      <c r="AG3598" s="69" t="s">
        <v>16251</v>
      </c>
      <c r="AH3598" s="43">
        <v>44973</v>
      </c>
      <c r="AI3598" s="69">
        <v>1</v>
      </c>
      <c r="AJ3598" s="69" t="s">
        <v>20780</v>
      </c>
      <c r="AK3598" s="69" t="s">
        <v>860</v>
      </c>
    </row>
    <row r="3599" spans="1:37" ht="36.65" customHeight="1" x14ac:dyDescent="0.35">
      <c r="A3599" s="21" t="s">
        <v>12448</v>
      </c>
      <c r="B3599" s="5" t="s">
        <v>37</v>
      </c>
      <c r="C3599" s="73" t="str">
        <f t="shared" si="66"/>
        <v>Closed</v>
      </c>
      <c r="D3599" s="91" t="s">
        <v>20781</v>
      </c>
      <c r="E3599" s="85" t="s">
        <v>20782</v>
      </c>
      <c r="F3599" s="69" t="s">
        <v>17018</v>
      </c>
      <c r="G3599" s="9">
        <f>DATE(2023,2,20)</f>
        <v>44977</v>
      </c>
      <c r="H3599" s="107">
        <v>1.7569444444444446</v>
      </c>
      <c r="I3599" s="69" t="s">
        <v>97</v>
      </c>
      <c r="J3599" s="69" t="s">
        <v>20783</v>
      </c>
      <c r="K3599" s="69" t="s">
        <v>2318</v>
      </c>
      <c r="L3599" s="69" t="s">
        <v>20784</v>
      </c>
      <c r="M3599" s="69" t="s">
        <v>45</v>
      </c>
      <c r="N3599" s="69" t="s">
        <v>123</v>
      </c>
      <c r="O3599" s="69" t="s">
        <v>46</v>
      </c>
      <c r="P3599" s="69" t="s">
        <v>60</v>
      </c>
      <c r="Q3599" s="69" t="s">
        <v>2955</v>
      </c>
      <c r="R3599" s="69" t="s">
        <v>2321</v>
      </c>
      <c r="S3599" s="69">
        <v>0</v>
      </c>
      <c r="T3599" s="69">
        <v>0</v>
      </c>
      <c r="U3599" s="69">
        <v>0</v>
      </c>
      <c r="V3599" s="69">
        <v>0</v>
      </c>
      <c r="W3599" s="69">
        <v>0</v>
      </c>
      <c r="X3599" s="69">
        <v>0</v>
      </c>
      <c r="Y3599" s="69">
        <v>0</v>
      </c>
      <c r="Z3599" s="69">
        <v>0</v>
      </c>
      <c r="AA3599" s="69">
        <v>0</v>
      </c>
      <c r="AB3599" s="69">
        <v>0</v>
      </c>
      <c r="AC3599" s="69">
        <v>0</v>
      </c>
      <c r="AD3599" s="69">
        <v>0</v>
      </c>
      <c r="AE3599" s="69" t="s">
        <v>73</v>
      </c>
      <c r="AF3599" s="69" t="s">
        <v>20785</v>
      </c>
      <c r="AG3599" s="69" t="s">
        <v>13508</v>
      </c>
      <c r="AH3599" s="43">
        <v>44986</v>
      </c>
      <c r="AI3599" s="69">
        <v>5</v>
      </c>
      <c r="AJ3599" s="69" t="s">
        <v>20786</v>
      </c>
      <c r="AK3599" s="69" t="s">
        <v>20787</v>
      </c>
    </row>
    <row r="3600" spans="1:37" ht="36.75" customHeight="1" x14ac:dyDescent="0.35">
      <c r="A3600" s="21" t="s">
        <v>12448</v>
      </c>
      <c r="B3600" s="5" t="s">
        <v>37</v>
      </c>
      <c r="C3600" s="73" t="str">
        <f t="shared" si="66"/>
        <v>Closed</v>
      </c>
      <c r="D3600" s="47" t="s">
        <v>20788</v>
      </c>
      <c r="E3600" s="85" t="s">
        <v>20789</v>
      </c>
      <c r="F3600" s="69" t="s">
        <v>16397</v>
      </c>
      <c r="G3600" s="9">
        <f>DATE(2023,2,22)</f>
        <v>44979</v>
      </c>
      <c r="H3600" s="107">
        <v>1.7680555555555557</v>
      </c>
      <c r="I3600" s="69" t="s">
        <v>55</v>
      </c>
      <c r="J3600" s="69" t="s">
        <v>20790</v>
      </c>
      <c r="K3600" s="69" t="s">
        <v>406</v>
      </c>
      <c r="L3600" s="69" t="s">
        <v>20791</v>
      </c>
      <c r="M3600" s="69" t="s">
        <v>45</v>
      </c>
      <c r="N3600" s="69" t="s">
        <v>80</v>
      </c>
      <c r="O3600" s="69" t="s">
        <v>59</v>
      </c>
      <c r="P3600" s="69" t="s">
        <v>146</v>
      </c>
      <c r="Q3600" s="69" t="s">
        <v>18466</v>
      </c>
      <c r="R3600" s="69" t="s">
        <v>17330</v>
      </c>
      <c r="S3600" s="69">
        <v>0</v>
      </c>
      <c r="T3600" s="69">
        <v>0</v>
      </c>
      <c r="U3600" s="69">
        <v>0</v>
      </c>
      <c r="V3600" s="69">
        <v>0</v>
      </c>
      <c r="W3600" s="69">
        <v>0</v>
      </c>
      <c r="X3600" s="69">
        <v>0</v>
      </c>
      <c r="Y3600" s="69">
        <v>0</v>
      </c>
      <c r="Z3600" s="69">
        <v>0</v>
      </c>
      <c r="AA3600" s="69">
        <v>0</v>
      </c>
      <c r="AB3600" s="69">
        <v>0</v>
      </c>
      <c r="AC3600" s="69">
        <v>0</v>
      </c>
      <c r="AD3600" s="69">
        <v>0</v>
      </c>
      <c r="AE3600" s="69" t="s">
        <v>73</v>
      </c>
      <c r="AF3600" s="69" t="s">
        <v>20792</v>
      </c>
      <c r="AG3600" s="69" t="s">
        <v>20617</v>
      </c>
      <c r="AH3600" s="43">
        <v>44979</v>
      </c>
      <c r="AI3600" s="69">
        <v>0</v>
      </c>
      <c r="AJ3600" s="69" t="s">
        <v>20793</v>
      </c>
      <c r="AK3600" s="69" t="s">
        <v>18825</v>
      </c>
    </row>
    <row r="3601" spans="1:37" ht="36.75" customHeight="1" x14ac:dyDescent="0.35">
      <c r="A3601" s="21" t="s">
        <v>12448</v>
      </c>
      <c r="B3601" s="5" t="s">
        <v>37</v>
      </c>
      <c r="C3601" s="73" t="str">
        <f t="shared" si="66"/>
        <v>Closed</v>
      </c>
      <c r="D3601" s="91" t="s">
        <v>20794</v>
      </c>
      <c r="E3601" s="85" t="s">
        <v>20795</v>
      </c>
      <c r="F3601" s="69" t="s">
        <v>17638</v>
      </c>
      <c r="G3601" s="9">
        <f>DATE(2023,2,22)</f>
        <v>44979</v>
      </c>
      <c r="H3601" s="107">
        <v>1.6111111111111112</v>
      </c>
      <c r="I3601" s="69" t="s">
        <v>55</v>
      </c>
      <c r="J3601" s="69" t="s">
        <v>20796</v>
      </c>
      <c r="K3601" s="69" t="s">
        <v>1555</v>
      </c>
      <c r="L3601" s="69" t="s">
        <v>20797</v>
      </c>
      <c r="M3601" s="69" t="s">
        <v>45</v>
      </c>
      <c r="N3601" s="69" t="s">
        <v>80</v>
      </c>
      <c r="O3601" s="69" t="s">
        <v>46</v>
      </c>
      <c r="P3601" s="69" t="s">
        <v>146</v>
      </c>
      <c r="Q3601" s="69" t="s">
        <v>18690</v>
      </c>
      <c r="R3601" s="69" t="s">
        <v>18956</v>
      </c>
      <c r="S3601" s="69">
        <v>0</v>
      </c>
      <c r="T3601" s="69">
        <v>0</v>
      </c>
      <c r="U3601" s="69">
        <v>0</v>
      </c>
      <c r="V3601" s="69">
        <v>0</v>
      </c>
      <c r="W3601" s="69">
        <v>0</v>
      </c>
      <c r="X3601" s="69">
        <v>0</v>
      </c>
      <c r="Y3601" s="69">
        <v>0</v>
      </c>
      <c r="Z3601" s="69">
        <v>0</v>
      </c>
      <c r="AA3601" s="69">
        <v>0</v>
      </c>
      <c r="AB3601" s="69">
        <v>0</v>
      </c>
      <c r="AC3601" s="69">
        <v>0</v>
      </c>
      <c r="AD3601" s="69">
        <v>0</v>
      </c>
      <c r="AE3601" s="69" t="s">
        <v>73</v>
      </c>
      <c r="AF3601" s="69" t="s">
        <v>20798</v>
      </c>
      <c r="AG3601" s="69" t="s">
        <v>8837</v>
      </c>
      <c r="AH3601" s="43">
        <v>44980</v>
      </c>
      <c r="AI3601" s="69">
        <v>1</v>
      </c>
      <c r="AJ3601" s="69" t="s">
        <v>20799</v>
      </c>
      <c r="AK3601" s="69" t="s">
        <v>20800</v>
      </c>
    </row>
    <row r="3602" spans="1:37" ht="36.75" customHeight="1" x14ac:dyDescent="0.35">
      <c r="A3602" s="21" t="s">
        <v>12448</v>
      </c>
      <c r="B3602" s="5" t="s">
        <v>37</v>
      </c>
      <c r="C3602" s="73" t="str">
        <f t="shared" si="66"/>
        <v>Closed</v>
      </c>
      <c r="D3602" s="91" t="s">
        <v>20801</v>
      </c>
      <c r="E3602" s="85" t="s">
        <v>20802</v>
      </c>
      <c r="F3602" s="69" t="s">
        <v>19094</v>
      </c>
      <c r="G3602" s="9">
        <f>DATE(2023,2,22)</f>
        <v>44979</v>
      </c>
      <c r="H3602" s="107">
        <v>1.4895833333333333</v>
      </c>
      <c r="I3602" s="69" t="s">
        <v>412</v>
      </c>
      <c r="J3602" s="69" t="s">
        <v>20803</v>
      </c>
      <c r="K3602" s="69" t="s">
        <v>1921</v>
      </c>
      <c r="L3602" s="69" t="s">
        <v>20804</v>
      </c>
      <c r="M3602" s="69" t="s">
        <v>45</v>
      </c>
      <c r="N3602" s="69" t="s">
        <v>123</v>
      </c>
      <c r="O3602" s="69" t="s">
        <v>46</v>
      </c>
      <c r="P3602" s="69" t="s">
        <v>146</v>
      </c>
      <c r="Q3602" s="69" t="s">
        <v>17679</v>
      </c>
      <c r="R3602" s="69" t="s">
        <v>17679</v>
      </c>
      <c r="S3602" s="69">
        <v>0</v>
      </c>
      <c r="T3602" s="69">
        <v>0</v>
      </c>
      <c r="U3602" s="69">
        <v>0</v>
      </c>
      <c r="V3602" s="69">
        <v>0</v>
      </c>
      <c r="W3602" s="69">
        <v>0</v>
      </c>
      <c r="X3602" s="69">
        <v>0</v>
      </c>
      <c r="Y3602" s="69">
        <v>0</v>
      </c>
      <c r="Z3602" s="69">
        <v>0</v>
      </c>
      <c r="AA3602" s="69">
        <v>0</v>
      </c>
      <c r="AB3602" s="69">
        <v>0</v>
      </c>
      <c r="AC3602" s="69">
        <v>0</v>
      </c>
      <c r="AD3602" s="69">
        <v>0</v>
      </c>
      <c r="AE3602" s="69" t="s">
        <v>375</v>
      </c>
      <c r="AF3602" s="69" t="s">
        <v>20805</v>
      </c>
      <c r="AG3602" s="69" t="s">
        <v>6438</v>
      </c>
      <c r="AH3602" s="43">
        <v>45035</v>
      </c>
      <c r="AI3602" s="69">
        <v>5</v>
      </c>
      <c r="AJ3602" s="69" t="s">
        <v>20806</v>
      </c>
      <c r="AK3602" s="69" t="s">
        <v>20807</v>
      </c>
    </row>
    <row r="3603" spans="1:37" ht="36.75" customHeight="1" x14ac:dyDescent="0.35">
      <c r="A3603" s="21" t="s">
        <v>12448</v>
      </c>
      <c r="B3603" s="5" t="s">
        <v>887</v>
      </c>
      <c r="C3603" s="73" t="str">
        <f t="shared" si="66"/>
        <v>Open</v>
      </c>
      <c r="D3603" s="47" t="s">
        <v>20808</v>
      </c>
      <c r="E3603" s="85" t="s">
        <v>20809</v>
      </c>
      <c r="F3603" s="69" t="s">
        <v>19094</v>
      </c>
      <c r="G3603" s="9">
        <f>DATE(2023,2,23)</f>
        <v>44980</v>
      </c>
      <c r="H3603" s="107">
        <v>1.5451388888888888</v>
      </c>
      <c r="I3603" s="69" t="s">
        <v>412</v>
      </c>
      <c r="J3603" s="69" t="s">
        <v>20810</v>
      </c>
      <c r="K3603" s="69" t="s">
        <v>1921</v>
      </c>
      <c r="L3603" s="69" t="s">
        <v>20811</v>
      </c>
      <c r="M3603" s="69" t="s">
        <v>45</v>
      </c>
      <c r="N3603" s="69" t="s">
        <v>123</v>
      </c>
      <c r="O3603" s="69" t="s">
        <v>46</v>
      </c>
      <c r="P3603" s="69" t="s">
        <v>146</v>
      </c>
      <c r="Q3603" s="69" t="s">
        <v>17679</v>
      </c>
      <c r="R3603" s="69" t="s">
        <v>17679</v>
      </c>
      <c r="S3603" s="69"/>
      <c r="T3603" s="69"/>
      <c r="U3603" s="69"/>
      <c r="V3603" s="69"/>
      <c r="W3603" s="69"/>
      <c r="X3603" s="69">
        <v>0</v>
      </c>
      <c r="Y3603" s="69"/>
      <c r="Z3603" s="69"/>
      <c r="AA3603" s="69"/>
      <c r="AB3603" s="69"/>
      <c r="AC3603" s="69"/>
      <c r="AD3603" s="69">
        <v>0</v>
      </c>
      <c r="AE3603" s="69" t="s">
        <v>375</v>
      </c>
      <c r="AF3603" s="69" t="s">
        <v>17573</v>
      </c>
      <c r="AG3603" s="69" t="s">
        <v>6438</v>
      </c>
      <c r="AH3603" s="43">
        <v>45035</v>
      </c>
      <c r="AI3603" s="69"/>
      <c r="AJ3603" s="69"/>
      <c r="AK3603" s="69"/>
    </row>
    <row r="3604" spans="1:37" ht="36.75" customHeight="1" x14ac:dyDescent="0.35">
      <c r="A3604" s="21" t="s">
        <v>12448</v>
      </c>
      <c r="B3604" s="5" t="s">
        <v>37</v>
      </c>
      <c r="C3604" s="73" t="str">
        <f t="shared" si="66"/>
        <v>Closed</v>
      </c>
      <c r="D3604" s="47" t="s">
        <v>20812</v>
      </c>
      <c r="E3604" s="85" t="s">
        <v>20813</v>
      </c>
      <c r="F3604" s="69" t="s">
        <v>12887</v>
      </c>
      <c r="G3604" s="9">
        <f>DATE(2023,2,24)</f>
        <v>44981</v>
      </c>
      <c r="H3604" s="107">
        <v>1.25</v>
      </c>
      <c r="I3604" s="69" t="s">
        <v>259</v>
      </c>
      <c r="J3604" s="69" t="s">
        <v>20814</v>
      </c>
      <c r="K3604" s="69" t="s">
        <v>434</v>
      </c>
      <c r="L3604" s="69" t="s">
        <v>20815</v>
      </c>
      <c r="M3604" s="69" t="s">
        <v>45</v>
      </c>
      <c r="N3604" s="69" t="s">
        <v>80</v>
      </c>
      <c r="O3604" s="69" t="s">
        <v>46</v>
      </c>
      <c r="P3604" s="69" t="s">
        <v>67</v>
      </c>
      <c r="Q3604" s="69" t="s">
        <v>20816</v>
      </c>
      <c r="R3604" s="69" t="s">
        <v>20816</v>
      </c>
      <c r="S3604" s="69">
        <v>0</v>
      </c>
      <c r="T3604" s="69">
        <v>0</v>
      </c>
      <c r="U3604" s="69">
        <v>0</v>
      </c>
      <c r="V3604" s="69">
        <v>1</v>
      </c>
      <c r="W3604" s="69">
        <v>0</v>
      </c>
      <c r="X3604" s="69">
        <v>1</v>
      </c>
      <c r="Y3604" s="69">
        <v>0</v>
      </c>
      <c r="Z3604" s="69">
        <v>0</v>
      </c>
      <c r="AA3604" s="69">
        <v>0</v>
      </c>
      <c r="AB3604" s="69">
        <v>0</v>
      </c>
      <c r="AC3604" s="69">
        <v>0</v>
      </c>
      <c r="AD3604" s="69">
        <v>0</v>
      </c>
      <c r="AE3604" s="69" t="s">
        <v>73</v>
      </c>
      <c r="AF3604" s="69" t="s">
        <v>20816</v>
      </c>
      <c r="AG3604" s="69" t="s">
        <v>6438</v>
      </c>
      <c r="AH3604" s="43">
        <v>44998</v>
      </c>
      <c r="AI3604" s="69">
        <v>0</v>
      </c>
      <c r="AJ3604" s="69" t="s">
        <v>20817</v>
      </c>
      <c r="AK3604" s="69" t="s">
        <v>20818</v>
      </c>
    </row>
    <row r="3605" spans="1:37" ht="36.75" customHeight="1" x14ac:dyDescent="0.35">
      <c r="A3605" s="21" t="s">
        <v>12448</v>
      </c>
      <c r="B3605" s="5" t="s">
        <v>37</v>
      </c>
      <c r="C3605" s="73" t="str">
        <f t="shared" si="66"/>
        <v>Closed</v>
      </c>
      <c r="D3605" s="47" t="s">
        <v>20819</v>
      </c>
      <c r="E3605" s="85" t="s">
        <v>20820</v>
      </c>
      <c r="F3605" s="69" t="s">
        <v>17728</v>
      </c>
      <c r="G3605" s="9">
        <f>DATE(2023,2,26)</f>
        <v>44983</v>
      </c>
      <c r="H3605" s="107">
        <v>1.0277777777777777</v>
      </c>
      <c r="I3605" s="69" t="s">
        <v>55</v>
      </c>
      <c r="J3605" s="69" t="s">
        <v>20821</v>
      </c>
      <c r="K3605" s="69" t="s">
        <v>2583</v>
      </c>
      <c r="L3605" s="69" t="s">
        <v>20822</v>
      </c>
      <c r="M3605" s="69" t="s">
        <v>45</v>
      </c>
      <c r="N3605" s="69" t="s">
        <v>80</v>
      </c>
      <c r="O3605" s="69" t="s">
        <v>59</v>
      </c>
      <c r="P3605" s="69" t="s">
        <v>60</v>
      </c>
      <c r="Q3605" s="69" t="s">
        <v>20823</v>
      </c>
      <c r="R3605" s="69" t="s">
        <v>20667</v>
      </c>
      <c r="S3605" s="69">
        <v>0</v>
      </c>
      <c r="T3605" s="69">
        <v>0</v>
      </c>
      <c r="U3605" s="69">
        <v>0</v>
      </c>
      <c r="V3605" s="69">
        <v>0</v>
      </c>
      <c r="W3605" s="69">
        <v>0</v>
      </c>
      <c r="X3605" s="69">
        <v>0</v>
      </c>
      <c r="Y3605" s="69">
        <v>0</v>
      </c>
      <c r="Z3605" s="69">
        <v>0</v>
      </c>
      <c r="AA3605" s="69">
        <v>0</v>
      </c>
      <c r="AB3605" s="69">
        <v>0</v>
      </c>
      <c r="AC3605" s="69">
        <v>0</v>
      </c>
      <c r="AD3605" s="69">
        <v>0</v>
      </c>
      <c r="AE3605" s="69" t="s">
        <v>73</v>
      </c>
      <c r="AF3605" s="69" t="s">
        <v>20824</v>
      </c>
      <c r="AG3605" s="69" t="s">
        <v>8837</v>
      </c>
      <c r="AH3605" s="43">
        <v>44984</v>
      </c>
      <c r="AI3605" s="69">
        <v>3</v>
      </c>
      <c r="AJ3605" s="69" t="s">
        <v>20825</v>
      </c>
      <c r="AK3605" s="69" t="s">
        <v>20826</v>
      </c>
    </row>
    <row r="3606" spans="1:37" ht="36.75" customHeight="1" x14ac:dyDescent="0.35">
      <c r="A3606" s="21" t="s">
        <v>12448</v>
      </c>
      <c r="B3606" s="5" t="s">
        <v>37</v>
      </c>
      <c r="C3606" s="73" t="str">
        <f t="shared" si="66"/>
        <v>Closed</v>
      </c>
      <c r="D3606" s="91" t="s">
        <v>20827</v>
      </c>
      <c r="E3606" s="85" t="s">
        <v>20828</v>
      </c>
      <c r="F3606" s="69" t="s">
        <v>17638</v>
      </c>
      <c r="G3606" s="9">
        <f>DATE(2023,2,28)</f>
        <v>44985</v>
      </c>
      <c r="H3606" s="107">
        <v>1.0034722222222223</v>
      </c>
      <c r="I3606" s="69" t="s">
        <v>55</v>
      </c>
      <c r="J3606" s="69" t="s">
        <v>20829</v>
      </c>
      <c r="K3606" s="69" t="s">
        <v>1555</v>
      </c>
      <c r="L3606" s="69" t="s">
        <v>20830</v>
      </c>
      <c r="M3606" s="69" t="s">
        <v>45</v>
      </c>
      <c r="N3606" s="69" t="s">
        <v>123</v>
      </c>
      <c r="O3606" s="69" t="s">
        <v>46</v>
      </c>
      <c r="P3606" s="69" t="s">
        <v>60</v>
      </c>
      <c r="Q3606" s="69" t="s">
        <v>19205</v>
      </c>
      <c r="R3606" s="69" t="s">
        <v>18956</v>
      </c>
      <c r="S3606" s="69">
        <v>0</v>
      </c>
      <c r="T3606" s="69">
        <v>0</v>
      </c>
      <c r="U3606" s="69">
        <v>0</v>
      </c>
      <c r="V3606" s="69">
        <v>0</v>
      </c>
      <c r="W3606" s="69">
        <v>0</v>
      </c>
      <c r="X3606" s="69">
        <v>0</v>
      </c>
      <c r="Y3606" s="69">
        <v>0</v>
      </c>
      <c r="Z3606" s="69">
        <v>0</v>
      </c>
      <c r="AA3606" s="69">
        <v>0</v>
      </c>
      <c r="AB3606" s="69">
        <v>0</v>
      </c>
      <c r="AC3606" s="69">
        <v>0</v>
      </c>
      <c r="AD3606" s="69">
        <v>0</v>
      </c>
      <c r="AE3606" s="69" t="s">
        <v>73</v>
      </c>
      <c r="AF3606" s="69" t="s">
        <v>20831</v>
      </c>
      <c r="AG3606" s="69" t="s">
        <v>8837</v>
      </c>
      <c r="AH3606" s="43">
        <v>44985</v>
      </c>
      <c r="AI3606" s="69">
        <v>1</v>
      </c>
      <c r="AJ3606" s="69" t="s">
        <v>20832</v>
      </c>
      <c r="AK3606" s="69" t="s">
        <v>20833</v>
      </c>
    </row>
    <row r="3607" spans="1:37" ht="36.75" customHeight="1" x14ac:dyDescent="0.35">
      <c r="A3607" s="21" t="s">
        <v>12448</v>
      </c>
      <c r="B3607" s="5" t="s">
        <v>37</v>
      </c>
      <c r="C3607" s="73" t="str">
        <f t="shared" si="66"/>
        <v>Closed</v>
      </c>
      <c r="D3607" s="91" t="s">
        <v>20834</v>
      </c>
      <c r="E3607" s="85" t="s">
        <v>20835</v>
      </c>
      <c r="F3607" s="69" t="s">
        <v>12887</v>
      </c>
      <c r="G3607" s="9">
        <f>DATE(2023,2,28)</f>
        <v>44985</v>
      </c>
      <c r="H3607" s="107">
        <v>1.40625</v>
      </c>
      <c r="I3607" s="69" t="s">
        <v>19116</v>
      </c>
      <c r="J3607" s="69" t="s">
        <v>20836</v>
      </c>
      <c r="K3607" s="69" t="s">
        <v>434</v>
      </c>
      <c r="L3607" s="69" t="s">
        <v>20837</v>
      </c>
      <c r="M3607" s="69" t="s">
        <v>45</v>
      </c>
      <c r="N3607" s="69" t="s">
        <v>123</v>
      </c>
      <c r="O3607" s="69" t="s">
        <v>46</v>
      </c>
      <c r="P3607" s="69" t="s">
        <v>146</v>
      </c>
      <c r="Q3607" s="69" t="s">
        <v>20034</v>
      </c>
      <c r="R3607" s="69" t="s">
        <v>553</v>
      </c>
      <c r="S3607" s="69">
        <v>0</v>
      </c>
      <c r="T3607" s="69">
        <v>0</v>
      </c>
      <c r="U3607" s="69">
        <v>0</v>
      </c>
      <c r="V3607" s="69">
        <v>0</v>
      </c>
      <c r="W3607" s="69">
        <v>0</v>
      </c>
      <c r="X3607" s="69">
        <v>0</v>
      </c>
      <c r="Y3607" s="69">
        <v>0</v>
      </c>
      <c r="Z3607" s="69">
        <v>0</v>
      </c>
      <c r="AA3607" s="69">
        <v>0</v>
      </c>
      <c r="AB3607" s="69">
        <v>0</v>
      </c>
      <c r="AC3607" s="69">
        <v>0</v>
      </c>
      <c r="AD3607" s="69">
        <v>0</v>
      </c>
      <c r="AE3607" s="69" t="s">
        <v>375</v>
      </c>
      <c r="AF3607" s="69" t="s">
        <v>20838</v>
      </c>
      <c r="AG3607" s="69" t="s">
        <v>8837</v>
      </c>
      <c r="AH3607" s="43">
        <v>45033</v>
      </c>
      <c r="AI3607" s="69">
        <v>1</v>
      </c>
      <c r="AJ3607" s="69" t="s">
        <v>20839</v>
      </c>
      <c r="AK3607" s="69" t="s">
        <v>20840</v>
      </c>
    </row>
    <row r="3608" spans="1:37" ht="36.75" customHeight="1" x14ac:dyDescent="0.35">
      <c r="A3608" s="21" t="s">
        <v>12448</v>
      </c>
      <c r="B3608" s="5" t="s">
        <v>887</v>
      </c>
      <c r="C3608" s="73" t="str">
        <f t="shared" si="66"/>
        <v>Open</v>
      </c>
      <c r="D3608" s="47" t="s">
        <v>20841</v>
      </c>
      <c r="E3608" s="85" t="s">
        <v>20842</v>
      </c>
      <c r="F3608" s="69" t="s">
        <v>20843</v>
      </c>
      <c r="G3608" s="9">
        <f>DATE(2023,2,28)</f>
        <v>44985</v>
      </c>
      <c r="H3608" s="107">
        <v>1.9722222222222223</v>
      </c>
      <c r="I3608" s="69" t="s">
        <v>179</v>
      </c>
      <c r="J3608" s="69" t="s">
        <v>20844</v>
      </c>
      <c r="K3608" s="69" t="s">
        <v>5664</v>
      </c>
      <c r="L3608" s="69" t="s">
        <v>20845</v>
      </c>
      <c r="M3608" s="69" t="s">
        <v>45</v>
      </c>
      <c r="N3608" s="69" t="s">
        <v>123</v>
      </c>
      <c r="O3608" s="69" t="s">
        <v>46</v>
      </c>
      <c r="P3608" s="69" t="s">
        <v>443</v>
      </c>
      <c r="Q3608" s="69" t="s">
        <v>20846</v>
      </c>
      <c r="R3608" s="69" t="s">
        <v>20847</v>
      </c>
      <c r="S3608" s="69">
        <v>47</v>
      </c>
      <c r="T3608" s="69">
        <v>11</v>
      </c>
      <c r="U3608" s="69"/>
      <c r="V3608" s="69"/>
      <c r="W3608" s="69"/>
      <c r="X3608" s="69">
        <v>58</v>
      </c>
      <c r="Y3608" s="69">
        <v>85</v>
      </c>
      <c r="Z3608" s="69"/>
      <c r="AA3608" s="69"/>
      <c r="AB3608" s="69"/>
      <c r="AC3608" s="69"/>
      <c r="AD3608" s="69">
        <v>85</v>
      </c>
      <c r="AE3608" s="69" t="s">
        <v>126</v>
      </c>
      <c r="AF3608" s="69" t="s">
        <v>20848</v>
      </c>
      <c r="AG3608" s="69" t="s">
        <v>6438</v>
      </c>
      <c r="AH3608" s="43">
        <v>45343</v>
      </c>
      <c r="AI3608" s="69"/>
      <c r="AJ3608" s="69"/>
      <c r="AK3608" s="69"/>
    </row>
    <row r="3609" spans="1:37" ht="36.75" customHeight="1" x14ac:dyDescent="0.35">
      <c r="A3609" s="21" t="s">
        <v>12448</v>
      </c>
      <c r="B3609" s="5" t="s">
        <v>887</v>
      </c>
      <c r="C3609" s="73" t="str">
        <f t="shared" si="66"/>
        <v>Open</v>
      </c>
      <c r="D3609" s="47" t="s">
        <v>20849</v>
      </c>
      <c r="E3609" s="85" t="s">
        <v>20850</v>
      </c>
      <c r="F3609" s="69" t="s">
        <v>16662</v>
      </c>
      <c r="G3609" s="9">
        <f>DATE(2023,3,3)</f>
        <v>44988</v>
      </c>
      <c r="H3609" s="107">
        <v>1.3715277777777777</v>
      </c>
      <c r="I3609" s="69" t="s">
        <v>6754</v>
      </c>
      <c r="J3609" s="69" t="s">
        <v>20851</v>
      </c>
      <c r="K3609" s="69" t="s">
        <v>577</v>
      </c>
      <c r="L3609" s="69" t="s">
        <v>20852</v>
      </c>
      <c r="M3609" s="69" t="s">
        <v>45</v>
      </c>
      <c r="N3609" s="69" t="s">
        <v>80</v>
      </c>
      <c r="O3609" s="69" t="s">
        <v>46</v>
      </c>
      <c r="P3609" s="69" t="s">
        <v>146</v>
      </c>
      <c r="Q3609" s="69" t="s">
        <v>20660</v>
      </c>
      <c r="R3609" s="69" t="s">
        <v>17254</v>
      </c>
      <c r="S3609" s="69">
        <v>0</v>
      </c>
      <c r="T3609" s="69">
        <v>0</v>
      </c>
      <c r="U3609" s="69">
        <v>0</v>
      </c>
      <c r="V3609" s="69">
        <v>0</v>
      </c>
      <c r="W3609" s="69">
        <v>0</v>
      </c>
      <c r="X3609" s="69">
        <v>0</v>
      </c>
      <c r="Y3609" s="69">
        <v>0</v>
      </c>
      <c r="Z3609" s="69">
        <v>0</v>
      </c>
      <c r="AA3609" s="69">
        <v>0</v>
      </c>
      <c r="AB3609" s="69">
        <v>0</v>
      </c>
      <c r="AC3609" s="69">
        <v>0</v>
      </c>
      <c r="AD3609" s="69">
        <v>0</v>
      </c>
      <c r="AE3609" s="69" t="s">
        <v>73</v>
      </c>
      <c r="AF3609" s="69" t="s">
        <v>17985</v>
      </c>
      <c r="AG3609" s="69" t="s">
        <v>13508</v>
      </c>
      <c r="AH3609" s="43">
        <v>45037</v>
      </c>
      <c r="AI3609" s="69"/>
      <c r="AJ3609" s="69"/>
      <c r="AK3609" s="69"/>
    </row>
    <row r="3610" spans="1:37" ht="36.75" customHeight="1" x14ac:dyDescent="0.35">
      <c r="A3610" s="21" t="s">
        <v>12448</v>
      </c>
      <c r="B3610" s="5" t="s">
        <v>37</v>
      </c>
      <c r="C3610" s="73" t="str">
        <f t="shared" si="66"/>
        <v>Closed</v>
      </c>
      <c r="D3610" s="91" t="s">
        <v>20853</v>
      </c>
      <c r="E3610" s="85" t="s">
        <v>20854</v>
      </c>
      <c r="F3610" s="69" t="s">
        <v>12887</v>
      </c>
      <c r="G3610" s="9">
        <f>DATE(2023,3,8)</f>
        <v>44993</v>
      </c>
      <c r="H3610" s="107">
        <v>1.5381944444444444</v>
      </c>
      <c r="I3610" s="69" t="s">
        <v>259</v>
      </c>
      <c r="J3610" s="69" t="s">
        <v>20855</v>
      </c>
      <c r="K3610" s="69" t="s">
        <v>434</v>
      </c>
      <c r="L3610" s="69" t="s">
        <v>20856</v>
      </c>
      <c r="M3610" s="69" t="s">
        <v>45</v>
      </c>
      <c r="N3610" s="69" t="s">
        <v>123</v>
      </c>
      <c r="O3610" s="69" t="s">
        <v>59</v>
      </c>
      <c r="P3610" s="69" t="s">
        <v>6881</v>
      </c>
      <c r="Q3610" s="69" t="s">
        <v>20034</v>
      </c>
      <c r="R3610" s="69" t="s">
        <v>20857</v>
      </c>
      <c r="S3610" s="69">
        <v>1</v>
      </c>
      <c r="T3610" s="69">
        <v>0</v>
      </c>
      <c r="U3610" s="69">
        <v>0</v>
      </c>
      <c r="V3610" s="69">
        <v>0</v>
      </c>
      <c r="W3610" s="69">
        <v>0</v>
      </c>
      <c r="X3610" s="69">
        <v>1</v>
      </c>
      <c r="Y3610" s="69">
        <v>0</v>
      </c>
      <c r="Z3610" s="69">
        <v>0</v>
      </c>
      <c r="AA3610" s="69">
        <v>0</v>
      </c>
      <c r="AB3610" s="69">
        <v>0</v>
      </c>
      <c r="AC3610" s="69">
        <v>0</v>
      </c>
      <c r="AD3610" s="69">
        <v>0</v>
      </c>
      <c r="AE3610" s="69" t="s">
        <v>73</v>
      </c>
      <c r="AF3610" s="69" t="s">
        <v>20858</v>
      </c>
      <c r="AG3610" s="69" t="s">
        <v>6438</v>
      </c>
      <c r="AH3610" s="43">
        <v>45002</v>
      </c>
      <c r="AI3610" s="69">
        <v>0</v>
      </c>
      <c r="AJ3610" s="69" t="s">
        <v>20859</v>
      </c>
      <c r="AK3610" s="69" t="s">
        <v>20860</v>
      </c>
    </row>
    <row r="3611" spans="1:37" ht="36.75" customHeight="1" x14ac:dyDescent="0.35">
      <c r="A3611" s="21" t="s">
        <v>12448</v>
      </c>
      <c r="B3611" s="5" t="s">
        <v>37</v>
      </c>
      <c r="C3611" s="73" t="str">
        <f t="shared" si="66"/>
        <v>Closed</v>
      </c>
      <c r="D3611" s="91" t="s">
        <v>20861</v>
      </c>
      <c r="E3611" s="85" t="s">
        <v>20862</v>
      </c>
      <c r="F3611" s="69" t="s">
        <v>17305</v>
      </c>
      <c r="G3611" s="9">
        <f>DATE(2023,3,12)</f>
        <v>44997</v>
      </c>
      <c r="H3611" s="107">
        <v>1.6215277777777777</v>
      </c>
      <c r="I3611" s="69" t="s">
        <v>55</v>
      </c>
      <c r="J3611" s="69" t="s">
        <v>20863</v>
      </c>
      <c r="K3611" s="69" t="s">
        <v>108</v>
      </c>
      <c r="L3611" s="69" t="s">
        <v>20864</v>
      </c>
      <c r="M3611" s="69" t="s">
        <v>45</v>
      </c>
      <c r="N3611" s="69" t="s">
        <v>70</v>
      </c>
      <c r="O3611" s="69" t="s">
        <v>59</v>
      </c>
      <c r="P3611" s="69" t="s">
        <v>60</v>
      </c>
      <c r="Q3611" s="69" t="s">
        <v>19437</v>
      </c>
      <c r="R3611" s="69" t="s">
        <v>148</v>
      </c>
      <c r="S3611" s="69">
        <v>0</v>
      </c>
      <c r="T3611" s="69">
        <v>0</v>
      </c>
      <c r="U3611" s="69">
        <v>0</v>
      </c>
      <c r="V3611" s="69">
        <v>0</v>
      </c>
      <c r="W3611" s="69">
        <v>0</v>
      </c>
      <c r="X3611" s="69">
        <v>0</v>
      </c>
      <c r="Y3611" s="69">
        <v>0</v>
      </c>
      <c r="Z3611" s="69">
        <v>0</v>
      </c>
      <c r="AA3611" s="69">
        <v>0</v>
      </c>
      <c r="AB3611" s="69">
        <v>0</v>
      </c>
      <c r="AC3611" s="69">
        <v>0</v>
      </c>
      <c r="AD3611" s="69">
        <v>0</v>
      </c>
      <c r="AE3611" s="69" t="s">
        <v>375</v>
      </c>
      <c r="AF3611" s="69" t="s">
        <v>20865</v>
      </c>
      <c r="AG3611" s="69" t="s">
        <v>8837</v>
      </c>
      <c r="AH3611" s="43">
        <v>45001</v>
      </c>
      <c r="AI3611" s="69">
        <v>1</v>
      </c>
      <c r="AJ3611" s="69" t="s">
        <v>20866</v>
      </c>
      <c r="AK3611" s="69" t="s">
        <v>20867</v>
      </c>
    </row>
    <row r="3612" spans="1:37" ht="36.75" customHeight="1" x14ac:dyDescent="0.35">
      <c r="A3612" s="21" t="s">
        <v>12448</v>
      </c>
      <c r="B3612" s="5" t="s">
        <v>37</v>
      </c>
      <c r="C3612" s="73" t="str">
        <f t="shared" si="66"/>
        <v>Closed</v>
      </c>
      <c r="D3612" s="91" t="s">
        <v>20868</v>
      </c>
      <c r="E3612" s="85" t="s">
        <v>20869</v>
      </c>
      <c r="F3612" s="69" t="s">
        <v>17638</v>
      </c>
      <c r="G3612" s="9">
        <f>DATE(2023,3,13)</f>
        <v>44998</v>
      </c>
      <c r="H3612" s="107">
        <v>1.1631944444444444</v>
      </c>
      <c r="I3612" s="69" t="s">
        <v>179</v>
      </c>
      <c r="J3612" s="69" t="s">
        <v>20870</v>
      </c>
      <c r="K3612" s="69" t="s">
        <v>1555</v>
      </c>
      <c r="L3612" s="69" t="s">
        <v>20871</v>
      </c>
      <c r="M3612" s="69" t="s">
        <v>45</v>
      </c>
      <c r="N3612" s="69" t="s">
        <v>123</v>
      </c>
      <c r="O3612" s="69" t="s">
        <v>59</v>
      </c>
      <c r="P3612" s="69" t="s">
        <v>47</v>
      </c>
      <c r="Q3612" s="69" t="s">
        <v>20872</v>
      </c>
      <c r="R3612" s="69" t="s">
        <v>18956</v>
      </c>
      <c r="S3612" s="69">
        <v>0</v>
      </c>
      <c r="T3612" s="69">
        <v>0</v>
      </c>
      <c r="U3612" s="69">
        <v>0</v>
      </c>
      <c r="V3612" s="69">
        <v>0</v>
      </c>
      <c r="W3612" s="69">
        <v>0</v>
      </c>
      <c r="X3612" s="69">
        <v>0</v>
      </c>
      <c r="Y3612" s="69">
        <v>2</v>
      </c>
      <c r="Z3612" s="69">
        <v>0</v>
      </c>
      <c r="AA3612" s="69">
        <v>0</v>
      </c>
      <c r="AB3612" s="69">
        <v>0</v>
      </c>
      <c r="AC3612" s="69">
        <v>0</v>
      </c>
      <c r="AD3612" s="69">
        <v>2</v>
      </c>
      <c r="AE3612" s="69" t="s">
        <v>375</v>
      </c>
      <c r="AF3612" s="69" t="s">
        <v>20873</v>
      </c>
      <c r="AG3612" s="69" t="s">
        <v>8837</v>
      </c>
      <c r="AH3612" s="43">
        <v>44999</v>
      </c>
      <c r="AI3612" s="69">
        <v>2</v>
      </c>
      <c r="AJ3612" s="69" t="s">
        <v>20874</v>
      </c>
      <c r="AK3612" s="69" t="s">
        <v>20875</v>
      </c>
    </row>
    <row r="3613" spans="1:37" ht="36.75" customHeight="1" x14ac:dyDescent="0.35">
      <c r="A3613" s="21" t="s">
        <v>12448</v>
      </c>
      <c r="B3613" s="5" t="s">
        <v>37</v>
      </c>
      <c r="C3613" s="73" t="str">
        <f t="shared" si="66"/>
        <v>Closed</v>
      </c>
      <c r="D3613" s="91" t="s">
        <v>20876</v>
      </c>
      <c r="E3613" s="85" t="s">
        <v>20877</v>
      </c>
      <c r="F3613" s="69" t="s">
        <v>17638</v>
      </c>
      <c r="G3613" s="9">
        <f>DATE(2023,3,17)</f>
        <v>45002</v>
      </c>
      <c r="H3613" s="107">
        <v>1.8541666666666665</v>
      </c>
      <c r="I3613" s="69" t="s">
        <v>55</v>
      </c>
      <c r="J3613" s="69" t="s">
        <v>20878</v>
      </c>
      <c r="K3613" s="69" t="s">
        <v>1555</v>
      </c>
      <c r="L3613" s="69" t="s">
        <v>20879</v>
      </c>
      <c r="M3613" s="69" t="s">
        <v>45</v>
      </c>
      <c r="N3613" s="69" t="s">
        <v>123</v>
      </c>
      <c r="O3613" s="69" t="s">
        <v>46</v>
      </c>
      <c r="P3613" s="69" t="s">
        <v>60</v>
      </c>
      <c r="Q3613" s="69" t="s">
        <v>18008</v>
      </c>
      <c r="R3613" s="69" t="s">
        <v>18956</v>
      </c>
      <c r="S3613" s="69">
        <v>0</v>
      </c>
      <c r="T3613" s="69">
        <v>0</v>
      </c>
      <c r="U3613" s="69">
        <v>0</v>
      </c>
      <c r="V3613" s="69">
        <v>0</v>
      </c>
      <c r="W3613" s="69">
        <v>0</v>
      </c>
      <c r="X3613" s="69">
        <v>0</v>
      </c>
      <c r="Y3613" s="69">
        <v>0</v>
      </c>
      <c r="Z3613" s="69">
        <v>0</v>
      </c>
      <c r="AA3613" s="69">
        <v>0</v>
      </c>
      <c r="AB3613" s="69">
        <v>0</v>
      </c>
      <c r="AC3613" s="69">
        <v>0</v>
      </c>
      <c r="AD3613" s="69">
        <v>0</v>
      </c>
      <c r="AE3613" s="69" t="s">
        <v>73</v>
      </c>
      <c r="AF3613" s="69" t="s">
        <v>20880</v>
      </c>
      <c r="AG3613" s="69" t="s">
        <v>8837</v>
      </c>
      <c r="AH3613" s="43">
        <v>45005</v>
      </c>
      <c r="AI3613" s="69">
        <v>2</v>
      </c>
      <c r="AJ3613" s="69" t="s">
        <v>20881</v>
      </c>
      <c r="AK3613" s="69" t="s">
        <v>20882</v>
      </c>
    </row>
    <row r="3614" spans="1:37" ht="36.75" customHeight="1" x14ac:dyDescent="0.35">
      <c r="A3614" s="21" t="s">
        <v>12448</v>
      </c>
      <c r="B3614" s="5" t="s">
        <v>887</v>
      </c>
      <c r="C3614" s="73" t="str">
        <f t="shared" si="66"/>
        <v>Open</v>
      </c>
      <c r="D3614" s="47" t="s">
        <v>20883</v>
      </c>
      <c r="E3614" s="85" t="s">
        <v>20884</v>
      </c>
      <c r="F3614" s="69" t="s">
        <v>18076</v>
      </c>
      <c r="G3614" s="9">
        <f>DATE(2023,3,21)</f>
        <v>45006</v>
      </c>
      <c r="H3614" s="107">
        <v>1.3958333333333333</v>
      </c>
      <c r="I3614" s="69" t="s">
        <v>468</v>
      </c>
      <c r="J3614" s="69" t="s">
        <v>20885</v>
      </c>
      <c r="K3614" s="69" t="s">
        <v>360</v>
      </c>
      <c r="L3614" s="69" t="s">
        <v>20886</v>
      </c>
      <c r="M3614" s="69" t="s">
        <v>45</v>
      </c>
      <c r="N3614" s="69" t="s">
        <v>123</v>
      </c>
      <c r="O3614" s="69" t="s">
        <v>59</v>
      </c>
      <c r="P3614" s="69" t="s">
        <v>60</v>
      </c>
      <c r="Q3614" s="69" t="s">
        <v>20887</v>
      </c>
      <c r="R3614" s="69" t="s">
        <v>19563</v>
      </c>
      <c r="S3614" s="69"/>
      <c r="T3614" s="69"/>
      <c r="U3614" s="69"/>
      <c r="V3614" s="69"/>
      <c r="W3614" s="69"/>
      <c r="X3614" s="69">
        <v>0</v>
      </c>
      <c r="Y3614" s="69"/>
      <c r="Z3614" s="69"/>
      <c r="AA3614" s="69"/>
      <c r="AB3614" s="69"/>
      <c r="AC3614" s="69"/>
      <c r="AD3614" s="69">
        <v>0</v>
      </c>
      <c r="AE3614" s="69" t="s">
        <v>73</v>
      </c>
      <c r="AF3614" s="69" t="s">
        <v>20623</v>
      </c>
      <c r="AG3614" s="69" t="s">
        <v>8837</v>
      </c>
      <c r="AH3614" s="43">
        <v>45021</v>
      </c>
      <c r="AI3614" s="69"/>
      <c r="AJ3614" s="69"/>
      <c r="AK3614" s="69"/>
    </row>
    <row r="3615" spans="1:37" ht="36.75" customHeight="1" x14ac:dyDescent="0.35">
      <c r="A3615" s="21" t="s">
        <v>12448</v>
      </c>
      <c r="B3615" s="5" t="s">
        <v>14851</v>
      </c>
      <c r="C3615" s="73" t="str">
        <f t="shared" si="66"/>
        <v>In progress</v>
      </c>
      <c r="D3615" s="47" t="s">
        <v>20888</v>
      </c>
      <c r="E3615" s="85" t="s">
        <v>20889</v>
      </c>
      <c r="F3615" s="69" t="s">
        <v>17638</v>
      </c>
      <c r="G3615" s="9">
        <f>DATE(2023,3,25)</f>
        <v>45010</v>
      </c>
      <c r="H3615" s="107">
        <v>1.8055555555555554</v>
      </c>
      <c r="I3615" s="69" t="s">
        <v>16663</v>
      </c>
      <c r="J3615" s="69" t="s">
        <v>20890</v>
      </c>
      <c r="K3615" s="69" t="s">
        <v>1555</v>
      </c>
      <c r="L3615" s="69" t="s">
        <v>20891</v>
      </c>
      <c r="M3615" s="69" t="s">
        <v>45</v>
      </c>
      <c r="N3615" s="69" t="s">
        <v>70</v>
      </c>
      <c r="O3615" s="69" t="s">
        <v>59</v>
      </c>
      <c r="P3615" s="69" t="s">
        <v>72</v>
      </c>
      <c r="Q3615" s="69" t="s">
        <v>20892</v>
      </c>
      <c r="R3615" s="69" t="s">
        <v>18956</v>
      </c>
      <c r="S3615" s="69">
        <v>0</v>
      </c>
      <c r="T3615" s="69">
        <v>1</v>
      </c>
      <c r="U3615" s="69">
        <v>0</v>
      </c>
      <c r="V3615" s="69">
        <v>0</v>
      </c>
      <c r="W3615" s="69">
        <v>0</v>
      </c>
      <c r="X3615" s="69">
        <v>1</v>
      </c>
      <c r="Y3615" s="69">
        <v>0</v>
      </c>
      <c r="Z3615" s="69">
        <v>1</v>
      </c>
      <c r="AA3615" s="69">
        <v>0</v>
      </c>
      <c r="AB3615" s="69">
        <v>1</v>
      </c>
      <c r="AC3615" s="69">
        <v>0</v>
      </c>
      <c r="AD3615" s="69">
        <v>2</v>
      </c>
      <c r="AE3615" s="69" t="s">
        <v>375</v>
      </c>
      <c r="AF3615" s="69" t="s">
        <v>20893</v>
      </c>
      <c r="AG3615" s="69" t="s">
        <v>6438</v>
      </c>
      <c r="AH3615" s="43">
        <v>45012</v>
      </c>
      <c r="AI3615" s="69"/>
      <c r="AJ3615" s="69"/>
      <c r="AK3615" s="69"/>
    </row>
    <row r="3616" spans="1:37" ht="36.75" customHeight="1" x14ac:dyDescent="0.35">
      <c r="A3616" s="21" t="s">
        <v>12448</v>
      </c>
      <c r="B3616" s="5" t="s">
        <v>37</v>
      </c>
      <c r="C3616" s="73" t="str">
        <f t="shared" si="66"/>
        <v>Closed</v>
      </c>
      <c r="D3616" s="91" t="s">
        <v>20894</v>
      </c>
      <c r="E3616" s="85" t="s">
        <v>20895</v>
      </c>
      <c r="F3616" s="69" t="s">
        <v>17638</v>
      </c>
      <c r="G3616" s="9">
        <f>DATE(2023,3,28)</f>
        <v>45013</v>
      </c>
      <c r="H3616" s="107">
        <v>1.2638888888888888</v>
      </c>
      <c r="I3616" s="69" t="s">
        <v>55</v>
      </c>
      <c r="J3616" s="69" t="s">
        <v>20896</v>
      </c>
      <c r="K3616" s="69" t="s">
        <v>1555</v>
      </c>
      <c r="L3616" s="69" t="s">
        <v>19421</v>
      </c>
      <c r="M3616" s="69" t="s">
        <v>45</v>
      </c>
      <c r="N3616" s="69" t="s">
        <v>80</v>
      </c>
      <c r="O3616" s="69" t="s">
        <v>46</v>
      </c>
      <c r="P3616" s="69" t="s">
        <v>60</v>
      </c>
      <c r="Q3616" s="69" t="s">
        <v>18008</v>
      </c>
      <c r="R3616" s="69" t="s">
        <v>18956</v>
      </c>
      <c r="S3616" s="69">
        <v>0</v>
      </c>
      <c r="T3616" s="69">
        <v>0</v>
      </c>
      <c r="U3616" s="69">
        <v>0</v>
      </c>
      <c r="V3616" s="69">
        <v>0</v>
      </c>
      <c r="W3616" s="69">
        <v>0</v>
      </c>
      <c r="X3616" s="69">
        <v>0</v>
      </c>
      <c r="Y3616" s="69">
        <v>0</v>
      </c>
      <c r="Z3616" s="69">
        <v>0</v>
      </c>
      <c r="AA3616" s="69">
        <v>0</v>
      </c>
      <c r="AB3616" s="69">
        <v>0</v>
      </c>
      <c r="AC3616" s="69">
        <v>0</v>
      </c>
      <c r="AD3616" s="69">
        <v>0</v>
      </c>
      <c r="AE3616" s="69" t="s">
        <v>73</v>
      </c>
      <c r="AF3616" s="69" t="s">
        <v>20897</v>
      </c>
      <c r="AG3616" s="69" t="s">
        <v>8837</v>
      </c>
      <c r="AH3616" s="43">
        <v>45014</v>
      </c>
      <c r="AI3616" s="69">
        <v>1</v>
      </c>
      <c r="AJ3616" s="69" t="s">
        <v>20898</v>
      </c>
      <c r="AK3616" s="69" t="s">
        <v>20899</v>
      </c>
    </row>
    <row r="3617" spans="1:37" ht="36.75" customHeight="1" x14ac:dyDescent="0.35">
      <c r="A3617" s="21" t="s">
        <v>12448</v>
      </c>
      <c r="B3617" s="5" t="s">
        <v>37</v>
      </c>
      <c r="C3617" s="73" t="str">
        <f t="shared" si="66"/>
        <v>Closed</v>
      </c>
      <c r="D3617" s="91" t="s">
        <v>20900</v>
      </c>
      <c r="E3617" s="85" t="s">
        <v>20901</v>
      </c>
      <c r="F3617" s="69" t="s">
        <v>16397</v>
      </c>
      <c r="G3617" s="9">
        <f>DATE(2023,3,28)</f>
        <v>45013</v>
      </c>
      <c r="H3617" s="107">
        <v>1.30555555555556</v>
      </c>
      <c r="I3617" s="69" t="s">
        <v>4590</v>
      </c>
      <c r="J3617" s="69" t="s">
        <v>20902</v>
      </c>
      <c r="K3617" s="69" t="s">
        <v>406</v>
      </c>
      <c r="L3617" s="69" t="s">
        <v>20463</v>
      </c>
      <c r="M3617" s="69" t="s">
        <v>45</v>
      </c>
      <c r="N3617" s="69" t="s">
        <v>80</v>
      </c>
      <c r="O3617" s="69" t="s">
        <v>59</v>
      </c>
      <c r="P3617" s="69" t="s">
        <v>146</v>
      </c>
      <c r="Q3617" s="69" t="s">
        <v>18565</v>
      </c>
      <c r="R3617" s="69" t="s">
        <v>17330</v>
      </c>
      <c r="S3617" s="69">
        <v>0</v>
      </c>
      <c r="T3617" s="69">
        <v>0</v>
      </c>
      <c r="U3617" s="69">
        <v>0</v>
      </c>
      <c r="V3617" s="69">
        <v>0</v>
      </c>
      <c r="W3617" s="69">
        <v>0</v>
      </c>
      <c r="X3617" s="69">
        <v>0</v>
      </c>
      <c r="Y3617" s="69">
        <v>0</v>
      </c>
      <c r="Z3617" s="69">
        <v>0</v>
      </c>
      <c r="AA3617" s="69">
        <v>0</v>
      </c>
      <c r="AB3617" s="69">
        <v>0</v>
      </c>
      <c r="AC3617" s="69">
        <v>0</v>
      </c>
      <c r="AD3617" s="69">
        <v>0</v>
      </c>
      <c r="AE3617" s="69" t="s">
        <v>20903</v>
      </c>
      <c r="AF3617" s="69" t="s">
        <v>20904</v>
      </c>
      <c r="AG3617" s="69" t="s">
        <v>16251</v>
      </c>
      <c r="AH3617" s="43">
        <v>45013</v>
      </c>
      <c r="AI3617" s="69">
        <v>0</v>
      </c>
      <c r="AJ3617" s="69" t="s">
        <v>20905</v>
      </c>
      <c r="AK3617" s="69" t="s">
        <v>860</v>
      </c>
    </row>
    <row r="3618" spans="1:37" ht="36.75" customHeight="1" x14ac:dyDescent="0.35">
      <c r="A3618" s="21" t="s">
        <v>12448</v>
      </c>
      <c r="B3618" s="5" t="s">
        <v>37</v>
      </c>
      <c r="C3618" s="73" t="str">
        <f t="shared" si="66"/>
        <v>Closed</v>
      </c>
      <c r="D3618" s="91" t="s">
        <v>20906</v>
      </c>
      <c r="E3618" s="85" t="s">
        <v>20907</v>
      </c>
      <c r="F3618" s="69" t="s">
        <v>17305</v>
      </c>
      <c r="G3618" s="9">
        <f>DATE(2023,3,28)</f>
        <v>45013</v>
      </c>
      <c r="H3618" s="107">
        <v>1.4930555555555556</v>
      </c>
      <c r="I3618" s="69" t="s">
        <v>137</v>
      </c>
      <c r="J3618" s="69" t="s">
        <v>20908</v>
      </c>
      <c r="K3618" s="69" t="s">
        <v>108</v>
      </c>
      <c r="L3618" s="69" t="s">
        <v>20909</v>
      </c>
      <c r="M3618" s="69" t="s">
        <v>236</v>
      </c>
      <c r="N3618" s="69" t="s">
        <v>70</v>
      </c>
      <c r="O3618" s="69" t="s">
        <v>59</v>
      </c>
      <c r="P3618" s="69" t="s">
        <v>18420</v>
      </c>
      <c r="Q3618" s="69" t="s">
        <v>20910</v>
      </c>
      <c r="R3618" s="69" t="s">
        <v>20911</v>
      </c>
      <c r="S3618" s="69">
        <v>0</v>
      </c>
      <c r="T3618" s="69">
        <v>0</v>
      </c>
      <c r="U3618" s="69">
        <v>0</v>
      </c>
      <c r="V3618" s="69">
        <v>0</v>
      </c>
      <c r="W3618" s="69">
        <v>0</v>
      </c>
      <c r="X3618" s="69">
        <v>0</v>
      </c>
      <c r="Y3618" s="69">
        <v>0</v>
      </c>
      <c r="Z3618" s="69">
        <v>0</v>
      </c>
      <c r="AA3618" s="69">
        <v>0</v>
      </c>
      <c r="AB3618" s="69">
        <v>0</v>
      </c>
      <c r="AC3618" s="69">
        <v>0</v>
      </c>
      <c r="AD3618" s="69">
        <v>0</v>
      </c>
      <c r="AE3618" s="69" t="s">
        <v>126</v>
      </c>
      <c r="AF3618" s="69" t="s">
        <v>20912</v>
      </c>
      <c r="AG3618" s="69" t="s">
        <v>20510</v>
      </c>
      <c r="AH3618" s="43">
        <v>45013</v>
      </c>
      <c r="AI3618" s="69">
        <v>1</v>
      </c>
      <c r="AJ3618" s="69" t="s">
        <v>20913</v>
      </c>
      <c r="AK3618" s="69" t="s">
        <v>20914</v>
      </c>
    </row>
    <row r="3619" spans="1:37" ht="36.75" customHeight="1" x14ac:dyDescent="0.35">
      <c r="A3619" s="21" t="s">
        <v>12448</v>
      </c>
      <c r="B3619" s="5" t="s">
        <v>37</v>
      </c>
      <c r="C3619" s="73" t="str">
        <f t="shared" si="66"/>
        <v>Closed</v>
      </c>
      <c r="D3619" s="91" t="s">
        <v>20915</v>
      </c>
      <c r="E3619" s="85" t="s">
        <v>20916</v>
      </c>
      <c r="F3619" s="69" t="s">
        <v>20917</v>
      </c>
      <c r="G3619" s="9">
        <f>DATE(2023,4,4)</f>
        <v>45020</v>
      </c>
      <c r="H3619" s="107">
        <v>1.1423611111111112</v>
      </c>
      <c r="I3619" s="69" t="s">
        <v>137</v>
      </c>
      <c r="J3619" s="69" t="s">
        <v>20918</v>
      </c>
      <c r="K3619" s="69" t="s">
        <v>20919</v>
      </c>
      <c r="L3619" s="69" t="s">
        <v>20920</v>
      </c>
      <c r="M3619" s="69" t="s">
        <v>45</v>
      </c>
      <c r="N3619" s="69" t="s">
        <v>70</v>
      </c>
      <c r="O3619" s="69" t="s">
        <v>59</v>
      </c>
      <c r="P3619" s="69" t="s">
        <v>60</v>
      </c>
      <c r="Q3619" s="69" t="s">
        <v>20921</v>
      </c>
      <c r="R3619" s="69" t="s">
        <v>62</v>
      </c>
      <c r="S3619" s="69">
        <v>0</v>
      </c>
      <c r="T3619" s="69">
        <v>1</v>
      </c>
      <c r="U3619" s="69">
        <v>0</v>
      </c>
      <c r="V3619" s="69">
        <v>0</v>
      </c>
      <c r="W3619" s="69">
        <v>0</v>
      </c>
      <c r="X3619" s="69">
        <v>1</v>
      </c>
      <c r="Y3619" s="69">
        <v>28</v>
      </c>
      <c r="Z3619" s="69">
        <v>5</v>
      </c>
      <c r="AA3619" s="69">
        <v>0</v>
      </c>
      <c r="AB3619" s="69">
        <v>0</v>
      </c>
      <c r="AC3619" s="69">
        <v>0</v>
      </c>
      <c r="AD3619" s="69">
        <v>33</v>
      </c>
      <c r="AE3619" s="69" t="s">
        <v>126</v>
      </c>
      <c r="AF3619" s="69" t="s">
        <v>20922</v>
      </c>
      <c r="AG3619" s="69" t="s">
        <v>6438</v>
      </c>
      <c r="AH3619" s="43">
        <v>45034</v>
      </c>
      <c r="AI3619" s="69"/>
      <c r="AJ3619" s="69" t="s">
        <v>43470</v>
      </c>
      <c r="AK3619" s="69"/>
    </row>
    <row r="3620" spans="1:37" ht="36.75" customHeight="1" x14ac:dyDescent="0.35">
      <c r="A3620" s="21" t="s">
        <v>12448</v>
      </c>
      <c r="B3620" s="5" t="s">
        <v>37</v>
      </c>
      <c r="C3620" s="73" t="str">
        <f t="shared" si="66"/>
        <v>Closed</v>
      </c>
      <c r="D3620" s="91" t="s">
        <v>20923</v>
      </c>
      <c r="E3620" s="85" t="s">
        <v>20924</v>
      </c>
      <c r="F3620" s="69" t="s">
        <v>17537</v>
      </c>
      <c r="G3620" s="9">
        <f>DATE(2023,4,15)</f>
        <v>45031</v>
      </c>
      <c r="H3620" s="107">
        <v>1.2083333333333333</v>
      </c>
      <c r="I3620" s="69" t="s">
        <v>179</v>
      </c>
      <c r="J3620" s="69" t="s">
        <v>20925</v>
      </c>
      <c r="K3620" s="69" t="s">
        <v>818</v>
      </c>
      <c r="L3620" s="69" t="s">
        <v>20575</v>
      </c>
      <c r="M3620" s="69" t="s">
        <v>45</v>
      </c>
      <c r="N3620" s="69" t="s">
        <v>123</v>
      </c>
      <c r="O3620" s="69" t="s">
        <v>59</v>
      </c>
      <c r="P3620" s="69" t="s">
        <v>60</v>
      </c>
      <c r="Q3620" s="69" t="s">
        <v>20926</v>
      </c>
      <c r="R3620" s="69" t="s">
        <v>821</v>
      </c>
      <c r="S3620" s="69">
        <v>0</v>
      </c>
      <c r="T3620" s="69">
        <v>0</v>
      </c>
      <c r="U3620" s="69">
        <v>0</v>
      </c>
      <c r="V3620" s="69">
        <v>0</v>
      </c>
      <c r="W3620" s="69">
        <v>0</v>
      </c>
      <c r="X3620" s="69">
        <v>0</v>
      </c>
      <c r="Y3620" s="69">
        <v>0</v>
      </c>
      <c r="Z3620" s="69">
        <v>0</v>
      </c>
      <c r="AA3620" s="69">
        <v>0</v>
      </c>
      <c r="AB3620" s="69">
        <v>0</v>
      </c>
      <c r="AC3620" s="69">
        <v>0</v>
      </c>
      <c r="AD3620" s="69">
        <v>0</v>
      </c>
      <c r="AE3620" s="69" t="s">
        <v>73</v>
      </c>
      <c r="AF3620" s="69" t="s">
        <v>860</v>
      </c>
      <c r="AG3620" s="69" t="s">
        <v>8837</v>
      </c>
      <c r="AH3620" s="43">
        <v>45031</v>
      </c>
      <c r="AI3620" s="69">
        <v>0</v>
      </c>
      <c r="AJ3620" s="69" t="s">
        <v>20927</v>
      </c>
      <c r="AK3620" s="69" t="s">
        <v>20928</v>
      </c>
    </row>
    <row r="3621" spans="1:37" ht="36.75" customHeight="1" x14ac:dyDescent="0.35">
      <c r="A3621" s="21" t="s">
        <v>12448</v>
      </c>
      <c r="B3621" s="5" t="s">
        <v>37</v>
      </c>
      <c r="C3621" s="73" t="str">
        <f t="shared" si="66"/>
        <v>Closed</v>
      </c>
      <c r="D3621" s="91" t="s">
        <v>20929</v>
      </c>
      <c r="E3621" s="85" t="s">
        <v>20930</v>
      </c>
      <c r="F3621" s="69" t="s">
        <v>17638</v>
      </c>
      <c r="G3621" s="9">
        <f>DATE(2023,4,18)</f>
        <v>45034</v>
      </c>
      <c r="H3621" s="107">
        <v>1.8090277777777777</v>
      </c>
      <c r="I3621" s="69" t="s">
        <v>55</v>
      </c>
      <c r="J3621" s="69" t="s">
        <v>20931</v>
      </c>
      <c r="K3621" s="69" t="s">
        <v>1555</v>
      </c>
      <c r="L3621" s="69" t="s">
        <v>20932</v>
      </c>
      <c r="M3621" s="69" t="s">
        <v>45</v>
      </c>
      <c r="N3621" s="69" t="s">
        <v>80</v>
      </c>
      <c r="O3621" s="69" t="s">
        <v>46</v>
      </c>
      <c r="P3621" s="69" t="s">
        <v>146</v>
      </c>
      <c r="Q3621" s="69" t="s">
        <v>19832</v>
      </c>
      <c r="R3621" s="69" t="s">
        <v>19833</v>
      </c>
      <c r="S3621" s="69">
        <v>0</v>
      </c>
      <c r="T3621" s="69">
        <v>0</v>
      </c>
      <c r="U3621" s="69">
        <v>0</v>
      </c>
      <c r="V3621" s="69">
        <v>0</v>
      </c>
      <c r="W3621" s="69">
        <v>0</v>
      </c>
      <c r="X3621" s="69">
        <v>0</v>
      </c>
      <c r="Y3621" s="69">
        <v>0</v>
      </c>
      <c r="Z3621" s="69">
        <v>0</v>
      </c>
      <c r="AA3621" s="69">
        <v>0</v>
      </c>
      <c r="AB3621" s="69">
        <v>0</v>
      </c>
      <c r="AC3621" s="69">
        <v>0</v>
      </c>
      <c r="AD3621" s="69">
        <v>0</v>
      </c>
      <c r="AE3621" s="69" t="s">
        <v>73</v>
      </c>
      <c r="AF3621" s="69" t="s">
        <v>20933</v>
      </c>
      <c r="AG3621" s="69" t="s">
        <v>8837</v>
      </c>
      <c r="AH3621" s="43">
        <v>45035</v>
      </c>
      <c r="AI3621" s="69">
        <v>1</v>
      </c>
      <c r="AJ3621" s="69" t="s">
        <v>43404</v>
      </c>
      <c r="AK3621" s="69" t="s">
        <v>43405</v>
      </c>
    </row>
    <row r="3622" spans="1:37" ht="36.75" customHeight="1" x14ac:dyDescent="0.35">
      <c r="A3622" s="21" t="s">
        <v>12448</v>
      </c>
      <c r="B3622" s="5" t="s">
        <v>887</v>
      </c>
      <c r="C3622" s="73" t="str">
        <f t="shared" si="66"/>
        <v>Open</v>
      </c>
      <c r="D3622" s="47" t="s">
        <v>20934</v>
      </c>
      <c r="E3622" s="85" t="s">
        <v>20935</v>
      </c>
      <c r="F3622" s="69" t="s">
        <v>18076</v>
      </c>
      <c r="G3622" s="9">
        <f>DATE(2023,4,20)</f>
        <v>45036</v>
      </c>
      <c r="H3622" s="107">
        <v>1.0972222222222223</v>
      </c>
      <c r="I3622" s="69" t="s">
        <v>55</v>
      </c>
      <c r="J3622" s="69" t="s">
        <v>20936</v>
      </c>
      <c r="K3622" s="69" t="s">
        <v>360</v>
      </c>
      <c r="L3622" s="69" t="s">
        <v>14317</v>
      </c>
      <c r="M3622" s="69" t="s">
        <v>45</v>
      </c>
      <c r="N3622" s="69" t="s">
        <v>70</v>
      </c>
      <c r="O3622" s="69" t="s">
        <v>59</v>
      </c>
      <c r="P3622" s="69" t="s">
        <v>60</v>
      </c>
      <c r="Q3622" s="69" t="s">
        <v>20937</v>
      </c>
      <c r="R3622" s="69" t="s">
        <v>19563</v>
      </c>
      <c r="S3622" s="69"/>
      <c r="T3622" s="69"/>
      <c r="U3622" s="69"/>
      <c r="V3622" s="69"/>
      <c r="W3622" s="69"/>
      <c r="X3622" s="69">
        <v>0</v>
      </c>
      <c r="Y3622" s="69"/>
      <c r="Z3622" s="69"/>
      <c r="AA3622" s="69"/>
      <c r="AB3622" s="69"/>
      <c r="AC3622" s="69"/>
      <c r="AD3622" s="69">
        <v>0</v>
      </c>
      <c r="AE3622" s="69" t="s">
        <v>375</v>
      </c>
      <c r="AF3622" s="69" t="s">
        <v>20938</v>
      </c>
      <c r="AG3622" s="69" t="s">
        <v>8837</v>
      </c>
      <c r="AH3622" s="43">
        <v>45043</v>
      </c>
      <c r="AI3622" s="69"/>
      <c r="AJ3622" s="69"/>
      <c r="AK3622" s="69"/>
    </row>
    <row r="3623" spans="1:37" ht="36.75" customHeight="1" x14ac:dyDescent="0.35">
      <c r="A3623" s="21" t="s">
        <v>12448</v>
      </c>
      <c r="B3623" s="5" t="s">
        <v>887</v>
      </c>
      <c r="C3623" s="73" t="str">
        <f t="shared" si="66"/>
        <v>Open</v>
      </c>
      <c r="D3623" s="47" t="s">
        <v>20939</v>
      </c>
      <c r="E3623" s="85" t="s">
        <v>20940</v>
      </c>
      <c r="F3623" s="69" t="s">
        <v>17537</v>
      </c>
      <c r="G3623" s="9">
        <f>DATE(2023,4,29)</f>
        <v>45045</v>
      </c>
      <c r="H3623" s="107">
        <v>1</v>
      </c>
      <c r="I3623" s="69" t="s">
        <v>97</v>
      </c>
      <c r="J3623" s="69" t="s">
        <v>20941</v>
      </c>
      <c r="K3623" s="69" t="s">
        <v>818</v>
      </c>
      <c r="L3623" s="69" t="s">
        <v>20942</v>
      </c>
      <c r="M3623" s="69" t="s">
        <v>45</v>
      </c>
      <c r="N3623" s="69" t="s">
        <v>123</v>
      </c>
      <c r="O3623" s="69" t="s">
        <v>46</v>
      </c>
      <c r="P3623" s="69" t="s">
        <v>47</v>
      </c>
      <c r="Q3623" s="69" t="s">
        <v>2142</v>
      </c>
      <c r="R3623" s="69" t="s">
        <v>821</v>
      </c>
      <c r="S3623" s="69">
        <v>0</v>
      </c>
      <c r="T3623" s="69">
        <v>0</v>
      </c>
      <c r="U3623" s="69">
        <v>0</v>
      </c>
      <c r="V3623" s="69">
        <v>0</v>
      </c>
      <c r="W3623" s="69">
        <v>0</v>
      </c>
      <c r="X3623" s="69">
        <v>0</v>
      </c>
      <c r="Y3623" s="69">
        <v>0</v>
      </c>
      <c r="Z3623" s="69">
        <v>0</v>
      </c>
      <c r="AA3623" s="69">
        <v>0</v>
      </c>
      <c r="AB3623" s="69">
        <v>0</v>
      </c>
      <c r="AC3623" s="69">
        <v>0</v>
      </c>
      <c r="AD3623" s="69">
        <v>0</v>
      </c>
      <c r="AE3623" s="69" t="s">
        <v>73</v>
      </c>
      <c r="AF3623" s="69" t="s">
        <v>20943</v>
      </c>
      <c r="AG3623" s="69" t="s">
        <v>14532</v>
      </c>
      <c r="AH3623" s="43">
        <v>45051</v>
      </c>
      <c r="AI3623" s="69"/>
      <c r="AJ3623" s="69"/>
      <c r="AK3623" s="69"/>
    </row>
    <row r="3624" spans="1:37" ht="36.75" customHeight="1" x14ac:dyDescent="0.35">
      <c r="A3624" s="21" t="s">
        <v>12448</v>
      </c>
      <c r="B3624" s="133" t="s">
        <v>37</v>
      </c>
      <c r="C3624" s="135" t="str">
        <f t="shared" si="66"/>
        <v>Closed</v>
      </c>
      <c r="D3624" s="91" t="s">
        <v>20944</v>
      </c>
      <c r="E3624" s="85" t="s">
        <v>20945</v>
      </c>
      <c r="F3624" s="69" t="s">
        <v>12451</v>
      </c>
      <c r="G3624" s="9">
        <f>DATE(2023,4,30)</f>
        <v>45046</v>
      </c>
      <c r="H3624" s="107">
        <v>1.9027777777777777</v>
      </c>
      <c r="I3624" s="69" t="s">
        <v>179</v>
      </c>
      <c r="J3624" s="69" t="s">
        <v>20946</v>
      </c>
      <c r="K3624" s="69" t="s">
        <v>181</v>
      </c>
      <c r="L3624" s="69" t="s">
        <v>20947</v>
      </c>
      <c r="M3624" s="69" t="s">
        <v>45</v>
      </c>
      <c r="N3624" s="69" t="s">
        <v>123</v>
      </c>
      <c r="O3624" s="69" t="s">
        <v>59</v>
      </c>
      <c r="P3624" s="69" t="s">
        <v>60</v>
      </c>
      <c r="Q3624" s="69" t="s">
        <v>20948</v>
      </c>
      <c r="R3624" s="69" t="s">
        <v>13549</v>
      </c>
      <c r="S3624" s="69">
        <v>0</v>
      </c>
      <c r="T3624" s="69">
        <v>0</v>
      </c>
      <c r="U3624" s="69">
        <v>0</v>
      </c>
      <c r="V3624" s="69">
        <v>0</v>
      </c>
      <c r="W3624" s="69">
        <v>0</v>
      </c>
      <c r="X3624" s="69">
        <v>0</v>
      </c>
      <c r="Y3624" s="69">
        <v>0</v>
      </c>
      <c r="Z3624" s="69">
        <v>0</v>
      </c>
      <c r="AA3624" s="69">
        <v>0</v>
      </c>
      <c r="AB3624" s="69">
        <v>0</v>
      </c>
      <c r="AC3624" s="69">
        <v>0</v>
      </c>
      <c r="AD3624" s="69">
        <v>0</v>
      </c>
      <c r="AE3624" s="69" t="s">
        <v>126</v>
      </c>
      <c r="AF3624" s="69" t="s">
        <v>20949</v>
      </c>
      <c r="AG3624" s="69" t="s">
        <v>6438</v>
      </c>
      <c r="AH3624" s="43">
        <v>45051</v>
      </c>
      <c r="AI3624" s="69">
        <v>0</v>
      </c>
      <c r="AJ3624" s="69" t="s">
        <v>43542</v>
      </c>
      <c r="AK3624" s="69" t="s">
        <v>6998</v>
      </c>
    </row>
    <row r="3625" spans="1:37" ht="36.75" customHeight="1" x14ac:dyDescent="0.35">
      <c r="A3625" s="21" t="s">
        <v>12448</v>
      </c>
      <c r="B3625" s="5" t="s">
        <v>14851</v>
      </c>
      <c r="C3625" s="73" t="str">
        <f t="shared" si="66"/>
        <v>In progress</v>
      </c>
      <c r="D3625" s="47" t="s">
        <v>20950</v>
      </c>
      <c r="E3625" s="85" t="s">
        <v>20951</v>
      </c>
      <c r="F3625" s="69" t="s">
        <v>6434</v>
      </c>
      <c r="G3625" s="9">
        <f>DATE(2023,5,4)</f>
        <v>45050</v>
      </c>
      <c r="H3625" s="107">
        <v>1.4618055555555556</v>
      </c>
      <c r="I3625" s="69" t="s">
        <v>259</v>
      </c>
      <c r="J3625" s="69" t="s">
        <v>20952</v>
      </c>
      <c r="K3625" s="69" t="s">
        <v>565</v>
      </c>
      <c r="L3625" s="69" t="s">
        <v>20953</v>
      </c>
      <c r="M3625" s="69" t="s">
        <v>45</v>
      </c>
      <c r="N3625" s="69" t="s">
        <v>123</v>
      </c>
      <c r="O3625" s="69" t="s">
        <v>46</v>
      </c>
      <c r="P3625" s="69" t="s">
        <v>443</v>
      </c>
      <c r="Q3625" s="69" t="s">
        <v>4810</v>
      </c>
      <c r="R3625" s="69" t="s">
        <v>568</v>
      </c>
      <c r="S3625" s="69">
        <v>0</v>
      </c>
      <c r="T3625" s="69">
        <v>2</v>
      </c>
      <c r="U3625" s="69">
        <v>0</v>
      </c>
      <c r="V3625" s="69">
        <v>0</v>
      </c>
      <c r="W3625" s="69">
        <v>0</v>
      </c>
      <c r="X3625" s="69">
        <v>2</v>
      </c>
      <c r="Y3625" s="69">
        <v>0</v>
      </c>
      <c r="Z3625" s="69">
        <v>0</v>
      </c>
      <c r="AA3625" s="69">
        <v>0</v>
      </c>
      <c r="AB3625" s="69">
        <v>0</v>
      </c>
      <c r="AC3625" s="69">
        <v>0</v>
      </c>
      <c r="AD3625" s="69">
        <v>0</v>
      </c>
      <c r="AE3625" s="69" t="s">
        <v>375</v>
      </c>
      <c r="AF3625" s="69" t="s">
        <v>10547</v>
      </c>
      <c r="AG3625" s="120" t="s">
        <v>6438</v>
      </c>
      <c r="AH3625" s="43">
        <v>45051</v>
      </c>
      <c r="AI3625" s="69"/>
      <c r="AJ3625" s="69"/>
      <c r="AK3625" s="69"/>
    </row>
    <row r="3626" spans="1:37" ht="36.75" customHeight="1" x14ac:dyDescent="0.35">
      <c r="A3626" s="21" t="s">
        <v>12448</v>
      </c>
      <c r="B3626" s="133" t="s">
        <v>14851</v>
      </c>
      <c r="C3626" s="73" t="str">
        <f t="shared" si="66"/>
        <v>In progress</v>
      </c>
      <c r="D3626" s="47" t="s">
        <v>20954</v>
      </c>
      <c r="E3626" s="85" t="s">
        <v>43400</v>
      </c>
      <c r="F3626" s="69" t="s">
        <v>9767</v>
      </c>
      <c r="G3626" s="9">
        <f>DATE(2023,5,5)</f>
        <v>45051</v>
      </c>
      <c r="H3626" s="107">
        <v>1.5208333333333335</v>
      </c>
      <c r="I3626" s="69" t="s">
        <v>2244</v>
      </c>
      <c r="J3626" s="69" t="s">
        <v>43401</v>
      </c>
      <c r="K3626" s="69" t="s">
        <v>9769</v>
      </c>
      <c r="L3626" s="69" t="s">
        <v>43402</v>
      </c>
      <c r="M3626" s="69" t="s">
        <v>45</v>
      </c>
      <c r="N3626" s="69" t="s">
        <v>123</v>
      </c>
      <c r="O3626" s="69" t="s">
        <v>46</v>
      </c>
      <c r="P3626" s="69" t="s">
        <v>146</v>
      </c>
      <c r="Q3626" s="69" t="s">
        <v>43403</v>
      </c>
      <c r="R3626" s="69" t="s">
        <v>20258</v>
      </c>
      <c r="S3626" s="69">
        <v>0</v>
      </c>
      <c r="T3626" s="69">
        <v>0</v>
      </c>
      <c r="U3626" s="69">
        <v>0</v>
      </c>
      <c r="V3626" s="69">
        <v>0</v>
      </c>
      <c r="W3626" s="69">
        <v>0</v>
      </c>
      <c r="X3626" s="69">
        <v>0</v>
      </c>
      <c r="Y3626" s="69">
        <v>0</v>
      </c>
      <c r="Z3626" s="69">
        <v>0</v>
      </c>
      <c r="AA3626" s="69">
        <v>0</v>
      </c>
      <c r="AB3626" s="69">
        <v>0</v>
      </c>
      <c r="AC3626" s="69">
        <v>0</v>
      </c>
      <c r="AD3626" s="69">
        <v>0</v>
      </c>
      <c r="AE3626" s="69" t="s">
        <v>73</v>
      </c>
      <c r="AF3626" s="69" t="s">
        <v>21015</v>
      </c>
      <c r="AG3626" s="69" t="s">
        <v>8837</v>
      </c>
      <c r="AH3626" s="43">
        <v>45051</v>
      </c>
      <c r="AI3626" s="69"/>
      <c r="AJ3626" s="69"/>
      <c r="AK3626" s="69"/>
    </row>
    <row r="3627" spans="1:37" ht="36.75" customHeight="1" x14ac:dyDescent="0.35">
      <c r="A3627" s="21" t="s">
        <v>12448</v>
      </c>
      <c r="B3627" s="5" t="s">
        <v>887</v>
      </c>
      <c r="C3627" s="73" t="str">
        <f t="shared" si="66"/>
        <v>Open</v>
      </c>
      <c r="D3627" s="47" t="s">
        <v>20955</v>
      </c>
      <c r="E3627" s="85" t="s">
        <v>20956</v>
      </c>
      <c r="F3627" s="69" t="s">
        <v>17537</v>
      </c>
      <c r="G3627" s="9">
        <f>DATE(2023,5,7)</f>
        <v>45053</v>
      </c>
      <c r="H3627" s="107">
        <v>1.4375</v>
      </c>
      <c r="I3627" s="69" t="s">
        <v>55</v>
      </c>
      <c r="J3627" s="69" t="s">
        <v>20957</v>
      </c>
      <c r="K3627" s="69" t="s">
        <v>9769</v>
      </c>
      <c r="L3627" s="69" t="s">
        <v>43402</v>
      </c>
      <c r="M3627" s="69" t="s">
        <v>45</v>
      </c>
      <c r="N3627" s="69" t="s">
        <v>123</v>
      </c>
      <c r="O3627" s="69" t="s">
        <v>46</v>
      </c>
      <c r="P3627" s="69" t="s">
        <v>146</v>
      </c>
      <c r="Q3627" s="69" t="s">
        <v>43403</v>
      </c>
      <c r="R3627" s="69" t="s">
        <v>20258</v>
      </c>
      <c r="S3627" s="69">
        <v>0</v>
      </c>
      <c r="T3627" s="69">
        <v>0</v>
      </c>
      <c r="U3627" s="69">
        <v>0</v>
      </c>
      <c r="V3627" s="69">
        <v>0</v>
      </c>
      <c r="W3627" s="69">
        <v>0</v>
      </c>
      <c r="X3627" s="69">
        <v>0</v>
      </c>
      <c r="Y3627" s="69">
        <v>0</v>
      </c>
      <c r="Z3627" s="69">
        <v>0</v>
      </c>
      <c r="AA3627" s="69">
        <v>0</v>
      </c>
      <c r="AB3627" s="69">
        <v>0</v>
      </c>
      <c r="AC3627" s="69">
        <v>0</v>
      </c>
      <c r="AD3627" s="69">
        <v>0</v>
      </c>
      <c r="AE3627" s="69" t="s">
        <v>73</v>
      </c>
      <c r="AF3627" s="69" t="s">
        <v>21015</v>
      </c>
      <c r="AG3627" s="69" t="s">
        <v>8837</v>
      </c>
      <c r="AH3627" s="43">
        <v>45053</v>
      </c>
      <c r="AI3627" s="69"/>
      <c r="AJ3627" s="69"/>
      <c r="AK3627" s="69"/>
    </row>
    <row r="3628" spans="1:37" ht="36.75" customHeight="1" x14ac:dyDescent="0.35">
      <c r="A3628" s="21" t="s">
        <v>12448</v>
      </c>
      <c r="B3628" s="5" t="s">
        <v>37</v>
      </c>
      <c r="C3628" s="73" t="str">
        <f t="shared" si="66"/>
        <v>Closed</v>
      </c>
      <c r="D3628" s="91" t="s">
        <v>20958</v>
      </c>
      <c r="E3628" s="85" t="s">
        <v>20959</v>
      </c>
      <c r="F3628" s="69" t="s">
        <v>17018</v>
      </c>
      <c r="G3628" s="9">
        <f>DATE(2023,5,8)</f>
        <v>45054</v>
      </c>
      <c r="H3628" s="107">
        <v>1.3125</v>
      </c>
      <c r="I3628" s="69" t="s">
        <v>19116</v>
      </c>
      <c r="J3628" s="69" t="s">
        <v>20960</v>
      </c>
      <c r="K3628" s="69" t="s">
        <v>9769</v>
      </c>
      <c r="L3628" s="69" t="s">
        <v>43402</v>
      </c>
      <c r="M3628" s="69" t="s">
        <v>45</v>
      </c>
      <c r="N3628" s="69" t="s">
        <v>123</v>
      </c>
      <c r="O3628" s="69" t="s">
        <v>46</v>
      </c>
      <c r="P3628" s="69" t="s">
        <v>146</v>
      </c>
      <c r="Q3628" s="69" t="s">
        <v>43403</v>
      </c>
      <c r="R3628" s="69" t="s">
        <v>20258</v>
      </c>
      <c r="S3628" s="69">
        <v>0</v>
      </c>
      <c r="T3628" s="69">
        <v>0</v>
      </c>
      <c r="U3628" s="69">
        <v>0</v>
      </c>
      <c r="V3628" s="69">
        <v>0</v>
      </c>
      <c r="W3628" s="69">
        <v>0</v>
      </c>
      <c r="X3628" s="69">
        <v>0</v>
      </c>
      <c r="Y3628" s="69">
        <v>0</v>
      </c>
      <c r="Z3628" s="69">
        <v>0</v>
      </c>
      <c r="AA3628" s="69">
        <v>0</v>
      </c>
      <c r="AB3628" s="69">
        <v>0</v>
      </c>
      <c r="AC3628" s="69">
        <v>0</v>
      </c>
      <c r="AD3628" s="69">
        <v>0</v>
      </c>
      <c r="AE3628" s="69" t="s">
        <v>73</v>
      </c>
      <c r="AF3628" s="69" t="s">
        <v>21015</v>
      </c>
      <c r="AG3628" s="69" t="s">
        <v>8837</v>
      </c>
      <c r="AH3628" s="43">
        <v>45083</v>
      </c>
      <c r="AI3628" s="69">
        <v>3</v>
      </c>
      <c r="AJ3628" s="69" t="s">
        <v>20961</v>
      </c>
      <c r="AK3628" s="69" t="s">
        <v>20962</v>
      </c>
    </row>
    <row r="3629" spans="1:37" ht="36.75" customHeight="1" x14ac:dyDescent="0.35">
      <c r="A3629" s="21" t="s">
        <v>12448</v>
      </c>
      <c r="B3629" s="5" t="s">
        <v>37</v>
      </c>
      <c r="C3629" s="73" t="str">
        <f t="shared" si="66"/>
        <v>Closed</v>
      </c>
      <c r="D3629" s="91" t="s">
        <v>20963</v>
      </c>
      <c r="E3629" s="85" t="s">
        <v>20964</v>
      </c>
      <c r="F3629" s="69" t="s">
        <v>17018</v>
      </c>
      <c r="G3629" s="9">
        <f>DATE(2023,5,16)</f>
        <v>45062</v>
      </c>
      <c r="H3629" s="107">
        <v>1.4097222222222223</v>
      </c>
      <c r="I3629" s="69" t="s">
        <v>97</v>
      </c>
      <c r="J3629" s="69" t="s">
        <v>20965</v>
      </c>
      <c r="K3629" s="69" t="s">
        <v>9769</v>
      </c>
      <c r="L3629" s="69" t="s">
        <v>43402</v>
      </c>
      <c r="M3629" s="69" t="s">
        <v>45</v>
      </c>
      <c r="N3629" s="69" t="s">
        <v>123</v>
      </c>
      <c r="O3629" s="69" t="s">
        <v>46</v>
      </c>
      <c r="P3629" s="69" t="s">
        <v>146</v>
      </c>
      <c r="Q3629" s="69" t="s">
        <v>43403</v>
      </c>
      <c r="R3629" s="69" t="s">
        <v>20258</v>
      </c>
      <c r="S3629" s="69">
        <v>0</v>
      </c>
      <c r="T3629" s="69">
        <v>0</v>
      </c>
      <c r="U3629" s="69">
        <v>0</v>
      </c>
      <c r="V3629" s="69">
        <v>0</v>
      </c>
      <c r="W3629" s="69">
        <v>0</v>
      </c>
      <c r="X3629" s="69">
        <v>0</v>
      </c>
      <c r="Y3629" s="69">
        <v>0</v>
      </c>
      <c r="Z3629" s="69">
        <v>0</v>
      </c>
      <c r="AA3629" s="69">
        <v>0</v>
      </c>
      <c r="AB3629" s="69">
        <v>0</v>
      </c>
      <c r="AC3629" s="69">
        <v>0</v>
      </c>
      <c r="AD3629" s="69">
        <v>0</v>
      </c>
      <c r="AE3629" s="69" t="s">
        <v>73</v>
      </c>
      <c r="AF3629" s="69" t="s">
        <v>21015</v>
      </c>
      <c r="AG3629" s="69" t="s">
        <v>13508</v>
      </c>
      <c r="AH3629" s="43">
        <v>45076</v>
      </c>
      <c r="AI3629" s="69">
        <v>3</v>
      </c>
      <c r="AJ3629" s="69" t="s">
        <v>20966</v>
      </c>
      <c r="AK3629" s="69" t="s">
        <v>20967</v>
      </c>
    </row>
    <row r="3630" spans="1:37" ht="36.75" customHeight="1" x14ac:dyDescent="0.35">
      <c r="A3630" s="21" t="s">
        <v>12448</v>
      </c>
      <c r="B3630" s="5" t="s">
        <v>37</v>
      </c>
      <c r="C3630" s="73" t="str">
        <f t="shared" si="66"/>
        <v>Closed</v>
      </c>
      <c r="D3630" s="91" t="s">
        <v>20968</v>
      </c>
      <c r="E3630" s="85" t="s">
        <v>20969</v>
      </c>
      <c r="F3630" s="69" t="s">
        <v>17638</v>
      </c>
      <c r="G3630" s="9">
        <f>DATE(2023,5,17)</f>
        <v>45063</v>
      </c>
      <c r="H3630" s="107">
        <v>1.1215277777777777</v>
      </c>
      <c r="I3630" s="69" t="s">
        <v>179</v>
      </c>
      <c r="J3630" s="69" t="s">
        <v>20970</v>
      </c>
      <c r="K3630" s="69" t="s">
        <v>1555</v>
      </c>
      <c r="L3630" s="69" t="s">
        <v>43444</v>
      </c>
      <c r="M3630" s="69" t="s">
        <v>45</v>
      </c>
      <c r="N3630" s="69" t="s">
        <v>80</v>
      </c>
      <c r="O3630" s="69" t="s">
        <v>46</v>
      </c>
      <c r="P3630" s="69" t="s">
        <v>60</v>
      </c>
      <c r="Q3630" s="69" t="s">
        <v>43445</v>
      </c>
      <c r="R3630" s="69" t="s">
        <v>18956</v>
      </c>
      <c r="S3630" s="69">
        <v>0</v>
      </c>
      <c r="T3630" s="69">
        <v>0</v>
      </c>
      <c r="U3630" s="69">
        <v>0</v>
      </c>
      <c r="V3630" s="69">
        <v>0</v>
      </c>
      <c r="W3630" s="69">
        <v>0</v>
      </c>
      <c r="X3630" s="69">
        <v>0</v>
      </c>
      <c r="Y3630" s="69">
        <v>0</v>
      </c>
      <c r="Z3630" s="69">
        <v>1</v>
      </c>
      <c r="AA3630" s="69">
        <v>0</v>
      </c>
      <c r="AB3630" s="69">
        <v>0</v>
      </c>
      <c r="AC3630" s="69">
        <v>0</v>
      </c>
      <c r="AD3630" s="69">
        <v>1</v>
      </c>
      <c r="AE3630" s="69" t="s">
        <v>375</v>
      </c>
      <c r="AF3630" s="69" t="s">
        <v>43446</v>
      </c>
      <c r="AG3630" s="69" t="s">
        <v>8837</v>
      </c>
      <c r="AH3630" s="43">
        <v>45064</v>
      </c>
      <c r="AI3630" s="69">
        <v>2</v>
      </c>
      <c r="AJ3630" s="69" t="s">
        <v>43447</v>
      </c>
      <c r="AK3630" s="69" t="s">
        <v>43448</v>
      </c>
    </row>
    <row r="3631" spans="1:37" ht="36.75" customHeight="1" x14ac:dyDescent="0.35">
      <c r="A3631" s="21" t="s">
        <v>12448</v>
      </c>
      <c r="B3631" s="5" t="s">
        <v>37</v>
      </c>
      <c r="C3631" s="73" t="str">
        <f t="shared" si="66"/>
        <v>Closed</v>
      </c>
      <c r="D3631" s="91" t="s">
        <v>20971</v>
      </c>
      <c r="E3631" s="85" t="s">
        <v>20972</v>
      </c>
      <c r="F3631" s="69" t="s">
        <v>17769</v>
      </c>
      <c r="G3631" s="9">
        <f>DATE(2023,5,18)</f>
        <v>45064</v>
      </c>
      <c r="H3631" s="107">
        <v>1.7916666666666665</v>
      </c>
      <c r="I3631" s="69" t="s">
        <v>18283</v>
      </c>
      <c r="J3631" s="69" t="s">
        <v>20973</v>
      </c>
      <c r="K3631" s="69" t="s">
        <v>621</v>
      </c>
      <c r="L3631" s="69" t="s">
        <v>20974</v>
      </c>
      <c r="M3631" s="69" t="s">
        <v>45</v>
      </c>
      <c r="N3631" s="69" t="s">
        <v>80</v>
      </c>
      <c r="O3631" s="69" t="s">
        <v>59</v>
      </c>
      <c r="P3631" s="69" t="s">
        <v>60</v>
      </c>
      <c r="Q3631" s="69" t="s">
        <v>20635</v>
      </c>
      <c r="R3631" s="69" t="s">
        <v>1997</v>
      </c>
      <c r="S3631" s="69">
        <v>0</v>
      </c>
      <c r="T3631" s="69">
        <v>0</v>
      </c>
      <c r="U3631" s="69">
        <v>0</v>
      </c>
      <c r="V3631" s="69">
        <v>0</v>
      </c>
      <c r="W3631" s="69">
        <v>0</v>
      </c>
      <c r="X3631" s="69">
        <v>0</v>
      </c>
      <c r="Y3631" s="69">
        <v>0</v>
      </c>
      <c r="Z3631" s="69">
        <v>0</v>
      </c>
      <c r="AA3631" s="69">
        <v>0</v>
      </c>
      <c r="AB3631" s="69">
        <v>0</v>
      </c>
      <c r="AC3631" s="69">
        <v>0</v>
      </c>
      <c r="AD3631" s="69">
        <v>0</v>
      </c>
      <c r="AE3631" s="69" t="s">
        <v>73</v>
      </c>
      <c r="AF3631" s="69" t="s">
        <v>43684</v>
      </c>
      <c r="AG3631" s="69" t="s">
        <v>14532</v>
      </c>
      <c r="AH3631" s="43">
        <v>45252</v>
      </c>
      <c r="AI3631" s="69">
        <v>5</v>
      </c>
      <c r="AJ3631" s="69" t="s">
        <v>43685</v>
      </c>
      <c r="AK3631" s="69" t="s">
        <v>43686</v>
      </c>
    </row>
    <row r="3632" spans="1:37" ht="36.75" customHeight="1" x14ac:dyDescent="0.35">
      <c r="A3632" s="21" t="s">
        <v>12448</v>
      </c>
      <c r="B3632" s="5" t="s">
        <v>37</v>
      </c>
      <c r="C3632" s="73" t="str">
        <f t="shared" si="66"/>
        <v>Closed</v>
      </c>
      <c r="D3632" s="91" t="s">
        <v>20975</v>
      </c>
      <c r="E3632" s="85" t="s">
        <v>20976</v>
      </c>
      <c r="F3632" s="69" t="s">
        <v>12887</v>
      </c>
      <c r="G3632" s="9">
        <f>DATE(2023,5,22)</f>
        <v>45068</v>
      </c>
      <c r="H3632" s="107">
        <v>1.4513888888888888</v>
      </c>
      <c r="I3632" s="69" t="s">
        <v>259</v>
      </c>
      <c r="J3632" s="69" t="s">
        <v>20977</v>
      </c>
      <c r="K3632" s="69" t="s">
        <v>434</v>
      </c>
      <c r="L3632" s="69" t="s">
        <v>20978</v>
      </c>
      <c r="M3632" s="69" t="s">
        <v>45</v>
      </c>
      <c r="N3632" s="69" t="s">
        <v>123</v>
      </c>
      <c r="O3632" s="69" t="s">
        <v>46</v>
      </c>
      <c r="P3632" s="69" t="s">
        <v>146</v>
      </c>
      <c r="Q3632" s="69" t="s">
        <v>43403</v>
      </c>
      <c r="R3632" s="69" t="s">
        <v>20258</v>
      </c>
      <c r="S3632" s="69">
        <v>0</v>
      </c>
      <c r="T3632" s="69">
        <v>0</v>
      </c>
      <c r="U3632" s="69">
        <v>0</v>
      </c>
      <c r="V3632" s="69">
        <v>0</v>
      </c>
      <c r="W3632" s="69">
        <v>0</v>
      </c>
      <c r="X3632" s="69">
        <v>0</v>
      </c>
      <c r="Y3632" s="69">
        <v>0</v>
      </c>
      <c r="Z3632" s="69">
        <v>0</v>
      </c>
      <c r="AA3632" s="69">
        <v>0</v>
      </c>
      <c r="AB3632" s="69">
        <v>0</v>
      </c>
      <c r="AC3632" s="69">
        <v>0</v>
      </c>
      <c r="AD3632" s="69">
        <v>0</v>
      </c>
      <c r="AE3632" s="69" t="s">
        <v>73</v>
      </c>
      <c r="AF3632" s="69" t="s">
        <v>21015</v>
      </c>
      <c r="AG3632" s="69" t="s">
        <v>6438</v>
      </c>
      <c r="AH3632" s="43">
        <v>45084</v>
      </c>
      <c r="AI3632" s="69">
        <v>0</v>
      </c>
      <c r="AJ3632" s="69" t="s">
        <v>20979</v>
      </c>
      <c r="AK3632" s="69" t="s">
        <v>20980</v>
      </c>
    </row>
    <row r="3633" spans="1:37" ht="36.75" customHeight="1" x14ac:dyDescent="0.35">
      <c r="A3633" s="21" t="s">
        <v>12448</v>
      </c>
      <c r="B3633" s="5" t="s">
        <v>887</v>
      </c>
      <c r="C3633" s="73" t="str">
        <f t="shared" si="66"/>
        <v>Open</v>
      </c>
      <c r="D3633" s="47" t="s">
        <v>20981</v>
      </c>
      <c r="E3633" s="85" t="s">
        <v>20982</v>
      </c>
      <c r="F3633" s="69" t="s">
        <v>18015</v>
      </c>
      <c r="G3633" s="9">
        <f>DATE(2023,5,27)</f>
        <v>45073</v>
      </c>
      <c r="H3633" s="107">
        <v>1.1909722222222223</v>
      </c>
      <c r="I3633" s="69" t="s">
        <v>55</v>
      </c>
      <c r="J3633" s="69" t="s">
        <v>20983</v>
      </c>
      <c r="K3633" s="69" t="s">
        <v>121</v>
      </c>
      <c r="L3633" s="69" t="s">
        <v>20984</v>
      </c>
      <c r="M3633" s="69" t="s">
        <v>45</v>
      </c>
      <c r="N3633" s="69" t="s">
        <v>123</v>
      </c>
      <c r="O3633" s="69" t="s">
        <v>59</v>
      </c>
      <c r="P3633" s="69" t="s">
        <v>146</v>
      </c>
      <c r="Q3633" s="69" t="s">
        <v>43403</v>
      </c>
      <c r="R3633" s="69" t="s">
        <v>20258</v>
      </c>
      <c r="S3633" s="69">
        <v>0</v>
      </c>
      <c r="T3633" s="69">
        <v>0</v>
      </c>
      <c r="U3633" s="69">
        <v>0</v>
      </c>
      <c r="V3633" s="69">
        <v>0</v>
      </c>
      <c r="W3633" s="69">
        <v>0</v>
      </c>
      <c r="X3633" s="69">
        <v>0</v>
      </c>
      <c r="Y3633" s="69">
        <v>0</v>
      </c>
      <c r="Z3633" s="69">
        <v>0</v>
      </c>
      <c r="AA3633" s="69">
        <v>0</v>
      </c>
      <c r="AB3633" s="69">
        <v>0</v>
      </c>
      <c r="AC3633" s="69">
        <v>0</v>
      </c>
      <c r="AD3633" s="69">
        <v>0</v>
      </c>
      <c r="AE3633" s="69" t="s">
        <v>73</v>
      </c>
      <c r="AF3633" s="69" t="s">
        <v>21015</v>
      </c>
      <c r="AG3633" s="69" t="s">
        <v>8837</v>
      </c>
      <c r="AH3633" s="43">
        <v>45075</v>
      </c>
      <c r="AI3633" s="69"/>
      <c r="AJ3633" s="69"/>
      <c r="AK3633" s="69"/>
    </row>
    <row r="3634" spans="1:37" ht="36.75" customHeight="1" x14ac:dyDescent="0.35">
      <c r="A3634" s="21" t="s">
        <v>12448</v>
      </c>
      <c r="B3634" s="5" t="s">
        <v>37</v>
      </c>
      <c r="C3634" s="73" t="str">
        <f t="shared" si="66"/>
        <v>Closed</v>
      </c>
      <c r="D3634" s="91" t="s">
        <v>20985</v>
      </c>
      <c r="E3634" s="85" t="s">
        <v>20986</v>
      </c>
      <c r="F3634" s="69" t="s">
        <v>16397</v>
      </c>
      <c r="G3634" s="9">
        <f>DATE(2023,5,28)</f>
        <v>45074</v>
      </c>
      <c r="H3634" s="107">
        <v>1.7402777777777776</v>
      </c>
      <c r="I3634" s="69" t="s">
        <v>97</v>
      </c>
      <c r="J3634" s="69" t="s">
        <v>20987</v>
      </c>
      <c r="K3634" s="69" t="s">
        <v>406</v>
      </c>
      <c r="L3634" s="69" t="s">
        <v>20988</v>
      </c>
      <c r="M3634" s="69" t="s">
        <v>45</v>
      </c>
      <c r="N3634" s="69" t="s">
        <v>80</v>
      </c>
      <c r="O3634" s="69" t="s">
        <v>46</v>
      </c>
      <c r="P3634" s="69" t="s">
        <v>146</v>
      </c>
      <c r="Q3634" s="69" t="s">
        <v>43403</v>
      </c>
      <c r="R3634" s="69" t="s">
        <v>20258</v>
      </c>
      <c r="S3634" s="69">
        <v>0</v>
      </c>
      <c r="T3634" s="69">
        <v>0</v>
      </c>
      <c r="U3634" s="69">
        <v>0</v>
      </c>
      <c r="V3634" s="69">
        <v>0</v>
      </c>
      <c r="W3634" s="69">
        <v>0</v>
      </c>
      <c r="X3634" s="69">
        <v>0</v>
      </c>
      <c r="Y3634" s="69">
        <v>0</v>
      </c>
      <c r="Z3634" s="69">
        <v>0</v>
      </c>
      <c r="AA3634" s="69">
        <v>0</v>
      </c>
      <c r="AB3634" s="69">
        <v>0</v>
      </c>
      <c r="AC3634" s="69">
        <v>0</v>
      </c>
      <c r="AD3634" s="69">
        <v>0</v>
      </c>
      <c r="AE3634" s="69" t="s">
        <v>73</v>
      </c>
      <c r="AF3634" s="69" t="s">
        <v>21015</v>
      </c>
      <c r="AG3634" s="119" t="s">
        <v>20989</v>
      </c>
      <c r="AH3634" s="43">
        <v>45074</v>
      </c>
      <c r="AI3634" s="69">
        <v>3</v>
      </c>
      <c r="AJ3634" s="69" t="s">
        <v>20990</v>
      </c>
      <c r="AK3634" s="69" t="s">
        <v>19044</v>
      </c>
    </row>
    <row r="3635" spans="1:37" ht="36.75" customHeight="1" x14ac:dyDescent="0.35">
      <c r="A3635" s="21" t="s">
        <v>12448</v>
      </c>
      <c r="B3635" s="5" t="s">
        <v>37</v>
      </c>
      <c r="C3635" s="73" t="str">
        <f t="shared" si="66"/>
        <v>Closed</v>
      </c>
      <c r="D3635" s="91" t="s">
        <v>20991</v>
      </c>
      <c r="E3635" s="85" t="s">
        <v>20992</v>
      </c>
      <c r="F3635" s="69" t="s">
        <v>16397</v>
      </c>
      <c r="G3635" s="9">
        <f>DATE(2023,6,5)</f>
        <v>45082</v>
      </c>
      <c r="H3635" s="107">
        <v>1.3006944444444444</v>
      </c>
      <c r="I3635" s="69" t="s">
        <v>97</v>
      </c>
      <c r="J3635" s="69" t="s">
        <v>20993</v>
      </c>
      <c r="K3635" s="69" t="s">
        <v>406</v>
      </c>
      <c r="L3635" s="69" t="s">
        <v>20994</v>
      </c>
      <c r="M3635" s="69" t="s">
        <v>45</v>
      </c>
      <c r="N3635" s="69" t="s">
        <v>80</v>
      </c>
      <c r="O3635" s="69" t="s">
        <v>46</v>
      </c>
      <c r="P3635" s="69" t="s">
        <v>146</v>
      </c>
      <c r="Q3635" s="69" t="s">
        <v>43403</v>
      </c>
      <c r="R3635" s="69" t="s">
        <v>20258</v>
      </c>
      <c r="S3635" s="69">
        <v>0</v>
      </c>
      <c r="T3635" s="69">
        <v>0</v>
      </c>
      <c r="U3635" s="69">
        <v>0</v>
      </c>
      <c r="V3635" s="69">
        <v>0</v>
      </c>
      <c r="W3635" s="69">
        <v>0</v>
      </c>
      <c r="X3635" s="69">
        <v>0</v>
      </c>
      <c r="Y3635" s="69">
        <v>0</v>
      </c>
      <c r="Z3635" s="69">
        <v>0</v>
      </c>
      <c r="AA3635" s="69">
        <v>0</v>
      </c>
      <c r="AB3635" s="69">
        <v>0</v>
      </c>
      <c r="AC3635" s="69">
        <v>0</v>
      </c>
      <c r="AD3635" s="69">
        <v>0</v>
      </c>
      <c r="AE3635" s="69" t="s">
        <v>73</v>
      </c>
      <c r="AF3635" s="69" t="s">
        <v>21015</v>
      </c>
      <c r="AG3635" s="69" t="s">
        <v>20989</v>
      </c>
      <c r="AH3635" s="43">
        <v>45082</v>
      </c>
      <c r="AI3635" s="69">
        <v>1</v>
      </c>
      <c r="AJ3635" s="69" t="s">
        <v>20995</v>
      </c>
      <c r="AK3635" s="69" t="s">
        <v>19044</v>
      </c>
    </row>
    <row r="3636" spans="1:37" ht="36.75" customHeight="1" x14ac:dyDescent="0.35">
      <c r="A3636" s="21" t="s">
        <v>12448</v>
      </c>
      <c r="B3636" s="5" t="s">
        <v>37</v>
      </c>
      <c r="C3636" s="73" t="str">
        <f t="shared" si="66"/>
        <v>Closed</v>
      </c>
      <c r="D3636" s="91" t="s">
        <v>20996</v>
      </c>
      <c r="E3636" s="85" t="s">
        <v>20997</v>
      </c>
      <c r="F3636" s="69" t="s">
        <v>17638</v>
      </c>
      <c r="G3636" s="9">
        <f>DATE(2023,6,8)</f>
        <v>45085</v>
      </c>
      <c r="H3636" s="107">
        <v>1.1875</v>
      </c>
      <c r="I3636" s="69" t="s">
        <v>4590</v>
      </c>
      <c r="J3636" s="69" t="s">
        <v>20998</v>
      </c>
      <c r="K3636" s="69" t="s">
        <v>1555</v>
      </c>
      <c r="L3636" s="69" t="s">
        <v>20999</v>
      </c>
      <c r="M3636" s="69" t="s">
        <v>45</v>
      </c>
      <c r="N3636" s="69" t="s">
        <v>123</v>
      </c>
      <c r="O3636" s="69" t="s">
        <v>59</v>
      </c>
      <c r="P3636" s="69" t="s">
        <v>60</v>
      </c>
      <c r="Q3636" s="69" t="s">
        <v>17641</v>
      </c>
      <c r="R3636" s="69" t="s">
        <v>18956</v>
      </c>
      <c r="S3636" s="69">
        <v>0</v>
      </c>
      <c r="T3636" s="69">
        <v>0</v>
      </c>
      <c r="U3636" s="69">
        <v>0</v>
      </c>
      <c r="V3636" s="69">
        <v>0</v>
      </c>
      <c r="W3636" s="69">
        <v>0</v>
      </c>
      <c r="X3636" s="69">
        <v>0</v>
      </c>
      <c r="Y3636" s="69">
        <v>0</v>
      </c>
      <c r="Z3636" s="69">
        <v>0</v>
      </c>
      <c r="AA3636" s="69">
        <v>0</v>
      </c>
      <c r="AB3636" s="69">
        <v>0</v>
      </c>
      <c r="AC3636" s="69">
        <v>0</v>
      </c>
      <c r="AD3636" s="69">
        <v>0</v>
      </c>
      <c r="AE3636" s="69" t="s">
        <v>73</v>
      </c>
      <c r="AF3636" s="69" t="s">
        <v>6998</v>
      </c>
      <c r="AG3636" s="69" t="s">
        <v>8837</v>
      </c>
      <c r="AH3636" s="43">
        <v>45086</v>
      </c>
      <c r="AI3636" s="69">
        <v>3</v>
      </c>
      <c r="AJ3636" s="69" t="s">
        <v>43506</v>
      </c>
      <c r="AK3636" s="69" t="s">
        <v>43507</v>
      </c>
    </row>
    <row r="3637" spans="1:37" ht="36.75" customHeight="1" x14ac:dyDescent="0.35">
      <c r="A3637" s="21" t="s">
        <v>12448</v>
      </c>
      <c r="B3637" s="5" t="s">
        <v>14851</v>
      </c>
      <c r="C3637" s="73" t="str">
        <f t="shared" si="66"/>
        <v>In progress</v>
      </c>
      <c r="D3637" s="47" t="s">
        <v>21000</v>
      </c>
      <c r="E3637" s="85" t="s">
        <v>21001</v>
      </c>
      <c r="F3637" s="69" t="s">
        <v>16397</v>
      </c>
      <c r="G3637" s="9">
        <f>DATE(2023,6,8)</f>
        <v>45085</v>
      </c>
      <c r="H3637" s="107">
        <v>1.8069444444444445</v>
      </c>
      <c r="I3637" s="69" t="s">
        <v>55</v>
      </c>
      <c r="J3637" s="69" t="s">
        <v>21002</v>
      </c>
      <c r="K3637" s="69" t="s">
        <v>406</v>
      </c>
      <c r="L3637" s="69" t="s">
        <v>21003</v>
      </c>
      <c r="M3637" s="69" t="s">
        <v>45</v>
      </c>
      <c r="N3637" s="69" t="s">
        <v>123</v>
      </c>
      <c r="O3637" s="69" t="s">
        <v>46</v>
      </c>
      <c r="P3637" s="69" t="s">
        <v>146</v>
      </c>
      <c r="Q3637" s="69" t="s">
        <v>43403</v>
      </c>
      <c r="R3637" s="69" t="s">
        <v>20258</v>
      </c>
      <c r="S3637" s="69">
        <v>0</v>
      </c>
      <c r="T3637" s="69">
        <v>0</v>
      </c>
      <c r="U3637" s="69">
        <v>0</v>
      </c>
      <c r="V3637" s="69">
        <v>0</v>
      </c>
      <c r="W3637" s="69">
        <v>0</v>
      </c>
      <c r="X3637" s="69">
        <v>0</v>
      </c>
      <c r="Y3637" s="69">
        <v>0</v>
      </c>
      <c r="Z3637" s="69">
        <v>0</v>
      </c>
      <c r="AA3637" s="69">
        <v>0</v>
      </c>
      <c r="AB3637" s="69">
        <v>0</v>
      </c>
      <c r="AC3637" s="69">
        <v>0</v>
      </c>
      <c r="AD3637" s="69">
        <v>0</v>
      </c>
      <c r="AE3637" s="69" t="s">
        <v>73</v>
      </c>
      <c r="AF3637" s="69" t="s">
        <v>21015</v>
      </c>
      <c r="AG3637" s="69" t="s">
        <v>20617</v>
      </c>
      <c r="AH3637" s="43">
        <v>45085</v>
      </c>
      <c r="AI3637" s="69"/>
      <c r="AJ3637" s="69"/>
      <c r="AK3637" s="69"/>
    </row>
    <row r="3638" spans="1:37" ht="36.75" customHeight="1" x14ac:dyDescent="0.35">
      <c r="A3638" s="21" t="s">
        <v>12448</v>
      </c>
      <c r="B3638" s="5" t="s">
        <v>887</v>
      </c>
      <c r="C3638" s="73" t="str">
        <f t="shared" si="66"/>
        <v>Open</v>
      </c>
      <c r="D3638" s="47" t="s">
        <v>21004</v>
      </c>
      <c r="E3638" s="85" t="s">
        <v>21005</v>
      </c>
      <c r="F3638" s="69" t="s">
        <v>16278</v>
      </c>
      <c r="G3638" s="9">
        <f>DATE(2023,6,19)</f>
        <v>45096</v>
      </c>
      <c r="H3638" s="107">
        <v>1.8090277777777777</v>
      </c>
      <c r="I3638" s="69" t="s">
        <v>97</v>
      </c>
      <c r="J3638" s="69" t="s">
        <v>21006</v>
      </c>
      <c r="K3638" s="69" t="s">
        <v>99</v>
      </c>
      <c r="L3638" s="69" t="s">
        <v>21007</v>
      </c>
      <c r="M3638" s="69" t="s">
        <v>45</v>
      </c>
      <c r="N3638" s="69" t="s">
        <v>123</v>
      </c>
      <c r="O3638" s="69" t="s">
        <v>46</v>
      </c>
      <c r="P3638" s="69" t="s">
        <v>146</v>
      </c>
      <c r="Q3638" s="69" t="s">
        <v>43403</v>
      </c>
      <c r="R3638" s="69" t="s">
        <v>20258</v>
      </c>
      <c r="S3638" s="69">
        <v>0</v>
      </c>
      <c r="T3638" s="69">
        <v>0</v>
      </c>
      <c r="U3638" s="69">
        <v>0</v>
      </c>
      <c r="V3638" s="69">
        <v>0</v>
      </c>
      <c r="W3638" s="69">
        <v>0</v>
      </c>
      <c r="X3638" s="69">
        <v>0</v>
      </c>
      <c r="Y3638" s="69">
        <v>0</v>
      </c>
      <c r="Z3638" s="69">
        <v>0</v>
      </c>
      <c r="AA3638" s="69">
        <v>0</v>
      </c>
      <c r="AB3638" s="69">
        <v>0</v>
      </c>
      <c r="AC3638" s="69">
        <v>0</v>
      </c>
      <c r="AD3638" s="69">
        <v>0</v>
      </c>
      <c r="AE3638" s="69" t="s">
        <v>73</v>
      </c>
      <c r="AF3638" s="69" t="s">
        <v>21015</v>
      </c>
      <c r="AG3638" s="69" t="s">
        <v>8837</v>
      </c>
      <c r="AH3638" s="43">
        <v>45119</v>
      </c>
      <c r="AI3638" s="69"/>
      <c r="AJ3638" s="69"/>
      <c r="AK3638" s="69"/>
    </row>
    <row r="3639" spans="1:37" ht="36.75" customHeight="1" x14ac:dyDescent="0.35">
      <c r="A3639" s="21" t="s">
        <v>12448</v>
      </c>
      <c r="B3639" s="5" t="s">
        <v>887</v>
      </c>
      <c r="C3639" s="73" t="str">
        <f t="shared" si="66"/>
        <v>Open</v>
      </c>
      <c r="D3639" s="47" t="s">
        <v>21008</v>
      </c>
      <c r="E3639" s="85" t="s">
        <v>21009</v>
      </c>
      <c r="F3639" s="69" t="s">
        <v>16397</v>
      </c>
      <c r="G3639" s="9">
        <f>DATE(2023,6,21)</f>
        <v>45098</v>
      </c>
      <c r="H3639" s="107">
        <v>1.5805555555555557</v>
      </c>
      <c r="I3639" s="69" t="s">
        <v>97</v>
      </c>
      <c r="J3639" s="69" t="s">
        <v>21010</v>
      </c>
      <c r="K3639" s="69" t="s">
        <v>406</v>
      </c>
      <c r="L3639" s="69" t="s">
        <v>21011</v>
      </c>
      <c r="M3639" s="69" t="s">
        <v>45</v>
      </c>
      <c r="N3639" s="69" t="s">
        <v>80</v>
      </c>
      <c r="O3639" s="69" t="s">
        <v>46</v>
      </c>
      <c r="P3639" s="69" t="s">
        <v>146</v>
      </c>
      <c r="Q3639" s="69" t="s">
        <v>43403</v>
      </c>
      <c r="R3639" s="69" t="s">
        <v>20258</v>
      </c>
      <c r="S3639" s="69">
        <v>0</v>
      </c>
      <c r="T3639" s="69">
        <v>0</v>
      </c>
      <c r="U3639" s="69">
        <v>0</v>
      </c>
      <c r="V3639" s="69">
        <v>0</v>
      </c>
      <c r="W3639" s="69">
        <v>0</v>
      </c>
      <c r="X3639" s="69">
        <v>0</v>
      </c>
      <c r="Y3639" s="69">
        <v>0</v>
      </c>
      <c r="Z3639" s="69">
        <v>0</v>
      </c>
      <c r="AA3639" s="69">
        <v>0</v>
      </c>
      <c r="AB3639" s="69">
        <v>0</v>
      </c>
      <c r="AC3639" s="69">
        <v>0</v>
      </c>
      <c r="AD3639" s="69">
        <v>0</v>
      </c>
      <c r="AE3639" s="69" t="s">
        <v>73</v>
      </c>
      <c r="AF3639" s="69" t="s">
        <v>21015</v>
      </c>
      <c r="AG3639" s="69" t="s">
        <v>8837</v>
      </c>
      <c r="AH3639" s="43">
        <v>45098</v>
      </c>
      <c r="AI3639" s="69"/>
      <c r="AJ3639" s="69"/>
      <c r="AK3639" s="69"/>
    </row>
    <row r="3640" spans="1:37" ht="36.75" customHeight="1" x14ac:dyDescent="0.35">
      <c r="A3640" s="21" t="s">
        <v>12448</v>
      </c>
      <c r="B3640" s="5" t="s">
        <v>37</v>
      </c>
      <c r="C3640" s="73" t="str">
        <f t="shared" si="66"/>
        <v>Closed</v>
      </c>
      <c r="D3640" s="91" t="s">
        <v>21012</v>
      </c>
      <c r="E3640" s="85" t="s">
        <v>21013</v>
      </c>
      <c r="F3640" s="69" t="s">
        <v>9767</v>
      </c>
      <c r="G3640" s="9">
        <f>DATE(2023,6,22)</f>
        <v>45099</v>
      </c>
      <c r="H3640" s="107">
        <v>1.3958333333333333</v>
      </c>
      <c r="I3640" s="69" t="s">
        <v>2244</v>
      </c>
      <c r="J3640" s="69" t="s">
        <v>43616</v>
      </c>
      <c r="K3640" s="69" t="s">
        <v>9769</v>
      </c>
      <c r="L3640" s="69" t="s">
        <v>21014</v>
      </c>
      <c r="M3640" s="69" t="s">
        <v>45</v>
      </c>
      <c r="N3640" s="69" t="s">
        <v>80</v>
      </c>
      <c r="O3640" s="69" t="s">
        <v>59</v>
      </c>
      <c r="P3640" s="69" t="s">
        <v>60</v>
      </c>
      <c r="Q3640" s="69" t="s">
        <v>43617</v>
      </c>
      <c r="R3640" s="69" t="s">
        <v>20687</v>
      </c>
      <c r="S3640" s="69">
        <v>0</v>
      </c>
      <c r="T3640" s="69">
        <v>0</v>
      </c>
      <c r="U3640" s="69">
        <v>0</v>
      </c>
      <c r="V3640" s="69">
        <v>0</v>
      </c>
      <c r="W3640" s="69">
        <v>0</v>
      </c>
      <c r="X3640" s="69">
        <v>0</v>
      </c>
      <c r="Y3640" s="69">
        <v>0</v>
      </c>
      <c r="Z3640" s="69">
        <v>0</v>
      </c>
      <c r="AA3640" s="69">
        <v>0</v>
      </c>
      <c r="AB3640" s="69">
        <v>0</v>
      </c>
      <c r="AC3640" s="69">
        <v>0</v>
      </c>
      <c r="AD3640" s="69">
        <v>0</v>
      </c>
      <c r="AE3640" s="69" t="s">
        <v>73</v>
      </c>
      <c r="AF3640" s="69" t="s">
        <v>21015</v>
      </c>
      <c r="AG3640" s="69" t="s">
        <v>8837</v>
      </c>
      <c r="AH3640" s="43">
        <v>45105</v>
      </c>
      <c r="AI3640" s="69">
        <v>1</v>
      </c>
      <c r="AJ3640" s="69" t="s">
        <v>43618</v>
      </c>
      <c r="AK3640" s="69" t="s">
        <v>43619</v>
      </c>
    </row>
    <row r="3641" spans="1:37" ht="36.75" customHeight="1" x14ac:dyDescent="0.35">
      <c r="A3641" s="21" t="s">
        <v>12448</v>
      </c>
      <c r="B3641" s="5" t="s">
        <v>887</v>
      </c>
      <c r="C3641" s="73" t="str">
        <f t="shared" si="66"/>
        <v>Open</v>
      </c>
      <c r="D3641" s="47" t="s">
        <v>21016</v>
      </c>
      <c r="E3641" s="85" t="s">
        <v>21017</v>
      </c>
      <c r="F3641" s="69" t="s">
        <v>16278</v>
      </c>
      <c r="G3641" s="9">
        <f>DATE(2023,6,25)</f>
        <v>45102</v>
      </c>
      <c r="H3641" s="107">
        <v>1.9166666666666665</v>
      </c>
      <c r="I3641" s="69" t="s">
        <v>6754</v>
      </c>
      <c r="J3641" s="69" t="s">
        <v>21018</v>
      </c>
      <c r="K3641" s="69" t="s">
        <v>99</v>
      </c>
      <c r="L3641" s="69" t="s">
        <v>21019</v>
      </c>
      <c r="M3641" s="69" t="s">
        <v>45</v>
      </c>
      <c r="N3641" s="69" t="s">
        <v>123</v>
      </c>
      <c r="O3641" s="69" t="s">
        <v>46</v>
      </c>
      <c r="P3641" s="69" t="s">
        <v>146</v>
      </c>
      <c r="Q3641" s="69" t="s">
        <v>43403</v>
      </c>
      <c r="R3641" s="69" t="s">
        <v>20258</v>
      </c>
      <c r="S3641" s="69">
        <v>0</v>
      </c>
      <c r="T3641" s="69">
        <v>0</v>
      </c>
      <c r="U3641" s="69">
        <v>0</v>
      </c>
      <c r="V3641" s="69">
        <v>0</v>
      </c>
      <c r="W3641" s="69">
        <v>0</v>
      </c>
      <c r="X3641" s="69">
        <v>0</v>
      </c>
      <c r="Y3641" s="69">
        <v>0</v>
      </c>
      <c r="Z3641" s="69">
        <v>0</v>
      </c>
      <c r="AA3641" s="69">
        <v>0</v>
      </c>
      <c r="AB3641" s="69">
        <v>0</v>
      </c>
      <c r="AC3641" s="69">
        <v>0</v>
      </c>
      <c r="AD3641" s="69">
        <v>0</v>
      </c>
      <c r="AE3641" s="69" t="s">
        <v>73</v>
      </c>
      <c r="AF3641" s="69" t="s">
        <v>21015</v>
      </c>
      <c r="AG3641" s="69" t="s">
        <v>14532</v>
      </c>
      <c r="AH3641" s="43">
        <v>45113</v>
      </c>
      <c r="AI3641" s="69"/>
      <c r="AJ3641" s="69"/>
      <c r="AK3641" s="69"/>
    </row>
    <row r="3642" spans="1:37" ht="36.75" customHeight="1" x14ac:dyDescent="0.35">
      <c r="A3642" s="21" t="s">
        <v>12448</v>
      </c>
      <c r="B3642" s="5" t="s">
        <v>887</v>
      </c>
      <c r="C3642" s="73" t="str">
        <f t="shared" si="66"/>
        <v>Open</v>
      </c>
      <c r="D3642" s="47" t="s">
        <v>21020</v>
      </c>
      <c r="E3642" s="85" t="s">
        <v>21021</v>
      </c>
      <c r="F3642" s="69" t="s">
        <v>16397</v>
      </c>
      <c r="G3642" s="9">
        <f>DATE(2023,7,6)</f>
        <v>45113</v>
      </c>
      <c r="H3642" s="107">
        <v>1.3173611111111112</v>
      </c>
      <c r="I3642" s="69" t="s">
        <v>4590</v>
      </c>
      <c r="J3642" s="69" t="s">
        <v>21022</v>
      </c>
      <c r="K3642" s="69" t="s">
        <v>406</v>
      </c>
      <c r="L3642" s="69" t="s">
        <v>21023</v>
      </c>
      <c r="M3642" s="69" t="s">
        <v>45</v>
      </c>
      <c r="N3642" s="69" t="s">
        <v>123</v>
      </c>
      <c r="O3642" s="69" t="s">
        <v>59</v>
      </c>
      <c r="P3642" s="69" t="s">
        <v>146</v>
      </c>
      <c r="Q3642" s="69" t="s">
        <v>43403</v>
      </c>
      <c r="R3642" s="69" t="s">
        <v>20258</v>
      </c>
      <c r="S3642" s="69">
        <v>0</v>
      </c>
      <c r="T3642" s="69">
        <v>0</v>
      </c>
      <c r="U3642" s="69">
        <v>0</v>
      </c>
      <c r="V3642" s="69">
        <v>0</v>
      </c>
      <c r="W3642" s="69">
        <v>0</v>
      </c>
      <c r="X3642" s="69">
        <v>0</v>
      </c>
      <c r="Y3642" s="69">
        <v>0</v>
      </c>
      <c r="Z3642" s="69">
        <v>0</v>
      </c>
      <c r="AA3642" s="69">
        <v>0</v>
      </c>
      <c r="AB3642" s="69">
        <v>0</v>
      </c>
      <c r="AC3642" s="69">
        <v>0</v>
      </c>
      <c r="AD3642" s="69">
        <v>0</v>
      </c>
      <c r="AE3642" s="69" t="s">
        <v>73</v>
      </c>
      <c r="AF3642" s="69" t="s">
        <v>21015</v>
      </c>
      <c r="AG3642" s="69" t="s">
        <v>16251</v>
      </c>
      <c r="AH3642" s="43">
        <v>45113</v>
      </c>
      <c r="AI3642" s="69"/>
      <c r="AJ3642" s="69"/>
      <c r="AK3642" s="69"/>
    </row>
    <row r="3643" spans="1:37" ht="36.75" customHeight="1" x14ac:dyDescent="0.35">
      <c r="A3643" s="21" t="s">
        <v>12448</v>
      </c>
      <c r="B3643" s="5" t="s">
        <v>887</v>
      </c>
      <c r="C3643" s="73" t="str">
        <f t="shared" si="66"/>
        <v>Open</v>
      </c>
      <c r="D3643" s="47" t="s">
        <v>21025</v>
      </c>
      <c r="E3643" s="85" t="s">
        <v>21026</v>
      </c>
      <c r="F3643" s="69" t="s">
        <v>17537</v>
      </c>
      <c r="G3643" s="9">
        <f>DATE(2023,7,9)</f>
        <v>45116</v>
      </c>
      <c r="H3643" s="107">
        <v>1.5104166666666665</v>
      </c>
      <c r="I3643" s="69" t="s">
        <v>55</v>
      </c>
      <c r="J3643" s="69" t="s">
        <v>21027</v>
      </c>
      <c r="K3643" s="69" t="s">
        <v>818</v>
      </c>
      <c r="L3643" s="69" t="s">
        <v>21028</v>
      </c>
      <c r="M3643" s="69" t="s">
        <v>45</v>
      </c>
      <c r="N3643" s="69" t="s">
        <v>123</v>
      </c>
      <c r="O3643" s="69" t="s">
        <v>46</v>
      </c>
      <c r="P3643" s="69" t="s">
        <v>60</v>
      </c>
      <c r="Q3643" s="69" t="s">
        <v>21029</v>
      </c>
      <c r="R3643" s="69" t="s">
        <v>821</v>
      </c>
      <c r="S3643" s="69">
        <v>0</v>
      </c>
      <c r="T3643" s="69">
        <v>0</v>
      </c>
      <c r="U3643" s="69">
        <v>0</v>
      </c>
      <c r="V3643" s="69">
        <v>0</v>
      </c>
      <c r="W3643" s="69">
        <v>0</v>
      </c>
      <c r="X3643" s="69">
        <v>0</v>
      </c>
      <c r="Y3643" s="69">
        <v>0</v>
      </c>
      <c r="Z3643" s="69">
        <v>0</v>
      </c>
      <c r="AA3643" s="69">
        <v>0</v>
      </c>
      <c r="AB3643" s="69">
        <v>0</v>
      </c>
      <c r="AC3643" s="69">
        <v>0</v>
      </c>
      <c r="AD3643" s="69">
        <v>0</v>
      </c>
      <c r="AE3643" s="69" t="s">
        <v>126</v>
      </c>
      <c r="AF3643" s="69" t="s">
        <v>21030</v>
      </c>
      <c r="AG3643" s="69" t="s">
        <v>6438</v>
      </c>
      <c r="AH3643" s="43">
        <v>45116</v>
      </c>
      <c r="AI3643" s="69"/>
      <c r="AJ3643" s="69"/>
      <c r="AK3643" s="69"/>
    </row>
    <row r="3644" spans="1:37" ht="36.75" customHeight="1" x14ac:dyDescent="0.35">
      <c r="A3644" s="21" t="s">
        <v>12448</v>
      </c>
      <c r="B3644" s="5" t="s">
        <v>37</v>
      </c>
      <c r="C3644" s="73" t="str">
        <f t="shared" si="66"/>
        <v>Closed</v>
      </c>
      <c r="D3644" s="91" t="s">
        <v>21031</v>
      </c>
      <c r="E3644" s="85" t="s">
        <v>21032</v>
      </c>
      <c r="F3644" s="69" t="s">
        <v>16397</v>
      </c>
      <c r="G3644" s="9">
        <f>DATE(2023,7,10)</f>
        <v>45117</v>
      </c>
      <c r="H3644" s="107">
        <v>1.2645833333333334</v>
      </c>
      <c r="I3644" s="69" t="s">
        <v>97</v>
      </c>
      <c r="J3644" s="69" t="s">
        <v>43612</v>
      </c>
      <c r="K3644" s="69" t="s">
        <v>406</v>
      </c>
      <c r="L3644" s="69" t="s">
        <v>21033</v>
      </c>
      <c r="M3644" s="69" t="s">
        <v>45</v>
      </c>
      <c r="N3644" s="69" t="s">
        <v>80</v>
      </c>
      <c r="O3644" s="69" t="s">
        <v>59</v>
      </c>
      <c r="P3644" s="69" t="s">
        <v>146</v>
      </c>
      <c r="Q3644" s="69" t="s">
        <v>18565</v>
      </c>
      <c r="R3644" s="69" t="s">
        <v>17330</v>
      </c>
      <c r="S3644" s="69">
        <v>0</v>
      </c>
      <c r="T3644" s="69">
        <v>0</v>
      </c>
      <c r="U3644" s="69">
        <v>0</v>
      </c>
      <c r="V3644" s="69">
        <v>0</v>
      </c>
      <c r="W3644" s="69">
        <v>0</v>
      </c>
      <c r="X3644" s="69">
        <v>0</v>
      </c>
      <c r="Y3644" s="69">
        <v>0</v>
      </c>
      <c r="Z3644" s="69">
        <v>1</v>
      </c>
      <c r="AA3644" s="69">
        <v>0</v>
      </c>
      <c r="AB3644" s="69">
        <v>0</v>
      </c>
      <c r="AC3644" s="69">
        <v>0</v>
      </c>
      <c r="AD3644" s="69">
        <v>1</v>
      </c>
      <c r="AE3644" s="69" t="s">
        <v>16403</v>
      </c>
      <c r="AF3644" s="69" t="s">
        <v>43613</v>
      </c>
      <c r="AG3644" s="69" t="s">
        <v>16251</v>
      </c>
      <c r="AH3644" s="43">
        <v>45117</v>
      </c>
      <c r="AI3644" s="69">
        <v>1</v>
      </c>
      <c r="AJ3644" s="69" t="s">
        <v>43614</v>
      </c>
      <c r="AK3644" s="69" t="s">
        <v>860</v>
      </c>
    </row>
    <row r="3645" spans="1:37" ht="36.75" customHeight="1" x14ac:dyDescent="0.35">
      <c r="A3645" s="21" t="s">
        <v>12448</v>
      </c>
      <c r="B3645" s="5" t="s">
        <v>887</v>
      </c>
      <c r="C3645" s="73" t="str">
        <f t="shared" si="66"/>
        <v>Open</v>
      </c>
      <c r="D3645" s="47" t="s">
        <v>21034</v>
      </c>
      <c r="E3645" s="85" t="s">
        <v>21035</v>
      </c>
      <c r="F3645" s="69" t="s">
        <v>14722</v>
      </c>
      <c r="G3645" s="9">
        <f>DATE(2023,7,10)</f>
        <v>45117</v>
      </c>
      <c r="H3645" s="107">
        <v>1.5868055555555556</v>
      </c>
      <c r="I3645" s="69" t="s">
        <v>10353</v>
      </c>
      <c r="J3645" s="69" t="s">
        <v>21036</v>
      </c>
      <c r="K3645" s="69" t="s">
        <v>1753</v>
      </c>
      <c r="L3645" s="69" t="s">
        <v>21037</v>
      </c>
      <c r="M3645" s="69" t="s">
        <v>45</v>
      </c>
      <c r="N3645" s="69" t="s">
        <v>123</v>
      </c>
      <c r="O3645" s="69" t="s">
        <v>46</v>
      </c>
      <c r="P3645" s="69" t="s">
        <v>67</v>
      </c>
      <c r="Q3645" s="69" t="s">
        <v>20061</v>
      </c>
      <c r="R3645" s="69" t="s">
        <v>1756</v>
      </c>
      <c r="S3645" s="69">
        <v>0</v>
      </c>
      <c r="T3645" s="69">
        <v>0</v>
      </c>
      <c r="U3645" s="69">
        <v>0</v>
      </c>
      <c r="V3645" s="69">
        <v>0</v>
      </c>
      <c r="W3645" s="69">
        <v>1</v>
      </c>
      <c r="X3645" s="69">
        <v>1</v>
      </c>
      <c r="Y3645" s="69">
        <v>0</v>
      </c>
      <c r="Z3645" s="69">
        <v>0</v>
      </c>
      <c r="AA3645" s="69">
        <v>0</v>
      </c>
      <c r="AB3645" s="69">
        <v>0</v>
      </c>
      <c r="AC3645" s="69">
        <v>0</v>
      </c>
      <c r="AD3645" s="69">
        <v>0</v>
      </c>
      <c r="AE3645" s="69" t="s">
        <v>73</v>
      </c>
      <c r="AF3645" s="69" t="s">
        <v>18460</v>
      </c>
      <c r="AG3645" s="69" t="s">
        <v>6438</v>
      </c>
      <c r="AH3645" s="43">
        <v>45147</v>
      </c>
      <c r="AI3645" s="69"/>
      <c r="AJ3645" s="69"/>
      <c r="AK3645" s="69"/>
    </row>
    <row r="3646" spans="1:37" ht="36.75" customHeight="1" x14ac:dyDescent="0.35">
      <c r="A3646" s="21" t="s">
        <v>12448</v>
      </c>
      <c r="B3646" s="5" t="s">
        <v>887</v>
      </c>
      <c r="C3646" s="73" t="str">
        <f t="shared" si="66"/>
        <v>Open</v>
      </c>
      <c r="D3646" s="47" t="s">
        <v>21038</v>
      </c>
      <c r="E3646" s="85" t="s">
        <v>21039</v>
      </c>
      <c r="F3646" s="69" t="s">
        <v>14722</v>
      </c>
      <c r="G3646" s="9">
        <f>DATE(2023,7,11)</f>
        <v>45118</v>
      </c>
      <c r="H3646" s="107">
        <v>1.8541666666666665</v>
      </c>
      <c r="I3646" s="69" t="s">
        <v>2244</v>
      </c>
      <c r="J3646" s="69" t="s">
        <v>21040</v>
      </c>
      <c r="K3646" s="69" t="s">
        <v>1753</v>
      </c>
      <c r="L3646" s="69" t="s">
        <v>21041</v>
      </c>
      <c r="M3646" s="69" t="s">
        <v>45</v>
      </c>
      <c r="N3646" s="69" t="s">
        <v>123</v>
      </c>
      <c r="O3646" s="69" t="s">
        <v>46</v>
      </c>
      <c r="P3646" s="69" t="s">
        <v>146</v>
      </c>
      <c r="Q3646" s="69" t="s">
        <v>16054</v>
      </c>
      <c r="R3646" s="69" t="s">
        <v>1756</v>
      </c>
      <c r="S3646" s="69">
        <v>0</v>
      </c>
      <c r="T3646" s="69">
        <v>0</v>
      </c>
      <c r="U3646" s="69">
        <v>0</v>
      </c>
      <c r="V3646" s="69">
        <v>0</v>
      </c>
      <c r="W3646" s="69">
        <v>0</v>
      </c>
      <c r="X3646" s="69">
        <v>0</v>
      </c>
      <c r="Y3646" s="69">
        <v>0</v>
      </c>
      <c r="Z3646" s="69">
        <v>0</v>
      </c>
      <c r="AA3646" s="69">
        <v>0</v>
      </c>
      <c r="AB3646" s="69">
        <v>0</v>
      </c>
      <c r="AC3646" s="69">
        <v>0</v>
      </c>
      <c r="AD3646" s="69">
        <v>0</v>
      </c>
      <c r="AE3646" s="69" t="s">
        <v>73</v>
      </c>
      <c r="AF3646" s="69" t="s">
        <v>21042</v>
      </c>
      <c r="AG3646" s="69" t="s">
        <v>8837</v>
      </c>
      <c r="AH3646" s="43">
        <v>45147</v>
      </c>
      <c r="AI3646" s="69"/>
      <c r="AJ3646" s="69"/>
      <c r="AK3646" s="69"/>
    </row>
    <row r="3647" spans="1:37" ht="36.75" customHeight="1" x14ac:dyDescent="0.35">
      <c r="A3647" s="21" t="s">
        <v>12448</v>
      </c>
      <c r="B3647" s="5" t="s">
        <v>887</v>
      </c>
      <c r="C3647" s="73" t="str">
        <f t="shared" si="66"/>
        <v>Open</v>
      </c>
      <c r="D3647" s="47" t="s">
        <v>21043</v>
      </c>
      <c r="E3647" s="85" t="s">
        <v>21044</v>
      </c>
      <c r="F3647" s="69" t="s">
        <v>17537</v>
      </c>
      <c r="G3647" s="9">
        <f>DATE(2023,7,17)</f>
        <v>45124</v>
      </c>
      <c r="H3647" s="107">
        <v>1.5520833333333335</v>
      </c>
      <c r="I3647" s="69" t="s">
        <v>106</v>
      </c>
      <c r="J3647" s="69" t="s">
        <v>21045</v>
      </c>
      <c r="K3647" s="69" t="s">
        <v>818</v>
      </c>
      <c r="L3647" s="69" t="s">
        <v>21046</v>
      </c>
      <c r="M3647" s="69" t="s">
        <v>45</v>
      </c>
      <c r="N3647" s="69" t="s">
        <v>80</v>
      </c>
      <c r="O3647" s="69" t="s">
        <v>59</v>
      </c>
      <c r="P3647" s="69" t="s">
        <v>146</v>
      </c>
      <c r="Q3647" s="69" t="s">
        <v>2142</v>
      </c>
      <c r="R3647" s="69" t="s">
        <v>821</v>
      </c>
      <c r="S3647" s="69"/>
      <c r="T3647" s="69"/>
      <c r="U3647" s="69"/>
      <c r="V3647" s="69"/>
      <c r="W3647" s="69"/>
      <c r="X3647" s="69">
        <v>0</v>
      </c>
      <c r="Y3647" s="69"/>
      <c r="Z3647" s="69"/>
      <c r="AA3647" s="69"/>
      <c r="AB3647" s="69"/>
      <c r="AC3647" s="69"/>
      <c r="AD3647" s="69">
        <v>0</v>
      </c>
      <c r="AE3647" s="69" t="s">
        <v>73</v>
      </c>
      <c r="AF3647" s="69" t="s">
        <v>21047</v>
      </c>
      <c r="AG3647" s="69" t="s">
        <v>8837</v>
      </c>
      <c r="AH3647" s="43">
        <v>45124</v>
      </c>
      <c r="AI3647" s="69"/>
      <c r="AJ3647" s="69"/>
      <c r="AK3647" s="69"/>
    </row>
    <row r="3648" spans="1:37" ht="36.75" customHeight="1" x14ac:dyDescent="0.35">
      <c r="A3648" s="21" t="s">
        <v>12448</v>
      </c>
      <c r="B3648" s="5" t="s">
        <v>887</v>
      </c>
      <c r="C3648" s="73" t="str">
        <f t="shared" si="66"/>
        <v>Open</v>
      </c>
      <c r="D3648" s="47" t="s">
        <v>21048</v>
      </c>
      <c r="E3648" s="85" t="s">
        <v>21049</v>
      </c>
      <c r="F3648" s="69" t="s">
        <v>16397</v>
      </c>
      <c r="G3648" s="9">
        <f>DATE(2023,7,18)</f>
        <v>45125</v>
      </c>
      <c r="H3648" s="107">
        <v>1.6145833333333335</v>
      </c>
      <c r="I3648" s="69" t="s">
        <v>179</v>
      </c>
      <c r="J3648" s="69" t="s">
        <v>21050</v>
      </c>
      <c r="K3648" s="69" t="s">
        <v>406</v>
      </c>
      <c r="L3648" s="69" t="s">
        <v>21051</v>
      </c>
      <c r="M3648" s="69" t="s">
        <v>45</v>
      </c>
      <c r="N3648" s="69" t="s">
        <v>80</v>
      </c>
      <c r="O3648" s="69" t="s">
        <v>67</v>
      </c>
      <c r="P3648" s="69" t="s">
        <v>21052</v>
      </c>
      <c r="Q3648" s="69" t="s">
        <v>21053</v>
      </c>
      <c r="R3648" s="69" t="s">
        <v>21053</v>
      </c>
      <c r="S3648" s="69">
        <v>0</v>
      </c>
      <c r="T3648" s="69">
        <v>0</v>
      </c>
      <c r="U3648" s="69">
        <v>0</v>
      </c>
      <c r="V3648" s="69">
        <v>0</v>
      </c>
      <c r="W3648" s="69">
        <v>0</v>
      </c>
      <c r="X3648" s="69">
        <v>0</v>
      </c>
      <c r="Y3648" s="69">
        <v>0</v>
      </c>
      <c r="Z3648" s="69">
        <v>0</v>
      </c>
      <c r="AA3648" s="69">
        <v>0</v>
      </c>
      <c r="AB3648" s="69">
        <v>0</v>
      </c>
      <c r="AC3648" s="69">
        <v>0</v>
      </c>
      <c r="AD3648" s="69">
        <v>0</v>
      </c>
      <c r="AE3648" s="69" t="s">
        <v>126</v>
      </c>
      <c r="AF3648" s="69" t="s">
        <v>21054</v>
      </c>
      <c r="AG3648" s="69" t="s">
        <v>6438</v>
      </c>
      <c r="AH3648" s="43">
        <v>45125</v>
      </c>
      <c r="AI3648" s="69"/>
      <c r="AJ3648" s="69"/>
      <c r="AK3648" s="69"/>
    </row>
    <row r="3649" spans="1:37" ht="36.75" customHeight="1" x14ac:dyDescent="0.35">
      <c r="A3649" s="21" t="s">
        <v>12448</v>
      </c>
      <c r="B3649" s="5" t="s">
        <v>37</v>
      </c>
      <c r="C3649" s="73" t="str">
        <f t="shared" si="66"/>
        <v>Closed</v>
      </c>
      <c r="D3649" s="90" t="s">
        <v>21055</v>
      </c>
      <c r="E3649" s="85" t="s">
        <v>21056</v>
      </c>
      <c r="F3649" s="69" t="s">
        <v>17728</v>
      </c>
      <c r="G3649" s="9">
        <f>DATE(2023,7,20)</f>
        <v>45127</v>
      </c>
      <c r="H3649" s="107">
        <v>1.65625</v>
      </c>
      <c r="I3649" s="69" t="s">
        <v>106</v>
      </c>
      <c r="J3649" s="69" t="s">
        <v>21057</v>
      </c>
      <c r="K3649" s="69" t="s">
        <v>2583</v>
      </c>
      <c r="L3649" s="69" t="s">
        <v>21058</v>
      </c>
      <c r="M3649" s="69" t="s">
        <v>45</v>
      </c>
      <c r="N3649" s="69" t="s">
        <v>80</v>
      </c>
      <c r="O3649" s="69" t="s">
        <v>59</v>
      </c>
      <c r="P3649" s="69" t="s">
        <v>146</v>
      </c>
      <c r="Q3649" s="69" t="s">
        <v>21059</v>
      </c>
      <c r="R3649" s="69" t="s">
        <v>20667</v>
      </c>
      <c r="S3649" s="69">
        <v>0</v>
      </c>
      <c r="T3649" s="69">
        <v>0</v>
      </c>
      <c r="U3649" s="69">
        <v>0</v>
      </c>
      <c r="V3649" s="69">
        <v>0</v>
      </c>
      <c r="W3649" s="69">
        <v>0</v>
      </c>
      <c r="X3649" s="69">
        <v>0</v>
      </c>
      <c r="Y3649" s="69">
        <v>0</v>
      </c>
      <c r="Z3649" s="69">
        <v>0</v>
      </c>
      <c r="AA3649" s="69">
        <v>0</v>
      </c>
      <c r="AB3649" s="69">
        <v>0</v>
      </c>
      <c r="AC3649" s="69">
        <v>0</v>
      </c>
      <c r="AD3649" s="69">
        <v>0</v>
      </c>
      <c r="AE3649" s="69" t="s">
        <v>73</v>
      </c>
      <c r="AF3649" s="69" t="s">
        <v>21060</v>
      </c>
      <c r="AG3649" s="69" t="s">
        <v>8837</v>
      </c>
      <c r="AH3649" s="43">
        <v>45131</v>
      </c>
      <c r="AI3649" s="69">
        <v>6</v>
      </c>
      <c r="AJ3649" s="69" t="s">
        <v>21061</v>
      </c>
      <c r="AK3649" s="69" t="s">
        <v>21062</v>
      </c>
    </row>
    <row r="3650" spans="1:37" ht="36.75" customHeight="1" x14ac:dyDescent="0.35">
      <c r="A3650" s="21" t="s">
        <v>12448</v>
      </c>
      <c r="B3650" s="5" t="s">
        <v>887</v>
      </c>
      <c r="C3650" s="73" t="str">
        <f t="shared" si="66"/>
        <v>Open</v>
      </c>
      <c r="D3650" s="47" t="s">
        <v>21063</v>
      </c>
      <c r="E3650" s="85" t="s">
        <v>21064</v>
      </c>
      <c r="F3650" s="69" t="s">
        <v>17638</v>
      </c>
      <c r="G3650" s="9">
        <f>DATE(2023,8,1)</f>
        <v>45139</v>
      </c>
      <c r="H3650" s="107">
        <v>1.375</v>
      </c>
      <c r="I3650" s="69" t="s">
        <v>55</v>
      </c>
      <c r="J3650" s="69" t="s">
        <v>21065</v>
      </c>
      <c r="K3650" s="69" t="s">
        <v>1555</v>
      </c>
      <c r="L3650" s="69" t="s">
        <v>21066</v>
      </c>
      <c r="M3650" s="69" t="s">
        <v>45</v>
      </c>
      <c r="N3650" s="69" t="s">
        <v>123</v>
      </c>
      <c r="O3650" s="69" t="s">
        <v>46</v>
      </c>
      <c r="P3650" s="69" t="s">
        <v>282</v>
      </c>
      <c r="Q3650" s="69" t="s">
        <v>18956</v>
      </c>
      <c r="R3650" s="69" t="s">
        <v>18956</v>
      </c>
      <c r="S3650" s="69"/>
      <c r="T3650" s="69"/>
      <c r="U3650" s="69"/>
      <c r="V3650" s="69"/>
      <c r="W3650" s="69"/>
      <c r="X3650" s="69">
        <v>0</v>
      </c>
      <c r="Y3650" s="69"/>
      <c r="Z3650" s="69"/>
      <c r="AA3650" s="69"/>
      <c r="AB3650" s="69"/>
      <c r="AC3650" s="69"/>
      <c r="AD3650" s="69">
        <v>0</v>
      </c>
      <c r="AE3650" s="69" t="s">
        <v>73</v>
      </c>
      <c r="AF3650" s="69" t="s">
        <v>21067</v>
      </c>
      <c r="AG3650" s="69" t="s">
        <v>8837</v>
      </c>
      <c r="AH3650" s="43">
        <v>45140</v>
      </c>
      <c r="AI3650" s="69"/>
      <c r="AJ3650" s="69"/>
      <c r="AK3650" s="69"/>
    </row>
    <row r="3651" spans="1:37" ht="36.75" customHeight="1" x14ac:dyDescent="0.35">
      <c r="A3651" s="21" t="s">
        <v>12448</v>
      </c>
      <c r="B3651" s="5" t="s">
        <v>887</v>
      </c>
      <c r="C3651" s="73" t="str">
        <f t="shared" si="66"/>
        <v>Open</v>
      </c>
      <c r="D3651" s="47" t="s">
        <v>21068</v>
      </c>
      <c r="E3651" s="85" t="s">
        <v>21069</v>
      </c>
      <c r="F3651" s="69" t="s">
        <v>16397</v>
      </c>
      <c r="G3651" s="9">
        <f>DATE(2023,8,4)</f>
        <v>45142</v>
      </c>
      <c r="H3651" s="107">
        <v>1.0104166666666667</v>
      </c>
      <c r="I3651" s="69" t="s">
        <v>4590</v>
      </c>
      <c r="J3651" s="69" t="s">
        <v>21070</v>
      </c>
      <c r="K3651" s="69" t="s">
        <v>406</v>
      </c>
      <c r="L3651" s="69" t="s">
        <v>21071</v>
      </c>
      <c r="M3651" s="69" t="s">
        <v>45</v>
      </c>
      <c r="N3651" s="69" t="s">
        <v>123</v>
      </c>
      <c r="O3651" s="69" t="s">
        <v>59</v>
      </c>
      <c r="P3651" s="69" t="s">
        <v>60</v>
      </c>
      <c r="Q3651" s="69" t="s">
        <v>18043</v>
      </c>
      <c r="R3651" s="69" t="s">
        <v>17330</v>
      </c>
      <c r="S3651" s="69">
        <v>0</v>
      </c>
      <c r="T3651" s="69">
        <v>0</v>
      </c>
      <c r="U3651" s="69">
        <v>0</v>
      </c>
      <c r="V3651" s="69">
        <v>0</v>
      </c>
      <c r="W3651" s="69">
        <v>0</v>
      </c>
      <c r="X3651" s="69">
        <v>0</v>
      </c>
      <c r="Y3651" s="69">
        <v>0</v>
      </c>
      <c r="Z3651" s="69">
        <v>0</v>
      </c>
      <c r="AA3651" s="69">
        <v>0</v>
      </c>
      <c r="AB3651" s="69">
        <v>0</v>
      </c>
      <c r="AC3651" s="69">
        <v>0</v>
      </c>
      <c r="AD3651" s="69">
        <v>0</v>
      </c>
      <c r="AE3651" s="69" t="s">
        <v>73</v>
      </c>
      <c r="AF3651" s="69" t="s">
        <v>21024</v>
      </c>
      <c r="AG3651" s="69" t="s">
        <v>16251</v>
      </c>
      <c r="AH3651" s="43">
        <v>45142</v>
      </c>
      <c r="AI3651" s="69"/>
      <c r="AJ3651" s="69"/>
      <c r="AK3651" s="69"/>
    </row>
    <row r="3652" spans="1:37" ht="36.75" customHeight="1" x14ac:dyDescent="0.35">
      <c r="A3652" s="21" t="s">
        <v>12448</v>
      </c>
      <c r="B3652" s="5" t="s">
        <v>887</v>
      </c>
      <c r="C3652" s="73" t="str">
        <f t="shared" si="66"/>
        <v>Open</v>
      </c>
      <c r="D3652" s="47" t="s">
        <v>21072</v>
      </c>
      <c r="E3652" s="85" t="s">
        <v>21073</v>
      </c>
      <c r="F3652" s="69" t="s">
        <v>17638</v>
      </c>
      <c r="G3652" s="9">
        <f>DATE(2023,8,5)</f>
        <v>45143</v>
      </c>
      <c r="H3652" s="107">
        <v>1.4965277777777777</v>
      </c>
      <c r="I3652" s="69" t="s">
        <v>106</v>
      </c>
      <c r="J3652" s="69" t="s">
        <v>21074</v>
      </c>
      <c r="K3652" s="69" t="s">
        <v>1555</v>
      </c>
      <c r="L3652" s="69" t="s">
        <v>21075</v>
      </c>
      <c r="M3652" s="69" t="s">
        <v>45</v>
      </c>
      <c r="N3652" s="69" t="s">
        <v>123</v>
      </c>
      <c r="O3652" s="69" t="s">
        <v>59</v>
      </c>
      <c r="P3652" s="69" t="s">
        <v>60</v>
      </c>
      <c r="Q3652" s="69" t="s">
        <v>19297</v>
      </c>
      <c r="R3652" s="69" t="s">
        <v>18956</v>
      </c>
      <c r="S3652" s="69">
        <v>0</v>
      </c>
      <c r="T3652" s="69">
        <v>0</v>
      </c>
      <c r="U3652" s="69">
        <v>0</v>
      </c>
      <c r="V3652" s="69">
        <v>0</v>
      </c>
      <c r="W3652" s="69">
        <v>0</v>
      </c>
      <c r="X3652" s="69">
        <v>0</v>
      </c>
      <c r="Y3652" s="69">
        <v>0</v>
      </c>
      <c r="Z3652" s="69">
        <v>0</v>
      </c>
      <c r="AA3652" s="69">
        <v>0</v>
      </c>
      <c r="AB3652" s="69">
        <v>0</v>
      </c>
      <c r="AC3652" s="69">
        <v>0</v>
      </c>
      <c r="AD3652" s="69">
        <v>0</v>
      </c>
      <c r="AE3652" s="69" t="s">
        <v>73</v>
      </c>
      <c r="AF3652" s="69" t="s">
        <v>21076</v>
      </c>
      <c r="AG3652" s="69" t="s">
        <v>8837</v>
      </c>
      <c r="AH3652" s="43">
        <v>45145</v>
      </c>
      <c r="AI3652" s="69"/>
      <c r="AJ3652" s="69"/>
      <c r="AK3652" s="69"/>
    </row>
    <row r="3653" spans="1:37" ht="36.75" customHeight="1" x14ac:dyDescent="0.35">
      <c r="A3653" s="21" t="s">
        <v>12448</v>
      </c>
      <c r="B3653" s="5" t="s">
        <v>14851</v>
      </c>
      <c r="C3653" s="73" t="str">
        <f t="shared" si="66"/>
        <v>In progress</v>
      </c>
      <c r="D3653" s="47" t="s">
        <v>21077</v>
      </c>
      <c r="E3653" s="85" t="s">
        <v>21078</v>
      </c>
      <c r="F3653" s="69" t="s">
        <v>18015</v>
      </c>
      <c r="G3653" s="9">
        <f>DATE(2023,8,7)</f>
        <v>45145</v>
      </c>
      <c r="H3653" s="107">
        <v>1.5347222222222223</v>
      </c>
      <c r="I3653" s="69" t="s">
        <v>55</v>
      </c>
      <c r="J3653" s="69" t="s">
        <v>21079</v>
      </c>
      <c r="K3653" s="69" t="s">
        <v>121</v>
      </c>
      <c r="L3653" s="69" t="s">
        <v>21080</v>
      </c>
      <c r="M3653" s="69" t="s">
        <v>45</v>
      </c>
      <c r="N3653" s="69" t="s">
        <v>80</v>
      </c>
      <c r="O3653" s="69" t="s">
        <v>46</v>
      </c>
      <c r="P3653" s="69" t="s">
        <v>47</v>
      </c>
      <c r="Q3653" s="69" t="s">
        <v>2015</v>
      </c>
      <c r="R3653" s="69" t="s">
        <v>18480</v>
      </c>
      <c r="S3653" s="69">
        <v>0</v>
      </c>
      <c r="T3653" s="69">
        <v>0</v>
      </c>
      <c r="U3653" s="69">
        <v>0</v>
      </c>
      <c r="V3653" s="69">
        <v>0</v>
      </c>
      <c r="W3653" s="69">
        <v>0</v>
      </c>
      <c r="X3653" s="69">
        <v>0</v>
      </c>
      <c r="Y3653" s="69">
        <v>0</v>
      </c>
      <c r="Z3653" s="69">
        <v>0</v>
      </c>
      <c r="AA3653" s="69">
        <v>0</v>
      </c>
      <c r="AB3653" s="69">
        <v>0</v>
      </c>
      <c r="AC3653" s="69">
        <v>0</v>
      </c>
      <c r="AD3653" s="69">
        <v>0</v>
      </c>
      <c r="AE3653" s="69" t="s">
        <v>375</v>
      </c>
      <c r="AF3653" s="69" t="s">
        <v>21081</v>
      </c>
      <c r="AG3653" s="69" t="s">
        <v>8837</v>
      </c>
      <c r="AH3653" s="43">
        <v>45146</v>
      </c>
      <c r="AI3653" s="69"/>
      <c r="AJ3653" s="69"/>
      <c r="AK3653" s="69"/>
    </row>
    <row r="3654" spans="1:37" ht="36.75" customHeight="1" x14ac:dyDescent="0.35">
      <c r="A3654" s="21" t="s">
        <v>12448</v>
      </c>
      <c r="B3654" s="5" t="s">
        <v>887</v>
      </c>
      <c r="C3654" s="73" t="str">
        <f t="shared" si="66"/>
        <v>Open</v>
      </c>
      <c r="D3654" s="47" t="s">
        <v>21082</v>
      </c>
      <c r="E3654" s="85" t="s">
        <v>21083</v>
      </c>
      <c r="F3654" s="69" t="s">
        <v>17638</v>
      </c>
      <c r="G3654" s="9">
        <f>DATE(2023,8,9)</f>
        <v>45147</v>
      </c>
      <c r="H3654" s="107">
        <v>1.6145833333333335</v>
      </c>
      <c r="I3654" s="69" t="s">
        <v>55</v>
      </c>
      <c r="J3654" s="69" t="s">
        <v>21084</v>
      </c>
      <c r="K3654" s="69" t="s">
        <v>1555</v>
      </c>
      <c r="L3654" s="69" t="s">
        <v>21085</v>
      </c>
      <c r="M3654" s="69" t="s">
        <v>45</v>
      </c>
      <c r="N3654" s="69" t="s">
        <v>80</v>
      </c>
      <c r="O3654" s="69" t="s">
        <v>59</v>
      </c>
      <c r="P3654" s="69" t="s">
        <v>60</v>
      </c>
      <c r="Q3654" s="69" t="s">
        <v>18087</v>
      </c>
      <c r="R3654" s="69" t="s">
        <v>21086</v>
      </c>
      <c r="S3654" s="69"/>
      <c r="T3654" s="69"/>
      <c r="U3654" s="69"/>
      <c r="V3654" s="69"/>
      <c r="W3654" s="69"/>
      <c r="X3654" s="69">
        <v>0</v>
      </c>
      <c r="Y3654" s="69"/>
      <c r="Z3654" s="69"/>
      <c r="AA3654" s="69"/>
      <c r="AB3654" s="69"/>
      <c r="AC3654" s="69"/>
      <c r="AD3654" s="69">
        <v>0</v>
      </c>
      <c r="AE3654" s="69" t="s">
        <v>73</v>
      </c>
      <c r="AF3654" s="69" t="s">
        <v>21087</v>
      </c>
      <c r="AG3654" s="69" t="s">
        <v>8837</v>
      </c>
      <c r="AH3654" s="43">
        <v>45148</v>
      </c>
      <c r="AI3654" s="69"/>
      <c r="AJ3654" s="69"/>
      <c r="AK3654" s="69"/>
    </row>
    <row r="3655" spans="1:37" ht="36.75" customHeight="1" x14ac:dyDescent="0.35">
      <c r="A3655" s="21" t="s">
        <v>12448</v>
      </c>
      <c r="B3655" s="5" t="s">
        <v>14851</v>
      </c>
      <c r="C3655" s="73" t="str">
        <f t="shared" si="66"/>
        <v>In progress</v>
      </c>
      <c r="D3655" s="47" t="s">
        <v>21088</v>
      </c>
      <c r="E3655" s="85" t="s">
        <v>21089</v>
      </c>
      <c r="F3655" s="69" t="s">
        <v>15039</v>
      </c>
      <c r="G3655" s="9">
        <f>DATE(2023,8,10)</f>
        <v>45148</v>
      </c>
      <c r="H3655" s="107">
        <v>1.5347222222222223</v>
      </c>
      <c r="I3655" s="69" t="s">
        <v>55</v>
      </c>
      <c r="J3655" s="69" t="s">
        <v>21090</v>
      </c>
      <c r="K3655" s="69" t="s">
        <v>13412</v>
      </c>
      <c r="L3655" s="69" t="s">
        <v>21091</v>
      </c>
      <c r="M3655" s="69" t="s">
        <v>45</v>
      </c>
      <c r="N3655" s="69" t="s">
        <v>70</v>
      </c>
      <c r="O3655" s="69" t="s">
        <v>46</v>
      </c>
      <c r="P3655" s="69" t="s">
        <v>60</v>
      </c>
      <c r="Q3655" s="69" t="s">
        <v>21092</v>
      </c>
      <c r="R3655" s="69" t="s">
        <v>21093</v>
      </c>
      <c r="S3655" s="69"/>
      <c r="T3655" s="69"/>
      <c r="U3655" s="69"/>
      <c r="V3655" s="69"/>
      <c r="W3655" s="69"/>
      <c r="X3655" s="69">
        <v>0</v>
      </c>
      <c r="Y3655" s="69"/>
      <c r="Z3655" s="69"/>
      <c r="AA3655" s="69"/>
      <c r="AB3655" s="69"/>
      <c r="AC3655" s="69"/>
      <c r="AD3655" s="69">
        <v>0</v>
      </c>
      <c r="AE3655" s="69" t="s">
        <v>126</v>
      </c>
      <c r="AF3655" s="69" t="s">
        <v>21094</v>
      </c>
      <c r="AG3655" s="69" t="s">
        <v>6438</v>
      </c>
      <c r="AH3655" s="43">
        <v>45153</v>
      </c>
      <c r="AI3655" s="69">
        <v>2</v>
      </c>
      <c r="AJ3655" s="69"/>
      <c r="AK3655" s="69"/>
    </row>
    <row r="3656" spans="1:37" ht="36.75" customHeight="1" x14ac:dyDescent="0.35">
      <c r="A3656" s="21" t="s">
        <v>12448</v>
      </c>
      <c r="B3656" s="5" t="s">
        <v>887</v>
      </c>
      <c r="C3656" s="73" t="str">
        <f t="shared" si="66"/>
        <v>Open</v>
      </c>
      <c r="D3656" s="47" t="s">
        <v>21095</v>
      </c>
      <c r="E3656" s="85" t="s">
        <v>21096</v>
      </c>
      <c r="F3656" s="69" t="s">
        <v>17537</v>
      </c>
      <c r="G3656" s="9">
        <f>DATE(2023,8,14)</f>
        <v>45152</v>
      </c>
      <c r="H3656" s="107">
        <v>1.5590277777777777</v>
      </c>
      <c r="I3656" s="69" t="s">
        <v>55</v>
      </c>
      <c r="J3656" s="69" t="s">
        <v>21097</v>
      </c>
      <c r="K3656" s="69" t="s">
        <v>818</v>
      </c>
      <c r="L3656" s="69" t="s">
        <v>21098</v>
      </c>
      <c r="M3656" s="69" t="s">
        <v>9897</v>
      </c>
      <c r="N3656" s="69" t="s">
        <v>80</v>
      </c>
      <c r="O3656" s="69" t="s">
        <v>46</v>
      </c>
      <c r="P3656" s="69" t="s">
        <v>7960</v>
      </c>
      <c r="Q3656" s="69" t="s">
        <v>821</v>
      </c>
      <c r="R3656" s="69" t="s">
        <v>821</v>
      </c>
      <c r="S3656" s="69">
        <v>0</v>
      </c>
      <c r="T3656" s="69">
        <v>0</v>
      </c>
      <c r="U3656" s="69">
        <v>0</v>
      </c>
      <c r="V3656" s="69">
        <v>0</v>
      </c>
      <c r="W3656" s="69">
        <v>0</v>
      </c>
      <c r="X3656" s="69">
        <v>0</v>
      </c>
      <c r="Y3656" s="69">
        <v>0</v>
      </c>
      <c r="Z3656" s="69">
        <v>0</v>
      </c>
      <c r="AA3656" s="69">
        <v>0</v>
      </c>
      <c r="AB3656" s="69">
        <v>0</v>
      </c>
      <c r="AC3656" s="69">
        <v>0</v>
      </c>
      <c r="AD3656" s="69">
        <v>0</v>
      </c>
      <c r="AE3656" s="69" t="s">
        <v>73</v>
      </c>
      <c r="AF3656" s="69" t="s">
        <v>21099</v>
      </c>
      <c r="AG3656" s="69" t="s">
        <v>21100</v>
      </c>
      <c r="AH3656" s="43">
        <v>45153</v>
      </c>
      <c r="AI3656" s="69"/>
      <c r="AJ3656" s="69"/>
      <c r="AK3656" s="69"/>
    </row>
    <row r="3657" spans="1:37" ht="36.75" customHeight="1" x14ac:dyDescent="0.35">
      <c r="A3657" s="21" t="s">
        <v>12448</v>
      </c>
      <c r="B3657" s="5" t="s">
        <v>887</v>
      </c>
      <c r="C3657" s="73" t="str">
        <f t="shared" ref="C3657:C3720" si="67">IF(B3657="Notification","Open",IF(B3657="Interim Statement","In progress","Closed"))</f>
        <v>Open</v>
      </c>
      <c r="D3657" s="47" t="s">
        <v>21101</v>
      </c>
      <c r="E3657" s="85" t="s">
        <v>21102</v>
      </c>
      <c r="F3657" s="69" t="s">
        <v>12887</v>
      </c>
      <c r="G3657" s="9">
        <f>DATE(2023,8,17)</f>
        <v>45155</v>
      </c>
      <c r="H3657" s="107">
        <v>1.6805555555555554</v>
      </c>
      <c r="I3657" s="69" t="s">
        <v>97</v>
      </c>
      <c r="J3657" s="69" t="s">
        <v>21103</v>
      </c>
      <c r="K3657" s="69" t="s">
        <v>434</v>
      </c>
      <c r="L3657" s="69" t="s">
        <v>21104</v>
      </c>
      <c r="M3657" s="69" t="s">
        <v>236</v>
      </c>
      <c r="N3657" s="69" t="s">
        <v>123</v>
      </c>
      <c r="O3657" s="69" t="s">
        <v>46</v>
      </c>
      <c r="P3657" s="69" t="s">
        <v>18420</v>
      </c>
      <c r="Q3657" s="69" t="s">
        <v>16552</v>
      </c>
      <c r="R3657" s="69" t="s">
        <v>16553</v>
      </c>
      <c r="S3657" s="69">
        <v>0</v>
      </c>
      <c r="T3657" s="69">
        <v>0</v>
      </c>
      <c r="U3657" s="69">
        <v>0</v>
      </c>
      <c r="V3657" s="69">
        <v>0</v>
      </c>
      <c r="W3657" s="69">
        <v>0</v>
      </c>
      <c r="X3657" s="69">
        <v>0</v>
      </c>
      <c r="Y3657" s="69">
        <v>0</v>
      </c>
      <c r="Z3657" s="69">
        <v>0</v>
      </c>
      <c r="AA3657" s="69">
        <v>1</v>
      </c>
      <c r="AB3657" s="69">
        <v>0</v>
      </c>
      <c r="AC3657" s="69">
        <v>0</v>
      </c>
      <c r="AD3657" s="69">
        <v>1</v>
      </c>
      <c r="AE3657" s="69" t="s">
        <v>73</v>
      </c>
      <c r="AF3657" s="69" t="s">
        <v>21105</v>
      </c>
      <c r="AG3657" s="69" t="s">
        <v>13508</v>
      </c>
      <c r="AH3657" s="43">
        <v>45230</v>
      </c>
      <c r="AI3657" s="69"/>
      <c r="AJ3657" s="69"/>
      <c r="AK3657" s="69"/>
    </row>
    <row r="3658" spans="1:37" ht="36.75" customHeight="1" x14ac:dyDescent="0.35">
      <c r="A3658" s="21" t="s">
        <v>12448</v>
      </c>
      <c r="B3658" s="5" t="s">
        <v>887</v>
      </c>
      <c r="C3658" s="73" t="str">
        <f t="shared" si="67"/>
        <v>Open</v>
      </c>
      <c r="D3658" s="47" t="s">
        <v>21106</v>
      </c>
      <c r="E3658" s="85" t="s">
        <v>21107</v>
      </c>
      <c r="F3658" s="69" t="s">
        <v>17638</v>
      </c>
      <c r="G3658" s="9">
        <f>DATE(2023,8,23)</f>
        <v>45161</v>
      </c>
      <c r="H3658" s="107">
        <v>1.5729166666666665</v>
      </c>
      <c r="I3658" s="69" t="s">
        <v>106</v>
      </c>
      <c r="J3658" s="69" t="s">
        <v>21108</v>
      </c>
      <c r="K3658" s="69" t="s">
        <v>1555</v>
      </c>
      <c r="L3658" s="69" t="s">
        <v>21109</v>
      </c>
      <c r="M3658" s="69" t="s">
        <v>45</v>
      </c>
      <c r="N3658" s="69" t="s">
        <v>80</v>
      </c>
      <c r="O3658" s="69" t="s">
        <v>46</v>
      </c>
      <c r="P3658" s="69" t="s">
        <v>146</v>
      </c>
      <c r="Q3658" s="69" t="s">
        <v>19832</v>
      </c>
      <c r="R3658" s="69" t="s">
        <v>19833</v>
      </c>
      <c r="S3658" s="69">
        <v>0</v>
      </c>
      <c r="T3658" s="69">
        <v>0</v>
      </c>
      <c r="U3658" s="69">
        <v>0</v>
      </c>
      <c r="V3658" s="69">
        <v>0</v>
      </c>
      <c r="W3658" s="69">
        <v>0</v>
      </c>
      <c r="X3658" s="69">
        <v>0</v>
      </c>
      <c r="Y3658" s="69">
        <v>0</v>
      </c>
      <c r="Z3658" s="69">
        <v>0</v>
      </c>
      <c r="AA3658" s="69">
        <v>0</v>
      </c>
      <c r="AB3658" s="69">
        <v>0</v>
      </c>
      <c r="AC3658" s="69">
        <v>0</v>
      </c>
      <c r="AD3658" s="69">
        <v>0</v>
      </c>
      <c r="AE3658" s="69" t="s">
        <v>73</v>
      </c>
      <c r="AF3658" s="69" t="s">
        <v>21110</v>
      </c>
      <c r="AG3658" s="69" t="s">
        <v>8837</v>
      </c>
      <c r="AH3658" s="43">
        <v>45162</v>
      </c>
      <c r="AI3658" s="69"/>
      <c r="AJ3658" s="69"/>
      <c r="AK3658" s="69"/>
    </row>
    <row r="3659" spans="1:37" ht="36.75" customHeight="1" x14ac:dyDescent="0.35">
      <c r="A3659" s="21" t="s">
        <v>12448</v>
      </c>
      <c r="B3659" s="5" t="s">
        <v>887</v>
      </c>
      <c r="C3659" s="73" t="str">
        <f t="shared" si="67"/>
        <v>Open</v>
      </c>
      <c r="D3659" s="47" t="s">
        <v>21111</v>
      </c>
      <c r="E3659" s="85" t="s">
        <v>21112</v>
      </c>
      <c r="F3659" s="69" t="s">
        <v>17018</v>
      </c>
      <c r="G3659" s="9">
        <f>DATE(2023,8,24)</f>
        <v>45162</v>
      </c>
      <c r="H3659" s="107">
        <v>1.5034722222222223</v>
      </c>
      <c r="I3659" s="69" t="s">
        <v>179</v>
      </c>
      <c r="J3659" s="69" t="s">
        <v>21113</v>
      </c>
      <c r="K3659" s="69" t="s">
        <v>2318</v>
      </c>
      <c r="L3659" s="69" t="s">
        <v>21114</v>
      </c>
      <c r="M3659" s="69" t="s">
        <v>45</v>
      </c>
      <c r="N3659" s="69" t="s">
        <v>123</v>
      </c>
      <c r="O3659" s="69" t="s">
        <v>59</v>
      </c>
      <c r="P3659" s="69" t="s">
        <v>6881</v>
      </c>
      <c r="Q3659" s="69" t="s">
        <v>21115</v>
      </c>
      <c r="R3659" s="69" t="s">
        <v>2321</v>
      </c>
      <c r="S3659" s="69">
        <v>0</v>
      </c>
      <c r="T3659" s="69">
        <v>0</v>
      </c>
      <c r="U3659" s="69">
        <v>0</v>
      </c>
      <c r="V3659" s="69">
        <v>0</v>
      </c>
      <c r="W3659" s="69">
        <v>0</v>
      </c>
      <c r="X3659" s="69">
        <v>0</v>
      </c>
      <c r="Y3659" s="69">
        <v>0</v>
      </c>
      <c r="Z3659" s="69">
        <v>0</v>
      </c>
      <c r="AA3659" s="69">
        <v>0</v>
      </c>
      <c r="AB3659" s="69">
        <v>0</v>
      </c>
      <c r="AC3659" s="69">
        <v>0</v>
      </c>
      <c r="AD3659" s="69">
        <v>0</v>
      </c>
      <c r="AE3659" s="69" t="s">
        <v>375</v>
      </c>
      <c r="AF3659" s="69" t="s">
        <v>21116</v>
      </c>
      <c r="AG3659" s="69" t="s">
        <v>13508</v>
      </c>
      <c r="AH3659" s="43">
        <v>45170</v>
      </c>
      <c r="AI3659" s="69"/>
      <c r="AJ3659" s="69"/>
      <c r="AK3659" s="69"/>
    </row>
    <row r="3660" spans="1:37" ht="36.75" customHeight="1" x14ac:dyDescent="0.35">
      <c r="A3660" s="21" t="s">
        <v>12448</v>
      </c>
      <c r="B3660" s="5" t="s">
        <v>887</v>
      </c>
      <c r="C3660" s="73" t="str">
        <f t="shared" si="67"/>
        <v>Open</v>
      </c>
      <c r="D3660" s="47" t="s">
        <v>21117</v>
      </c>
      <c r="E3660" s="85" t="s">
        <v>21118</v>
      </c>
      <c r="F3660" s="69" t="s">
        <v>17537</v>
      </c>
      <c r="G3660" s="9">
        <f>DATE(2023,8,28)</f>
        <v>45166</v>
      </c>
      <c r="H3660" s="107">
        <v>1.6597222222222223</v>
      </c>
      <c r="I3660" s="69" t="s">
        <v>55</v>
      </c>
      <c r="J3660" s="69" t="s">
        <v>21119</v>
      </c>
      <c r="K3660" s="69" t="s">
        <v>818</v>
      </c>
      <c r="L3660" s="69" t="s">
        <v>21120</v>
      </c>
      <c r="M3660" s="69" t="s">
        <v>45</v>
      </c>
      <c r="N3660" s="69" t="s">
        <v>80</v>
      </c>
      <c r="O3660" s="69" t="s">
        <v>46</v>
      </c>
      <c r="P3660" s="69" t="s">
        <v>146</v>
      </c>
      <c r="Q3660" s="69" t="s">
        <v>18286</v>
      </c>
      <c r="R3660" s="69" t="s">
        <v>821</v>
      </c>
      <c r="S3660" s="69">
        <v>0</v>
      </c>
      <c r="T3660" s="69">
        <v>0</v>
      </c>
      <c r="U3660" s="69">
        <v>0</v>
      </c>
      <c r="V3660" s="69">
        <v>0</v>
      </c>
      <c r="W3660" s="69">
        <v>0</v>
      </c>
      <c r="X3660" s="69">
        <v>0</v>
      </c>
      <c r="Y3660" s="69">
        <v>0</v>
      </c>
      <c r="Z3660" s="69">
        <v>0</v>
      </c>
      <c r="AA3660" s="69">
        <v>0</v>
      </c>
      <c r="AB3660" s="69">
        <v>0</v>
      </c>
      <c r="AC3660" s="69">
        <v>0</v>
      </c>
      <c r="AD3660" s="69">
        <v>0</v>
      </c>
      <c r="AE3660" s="69" t="s">
        <v>73</v>
      </c>
      <c r="AF3660" s="69" t="s">
        <v>860</v>
      </c>
      <c r="AG3660" s="69" t="s">
        <v>13508</v>
      </c>
      <c r="AH3660" s="43">
        <v>45166</v>
      </c>
      <c r="AI3660" s="69"/>
      <c r="AJ3660" s="69"/>
      <c r="AK3660" s="69"/>
    </row>
    <row r="3661" spans="1:37" ht="36.75" customHeight="1" x14ac:dyDescent="0.35">
      <c r="A3661" s="21" t="s">
        <v>12448</v>
      </c>
      <c r="B3661" s="5" t="s">
        <v>887</v>
      </c>
      <c r="C3661" s="73" t="str">
        <f t="shared" si="67"/>
        <v>Open</v>
      </c>
      <c r="D3661" s="47" t="s">
        <v>21121</v>
      </c>
      <c r="E3661" s="85" t="s">
        <v>21122</v>
      </c>
      <c r="F3661" s="69" t="s">
        <v>18076</v>
      </c>
      <c r="G3661" s="9">
        <f>DATE(2023,8,30)</f>
        <v>45168</v>
      </c>
      <c r="H3661" s="107">
        <v>1.9930555555555554</v>
      </c>
      <c r="I3661" s="69" t="s">
        <v>259</v>
      </c>
      <c r="J3661" s="69" t="s">
        <v>21123</v>
      </c>
      <c r="K3661" s="69" t="s">
        <v>360</v>
      </c>
      <c r="L3661" s="69" t="s">
        <v>21124</v>
      </c>
      <c r="M3661" s="69" t="s">
        <v>45</v>
      </c>
      <c r="N3661" s="69" t="s">
        <v>123</v>
      </c>
      <c r="O3661" s="69" t="s">
        <v>59</v>
      </c>
      <c r="P3661" s="69" t="s">
        <v>146</v>
      </c>
      <c r="Q3661" s="69" t="s">
        <v>3173</v>
      </c>
      <c r="R3661" s="69" t="s">
        <v>19563</v>
      </c>
      <c r="S3661" s="69"/>
      <c r="T3661" s="69"/>
      <c r="U3661" s="69"/>
      <c r="V3661" s="69"/>
      <c r="W3661" s="69"/>
      <c r="X3661" s="69">
        <v>5</v>
      </c>
      <c r="Y3661" s="69"/>
      <c r="Z3661" s="69"/>
      <c r="AA3661" s="69"/>
      <c r="AB3661" s="69"/>
      <c r="AC3661" s="69"/>
      <c r="AD3661" s="69">
        <v>0</v>
      </c>
      <c r="AE3661" s="69" t="s">
        <v>73</v>
      </c>
      <c r="AF3661" s="69" t="s">
        <v>21125</v>
      </c>
      <c r="AG3661" s="69" t="s">
        <v>6438</v>
      </c>
      <c r="AH3661" s="43">
        <v>45169</v>
      </c>
      <c r="AI3661" s="69"/>
      <c r="AJ3661" s="69"/>
      <c r="AK3661" s="69"/>
    </row>
    <row r="3662" spans="1:37" ht="36.75" customHeight="1" x14ac:dyDescent="0.35">
      <c r="A3662" s="21" t="s">
        <v>12448</v>
      </c>
      <c r="B3662" s="5" t="s">
        <v>887</v>
      </c>
      <c r="C3662" s="73" t="str">
        <f t="shared" si="67"/>
        <v>Open</v>
      </c>
      <c r="D3662" s="47" t="s">
        <v>21126</v>
      </c>
      <c r="E3662" s="85" t="s">
        <v>21127</v>
      </c>
      <c r="F3662" s="69" t="s">
        <v>17638</v>
      </c>
      <c r="G3662" s="9">
        <f>DATE(2023,9,1)</f>
        <v>45170</v>
      </c>
      <c r="H3662" s="107">
        <v>1.2638888888888888</v>
      </c>
      <c r="I3662" s="69" t="s">
        <v>106</v>
      </c>
      <c r="J3662" s="69" t="s">
        <v>21128</v>
      </c>
      <c r="K3662" s="69" t="s">
        <v>1555</v>
      </c>
      <c r="L3662" s="69" t="s">
        <v>21129</v>
      </c>
      <c r="M3662" s="69" t="s">
        <v>45</v>
      </c>
      <c r="N3662" s="69" t="s">
        <v>80</v>
      </c>
      <c r="O3662" s="69" t="s">
        <v>46</v>
      </c>
      <c r="P3662" s="69" t="s">
        <v>146</v>
      </c>
      <c r="Q3662" s="69" t="s">
        <v>18690</v>
      </c>
      <c r="R3662" s="69" t="s">
        <v>17642</v>
      </c>
      <c r="S3662" s="69">
        <v>0</v>
      </c>
      <c r="T3662" s="69">
        <v>0</v>
      </c>
      <c r="U3662" s="69">
        <v>0</v>
      </c>
      <c r="V3662" s="69">
        <v>0</v>
      </c>
      <c r="W3662" s="69">
        <v>0</v>
      </c>
      <c r="X3662" s="69">
        <v>0</v>
      </c>
      <c r="Y3662" s="69">
        <v>0</v>
      </c>
      <c r="Z3662" s="69">
        <v>0</v>
      </c>
      <c r="AA3662" s="69">
        <v>0</v>
      </c>
      <c r="AB3662" s="69">
        <v>0</v>
      </c>
      <c r="AC3662" s="69">
        <v>0</v>
      </c>
      <c r="AD3662" s="69">
        <v>0</v>
      </c>
      <c r="AE3662" s="69" t="s">
        <v>73</v>
      </c>
      <c r="AF3662" s="69" t="s">
        <v>21130</v>
      </c>
      <c r="AG3662" s="69" t="s">
        <v>8837</v>
      </c>
      <c r="AH3662" s="43">
        <v>45175</v>
      </c>
      <c r="AI3662" s="69"/>
      <c r="AJ3662" s="69"/>
      <c r="AK3662" s="69"/>
    </row>
    <row r="3663" spans="1:37" ht="36.75" customHeight="1" x14ac:dyDescent="0.35">
      <c r="A3663" s="21" t="s">
        <v>12448</v>
      </c>
      <c r="B3663" s="5" t="s">
        <v>887</v>
      </c>
      <c r="C3663" s="73" t="str">
        <f t="shared" si="67"/>
        <v>Open</v>
      </c>
      <c r="D3663" s="47" t="s">
        <v>21131</v>
      </c>
      <c r="E3663" s="85" t="s">
        <v>21132</v>
      </c>
      <c r="F3663" s="69" t="s">
        <v>12887</v>
      </c>
      <c r="G3663" s="9">
        <f>DATE(2023,9,6)</f>
        <v>45175</v>
      </c>
      <c r="H3663" s="107">
        <v>1.1111111111111112</v>
      </c>
      <c r="I3663" s="69" t="s">
        <v>67</v>
      </c>
      <c r="J3663" s="69" t="s">
        <v>21133</v>
      </c>
      <c r="K3663" s="69" t="s">
        <v>434</v>
      </c>
      <c r="L3663" s="69" t="s">
        <v>21134</v>
      </c>
      <c r="M3663" s="69" t="s">
        <v>45</v>
      </c>
      <c r="N3663" s="69" t="s">
        <v>70</v>
      </c>
      <c r="O3663" s="69" t="s">
        <v>59</v>
      </c>
      <c r="P3663" s="69" t="s">
        <v>362</v>
      </c>
      <c r="Q3663" s="69" t="s">
        <v>18385</v>
      </c>
      <c r="R3663" s="69" t="s">
        <v>553</v>
      </c>
      <c r="S3663" s="69">
        <v>0</v>
      </c>
      <c r="T3663" s="69">
        <v>0</v>
      </c>
      <c r="U3663" s="69">
        <v>0</v>
      </c>
      <c r="V3663" s="69">
        <v>0</v>
      </c>
      <c r="W3663" s="69">
        <v>0</v>
      </c>
      <c r="X3663" s="69">
        <v>0</v>
      </c>
      <c r="Y3663" s="69">
        <v>0</v>
      </c>
      <c r="Z3663" s="69">
        <v>0</v>
      </c>
      <c r="AA3663" s="69">
        <v>0</v>
      </c>
      <c r="AB3663" s="69">
        <v>0</v>
      </c>
      <c r="AC3663" s="69">
        <v>0</v>
      </c>
      <c r="AD3663" s="69">
        <v>0</v>
      </c>
      <c r="AE3663" s="69" t="s">
        <v>73</v>
      </c>
      <c r="AF3663" s="69" t="s">
        <v>693</v>
      </c>
      <c r="AG3663" s="69" t="s">
        <v>13508</v>
      </c>
      <c r="AH3663" s="43">
        <v>45230</v>
      </c>
      <c r="AI3663" s="69"/>
      <c r="AJ3663" s="69"/>
      <c r="AK3663" s="69"/>
    </row>
    <row r="3664" spans="1:37" ht="36.75" customHeight="1" x14ac:dyDescent="0.35">
      <c r="A3664" s="21" t="s">
        <v>12448</v>
      </c>
      <c r="B3664" s="5" t="s">
        <v>887</v>
      </c>
      <c r="C3664" s="73" t="str">
        <f t="shared" si="67"/>
        <v>Open</v>
      </c>
      <c r="D3664" s="47" t="s">
        <v>21135</v>
      </c>
      <c r="E3664" s="85" t="s">
        <v>21136</v>
      </c>
      <c r="F3664" s="69" t="s">
        <v>12887</v>
      </c>
      <c r="G3664" s="9">
        <f>DATE(2023,9,9)</f>
        <v>45178</v>
      </c>
      <c r="H3664" s="107">
        <v>1.2743055555555556</v>
      </c>
      <c r="I3664" s="69" t="s">
        <v>8481</v>
      </c>
      <c r="J3664" s="69" t="s">
        <v>21137</v>
      </c>
      <c r="K3664" s="69" t="s">
        <v>434</v>
      </c>
      <c r="L3664" s="69" t="s">
        <v>21138</v>
      </c>
      <c r="M3664" s="69" t="s">
        <v>45</v>
      </c>
      <c r="N3664" s="69" t="s">
        <v>123</v>
      </c>
      <c r="O3664" s="69" t="s">
        <v>59</v>
      </c>
      <c r="P3664" s="69" t="s">
        <v>47</v>
      </c>
      <c r="Q3664" s="69" t="s">
        <v>14350</v>
      </c>
      <c r="R3664" s="69" t="s">
        <v>553</v>
      </c>
      <c r="S3664" s="69">
        <v>0</v>
      </c>
      <c r="T3664" s="69">
        <v>0</v>
      </c>
      <c r="U3664" s="69">
        <v>0</v>
      </c>
      <c r="V3664" s="69">
        <v>0</v>
      </c>
      <c r="W3664" s="69">
        <v>0</v>
      </c>
      <c r="X3664" s="69">
        <v>0</v>
      </c>
      <c r="Y3664" s="69">
        <v>0</v>
      </c>
      <c r="Z3664" s="69">
        <v>0</v>
      </c>
      <c r="AA3664" s="69">
        <v>0</v>
      </c>
      <c r="AB3664" s="69">
        <v>0</v>
      </c>
      <c r="AC3664" s="69">
        <v>0</v>
      </c>
      <c r="AD3664" s="69">
        <v>0</v>
      </c>
      <c r="AE3664" s="69" t="s">
        <v>73</v>
      </c>
      <c r="AF3664" s="69" t="s">
        <v>21139</v>
      </c>
      <c r="AG3664" s="69" t="s">
        <v>8837</v>
      </c>
      <c r="AH3664" s="43">
        <v>45187</v>
      </c>
      <c r="AI3664" s="69"/>
      <c r="AJ3664" s="69"/>
      <c r="AK3664" s="69"/>
    </row>
    <row r="3665" spans="1:37" ht="36.75" customHeight="1" x14ac:dyDescent="0.35">
      <c r="A3665" s="21" t="s">
        <v>12448</v>
      </c>
      <c r="B3665" s="5" t="s">
        <v>887</v>
      </c>
      <c r="C3665" s="73" t="str">
        <f t="shared" si="67"/>
        <v>Open</v>
      </c>
      <c r="D3665" s="47" t="s">
        <v>21140</v>
      </c>
      <c r="E3665" s="85" t="s">
        <v>21141</v>
      </c>
      <c r="F3665" s="69" t="s">
        <v>17638</v>
      </c>
      <c r="G3665" s="9">
        <f>DATE(2023,9,10)</f>
        <v>45179</v>
      </c>
      <c r="H3665" s="107">
        <v>1.6284722222222223</v>
      </c>
      <c r="I3665" s="69" t="s">
        <v>55</v>
      </c>
      <c r="J3665" s="69" t="s">
        <v>21142</v>
      </c>
      <c r="K3665" s="69" t="s">
        <v>1555</v>
      </c>
      <c r="L3665" s="69" t="s">
        <v>14082</v>
      </c>
      <c r="M3665" s="69" t="s">
        <v>45</v>
      </c>
      <c r="N3665" s="69" t="s">
        <v>80</v>
      </c>
      <c r="O3665" s="69" t="s">
        <v>59</v>
      </c>
      <c r="P3665" s="69" t="s">
        <v>60</v>
      </c>
      <c r="Q3665" s="69" t="s">
        <v>21143</v>
      </c>
      <c r="R3665" s="69" t="s">
        <v>21143</v>
      </c>
      <c r="S3665" s="69"/>
      <c r="T3665" s="69"/>
      <c r="U3665" s="69"/>
      <c r="V3665" s="69"/>
      <c r="W3665" s="69"/>
      <c r="X3665" s="69">
        <v>0</v>
      </c>
      <c r="Y3665" s="69"/>
      <c r="Z3665" s="69"/>
      <c r="AA3665" s="69"/>
      <c r="AB3665" s="69"/>
      <c r="AC3665" s="69"/>
      <c r="AD3665" s="69">
        <v>0</v>
      </c>
      <c r="AE3665" s="69" t="s">
        <v>73</v>
      </c>
      <c r="AF3665" s="69" t="s">
        <v>21144</v>
      </c>
      <c r="AG3665" s="69" t="s">
        <v>8837</v>
      </c>
      <c r="AH3665" s="43">
        <v>45180</v>
      </c>
      <c r="AI3665" s="69"/>
      <c r="AJ3665" s="69"/>
      <c r="AK3665" s="69"/>
    </row>
    <row r="3666" spans="1:37" ht="36.75" customHeight="1" x14ac:dyDescent="0.35">
      <c r="A3666" s="21" t="s">
        <v>12448</v>
      </c>
      <c r="B3666" s="5" t="s">
        <v>887</v>
      </c>
      <c r="C3666" s="73" t="str">
        <f t="shared" si="67"/>
        <v>Open</v>
      </c>
      <c r="D3666" s="47" t="s">
        <v>21145</v>
      </c>
      <c r="E3666" s="85" t="s">
        <v>21146</v>
      </c>
      <c r="F3666" s="69" t="s">
        <v>12887</v>
      </c>
      <c r="G3666" s="9">
        <f>DATE(2023,9,10)</f>
        <v>45179</v>
      </c>
      <c r="H3666" s="107">
        <v>1.8194444444444446</v>
      </c>
      <c r="I3666" s="69" t="s">
        <v>259</v>
      </c>
      <c r="J3666" s="69" t="s">
        <v>21147</v>
      </c>
      <c r="K3666" s="69" t="s">
        <v>434</v>
      </c>
      <c r="L3666" s="69" t="s">
        <v>21148</v>
      </c>
      <c r="M3666" s="69" t="s">
        <v>45</v>
      </c>
      <c r="N3666" s="69" t="s">
        <v>123</v>
      </c>
      <c r="O3666" s="69" t="s">
        <v>46</v>
      </c>
      <c r="P3666" s="69" t="s">
        <v>47</v>
      </c>
      <c r="Q3666" s="69" t="s">
        <v>14350</v>
      </c>
      <c r="R3666" s="69" t="s">
        <v>553</v>
      </c>
      <c r="S3666" s="69">
        <v>0</v>
      </c>
      <c r="T3666" s="69">
        <v>0</v>
      </c>
      <c r="U3666" s="69">
        <v>0</v>
      </c>
      <c r="V3666" s="69">
        <v>1</v>
      </c>
      <c r="W3666" s="69">
        <v>0</v>
      </c>
      <c r="X3666" s="69">
        <v>1</v>
      </c>
      <c r="Y3666" s="69">
        <v>0</v>
      </c>
      <c r="Z3666" s="69">
        <v>0</v>
      </c>
      <c r="AA3666" s="69">
        <v>0</v>
      </c>
      <c r="AB3666" s="69">
        <v>0</v>
      </c>
      <c r="AC3666" s="69">
        <v>0</v>
      </c>
      <c r="AD3666" s="69">
        <v>0</v>
      </c>
      <c r="AE3666" s="69" t="s">
        <v>73</v>
      </c>
      <c r="AF3666" s="69" t="s">
        <v>693</v>
      </c>
      <c r="AG3666" s="69" t="s">
        <v>6438</v>
      </c>
      <c r="AH3666" s="43">
        <v>45201</v>
      </c>
      <c r="AI3666" s="69"/>
      <c r="AJ3666" s="69"/>
      <c r="AK3666" s="69"/>
    </row>
    <row r="3667" spans="1:37" ht="36.75" customHeight="1" x14ac:dyDescent="0.35">
      <c r="A3667" s="21" t="s">
        <v>12448</v>
      </c>
      <c r="B3667" s="5" t="s">
        <v>887</v>
      </c>
      <c r="C3667" s="73" t="str">
        <f t="shared" si="67"/>
        <v>Open</v>
      </c>
      <c r="D3667" s="47" t="s">
        <v>21149</v>
      </c>
      <c r="E3667" s="85" t="s">
        <v>21150</v>
      </c>
      <c r="F3667" s="69" t="s">
        <v>6434</v>
      </c>
      <c r="G3667" s="9">
        <f>DATE(2023,9,10)</f>
        <v>45179</v>
      </c>
      <c r="H3667" s="107">
        <v>1.6458333333333335</v>
      </c>
      <c r="I3667" s="69" t="s">
        <v>55</v>
      </c>
      <c r="J3667" s="69" t="s">
        <v>21151</v>
      </c>
      <c r="K3667" s="69" t="s">
        <v>565</v>
      </c>
      <c r="L3667" s="69" t="s">
        <v>21152</v>
      </c>
      <c r="M3667" s="69" t="s">
        <v>45</v>
      </c>
      <c r="N3667" s="69" t="s">
        <v>80</v>
      </c>
      <c r="O3667" s="69" t="s">
        <v>46</v>
      </c>
      <c r="P3667" s="69" t="s">
        <v>60</v>
      </c>
      <c r="Q3667" s="69" t="s">
        <v>21153</v>
      </c>
      <c r="R3667" s="69" t="s">
        <v>568</v>
      </c>
      <c r="S3667" s="69">
        <v>0</v>
      </c>
      <c r="T3667" s="69">
        <v>1</v>
      </c>
      <c r="U3667" s="69">
        <v>0</v>
      </c>
      <c r="V3667" s="69">
        <v>0</v>
      </c>
      <c r="W3667" s="69">
        <v>0</v>
      </c>
      <c r="X3667" s="69">
        <v>1</v>
      </c>
      <c r="Y3667" s="69">
        <v>0</v>
      </c>
      <c r="Z3667" s="69">
        <v>0</v>
      </c>
      <c r="AA3667" s="69">
        <v>0</v>
      </c>
      <c r="AB3667" s="69">
        <v>0</v>
      </c>
      <c r="AC3667" s="69">
        <v>0</v>
      </c>
      <c r="AD3667" s="69">
        <v>0</v>
      </c>
      <c r="AE3667" s="69" t="s">
        <v>126</v>
      </c>
      <c r="AF3667" s="69" t="s">
        <v>21154</v>
      </c>
      <c r="AG3667" s="69" t="s">
        <v>6438</v>
      </c>
      <c r="AH3667" s="43">
        <v>45179</v>
      </c>
      <c r="AI3667" s="69"/>
      <c r="AJ3667" s="69"/>
      <c r="AK3667" s="69"/>
    </row>
    <row r="3668" spans="1:37" ht="36.75" customHeight="1" x14ac:dyDescent="0.35">
      <c r="A3668" s="21" t="s">
        <v>12448</v>
      </c>
      <c r="B3668" s="5" t="s">
        <v>887</v>
      </c>
      <c r="C3668" s="73" t="str">
        <f t="shared" si="67"/>
        <v>Open</v>
      </c>
      <c r="D3668" s="47" t="s">
        <v>21155</v>
      </c>
      <c r="E3668" s="85" t="s">
        <v>21156</v>
      </c>
      <c r="F3668" s="69" t="s">
        <v>17305</v>
      </c>
      <c r="G3668" s="9">
        <f>DATE(2023,9,11)</f>
        <v>45180</v>
      </c>
      <c r="H3668" s="107">
        <v>1.2916666666666667</v>
      </c>
      <c r="I3668" s="69" t="s">
        <v>2244</v>
      </c>
      <c r="J3668" s="69" t="s">
        <v>21157</v>
      </c>
      <c r="K3668" s="69" t="s">
        <v>108</v>
      </c>
      <c r="L3668" s="69" t="s">
        <v>21158</v>
      </c>
      <c r="M3668" s="69" t="s">
        <v>45</v>
      </c>
      <c r="N3668" s="69" t="s">
        <v>80</v>
      </c>
      <c r="O3668" s="69" t="s">
        <v>46</v>
      </c>
      <c r="P3668" s="69" t="s">
        <v>60</v>
      </c>
      <c r="Q3668" s="69" t="s">
        <v>148</v>
      </c>
      <c r="R3668" s="69" t="s">
        <v>21159</v>
      </c>
      <c r="S3668" s="69"/>
      <c r="T3668" s="69"/>
      <c r="U3668" s="69"/>
      <c r="V3668" s="69"/>
      <c r="W3668" s="69"/>
      <c r="X3668" s="69">
        <v>0</v>
      </c>
      <c r="Y3668" s="69"/>
      <c r="Z3668" s="69"/>
      <c r="AA3668" s="69"/>
      <c r="AB3668" s="69"/>
      <c r="AC3668" s="69"/>
      <c r="AD3668" s="69">
        <v>0</v>
      </c>
      <c r="AE3668" s="69" t="s">
        <v>73</v>
      </c>
      <c r="AF3668" s="69" t="s">
        <v>21160</v>
      </c>
      <c r="AG3668" s="69" t="s">
        <v>8837</v>
      </c>
      <c r="AH3668" s="43">
        <v>45191</v>
      </c>
      <c r="AI3668" s="69"/>
      <c r="AJ3668" s="69"/>
      <c r="AK3668" s="69"/>
    </row>
    <row r="3669" spans="1:37" ht="36.75" customHeight="1" x14ac:dyDescent="0.35">
      <c r="A3669" s="21" t="s">
        <v>12448</v>
      </c>
      <c r="B3669" s="5" t="s">
        <v>37</v>
      </c>
      <c r="C3669" s="73" t="str">
        <f t="shared" si="67"/>
        <v>Closed</v>
      </c>
      <c r="D3669" s="91" t="s">
        <v>21161</v>
      </c>
      <c r="E3669" s="85" t="s">
        <v>43424</v>
      </c>
      <c r="F3669" s="69" t="s">
        <v>16397</v>
      </c>
      <c r="G3669" s="9">
        <f>DATE(2023,9,14)</f>
        <v>45183</v>
      </c>
      <c r="H3669" s="107">
        <v>1.6798611111111112</v>
      </c>
      <c r="I3669" s="69" t="s">
        <v>179</v>
      </c>
      <c r="J3669" s="69" t="s">
        <v>43425</v>
      </c>
      <c r="K3669" s="69" t="s">
        <v>406</v>
      </c>
      <c r="L3669" s="69" t="s">
        <v>43426</v>
      </c>
      <c r="M3669" s="69" t="s">
        <v>45</v>
      </c>
      <c r="N3669" s="69" t="s">
        <v>80</v>
      </c>
      <c r="O3669" s="69" t="s">
        <v>59</v>
      </c>
      <c r="P3669" s="69" t="s">
        <v>21162</v>
      </c>
      <c r="Q3669" s="69" t="s">
        <v>43427</v>
      </c>
      <c r="R3669" s="69" t="s">
        <v>17330</v>
      </c>
      <c r="S3669" s="69">
        <v>0</v>
      </c>
      <c r="T3669" s="69">
        <v>0</v>
      </c>
      <c r="U3669" s="69">
        <v>0</v>
      </c>
      <c r="V3669" s="69">
        <v>0</v>
      </c>
      <c r="W3669" s="69">
        <v>0</v>
      </c>
      <c r="X3669" s="69">
        <v>0</v>
      </c>
      <c r="Y3669" s="69">
        <v>0</v>
      </c>
      <c r="Z3669" s="69">
        <v>0</v>
      </c>
      <c r="AA3669" s="69">
        <v>0</v>
      </c>
      <c r="AB3669" s="69">
        <v>0</v>
      </c>
      <c r="AC3669" s="69">
        <v>0</v>
      </c>
      <c r="AD3669" s="69">
        <v>0</v>
      </c>
      <c r="AE3669" s="69" t="s">
        <v>73</v>
      </c>
      <c r="AF3669" s="69" t="s">
        <v>43428</v>
      </c>
      <c r="AG3669" s="69" t="s">
        <v>16251</v>
      </c>
      <c r="AH3669" s="43">
        <v>45183</v>
      </c>
      <c r="AI3669" s="69">
        <v>0</v>
      </c>
      <c r="AJ3669" s="69" t="s">
        <v>43429</v>
      </c>
      <c r="AK3669" s="69" t="s">
        <v>19044</v>
      </c>
    </row>
    <row r="3670" spans="1:37" ht="36.75" customHeight="1" x14ac:dyDescent="0.35">
      <c r="A3670" s="21" t="s">
        <v>12448</v>
      </c>
      <c r="B3670" s="5" t="s">
        <v>37</v>
      </c>
      <c r="C3670" s="73" t="str">
        <f t="shared" si="67"/>
        <v>Closed</v>
      </c>
      <c r="D3670" s="91" t="s">
        <v>21163</v>
      </c>
      <c r="E3670" s="85" t="s">
        <v>21164</v>
      </c>
      <c r="F3670" s="69" t="s">
        <v>21165</v>
      </c>
      <c r="G3670" s="9">
        <f>DATE(2023,9,17)</f>
        <v>45186</v>
      </c>
      <c r="H3670" s="107">
        <v>1.8298611111111112</v>
      </c>
      <c r="I3670" s="69" t="s">
        <v>259</v>
      </c>
      <c r="J3670" s="69" t="s">
        <v>259</v>
      </c>
      <c r="K3670" s="69" t="s">
        <v>19109</v>
      </c>
      <c r="L3670" s="69" t="s">
        <v>21166</v>
      </c>
      <c r="M3670" s="69" t="s">
        <v>45</v>
      </c>
      <c r="N3670" s="69" t="s">
        <v>123</v>
      </c>
      <c r="O3670" s="69" t="s">
        <v>46</v>
      </c>
      <c r="P3670" s="69" t="s">
        <v>47</v>
      </c>
      <c r="Q3670" s="69" t="s">
        <v>19111</v>
      </c>
      <c r="R3670" s="69" t="s">
        <v>19112</v>
      </c>
      <c r="S3670" s="69">
        <v>0</v>
      </c>
      <c r="T3670" s="69">
        <v>0</v>
      </c>
      <c r="U3670" s="69">
        <v>0</v>
      </c>
      <c r="V3670" s="69">
        <v>1</v>
      </c>
      <c r="W3670" s="69">
        <v>0</v>
      </c>
      <c r="X3670" s="69">
        <v>1</v>
      </c>
      <c r="Y3670" s="69">
        <v>0</v>
      </c>
      <c r="Z3670" s="69">
        <v>0</v>
      </c>
      <c r="AA3670" s="69">
        <v>0</v>
      </c>
      <c r="AB3670" s="69">
        <v>0</v>
      </c>
      <c r="AC3670" s="69">
        <v>0</v>
      </c>
      <c r="AD3670" s="69">
        <v>0</v>
      </c>
      <c r="AE3670" s="69" t="s">
        <v>73</v>
      </c>
      <c r="AF3670" s="69" t="s">
        <v>10534</v>
      </c>
      <c r="AG3670" s="69" t="s">
        <v>6438</v>
      </c>
      <c r="AH3670" s="43">
        <v>45189</v>
      </c>
      <c r="AI3670" s="69">
        <v>0</v>
      </c>
      <c r="AJ3670" s="69" t="s">
        <v>21167</v>
      </c>
      <c r="AK3670" s="69" t="s">
        <v>10534</v>
      </c>
    </row>
    <row r="3671" spans="1:37" ht="36.75" customHeight="1" x14ac:dyDescent="0.35">
      <c r="A3671" s="21" t="s">
        <v>12448</v>
      </c>
      <c r="B3671" s="5" t="s">
        <v>37</v>
      </c>
      <c r="C3671" s="73" t="str">
        <f t="shared" si="67"/>
        <v>Closed</v>
      </c>
      <c r="D3671" s="91" t="s">
        <v>21168</v>
      </c>
      <c r="E3671" s="85" t="s">
        <v>21169</v>
      </c>
      <c r="F3671" s="85" t="s">
        <v>18828</v>
      </c>
      <c r="G3671" s="9">
        <f>DATE(2023,9,20)</f>
        <v>45189</v>
      </c>
      <c r="H3671" s="107">
        <v>1.3229166666666667</v>
      </c>
      <c r="I3671" s="85" t="s">
        <v>179</v>
      </c>
      <c r="J3671" s="85" t="s">
        <v>21170</v>
      </c>
      <c r="K3671" s="85" t="s">
        <v>43</v>
      </c>
      <c r="L3671" s="85" t="s">
        <v>43627</v>
      </c>
      <c r="M3671" s="85" t="s">
        <v>45</v>
      </c>
      <c r="N3671" s="85" t="s">
        <v>70</v>
      </c>
      <c r="O3671" s="85" t="s">
        <v>71</v>
      </c>
      <c r="P3671" s="85" t="s">
        <v>60</v>
      </c>
      <c r="Q3671" s="85" t="s">
        <v>48</v>
      </c>
      <c r="R3671" s="85" t="s">
        <v>18831</v>
      </c>
      <c r="S3671" s="85">
        <v>0</v>
      </c>
      <c r="T3671" s="85">
        <v>0</v>
      </c>
      <c r="U3671" s="85">
        <v>0</v>
      </c>
      <c r="V3671" s="85">
        <v>0</v>
      </c>
      <c r="W3671" s="85">
        <v>0</v>
      </c>
      <c r="X3671" s="85">
        <v>0</v>
      </c>
      <c r="Y3671" s="85">
        <v>0</v>
      </c>
      <c r="Z3671" s="85">
        <v>0</v>
      </c>
      <c r="AA3671" s="85">
        <v>0</v>
      </c>
      <c r="AB3671" s="85">
        <v>0</v>
      </c>
      <c r="AC3671" s="85">
        <v>0</v>
      </c>
      <c r="AD3671" s="85">
        <v>0</v>
      </c>
      <c r="AE3671" s="85" t="s">
        <v>375</v>
      </c>
      <c r="AF3671" s="85" t="s">
        <v>21171</v>
      </c>
      <c r="AG3671" s="85" t="s">
        <v>14532</v>
      </c>
      <c r="AH3671" s="43">
        <v>45195</v>
      </c>
      <c r="AI3671" s="85">
        <v>4</v>
      </c>
      <c r="AJ3671" s="85" t="s">
        <v>43628</v>
      </c>
      <c r="AK3671" s="85" t="s">
        <v>43629</v>
      </c>
    </row>
    <row r="3672" spans="1:37" ht="36.75" customHeight="1" x14ac:dyDescent="0.35">
      <c r="A3672" s="21" t="s">
        <v>12448</v>
      </c>
      <c r="B3672" s="5" t="s">
        <v>37</v>
      </c>
      <c r="C3672" s="73" t="str">
        <f t="shared" si="67"/>
        <v>Closed</v>
      </c>
      <c r="D3672" s="91" t="s">
        <v>21172</v>
      </c>
      <c r="E3672" s="85" t="s">
        <v>21173</v>
      </c>
      <c r="F3672" s="69" t="s">
        <v>12887</v>
      </c>
      <c r="G3672" s="9">
        <f>DATE(2023,9,24)</f>
        <v>45193</v>
      </c>
      <c r="H3672" s="107">
        <v>1.8680555555555554</v>
      </c>
      <c r="I3672" s="85" t="s">
        <v>259</v>
      </c>
      <c r="J3672" s="85" t="s">
        <v>259</v>
      </c>
      <c r="K3672" s="85" t="s">
        <v>434</v>
      </c>
      <c r="L3672" s="85" t="s">
        <v>21174</v>
      </c>
      <c r="M3672" s="85" t="s">
        <v>45</v>
      </c>
      <c r="N3672" s="85" t="s">
        <v>123</v>
      </c>
      <c r="O3672" s="85" t="s">
        <v>59</v>
      </c>
      <c r="P3672" s="85" t="s">
        <v>6881</v>
      </c>
      <c r="Q3672" s="85" t="s">
        <v>20034</v>
      </c>
      <c r="R3672" s="85" t="s">
        <v>553</v>
      </c>
      <c r="S3672" s="85">
        <v>0</v>
      </c>
      <c r="T3672" s="85">
        <v>0</v>
      </c>
      <c r="U3672" s="85">
        <v>0</v>
      </c>
      <c r="V3672" s="85">
        <v>1</v>
      </c>
      <c r="W3672" s="85">
        <v>0</v>
      </c>
      <c r="X3672" s="85">
        <v>1</v>
      </c>
      <c r="Y3672" s="85">
        <v>0</v>
      </c>
      <c r="Z3672" s="85">
        <v>0</v>
      </c>
      <c r="AA3672" s="85">
        <v>0</v>
      </c>
      <c r="AB3672" s="85">
        <v>0</v>
      </c>
      <c r="AC3672" s="85">
        <v>0</v>
      </c>
      <c r="AD3672" s="85">
        <v>0</v>
      </c>
      <c r="AE3672" s="85" t="s">
        <v>73</v>
      </c>
      <c r="AF3672" s="85" t="s">
        <v>693</v>
      </c>
      <c r="AG3672" s="85" t="s">
        <v>6438</v>
      </c>
      <c r="AH3672" s="43">
        <v>45196</v>
      </c>
      <c r="AI3672" s="85">
        <v>0</v>
      </c>
      <c r="AJ3672" s="85" t="s">
        <v>20979</v>
      </c>
      <c r="AK3672" s="85" t="s">
        <v>43639</v>
      </c>
    </row>
    <row r="3673" spans="1:37" ht="36.75" customHeight="1" x14ac:dyDescent="0.35">
      <c r="A3673" s="21" t="s">
        <v>12448</v>
      </c>
      <c r="B3673" s="5" t="s">
        <v>887</v>
      </c>
      <c r="C3673" s="73" t="str">
        <f t="shared" si="67"/>
        <v>Open</v>
      </c>
      <c r="D3673" s="47" t="s">
        <v>21175</v>
      </c>
      <c r="E3673" s="85" t="s">
        <v>21176</v>
      </c>
      <c r="F3673" s="69" t="s">
        <v>9767</v>
      </c>
      <c r="G3673" s="9">
        <f>DATE(2023,9,27)</f>
        <v>45196</v>
      </c>
      <c r="H3673" s="107">
        <v>1.3368055555555556</v>
      </c>
      <c r="I3673" s="85" t="s">
        <v>259</v>
      </c>
      <c r="J3673" s="85" t="s">
        <v>21177</v>
      </c>
      <c r="K3673" s="85" t="s">
        <v>9769</v>
      </c>
      <c r="L3673" s="85" t="s">
        <v>21178</v>
      </c>
      <c r="M3673" s="85" t="s">
        <v>45</v>
      </c>
      <c r="N3673" s="85" t="s">
        <v>80</v>
      </c>
      <c r="O3673" s="85" t="s">
        <v>46</v>
      </c>
      <c r="P3673" s="69" t="s">
        <v>362</v>
      </c>
      <c r="Q3673" s="85" t="s">
        <v>21179</v>
      </c>
      <c r="R3673" s="85" t="s">
        <v>20687</v>
      </c>
      <c r="S3673" s="85">
        <v>0</v>
      </c>
      <c r="T3673" s="85">
        <v>0</v>
      </c>
      <c r="U3673" s="85">
        <v>0</v>
      </c>
      <c r="V3673" s="85">
        <v>0</v>
      </c>
      <c r="W3673" s="85">
        <v>0</v>
      </c>
      <c r="X3673" s="85">
        <v>0</v>
      </c>
      <c r="Y3673" s="85">
        <v>0</v>
      </c>
      <c r="Z3673" s="85">
        <v>0</v>
      </c>
      <c r="AA3673" s="85">
        <v>0</v>
      </c>
      <c r="AB3673" s="85">
        <v>0</v>
      </c>
      <c r="AC3673" s="85">
        <v>0</v>
      </c>
      <c r="AD3673" s="85">
        <v>0</v>
      </c>
      <c r="AE3673" s="85" t="s">
        <v>73</v>
      </c>
      <c r="AF3673" s="85" t="s">
        <v>21015</v>
      </c>
      <c r="AG3673" s="85" t="s">
        <v>8837</v>
      </c>
      <c r="AH3673" s="43">
        <v>45201</v>
      </c>
      <c r="AI3673" s="85"/>
      <c r="AJ3673" s="85"/>
      <c r="AK3673" s="85"/>
    </row>
    <row r="3674" spans="1:37" ht="36.75" customHeight="1" x14ac:dyDescent="0.35">
      <c r="A3674" s="21" t="s">
        <v>12448</v>
      </c>
      <c r="B3674" s="5" t="s">
        <v>887</v>
      </c>
      <c r="C3674" s="73" t="str">
        <f t="shared" si="67"/>
        <v>Open</v>
      </c>
      <c r="D3674" s="47" t="s">
        <v>21180</v>
      </c>
      <c r="E3674" s="85" t="s">
        <v>21181</v>
      </c>
      <c r="F3674" s="69" t="s">
        <v>12451</v>
      </c>
      <c r="G3674" s="9">
        <f>DATE(2023,9,29)</f>
        <v>45198</v>
      </c>
      <c r="H3674" s="107">
        <v>1.6180555555555556</v>
      </c>
      <c r="I3674" s="7" t="s">
        <v>55</v>
      </c>
      <c r="J3674" s="85" t="s">
        <v>21182</v>
      </c>
      <c r="K3674" s="85" t="s">
        <v>181</v>
      </c>
      <c r="L3674" s="85" t="s">
        <v>21183</v>
      </c>
      <c r="M3674" s="85" t="s">
        <v>45</v>
      </c>
      <c r="N3674" s="85" t="s">
        <v>70</v>
      </c>
      <c r="O3674" s="85" t="s">
        <v>71</v>
      </c>
      <c r="P3674" s="85" t="s">
        <v>60</v>
      </c>
      <c r="Q3674" s="85" t="s">
        <v>2433</v>
      </c>
      <c r="R3674" s="85" t="s">
        <v>13549</v>
      </c>
      <c r="S3674" s="85"/>
      <c r="T3674" s="85"/>
      <c r="U3674" s="85"/>
      <c r="V3674" s="85"/>
      <c r="W3674" s="85"/>
      <c r="X3674" s="85">
        <v>0</v>
      </c>
      <c r="Y3674" s="85"/>
      <c r="Z3674" s="85"/>
      <c r="AA3674" s="85"/>
      <c r="AB3674" s="85"/>
      <c r="AC3674" s="85"/>
      <c r="AD3674" s="85">
        <v>0</v>
      </c>
      <c r="AE3674" s="85" t="s">
        <v>126</v>
      </c>
      <c r="AF3674" s="85" t="s">
        <v>21184</v>
      </c>
      <c r="AG3674" s="85" t="s">
        <v>6438</v>
      </c>
      <c r="AH3674" s="43">
        <v>45265</v>
      </c>
      <c r="AI3674" s="85"/>
      <c r="AJ3674" s="85"/>
      <c r="AK3674" s="85"/>
    </row>
    <row r="3675" spans="1:37" ht="36.75" customHeight="1" x14ac:dyDescent="0.35">
      <c r="A3675" s="21" t="s">
        <v>12448</v>
      </c>
      <c r="B3675" s="5" t="s">
        <v>887</v>
      </c>
      <c r="C3675" s="73" t="str">
        <f t="shared" si="67"/>
        <v>Open</v>
      </c>
      <c r="D3675" s="47" t="s">
        <v>21185</v>
      </c>
      <c r="E3675" s="85" t="s">
        <v>21186</v>
      </c>
      <c r="F3675" s="85" t="s">
        <v>17638</v>
      </c>
      <c r="G3675" s="9">
        <f>DATE(2023,10,3)</f>
        <v>45202</v>
      </c>
      <c r="H3675" s="107">
        <v>1.1041666666666667</v>
      </c>
      <c r="I3675" s="69" t="s">
        <v>55</v>
      </c>
      <c r="J3675" s="85" t="s">
        <v>21187</v>
      </c>
      <c r="K3675" s="85" t="s">
        <v>1555</v>
      </c>
      <c r="L3675" s="85" t="s">
        <v>21188</v>
      </c>
      <c r="M3675" s="85" t="s">
        <v>45</v>
      </c>
      <c r="N3675" s="85" t="s">
        <v>123</v>
      </c>
      <c r="O3675" s="85" t="s">
        <v>46</v>
      </c>
      <c r="P3675" s="85" t="s">
        <v>60</v>
      </c>
      <c r="Q3675" s="85" t="s">
        <v>19923</v>
      </c>
      <c r="R3675" s="85" t="s">
        <v>18956</v>
      </c>
      <c r="S3675" s="85"/>
      <c r="T3675" s="85"/>
      <c r="U3675" s="85"/>
      <c r="V3675" s="85"/>
      <c r="W3675" s="85"/>
      <c r="X3675" s="85">
        <v>0</v>
      </c>
      <c r="Y3675" s="85"/>
      <c r="Z3675" s="85"/>
      <c r="AA3675" s="85"/>
      <c r="AB3675" s="85"/>
      <c r="AC3675" s="85"/>
      <c r="AD3675" s="85">
        <v>0</v>
      </c>
      <c r="AE3675" s="69" t="s">
        <v>375</v>
      </c>
      <c r="AF3675" s="85" t="s">
        <v>21189</v>
      </c>
      <c r="AG3675" s="85" t="s">
        <v>8837</v>
      </c>
      <c r="AH3675" s="43">
        <v>45203</v>
      </c>
      <c r="AI3675" s="85"/>
      <c r="AJ3675" s="85"/>
      <c r="AK3675" s="85"/>
    </row>
    <row r="3676" spans="1:37" ht="36.75" customHeight="1" x14ac:dyDescent="0.35">
      <c r="A3676" s="21" t="s">
        <v>12448</v>
      </c>
      <c r="B3676" s="5" t="s">
        <v>37</v>
      </c>
      <c r="C3676" s="73" t="str">
        <f t="shared" si="67"/>
        <v>Closed</v>
      </c>
      <c r="D3676" s="91" t="s">
        <v>21190</v>
      </c>
      <c r="E3676" s="85" t="s">
        <v>21191</v>
      </c>
      <c r="F3676" s="85" t="s">
        <v>16397</v>
      </c>
      <c r="G3676" s="9">
        <f>DATE(2023,10,3)</f>
        <v>45202</v>
      </c>
      <c r="H3676" s="107">
        <v>1.3847222222222222</v>
      </c>
      <c r="I3676" s="85" t="s">
        <v>259</v>
      </c>
      <c r="J3676" s="85" t="s">
        <v>21192</v>
      </c>
      <c r="K3676" s="85" t="s">
        <v>406</v>
      </c>
      <c r="L3676" s="85" t="s">
        <v>21193</v>
      </c>
      <c r="M3676" s="85" t="s">
        <v>45</v>
      </c>
      <c r="N3676" s="85" t="s">
        <v>80</v>
      </c>
      <c r="O3676" s="85" t="s">
        <v>46</v>
      </c>
      <c r="P3676" s="85" t="s">
        <v>67</v>
      </c>
      <c r="Q3676" s="85" t="s">
        <v>18565</v>
      </c>
      <c r="R3676" s="85" t="s">
        <v>17330</v>
      </c>
      <c r="S3676" s="85">
        <v>0</v>
      </c>
      <c r="T3676" s="85">
        <v>2</v>
      </c>
      <c r="U3676" s="85">
        <v>0</v>
      </c>
      <c r="V3676" s="85">
        <v>0</v>
      </c>
      <c r="W3676" s="85">
        <v>0</v>
      </c>
      <c r="X3676" s="85">
        <v>2</v>
      </c>
      <c r="Y3676" s="85">
        <v>0</v>
      </c>
      <c r="Z3676" s="85">
        <v>2</v>
      </c>
      <c r="AA3676" s="85">
        <v>0</v>
      </c>
      <c r="AB3676" s="85">
        <v>0</v>
      </c>
      <c r="AC3676" s="85">
        <v>0</v>
      </c>
      <c r="AD3676" s="85">
        <v>2</v>
      </c>
      <c r="AE3676" s="85" t="s">
        <v>73</v>
      </c>
      <c r="AF3676" s="85" t="s">
        <v>43671</v>
      </c>
      <c r="AG3676" s="85" t="s">
        <v>16251</v>
      </c>
      <c r="AH3676" s="43">
        <v>45202</v>
      </c>
      <c r="AI3676" s="85">
        <v>1</v>
      </c>
      <c r="AJ3676" s="85" t="s">
        <v>43672</v>
      </c>
      <c r="AK3676" s="85" t="s">
        <v>860</v>
      </c>
    </row>
    <row r="3677" spans="1:37" ht="36.75" customHeight="1" x14ac:dyDescent="0.35">
      <c r="A3677" s="21" t="s">
        <v>12448</v>
      </c>
      <c r="B3677" s="5" t="s">
        <v>887</v>
      </c>
      <c r="C3677" s="73" t="str">
        <f t="shared" si="67"/>
        <v>Open</v>
      </c>
      <c r="D3677" s="47" t="s">
        <v>21194</v>
      </c>
      <c r="E3677" s="85" t="s">
        <v>21195</v>
      </c>
      <c r="F3677" s="85" t="s">
        <v>17018</v>
      </c>
      <c r="G3677" s="9">
        <f>DATE(2023,10,5)</f>
        <v>45204</v>
      </c>
      <c r="H3677" s="107">
        <v>1.2916666666666667</v>
      </c>
      <c r="I3677" s="85" t="s">
        <v>179</v>
      </c>
      <c r="J3677" s="85" t="s">
        <v>21196</v>
      </c>
      <c r="K3677" s="85" t="s">
        <v>2318</v>
      </c>
      <c r="L3677" s="85" t="s">
        <v>21197</v>
      </c>
      <c r="M3677" s="85" t="s">
        <v>45</v>
      </c>
      <c r="N3677" s="85" t="s">
        <v>70</v>
      </c>
      <c r="O3677" s="85" t="s">
        <v>59</v>
      </c>
      <c r="P3677" s="85" t="s">
        <v>146</v>
      </c>
      <c r="Q3677" s="85" t="s">
        <v>21198</v>
      </c>
      <c r="R3677" s="85" t="s">
        <v>2321</v>
      </c>
      <c r="S3677" s="85">
        <v>0</v>
      </c>
      <c r="T3677" s="85">
        <v>0</v>
      </c>
      <c r="U3677" s="85">
        <v>0</v>
      </c>
      <c r="V3677" s="85">
        <v>0</v>
      </c>
      <c r="W3677" s="85">
        <v>0</v>
      </c>
      <c r="X3677" s="85">
        <v>0</v>
      </c>
      <c r="Y3677" s="85">
        <v>0</v>
      </c>
      <c r="Z3677" s="85">
        <v>3</v>
      </c>
      <c r="AA3677" s="85">
        <v>0</v>
      </c>
      <c r="AB3677" s="85">
        <v>0</v>
      </c>
      <c r="AC3677" s="85">
        <v>1</v>
      </c>
      <c r="AD3677" s="85">
        <v>4</v>
      </c>
      <c r="AE3677" s="85" t="s">
        <v>126</v>
      </c>
      <c r="AF3677" s="85" t="s">
        <v>21199</v>
      </c>
      <c r="AG3677" s="85" t="s">
        <v>8837</v>
      </c>
      <c r="AH3677" s="43">
        <v>45205</v>
      </c>
      <c r="AI3677" s="85"/>
      <c r="AJ3677" s="85"/>
      <c r="AK3677" s="85"/>
    </row>
    <row r="3678" spans="1:37" ht="36.75" customHeight="1" x14ac:dyDescent="0.35">
      <c r="A3678" s="21" t="s">
        <v>12448</v>
      </c>
      <c r="B3678" s="5" t="s">
        <v>887</v>
      </c>
      <c r="C3678" s="73" t="str">
        <f t="shared" si="67"/>
        <v>Open</v>
      </c>
      <c r="D3678" s="47" t="s">
        <v>21200</v>
      </c>
      <c r="E3678" s="85" t="s">
        <v>21201</v>
      </c>
      <c r="F3678" s="85" t="s">
        <v>17537</v>
      </c>
      <c r="G3678" s="9">
        <f>DATE(2023,10,5)</f>
        <v>45204</v>
      </c>
      <c r="H3678" s="107">
        <v>1.2777777777777777</v>
      </c>
      <c r="I3678" s="85" t="s">
        <v>55</v>
      </c>
      <c r="J3678" s="85" t="s">
        <v>21202</v>
      </c>
      <c r="K3678" s="85" t="s">
        <v>818</v>
      </c>
      <c r="L3678" s="85" t="s">
        <v>13995</v>
      </c>
      <c r="M3678" s="85" t="s">
        <v>45</v>
      </c>
      <c r="N3678" s="85" t="s">
        <v>123</v>
      </c>
      <c r="O3678" s="85" t="s">
        <v>59</v>
      </c>
      <c r="P3678" s="85" t="s">
        <v>60</v>
      </c>
      <c r="Q3678" s="85" t="s">
        <v>21203</v>
      </c>
      <c r="R3678" s="85" t="s">
        <v>821</v>
      </c>
      <c r="S3678" s="85">
        <v>0</v>
      </c>
      <c r="T3678" s="85">
        <v>0</v>
      </c>
      <c r="U3678" s="85">
        <v>0</v>
      </c>
      <c r="V3678" s="85">
        <v>0</v>
      </c>
      <c r="W3678" s="85">
        <v>0</v>
      </c>
      <c r="X3678" s="85">
        <v>0</v>
      </c>
      <c r="Y3678" s="85">
        <v>0</v>
      </c>
      <c r="Z3678" s="85">
        <v>0</v>
      </c>
      <c r="AA3678" s="85">
        <v>0</v>
      </c>
      <c r="AB3678" s="85">
        <v>0</v>
      </c>
      <c r="AC3678" s="85">
        <v>0</v>
      </c>
      <c r="AD3678" s="85">
        <v>0</v>
      </c>
      <c r="AE3678" s="85" t="s">
        <v>73</v>
      </c>
      <c r="AF3678" s="85" t="s">
        <v>21204</v>
      </c>
      <c r="AG3678" s="85" t="s">
        <v>13508</v>
      </c>
      <c r="AH3678" s="43">
        <v>45209</v>
      </c>
      <c r="AI3678" s="85"/>
      <c r="AJ3678" s="85"/>
      <c r="AK3678" s="85"/>
    </row>
    <row r="3679" spans="1:37" ht="36.75" customHeight="1" x14ac:dyDescent="0.35">
      <c r="A3679" s="21" t="s">
        <v>12448</v>
      </c>
      <c r="B3679" s="5" t="s">
        <v>887</v>
      </c>
      <c r="C3679" s="73" t="str">
        <f t="shared" si="67"/>
        <v>Open</v>
      </c>
      <c r="D3679" s="47" t="s">
        <v>21205</v>
      </c>
      <c r="E3679" s="85" t="s">
        <v>21206</v>
      </c>
      <c r="F3679" s="85" t="s">
        <v>16397</v>
      </c>
      <c r="G3679" s="9">
        <f>DATE(2023,10,6)</f>
        <v>45205</v>
      </c>
      <c r="H3679" s="107">
        <v>1.8298611111111112</v>
      </c>
      <c r="I3679" s="85" t="s">
        <v>259</v>
      </c>
      <c r="J3679" s="85" t="s">
        <v>21207</v>
      </c>
      <c r="K3679" s="85" t="s">
        <v>406</v>
      </c>
      <c r="L3679" s="85" t="s">
        <v>21208</v>
      </c>
      <c r="M3679" s="85" t="s">
        <v>45</v>
      </c>
      <c r="N3679" s="85" t="s">
        <v>123</v>
      </c>
      <c r="O3679" s="85" t="s">
        <v>46</v>
      </c>
      <c r="P3679" s="85" t="s">
        <v>60</v>
      </c>
      <c r="Q3679" s="85" t="s">
        <v>19236</v>
      </c>
      <c r="R3679" s="85" t="s">
        <v>17330</v>
      </c>
      <c r="S3679" s="85">
        <v>0</v>
      </c>
      <c r="T3679" s="85">
        <v>1</v>
      </c>
      <c r="U3679" s="85">
        <v>0</v>
      </c>
      <c r="V3679" s="85">
        <v>0</v>
      </c>
      <c r="W3679" s="85">
        <v>0</v>
      </c>
      <c r="X3679" s="85">
        <v>1</v>
      </c>
      <c r="Y3679" s="85">
        <v>0</v>
      </c>
      <c r="Z3679" s="85">
        <v>0</v>
      </c>
      <c r="AA3679" s="85">
        <v>0</v>
      </c>
      <c r="AB3679" s="85">
        <v>0</v>
      </c>
      <c r="AC3679" s="85">
        <v>0</v>
      </c>
      <c r="AD3679" s="85">
        <v>0</v>
      </c>
      <c r="AE3679" s="85">
        <v>0</v>
      </c>
      <c r="AF3679" s="85" t="s">
        <v>18774</v>
      </c>
      <c r="AG3679" s="85" t="s">
        <v>20002</v>
      </c>
      <c r="AH3679" s="43">
        <v>45205</v>
      </c>
      <c r="AI3679" s="85"/>
      <c r="AJ3679" s="85"/>
      <c r="AK3679" s="85"/>
    </row>
    <row r="3680" spans="1:37" ht="36.75" customHeight="1" x14ac:dyDescent="0.35">
      <c r="A3680" s="21" t="s">
        <v>12448</v>
      </c>
      <c r="B3680" s="5" t="s">
        <v>887</v>
      </c>
      <c r="C3680" s="73" t="str">
        <f t="shared" si="67"/>
        <v>Open</v>
      </c>
      <c r="D3680" s="47" t="s">
        <v>21209</v>
      </c>
      <c r="E3680" s="85" t="s">
        <v>21210</v>
      </c>
      <c r="F3680" s="85" t="s">
        <v>17305</v>
      </c>
      <c r="G3680" s="9">
        <f>DATE(2023,10,16)</f>
        <v>45215</v>
      </c>
      <c r="H3680" s="107">
        <v>1.875</v>
      </c>
      <c r="I3680" s="85" t="s">
        <v>55</v>
      </c>
      <c r="J3680" s="85" t="s">
        <v>21211</v>
      </c>
      <c r="K3680" s="85" t="s">
        <v>108</v>
      </c>
      <c r="L3680" s="85" t="s">
        <v>21212</v>
      </c>
      <c r="M3680" s="85" t="s">
        <v>45</v>
      </c>
      <c r="N3680" s="85" t="s">
        <v>80</v>
      </c>
      <c r="O3680" s="85" t="s">
        <v>59</v>
      </c>
      <c r="P3680" s="85" t="s">
        <v>146</v>
      </c>
      <c r="Q3680" s="85" t="s">
        <v>21213</v>
      </c>
      <c r="R3680" s="85" t="s">
        <v>148</v>
      </c>
      <c r="S3680" s="85">
        <v>0</v>
      </c>
      <c r="T3680" s="85">
        <v>0</v>
      </c>
      <c r="U3680" s="85">
        <v>0</v>
      </c>
      <c r="V3680" s="85">
        <v>0</v>
      </c>
      <c r="W3680" s="85">
        <v>0</v>
      </c>
      <c r="X3680" s="85">
        <v>0</v>
      </c>
      <c r="Y3680" s="85">
        <v>0</v>
      </c>
      <c r="Z3680" s="85">
        <v>0</v>
      </c>
      <c r="AA3680" s="85">
        <v>0</v>
      </c>
      <c r="AB3680" s="85">
        <v>0</v>
      </c>
      <c r="AC3680" s="85">
        <v>0</v>
      </c>
      <c r="AD3680" s="85">
        <v>0</v>
      </c>
      <c r="AE3680" s="85" t="s">
        <v>375</v>
      </c>
      <c r="AF3680" s="85" t="s">
        <v>21214</v>
      </c>
      <c r="AG3680" s="85" t="s">
        <v>8837</v>
      </c>
      <c r="AH3680" s="43">
        <v>45217</v>
      </c>
      <c r="AI3680" s="85"/>
      <c r="AJ3680" s="85"/>
      <c r="AK3680" s="85"/>
    </row>
    <row r="3681" spans="1:37" ht="36.75" customHeight="1" x14ac:dyDescent="0.35">
      <c r="A3681" s="21" t="s">
        <v>12448</v>
      </c>
      <c r="B3681" s="5" t="s">
        <v>887</v>
      </c>
      <c r="C3681" s="73" t="str">
        <f t="shared" si="67"/>
        <v>Open</v>
      </c>
      <c r="D3681" s="47" t="s">
        <v>21215</v>
      </c>
      <c r="E3681" s="85" t="s">
        <v>21216</v>
      </c>
      <c r="F3681" s="85" t="s">
        <v>16397</v>
      </c>
      <c r="G3681" s="9">
        <f>DATE(2023,10,16)</f>
        <v>45215</v>
      </c>
      <c r="H3681" s="107">
        <v>1.7208333333333332</v>
      </c>
      <c r="I3681" s="85" t="s">
        <v>67</v>
      </c>
      <c r="J3681" s="85" t="s">
        <v>21217</v>
      </c>
      <c r="K3681" s="85" t="s">
        <v>406</v>
      </c>
      <c r="L3681" s="85" t="s">
        <v>21218</v>
      </c>
      <c r="M3681" s="85" t="s">
        <v>45</v>
      </c>
      <c r="N3681" s="85" t="s">
        <v>123</v>
      </c>
      <c r="O3681" s="85" t="s">
        <v>46</v>
      </c>
      <c r="P3681" s="85" t="s">
        <v>21162</v>
      </c>
      <c r="Q3681" s="85" t="s">
        <v>21219</v>
      </c>
      <c r="R3681" s="85" t="s">
        <v>17330</v>
      </c>
      <c r="S3681" s="85">
        <v>1</v>
      </c>
      <c r="T3681" s="85">
        <v>0</v>
      </c>
      <c r="U3681" s="85">
        <v>0</v>
      </c>
      <c r="V3681" s="85">
        <v>0</v>
      </c>
      <c r="W3681" s="85">
        <v>0</v>
      </c>
      <c r="X3681" s="85">
        <v>1</v>
      </c>
      <c r="Y3681" s="85">
        <v>0</v>
      </c>
      <c r="Z3681" s="85">
        <v>0</v>
      </c>
      <c r="AA3681" s="85">
        <v>0</v>
      </c>
      <c r="AB3681" s="85">
        <v>0</v>
      </c>
      <c r="AC3681" s="85">
        <v>0</v>
      </c>
      <c r="AD3681" s="85">
        <v>0</v>
      </c>
      <c r="AE3681" s="85" t="s">
        <v>73</v>
      </c>
      <c r="AF3681" s="85" t="s">
        <v>21024</v>
      </c>
      <c r="AG3681" s="85" t="s">
        <v>16251</v>
      </c>
      <c r="AH3681" s="43">
        <v>45215</v>
      </c>
      <c r="AI3681" s="85"/>
      <c r="AJ3681" s="85"/>
      <c r="AK3681" s="85"/>
    </row>
    <row r="3682" spans="1:37" ht="36.75" customHeight="1" x14ac:dyDescent="0.35">
      <c r="A3682" s="21" t="s">
        <v>12448</v>
      </c>
      <c r="B3682" s="5" t="s">
        <v>887</v>
      </c>
      <c r="C3682" s="73" t="str">
        <f t="shared" si="67"/>
        <v>Open</v>
      </c>
      <c r="D3682" s="47" t="s">
        <v>21220</v>
      </c>
      <c r="E3682" s="85" t="s">
        <v>21221</v>
      </c>
      <c r="F3682" s="85" t="s">
        <v>16397</v>
      </c>
      <c r="G3682" s="9">
        <f>DATE(2023,10,17)</f>
        <v>45216</v>
      </c>
      <c r="H3682" s="107">
        <v>1.3479166666666667</v>
      </c>
      <c r="I3682" s="85" t="s">
        <v>97</v>
      </c>
      <c r="J3682" s="85" t="s">
        <v>21222</v>
      </c>
      <c r="K3682" s="85" t="s">
        <v>406</v>
      </c>
      <c r="L3682" s="85" t="s">
        <v>21223</v>
      </c>
      <c r="M3682" s="85" t="s">
        <v>45</v>
      </c>
      <c r="N3682" s="85" t="s">
        <v>80</v>
      </c>
      <c r="O3682" s="85" t="s">
        <v>59</v>
      </c>
      <c r="P3682" s="85" t="s">
        <v>146</v>
      </c>
      <c r="Q3682" s="85" t="s">
        <v>18466</v>
      </c>
      <c r="R3682" s="85" t="s">
        <v>17330</v>
      </c>
      <c r="S3682" s="85">
        <v>0</v>
      </c>
      <c r="T3682" s="85">
        <v>0</v>
      </c>
      <c r="U3682" s="85">
        <v>0</v>
      </c>
      <c r="V3682" s="85">
        <v>0</v>
      </c>
      <c r="W3682" s="85">
        <v>0</v>
      </c>
      <c r="X3682" s="85">
        <v>0</v>
      </c>
      <c r="Y3682" s="85">
        <v>0</v>
      </c>
      <c r="Z3682" s="85">
        <v>0</v>
      </c>
      <c r="AA3682" s="85">
        <v>1</v>
      </c>
      <c r="AB3682" s="85">
        <v>0</v>
      </c>
      <c r="AC3682" s="85">
        <v>0</v>
      </c>
      <c r="AD3682" s="85">
        <v>1</v>
      </c>
      <c r="AE3682" s="85" t="s">
        <v>16403</v>
      </c>
      <c r="AF3682" s="85" t="s">
        <v>21224</v>
      </c>
      <c r="AG3682" s="85" t="s">
        <v>20617</v>
      </c>
      <c r="AH3682" s="43">
        <v>45216</v>
      </c>
      <c r="AI3682" s="85"/>
      <c r="AJ3682" s="85"/>
      <c r="AK3682" s="85"/>
    </row>
    <row r="3683" spans="1:37" ht="36.75" customHeight="1" x14ac:dyDescent="0.35">
      <c r="A3683" s="21" t="s">
        <v>12448</v>
      </c>
      <c r="B3683" s="5" t="s">
        <v>37</v>
      </c>
      <c r="C3683" s="73" t="str">
        <f t="shared" si="67"/>
        <v>Closed</v>
      </c>
      <c r="D3683" s="91" t="s">
        <v>21225</v>
      </c>
      <c r="E3683" s="85" t="s">
        <v>21226</v>
      </c>
      <c r="F3683" s="85" t="s">
        <v>16397</v>
      </c>
      <c r="G3683" s="9">
        <f>DATE(2023,10,19)</f>
        <v>45218</v>
      </c>
      <c r="H3683" s="107">
        <v>1.5104166666666665</v>
      </c>
      <c r="I3683" s="85" t="s">
        <v>179</v>
      </c>
      <c r="J3683" s="85" t="s">
        <v>21227</v>
      </c>
      <c r="K3683" s="85" t="s">
        <v>406</v>
      </c>
      <c r="L3683" s="85" t="s">
        <v>21228</v>
      </c>
      <c r="M3683" s="85" t="s">
        <v>236</v>
      </c>
      <c r="N3683" s="85" t="s">
        <v>21229</v>
      </c>
      <c r="O3683" s="85" t="s">
        <v>21229</v>
      </c>
      <c r="P3683" s="85">
        <v>0</v>
      </c>
      <c r="Q3683" s="85">
        <v>0</v>
      </c>
      <c r="R3683" s="85">
        <v>0</v>
      </c>
      <c r="S3683" s="85">
        <v>0</v>
      </c>
      <c r="T3683" s="85">
        <v>0</v>
      </c>
      <c r="U3683" s="85">
        <v>0</v>
      </c>
      <c r="V3683" s="85">
        <v>0</v>
      </c>
      <c r="W3683" s="85">
        <v>0</v>
      </c>
      <c r="X3683" s="85">
        <v>0</v>
      </c>
      <c r="Y3683" s="85">
        <v>0</v>
      </c>
      <c r="Z3683" s="85">
        <v>0</v>
      </c>
      <c r="AA3683" s="85">
        <v>0</v>
      </c>
      <c r="AB3683" s="85">
        <v>0</v>
      </c>
      <c r="AC3683" s="85">
        <v>0</v>
      </c>
      <c r="AD3683" s="85">
        <v>0</v>
      </c>
      <c r="AE3683" s="85" t="s">
        <v>73</v>
      </c>
      <c r="AF3683" s="85" t="s">
        <v>21230</v>
      </c>
      <c r="AG3683" s="85" t="s">
        <v>16251</v>
      </c>
      <c r="AH3683" s="43">
        <v>45218</v>
      </c>
      <c r="AI3683" s="85">
        <v>0</v>
      </c>
      <c r="AJ3683" s="85" t="s">
        <v>21231</v>
      </c>
      <c r="AK3683" s="85" t="s">
        <v>19044</v>
      </c>
    </row>
    <row r="3684" spans="1:37" ht="36.75" customHeight="1" x14ac:dyDescent="0.35">
      <c r="A3684" s="21" t="s">
        <v>12448</v>
      </c>
      <c r="B3684" s="5" t="s">
        <v>887</v>
      </c>
      <c r="C3684" s="73" t="str">
        <f t="shared" si="67"/>
        <v>Open</v>
      </c>
      <c r="D3684" s="47" t="s">
        <v>21232</v>
      </c>
      <c r="E3684" s="85" t="s">
        <v>21233</v>
      </c>
      <c r="F3684" s="85" t="s">
        <v>17638</v>
      </c>
      <c r="G3684" s="9">
        <f>DATE(2023,10,24)</f>
        <v>45223</v>
      </c>
      <c r="H3684" s="107">
        <v>1.4756944444444444</v>
      </c>
      <c r="I3684" s="85" t="s">
        <v>55</v>
      </c>
      <c r="J3684" s="85" t="s">
        <v>21234</v>
      </c>
      <c r="K3684" s="85" t="s">
        <v>1555</v>
      </c>
      <c r="L3684" s="85" t="s">
        <v>21235</v>
      </c>
      <c r="M3684" s="85" t="s">
        <v>45</v>
      </c>
      <c r="N3684" s="85" t="s">
        <v>80</v>
      </c>
      <c r="O3684" s="85" t="s">
        <v>46</v>
      </c>
      <c r="P3684" s="85" t="s">
        <v>60</v>
      </c>
      <c r="Q3684" s="85" t="s">
        <v>19923</v>
      </c>
      <c r="R3684" s="85" t="s">
        <v>18956</v>
      </c>
      <c r="S3684" s="85"/>
      <c r="T3684" s="85"/>
      <c r="U3684" s="85"/>
      <c r="V3684" s="85"/>
      <c r="W3684" s="85"/>
      <c r="X3684" s="85">
        <v>0</v>
      </c>
      <c r="Y3684" s="85"/>
      <c r="Z3684" s="85"/>
      <c r="AA3684" s="85"/>
      <c r="AB3684" s="85"/>
      <c r="AC3684" s="85"/>
      <c r="AD3684" s="85">
        <v>0</v>
      </c>
      <c r="AE3684" s="85" t="s">
        <v>73</v>
      </c>
      <c r="AF3684" s="85" t="s">
        <v>21236</v>
      </c>
      <c r="AG3684" s="85" t="s">
        <v>8837</v>
      </c>
      <c r="AH3684" s="43">
        <v>45224</v>
      </c>
      <c r="AI3684" s="85"/>
      <c r="AJ3684" s="85"/>
      <c r="AK3684" s="85"/>
    </row>
    <row r="3685" spans="1:37" ht="36.75" customHeight="1" x14ac:dyDescent="0.35">
      <c r="A3685" s="21" t="s">
        <v>12448</v>
      </c>
      <c r="B3685" s="5" t="s">
        <v>887</v>
      </c>
      <c r="C3685" s="73" t="str">
        <f t="shared" si="67"/>
        <v>Open</v>
      </c>
      <c r="D3685" s="47" t="s">
        <v>21237</v>
      </c>
      <c r="E3685" s="85" t="s">
        <v>21238</v>
      </c>
      <c r="F3685" s="85" t="s">
        <v>14722</v>
      </c>
      <c r="G3685" s="9">
        <f>DATE(2023,10,27)</f>
        <v>45226</v>
      </c>
      <c r="H3685" s="107">
        <v>1.0590277777777777</v>
      </c>
      <c r="I3685" s="85" t="s">
        <v>259</v>
      </c>
      <c r="J3685" s="85" t="s">
        <v>21239</v>
      </c>
      <c r="K3685" s="85" t="s">
        <v>1753</v>
      </c>
      <c r="L3685" s="85" t="s">
        <v>21240</v>
      </c>
      <c r="M3685" s="85" t="s">
        <v>45</v>
      </c>
      <c r="N3685" s="85" t="s">
        <v>123</v>
      </c>
      <c r="O3685" s="85" t="s">
        <v>46</v>
      </c>
      <c r="P3685" s="85" t="s">
        <v>47</v>
      </c>
      <c r="Q3685" s="85" t="s">
        <v>18451</v>
      </c>
      <c r="R3685" s="85" t="s">
        <v>1756</v>
      </c>
      <c r="S3685" s="85">
        <v>0</v>
      </c>
      <c r="T3685" s="85">
        <v>0</v>
      </c>
      <c r="U3685" s="85">
        <v>0</v>
      </c>
      <c r="V3685" s="85">
        <v>0</v>
      </c>
      <c r="W3685" s="85">
        <v>0</v>
      </c>
      <c r="X3685" s="85">
        <v>0</v>
      </c>
      <c r="Y3685" s="85">
        <v>0</v>
      </c>
      <c r="Z3685" s="85">
        <v>1</v>
      </c>
      <c r="AA3685" s="85">
        <v>0</v>
      </c>
      <c r="AB3685" s="85">
        <v>0</v>
      </c>
      <c r="AC3685" s="85">
        <v>0</v>
      </c>
      <c r="AD3685" s="85">
        <v>1</v>
      </c>
      <c r="AE3685" s="85" t="s">
        <v>73</v>
      </c>
      <c r="AF3685" s="85" t="s">
        <v>21241</v>
      </c>
      <c r="AG3685" s="85" t="s">
        <v>8837</v>
      </c>
      <c r="AH3685" s="43">
        <v>45238</v>
      </c>
      <c r="AI3685" s="85"/>
      <c r="AJ3685" s="85"/>
      <c r="AK3685" s="85"/>
    </row>
    <row r="3686" spans="1:37" ht="36.75" customHeight="1" x14ac:dyDescent="0.35">
      <c r="A3686" s="21" t="s">
        <v>12448</v>
      </c>
      <c r="B3686" s="5" t="s">
        <v>887</v>
      </c>
      <c r="C3686" s="73" t="str">
        <f t="shared" si="67"/>
        <v>Open</v>
      </c>
      <c r="D3686" s="47" t="s">
        <v>21242</v>
      </c>
      <c r="E3686" s="85" t="s">
        <v>21243</v>
      </c>
      <c r="F3686" s="85" t="s">
        <v>17638</v>
      </c>
      <c r="G3686" s="9">
        <f>DATE(2023,11,4)</f>
        <v>45234</v>
      </c>
      <c r="H3686" s="107">
        <v>1.2638888888888888</v>
      </c>
      <c r="I3686" s="85" t="s">
        <v>106</v>
      </c>
      <c r="J3686" s="85" t="s">
        <v>21244</v>
      </c>
      <c r="K3686" s="85" t="s">
        <v>1555</v>
      </c>
      <c r="L3686" s="85" t="s">
        <v>21245</v>
      </c>
      <c r="M3686" s="85" t="s">
        <v>45</v>
      </c>
      <c r="N3686" s="85" t="s">
        <v>80</v>
      </c>
      <c r="O3686" s="85" t="s">
        <v>46</v>
      </c>
      <c r="P3686" s="85" t="s">
        <v>146</v>
      </c>
      <c r="Q3686" s="85" t="s">
        <v>21246</v>
      </c>
      <c r="R3686" s="85" t="s">
        <v>21247</v>
      </c>
      <c r="S3686" s="85">
        <v>0</v>
      </c>
      <c r="T3686" s="85">
        <v>0</v>
      </c>
      <c r="U3686" s="85">
        <v>0</v>
      </c>
      <c r="V3686" s="85">
        <v>0</v>
      </c>
      <c r="W3686" s="85">
        <v>0</v>
      </c>
      <c r="X3686" s="85">
        <v>0</v>
      </c>
      <c r="Y3686" s="85">
        <v>0</v>
      </c>
      <c r="Z3686" s="85">
        <v>0</v>
      </c>
      <c r="AA3686" s="85">
        <v>0</v>
      </c>
      <c r="AB3686" s="85">
        <v>0</v>
      </c>
      <c r="AC3686" s="85">
        <v>0</v>
      </c>
      <c r="AD3686" s="85">
        <v>0</v>
      </c>
      <c r="AE3686" s="85" t="s">
        <v>73</v>
      </c>
      <c r="AF3686" s="85" t="s">
        <v>21248</v>
      </c>
      <c r="AG3686" s="85" t="s">
        <v>8837</v>
      </c>
      <c r="AH3686" s="43">
        <v>45238</v>
      </c>
      <c r="AI3686" s="85"/>
      <c r="AJ3686" s="85"/>
      <c r="AK3686" s="85"/>
    </row>
    <row r="3687" spans="1:37" ht="36.75" customHeight="1" x14ac:dyDescent="0.35">
      <c r="A3687" s="21" t="s">
        <v>12448</v>
      </c>
      <c r="B3687" s="5" t="s">
        <v>887</v>
      </c>
      <c r="C3687" s="73" t="str">
        <f t="shared" si="67"/>
        <v>Open</v>
      </c>
      <c r="D3687" s="47" t="s">
        <v>21249</v>
      </c>
      <c r="E3687" s="85" t="s">
        <v>21250</v>
      </c>
      <c r="F3687" s="85" t="s">
        <v>17638</v>
      </c>
      <c r="G3687" s="9">
        <f>DATE(2023,11,5)</f>
        <v>45235</v>
      </c>
      <c r="H3687" s="107">
        <v>1.1145833333333333</v>
      </c>
      <c r="I3687" s="85" t="s">
        <v>55</v>
      </c>
      <c r="J3687" s="85" t="s">
        <v>21251</v>
      </c>
      <c r="K3687" s="85" t="s">
        <v>1555</v>
      </c>
      <c r="L3687" s="85" t="s">
        <v>21252</v>
      </c>
      <c r="M3687" s="85" t="s">
        <v>45</v>
      </c>
      <c r="N3687" s="85" t="s">
        <v>80</v>
      </c>
      <c r="O3687" s="85" t="s">
        <v>46</v>
      </c>
      <c r="P3687" s="85" t="s">
        <v>60</v>
      </c>
      <c r="Q3687" s="85" t="s">
        <v>18008</v>
      </c>
      <c r="R3687" s="85" t="s">
        <v>18956</v>
      </c>
      <c r="S3687" s="85"/>
      <c r="T3687" s="85"/>
      <c r="U3687" s="85"/>
      <c r="V3687" s="85"/>
      <c r="W3687" s="85"/>
      <c r="X3687" s="85">
        <v>0</v>
      </c>
      <c r="Y3687" s="85"/>
      <c r="Z3687" s="85"/>
      <c r="AA3687" s="85"/>
      <c r="AB3687" s="85"/>
      <c r="AC3687" s="85"/>
      <c r="AD3687" s="85">
        <v>0</v>
      </c>
      <c r="AE3687" s="85" t="s">
        <v>375</v>
      </c>
      <c r="AF3687" s="85" t="s">
        <v>21253</v>
      </c>
      <c r="AG3687" s="85" t="s">
        <v>8837</v>
      </c>
      <c r="AH3687" s="43">
        <v>45238</v>
      </c>
      <c r="AI3687" s="85"/>
      <c r="AJ3687" s="85"/>
      <c r="AK3687" s="85"/>
    </row>
    <row r="3688" spans="1:37" ht="36.75" customHeight="1" x14ac:dyDescent="0.35">
      <c r="A3688" s="21" t="s">
        <v>12448</v>
      </c>
      <c r="B3688" s="5" t="s">
        <v>887</v>
      </c>
      <c r="C3688" s="73" t="str">
        <f t="shared" si="67"/>
        <v>Open</v>
      </c>
      <c r="D3688" s="91" t="s">
        <v>21254</v>
      </c>
      <c r="E3688" s="85" t="s">
        <v>21255</v>
      </c>
      <c r="F3688" s="85" t="s">
        <v>17728</v>
      </c>
      <c r="G3688" s="9">
        <f>DATE(2023,11,7)</f>
        <v>45237</v>
      </c>
      <c r="H3688" s="107">
        <v>1.4270833333333333</v>
      </c>
      <c r="I3688" s="85" t="s">
        <v>259</v>
      </c>
      <c r="J3688" s="85" t="s">
        <v>21256</v>
      </c>
      <c r="K3688" s="85" t="s">
        <v>2583</v>
      </c>
      <c r="L3688" s="85" t="s">
        <v>43654</v>
      </c>
      <c r="M3688" s="85" t="s">
        <v>45</v>
      </c>
      <c r="N3688" s="85" t="s">
        <v>72</v>
      </c>
      <c r="O3688" s="85" t="s">
        <v>43655</v>
      </c>
      <c r="P3688" s="85" t="s">
        <v>20667</v>
      </c>
      <c r="Q3688" s="85">
        <v>0</v>
      </c>
      <c r="R3688" s="85">
        <v>0</v>
      </c>
      <c r="S3688" s="85">
        <v>0</v>
      </c>
      <c r="T3688" s="85">
        <v>0</v>
      </c>
      <c r="U3688" s="85">
        <v>0</v>
      </c>
      <c r="V3688" s="85">
        <v>2</v>
      </c>
      <c r="W3688" s="85">
        <v>0</v>
      </c>
      <c r="X3688" s="85">
        <v>0</v>
      </c>
      <c r="Y3688" s="85">
        <v>0</v>
      </c>
      <c r="Z3688" s="85">
        <v>0</v>
      </c>
      <c r="AA3688" s="85">
        <v>0</v>
      </c>
      <c r="AB3688" s="85">
        <v>0</v>
      </c>
      <c r="AC3688" s="85" t="s">
        <v>73</v>
      </c>
      <c r="AD3688" s="85" t="s">
        <v>21257</v>
      </c>
      <c r="AE3688" s="85" t="s">
        <v>73</v>
      </c>
      <c r="AF3688" s="85" t="s">
        <v>21257</v>
      </c>
      <c r="AG3688" s="85" t="s">
        <v>6438</v>
      </c>
      <c r="AH3688" s="43">
        <v>45237</v>
      </c>
      <c r="AI3688" s="85">
        <v>6</v>
      </c>
      <c r="AJ3688" s="85" t="s">
        <v>43656</v>
      </c>
      <c r="AK3688" s="85" t="s">
        <v>43657</v>
      </c>
    </row>
    <row r="3689" spans="1:37" ht="36.75" customHeight="1" x14ac:dyDescent="0.35">
      <c r="A3689" s="21" t="s">
        <v>12448</v>
      </c>
      <c r="B3689" s="5" t="s">
        <v>887</v>
      </c>
      <c r="C3689" s="73" t="str">
        <f t="shared" si="67"/>
        <v>Open</v>
      </c>
      <c r="D3689" s="47" t="s">
        <v>21258</v>
      </c>
      <c r="E3689" s="85" t="s">
        <v>21259</v>
      </c>
      <c r="F3689" s="85" t="s">
        <v>16397</v>
      </c>
      <c r="G3689" s="9">
        <f>DATE(2023,11,9)</f>
        <v>45239</v>
      </c>
      <c r="H3689" s="107">
        <v>1.3444444444444446</v>
      </c>
      <c r="I3689" s="85" t="s">
        <v>97</v>
      </c>
      <c r="J3689" s="85" t="s">
        <v>21260</v>
      </c>
      <c r="K3689" s="85" t="s">
        <v>406</v>
      </c>
      <c r="L3689" s="85" t="s">
        <v>21261</v>
      </c>
      <c r="M3689" s="85" t="s">
        <v>45</v>
      </c>
      <c r="N3689" s="85" t="s">
        <v>80</v>
      </c>
      <c r="O3689" s="85" t="s">
        <v>59</v>
      </c>
      <c r="P3689" s="85" t="s">
        <v>146</v>
      </c>
      <c r="Q3689" s="85" t="s">
        <v>18466</v>
      </c>
      <c r="R3689" s="85" t="s">
        <v>17330</v>
      </c>
      <c r="S3689" s="85">
        <v>0</v>
      </c>
      <c r="T3689" s="85">
        <v>0</v>
      </c>
      <c r="U3689" s="85">
        <v>0</v>
      </c>
      <c r="V3689" s="85">
        <v>0</v>
      </c>
      <c r="W3689" s="85">
        <v>0</v>
      </c>
      <c r="X3689" s="85">
        <v>0</v>
      </c>
      <c r="Y3689" s="85">
        <v>0</v>
      </c>
      <c r="Z3689" s="85">
        <v>0</v>
      </c>
      <c r="AA3689" s="85">
        <v>0</v>
      </c>
      <c r="AB3689" s="85">
        <v>0</v>
      </c>
      <c r="AC3689" s="85">
        <v>0</v>
      </c>
      <c r="AD3689" s="85">
        <v>0</v>
      </c>
      <c r="AE3689" s="85" t="s">
        <v>73</v>
      </c>
      <c r="AF3689" s="85" t="s">
        <v>21262</v>
      </c>
      <c r="AG3689" s="85" t="s">
        <v>20617</v>
      </c>
      <c r="AH3689" s="43">
        <v>45239</v>
      </c>
      <c r="AI3689" s="85"/>
      <c r="AJ3689" s="85"/>
      <c r="AK3689" s="85"/>
    </row>
    <row r="3690" spans="1:37" ht="36.75" customHeight="1" x14ac:dyDescent="0.35">
      <c r="A3690" s="21" t="s">
        <v>12448</v>
      </c>
      <c r="B3690" s="5" t="s">
        <v>887</v>
      </c>
      <c r="C3690" s="73" t="str">
        <f t="shared" si="67"/>
        <v>Open</v>
      </c>
      <c r="D3690" s="47" t="s">
        <v>21263</v>
      </c>
      <c r="E3690" s="85" t="s">
        <v>21264</v>
      </c>
      <c r="F3690" s="85" t="s">
        <v>17638</v>
      </c>
      <c r="G3690" s="9">
        <f>DATE(2023,11,14)</f>
        <v>45244</v>
      </c>
      <c r="H3690" s="107">
        <v>1.53125</v>
      </c>
      <c r="I3690" s="85" t="s">
        <v>55</v>
      </c>
      <c r="J3690" s="85" t="s">
        <v>21265</v>
      </c>
      <c r="K3690" s="85" t="s">
        <v>1555</v>
      </c>
      <c r="L3690" s="85" t="s">
        <v>21266</v>
      </c>
      <c r="M3690" s="85" t="s">
        <v>45</v>
      </c>
      <c r="N3690" s="85" t="s">
        <v>80</v>
      </c>
      <c r="O3690" s="85" t="s">
        <v>59</v>
      </c>
      <c r="P3690" s="85" t="s">
        <v>60</v>
      </c>
      <c r="Q3690" s="85" t="s">
        <v>19623</v>
      </c>
      <c r="R3690" s="85" t="s">
        <v>18956</v>
      </c>
      <c r="S3690" s="85"/>
      <c r="T3690" s="85"/>
      <c r="U3690" s="85"/>
      <c r="V3690" s="85"/>
      <c r="W3690" s="85"/>
      <c r="X3690" s="85">
        <v>0</v>
      </c>
      <c r="Y3690" s="85"/>
      <c r="Z3690" s="85"/>
      <c r="AA3690" s="85"/>
      <c r="AB3690" s="85"/>
      <c r="AC3690" s="85"/>
      <c r="AD3690" s="85">
        <v>0</v>
      </c>
      <c r="AE3690" s="85" t="s">
        <v>375</v>
      </c>
      <c r="AF3690" s="85" t="s">
        <v>21267</v>
      </c>
      <c r="AG3690" s="85" t="s">
        <v>8837</v>
      </c>
      <c r="AH3690" s="43">
        <v>45245</v>
      </c>
      <c r="AI3690" s="85"/>
      <c r="AJ3690" s="85"/>
      <c r="AK3690" s="85"/>
    </row>
    <row r="3691" spans="1:37" ht="36.75" customHeight="1" x14ac:dyDescent="0.35">
      <c r="A3691" s="21" t="s">
        <v>12448</v>
      </c>
      <c r="B3691" s="5" t="s">
        <v>887</v>
      </c>
      <c r="C3691" s="73" t="str">
        <f t="shared" si="67"/>
        <v>Open</v>
      </c>
      <c r="D3691" s="47" t="s">
        <v>21268</v>
      </c>
      <c r="E3691" s="85" t="s">
        <v>21269</v>
      </c>
      <c r="F3691" s="85" t="s">
        <v>9767</v>
      </c>
      <c r="G3691" s="9">
        <f>DATE(2023,11,14)</f>
        <v>45244</v>
      </c>
      <c r="H3691" s="107">
        <v>1.4097222222222223</v>
      </c>
      <c r="I3691" s="85" t="s">
        <v>55</v>
      </c>
      <c r="J3691" s="85" t="s">
        <v>21270</v>
      </c>
      <c r="K3691" s="85" t="s">
        <v>9769</v>
      </c>
      <c r="L3691" s="85" t="s">
        <v>21271</v>
      </c>
      <c r="M3691" s="85" t="s">
        <v>45</v>
      </c>
      <c r="N3691" s="85" t="s">
        <v>80</v>
      </c>
      <c r="O3691" s="85" t="s">
        <v>59</v>
      </c>
      <c r="P3691" s="85" t="s">
        <v>60</v>
      </c>
      <c r="Q3691" s="85" t="s">
        <v>21272</v>
      </c>
      <c r="R3691" s="85" t="s">
        <v>20687</v>
      </c>
      <c r="S3691" s="85">
        <v>0</v>
      </c>
      <c r="T3691" s="85">
        <v>0</v>
      </c>
      <c r="U3691" s="85">
        <v>0</v>
      </c>
      <c r="V3691" s="85">
        <v>0</v>
      </c>
      <c r="W3691" s="85">
        <v>0</v>
      </c>
      <c r="X3691" s="85">
        <v>0</v>
      </c>
      <c r="Y3691" s="85">
        <v>0</v>
      </c>
      <c r="Z3691" s="85">
        <v>0</v>
      </c>
      <c r="AA3691" s="85">
        <v>0</v>
      </c>
      <c r="AB3691" s="85">
        <v>0</v>
      </c>
      <c r="AC3691" s="85">
        <v>0</v>
      </c>
      <c r="AD3691" s="85">
        <v>0</v>
      </c>
      <c r="AE3691" s="85" t="s">
        <v>73</v>
      </c>
      <c r="AF3691" s="85" t="s">
        <v>21273</v>
      </c>
      <c r="AG3691" s="85" t="s">
        <v>8837</v>
      </c>
      <c r="AH3691" s="43">
        <v>45250</v>
      </c>
      <c r="AI3691" s="85"/>
      <c r="AJ3691" s="85"/>
      <c r="AK3691" s="85"/>
    </row>
    <row r="3692" spans="1:37" ht="36.75" customHeight="1" x14ac:dyDescent="0.35">
      <c r="A3692" s="21" t="s">
        <v>12448</v>
      </c>
      <c r="B3692" s="5" t="s">
        <v>887</v>
      </c>
      <c r="C3692" s="73" t="str">
        <f t="shared" si="67"/>
        <v>Open</v>
      </c>
      <c r="D3692" s="47" t="s">
        <v>21274</v>
      </c>
      <c r="E3692" s="85" t="s">
        <v>21275</v>
      </c>
      <c r="F3692" s="85" t="s">
        <v>17537</v>
      </c>
      <c r="G3692" s="9">
        <f>DATE(2023,11,15)</f>
        <v>45245</v>
      </c>
      <c r="H3692" s="107">
        <v>1.1805555555555556</v>
      </c>
      <c r="I3692" s="85" t="s">
        <v>179</v>
      </c>
      <c r="J3692" s="85" t="s">
        <v>21276</v>
      </c>
      <c r="K3692" s="85" t="s">
        <v>818</v>
      </c>
      <c r="L3692" s="85" t="s">
        <v>21277</v>
      </c>
      <c r="M3692" s="85" t="s">
        <v>45</v>
      </c>
      <c r="N3692" s="85" t="s">
        <v>80</v>
      </c>
      <c r="O3692" s="85" t="s">
        <v>59</v>
      </c>
      <c r="P3692" s="85" t="s">
        <v>60</v>
      </c>
      <c r="Q3692" s="85" t="s">
        <v>21278</v>
      </c>
      <c r="R3692" s="85" t="s">
        <v>821</v>
      </c>
      <c r="S3692" s="85">
        <v>0</v>
      </c>
      <c r="T3692" s="85">
        <v>0</v>
      </c>
      <c r="U3692" s="85">
        <v>0</v>
      </c>
      <c r="V3692" s="85">
        <v>0</v>
      </c>
      <c r="W3692" s="85">
        <v>0</v>
      </c>
      <c r="X3692" s="85">
        <v>0</v>
      </c>
      <c r="Y3692" s="85">
        <v>0</v>
      </c>
      <c r="Z3692" s="85">
        <v>0</v>
      </c>
      <c r="AA3692" s="85">
        <v>0</v>
      </c>
      <c r="AB3692" s="85">
        <v>0</v>
      </c>
      <c r="AC3692" s="85">
        <v>0</v>
      </c>
      <c r="AD3692" s="85">
        <v>0</v>
      </c>
      <c r="AE3692" s="85" t="s">
        <v>375</v>
      </c>
      <c r="AF3692" s="85" t="s">
        <v>21279</v>
      </c>
      <c r="AG3692" s="85" t="s">
        <v>8837</v>
      </c>
      <c r="AH3692" s="43">
        <v>45245</v>
      </c>
      <c r="AI3692" s="85"/>
      <c r="AJ3692" s="85"/>
      <c r="AK3692" s="85"/>
    </row>
    <row r="3693" spans="1:37" ht="36.75" customHeight="1" x14ac:dyDescent="0.35">
      <c r="A3693" s="21" t="s">
        <v>12448</v>
      </c>
      <c r="B3693" s="5" t="s">
        <v>887</v>
      </c>
      <c r="C3693" s="73" t="str">
        <f t="shared" si="67"/>
        <v>Open</v>
      </c>
      <c r="D3693" s="47" t="s">
        <v>21280</v>
      </c>
      <c r="E3693" s="85" t="s">
        <v>21281</v>
      </c>
      <c r="F3693" s="85" t="s">
        <v>6434</v>
      </c>
      <c r="G3693" s="9">
        <f>DATE(2023,11,15)</f>
        <v>45245</v>
      </c>
      <c r="H3693" s="107">
        <v>1.6770833333333335</v>
      </c>
      <c r="I3693" s="10" t="s">
        <v>179</v>
      </c>
      <c r="J3693" s="10" t="s">
        <v>21282</v>
      </c>
      <c r="K3693" s="114" t="s">
        <v>565</v>
      </c>
      <c r="L3693" s="114" t="s">
        <v>21283</v>
      </c>
      <c r="M3693" s="114" t="s">
        <v>45</v>
      </c>
      <c r="N3693" s="114" t="s">
        <v>123</v>
      </c>
      <c r="O3693" s="114" t="s">
        <v>59</v>
      </c>
      <c r="P3693" s="10" t="s">
        <v>47</v>
      </c>
      <c r="Q3693" s="10" t="s">
        <v>21284</v>
      </c>
      <c r="R3693" s="10" t="s">
        <v>568</v>
      </c>
      <c r="S3693" s="85">
        <v>0</v>
      </c>
      <c r="T3693" s="85">
        <v>0</v>
      </c>
      <c r="U3693" s="85">
        <v>0</v>
      </c>
      <c r="V3693" s="85">
        <v>0</v>
      </c>
      <c r="W3693" s="85">
        <v>0</v>
      </c>
      <c r="X3693" s="85">
        <v>0</v>
      </c>
      <c r="Y3693" s="85">
        <v>0</v>
      </c>
      <c r="Z3693" s="85">
        <v>0</v>
      </c>
      <c r="AA3693" s="85">
        <v>0</v>
      </c>
      <c r="AB3693" s="85">
        <v>0</v>
      </c>
      <c r="AC3693" s="85">
        <v>0</v>
      </c>
      <c r="AD3693" s="85">
        <v>0</v>
      </c>
      <c r="AE3693" s="10" t="s">
        <v>126</v>
      </c>
      <c r="AF3693" s="10" t="s">
        <v>21285</v>
      </c>
      <c r="AG3693" s="10" t="s">
        <v>6438</v>
      </c>
      <c r="AH3693" s="43">
        <v>45245</v>
      </c>
      <c r="AI3693" s="10"/>
      <c r="AJ3693" s="10"/>
      <c r="AK3693" s="10"/>
    </row>
    <row r="3694" spans="1:37" ht="36.75" customHeight="1" x14ac:dyDescent="0.35">
      <c r="A3694" s="21" t="s">
        <v>12448</v>
      </c>
      <c r="B3694" s="5" t="s">
        <v>887</v>
      </c>
      <c r="C3694" s="73" t="str">
        <f t="shared" si="67"/>
        <v>Open</v>
      </c>
      <c r="D3694" s="47" t="s">
        <v>21286</v>
      </c>
      <c r="E3694" s="85" t="s">
        <v>21287</v>
      </c>
      <c r="F3694" s="85" t="s">
        <v>6434</v>
      </c>
      <c r="G3694" s="9">
        <f>DATE(2023,11,17)</f>
        <v>45247</v>
      </c>
      <c r="H3694" s="107">
        <v>1.5902777777777777</v>
      </c>
      <c r="I3694" s="10" t="s">
        <v>179</v>
      </c>
      <c r="J3694" s="85" t="s">
        <v>21288</v>
      </c>
      <c r="K3694" s="85" t="s">
        <v>565</v>
      </c>
      <c r="L3694" s="85" t="s">
        <v>21289</v>
      </c>
      <c r="M3694" s="85" t="s">
        <v>45</v>
      </c>
      <c r="N3694" s="85" t="s">
        <v>123</v>
      </c>
      <c r="O3694" s="85" t="s">
        <v>59</v>
      </c>
      <c r="P3694" s="85" t="s">
        <v>47</v>
      </c>
      <c r="Q3694" s="85" t="s">
        <v>21290</v>
      </c>
      <c r="R3694" s="85" t="s">
        <v>568</v>
      </c>
      <c r="S3694" s="85">
        <v>0</v>
      </c>
      <c r="T3694" s="85">
        <v>0</v>
      </c>
      <c r="U3694" s="85">
        <v>0</v>
      </c>
      <c r="V3694" s="85">
        <v>0</v>
      </c>
      <c r="W3694" s="85">
        <v>0</v>
      </c>
      <c r="X3694" s="85">
        <v>0</v>
      </c>
      <c r="Y3694" s="85">
        <v>0</v>
      </c>
      <c r="Z3694" s="85">
        <v>0</v>
      </c>
      <c r="AA3694" s="85">
        <v>0</v>
      </c>
      <c r="AB3694" s="85">
        <v>0</v>
      </c>
      <c r="AC3694" s="85">
        <v>0</v>
      </c>
      <c r="AD3694" s="85">
        <v>0</v>
      </c>
      <c r="AE3694" s="85" t="s">
        <v>73</v>
      </c>
      <c r="AF3694" s="85" t="s">
        <v>21291</v>
      </c>
      <c r="AG3694" s="85" t="s">
        <v>14532</v>
      </c>
      <c r="AH3694" s="43">
        <v>45247</v>
      </c>
      <c r="AI3694" s="10"/>
      <c r="AJ3694" s="10"/>
      <c r="AK3694" s="10"/>
    </row>
    <row r="3695" spans="1:37" ht="36.75" customHeight="1" x14ac:dyDescent="0.35">
      <c r="A3695" s="21" t="s">
        <v>12448</v>
      </c>
      <c r="B3695" s="5" t="s">
        <v>887</v>
      </c>
      <c r="C3695" s="73" t="str">
        <f t="shared" si="67"/>
        <v>Open</v>
      </c>
      <c r="D3695" s="47" t="s">
        <v>21292</v>
      </c>
      <c r="E3695" s="85" t="s">
        <v>21293</v>
      </c>
      <c r="F3695" s="85" t="s">
        <v>18076</v>
      </c>
      <c r="G3695" s="9">
        <f>DATE(2023,11,22)</f>
        <v>45252</v>
      </c>
      <c r="H3695" s="107">
        <v>1.2916666666666667</v>
      </c>
      <c r="I3695" s="85" t="s">
        <v>468</v>
      </c>
      <c r="J3695" s="85" t="s">
        <v>21294</v>
      </c>
      <c r="K3695" s="85" t="s">
        <v>360</v>
      </c>
      <c r="L3695" s="85" t="s">
        <v>21295</v>
      </c>
      <c r="M3695" s="85" t="s">
        <v>45</v>
      </c>
      <c r="N3695" s="85" t="s">
        <v>80</v>
      </c>
      <c r="O3695" s="85" t="s">
        <v>46</v>
      </c>
      <c r="P3695" s="85" t="s">
        <v>60</v>
      </c>
      <c r="Q3695" s="85" t="s">
        <v>21092</v>
      </c>
      <c r="R3695" s="85" t="s">
        <v>19563</v>
      </c>
      <c r="S3695" s="85"/>
      <c r="T3695" s="85"/>
      <c r="U3695" s="85"/>
      <c r="V3695" s="85"/>
      <c r="W3695" s="85"/>
      <c r="X3695" s="85">
        <v>0</v>
      </c>
      <c r="Y3695" s="85"/>
      <c r="Z3695" s="85"/>
      <c r="AA3695" s="85"/>
      <c r="AB3695" s="85"/>
      <c r="AC3695" s="85"/>
      <c r="AD3695" s="85">
        <v>0</v>
      </c>
      <c r="AE3695" s="85" t="s">
        <v>73</v>
      </c>
      <c r="AF3695" s="85" t="s">
        <v>21125</v>
      </c>
      <c r="AG3695" s="85" t="s">
        <v>8837</v>
      </c>
      <c r="AH3695" s="43">
        <v>45272</v>
      </c>
      <c r="AI3695" s="85"/>
      <c r="AJ3695" s="85"/>
      <c r="AK3695" s="85"/>
    </row>
    <row r="3696" spans="1:37" ht="36.75" customHeight="1" x14ac:dyDescent="0.35">
      <c r="A3696" s="21" t="s">
        <v>12448</v>
      </c>
      <c r="B3696" s="5" t="s">
        <v>37</v>
      </c>
      <c r="C3696" s="73" t="str">
        <f t="shared" si="67"/>
        <v>Closed</v>
      </c>
      <c r="D3696" s="91" t="s">
        <v>21296</v>
      </c>
      <c r="E3696" s="85" t="s">
        <v>21297</v>
      </c>
      <c r="F3696" s="85" t="s">
        <v>12887</v>
      </c>
      <c r="G3696" s="9">
        <f>DATE(2023,11,25)</f>
        <v>45255</v>
      </c>
      <c r="H3696" s="107">
        <v>1.125</v>
      </c>
      <c r="I3696" s="85" t="s">
        <v>259</v>
      </c>
      <c r="J3696" s="85" t="s">
        <v>21298</v>
      </c>
      <c r="K3696" s="85" t="s">
        <v>434</v>
      </c>
      <c r="L3696" s="85" t="s">
        <v>21299</v>
      </c>
      <c r="M3696" s="85" t="s">
        <v>45</v>
      </c>
      <c r="N3696" s="85" t="s">
        <v>70</v>
      </c>
      <c r="O3696" s="85" t="s">
        <v>46</v>
      </c>
      <c r="P3696" s="85" t="s">
        <v>47</v>
      </c>
      <c r="Q3696" s="85" t="s">
        <v>14350</v>
      </c>
      <c r="R3696" s="85" t="s">
        <v>553</v>
      </c>
      <c r="S3696" s="85">
        <v>0</v>
      </c>
      <c r="T3696" s="85">
        <v>0</v>
      </c>
      <c r="U3696" s="85">
        <v>0</v>
      </c>
      <c r="V3696" s="85">
        <v>1</v>
      </c>
      <c r="W3696" s="85">
        <v>0</v>
      </c>
      <c r="X3696" s="85">
        <v>1</v>
      </c>
      <c r="Y3696" s="85">
        <v>0</v>
      </c>
      <c r="Z3696" s="85">
        <v>0</v>
      </c>
      <c r="AA3696" s="85">
        <v>0</v>
      </c>
      <c r="AB3696" s="85">
        <v>0</v>
      </c>
      <c r="AC3696" s="85">
        <v>0</v>
      </c>
      <c r="AD3696" s="85">
        <v>0</v>
      </c>
      <c r="AE3696" s="85" t="s">
        <v>73</v>
      </c>
      <c r="AF3696" s="85" t="s">
        <v>21300</v>
      </c>
      <c r="AG3696" s="85" t="s">
        <v>6438</v>
      </c>
      <c r="AH3696" s="43">
        <v>45299</v>
      </c>
      <c r="AI3696" s="85">
        <v>0</v>
      </c>
      <c r="AJ3696" s="85" t="s">
        <v>14836</v>
      </c>
      <c r="AK3696" s="85" t="s">
        <v>14836</v>
      </c>
    </row>
    <row r="3697" spans="1:37" ht="36.75" customHeight="1" x14ac:dyDescent="0.35">
      <c r="A3697" s="21" t="s">
        <v>12448</v>
      </c>
      <c r="B3697" s="5" t="s">
        <v>887</v>
      </c>
      <c r="C3697" s="73" t="str">
        <f t="shared" si="67"/>
        <v>Open</v>
      </c>
      <c r="D3697" s="47" t="s">
        <v>21301</v>
      </c>
      <c r="E3697" s="85" t="s">
        <v>21302</v>
      </c>
      <c r="F3697" s="85" t="s">
        <v>17638</v>
      </c>
      <c r="G3697" s="9">
        <f>DATE(2023,11,27)</f>
        <v>45257</v>
      </c>
      <c r="H3697" s="107">
        <v>1.9166666666666665</v>
      </c>
      <c r="I3697" s="85" t="s">
        <v>55</v>
      </c>
      <c r="J3697" s="85" t="s">
        <v>21303</v>
      </c>
      <c r="K3697" s="85" t="s">
        <v>1555</v>
      </c>
      <c r="L3697" s="85" t="s">
        <v>21304</v>
      </c>
      <c r="M3697" s="85" t="s">
        <v>45</v>
      </c>
      <c r="N3697" s="85" t="s">
        <v>80</v>
      </c>
      <c r="O3697" s="85" t="s">
        <v>46</v>
      </c>
      <c r="P3697" s="85" t="s">
        <v>60</v>
      </c>
      <c r="Q3697" s="85" t="s">
        <v>19923</v>
      </c>
      <c r="R3697" s="85" t="s">
        <v>21305</v>
      </c>
      <c r="S3697" s="85"/>
      <c r="T3697" s="85"/>
      <c r="U3697" s="85"/>
      <c r="V3697" s="85"/>
      <c r="W3697" s="85"/>
      <c r="X3697" s="85">
        <v>0</v>
      </c>
      <c r="Y3697" s="85"/>
      <c r="Z3697" s="85"/>
      <c r="AA3697" s="85"/>
      <c r="AB3697" s="85"/>
      <c r="AC3697" s="85"/>
      <c r="AD3697" s="85">
        <v>0</v>
      </c>
      <c r="AE3697" s="85" t="s">
        <v>73</v>
      </c>
      <c r="AF3697" s="85" t="s">
        <v>21306</v>
      </c>
      <c r="AG3697" s="85" t="s">
        <v>8837</v>
      </c>
      <c r="AH3697" s="43">
        <v>45258</v>
      </c>
      <c r="AI3697" s="85"/>
      <c r="AJ3697" s="85"/>
      <c r="AK3697" s="85"/>
    </row>
    <row r="3698" spans="1:37" ht="36.75" customHeight="1" x14ac:dyDescent="0.35">
      <c r="A3698" s="21" t="s">
        <v>12448</v>
      </c>
      <c r="B3698" s="5" t="s">
        <v>887</v>
      </c>
      <c r="C3698" s="73" t="str">
        <f t="shared" si="67"/>
        <v>Open</v>
      </c>
      <c r="D3698" s="47" t="s">
        <v>21307</v>
      </c>
      <c r="E3698" s="85" t="s">
        <v>21308</v>
      </c>
      <c r="F3698" s="85" t="s">
        <v>18076</v>
      </c>
      <c r="G3698" s="9">
        <f>DATE(2023,11,28)</f>
        <v>45258</v>
      </c>
      <c r="H3698" s="107">
        <v>1.7847222222222223</v>
      </c>
      <c r="I3698" s="85" t="s">
        <v>97</v>
      </c>
      <c r="J3698" s="85" t="s">
        <v>21309</v>
      </c>
      <c r="K3698" s="85" t="s">
        <v>360</v>
      </c>
      <c r="L3698" s="85" t="s">
        <v>21310</v>
      </c>
      <c r="M3698" s="85" t="s">
        <v>45</v>
      </c>
      <c r="N3698" s="85" t="s">
        <v>80</v>
      </c>
      <c r="O3698" s="85" t="s">
        <v>46</v>
      </c>
      <c r="P3698" s="85" t="s">
        <v>146</v>
      </c>
      <c r="Q3698" s="85" t="s">
        <v>3173</v>
      </c>
      <c r="R3698" s="85" t="s">
        <v>19563</v>
      </c>
      <c r="S3698" s="85">
        <v>0</v>
      </c>
      <c r="T3698" s="85">
        <v>1</v>
      </c>
      <c r="U3698" s="85">
        <v>1</v>
      </c>
      <c r="V3698" s="85">
        <v>0</v>
      </c>
      <c r="W3698" s="85">
        <v>0</v>
      </c>
      <c r="X3698" s="85">
        <v>2</v>
      </c>
      <c r="Y3698" s="85">
        <v>0</v>
      </c>
      <c r="Z3698" s="85">
        <v>0</v>
      </c>
      <c r="AA3698" s="85">
        <v>0</v>
      </c>
      <c r="AB3698" s="85">
        <v>0</v>
      </c>
      <c r="AC3698" s="85">
        <v>0</v>
      </c>
      <c r="AD3698" s="85">
        <v>0</v>
      </c>
      <c r="AE3698" s="85" t="s">
        <v>126</v>
      </c>
      <c r="AF3698" s="85" t="s">
        <v>21311</v>
      </c>
      <c r="AG3698" s="85" t="s">
        <v>6438</v>
      </c>
      <c r="AH3698" s="43">
        <v>45259</v>
      </c>
      <c r="AI3698" s="85"/>
      <c r="AJ3698" s="85"/>
      <c r="AK3698" s="85"/>
    </row>
    <row r="3699" spans="1:37" ht="36.75" customHeight="1" x14ac:dyDescent="0.35">
      <c r="A3699" s="21" t="s">
        <v>12448</v>
      </c>
      <c r="B3699" s="5" t="s">
        <v>887</v>
      </c>
      <c r="C3699" s="73" t="str">
        <f t="shared" si="67"/>
        <v>Open</v>
      </c>
      <c r="D3699" s="47" t="s">
        <v>21312</v>
      </c>
      <c r="E3699" s="85" t="s">
        <v>21313</v>
      </c>
      <c r="F3699" s="85" t="s">
        <v>17638</v>
      </c>
      <c r="G3699" s="9">
        <f>DATE(2023,11,28)</f>
        <v>45258</v>
      </c>
      <c r="H3699" s="107">
        <v>1.4236111111111112</v>
      </c>
      <c r="I3699" s="85" t="s">
        <v>55</v>
      </c>
      <c r="J3699" s="85" t="s">
        <v>21314</v>
      </c>
      <c r="K3699" s="85" t="s">
        <v>1555</v>
      </c>
      <c r="L3699" s="85" t="s">
        <v>21315</v>
      </c>
      <c r="M3699" s="85" t="s">
        <v>45</v>
      </c>
      <c r="N3699" s="85" t="s">
        <v>80</v>
      </c>
      <c r="O3699" s="85" t="s">
        <v>46</v>
      </c>
      <c r="P3699" s="85" t="s">
        <v>60</v>
      </c>
      <c r="Q3699" s="85" t="s">
        <v>18008</v>
      </c>
      <c r="R3699" s="85" t="s">
        <v>18956</v>
      </c>
      <c r="S3699" s="85"/>
      <c r="T3699" s="85"/>
      <c r="U3699" s="85"/>
      <c r="V3699" s="85"/>
      <c r="W3699" s="85"/>
      <c r="X3699" s="85">
        <v>0</v>
      </c>
      <c r="Y3699" s="85"/>
      <c r="Z3699" s="85"/>
      <c r="AA3699" s="85"/>
      <c r="AB3699" s="85"/>
      <c r="AC3699" s="85"/>
      <c r="AD3699" s="85">
        <v>0</v>
      </c>
      <c r="AE3699" s="85" t="s">
        <v>73</v>
      </c>
      <c r="AF3699" s="85" t="s">
        <v>21316</v>
      </c>
      <c r="AG3699" s="85" t="s">
        <v>8837</v>
      </c>
      <c r="AH3699" s="43">
        <v>45264</v>
      </c>
      <c r="AI3699" s="85"/>
      <c r="AJ3699" s="85"/>
      <c r="AK3699" s="85"/>
    </row>
    <row r="3700" spans="1:37" ht="36.75" customHeight="1" x14ac:dyDescent="0.35">
      <c r="A3700" s="21" t="s">
        <v>12448</v>
      </c>
      <c r="B3700" s="5" t="s">
        <v>887</v>
      </c>
      <c r="C3700" s="73" t="str">
        <f t="shared" si="67"/>
        <v>Open</v>
      </c>
      <c r="D3700" s="47" t="s">
        <v>21317</v>
      </c>
      <c r="E3700" s="85" t="s">
        <v>21318</v>
      </c>
      <c r="F3700" s="85" t="s">
        <v>18828</v>
      </c>
      <c r="G3700" s="9">
        <f>DATE(2023,11,30)</f>
        <v>45260</v>
      </c>
      <c r="H3700" s="107">
        <v>1.8090277777777777</v>
      </c>
      <c r="I3700" s="85" t="s">
        <v>55</v>
      </c>
      <c r="J3700" s="85" t="s">
        <v>21319</v>
      </c>
      <c r="K3700" s="85" t="s">
        <v>43</v>
      </c>
      <c r="L3700" s="85" t="s">
        <v>21320</v>
      </c>
      <c r="M3700" s="85" t="s">
        <v>45</v>
      </c>
      <c r="N3700" s="85" t="s">
        <v>70</v>
      </c>
      <c r="O3700" s="85" t="s">
        <v>59</v>
      </c>
      <c r="P3700" s="85" t="s">
        <v>60</v>
      </c>
      <c r="Q3700" s="85" t="s">
        <v>21321</v>
      </c>
      <c r="R3700" s="85" t="s">
        <v>21322</v>
      </c>
      <c r="S3700" s="85">
        <v>0</v>
      </c>
      <c r="T3700" s="85">
        <v>0</v>
      </c>
      <c r="U3700" s="85">
        <v>0</v>
      </c>
      <c r="V3700" s="85">
        <v>0</v>
      </c>
      <c r="W3700" s="85">
        <v>0</v>
      </c>
      <c r="X3700" s="85">
        <v>0</v>
      </c>
      <c r="Y3700" s="85">
        <v>0</v>
      </c>
      <c r="Z3700" s="85">
        <v>0</v>
      </c>
      <c r="AA3700" s="85">
        <v>0</v>
      </c>
      <c r="AB3700" s="85">
        <v>0</v>
      </c>
      <c r="AC3700" s="85">
        <v>0</v>
      </c>
      <c r="AD3700" s="85">
        <v>0</v>
      </c>
      <c r="AE3700" s="85" t="s">
        <v>375</v>
      </c>
      <c r="AF3700" s="85" t="s">
        <v>21323</v>
      </c>
      <c r="AG3700" s="85" t="s">
        <v>17023</v>
      </c>
      <c r="AH3700" s="43">
        <v>45261</v>
      </c>
      <c r="AI3700" s="85"/>
      <c r="AJ3700" s="85"/>
      <c r="AK3700" s="85"/>
    </row>
    <row r="3701" spans="1:37" ht="36.75" customHeight="1" x14ac:dyDescent="0.35">
      <c r="A3701" s="21" t="s">
        <v>12448</v>
      </c>
      <c r="B3701" s="5" t="s">
        <v>887</v>
      </c>
      <c r="C3701" s="73" t="str">
        <f t="shared" si="67"/>
        <v>Open</v>
      </c>
      <c r="D3701" s="47" t="s">
        <v>21324</v>
      </c>
      <c r="E3701" s="85" t="s">
        <v>21325</v>
      </c>
      <c r="F3701" s="85" t="s">
        <v>19629</v>
      </c>
      <c r="G3701" s="9">
        <f>DATE(2023,11,30)</f>
        <v>45260</v>
      </c>
      <c r="H3701" s="107">
        <v>1.4270833333333333</v>
      </c>
      <c r="I3701" s="85" t="s">
        <v>259</v>
      </c>
      <c r="J3701" s="85" t="s">
        <v>21326</v>
      </c>
      <c r="K3701" s="85" t="s">
        <v>2529</v>
      </c>
      <c r="L3701" s="85" t="s">
        <v>21327</v>
      </c>
      <c r="M3701" s="85" t="s">
        <v>45</v>
      </c>
      <c r="N3701" s="85" t="s">
        <v>123</v>
      </c>
      <c r="O3701" s="85" t="s">
        <v>59</v>
      </c>
      <c r="P3701" s="85" t="s">
        <v>146</v>
      </c>
      <c r="Q3701" s="85" t="s">
        <v>21328</v>
      </c>
      <c r="R3701" s="85" t="s">
        <v>21329</v>
      </c>
      <c r="S3701" s="85">
        <v>0</v>
      </c>
      <c r="T3701" s="85">
        <v>1</v>
      </c>
      <c r="U3701" s="85">
        <v>0</v>
      </c>
      <c r="V3701" s="85">
        <v>0</v>
      </c>
      <c r="W3701" s="85">
        <v>0</v>
      </c>
      <c r="X3701" s="85">
        <v>1</v>
      </c>
      <c r="Y3701" s="85">
        <v>0</v>
      </c>
      <c r="Z3701" s="85">
        <v>0</v>
      </c>
      <c r="AA3701" s="85">
        <v>0</v>
      </c>
      <c r="AB3701" s="85">
        <v>0</v>
      </c>
      <c r="AC3701" s="85">
        <v>0</v>
      </c>
      <c r="AD3701" s="85">
        <v>0</v>
      </c>
      <c r="AE3701" s="85" t="s">
        <v>73</v>
      </c>
      <c r="AF3701" s="85" t="s">
        <v>21330</v>
      </c>
      <c r="AG3701" s="85" t="s">
        <v>8837</v>
      </c>
      <c r="AH3701" s="43">
        <v>45261</v>
      </c>
      <c r="AI3701" s="85"/>
      <c r="AJ3701" s="85"/>
      <c r="AK3701" s="85"/>
    </row>
    <row r="3702" spans="1:37" ht="36.75" customHeight="1" x14ac:dyDescent="0.35">
      <c r="A3702" s="21" t="s">
        <v>12448</v>
      </c>
      <c r="B3702" s="5" t="s">
        <v>887</v>
      </c>
      <c r="C3702" s="73" t="str">
        <f t="shared" si="67"/>
        <v>Open</v>
      </c>
      <c r="D3702" s="47" t="s">
        <v>21331</v>
      </c>
      <c r="E3702" s="85" t="s">
        <v>21332</v>
      </c>
      <c r="F3702" s="85" t="s">
        <v>17638</v>
      </c>
      <c r="G3702" s="9">
        <f>DATE(2023,12,1)</f>
        <v>45261</v>
      </c>
      <c r="H3702" s="107">
        <v>1.6180555555555556</v>
      </c>
      <c r="I3702" s="85" t="s">
        <v>55</v>
      </c>
      <c r="J3702" s="85" t="s">
        <v>21333</v>
      </c>
      <c r="K3702" s="85" t="s">
        <v>1555</v>
      </c>
      <c r="L3702" s="85" t="s">
        <v>14082</v>
      </c>
      <c r="M3702" s="85" t="s">
        <v>45</v>
      </c>
      <c r="N3702" s="85" t="s">
        <v>80</v>
      </c>
      <c r="O3702" s="85" t="s">
        <v>59</v>
      </c>
      <c r="P3702" s="85" t="s">
        <v>60</v>
      </c>
      <c r="Q3702" s="85" t="s">
        <v>19923</v>
      </c>
      <c r="R3702" s="85" t="s">
        <v>19923</v>
      </c>
      <c r="S3702" s="85"/>
      <c r="T3702" s="85"/>
      <c r="U3702" s="85"/>
      <c r="V3702" s="85"/>
      <c r="W3702" s="85"/>
      <c r="X3702" s="85">
        <v>0</v>
      </c>
      <c r="Y3702" s="85"/>
      <c r="Z3702" s="85"/>
      <c r="AA3702" s="85"/>
      <c r="AB3702" s="85"/>
      <c r="AC3702" s="85"/>
      <c r="AD3702" s="85">
        <v>0</v>
      </c>
      <c r="AE3702" s="85" t="s">
        <v>73</v>
      </c>
      <c r="AF3702" s="85" t="s">
        <v>21334</v>
      </c>
      <c r="AG3702" s="85" t="s">
        <v>8837</v>
      </c>
      <c r="AH3702" s="43">
        <v>45264</v>
      </c>
      <c r="AI3702" s="85"/>
      <c r="AJ3702" s="85"/>
      <c r="AK3702" s="85"/>
    </row>
    <row r="3703" spans="1:37" ht="36.75" customHeight="1" x14ac:dyDescent="0.35">
      <c r="A3703" s="21" t="s">
        <v>12448</v>
      </c>
      <c r="B3703" s="5" t="s">
        <v>37</v>
      </c>
      <c r="C3703" s="73" t="str">
        <f t="shared" si="67"/>
        <v>Closed</v>
      </c>
      <c r="D3703" s="91" t="s">
        <v>21335</v>
      </c>
      <c r="E3703" s="85" t="s">
        <v>21336</v>
      </c>
      <c r="F3703" s="85" t="s">
        <v>17728</v>
      </c>
      <c r="G3703" s="9">
        <f>DATE(2023,12,1)</f>
        <v>45261</v>
      </c>
      <c r="H3703" s="107">
        <v>1.3194444444444444</v>
      </c>
      <c r="I3703" s="85" t="s">
        <v>106</v>
      </c>
      <c r="J3703" s="85" t="s">
        <v>21337</v>
      </c>
      <c r="K3703" s="85" t="s">
        <v>2583</v>
      </c>
      <c r="L3703" s="85" t="s">
        <v>21338</v>
      </c>
      <c r="M3703" s="85" t="s">
        <v>45</v>
      </c>
      <c r="N3703" s="85" t="s">
        <v>80</v>
      </c>
      <c r="O3703" s="85" t="s">
        <v>46</v>
      </c>
      <c r="P3703" s="85" t="s">
        <v>47</v>
      </c>
      <c r="Q3703" s="85" t="s">
        <v>20666</v>
      </c>
      <c r="R3703" s="85" t="s">
        <v>20667</v>
      </c>
      <c r="S3703" s="85">
        <v>0</v>
      </c>
      <c r="T3703" s="85">
        <v>0</v>
      </c>
      <c r="U3703" s="85">
        <v>0</v>
      </c>
      <c r="V3703" s="85">
        <v>0</v>
      </c>
      <c r="W3703" s="85">
        <v>0</v>
      </c>
      <c r="X3703" s="85">
        <v>0</v>
      </c>
      <c r="Y3703" s="85">
        <v>0</v>
      </c>
      <c r="Z3703" s="85">
        <v>0</v>
      </c>
      <c r="AA3703" s="85">
        <v>0</v>
      </c>
      <c r="AB3703" s="85">
        <v>0</v>
      </c>
      <c r="AC3703" s="85">
        <v>0</v>
      </c>
      <c r="AD3703" s="85">
        <v>0</v>
      </c>
      <c r="AE3703" s="85" t="s">
        <v>73</v>
      </c>
      <c r="AF3703" s="85" t="s">
        <v>21339</v>
      </c>
      <c r="AG3703" s="85" t="s">
        <v>8837</v>
      </c>
      <c r="AH3703" s="43">
        <v>45264</v>
      </c>
      <c r="AI3703" s="85">
        <v>5</v>
      </c>
      <c r="AJ3703" s="85" t="s">
        <v>21340</v>
      </c>
      <c r="AK3703" s="85"/>
    </row>
    <row r="3704" spans="1:37" ht="36.75" customHeight="1" x14ac:dyDescent="0.35">
      <c r="A3704" s="21" t="s">
        <v>12448</v>
      </c>
      <c r="B3704" s="5" t="s">
        <v>887</v>
      </c>
      <c r="C3704" s="73" t="str">
        <f t="shared" si="67"/>
        <v>Open</v>
      </c>
      <c r="D3704" s="47" t="s">
        <v>21341</v>
      </c>
      <c r="E3704" s="85" t="s">
        <v>21342</v>
      </c>
      <c r="F3704" s="85" t="s">
        <v>6434</v>
      </c>
      <c r="G3704" s="9">
        <f>DATE(2023,12,1)</f>
        <v>45261</v>
      </c>
      <c r="H3704" s="107">
        <v>1.4861111111111112</v>
      </c>
      <c r="I3704" s="10" t="s">
        <v>179</v>
      </c>
      <c r="J3704" s="10" t="s">
        <v>21343</v>
      </c>
      <c r="K3704" s="85" t="s">
        <v>565</v>
      </c>
      <c r="L3704" s="85" t="s">
        <v>21344</v>
      </c>
      <c r="M3704" s="85" t="s">
        <v>45</v>
      </c>
      <c r="N3704" s="85" t="s">
        <v>70</v>
      </c>
      <c r="O3704" s="85" t="s">
        <v>59</v>
      </c>
      <c r="P3704" s="85" t="s">
        <v>362</v>
      </c>
      <c r="Q3704" s="10" t="s">
        <v>21345</v>
      </c>
      <c r="R3704" s="10" t="s">
        <v>568</v>
      </c>
      <c r="S3704" s="85">
        <v>0</v>
      </c>
      <c r="T3704" s="85">
        <v>0</v>
      </c>
      <c r="U3704" s="85">
        <v>0</v>
      </c>
      <c r="V3704" s="85">
        <v>0</v>
      </c>
      <c r="W3704" s="85">
        <v>0</v>
      </c>
      <c r="X3704" s="85">
        <v>0</v>
      </c>
      <c r="Y3704" s="85">
        <v>0</v>
      </c>
      <c r="Z3704" s="85">
        <v>0</v>
      </c>
      <c r="AA3704" s="85">
        <v>0</v>
      </c>
      <c r="AB3704" s="85">
        <v>0</v>
      </c>
      <c r="AC3704" s="85">
        <v>0</v>
      </c>
      <c r="AD3704" s="85">
        <v>0</v>
      </c>
      <c r="AE3704" s="10" t="s">
        <v>73</v>
      </c>
      <c r="AF3704" s="10" t="s">
        <v>21346</v>
      </c>
      <c r="AG3704" s="10" t="s">
        <v>14532</v>
      </c>
      <c r="AH3704" s="43">
        <v>45261</v>
      </c>
      <c r="AI3704" s="10"/>
      <c r="AJ3704" s="10"/>
      <c r="AK3704" s="10"/>
    </row>
    <row r="3705" spans="1:37" ht="36.75" customHeight="1" x14ac:dyDescent="0.35">
      <c r="A3705" s="21" t="s">
        <v>12448</v>
      </c>
      <c r="B3705" s="5" t="s">
        <v>887</v>
      </c>
      <c r="C3705" s="73" t="str">
        <f t="shared" si="67"/>
        <v>Open</v>
      </c>
      <c r="D3705" s="47" t="s">
        <v>21347</v>
      </c>
      <c r="E3705" s="85" t="s">
        <v>21348</v>
      </c>
      <c r="F3705" s="85" t="s">
        <v>12887</v>
      </c>
      <c r="G3705" s="9">
        <f>DATE(2023,12,2)</f>
        <v>45262</v>
      </c>
      <c r="H3705" s="107">
        <v>1.1944444444444444</v>
      </c>
      <c r="I3705" s="85" t="s">
        <v>259</v>
      </c>
      <c r="J3705" s="85" t="s">
        <v>20977</v>
      </c>
      <c r="K3705" s="85" t="s">
        <v>434</v>
      </c>
      <c r="L3705" s="85" t="s">
        <v>21349</v>
      </c>
      <c r="M3705" s="85" t="s">
        <v>45</v>
      </c>
      <c r="N3705" s="85" t="s">
        <v>123</v>
      </c>
      <c r="O3705" s="85" t="s">
        <v>46</v>
      </c>
      <c r="P3705" s="85" t="s">
        <v>6881</v>
      </c>
      <c r="Q3705" s="85" t="s">
        <v>21350</v>
      </c>
      <c r="R3705" s="85" t="s">
        <v>553</v>
      </c>
      <c r="S3705" s="85">
        <v>0</v>
      </c>
      <c r="T3705" s="85">
        <v>0</v>
      </c>
      <c r="U3705" s="85">
        <v>0</v>
      </c>
      <c r="V3705" s="85">
        <v>1</v>
      </c>
      <c r="W3705" s="85">
        <v>0</v>
      </c>
      <c r="X3705" s="85">
        <v>1</v>
      </c>
      <c r="Y3705" s="85">
        <v>0</v>
      </c>
      <c r="Z3705" s="85">
        <v>0</v>
      </c>
      <c r="AA3705" s="85">
        <v>0</v>
      </c>
      <c r="AB3705" s="85">
        <v>0</v>
      </c>
      <c r="AC3705" s="85">
        <v>0</v>
      </c>
      <c r="AD3705" s="85">
        <v>0</v>
      </c>
      <c r="AE3705" s="85" t="s">
        <v>73</v>
      </c>
      <c r="AF3705" s="85" t="s">
        <v>693</v>
      </c>
      <c r="AG3705" s="85" t="s">
        <v>6438</v>
      </c>
      <c r="AH3705" s="43">
        <v>45271</v>
      </c>
      <c r="AI3705" s="85"/>
      <c r="AJ3705" s="85"/>
      <c r="AK3705" s="85"/>
    </row>
    <row r="3706" spans="1:37" ht="36.75" customHeight="1" x14ac:dyDescent="0.35">
      <c r="A3706" s="21" t="s">
        <v>12448</v>
      </c>
      <c r="B3706" s="5" t="s">
        <v>887</v>
      </c>
      <c r="C3706" s="73" t="str">
        <f t="shared" si="67"/>
        <v>Open</v>
      </c>
      <c r="D3706" s="47" t="s">
        <v>21351</v>
      </c>
      <c r="E3706" s="85" t="s">
        <v>21352</v>
      </c>
      <c r="F3706" s="85" t="s">
        <v>12887</v>
      </c>
      <c r="G3706" s="9">
        <f>DATE(2023,12,3)</f>
        <v>45263</v>
      </c>
      <c r="H3706" s="107">
        <v>1.2291666666666667</v>
      </c>
      <c r="I3706" s="85" t="s">
        <v>259</v>
      </c>
      <c r="J3706" s="85" t="s">
        <v>20977</v>
      </c>
      <c r="K3706" s="85" t="s">
        <v>434</v>
      </c>
      <c r="L3706" s="85" t="s">
        <v>21353</v>
      </c>
      <c r="M3706" s="85" t="s">
        <v>45</v>
      </c>
      <c r="N3706" s="85" t="s">
        <v>123</v>
      </c>
      <c r="O3706" s="85" t="s">
        <v>46</v>
      </c>
      <c r="P3706" s="85" t="s">
        <v>6881</v>
      </c>
      <c r="Q3706" s="85" t="s">
        <v>21350</v>
      </c>
      <c r="R3706" s="85" t="s">
        <v>553</v>
      </c>
      <c r="S3706" s="85">
        <v>0</v>
      </c>
      <c r="T3706" s="85">
        <v>0</v>
      </c>
      <c r="U3706" s="85">
        <v>0</v>
      </c>
      <c r="V3706" s="85">
        <v>1</v>
      </c>
      <c r="W3706" s="85">
        <v>0</v>
      </c>
      <c r="X3706" s="85">
        <v>1</v>
      </c>
      <c r="Y3706" s="85">
        <v>0</v>
      </c>
      <c r="Z3706" s="85">
        <v>0</v>
      </c>
      <c r="AA3706" s="85">
        <v>0</v>
      </c>
      <c r="AB3706" s="85">
        <v>0</v>
      </c>
      <c r="AC3706" s="85">
        <v>0</v>
      </c>
      <c r="AD3706" s="85">
        <v>0</v>
      </c>
      <c r="AE3706" s="85" t="s">
        <v>73</v>
      </c>
      <c r="AF3706" s="85" t="s">
        <v>693</v>
      </c>
      <c r="AG3706" s="85" t="s">
        <v>6438</v>
      </c>
      <c r="AH3706" s="43">
        <v>45271</v>
      </c>
      <c r="AI3706" s="85"/>
      <c r="AJ3706" s="85"/>
      <c r="AK3706" s="85"/>
    </row>
    <row r="3707" spans="1:37" ht="36.75" customHeight="1" x14ac:dyDescent="0.35">
      <c r="A3707" s="21" t="s">
        <v>12448</v>
      </c>
      <c r="B3707" s="5" t="s">
        <v>887</v>
      </c>
      <c r="C3707" s="73" t="str">
        <f t="shared" si="67"/>
        <v>Open</v>
      </c>
      <c r="D3707" s="47" t="s">
        <v>21354</v>
      </c>
      <c r="E3707" s="85" t="s">
        <v>21355</v>
      </c>
      <c r="F3707" s="85" t="s">
        <v>16397</v>
      </c>
      <c r="G3707" s="9">
        <f>DATE(2023,12,3)</f>
        <v>45263</v>
      </c>
      <c r="H3707" s="107">
        <v>1.2416666666666667</v>
      </c>
      <c r="I3707" s="85" t="s">
        <v>179</v>
      </c>
      <c r="J3707" s="85" t="s">
        <v>21356</v>
      </c>
      <c r="K3707" s="85" t="s">
        <v>406</v>
      </c>
      <c r="L3707" s="85" t="s">
        <v>21357</v>
      </c>
      <c r="M3707" s="85" t="s">
        <v>45</v>
      </c>
      <c r="N3707" s="85" t="s">
        <v>123</v>
      </c>
      <c r="O3707" s="85" t="s">
        <v>21358</v>
      </c>
      <c r="P3707" s="85" t="s">
        <v>60</v>
      </c>
      <c r="Q3707" s="85" t="s">
        <v>21359</v>
      </c>
      <c r="R3707" s="85" t="s">
        <v>17330</v>
      </c>
      <c r="S3707" s="85">
        <v>0</v>
      </c>
      <c r="T3707" s="85">
        <v>0</v>
      </c>
      <c r="U3707" s="85">
        <v>0</v>
      </c>
      <c r="V3707" s="85">
        <v>0</v>
      </c>
      <c r="W3707" s="85">
        <v>0</v>
      </c>
      <c r="X3707" s="85">
        <v>0</v>
      </c>
      <c r="Y3707" s="85">
        <v>0</v>
      </c>
      <c r="Z3707" s="85">
        <v>0</v>
      </c>
      <c r="AA3707" s="85">
        <v>0</v>
      </c>
      <c r="AB3707" s="85">
        <v>0</v>
      </c>
      <c r="AC3707" s="85">
        <v>0</v>
      </c>
      <c r="AD3707" s="85">
        <v>0</v>
      </c>
      <c r="AE3707" s="85" t="s">
        <v>126</v>
      </c>
      <c r="AF3707" s="85" t="s">
        <v>21360</v>
      </c>
      <c r="AG3707" s="85" t="s">
        <v>6438</v>
      </c>
      <c r="AH3707" s="43">
        <v>45263</v>
      </c>
      <c r="AI3707" s="85"/>
      <c r="AJ3707" s="85"/>
      <c r="AK3707" s="85"/>
    </row>
    <row r="3708" spans="1:37" ht="36.75" customHeight="1" x14ac:dyDescent="0.35">
      <c r="A3708" s="21" t="s">
        <v>12448</v>
      </c>
      <c r="B3708" s="5" t="s">
        <v>887</v>
      </c>
      <c r="C3708" s="73" t="str">
        <f t="shared" si="67"/>
        <v>Open</v>
      </c>
      <c r="D3708" s="47" t="s">
        <v>21361</v>
      </c>
      <c r="E3708" s="85" t="s">
        <v>21362</v>
      </c>
      <c r="F3708" s="85" t="s">
        <v>17018</v>
      </c>
      <c r="G3708" s="9">
        <f>DATE(2023,12,3)</f>
        <v>45263</v>
      </c>
      <c r="H3708" s="107">
        <v>1.4201388888888888</v>
      </c>
      <c r="I3708" s="85" t="s">
        <v>259</v>
      </c>
      <c r="J3708" s="85" t="s">
        <v>21363</v>
      </c>
      <c r="K3708" s="85" t="s">
        <v>2318</v>
      </c>
      <c r="L3708" s="85" t="s">
        <v>21364</v>
      </c>
      <c r="M3708" s="85" t="s">
        <v>45</v>
      </c>
      <c r="N3708" s="85" t="s">
        <v>123</v>
      </c>
      <c r="O3708" s="85" t="s">
        <v>59</v>
      </c>
      <c r="P3708" s="85" t="s">
        <v>146</v>
      </c>
      <c r="Q3708" s="85" t="s">
        <v>18677</v>
      </c>
      <c r="R3708" s="85" t="s">
        <v>2321</v>
      </c>
      <c r="S3708" s="85">
        <v>0</v>
      </c>
      <c r="T3708" s="85">
        <v>2</v>
      </c>
      <c r="U3708" s="85">
        <v>0</v>
      </c>
      <c r="V3708" s="85">
        <v>0</v>
      </c>
      <c r="W3708" s="85">
        <v>0</v>
      </c>
      <c r="X3708" s="85">
        <v>2</v>
      </c>
      <c r="Y3708" s="85">
        <v>0</v>
      </c>
      <c r="Z3708" s="85">
        <v>0</v>
      </c>
      <c r="AA3708" s="85">
        <v>0</v>
      </c>
      <c r="AB3708" s="85">
        <v>0</v>
      </c>
      <c r="AC3708" s="85">
        <v>0</v>
      </c>
      <c r="AD3708" s="85">
        <v>0</v>
      </c>
      <c r="AE3708" s="85" t="s">
        <v>73</v>
      </c>
      <c r="AF3708" s="85" t="s">
        <v>21365</v>
      </c>
      <c r="AG3708" s="85" t="s">
        <v>13508</v>
      </c>
      <c r="AH3708" s="43">
        <v>45324</v>
      </c>
      <c r="AI3708" s="85"/>
      <c r="AJ3708" s="85"/>
      <c r="AK3708" s="85"/>
    </row>
    <row r="3709" spans="1:37" ht="36.75" customHeight="1" x14ac:dyDescent="0.35">
      <c r="A3709" s="21" t="s">
        <v>12448</v>
      </c>
      <c r="B3709" s="5" t="s">
        <v>887</v>
      </c>
      <c r="C3709" s="73" t="str">
        <f t="shared" si="67"/>
        <v>Open</v>
      </c>
      <c r="D3709" s="47" t="s">
        <v>21366</v>
      </c>
      <c r="E3709" s="85" t="s">
        <v>21367</v>
      </c>
      <c r="F3709" s="85" t="s">
        <v>17638</v>
      </c>
      <c r="G3709" s="9">
        <f>DATE(2023,12,4)</f>
        <v>45264</v>
      </c>
      <c r="H3709" s="107">
        <v>1.28125</v>
      </c>
      <c r="I3709" s="85" t="s">
        <v>5473</v>
      </c>
      <c r="J3709" s="85" t="s">
        <v>21368</v>
      </c>
      <c r="K3709" s="85" t="s">
        <v>1555</v>
      </c>
      <c r="L3709" s="85" t="s">
        <v>21369</v>
      </c>
      <c r="M3709" s="85" t="s">
        <v>45</v>
      </c>
      <c r="N3709" s="85" t="s">
        <v>123</v>
      </c>
      <c r="O3709" s="85" t="s">
        <v>59</v>
      </c>
      <c r="P3709" s="85" t="s">
        <v>47</v>
      </c>
      <c r="Q3709" s="85" t="s">
        <v>18690</v>
      </c>
      <c r="R3709" s="85" t="s">
        <v>18956</v>
      </c>
      <c r="S3709" s="85"/>
      <c r="T3709" s="85"/>
      <c r="U3709" s="85"/>
      <c r="V3709" s="85"/>
      <c r="W3709" s="85"/>
      <c r="X3709" s="85">
        <v>0</v>
      </c>
      <c r="Y3709" s="85"/>
      <c r="Z3709" s="85"/>
      <c r="AA3709" s="85"/>
      <c r="AB3709" s="85"/>
      <c r="AC3709" s="85"/>
      <c r="AD3709" s="85">
        <v>0</v>
      </c>
      <c r="AE3709" s="85" t="s">
        <v>73</v>
      </c>
      <c r="AF3709" s="85" t="s">
        <v>21370</v>
      </c>
      <c r="AG3709" s="85" t="s">
        <v>8837</v>
      </c>
      <c r="AH3709" s="43">
        <v>45265</v>
      </c>
      <c r="AI3709" s="85"/>
      <c r="AJ3709" s="85"/>
      <c r="AK3709" s="85"/>
    </row>
    <row r="3710" spans="1:37" ht="36.75" customHeight="1" x14ac:dyDescent="0.35">
      <c r="A3710" s="21" t="s">
        <v>12448</v>
      </c>
      <c r="B3710" s="5" t="s">
        <v>887</v>
      </c>
      <c r="C3710" s="73" t="str">
        <f t="shared" si="67"/>
        <v>Open</v>
      </c>
      <c r="D3710" s="47" t="s">
        <v>21371</v>
      </c>
      <c r="E3710" s="85" t="s">
        <v>21372</v>
      </c>
      <c r="F3710" s="85" t="s">
        <v>14854</v>
      </c>
      <c r="G3710" s="9">
        <f>DATE(2023,12,8)</f>
        <v>45268</v>
      </c>
      <c r="H3710" s="107">
        <v>1.5208333333333335</v>
      </c>
      <c r="I3710" s="85" t="s">
        <v>259</v>
      </c>
      <c r="J3710" s="85" t="s">
        <v>21373</v>
      </c>
      <c r="K3710" s="85" t="s">
        <v>12858</v>
      </c>
      <c r="L3710" s="85" t="s">
        <v>21374</v>
      </c>
      <c r="M3710" s="85" t="s">
        <v>45</v>
      </c>
      <c r="N3710" s="85" t="s">
        <v>80</v>
      </c>
      <c r="O3710" s="85" t="s">
        <v>6854</v>
      </c>
      <c r="P3710" s="85" t="s">
        <v>72</v>
      </c>
      <c r="Q3710" s="85" t="s">
        <v>21375</v>
      </c>
      <c r="R3710" s="85" t="s">
        <v>21376</v>
      </c>
      <c r="S3710" s="85"/>
      <c r="T3710" s="85"/>
      <c r="U3710" s="85"/>
      <c r="V3710" s="85"/>
      <c r="W3710" s="85"/>
      <c r="X3710" s="85">
        <v>1</v>
      </c>
      <c r="Y3710" s="85"/>
      <c r="Z3710" s="85"/>
      <c r="AA3710" s="85"/>
      <c r="AB3710" s="85"/>
      <c r="AC3710" s="85"/>
      <c r="AD3710" s="85">
        <v>0</v>
      </c>
      <c r="AE3710" s="85" t="s">
        <v>73</v>
      </c>
      <c r="AF3710" s="85" t="s">
        <v>693</v>
      </c>
      <c r="AG3710" s="85" t="s">
        <v>8837</v>
      </c>
      <c r="AH3710" s="43">
        <v>45329</v>
      </c>
      <c r="AI3710" s="85"/>
      <c r="AJ3710" s="85"/>
      <c r="AK3710" s="85"/>
    </row>
    <row r="3711" spans="1:37" ht="36.75" customHeight="1" x14ac:dyDescent="0.35">
      <c r="A3711" s="21" t="s">
        <v>12448</v>
      </c>
      <c r="B3711" s="5" t="s">
        <v>887</v>
      </c>
      <c r="C3711" s="73" t="str">
        <f t="shared" si="67"/>
        <v>Open</v>
      </c>
      <c r="D3711" s="47" t="s">
        <v>21377</v>
      </c>
      <c r="E3711" s="85" t="s">
        <v>21378</v>
      </c>
      <c r="F3711" s="85" t="s">
        <v>12887</v>
      </c>
      <c r="G3711" s="9">
        <f>DATE(2023,12,9)</f>
        <v>45269</v>
      </c>
      <c r="H3711" s="107">
        <v>1.9652777777777777</v>
      </c>
      <c r="I3711" s="85" t="s">
        <v>97</v>
      </c>
      <c r="J3711" s="85" t="s">
        <v>21379</v>
      </c>
      <c r="K3711" s="85" t="s">
        <v>434</v>
      </c>
      <c r="L3711" s="85" t="s">
        <v>21380</v>
      </c>
      <c r="M3711" s="85" t="s">
        <v>45</v>
      </c>
      <c r="N3711" s="85" t="s">
        <v>70</v>
      </c>
      <c r="O3711" s="85" t="s">
        <v>59</v>
      </c>
      <c r="P3711" s="85" t="s">
        <v>146</v>
      </c>
      <c r="Q3711" s="85" t="s">
        <v>14350</v>
      </c>
      <c r="R3711" s="85" t="s">
        <v>553</v>
      </c>
      <c r="S3711" s="85">
        <v>0</v>
      </c>
      <c r="T3711" s="85">
        <v>0</v>
      </c>
      <c r="U3711" s="85">
        <v>1</v>
      </c>
      <c r="V3711" s="85">
        <v>0</v>
      </c>
      <c r="W3711" s="85">
        <v>0</v>
      </c>
      <c r="X3711" s="85">
        <v>1</v>
      </c>
      <c r="Y3711" s="85">
        <v>0</v>
      </c>
      <c r="Z3711" s="85">
        <v>0</v>
      </c>
      <c r="AA3711" s="85">
        <v>0</v>
      </c>
      <c r="AB3711" s="85">
        <v>0</v>
      </c>
      <c r="AC3711" s="85">
        <v>0</v>
      </c>
      <c r="AD3711" s="85">
        <v>0</v>
      </c>
      <c r="AE3711" s="85" t="s">
        <v>73</v>
      </c>
      <c r="AF3711" s="85" t="s">
        <v>693</v>
      </c>
      <c r="AG3711" s="85" t="s">
        <v>6438</v>
      </c>
      <c r="AH3711" s="43">
        <v>45299</v>
      </c>
      <c r="AI3711" s="85"/>
      <c r="AJ3711" s="85"/>
      <c r="AK3711" s="85"/>
    </row>
    <row r="3712" spans="1:37" ht="36.75" customHeight="1" x14ac:dyDescent="0.35">
      <c r="A3712" s="21" t="s">
        <v>12448</v>
      </c>
      <c r="B3712" s="5" t="s">
        <v>887</v>
      </c>
      <c r="C3712" s="73" t="str">
        <f t="shared" si="67"/>
        <v>Open</v>
      </c>
      <c r="D3712" s="47" t="s">
        <v>21381</v>
      </c>
      <c r="E3712" s="85" t="s">
        <v>21382</v>
      </c>
      <c r="F3712" s="85" t="s">
        <v>18076</v>
      </c>
      <c r="G3712" s="9">
        <f>DATE(2023,12,10)</f>
        <v>45270</v>
      </c>
      <c r="H3712" s="107">
        <v>1.8263888888888888</v>
      </c>
      <c r="I3712" s="102" t="s">
        <v>179</v>
      </c>
      <c r="J3712" s="102" t="s">
        <v>21383</v>
      </c>
      <c r="K3712" s="85" t="s">
        <v>360</v>
      </c>
      <c r="L3712" s="85" t="s">
        <v>21384</v>
      </c>
      <c r="M3712" s="85" t="s">
        <v>45</v>
      </c>
      <c r="N3712" s="85" t="s">
        <v>123</v>
      </c>
      <c r="O3712" s="85" t="s">
        <v>46</v>
      </c>
      <c r="P3712" s="85" t="s">
        <v>443</v>
      </c>
      <c r="Q3712" s="102" t="s">
        <v>21385</v>
      </c>
      <c r="R3712" s="102" t="s">
        <v>19563</v>
      </c>
      <c r="S3712" s="85"/>
      <c r="T3712" s="85"/>
      <c r="U3712" s="85"/>
      <c r="V3712" s="85"/>
      <c r="W3712" s="85"/>
      <c r="X3712" s="85">
        <v>0</v>
      </c>
      <c r="Y3712" s="85"/>
      <c r="Z3712" s="85"/>
      <c r="AA3712" s="85"/>
      <c r="AB3712" s="85"/>
      <c r="AC3712" s="85"/>
      <c r="AD3712" s="85">
        <v>0</v>
      </c>
      <c r="AE3712" s="102" t="s">
        <v>375</v>
      </c>
      <c r="AF3712" s="102" t="s">
        <v>21386</v>
      </c>
      <c r="AG3712" s="102" t="s">
        <v>8837</v>
      </c>
      <c r="AH3712" s="43">
        <v>45272</v>
      </c>
      <c r="AI3712" s="102"/>
      <c r="AJ3712" s="102"/>
      <c r="AK3712" s="102"/>
    </row>
    <row r="3713" spans="1:37" ht="36.75" customHeight="1" x14ac:dyDescent="0.35">
      <c r="A3713" s="21" t="s">
        <v>12448</v>
      </c>
      <c r="B3713" s="5" t="s">
        <v>887</v>
      </c>
      <c r="C3713" s="73" t="str">
        <f t="shared" si="67"/>
        <v>Open</v>
      </c>
      <c r="D3713" s="47" t="s">
        <v>21387</v>
      </c>
      <c r="E3713" s="85" t="s">
        <v>21388</v>
      </c>
      <c r="F3713" s="85" t="s">
        <v>9767</v>
      </c>
      <c r="G3713" s="9">
        <f>DATE(2023,12,11)</f>
        <v>45271</v>
      </c>
      <c r="H3713" s="107">
        <v>1.3680555555555556</v>
      </c>
      <c r="I3713" s="102" t="s">
        <v>179</v>
      </c>
      <c r="J3713" s="102" t="s">
        <v>21389</v>
      </c>
      <c r="K3713" s="102" t="s">
        <v>9769</v>
      </c>
      <c r="L3713" s="102" t="s">
        <v>21390</v>
      </c>
      <c r="M3713" s="102" t="s">
        <v>45</v>
      </c>
      <c r="N3713" s="102" t="s">
        <v>80</v>
      </c>
      <c r="O3713" s="102" t="s">
        <v>46</v>
      </c>
      <c r="P3713" s="102" t="s">
        <v>60</v>
      </c>
      <c r="Q3713" s="102" t="s">
        <v>21272</v>
      </c>
      <c r="R3713" s="102" t="s">
        <v>20687</v>
      </c>
      <c r="S3713" s="85">
        <v>0</v>
      </c>
      <c r="T3713" s="85">
        <v>0</v>
      </c>
      <c r="U3713" s="85">
        <v>0</v>
      </c>
      <c r="V3713" s="85">
        <v>0</v>
      </c>
      <c r="W3713" s="85">
        <v>0</v>
      </c>
      <c r="X3713" s="85">
        <v>0</v>
      </c>
      <c r="Y3713" s="85">
        <v>0</v>
      </c>
      <c r="Z3713" s="85">
        <v>0</v>
      </c>
      <c r="AA3713" s="85">
        <v>0</v>
      </c>
      <c r="AB3713" s="85">
        <v>0</v>
      </c>
      <c r="AC3713" s="85">
        <v>0</v>
      </c>
      <c r="AD3713" s="85">
        <v>0</v>
      </c>
      <c r="AE3713" s="102" t="s">
        <v>126</v>
      </c>
      <c r="AF3713" s="102" t="s">
        <v>21391</v>
      </c>
      <c r="AG3713" s="102" t="s">
        <v>6438</v>
      </c>
      <c r="AH3713" s="43">
        <v>45272</v>
      </c>
      <c r="AI3713" s="102"/>
      <c r="AJ3713" s="102"/>
      <c r="AK3713" s="102"/>
    </row>
    <row r="3714" spans="1:37" ht="36.75" customHeight="1" x14ac:dyDescent="0.35">
      <c r="A3714" s="21" t="s">
        <v>12448</v>
      </c>
      <c r="B3714" s="5" t="s">
        <v>887</v>
      </c>
      <c r="C3714" s="73" t="str">
        <f t="shared" si="67"/>
        <v>Open</v>
      </c>
      <c r="D3714" s="47" t="s">
        <v>21392</v>
      </c>
      <c r="E3714" s="85" t="s">
        <v>21393</v>
      </c>
      <c r="F3714" s="85" t="s">
        <v>17638</v>
      </c>
      <c r="G3714" s="9">
        <f>DATE(2023,12,13)</f>
        <v>45273</v>
      </c>
      <c r="H3714" s="107">
        <v>1.5243055555555556</v>
      </c>
      <c r="I3714" s="102" t="s">
        <v>55</v>
      </c>
      <c r="J3714" s="85" t="s">
        <v>21394</v>
      </c>
      <c r="K3714" s="85" t="s">
        <v>1555</v>
      </c>
      <c r="L3714" s="85" t="s">
        <v>21395</v>
      </c>
      <c r="M3714" s="85" t="s">
        <v>45</v>
      </c>
      <c r="N3714" s="85" t="s">
        <v>123</v>
      </c>
      <c r="O3714" s="85" t="s">
        <v>59</v>
      </c>
      <c r="P3714" s="85" t="s">
        <v>60</v>
      </c>
      <c r="Q3714" s="85" t="s">
        <v>18008</v>
      </c>
      <c r="R3714" s="85" t="s">
        <v>18956</v>
      </c>
      <c r="S3714" s="85"/>
      <c r="T3714" s="85"/>
      <c r="U3714" s="85"/>
      <c r="V3714" s="85"/>
      <c r="W3714" s="85"/>
      <c r="X3714" s="85">
        <v>0</v>
      </c>
      <c r="Y3714" s="85"/>
      <c r="Z3714" s="85"/>
      <c r="AA3714" s="85"/>
      <c r="AB3714" s="85"/>
      <c r="AC3714" s="85"/>
      <c r="AD3714" s="85">
        <v>0</v>
      </c>
      <c r="AE3714" s="85" t="s">
        <v>73</v>
      </c>
      <c r="AF3714" s="85" t="s">
        <v>21396</v>
      </c>
      <c r="AG3714" s="85" t="s">
        <v>8837</v>
      </c>
      <c r="AH3714" s="43">
        <v>45274</v>
      </c>
      <c r="AI3714" s="102"/>
      <c r="AJ3714" s="102"/>
      <c r="AK3714" s="102"/>
    </row>
    <row r="3715" spans="1:37" ht="36.75" customHeight="1" x14ac:dyDescent="0.35">
      <c r="A3715" s="21" t="s">
        <v>12448</v>
      </c>
      <c r="B3715" s="5" t="s">
        <v>887</v>
      </c>
      <c r="C3715" s="73" t="str">
        <f t="shared" si="67"/>
        <v>Open</v>
      </c>
      <c r="D3715" s="47" t="s">
        <v>21397</v>
      </c>
      <c r="E3715" s="85" t="s">
        <v>21398</v>
      </c>
      <c r="F3715" s="85" t="s">
        <v>16397</v>
      </c>
      <c r="G3715" s="9">
        <f>DATE(2023,12,13)</f>
        <v>45273</v>
      </c>
      <c r="H3715" s="107">
        <v>1.2430555555555556</v>
      </c>
      <c r="I3715" s="102" t="s">
        <v>55</v>
      </c>
      <c r="J3715" s="85" t="s">
        <v>21399</v>
      </c>
      <c r="K3715" s="85" t="s">
        <v>406</v>
      </c>
      <c r="L3715" s="85" t="s">
        <v>21400</v>
      </c>
      <c r="M3715" s="85" t="s">
        <v>45</v>
      </c>
      <c r="N3715" s="85" t="s">
        <v>80</v>
      </c>
      <c r="O3715" s="85" t="s">
        <v>59</v>
      </c>
      <c r="P3715" s="85" t="s">
        <v>146</v>
      </c>
      <c r="Q3715" s="85" t="s">
        <v>14742</v>
      </c>
      <c r="R3715" s="85" t="s">
        <v>17330</v>
      </c>
      <c r="S3715" s="85">
        <v>0</v>
      </c>
      <c r="T3715" s="85">
        <v>0</v>
      </c>
      <c r="U3715" s="85">
        <v>0</v>
      </c>
      <c r="V3715" s="85">
        <v>0</v>
      </c>
      <c r="W3715" s="85">
        <v>0</v>
      </c>
      <c r="X3715" s="85">
        <v>0</v>
      </c>
      <c r="Y3715" s="85">
        <v>0</v>
      </c>
      <c r="Z3715" s="85">
        <v>0</v>
      </c>
      <c r="AA3715" s="85">
        <v>0</v>
      </c>
      <c r="AB3715" s="85">
        <v>0</v>
      </c>
      <c r="AC3715" s="85">
        <v>0</v>
      </c>
      <c r="AD3715" s="85">
        <v>0</v>
      </c>
      <c r="AE3715" s="85" t="s">
        <v>73</v>
      </c>
      <c r="AF3715" s="85" t="s">
        <v>21401</v>
      </c>
      <c r="AG3715" s="85" t="s">
        <v>21402</v>
      </c>
      <c r="AH3715" s="43">
        <v>45273</v>
      </c>
      <c r="AI3715" s="85"/>
      <c r="AJ3715" s="85"/>
      <c r="AK3715" s="85"/>
    </row>
    <row r="3716" spans="1:37" ht="36.75" customHeight="1" x14ac:dyDescent="0.35">
      <c r="A3716" s="21" t="s">
        <v>12448</v>
      </c>
      <c r="B3716" s="5" t="s">
        <v>887</v>
      </c>
      <c r="C3716" s="73" t="str">
        <f t="shared" si="67"/>
        <v>Open</v>
      </c>
      <c r="D3716" s="47" t="s">
        <v>21403</v>
      </c>
      <c r="E3716" s="85" t="s">
        <v>21404</v>
      </c>
      <c r="F3716" s="85" t="s">
        <v>18015</v>
      </c>
      <c r="G3716" s="9">
        <f>DATE(2023,12,17)</f>
        <v>45277</v>
      </c>
      <c r="H3716" s="107">
        <v>1.7291666666666665</v>
      </c>
      <c r="I3716" s="85" t="s">
        <v>55</v>
      </c>
      <c r="J3716" s="85" t="s">
        <v>21405</v>
      </c>
      <c r="K3716" s="85" t="s">
        <v>121</v>
      </c>
      <c r="L3716" s="85" t="s">
        <v>21406</v>
      </c>
      <c r="M3716" s="85" t="s">
        <v>45</v>
      </c>
      <c r="N3716" s="85" t="s">
        <v>80</v>
      </c>
      <c r="O3716" s="85" t="s">
        <v>59</v>
      </c>
      <c r="P3716" s="85" t="s">
        <v>60</v>
      </c>
      <c r="Q3716" s="85" t="s">
        <v>21407</v>
      </c>
      <c r="R3716" s="85" t="s">
        <v>18480</v>
      </c>
      <c r="S3716" s="85">
        <v>0</v>
      </c>
      <c r="T3716" s="85">
        <v>0</v>
      </c>
      <c r="U3716" s="85">
        <v>0</v>
      </c>
      <c r="V3716" s="85">
        <v>0</v>
      </c>
      <c r="W3716" s="85">
        <v>0</v>
      </c>
      <c r="X3716" s="85">
        <v>0</v>
      </c>
      <c r="Y3716" s="85">
        <v>0</v>
      </c>
      <c r="Z3716" s="85">
        <v>0</v>
      </c>
      <c r="AA3716" s="85">
        <v>0</v>
      </c>
      <c r="AB3716" s="85">
        <v>0</v>
      </c>
      <c r="AC3716" s="85">
        <v>0</v>
      </c>
      <c r="AD3716" s="85">
        <v>0</v>
      </c>
      <c r="AE3716" s="85" t="s">
        <v>126</v>
      </c>
      <c r="AF3716" s="85" t="s">
        <v>21408</v>
      </c>
      <c r="AG3716" s="85" t="s">
        <v>6438</v>
      </c>
      <c r="AH3716" s="43">
        <v>45278</v>
      </c>
      <c r="AI3716" s="85"/>
      <c r="AJ3716" s="85"/>
      <c r="AK3716" s="85"/>
    </row>
    <row r="3717" spans="1:37" ht="36.75" customHeight="1" x14ac:dyDescent="0.35">
      <c r="A3717" s="21" t="s">
        <v>12448</v>
      </c>
      <c r="B3717" s="5" t="s">
        <v>887</v>
      </c>
      <c r="C3717" s="73" t="str">
        <f t="shared" si="67"/>
        <v>Open</v>
      </c>
      <c r="D3717" s="47" t="s">
        <v>21409</v>
      </c>
      <c r="E3717" s="85" t="s">
        <v>21410</v>
      </c>
      <c r="F3717" s="85" t="s">
        <v>16397</v>
      </c>
      <c r="G3717" s="9">
        <f>DATE(2023,12,18)</f>
        <v>45278</v>
      </c>
      <c r="H3717" s="107">
        <v>1.5777777777777779</v>
      </c>
      <c r="I3717" s="85" t="s">
        <v>55</v>
      </c>
      <c r="J3717" s="85" t="s">
        <v>21411</v>
      </c>
      <c r="K3717" s="85" t="s">
        <v>406</v>
      </c>
      <c r="L3717" s="85" t="s">
        <v>20116</v>
      </c>
      <c r="M3717" s="85" t="s">
        <v>45</v>
      </c>
      <c r="N3717" s="85" t="s">
        <v>80</v>
      </c>
      <c r="O3717" s="85" t="s">
        <v>21412</v>
      </c>
      <c r="P3717" s="85" t="s">
        <v>146</v>
      </c>
      <c r="Q3717" s="85" t="s">
        <v>18565</v>
      </c>
      <c r="R3717" s="85" t="s">
        <v>17330</v>
      </c>
      <c r="S3717" s="85">
        <v>0</v>
      </c>
      <c r="T3717" s="85">
        <v>0</v>
      </c>
      <c r="U3717" s="85">
        <v>0</v>
      </c>
      <c r="V3717" s="85">
        <v>0</v>
      </c>
      <c r="W3717" s="85">
        <v>0</v>
      </c>
      <c r="X3717" s="85">
        <v>0</v>
      </c>
      <c r="Y3717" s="85">
        <v>0</v>
      </c>
      <c r="Z3717" s="85">
        <v>0</v>
      </c>
      <c r="AA3717" s="85">
        <v>0</v>
      </c>
      <c r="AB3717" s="85">
        <v>0</v>
      </c>
      <c r="AC3717" s="85">
        <v>0</v>
      </c>
      <c r="AD3717" s="85">
        <v>0</v>
      </c>
      <c r="AE3717" s="85" t="s">
        <v>73</v>
      </c>
      <c r="AF3717" s="85" t="s">
        <v>21413</v>
      </c>
      <c r="AG3717" s="85" t="s">
        <v>16251</v>
      </c>
      <c r="AH3717" s="43">
        <v>45278</v>
      </c>
      <c r="AI3717" s="85"/>
      <c r="AJ3717" s="85"/>
      <c r="AK3717" s="85"/>
    </row>
    <row r="3718" spans="1:37" ht="36.75" customHeight="1" x14ac:dyDescent="0.35">
      <c r="A3718" s="21" t="s">
        <v>12448</v>
      </c>
      <c r="B3718" s="5" t="s">
        <v>887</v>
      </c>
      <c r="C3718" s="73" t="str">
        <f t="shared" si="67"/>
        <v>Open</v>
      </c>
      <c r="D3718" s="47" t="s">
        <v>21414</v>
      </c>
      <c r="E3718" s="85" t="s">
        <v>21415</v>
      </c>
      <c r="F3718" s="85" t="s">
        <v>21416</v>
      </c>
      <c r="G3718" s="9">
        <f>DATE(2023,12,21)</f>
        <v>45281</v>
      </c>
      <c r="H3718" s="107">
        <v>1.3854166666666667</v>
      </c>
      <c r="I3718" s="85" t="s">
        <v>259</v>
      </c>
      <c r="J3718" s="85" t="s">
        <v>21417</v>
      </c>
      <c r="K3718" s="85" t="s">
        <v>3130</v>
      </c>
      <c r="L3718" s="85" t="s">
        <v>21390</v>
      </c>
      <c r="M3718" s="85" t="s">
        <v>45</v>
      </c>
      <c r="N3718" s="85" t="s">
        <v>123</v>
      </c>
      <c r="O3718" s="85" t="s">
        <v>46</v>
      </c>
      <c r="P3718" s="85" t="s">
        <v>146</v>
      </c>
      <c r="Q3718" s="85" t="s">
        <v>21418</v>
      </c>
      <c r="R3718" s="85" t="s">
        <v>21419</v>
      </c>
      <c r="S3718" s="85">
        <v>0</v>
      </c>
      <c r="T3718" s="85">
        <v>2</v>
      </c>
      <c r="U3718" s="85">
        <v>0</v>
      </c>
      <c r="V3718" s="85">
        <v>0</v>
      </c>
      <c r="W3718" s="85">
        <v>0</v>
      </c>
      <c r="X3718" s="85">
        <v>2</v>
      </c>
      <c r="Y3718" s="85">
        <v>0</v>
      </c>
      <c r="Z3718" s="85">
        <v>2</v>
      </c>
      <c r="AA3718" s="85">
        <v>0</v>
      </c>
      <c r="AB3718" s="85">
        <v>0</v>
      </c>
      <c r="AC3718" s="85">
        <v>0</v>
      </c>
      <c r="AD3718" s="85">
        <v>2</v>
      </c>
      <c r="AE3718" s="85" t="s">
        <v>50</v>
      </c>
      <c r="AF3718" s="85" t="s">
        <v>21391</v>
      </c>
      <c r="AG3718" s="85" t="s">
        <v>6438</v>
      </c>
      <c r="AH3718" s="43">
        <v>45282</v>
      </c>
      <c r="AI3718" s="85"/>
      <c r="AJ3718" s="85"/>
      <c r="AK3718" s="85"/>
    </row>
    <row r="3719" spans="1:37" ht="36.75" customHeight="1" x14ac:dyDescent="0.35">
      <c r="A3719" s="21" t="s">
        <v>12448</v>
      </c>
      <c r="B3719" s="5" t="s">
        <v>887</v>
      </c>
      <c r="C3719" s="73" t="str">
        <f t="shared" si="67"/>
        <v>Open</v>
      </c>
      <c r="D3719" s="47" t="s">
        <v>21420</v>
      </c>
      <c r="E3719" s="85" t="s">
        <v>21415</v>
      </c>
      <c r="F3719" s="85" t="s">
        <v>21416</v>
      </c>
      <c r="G3719" s="9">
        <f>DATE(2023,12,21)</f>
        <v>45281</v>
      </c>
      <c r="H3719" s="107">
        <v>1.3854166666666667</v>
      </c>
      <c r="I3719" s="85" t="s">
        <v>259</v>
      </c>
      <c r="J3719" s="85" t="s">
        <v>21417</v>
      </c>
      <c r="K3719" s="85" t="s">
        <v>3130</v>
      </c>
      <c r="L3719" s="85" t="s">
        <v>21421</v>
      </c>
      <c r="M3719" s="85" t="s">
        <v>45</v>
      </c>
      <c r="N3719" s="85" t="s">
        <v>123</v>
      </c>
      <c r="O3719" s="85" t="s">
        <v>46</v>
      </c>
      <c r="P3719" s="85" t="s">
        <v>146</v>
      </c>
      <c r="Q3719" s="85" t="s">
        <v>21418</v>
      </c>
      <c r="R3719" s="85" t="s">
        <v>21419</v>
      </c>
      <c r="S3719" s="85">
        <v>0</v>
      </c>
      <c r="T3719" s="85">
        <v>2</v>
      </c>
      <c r="U3719" s="85">
        <v>0</v>
      </c>
      <c r="V3719" s="85">
        <v>0</v>
      </c>
      <c r="W3719" s="85">
        <v>0</v>
      </c>
      <c r="X3719" s="85">
        <v>2</v>
      </c>
      <c r="Y3719" s="85">
        <v>0</v>
      </c>
      <c r="Z3719" s="85">
        <v>2</v>
      </c>
      <c r="AA3719" s="85">
        <v>0</v>
      </c>
      <c r="AB3719" s="85">
        <v>0</v>
      </c>
      <c r="AC3719" s="85">
        <v>0</v>
      </c>
      <c r="AD3719" s="85">
        <v>2</v>
      </c>
      <c r="AE3719" s="85" t="s">
        <v>73</v>
      </c>
      <c r="AF3719" s="85" t="s">
        <v>21422</v>
      </c>
      <c r="AG3719" s="85" t="s">
        <v>6438</v>
      </c>
      <c r="AH3719" s="43">
        <v>45282</v>
      </c>
      <c r="AI3719" s="85"/>
      <c r="AJ3719" s="85"/>
      <c r="AK3719" s="85"/>
    </row>
    <row r="3720" spans="1:37" ht="36.75" customHeight="1" x14ac:dyDescent="0.35">
      <c r="A3720" s="21" t="s">
        <v>12448</v>
      </c>
      <c r="B3720" s="5" t="s">
        <v>887</v>
      </c>
      <c r="C3720" s="73" t="str">
        <f t="shared" si="67"/>
        <v>Open</v>
      </c>
      <c r="D3720" s="47" t="s">
        <v>21423</v>
      </c>
      <c r="E3720" s="85" t="s">
        <v>21424</v>
      </c>
      <c r="F3720" s="85" t="s">
        <v>16397</v>
      </c>
      <c r="G3720" s="9">
        <f>DATE(2023,12,22)</f>
        <v>45282</v>
      </c>
      <c r="H3720" s="107">
        <v>1.0006944444444446</v>
      </c>
      <c r="I3720" s="85" t="s">
        <v>468</v>
      </c>
      <c r="J3720" s="85" t="s">
        <v>21425</v>
      </c>
      <c r="K3720" s="85" t="s">
        <v>406</v>
      </c>
      <c r="L3720" s="85" t="s">
        <v>21426</v>
      </c>
      <c r="M3720" s="85" t="s">
        <v>45</v>
      </c>
      <c r="N3720" s="85" t="s">
        <v>123</v>
      </c>
      <c r="O3720" s="85" t="s">
        <v>59</v>
      </c>
      <c r="P3720" s="85" t="s">
        <v>21427</v>
      </c>
      <c r="Q3720" s="85" t="s">
        <v>13193</v>
      </c>
      <c r="R3720" s="85" t="s">
        <v>17330</v>
      </c>
      <c r="S3720" s="85">
        <v>0</v>
      </c>
      <c r="T3720" s="85">
        <v>0</v>
      </c>
      <c r="U3720" s="85">
        <v>0</v>
      </c>
      <c r="V3720" s="85">
        <v>0</v>
      </c>
      <c r="W3720" s="85">
        <v>0</v>
      </c>
      <c r="X3720" s="85">
        <v>0</v>
      </c>
      <c r="Y3720" s="85">
        <v>0</v>
      </c>
      <c r="Z3720" s="85">
        <v>0</v>
      </c>
      <c r="AA3720" s="85">
        <v>0</v>
      </c>
      <c r="AB3720" s="85">
        <v>0</v>
      </c>
      <c r="AC3720" s="85">
        <v>0</v>
      </c>
      <c r="AD3720" s="85">
        <v>0</v>
      </c>
      <c r="AE3720" s="85" t="s">
        <v>73</v>
      </c>
      <c r="AF3720" s="85" t="s">
        <v>21024</v>
      </c>
      <c r="AG3720" s="85" t="s">
        <v>16251</v>
      </c>
      <c r="AH3720" s="43">
        <v>45282</v>
      </c>
      <c r="AI3720" s="85"/>
      <c r="AJ3720" s="85"/>
      <c r="AK3720" s="85"/>
    </row>
    <row r="3721" spans="1:37" ht="36.75" customHeight="1" x14ac:dyDescent="0.35">
      <c r="A3721" s="21" t="s">
        <v>12448</v>
      </c>
      <c r="B3721" s="5" t="s">
        <v>887</v>
      </c>
      <c r="C3721" s="73" t="str">
        <f t="shared" ref="C3721:C3753" si="68">IF(B3721="Notification","Open",IF(B3721="Interim Statement","In progress","Closed"))</f>
        <v>Open</v>
      </c>
      <c r="D3721" s="47" t="s">
        <v>21428</v>
      </c>
      <c r="E3721" s="85" t="s">
        <v>21429</v>
      </c>
      <c r="F3721" s="85" t="s">
        <v>17638</v>
      </c>
      <c r="G3721" s="9">
        <f>DATE(2023,12,22)</f>
        <v>45282</v>
      </c>
      <c r="H3721" s="107">
        <v>1.2395833333333333</v>
      </c>
      <c r="I3721" s="85" t="s">
        <v>55</v>
      </c>
      <c r="J3721" s="85" t="s">
        <v>21430</v>
      </c>
      <c r="K3721" s="85" t="s">
        <v>1555</v>
      </c>
      <c r="L3721" s="85" t="s">
        <v>20099</v>
      </c>
      <c r="M3721" s="85" t="s">
        <v>45</v>
      </c>
      <c r="N3721" s="85" t="s">
        <v>123</v>
      </c>
      <c r="O3721" s="85" t="s">
        <v>59</v>
      </c>
      <c r="P3721" s="85" t="s">
        <v>146</v>
      </c>
      <c r="Q3721" s="85" t="s">
        <v>18690</v>
      </c>
      <c r="R3721" s="85" t="s">
        <v>18956</v>
      </c>
      <c r="S3721" s="85"/>
      <c r="T3721" s="85"/>
      <c r="U3721" s="85"/>
      <c r="V3721" s="85"/>
      <c r="W3721" s="85"/>
      <c r="X3721" s="85">
        <v>0</v>
      </c>
      <c r="Y3721" s="85"/>
      <c r="Z3721" s="85"/>
      <c r="AA3721" s="85"/>
      <c r="AB3721" s="85"/>
      <c r="AC3721" s="85"/>
      <c r="AD3721" s="85">
        <v>0</v>
      </c>
      <c r="AE3721" s="85" t="s">
        <v>73</v>
      </c>
      <c r="AF3721" s="85" t="s">
        <v>21431</v>
      </c>
      <c r="AG3721" s="85" t="s">
        <v>8837</v>
      </c>
      <c r="AH3721" s="43">
        <v>45288</v>
      </c>
      <c r="AI3721" s="85"/>
      <c r="AJ3721" s="85"/>
      <c r="AK3721" s="85"/>
    </row>
    <row r="3722" spans="1:37" ht="36.75" customHeight="1" x14ac:dyDescent="0.35">
      <c r="A3722" s="21" t="s">
        <v>12448</v>
      </c>
      <c r="B3722" s="5" t="s">
        <v>887</v>
      </c>
      <c r="C3722" s="73" t="str">
        <f t="shared" si="68"/>
        <v>Open</v>
      </c>
      <c r="D3722" s="47" t="s">
        <v>21432</v>
      </c>
      <c r="E3722" s="85" t="s">
        <v>21433</v>
      </c>
      <c r="F3722" s="85" t="s">
        <v>16662</v>
      </c>
      <c r="G3722" s="9">
        <f>DATE(2023,12,27)</f>
        <v>45287</v>
      </c>
      <c r="H3722" s="107">
        <v>1.8020833333333335</v>
      </c>
      <c r="I3722" s="85" t="s">
        <v>97</v>
      </c>
      <c r="J3722" s="85" t="s">
        <v>21434</v>
      </c>
      <c r="K3722" s="85" t="s">
        <v>577</v>
      </c>
      <c r="L3722" s="85" t="s">
        <v>21435</v>
      </c>
      <c r="M3722" s="85" t="s">
        <v>45</v>
      </c>
      <c r="N3722" s="85" t="s">
        <v>80</v>
      </c>
      <c r="O3722" s="85" t="s">
        <v>46</v>
      </c>
      <c r="P3722" s="85" t="s">
        <v>6881</v>
      </c>
      <c r="Q3722" s="85" t="s">
        <v>20660</v>
      </c>
      <c r="R3722" s="85" t="s">
        <v>17254</v>
      </c>
      <c r="S3722" s="85">
        <v>0</v>
      </c>
      <c r="T3722" s="85">
        <v>0</v>
      </c>
      <c r="U3722" s="85">
        <v>0</v>
      </c>
      <c r="V3722" s="85">
        <v>0</v>
      </c>
      <c r="W3722" s="85">
        <v>0</v>
      </c>
      <c r="X3722" s="85">
        <v>0</v>
      </c>
      <c r="Y3722" s="85">
        <v>0</v>
      </c>
      <c r="Z3722" s="85">
        <v>0</v>
      </c>
      <c r="AA3722" s="85">
        <v>0</v>
      </c>
      <c r="AB3722" s="85">
        <v>0</v>
      </c>
      <c r="AC3722" s="85">
        <v>0</v>
      </c>
      <c r="AD3722" s="85">
        <v>0</v>
      </c>
      <c r="AE3722" s="85" t="s">
        <v>73</v>
      </c>
      <c r="AF3722" s="85" t="s">
        <v>21436</v>
      </c>
      <c r="AG3722" s="85" t="s">
        <v>13508</v>
      </c>
      <c r="AH3722" s="43">
        <v>45342</v>
      </c>
      <c r="AI3722" s="85"/>
      <c r="AJ3722" s="85"/>
      <c r="AK3722" s="85"/>
    </row>
    <row r="3723" spans="1:37" ht="36.75" customHeight="1" x14ac:dyDescent="0.35">
      <c r="A3723" s="21" t="s">
        <v>12448</v>
      </c>
      <c r="B3723" s="5" t="s">
        <v>887</v>
      </c>
      <c r="C3723" s="73" t="str">
        <f t="shared" si="68"/>
        <v>Open</v>
      </c>
      <c r="D3723" s="47" t="s">
        <v>21437</v>
      </c>
      <c r="E3723" s="85" t="s">
        <v>21438</v>
      </c>
      <c r="F3723" s="85" t="s">
        <v>17537</v>
      </c>
      <c r="G3723" s="9">
        <f>DATE(2023,12,30)</f>
        <v>45290</v>
      </c>
      <c r="H3723" s="107">
        <v>1.5138888888888888</v>
      </c>
      <c r="I3723" s="85" t="s">
        <v>55</v>
      </c>
      <c r="J3723" s="85" t="s">
        <v>21439</v>
      </c>
      <c r="K3723" s="85" t="s">
        <v>818</v>
      </c>
      <c r="L3723" s="85" t="s">
        <v>21440</v>
      </c>
      <c r="M3723" s="85" t="s">
        <v>45</v>
      </c>
      <c r="N3723" s="85" t="s">
        <v>123</v>
      </c>
      <c r="O3723" s="85" t="s">
        <v>46</v>
      </c>
      <c r="P3723" s="85" t="s">
        <v>60</v>
      </c>
      <c r="Q3723" s="85" t="s">
        <v>17562</v>
      </c>
      <c r="R3723" s="85" t="s">
        <v>821</v>
      </c>
      <c r="S3723" s="85">
        <v>0</v>
      </c>
      <c r="T3723" s="85">
        <v>0</v>
      </c>
      <c r="U3723" s="85">
        <v>0</v>
      </c>
      <c r="V3723" s="85">
        <v>0</v>
      </c>
      <c r="W3723" s="85">
        <v>0</v>
      </c>
      <c r="X3723" s="85">
        <v>0</v>
      </c>
      <c r="Y3723" s="85">
        <v>0</v>
      </c>
      <c r="Z3723" s="85">
        <v>0</v>
      </c>
      <c r="AA3723" s="85">
        <v>0</v>
      </c>
      <c r="AB3723" s="85">
        <v>0</v>
      </c>
      <c r="AC3723" s="85">
        <v>0</v>
      </c>
      <c r="AD3723" s="85">
        <v>0</v>
      </c>
      <c r="AE3723" s="85" t="s">
        <v>375</v>
      </c>
      <c r="AF3723" s="85" t="s">
        <v>21441</v>
      </c>
      <c r="AG3723" s="85" t="s">
        <v>8837</v>
      </c>
      <c r="AH3723" s="43">
        <v>45293</v>
      </c>
      <c r="AI3723" s="85"/>
      <c r="AJ3723" s="85"/>
      <c r="AK3723" s="85"/>
    </row>
    <row r="3724" spans="1:37" ht="36.75" customHeight="1" x14ac:dyDescent="0.35">
      <c r="A3724" s="21" t="s">
        <v>12448</v>
      </c>
      <c r="B3724" s="5" t="s">
        <v>887</v>
      </c>
      <c r="C3724" s="73" t="str">
        <f t="shared" si="68"/>
        <v>Open</v>
      </c>
      <c r="D3724" s="47" t="s">
        <v>21442</v>
      </c>
      <c r="E3724" s="85" t="s">
        <v>21443</v>
      </c>
      <c r="F3724" s="85" t="s">
        <v>17638</v>
      </c>
      <c r="G3724" s="9">
        <f>DATE(2024,1,5)</f>
        <v>45296</v>
      </c>
      <c r="H3724" s="107">
        <v>1.3333333333333333</v>
      </c>
      <c r="I3724" s="85" t="s">
        <v>55</v>
      </c>
      <c r="J3724" s="85" t="s">
        <v>21444</v>
      </c>
      <c r="K3724" s="85" t="s">
        <v>1555</v>
      </c>
      <c r="L3724" s="85" t="s">
        <v>14904</v>
      </c>
      <c r="M3724" s="85" t="s">
        <v>45</v>
      </c>
      <c r="N3724" s="85" t="s">
        <v>123</v>
      </c>
      <c r="O3724" s="85" t="s">
        <v>59</v>
      </c>
      <c r="P3724" s="85" t="s">
        <v>60</v>
      </c>
      <c r="Q3724" s="85" t="s">
        <v>18008</v>
      </c>
      <c r="R3724" s="85" t="s">
        <v>18956</v>
      </c>
      <c r="S3724" s="85"/>
      <c r="T3724" s="85"/>
      <c r="U3724" s="85"/>
      <c r="V3724" s="85"/>
      <c r="W3724" s="85"/>
      <c r="X3724" s="85">
        <v>0</v>
      </c>
      <c r="Y3724" s="85"/>
      <c r="Z3724" s="85"/>
      <c r="AA3724" s="85"/>
      <c r="AB3724" s="85"/>
      <c r="AC3724" s="85"/>
      <c r="AD3724" s="85">
        <v>0</v>
      </c>
      <c r="AE3724" s="85" t="s">
        <v>73</v>
      </c>
      <c r="AF3724" s="85" t="s">
        <v>21445</v>
      </c>
      <c r="AG3724" s="85" t="s">
        <v>8837</v>
      </c>
      <c r="AH3724" s="43">
        <v>45299</v>
      </c>
      <c r="AI3724" s="85"/>
      <c r="AJ3724" s="85"/>
      <c r="AK3724" s="85"/>
    </row>
    <row r="3725" spans="1:37" ht="36.75" customHeight="1" x14ac:dyDescent="0.35">
      <c r="A3725" s="21" t="s">
        <v>12448</v>
      </c>
      <c r="B3725" s="5" t="s">
        <v>887</v>
      </c>
      <c r="C3725" s="73" t="str">
        <f t="shared" si="68"/>
        <v>Open</v>
      </c>
      <c r="D3725" s="47" t="s">
        <v>21446</v>
      </c>
      <c r="E3725" s="85" t="s">
        <v>21447</v>
      </c>
      <c r="F3725" s="85" t="s">
        <v>17638</v>
      </c>
      <c r="G3725" s="9">
        <f>DATE(2024,1,5)</f>
        <v>45296</v>
      </c>
      <c r="H3725" s="107">
        <v>1.4861111111111112</v>
      </c>
      <c r="I3725" s="85" t="s">
        <v>55</v>
      </c>
      <c r="J3725" s="85" t="s">
        <v>21448</v>
      </c>
      <c r="K3725" s="85" t="s">
        <v>1555</v>
      </c>
      <c r="L3725" s="85" t="s">
        <v>17444</v>
      </c>
      <c r="M3725" s="85" t="s">
        <v>45</v>
      </c>
      <c r="N3725" s="85" t="s">
        <v>80</v>
      </c>
      <c r="O3725" s="85" t="s">
        <v>59</v>
      </c>
      <c r="P3725" s="85" t="s">
        <v>60</v>
      </c>
      <c r="Q3725" s="85" t="s">
        <v>21449</v>
      </c>
      <c r="R3725" s="85" t="s">
        <v>18956</v>
      </c>
      <c r="S3725" s="85"/>
      <c r="T3725" s="85"/>
      <c r="U3725" s="85"/>
      <c r="V3725" s="85"/>
      <c r="W3725" s="85"/>
      <c r="X3725" s="85">
        <v>0</v>
      </c>
      <c r="Y3725" s="85"/>
      <c r="Z3725" s="85"/>
      <c r="AA3725" s="85"/>
      <c r="AB3725" s="85"/>
      <c r="AC3725" s="85"/>
      <c r="AD3725" s="85">
        <v>0</v>
      </c>
      <c r="AE3725" s="85" t="s">
        <v>73</v>
      </c>
      <c r="AF3725" s="85" t="s">
        <v>21450</v>
      </c>
      <c r="AG3725" s="85" t="s">
        <v>8837</v>
      </c>
      <c r="AH3725" s="43">
        <v>45299</v>
      </c>
      <c r="AI3725" s="85"/>
      <c r="AJ3725" s="85"/>
      <c r="AK3725" s="85"/>
    </row>
    <row r="3726" spans="1:37" ht="36.75" customHeight="1" x14ac:dyDescent="0.35">
      <c r="A3726" s="21" t="s">
        <v>12448</v>
      </c>
      <c r="B3726" s="5" t="s">
        <v>887</v>
      </c>
      <c r="C3726" s="73" t="str">
        <f t="shared" si="68"/>
        <v>Open</v>
      </c>
      <c r="D3726" s="47" t="s">
        <v>21451</v>
      </c>
      <c r="E3726" s="85" t="s">
        <v>21452</v>
      </c>
      <c r="F3726" s="85" t="s">
        <v>17638</v>
      </c>
      <c r="G3726" s="9">
        <f>DATE(2024,1,10)</f>
        <v>45301</v>
      </c>
      <c r="H3726" s="107">
        <v>1.6979166666666665</v>
      </c>
      <c r="I3726" s="85" t="s">
        <v>55</v>
      </c>
      <c r="J3726" s="85" t="s">
        <v>21453</v>
      </c>
      <c r="K3726" s="85" t="s">
        <v>1555</v>
      </c>
      <c r="L3726" s="85" t="s">
        <v>21454</v>
      </c>
      <c r="M3726" s="85" t="s">
        <v>45</v>
      </c>
      <c r="N3726" s="85" t="s">
        <v>80</v>
      </c>
      <c r="O3726" s="85" t="s">
        <v>46</v>
      </c>
      <c r="P3726" s="85" t="s">
        <v>60</v>
      </c>
      <c r="Q3726" s="85" t="s">
        <v>18008</v>
      </c>
      <c r="R3726" s="85" t="s">
        <v>18956</v>
      </c>
      <c r="S3726" s="85"/>
      <c r="T3726" s="85"/>
      <c r="U3726" s="85"/>
      <c r="V3726" s="85"/>
      <c r="W3726" s="85"/>
      <c r="X3726" s="85">
        <v>0</v>
      </c>
      <c r="Y3726" s="85"/>
      <c r="Z3726" s="85"/>
      <c r="AA3726" s="85"/>
      <c r="AB3726" s="85"/>
      <c r="AC3726" s="85"/>
      <c r="AD3726" s="85">
        <v>0</v>
      </c>
      <c r="AE3726" s="85" t="s">
        <v>73</v>
      </c>
      <c r="AF3726" s="85" t="s">
        <v>21455</v>
      </c>
      <c r="AG3726" s="85" t="s">
        <v>8837</v>
      </c>
      <c r="AH3726" s="43">
        <v>45302</v>
      </c>
      <c r="AI3726" s="85"/>
      <c r="AJ3726" s="85"/>
      <c r="AK3726" s="85"/>
    </row>
    <row r="3727" spans="1:37" ht="36.75" customHeight="1" x14ac:dyDescent="0.35">
      <c r="A3727" s="21" t="s">
        <v>12448</v>
      </c>
      <c r="B3727" s="5" t="s">
        <v>887</v>
      </c>
      <c r="C3727" s="73" t="str">
        <f t="shared" si="68"/>
        <v>Open</v>
      </c>
      <c r="D3727" s="47" t="s">
        <v>21456</v>
      </c>
      <c r="E3727" s="85" t="s">
        <v>21457</v>
      </c>
      <c r="F3727" s="85" t="s">
        <v>17018</v>
      </c>
      <c r="G3727" s="9">
        <f>DATE(2024,1,10)</f>
        <v>45301</v>
      </c>
      <c r="H3727" s="107">
        <v>1.3402777777777777</v>
      </c>
      <c r="I3727" s="85" t="s">
        <v>97</v>
      </c>
      <c r="J3727" s="85" t="s">
        <v>21458</v>
      </c>
      <c r="K3727" s="85" t="s">
        <v>2318</v>
      </c>
      <c r="L3727" s="85" t="s">
        <v>21459</v>
      </c>
      <c r="M3727" s="85" t="s">
        <v>45</v>
      </c>
      <c r="N3727" s="85" t="s">
        <v>80</v>
      </c>
      <c r="O3727" s="85" t="s">
        <v>46</v>
      </c>
      <c r="P3727" s="85" t="s">
        <v>146</v>
      </c>
      <c r="Q3727" s="85" t="s">
        <v>18677</v>
      </c>
      <c r="R3727" s="85" t="s">
        <v>2321</v>
      </c>
      <c r="S3727" s="85">
        <v>0</v>
      </c>
      <c r="T3727" s="85">
        <v>1</v>
      </c>
      <c r="U3727" s="85">
        <v>0</v>
      </c>
      <c r="V3727" s="85">
        <v>0</v>
      </c>
      <c r="W3727" s="85">
        <v>0</v>
      </c>
      <c r="X3727" s="85">
        <v>1</v>
      </c>
      <c r="Y3727" s="85">
        <v>0</v>
      </c>
      <c r="Z3727" s="85">
        <v>1</v>
      </c>
      <c r="AA3727" s="85">
        <v>0</v>
      </c>
      <c r="AB3727" s="85">
        <v>0</v>
      </c>
      <c r="AC3727" s="85">
        <v>0</v>
      </c>
      <c r="AD3727" s="85">
        <v>1</v>
      </c>
      <c r="AE3727" s="85" t="s">
        <v>375</v>
      </c>
      <c r="AF3727" s="85" t="s">
        <v>21460</v>
      </c>
      <c r="AG3727" s="85" t="s">
        <v>13508</v>
      </c>
      <c r="AH3727" s="43">
        <v>45314</v>
      </c>
      <c r="AI3727" s="85"/>
      <c r="AJ3727" s="85"/>
      <c r="AK3727" s="85"/>
    </row>
    <row r="3728" spans="1:37" ht="36.75" customHeight="1" x14ac:dyDescent="0.35">
      <c r="A3728" s="21" t="s">
        <v>12448</v>
      </c>
      <c r="B3728" s="5" t="s">
        <v>887</v>
      </c>
      <c r="C3728" s="73" t="str">
        <f t="shared" si="68"/>
        <v>Open</v>
      </c>
      <c r="D3728" s="47" t="s">
        <v>21461</v>
      </c>
      <c r="E3728" s="85" t="s">
        <v>21462</v>
      </c>
      <c r="F3728" s="85" t="s">
        <v>18015</v>
      </c>
      <c r="G3728" s="9">
        <f>DATE(2024,1,15)</f>
        <v>45306</v>
      </c>
      <c r="H3728" s="107">
        <v>1.3541666666666667</v>
      </c>
      <c r="I3728" s="85" t="s">
        <v>97</v>
      </c>
      <c r="J3728" s="85" t="s">
        <v>21463</v>
      </c>
      <c r="K3728" s="85" t="s">
        <v>121</v>
      </c>
      <c r="L3728" s="85" t="s">
        <v>21464</v>
      </c>
      <c r="M3728" s="85" t="s">
        <v>45</v>
      </c>
      <c r="N3728" s="85" t="s">
        <v>80</v>
      </c>
      <c r="O3728" s="85" t="s">
        <v>46</v>
      </c>
      <c r="P3728" s="85" t="s">
        <v>6881</v>
      </c>
      <c r="Q3728" s="85" t="s">
        <v>18480</v>
      </c>
      <c r="R3728" s="85" t="s">
        <v>21465</v>
      </c>
      <c r="S3728" s="85">
        <v>0</v>
      </c>
      <c r="T3728" s="85">
        <v>1</v>
      </c>
      <c r="U3728" s="85">
        <v>0</v>
      </c>
      <c r="V3728" s="85">
        <v>0</v>
      </c>
      <c r="W3728" s="85">
        <v>0</v>
      </c>
      <c r="X3728" s="85">
        <v>1</v>
      </c>
      <c r="Y3728" s="85">
        <v>0</v>
      </c>
      <c r="Z3728" s="85">
        <v>0</v>
      </c>
      <c r="AA3728" s="85">
        <v>0</v>
      </c>
      <c r="AB3728" s="85">
        <v>0</v>
      </c>
      <c r="AC3728" s="85">
        <v>0</v>
      </c>
      <c r="AD3728" s="85">
        <v>0</v>
      </c>
      <c r="AE3728" s="85" t="s">
        <v>375</v>
      </c>
      <c r="AF3728" s="85" t="s">
        <v>21466</v>
      </c>
      <c r="AG3728" s="85" t="s">
        <v>8837</v>
      </c>
      <c r="AH3728" s="43">
        <v>45317</v>
      </c>
      <c r="AI3728" s="85"/>
      <c r="AJ3728" s="85"/>
      <c r="AK3728" s="85"/>
    </row>
    <row r="3729" spans="1:37" ht="36.75" customHeight="1" x14ac:dyDescent="0.35">
      <c r="A3729" s="21" t="s">
        <v>12448</v>
      </c>
      <c r="B3729" s="5" t="s">
        <v>887</v>
      </c>
      <c r="C3729" s="73" t="str">
        <f t="shared" si="68"/>
        <v>Open</v>
      </c>
      <c r="D3729" s="47" t="s">
        <v>21467</v>
      </c>
      <c r="E3729" s="85" t="s">
        <v>21468</v>
      </c>
      <c r="F3729" s="85" t="s">
        <v>17638</v>
      </c>
      <c r="G3729" s="9">
        <f>DATE(2024,1,16)</f>
        <v>45307</v>
      </c>
      <c r="H3729" s="107">
        <v>1.0555555555555556</v>
      </c>
      <c r="I3729" s="85" t="s">
        <v>55</v>
      </c>
      <c r="J3729" s="85" t="s">
        <v>21469</v>
      </c>
      <c r="K3729" s="85" t="s">
        <v>1555</v>
      </c>
      <c r="L3729" s="85" t="s">
        <v>21470</v>
      </c>
      <c r="M3729" s="85" t="s">
        <v>45</v>
      </c>
      <c r="N3729" s="85" t="s">
        <v>123</v>
      </c>
      <c r="O3729" s="85" t="s">
        <v>59</v>
      </c>
      <c r="P3729" s="85" t="s">
        <v>60</v>
      </c>
      <c r="Q3729" s="85" t="s">
        <v>21471</v>
      </c>
      <c r="R3729" s="85" t="s">
        <v>18956</v>
      </c>
      <c r="S3729" s="85"/>
      <c r="T3729" s="85"/>
      <c r="U3729" s="85"/>
      <c r="V3729" s="85"/>
      <c r="W3729" s="85"/>
      <c r="X3729" s="85">
        <v>0</v>
      </c>
      <c r="Y3729" s="85"/>
      <c r="Z3729" s="85"/>
      <c r="AA3729" s="85"/>
      <c r="AB3729" s="85"/>
      <c r="AC3729" s="85"/>
      <c r="AD3729" s="85">
        <v>0</v>
      </c>
      <c r="AE3729" s="85" t="s">
        <v>375</v>
      </c>
      <c r="AF3729" s="85" t="s">
        <v>21472</v>
      </c>
      <c r="AG3729" s="85" t="s">
        <v>8837</v>
      </c>
      <c r="AH3729" s="43">
        <v>45308</v>
      </c>
      <c r="AI3729" s="85"/>
      <c r="AJ3729" s="85"/>
      <c r="AK3729" s="85"/>
    </row>
    <row r="3730" spans="1:37" ht="36.75" customHeight="1" x14ac:dyDescent="0.35">
      <c r="A3730" s="21" t="s">
        <v>12448</v>
      </c>
      <c r="B3730" s="5" t="s">
        <v>37</v>
      </c>
      <c r="C3730" s="73" t="str">
        <f t="shared" si="68"/>
        <v>Closed</v>
      </c>
      <c r="D3730" s="91" t="s">
        <v>21473</v>
      </c>
      <c r="E3730" s="85" t="s">
        <v>43564</v>
      </c>
      <c r="F3730" s="85" t="s">
        <v>16397</v>
      </c>
      <c r="G3730" s="9">
        <f>DATE(2024,1,16)</f>
        <v>45307</v>
      </c>
      <c r="H3730" s="107">
        <v>1.7881944444444446</v>
      </c>
      <c r="I3730" s="85" t="s">
        <v>4590</v>
      </c>
      <c r="J3730" s="85" t="s">
        <v>43563</v>
      </c>
      <c r="K3730" s="85" t="s">
        <v>406</v>
      </c>
      <c r="L3730" s="85" t="s">
        <v>43565</v>
      </c>
      <c r="M3730" s="85" t="s">
        <v>45</v>
      </c>
      <c r="N3730" s="85" t="s">
        <v>80</v>
      </c>
      <c r="O3730" s="85" t="s">
        <v>59</v>
      </c>
      <c r="P3730" s="85" t="s">
        <v>47</v>
      </c>
      <c r="Q3730" s="85" t="s">
        <v>18565</v>
      </c>
      <c r="R3730" s="85" t="s">
        <v>43566</v>
      </c>
      <c r="S3730" s="85">
        <v>0</v>
      </c>
      <c r="T3730" s="85">
        <v>0</v>
      </c>
      <c r="U3730" s="85">
        <v>0</v>
      </c>
      <c r="V3730" s="85">
        <v>0</v>
      </c>
      <c r="W3730" s="85">
        <v>0</v>
      </c>
      <c r="X3730" s="85">
        <v>0</v>
      </c>
      <c r="Y3730" s="85">
        <v>0</v>
      </c>
      <c r="Z3730" s="85">
        <v>0</v>
      </c>
      <c r="AA3730" s="85">
        <v>0</v>
      </c>
      <c r="AB3730" s="85">
        <v>0</v>
      </c>
      <c r="AC3730" s="85">
        <v>0</v>
      </c>
      <c r="AD3730" s="85">
        <v>0</v>
      </c>
      <c r="AE3730" s="85" t="s">
        <v>20903</v>
      </c>
      <c r="AF3730" s="85" t="s">
        <v>43567</v>
      </c>
      <c r="AG3730" s="85" t="s">
        <v>16251</v>
      </c>
      <c r="AH3730" s="43">
        <v>45307</v>
      </c>
      <c r="AI3730" s="85">
        <v>1</v>
      </c>
      <c r="AJ3730" s="85" t="s">
        <v>43568</v>
      </c>
      <c r="AK3730" s="85" t="s">
        <v>860</v>
      </c>
    </row>
    <row r="3731" spans="1:37" ht="36.75" customHeight="1" x14ac:dyDescent="0.35">
      <c r="A3731" s="21" t="s">
        <v>12448</v>
      </c>
      <c r="B3731" s="5" t="s">
        <v>887</v>
      </c>
      <c r="C3731" s="73" t="str">
        <f t="shared" si="68"/>
        <v>Open</v>
      </c>
      <c r="D3731" s="47" t="s">
        <v>21474</v>
      </c>
      <c r="E3731" s="85" t="s">
        <v>21475</v>
      </c>
      <c r="F3731" s="85" t="s">
        <v>17638</v>
      </c>
      <c r="G3731" s="9">
        <f>DATE(2024,1,23)</f>
        <v>45314</v>
      </c>
      <c r="H3731" s="107">
        <v>1.7465277777777777</v>
      </c>
      <c r="I3731" s="85" t="s">
        <v>106</v>
      </c>
      <c r="J3731" s="85" t="s">
        <v>21476</v>
      </c>
      <c r="K3731" s="85" t="s">
        <v>1555</v>
      </c>
      <c r="L3731" s="85" t="s">
        <v>21477</v>
      </c>
      <c r="M3731" s="85" t="s">
        <v>45</v>
      </c>
      <c r="N3731" s="85" t="s">
        <v>80</v>
      </c>
      <c r="O3731" s="85" t="s">
        <v>46</v>
      </c>
      <c r="P3731" s="85" t="s">
        <v>47</v>
      </c>
      <c r="Q3731" s="85" t="s">
        <v>18690</v>
      </c>
      <c r="R3731" s="85" t="s">
        <v>17642</v>
      </c>
      <c r="S3731" s="85">
        <v>0</v>
      </c>
      <c r="T3731" s="85">
        <v>0</v>
      </c>
      <c r="U3731" s="85">
        <v>0</v>
      </c>
      <c r="V3731" s="85">
        <v>0</v>
      </c>
      <c r="W3731" s="85">
        <v>0</v>
      </c>
      <c r="X3731" s="85">
        <v>0</v>
      </c>
      <c r="Y3731" s="85">
        <v>0</v>
      </c>
      <c r="Z3731" s="85">
        <v>0</v>
      </c>
      <c r="AA3731" s="85">
        <v>0</v>
      </c>
      <c r="AB3731" s="85">
        <v>0</v>
      </c>
      <c r="AC3731" s="85">
        <v>0</v>
      </c>
      <c r="AD3731" s="85">
        <v>0</v>
      </c>
      <c r="AE3731" s="85" t="s">
        <v>375</v>
      </c>
      <c r="AF3731" s="85" t="s">
        <v>21478</v>
      </c>
      <c r="AG3731" s="85" t="s">
        <v>8837</v>
      </c>
      <c r="AH3731" s="43">
        <v>45316</v>
      </c>
      <c r="AI3731" s="85"/>
      <c r="AJ3731" s="85"/>
      <c r="AK3731" s="85"/>
    </row>
    <row r="3732" spans="1:37" ht="36.75" customHeight="1" x14ac:dyDescent="0.35">
      <c r="A3732" s="21" t="s">
        <v>12448</v>
      </c>
      <c r="B3732" s="5" t="s">
        <v>887</v>
      </c>
      <c r="C3732" s="73" t="str">
        <f t="shared" si="68"/>
        <v>Open</v>
      </c>
      <c r="D3732" s="47" t="s">
        <v>21479</v>
      </c>
      <c r="E3732" s="85" t="s">
        <v>21480</v>
      </c>
      <c r="F3732" s="85" t="s">
        <v>16397</v>
      </c>
      <c r="G3732" s="9">
        <f>DATE(2024,1,24)</f>
        <v>45315</v>
      </c>
      <c r="H3732" s="107">
        <v>1.2388888888888889</v>
      </c>
      <c r="I3732" s="85" t="s">
        <v>97</v>
      </c>
      <c r="J3732" s="85" t="s">
        <v>21481</v>
      </c>
      <c r="K3732" s="85" t="s">
        <v>406</v>
      </c>
      <c r="L3732" s="85" t="s">
        <v>21482</v>
      </c>
      <c r="M3732" s="85" t="s">
        <v>45</v>
      </c>
      <c r="N3732" s="85" t="s">
        <v>123</v>
      </c>
      <c r="O3732" s="85" t="s">
        <v>46</v>
      </c>
      <c r="P3732" s="85" t="s">
        <v>21483</v>
      </c>
      <c r="Q3732" s="85" t="s">
        <v>18466</v>
      </c>
      <c r="R3732" s="85" t="s">
        <v>17330</v>
      </c>
      <c r="S3732" s="85">
        <v>0</v>
      </c>
      <c r="T3732" s="85">
        <v>1</v>
      </c>
      <c r="U3732" s="85">
        <v>0</v>
      </c>
      <c r="V3732" s="85">
        <v>0</v>
      </c>
      <c r="W3732" s="85">
        <v>0</v>
      </c>
      <c r="X3732" s="85">
        <v>1</v>
      </c>
      <c r="Y3732" s="85">
        <v>0</v>
      </c>
      <c r="Z3732" s="85">
        <v>0</v>
      </c>
      <c r="AA3732" s="85">
        <v>0</v>
      </c>
      <c r="AB3732" s="85">
        <v>0</v>
      </c>
      <c r="AC3732" s="85">
        <v>0</v>
      </c>
      <c r="AD3732" s="85">
        <v>0</v>
      </c>
      <c r="AE3732" s="85" t="s">
        <v>375</v>
      </c>
      <c r="AF3732" s="85" t="s">
        <v>21484</v>
      </c>
      <c r="AG3732" s="85" t="s">
        <v>6438</v>
      </c>
      <c r="AH3732" s="43">
        <v>45315</v>
      </c>
      <c r="AI3732" s="85"/>
      <c r="AJ3732" s="85"/>
      <c r="AK3732" s="85"/>
    </row>
    <row r="3733" spans="1:37" ht="36.75" customHeight="1" x14ac:dyDescent="0.35">
      <c r="A3733" s="21" t="s">
        <v>12448</v>
      </c>
      <c r="B3733" s="5" t="s">
        <v>887</v>
      </c>
      <c r="C3733" s="73" t="str">
        <f t="shared" si="68"/>
        <v>Open</v>
      </c>
      <c r="D3733" s="47" t="s">
        <v>21485</v>
      </c>
      <c r="E3733" s="85" t="s">
        <v>21486</v>
      </c>
      <c r="F3733" s="85" t="s">
        <v>17728</v>
      </c>
      <c r="G3733" s="9">
        <f>DATE(2024,2,3)</f>
        <v>45325</v>
      </c>
      <c r="H3733" s="107">
        <v>1.4375</v>
      </c>
      <c r="I3733" s="85" t="s">
        <v>55</v>
      </c>
      <c r="J3733" s="85" t="s">
        <v>21487</v>
      </c>
      <c r="K3733" s="85" t="s">
        <v>2583</v>
      </c>
      <c r="L3733" s="85" t="s">
        <v>21488</v>
      </c>
      <c r="M3733" s="85" t="s">
        <v>45</v>
      </c>
      <c r="N3733" s="85" t="s">
        <v>80</v>
      </c>
      <c r="O3733" s="85" t="s">
        <v>46</v>
      </c>
      <c r="P3733" s="85" t="s">
        <v>60</v>
      </c>
      <c r="Q3733" s="85" t="s">
        <v>13582</v>
      </c>
      <c r="R3733" s="85" t="s">
        <v>20667</v>
      </c>
      <c r="S3733" s="85"/>
      <c r="T3733" s="85"/>
      <c r="U3733" s="85"/>
      <c r="V3733" s="85"/>
      <c r="W3733" s="85"/>
      <c r="X3733" s="85">
        <v>0</v>
      </c>
      <c r="Y3733" s="85"/>
      <c r="Z3733" s="85"/>
      <c r="AA3733" s="85"/>
      <c r="AB3733" s="85"/>
      <c r="AC3733" s="85"/>
      <c r="AD3733" s="85">
        <v>0</v>
      </c>
      <c r="AE3733" s="85" t="s">
        <v>73</v>
      </c>
      <c r="AF3733" s="85" t="s">
        <v>21489</v>
      </c>
      <c r="AG3733" s="85" t="s">
        <v>8837</v>
      </c>
      <c r="AH3733" s="43">
        <v>45329</v>
      </c>
      <c r="AI3733" s="85"/>
      <c r="AJ3733" s="85"/>
      <c r="AK3733" s="85"/>
    </row>
    <row r="3734" spans="1:37" ht="36.75" customHeight="1" x14ac:dyDescent="0.35">
      <c r="A3734" s="21" t="s">
        <v>12448</v>
      </c>
      <c r="B3734" s="5" t="s">
        <v>887</v>
      </c>
      <c r="C3734" s="73" t="str">
        <f t="shared" si="68"/>
        <v>Open</v>
      </c>
      <c r="D3734" s="47" t="s">
        <v>21490</v>
      </c>
      <c r="E3734" s="85" t="s">
        <v>21491</v>
      </c>
      <c r="F3734" s="85" t="s">
        <v>12887</v>
      </c>
      <c r="G3734" s="9">
        <f>DATE(2024,2,5)</f>
        <v>45327</v>
      </c>
      <c r="H3734" s="107">
        <v>1.8159722222222223</v>
      </c>
      <c r="I3734" s="85" t="s">
        <v>259</v>
      </c>
      <c r="J3734" s="85" t="s">
        <v>21492</v>
      </c>
      <c r="K3734" s="85" t="s">
        <v>434</v>
      </c>
      <c r="L3734" s="85" t="s">
        <v>21493</v>
      </c>
      <c r="M3734" s="85" t="s">
        <v>45</v>
      </c>
      <c r="N3734" s="85" t="s">
        <v>80</v>
      </c>
      <c r="O3734" s="85" t="s">
        <v>59</v>
      </c>
      <c r="P3734" s="85" t="s">
        <v>146</v>
      </c>
      <c r="Q3734" s="85" t="s">
        <v>12161</v>
      </c>
      <c r="R3734" s="85" t="s">
        <v>553</v>
      </c>
      <c r="S3734" s="85">
        <v>0</v>
      </c>
      <c r="T3734" s="85">
        <v>0</v>
      </c>
      <c r="U3734" s="85">
        <v>0</v>
      </c>
      <c r="V3734" s="85">
        <v>1</v>
      </c>
      <c r="W3734" s="85">
        <v>0</v>
      </c>
      <c r="X3734" s="85">
        <v>1</v>
      </c>
      <c r="Y3734" s="85">
        <v>0</v>
      </c>
      <c r="Z3734" s="85">
        <v>0</v>
      </c>
      <c r="AA3734" s="85">
        <v>0</v>
      </c>
      <c r="AB3734" s="85">
        <v>0</v>
      </c>
      <c r="AC3734" s="85">
        <v>0</v>
      </c>
      <c r="AD3734" s="85">
        <v>0</v>
      </c>
      <c r="AE3734" s="85" t="s">
        <v>73</v>
      </c>
      <c r="AF3734" s="85" t="s">
        <v>860</v>
      </c>
      <c r="AG3734" s="85" t="s">
        <v>6438</v>
      </c>
      <c r="AH3734" s="43">
        <v>45329</v>
      </c>
      <c r="AI3734" s="85"/>
      <c r="AJ3734" s="85"/>
      <c r="AK3734" s="85"/>
    </row>
    <row r="3735" spans="1:37" ht="36.75" customHeight="1" x14ac:dyDescent="0.35">
      <c r="A3735" s="21" t="s">
        <v>12448</v>
      </c>
      <c r="B3735" s="5" t="s">
        <v>887</v>
      </c>
      <c r="C3735" s="73" t="str">
        <f t="shared" si="68"/>
        <v>Open</v>
      </c>
      <c r="D3735" s="47" t="s">
        <v>21494</v>
      </c>
      <c r="E3735" s="85" t="s">
        <v>21495</v>
      </c>
      <c r="F3735" s="85" t="s">
        <v>18828</v>
      </c>
      <c r="G3735" s="9">
        <f>DATE(2024,2,6)</f>
        <v>45328</v>
      </c>
      <c r="H3735" s="107">
        <v>1.5763888888888888</v>
      </c>
      <c r="I3735" s="85" t="s">
        <v>97</v>
      </c>
      <c r="J3735" s="85" t="s">
        <v>21496</v>
      </c>
      <c r="K3735" s="85" t="s">
        <v>43</v>
      </c>
      <c r="L3735" s="85" t="s">
        <v>21497</v>
      </c>
      <c r="M3735" s="85" t="s">
        <v>45</v>
      </c>
      <c r="N3735" s="85" t="s">
        <v>70</v>
      </c>
      <c r="O3735" s="85" t="s">
        <v>6854</v>
      </c>
      <c r="P3735" s="85" t="s">
        <v>72</v>
      </c>
      <c r="Q3735" s="85" t="s">
        <v>48</v>
      </c>
      <c r="R3735" s="85" t="s">
        <v>21498</v>
      </c>
      <c r="S3735" s="85">
        <v>0</v>
      </c>
      <c r="T3735" s="85">
        <v>1</v>
      </c>
      <c r="U3735" s="85">
        <v>0</v>
      </c>
      <c r="V3735" s="85">
        <v>0</v>
      </c>
      <c r="W3735" s="85">
        <v>0</v>
      </c>
      <c r="X3735" s="85">
        <v>1</v>
      </c>
      <c r="Y3735" s="85">
        <v>0</v>
      </c>
      <c r="Z3735" s="85">
        <v>0</v>
      </c>
      <c r="AA3735" s="85">
        <v>0</v>
      </c>
      <c r="AB3735" s="85">
        <v>0</v>
      </c>
      <c r="AC3735" s="85">
        <v>0</v>
      </c>
      <c r="AD3735" s="85">
        <v>0</v>
      </c>
      <c r="AE3735" s="85" t="s">
        <v>73</v>
      </c>
      <c r="AF3735" s="85" t="s">
        <v>21499</v>
      </c>
      <c r="AG3735" s="85" t="s">
        <v>6438</v>
      </c>
      <c r="AH3735" s="43">
        <v>45330</v>
      </c>
      <c r="AI3735" s="85"/>
      <c r="AJ3735" s="85"/>
      <c r="AK3735" s="85"/>
    </row>
    <row r="3736" spans="1:37" ht="36.75" customHeight="1" x14ac:dyDescent="0.35">
      <c r="A3736" s="21" t="s">
        <v>12448</v>
      </c>
      <c r="B3736" s="5" t="s">
        <v>887</v>
      </c>
      <c r="C3736" s="73" t="str">
        <f t="shared" si="68"/>
        <v>Open</v>
      </c>
      <c r="D3736" s="47" t="s">
        <v>21500</v>
      </c>
      <c r="E3736" s="85" t="s">
        <v>21501</v>
      </c>
      <c r="F3736" s="85" t="s">
        <v>17638</v>
      </c>
      <c r="G3736" s="9">
        <f>DATE(2024,2,7)</f>
        <v>45329</v>
      </c>
      <c r="H3736" s="107">
        <v>1.0416666666666667</v>
      </c>
      <c r="I3736" s="85" t="s">
        <v>179</v>
      </c>
      <c r="J3736" s="85" t="s">
        <v>21502</v>
      </c>
      <c r="K3736" s="85" t="s">
        <v>1555</v>
      </c>
      <c r="L3736" s="85" t="s">
        <v>21503</v>
      </c>
      <c r="M3736" s="85" t="s">
        <v>45</v>
      </c>
      <c r="N3736" s="85" t="s">
        <v>123</v>
      </c>
      <c r="O3736" s="85" t="s">
        <v>59</v>
      </c>
      <c r="P3736" s="85" t="s">
        <v>60</v>
      </c>
      <c r="Q3736" s="85" t="s">
        <v>21504</v>
      </c>
      <c r="R3736" s="85" t="s">
        <v>18956</v>
      </c>
      <c r="S3736" s="85"/>
      <c r="T3736" s="85"/>
      <c r="U3736" s="85"/>
      <c r="V3736" s="85"/>
      <c r="W3736" s="85"/>
      <c r="X3736" s="85">
        <v>0</v>
      </c>
      <c r="Y3736" s="85"/>
      <c r="Z3736" s="85"/>
      <c r="AA3736" s="85"/>
      <c r="AB3736" s="85"/>
      <c r="AC3736" s="85"/>
      <c r="AD3736" s="85">
        <v>0</v>
      </c>
      <c r="AE3736" s="85" t="s">
        <v>73</v>
      </c>
      <c r="AF3736" s="85" t="s">
        <v>21505</v>
      </c>
      <c r="AG3736" s="85" t="s">
        <v>8837</v>
      </c>
      <c r="AH3736" s="43">
        <v>45329</v>
      </c>
      <c r="AI3736" s="85"/>
      <c r="AJ3736" s="85"/>
      <c r="AK3736" s="85"/>
    </row>
    <row r="3737" spans="1:37" ht="36.75" customHeight="1" x14ac:dyDescent="0.35">
      <c r="A3737" s="21" t="s">
        <v>12448</v>
      </c>
      <c r="B3737" s="5" t="s">
        <v>887</v>
      </c>
      <c r="C3737" s="73" t="str">
        <f t="shared" si="68"/>
        <v>Open</v>
      </c>
      <c r="D3737" s="47" t="s">
        <v>21506</v>
      </c>
      <c r="E3737" s="85" t="s">
        <v>21507</v>
      </c>
      <c r="F3737" s="85" t="s">
        <v>6434</v>
      </c>
      <c r="G3737" s="9">
        <f>DATE(2024,2,10)</f>
        <v>45332</v>
      </c>
      <c r="H3737" s="107">
        <v>1.3715277777777777</v>
      </c>
      <c r="I3737" s="85" t="s">
        <v>2244</v>
      </c>
      <c r="J3737" s="85" t="s">
        <v>21508</v>
      </c>
      <c r="K3737" s="85" t="s">
        <v>565</v>
      </c>
      <c r="L3737" s="85" t="s">
        <v>21509</v>
      </c>
      <c r="M3737" s="85" t="s">
        <v>45</v>
      </c>
      <c r="N3737" s="85" t="s">
        <v>123</v>
      </c>
      <c r="O3737" s="85" t="s">
        <v>46</v>
      </c>
      <c r="P3737" s="85" t="s">
        <v>47</v>
      </c>
      <c r="Q3737" s="85" t="s">
        <v>21510</v>
      </c>
      <c r="R3737" s="85" t="s">
        <v>21511</v>
      </c>
      <c r="S3737" s="85">
        <v>0</v>
      </c>
      <c r="T3737" s="85">
        <v>0</v>
      </c>
      <c r="U3737" s="85">
        <v>0</v>
      </c>
      <c r="V3737" s="85">
        <v>0</v>
      </c>
      <c r="W3737" s="85">
        <v>0</v>
      </c>
      <c r="X3737" s="85">
        <v>0</v>
      </c>
      <c r="Y3737" s="85">
        <v>0</v>
      </c>
      <c r="Z3737" s="85">
        <v>0</v>
      </c>
      <c r="AA3737" s="85">
        <v>0</v>
      </c>
      <c r="AB3737" s="85">
        <v>0</v>
      </c>
      <c r="AC3737" s="85">
        <v>0</v>
      </c>
      <c r="AD3737" s="85">
        <v>0</v>
      </c>
      <c r="AE3737" s="85" t="s">
        <v>73</v>
      </c>
      <c r="AF3737" s="85" t="s">
        <v>21512</v>
      </c>
      <c r="AG3737" s="85" t="s">
        <v>14532</v>
      </c>
      <c r="AH3737" s="43">
        <v>45333</v>
      </c>
      <c r="AI3737" s="85"/>
      <c r="AJ3737" s="85"/>
      <c r="AK3737" s="85"/>
    </row>
    <row r="3738" spans="1:37" ht="36.75" customHeight="1" x14ac:dyDescent="0.35">
      <c r="A3738" s="21" t="s">
        <v>12448</v>
      </c>
      <c r="B3738" s="5" t="s">
        <v>887</v>
      </c>
      <c r="C3738" s="73" t="str">
        <f t="shared" si="68"/>
        <v>Open</v>
      </c>
      <c r="D3738" s="47" t="s">
        <v>21513</v>
      </c>
      <c r="E3738" s="85" t="s">
        <v>21514</v>
      </c>
      <c r="F3738" s="85" t="s">
        <v>17305</v>
      </c>
      <c r="G3738" s="9">
        <f>DATE(2024,2,12)</f>
        <v>45334</v>
      </c>
      <c r="H3738" s="107">
        <v>1.4583333333333333</v>
      </c>
      <c r="I3738" s="85" t="s">
        <v>468</v>
      </c>
      <c r="J3738" s="85" t="s">
        <v>21515</v>
      </c>
      <c r="K3738" s="85" t="s">
        <v>108</v>
      </c>
      <c r="L3738" s="85" t="s">
        <v>21516</v>
      </c>
      <c r="M3738" s="85" t="s">
        <v>236</v>
      </c>
      <c r="N3738" s="85" t="s">
        <v>123</v>
      </c>
      <c r="O3738" s="85" t="s">
        <v>46</v>
      </c>
      <c r="P3738" s="85" t="s">
        <v>67</v>
      </c>
      <c r="Q3738" s="85" t="s">
        <v>10533</v>
      </c>
      <c r="R3738" s="85" t="s">
        <v>10533</v>
      </c>
      <c r="S3738" s="85">
        <v>0</v>
      </c>
      <c r="T3738" s="85">
        <v>0</v>
      </c>
      <c r="U3738" s="85">
        <v>0</v>
      </c>
      <c r="V3738" s="85">
        <v>0</v>
      </c>
      <c r="W3738" s="85">
        <v>0</v>
      </c>
      <c r="X3738" s="85">
        <v>0</v>
      </c>
      <c r="Y3738" s="85">
        <v>0</v>
      </c>
      <c r="Z3738" s="85">
        <v>0</v>
      </c>
      <c r="AA3738" s="85">
        <v>0</v>
      </c>
      <c r="AB3738" s="85">
        <v>0</v>
      </c>
      <c r="AC3738" s="85">
        <v>0</v>
      </c>
      <c r="AD3738" s="85">
        <v>0</v>
      </c>
      <c r="AE3738" s="85" t="s">
        <v>73</v>
      </c>
      <c r="AF3738" s="85" t="s">
        <v>21517</v>
      </c>
      <c r="AG3738" s="85" t="s">
        <v>21518</v>
      </c>
      <c r="AH3738" s="43">
        <v>45344</v>
      </c>
      <c r="AI3738" s="85"/>
      <c r="AJ3738" s="85"/>
      <c r="AK3738" s="85"/>
    </row>
    <row r="3739" spans="1:37" ht="36.75" customHeight="1" x14ac:dyDescent="0.35">
      <c r="A3739" s="21" t="s">
        <v>12448</v>
      </c>
      <c r="B3739" s="5" t="s">
        <v>887</v>
      </c>
      <c r="C3739" s="73" t="str">
        <f t="shared" si="68"/>
        <v>Open</v>
      </c>
      <c r="D3739" s="47" t="s">
        <v>21519</v>
      </c>
      <c r="E3739" s="85" t="s">
        <v>21520</v>
      </c>
      <c r="F3739" s="85" t="s">
        <v>16397</v>
      </c>
      <c r="G3739" s="9">
        <f>DATE(2024,2,16)</f>
        <v>45338</v>
      </c>
      <c r="H3739" s="107">
        <v>1.6277777777777778</v>
      </c>
      <c r="I3739" s="85" t="s">
        <v>4590</v>
      </c>
      <c r="J3739" s="85" t="s">
        <v>21521</v>
      </c>
      <c r="K3739" s="85" t="s">
        <v>406</v>
      </c>
      <c r="L3739" s="85" t="s">
        <v>21522</v>
      </c>
      <c r="M3739" s="85" t="s">
        <v>45</v>
      </c>
      <c r="N3739" s="85" t="s">
        <v>123</v>
      </c>
      <c r="O3739" s="85" t="s">
        <v>59</v>
      </c>
      <c r="P3739" s="85" t="s">
        <v>21523</v>
      </c>
      <c r="Q3739" s="85" t="s">
        <v>18565</v>
      </c>
      <c r="R3739" s="85" t="s">
        <v>17330</v>
      </c>
      <c r="S3739" s="85">
        <v>0</v>
      </c>
      <c r="T3739" s="85">
        <v>0</v>
      </c>
      <c r="U3739" s="85">
        <v>0</v>
      </c>
      <c r="V3739" s="85">
        <v>0</v>
      </c>
      <c r="W3739" s="85">
        <v>0</v>
      </c>
      <c r="X3739" s="85">
        <v>0</v>
      </c>
      <c r="Y3739" s="85">
        <v>0</v>
      </c>
      <c r="Z3739" s="85">
        <v>0</v>
      </c>
      <c r="AA3739" s="85">
        <v>0</v>
      </c>
      <c r="AB3739" s="85">
        <v>0</v>
      </c>
      <c r="AC3739" s="85">
        <v>0</v>
      </c>
      <c r="AD3739" s="85">
        <v>0</v>
      </c>
      <c r="AE3739" s="85" t="s">
        <v>73</v>
      </c>
      <c r="AF3739" s="85" t="s">
        <v>21524</v>
      </c>
      <c r="AG3739" s="85" t="s">
        <v>16251</v>
      </c>
      <c r="AH3739" s="43">
        <v>45338</v>
      </c>
      <c r="AI3739" s="85"/>
      <c r="AJ3739" s="85"/>
      <c r="AK3739" s="85"/>
    </row>
    <row r="3740" spans="1:37" ht="36.75" customHeight="1" x14ac:dyDescent="0.35">
      <c r="A3740" s="21" t="s">
        <v>12448</v>
      </c>
      <c r="B3740" s="5" t="s">
        <v>887</v>
      </c>
      <c r="C3740" s="73" t="str">
        <f t="shared" si="68"/>
        <v>Open</v>
      </c>
      <c r="D3740" s="47" t="s">
        <v>21525</v>
      </c>
      <c r="E3740" s="85" t="s">
        <v>21526</v>
      </c>
      <c r="F3740" s="85" t="s">
        <v>17638</v>
      </c>
      <c r="G3740" s="9">
        <f>DATE(2024,2,27)</f>
        <v>45349</v>
      </c>
      <c r="H3740" s="107">
        <v>1.7951388888888888</v>
      </c>
      <c r="I3740" s="85" t="s">
        <v>179</v>
      </c>
      <c r="J3740" s="85" t="s">
        <v>21527</v>
      </c>
      <c r="K3740" s="85" t="s">
        <v>1555</v>
      </c>
      <c r="L3740" s="85" t="s">
        <v>21528</v>
      </c>
      <c r="M3740" s="85" t="s">
        <v>110</v>
      </c>
      <c r="N3740" s="85" t="s">
        <v>123</v>
      </c>
      <c r="O3740" s="85" t="s">
        <v>59</v>
      </c>
      <c r="P3740" s="85" t="s">
        <v>110</v>
      </c>
      <c r="Q3740" s="85" t="s">
        <v>18636</v>
      </c>
      <c r="R3740" s="85" t="s">
        <v>18636</v>
      </c>
      <c r="S3740" s="85"/>
      <c r="T3740" s="85"/>
      <c r="U3740" s="85"/>
      <c r="V3740" s="85"/>
      <c r="W3740" s="85"/>
      <c r="X3740" s="85">
        <v>0</v>
      </c>
      <c r="Y3740" s="85"/>
      <c r="Z3740" s="85"/>
      <c r="AA3740" s="85"/>
      <c r="AB3740" s="85"/>
      <c r="AC3740" s="85"/>
      <c r="AD3740" s="85">
        <v>0</v>
      </c>
      <c r="AE3740" s="85" t="s">
        <v>73</v>
      </c>
      <c r="AF3740" s="85" t="s">
        <v>21529</v>
      </c>
      <c r="AG3740" s="85" t="s">
        <v>16899</v>
      </c>
      <c r="AH3740" s="43">
        <v>45350</v>
      </c>
      <c r="AI3740" s="85"/>
      <c r="AJ3740" s="85"/>
      <c r="AK3740" s="85"/>
    </row>
    <row r="3741" spans="1:37" ht="36.75" customHeight="1" x14ac:dyDescent="0.35">
      <c r="A3741" s="21" t="s">
        <v>12448</v>
      </c>
      <c r="B3741" s="5" t="s">
        <v>887</v>
      </c>
      <c r="C3741" s="73" t="str">
        <f t="shared" si="68"/>
        <v>Open</v>
      </c>
      <c r="D3741" s="47" t="s">
        <v>21530</v>
      </c>
      <c r="E3741" s="85" t="s">
        <v>21531</v>
      </c>
      <c r="F3741" s="85" t="s">
        <v>17638</v>
      </c>
      <c r="G3741" s="9">
        <f>DATE(2024,3,1)</f>
        <v>45352</v>
      </c>
      <c r="H3741" s="107">
        <v>1.0729166666666667</v>
      </c>
      <c r="I3741" s="85" t="s">
        <v>55</v>
      </c>
      <c r="J3741" s="85" t="s">
        <v>21532</v>
      </c>
      <c r="K3741" s="85" t="s">
        <v>1555</v>
      </c>
      <c r="L3741" s="85" t="s">
        <v>21533</v>
      </c>
      <c r="M3741" s="85" t="s">
        <v>45</v>
      </c>
      <c r="N3741" s="85" t="s">
        <v>80</v>
      </c>
      <c r="O3741" s="85" t="s">
        <v>59</v>
      </c>
      <c r="P3741" s="85" t="s">
        <v>60</v>
      </c>
      <c r="Q3741" s="85" t="s">
        <v>18008</v>
      </c>
      <c r="R3741" s="85" t="s">
        <v>18956</v>
      </c>
      <c r="S3741" s="85"/>
      <c r="T3741" s="85"/>
      <c r="U3741" s="85"/>
      <c r="V3741" s="85"/>
      <c r="W3741" s="85"/>
      <c r="X3741" s="85">
        <v>0</v>
      </c>
      <c r="Y3741" s="85"/>
      <c r="Z3741" s="85"/>
      <c r="AA3741" s="85"/>
      <c r="AB3741" s="85"/>
      <c r="AC3741" s="85"/>
      <c r="AD3741" s="85">
        <v>0</v>
      </c>
      <c r="AE3741" s="85" t="s">
        <v>73</v>
      </c>
      <c r="AF3741" s="85" t="s">
        <v>21534</v>
      </c>
      <c r="AG3741" s="85" t="s">
        <v>8837</v>
      </c>
      <c r="AH3741" s="43">
        <v>45356</v>
      </c>
      <c r="AI3741" s="85"/>
      <c r="AJ3741" s="85"/>
      <c r="AK3741" s="85"/>
    </row>
    <row r="3742" spans="1:37" ht="36.75" customHeight="1" x14ac:dyDescent="0.35">
      <c r="A3742" s="21" t="s">
        <v>12448</v>
      </c>
      <c r="B3742" s="5" t="s">
        <v>887</v>
      </c>
      <c r="C3742" s="73" t="str">
        <f t="shared" si="68"/>
        <v>Open</v>
      </c>
      <c r="D3742" s="47" t="s">
        <v>21535</v>
      </c>
      <c r="E3742" s="85" t="s">
        <v>21536</v>
      </c>
      <c r="F3742" s="85" t="s">
        <v>16397</v>
      </c>
      <c r="G3742" s="9">
        <f>DATE(2024,3,5)</f>
        <v>45356</v>
      </c>
      <c r="H3742" s="107">
        <v>1.3659722222222221</v>
      </c>
      <c r="I3742" s="85" t="s">
        <v>259</v>
      </c>
      <c r="J3742" s="85" t="s">
        <v>21537</v>
      </c>
      <c r="K3742" s="85" t="s">
        <v>406</v>
      </c>
      <c r="L3742" s="85" t="s">
        <v>21538</v>
      </c>
      <c r="M3742" s="85" t="s">
        <v>45</v>
      </c>
      <c r="N3742" s="85" t="s">
        <v>80</v>
      </c>
      <c r="O3742" s="85" t="s">
        <v>46</v>
      </c>
      <c r="P3742" s="85" t="s">
        <v>146</v>
      </c>
      <c r="Q3742" s="85" t="s">
        <v>18466</v>
      </c>
      <c r="R3742" s="85" t="s">
        <v>17330</v>
      </c>
      <c r="S3742" s="85">
        <v>0</v>
      </c>
      <c r="T3742" s="85">
        <v>1</v>
      </c>
      <c r="U3742" s="85">
        <v>0</v>
      </c>
      <c r="V3742" s="85">
        <v>0</v>
      </c>
      <c r="W3742" s="85">
        <v>0</v>
      </c>
      <c r="X3742" s="85">
        <v>1</v>
      </c>
      <c r="Y3742" s="85">
        <v>0</v>
      </c>
      <c r="Z3742" s="85">
        <v>0</v>
      </c>
      <c r="AA3742" s="85">
        <v>0</v>
      </c>
      <c r="AB3742" s="85">
        <v>0</v>
      </c>
      <c r="AC3742" s="85">
        <v>0</v>
      </c>
      <c r="AD3742" s="85">
        <v>0</v>
      </c>
      <c r="AE3742" s="85" t="s">
        <v>73</v>
      </c>
      <c r="AF3742" s="85" t="s">
        <v>21539</v>
      </c>
      <c r="AG3742" s="85" t="s">
        <v>20002</v>
      </c>
      <c r="AH3742" s="43">
        <v>45356</v>
      </c>
      <c r="AI3742" s="85"/>
      <c r="AJ3742" s="85"/>
      <c r="AK3742" s="85"/>
    </row>
    <row r="3743" spans="1:37" ht="36.75" customHeight="1" x14ac:dyDescent="0.35">
      <c r="A3743" s="21" t="s">
        <v>12448</v>
      </c>
      <c r="B3743" s="5" t="s">
        <v>887</v>
      </c>
      <c r="C3743" s="73" t="str">
        <f t="shared" si="68"/>
        <v>Open</v>
      </c>
      <c r="D3743" s="47" t="s">
        <v>21540</v>
      </c>
      <c r="E3743" s="85" t="s">
        <v>21541</v>
      </c>
      <c r="F3743" s="85" t="s">
        <v>6434</v>
      </c>
      <c r="G3743" s="9">
        <f>DATE(2024,3,7)</f>
        <v>45358</v>
      </c>
      <c r="H3743" s="107">
        <v>1.3888888888888888</v>
      </c>
      <c r="I3743" s="85" t="s">
        <v>179</v>
      </c>
      <c r="J3743" s="85" t="s">
        <v>21542</v>
      </c>
      <c r="K3743" s="85" t="s">
        <v>565</v>
      </c>
      <c r="L3743" s="85" t="s">
        <v>21543</v>
      </c>
      <c r="M3743" s="85" t="s">
        <v>45</v>
      </c>
      <c r="N3743" s="85" t="s">
        <v>123</v>
      </c>
      <c r="O3743" s="85" t="s">
        <v>71</v>
      </c>
      <c r="P3743" s="85" t="s">
        <v>60</v>
      </c>
      <c r="Q3743" s="85" t="s">
        <v>21544</v>
      </c>
      <c r="R3743" s="85" t="s">
        <v>21511</v>
      </c>
      <c r="S3743" s="85"/>
      <c r="T3743" s="85"/>
      <c r="U3743" s="85"/>
      <c r="V3743" s="85"/>
      <c r="W3743" s="85"/>
      <c r="X3743" s="85"/>
      <c r="Y3743" s="85"/>
      <c r="Z3743" s="85"/>
      <c r="AA3743" s="85"/>
      <c r="AB3743" s="85"/>
      <c r="AC3743" s="85"/>
      <c r="AD3743" s="85"/>
      <c r="AE3743" s="85"/>
      <c r="AF3743" s="85"/>
      <c r="AG3743" s="85" t="s">
        <v>13508</v>
      </c>
      <c r="AH3743" s="43">
        <v>45358</v>
      </c>
      <c r="AI3743" s="85"/>
      <c r="AJ3743" s="85"/>
      <c r="AK3743" s="85"/>
    </row>
    <row r="3744" spans="1:37" ht="36.75" customHeight="1" x14ac:dyDescent="0.35">
      <c r="A3744" s="21" t="s">
        <v>12448</v>
      </c>
      <c r="B3744" s="5" t="s">
        <v>887</v>
      </c>
      <c r="C3744" s="73" t="str">
        <f t="shared" si="68"/>
        <v>Open</v>
      </c>
      <c r="D3744" s="47" t="s">
        <v>21545</v>
      </c>
      <c r="E3744" s="85" t="s">
        <v>21546</v>
      </c>
      <c r="F3744" s="85" t="s">
        <v>14722</v>
      </c>
      <c r="G3744" s="9">
        <f>DATE(2024,3,12)</f>
        <v>45363</v>
      </c>
      <c r="H3744" s="107">
        <v>1.9722222222222223</v>
      </c>
      <c r="I3744" s="85" t="s">
        <v>137</v>
      </c>
      <c r="J3744" s="85" t="s">
        <v>21547</v>
      </c>
      <c r="K3744" s="85" t="s">
        <v>1753</v>
      </c>
      <c r="L3744" s="85" t="s">
        <v>21548</v>
      </c>
      <c r="M3744" s="85" t="s">
        <v>45</v>
      </c>
      <c r="N3744" s="85" t="s">
        <v>123</v>
      </c>
      <c r="O3744" s="85" t="s">
        <v>46</v>
      </c>
      <c r="P3744" s="85" t="s">
        <v>146</v>
      </c>
      <c r="Q3744" s="85" t="s">
        <v>18451</v>
      </c>
      <c r="R3744" s="85" t="s">
        <v>1756</v>
      </c>
      <c r="S3744" s="85">
        <v>0</v>
      </c>
      <c r="T3744" s="85">
        <v>0</v>
      </c>
      <c r="U3744" s="85">
        <v>0</v>
      </c>
      <c r="V3744" s="85">
        <v>0</v>
      </c>
      <c r="W3744" s="85">
        <v>0</v>
      </c>
      <c r="X3744" s="85">
        <v>0</v>
      </c>
      <c r="Y3744" s="85">
        <v>0</v>
      </c>
      <c r="Z3744" s="85">
        <v>0</v>
      </c>
      <c r="AA3744" s="85">
        <v>0</v>
      </c>
      <c r="AB3744" s="85">
        <v>0</v>
      </c>
      <c r="AC3744" s="85">
        <v>0</v>
      </c>
      <c r="AD3744" s="85">
        <v>0</v>
      </c>
      <c r="AE3744" s="85" t="s">
        <v>375</v>
      </c>
      <c r="AF3744" s="85" t="s">
        <v>21549</v>
      </c>
      <c r="AG3744" s="85" t="s">
        <v>8837</v>
      </c>
      <c r="AH3744" s="43">
        <v>45365</v>
      </c>
      <c r="AI3744" s="85"/>
      <c r="AJ3744" s="85"/>
      <c r="AK3744" s="85"/>
    </row>
    <row r="3745" spans="1:37" ht="36.75" customHeight="1" x14ac:dyDescent="0.35">
      <c r="A3745" s="21" t="s">
        <v>12448</v>
      </c>
      <c r="B3745" s="5" t="s">
        <v>887</v>
      </c>
      <c r="C3745" s="73" t="str">
        <f t="shared" si="68"/>
        <v>Open</v>
      </c>
      <c r="D3745" s="47" t="s">
        <v>21550</v>
      </c>
      <c r="E3745" s="85" t="s">
        <v>21551</v>
      </c>
      <c r="F3745" s="85" t="s">
        <v>17638</v>
      </c>
      <c r="G3745" s="9">
        <f>DATE(2024,3,13)</f>
        <v>45364</v>
      </c>
      <c r="H3745" s="107">
        <v>1.5347222222222223</v>
      </c>
      <c r="I3745" s="85" t="s">
        <v>55</v>
      </c>
      <c r="J3745" s="85" t="s">
        <v>21552</v>
      </c>
      <c r="K3745" s="85" t="s">
        <v>1555</v>
      </c>
      <c r="L3745" s="85" t="s">
        <v>21553</v>
      </c>
      <c r="M3745" s="85" t="s">
        <v>45</v>
      </c>
      <c r="N3745" s="85" t="s">
        <v>123</v>
      </c>
      <c r="O3745" s="85" t="s">
        <v>46</v>
      </c>
      <c r="P3745" s="85" t="s">
        <v>60</v>
      </c>
      <c r="Q3745" s="85" t="s">
        <v>19623</v>
      </c>
      <c r="R3745" s="85" t="s">
        <v>18956</v>
      </c>
      <c r="S3745" s="85"/>
      <c r="T3745" s="85"/>
      <c r="U3745" s="85"/>
      <c r="V3745" s="85"/>
      <c r="W3745" s="85"/>
      <c r="X3745" s="85">
        <v>0</v>
      </c>
      <c r="Y3745" s="85"/>
      <c r="Z3745" s="85"/>
      <c r="AA3745" s="85"/>
      <c r="AB3745" s="85"/>
      <c r="AC3745" s="85"/>
      <c r="AD3745" s="85">
        <v>0</v>
      </c>
      <c r="AE3745" s="85" t="s">
        <v>73</v>
      </c>
      <c r="AF3745" s="85" t="s">
        <v>21554</v>
      </c>
      <c r="AG3745" s="85" t="s">
        <v>8837</v>
      </c>
      <c r="AH3745" s="43">
        <v>45366</v>
      </c>
      <c r="AI3745" s="85"/>
      <c r="AJ3745" s="85"/>
      <c r="AK3745" s="85"/>
    </row>
    <row r="3746" spans="1:37" ht="36.75" customHeight="1" x14ac:dyDescent="0.35">
      <c r="A3746" s="21" t="s">
        <v>12448</v>
      </c>
      <c r="B3746" s="5" t="s">
        <v>887</v>
      </c>
      <c r="C3746" s="73" t="str">
        <f t="shared" si="68"/>
        <v>Open</v>
      </c>
      <c r="D3746" s="47" t="s">
        <v>21555</v>
      </c>
      <c r="E3746" s="85" t="s">
        <v>21556</v>
      </c>
      <c r="F3746" s="85" t="s">
        <v>16397</v>
      </c>
      <c r="G3746" s="9">
        <f>DATE(2024,3,18)</f>
        <v>45369</v>
      </c>
      <c r="H3746" s="107">
        <v>1.2118055555555556</v>
      </c>
      <c r="I3746" s="85" t="s">
        <v>4590</v>
      </c>
      <c r="J3746" s="85" t="s">
        <v>21557</v>
      </c>
      <c r="K3746" s="85" t="s">
        <v>406</v>
      </c>
      <c r="L3746" s="85" t="s">
        <v>21558</v>
      </c>
      <c r="M3746" s="85" t="s">
        <v>45</v>
      </c>
      <c r="N3746" s="85" t="s">
        <v>80</v>
      </c>
      <c r="O3746" s="85" t="s">
        <v>59</v>
      </c>
      <c r="P3746" s="85" t="s">
        <v>146</v>
      </c>
      <c r="Q3746" s="85" t="s">
        <v>21559</v>
      </c>
      <c r="R3746" s="85" t="s">
        <v>17330</v>
      </c>
      <c r="S3746" s="85">
        <v>0</v>
      </c>
      <c r="T3746" s="85">
        <v>0</v>
      </c>
      <c r="U3746" s="85">
        <v>0</v>
      </c>
      <c r="V3746" s="85">
        <v>0</v>
      </c>
      <c r="W3746" s="85">
        <v>0</v>
      </c>
      <c r="X3746" s="85">
        <v>0</v>
      </c>
      <c r="Y3746" s="85">
        <v>0</v>
      </c>
      <c r="Z3746" s="85">
        <v>0</v>
      </c>
      <c r="AA3746" s="85">
        <v>0</v>
      </c>
      <c r="AB3746" s="85">
        <v>0</v>
      </c>
      <c r="AC3746" s="85">
        <v>0</v>
      </c>
      <c r="AD3746" s="85">
        <v>0</v>
      </c>
      <c r="AE3746" s="85" t="s">
        <v>73</v>
      </c>
      <c r="AF3746" s="85" t="s">
        <v>21560</v>
      </c>
      <c r="AG3746" s="85" t="s">
        <v>16251</v>
      </c>
      <c r="AH3746" s="43">
        <v>45369</v>
      </c>
      <c r="AI3746" s="85"/>
      <c r="AJ3746" s="85"/>
      <c r="AK3746" s="85"/>
    </row>
    <row r="3747" spans="1:37" ht="36.75" customHeight="1" x14ac:dyDescent="0.35">
      <c r="A3747" s="21" t="s">
        <v>12448</v>
      </c>
      <c r="B3747" s="5" t="s">
        <v>887</v>
      </c>
      <c r="C3747" s="73" t="str">
        <f t="shared" si="68"/>
        <v>Open</v>
      </c>
      <c r="D3747" s="47" t="s">
        <v>21561</v>
      </c>
      <c r="E3747" s="85" t="s">
        <v>21562</v>
      </c>
      <c r="F3747" s="85" t="s">
        <v>17305</v>
      </c>
      <c r="G3747" s="9">
        <f>DATE(2024,3,22)</f>
        <v>45373</v>
      </c>
      <c r="H3747" s="107">
        <v>1.7986111111111112</v>
      </c>
      <c r="I3747" s="85" t="s">
        <v>4590</v>
      </c>
      <c r="J3747" s="85" t="s">
        <v>21563</v>
      </c>
      <c r="K3747" s="85" t="s">
        <v>108</v>
      </c>
      <c r="L3747" s="85" t="s">
        <v>21564</v>
      </c>
      <c r="M3747" s="85" t="s">
        <v>45</v>
      </c>
      <c r="N3747" s="85" t="s">
        <v>70</v>
      </c>
      <c r="O3747" s="85" t="s">
        <v>59</v>
      </c>
      <c r="P3747" s="85" t="s">
        <v>60</v>
      </c>
      <c r="Q3747" s="85" t="s">
        <v>21565</v>
      </c>
      <c r="R3747" s="85" t="s">
        <v>148</v>
      </c>
      <c r="S3747" s="85"/>
      <c r="T3747" s="85"/>
      <c r="U3747" s="85"/>
      <c r="V3747" s="85"/>
      <c r="W3747" s="85"/>
      <c r="X3747" s="85">
        <v>0</v>
      </c>
      <c r="Y3747" s="85"/>
      <c r="Z3747" s="85"/>
      <c r="AA3747" s="85"/>
      <c r="AB3747" s="85"/>
      <c r="AC3747" s="85"/>
      <c r="AD3747" s="85">
        <v>0</v>
      </c>
      <c r="AE3747" s="85" t="s">
        <v>375</v>
      </c>
      <c r="AF3747" s="85" t="s">
        <v>21566</v>
      </c>
      <c r="AG3747" s="85" t="s">
        <v>8837</v>
      </c>
      <c r="AH3747" s="43">
        <v>45375</v>
      </c>
      <c r="AI3747" s="85"/>
      <c r="AJ3747" s="85"/>
      <c r="AK3747" s="85"/>
    </row>
    <row r="3748" spans="1:37" ht="36.75" customHeight="1" x14ac:dyDescent="0.35">
      <c r="A3748" s="21" t="s">
        <v>12448</v>
      </c>
      <c r="B3748" s="5" t="s">
        <v>887</v>
      </c>
      <c r="C3748" s="73" t="str">
        <f t="shared" si="68"/>
        <v>Open</v>
      </c>
      <c r="D3748" s="47" t="s">
        <v>21567</v>
      </c>
      <c r="E3748" s="85" t="s">
        <v>21568</v>
      </c>
      <c r="F3748" s="85" t="s">
        <v>17638</v>
      </c>
      <c r="G3748" s="9">
        <f>DATE(2024,3,26)</f>
        <v>45377</v>
      </c>
      <c r="H3748" s="107">
        <v>1.6423611111111112</v>
      </c>
      <c r="I3748" s="85" t="s">
        <v>55</v>
      </c>
      <c r="J3748" s="85" t="s">
        <v>21569</v>
      </c>
      <c r="K3748" s="85" t="s">
        <v>1555</v>
      </c>
      <c r="L3748" s="85" t="s">
        <v>21570</v>
      </c>
      <c r="M3748" s="85" t="s">
        <v>45</v>
      </c>
      <c r="N3748" s="85" t="s">
        <v>80</v>
      </c>
      <c r="O3748" s="85" t="s">
        <v>46</v>
      </c>
      <c r="P3748" s="85" t="s">
        <v>60</v>
      </c>
      <c r="Q3748" s="85" t="s">
        <v>18008</v>
      </c>
      <c r="R3748" s="85" t="s">
        <v>18956</v>
      </c>
      <c r="S3748" s="85"/>
      <c r="T3748" s="85"/>
      <c r="U3748" s="85"/>
      <c r="V3748" s="85"/>
      <c r="W3748" s="85"/>
      <c r="X3748" s="85">
        <v>0</v>
      </c>
      <c r="Y3748" s="85"/>
      <c r="Z3748" s="85"/>
      <c r="AA3748" s="85"/>
      <c r="AB3748" s="85"/>
      <c r="AC3748" s="85"/>
      <c r="AD3748" s="85">
        <v>0</v>
      </c>
      <c r="AE3748" s="85" t="s">
        <v>73</v>
      </c>
      <c r="AF3748" s="85" t="s">
        <v>21571</v>
      </c>
      <c r="AG3748" s="85" t="s">
        <v>8837</v>
      </c>
      <c r="AH3748" s="43">
        <v>45378</v>
      </c>
      <c r="AI3748" s="85"/>
      <c r="AJ3748" s="85"/>
      <c r="AK3748" s="85"/>
    </row>
    <row r="3749" spans="1:37" ht="36.75" customHeight="1" x14ac:dyDescent="0.35">
      <c r="A3749" s="21" t="s">
        <v>12448</v>
      </c>
      <c r="B3749" s="5" t="s">
        <v>887</v>
      </c>
      <c r="C3749" s="73" t="str">
        <f t="shared" si="68"/>
        <v>Open</v>
      </c>
      <c r="D3749" s="47" t="s">
        <v>21572</v>
      </c>
      <c r="E3749" s="85" t="s">
        <v>21573</v>
      </c>
      <c r="F3749" s="85" t="s">
        <v>20843</v>
      </c>
      <c r="G3749" s="9">
        <f>DATE(2023,12,23)</f>
        <v>45283</v>
      </c>
      <c r="H3749" s="107">
        <v>1.5138888888888888</v>
      </c>
      <c r="I3749" s="85" t="s">
        <v>16663</v>
      </c>
      <c r="J3749" s="85" t="s">
        <v>21574</v>
      </c>
      <c r="K3749" s="85" t="s">
        <v>5664</v>
      </c>
      <c r="L3749" s="85" t="s">
        <v>21575</v>
      </c>
      <c r="M3749" s="85" t="s">
        <v>45</v>
      </c>
      <c r="N3749" s="85" t="s">
        <v>123</v>
      </c>
      <c r="O3749" s="85" t="s">
        <v>46</v>
      </c>
      <c r="P3749" s="85" t="s">
        <v>146</v>
      </c>
      <c r="Q3749" s="85" t="s">
        <v>20846</v>
      </c>
      <c r="R3749" s="85" t="s">
        <v>20847</v>
      </c>
      <c r="S3749" s="85">
        <v>0</v>
      </c>
      <c r="T3749" s="85">
        <v>0</v>
      </c>
      <c r="U3749" s="85">
        <v>0</v>
      </c>
      <c r="V3749" s="85">
        <v>0</v>
      </c>
      <c r="W3749" s="85">
        <v>0</v>
      </c>
      <c r="X3749" s="85">
        <v>0</v>
      </c>
      <c r="Y3749" s="85">
        <v>0</v>
      </c>
      <c r="Z3749" s="85">
        <v>0</v>
      </c>
      <c r="AA3749" s="85">
        <v>0</v>
      </c>
      <c r="AB3749" s="85">
        <v>0</v>
      </c>
      <c r="AC3749" s="85">
        <v>0</v>
      </c>
      <c r="AD3749" s="85">
        <v>0</v>
      </c>
      <c r="AE3749" s="85" t="s">
        <v>73</v>
      </c>
      <c r="AF3749" s="85" t="s">
        <v>21576</v>
      </c>
      <c r="AG3749" s="85" t="s">
        <v>17023</v>
      </c>
      <c r="AH3749" s="43">
        <v>45366</v>
      </c>
      <c r="AI3749" s="85"/>
      <c r="AJ3749" s="85"/>
      <c r="AK3749" s="85"/>
    </row>
    <row r="3750" spans="1:37" ht="36.75" customHeight="1" x14ac:dyDescent="0.35">
      <c r="A3750" s="21" t="s">
        <v>12448</v>
      </c>
      <c r="B3750" s="5" t="s">
        <v>887</v>
      </c>
      <c r="C3750" s="73" t="str">
        <f t="shared" si="68"/>
        <v>Open</v>
      </c>
      <c r="D3750" s="47" t="s">
        <v>21577</v>
      </c>
      <c r="E3750" s="85" t="s">
        <v>21578</v>
      </c>
      <c r="F3750" s="85" t="s">
        <v>20843</v>
      </c>
      <c r="G3750" s="9">
        <f>DATE(2024,1,17)</f>
        <v>45308</v>
      </c>
      <c r="H3750" s="107">
        <v>1.7569444444444446</v>
      </c>
      <c r="I3750" s="85" t="s">
        <v>259</v>
      </c>
      <c r="J3750" s="85" t="s">
        <v>21579</v>
      </c>
      <c r="K3750" s="85" t="s">
        <v>5664</v>
      </c>
      <c r="L3750" s="85" t="s">
        <v>21580</v>
      </c>
      <c r="M3750" s="85" t="s">
        <v>45</v>
      </c>
      <c r="N3750" s="85" t="s">
        <v>123</v>
      </c>
      <c r="O3750" s="85" t="s">
        <v>46</v>
      </c>
      <c r="P3750" s="85" t="s">
        <v>146</v>
      </c>
      <c r="Q3750" s="85" t="s">
        <v>20846</v>
      </c>
      <c r="R3750" s="85" t="s">
        <v>20847</v>
      </c>
      <c r="S3750" s="85">
        <v>0</v>
      </c>
      <c r="T3750" s="85">
        <v>0</v>
      </c>
      <c r="U3750" s="85">
        <v>0</v>
      </c>
      <c r="V3750" s="85">
        <v>1</v>
      </c>
      <c r="W3750" s="85">
        <v>0</v>
      </c>
      <c r="X3750" s="85">
        <v>1</v>
      </c>
      <c r="Y3750" s="85">
        <v>0</v>
      </c>
      <c r="Z3750" s="85">
        <v>0</v>
      </c>
      <c r="AA3750" s="85">
        <v>0</v>
      </c>
      <c r="AB3750" s="85">
        <v>0</v>
      </c>
      <c r="AC3750" s="85">
        <v>0</v>
      </c>
      <c r="AD3750" s="85">
        <v>0</v>
      </c>
      <c r="AE3750" s="85" t="s">
        <v>73</v>
      </c>
      <c r="AF3750" s="85" t="s">
        <v>21581</v>
      </c>
      <c r="AG3750" s="85" t="s">
        <v>6438</v>
      </c>
      <c r="AH3750" s="43">
        <v>45366</v>
      </c>
      <c r="AI3750" s="85"/>
      <c r="AJ3750" s="85"/>
      <c r="AK3750" s="85"/>
    </row>
    <row r="3751" spans="1:37" ht="36.75" customHeight="1" x14ac:dyDescent="0.35">
      <c r="A3751" s="21" t="s">
        <v>12448</v>
      </c>
      <c r="B3751" s="5" t="s">
        <v>887</v>
      </c>
      <c r="C3751" s="73" t="str">
        <f t="shared" si="68"/>
        <v>Open</v>
      </c>
      <c r="D3751" s="47" t="s">
        <v>21582</v>
      </c>
      <c r="E3751" s="85" t="s">
        <v>21583</v>
      </c>
      <c r="F3751" s="85" t="s">
        <v>19629</v>
      </c>
      <c r="G3751" s="9">
        <f>DATE(2024,2,24)</f>
        <v>45346</v>
      </c>
      <c r="H3751" s="107">
        <v>1.15625</v>
      </c>
      <c r="I3751" s="85" t="s">
        <v>16663</v>
      </c>
      <c r="J3751" s="85" t="s">
        <v>21584</v>
      </c>
      <c r="K3751" s="85" t="s">
        <v>2529</v>
      </c>
      <c r="L3751" s="85" t="s">
        <v>21585</v>
      </c>
      <c r="M3751" s="85" t="s">
        <v>45</v>
      </c>
      <c r="N3751" s="85" t="s">
        <v>70</v>
      </c>
      <c r="O3751" s="85" t="s">
        <v>71</v>
      </c>
      <c r="P3751" s="85" t="s">
        <v>72</v>
      </c>
      <c r="Q3751" s="85" t="s">
        <v>21586</v>
      </c>
      <c r="R3751" s="85" t="s">
        <v>21587</v>
      </c>
      <c r="S3751" s="85"/>
      <c r="T3751" s="85"/>
      <c r="U3751" s="85"/>
      <c r="V3751" s="85"/>
      <c r="W3751" s="85"/>
      <c r="X3751" s="85">
        <v>0</v>
      </c>
      <c r="Y3751" s="85"/>
      <c r="Z3751" s="85"/>
      <c r="AA3751" s="85"/>
      <c r="AB3751" s="85"/>
      <c r="AC3751" s="85"/>
      <c r="AD3751" s="85">
        <v>0</v>
      </c>
      <c r="AE3751" s="85" t="s">
        <v>73</v>
      </c>
      <c r="AF3751" s="85" t="s">
        <v>21588</v>
      </c>
      <c r="AG3751" s="85" t="s">
        <v>14532</v>
      </c>
      <c r="AH3751" s="43">
        <v>45389</v>
      </c>
      <c r="AI3751" s="85"/>
      <c r="AJ3751" s="85"/>
      <c r="AK3751" s="85"/>
    </row>
    <row r="3752" spans="1:37" ht="36.75" customHeight="1" x14ac:dyDescent="0.35">
      <c r="A3752" s="21" t="s">
        <v>12448</v>
      </c>
      <c r="B3752" s="5" t="s">
        <v>887</v>
      </c>
      <c r="C3752" s="73" t="str">
        <f t="shared" si="68"/>
        <v>Open</v>
      </c>
      <c r="D3752" s="47" t="s">
        <v>21589</v>
      </c>
      <c r="E3752" s="85" t="s">
        <v>21590</v>
      </c>
      <c r="F3752" s="85" t="s">
        <v>9767</v>
      </c>
      <c r="G3752" s="9">
        <f>DATE(2024,2,15)</f>
        <v>45337</v>
      </c>
      <c r="H3752" s="107">
        <v>1.7048611111111112</v>
      </c>
      <c r="I3752" s="85" t="s">
        <v>97</v>
      </c>
      <c r="J3752" s="85" t="s">
        <v>21591</v>
      </c>
      <c r="K3752" s="85" t="s">
        <v>9769</v>
      </c>
      <c r="L3752" s="85" t="s">
        <v>21592</v>
      </c>
      <c r="M3752" s="85" t="s">
        <v>45</v>
      </c>
      <c r="N3752" s="85" t="s">
        <v>80</v>
      </c>
      <c r="O3752" s="85" t="s">
        <v>46</v>
      </c>
      <c r="P3752" s="85" t="s">
        <v>146</v>
      </c>
      <c r="Q3752" s="85" t="s">
        <v>21593</v>
      </c>
      <c r="R3752" s="85" t="s">
        <v>20687</v>
      </c>
      <c r="S3752" s="85">
        <v>0</v>
      </c>
      <c r="T3752" s="85">
        <v>0</v>
      </c>
      <c r="U3752" s="85">
        <v>0</v>
      </c>
      <c r="V3752" s="85">
        <v>0</v>
      </c>
      <c r="W3752" s="85">
        <v>0</v>
      </c>
      <c r="X3752" s="85">
        <v>0</v>
      </c>
      <c r="Y3752" s="85">
        <v>0</v>
      </c>
      <c r="Z3752" s="85">
        <v>0</v>
      </c>
      <c r="AA3752" s="85">
        <v>1</v>
      </c>
      <c r="AB3752" s="85">
        <v>0</v>
      </c>
      <c r="AC3752" s="85">
        <v>0</v>
      </c>
      <c r="AD3752" s="85">
        <v>1</v>
      </c>
      <c r="AE3752" s="85" t="s">
        <v>73</v>
      </c>
      <c r="AF3752" s="85" t="s">
        <v>21594</v>
      </c>
      <c r="AG3752" s="85" t="s">
        <v>8837</v>
      </c>
      <c r="AH3752" s="43">
        <v>45357</v>
      </c>
      <c r="AI3752" s="85"/>
      <c r="AJ3752" s="85"/>
      <c r="AK3752" s="85"/>
    </row>
    <row r="3753" spans="1:37" ht="36.75" customHeight="1" x14ac:dyDescent="0.35">
      <c r="A3753" s="21" t="s">
        <v>12448</v>
      </c>
      <c r="B3753" s="5" t="s">
        <v>887</v>
      </c>
      <c r="C3753" s="73" t="str">
        <f t="shared" si="68"/>
        <v>Open</v>
      </c>
      <c r="D3753" s="47" t="s">
        <v>21595</v>
      </c>
      <c r="E3753" s="85" t="s">
        <v>21596</v>
      </c>
      <c r="F3753" s="85" t="s">
        <v>18015</v>
      </c>
      <c r="G3753" s="9">
        <f>DATE(2024,2,24)</f>
        <v>45346</v>
      </c>
      <c r="H3753" s="107">
        <v>1.8125</v>
      </c>
      <c r="I3753" s="85" t="s">
        <v>55</v>
      </c>
      <c r="J3753" s="85" t="s">
        <v>21597</v>
      </c>
      <c r="K3753" s="85" t="s">
        <v>121</v>
      </c>
      <c r="L3753" s="85" t="s">
        <v>21406</v>
      </c>
      <c r="M3753" s="85" t="s">
        <v>45</v>
      </c>
      <c r="N3753" s="85" t="s">
        <v>80</v>
      </c>
      <c r="O3753" s="85" t="s">
        <v>59</v>
      </c>
      <c r="P3753" s="85" t="s">
        <v>60</v>
      </c>
      <c r="Q3753" s="85" t="s">
        <v>21407</v>
      </c>
      <c r="R3753" s="85" t="s">
        <v>18480</v>
      </c>
      <c r="S3753" s="85">
        <v>0</v>
      </c>
      <c r="T3753" s="85">
        <v>0</v>
      </c>
      <c r="U3753" s="85">
        <v>0</v>
      </c>
      <c r="V3753" s="85">
        <v>0</v>
      </c>
      <c r="W3753" s="85">
        <v>0</v>
      </c>
      <c r="X3753" s="85">
        <v>0</v>
      </c>
      <c r="Y3753" s="85">
        <v>0</v>
      </c>
      <c r="Z3753" s="85">
        <v>0</v>
      </c>
      <c r="AA3753" s="85">
        <v>0</v>
      </c>
      <c r="AB3753" s="85">
        <v>0</v>
      </c>
      <c r="AC3753" s="85">
        <v>0</v>
      </c>
      <c r="AD3753" s="85">
        <v>0</v>
      </c>
      <c r="AE3753" s="85" t="s">
        <v>126</v>
      </c>
      <c r="AF3753" s="85" t="s">
        <v>21598</v>
      </c>
      <c r="AG3753" s="85" t="s">
        <v>8837</v>
      </c>
      <c r="AH3753" s="43">
        <v>45356</v>
      </c>
      <c r="AI3753" s="85"/>
      <c r="AJ3753" s="85"/>
      <c r="AK3753" s="85"/>
    </row>
    <row r="3754" spans="1:37" ht="36.75" customHeight="1" x14ac:dyDescent="0.35">
      <c r="A3754" s="21" t="s">
        <v>12448</v>
      </c>
      <c r="B3754" s="5" t="s">
        <v>887</v>
      </c>
      <c r="C3754" s="73" t="str">
        <f t="shared" ref="C3754" si="69">IF(B3754="Notification","Open",IF(B3754="Interim Statement","In progress","Closed"))</f>
        <v>Open</v>
      </c>
      <c r="D3754" s="47" t="s">
        <v>21599</v>
      </c>
      <c r="E3754" s="85" t="s">
        <v>21600</v>
      </c>
      <c r="F3754" s="85" t="s">
        <v>17638</v>
      </c>
      <c r="G3754" s="9">
        <f>DATE(2024,4,21)</f>
        <v>45403</v>
      </c>
      <c r="H3754" s="107">
        <v>1.0659722222222223</v>
      </c>
      <c r="I3754" s="85" t="s">
        <v>106</v>
      </c>
      <c r="J3754" s="85" t="s">
        <v>21601</v>
      </c>
      <c r="K3754" s="85" t="s">
        <v>1555</v>
      </c>
      <c r="L3754" s="85" t="s">
        <v>21602</v>
      </c>
      <c r="M3754" s="85" t="s">
        <v>45</v>
      </c>
      <c r="N3754" s="85" t="s">
        <v>123</v>
      </c>
      <c r="O3754" s="85" t="s">
        <v>46</v>
      </c>
      <c r="P3754" s="85" t="s">
        <v>60</v>
      </c>
      <c r="Q3754" s="85" t="s">
        <v>19623</v>
      </c>
      <c r="R3754" s="85" t="s">
        <v>18956</v>
      </c>
      <c r="S3754" s="85">
        <v>0</v>
      </c>
      <c r="T3754" s="85">
        <v>0</v>
      </c>
      <c r="U3754" s="85">
        <v>0</v>
      </c>
      <c r="V3754" s="85">
        <v>0</v>
      </c>
      <c r="W3754" s="85">
        <v>0</v>
      </c>
      <c r="X3754" s="85">
        <v>0</v>
      </c>
      <c r="Y3754" s="85">
        <v>0</v>
      </c>
      <c r="Z3754" s="85">
        <v>0</v>
      </c>
      <c r="AA3754" s="85">
        <v>0</v>
      </c>
      <c r="AB3754" s="85">
        <v>0</v>
      </c>
      <c r="AC3754" s="85">
        <v>0</v>
      </c>
      <c r="AD3754" s="85">
        <v>0</v>
      </c>
      <c r="AE3754" s="85" t="s">
        <v>73</v>
      </c>
      <c r="AF3754" s="85" t="s">
        <v>21603</v>
      </c>
      <c r="AG3754" s="85" t="s">
        <v>8837</v>
      </c>
      <c r="AH3754" s="43">
        <v>45405</v>
      </c>
      <c r="AI3754" s="85"/>
      <c r="AJ3754" s="85"/>
      <c r="AK3754" s="85"/>
    </row>
    <row r="3755" spans="1:37" ht="36.75" customHeight="1" x14ac:dyDescent="0.35">
      <c r="A3755" s="21" t="s">
        <v>12448</v>
      </c>
      <c r="B3755" s="5" t="s">
        <v>887</v>
      </c>
      <c r="C3755" s="73" t="str">
        <f t="shared" ref="C3755" si="70">IF(B3755="Notification","Open",IF(B3755="Interim Statement","In progress","Closed"))</f>
        <v>Open</v>
      </c>
      <c r="D3755" s="47" t="s">
        <v>21604</v>
      </c>
      <c r="E3755" s="85" t="s">
        <v>21605</v>
      </c>
      <c r="F3755" s="85" t="s">
        <v>6434</v>
      </c>
      <c r="G3755" s="9">
        <f>DATE(2024,4,15)</f>
        <v>45397</v>
      </c>
      <c r="H3755" s="107">
        <v>1.5520833333333335</v>
      </c>
      <c r="I3755" s="85" t="s">
        <v>55</v>
      </c>
      <c r="J3755" s="85" t="s">
        <v>21606</v>
      </c>
      <c r="K3755" s="85" t="s">
        <v>565</v>
      </c>
      <c r="L3755" s="85" t="s">
        <v>21607</v>
      </c>
      <c r="M3755" s="85" t="s">
        <v>45</v>
      </c>
      <c r="N3755" s="85" t="s">
        <v>123</v>
      </c>
      <c r="O3755" s="85" t="s">
        <v>59</v>
      </c>
      <c r="P3755" s="85" t="s">
        <v>60</v>
      </c>
      <c r="Q3755" s="85" t="s">
        <v>21608</v>
      </c>
      <c r="R3755" s="85" t="s">
        <v>21511</v>
      </c>
      <c r="S3755" s="85"/>
      <c r="T3755" s="85"/>
      <c r="U3755" s="85"/>
      <c r="V3755" s="85"/>
      <c r="W3755" s="85"/>
      <c r="X3755" s="85">
        <v>0</v>
      </c>
      <c r="Y3755" s="85"/>
      <c r="Z3755" s="85"/>
      <c r="AA3755" s="85"/>
      <c r="AB3755" s="85"/>
      <c r="AC3755" s="85"/>
      <c r="AD3755" s="85">
        <v>0</v>
      </c>
      <c r="AE3755" s="85" t="s">
        <v>375</v>
      </c>
      <c r="AF3755" s="85" t="s">
        <v>21609</v>
      </c>
      <c r="AG3755" s="85" t="s">
        <v>13508</v>
      </c>
      <c r="AH3755" s="43">
        <v>45397</v>
      </c>
      <c r="AI3755" s="85"/>
      <c r="AJ3755" s="85"/>
      <c r="AK3755" s="85"/>
    </row>
    <row r="3756" spans="1:37" ht="36.75" customHeight="1" x14ac:dyDescent="0.35">
      <c r="A3756" s="21" t="s">
        <v>12448</v>
      </c>
      <c r="B3756" s="5" t="s">
        <v>887</v>
      </c>
      <c r="C3756" s="73" t="str">
        <f t="shared" ref="C3756" si="71">IF(B3756="Notification","Open",IF(B3756="Interim Statement","In progress","Closed"))</f>
        <v>Open</v>
      </c>
      <c r="D3756" s="47" t="s">
        <v>21610</v>
      </c>
      <c r="E3756" s="85" t="s">
        <v>21611</v>
      </c>
      <c r="F3756" s="85" t="s">
        <v>6434</v>
      </c>
      <c r="G3756" s="9">
        <f>DATE(2024,4,16)</f>
        <v>45398</v>
      </c>
      <c r="H3756" s="107">
        <v>1.3680555555555556</v>
      </c>
      <c r="I3756" s="85" t="s">
        <v>179</v>
      </c>
      <c r="J3756" s="85" t="s">
        <v>21612</v>
      </c>
      <c r="K3756" s="85" t="s">
        <v>565</v>
      </c>
      <c r="L3756" s="85" t="s">
        <v>21613</v>
      </c>
      <c r="M3756" s="85" t="s">
        <v>45</v>
      </c>
      <c r="N3756" s="85" t="s">
        <v>123</v>
      </c>
      <c r="O3756" s="85" t="s">
        <v>59</v>
      </c>
      <c r="P3756" s="85" t="s">
        <v>443</v>
      </c>
      <c r="Q3756" s="85" t="s">
        <v>21290</v>
      </c>
      <c r="R3756" s="85" t="s">
        <v>21614</v>
      </c>
      <c r="S3756" s="85"/>
      <c r="T3756" s="85"/>
      <c r="U3756" s="85"/>
      <c r="V3756" s="85"/>
      <c r="W3756" s="85"/>
      <c r="X3756" s="85">
        <v>0</v>
      </c>
      <c r="Y3756" s="85"/>
      <c r="Z3756" s="85"/>
      <c r="AA3756" s="85"/>
      <c r="AB3756" s="85"/>
      <c r="AC3756" s="85"/>
      <c r="AD3756" s="85">
        <v>0</v>
      </c>
      <c r="AE3756" s="85" t="s">
        <v>375</v>
      </c>
      <c r="AF3756" s="85" t="s">
        <v>21615</v>
      </c>
      <c r="AG3756" s="85" t="s">
        <v>13508</v>
      </c>
      <c r="AH3756" s="43">
        <v>45398</v>
      </c>
      <c r="AI3756" s="85"/>
      <c r="AJ3756" s="85"/>
      <c r="AK3756" s="85"/>
    </row>
    <row r="3757" spans="1:37" ht="36.75" customHeight="1" x14ac:dyDescent="0.35">
      <c r="A3757" s="21" t="s">
        <v>12448</v>
      </c>
      <c r="B3757" s="5" t="s">
        <v>887</v>
      </c>
      <c r="C3757" s="73" t="str">
        <f t="shared" ref="C3757:C3764" si="72">IF(B3757="Notification","Open",IF(B3757="Interim Statement","In progress","Closed"))</f>
        <v>Open</v>
      </c>
      <c r="D3757" s="47" t="s">
        <v>43393</v>
      </c>
      <c r="E3757" s="85" t="s">
        <v>43394</v>
      </c>
      <c r="F3757" s="85" t="s">
        <v>16397</v>
      </c>
      <c r="G3757" s="9">
        <f>DATE(2024,5,2)</f>
        <v>45414</v>
      </c>
      <c r="H3757" s="107">
        <v>1.5520833333333335</v>
      </c>
      <c r="I3757" s="85" t="s">
        <v>55</v>
      </c>
      <c r="J3757" s="85" t="s">
        <v>43395</v>
      </c>
      <c r="K3757" s="85" t="s">
        <v>406</v>
      </c>
      <c r="L3757" s="85" t="s">
        <v>43396</v>
      </c>
      <c r="M3757" s="85" t="s">
        <v>45</v>
      </c>
      <c r="N3757" s="85" t="s">
        <v>80</v>
      </c>
      <c r="O3757" s="85" t="s">
        <v>43397</v>
      </c>
      <c r="P3757" s="85" t="s">
        <v>43398</v>
      </c>
      <c r="Q3757" s="85" t="s">
        <v>18466</v>
      </c>
      <c r="R3757" s="85" t="s">
        <v>17330</v>
      </c>
      <c r="S3757" s="85">
        <v>0</v>
      </c>
      <c r="T3757" s="85">
        <v>0</v>
      </c>
      <c r="U3757" s="85">
        <v>0</v>
      </c>
      <c r="V3757" s="85">
        <v>0</v>
      </c>
      <c r="W3757" s="85">
        <v>0</v>
      </c>
      <c r="X3757" s="85">
        <v>0</v>
      </c>
      <c r="Y3757" s="85">
        <v>0</v>
      </c>
      <c r="Z3757" s="85">
        <v>0</v>
      </c>
      <c r="AA3757" s="85">
        <v>0</v>
      </c>
      <c r="AB3757" s="85">
        <v>0</v>
      </c>
      <c r="AC3757" s="85">
        <v>0</v>
      </c>
      <c r="AD3757" s="85">
        <v>0</v>
      </c>
      <c r="AE3757" s="85" t="s">
        <v>16403</v>
      </c>
      <c r="AF3757" s="85" t="s">
        <v>43399</v>
      </c>
      <c r="AG3757" s="85" t="s">
        <v>20989</v>
      </c>
      <c r="AH3757" s="43">
        <v>45414</v>
      </c>
      <c r="AI3757" s="85"/>
      <c r="AJ3757" s="85"/>
      <c r="AK3757" s="85"/>
    </row>
    <row r="3758" spans="1:37" ht="36.75" customHeight="1" x14ac:dyDescent="0.35">
      <c r="A3758" s="21" t="s">
        <v>12448</v>
      </c>
      <c r="B3758" s="5" t="s">
        <v>887</v>
      </c>
      <c r="C3758" s="73" t="str">
        <f t="shared" si="72"/>
        <v>Open</v>
      </c>
      <c r="D3758" s="47" t="s">
        <v>43430</v>
      </c>
      <c r="E3758" s="85" t="s">
        <v>43431</v>
      </c>
      <c r="F3758" s="85" t="s">
        <v>17537</v>
      </c>
      <c r="G3758" s="9">
        <f>DATE(2024,5,7)</f>
        <v>45419</v>
      </c>
      <c r="H3758" s="107">
        <v>1.40625</v>
      </c>
      <c r="I3758" s="85" t="s">
        <v>97</v>
      </c>
      <c r="J3758" s="85" t="s">
        <v>43432</v>
      </c>
      <c r="K3758" s="85" t="s">
        <v>818</v>
      </c>
      <c r="L3758" s="85" t="s">
        <v>43433</v>
      </c>
      <c r="M3758" s="85" t="s">
        <v>45</v>
      </c>
      <c r="N3758" s="85" t="s">
        <v>123</v>
      </c>
      <c r="O3758" s="85" t="s">
        <v>46</v>
      </c>
      <c r="P3758" s="85" t="s">
        <v>60</v>
      </c>
      <c r="Q3758" s="85" t="s">
        <v>43434</v>
      </c>
      <c r="R3758" s="85" t="s">
        <v>821</v>
      </c>
      <c r="S3758" s="85">
        <v>0</v>
      </c>
      <c r="T3758" s="85">
        <v>0</v>
      </c>
      <c r="U3758" s="85">
        <v>0</v>
      </c>
      <c r="V3758" s="85">
        <v>0</v>
      </c>
      <c r="W3758" s="85">
        <v>0</v>
      </c>
      <c r="X3758" s="85">
        <v>0</v>
      </c>
      <c r="Y3758" s="85">
        <v>0</v>
      </c>
      <c r="Z3758" s="85">
        <v>1</v>
      </c>
      <c r="AA3758" s="85">
        <v>0</v>
      </c>
      <c r="AB3758" s="85">
        <v>0</v>
      </c>
      <c r="AC3758" s="85">
        <v>0</v>
      </c>
      <c r="AD3758" s="85">
        <v>1</v>
      </c>
      <c r="AE3758" s="85" t="s">
        <v>375</v>
      </c>
      <c r="AF3758" s="85" t="s">
        <v>43435</v>
      </c>
      <c r="AG3758" s="85" t="s">
        <v>13508</v>
      </c>
      <c r="AH3758" s="43">
        <v>45419</v>
      </c>
      <c r="AI3758" s="85"/>
      <c r="AJ3758" s="85"/>
      <c r="AK3758" s="85"/>
    </row>
    <row r="3759" spans="1:37" ht="36.75" customHeight="1" x14ac:dyDescent="0.35">
      <c r="A3759" s="21" t="s">
        <v>12448</v>
      </c>
      <c r="B3759" s="5" t="s">
        <v>887</v>
      </c>
      <c r="C3759" s="73" t="str">
        <f t="shared" si="72"/>
        <v>Open</v>
      </c>
      <c r="D3759" s="47" t="s">
        <v>43436</v>
      </c>
      <c r="E3759" s="85" t="s">
        <v>43437</v>
      </c>
      <c r="F3759" s="85" t="s">
        <v>17537</v>
      </c>
      <c r="G3759" s="9">
        <f>DATE(2024,5,8)</f>
        <v>45420</v>
      </c>
      <c r="H3759" s="107">
        <v>1.9583333333333335</v>
      </c>
      <c r="I3759" s="85" t="s">
        <v>2244</v>
      </c>
      <c r="J3759" s="85" t="s">
        <v>43438</v>
      </c>
      <c r="K3759" s="85" t="s">
        <v>818</v>
      </c>
      <c r="L3759" s="85" t="s">
        <v>43439</v>
      </c>
      <c r="M3759" s="85" t="s">
        <v>45</v>
      </c>
      <c r="N3759" s="85" t="s">
        <v>80</v>
      </c>
      <c r="O3759" s="85" t="s">
        <v>59</v>
      </c>
      <c r="P3759" s="85" t="s">
        <v>146</v>
      </c>
      <c r="Q3759" s="85" t="s">
        <v>43440</v>
      </c>
      <c r="R3759" s="85" t="s">
        <v>821</v>
      </c>
      <c r="S3759" s="85">
        <v>0</v>
      </c>
      <c r="T3759" s="85">
        <v>0</v>
      </c>
      <c r="U3759" s="85">
        <v>0</v>
      </c>
      <c r="V3759" s="85">
        <v>0</v>
      </c>
      <c r="W3759" s="85">
        <v>0</v>
      </c>
      <c r="X3759" s="85">
        <v>0</v>
      </c>
      <c r="Y3759" s="85">
        <v>0</v>
      </c>
      <c r="Z3759" s="85">
        <v>0</v>
      </c>
      <c r="AA3759" s="85">
        <v>0</v>
      </c>
      <c r="AB3759" s="85">
        <v>0</v>
      </c>
      <c r="AC3759" s="85">
        <v>0</v>
      </c>
      <c r="AD3759" s="85">
        <v>0</v>
      </c>
      <c r="AE3759" s="85" t="s">
        <v>73</v>
      </c>
      <c r="AF3759" s="85" t="s">
        <v>43441</v>
      </c>
      <c r="AG3759" s="85" t="s">
        <v>13508</v>
      </c>
      <c r="AH3759" s="43">
        <v>45420</v>
      </c>
      <c r="AI3759" s="85"/>
      <c r="AJ3759" s="85"/>
      <c r="AK3759" s="85"/>
    </row>
    <row r="3760" spans="1:37" ht="36.75" customHeight="1" x14ac:dyDescent="0.35">
      <c r="A3760" s="21" t="s">
        <v>12448</v>
      </c>
      <c r="B3760" s="5" t="s">
        <v>887</v>
      </c>
      <c r="C3760" s="73" t="str">
        <f t="shared" si="72"/>
        <v>Open</v>
      </c>
      <c r="D3760" s="47" t="s">
        <v>43453</v>
      </c>
      <c r="E3760" s="85" t="s">
        <v>43454</v>
      </c>
      <c r="F3760" s="85" t="s">
        <v>17638</v>
      </c>
      <c r="G3760" s="9">
        <f>DATE(2024,5,15)</f>
        <v>45427</v>
      </c>
      <c r="H3760" s="107">
        <v>1.8506944444444446</v>
      </c>
      <c r="I3760" s="85" t="s">
        <v>106</v>
      </c>
      <c r="J3760" s="85" t="s">
        <v>43455</v>
      </c>
      <c r="K3760" s="85" t="s">
        <v>1555</v>
      </c>
      <c r="L3760" s="85" t="s">
        <v>43456</v>
      </c>
      <c r="M3760" s="85" t="s">
        <v>45</v>
      </c>
      <c r="N3760" s="85" t="s">
        <v>123</v>
      </c>
      <c r="O3760" s="85" t="s">
        <v>46</v>
      </c>
      <c r="P3760" s="85" t="s">
        <v>60</v>
      </c>
      <c r="Q3760" s="85" t="s">
        <v>19623</v>
      </c>
      <c r="R3760" s="85" t="s">
        <v>18956</v>
      </c>
      <c r="S3760" s="85">
        <v>0</v>
      </c>
      <c r="T3760" s="85">
        <v>0</v>
      </c>
      <c r="U3760" s="85">
        <v>0</v>
      </c>
      <c r="V3760" s="85">
        <v>0</v>
      </c>
      <c r="W3760" s="85">
        <v>0</v>
      </c>
      <c r="X3760" s="85">
        <v>0</v>
      </c>
      <c r="Y3760" s="85">
        <v>0</v>
      </c>
      <c r="Z3760" s="85">
        <v>0</v>
      </c>
      <c r="AA3760" s="85">
        <v>0</v>
      </c>
      <c r="AB3760" s="85">
        <v>0</v>
      </c>
      <c r="AC3760" s="85">
        <v>0</v>
      </c>
      <c r="AD3760" s="85">
        <v>0</v>
      </c>
      <c r="AE3760" s="85" t="s">
        <v>73</v>
      </c>
      <c r="AF3760" s="85" t="s">
        <v>43457</v>
      </c>
      <c r="AG3760" s="85" t="s">
        <v>8837</v>
      </c>
      <c r="AH3760" s="43">
        <v>45432</v>
      </c>
      <c r="AI3760" s="85"/>
      <c r="AJ3760" s="85"/>
      <c r="AK3760" s="85"/>
    </row>
    <row r="3761" spans="1:37" ht="36.75" customHeight="1" x14ac:dyDescent="0.35">
      <c r="A3761" s="21" t="s">
        <v>12448</v>
      </c>
      <c r="B3761" s="5" t="s">
        <v>887</v>
      </c>
      <c r="C3761" s="73" t="str">
        <f t="shared" si="72"/>
        <v>Open</v>
      </c>
      <c r="D3761" s="47" t="s">
        <v>43459</v>
      </c>
      <c r="E3761" s="85" t="s">
        <v>43458</v>
      </c>
      <c r="F3761" s="85" t="s">
        <v>17018</v>
      </c>
      <c r="G3761" s="9">
        <f>DATE(2024,5,1)</f>
        <v>45413</v>
      </c>
      <c r="H3761" s="107">
        <v>1.4409722222222223</v>
      </c>
      <c r="I3761" s="85" t="s">
        <v>55</v>
      </c>
      <c r="J3761" s="85" t="s">
        <v>43460</v>
      </c>
      <c r="K3761" s="85" t="s">
        <v>2318</v>
      </c>
      <c r="L3761" s="85" t="s">
        <v>43461</v>
      </c>
      <c r="M3761" s="85" t="s">
        <v>45</v>
      </c>
      <c r="N3761" s="85" t="s">
        <v>80</v>
      </c>
      <c r="O3761" s="85" t="s">
        <v>59</v>
      </c>
      <c r="P3761" s="85" t="s">
        <v>60</v>
      </c>
      <c r="Q3761" s="85" t="s">
        <v>43462</v>
      </c>
      <c r="R3761" s="85" t="s">
        <v>2321</v>
      </c>
      <c r="S3761" s="85">
        <v>0</v>
      </c>
      <c r="T3761" s="85">
        <v>0</v>
      </c>
      <c r="U3761" s="85">
        <v>0</v>
      </c>
      <c r="V3761" s="85">
        <v>0</v>
      </c>
      <c r="W3761" s="85">
        <v>0</v>
      </c>
      <c r="X3761" s="85">
        <v>0</v>
      </c>
      <c r="Y3761" s="85">
        <v>0</v>
      </c>
      <c r="Z3761" s="85">
        <v>0</v>
      </c>
      <c r="AA3761" s="85">
        <v>0</v>
      </c>
      <c r="AB3761" s="85">
        <v>0</v>
      </c>
      <c r="AC3761" s="85">
        <v>0</v>
      </c>
      <c r="AD3761" s="85">
        <v>0</v>
      </c>
      <c r="AE3761" s="85" t="s">
        <v>375</v>
      </c>
      <c r="AF3761" s="85" t="s">
        <v>43463</v>
      </c>
      <c r="AG3761" s="85" t="s">
        <v>13508</v>
      </c>
      <c r="AH3761" s="43">
        <v>45428</v>
      </c>
      <c r="AI3761" s="85"/>
      <c r="AJ3761" s="85"/>
      <c r="AK3761" s="85"/>
    </row>
    <row r="3762" spans="1:37" ht="36.75" customHeight="1" x14ac:dyDescent="0.35">
      <c r="A3762" s="21" t="s">
        <v>12448</v>
      </c>
      <c r="B3762" s="5" t="s">
        <v>887</v>
      </c>
      <c r="C3762" s="73" t="str">
        <f t="shared" si="72"/>
        <v>Open</v>
      </c>
      <c r="D3762" s="47" t="s">
        <v>43469</v>
      </c>
      <c r="E3762" s="85" t="s">
        <v>43466</v>
      </c>
      <c r="F3762" s="85" t="s">
        <v>16397</v>
      </c>
      <c r="G3762" s="9">
        <f>DATE(2024,5,21)</f>
        <v>45433</v>
      </c>
      <c r="H3762" s="107">
        <v>1.7201388888888891</v>
      </c>
      <c r="I3762" s="85" t="s">
        <v>97</v>
      </c>
      <c r="J3762" s="85" t="s">
        <v>43464</v>
      </c>
      <c r="K3762" s="85" t="s">
        <v>406</v>
      </c>
      <c r="L3762" s="85" t="s">
        <v>43465</v>
      </c>
      <c r="M3762" s="85" t="s">
        <v>45</v>
      </c>
      <c r="N3762" s="85" t="s">
        <v>80</v>
      </c>
      <c r="O3762" s="85" t="s">
        <v>46</v>
      </c>
      <c r="P3762" s="85" t="s">
        <v>43467</v>
      </c>
      <c r="Q3762" s="85" t="s">
        <v>18565</v>
      </c>
      <c r="R3762" s="85" t="s">
        <v>17330</v>
      </c>
      <c r="S3762" s="85">
        <v>0</v>
      </c>
      <c r="T3762" s="85">
        <v>0</v>
      </c>
      <c r="U3762" s="85">
        <v>2</v>
      </c>
      <c r="V3762" s="85">
        <v>0</v>
      </c>
      <c r="W3762" s="85">
        <v>0</v>
      </c>
      <c r="X3762" s="85">
        <v>2</v>
      </c>
      <c r="Y3762" s="85">
        <v>0</v>
      </c>
      <c r="Z3762" s="85">
        <v>0</v>
      </c>
      <c r="AA3762" s="85">
        <v>0</v>
      </c>
      <c r="AB3762" s="85">
        <v>0</v>
      </c>
      <c r="AC3762" s="85">
        <v>0</v>
      </c>
      <c r="AD3762" s="85">
        <v>0</v>
      </c>
      <c r="AE3762" s="85" t="s">
        <v>73</v>
      </c>
      <c r="AF3762" s="85" t="s">
        <v>43468</v>
      </c>
      <c r="AG3762" s="85" t="s">
        <v>16251</v>
      </c>
      <c r="AH3762" s="43">
        <v>45433</v>
      </c>
      <c r="AI3762" s="85"/>
      <c r="AJ3762" s="85"/>
      <c r="AK3762" s="85"/>
    </row>
    <row r="3763" spans="1:37" ht="36.75" customHeight="1" x14ac:dyDescent="0.35">
      <c r="A3763" s="21" t="s">
        <v>12448</v>
      </c>
      <c r="B3763" s="5" t="s">
        <v>887</v>
      </c>
      <c r="C3763" s="73" t="str">
        <f t="shared" si="72"/>
        <v>Open</v>
      </c>
      <c r="D3763" s="47" t="s">
        <v>43488</v>
      </c>
      <c r="E3763" s="85" t="s">
        <v>43489</v>
      </c>
      <c r="F3763" s="85" t="s">
        <v>12887</v>
      </c>
      <c r="G3763" s="9">
        <f>DATE(2024,5,12)</f>
        <v>45424</v>
      </c>
      <c r="H3763" s="107">
        <v>1.0208333333333333</v>
      </c>
      <c r="I3763" s="85" t="s">
        <v>259</v>
      </c>
      <c r="J3763" s="85" t="s">
        <v>43490</v>
      </c>
      <c r="K3763" s="85" t="s">
        <v>434</v>
      </c>
      <c r="L3763" s="85" t="s">
        <v>43491</v>
      </c>
      <c r="M3763" s="85" t="s">
        <v>45</v>
      </c>
      <c r="N3763" s="85" t="s">
        <v>123</v>
      </c>
      <c r="O3763" s="85" t="s">
        <v>59</v>
      </c>
      <c r="P3763" s="85" t="s">
        <v>6881</v>
      </c>
      <c r="Q3763" s="85" t="s">
        <v>43492</v>
      </c>
      <c r="R3763" s="85" t="s">
        <v>553</v>
      </c>
      <c r="S3763" s="85"/>
      <c r="T3763" s="85"/>
      <c r="U3763" s="85"/>
      <c r="V3763" s="85"/>
      <c r="W3763" s="85"/>
      <c r="X3763" s="85">
        <v>1</v>
      </c>
      <c r="Y3763" s="85"/>
      <c r="Z3763" s="85"/>
      <c r="AA3763" s="85"/>
      <c r="AB3763" s="85"/>
      <c r="AC3763" s="85"/>
      <c r="AD3763" s="85">
        <v>0</v>
      </c>
      <c r="AE3763" s="85" t="s">
        <v>73</v>
      </c>
      <c r="AF3763" s="85" t="s">
        <v>10534</v>
      </c>
      <c r="AG3763" s="85" t="s">
        <v>6438</v>
      </c>
      <c r="AH3763" s="43">
        <v>45436</v>
      </c>
      <c r="AI3763" s="85"/>
      <c r="AJ3763" s="85"/>
      <c r="AK3763" s="85"/>
    </row>
    <row r="3764" spans="1:37" ht="36.75" customHeight="1" x14ac:dyDescent="0.35">
      <c r="A3764" s="21" t="s">
        <v>12448</v>
      </c>
      <c r="B3764" s="5" t="s">
        <v>887</v>
      </c>
      <c r="C3764" s="73" t="str">
        <f t="shared" si="72"/>
        <v>Open</v>
      </c>
      <c r="D3764" s="47" t="s">
        <v>43514</v>
      </c>
      <c r="E3764" s="85" t="s">
        <v>43515</v>
      </c>
      <c r="F3764" s="85" t="s">
        <v>12887</v>
      </c>
      <c r="G3764" s="9">
        <f>DATE(2024,3,27)</f>
        <v>45378</v>
      </c>
      <c r="H3764" s="107">
        <v>1.78125</v>
      </c>
      <c r="I3764" s="85" t="s">
        <v>2244</v>
      </c>
      <c r="J3764" s="85" t="s">
        <v>43516</v>
      </c>
      <c r="K3764" s="85" t="s">
        <v>434</v>
      </c>
      <c r="L3764" s="85" t="s">
        <v>43517</v>
      </c>
      <c r="M3764" s="85" t="s">
        <v>45</v>
      </c>
      <c r="N3764" s="85" t="s">
        <v>80</v>
      </c>
      <c r="O3764" s="85" t="s">
        <v>59</v>
      </c>
      <c r="P3764" s="85" t="s">
        <v>146</v>
      </c>
      <c r="Q3764" s="85" t="s">
        <v>43518</v>
      </c>
      <c r="R3764" s="85" t="s">
        <v>43518</v>
      </c>
      <c r="S3764" s="85"/>
      <c r="T3764" s="85"/>
      <c r="U3764" s="85"/>
      <c r="V3764" s="85"/>
      <c r="W3764" s="85"/>
      <c r="X3764" s="85">
        <v>0</v>
      </c>
      <c r="Y3764" s="85"/>
      <c r="Z3764" s="85"/>
      <c r="AA3764" s="85"/>
      <c r="AB3764" s="85"/>
      <c r="AC3764" s="85"/>
      <c r="AD3764" s="85">
        <v>0</v>
      </c>
      <c r="AE3764" s="85" t="s">
        <v>73</v>
      </c>
      <c r="AF3764" s="85" t="s">
        <v>693</v>
      </c>
      <c r="AG3764" s="85" t="s">
        <v>13508</v>
      </c>
      <c r="AH3764" s="43">
        <v>45439</v>
      </c>
      <c r="AI3764" s="85"/>
      <c r="AJ3764" s="85"/>
      <c r="AK3764" s="85"/>
    </row>
    <row r="3765" spans="1:37" ht="36.75" customHeight="1" x14ac:dyDescent="0.35">
      <c r="A3765" s="21" t="s">
        <v>12448</v>
      </c>
      <c r="B3765" s="5" t="s">
        <v>887</v>
      </c>
      <c r="C3765" s="73" t="str">
        <f t="shared" ref="C3765" si="73">IF(B3765="Notification","Open",IF(B3765="Interim Statement","In progress","Closed"))</f>
        <v>Open</v>
      </c>
      <c r="D3765" s="47" t="s">
        <v>43519</v>
      </c>
      <c r="E3765" s="85" t="s">
        <v>43522</v>
      </c>
      <c r="F3765" s="85" t="s">
        <v>17728</v>
      </c>
      <c r="G3765" s="9">
        <f>DATE(2024,5,28)</f>
        <v>45440</v>
      </c>
      <c r="H3765" s="107">
        <v>1.6909722222222223</v>
      </c>
      <c r="I3765" s="85" t="s">
        <v>179</v>
      </c>
      <c r="J3765" s="85" t="s">
        <v>43520</v>
      </c>
      <c r="K3765" s="85" t="s">
        <v>2583</v>
      </c>
      <c r="L3765" s="85" t="s">
        <v>43521</v>
      </c>
      <c r="M3765" s="85" t="s">
        <v>45</v>
      </c>
      <c r="N3765" s="85" t="s">
        <v>80</v>
      </c>
      <c r="O3765" s="85" t="s">
        <v>59</v>
      </c>
      <c r="P3765" s="85" t="s">
        <v>362</v>
      </c>
      <c r="Q3765" s="85" t="s">
        <v>43523</v>
      </c>
      <c r="R3765" s="85" t="s">
        <v>20667</v>
      </c>
      <c r="S3765" s="85"/>
      <c r="T3765" s="85"/>
      <c r="U3765" s="85"/>
      <c r="V3765" s="85"/>
      <c r="W3765" s="85"/>
      <c r="X3765" s="85">
        <v>0</v>
      </c>
      <c r="Y3765" s="85"/>
      <c r="Z3765" s="85"/>
      <c r="AA3765" s="85"/>
      <c r="AB3765" s="85"/>
      <c r="AC3765" s="85"/>
      <c r="AD3765" s="85">
        <v>1</v>
      </c>
      <c r="AE3765" s="85" t="s">
        <v>73</v>
      </c>
      <c r="AF3765" s="85" t="s">
        <v>43524</v>
      </c>
      <c r="AG3765" s="85" t="s">
        <v>8837</v>
      </c>
      <c r="AH3765" s="43">
        <v>45440</v>
      </c>
      <c r="AI3765" s="85"/>
      <c r="AJ3765" s="85"/>
      <c r="AK3765" s="85"/>
    </row>
    <row r="3766" spans="1:37" ht="36.75" customHeight="1" x14ac:dyDescent="0.35">
      <c r="A3766" s="21" t="s">
        <v>12448</v>
      </c>
      <c r="B3766" s="5" t="s">
        <v>887</v>
      </c>
      <c r="C3766" s="73" t="str">
        <f t="shared" ref="C3766" si="74">IF(B3766="Notification","Open",IF(B3766="Interim Statement","In progress","Closed"))</f>
        <v>Open</v>
      </c>
      <c r="D3766" s="47" t="s">
        <v>43530</v>
      </c>
      <c r="E3766" s="85" t="s">
        <v>43525</v>
      </c>
      <c r="F3766" s="85" t="s">
        <v>16397</v>
      </c>
      <c r="G3766" s="9">
        <f>DATE(2024,5,24)</f>
        <v>45436</v>
      </c>
      <c r="H3766" s="107">
        <v>1.4381944444444446</v>
      </c>
      <c r="I3766" s="85" t="s">
        <v>179</v>
      </c>
      <c r="J3766" s="85" t="s">
        <v>43526</v>
      </c>
      <c r="K3766" s="85" t="s">
        <v>406</v>
      </c>
      <c r="L3766" s="85" t="s">
        <v>43527</v>
      </c>
      <c r="M3766" s="85" t="s">
        <v>45</v>
      </c>
      <c r="N3766" s="85" t="s">
        <v>70</v>
      </c>
      <c r="O3766" s="85" t="s">
        <v>59</v>
      </c>
      <c r="P3766" s="85" t="s">
        <v>43528</v>
      </c>
      <c r="Q3766" s="85" t="s">
        <v>18466</v>
      </c>
      <c r="R3766" s="85" t="s">
        <v>17330</v>
      </c>
      <c r="S3766" s="85">
        <v>0</v>
      </c>
      <c r="T3766" s="85">
        <v>0</v>
      </c>
      <c r="U3766" s="85">
        <v>0</v>
      </c>
      <c r="V3766" s="85">
        <v>0</v>
      </c>
      <c r="W3766" s="85">
        <v>0</v>
      </c>
      <c r="X3766" s="85">
        <v>0</v>
      </c>
      <c r="Y3766" s="85">
        <v>0</v>
      </c>
      <c r="Z3766" s="85">
        <v>0</v>
      </c>
      <c r="AA3766" s="85">
        <v>0</v>
      </c>
      <c r="AB3766" s="85">
        <v>0</v>
      </c>
      <c r="AC3766" s="85">
        <v>0</v>
      </c>
      <c r="AD3766" s="85">
        <v>0</v>
      </c>
      <c r="AE3766" s="85" t="s">
        <v>126</v>
      </c>
      <c r="AF3766" s="85" t="s">
        <v>43529</v>
      </c>
      <c r="AG3766" s="85" t="s">
        <v>20989</v>
      </c>
      <c r="AH3766" s="43">
        <v>45436</v>
      </c>
      <c r="AI3766" s="85"/>
      <c r="AJ3766" s="85"/>
      <c r="AK3766" s="85"/>
    </row>
    <row r="3767" spans="1:37" ht="36.75" customHeight="1" x14ac:dyDescent="0.35">
      <c r="A3767" s="21" t="s">
        <v>12448</v>
      </c>
      <c r="B3767" s="5" t="s">
        <v>887</v>
      </c>
      <c r="C3767" s="73" t="str">
        <f t="shared" ref="C3767" si="75">IF(B3767="Notification","Open",IF(B3767="Interim Statement","In progress","Closed"))</f>
        <v>Open</v>
      </c>
      <c r="D3767" s="47" t="s">
        <v>43531</v>
      </c>
      <c r="E3767" s="85" t="s">
        <v>43532</v>
      </c>
      <c r="F3767" s="85" t="s">
        <v>12887</v>
      </c>
      <c r="G3767" s="9">
        <f>DATE(2024,5,15)</f>
        <v>45427</v>
      </c>
      <c r="H3767" s="107">
        <v>1.7847222222222223</v>
      </c>
      <c r="I3767" s="85" t="s">
        <v>67</v>
      </c>
      <c r="J3767" s="85" t="s">
        <v>43533</v>
      </c>
      <c r="K3767" s="85" t="s">
        <v>434</v>
      </c>
      <c r="L3767" s="85" t="s">
        <v>43534</v>
      </c>
      <c r="M3767" s="85" t="s">
        <v>45</v>
      </c>
      <c r="N3767" s="85" t="s">
        <v>70</v>
      </c>
      <c r="O3767" s="85" t="s">
        <v>59</v>
      </c>
      <c r="P3767" s="85" t="s">
        <v>72</v>
      </c>
      <c r="Q3767" s="85" t="s">
        <v>43535</v>
      </c>
      <c r="R3767" s="85" t="s">
        <v>553</v>
      </c>
      <c r="S3767" s="85"/>
      <c r="T3767" s="85"/>
      <c r="U3767" s="85"/>
      <c r="V3767" s="85"/>
      <c r="W3767" s="85"/>
      <c r="X3767" s="85">
        <v>0</v>
      </c>
      <c r="Y3767" s="85"/>
      <c r="Z3767" s="85"/>
      <c r="AA3767" s="85"/>
      <c r="AB3767" s="85"/>
      <c r="AC3767" s="85"/>
      <c r="AD3767" s="85">
        <v>0</v>
      </c>
      <c r="AE3767" s="85" t="s">
        <v>73</v>
      </c>
      <c r="AF3767" s="85" t="s">
        <v>43536</v>
      </c>
      <c r="AG3767" s="85" t="s">
        <v>8837</v>
      </c>
      <c r="AH3767" s="43">
        <v>45446</v>
      </c>
      <c r="AI3767" s="85"/>
      <c r="AJ3767" s="85"/>
      <c r="AK3767" s="85"/>
    </row>
    <row r="3768" spans="1:37" ht="36.75" customHeight="1" x14ac:dyDescent="0.35">
      <c r="A3768" s="21" t="s">
        <v>12448</v>
      </c>
      <c r="B3768" s="5" t="s">
        <v>887</v>
      </c>
      <c r="C3768" s="73" t="str">
        <f t="shared" ref="C3768" si="76">IF(B3768="Notification","Open",IF(B3768="Interim Statement","In progress","Closed"))</f>
        <v>Open</v>
      </c>
      <c r="D3768" s="47" t="s">
        <v>43537</v>
      </c>
      <c r="E3768" s="85" t="s">
        <v>43538</v>
      </c>
      <c r="F3768" s="85" t="s">
        <v>14722</v>
      </c>
      <c r="G3768" s="9">
        <f>DATE(2024,5,24)</f>
        <v>45436</v>
      </c>
      <c r="H3768" s="107">
        <v>1.3854166666666667</v>
      </c>
      <c r="I3768" s="85" t="s">
        <v>468</v>
      </c>
      <c r="J3768" s="85" t="s">
        <v>43539</v>
      </c>
      <c r="K3768" s="85" t="s">
        <v>1753</v>
      </c>
      <c r="L3768" s="85" t="s">
        <v>43540</v>
      </c>
      <c r="M3768" s="85" t="s">
        <v>45</v>
      </c>
      <c r="N3768" s="85" t="s">
        <v>123</v>
      </c>
      <c r="O3768" s="85" t="s">
        <v>59</v>
      </c>
      <c r="P3768" s="85" t="s">
        <v>146</v>
      </c>
      <c r="Q3768" s="85" t="s">
        <v>18451</v>
      </c>
      <c r="R3768" s="85" t="s">
        <v>1756</v>
      </c>
      <c r="S3768" s="85">
        <v>0</v>
      </c>
      <c r="T3768" s="85">
        <v>0</v>
      </c>
      <c r="U3768" s="85">
        <v>0</v>
      </c>
      <c r="V3768" s="85">
        <v>0</v>
      </c>
      <c r="W3768" s="85">
        <v>0</v>
      </c>
      <c r="X3768" s="85">
        <v>0</v>
      </c>
      <c r="Y3768" s="85">
        <v>0</v>
      </c>
      <c r="Z3768" s="85">
        <v>0</v>
      </c>
      <c r="AA3768" s="85">
        <v>0</v>
      </c>
      <c r="AB3768" s="85">
        <v>0</v>
      </c>
      <c r="AC3768" s="85">
        <v>0</v>
      </c>
      <c r="AD3768" s="85">
        <v>0</v>
      </c>
      <c r="AE3768" s="85" t="s">
        <v>73</v>
      </c>
      <c r="AF3768" s="85" t="s">
        <v>43541</v>
      </c>
      <c r="AG3768" s="85" t="s">
        <v>8837</v>
      </c>
      <c r="AH3768" s="43">
        <v>45439</v>
      </c>
      <c r="AI3768" s="85"/>
      <c r="AJ3768" s="85"/>
      <c r="AK3768" s="85"/>
    </row>
    <row r="3769" spans="1:37" ht="36.75" customHeight="1" x14ac:dyDescent="0.35">
      <c r="A3769" s="21" t="s">
        <v>12448</v>
      </c>
      <c r="B3769" s="5" t="s">
        <v>887</v>
      </c>
      <c r="C3769" s="73" t="str">
        <f t="shared" ref="C3769" si="77">IF(B3769="Notification","Open",IF(B3769="Interim Statement","In progress","Closed"))</f>
        <v>Open</v>
      </c>
      <c r="D3769" s="47" t="s">
        <v>43556</v>
      </c>
      <c r="E3769" s="85" t="s">
        <v>43557</v>
      </c>
      <c r="F3769" s="85" t="s">
        <v>16397</v>
      </c>
      <c r="G3769" s="9">
        <f>DATE(2024,6,5)</f>
        <v>45448</v>
      </c>
      <c r="H3769" s="107">
        <v>1.9506944444444443</v>
      </c>
      <c r="I3769" s="85" t="s">
        <v>179</v>
      </c>
      <c r="J3769" s="85" t="s">
        <v>43558</v>
      </c>
      <c r="K3769" s="85" t="s">
        <v>406</v>
      </c>
      <c r="L3769" s="85" t="s">
        <v>43559</v>
      </c>
      <c r="M3769" s="85" t="s">
        <v>45</v>
      </c>
      <c r="N3769" s="85" t="s">
        <v>123</v>
      </c>
      <c r="O3769" s="85" t="s">
        <v>59</v>
      </c>
      <c r="P3769" s="85" t="s">
        <v>43560</v>
      </c>
      <c r="Q3769" s="85" t="s">
        <v>43561</v>
      </c>
      <c r="R3769" s="85" t="s">
        <v>17330</v>
      </c>
      <c r="S3769" s="85">
        <v>4</v>
      </c>
      <c r="T3769" s="85">
        <v>0</v>
      </c>
      <c r="U3769" s="85">
        <v>0</v>
      </c>
      <c r="V3769" s="85">
        <v>0</v>
      </c>
      <c r="W3769" s="85">
        <v>0</v>
      </c>
      <c r="X3769" s="85">
        <v>4</v>
      </c>
      <c r="Y3769" s="85">
        <v>6</v>
      </c>
      <c r="Z3769" s="85">
        <v>0</v>
      </c>
      <c r="AA3769" s="85">
        <v>0</v>
      </c>
      <c r="AB3769" s="85">
        <v>0</v>
      </c>
      <c r="AC3769" s="85">
        <v>0</v>
      </c>
      <c r="AD3769" s="85">
        <v>6</v>
      </c>
      <c r="AE3769" s="85" t="s">
        <v>126</v>
      </c>
      <c r="AF3769" s="85" t="s">
        <v>43562</v>
      </c>
      <c r="AG3769" s="85" t="s">
        <v>6438</v>
      </c>
      <c r="AH3769" s="43">
        <v>45448</v>
      </c>
      <c r="AI3769" s="85"/>
      <c r="AJ3769" s="85"/>
      <c r="AK3769" s="85"/>
    </row>
    <row r="3770" spans="1:37" ht="36.75" customHeight="1" x14ac:dyDescent="0.35">
      <c r="A3770" s="21" t="s">
        <v>12448</v>
      </c>
      <c r="B3770" s="5" t="s">
        <v>887</v>
      </c>
      <c r="C3770" s="73" t="str">
        <f t="shared" ref="C3770" si="78">IF(B3770="Notification","Open",IF(B3770="Interim Statement","In progress","Closed"))</f>
        <v>Open</v>
      </c>
      <c r="D3770" s="47" t="s">
        <v>43570</v>
      </c>
      <c r="E3770" s="85" t="s">
        <v>43571</v>
      </c>
      <c r="F3770" s="85" t="s">
        <v>17537</v>
      </c>
      <c r="G3770" s="9">
        <f>DATE(2024,6,7)</f>
        <v>45450</v>
      </c>
      <c r="H3770" s="107">
        <v>1.8055555555555554</v>
      </c>
      <c r="I3770" s="85" t="s">
        <v>4590</v>
      </c>
      <c r="J3770" s="85" t="s">
        <v>43572</v>
      </c>
      <c r="K3770" s="85" t="s">
        <v>818</v>
      </c>
      <c r="L3770" s="85" t="s">
        <v>43573</v>
      </c>
      <c r="M3770" s="85" t="s">
        <v>45</v>
      </c>
      <c r="N3770" s="85" t="s">
        <v>123</v>
      </c>
      <c r="O3770" s="85" t="s">
        <v>59</v>
      </c>
      <c r="P3770" s="85" t="s">
        <v>146</v>
      </c>
      <c r="Q3770" s="85" t="s">
        <v>18286</v>
      </c>
      <c r="R3770" s="85" t="s">
        <v>821</v>
      </c>
      <c r="S3770" s="85">
        <v>0</v>
      </c>
      <c r="T3770" s="85">
        <v>0</v>
      </c>
      <c r="U3770" s="85">
        <v>0</v>
      </c>
      <c r="V3770" s="85">
        <v>0</v>
      </c>
      <c r="W3770" s="85">
        <v>0</v>
      </c>
      <c r="X3770" s="85">
        <v>0</v>
      </c>
      <c r="Y3770" s="85">
        <v>0</v>
      </c>
      <c r="Z3770" s="85">
        <v>0</v>
      </c>
      <c r="AA3770" s="85">
        <v>0</v>
      </c>
      <c r="AB3770" s="85">
        <v>0</v>
      </c>
      <c r="AC3770" s="85">
        <v>0</v>
      </c>
      <c r="AD3770" s="85">
        <v>0</v>
      </c>
      <c r="AE3770" s="85" t="s">
        <v>73</v>
      </c>
      <c r="AF3770" s="85" t="s">
        <v>43574</v>
      </c>
      <c r="AG3770" s="85" t="s">
        <v>13508</v>
      </c>
      <c r="AH3770" s="43">
        <v>45419</v>
      </c>
      <c r="AI3770" s="85"/>
      <c r="AJ3770" s="85"/>
      <c r="AK3770" s="85"/>
    </row>
    <row r="3771" spans="1:37" ht="36.75" customHeight="1" x14ac:dyDescent="0.35">
      <c r="A3771" s="21" t="s">
        <v>12448</v>
      </c>
      <c r="B3771" s="5" t="s">
        <v>887</v>
      </c>
      <c r="C3771" s="73" t="str">
        <f t="shared" ref="C3771" si="79">IF(B3771="Notification","Open",IF(B3771="Interim Statement","In progress","Closed"))</f>
        <v>Open</v>
      </c>
      <c r="D3771" s="47" t="s">
        <v>43575</v>
      </c>
      <c r="E3771" s="85" t="s">
        <v>43576</v>
      </c>
      <c r="F3771" s="85" t="s">
        <v>16397</v>
      </c>
      <c r="G3771" s="9">
        <f>DATE(2024,6,9)</f>
        <v>45452</v>
      </c>
      <c r="H3771" s="107">
        <v>1.6944444444444446</v>
      </c>
      <c r="I3771" s="85" t="s">
        <v>137</v>
      </c>
      <c r="J3771" s="85" t="s">
        <v>43577</v>
      </c>
      <c r="K3771" s="85" t="s">
        <v>406</v>
      </c>
      <c r="L3771" s="85" t="s">
        <v>43578</v>
      </c>
      <c r="M3771" s="85" t="s">
        <v>45</v>
      </c>
      <c r="N3771" s="85" t="s">
        <v>80</v>
      </c>
      <c r="O3771" s="85" t="s">
        <v>59</v>
      </c>
      <c r="P3771" s="85" t="s">
        <v>146</v>
      </c>
      <c r="Q3771" s="85" t="s">
        <v>18466</v>
      </c>
      <c r="R3771" s="85" t="s">
        <v>17330</v>
      </c>
      <c r="S3771" s="85">
        <v>0</v>
      </c>
      <c r="T3771" s="85">
        <v>0</v>
      </c>
      <c r="U3771" s="85">
        <v>0</v>
      </c>
      <c r="V3771" s="85">
        <v>0</v>
      </c>
      <c r="W3771" s="85">
        <v>0</v>
      </c>
      <c r="X3771" s="85">
        <v>0</v>
      </c>
      <c r="Y3771" s="85">
        <v>0</v>
      </c>
      <c r="Z3771" s="85">
        <v>0</v>
      </c>
      <c r="AA3771" s="85">
        <v>0</v>
      </c>
      <c r="AB3771" s="85">
        <v>0</v>
      </c>
      <c r="AC3771" s="85">
        <v>0</v>
      </c>
      <c r="AD3771" s="85">
        <v>0</v>
      </c>
      <c r="AE3771" s="85" t="s">
        <v>73</v>
      </c>
      <c r="AF3771" s="85" t="s">
        <v>43579</v>
      </c>
      <c r="AG3771" s="85" t="s">
        <v>20617</v>
      </c>
      <c r="AH3771" s="43">
        <v>45452</v>
      </c>
      <c r="AI3771" s="85"/>
      <c r="AJ3771" s="85"/>
      <c r="AK3771" s="85"/>
    </row>
    <row r="3772" spans="1:37" ht="36.75" customHeight="1" x14ac:dyDescent="0.35">
      <c r="A3772" s="21" t="s">
        <v>12448</v>
      </c>
      <c r="B3772" s="5" t="s">
        <v>887</v>
      </c>
      <c r="C3772" s="73" t="str">
        <f t="shared" ref="C3772" si="80">IF(B3772="Notification","Open",IF(B3772="Interim Statement","In progress","Closed"))</f>
        <v>Open</v>
      </c>
      <c r="D3772" s="47" t="s">
        <v>43580</v>
      </c>
      <c r="E3772" s="85" t="s">
        <v>43581</v>
      </c>
      <c r="F3772" s="85" t="s">
        <v>17728</v>
      </c>
      <c r="G3772" s="9">
        <f>DATE(2024,6,6)</f>
        <v>45449</v>
      </c>
      <c r="H3772" s="107">
        <v>1.9201388888888888</v>
      </c>
      <c r="I3772" s="85" t="s">
        <v>259</v>
      </c>
      <c r="J3772" s="85" t="s">
        <v>43582</v>
      </c>
      <c r="K3772" s="85" t="s">
        <v>2583</v>
      </c>
      <c r="L3772" s="85" t="s">
        <v>43583</v>
      </c>
      <c r="M3772" s="85" t="s">
        <v>45</v>
      </c>
      <c r="N3772" s="85" t="s">
        <v>123</v>
      </c>
      <c r="O3772" s="85" t="s">
        <v>46</v>
      </c>
      <c r="P3772" s="85" t="s">
        <v>47</v>
      </c>
      <c r="Q3772" s="85" t="s">
        <v>43584</v>
      </c>
      <c r="R3772" s="85" t="s">
        <v>20667</v>
      </c>
      <c r="S3772" s="85"/>
      <c r="T3772" s="85">
        <v>1</v>
      </c>
      <c r="U3772" s="85"/>
      <c r="V3772" s="85"/>
      <c r="W3772" s="85"/>
      <c r="X3772" s="85">
        <v>1</v>
      </c>
      <c r="Y3772" s="85"/>
      <c r="Z3772" s="85">
        <v>1</v>
      </c>
      <c r="AA3772" s="85"/>
      <c r="AB3772" s="85"/>
      <c r="AC3772" s="85"/>
      <c r="AD3772" s="85">
        <v>1</v>
      </c>
      <c r="AE3772" s="85" t="s">
        <v>73</v>
      </c>
      <c r="AF3772" s="85" t="s">
        <v>43585</v>
      </c>
      <c r="AG3772" s="85" t="s">
        <v>6438</v>
      </c>
      <c r="AH3772" s="43">
        <v>45449</v>
      </c>
      <c r="AI3772" s="85"/>
      <c r="AJ3772" s="85"/>
      <c r="AK3772" s="85"/>
    </row>
    <row r="3773" spans="1:37" ht="36.75" customHeight="1" x14ac:dyDescent="0.35">
      <c r="A3773" s="21" t="s">
        <v>12448</v>
      </c>
      <c r="B3773" s="5" t="s">
        <v>887</v>
      </c>
      <c r="C3773" s="73" t="str">
        <f t="shared" ref="C3773" si="81">IF(B3773="Notification","Open",IF(B3773="Interim Statement","In progress","Closed"))</f>
        <v>Open</v>
      </c>
      <c r="D3773" s="47" t="s">
        <v>43586</v>
      </c>
      <c r="E3773" s="85" t="s">
        <v>43588</v>
      </c>
      <c r="F3773" s="85" t="s">
        <v>17728</v>
      </c>
      <c r="G3773" s="9">
        <f>DATE(2024,6,11)</f>
        <v>45454</v>
      </c>
      <c r="H3773" s="107">
        <v>1.6111111111111112</v>
      </c>
      <c r="I3773" s="85" t="s">
        <v>55</v>
      </c>
      <c r="J3773" s="85" t="s">
        <v>43587</v>
      </c>
      <c r="K3773" s="85" t="s">
        <v>2583</v>
      </c>
      <c r="L3773" s="85" t="s">
        <v>43589</v>
      </c>
      <c r="M3773" s="85" t="s">
        <v>45</v>
      </c>
      <c r="N3773" s="85" t="s">
        <v>80</v>
      </c>
      <c r="O3773" s="85" t="s">
        <v>46</v>
      </c>
      <c r="P3773" s="85" t="s">
        <v>6881</v>
      </c>
      <c r="Q3773" s="85" t="s">
        <v>43584</v>
      </c>
      <c r="R3773" s="85" t="s">
        <v>20667</v>
      </c>
      <c r="S3773" s="85"/>
      <c r="T3773" s="85"/>
      <c r="U3773" s="85"/>
      <c r="V3773" s="85"/>
      <c r="W3773" s="85"/>
      <c r="X3773" s="85">
        <v>0</v>
      </c>
      <c r="Y3773" s="85"/>
      <c r="Z3773" s="85"/>
      <c r="AA3773" s="85"/>
      <c r="AB3773" s="85"/>
      <c r="AC3773" s="85"/>
      <c r="AD3773" s="85">
        <v>0</v>
      </c>
      <c r="AE3773" s="85" t="s">
        <v>73</v>
      </c>
      <c r="AF3773" s="85" t="s">
        <v>43590</v>
      </c>
      <c r="AG3773" s="85" t="s">
        <v>8837</v>
      </c>
      <c r="AH3773" s="43">
        <v>45454</v>
      </c>
      <c r="AI3773" s="85"/>
      <c r="AJ3773" s="85"/>
      <c r="AK3773" s="85"/>
    </row>
    <row r="3774" spans="1:37" ht="36.75" customHeight="1" x14ac:dyDescent="0.35">
      <c r="A3774" s="21" t="s">
        <v>12448</v>
      </c>
      <c r="B3774" s="5" t="s">
        <v>887</v>
      </c>
      <c r="C3774" s="73" t="str">
        <f t="shared" ref="C3774" si="82">IF(B3774="Notification","Open",IF(B3774="Interim Statement","In progress","Closed"))</f>
        <v>Open</v>
      </c>
      <c r="D3774" s="47" t="s">
        <v>43596</v>
      </c>
      <c r="E3774" s="85" t="s">
        <v>43591</v>
      </c>
      <c r="F3774" s="85" t="s">
        <v>17638</v>
      </c>
      <c r="G3774" s="9">
        <f>DATE(2024,6,8)</f>
        <v>45451</v>
      </c>
      <c r="H3774" s="107">
        <v>1.5381944444444444</v>
      </c>
      <c r="I3774" s="85" t="s">
        <v>55</v>
      </c>
      <c r="J3774" s="85" t="s">
        <v>43592</v>
      </c>
      <c r="K3774" s="85" t="s">
        <v>1555</v>
      </c>
      <c r="L3774" s="85" t="s">
        <v>43593</v>
      </c>
      <c r="M3774" s="85" t="s">
        <v>45</v>
      </c>
      <c r="N3774" s="85" t="s">
        <v>123</v>
      </c>
      <c r="O3774" s="85" t="s">
        <v>59</v>
      </c>
      <c r="P3774" s="85" t="s">
        <v>60</v>
      </c>
      <c r="Q3774" s="85" t="s">
        <v>43594</v>
      </c>
      <c r="R3774" s="85" t="s">
        <v>18956</v>
      </c>
      <c r="S3774" s="85"/>
      <c r="T3774" s="85"/>
      <c r="U3774" s="85"/>
      <c r="V3774" s="85"/>
      <c r="W3774" s="85"/>
      <c r="X3774" s="85">
        <v>0</v>
      </c>
      <c r="Y3774" s="85"/>
      <c r="Z3774" s="85"/>
      <c r="AA3774" s="85"/>
      <c r="AB3774" s="85"/>
      <c r="AC3774" s="85"/>
      <c r="AD3774" s="85">
        <v>0</v>
      </c>
      <c r="AE3774" s="85" t="s">
        <v>73</v>
      </c>
      <c r="AF3774" s="85" t="s">
        <v>43595</v>
      </c>
      <c r="AG3774" s="85" t="s">
        <v>8837</v>
      </c>
      <c r="AH3774" s="43">
        <v>45454</v>
      </c>
      <c r="AI3774" s="85"/>
      <c r="AJ3774" s="85"/>
      <c r="AK3774" s="85"/>
    </row>
    <row r="3775" spans="1:37" ht="36.75" customHeight="1" x14ac:dyDescent="0.35">
      <c r="A3775" s="21" t="s">
        <v>12448</v>
      </c>
      <c r="B3775" s="5" t="s">
        <v>887</v>
      </c>
      <c r="C3775" s="73" t="str">
        <f t="shared" ref="C3775" si="83">IF(B3775="Notification","Open",IF(B3775="Interim Statement","In progress","Closed"))</f>
        <v>Open</v>
      </c>
      <c r="D3775" s="47" t="s">
        <v>43604</v>
      </c>
      <c r="E3775" s="85" t="s">
        <v>43605</v>
      </c>
      <c r="F3775" s="85" t="s">
        <v>17638</v>
      </c>
      <c r="G3775" s="9">
        <f>DATE(2024,6,11)</f>
        <v>45454</v>
      </c>
      <c r="H3775" s="107">
        <v>1.6840277777777777</v>
      </c>
      <c r="I3775" s="85" t="s">
        <v>55</v>
      </c>
      <c r="J3775" s="85" t="s">
        <v>43606</v>
      </c>
      <c r="K3775" s="85" t="s">
        <v>1555</v>
      </c>
      <c r="L3775" s="85" t="s">
        <v>21066</v>
      </c>
      <c r="M3775" s="85" t="s">
        <v>45</v>
      </c>
      <c r="N3775" s="85" t="s">
        <v>123</v>
      </c>
      <c r="O3775" s="85" t="s">
        <v>46</v>
      </c>
      <c r="P3775" s="85" t="s">
        <v>47</v>
      </c>
      <c r="Q3775" s="85" t="s">
        <v>18690</v>
      </c>
      <c r="R3775" s="85" t="s">
        <v>18956</v>
      </c>
      <c r="S3775" s="85"/>
      <c r="T3775" s="85"/>
      <c r="U3775" s="85"/>
      <c r="V3775" s="85"/>
      <c r="W3775" s="85"/>
      <c r="X3775" s="85">
        <v>0</v>
      </c>
      <c r="Y3775" s="85"/>
      <c r="Z3775" s="85"/>
      <c r="AA3775" s="85"/>
      <c r="AB3775" s="85"/>
      <c r="AC3775" s="85"/>
      <c r="AD3775" s="85">
        <v>0</v>
      </c>
      <c r="AE3775" s="85" t="s">
        <v>73</v>
      </c>
      <c r="AF3775" s="85" t="s">
        <v>43607</v>
      </c>
      <c r="AG3775" s="85" t="s">
        <v>8837</v>
      </c>
      <c r="AH3775" s="43">
        <v>45456</v>
      </c>
      <c r="AI3775" s="85"/>
      <c r="AJ3775" s="85"/>
      <c r="AK3775" s="85"/>
    </row>
    <row r="3776" spans="1:37" ht="36.75" customHeight="1" x14ac:dyDescent="0.35">
      <c r="A3776" s="21" t="s">
        <v>12448</v>
      </c>
      <c r="B3776" s="5" t="s">
        <v>887</v>
      </c>
      <c r="C3776" s="73" t="str">
        <f t="shared" ref="C3776" si="84">IF(B3776="Notification","Open",IF(B3776="Interim Statement","In progress","Closed"))</f>
        <v>Open</v>
      </c>
      <c r="D3776" s="47" t="s">
        <v>43608</v>
      </c>
      <c r="E3776" s="85" t="s">
        <v>43609</v>
      </c>
      <c r="F3776" s="85" t="s">
        <v>16397</v>
      </c>
      <c r="G3776" s="9">
        <f>DATE(2024,6,10)</f>
        <v>45453</v>
      </c>
      <c r="H3776" s="107">
        <v>1.2631944444444445</v>
      </c>
      <c r="I3776" s="85" t="s">
        <v>4590</v>
      </c>
      <c r="J3776" s="85" t="s">
        <v>43610</v>
      </c>
      <c r="K3776" s="85" t="s">
        <v>406</v>
      </c>
      <c r="L3776" s="85" t="s">
        <v>43611</v>
      </c>
      <c r="M3776" s="85" t="s">
        <v>45</v>
      </c>
      <c r="N3776" s="85" t="s">
        <v>80</v>
      </c>
      <c r="O3776" s="85" t="s">
        <v>59</v>
      </c>
      <c r="P3776" s="85" t="s">
        <v>146</v>
      </c>
      <c r="Q3776" s="85" t="s">
        <v>18565</v>
      </c>
      <c r="R3776" s="85" t="s">
        <v>17330</v>
      </c>
      <c r="S3776" s="85">
        <v>0</v>
      </c>
      <c r="T3776" s="85">
        <v>0</v>
      </c>
      <c r="U3776" s="85">
        <v>0</v>
      </c>
      <c r="V3776" s="85">
        <v>0</v>
      </c>
      <c r="W3776" s="85">
        <v>0</v>
      </c>
      <c r="X3776" s="85">
        <v>0</v>
      </c>
      <c r="Y3776" s="85">
        <v>0</v>
      </c>
      <c r="Z3776" s="85">
        <v>0</v>
      </c>
      <c r="AA3776" s="85">
        <v>0</v>
      </c>
      <c r="AB3776" s="85">
        <v>0</v>
      </c>
      <c r="AC3776" s="85">
        <v>0</v>
      </c>
      <c r="AD3776" s="85">
        <v>0</v>
      </c>
      <c r="AE3776" s="85" t="s">
        <v>73</v>
      </c>
      <c r="AF3776" s="85" t="s">
        <v>21024</v>
      </c>
      <c r="AG3776" s="85" t="s">
        <v>16251</v>
      </c>
      <c r="AH3776" s="43">
        <v>45453</v>
      </c>
      <c r="AI3776" s="85"/>
      <c r="AJ3776" s="85"/>
      <c r="AK3776" s="85"/>
    </row>
    <row r="3777" spans="1:37" ht="36.75" customHeight="1" x14ac:dyDescent="0.35">
      <c r="A3777" s="21" t="s">
        <v>12448</v>
      </c>
      <c r="B3777" s="5" t="s">
        <v>887</v>
      </c>
      <c r="C3777" s="73" t="str">
        <f t="shared" ref="C3777" si="85">IF(B3777="Notification","Open",IF(B3777="Interim Statement","In progress","Closed"))</f>
        <v>Open</v>
      </c>
      <c r="D3777" s="47" t="s">
        <v>43622</v>
      </c>
      <c r="E3777" s="85" t="s">
        <v>43623</v>
      </c>
      <c r="F3777" s="85" t="s">
        <v>16397</v>
      </c>
      <c r="G3777" s="9">
        <f>DATE(2024,6,15)</f>
        <v>45458</v>
      </c>
      <c r="H3777" s="107">
        <v>1.6340277777777779</v>
      </c>
      <c r="I3777" s="85" t="s">
        <v>55</v>
      </c>
      <c r="J3777" s="85" t="s">
        <v>43624</v>
      </c>
      <c r="K3777" s="85" t="s">
        <v>406</v>
      </c>
      <c r="L3777" s="85" t="s">
        <v>43625</v>
      </c>
      <c r="M3777" s="85" t="s">
        <v>45</v>
      </c>
      <c r="N3777" s="85" t="s">
        <v>80</v>
      </c>
      <c r="O3777" s="85" t="s">
        <v>59</v>
      </c>
      <c r="P3777" s="85" t="s">
        <v>146</v>
      </c>
      <c r="Q3777" s="85" t="s">
        <v>14742</v>
      </c>
      <c r="R3777" s="85" t="s">
        <v>17330</v>
      </c>
      <c r="S3777" s="85">
        <v>0</v>
      </c>
      <c r="T3777" s="85">
        <v>0</v>
      </c>
      <c r="U3777" s="85">
        <v>0</v>
      </c>
      <c r="V3777" s="85">
        <v>0</v>
      </c>
      <c r="W3777" s="85">
        <v>0</v>
      </c>
      <c r="X3777" s="85">
        <v>0</v>
      </c>
      <c r="Y3777" s="85">
        <v>0</v>
      </c>
      <c r="Z3777" s="85">
        <v>0</v>
      </c>
      <c r="AA3777" s="85">
        <v>0</v>
      </c>
      <c r="AB3777" s="85">
        <v>0</v>
      </c>
      <c r="AC3777" s="85">
        <v>0</v>
      </c>
      <c r="AD3777" s="85">
        <v>0</v>
      </c>
      <c r="AE3777" s="85" t="s">
        <v>73</v>
      </c>
      <c r="AF3777" s="85" t="s">
        <v>43626</v>
      </c>
      <c r="AG3777" s="85" t="s">
        <v>21402</v>
      </c>
      <c r="AH3777" s="43">
        <v>45458</v>
      </c>
      <c r="AI3777" s="85"/>
      <c r="AJ3777" s="85"/>
      <c r="AK3777" s="85"/>
    </row>
    <row r="3778" spans="1:37" ht="36.75" customHeight="1" x14ac:dyDescent="0.35">
      <c r="A3778" s="21" t="s">
        <v>12448</v>
      </c>
      <c r="B3778" s="5" t="s">
        <v>887</v>
      </c>
      <c r="C3778" s="73" t="str">
        <f t="shared" ref="C3778" si="86">IF(B3778="Notification","Open",IF(B3778="Interim Statement","In progress","Closed"))</f>
        <v>Open</v>
      </c>
      <c r="D3778" s="47" t="s">
        <v>43640</v>
      </c>
      <c r="E3778" s="85" t="s">
        <v>43641</v>
      </c>
      <c r="F3778" s="85" t="s">
        <v>14722</v>
      </c>
      <c r="G3778" s="9">
        <f>DATE(2024,5,13)</f>
        <v>45425</v>
      </c>
      <c r="H3778" s="107">
        <v>1.4652777777777777</v>
      </c>
      <c r="I3778" s="85" t="s">
        <v>179</v>
      </c>
      <c r="J3778" s="85" t="s">
        <v>43642</v>
      </c>
      <c r="K3778" s="85" t="s">
        <v>1753</v>
      </c>
      <c r="L3778" s="85" t="s">
        <v>10403</v>
      </c>
      <c r="M3778" s="85" t="s">
        <v>45</v>
      </c>
      <c r="N3778" s="85" t="s">
        <v>70</v>
      </c>
      <c r="O3778" s="85" t="s">
        <v>71</v>
      </c>
      <c r="P3778" s="85" t="s">
        <v>72</v>
      </c>
      <c r="Q3778" s="85" t="s">
        <v>18451</v>
      </c>
      <c r="R3778" s="85" t="s">
        <v>1756</v>
      </c>
      <c r="S3778" s="85">
        <v>0</v>
      </c>
      <c r="T3778" s="85">
        <v>0</v>
      </c>
      <c r="U3778" s="85">
        <v>0</v>
      </c>
      <c r="V3778" s="85">
        <v>0</v>
      </c>
      <c r="W3778" s="85">
        <v>0</v>
      </c>
      <c r="X3778" s="85">
        <v>0</v>
      </c>
      <c r="Y3778" s="85">
        <v>0</v>
      </c>
      <c r="Z3778" s="85">
        <v>0</v>
      </c>
      <c r="AA3778" s="85">
        <v>0</v>
      </c>
      <c r="AB3778" s="85">
        <v>0</v>
      </c>
      <c r="AC3778" s="85">
        <v>0</v>
      </c>
      <c r="AD3778" s="85">
        <v>0</v>
      </c>
      <c r="AE3778" s="85" t="s">
        <v>73</v>
      </c>
      <c r="AF3778" s="85" t="s">
        <v>43643</v>
      </c>
      <c r="AG3778" s="85" t="s">
        <v>8837</v>
      </c>
      <c r="AH3778" s="43">
        <v>45454</v>
      </c>
      <c r="AI3778" s="85"/>
      <c r="AJ3778" s="85"/>
      <c r="AK3778" s="85"/>
    </row>
    <row r="3779" spans="1:37" ht="36.75" customHeight="1" x14ac:dyDescent="0.35">
      <c r="A3779" s="21" t="s">
        <v>12448</v>
      </c>
      <c r="B3779" s="5" t="s">
        <v>887</v>
      </c>
      <c r="C3779" s="73" t="str">
        <f t="shared" ref="C3779" si="87">IF(B3779="Notification","Open",IF(B3779="Interim Statement","In progress","Closed"))</f>
        <v>Open</v>
      </c>
      <c r="D3779" s="47" t="s">
        <v>43644</v>
      </c>
      <c r="E3779" s="85" t="s">
        <v>43645</v>
      </c>
      <c r="F3779" s="85" t="s">
        <v>12887</v>
      </c>
      <c r="G3779" s="9">
        <f>DATE(2024,6,22)</f>
        <v>45465</v>
      </c>
      <c r="H3779" s="107">
        <v>1.5</v>
      </c>
      <c r="I3779" s="85" t="s">
        <v>259</v>
      </c>
      <c r="J3779" s="85" t="s">
        <v>43646</v>
      </c>
      <c r="K3779" s="85" t="s">
        <v>434</v>
      </c>
      <c r="L3779" s="85" t="s">
        <v>43647</v>
      </c>
      <c r="M3779" s="85" t="s">
        <v>236</v>
      </c>
      <c r="N3779" s="85" t="s">
        <v>123</v>
      </c>
      <c r="O3779" s="85" t="s">
        <v>46</v>
      </c>
      <c r="P3779" s="85" t="s">
        <v>18420</v>
      </c>
      <c r="Q3779" s="85" t="s">
        <v>16552</v>
      </c>
      <c r="R3779" s="85" t="s">
        <v>43648</v>
      </c>
      <c r="S3779" s="85"/>
      <c r="T3779" s="85"/>
      <c r="U3779" s="85"/>
      <c r="V3779" s="85"/>
      <c r="W3779" s="85"/>
      <c r="X3779" s="85">
        <v>1</v>
      </c>
      <c r="Y3779" s="85"/>
      <c r="Z3779" s="85"/>
      <c r="AA3779" s="85"/>
      <c r="AB3779" s="85"/>
      <c r="AC3779" s="85"/>
      <c r="AD3779" s="85">
        <v>0</v>
      </c>
      <c r="AE3779" s="85" t="s">
        <v>73</v>
      </c>
      <c r="AF3779" s="85" t="s">
        <v>43649</v>
      </c>
      <c r="AG3779" s="85" t="s">
        <v>6438</v>
      </c>
      <c r="AH3779" s="43">
        <v>45467</v>
      </c>
      <c r="AI3779" s="85"/>
      <c r="AJ3779" s="85"/>
      <c r="AK3779" s="85"/>
    </row>
    <row r="3780" spans="1:37" ht="36.75" customHeight="1" x14ac:dyDescent="0.35">
      <c r="A3780" s="21" t="s">
        <v>12448</v>
      </c>
      <c r="B3780" s="5" t="s">
        <v>887</v>
      </c>
      <c r="C3780" s="73" t="str">
        <f t="shared" ref="C3780" si="88">IF(B3780="Notification","Open",IF(B3780="Interim Statement","In progress","Closed"))</f>
        <v>Open</v>
      </c>
      <c r="D3780" s="47" t="s">
        <v>43650</v>
      </c>
      <c r="E3780" s="85" t="s">
        <v>43651</v>
      </c>
      <c r="F3780" s="85" t="s">
        <v>17537</v>
      </c>
      <c r="G3780" s="9">
        <f>DATE(2024,6,27)</f>
        <v>45470</v>
      </c>
      <c r="H3780" s="107">
        <v>1.8784722222222223</v>
      </c>
      <c r="I3780" s="85" t="s">
        <v>55</v>
      </c>
      <c r="J3780" s="85" t="s">
        <v>43652</v>
      </c>
      <c r="K3780" s="85" t="s">
        <v>818</v>
      </c>
      <c r="L3780" s="85" t="s">
        <v>21028</v>
      </c>
      <c r="M3780" s="85" t="s">
        <v>45</v>
      </c>
      <c r="N3780" s="85" t="s">
        <v>123</v>
      </c>
      <c r="O3780" s="85" t="s">
        <v>59</v>
      </c>
      <c r="P3780" s="85" t="s">
        <v>67</v>
      </c>
      <c r="Q3780" s="85" t="s">
        <v>18286</v>
      </c>
      <c r="R3780" s="85" t="s">
        <v>821</v>
      </c>
      <c r="S3780" s="85">
        <v>0</v>
      </c>
      <c r="T3780" s="85">
        <v>0</v>
      </c>
      <c r="U3780" s="85">
        <v>0</v>
      </c>
      <c r="V3780" s="85">
        <v>0</v>
      </c>
      <c r="W3780" s="85">
        <v>0</v>
      </c>
      <c r="X3780" s="85">
        <v>0</v>
      </c>
      <c r="Y3780" s="85">
        <v>0</v>
      </c>
      <c r="Z3780" s="85">
        <v>0</v>
      </c>
      <c r="AA3780" s="85">
        <v>0</v>
      </c>
      <c r="AB3780" s="85">
        <v>0</v>
      </c>
      <c r="AC3780" s="85">
        <v>0</v>
      </c>
      <c r="AD3780" s="85">
        <v>0</v>
      </c>
      <c r="AE3780" s="85" t="s">
        <v>375</v>
      </c>
      <c r="AF3780" s="85" t="s">
        <v>43653</v>
      </c>
      <c r="AG3780" s="85" t="s">
        <v>14532</v>
      </c>
      <c r="AH3780" s="43">
        <v>45470</v>
      </c>
      <c r="AI3780" s="85"/>
      <c r="AJ3780" s="85"/>
      <c r="AK3780" s="85"/>
    </row>
    <row r="3781" spans="1:37" ht="36.75" customHeight="1" x14ac:dyDescent="0.35">
      <c r="A3781" s="21" t="s">
        <v>12448</v>
      </c>
      <c r="B3781" s="5" t="s">
        <v>887</v>
      </c>
      <c r="C3781" s="73" t="str">
        <f t="shared" ref="C3781" si="89">IF(B3781="Notification","Open",IF(B3781="Interim Statement","In progress","Closed"))</f>
        <v>Open</v>
      </c>
      <c r="D3781" s="47" t="s">
        <v>43674</v>
      </c>
      <c r="E3781" s="85" t="s">
        <v>43675</v>
      </c>
      <c r="F3781" s="85" t="s">
        <v>16397</v>
      </c>
      <c r="G3781" s="9">
        <f>DATE(2024,6,27)</f>
        <v>45470</v>
      </c>
      <c r="H3781" s="107">
        <v>1.367361111111111</v>
      </c>
      <c r="I3781" s="85" t="s">
        <v>179</v>
      </c>
      <c r="J3781" s="85" t="s">
        <v>43676</v>
      </c>
      <c r="K3781" s="85" t="s">
        <v>406</v>
      </c>
      <c r="L3781" s="85" t="s">
        <v>43677</v>
      </c>
      <c r="M3781" s="85" t="s">
        <v>45</v>
      </c>
      <c r="N3781" s="85" t="s">
        <v>80</v>
      </c>
      <c r="O3781" s="85" t="s">
        <v>46</v>
      </c>
      <c r="P3781" s="85" t="s">
        <v>60</v>
      </c>
      <c r="Q3781" s="85" t="s">
        <v>43678</v>
      </c>
      <c r="R3781" s="85" t="s">
        <v>17330</v>
      </c>
      <c r="S3781" s="85">
        <v>0</v>
      </c>
      <c r="T3781" s="85">
        <v>0</v>
      </c>
      <c r="U3781" s="85">
        <v>0</v>
      </c>
      <c r="V3781" s="85">
        <v>0</v>
      </c>
      <c r="W3781" s="85">
        <v>0</v>
      </c>
      <c r="X3781" s="85">
        <v>0</v>
      </c>
      <c r="Y3781" s="85">
        <v>0</v>
      </c>
      <c r="Z3781" s="85">
        <v>0</v>
      </c>
      <c r="AA3781" s="85">
        <v>0</v>
      </c>
      <c r="AB3781" s="85">
        <v>0</v>
      </c>
      <c r="AC3781" s="85">
        <v>0</v>
      </c>
      <c r="AD3781" s="85">
        <v>0</v>
      </c>
      <c r="AE3781" s="85" t="s">
        <v>73</v>
      </c>
      <c r="AF3781" s="85" t="s">
        <v>43679</v>
      </c>
      <c r="AG3781" s="85" t="s">
        <v>16251</v>
      </c>
      <c r="AH3781" s="43">
        <v>45470</v>
      </c>
      <c r="AI3781" s="85"/>
      <c r="AJ3781" s="85"/>
      <c r="AK3781" s="85"/>
    </row>
    <row r="3782" spans="1:37" ht="36.75" customHeight="1" x14ac:dyDescent="0.35">
      <c r="A3782" s="21" t="s">
        <v>12448</v>
      </c>
      <c r="B3782" s="5" t="s">
        <v>887</v>
      </c>
      <c r="C3782" s="73" t="str">
        <f t="shared" ref="C3782" si="90">IF(B3782="Notification","Open",IF(B3782="Interim Statement","In progress","Closed"))</f>
        <v>Open</v>
      </c>
      <c r="D3782" s="47" t="s">
        <v>43680</v>
      </c>
      <c r="E3782" s="85" t="s">
        <v>43681</v>
      </c>
      <c r="F3782" s="85" t="s">
        <v>19107</v>
      </c>
      <c r="G3782" s="9">
        <f>DATE(2024,6,27)</f>
        <v>45470</v>
      </c>
      <c r="H3782" s="107">
        <v>1.7083333333333335</v>
      </c>
      <c r="I3782" s="85" t="s">
        <v>97</v>
      </c>
      <c r="J3782" s="85" t="s">
        <v>97</v>
      </c>
      <c r="K3782" s="85" t="s">
        <v>19109</v>
      </c>
      <c r="L3782" s="85" t="s">
        <v>43682</v>
      </c>
      <c r="M3782" s="85" t="s">
        <v>45</v>
      </c>
      <c r="N3782" s="85" t="s">
        <v>123</v>
      </c>
      <c r="O3782" s="85" t="s">
        <v>46</v>
      </c>
      <c r="P3782" s="85" t="s">
        <v>47</v>
      </c>
      <c r="Q3782" s="85" t="s">
        <v>19111</v>
      </c>
      <c r="R3782" s="85" t="s">
        <v>19112</v>
      </c>
      <c r="S3782" s="85">
        <v>0</v>
      </c>
      <c r="T3782" s="85">
        <v>0</v>
      </c>
      <c r="U3782" s="85">
        <v>7</v>
      </c>
      <c r="V3782" s="85">
        <v>0</v>
      </c>
      <c r="W3782" s="85">
        <v>0</v>
      </c>
      <c r="X3782" s="85">
        <v>7</v>
      </c>
      <c r="Y3782" s="85">
        <v>0</v>
      </c>
      <c r="Z3782" s="85">
        <v>0</v>
      </c>
      <c r="AA3782" s="85">
        <v>0</v>
      </c>
      <c r="AB3782" s="85">
        <v>0</v>
      </c>
      <c r="AC3782" s="85">
        <v>0</v>
      </c>
      <c r="AD3782" s="85">
        <v>0</v>
      </c>
      <c r="AE3782" s="85" t="s">
        <v>126</v>
      </c>
      <c r="AF3782" s="85" t="s">
        <v>10534</v>
      </c>
      <c r="AG3782" s="85" t="s">
        <v>6438</v>
      </c>
      <c r="AH3782" s="43">
        <v>45470</v>
      </c>
      <c r="AI3782" s="85"/>
      <c r="AJ3782" s="85" t="s">
        <v>43683</v>
      </c>
      <c r="AK3782" s="85" t="s">
        <v>10534</v>
      </c>
    </row>
  </sheetData>
  <autoFilter ref="A1:AK3782" xr:uid="{00000000-0001-0000-0000-000000000000}"/>
  <sortState xmlns:xlrd2="http://schemas.microsoft.com/office/spreadsheetml/2017/richdata2" ref="A2:AK3748">
    <sortCondition descending="1" ref="G2:G3748"/>
  </sortState>
  <phoneticPr fontId="11" type="noConversion"/>
  <conditionalFormatting sqref="H3264">
    <cfRule type="cellIs" dxfId="4" priority="11" operator="equal">
      <formula>""</formula>
    </cfRule>
  </conditionalFormatting>
  <conditionalFormatting sqref="H3251">
    <cfRule type="cellIs" dxfId="3" priority="10" operator="equal">
      <formula>""</formula>
    </cfRule>
  </conditionalFormatting>
  <conditionalFormatting sqref="J3278">
    <cfRule type="cellIs" dxfId="2" priority="7" operator="equal">
      <formula>""</formula>
    </cfRule>
  </conditionalFormatting>
  <conditionalFormatting sqref="AG3413">
    <cfRule type="cellIs" dxfId="1" priority="6" operator="equal">
      <formula>""</formula>
    </cfRule>
  </conditionalFormatting>
  <conditionalFormatting sqref="AG3461">
    <cfRule type="cellIs" priority="4" operator="equal">
      <formula>""</formula>
    </cfRule>
  </conditionalFormatting>
  <conditionalFormatting sqref="AG3557">
    <cfRule type="cellIs" dxfId="0" priority="2" operator="equal">
      <formula>""</formula>
    </cfRule>
  </conditionalFormatting>
  <conditionalFormatting sqref="AG3625">
    <cfRule type="cellIs" priority="1" operator="equal">
      <formula>""</formula>
    </cfRule>
  </conditionalFormatting>
  <hyperlinks>
    <hyperlink ref="AI3230" r:id="rId1" display="http://erail.era.europa.eu/recommendations.aspx?sfn=AT-6365&amp;sr=6&amp;public=1" xr:uid="{00000000-0004-0000-0000-00007E0C0000}"/>
    <hyperlink ref="AI3229" r:id="rId2" display="http://erail.era.europa.eu/recommendations.aspx?sfn=CZ-6364&amp;sr=12&amp;public=1" xr:uid="{00000000-0004-0000-0000-0000800C0000}"/>
    <hyperlink ref="AI3231" r:id="rId3" display="http://erail.era.europa.eu/recommendations.aspx?sfn=CZ-6366&amp;sr=12&amp;public=1" xr:uid="{00000000-0004-0000-0000-0000820C0000}"/>
    <hyperlink ref="AI3232" r:id="rId4" display="http://erail.era.europa.eu/recommendations.aspx?sfn=CZ-6367&amp;sr=12&amp;public=1" xr:uid="{00000000-0004-0000-0000-0000840C0000}"/>
    <hyperlink ref="AI3227" r:id="rId5" display="http://erail.era.europa.eu/recommendations.aspx?sfn=HU-6360&amp;sr=22&amp;public=1" xr:uid="{00000000-0004-0000-0000-0000860C0000}"/>
    <hyperlink ref="AI3226" r:id="rId6" display="http://erail.era.europa.eu/recommendations.aspx?sfn=PL-6362&amp;sr=36&amp;public=1" xr:uid="{00000000-0004-0000-0000-0000880C0000}"/>
    <hyperlink ref="AI3217" r:id="rId7" display="http://erail.era.europa.eu/recommendations.aspx?sfn=CZ-6369&amp;sr=12&amp;public=1" xr:uid="{00000000-0004-0000-0000-00008B0C0000}"/>
    <hyperlink ref="AI3235" r:id="rId8" display="http://erail.era.europa.eu/recommendations.aspx?sfn=PT-6375&amp;sr=61&amp;public=1" xr:uid="{00000000-0004-0000-0000-0000920C0000}"/>
    <hyperlink ref="D3649" r:id="rId9" xr:uid="{B688D41A-B56F-437E-8986-32760756609B}"/>
    <hyperlink ref="D3548" r:id="rId10" display="https://www.era.europa.eu/system/files/2023-10/RO-10329 - RI Racari 01 11 2022 final trimis.pdf" xr:uid="{2E90CC6B-2D11-4907-A6ED-5CAEBD6C4DDE}"/>
    <hyperlink ref="D3557" r:id="rId11" display="https://www.era.europa.eu/system/files/2023-10/DK-10334 - 2022-517 Statement Odense personp%C3%A5k%C3%B8rsel %2812-11-2022%29 %28002%29.pdf" xr:uid="{F564F9CD-3493-4A48-9D89-3B41FB212869}"/>
    <hyperlink ref="D3550" r:id="rId12" display="https://www.era.europa.eu/system/files/2023-10/PL-10352 - Report_EN_No_PKBWK_03_2023.pdf" xr:uid="{771831F4-1B04-4CFD-8213-228537CC1471}"/>
    <hyperlink ref="D3449" r:id="rId13" display="https://www.era.europa.eu/system/files/2023-10/IT-10276 - Relazione Finale_Rastignano_19-03-2022.pdf" xr:uid="{56A16C58-CDD0-486E-AFDB-0F687DC1E3C7}"/>
    <hyperlink ref="D3571" r:id="rId14" display="https://www.era.europa.eu/system/files/2023-11/CZ-10346 - 231107_final_report_Bzenec_privoz_Mor_Pisek.pdf" xr:uid="{80FB0129-0D84-46B6-8ACC-1C1903C5AAE1}"/>
    <hyperlink ref="D3555" r:id="rId15" display="https://www.era.europa.eu/system/files/2023-11/CZ-10332 - Final_Report_M%C4%9Bln%C3%ADk_CZ-10332.pdf" xr:uid="{3CA62DBE-4F98-40FE-BE3F-999EFFA6E8D1}"/>
    <hyperlink ref="D3595" r:id="rId16" display="https://www.era.europa.eu/system/files/2023-11/CZ-10373- Final_Report_Cesky_Tesin_CZ-10373.pdf" xr:uid="{842F64D1-383D-4AA2-B93D-3CA162B82A4D}"/>
    <hyperlink ref="D3558" r:id="rId17" display="https://www.era.europa.eu/system/files/2023-11/RO-10333 - RI Popesti Valcea Berbesti 13 11 2022 final transmis.pdf" xr:uid="{25291B91-CE6B-4BB9-AEF1-3A8693428596}"/>
    <hyperlink ref="D3562" r:id="rId18" display="https://www.era.europa.eu/system/files/2023-11/SE-10343 - SHK2023_13-Slutrapport-V%C3%A4r%C3%B6.pdf" xr:uid="{37F59AC3-31CB-446D-A859-6C5C3CA630E8}"/>
    <hyperlink ref="D2903" r:id="rId19" display="https://www.era.europa.eu/system/files/2023-11/CZ-5978 - Final_report_Hrivice_CZ-5978.pdf" xr:uid="{DEC13CD8-408A-4442-8CF8-8A82BE2C2984}"/>
    <hyperlink ref="D3670" r:id="rId20" display="https://www.era.europa.eu/system/files/2023-11/SK-10476 - 34_Martin__Vr%C3%BAtky.pdf" xr:uid="{55A69D80-0C72-47C7-905D-71DA2DD467ED}"/>
    <hyperlink ref="D3634" r:id="rId21" display="https://www.era.europa.eu/system/files/2023-11/CZ-10414 - 231128_final_report_Krasna_Lipa_Rumburk.pdf" xr:uid="{767C726D-7B39-43A6-95F9-F678EBEC6AAC}"/>
    <hyperlink ref="D3610" r:id="rId22" display="https://www.era.europa.eu/system/files/2023-11/DK-10391 - 2023-185 Statement Peter Bangsvej personp%C3%A5k%C3%B8rsel %2808-03-2023%29.pdf" xr:uid="{B8173A7E-77FD-4F90-9EA1-A5B3E7ED5E66}"/>
    <hyperlink ref="D3482" r:id="rId23" display="https://www.era.europa.eu/system/files/2023-12/IT-10270 -Relazione finale_Prenestina_03-06-2022_pubblica.pdf" xr:uid="{F54D4A01-6C77-4B22-98F7-53A724A5F705}"/>
    <hyperlink ref="D3568" r:id="rId24" display="https://www.era.europa.eu/system/files/2023-12/RO-10344 - RI Gugesti 01 12 2022 final transmis.pdf" xr:uid="{073C66A0-4E3E-4E69-B34E-9546569C9044}"/>
    <hyperlink ref="D3554" r:id="rId25" display="https://www.era.europa.eu/system/files/2023-12/IT-10335 - Relazione finale_Pompei_07-11-2022_pubblica.pdf" xr:uid="{CEF2B4CC-18C3-4AD9-83CB-EA15751601A3}"/>
    <hyperlink ref="D3553" r:id="rId26" display="https://www.era.europa.eu/system/files/2023-12/PT-10369 - RI2023_01.pdf" xr:uid="{47736B6E-3A58-459A-A25C-3FFE2A103B4C}"/>
    <hyperlink ref="D3565" r:id="rId27" display="https://www.era.europa.eu/system/files/2023-12/HU-10336 - 2022-1289-5_zj_EN.pdf" xr:uid="{1924C5FA-0D5F-49D6-9F2C-AD5E9B8C8527}"/>
    <hyperlink ref="D2705" r:id="rId28" display="https://www.era.europa.eu/system/files/2023-12/DE-5705 Final Report Oberhausen_West.pdf" xr:uid="{51DA2C03-EC3A-4F98-8D7E-EBFA80AAF21A}"/>
    <hyperlink ref="D3620" r:id="rId29" display="https://www.era.europa.eu/system/files/2023-12/HU-10400 - 2023-0366-5_zj_EN.pdf" xr:uid="{A2DBD23E-42F2-4E45-8EEE-292EB20DEE24}"/>
    <hyperlink ref="D2148" r:id="rId30" display="https://www.era.europa.eu/system/files/2023-12/DE-4976 - Final Report - Biesdorfer_Kreuz_Ost_-_Berlin_Kaulsdorf.pdf" xr:uid="{03D331E1-93AF-4299-82E7-F4C461A83B9F}"/>
    <hyperlink ref="D2847" r:id="rId31" display="https://www.era.europa.eu/system/files/2023-12/DE-5973 - Final Report - 20190212 Augsburg Hbf Zugkollision.pdf" xr:uid="{7BC280BD-22BC-44AD-BEA1-E93D7BD22298}"/>
    <hyperlink ref="D3050" r:id="rId32" display="https://www.era.europa.eu/system/files/2023-12/DE-6173 Final Report - 20200123 Hamburg-Altona Zugkollision.pdf" xr:uid="{A71F611A-3385-4A23-BF37-ED0C1C9DE54F}"/>
    <hyperlink ref="D3572" r:id="rId33" display="https://www.era.europa.eu/system/files/2023-12/CZ-10347 - ZZ_Final_report_Brno-Malomerice.pdf" xr:uid="{5300AA8D-84C5-4A99-8591-CD74B9C58C09}"/>
    <hyperlink ref="D3544" r:id="rId34" display="https://www.era.europa.eu/system/files/2023-12/NO-10423 - 2023-05 Alnabru.pdf" xr:uid="{B43CF327-4161-4C12-A73B-499D69761135}"/>
    <hyperlink ref="D3419" r:id="rId35" display="https://www.era.europa.eu/system/files/2023-12/IT-10253 - Relazione finale_Barletta_04-01-2022_pubblica.pdf" xr:uid="{F2D7B306-4644-4B7D-822E-D5156AE94FD0}"/>
    <hyperlink ref="D3635" r:id="rId36" display="https://www.era.europa.eu/system/files/2023-12/CZ-10417 - 231217_final_report_Bystrice_pod_Hostynem_Holesov.pdf" xr:uid="{9FB51CDC-46C6-461E-874E-F227A13E569F}"/>
    <hyperlink ref="D3574" r:id="rId37" display="https://www.era.europa.eu/system/files/2024-01/PL-10357 - Report_PKBWK_4_2023_EN.pdf" xr:uid="{08E75353-DE4F-43C0-9A3B-4BCB2E3010A5}"/>
    <hyperlink ref="D3561" r:id="rId38" display="https://www.era.europa.eu/system/files/2024-01/HR-10342 - Kona%C4%8Dno izvje%C5%A1%C4%87e %C5%A0krljevo14.11.2022 z.pdf" xr:uid="{430FB449-D69C-45D5-8EA1-5EE600A3494B}"/>
    <hyperlink ref="D3583" r:id="rId39" display="https://www.era.europa.eu/system/files/2024-01/HR-10361 -Kona%C4%8Dno nesre%C4%87a Pula nalet  14.01.2023. objava_.pdf" xr:uid="{B679A266-0A4F-4716-AF81-C4427A839999}"/>
    <hyperlink ref="D3578" r:id="rId40" display="https://www.era.europa.eu/system/files/2024-01/RO-10348 - RI Timisoara Est  29 12 2022 final transmis.pdf" xr:uid="{FD8AEBCD-B3DA-4E80-B4BA-A91FB7A653DA}"/>
    <hyperlink ref="D3581" r:id="rId41" display="https://www.era.europa.eu/system/files/2024-01/RO-10350 - RI Campia Turzii 07 01 2023 final transmis.pdf" xr:uid="{25EE55CB-8EED-49BE-8C7A-2F19FB943A58}"/>
    <hyperlink ref="D3551" r:id="rId42" display="https://www.era.europa.eu/system/files/2024-01/NO-10331 - 2024-01 Heskestad.pdf" xr:uid="{FA2F377A-73AA-49C7-A2F2-2B73AE4352EB}"/>
    <hyperlink ref="D3472" r:id="rId43" display="https://www.era.europa.eu/system/files/2024-01/DE-10233_German investigation report trains collision Altheim %28Hess%29 - Dieburg.pdf" xr:uid="{F10CA0C7-6450-40E9-AA22-BDF126D39CB6}"/>
    <hyperlink ref="D3599" r:id="rId44" display="https://www.era.europa.eu/system/files/2024-02/PL-10387 - Raport nr PKBWK 5 2023_en.pdf" xr:uid="{73A20EA4-8F13-49C3-A8A0-F73F408D35F8}"/>
    <hyperlink ref="D3537" r:id="rId45" display="https://www.era.europa.eu/system/files/2024-02/CZ-10319 - ZZ_Final_report_Poricany.pdf" xr:uid="{525F9AFB-3F91-4017-8D84-C9F30BAC837F}"/>
    <hyperlink ref="D2579" r:id="rId46" display="https://www.era.europa.eu/system/files/2024-02/AT-5618 - 795.390_UB_1.0.pdf" xr:uid="{E13C7826-E689-4688-9788-206F35BC9ADE}"/>
    <hyperlink ref="D3591" r:id="rId47" display="https://www.era.europa.eu/system/files/2024-02/RO-10365 - RI Bucurestii Noi 26 01 2023 final transmis.pdf" xr:uid="{5E4EF331-3548-4A3E-9289-27925F1E52F2}"/>
    <hyperlink ref="D3587" r:id="rId48" display="https://www.era.europa.eu/system/files/2024-02/PL-10366 - Report PKBWK 1 2024_EN.docx.pdf" xr:uid="{B1F26773-573A-4EAA-A937-59157F5C9216}"/>
    <hyperlink ref="D2974" r:id="rId49" display="https://www.era.europa.eu/system/files/2023-07/DE-6099 - K%C3%B6ln Bonntor  K%C3%B6ln S%C3%BCd.pdf" xr:uid="{E50CC32C-D58C-4C20-B397-06FCC8AC10D2}"/>
    <hyperlink ref="D2666" r:id="rId50" display="https://www.era.europa.eu/system/files/2024-02/DE-5660 investigation report Train collision M%C3%BCnchen-Riem.pdf" xr:uid="{E1622F89-CD90-443E-B157-0BEB876CF081}"/>
    <hyperlink ref="D3048" r:id="rId51" display="https://www.era.europa.eu/system/files/2024-02/DE-6204 investigation report trains collision near miss Griesen Obb.pdf" xr:uid="{EA0EF2C2-5FD0-4D4C-BB4A-0EC81F684E60}"/>
    <hyperlink ref="D3606" r:id="rId52" display="https://www.era.europa.eu/system/files/2024-02/RO-10384 - RI Augustin Apata 28 02 2023 final transmis.pdf" xr:uid="{3C78D379-883A-423D-9F7A-1F02C4EA548B}"/>
    <hyperlink ref="D905" r:id="rId53" display="https://www.era.europa.eu/system/files/2024-02/PT-962 - Relat%C3%B3rio_Sumario_ferro_PT_962_RF202304.pdf" xr:uid="{F375E4A8-BBBD-4241-B064-779D11D1BD8E}"/>
    <hyperlink ref="D149" r:id="rId54" display="https://www.era.europa.eu/system/files/2024-02/PT-240 - Relat%C3%B3rio_Sumario_ferro_PT_240_RF202303.pdf" xr:uid="{A3EC10A3-0066-4D21-A7FC-DBC81CC50B95}"/>
    <hyperlink ref="D193" r:id="rId55" display="https://www.era.europa.eu/system/files/2024-02/PT-239 - Relat%C3%B3rio_Sumario_ferro_PT_239_RF202301.pdf" xr:uid="{DF09C582-914C-4AA3-BA6F-23011FEE6AE3}"/>
    <hyperlink ref="D117" r:id="rId56" display="https://www.era.europa.eu/system/files/2024-02/PT-78 - Relat%C3%B3rio_Sumario_ferro_PT_78_RF202302.pdf" xr:uid="{125D55B7-2FD3-414A-9503-63414ACA2625}"/>
    <hyperlink ref="D3632" r:id="rId57" display="https://www.era.europa.eu/system/files/2024-02/DK-10419 - Serious accident ID DK-10419 Eskilstrup  Person struck by train %2822-05-2023%29.pdf" xr:uid="{4D925679-BEE0-4182-ACB2-38175838CEF3}"/>
    <hyperlink ref="D3596" r:id="rId58" display="https://www.era.europa.eu/system/files/2024-02/PL-10379 - Report 2 2024_EN.pdf" xr:uid="{D6C64026-773F-4BFE-B2E2-3C05F7457465}"/>
    <hyperlink ref="D3629" r:id="rId59" display="https://www.era.europa.eu/system/files/2024-02/PL-10416 - Report 3 2024_EN.pdf" xr:uid="{B1CDF240-0E6D-4ED5-86EC-DC3BB376ED29}"/>
    <hyperlink ref="D3203" r:id="rId60" display="https://www.era.europa.eu/system/files/2024-02/DE-10309 Summary in english Train derailment K%C3%B6ln Eifeltor.pdf" xr:uid="{E5DAD0BA-4FA0-4FF2-8FD7-2211B658A21B}"/>
    <hyperlink ref="D3601" r:id="rId61" display="https://www.era.europa.eu/system/files/2024-03/RO-10380 - RI Zalau Nord Mirsid 22 02 2023 final transmis.pdf" xr:uid="{19A51AD7-4B25-4D89-9A0C-C0D00C6DB68D}"/>
    <hyperlink ref="D3703" r:id="rId62" display="https://www.era.europa.eu/system/files/2024-03/BG-10485 - Final report 44202_NIB BG ENG 1.pdf" xr:uid="{5D94D66F-ED7C-48F6-957A-5DE218F759DB}"/>
    <hyperlink ref="D3607" r:id="rId63" display="https://www.era.europa.eu/system/files/2024-03/DK-10401 - 2023-163 EN Report Summary Conclusion and Recommendations.pdf" xr:uid="{C2CA4F03-0A25-4571-A99A-7422C70CCC21}"/>
    <hyperlink ref="D3598" r:id="rId64" display="https://www.era.europa.eu/system/files/2024-03/CZ-10377 - Final_report_Chlumcany_u_Dobran.pdf" xr:uid="{792E684B-C544-4D0A-8909-D670B0B7633D}"/>
    <hyperlink ref="D3613" r:id="rId65" display="https://www.era.europa.eu/system/files/2024-03/RO-10392 - RI Beia Cata 17 03 2023 final transmis.pdf" xr:uid="{EC7B8994-51FB-4F67-AF41-4D46B34A25AC}"/>
    <hyperlink ref="D3611" r:id="rId66" display="https://www.era.europa.eu/system/files/2024-03/NO-10393 - 2024-02 Narvik.pdf" xr:uid="{0B6B737B-17E3-4670-B3B4-ACF924DC3EE0}"/>
    <hyperlink ref="D3612" r:id="rId67" display="https://www.era.europa.eu/system/files/2024-03/RO-10390 - RI Rosiori Nord 13 03 2023 final transmis.pdf" xr:uid="{B9120F62-C05C-476C-BFDA-C5E9D3475F28}"/>
    <hyperlink ref="D3617" r:id="rId68" display="https://www.era.europa.eu/system/files/2024-03/CZ-10396 - Final_report_Vlastec_II_CZ-10396.pdf" xr:uid="{BC02CD37-7115-452D-9D69-27345CE59262}"/>
    <hyperlink ref="D3540" r:id="rId69" display="https://www.era.europa.eu/system/files/2024-03/HU-10322 - 2022-1166-5_zj_EN.pdf" xr:uid="{EAD3BC45-BCB7-4C37-9BC6-910FBD3400E4}"/>
    <hyperlink ref="D3488" r:id="rId70" display="https://www.era.europa.eu/system/files/2024-03/HU-10242 - 2022-0629-5_zj_EN.pdf" xr:uid="{1C820893-F189-4EC7-96A9-01E1881B05B0}"/>
    <hyperlink ref="D3602" r:id="rId71" display="https://www.era.europa.eu/system/files/2024-03/IE-10404 - 230222 Broken Rail Emly.pdf" xr:uid="{C604E05C-851F-4A69-9134-567B5355B43C}"/>
    <hyperlink ref="D3616" r:id="rId72" display="https://www.era.europa.eu/system/files/2024-04/RO-10395 - RI Berbesti Popesti 28 03 2023 final transmis.pdf" xr:uid="{3C2B1E55-52DB-4682-9D53-81C4E3A532F1}"/>
    <hyperlink ref="D3493" r:id="rId73" display="https://www.era.europa.eu/system/files/2024-04/HU-10247 - 2022-0682-5_zj_EN.docx" xr:uid="{DA6009A9-DE64-4F03-8B37-26CD5D1EA043}"/>
    <hyperlink ref="D3502" r:id="rId74" display="https://www.era.europa.eu/system/files/2024-04/HU-10256 - 2022-0740-5_zj_EN.pdf" xr:uid="{7AC4BDA5-53DE-4D83-B852-EB204121ADC1}"/>
    <hyperlink ref="D3470" r:id="rId75" display="https://www.era.europa.eu/system/files/2024-04/HU-10356 - 2022-0512-5_zj_EN.pdf" xr:uid="{FD9F9714-28D2-4E7C-9F63-49A0BCDDEE05}"/>
    <hyperlink ref="D3618" r:id="rId76" display="https://www.era.europa.eu/system/files/2024-04/NO-10398 - 2024-03 Bybanen.pdf" xr:uid="{8EF86340-6694-438E-820B-837AF8EE7D74}"/>
    <hyperlink ref="D3424" r:id="rId77" display="https://www.era.europa.eu/system/files/2024-04/DK-10283 - 2022-34 Report Ejby wheel failure_ EN.pdf" xr:uid="{CFEC6E03-9A88-476A-AFA5-844803B4AE2E}"/>
    <hyperlink ref="D3443" r:id="rId78" display="https://www.era.europa.eu/system/files/2024-04/CZ-10200 - Final_report_Skaly_CZ-10200.pdf" xr:uid="{AAEEA4E5-AE35-4B0C-9D32-58994666A796}"/>
    <hyperlink ref="D3422" r:id="rId79" display="https://www.era.europa.eu/system/files/2024-04/HU-10178 - 2022-0048-5_zj_EN_EN_BT.docx" xr:uid="{3C0B8017-35BF-410D-AF2E-29BD1D23F438}"/>
    <hyperlink ref="D3427" r:id="rId80" display="https://www.era.europa.eu/system/files/2024-04/HU-10184 - 2022-0075-5_zj_EN_EN_BT.docx" xr:uid="{27CC1EFC-20B6-4418-AC39-1BD85EF2CA8F}"/>
    <hyperlink ref="D3417" r:id="rId81" display="https://www.era.europa.eu/system/files/2024-04/HU-10240 - 2022-0002-5_zj_EN_EN_BT.docx" xr:uid="{AC2A6EA8-03EF-42A6-8233-6E49EB8B40B2}"/>
    <hyperlink ref="D3430" r:id="rId82" display="https://www.era.europa.eu/system/files/2024-04/HU-10183 - 2022-0107-5_zj_EN_EN_BT.docx" xr:uid="{A571B01B-E0FF-4780-A4F3-E699C05A897C}"/>
    <hyperlink ref="D3525" r:id="rId83" display="https://www.era.europa.eu/system/files/2024-04/HU-10310 - 2022-0960-5_zj_EN_EN_BT.docx" xr:uid="{B0FDD33E-BA92-4903-8E5E-763260A71642}"/>
    <hyperlink ref="D3628" r:id="rId84" display="https://www.era.europa.eu/system/files/2024-04/PL-10418 - Report No PKBWK 04 2024_EN.pdf" xr:uid="{DBF1F4C5-B1E2-45E9-813D-472899EEE72F}"/>
    <hyperlink ref="D3683" r:id="rId85" display="https://www.era.europa.eu/system/files/2024-04/CZ-10463 - 240426_final_report_DP_Plzen_Karlovarska.pdf" xr:uid="{383DECB7-7022-426C-9FB3-3B6A90A181FC}"/>
    <hyperlink ref="D3592" r:id="rId86" display="https://www.era.europa.eu/system/files/2024-05/IT-10368 - Relazione finale_Pozzano_26-01-2023_pubblica.pdf" xr:uid="{3F52B584-DBA8-4A2E-8B26-7095123D0635}"/>
    <hyperlink ref="D3621" r:id="rId87" display="https://www.era.europa.eu/system/files/2024-05/RO-10402 - RI Sannicolau  Mare Cenad 18 04 2023 final transmis.pdf" xr:uid="{4E5517F8-AFAE-4FD6-9C15-43C503848C83}"/>
    <hyperlink ref="D3593" r:id="rId88" display="https://www.era.europa.eu/system/files/2024-05/ES-10383 - 2023-11-0130-IF.pdf" xr:uid="{083739E5-A888-4BF7-B94C-66FF53886553}"/>
    <hyperlink ref="D3669" r:id="rId89" display="https://www.era.europa.eu/system/files/2024-05/CZ-10450 - 240513_final_report_Bezdecin.pdf" xr:uid="{942659F7-77FD-4000-AB3B-A1AF4908BA49}"/>
    <hyperlink ref="D3630" r:id="rId90" display="https://www.era.europa.eu/system/files/2024-05/RO-10411 - RI Toporu 17 05 2023 final transmis.pdf" xr:uid="{07E2DA9D-810E-4A70-AA24-FB273B7673FD}"/>
    <hyperlink ref="D3619" r:id="rId91" display="https://www.era.europa.eu/system/files/2024-05/NL-10405 - Final report_0.pdf" xr:uid="{8BB514CA-7FEC-40BB-93BD-8FA42BBE3939}"/>
    <hyperlink ref="D3542" r:id="rId92" display="https://www.era.europa.eu/system/files/2024-05/HU-10324 - 2022-1184-5_zj_EN.pdf" xr:uid="{B02BACD3-AB92-4F30-A133-753A7B18F33A}"/>
    <hyperlink ref="D3519" r:id="rId93" display="https://www.era.europa.eu/system/files/2024-05/HU-10289 - 2022-0917-5_zj_EN.pdf" xr:uid="{EFA69C35-3F29-42BF-B0A8-A398DF2B9EDB}"/>
    <hyperlink ref="D3524" r:id="rId94" display="https://www.era.europa.eu/system/files/2024-05/HU-10296 - 2022-0940-5_zj_EN.pdf" xr:uid="{51B39D8C-CBEA-43B1-95DB-E28D22D31CAA}"/>
    <hyperlink ref="D3468" r:id="rId95" display="https://www.era.europa.eu/system/files/2024-05/AT-10226 - 795.404_UB_1.0_Optimized.pdf" xr:uid="{128D77BD-6646-45D0-9CCA-807D9F1FE4A1}"/>
    <hyperlink ref="D3636" r:id="rId96" display="https://www.era.europa.eu/system/files/2024-05/RO-10420 - RI Sighisoara 08 06 2023 final transmis.pdf" xr:uid="{F2CB5E96-4B72-4F9E-A3C9-B52DEF398656}"/>
    <hyperlink ref="D3696" r:id="rId97" display="https://www.era.europa.eu/system/files/2024-06/DK-10507 - Statement K%C3%B8benhavn H. - Hvidovre Fjern Personp%C3%A5k%C3%B8rsel %2825-11-2023%29.pdf" xr:uid="{9E8181FE-7F07-41F1-934D-D0829E05D492}"/>
    <hyperlink ref="D3624" r:id="rId98" display="https://www.era.europa.eu/system/files/2024-06/AT-10408 - final  795.406 UB 1.0.pdf" xr:uid="{DB5670ED-3E4D-4648-A401-BFFB079411CD}"/>
    <hyperlink ref="D3730" r:id="rId99" display="https://www.era.europa.eu/system/files/2024-06/CZ-10511 - Final_report_Rynoltice.pdf" xr:uid="{E2D90463-37CF-4DE9-A4F9-05AB5E6299D0}"/>
    <hyperlink ref="D3644" r:id="rId100" display="https://www.era.europa.eu/system/files/2024-06/CZ-10429 - Final_report_Bozice_u_Znojma_P7118.pdf" xr:uid="{368DCB71-7476-4178-8DCC-C28A94290FA3}"/>
    <hyperlink ref="D3640" r:id="rId101" display="https://www.era.europa.eu/system/files/2024-06/HR-10428 - KI incident izbjegnut sudar Su%C5%A1ak Pe%C4%87ine    22.06.2023._.pdf" xr:uid="{E5F5F037-377E-4FFB-9534-28B71EF26AC9}"/>
    <hyperlink ref="D3671" r:id="rId102" display="https://www.era.europa.eu/era-folder/fi-10451" xr:uid="{2BD42A8F-B902-4DE5-88EB-F1F4409C41AD}"/>
    <hyperlink ref="D3672" r:id="rId103" display="https://www.era.europa.eu/system/files/2024-06/DK-10453 - 2023-482 Statement K%C3%B8ge Personp%C3%A5k%C3%B8rsel %2824-09-2023%29.pdf" xr:uid="{CE03149D-743D-4CEA-9ECB-0C9832A8F79D}"/>
    <hyperlink ref="D2927" r:id="rId104" display="https://www.era.europa.eu/system/files/2024-06/AT-6217 - 190701_Kollision_Bf_Floridsdorf_795399_EUB %288%29_0.pdf" xr:uid="{FC3FCFDB-D3CF-459E-8AA1-0FFA97889AEB}"/>
    <hyperlink ref="D3688" r:id="rId105" display="https://www.era.europa.eu/system/files/2024-06/BG-10472 - Final report IP4IL_NIB BG.pdf" xr:uid="{F5593D91-EDF7-45BB-BC88-6D2BE30A0B55}"/>
    <hyperlink ref="D3676" r:id="rId106" display="https://www.era.europa.eu/system/files/2024-07/CZ-10455 - Final_report_Belcice_Blatna.pdf" xr:uid="{BC69EAF8-7544-4C57-94A4-19334C9FB48B}"/>
    <hyperlink ref="D3631" r:id="rId107" display="https://www.era.europa.eu/system/files/2024-07/ES-10479 - Final Report - 2023-43-0518-IF.pdf" xr:uid="{383827C2-27E9-4C49-BFDC-87B7244442A4}"/>
  </hyperlinks>
  <pageMargins left="0.75" right="0.75" top="1" bottom="1" header="0.5" footer="0.5"/>
  <pageSetup paperSize="9" scale="17" orientation="landscape" r:id="rId108"/>
  <legacyDrawing r:id="rId10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I8117"/>
  <sheetViews>
    <sheetView workbookViewId="0">
      <pane ySplit="1" topLeftCell="A8110" activePane="bottomLeft" state="frozen"/>
      <selection pane="bottomLeft" activeCell="E8114" sqref="E8114"/>
    </sheetView>
  </sheetViews>
  <sheetFormatPr defaultColWidth="8.7265625" defaultRowHeight="14.5" x14ac:dyDescent="0.35"/>
  <cols>
    <col min="1" max="1" width="19.26953125" bestFit="1" customWidth="1"/>
    <col min="2" max="2" width="19.26953125" customWidth="1"/>
    <col min="3" max="3" width="36.54296875" bestFit="1" customWidth="1"/>
    <col min="4" max="4" width="10.7265625" bestFit="1" customWidth="1"/>
    <col min="5" max="5" width="36.54296875" bestFit="1" customWidth="1"/>
    <col min="6" max="6" width="11.1796875" bestFit="1" customWidth="1"/>
    <col min="7" max="7" width="11" bestFit="1" customWidth="1"/>
    <col min="8" max="9" width="36.54296875" bestFit="1" customWidth="1"/>
  </cols>
  <sheetData>
    <row r="1" spans="1:9" ht="51.75" customHeight="1" x14ac:dyDescent="0.35">
      <c r="A1" s="95" t="s">
        <v>21616</v>
      </c>
      <c r="B1" s="95" t="s">
        <v>21617</v>
      </c>
      <c r="C1" s="95" t="s">
        <v>21618</v>
      </c>
      <c r="D1" s="95" t="s">
        <v>21619</v>
      </c>
      <c r="E1" s="95" t="s">
        <v>21620</v>
      </c>
      <c r="F1" s="96" t="s">
        <v>21621</v>
      </c>
      <c r="G1" s="95" t="s">
        <v>21622</v>
      </c>
      <c r="H1" s="97" t="s">
        <v>4</v>
      </c>
      <c r="I1" s="97" t="s">
        <v>5</v>
      </c>
    </row>
    <row r="2" spans="1:9" ht="51.75" customHeight="1" x14ac:dyDescent="0.35">
      <c r="A2" s="15">
        <v>1</v>
      </c>
      <c r="B2" s="15" t="s">
        <v>21623</v>
      </c>
      <c r="C2" s="15" t="s">
        <v>21624</v>
      </c>
      <c r="D2" s="31">
        <v>40827</v>
      </c>
      <c r="E2" s="15" t="s">
        <v>21625</v>
      </c>
      <c r="F2" s="87"/>
      <c r="G2" s="45" t="s">
        <v>5343</v>
      </c>
      <c r="H2" s="55" t="s">
        <v>5344</v>
      </c>
      <c r="I2" s="15" t="s">
        <v>105</v>
      </c>
    </row>
    <row r="3" spans="1:9" ht="51.75" customHeight="1" x14ac:dyDescent="0.35">
      <c r="A3" s="15">
        <v>2</v>
      </c>
      <c r="B3" s="15" t="s">
        <v>21626</v>
      </c>
      <c r="C3" s="15" t="s">
        <v>21627</v>
      </c>
      <c r="D3" s="31">
        <v>40827</v>
      </c>
      <c r="E3" s="15" t="s">
        <v>21628</v>
      </c>
      <c r="F3" s="87"/>
      <c r="G3" s="45" t="s">
        <v>5343</v>
      </c>
      <c r="H3" s="55" t="s">
        <v>5344</v>
      </c>
      <c r="I3" s="15" t="s">
        <v>105</v>
      </c>
    </row>
    <row r="4" spans="1:9" ht="51.75" customHeight="1" x14ac:dyDescent="0.35">
      <c r="A4" s="15">
        <v>1</v>
      </c>
      <c r="B4" s="15" t="s">
        <v>21629</v>
      </c>
      <c r="C4" s="15" t="s">
        <v>21630</v>
      </c>
      <c r="D4" s="31">
        <v>39038</v>
      </c>
      <c r="E4" s="15" t="s">
        <v>21631</v>
      </c>
      <c r="F4" s="87"/>
      <c r="G4" s="45" t="s">
        <v>1221</v>
      </c>
      <c r="H4" s="55" t="s">
        <v>1222</v>
      </c>
      <c r="I4" s="15" t="s">
        <v>105</v>
      </c>
    </row>
    <row r="5" spans="1:9" ht="51.75" customHeight="1" x14ac:dyDescent="0.35">
      <c r="A5" s="15">
        <v>2</v>
      </c>
      <c r="B5" s="15" t="s">
        <v>21632</v>
      </c>
      <c r="C5" s="15" t="s">
        <v>21633</v>
      </c>
      <c r="D5" s="31">
        <v>39038</v>
      </c>
      <c r="E5" s="15" t="s">
        <v>21634</v>
      </c>
      <c r="F5" s="87"/>
      <c r="G5" s="45" t="s">
        <v>1221</v>
      </c>
      <c r="H5" s="55" t="s">
        <v>1222</v>
      </c>
      <c r="I5" s="15" t="s">
        <v>105</v>
      </c>
    </row>
    <row r="6" spans="1:9" ht="51.75" customHeight="1" x14ac:dyDescent="0.35">
      <c r="A6" s="15">
        <v>1</v>
      </c>
      <c r="B6" s="15" t="s">
        <v>21635</v>
      </c>
      <c r="C6" s="15" t="s">
        <v>21636</v>
      </c>
      <c r="D6" s="31">
        <v>40728</v>
      </c>
      <c r="E6" s="15" t="s">
        <v>21637</v>
      </c>
      <c r="F6" s="87"/>
      <c r="G6" s="45" t="s">
        <v>4824</v>
      </c>
      <c r="H6" s="55" t="s">
        <v>4825</v>
      </c>
      <c r="I6" s="15" t="s">
        <v>105</v>
      </c>
    </row>
    <row r="7" spans="1:9" ht="51.75" customHeight="1" x14ac:dyDescent="0.35">
      <c r="A7" s="15">
        <v>1</v>
      </c>
      <c r="B7" s="15" t="s">
        <v>21638</v>
      </c>
      <c r="C7" s="15" t="s">
        <v>21639</v>
      </c>
      <c r="D7" s="31">
        <v>40326</v>
      </c>
      <c r="E7" s="15" t="s">
        <v>21640</v>
      </c>
      <c r="F7" s="87"/>
      <c r="G7" s="45" t="s">
        <v>3951</v>
      </c>
      <c r="H7" s="55" t="s">
        <v>3952</v>
      </c>
      <c r="I7" s="15" t="s">
        <v>105</v>
      </c>
    </row>
    <row r="8" spans="1:9" ht="51.75" customHeight="1" x14ac:dyDescent="0.35">
      <c r="A8" s="15">
        <v>1</v>
      </c>
      <c r="B8" s="15" t="s">
        <v>21641</v>
      </c>
      <c r="C8" s="15" t="s">
        <v>21642</v>
      </c>
      <c r="D8" s="31">
        <v>40662</v>
      </c>
      <c r="E8" s="15" t="s">
        <v>21642</v>
      </c>
      <c r="F8" s="87"/>
      <c r="G8" s="45" t="s">
        <v>4733</v>
      </c>
      <c r="H8" s="55" t="s">
        <v>4734</v>
      </c>
      <c r="I8" s="15" t="s">
        <v>105</v>
      </c>
    </row>
    <row r="9" spans="1:9" ht="51.75" customHeight="1" x14ac:dyDescent="0.35">
      <c r="A9" s="15">
        <v>1</v>
      </c>
      <c r="B9" s="15" t="s">
        <v>21643</v>
      </c>
      <c r="C9" s="15" t="s">
        <v>21644</v>
      </c>
      <c r="D9" s="31">
        <v>40325</v>
      </c>
      <c r="E9" s="15" t="s">
        <v>21645</v>
      </c>
      <c r="F9" s="87"/>
      <c r="G9" s="45" t="s">
        <v>4711</v>
      </c>
      <c r="H9" s="55" t="s">
        <v>4712</v>
      </c>
      <c r="I9" s="15" t="s">
        <v>105</v>
      </c>
    </row>
    <row r="10" spans="1:9" ht="51.75" customHeight="1" x14ac:dyDescent="0.35">
      <c r="A10" s="15">
        <v>2</v>
      </c>
      <c r="B10" s="15" t="s">
        <v>21646</v>
      </c>
      <c r="C10" s="15" t="s">
        <v>21647</v>
      </c>
      <c r="D10" s="31">
        <v>40325</v>
      </c>
      <c r="E10" s="15" t="s">
        <v>21648</v>
      </c>
      <c r="F10" s="87"/>
      <c r="G10" s="45" t="s">
        <v>4711</v>
      </c>
      <c r="H10" s="55" t="s">
        <v>4712</v>
      </c>
      <c r="I10" s="15" t="s">
        <v>105</v>
      </c>
    </row>
    <row r="11" spans="1:9" ht="51.75" customHeight="1" x14ac:dyDescent="0.35">
      <c r="A11" s="15">
        <v>3</v>
      </c>
      <c r="B11" s="15" t="s">
        <v>21649</v>
      </c>
      <c r="C11" s="15" t="s">
        <v>21650</v>
      </c>
      <c r="D11" s="31">
        <v>40325</v>
      </c>
      <c r="E11" s="15" t="s">
        <v>21651</v>
      </c>
      <c r="F11" s="87"/>
      <c r="G11" s="45" t="s">
        <v>4711</v>
      </c>
      <c r="H11" s="55" t="s">
        <v>4712</v>
      </c>
      <c r="I11" s="15" t="s">
        <v>105</v>
      </c>
    </row>
    <row r="12" spans="1:9" ht="51.75" customHeight="1" x14ac:dyDescent="0.35">
      <c r="A12" s="15">
        <v>4</v>
      </c>
      <c r="B12" s="15" t="s">
        <v>21652</v>
      </c>
      <c r="C12" s="15" t="s">
        <v>21653</v>
      </c>
      <c r="D12" s="31">
        <v>40325</v>
      </c>
      <c r="E12" s="15" t="s">
        <v>21654</v>
      </c>
      <c r="F12" s="87"/>
      <c r="G12" s="45" t="s">
        <v>4711</v>
      </c>
      <c r="H12" s="55" t="s">
        <v>4712</v>
      </c>
      <c r="I12" s="15" t="s">
        <v>105</v>
      </c>
    </row>
    <row r="13" spans="1:9" ht="51.75" customHeight="1" x14ac:dyDescent="0.35">
      <c r="A13" s="15">
        <v>5</v>
      </c>
      <c r="B13" s="15" t="s">
        <v>21655</v>
      </c>
      <c r="C13" s="15" t="s">
        <v>21656</v>
      </c>
      <c r="D13" s="31">
        <v>40325</v>
      </c>
      <c r="E13" s="15" t="s">
        <v>21657</v>
      </c>
      <c r="F13" s="87"/>
      <c r="G13" s="45" t="s">
        <v>4711</v>
      </c>
      <c r="H13" s="55" t="s">
        <v>4712</v>
      </c>
      <c r="I13" s="15" t="s">
        <v>105</v>
      </c>
    </row>
    <row r="14" spans="1:9" ht="51.75" customHeight="1" x14ac:dyDescent="0.35">
      <c r="A14" s="15">
        <v>6</v>
      </c>
      <c r="B14" s="15" t="s">
        <v>21658</v>
      </c>
      <c r="C14" s="15" t="s">
        <v>21659</v>
      </c>
      <c r="D14" s="31">
        <v>40325</v>
      </c>
      <c r="E14" s="15" t="s">
        <v>21660</v>
      </c>
      <c r="F14" s="87"/>
      <c r="G14" s="45" t="s">
        <v>4711</v>
      </c>
      <c r="H14" s="55" t="s">
        <v>4712</v>
      </c>
      <c r="I14" s="15" t="s">
        <v>105</v>
      </c>
    </row>
    <row r="15" spans="1:9" ht="51.75" customHeight="1" x14ac:dyDescent="0.35">
      <c r="A15" s="15">
        <v>7</v>
      </c>
      <c r="B15" s="15" t="s">
        <v>21661</v>
      </c>
      <c r="C15" s="15" t="s">
        <v>21662</v>
      </c>
      <c r="D15" s="31">
        <v>40325</v>
      </c>
      <c r="E15" s="15" t="s">
        <v>21663</v>
      </c>
      <c r="F15" s="87"/>
      <c r="G15" s="45" t="s">
        <v>4711</v>
      </c>
      <c r="H15" s="55" t="s">
        <v>4712</v>
      </c>
      <c r="I15" s="15" t="s">
        <v>105</v>
      </c>
    </row>
    <row r="16" spans="1:9" ht="51.75" customHeight="1" x14ac:dyDescent="0.35">
      <c r="A16" s="15">
        <v>1</v>
      </c>
      <c r="B16" s="15" t="s">
        <v>21664</v>
      </c>
      <c r="C16" s="15" t="s">
        <v>21665</v>
      </c>
      <c r="D16" s="31">
        <v>40694</v>
      </c>
      <c r="E16" s="15" t="s">
        <v>21665</v>
      </c>
      <c r="F16" s="87"/>
      <c r="G16" s="45" t="s">
        <v>4491</v>
      </c>
      <c r="H16" s="55" t="s">
        <v>4492</v>
      </c>
      <c r="I16" s="15" t="s">
        <v>105</v>
      </c>
    </row>
    <row r="17" spans="1:9" ht="51.75" customHeight="1" x14ac:dyDescent="0.35">
      <c r="A17" s="15">
        <v>1</v>
      </c>
      <c r="B17" s="15" t="s">
        <v>21666</v>
      </c>
      <c r="C17" s="15" t="s">
        <v>21667</v>
      </c>
      <c r="D17" s="31">
        <v>40547</v>
      </c>
      <c r="E17" s="15" t="s">
        <v>21668</v>
      </c>
      <c r="F17" s="87"/>
      <c r="G17" s="45" t="s">
        <v>4396</v>
      </c>
      <c r="H17" s="55" t="s">
        <v>4397</v>
      </c>
      <c r="I17" s="15" t="s">
        <v>105</v>
      </c>
    </row>
    <row r="18" spans="1:9" ht="51.75" customHeight="1" x14ac:dyDescent="0.35">
      <c r="A18" s="15">
        <v>2</v>
      </c>
      <c r="B18" s="15" t="s">
        <v>21669</v>
      </c>
      <c r="C18" s="15" t="s">
        <v>21670</v>
      </c>
      <c r="D18" s="31">
        <v>40547</v>
      </c>
      <c r="E18" s="15" t="s">
        <v>21671</v>
      </c>
      <c r="F18" s="87"/>
      <c r="G18" s="45" t="s">
        <v>4396</v>
      </c>
      <c r="H18" s="55" t="s">
        <v>4397</v>
      </c>
      <c r="I18" s="15" t="s">
        <v>105</v>
      </c>
    </row>
    <row r="19" spans="1:9" ht="51.75" customHeight="1" x14ac:dyDescent="0.35">
      <c r="A19" s="15">
        <v>1</v>
      </c>
      <c r="B19" s="15" t="s">
        <v>21672</v>
      </c>
      <c r="C19" s="15" t="s">
        <v>21673</v>
      </c>
      <c r="D19" s="31">
        <v>40662</v>
      </c>
      <c r="E19" s="15" t="s">
        <v>21674</v>
      </c>
      <c r="F19" s="87"/>
      <c r="G19" s="45" t="s">
        <v>4374</v>
      </c>
      <c r="H19" s="55" t="s">
        <v>4375</v>
      </c>
      <c r="I19" s="15" t="s">
        <v>105</v>
      </c>
    </row>
    <row r="20" spans="1:9" ht="51.75" customHeight="1" x14ac:dyDescent="0.35">
      <c r="A20" s="15">
        <v>2</v>
      </c>
      <c r="B20" s="15" t="s">
        <v>21675</v>
      </c>
      <c r="C20" s="15" t="s">
        <v>21676</v>
      </c>
      <c r="D20" s="31">
        <v>40662</v>
      </c>
      <c r="E20" s="15" t="s">
        <v>21677</v>
      </c>
      <c r="F20" s="87"/>
      <c r="G20" s="45" t="s">
        <v>4374</v>
      </c>
      <c r="H20" s="55" t="s">
        <v>4375</v>
      </c>
      <c r="I20" s="15" t="s">
        <v>105</v>
      </c>
    </row>
    <row r="21" spans="1:9" ht="51.75" customHeight="1" x14ac:dyDescent="0.35">
      <c r="A21" s="15">
        <v>1</v>
      </c>
      <c r="B21" s="15" t="s">
        <v>21678</v>
      </c>
      <c r="C21" s="15" t="s">
        <v>21679</v>
      </c>
      <c r="D21" s="31">
        <v>40469</v>
      </c>
      <c r="E21" s="15" t="s">
        <v>21679</v>
      </c>
      <c r="F21" s="87"/>
      <c r="G21" s="45" t="s">
        <v>4092</v>
      </c>
      <c r="H21" s="55" t="s">
        <v>4093</v>
      </c>
      <c r="I21" s="15" t="s">
        <v>105</v>
      </c>
    </row>
    <row r="22" spans="1:9" ht="51.75" customHeight="1" x14ac:dyDescent="0.35">
      <c r="A22" s="15">
        <v>2</v>
      </c>
      <c r="B22" s="15" t="s">
        <v>21680</v>
      </c>
      <c r="C22" s="15" t="s">
        <v>21681</v>
      </c>
      <c r="D22" s="31">
        <v>40469</v>
      </c>
      <c r="E22" s="15" t="s">
        <v>21682</v>
      </c>
      <c r="F22" s="87"/>
      <c r="G22" s="45" t="s">
        <v>4092</v>
      </c>
      <c r="H22" s="55" t="s">
        <v>4093</v>
      </c>
      <c r="I22" s="15" t="s">
        <v>105</v>
      </c>
    </row>
    <row r="23" spans="1:9" ht="51.75" customHeight="1" x14ac:dyDescent="0.35">
      <c r="A23" s="15">
        <v>1</v>
      </c>
      <c r="B23" s="15" t="s">
        <v>21683</v>
      </c>
      <c r="C23" s="15" t="s">
        <v>21684</v>
      </c>
      <c r="D23" s="31">
        <v>40205</v>
      </c>
      <c r="E23" s="15" t="s">
        <v>21685</v>
      </c>
      <c r="F23" s="87"/>
      <c r="G23" s="45" t="s">
        <v>3813</v>
      </c>
      <c r="H23" s="55" t="s">
        <v>3814</v>
      </c>
      <c r="I23" s="15" t="s">
        <v>105</v>
      </c>
    </row>
    <row r="24" spans="1:9" ht="51.75" customHeight="1" x14ac:dyDescent="0.35">
      <c r="A24" s="15">
        <v>1</v>
      </c>
      <c r="B24" s="15" t="s">
        <v>21686</v>
      </c>
      <c r="C24" s="15" t="s">
        <v>21687</v>
      </c>
      <c r="D24" s="31">
        <v>40662</v>
      </c>
      <c r="E24" s="15" t="s">
        <v>21687</v>
      </c>
      <c r="F24" s="87"/>
      <c r="G24" s="45" t="s">
        <v>4087</v>
      </c>
      <c r="H24" s="55" t="s">
        <v>4088</v>
      </c>
      <c r="I24" s="15" t="s">
        <v>105</v>
      </c>
    </row>
    <row r="25" spans="1:9" ht="51.75" customHeight="1" x14ac:dyDescent="0.35">
      <c r="A25" s="15">
        <v>2</v>
      </c>
      <c r="B25" s="15" t="s">
        <v>21688</v>
      </c>
      <c r="C25" s="15" t="s">
        <v>21689</v>
      </c>
      <c r="D25" s="31">
        <v>40662</v>
      </c>
      <c r="E25" s="15" t="s">
        <v>21689</v>
      </c>
      <c r="F25" s="87"/>
      <c r="G25" s="45" t="s">
        <v>4087</v>
      </c>
      <c r="H25" s="55" t="s">
        <v>4088</v>
      </c>
      <c r="I25" s="15" t="s">
        <v>105</v>
      </c>
    </row>
    <row r="26" spans="1:9" ht="51.75" customHeight="1" x14ac:dyDescent="0.35">
      <c r="A26" s="15">
        <v>3</v>
      </c>
      <c r="B26" s="15" t="s">
        <v>21690</v>
      </c>
      <c r="C26" s="15" t="s">
        <v>21691</v>
      </c>
      <c r="D26" s="31">
        <v>40662</v>
      </c>
      <c r="E26" s="15" t="s">
        <v>21691</v>
      </c>
      <c r="F26" s="87"/>
      <c r="G26" s="45" t="s">
        <v>4087</v>
      </c>
      <c r="H26" s="55" t="s">
        <v>4088</v>
      </c>
      <c r="I26" s="15" t="s">
        <v>105</v>
      </c>
    </row>
    <row r="27" spans="1:9" ht="51.75" customHeight="1" x14ac:dyDescent="0.35">
      <c r="A27" s="15">
        <v>4</v>
      </c>
      <c r="B27" s="15" t="s">
        <v>21692</v>
      </c>
      <c r="C27" s="15" t="s">
        <v>21693</v>
      </c>
      <c r="D27" s="31">
        <v>40662</v>
      </c>
      <c r="E27" s="15" t="s">
        <v>21693</v>
      </c>
      <c r="F27" s="87"/>
      <c r="G27" s="45" t="s">
        <v>4087</v>
      </c>
      <c r="H27" s="55" t="s">
        <v>4088</v>
      </c>
      <c r="I27" s="15" t="s">
        <v>105</v>
      </c>
    </row>
    <row r="28" spans="1:9" ht="51.75" customHeight="1" x14ac:dyDescent="0.35">
      <c r="A28" s="15">
        <v>1</v>
      </c>
      <c r="B28" s="15" t="s">
        <v>21694</v>
      </c>
      <c r="C28" s="15" t="s">
        <v>21695</v>
      </c>
      <c r="D28" s="31">
        <v>40252</v>
      </c>
      <c r="E28" s="15" t="s">
        <v>21696</v>
      </c>
      <c r="F28" s="87"/>
      <c r="G28" s="45" t="s">
        <v>3829</v>
      </c>
      <c r="H28" s="55" t="s">
        <v>3830</v>
      </c>
      <c r="I28" s="15" t="s">
        <v>105</v>
      </c>
    </row>
    <row r="29" spans="1:9" ht="51.75" customHeight="1" x14ac:dyDescent="0.35">
      <c r="A29" s="15">
        <v>2</v>
      </c>
      <c r="B29" s="15" t="s">
        <v>21697</v>
      </c>
      <c r="C29" s="15" t="s">
        <v>21698</v>
      </c>
      <c r="D29" s="31">
        <v>40252</v>
      </c>
      <c r="E29" s="15" t="s">
        <v>21699</v>
      </c>
      <c r="F29" s="87"/>
      <c r="G29" s="45" t="s">
        <v>3829</v>
      </c>
      <c r="H29" s="55" t="s">
        <v>3830</v>
      </c>
      <c r="I29" s="15" t="s">
        <v>105</v>
      </c>
    </row>
    <row r="30" spans="1:9" ht="51.75" customHeight="1" x14ac:dyDescent="0.35">
      <c r="A30" s="15">
        <v>3</v>
      </c>
      <c r="B30" s="15" t="s">
        <v>21700</v>
      </c>
      <c r="C30" s="15" t="s">
        <v>21701</v>
      </c>
      <c r="D30" s="31">
        <v>40252</v>
      </c>
      <c r="E30" s="15" t="s">
        <v>21702</v>
      </c>
      <c r="F30" s="87"/>
      <c r="G30" s="45" t="s">
        <v>3829</v>
      </c>
      <c r="H30" s="55" t="s">
        <v>3830</v>
      </c>
      <c r="I30" s="15" t="s">
        <v>105</v>
      </c>
    </row>
    <row r="31" spans="1:9" ht="51.75" customHeight="1" x14ac:dyDescent="0.35">
      <c r="A31" s="15">
        <v>4</v>
      </c>
      <c r="B31" s="15" t="s">
        <v>21703</v>
      </c>
      <c r="C31" s="15" t="s">
        <v>21704</v>
      </c>
      <c r="D31" s="31">
        <v>40252</v>
      </c>
      <c r="E31" s="15" t="s">
        <v>21705</v>
      </c>
      <c r="F31" s="87"/>
      <c r="G31" s="45" t="s">
        <v>3829</v>
      </c>
      <c r="H31" s="55" t="s">
        <v>3830</v>
      </c>
      <c r="I31" s="15" t="s">
        <v>105</v>
      </c>
    </row>
    <row r="32" spans="1:9" ht="51.75" customHeight="1" x14ac:dyDescent="0.35">
      <c r="A32" s="15">
        <v>1</v>
      </c>
      <c r="B32" s="15" t="s">
        <v>21706</v>
      </c>
      <c r="C32" s="15" t="s">
        <v>21707</v>
      </c>
      <c r="D32" s="31">
        <v>40662</v>
      </c>
      <c r="E32" s="15" t="s">
        <v>21708</v>
      </c>
      <c r="F32" s="87"/>
      <c r="G32" s="45" t="s">
        <v>3574</v>
      </c>
      <c r="H32" s="55" t="s">
        <v>3575</v>
      </c>
      <c r="I32" s="15" t="s">
        <v>105</v>
      </c>
    </row>
    <row r="33" spans="1:9" ht="51.75" customHeight="1" x14ac:dyDescent="0.35">
      <c r="A33" s="15">
        <v>1</v>
      </c>
      <c r="B33" s="15" t="s">
        <v>21709</v>
      </c>
      <c r="C33" s="15" t="s">
        <v>21710</v>
      </c>
      <c r="D33" s="31">
        <v>39890</v>
      </c>
      <c r="E33" s="15" t="s">
        <v>21711</v>
      </c>
      <c r="F33" s="87"/>
      <c r="G33" s="45" t="s">
        <v>3609</v>
      </c>
      <c r="H33" s="55" t="s">
        <v>3610</v>
      </c>
      <c r="I33" s="15" t="s">
        <v>105</v>
      </c>
    </row>
    <row r="34" spans="1:9" ht="51.75" customHeight="1" x14ac:dyDescent="0.35">
      <c r="A34" s="15">
        <v>2</v>
      </c>
      <c r="B34" s="15" t="s">
        <v>21712</v>
      </c>
      <c r="C34" s="15" t="s">
        <v>21713</v>
      </c>
      <c r="D34" s="31">
        <v>39890</v>
      </c>
      <c r="E34" s="15" t="s">
        <v>21714</v>
      </c>
      <c r="F34" s="87"/>
      <c r="G34" s="45" t="s">
        <v>3609</v>
      </c>
      <c r="H34" s="55" t="s">
        <v>3610</v>
      </c>
      <c r="I34" s="15" t="s">
        <v>105</v>
      </c>
    </row>
    <row r="35" spans="1:9" ht="51.75" customHeight="1" x14ac:dyDescent="0.35">
      <c r="A35" s="15">
        <v>3</v>
      </c>
      <c r="B35" s="15" t="s">
        <v>21715</v>
      </c>
      <c r="C35" s="15" t="s">
        <v>21716</v>
      </c>
      <c r="D35" s="31">
        <v>39890</v>
      </c>
      <c r="E35" s="15" t="s">
        <v>21717</v>
      </c>
      <c r="F35" s="87"/>
      <c r="G35" s="45" t="s">
        <v>3609</v>
      </c>
      <c r="H35" s="55" t="s">
        <v>3610</v>
      </c>
      <c r="I35" s="15" t="s">
        <v>105</v>
      </c>
    </row>
    <row r="36" spans="1:9" ht="51.75" customHeight="1" x14ac:dyDescent="0.35">
      <c r="A36" s="15">
        <v>1</v>
      </c>
      <c r="B36" s="15" t="s">
        <v>21718</v>
      </c>
      <c r="C36" s="15" t="s">
        <v>21719</v>
      </c>
      <c r="D36" s="31">
        <v>39996</v>
      </c>
      <c r="E36" s="15" t="s">
        <v>21720</v>
      </c>
      <c r="F36" s="87"/>
      <c r="G36" s="45" t="s">
        <v>3056</v>
      </c>
      <c r="H36" s="55" t="s">
        <v>3057</v>
      </c>
      <c r="I36" s="15" t="s">
        <v>105</v>
      </c>
    </row>
    <row r="37" spans="1:9" ht="51.75" customHeight="1" x14ac:dyDescent="0.35">
      <c r="A37" s="15">
        <v>1</v>
      </c>
      <c r="B37" s="15" t="s">
        <v>21721</v>
      </c>
      <c r="C37" s="15" t="s">
        <v>21722</v>
      </c>
      <c r="D37" s="31">
        <v>39828</v>
      </c>
      <c r="E37" s="15" t="s">
        <v>21722</v>
      </c>
      <c r="F37" s="87"/>
      <c r="G37" s="45" t="s">
        <v>103</v>
      </c>
      <c r="H37" s="55" t="s">
        <v>104</v>
      </c>
      <c r="I37" s="15" t="s">
        <v>105</v>
      </c>
    </row>
    <row r="38" spans="1:9" ht="51.75" customHeight="1" x14ac:dyDescent="0.35">
      <c r="A38" s="15">
        <v>2</v>
      </c>
      <c r="B38" s="15" t="s">
        <v>21723</v>
      </c>
      <c r="C38" s="15" t="s">
        <v>21724</v>
      </c>
      <c r="D38" s="31">
        <v>39828</v>
      </c>
      <c r="E38" s="15" t="s">
        <v>21725</v>
      </c>
      <c r="F38" s="87"/>
      <c r="G38" s="45" t="s">
        <v>103</v>
      </c>
      <c r="H38" s="55" t="s">
        <v>104</v>
      </c>
      <c r="I38" s="15" t="s">
        <v>105</v>
      </c>
    </row>
    <row r="39" spans="1:9" ht="51.75" customHeight="1" x14ac:dyDescent="0.35">
      <c r="A39" s="15">
        <v>3</v>
      </c>
      <c r="B39" s="15" t="s">
        <v>21726</v>
      </c>
      <c r="C39" s="15" t="s">
        <v>21727</v>
      </c>
      <c r="D39" s="31">
        <v>39828</v>
      </c>
      <c r="E39" s="15" t="s">
        <v>21728</v>
      </c>
      <c r="F39" s="87"/>
      <c r="G39" s="45" t="s">
        <v>103</v>
      </c>
      <c r="H39" s="55" t="s">
        <v>104</v>
      </c>
      <c r="I39" s="15" t="s">
        <v>105</v>
      </c>
    </row>
    <row r="40" spans="1:9" ht="51.75" customHeight="1" x14ac:dyDescent="0.35">
      <c r="A40" s="15">
        <v>4</v>
      </c>
      <c r="B40" s="15" t="s">
        <v>21729</v>
      </c>
      <c r="C40" s="15" t="s">
        <v>21730</v>
      </c>
      <c r="D40" s="31">
        <v>39828</v>
      </c>
      <c r="E40" s="15" t="s">
        <v>21731</v>
      </c>
      <c r="F40" s="87"/>
      <c r="G40" s="45" t="s">
        <v>103</v>
      </c>
      <c r="H40" s="55" t="s">
        <v>104</v>
      </c>
      <c r="I40" s="15" t="s">
        <v>105</v>
      </c>
    </row>
    <row r="41" spans="1:9" ht="51.75" customHeight="1" x14ac:dyDescent="0.35">
      <c r="A41" s="15">
        <v>5</v>
      </c>
      <c r="B41" s="15" t="s">
        <v>21732</v>
      </c>
      <c r="C41" s="15" t="s">
        <v>21733</v>
      </c>
      <c r="D41" s="31">
        <v>39828</v>
      </c>
      <c r="E41" s="15" t="s">
        <v>21734</v>
      </c>
      <c r="F41" s="87"/>
      <c r="G41" s="45" t="s">
        <v>103</v>
      </c>
      <c r="H41" s="55" t="s">
        <v>104</v>
      </c>
      <c r="I41" s="15" t="s">
        <v>105</v>
      </c>
    </row>
    <row r="42" spans="1:9" ht="51.75" customHeight="1" x14ac:dyDescent="0.35">
      <c r="A42" s="15">
        <v>6</v>
      </c>
      <c r="B42" s="15" t="s">
        <v>21735</v>
      </c>
      <c r="C42" s="15" t="s">
        <v>21736</v>
      </c>
      <c r="D42" s="31">
        <v>39828</v>
      </c>
      <c r="E42" s="15" t="s">
        <v>21737</v>
      </c>
      <c r="F42" s="87"/>
      <c r="G42" s="45" t="s">
        <v>103</v>
      </c>
      <c r="H42" s="55" t="s">
        <v>104</v>
      </c>
      <c r="I42" s="15" t="s">
        <v>105</v>
      </c>
    </row>
    <row r="43" spans="1:9" ht="51.75" customHeight="1" x14ac:dyDescent="0.35">
      <c r="A43" s="15">
        <v>7</v>
      </c>
      <c r="B43" s="15" t="s">
        <v>21738</v>
      </c>
      <c r="C43" s="15" t="s">
        <v>21739</v>
      </c>
      <c r="D43" s="31">
        <v>39828</v>
      </c>
      <c r="E43" s="15" t="s">
        <v>21740</v>
      </c>
      <c r="F43" s="87"/>
      <c r="G43" s="45" t="s">
        <v>103</v>
      </c>
      <c r="H43" s="55" t="s">
        <v>104</v>
      </c>
      <c r="I43" s="15" t="s">
        <v>105</v>
      </c>
    </row>
    <row r="44" spans="1:9" ht="51.75" customHeight="1" x14ac:dyDescent="0.35">
      <c r="A44" s="15">
        <v>8</v>
      </c>
      <c r="B44" s="15" t="s">
        <v>21741</v>
      </c>
      <c r="C44" s="15" t="s">
        <v>21742</v>
      </c>
      <c r="D44" s="31">
        <v>39828</v>
      </c>
      <c r="E44" s="15" t="s">
        <v>21743</v>
      </c>
      <c r="F44" s="87"/>
      <c r="G44" s="45" t="s">
        <v>103</v>
      </c>
      <c r="H44" s="55" t="s">
        <v>104</v>
      </c>
      <c r="I44" s="15" t="s">
        <v>105</v>
      </c>
    </row>
    <row r="45" spans="1:9" ht="51.75" customHeight="1" x14ac:dyDescent="0.35">
      <c r="A45" s="15">
        <v>9</v>
      </c>
      <c r="B45" s="15" t="s">
        <v>21744</v>
      </c>
      <c r="C45" s="15" t="s">
        <v>21745</v>
      </c>
      <c r="D45" s="31">
        <v>39828</v>
      </c>
      <c r="E45" s="15" t="s">
        <v>21746</v>
      </c>
      <c r="F45" s="87"/>
      <c r="G45" s="45" t="s">
        <v>103</v>
      </c>
      <c r="H45" s="55" t="s">
        <v>104</v>
      </c>
      <c r="I45" s="15" t="s">
        <v>105</v>
      </c>
    </row>
    <row r="46" spans="1:9" ht="51.75" customHeight="1" x14ac:dyDescent="0.35">
      <c r="A46" s="15">
        <v>1</v>
      </c>
      <c r="B46" s="15" t="s">
        <v>21747</v>
      </c>
      <c r="C46" s="15" t="s">
        <v>21748</v>
      </c>
      <c r="D46" s="31">
        <v>40123</v>
      </c>
      <c r="E46" s="15" t="s">
        <v>21748</v>
      </c>
      <c r="F46" s="87"/>
      <c r="G46" s="45" t="s">
        <v>3151</v>
      </c>
      <c r="H46" s="55" t="s">
        <v>3152</v>
      </c>
      <c r="I46" s="15" t="s">
        <v>105</v>
      </c>
    </row>
    <row r="47" spans="1:9" ht="51.75" customHeight="1" x14ac:dyDescent="0.35">
      <c r="A47" s="15">
        <v>2</v>
      </c>
      <c r="B47" s="15" t="s">
        <v>21749</v>
      </c>
      <c r="C47" s="15" t="s">
        <v>21750</v>
      </c>
      <c r="D47" s="31">
        <v>40123</v>
      </c>
      <c r="E47" s="15" t="s">
        <v>21750</v>
      </c>
      <c r="F47" s="87"/>
      <c r="G47" s="45" t="s">
        <v>3151</v>
      </c>
      <c r="H47" s="55" t="s">
        <v>3152</v>
      </c>
      <c r="I47" s="15" t="s">
        <v>105</v>
      </c>
    </row>
    <row r="48" spans="1:9" ht="51.75" customHeight="1" x14ac:dyDescent="0.35">
      <c r="A48" s="15">
        <v>3</v>
      </c>
      <c r="B48" s="15" t="s">
        <v>21751</v>
      </c>
      <c r="C48" s="15" t="s">
        <v>21752</v>
      </c>
      <c r="D48" s="31">
        <v>40123</v>
      </c>
      <c r="E48" s="15" t="s">
        <v>21752</v>
      </c>
      <c r="F48" s="87"/>
      <c r="G48" s="45" t="s">
        <v>3151</v>
      </c>
      <c r="H48" s="55" t="s">
        <v>3152</v>
      </c>
      <c r="I48" s="15" t="s">
        <v>105</v>
      </c>
    </row>
    <row r="49" spans="1:9" ht="51.75" customHeight="1" x14ac:dyDescent="0.35">
      <c r="A49" s="15">
        <v>4</v>
      </c>
      <c r="B49" s="15" t="s">
        <v>21753</v>
      </c>
      <c r="C49" s="15" t="s">
        <v>21754</v>
      </c>
      <c r="D49" s="31">
        <v>40123</v>
      </c>
      <c r="E49" s="15" t="s">
        <v>21754</v>
      </c>
      <c r="F49" s="87"/>
      <c r="G49" s="45" t="s">
        <v>3151</v>
      </c>
      <c r="H49" s="55" t="s">
        <v>3152</v>
      </c>
      <c r="I49" s="15" t="s">
        <v>105</v>
      </c>
    </row>
    <row r="50" spans="1:9" ht="51.75" customHeight="1" x14ac:dyDescent="0.35">
      <c r="A50" s="15">
        <v>5</v>
      </c>
      <c r="B50" s="15" t="s">
        <v>21755</v>
      </c>
      <c r="C50" s="15" t="s">
        <v>21756</v>
      </c>
      <c r="D50" s="31">
        <v>40123</v>
      </c>
      <c r="E50" s="15" t="s">
        <v>21756</v>
      </c>
      <c r="F50" s="87"/>
      <c r="G50" s="45" t="s">
        <v>3151</v>
      </c>
      <c r="H50" s="55" t="s">
        <v>3152</v>
      </c>
      <c r="I50" s="15" t="s">
        <v>105</v>
      </c>
    </row>
    <row r="51" spans="1:9" ht="51.75" customHeight="1" x14ac:dyDescent="0.35">
      <c r="A51" s="15">
        <v>1</v>
      </c>
      <c r="B51" s="15" t="s">
        <v>21757</v>
      </c>
      <c r="C51" s="15" t="s">
        <v>21758</v>
      </c>
      <c r="D51" s="31">
        <v>40030</v>
      </c>
      <c r="E51" s="15" t="s">
        <v>21759</v>
      </c>
      <c r="F51" s="87"/>
      <c r="G51" s="45" t="s">
        <v>3050</v>
      </c>
      <c r="H51" s="55" t="s">
        <v>3051</v>
      </c>
      <c r="I51" s="15" t="s">
        <v>105</v>
      </c>
    </row>
    <row r="52" spans="1:9" ht="51.75" customHeight="1" x14ac:dyDescent="0.35">
      <c r="A52" s="15">
        <v>2</v>
      </c>
      <c r="B52" s="15" t="s">
        <v>21760</v>
      </c>
      <c r="C52" s="15" t="s">
        <v>21761</v>
      </c>
      <c r="D52" s="31">
        <v>40030</v>
      </c>
      <c r="E52" s="15" t="s">
        <v>21762</v>
      </c>
      <c r="F52" s="87"/>
      <c r="G52" s="45" t="s">
        <v>3050</v>
      </c>
      <c r="H52" s="55" t="s">
        <v>3051</v>
      </c>
      <c r="I52" s="15" t="s">
        <v>105</v>
      </c>
    </row>
    <row r="53" spans="1:9" ht="51.75" customHeight="1" x14ac:dyDescent="0.35">
      <c r="A53" s="15">
        <v>1</v>
      </c>
      <c r="B53" s="15" t="s">
        <v>21763</v>
      </c>
      <c r="C53" s="15" t="s">
        <v>21764</v>
      </c>
      <c r="D53" s="31">
        <v>40101</v>
      </c>
      <c r="E53" s="15" t="s">
        <v>21764</v>
      </c>
      <c r="F53" s="87"/>
      <c r="G53" s="45" t="s">
        <v>2745</v>
      </c>
      <c r="H53" s="55" t="s">
        <v>2746</v>
      </c>
      <c r="I53" s="15" t="s">
        <v>105</v>
      </c>
    </row>
    <row r="54" spans="1:9" ht="51.75" customHeight="1" x14ac:dyDescent="0.35">
      <c r="A54" s="15">
        <v>2</v>
      </c>
      <c r="B54" s="15" t="s">
        <v>21765</v>
      </c>
      <c r="C54" s="15" t="s">
        <v>21766</v>
      </c>
      <c r="D54" s="31">
        <v>40101</v>
      </c>
      <c r="E54" s="15" t="s">
        <v>21766</v>
      </c>
      <c r="F54" s="87"/>
      <c r="G54" s="45" t="s">
        <v>2745</v>
      </c>
      <c r="H54" s="55" t="s">
        <v>2746</v>
      </c>
      <c r="I54" s="15" t="s">
        <v>105</v>
      </c>
    </row>
    <row r="55" spans="1:9" ht="51.75" customHeight="1" x14ac:dyDescent="0.35">
      <c r="A55" s="15">
        <v>3</v>
      </c>
      <c r="B55" s="15" t="s">
        <v>21767</v>
      </c>
      <c r="C55" s="15" t="s">
        <v>21768</v>
      </c>
      <c r="D55" s="31">
        <v>40101</v>
      </c>
      <c r="E55" s="15" t="s">
        <v>21768</v>
      </c>
      <c r="F55" s="87"/>
      <c r="G55" s="45" t="s">
        <v>2745</v>
      </c>
      <c r="H55" s="55" t="s">
        <v>2746</v>
      </c>
      <c r="I55" s="15" t="s">
        <v>105</v>
      </c>
    </row>
    <row r="56" spans="1:9" ht="51.75" customHeight="1" x14ac:dyDescent="0.35">
      <c r="A56" s="15">
        <v>4</v>
      </c>
      <c r="B56" s="15" t="s">
        <v>21769</v>
      </c>
      <c r="C56" s="15" t="s">
        <v>21770</v>
      </c>
      <c r="D56" s="31">
        <v>40101</v>
      </c>
      <c r="E56" s="15" t="s">
        <v>21770</v>
      </c>
      <c r="F56" s="87"/>
      <c r="G56" s="45" t="s">
        <v>2745</v>
      </c>
      <c r="H56" s="55" t="s">
        <v>2746</v>
      </c>
      <c r="I56" s="15" t="s">
        <v>105</v>
      </c>
    </row>
    <row r="57" spans="1:9" ht="51.75" customHeight="1" x14ac:dyDescent="0.35">
      <c r="A57" s="15">
        <v>1</v>
      </c>
      <c r="B57" s="15" t="s">
        <v>21771</v>
      </c>
      <c r="C57" s="15" t="s">
        <v>21772</v>
      </c>
      <c r="D57" s="31">
        <v>39794</v>
      </c>
      <c r="E57" s="15" t="s">
        <v>21773</v>
      </c>
      <c r="F57" s="87"/>
      <c r="G57" s="45" t="s">
        <v>2616</v>
      </c>
      <c r="H57" s="55" t="s">
        <v>2617</v>
      </c>
      <c r="I57" s="15" t="s">
        <v>105</v>
      </c>
    </row>
    <row r="58" spans="1:9" ht="51.75" customHeight="1" x14ac:dyDescent="0.35">
      <c r="A58" s="15">
        <v>2</v>
      </c>
      <c r="B58" s="15" t="s">
        <v>21774</v>
      </c>
      <c r="C58" s="15" t="s">
        <v>21775</v>
      </c>
      <c r="D58" s="31">
        <v>39794</v>
      </c>
      <c r="E58" s="15" t="s">
        <v>21776</v>
      </c>
      <c r="F58" s="87"/>
      <c r="G58" s="45" t="s">
        <v>2616</v>
      </c>
      <c r="H58" s="55" t="s">
        <v>2617</v>
      </c>
      <c r="I58" s="15" t="s">
        <v>105</v>
      </c>
    </row>
    <row r="59" spans="1:9" ht="51.75" customHeight="1" x14ac:dyDescent="0.35">
      <c r="A59" s="15">
        <v>1</v>
      </c>
      <c r="B59" s="15" t="s">
        <v>21777</v>
      </c>
      <c r="C59" s="15" t="s">
        <v>21778</v>
      </c>
      <c r="D59" s="31">
        <v>39588</v>
      </c>
      <c r="E59" s="15" t="s">
        <v>21779</v>
      </c>
      <c r="F59" s="87"/>
      <c r="G59" s="45" t="s">
        <v>1097</v>
      </c>
      <c r="H59" s="55" t="s">
        <v>1098</v>
      </c>
      <c r="I59" s="15" t="s">
        <v>105</v>
      </c>
    </row>
    <row r="60" spans="1:9" ht="51.75" customHeight="1" x14ac:dyDescent="0.35">
      <c r="A60" s="15">
        <v>2</v>
      </c>
      <c r="B60" s="15" t="s">
        <v>21780</v>
      </c>
      <c r="C60" s="15" t="s">
        <v>21781</v>
      </c>
      <c r="D60" s="31">
        <v>39588</v>
      </c>
      <c r="E60" s="15" t="s">
        <v>21782</v>
      </c>
      <c r="F60" s="87"/>
      <c r="G60" s="45" t="s">
        <v>1097</v>
      </c>
      <c r="H60" s="55" t="s">
        <v>1098</v>
      </c>
      <c r="I60" s="15" t="s">
        <v>105</v>
      </c>
    </row>
    <row r="61" spans="1:9" ht="51.75" customHeight="1" x14ac:dyDescent="0.35">
      <c r="A61" s="15">
        <v>1</v>
      </c>
      <c r="B61" s="15" t="s">
        <v>21783</v>
      </c>
      <c r="C61" s="15" t="s">
        <v>21784</v>
      </c>
      <c r="D61" s="31">
        <v>39428</v>
      </c>
      <c r="E61" s="15" t="s">
        <v>21784</v>
      </c>
      <c r="F61" s="87"/>
      <c r="G61" s="45" t="s">
        <v>923</v>
      </c>
      <c r="H61" s="55" t="s">
        <v>924</v>
      </c>
      <c r="I61" s="15" t="s">
        <v>105</v>
      </c>
    </row>
    <row r="62" spans="1:9" ht="51.75" customHeight="1" x14ac:dyDescent="0.35">
      <c r="A62" s="15">
        <v>2</v>
      </c>
      <c r="B62" s="15" t="s">
        <v>21785</v>
      </c>
      <c r="C62" s="15" t="s">
        <v>21786</v>
      </c>
      <c r="D62" s="31">
        <v>39428</v>
      </c>
      <c r="E62" s="15" t="s">
        <v>21786</v>
      </c>
      <c r="F62" s="87"/>
      <c r="G62" s="45" t="s">
        <v>923</v>
      </c>
      <c r="H62" s="55" t="s">
        <v>924</v>
      </c>
      <c r="I62" s="15" t="s">
        <v>105</v>
      </c>
    </row>
    <row r="63" spans="1:9" ht="51.75" customHeight="1" x14ac:dyDescent="0.35">
      <c r="A63" s="15">
        <v>1</v>
      </c>
      <c r="B63" s="15" t="s">
        <v>21787</v>
      </c>
      <c r="C63" s="15" t="s">
        <v>21788</v>
      </c>
      <c r="D63" s="31">
        <v>39414</v>
      </c>
      <c r="E63" s="15" t="s">
        <v>21788</v>
      </c>
      <c r="F63" s="87"/>
      <c r="G63" s="45" t="s">
        <v>2340</v>
      </c>
      <c r="H63" s="55" t="s">
        <v>2341</v>
      </c>
      <c r="I63" s="15" t="s">
        <v>105</v>
      </c>
    </row>
    <row r="64" spans="1:9" ht="51.75" customHeight="1" x14ac:dyDescent="0.35">
      <c r="A64" s="15">
        <v>2</v>
      </c>
      <c r="B64" s="15" t="s">
        <v>21789</v>
      </c>
      <c r="C64" s="15" t="s">
        <v>21790</v>
      </c>
      <c r="D64" s="31">
        <v>39414</v>
      </c>
      <c r="E64" s="15" t="s">
        <v>21790</v>
      </c>
      <c r="F64" s="87"/>
      <c r="G64" s="45" t="s">
        <v>2340</v>
      </c>
      <c r="H64" s="55" t="s">
        <v>2341</v>
      </c>
      <c r="I64" s="15" t="s">
        <v>105</v>
      </c>
    </row>
    <row r="65" spans="1:9" ht="51.75" customHeight="1" x14ac:dyDescent="0.35">
      <c r="A65" s="15">
        <v>3</v>
      </c>
      <c r="B65" s="15" t="s">
        <v>21791</v>
      </c>
      <c r="C65" s="15" t="s">
        <v>21792</v>
      </c>
      <c r="D65" s="31">
        <v>39414</v>
      </c>
      <c r="E65" s="15" t="s">
        <v>21793</v>
      </c>
      <c r="F65" s="87"/>
      <c r="G65" s="45" t="s">
        <v>2340</v>
      </c>
      <c r="H65" s="55" t="s">
        <v>2341</v>
      </c>
      <c r="I65" s="15" t="s">
        <v>105</v>
      </c>
    </row>
    <row r="66" spans="1:9" ht="51.75" customHeight="1" x14ac:dyDescent="0.35">
      <c r="A66" s="15">
        <v>1</v>
      </c>
      <c r="B66" s="15" t="s">
        <v>21794</v>
      </c>
      <c r="C66" s="15" t="s">
        <v>21795</v>
      </c>
      <c r="D66" s="31">
        <v>39695</v>
      </c>
      <c r="E66" s="15" t="s">
        <v>21796</v>
      </c>
      <c r="F66" s="87"/>
      <c r="G66" s="45" t="s">
        <v>2188</v>
      </c>
      <c r="H66" s="55" t="s">
        <v>2189</v>
      </c>
      <c r="I66" s="15" t="s">
        <v>105</v>
      </c>
    </row>
    <row r="67" spans="1:9" ht="51.75" customHeight="1" x14ac:dyDescent="0.35">
      <c r="A67" s="15">
        <v>1</v>
      </c>
      <c r="B67" s="15" t="s">
        <v>21797</v>
      </c>
      <c r="C67" s="15" t="s">
        <v>21798</v>
      </c>
      <c r="D67" s="31">
        <v>39295</v>
      </c>
      <c r="E67" s="15" t="s">
        <v>21799</v>
      </c>
      <c r="F67" s="87"/>
      <c r="G67" s="45" t="s">
        <v>206</v>
      </c>
      <c r="H67" s="55" t="s">
        <v>207</v>
      </c>
      <c r="I67" s="15" t="s">
        <v>105</v>
      </c>
    </row>
    <row r="68" spans="1:9" ht="51.75" customHeight="1" x14ac:dyDescent="0.35">
      <c r="A68" s="15">
        <v>2</v>
      </c>
      <c r="B68" s="15" t="s">
        <v>21800</v>
      </c>
      <c r="C68" s="15" t="s">
        <v>21801</v>
      </c>
      <c r="D68" s="31">
        <v>39295</v>
      </c>
      <c r="E68" s="15" t="s">
        <v>21802</v>
      </c>
      <c r="F68" s="87"/>
      <c r="G68" s="45" t="s">
        <v>206</v>
      </c>
      <c r="H68" s="55" t="s">
        <v>207</v>
      </c>
      <c r="I68" s="15" t="s">
        <v>105</v>
      </c>
    </row>
    <row r="69" spans="1:9" ht="51.75" customHeight="1" x14ac:dyDescent="0.35">
      <c r="A69" s="15">
        <v>3</v>
      </c>
      <c r="B69" s="15" t="s">
        <v>21803</v>
      </c>
      <c r="C69" s="15" t="s">
        <v>21804</v>
      </c>
      <c r="D69" s="31">
        <v>39295</v>
      </c>
      <c r="E69" s="15" t="s">
        <v>21805</v>
      </c>
      <c r="F69" s="87"/>
      <c r="G69" s="45" t="s">
        <v>206</v>
      </c>
      <c r="H69" s="55" t="s">
        <v>207</v>
      </c>
      <c r="I69" s="15" t="s">
        <v>105</v>
      </c>
    </row>
    <row r="70" spans="1:9" ht="51.75" customHeight="1" x14ac:dyDescent="0.35">
      <c r="A70" s="15">
        <v>4</v>
      </c>
      <c r="B70" s="15" t="s">
        <v>21806</v>
      </c>
      <c r="C70" s="15" t="s">
        <v>21807</v>
      </c>
      <c r="D70" s="31">
        <v>39295</v>
      </c>
      <c r="E70" s="15" t="s">
        <v>21808</v>
      </c>
      <c r="F70" s="87"/>
      <c r="G70" s="45" t="s">
        <v>206</v>
      </c>
      <c r="H70" s="55" t="s">
        <v>207</v>
      </c>
      <c r="I70" s="15" t="s">
        <v>105</v>
      </c>
    </row>
    <row r="71" spans="1:9" ht="51.75" customHeight="1" x14ac:dyDescent="0.35">
      <c r="A71" s="15">
        <v>5</v>
      </c>
      <c r="B71" s="15" t="s">
        <v>21809</v>
      </c>
      <c r="C71" s="15" t="s">
        <v>21810</v>
      </c>
      <c r="D71" s="31">
        <v>39295</v>
      </c>
      <c r="E71" s="15" t="s">
        <v>21811</v>
      </c>
      <c r="F71" s="87"/>
      <c r="G71" s="45" t="s">
        <v>206</v>
      </c>
      <c r="H71" s="55" t="s">
        <v>207</v>
      </c>
      <c r="I71" s="15" t="s">
        <v>105</v>
      </c>
    </row>
    <row r="72" spans="1:9" ht="51.75" customHeight="1" x14ac:dyDescent="0.35">
      <c r="A72" s="15">
        <v>1</v>
      </c>
      <c r="B72" s="15" t="s">
        <v>21812</v>
      </c>
      <c r="C72" s="15" t="s">
        <v>21813</v>
      </c>
      <c r="D72" s="31">
        <v>39295</v>
      </c>
      <c r="E72" s="15" t="s">
        <v>21814</v>
      </c>
      <c r="F72" s="87"/>
      <c r="G72" s="45" t="s">
        <v>142</v>
      </c>
      <c r="H72" s="55" t="s">
        <v>143</v>
      </c>
      <c r="I72" s="15" t="s">
        <v>105</v>
      </c>
    </row>
    <row r="73" spans="1:9" ht="51.75" customHeight="1" x14ac:dyDescent="0.35">
      <c r="A73" s="15">
        <v>2</v>
      </c>
      <c r="B73" s="15" t="s">
        <v>21815</v>
      </c>
      <c r="C73" s="15" t="s">
        <v>21816</v>
      </c>
      <c r="D73" s="31">
        <v>39295</v>
      </c>
      <c r="E73" s="15" t="s">
        <v>21817</v>
      </c>
      <c r="F73" s="87"/>
      <c r="G73" s="45" t="s">
        <v>142</v>
      </c>
      <c r="H73" s="55" t="s">
        <v>143</v>
      </c>
      <c r="I73" s="15" t="s">
        <v>105</v>
      </c>
    </row>
    <row r="74" spans="1:9" ht="51.75" customHeight="1" x14ac:dyDescent="0.35">
      <c r="A74" s="15">
        <v>3</v>
      </c>
      <c r="B74" s="15" t="s">
        <v>21818</v>
      </c>
      <c r="C74" s="15" t="s">
        <v>21819</v>
      </c>
      <c r="D74" s="31">
        <v>39295</v>
      </c>
      <c r="E74" s="15" t="s">
        <v>21820</v>
      </c>
      <c r="F74" s="87"/>
      <c r="G74" s="45" t="s">
        <v>142</v>
      </c>
      <c r="H74" s="55" t="s">
        <v>143</v>
      </c>
      <c r="I74" s="15" t="s">
        <v>105</v>
      </c>
    </row>
    <row r="75" spans="1:9" ht="51.75" customHeight="1" x14ac:dyDescent="0.35">
      <c r="A75" s="15">
        <v>4</v>
      </c>
      <c r="B75" s="15" t="s">
        <v>21821</v>
      </c>
      <c r="C75" s="15" t="s">
        <v>21822</v>
      </c>
      <c r="D75" s="31">
        <v>39295</v>
      </c>
      <c r="E75" s="15" t="s">
        <v>21823</v>
      </c>
      <c r="F75" s="87"/>
      <c r="G75" s="45" t="s">
        <v>142</v>
      </c>
      <c r="H75" s="55" t="s">
        <v>143</v>
      </c>
      <c r="I75" s="15" t="s">
        <v>105</v>
      </c>
    </row>
    <row r="76" spans="1:9" ht="51.75" customHeight="1" x14ac:dyDescent="0.35">
      <c r="A76" s="15">
        <v>5</v>
      </c>
      <c r="B76" s="15" t="s">
        <v>21824</v>
      </c>
      <c r="C76" s="15" t="s">
        <v>21825</v>
      </c>
      <c r="D76" s="31">
        <v>39295</v>
      </c>
      <c r="E76" s="15" t="s">
        <v>21826</v>
      </c>
      <c r="F76" s="87"/>
      <c r="G76" s="45" t="s">
        <v>142</v>
      </c>
      <c r="H76" s="55" t="s">
        <v>143</v>
      </c>
      <c r="I76" s="15" t="s">
        <v>105</v>
      </c>
    </row>
    <row r="77" spans="1:9" ht="51.75" customHeight="1" x14ac:dyDescent="0.35">
      <c r="A77" s="15">
        <v>1</v>
      </c>
      <c r="B77" s="15" t="s">
        <v>21827</v>
      </c>
      <c r="C77" s="15" t="s">
        <v>21828</v>
      </c>
      <c r="D77" s="31">
        <v>39294</v>
      </c>
      <c r="E77" s="15" t="s">
        <v>21829</v>
      </c>
      <c r="F77" s="87"/>
      <c r="G77" s="45" t="s">
        <v>945</v>
      </c>
      <c r="H77" s="55" t="s">
        <v>946</v>
      </c>
      <c r="I77" s="15" t="s">
        <v>105</v>
      </c>
    </row>
    <row r="78" spans="1:9" ht="51.75" customHeight="1" x14ac:dyDescent="0.35">
      <c r="A78" s="15">
        <v>2</v>
      </c>
      <c r="B78" s="15" t="s">
        <v>21830</v>
      </c>
      <c r="C78" s="15" t="s">
        <v>21831</v>
      </c>
      <c r="D78" s="31">
        <v>39294</v>
      </c>
      <c r="E78" s="15" t="s">
        <v>21832</v>
      </c>
      <c r="F78" s="87"/>
      <c r="G78" s="45" t="s">
        <v>945</v>
      </c>
      <c r="H78" s="55" t="s">
        <v>946</v>
      </c>
      <c r="I78" s="15" t="s">
        <v>105</v>
      </c>
    </row>
    <row r="79" spans="1:9" ht="51.75" customHeight="1" x14ac:dyDescent="0.35">
      <c r="A79" s="15">
        <v>1</v>
      </c>
      <c r="B79" s="15" t="s">
        <v>21833</v>
      </c>
      <c r="C79" s="15" t="s">
        <v>21834</v>
      </c>
      <c r="D79" s="31">
        <v>39294</v>
      </c>
      <c r="E79" s="15" t="s">
        <v>21835</v>
      </c>
      <c r="F79" s="87"/>
      <c r="G79" s="45" t="s">
        <v>378</v>
      </c>
      <c r="H79" s="55" t="s">
        <v>379</v>
      </c>
      <c r="I79" s="15" t="s">
        <v>105</v>
      </c>
    </row>
    <row r="80" spans="1:9" ht="51.75" customHeight="1" x14ac:dyDescent="0.35">
      <c r="A80" s="15">
        <v>1</v>
      </c>
      <c r="B80" s="15" t="s">
        <v>21836</v>
      </c>
      <c r="C80" s="15" t="s">
        <v>21837</v>
      </c>
      <c r="D80" s="31">
        <v>39294</v>
      </c>
      <c r="E80" s="15" t="s">
        <v>21838</v>
      </c>
      <c r="F80" s="87"/>
      <c r="G80" s="45" t="s">
        <v>680</v>
      </c>
      <c r="H80" s="55" t="s">
        <v>681</v>
      </c>
      <c r="I80" s="15" t="s">
        <v>105</v>
      </c>
    </row>
    <row r="81" spans="1:9" ht="51.75" customHeight="1" x14ac:dyDescent="0.35">
      <c r="A81" s="15">
        <v>2</v>
      </c>
      <c r="B81" s="15" t="s">
        <v>21839</v>
      </c>
      <c r="C81" s="15" t="s">
        <v>21840</v>
      </c>
      <c r="D81" s="31">
        <v>39294</v>
      </c>
      <c r="E81" s="15" t="s">
        <v>21841</v>
      </c>
      <c r="F81" s="87"/>
      <c r="G81" s="45" t="s">
        <v>680</v>
      </c>
      <c r="H81" s="55" t="s">
        <v>681</v>
      </c>
      <c r="I81" s="15" t="s">
        <v>105</v>
      </c>
    </row>
    <row r="82" spans="1:9" ht="51.75" customHeight="1" x14ac:dyDescent="0.35">
      <c r="A82" s="15">
        <v>1</v>
      </c>
      <c r="B82" s="15" t="s">
        <v>21842</v>
      </c>
      <c r="C82" s="15" t="s">
        <v>21843</v>
      </c>
      <c r="D82" s="31">
        <v>39294</v>
      </c>
      <c r="E82" s="15" t="s">
        <v>21844</v>
      </c>
      <c r="F82" s="87"/>
      <c r="G82" s="45" t="s">
        <v>956</v>
      </c>
      <c r="H82" s="55" t="s">
        <v>957</v>
      </c>
      <c r="I82" s="15" t="s">
        <v>105</v>
      </c>
    </row>
    <row r="83" spans="1:9" ht="51.75" customHeight="1" x14ac:dyDescent="0.35">
      <c r="A83" s="15">
        <v>2</v>
      </c>
      <c r="B83" s="15" t="s">
        <v>21845</v>
      </c>
      <c r="C83" s="15" t="s">
        <v>21846</v>
      </c>
      <c r="D83" s="31">
        <v>39294</v>
      </c>
      <c r="E83" s="15" t="s">
        <v>21847</v>
      </c>
      <c r="F83" s="87"/>
      <c r="G83" s="45" t="s">
        <v>956</v>
      </c>
      <c r="H83" s="55" t="s">
        <v>957</v>
      </c>
      <c r="I83" s="15" t="s">
        <v>105</v>
      </c>
    </row>
    <row r="84" spans="1:9" ht="51.75" customHeight="1" x14ac:dyDescent="0.35">
      <c r="A84" s="15">
        <v>1</v>
      </c>
      <c r="B84" s="15" t="s">
        <v>21848</v>
      </c>
      <c r="C84" s="15" t="s">
        <v>21849</v>
      </c>
      <c r="D84" s="31">
        <v>39294</v>
      </c>
      <c r="E84" s="15" t="s">
        <v>21850</v>
      </c>
      <c r="F84" s="87"/>
      <c r="G84" s="45" t="s">
        <v>800</v>
      </c>
      <c r="H84" s="55" t="s">
        <v>801</v>
      </c>
      <c r="I84" s="15" t="s">
        <v>105</v>
      </c>
    </row>
    <row r="85" spans="1:9" ht="51.75" customHeight="1" x14ac:dyDescent="0.35">
      <c r="A85" s="15">
        <v>2</v>
      </c>
      <c r="B85" s="15" t="s">
        <v>21851</v>
      </c>
      <c r="C85" s="15" t="s">
        <v>21852</v>
      </c>
      <c r="D85" s="31">
        <v>39294</v>
      </c>
      <c r="E85" s="15" t="s">
        <v>21853</v>
      </c>
      <c r="F85" s="87"/>
      <c r="G85" s="45" t="s">
        <v>800</v>
      </c>
      <c r="H85" s="55" t="s">
        <v>801</v>
      </c>
      <c r="I85" s="15" t="s">
        <v>105</v>
      </c>
    </row>
    <row r="86" spans="1:9" ht="51.75" customHeight="1" x14ac:dyDescent="0.35">
      <c r="A86" s="15">
        <v>1</v>
      </c>
      <c r="B86" s="15" t="s">
        <v>21854</v>
      </c>
      <c r="C86" s="15" t="s">
        <v>21855</v>
      </c>
      <c r="D86" s="31">
        <v>39294</v>
      </c>
      <c r="E86" s="15" t="s">
        <v>21856</v>
      </c>
      <c r="F86" s="87"/>
      <c r="G86" s="45" t="s">
        <v>343</v>
      </c>
      <c r="H86" s="55" t="s">
        <v>344</v>
      </c>
      <c r="I86" s="15" t="s">
        <v>105</v>
      </c>
    </row>
    <row r="87" spans="1:9" ht="51.75" customHeight="1" x14ac:dyDescent="0.35">
      <c r="A87" s="15">
        <v>2</v>
      </c>
      <c r="B87" s="15" t="s">
        <v>21857</v>
      </c>
      <c r="C87" s="15" t="s">
        <v>21858</v>
      </c>
      <c r="D87" s="31">
        <v>39294</v>
      </c>
      <c r="E87" s="15" t="s">
        <v>21859</v>
      </c>
      <c r="F87" s="87"/>
      <c r="G87" s="45" t="s">
        <v>343</v>
      </c>
      <c r="H87" s="55" t="s">
        <v>344</v>
      </c>
      <c r="I87" s="15" t="s">
        <v>105</v>
      </c>
    </row>
    <row r="88" spans="1:9" ht="51.75" customHeight="1" x14ac:dyDescent="0.35">
      <c r="A88" s="15">
        <v>1</v>
      </c>
      <c r="B88" s="15" t="s">
        <v>21860</v>
      </c>
      <c r="C88" s="15" t="s">
        <v>21861</v>
      </c>
      <c r="D88" s="31">
        <v>39240</v>
      </c>
      <c r="E88" s="15" t="s">
        <v>21861</v>
      </c>
      <c r="F88" s="87"/>
      <c r="G88" s="45" t="s">
        <v>1545</v>
      </c>
      <c r="H88" s="55" t="s">
        <v>1546</v>
      </c>
      <c r="I88" s="15" t="s">
        <v>105</v>
      </c>
    </row>
    <row r="89" spans="1:9" ht="51.75" customHeight="1" x14ac:dyDescent="0.35">
      <c r="A89" s="15">
        <v>2</v>
      </c>
      <c r="B89" s="15" t="s">
        <v>21862</v>
      </c>
      <c r="C89" s="15" t="s">
        <v>21863</v>
      </c>
      <c r="D89" s="31">
        <v>39240</v>
      </c>
      <c r="E89" s="15" t="s">
        <v>21863</v>
      </c>
      <c r="F89" s="87"/>
      <c r="G89" s="45" t="s">
        <v>1545</v>
      </c>
      <c r="H89" s="55" t="s">
        <v>1546</v>
      </c>
      <c r="I89" s="15" t="s">
        <v>105</v>
      </c>
    </row>
    <row r="90" spans="1:9" ht="51.75" customHeight="1" x14ac:dyDescent="0.35">
      <c r="A90" s="15">
        <v>3</v>
      </c>
      <c r="B90" s="15" t="s">
        <v>21864</v>
      </c>
      <c r="C90" s="15" t="s">
        <v>21865</v>
      </c>
      <c r="D90" s="31">
        <v>39240</v>
      </c>
      <c r="E90" s="15" t="s">
        <v>21866</v>
      </c>
      <c r="F90" s="87"/>
      <c r="G90" s="45" t="s">
        <v>1545</v>
      </c>
      <c r="H90" s="55" t="s">
        <v>1546</v>
      </c>
      <c r="I90" s="15" t="s">
        <v>105</v>
      </c>
    </row>
    <row r="91" spans="1:9" ht="51.75" customHeight="1" x14ac:dyDescent="0.35">
      <c r="A91" s="15" t="s">
        <v>21867</v>
      </c>
      <c r="B91" s="15" t="s">
        <v>21868</v>
      </c>
      <c r="C91" s="15" t="s">
        <v>21869</v>
      </c>
      <c r="D91" s="31">
        <v>41416</v>
      </c>
      <c r="E91" s="15" t="s">
        <v>21870</v>
      </c>
      <c r="F91" s="87" t="s">
        <v>21871</v>
      </c>
      <c r="G91" s="45" t="s">
        <v>7586</v>
      </c>
      <c r="H91" s="55" t="s">
        <v>7587</v>
      </c>
      <c r="I91" s="15" t="s">
        <v>105</v>
      </c>
    </row>
    <row r="92" spans="1:9" ht="51.75" customHeight="1" x14ac:dyDescent="0.35">
      <c r="A92" s="15" t="s">
        <v>21872</v>
      </c>
      <c r="B92" s="15" t="s">
        <v>21873</v>
      </c>
      <c r="C92" s="15" t="s">
        <v>21874</v>
      </c>
      <c r="D92" s="31">
        <v>41220</v>
      </c>
      <c r="E92" s="15" t="s">
        <v>21875</v>
      </c>
      <c r="F92" s="87" t="s">
        <v>21876</v>
      </c>
      <c r="G92" s="45" t="s">
        <v>7123</v>
      </c>
      <c r="H92" s="55" t="s">
        <v>7124</v>
      </c>
      <c r="I92" s="15" t="s">
        <v>105</v>
      </c>
    </row>
    <row r="93" spans="1:9" ht="51.75" customHeight="1" x14ac:dyDescent="0.35">
      <c r="A93" s="15" t="s">
        <v>21872</v>
      </c>
      <c r="B93" s="15" t="s">
        <v>21877</v>
      </c>
      <c r="C93" s="15" t="s">
        <v>21874</v>
      </c>
      <c r="D93" s="31">
        <v>41220</v>
      </c>
      <c r="E93" s="15" t="s">
        <v>21878</v>
      </c>
      <c r="F93" s="87" t="s">
        <v>21871</v>
      </c>
      <c r="G93" s="45" t="s">
        <v>7123</v>
      </c>
      <c r="H93" s="55" t="s">
        <v>7124</v>
      </c>
      <c r="I93" s="15" t="s">
        <v>105</v>
      </c>
    </row>
    <row r="94" spans="1:9" ht="51.75" customHeight="1" x14ac:dyDescent="0.35">
      <c r="A94" s="15" t="s">
        <v>21879</v>
      </c>
      <c r="B94" s="15" t="s">
        <v>21880</v>
      </c>
      <c r="C94" s="15" t="s">
        <v>21881</v>
      </c>
      <c r="D94" s="31">
        <v>41318</v>
      </c>
      <c r="E94" s="15" t="s">
        <v>21882</v>
      </c>
      <c r="F94" s="87" t="s">
        <v>21871</v>
      </c>
      <c r="G94" s="45" t="s">
        <v>7129</v>
      </c>
      <c r="H94" s="55" t="s">
        <v>7130</v>
      </c>
      <c r="I94" s="15" t="s">
        <v>105</v>
      </c>
    </row>
    <row r="95" spans="1:9" ht="51.75" customHeight="1" x14ac:dyDescent="0.35">
      <c r="A95" s="15" t="s">
        <v>21883</v>
      </c>
      <c r="B95" s="15" t="s">
        <v>21884</v>
      </c>
      <c r="C95" s="15" t="s">
        <v>21885</v>
      </c>
      <c r="D95" s="31">
        <v>41285</v>
      </c>
      <c r="E95" s="15" t="s">
        <v>21886</v>
      </c>
      <c r="F95" s="87" t="s">
        <v>21871</v>
      </c>
      <c r="G95" s="45" t="s">
        <v>6960</v>
      </c>
      <c r="H95" s="55" t="s">
        <v>6961</v>
      </c>
      <c r="I95" s="15" t="s">
        <v>105</v>
      </c>
    </row>
    <row r="96" spans="1:9" ht="51.75" customHeight="1" x14ac:dyDescent="0.35">
      <c r="A96" s="15">
        <v>1</v>
      </c>
      <c r="B96" s="15" t="s">
        <v>21887</v>
      </c>
      <c r="C96" s="15" t="s">
        <v>21888</v>
      </c>
      <c r="D96" s="31">
        <v>40931</v>
      </c>
      <c r="E96" s="15" t="s">
        <v>21889</v>
      </c>
      <c r="F96" s="87"/>
      <c r="G96" s="45" t="s">
        <v>6446</v>
      </c>
      <c r="H96" s="55" t="s">
        <v>6447</v>
      </c>
      <c r="I96" s="15" t="s">
        <v>105</v>
      </c>
    </row>
    <row r="97" spans="1:9" ht="51.75" customHeight="1" x14ac:dyDescent="0.35">
      <c r="A97" s="15" t="s">
        <v>21890</v>
      </c>
      <c r="B97" s="15" t="s">
        <v>21891</v>
      </c>
      <c r="C97" s="15" t="s">
        <v>21892</v>
      </c>
      <c r="D97" s="31">
        <v>41116</v>
      </c>
      <c r="E97" s="15" t="s">
        <v>21893</v>
      </c>
      <c r="F97" s="87" t="s">
        <v>21871</v>
      </c>
      <c r="G97" s="45" t="s">
        <v>6489</v>
      </c>
      <c r="H97" s="55" t="s">
        <v>6490</v>
      </c>
      <c r="I97" s="15" t="s">
        <v>105</v>
      </c>
    </row>
    <row r="98" spans="1:9" ht="51.75" customHeight="1" x14ac:dyDescent="0.35">
      <c r="A98" s="15" t="s">
        <v>21894</v>
      </c>
      <c r="B98" s="15" t="s">
        <v>21895</v>
      </c>
      <c r="C98" s="15" t="s">
        <v>21896</v>
      </c>
      <c r="D98" s="31">
        <v>41116</v>
      </c>
      <c r="E98" s="15" t="s">
        <v>21897</v>
      </c>
      <c r="F98" s="87" t="s">
        <v>21871</v>
      </c>
      <c r="G98" s="45" t="s">
        <v>6489</v>
      </c>
      <c r="H98" s="55" t="s">
        <v>6490</v>
      </c>
      <c r="I98" s="15" t="s">
        <v>105</v>
      </c>
    </row>
    <row r="99" spans="1:9" ht="51.75" customHeight="1" x14ac:dyDescent="0.35">
      <c r="A99" s="15">
        <v>1</v>
      </c>
      <c r="B99" s="15" t="s">
        <v>21898</v>
      </c>
      <c r="C99" s="15" t="s">
        <v>21888</v>
      </c>
      <c r="D99" s="31">
        <v>40931</v>
      </c>
      <c r="E99" s="15" t="s">
        <v>21899</v>
      </c>
      <c r="F99" s="87"/>
      <c r="G99" s="45" t="s">
        <v>6217</v>
      </c>
      <c r="H99" s="55" t="s">
        <v>6218</v>
      </c>
      <c r="I99" s="15" t="s">
        <v>105</v>
      </c>
    </row>
    <row r="100" spans="1:9" ht="51.75" customHeight="1" x14ac:dyDescent="0.35">
      <c r="A100" s="15">
        <v>1</v>
      </c>
      <c r="B100" s="15" t="s">
        <v>21900</v>
      </c>
      <c r="C100" s="15" t="s">
        <v>21901</v>
      </c>
      <c r="D100" s="31">
        <v>41081</v>
      </c>
      <c r="E100" s="15" t="s">
        <v>21902</v>
      </c>
      <c r="F100" s="87"/>
      <c r="G100" s="45" t="s">
        <v>6182</v>
      </c>
      <c r="H100" s="55" t="s">
        <v>6183</v>
      </c>
      <c r="I100" s="15" t="s">
        <v>105</v>
      </c>
    </row>
    <row r="101" spans="1:9" ht="51.75" customHeight="1" x14ac:dyDescent="0.35">
      <c r="A101" s="15">
        <v>2</v>
      </c>
      <c r="B101" s="15" t="s">
        <v>21903</v>
      </c>
      <c r="C101" s="15" t="s">
        <v>21904</v>
      </c>
      <c r="D101" s="31">
        <v>41081</v>
      </c>
      <c r="E101" s="15" t="s">
        <v>21905</v>
      </c>
      <c r="F101" s="87"/>
      <c r="G101" s="45" t="s">
        <v>6182</v>
      </c>
      <c r="H101" s="55" t="s">
        <v>6183</v>
      </c>
      <c r="I101" s="15" t="s">
        <v>105</v>
      </c>
    </row>
    <row r="102" spans="1:9" ht="51.75" customHeight="1" x14ac:dyDescent="0.35">
      <c r="A102" s="15">
        <v>1</v>
      </c>
      <c r="B102" s="15" t="s">
        <v>21906</v>
      </c>
      <c r="C102" s="15" t="s">
        <v>21907</v>
      </c>
      <c r="D102" s="31">
        <v>41075</v>
      </c>
      <c r="E102" s="15" t="s">
        <v>21908</v>
      </c>
      <c r="F102" s="87"/>
      <c r="G102" s="45" t="s">
        <v>6106</v>
      </c>
      <c r="H102" s="55" t="s">
        <v>6107</v>
      </c>
      <c r="I102" s="15" t="s">
        <v>105</v>
      </c>
    </row>
    <row r="103" spans="1:9" ht="51.75" customHeight="1" x14ac:dyDescent="0.35">
      <c r="A103" s="15">
        <v>1</v>
      </c>
      <c r="B103" s="15" t="s">
        <v>21909</v>
      </c>
      <c r="C103" s="15" t="s">
        <v>21910</v>
      </c>
      <c r="D103" s="31">
        <v>41017</v>
      </c>
      <c r="E103" s="15" t="s">
        <v>21911</v>
      </c>
      <c r="F103" s="87"/>
      <c r="G103" s="45" t="s">
        <v>5894</v>
      </c>
      <c r="H103" s="55" t="s">
        <v>5895</v>
      </c>
      <c r="I103" s="15" t="s">
        <v>105</v>
      </c>
    </row>
    <row r="104" spans="1:9" ht="51.75" customHeight="1" x14ac:dyDescent="0.35">
      <c r="A104" s="15" t="s">
        <v>21912</v>
      </c>
      <c r="B104" s="15" t="s">
        <v>21913</v>
      </c>
      <c r="C104" s="15" t="s">
        <v>21914</v>
      </c>
      <c r="D104" s="31" t="s">
        <v>50</v>
      </c>
      <c r="E104" s="15" t="s">
        <v>21915</v>
      </c>
      <c r="F104" s="87" t="s">
        <v>21871</v>
      </c>
      <c r="G104" s="45" t="s">
        <v>5306</v>
      </c>
      <c r="H104" s="55" t="s">
        <v>5307</v>
      </c>
      <c r="I104" s="15" t="s">
        <v>105</v>
      </c>
    </row>
    <row r="105" spans="1:9" ht="51.75" customHeight="1" x14ac:dyDescent="0.35">
      <c r="A105" s="15">
        <v>1</v>
      </c>
      <c r="B105" s="15" t="s">
        <v>21916</v>
      </c>
      <c r="C105" s="15" t="s">
        <v>21917</v>
      </c>
      <c r="D105" s="31">
        <v>40911</v>
      </c>
      <c r="E105" s="15" t="s">
        <v>21917</v>
      </c>
      <c r="F105" s="87"/>
      <c r="G105" s="45" t="s">
        <v>5497</v>
      </c>
      <c r="H105" s="55" t="s">
        <v>5498</v>
      </c>
      <c r="I105" s="15" t="s">
        <v>105</v>
      </c>
    </row>
    <row r="106" spans="1:9" ht="51.75" customHeight="1" x14ac:dyDescent="0.35">
      <c r="A106" s="15">
        <v>1</v>
      </c>
      <c r="B106" s="15" t="s">
        <v>21918</v>
      </c>
      <c r="C106" s="15" t="s">
        <v>21919</v>
      </c>
      <c r="D106" s="31">
        <v>39773</v>
      </c>
      <c r="E106" s="15" t="s">
        <v>21920</v>
      </c>
      <c r="F106" s="87"/>
      <c r="G106" s="45" t="s">
        <v>1236</v>
      </c>
      <c r="H106" s="55" t="s">
        <v>1237</v>
      </c>
      <c r="I106" s="15" t="s">
        <v>105</v>
      </c>
    </row>
    <row r="107" spans="1:9" ht="51.75" customHeight="1" x14ac:dyDescent="0.35">
      <c r="A107" s="15">
        <v>2</v>
      </c>
      <c r="B107" s="15" t="s">
        <v>21921</v>
      </c>
      <c r="C107" s="15" t="s">
        <v>21922</v>
      </c>
      <c r="D107" s="31">
        <v>39773</v>
      </c>
      <c r="E107" s="15" t="s">
        <v>21923</v>
      </c>
      <c r="F107" s="87"/>
      <c r="G107" s="45" t="s">
        <v>1236</v>
      </c>
      <c r="H107" s="55" t="s">
        <v>1237</v>
      </c>
      <c r="I107" s="15" t="s">
        <v>105</v>
      </c>
    </row>
    <row r="108" spans="1:9" ht="51.75" customHeight="1" x14ac:dyDescent="0.35">
      <c r="A108" s="15">
        <v>3</v>
      </c>
      <c r="B108" s="15" t="s">
        <v>21924</v>
      </c>
      <c r="C108" s="15" t="s">
        <v>21925</v>
      </c>
      <c r="D108" s="31">
        <v>39773</v>
      </c>
      <c r="E108" s="15" t="s">
        <v>21926</v>
      </c>
      <c r="F108" s="87"/>
      <c r="G108" s="45" t="s">
        <v>1236</v>
      </c>
      <c r="H108" s="55" t="s">
        <v>1237</v>
      </c>
      <c r="I108" s="15" t="s">
        <v>105</v>
      </c>
    </row>
    <row r="109" spans="1:9" ht="51.75" customHeight="1" x14ac:dyDescent="0.35">
      <c r="A109" s="15">
        <v>1</v>
      </c>
      <c r="B109" s="15" t="s">
        <v>21927</v>
      </c>
      <c r="C109" s="15" t="s">
        <v>21928</v>
      </c>
      <c r="D109" s="31">
        <v>40750</v>
      </c>
      <c r="E109" s="15" t="s">
        <v>21929</v>
      </c>
      <c r="F109" s="87"/>
      <c r="G109" s="45" t="s">
        <v>4516</v>
      </c>
      <c r="H109" s="55" t="s">
        <v>4517</v>
      </c>
      <c r="I109" s="15" t="s">
        <v>105</v>
      </c>
    </row>
    <row r="110" spans="1:9" ht="51.75" customHeight="1" x14ac:dyDescent="0.35">
      <c r="A110" s="15">
        <v>1</v>
      </c>
      <c r="B110" s="15" t="s">
        <v>21930</v>
      </c>
      <c r="C110" s="15" t="s">
        <v>21931</v>
      </c>
      <c r="D110" s="31">
        <v>39798</v>
      </c>
      <c r="E110" s="15" t="s">
        <v>21932</v>
      </c>
      <c r="F110" s="87"/>
      <c r="G110" s="45" t="s">
        <v>795</v>
      </c>
      <c r="H110" s="55" t="s">
        <v>796</v>
      </c>
      <c r="I110" s="15" t="s">
        <v>105</v>
      </c>
    </row>
    <row r="111" spans="1:9" ht="51.75" customHeight="1" x14ac:dyDescent="0.35">
      <c r="A111" s="15">
        <v>2</v>
      </c>
      <c r="B111" s="15" t="s">
        <v>21933</v>
      </c>
      <c r="C111" s="15" t="s">
        <v>21934</v>
      </c>
      <c r="D111" s="31">
        <v>39798</v>
      </c>
      <c r="E111" s="15" t="s">
        <v>21935</v>
      </c>
      <c r="F111" s="87"/>
      <c r="G111" s="45" t="s">
        <v>795</v>
      </c>
      <c r="H111" s="55" t="s">
        <v>796</v>
      </c>
      <c r="I111" s="15" t="s">
        <v>105</v>
      </c>
    </row>
    <row r="112" spans="1:9" ht="51.75" customHeight="1" x14ac:dyDescent="0.35">
      <c r="A112" s="15">
        <v>1</v>
      </c>
      <c r="B112" s="15" t="s">
        <v>21936</v>
      </c>
      <c r="C112" s="15" t="s">
        <v>21937</v>
      </c>
      <c r="D112" s="31">
        <v>39093</v>
      </c>
      <c r="E112" s="15" t="s">
        <v>21938</v>
      </c>
      <c r="F112" s="87"/>
      <c r="G112" s="45" t="s">
        <v>809</v>
      </c>
      <c r="H112" s="55" t="s">
        <v>810</v>
      </c>
      <c r="I112" s="15" t="s">
        <v>105</v>
      </c>
    </row>
    <row r="113" spans="1:9" ht="51.75" customHeight="1" x14ac:dyDescent="0.35">
      <c r="A113" s="15">
        <v>2</v>
      </c>
      <c r="B113" s="15" t="s">
        <v>21939</v>
      </c>
      <c r="C113" s="15" t="s">
        <v>21940</v>
      </c>
      <c r="D113" s="31">
        <v>39093</v>
      </c>
      <c r="E113" s="15" t="s">
        <v>21941</v>
      </c>
      <c r="F113" s="87"/>
      <c r="G113" s="45" t="s">
        <v>809</v>
      </c>
      <c r="H113" s="55" t="s">
        <v>810</v>
      </c>
      <c r="I113" s="15" t="s">
        <v>105</v>
      </c>
    </row>
    <row r="114" spans="1:9" ht="51.75" customHeight="1" x14ac:dyDescent="0.35">
      <c r="A114" s="15">
        <v>3</v>
      </c>
      <c r="B114" s="15" t="s">
        <v>21942</v>
      </c>
      <c r="C114" s="15" t="s">
        <v>21943</v>
      </c>
      <c r="D114" s="31">
        <v>39093</v>
      </c>
      <c r="E114" s="15" t="s">
        <v>21944</v>
      </c>
      <c r="F114" s="87"/>
      <c r="G114" s="45" t="s">
        <v>809</v>
      </c>
      <c r="H114" s="55" t="s">
        <v>810</v>
      </c>
      <c r="I114" s="15" t="s">
        <v>105</v>
      </c>
    </row>
    <row r="115" spans="1:9" ht="51.75" customHeight="1" x14ac:dyDescent="0.35">
      <c r="A115" s="15">
        <v>1</v>
      </c>
      <c r="B115" s="15" t="s">
        <v>21945</v>
      </c>
      <c r="C115" s="15" t="s">
        <v>21946</v>
      </c>
      <c r="D115" s="31">
        <v>40724</v>
      </c>
      <c r="E115" s="15" t="s">
        <v>21947</v>
      </c>
      <c r="F115" s="87"/>
      <c r="G115" s="45" t="s">
        <v>5283</v>
      </c>
      <c r="H115" s="55" t="s">
        <v>5284</v>
      </c>
      <c r="I115" s="15" t="s">
        <v>105</v>
      </c>
    </row>
    <row r="116" spans="1:9" ht="51.75" customHeight="1" x14ac:dyDescent="0.35">
      <c r="A116" s="15">
        <v>1</v>
      </c>
      <c r="B116" s="15" t="s">
        <v>21948</v>
      </c>
      <c r="C116" s="15" t="s">
        <v>21949</v>
      </c>
      <c r="D116" s="31">
        <v>39798</v>
      </c>
      <c r="E116" s="15" t="s">
        <v>21950</v>
      </c>
      <c r="F116" s="87"/>
      <c r="G116" s="45" t="s">
        <v>667</v>
      </c>
      <c r="H116" s="55" t="s">
        <v>668</v>
      </c>
      <c r="I116" s="15" t="s">
        <v>105</v>
      </c>
    </row>
    <row r="117" spans="1:9" ht="51.75" customHeight="1" x14ac:dyDescent="0.35">
      <c r="A117" s="15">
        <v>1</v>
      </c>
      <c r="B117" s="15" t="s">
        <v>21951</v>
      </c>
      <c r="C117" s="15" t="s">
        <v>21952</v>
      </c>
      <c r="D117" s="31">
        <v>39038</v>
      </c>
      <c r="E117" s="15" t="s">
        <v>21953</v>
      </c>
      <c r="F117" s="87"/>
      <c r="G117" s="45" t="s">
        <v>1194</v>
      </c>
      <c r="H117" s="55" t="s">
        <v>1195</v>
      </c>
      <c r="I117" s="15" t="s">
        <v>105</v>
      </c>
    </row>
    <row r="118" spans="1:9" ht="51.75" customHeight="1" x14ac:dyDescent="0.35">
      <c r="A118" s="15">
        <v>2</v>
      </c>
      <c r="B118" s="15" t="s">
        <v>21954</v>
      </c>
      <c r="C118" s="15" t="s">
        <v>21952</v>
      </c>
      <c r="D118" s="31">
        <v>39038</v>
      </c>
      <c r="E118" s="15" t="s">
        <v>21955</v>
      </c>
      <c r="F118" s="87"/>
      <c r="G118" s="45" t="s">
        <v>1194</v>
      </c>
      <c r="H118" s="55" t="s">
        <v>1195</v>
      </c>
      <c r="I118" s="15" t="s">
        <v>105</v>
      </c>
    </row>
    <row r="119" spans="1:9" ht="51.75" customHeight="1" x14ac:dyDescent="0.35">
      <c r="A119" s="15">
        <v>3</v>
      </c>
      <c r="B119" s="15" t="s">
        <v>21956</v>
      </c>
      <c r="C119" s="15" t="s">
        <v>21630</v>
      </c>
      <c r="D119" s="31">
        <v>39038</v>
      </c>
      <c r="E119" s="15" t="s">
        <v>21957</v>
      </c>
      <c r="F119" s="87"/>
      <c r="G119" s="45" t="s">
        <v>1194</v>
      </c>
      <c r="H119" s="55" t="s">
        <v>1195</v>
      </c>
      <c r="I119" s="15" t="s">
        <v>105</v>
      </c>
    </row>
    <row r="120" spans="1:9" ht="51.75" customHeight="1" x14ac:dyDescent="0.35">
      <c r="A120" s="15">
        <v>4</v>
      </c>
      <c r="B120" s="15" t="s">
        <v>21958</v>
      </c>
      <c r="C120" s="15" t="s">
        <v>21630</v>
      </c>
      <c r="D120" s="31">
        <v>39038</v>
      </c>
      <c r="E120" s="15" t="s">
        <v>21959</v>
      </c>
      <c r="F120" s="87"/>
      <c r="G120" s="45" t="s">
        <v>1194</v>
      </c>
      <c r="H120" s="55" t="s">
        <v>1195</v>
      </c>
      <c r="I120" s="15" t="s">
        <v>105</v>
      </c>
    </row>
    <row r="121" spans="1:9" ht="51.75" customHeight="1" x14ac:dyDescent="0.35">
      <c r="A121" s="15">
        <v>5</v>
      </c>
      <c r="B121" s="15" t="s">
        <v>21960</v>
      </c>
      <c r="C121" s="15" t="s">
        <v>21961</v>
      </c>
      <c r="D121" s="31">
        <v>39038</v>
      </c>
      <c r="E121" s="15" t="s">
        <v>21962</v>
      </c>
      <c r="F121" s="87"/>
      <c r="G121" s="45" t="s">
        <v>1194</v>
      </c>
      <c r="H121" s="55" t="s">
        <v>1195</v>
      </c>
      <c r="I121" s="15" t="s">
        <v>105</v>
      </c>
    </row>
    <row r="122" spans="1:9" ht="51.75" customHeight="1" x14ac:dyDescent="0.35">
      <c r="A122" s="15" t="s">
        <v>21963</v>
      </c>
      <c r="B122" s="15" t="s">
        <v>21964</v>
      </c>
      <c r="C122" s="15" t="s">
        <v>21965</v>
      </c>
      <c r="D122" s="31" t="s">
        <v>50</v>
      </c>
      <c r="E122" s="15" t="s">
        <v>21966</v>
      </c>
      <c r="F122" s="87" t="s">
        <v>21871</v>
      </c>
      <c r="G122" s="45" t="s">
        <v>7877</v>
      </c>
      <c r="H122" s="55" t="s">
        <v>7878</v>
      </c>
      <c r="I122" s="15" t="s">
        <v>105</v>
      </c>
    </row>
    <row r="123" spans="1:9" ht="51.75" customHeight="1" x14ac:dyDescent="0.35">
      <c r="A123" s="15" t="s">
        <v>21967</v>
      </c>
      <c r="B123" s="15" t="s">
        <v>21968</v>
      </c>
      <c r="C123" s="15" t="s">
        <v>21969</v>
      </c>
      <c r="D123" s="31" t="s">
        <v>50</v>
      </c>
      <c r="E123" s="15" t="s">
        <v>21970</v>
      </c>
      <c r="F123" s="87" t="s">
        <v>21871</v>
      </c>
      <c r="G123" s="45" t="s">
        <v>7999</v>
      </c>
      <c r="H123" s="55" t="s">
        <v>8000</v>
      </c>
      <c r="I123" s="15" t="s">
        <v>105</v>
      </c>
    </row>
    <row r="124" spans="1:9" ht="51.75" customHeight="1" x14ac:dyDescent="0.35">
      <c r="A124" s="15" t="s">
        <v>21971</v>
      </c>
      <c r="B124" s="15" t="s">
        <v>21972</v>
      </c>
      <c r="C124" s="15" t="s">
        <v>21973</v>
      </c>
      <c r="D124" s="31" t="s">
        <v>50</v>
      </c>
      <c r="E124" s="15" t="s">
        <v>21974</v>
      </c>
      <c r="F124" s="87" t="s">
        <v>21871</v>
      </c>
      <c r="G124" s="45" t="s">
        <v>8293</v>
      </c>
      <c r="H124" s="55" t="s">
        <v>8294</v>
      </c>
      <c r="I124" s="15" t="s">
        <v>105</v>
      </c>
    </row>
    <row r="125" spans="1:9" ht="51.75" customHeight="1" x14ac:dyDescent="0.35">
      <c r="A125" s="15" t="s">
        <v>21975</v>
      </c>
      <c r="B125" s="15" t="s">
        <v>21976</v>
      </c>
      <c r="C125" s="15" t="s">
        <v>21977</v>
      </c>
      <c r="D125" s="31" t="s">
        <v>50</v>
      </c>
      <c r="E125" s="15" t="s">
        <v>21978</v>
      </c>
      <c r="F125" s="87" t="s">
        <v>21871</v>
      </c>
      <c r="G125" s="45" t="s">
        <v>8293</v>
      </c>
      <c r="H125" s="55" t="s">
        <v>8294</v>
      </c>
      <c r="I125" s="15" t="s">
        <v>105</v>
      </c>
    </row>
    <row r="126" spans="1:9" ht="51.75" customHeight="1" x14ac:dyDescent="0.35">
      <c r="A126" s="15" t="s">
        <v>21979</v>
      </c>
      <c r="B126" s="15" t="s">
        <v>21980</v>
      </c>
      <c r="C126" s="15" t="s">
        <v>21981</v>
      </c>
      <c r="D126" s="31" t="s">
        <v>50</v>
      </c>
      <c r="E126" s="15" t="s">
        <v>21982</v>
      </c>
      <c r="F126" s="87" t="s">
        <v>21871</v>
      </c>
      <c r="G126" s="45" t="s">
        <v>8032</v>
      </c>
      <c r="H126" s="55" t="s">
        <v>8033</v>
      </c>
      <c r="I126" s="15" t="s">
        <v>105</v>
      </c>
    </row>
    <row r="127" spans="1:9" ht="51.75" customHeight="1" x14ac:dyDescent="0.35">
      <c r="A127" s="15" t="s">
        <v>21983</v>
      </c>
      <c r="B127" s="15" t="s">
        <v>21984</v>
      </c>
      <c r="C127" s="15" t="s">
        <v>21985</v>
      </c>
      <c r="D127" s="31" t="s">
        <v>50</v>
      </c>
      <c r="E127" s="15" t="s">
        <v>21986</v>
      </c>
      <c r="F127" s="87" t="s">
        <v>21871</v>
      </c>
      <c r="G127" s="45" t="s">
        <v>8838</v>
      </c>
      <c r="H127" s="55" t="s">
        <v>8839</v>
      </c>
      <c r="I127" s="15" t="s">
        <v>105</v>
      </c>
    </row>
    <row r="128" spans="1:9" ht="51.75" customHeight="1" x14ac:dyDescent="0.35">
      <c r="A128" s="15" t="s">
        <v>21987</v>
      </c>
      <c r="B128" s="15" t="s">
        <v>21988</v>
      </c>
      <c r="C128" s="15" t="s">
        <v>21989</v>
      </c>
      <c r="D128" s="31">
        <v>41806</v>
      </c>
      <c r="E128" s="15" t="s">
        <v>21990</v>
      </c>
      <c r="F128" s="87" t="s">
        <v>21871</v>
      </c>
      <c r="G128" s="45" t="s">
        <v>8978</v>
      </c>
      <c r="H128" s="55" t="s">
        <v>8979</v>
      </c>
      <c r="I128" s="15" t="s">
        <v>105</v>
      </c>
    </row>
    <row r="129" spans="1:9" ht="51.75" customHeight="1" x14ac:dyDescent="0.35">
      <c r="A129" s="15" t="s">
        <v>21991</v>
      </c>
      <c r="B129" s="15" t="s">
        <v>21992</v>
      </c>
      <c r="C129" s="15" t="s">
        <v>21993</v>
      </c>
      <c r="D129" s="31">
        <v>41806</v>
      </c>
      <c r="E129" s="15" t="s">
        <v>21994</v>
      </c>
      <c r="F129" s="87" t="s">
        <v>21871</v>
      </c>
      <c r="G129" s="45" t="s">
        <v>8978</v>
      </c>
      <c r="H129" s="55" t="s">
        <v>8979</v>
      </c>
      <c r="I129" s="15" t="s">
        <v>105</v>
      </c>
    </row>
    <row r="130" spans="1:9" ht="51.75" customHeight="1" x14ac:dyDescent="0.35">
      <c r="A130" s="15" t="s">
        <v>21995</v>
      </c>
      <c r="B130" s="15" t="s">
        <v>21996</v>
      </c>
      <c r="C130" s="15" t="s">
        <v>21997</v>
      </c>
      <c r="D130" s="31">
        <v>41809</v>
      </c>
      <c r="E130" s="15" t="s">
        <v>21998</v>
      </c>
      <c r="F130" s="87" t="s">
        <v>21871</v>
      </c>
      <c r="G130" s="45" t="s">
        <v>8906</v>
      </c>
      <c r="H130" s="55" t="s">
        <v>8907</v>
      </c>
      <c r="I130" s="15" t="s">
        <v>105</v>
      </c>
    </row>
    <row r="131" spans="1:9" ht="51.75" customHeight="1" x14ac:dyDescent="0.35">
      <c r="A131" s="15" t="s">
        <v>21999</v>
      </c>
      <c r="B131" s="15" t="s">
        <v>22000</v>
      </c>
      <c r="C131" s="15" t="s">
        <v>22001</v>
      </c>
      <c r="D131" s="31">
        <v>41817</v>
      </c>
      <c r="E131" s="15" t="s">
        <v>22002</v>
      </c>
      <c r="F131" s="87" t="s">
        <v>21871</v>
      </c>
      <c r="G131" s="45" t="s">
        <v>9002</v>
      </c>
      <c r="H131" s="55" t="s">
        <v>9003</v>
      </c>
      <c r="I131" s="15" t="s">
        <v>105</v>
      </c>
    </row>
    <row r="132" spans="1:9" ht="51.75" customHeight="1" x14ac:dyDescent="0.35">
      <c r="A132" s="15" t="s">
        <v>22003</v>
      </c>
      <c r="B132" s="15" t="s">
        <v>22004</v>
      </c>
      <c r="C132" s="15" t="s">
        <v>22005</v>
      </c>
      <c r="D132" s="31">
        <v>41947</v>
      </c>
      <c r="E132" s="15" t="s">
        <v>22006</v>
      </c>
      <c r="F132" s="87" t="s">
        <v>21871</v>
      </c>
      <c r="G132" s="45" t="s">
        <v>9341</v>
      </c>
      <c r="H132" s="55" t="s">
        <v>9342</v>
      </c>
      <c r="I132" s="15" t="s">
        <v>105</v>
      </c>
    </row>
    <row r="133" spans="1:9" ht="51.75" customHeight="1" x14ac:dyDescent="0.35">
      <c r="A133" s="15" t="s">
        <v>22007</v>
      </c>
      <c r="B133" s="15" t="s">
        <v>22008</v>
      </c>
      <c r="C133" s="15" t="s">
        <v>22009</v>
      </c>
      <c r="D133" s="31">
        <v>41927</v>
      </c>
      <c r="E133" s="15" t="s">
        <v>22010</v>
      </c>
      <c r="F133" s="87" t="s">
        <v>21871</v>
      </c>
      <c r="G133" s="45" t="s">
        <v>9287</v>
      </c>
      <c r="H133" s="55" t="s">
        <v>9288</v>
      </c>
      <c r="I133" s="15" t="s">
        <v>105</v>
      </c>
    </row>
    <row r="134" spans="1:9" ht="51.75" customHeight="1" x14ac:dyDescent="0.35">
      <c r="A134" s="15" t="s">
        <v>22011</v>
      </c>
      <c r="B134" s="15" t="s">
        <v>22012</v>
      </c>
      <c r="C134" s="15" t="s">
        <v>22013</v>
      </c>
      <c r="D134" s="31" t="s">
        <v>50</v>
      </c>
      <c r="E134" s="15" t="s">
        <v>22014</v>
      </c>
      <c r="F134" s="87" t="s">
        <v>21871</v>
      </c>
      <c r="G134" s="45" t="s">
        <v>9560</v>
      </c>
      <c r="H134" s="55" t="s">
        <v>9561</v>
      </c>
      <c r="I134" s="15" t="s">
        <v>105</v>
      </c>
    </row>
    <row r="135" spans="1:9" ht="51.75" customHeight="1" x14ac:dyDescent="0.35">
      <c r="A135" s="15" t="s">
        <v>22015</v>
      </c>
      <c r="B135" s="15" t="s">
        <v>22016</v>
      </c>
      <c r="C135" s="15" t="s">
        <v>22017</v>
      </c>
      <c r="D135" s="31">
        <v>42023</v>
      </c>
      <c r="E135" s="15" t="s">
        <v>22018</v>
      </c>
      <c r="F135" s="87" t="s">
        <v>21871</v>
      </c>
      <c r="G135" s="45" t="s">
        <v>9611</v>
      </c>
      <c r="H135" s="55" t="s">
        <v>9612</v>
      </c>
      <c r="I135" s="15" t="s">
        <v>105</v>
      </c>
    </row>
    <row r="136" spans="1:9" ht="51.75" customHeight="1" x14ac:dyDescent="0.35">
      <c r="A136" s="15" t="s">
        <v>22019</v>
      </c>
      <c r="B136" s="15" t="s">
        <v>22020</v>
      </c>
      <c r="C136" s="15" t="s">
        <v>22021</v>
      </c>
      <c r="D136" s="31">
        <v>42093</v>
      </c>
      <c r="E136" s="15" t="s">
        <v>22022</v>
      </c>
      <c r="F136" s="87" t="s">
        <v>21871</v>
      </c>
      <c r="G136" s="45" t="s">
        <v>9802</v>
      </c>
      <c r="H136" s="55" t="s">
        <v>9803</v>
      </c>
      <c r="I136" s="15" t="s">
        <v>105</v>
      </c>
    </row>
    <row r="137" spans="1:9" ht="51.75" customHeight="1" x14ac:dyDescent="0.35">
      <c r="A137" s="15" t="s">
        <v>22023</v>
      </c>
      <c r="B137" s="15" t="s">
        <v>22024</v>
      </c>
      <c r="C137" s="15" t="s">
        <v>22025</v>
      </c>
      <c r="D137" s="31">
        <v>42201</v>
      </c>
      <c r="E137" s="15" t="s">
        <v>22026</v>
      </c>
      <c r="F137" s="87" t="s">
        <v>21871</v>
      </c>
      <c r="G137" s="45" t="s">
        <v>10093</v>
      </c>
      <c r="H137" s="55" t="s">
        <v>10094</v>
      </c>
      <c r="I137" s="15" t="s">
        <v>105</v>
      </c>
    </row>
    <row r="138" spans="1:9" ht="51.75" customHeight="1" x14ac:dyDescent="0.35">
      <c r="A138" s="15" t="s">
        <v>22027</v>
      </c>
      <c r="B138" s="15" t="s">
        <v>22028</v>
      </c>
      <c r="C138" s="15" t="s">
        <v>22029</v>
      </c>
      <c r="D138" s="31" t="s">
        <v>50</v>
      </c>
      <c r="E138" s="15" t="s">
        <v>22030</v>
      </c>
      <c r="F138" s="87" t="s">
        <v>21871</v>
      </c>
      <c r="G138" s="45" t="s">
        <v>10468</v>
      </c>
      <c r="H138" s="55" t="s">
        <v>10469</v>
      </c>
      <c r="I138" s="15" t="s">
        <v>105</v>
      </c>
    </row>
    <row r="139" spans="1:9" ht="51.75" customHeight="1" x14ac:dyDescent="0.35">
      <c r="A139" s="15" t="s">
        <v>22031</v>
      </c>
      <c r="B139" s="15" t="s">
        <v>22032</v>
      </c>
      <c r="C139" s="15" t="s">
        <v>22033</v>
      </c>
      <c r="D139" s="31" t="s">
        <v>50</v>
      </c>
      <c r="E139" s="15" t="s">
        <v>22034</v>
      </c>
      <c r="F139" s="87" t="s">
        <v>21871</v>
      </c>
      <c r="G139" s="45" t="s">
        <v>10468</v>
      </c>
      <c r="H139" s="55" t="s">
        <v>10469</v>
      </c>
      <c r="I139" s="15" t="s">
        <v>105</v>
      </c>
    </row>
    <row r="140" spans="1:9" ht="51.75" customHeight="1" x14ac:dyDescent="0.35">
      <c r="A140" s="15" t="s">
        <v>22035</v>
      </c>
      <c r="B140" s="15" t="s">
        <v>22036</v>
      </c>
      <c r="C140" s="15" t="s">
        <v>22037</v>
      </c>
      <c r="D140" s="31">
        <v>42355</v>
      </c>
      <c r="E140" s="15" t="s">
        <v>22038</v>
      </c>
      <c r="F140" s="87" t="s">
        <v>21871</v>
      </c>
      <c r="G140" s="45" t="s">
        <v>10862</v>
      </c>
      <c r="H140" s="55" t="s">
        <v>10863</v>
      </c>
      <c r="I140" s="15" t="s">
        <v>105</v>
      </c>
    </row>
    <row r="141" spans="1:9" ht="51.75" customHeight="1" x14ac:dyDescent="0.35">
      <c r="A141" s="15" t="s">
        <v>22039</v>
      </c>
      <c r="B141" s="15" t="s">
        <v>22040</v>
      </c>
      <c r="C141" s="15" t="s">
        <v>22041</v>
      </c>
      <c r="D141" s="31">
        <v>42409</v>
      </c>
      <c r="E141" s="15" t="s">
        <v>22042</v>
      </c>
      <c r="F141" s="87" t="s">
        <v>21871</v>
      </c>
      <c r="G141" s="45" t="s">
        <v>10867</v>
      </c>
      <c r="H141" s="55" t="s">
        <v>10868</v>
      </c>
      <c r="I141" s="15" t="s">
        <v>105</v>
      </c>
    </row>
    <row r="142" spans="1:9" ht="51.75" customHeight="1" x14ac:dyDescent="0.35">
      <c r="A142" s="15" t="s">
        <v>22043</v>
      </c>
      <c r="B142" s="15" t="s">
        <v>22044</v>
      </c>
      <c r="C142" s="15" t="s">
        <v>22045</v>
      </c>
      <c r="D142" s="31" t="s">
        <v>50</v>
      </c>
      <c r="E142" s="15" t="s">
        <v>22046</v>
      </c>
      <c r="F142" s="87" t="s">
        <v>21871</v>
      </c>
      <c r="G142" s="45" t="s">
        <v>10975</v>
      </c>
      <c r="H142" s="55" t="s">
        <v>10976</v>
      </c>
      <c r="I142" s="15" t="s">
        <v>105</v>
      </c>
    </row>
    <row r="143" spans="1:9" ht="51.75" customHeight="1" x14ac:dyDescent="0.35">
      <c r="A143" s="15" t="s">
        <v>22047</v>
      </c>
      <c r="B143" s="15" t="s">
        <v>22048</v>
      </c>
      <c r="C143" s="15" t="s">
        <v>22049</v>
      </c>
      <c r="D143" s="31">
        <v>42510</v>
      </c>
      <c r="E143" s="15" t="s">
        <v>22050</v>
      </c>
      <c r="F143" s="87" t="s">
        <v>21871</v>
      </c>
      <c r="G143" s="45" t="s">
        <v>11203</v>
      </c>
      <c r="H143" s="55" t="s">
        <v>11204</v>
      </c>
      <c r="I143" s="15" t="s">
        <v>105</v>
      </c>
    </row>
    <row r="144" spans="1:9" ht="51.75" customHeight="1" x14ac:dyDescent="0.35">
      <c r="A144" s="15" t="s">
        <v>22051</v>
      </c>
      <c r="B144" s="15" t="s">
        <v>22052</v>
      </c>
      <c r="C144" s="15" t="s">
        <v>22053</v>
      </c>
      <c r="D144" s="31">
        <v>42510</v>
      </c>
      <c r="E144" s="15" t="s">
        <v>22054</v>
      </c>
      <c r="F144" s="87" t="s">
        <v>21871</v>
      </c>
      <c r="G144" s="45" t="s">
        <v>11203</v>
      </c>
      <c r="H144" s="55" t="s">
        <v>11204</v>
      </c>
      <c r="I144" s="15" t="s">
        <v>105</v>
      </c>
    </row>
    <row r="145" spans="1:9" ht="51.75" customHeight="1" x14ac:dyDescent="0.35">
      <c r="A145" s="15" t="s">
        <v>22055</v>
      </c>
      <c r="B145" s="15" t="s">
        <v>22056</v>
      </c>
      <c r="C145" s="15" t="s">
        <v>22057</v>
      </c>
      <c r="D145" s="31">
        <v>42635</v>
      </c>
      <c r="E145" s="15" t="s">
        <v>22058</v>
      </c>
      <c r="F145" s="87" t="s">
        <v>21871</v>
      </c>
      <c r="G145" s="45" t="s">
        <v>11681</v>
      </c>
      <c r="H145" s="55" t="s">
        <v>11682</v>
      </c>
      <c r="I145" s="15" t="s">
        <v>105</v>
      </c>
    </row>
    <row r="146" spans="1:9" ht="51.75" customHeight="1" x14ac:dyDescent="0.35">
      <c r="A146" s="15" t="s">
        <v>22059</v>
      </c>
      <c r="B146" s="15" t="s">
        <v>22060</v>
      </c>
      <c r="C146" s="15" t="s">
        <v>22061</v>
      </c>
      <c r="D146" s="31">
        <v>42723</v>
      </c>
      <c r="E146" s="15" t="s">
        <v>22062</v>
      </c>
      <c r="F146" s="87" t="s">
        <v>21871</v>
      </c>
      <c r="G146" s="45" t="s">
        <v>12175</v>
      </c>
      <c r="H146" s="55" t="s">
        <v>12176</v>
      </c>
      <c r="I146" s="15" t="s">
        <v>105</v>
      </c>
    </row>
    <row r="147" spans="1:9" ht="51.75" customHeight="1" x14ac:dyDescent="0.35">
      <c r="A147" s="15" t="s">
        <v>22059</v>
      </c>
      <c r="B147" s="15" t="s">
        <v>22063</v>
      </c>
      <c r="C147" s="15" t="s">
        <v>22061</v>
      </c>
      <c r="D147" s="31">
        <v>42723</v>
      </c>
      <c r="E147" s="15" t="s">
        <v>22064</v>
      </c>
      <c r="F147" s="87" t="s">
        <v>21876</v>
      </c>
      <c r="G147" s="45" t="s">
        <v>12175</v>
      </c>
      <c r="H147" s="55" t="s">
        <v>12176</v>
      </c>
      <c r="I147" s="15" t="s">
        <v>105</v>
      </c>
    </row>
    <row r="148" spans="1:9" ht="51.75" customHeight="1" x14ac:dyDescent="0.35">
      <c r="A148" s="15" t="s">
        <v>22065</v>
      </c>
      <c r="B148" s="15" t="s">
        <v>22066</v>
      </c>
      <c r="C148" s="15" t="s">
        <v>22067</v>
      </c>
      <c r="D148" s="31">
        <v>42713</v>
      </c>
      <c r="E148" s="15" t="s">
        <v>22068</v>
      </c>
      <c r="F148" s="87" t="s">
        <v>21876</v>
      </c>
      <c r="G148" s="45" t="s">
        <v>12263</v>
      </c>
      <c r="H148" s="55" t="s">
        <v>12264</v>
      </c>
      <c r="I148" s="15" t="s">
        <v>105</v>
      </c>
    </row>
    <row r="149" spans="1:9" ht="51.75" customHeight="1" x14ac:dyDescent="0.35">
      <c r="A149" s="15" t="s">
        <v>22065</v>
      </c>
      <c r="B149" s="15" t="s">
        <v>22069</v>
      </c>
      <c r="C149" s="15" t="s">
        <v>22067</v>
      </c>
      <c r="D149" s="31">
        <v>42713</v>
      </c>
      <c r="E149" s="15" t="s">
        <v>22070</v>
      </c>
      <c r="F149" s="87" t="s">
        <v>21871</v>
      </c>
      <c r="G149" s="45" t="s">
        <v>12263</v>
      </c>
      <c r="H149" s="55" t="s">
        <v>12264</v>
      </c>
      <c r="I149" s="15" t="s">
        <v>105</v>
      </c>
    </row>
    <row r="150" spans="1:9" ht="51.75" customHeight="1" x14ac:dyDescent="0.35">
      <c r="A150" s="15" t="s">
        <v>22071</v>
      </c>
      <c r="B150" s="15" t="s">
        <v>22072</v>
      </c>
      <c r="C150" s="15" t="s">
        <v>22073</v>
      </c>
      <c r="D150" s="31">
        <v>42713</v>
      </c>
      <c r="E150" s="15" t="s">
        <v>22074</v>
      </c>
      <c r="F150" s="87" t="s">
        <v>21876</v>
      </c>
      <c r="G150" s="45" t="s">
        <v>12263</v>
      </c>
      <c r="H150" s="55" t="s">
        <v>12264</v>
      </c>
      <c r="I150" s="15" t="s">
        <v>105</v>
      </c>
    </row>
    <row r="151" spans="1:9" ht="51.75" customHeight="1" x14ac:dyDescent="0.35">
      <c r="A151" s="15" t="s">
        <v>22071</v>
      </c>
      <c r="B151" s="15" t="s">
        <v>22075</v>
      </c>
      <c r="C151" s="15" t="s">
        <v>22073</v>
      </c>
      <c r="D151" s="31">
        <v>42713</v>
      </c>
      <c r="E151" s="15" t="s">
        <v>22076</v>
      </c>
      <c r="F151" s="87" t="s">
        <v>21871</v>
      </c>
      <c r="G151" s="45" t="s">
        <v>12263</v>
      </c>
      <c r="H151" s="55" t="s">
        <v>12264</v>
      </c>
      <c r="I151" s="15" t="s">
        <v>105</v>
      </c>
    </row>
    <row r="152" spans="1:9" ht="51.75" customHeight="1" x14ac:dyDescent="0.35">
      <c r="A152" s="15" t="s">
        <v>22077</v>
      </c>
      <c r="B152" s="15" t="s">
        <v>22078</v>
      </c>
      <c r="C152" s="15" t="s">
        <v>22079</v>
      </c>
      <c r="D152" s="31">
        <v>42818</v>
      </c>
      <c r="E152" s="15" t="s">
        <v>22080</v>
      </c>
      <c r="F152" s="87" t="s">
        <v>21871</v>
      </c>
      <c r="G152" s="45" t="s">
        <v>12335</v>
      </c>
      <c r="H152" s="55" t="s">
        <v>12336</v>
      </c>
      <c r="I152" s="15" t="s">
        <v>105</v>
      </c>
    </row>
    <row r="153" spans="1:9" ht="51.75" customHeight="1" x14ac:dyDescent="0.35">
      <c r="A153" s="15" t="s">
        <v>22081</v>
      </c>
      <c r="B153" s="15" t="s">
        <v>22082</v>
      </c>
      <c r="C153" s="15" t="s">
        <v>22083</v>
      </c>
      <c r="D153" s="31">
        <v>42859</v>
      </c>
      <c r="E153" s="15" t="s">
        <v>22084</v>
      </c>
      <c r="F153" s="87" t="s">
        <v>21871</v>
      </c>
      <c r="G153" s="45" t="s">
        <v>12361</v>
      </c>
      <c r="H153" s="55" t="s">
        <v>12362</v>
      </c>
      <c r="I153" s="15" t="s">
        <v>105</v>
      </c>
    </row>
    <row r="154" spans="1:9" ht="51.75" customHeight="1" x14ac:dyDescent="0.35">
      <c r="A154" s="15" t="s">
        <v>22085</v>
      </c>
      <c r="B154" s="15" t="s">
        <v>22086</v>
      </c>
      <c r="C154" s="15" t="s">
        <v>22087</v>
      </c>
      <c r="D154" s="31">
        <v>42879</v>
      </c>
      <c r="E154" s="15" t="s">
        <v>22088</v>
      </c>
      <c r="F154" s="87" t="s">
        <v>21876</v>
      </c>
      <c r="G154" s="45" t="s">
        <v>12443</v>
      </c>
      <c r="H154" s="55" t="s">
        <v>12444</v>
      </c>
      <c r="I154" s="15" t="s">
        <v>105</v>
      </c>
    </row>
    <row r="155" spans="1:9" ht="51.75" customHeight="1" x14ac:dyDescent="0.35">
      <c r="A155" s="15" t="s">
        <v>22085</v>
      </c>
      <c r="B155" s="15" t="s">
        <v>22089</v>
      </c>
      <c r="C155" s="15" t="s">
        <v>22087</v>
      </c>
      <c r="D155" s="31">
        <v>42879</v>
      </c>
      <c r="E155" s="15" t="s">
        <v>22090</v>
      </c>
      <c r="F155" s="87" t="s">
        <v>21871</v>
      </c>
      <c r="G155" s="45" t="s">
        <v>12443</v>
      </c>
      <c r="H155" s="55" t="s">
        <v>12444</v>
      </c>
      <c r="I155" s="15" t="s">
        <v>105</v>
      </c>
    </row>
    <row r="156" spans="1:9" ht="51.75" customHeight="1" x14ac:dyDescent="0.35">
      <c r="A156" s="15" t="s">
        <v>22091</v>
      </c>
      <c r="B156" s="15" t="s">
        <v>22092</v>
      </c>
      <c r="C156" s="15" t="s">
        <v>22093</v>
      </c>
      <c r="D156" s="31">
        <v>42879</v>
      </c>
      <c r="E156" s="15" t="s">
        <v>22094</v>
      </c>
      <c r="F156" s="87" t="s">
        <v>21871</v>
      </c>
      <c r="G156" s="45" t="s">
        <v>12443</v>
      </c>
      <c r="H156" s="55" t="s">
        <v>12444</v>
      </c>
      <c r="I156" s="15" t="s">
        <v>105</v>
      </c>
    </row>
    <row r="157" spans="1:9" ht="51.75" customHeight="1" x14ac:dyDescent="0.35">
      <c r="A157" s="15" t="s">
        <v>22095</v>
      </c>
      <c r="B157" s="15" t="s">
        <v>22096</v>
      </c>
      <c r="C157" s="15" t="s">
        <v>22097</v>
      </c>
      <c r="D157" s="31" t="s">
        <v>50</v>
      </c>
      <c r="E157" s="15" t="s">
        <v>22098</v>
      </c>
      <c r="F157" s="87" t="s">
        <v>21871</v>
      </c>
      <c r="G157" s="45" t="s">
        <v>12796</v>
      </c>
      <c r="H157" s="55" t="s">
        <v>12797</v>
      </c>
      <c r="I157" s="15" t="s">
        <v>105</v>
      </c>
    </row>
    <row r="158" spans="1:9" ht="51.75" customHeight="1" x14ac:dyDescent="0.35">
      <c r="A158" s="15" t="s">
        <v>22099</v>
      </c>
      <c r="B158" s="15" t="s">
        <v>22100</v>
      </c>
      <c r="C158" s="15" t="s">
        <v>22101</v>
      </c>
      <c r="D158" s="31">
        <v>43018</v>
      </c>
      <c r="E158" s="15" t="s">
        <v>22102</v>
      </c>
      <c r="F158" s="87" t="s">
        <v>21871</v>
      </c>
      <c r="G158" s="45" t="s">
        <v>12826</v>
      </c>
      <c r="H158" s="55" t="s">
        <v>12827</v>
      </c>
      <c r="I158" s="15" t="s">
        <v>105</v>
      </c>
    </row>
    <row r="159" spans="1:9" ht="51.75" customHeight="1" x14ac:dyDescent="0.35">
      <c r="A159" s="15" t="s">
        <v>22103</v>
      </c>
      <c r="B159" s="15" t="s">
        <v>22104</v>
      </c>
      <c r="C159" s="15" t="s">
        <v>22105</v>
      </c>
      <c r="D159" s="31" t="s">
        <v>50</v>
      </c>
      <c r="E159" s="15" t="s">
        <v>22106</v>
      </c>
      <c r="F159" s="87" t="s">
        <v>21871</v>
      </c>
      <c r="G159" s="45" t="s">
        <v>12891</v>
      </c>
      <c r="H159" s="55" t="s">
        <v>12892</v>
      </c>
      <c r="I159" s="15" t="s">
        <v>105</v>
      </c>
    </row>
    <row r="160" spans="1:9" ht="51.75" customHeight="1" x14ac:dyDescent="0.35">
      <c r="A160" s="15" t="s">
        <v>22043</v>
      </c>
      <c r="B160" s="15" t="s">
        <v>22107</v>
      </c>
      <c r="C160" s="15" t="s">
        <v>22108</v>
      </c>
      <c r="D160" s="31">
        <v>43125</v>
      </c>
      <c r="E160" s="15" t="s">
        <v>22109</v>
      </c>
      <c r="F160" s="87" t="s">
        <v>21871</v>
      </c>
      <c r="G160" s="45" t="s">
        <v>13213</v>
      </c>
      <c r="H160" s="55" t="s">
        <v>13214</v>
      </c>
      <c r="I160" s="15" t="s">
        <v>105</v>
      </c>
    </row>
    <row r="161" spans="1:9" ht="51.75" customHeight="1" x14ac:dyDescent="0.35">
      <c r="A161" s="15" t="s">
        <v>22110</v>
      </c>
      <c r="B161" s="15" t="s">
        <v>22111</v>
      </c>
      <c r="C161" s="15" t="s">
        <v>22112</v>
      </c>
      <c r="D161" s="31">
        <v>43116</v>
      </c>
      <c r="E161" s="15" t="s">
        <v>22113</v>
      </c>
      <c r="F161" s="87" t="s">
        <v>21871</v>
      </c>
      <c r="G161" s="45" t="s">
        <v>13213</v>
      </c>
      <c r="H161" s="55" t="s">
        <v>13214</v>
      </c>
      <c r="I161" s="15" t="s">
        <v>105</v>
      </c>
    </row>
    <row r="162" spans="1:9" ht="51.75" customHeight="1" x14ac:dyDescent="0.35">
      <c r="A162" s="15" t="s">
        <v>22114</v>
      </c>
      <c r="B162" s="15" t="s">
        <v>22115</v>
      </c>
      <c r="C162" s="15" t="s">
        <v>22116</v>
      </c>
      <c r="D162" s="31">
        <v>43116</v>
      </c>
      <c r="E162" s="15" t="s">
        <v>22117</v>
      </c>
      <c r="F162" s="87" t="s">
        <v>21871</v>
      </c>
      <c r="G162" s="45" t="s">
        <v>13213</v>
      </c>
      <c r="H162" s="55" t="s">
        <v>13214</v>
      </c>
      <c r="I162" s="15" t="s">
        <v>105</v>
      </c>
    </row>
    <row r="163" spans="1:9" ht="51.75" customHeight="1" x14ac:dyDescent="0.35">
      <c r="A163" s="15" t="s">
        <v>22118</v>
      </c>
      <c r="B163" s="15" t="s">
        <v>22119</v>
      </c>
      <c r="C163" s="15" t="s">
        <v>22120</v>
      </c>
      <c r="D163" s="31">
        <v>43083</v>
      </c>
      <c r="E163" s="15" t="s">
        <v>22121</v>
      </c>
      <c r="F163" s="87" t="s">
        <v>21876</v>
      </c>
      <c r="G163" s="45" t="s">
        <v>13355</v>
      </c>
      <c r="H163" s="55" t="s">
        <v>13356</v>
      </c>
      <c r="I163" s="15" t="s">
        <v>105</v>
      </c>
    </row>
    <row r="164" spans="1:9" ht="51.75" customHeight="1" x14ac:dyDescent="0.35">
      <c r="A164" s="15" t="s">
        <v>22118</v>
      </c>
      <c r="B164" s="15" t="s">
        <v>22122</v>
      </c>
      <c r="C164" s="15" t="s">
        <v>22120</v>
      </c>
      <c r="D164" s="31">
        <v>43083</v>
      </c>
      <c r="E164" s="15" t="s">
        <v>22123</v>
      </c>
      <c r="F164" s="87" t="s">
        <v>21871</v>
      </c>
      <c r="G164" s="45" t="s">
        <v>13355</v>
      </c>
      <c r="H164" s="55" t="s">
        <v>13356</v>
      </c>
      <c r="I164" s="15" t="s">
        <v>105</v>
      </c>
    </row>
    <row r="165" spans="1:9" ht="51.75" customHeight="1" x14ac:dyDescent="0.35">
      <c r="A165" s="15" t="s">
        <v>21983</v>
      </c>
      <c r="B165" s="15" t="s">
        <v>22124</v>
      </c>
      <c r="C165" s="15" t="s">
        <v>22125</v>
      </c>
      <c r="D165" s="31">
        <v>43202</v>
      </c>
      <c r="E165" s="15" t="s">
        <v>22126</v>
      </c>
      <c r="F165" s="87" t="s">
        <v>21871</v>
      </c>
      <c r="G165" s="45" t="s">
        <v>13528</v>
      </c>
      <c r="H165" s="55" t="s">
        <v>13529</v>
      </c>
      <c r="I165" s="15" t="s">
        <v>105</v>
      </c>
    </row>
    <row r="166" spans="1:9" ht="51.75" customHeight="1" x14ac:dyDescent="0.35">
      <c r="A166" s="15" t="s">
        <v>22127</v>
      </c>
      <c r="B166" s="15" t="s">
        <v>22128</v>
      </c>
      <c r="C166" s="15" t="s">
        <v>22129</v>
      </c>
      <c r="D166" s="31" t="s">
        <v>50</v>
      </c>
      <c r="E166" s="15" t="s">
        <v>22130</v>
      </c>
      <c r="F166" s="87" t="s">
        <v>21871</v>
      </c>
      <c r="G166" s="45" t="s">
        <v>13741</v>
      </c>
      <c r="H166" s="55" t="s">
        <v>13742</v>
      </c>
      <c r="I166" s="15" t="s">
        <v>105</v>
      </c>
    </row>
    <row r="167" spans="1:9" ht="51.75" customHeight="1" x14ac:dyDescent="0.35">
      <c r="A167" s="15" t="s">
        <v>22131</v>
      </c>
      <c r="B167" s="15" t="s">
        <v>22132</v>
      </c>
      <c r="C167" s="15" t="s">
        <v>22133</v>
      </c>
      <c r="D167" s="31" t="s">
        <v>50</v>
      </c>
      <c r="E167" s="15" t="s">
        <v>22134</v>
      </c>
      <c r="F167" s="87" t="s">
        <v>21871</v>
      </c>
      <c r="G167" s="45" t="s">
        <v>13741</v>
      </c>
      <c r="H167" s="55" t="s">
        <v>13742</v>
      </c>
      <c r="I167" s="15" t="s">
        <v>105</v>
      </c>
    </row>
    <row r="168" spans="1:9" ht="51.75" customHeight="1" x14ac:dyDescent="0.35">
      <c r="A168" s="15" t="s">
        <v>22135</v>
      </c>
      <c r="B168" s="15" t="s">
        <v>22136</v>
      </c>
      <c r="C168" s="15" t="s">
        <v>22137</v>
      </c>
      <c r="D168" s="31" t="s">
        <v>50</v>
      </c>
      <c r="E168" s="15" t="s">
        <v>22138</v>
      </c>
      <c r="F168" s="87" t="s">
        <v>21871</v>
      </c>
      <c r="G168" s="45" t="s">
        <v>13752</v>
      </c>
      <c r="H168" s="55" t="s">
        <v>13753</v>
      </c>
      <c r="I168" s="15" t="s">
        <v>105</v>
      </c>
    </row>
    <row r="169" spans="1:9" ht="51.75" customHeight="1" x14ac:dyDescent="0.35">
      <c r="A169" s="15" t="s">
        <v>22139</v>
      </c>
      <c r="B169" s="15" t="s">
        <v>22140</v>
      </c>
      <c r="C169" s="15" t="s">
        <v>22141</v>
      </c>
      <c r="D169" s="31">
        <v>43277</v>
      </c>
      <c r="E169" s="15" t="s">
        <v>22142</v>
      </c>
      <c r="F169" s="87" t="s">
        <v>21871</v>
      </c>
      <c r="G169" s="45" t="s">
        <v>14132</v>
      </c>
      <c r="H169" s="55" t="s">
        <v>14133</v>
      </c>
      <c r="I169" s="15" t="s">
        <v>105</v>
      </c>
    </row>
    <row r="170" spans="1:9" ht="51.75" customHeight="1" x14ac:dyDescent="0.35">
      <c r="A170" s="15" t="s">
        <v>22143</v>
      </c>
      <c r="B170" s="15" t="s">
        <v>22144</v>
      </c>
      <c r="C170" s="15" t="s">
        <v>22145</v>
      </c>
      <c r="D170" s="31">
        <v>43328</v>
      </c>
      <c r="E170" s="15" t="s">
        <v>22146</v>
      </c>
      <c r="F170" s="87" t="s">
        <v>21871</v>
      </c>
      <c r="G170" s="45" t="s">
        <v>14229</v>
      </c>
      <c r="H170" s="55" t="s">
        <v>14230</v>
      </c>
      <c r="I170" s="15" t="s">
        <v>105</v>
      </c>
    </row>
    <row r="171" spans="1:9" ht="51.75" customHeight="1" x14ac:dyDescent="0.35">
      <c r="A171" s="15" t="s">
        <v>22147</v>
      </c>
      <c r="B171" s="15" t="s">
        <v>22148</v>
      </c>
      <c r="C171" s="15" t="s">
        <v>22149</v>
      </c>
      <c r="D171" s="31">
        <v>43328</v>
      </c>
      <c r="E171" s="15" t="s">
        <v>22150</v>
      </c>
      <c r="F171" s="87" t="s">
        <v>21871</v>
      </c>
      <c r="G171" s="45" t="s">
        <v>14229</v>
      </c>
      <c r="H171" s="55" t="s">
        <v>14230</v>
      </c>
      <c r="I171" s="15" t="s">
        <v>105</v>
      </c>
    </row>
    <row r="172" spans="1:9" ht="51.75" customHeight="1" x14ac:dyDescent="0.35">
      <c r="A172" s="15" t="s">
        <v>22151</v>
      </c>
      <c r="B172" s="15" t="s">
        <v>22152</v>
      </c>
      <c r="C172" s="15" t="s">
        <v>22153</v>
      </c>
      <c r="D172" s="31" t="s">
        <v>50</v>
      </c>
      <c r="E172" s="15" t="s">
        <v>22154</v>
      </c>
      <c r="F172" s="87" t="s">
        <v>21871</v>
      </c>
      <c r="G172" s="45" t="s">
        <v>14374</v>
      </c>
      <c r="H172" s="55" t="s">
        <v>14375</v>
      </c>
      <c r="I172" s="15" t="s">
        <v>105</v>
      </c>
    </row>
    <row r="173" spans="1:9" ht="51.75" customHeight="1" x14ac:dyDescent="0.35">
      <c r="A173" s="15" t="s">
        <v>22155</v>
      </c>
      <c r="B173" s="15" t="s">
        <v>22156</v>
      </c>
      <c r="C173" s="15" t="s">
        <v>22157</v>
      </c>
      <c r="D173" s="31" t="s">
        <v>50</v>
      </c>
      <c r="E173" s="15" t="s">
        <v>22158</v>
      </c>
      <c r="F173" s="87" t="s">
        <v>21871</v>
      </c>
      <c r="G173" s="45" t="s">
        <v>14374</v>
      </c>
      <c r="H173" s="55" t="s">
        <v>14375</v>
      </c>
      <c r="I173" s="15" t="s">
        <v>105</v>
      </c>
    </row>
    <row r="174" spans="1:9" ht="51.75" customHeight="1" x14ac:dyDescent="0.35">
      <c r="A174" s="15" t="s">
        <v>22159</v>
      </c>
      <c r="B174" s="15" t="s">
        <v>22160</v>
      </c>
      <c r="C174" s="15" t="s">
        <v>22161</v>
      </c>
      <c r="D174" s="31" t="s">
        <v>50</v>
      </c>
      <c r="E174" s="15" t="s">
        <v>22162</v>
      </c>
      <c r="F174" s="87" t="s">
        <v>21871</v>
      </c>
      <c r="G174" s="45" t="s">
        <v>14506</v>
      </c>
      <c r="H174" s="55" t="s">
        <v>14507</v>
      </c>
      <c r="I174" s="15" t="s">
        <v>105</v>
      </c>
    </row>
    <row r="175" spans="1:9" ht="51.75" customHeight="1" x14ac:dyDescent="0.35">
      <c r="A175" s="15" t="s">
        <v>22163</v>
      </c>
      <c r="B175" s="15" t="s">
        <v>22164</v>
      </c>
      <c r="C175" s="15" t="s">
        <v>22165</v>
      </c>
      <c r="D175" s="31" t="s">
        <v>50</v>
      </c>
      <c r="E175" s="15" t="s">
        <v>22166</v>
      </c>
      <c r="F175" s="87" t="s">
        <v>21871</v>
      </c>
      <c r="G175" s="45" t="s">
        <v>14646</v>
      </c>
      <c r="H175" s="55" t="s">
        <v>14647</v>
      </c>
      <c r="I175" s="15" t="s">
        <v>105</v>
      </c>
    </row>
    <row r="176" spans="1:9" ht="51.75" customHeight="1" x14ac:dyDescent="0.35">
      <c r="A176" s="15" t="s">
        <v>22167</v>
      </c>
      <c r="B176" s="15" t="s">
        <v>22168</v>
      </c>
      <c r="C176" s="15" t="s">
        <v>22169</v>
      </c>
      <c r="D176" s="31" t="s">
        <v>50</v>
      </c>
      <c r="E176" s="15" t="s">
        <v>22170</v>
      </c>
      <c r="F176" s="87" t="s">
        <v>21871</v>
      </c>
      <c r="G176" s="45" t="s">
        <v>14646</v>
      </c>
      <c r="H176" s="55" t="s">
        <v>14647</v>
      </c>
      <c r="I176" s="15" t="s">
        <v>105</v>
      </c>
    </row>
    <row r="177" spans="1:9" ht="51.75" customHeight="1" x14ac:dyDescent="0.35">
      <c r="A177" s="15" t="s">
        <v>22171</v>
      </c>
      <c r="B177" s="15" t="s">
        <v>22172</v>
      </c>
      <c r="C177" s="15" t="s">
        <v>22173</v>
      </c>
      <c r="D177" s="31" t="s">
        <v>50</v>
      </c>
      <c r="E177" s="15" t="s">
        <v>22174</v>
      </c>
      <c r="F177" s="87" t="s">
        <v>21871</v>
      </c>
      <c r="G177" s="45" t="s">
        <v>14803</v>
      </c>
      <c r="H177" s="55" t="s">
        <v>14804</v>
      </c>
      <c r="I177" s="15" t="s">
        <v>105</v>
      </c>
    </row>
    <row r="178" spans="1:9" ht="51.75" customHeight="1" x14ac:dyDescent="0.35">
      <c r="A178" s="15" t="s">
        <v>22175</v>
      </c>
      <c r="B178" s="15" t="s">
        <v>22176</v>
      </c>
      <c r="C178" s="15" t="s">
        <v>22177</v>
      </c>
      <c r="D178" s="31" t="s">
        <v>50</v>
      </c>
      <c r="E178" s="15" t="s">
        <v>22178</v>
      </c>
      <c r="F178" s="87" t="s">
        <v>21871</v>
      </c>
      <c r="G178" s="45" t="s">
        <v>12036</v>
      </c>
      <c r="H178" s="55" t="s">
        <v>12037</v>
      </c>
      <c r="I178" s="15" t="s">
        <v>105</v>
      </c>
    </row>
    <row r="179" spans="1:9" ht="51.75" customHeight="1" x14ac:dyDescent="0.35">
      <c r="A179" s="15" t="s">
        <v>22179</v>
      </c>
      <c r="B179" s="15" t="s">
        <v>22180</v>
      </c>
      <c r="C179" s="15" t="s">
        <v>22181</v>
      </c>
      <c r="D179" s="31" t="s">
        <v>50</v>
      </c>
      <c r="E179" s="15" t="s">
        <v>22182</v>
      </c>
      <c r="F179" s="87" t="s">
        <v>21871</v>
      </c>
      <c r="G179" s="45" t="s">
        <v>12036</v>
      </c>
      <c r="H179" s="55" t="s">
        <v>12037</v>
      </c>
      <c r="I179" s="15" t="s">
        <v>105</v>
      </c>
    </row>
    <row r="180" spans="1:9" ht="51.75" customHeight="1" x14ac:dyDescent="0.35">
      <c r="A180" s="15" t="s">
        <v>22155</v>
      </c>
      <c r="B180" s="15" t="s">
        <v>22183</v>
      </c>
      <c r="C180" s="15" t="s">
        <v>22184</v>
      </c>
      <c r="D180" s="31" t="s">
        <v>50</v>
      </c>
      <c r="E180" s="15" t="s">
        <v>22185</v>
      </c>
      <c r="F180" s="87" t="s">
        <v>21871</v>
      </c>
      <c r="G180" s="45" t="s">
        <v>15138</v>
      </c>
      <c r="H180" s="55" t="s">
        <v>15139</v>
      </c>
      <c r="I180" s="15" t="s">
        <v>105</v>
      </c>
    </row>
    <row r="181" spans="1:9" ht="51.75" customHeight="1" x14ac:dyDescent="0.35">
      <c r="A181" s="15" t="s">
        <v>22186</v>
      </c>
      <c r="B181" s="15" t="s">
        <v>22187</v>
      </c>
      <c r="C181" s="15" t="s">
        <v>22188</v>
      </c>
      <c r="D181" s="31">
        <v>43599</v>
      </c>
      <c r="E181" s="15" t="s">
        <v>22189</v>
      </c>
      <c r="F181" s="87" t="s">
        <v>21871</v>
      </c>
      <c r="G181" s="45" t="s">
        <v>15185</v>
      </c>
      <c r="H181" s="55" t="s">
        <v>15186</v>
      </c>
      <c r="I181" s="15" t="s">
        <v>105</v>
      </c>
    </row>
    <row r="182" spans="1:9" ht="51.75" customHeight="1" x14ac:dyDescent="0.35">
      <c r="A182" s="15" t="s">
        <v>22190</v>
      </c>
      <c r="B182" s="15" t="s">
        <v>22191</v>
      </c>
      <c r="C182" s="15" t="s">
        <v>22192</v>
      </c>
      <c r="D182" s="31" t="s">
        <v>50</v>
      </c>
      <c r="E182" s="15" t="s">
        <v>22193</v>
      </c>
      <c r="F182" s="87" t="s">
        <v>21871</v>
      </c>
      <c r="G182" s="45" t="s">
        <v>15282</v>
      </c>
      <c r="H182" s="55" t="s">
        <v>15283</v>
      </c>
      <c r="I182" s="15" t="s">
        <v>105</v>
      </c>
    </row>
    <row r="183" spans="1:9" ht="51.75" customHeight="1" x14ac:dyDescent="0.35">
      <c r="A183" s="15" t="s">
        <v>22194</v>
      </c>
      <c r="B183" s="15" t="s">
        <v>22195</v>
      </c>
      <c r="C183" s="15" t="s">
        <v>22196</v>
      </c>
      <c r="D183" s="31">
        <v>43647</v>
      </c>
      <c r="E183" s="15" t="s">
        <v>22197</v>
      </c>
      <c r="F183" s="87" t="s">
        <v>21871</v>
      </c>
      <c r="G183" s="45" t="s">
        <v>15400</v>
      </c>
      <c r="H183" s="55" t="s">
        <v>15401</v>
      </c>
      <c r="I183" s="15" t="s">
        <v>105</v>
      </c>
    </row>
    <row r="184" spans="1:9" ht="51.75" customHeight="1" x14ac:dyDescent="0.35">
      <c r="A184" s="15" t="s">
        <v>22198</v>
      </c>
      <c r="B184" s="15" t="s">
        <v>22199</v>
      </c>
      <c r="C184" s="15" t="s">
        <v>22200</v>
      </c>
      <c r="D184" s="31">
        <v>43647</v>
      </c>
      <c r="E184" s="15" t="s">
        <v>22201</v>
      </c>
      <c r="F184" s="87" t="s">
        <v>21871</v>
      </c>
      <c r="G184" s="45" t="s">
        <v>15400</v>
      </c>
      <c r="H184" s="55" t="s">
        <v>15401</v>
      </c>
      <c r="I184" s="15" t="s">
        <v>105</v>
      </c>
    </row>
    <row r="185" spans="1:9" ht="51.75" customHeight="1" x14ac:dyDescent="0.35">
      <c r="A185" s="15" t="s">
        <v>22167</v>
      </c>
      <c r="B185" s="15" t="s">
        <v>22202</v>
      </c>
      <c r="C185" s="15" t="s">
        <v>22203</v>
      </c>
      <c r="D185" s="31" t="s">
        <v>50</v>
      </c>
      <c r="E185" s="15" t="s">
        <v>22204</v>
      </c>
      <c r="F185" s="87" t="s">
        <v>21871</v>
      </c>
      <c r="G185" s="45" t="s">
        <v>15672</v>
      </c>
      <c r="H185" s="55" t="s">
        <v>15673</v>
      </c>
      <c r="I185" s="15" t="s">
        <v>105</v>
      </c>
    </row>
    <row r="186" spans="1:9" ht="51.75" customHeight="1" x14ac:dyDescent="0.35">
      <c r="A186" s="15" t="s">
        <v>22205</v>
      </c>
      <c r="B186" s="15" t="s">
        <v>22206</v>
      </c>
      <c r="C186" s="15" t="s">
        <v>22207</v>
      </c>
      <c r="D186" s="31">
        <v>43791</v>
      </c>
      <c r="E186" s="15" t="s">
        <v>22208</v>
      </c>
      <c r="F186" s="87" t="s">
        <v>21871</v>
      </c>
      <c r="G186" s="45" t="s">
        <v>15792</v>
      </c>
      <c r="H186" s="55" t="s">
        <v>15793</v>
      </c>
      <c r="I186" s="15" t="s">
        <v>105</v>
      </c>
    </row>
    <row r="187" spans="1:9" ht="51.75" customHeight="1" x14ac:dyDescent="0.35">
      <c r="A187" s="15" t="s">
        <v>22209</v>
      </c>
      <c r="B187" s="15" t="s">
        <v>22210</v>
      </c>
      <c r="C187" s="15" t="s">
        <v>22211</v>
      </c>
      <c r="D187" s="31" t="s">
        <v>50</v>
      </c>
      <c r="E187" s="15" t="s">
        <v>22212</v>
      </c>
      <c r="F187" s="87" t="s">
        <v>21871</v>
      </c>
      <c r="G187" s="45" t="s">
        <v>15847</v>
      </c>
      <c r="H187" s="55" t="s">
        <v>15848</v>
      </c>
      <c r="I187" s="15" t="s">
        <v>105</v>
      </c>
    </row>
    <row r="188" spans="1:9" ht="51.75" customHeight="1" x14ac:dyDescent="0.35">
      <c r="A188" s="15" t="s">
        <v>22213</v>
      </c>
      <c r="B188" s="15" t="s">
        <v>22214</v>
      </c>
      <c r="C188" s="15" t="s">
        <v>22215</v>
      </c>
      <c r="D188" s="31" t="s">
        <v>50</v>
      </c>
      <c r="E188" s="15" t="s">
        <v>22216</v>
      </c>
      <c r="F188" s="87" t="s">
        <v>21871</v>
      </c>
      <c r="G188" s="45" t="s">
        <v>15929</v>
      </c>
      <c r="H188" s="55" t="s">
        <v>15930</v>
      </c>
      <c r="I188" s="15" t="s">
        <v>105</v>
      </c>
    </row>
    <row r="189" spans="1:9" ht="51.75" customHeight="1" x14ac:dyDescent="0.35">
      <c r="A189" s="15" t="s">
        <v>22217</v>
      </c>
      <c r="B189" s="15" t="s">
        <v>22218</v>
      </c>
      <c r="C189" s="15" t="s">
        <v>22219</v>
      </c>
      <c r="D189" s="31">
        <v>43852</v>
      </c>
      <c r="E189" s="15" t="s">
        <v>22220</v>
      </c>
      <c r="F189" s="87" t="s">
        <v>21876</v>
      </c>
      <c r="G189" s="45" t="s">
        <v>16108</v>
      </c>
      <c r="H189" s="55" t="s">
        <v>16109</v>
      </c>
      <c r="I189" s="15" t="s">
        <v>105</v>
      </c>
    </row>
    <row r="190" spans="1:9" ht="51.75" customHeight="1" x14ac:dyDescent="0.35">
      <c r="A190" s="15" t="s">
        <v>22217</v>
      </c>
      <c r="B190" s="15" t="s">
        <v>22221</v>
      </c>
      <c r="C190" s="15" t="s">
        <v>22219</v>
      </c>
      <c r="D190" s="31">
        <v>43852</v>
      </c>
      <c r="E190" s="15" t="s">
        <v>22222</v>
      </c>
      <c r="F190" s="87" t="s">
        <v>21871</v>
      </c>
      <c r="G190" s="45" t="s">
        <v>16108</v>
      </c>
      <c r="H190" s="55" t="s">
        <v>16109</v>
      </c>
      <c r="I190" s="15" t="s">
        <v>105</v>
      </c>
    </row>
    <row r="191" spans="1:9" ht="51.75" customHeight="1" x14ac:dyDescent="0.35">
      <c r="A191" s="15" t="s">
        <v>22223</v>
      </c>
      <c r="B191" s="15" t="s">
        <v>22224</v>
      </c>
      <c r="C191" s="15" t="s">
        <v>22225</v>
      </c>
      <c r="D191" s="31">
        <v>43852</v>
      </c>
      <c r="E191" s="15" t="s">
        <v>22226</v>
      </c>
      <c r="F191" s="87" t="s">
        <v>21871</v>
      </c>
      <c r="G191" s="45" t="s">
        <v>16108</v>
      </c>
      <c r="H191" s="55" t="s">
        <v>16109</v>
      </c>
      <c r="I191" s="15" t="s">
        <v>105</v>
      </c>
    </row>
    <row r="192" spans="1:9" ht="51.75" customHeight="1" x14ac:dyDescent="0.35">
      <c r="A192" s="15" t="s">
        <v>22227</v>
      </c>
      <c r="B192" s="15" t="s">
        <v>22228</v>
      </c>
      <c r="C192" s="15" t="s">
        <v>22229</v>
      </c>
      <c r="D192" s="31" t="s">
        <v>50</v>
      </c>
      <c r="E192" s="15" t="s">
        <v>22230</v>
      </c>
      <c r="F192" s="87" t="s">
        <v>21871</v>
      </c>
      <c r="G192" s="45" t="s">
        <v>16215</v>
      </c>
      <c r="H192" s="55" t="s">
        <v>16216</v>
      </c>
      <c r="I192" s="15" t="s">
        <v>105</v>
      </c>
    </row>
    <row r="193" spans="1:9" ht="51.75" customHeight="1" x14ac:dyDescent="0.35">
      <c r="A193" s="15" t="s">
        <v>22231</v>
      </c>
      <c r="B193" s="15" t="s">
        <v>22232</v>
      </c>
      <c r="C193" s="15" t="s">
        <v>22233</v>
      </c>
      <c r="D193" s="31" t="s">
        <v>50</v>
      </c>
      <c r="E193" s="15" t="s">
        <v>22234</v>
      </c>
      <c r="F193" s="87" t="s">
        <v>21871</v>
      </c>
      <c r="G193" s="45" t="s">
        <v>16366</v>
      </c>
      <c r="H193" s="55" t="s">
        <v>16367</v>
      </c>
      <c r="I193" s="15" t="s">
        <v>105</v>
      </c>
    </row>
    <row r="194" spans="1:9" ht="51.75" customHeight="1" x14ac:dyDescent="0.35">
      <c r="A194" s="15" t="s">
        <v>22235</v>
      </c>
      <c r="B194" s="15" t="s">
        <v>22236</v>
      </c>
      <c r="C194" s="15" t="s">
        <v>22237</v>
      </c>
      <c r="D194" s="31">
        <v>43950</v>
      </c>
      <c r="E194" s="15" t="s">
        <v>22238</v>
      </c>
      <c r="F194" s="87" t="s">
        <v>21871</v>
      </c>
      <c r="G194" s="45" t="s">
        <v>16648</v>
      </c>
      <c r="H194" s="55" t="s">
        <v>16649</v>
      </c>
      <c r="I194" s="15" t="s">
        <v>105</v>
      </c>
    </row>
    <row r="195" spans="1:9" ht="51.75" customHeight="1" x14ac:dyDescent="0.35">
      <c r="A195" s="15" t="s">
        <v>22239</v>
      </c>
      <c r="B195" s="15" t="s">
        <v>22240</v>
      </c>
      <c r="C195" s="15" t="s">
        <v>22241</v>
      </c>
      <c r="D195" s="31" t="s">
        <v>50</v>
      </c>
      <c r="E195" s="15" t="s">
        <v>22242</v>
      </c>
      <c r="F195" s="87" t="s">
        <v>21876</v>
      </c>
      <c r="G195" s="45" t="s">
        <v>16687</v>
      </c>
      <c r="H195" s="55" t="s">
        <v>16688</v>
      </c>
      <c r="I195" s="15" t="s">
        <v>105</v>
      </c>
    </row>
    <row r="196" spans="1:9" ht="51.75" customHeight="1" x14ac:dyDescent="0.35">
      <c r="A196" s="15" t="s">
        <v>22239</v>
      </c>
      <c r="B196" s="15" t="s">
        <v>22243</v>
      </c>
      <c r="C196" s="15" t="s">
        <v>22241</v>
      </c>
      <c r="D196" s="31" t="s">
        <v>50</v>
      </c>
      <c r="E196" s="15" t="s">
        <v>22244</v>
      </c>
      <c r="F196" s="87" t="s">
        <v>21871</v>
      </c>
      <c r="G196" s="45" t="s">
        <v>16687</v>
      </c>
      <c r="H196" s="55" t="s">
        <v>16688</v>
      </c>
      <c r="I196" s="15" t="s">
        <v>105</v>
      </c>
    </row>
    <row r="197" spans="1:9" ht="51.75" customHeight="1" x14ac:dyDescent="0.35">
      <c r="A197" s="15" t="s">
        <v>22245</v>
      </c>
      <c r="B197" s="15" t="s">
        <v>22246</v>
      </c>
      <c r="C197" s="15" t="s">
        <v>22247</v>
      </c>
      <c r="D197" s="31" t="s">
        <v>50</v>
      </c>
      <c r="E197" s="15" t="s">
        <v>22248</v>
      </c>
      <c r="F197" s="87" t="s">
        <v>21876</v>
      </c>
      <c r="G197" s="45" t="s">
        <v>16687</v>
      </c>
      <c r="H197" s="55" t="s">
        <v>16688</v>
      </c>
      <c r="I197" s="15" t="s">
        <v>105</v>
      </c>
    </row>
    <row r="198" spans="1:9" ht="51.75" customHeight="1" x14ac:dyDescent="0.35">
      <c r="A198" s="15" t="s">
        <v>22245</v>
      </c>
      <c r="B198" s="15" t="s">
        <v>22249</v>
      </c>
      <c r="C198" s="15" t="s">
        <v>22247</v>
      </c>
      <c r="D198" s="31" t="s">
        <v>50</v>
      </c>
      <c r="E198" s="15" t="s">
        <v>22250</v>
      </c>
      <c r="F198" s="87" t="s">
        <v>21871</v>
      </c>
      <c r="G198" s="45" t="s">
        <v>16687</v>
      </c>
      <c r="H198" s="55" t="s">
        <v>16688</v>
      </c>
      <c r="I198" s="15" t="s">
        <v>105</v>
      </c>
    </row>
    <row r="199" spans="1:9" ht="51.75" customHeight="1" x14ac:dyDescent="0.35">
      <c r="A199" s="15" t="s">
        <v>22251</v>
      </c>
      <c r="B199" s="15" t="s">
        <v>22252</v>
      </c>
      <c r="C199" s="15" t="s">
        <v>22253</v>
      </c>
      <c r="D199" s="31" t="s">
        <v>50</v>
      </c>
      <c r="E199" s="15" t="s">
        <v>22254</v>
      </c>
      <c r="F199" s="87" t="s">
        <v>21871</v>
      </c>
      <c r="G199" s="45" t="s">
        <v>16961</v>
      </c>
      <c r="H199" s="55" t="s">
        <v>16962</v>
      </c>
      <c r="I199" s="15" t="s">
        <v>105</v>
      </c>
    </row>
    <row r="200" spans="1:9" ht="51.75" customHeight="1" x14ac:dyDescent="0.35">
      <c r="A200" s="15"/>
      <c r="B200" s="15" t="s">
        <v>22255</v>
      </c>
      <c r="C200" s="15" t="s">
        <v>22256</v>
      </c>
      <c r="D200" s="28">
        <v>44221</v>
      </c>
      <c r="E200" s="15" t="s">
        <v>22257</v>
      </c>
      <c r="F200" s="87" t="s">
        <v>21871</v>
      </c>
      <c r="G200" s="45" t="s">
        <v>17286</v>
      </c>
      <c r="H200" s="55" t="s">
        <v>17287</v>
      </c>
      <c r="I200" s="15" t="s">
        <v>105</v>
      </c>
    </row>
    <row r="201" spans="1:9" ht="51.75" customHeight="1" x14ac:dyDescent="0.35">
      <c r="A201" s="15"/>
      <c r="B201" s="15" t="s">
        <v>22258</v>
      </c>
      <c r="C201" s="15" t="s">
        <v>22259</v>
      </c>
      <c r="D201" s="28">
        <v>44315</v>
      </c>
      <c r="E201" s="15" t="s">
        <v>22260</v>
      </c>
      <c r="F201" s="87" t="s">
        <v>21871</v>
      </c>
      <c r="G201" s="45" t="s">
        <v>17681</v>
      </c>
      <c r="H201" s="55" t="s">
        <v>17682</v>
      </c>
      <c r="I201" s="15" t="s">
        <v>105</v>
      </c>
    </row>
    <row r="202" spans="1:9" ht="51.75" customHeight="1" x14ac:dyDescent="0.35">
      <c r="A202" s="15"/>
      <c r="B202" s="15" t="s">
        <v>22261</v>
      </c>
      <c r="C202" s="15" t="s">
        <v>22262</v>
      </c>
      <c r="D202" s="28">
        <v>44315</v>
      </c>
      <c r="E202" s="15" t="s">
        <v>22263</v>
      </c>
      <c r="F202" s="87" t="s">
        <v>21871</v>
      </c>
      <c r="G202" s="45" t="s">
        <v>17681</v>
      </c>
      <c r="H202" s="55" t="s">
        <v>17682</v>
      </c>
      <c r="I202" s="15" t="s">
        <v>105</v>
      </c>
    </row>
    <row r="203" spans="1:9" ht="51.75" customHeight="1" x14ac:dyDescent="0.35">
      <c r="A203" s="15"/>
      <c r="B203" s="15" t="s">
        <v>22264</v>
      </c>
      <c r="C203" s="15" t="s">
        <v>22265</v>
      </c>
      <c r="D203" s="28">
        <v>44315</v>
      </c>
      <c r="E203" s="15" t="s">
        <v>22266</v>
      </c>
      <c r="F203" s="87" t="s">
        <v>21871</v>
      </c>
      <c r="G203" s="45" t="s">
        <v>17681</v>
      </c>
      <c r="H203" s="55" t="s">
        <v>17682</v>
      </c>
      <c r="I203" s="15" t="s">
        <v>105</v>
      </c>
    </row>
    <row r="204" spans="1:9" ht="51.75" customHeight="1" x14ac:dyDescent="0.35">
      <c r="A204" s="15"/>
      <c r="B204" s="15" t="s">
        <v>22267</v>
      </c>
      <c r="C204" s="15" t="s">
        <v>22268</v>
      </c>
      <c r="D204" s="28">
        <v>44315</v>
      </c>
      <c r="E204" s="15" t="s">
        <v>22269</v>
      </c>
      <c r="F204" s="87" t="s">
        <v>21871</v>
      </c>
      <c r="G204" s="45" t="s">
        <v>17681</v>
      </c>
      <c r="H204" s="55" t="s">
        <v>17682</v>
      </c>
      <c r="I204" s="15" t="s">
        <v>105</v>
      </c>
    </row>
    <row r="205" spans="1:9" ht="51.75" customHeight="1" x14ac:dyDescent="0.35">
      <c r="A205" s="15"/>
      <c r="B205" s="15" t="s">
        <v>22270</v>
      </c>
      <c r="C205" s="15" t="s">
        <v>22271</v>
      </c>
      <c r="D205" s="28">
        <v>44165</v>
      </c>
      <c r="E205" s="15" t="s">
        <v>22272</v>
      </c>
      <c r="F205" s="87" t="s">
        <v>21871</v>
      </c>
      <c r="G205" s="45" t="s">
        <v>17155</v>
      </c>
      <c r="H205" s="54" t="s">
        <v>17156</v>
      </c>
      <c r="I205" s="5" t="s">
        <v>105</v>
      </c>
    </row>
    <row r="206" spans="1:9" ht="51.75" customHeight="1" x14ac:dyDescent="0.35">
      <c r="A206" s="15"/>
      <c r="B206" s="15" t="s">
        <v>22273</v>
      </c>
      <c r="C206" s="15" t="s">
        <v>22274</v>
      </c>
      <c r="D206" s="28">
        <v>44165</v>
      </c>
      <c r="E206" s="15" t="s">
        <v>22275</v>
      </c>
      <c r="F206" s="87" t="s">
        <v>21871</v>
      </c>
      <c r="G206" s="45" t="s">
        <v>17155</v>
      </c>
      <c r="H206" s="54" t="s">
        <v>17156</v>
      </c>
      <c r="I206" s="5" t="s">
        <v>105</v>
      </c>
    </row>
    <row r="207" spans="1:9" ht="51.75" customHeight="1" x14ac:dyDescent="0.35">
      <c r="A207" s="15"/>
      <c r="B207" s="15" t="s">
        <v>22276</v>
      </c>
      <c r="C207" s="15" t="s">
        <v>22277</v>
      </c>
      <c r="D207" s="28">
        <v>43996</v>
      </c>
      <c r="E207" s="15" t="s">
        <v>22278</v>
      </c>
      <c r="F207" s="87" t="s">
        <v>21871</v>
      </c>
      <c r="G207" s="45" t="s">
        <v>17840</v>
      </c>
      <c r="H207" s="54" t="s">
        <v>17841</v>
      </c>
      <c r="I207" s="5" t="s">
        <v>105</v>
      </c>
    </row>
    <row r="208" spans="1:9" ht="51.75" customHeight="1" x14ac:dyDescent="0.35">
      <c r="A208" s="15"/>
      <c r="B208" s="15" t="s">
        <v>22279</v>
      </c>
      <c r="C208" s="15" t="s">
        <v>22280</v>
      </c>
      <c r="D208" s="28">
        <v>44322</v>
      </c>
      <c r="E208" s="15" t="s">
        <v>22281</v>
      </c>
      <c r="F208" s="87" t="s">
        <v>21871</v>
      </c>
      <c r="G208" s="45" t="s">
        <v>17080</v>
      </c>
      <c r="H208" s="54" t="s">
        <v>17081</v>
      </c>
      <c r="I208" s="5" t="s">
        <v>105</v>
      </c>
    </row>
    <row r="209" spans="1:9" ht="51.75" customHeight="1" x14ac:dyDescent="0.35">
      <c r="A209" s="15"/>
      <c r="B209" s="15" t="s">
        <v>22282</v>
      </c>
      <c r="C209" s="15" t="s">
        <v>22283</v>
      </c>
      <c r="D209" s="28">
        <v>44322</v>
      </c>
      <c r="E209" s="15" t="s">
        <v>22284</v>
      </c>
      <c r="F209" s="87" t="s">
        <v>21871</v>
      </c>
      <c r="G209" s="45" t="s">
        <v>17080</v>
      </c>
      <c r="H209" s="54" t="s">
        <v>17081</v>
      </c>
      <c r="I209" s="5" t="s">
        <v>105</v>
      </c>
    </row>
    <row r="210" spans="1:9" ht="51.75" customHeight="1" x14ac:dyDescent="0.35">
      <c r="A210" s="15"/>
      <c r="B210" s="15" t="s">
        <v>22285</v>
      </c>
      <c r="C210" s="15" t="s">
        <v>22286</v>
      </c>
      <c r="D210" s="28">
        <v>44322</v>
      </c>
      <c r="E210" s="15" t="s">
        <v>22287</v>
      </c>
      <c r="F210" s="87" t="s">
        <v>21871</v>
      </c>
      <c r="G210" s="45" t="s">
        <v>17080</v>
      </c>
      <c r="H210" s="54" t="s">
        <v>17081</v>
      </c>
      <c r="I210" s="5" t="s">
        <v>105</v>
      </c>
    </row>
    <row r="211" spans="1:9" ht="51.75" customHeight="1" x14ac:dyDescent="0.35">
      <c r="A211" s="15"/>
      <c r="B211" s="15" t="s">
        <v>22288</v>
      </c>
      <c r="C211" s="15" t="s">
        <v>22280</v>
      </c>
      <c r="D211" s="28">
        <v>44322</v>
      </c>
      <c r="E211" s="15" t="s">
        <v>22281</v>
      </c>
      <c r="F211" s="87" t="s">
        <v>21871</v>
      </c>
      <c r="G211" s="5" t="s">
        <v>17590</v>
      </c>
      <c r="H211" s="54" t="s">
        <v>17081</v>
      </c>
      <c r="I211" s="5" t="s">
        <v>105</v>
      </c>
    </row>
    <row r="212" spans="1:9" ht="51.75" customHeight="1" x14ac:dyDescent="0.35">
      <c r="A212" s="15"/>
      <c r="B212" s="15" t="s">
        <v>22289</v>
      </c>
      <c r="C212" s="15" t="s">
        <v>22283</v>
      </c>
      <c r="D212" s="28">
        <v>44322</v>
      </c>
      <c r="E212" s="15" t="s">
        <v>22284</v>
      </c>
      <c r="F212" s="87" t="s">
        <v>21871</v>
      </c>
      <c r="G212" s="5" t="s">
        <v>17590</v>
      </c>
      <c r="H212" s="54" t="s">
        <v>17081</v>
      </c>
      <c r="I212" s="5" t="s">
        <v>105</v>
      </c>
    </row>
    <row r="213" spans="1:9" ht="51.75" customHeight="1" x14ac:dyDescent="0.35">
      <c r="A213" s="15"/>
      <c r="B213" s="15" t="s">
        <v>22290</v>
      </c>
      <c r="C213" s="15" t="s">
        <v>22286</v>
      </c>
      <c r="D213" s="28">
        <v>44322</v>
      </c>
      <c r="E213" s="15" t="s">
        <v>22287</v>
      </c>
      <c r="F213" s="87" t="s">
        <v>21871</v>
      </c>
      <c r="G213" s="5" t="s">
        <v>17590</v>
      </c>
      <c r="H213" s="54" t="s">
        <v>17081</v>
      </c>
      <c r="I213" s="5" t="s">
        <v>105</v>
      </c>
    </row>
    <row r="214" spans="1:9" ht="51.75" customHeight="1" x14ac:dyDescent="0.35">
      <c r="A214" s="15">
        <v>1</v>
      </c>
      <c r="B214" s="15" t="s">
        <v>22291</v>
      </c>
      <c r="C214" s="15" t="s">
        <v>22292</v>
      </c>
      <c r="D214" s="31">
        <v>40640</v>
      </c>
      <c r="E214" s="15" t="s">
        <v>22293</v>
      </c>
      <c r="F214" s="87" t="s">
        <v>21871</v>
      </c>
      <c r="G214" s="45" t="s">
        <v>4818</v>
      </c>
      <c r="H214" s="55" t="s">
        <v>4819</v>
      </c>
      <c r="I214" s="15" t="s">
        <v>40</v>
      </c>
    </row>
    <row r="215" spans="1:9" ht="51.75" customHeight="1" x14ac:dyDescent="0.35">
      <c r="A215" s="15">
        <v>2</v>
      </c>
      <c r="B215" s="15" t="s">
        <v>22294</v>
      </c>
      <c r="C215" s="15" t="s">
        <v>22295</v>
      </c>
      <c r="D215" s="31">
        <v>40640</v>
      </c>
      <c r="E215" s="15" t="s">
        <v>22296</v>
      </c>
      <c r="F215" s="87" t="s">
        <v>21871</v>
      </c>
      <c r="G215" s="45" t="s">
        <v>4818</v>
      </c>
      <c r="H215" s="55" t="s">
        <v>4819</v>
      </c>
      <c r="I215" s="15" t="s">
        <v>40</v>
      </c>
    </row>
    <row r="216" spans="1:9" ht="51.75" customHeight="1" x14ac:dyDescent="0.35">
      <c r="A216" s="15">
        <v>1</v>
      </c>
      <c r="B216" s="15" t="s">
        <v>22297</v>
      </c>
      <c r="C216" s="15" t="s">
        <v>22298</v>
      </c>
      <c r="D216" s="31">
        <v>40690</v>
      </c>
      <c r="E216" s="15" t="s">
        <v>22298</v>
      </c>
      <c r="F216" s="87" t="s">
        <v>21871</v>
      </c>
      <c r="G216" s="45" t="s">
        <v>4783</v>
      </c>
      <c r="H216" s="55" t="s">
        <v>4784</v>
      </c>
      <c r="I216" s="15" t="s">
        <v>40</v>
      </c>
    </row>
    <row r="217" spans="1:9" ht="51.75" customHeight="1" x14ac:dyDescent="0.35">
      <c r="A217" s="15">
        <v>1</v>
      </c>
      <c r="B217" s="15" t="s">
        <v>22299</v>
      </c>
      <c r="C217" s="15" t="s">
        <v>22300</v>
      </c>
      <c r="D217" s="31">
        <v>40247</v>
      </c>
      <c r="E217" s="15" t="s">
        <v>22301</v>
      </c>
      <c r="F217" s="87" t="s">
        <v>21871</v>
      </c>
      <c r="G217" s="45" t="s">
        <v>3631</v>
      </c>
      <c r="H217" s="55" t="s">
        <v>3632</v>
      </c>
      <c r="I217" s="15" t="s">
        <v>40</v>
      </c>
    </row>
    <row r="218" spans="1:9" ht="51.75" customHeight="1" x14ac:dyDescent="0.35">
      <c r="A218" s="15">
        <v>1</v>
      </c>
      <c r="B218" s="15" t="s">
        <v>22302</v>
      </c>
      <c r="C218" s="15" t="s">
        <v>22303</v>
      </c>
      <c r="D218" s="31">
        <v>40646</v>
      </c>
      <c r="E218" s="15" t="s">
        <v>22304</v>
      </c>
      <c r="F218" s="87" t="s">
        <v>21871</v>
      </c>
      <c r="G218" s="45" t="s">
        <v>4595</v>
      </c>
      <c r="H218" s="55" t="s">
        <v>4596</v>
      </c>
      <c r="I218" s="15" t="s">
        <v>40</v>
      </c>
    </row>
    <row r="219" spans="1:9" ht="51.75" customHeight="1" x14ac:dyDescent="0.35">
      <c r="A219" s="15">
        <v>2</v>
      </c>
      <c r="B219" s="15" t="s">
        <v>22305</v>
      </c>
      <c r="C219" s="15" t="s">
        <v>22306</v>
      </c>
      <c r="D219" s="31">
        <v>40646</v>
      </c>
      <c r="E219" s="15" t="s">
        <v>22307</v>
      </c>
      <c r="F219" s="87" t="s">
        <v>21871</v>
      </c>
      <c r="G219" s="45" t="s">
        <v>4595</v>
      </c>
      <c r="H219" s="55" t="s">
        <v>4596</v>
      </c>
      <c r="I219" s="15" t="s">
        <v>40</v>
      </c>
    </row>
    <row r="220" spans="1:9" ht="51.75" customHeight="1" x14ac:dyDescent="0.35">
      <c r="A220" s="15">
        <v>3</v>
      </c>
      <c r="B220" s="15" t="s">
        <v>22308</v>
      </c>
      <c r="C220" s="15" t="s">
        <v>22309</v>
      </c>
      <c r="D220" s="31">
        <v>40646</v>
      </c>
      <c r="E220" s="15" t="s">
        <v>22310</v>
      </c>
      <c r="F220" s="87" t="s">
        <v>21871</v>
      </c>
      <c r="G220" s="45" t="s">
        <v>4595</v>
      </c>
      <c r="H220" s="55" t="s">
        <v>4596</v>
      </c>
      <c r="I220" s="15" t="s">
        <v>40</v>
      </c>
    </row>
    <row r="221" spans="1:9" ht="51.75" customHeight="1" x14ac:dyDescent="0.35">
      <c r="A221" s="15">
        <v>1</v>
      </c>
      <c r="B221" s="15" t="s">
        <v>22311</v>
      </c>
      <c r="C221" s="15" t="s">
        <v>22312</v>
      </c>
      <c r="D221" s="31">
        <v>40743</v>
      </c>
      <c r="E221" s="15" t="s">
        <v>22312</v>
      </c>
      <c r="F221" s="87" t="s">
        <v>21871</v>
      </c>
      <c r="G221" s="45" t="s">
        <v>4615</v>
      </c>
      <c r="H221" s="55" t="s">
        <v>4616</v>
      </c>
      <c r="I221" s="15" t="s">
        <v>40</v>
      </c>
    </row>
    <row r="222" spans="1:9" ht="51.75" customHeight="1" x14ac:dyDescent="0.35">
      <c r="A222" s="15">
        <v>1</v>
      </c>
      <c r="B222" s="15" t="s">
        <v>22313</v>
      </c>
      <c r="C222" s="15" t="s">
        <v>22314</v>
      </c>
      <c r="D222" s="31">
        <v>40668</v>
      </c>
      <c r="E222" s="15" t="s">
        <v>22315</v>
      </c>
      <c r="F222" s="87" t="s">
        <v>21871</v>
      </c>
      <c r="G222" s="45" t="s">
        <v>4418</v>
      </c>
      <c r="H222" s="55" t="s">
        <v>4419</v>
      </c>
      <c r="I222" s="15" t="s">
        <v>40</v>
      </c>
    </row>
    <row r="223" spans="1:9" ht="51.75" customHeight="1" x14ac:dyDescent="0.35">
      <c r="A223" s="15">
        <v>2</v>
      </c>
      <c r="B223" s="15" t="s">
        <v>22316</v>
      </c>
      <c r="C223" s="15" t="s">
        <v>22317</v>
      </c>
      <c r="D223" s="31">
        <v>40668</v>
      </c>
      <c r="E223" s="15" t="s">
        <v>22318</v>
      </c>
      <c r="F223" s="87" t="s">
        <v>21871</v>
      </c>
      <c r="G223" s="45" t="s">
        <v>4418</v>
      </c>
      <c r="H223" s="55" t="s">
        <v>4419</v>
      </c>
      <c r="I223" s="15" t="s">
        <v>40</v>
      </c>
    </row>
    <row r="224" spans="1:9" ht="51.75" customHeight="1" x14ac:dyDescent="0.35">
      <c r="A224" s="15">
        <v>3</v>
      </c>
      <c r="B224" s="15" t="s">
        <v>22319</v>
      </c>
      <c r="C224" s="15" t="s">
        <v>22320</v>
      </c>
      <c r="D224" s="31">
        <v>40668</v>
      </c>
      <c r="E224" s="15" t="s">
        <v>22321</v>
      </c>
      <c r="F224" s="87" t="s">
        <v>21871</v>
      </c>
      <c r="G224" s="45" t="s">
        <v>4418</v>
      </c>
      <c r="H224" s="55" t="s">
        <v>4419</v>
      </c>
      <c r="I224" s="15" t="s">
        <v>40</v>
      </c>
    </row>
    <row r="225" spans="1:9" ht="51.75" customHeight="1" x14ac:dyDescent="0.35">
      <c r="A225" s="15">
        <v>4</v>
      </c>
      <c r="B225" s="15" t="s">
        <v>22322</v>
      </c>
      <c r="C225" s="15" t="s">
        <v>22323</v>
      </c>
      <c r="D225" s="31">
        <v>40668</v>
      </c>
      <c r="E225" s="15" t="s">
        <v>22324</v>
      </c>
      <c r="F225" s="87" t="s">
        <v>21871</v>
      </c>
      <c r="G225" s="45" t="s">
        <v>4418</v>
      </c>
      <c r="H225" s="55" t="s">
        <v>4419</v>
      </c>
      <c r="I225" s="15" t="s">
        <v>40</v>
      </c>
    </row>
    <row r="226" spans="1:9" ht="51.75" customHeight="1" x14ac:dyDescent="0.35">
      <c r="A226" s="15">
        <v>1</v>
      </c>
      <c r="B226" s="15" t="s">
        <v>22325</v>
      </c>
      <c r="C226" s="15" t="s">
        <v>22326</v>
      </c>
      <c r="D226" s="31">
        <v>40673</v>
      </c>
      <c r="E226" s="15" t="s">
        <v>22327</v>
      </c>
      <c r="F226" s="87" t="s">
        <v>21871</v>
      </c>
      <c r="G226" s="45" t="s">
        <v>4361</v>
      </c>
      <c r="H226" s="55" t="s">
        <v>4362</v>
      </c>
      <c r="I226" s="15" t="s">
        <v>40</v>
      </c>
    </row>
    <row r="227" spans="1:9" ht="51.75" customHeight="1" x14ac:dyDescent="0.35">
      <c r="A227" s="15">
        <v>1</v>
      </c>
      <c r="B227" s="15" t="s">
        <v>22328</v>
      </c>
      <c r="C227" s="15" t="s">
        <v>22329</v>
      </c>
      <c r="D227" s="31">
        <v>40316</v>
      </c>
      <c r="E227" s="15" t="s">
        <v>22330</v>
      </c>
      <c r="F227" s="87" t="s">
        <v>21871</v>
      </c>
      <c r="G227" s="45" t="s">
        <v>4179</v>
      </c>
      <c r="H227" s="55" t="s">
        <v>4180</v>
      </c>
      <c r="I227" s="15" t="s">
        <v>40</v>
      </c>
    </row>
    <row r="228" spans="1:9" ht="51.75" customHeight="1" x14ac:dyDescent="0.35">
      <c r="A228" s="15">
        <v>1</v>
      </c>
      <c r="B228" s="15" t="s">
        <v>22331</v>
      </c>
      <c r="C228" s="15" t="s">
        <v>22332</v>
      </c>
      <c r="D228" s="31">
        <v>40507</v>
      </c>
      <c r="E228" s="15" t="s">
        <v>22333</v>
      </c>
      <c r="F228" s="87" t="s">
        <v>21871</v>
      </c>
      <c r="G228" s="45" t="s">
        <v>4113</v>
      </c>
      <c r="H228" s="55" t="s">
        <v>4114</v>
      </c>
      <c r="I228" s="15" t="s">
        <v>40</v>
      </c>
    </row>
    <row r="229" spans="1:9" ht="51.75" customHeight="1" x14ac:dyDescent="0.35">
      <c r="A229" s="15">
        <v>1</v>
      </c>
      <c r="B229" s="15" t="s">
        <v>22334</v>
      </c>
      <c r="C229" s="15" t="s">
        <v>22335</v>
      </c>
      <c r="D229" s="31">
        <v>40673</v>
      </c>
      <c r="E229" s="15" t="s">
        <v>22336</v>
      </c>
      <c r="F229" s="87"/>
      <c r="G229" s="45" t="s">
        <v>3960</v>
      </c>
      <c r="H229" s="55" t="s">
        <v>3961</v>
      </c>
      <c r="I229" s="15" t="s">
        <v>40</v>
      </c>
    </row>
    <row r="230" spans="1:9" ht="51.75" customHeight="1" x14ac:dyDescent="0.35">
      <c r="A230" s="15">
        <v>1</v>
      </c>
      <c r="B230" s="15" t="s">
        <v>22337</v>
      </c>
      <c r="C230" s="15" t="s">
        <v>22338</v>
      </c>
      <c r="D230" s="31">
        <v>40466</v>
      </c>
      <c r="E230" s="15" t="s">
        <v>22339</v>
      </c>
      <c r="F230" s="87" t="s">
        <v>21871</v>
      </c>
      <c r="G230" s="45" t="s">
        <v>3945</v>
      </c>
      <c r="H230" s="55" t="s">
        <v>3946</v>
      </c>
      <c r="I230" s="15" t="s">
        <v>40</v>
      </c>
    </row>
    <row r="231" spans="1:9" ht="51.75" customHeight="1" x14ac:dyDescent="0.35">
      <c r="A231" s="15">
        <v>1</v>
      </c>
      <c r="B231" s="15" t="s">
        <v>22340</v>
      </c>
      <c r="C231" s="15" t="s">
        <v>22341</v>
      </c>
      <c r="D231" s="31">
        <v>40667</v>
      </c>
      <c r="E231" s="15" t="s">
        <v>22342</v>
      </c>
      <c r="F231" s="87" t="s">
        <v>21871</v>
      </c>
      <c r="G231" s="45" t="s">
        <v>3833</v>
      </c>
      <c r="H231" s="55" t="s">
        <v>3834</v>
      </c>
      <c r="I231" s="15" t="s">
        <v>40</v>
      </c>
    </row>
    <row r="232" spans="1:9" ht="51.75" customHeight="1" x14ac:dyDescent="0.35">
      <c r="A232" s="15">
        <v>2</v>
      </c>
      <c r="B232" s="15" t="s">
        <v>22343</v>
      </c>
      <c r="C232" s="15" t="s">
        <v>22344</v>
      </c>
      <c r="D232" s="31">
        <v>40667</v>
      </c>
      <c r="E232" s="15" t="s">
        <v>22345</v>
      </c>
      <c r="F232" s="87" t="s">
        <v>21871</v>
      </c>
      <c r="G232" s="45" t="s">
        <v>3833</v>
      </c>
      <c r="H232" s="55" t="s">
        <v>3834</v>
      </c>
      <c r="I232" s="15" t="s">
        <v>40</v>
      </c>
    </row>
    <row r="233" spans="1:9" ht="51.75" customHeight="1" x14ac:dyDescent="0.35">
      <c r="A233" s="15">
        <v>3</v>
      </c>
      <c r="B233" s="15" t="s">
        <v>22346</v>
      </c>
      <c r="C233" s="15" t="s">
        <v>22347</v>
      </c>
      <c r="D233" s="31">
        <v>40667</v>
      </c>
      <c r="E233" s="15" t="s">
        <v>22348</v>
      </c>
      <c r="F233" s="87" t="s">
        <v>21871</v>
      </c>
      <c r="G233" s="45" t="s">
        <v>3833</v>
      </c>
      <c r="H233" s="55" t="s">
        <v>3834</v>
      </c>
      <c r="I233" s="15" t="s">
        <v>40</v>
      </c>
    </row>
    <row r="234" spans="1:9" ht="51.75" customHeight="1" x14ac:dyDescent="0.35">
      <c r="A234" s="15">
        <v>4</v>
      </c>
      <c r="B234" s="15" t="s">
        <v>22349</v>
      </c>
      <c r="C234" s="15" t="s">
        <v>22350</v>
      </c>
      <c r="D234" s="31">
        <v>40667</v>
      </c>
      <c r="E234" s="15" t="s">
        <v>22351</v>
      </c>
      <c r="F234" s="87" t="s">
        <v>21871</v>
      </c>
      <c r="G234" s="45" t="s">
        <v>3833</v>
      </c>
      <c r="H234" s="55" t="s">
        <v>3834</v>
      </c>
      <c r="I234" s="15" t="s">
        <v>40</v>
      </c>
    </row>
    <row r="235" spans="1:9" ht="51.75" customHeight="1" x14ac:dyDescent="0.35">
      <c r="A235" s="15">
        <v>5</v>
      </c>
      <c r="B235" s="15" t="s">
        <v>22352</v>
      </c>
      <c r="C235" s="15" t="s">
        <v>22353</v>
      </c>
      <c r="D235" s="31">
        <v>40667</v>
      </c>
      <c r="E235" s="15" t="s">
        <v>22354</v>
      </c>
      <c r="F235" s="87" t="s">
        <v>21871</v>
      </c>
      <c r="G235" s="45" t="s">
        <v>3833</v>
      </c>
      <c r="H235" s="55" t="s">
        <v>3834</v>
      </c>
      <c r="I235" s="15" t="s">
        <v>40</v>
      </c>
    </row>
    <row r="236" spans="1:9" ht="51.75" customHeight="1" x14ac:dyDescent="0.35">
      <c r="A236" s="15">
        <v>1</v>
      </c>
      <c r="B236" s="15" t="s">
        <v>22355</v>
      </c>
      <c r="C236" s="15" t="s">
        <v>22356</v>
      </c>
      <c r="D236" s="31">
        <v>40291</v>
      </c>
      <c r="E236" s="15" t="s">
        <v>22357</v>
      </c>
      <c r="F236" s="87" t="s">
        <v>21871</v>
      </c>
      <c r="G236" s="45" t="s">
        <v>3808</v>
      </c>
      <c r="H236" s="55" t="s">
        <v>3809</v>
      </c>
      <c r="I236" s="15" t="s">
        <v>40</v>
      </c>
    </row>
    <row r="237" spans="1:9" ht="51.75" customHeight="1" x14ac:dyDescent="0.35">
      <c r="A237" s="15">
        <v>1</v>
      </c>
      <c r="B237" s="15" t="s">
        <v>22358</v>
      </c>
      <c r="C237" s="15" t="s">
        <v>22359</v>
      </c>
      <c r="D237" s="31">
        <v>40672</v>
      </c>
      <c r="E237" s="15" t="s">
        <v>22360</v>
      </c>
      <c r="F237" s="87" t="s">
        <v>21871</v>
      </c>
      <c r="G237" s="45" t="s">
        <v>3763</v>
      </c>
      <c r="H237" s="55" t="s">
        <v>3764</v>
      </c>
      <c r="I237" s="15" t="s">
        <v>40</v>
      </c>
    </row>
    <row r="238" spans="1:9" ht="51.75" customHeight="1" x14ac:dyDescent="0.35">
      <c r="A238" s="15">
        <v>1</v>
      </c>
      <c r="B238" s="15" t="s">
        <v>22361</v>
      </c>
      <c r="C238" s="15" t="s">
        <v>22362</v>
      </c>
      <c r="D238" s="31">
        <v>40287</v>
      </c>
      <c r="E238" s="15" t="s">
        <v>22363</v>
      </c>
      <c r="F238" s="87" t="s">
        <v>21871</v>
      </c>
      <c r="G238" s="45" t="s">
        <v>3674</v>
      </c>
      <c r="H238" s="55" t="s">
        <v>3675</v>
      </c>
      <c r="I238" s="15" t="s">
        <v>40</v>
      </c>
    </row>
    <row r="239" spans="1:9" ht="51.75" customHeight="1" x14ac:dyDescent="0.35">
      <c r="A239" s="15">
        <v>1</v>
      </c>
      <c r="B239" s="15" t="s">
        <v>22364</v>
      </c>
      <c r="C239" s="15" t="s">
        <v>22365</v>
      </c>
      <c r="D239" s="31">
        <v>40674</v>
      </c>
      <c r="E239" s="15" t="s">
        <v>22366</v>
      </c>
      <c r="F239" s="87" t="s">
        <v>21871</v>
      </c>
      <c r="G239" s="45" t="s">
        <v>3493</v>
      </c>
      <c r="H239" s="55" t="s">
        <v>3494</v>
      </c>
      <c r="I239" s="15" t="s">
        <v>40</v>
      </c>
    </row>
    <row r="240" spans="1:9" ht="51.75" customHeight="1" x14ac:dyDescent="0.35">
      <c r="A240" s="15">
        <v>2</v>
      </c>
      <c r="B240" s="15" t="s">
        <v>22367</v>
      </c>
      <c r="C240" s="15" t="s">
        <v>22368</v>
      </c>
      <c r="D240" s="31">
        <v>40674</v>
      </c>
      <c r="E240" s="15" t="s">
        <v>22369</v>
      </c>
      <c r="F240" s="87" t="s">
        <v>21871</v>
      </c>
      <c r="G240" s="45" t="s">
        <v>3493</v>
      </c>
      <c r="H240" s="55" t="s">
        <v>3494</v>
      </c>
      <c r="I240" s="15" t="s">
        <v>40</v>
      </c>
    </row>
    <row r="241" spans="1:9" ht="51.75" customHeight="1" x14ac:dyDescent="0.35">
      <c r="A241" s="15">
        <v>1</v>
      </c>
      <c r="B241" s="15" t="s">
        <v>22370</v>
      </c>
      <c r="C241" s="15" t="s">
        <v>22371</v>
      </c>
      <c r="D241" s="31">
        <v>40287</v>
      </c>
      <c r="E241" s="15" t="s">
        <v>22372</v>
      </c>
      <c r="F241" s="87" t="s">
        <v>21871</v>
      </c>
      <c r="G241" s="45" t="s">
        <v>3562</v>
      </c>
      <c r="H241" s="55" t="s">
        <v>3563</v>
      </c>
      <c r="I241" s="15" t="s">
        <v>40</v>
      </c>
    </row>
    <row r="242" spans="1:9" ht="51.75" customHeight="1" x14ac:dyDescent="0.35">
      <c r="A242" s="15">
        <v>2</v>
      </c>
      <c r="B242" s="15" t="s">
        <v>22373</v>
      </c>
      <c r="C242" s="15" t="s">
        <v>22374</v>
      </c>
      <c r="D242" s="31">
        <v>40287</v>
      </c>
      <c r="E242" s="15" t="s">
        <v>22375</v>
      </c>
      <c r="F242" s="87" t="s">
        <v>21871</v>
      </c>
      <c r="G242" s="45" t="s">
        <v>3562</v>
      </c>
      <c r="H242" s="55" t="s">
        <v>3563</v>
      </c>
      <c r="I242" s="15" t="s">
        <v>40</v>
      </c>
    </row>
    <row r="243" spans="1:9" ht="51.75" customHeight="1" x14ac:dyDescent="0.35">
      <c r="A243" s="15">
        <v>1</v>
      </c>
      <c r="B243" s="15" t="s">
        <v>22376</v>
      </c>
      <c r="C243" s="15" t="s">
        <v>22377</v>
      </c>
      <c r="D243" s="31">
        <v>40280</v>
      </c>
      <c r="E243" s="15" t="s">
        <v>22378</v>
      </c>
      <c r="F243" s="87" t="s">
        <v>21871</v>
      </c>
      <c r="G243" s="45" t="s">
        <v>3276</v>
      </c>
      <c r="H243" s="55" t="s">
        <v>3277</v>
      </c>
      <c r="I243" s="15" t="s">
        <v>40</v>
      </c>
    </row>
    <row r="244" spans="1:9" ht="51.75" customHeight="1" x14ac:dyDescent="0.35">
      <c r="A244" s="15">
        <v>2</v>
      </c>
      <c r="B244" s="15" t="s">
        <v>22379</v>
      </c>
      <c r="C244" s="15" t="s">
        <v>22380</v>
      </c>
      <c r="D244" s="31">
        <v>40280</v>
      </c>
      <c r="E244" s="15" t="s">
        <v>22381</v>
      </c>
      <c r="F244" s="87" t="s">
        <v>21871</v>
      </c>
      <c r="G244" s="45" t="s">
        <v>3276</v>
      </c>
      <c r="H244" s="55" t="s">
        <v>3277</v>
      </c>
      <c r="I244" s="15" t="s">
        <v>40</v>
      </c>
    </row>
    <row r="245" spans="1:9" ht="51.75" customHeight="1" x14ac:dyDescent="0.35">
      <c r="A245" s="15">
        <v>3</v>
      </c>
      <c r="B245" s="15" t="s">
        <v>22382</v>
      </c>
      <c r="C245" s="15" t="s">
        <v>22383</v>
      </c>
      <c r="D245" s="31">
        <v>40280</v>
      </c>
      <c r="E245" s="15" t="s">
        <v>22384</v>
      </c>
      <c r="F245" s="87" t="s">
        <v>21871</v>
      </c>
      <c r="G245" s="45" t="s">
        <v>3276</v>
      </c>
      <c r="H245" s="55" t="s">
        <v>3277</v>
      </c>
      <c r="I245" s="15" t="s">
        <v>40</v>
      </c>
    </row>
    <row r="246" spans="1:9" ht="51.75" customHeight="1" x14ac:dyDescent="0.35">
      <c r="A246" s="15">
        <v>4</v>
      </c>
      <c r="B246" s="15" t="s">
        <v>22385</v>
      </c>
      <c r="C246" s="15" t="s">
        <v>22386</v>
      </c>
      <c r="D246" s="31">
        <v>40280</v>
      </c>
      <c r="E246" s="15" t="s">
        <v>22387</v>
      </c>
      <c r="F246" s="87" t="s">
        <v>21871</v>
      </c>
      <c r="G246" s="45" t="s">
        <v>3276</v>
      </c>
      <c r="H246" s="55" t="s">
        <v>3277</v>
      </c>
      <c r="I246" s="15" t="s">
        <v>40</v>
      </c>
    </row>
    <row r="247" spans="1:9" ht="51.75" customHeight="1" x14ac:dyDescent="0.35">
      <c r="A247" s="15">
        <v>1</v>
      </c>
      <c r="B247" s="15" t="s">
        <v>22388</v>
      </c>
      <c r="C247" s="15" t="s">
        <v>22389</v>
      </c>
      <c r="D247" s="31">
        <v>39990</v>
      </c>
      <c r="E247" s="15" t="s">
        <v>22390</v>
      </c>
      <c r="F247" s="87" t="s">
        <v>21871</v>
      </c>
      <c r="G247" s="45" t="s">
        <v>3140</v>
      </c>
      <c r="H247" s="55" t="s">
        <v>3141</v>
      </c>
      <c r="I247" s="15" t="s">
        <v>40</v>
      </c>
    </row>
    <row r="248" spans="1:9" ht="51.75" customHeight="1" x14ac:dyDescent="0.35">
      <c r="A248" s="15">
        <v>2</v>
      </c>
      <c r="B248" s="15" t="s">
        <v>22391</v>
      </c>
      <c r="C248" s="15" t="s">
        <v>22392</v>
      </c>
      <c r="D248" s="31">
        <v>39990</v>
      </c>
      <c r="E248" s="15" t="s">
        <v>22393</v>
      </c>
      <c r="F248" s="87" t="s">
        <v>21871</v>
      </c>
      <c r="G248" s="45" t="s">
        <v>3140</v>
      </c>
      <c r="H248" s="55" t="s">
        <v>3141</v>
      </c>
      <c r="I248" s="15" t="s">
        <v>40</v>
      </c>
    </row>
    <row r="249" spans="1:9" ht="51.75" customHeight="1" x14ac:dyDescent="0.35">
      <c r="A249" s="15" t="s">
        <v>22394</v>
      </c>
      <c r="B249" s="15" t="s">
        <v>22395</v>
      </c>
      <c r="C249" s="15" t="s">
        <v>22396</v>
      </c>
      <c r="D249" s="31">
        <v>39979</v>
      </c>
      <c r="E249" s="15" t="s">
        <v>22397</v>
      </c>
      <c r="F249" s="87" t="s">
        <v>21871</v>
      </c>
      <c r="G249" s="45" t="s">
        <v>3140</v>
      </c>
      <c r="H249" s="55" t="s">
        <v>3141</v>
      </c>
      <c r="I249" s="15" t="s">
        <v>40</v>
      </c>
    </row>
    <row r="250" spans="1:9" ht="51.75" customHeight="1" x14ac:dyDescent="0.35">
      <c r="A250" s="15">
        <v>1</v>
      </c>
      <c r="B250" s="15" t="s">
        <v>22398</v>
      </c>
      <c r="C250" s="15" t="s">
        <v>22399</v>
      </c>
      <c r="D250" s="31">
        <v>40056</v>
      </c>
      <c r="E250" s="15" t="s">
        <v>22400</v>
      </c>
      <c r="F250" s="87" t="s">
        <v>21871</v>
      </c>
      <c r="G250" s="45" t="s">
        <v>2822</v>
      </c>
      <c r="H250" s="55" t="s">
        <v>2823</v>
      </c>
      <c r="I250" s="15" t="s">
        <v>40</v>
      </c>
    </row>
    <row r="251" spans="1:9" ht="51.75" customHeight="1" x14ac:dyDescent="0.35">
      <c r="A251" s="15">
        <v>2</v>
      </c>
      <c r="B251" s="15" t="s">
        <v>22401</v>
      </c>
      <c r="C251" s="15" t="s">
        <v>22402</v>
      </c>
      <c r="D251" s="31">
        <v>40056</v>
      </c>
      <c r="E251" s="15" t="s">
        <v>22403</v>
      </c>
      <c r="F251" s="87" t="s">
        <v>21871</v>
      </c>
      <c r="G251" s="45" t="s">
        <v>2822</v>
      </c>
      <c r="H251" s="55" t="s">
        <v>2823</v>
      </c>
      <c r="I251" s="15" t="s">
        <v>40</v>
      </c>
    </row>
    <row r="252" spans="1:9" ht="51.75" customHeight="1" x14ac:dyDescent="0.35">
      <c r="A252" s="15">
        <v>1</v>
      </c>
      <c r="B252" s="15" t="s">
        <v>22404</v>
      </c>
      <c r="C252" s="15" t="s">
        <v>22405</v>
      </c>
      <c r="D252" s="31">
        <v>40031</v>
      </c>
      <c r="E252" s="15" t="s">
        <v>22406</v>
      </c>
      <c r="F252" s="87" t="s">
        <v>21871</v>
      </c>
      <c r="G252" s="45" t="s">
        <v>2901</v>
      </c>
      <c r="H252" s="55" t="s">
        <v>2902</v>
      </c>
      <c r="I252" s="15" t="s">
        <v>40</v>
      </c>
    </row>
    <row r="253" spans="1:9" ht="51.75" customHeight="1" x14ac:dyDescent="0.35">
      <c r="A253" s="15">
        <v>2</v>
      </c>
      <c r="B253" s="15" t="s">
        <v>22407</v>
      </c>
      <c r="C253" s="15" t="s">
        <v>22408</v>
      </c>
      <c r="D253" s="31">
        <v>40031</v>
      </c>
      <c r="E253" s="15" t="s">
        <v>22409</v>
      </c>
      <c r="F253" s="87" t="s">
        <v>21871</v>
      </c>
      <c r="G253" s="45" t="s">
        <v>2901</v>
      </c>
      <c r="H253" s="55" t="s">
        <v>2902</v>
      </c>
      <c r="I253" s="15" t="s">
        <v>40</v>
      </c>
    </row>
    <row r="254" spans="1:9" ht="51.75" customHeight="1" x14ac:dyDescent="0.35">
      <c r="A254" s="15">
        <v>1</v>
      </c>
      <c r="B254" s="15" t="s">
        <v>22410</v>
      </c>
      <c r="C254" s="15" t="s">
        <v>22411</v>
      </c>
      <c r="D254" s="31">
        <v>39990</v>
      </c>
      <c r="E254" s="15" t="s">
        <v>22412</v>
      </c>
      <c r="F254" s="87" t="s">
        <v>21871</v>
      </c>
      <c r="G254" s="45" t="s">
        <v>3020</v>
      </c>
      <c r="H254" s="55" t="s">
        <v>3021</v>
      </c>
      <c r="I254" s="15" t="s">
        <v>40</v>
      </c>
    </row>
    <row r="255" spans="1:9" ht="51.75" customHeight="1" x14ac:dyDescent="0.35">
      <c r="A255" s="15">
        <v>2</v>
      </c>
      <c r="B255" s="15" t="s">
        <v>22413</v>
      </c>
      <c r="C255" s="15" t="s">
        <v>22414</v>
      </c>
      <c r="D255" s="31">
        <v>39990</v>
      </c>
      <c r="E255" s="15" t="s">
        <v>22415</v>
      </c>
      <c r="F255" s="87" t="s">
        <v>21871</v>
      </c>
      <c r="G255" s="45" t="s">
        <v>3020</v>
      </c>
      <c r="H255" s="55" t="s">
        <v>3021</v>
      </c>
      <c r="I255" s="15" t="s">
        <v>40</v>
      </c>
    </row>
    <row r="256" spans="1:9" ht="51.75" customHeight="1" x14ac:dyDescent="0.35">
      <c r="A256" s="15">
        <v>1</v>
      </c>
      <c r="B256" s="15" t="s">
        <v>22416</v>
      </c>
      <c r="C256" s="15" t="s">
        <v>22417</v>
      </c>
      <c r="D256" s="31">
        <v>40066</v>
      </c>
      <c r="E256" s="15" t="s">
        <v>22417</v>
      </c>
      <c r="F256" s="87" t="s">
        <v>21871</v>
      </c>
      <c r="G256" s="45" t="s">
        <v>2982</v>
      </c>
      <c r="H256" s="55" t="s">
        <v>2983</v>
      </c>
      <c r="I256" s="15" t="s">
        <v>40</v>
      </c>
    </row>
    <row r="257" spans="1:9" ht="51.75" customHeight="1" x14ac:dyDescent="0.35">
      <c r="A257" s="15">
        <v>1</v>
      </c>
      <c r="B257" s="15" t="s">
        <v>22418</v>
      </c>
      <c r="C257" s="15" t="s">
        <v>22419</v>
      </c>
      <c r="D257" s="31">
        <v>40121</v>
      </c>
      <c r="E257" s="15" t="s">
        <v>22420</v>
      </c>
      <c r="F257" s="87" t="s">
        <v>21871</v>
      </c>
      <c r="G257" s="45" t="s">
        <v>2937</v>
      </c>
      <c r="H257" s="55" t="s">
        <v>2938</v>
      </c>
      <c r="I257" s="15" t="s">
        <v>40</v>
      </c>
    </row>
    <row r="258" spans="1:9" ht="51.75" customHeight="1" x14ac:dyDescent="0.35">
      <c r="A258" s="15">
        <v>2</v>
      </c>
      <c r="B258" s="15" t="s">
        <v>22421</v>
      </c>
      <c r="C258" s="15" t="s">
        <v>22422</v>
      </c>
      <c r="D258" s="31">
        <v>40121</v>
      </c>
      <c r="E258" s="15" t="s">
        <v>22423</v>
      </c>
      <c r="F258" s="87" t="s">
        <v>21871</v>
      </c>
      <c r="G258" s="45" t="s">
        <v>2937</v>
      </c>
      <c r="H258" s="55" t="s">
        <v>2938</v>
      </c>
      <c r="I258" s="15" t="s">
        <v>40</v>
      </c>
    </row>
    <row r="259" spans="1:9" ht="51.75" customHeight="1" x14ac:dyDescent="0.35">
      <c r="A259" s="15">
        <v>3</v>
      </c>
      <c r="B259" s="15" t="s">
        <v>22424</v>
      </c>
      <c r="C259" s="15" t="s">
        <v>22425</v>
      </c>
      <c r="D259" s="31">
        <v>40121</v>
      </c>
      <c r="E259" s="15" t="s">
        <v>22426</v>
      </c>
      <c r="F259" s="87" t="s">
        <v>21871</v>
      </c>
      <c r="G259" s="45" t="s">
        <v>2937</v>
      </c>
      <c r="H259" s="55" t="s">
        <v>2938</v>
      </c>
      <c r="I259" s="15" t="s">
        <v>40</v>
      </c>
    </row>
    <row r="260" spans="1:9" ht="51.75" customHeight="1" x14ac:dyDescent="0.35">
      <c r="A260" s="15">
        <v>4</v>
      </c>
      <c r="B260" s="15" t="s">
        <v>22427</v>
      </c>
      <c r="C260" s="15" t="s">
        <v>22428</v>
      </c>
      <c r="D260" s="31">
        <v>40121</v>
      </c>
      <c r="E260" s="15" t="s">
        <v>22429</v>
      </c>
      <c r="F260" s="87" t="s">
        <v>21871</v>
      </c>
      <c r="G260" s="45" t="s">
        <v>2937</v>
      </c>
      <c r="H260" s="55" t="s">
        <v>2938</v>
      </c>
      <c r="I260" s="15" t="s">
        <v>40</v>
      </c>
    </row>
    <row r="261" spans="1:9" ht="51.75" customHeight="1" x14ac:dyDescent="0.35">
      <c r="A261" s="15">
        <v>5</v>
      </c>
      <c r="B261" s="15" t="s">
        <v>22430</v>
      </c>
      <c r="C261" s="15" t="s">
        <v>22431</v>
      </c>
      <c r="D261" s="31">
        <v>40121</v>
      </c>
      <c r="E261" s="15" t="s">
        <v>22432</v>
      </c>
      <c r="F261" s="87" t="s">
        <v>21871</v>
      </c>
      <c r="G261" s="45" t="s">
        <v>2937</v>
      </c>
      <c r="H261" s="55" t="s">
        <v>2938</v>
      </c>
      <c r="I261" s="15" t="s">
        <v>40</v>
      </c>
    </row>
    <row r="262" spans="1:9" ht="51.75" customHeight="1" x14ac:dyDescent="0.35">
      <c r="A262" s="15" t="s">
        <v>22433</v>
      </c>
      <c r="B262" s="15" t="s">
        <v>22434</v>
      </c>
      <c r="C262" s="15" t="s">
        <v>22435</v>
      </c>
      <c r="D262" s="31">
        <v>39253</v>
      </c>
      <c r="E262" s="15" t="s">
        <v>22436</v>
      </c>
      <c r="F262" s="87" t="s">
        <v>21871</v>
      </c>
      <c r="G262" s="45" t="s">
        <v>371</v>
      </c>
      <c r="H262" s="55" t="s">
        <v>372</v>
      </c>
      <c r="I262" s="15" t="s">
        <v>40</v>
      </c>
    </row>
    <row r="263" spans="1:9" ht="51.75" customHeight="1" x14ac:dyDescent="0.35">
      <c r="A263" s="15" t="s">
        <v>22437</v>
      </c>
      <c r="B263" s="15" t="s">
        <v>22438</v>
      </c>
      <c r="C263" s="15" t="s">
        <v>22439</v>
      </c>
      <c r="D263" s="31">
        <v>39253</v>
      </c>
      <c r="E263" s="15" t="s">
        <v>22440</v>
      </c>
      <c r="F263" s="87" t="s">
        <v>21871</v>
      </c>
      <c r="G263" s="45" t="s">
        <v>371</v>
      </c>
      <c r="H263" s="55" t="s">
        <v>372</v>
      </c>
      <c r="I263" s="15" t="s">
        <v>40</v>
      </c>
    </row>
    <row r="264" spans="1:9" ht="51.75" customHeight="1" x14ac:dyDescent="0.35">
      <c r="A264" s="15" t="s">
        <v>22441</v>
      </c>
      <c r="B264" s="15" t="s">
        <v>22442</v>
      </c>
      <c r="C264" s="15" t="s">
        <v>22443</v>
      </c>
      <c r="D264" s="31">
        <v>39253</v>
      </c>
      <c r="E264" s="15" t="s">
        <v>22444</v>
      </c>
      <c r="F264" s="87" t="s">
        <v>21871</v>
      </c>
      <c r="G264" s="45" t="s">
        <v>371</v>
      </c>
      <c r="H264" s="55" t="s">
        <v>372</v>
      </c>
      <c r="I264" s="15" t="s">
        <v>40</v>
      </c>
    </row>
    <row r="265" spans="1:9" ht="51.75" customHeight="1" x14ac:dyDescent="0.35">
      <c r="A265" s="15" t="s">
        <v>22445</v>
      </c>
      <c r="B265" s="15" t="s">
        <v>22446</v>
      </c>
      <c r="C265" s="15" t="s">
        <v>22447</v>
      </c>
      <c r="D265" s="31">
        <v>39253</v>
      </c>
      <c r="E265" s="15" t="s">
        <v>22448</v>
      </c>
      <c r="F265" s="87" t="s">
        <v>21871</v>
      </c>
      <c r="G265" s="45" t="s">
        <v>371</v>
      </c>
      <c r="H265" s="55" t="s">
        <v>372</v>
      </c>
      <c r="I265" s="15" t="s">
        <v>40</v>
      </c>
    </row>
    <row r="266" spans="1:9" ht="51.75" customHeight="1" x14ac:dyDescent="0.35">
      <c r="A266" s="15" t="s">
        <v>22449</v>
      </c>
      <c r="B266" s="15" t="s">
        <v>22450</v>
      </c>
      <c r="C266" s="15" t="s">
        <v>22451</v>
      </c>
      <c r="D266" s="31">
        <v>39253</v>
      </c>
      <c r="E266" s="15" t="s">
        <v>22452</v>
      </c>
      <c r="F266" s="87" t="s">
        <v>21871</v>
      </c>
      <c r="G266" s="45" t="s">
        <v>371</v>
      </c>
      <c r="H266" s="55" t="s">
        <v>372</v>
      </c>
      <c r="I266" s="15" t="s">
        <v>40</v>
      </c>
    </row>
    <row r="267" spans="1:9" ht="51.75" customHeight="1" x14ac:dyDescent="0.35">
      <c r="A267" s="15" t="s">
        <v>22453</v>
      </c>
      <c r="B267" s="15" t="s">
        <v>22454</v>
      </c>
      <c r="C267" s="15" t="s">
        <v>22455</v>
      </c>
      <c r="D267" s="31">
        <v>39253</v>
      </c>
      <c r="E267" s="15" t="s">
        <v>22456</v>
      </c>
      <c r="F267" s="87" t="s">
        <v>21871</v>
      </c>
      <c r="G267" s="45" t="s">
        <v>371</v>
      </c>
      <c r="H267" s="55" t="s">
        <v>372</v>
      </c>
      <c r="I267" s="15" t="s">
        <v>40</v>
      </c>
    </row>
    <row r="268" spans="1:9" ht="51.75" customHeight="1" x14ac:dyDescent="0.35">
      <c r="A268" s="15" t="s">
        <v>22059</v>
      </c>
      <c r="B268" s="15" t="s">
        <v>22457</v>
      </c>
      <c r="C268" s="15" t="s">
        <v>22458</v>
      </c>
      <c r="D268" s="31">
        <v>39253</v>
      </c>
      <c r="E268" s="15" t="s">
        <v>22459</v>
      </c>
      <c r="F268" s="87" t="s">
        <v>21871</v>
      </c>
      <c r="G268" s="45" t="s">
        <v>371</v>
      </c>
      <c r="H268" s="55" t="s">
        <v>372</v>
      </c>
      <c r="I268" s="15" t="s">
        <v>40</v>
      </c>
    </row>
    <row r="269" spans="1:9" ht="51.75" customHeight="1" x14ac:dyDescent="0.35">
      <c r="A269" s="15" t="s">
        <v>22077</v>
      </c>
      <c r="B269" s="15" t="s">
        <v>22460</v>
      </c>
      <c r="C269" s="15" t="s">
        <v>22461</v>
      </c>
      <c r="D269" s="31">
        <v>39253</v>
      </c>
      <c r="E269" s="15" t="s">
        <v>22462</v>
      </c>
      <c r="F269" s="87" t="s">
        <v>21871</v>
      </c>
      <c r="G269" s="45" t="s">
        <v>371</v>
      </c>
      <c r="H269" s="55" t="s">
        <v>372</v>
      </c>
      <c r="I269" s="15" t="s">
        <v>40</v>
      </c>
    </row>
    <row r="270" spans="1:9" ht="51.75" customHeight="1" x14ac:dyDescent="0.35">
      <c r="A270" s="15" t="s">
        <v>22463</v>
      </c>
      <c r="B270" s="15" t="s">
        <v>22464</v>
      </c>
      <c r="C270" s="15" t="s">
        <v>22465</v>
      </c>
      <c r="D270" s="31">
        <v>39253</v>
      </c>
      <c r="E270" s="15" t="s">
        <v>22466</v>
      </c>
      <c r="F270" s="87" t="s">
        <v>21871</v>
      </c>
      <c r="G270" s="45" t="s">
        <v>371</v>
      </c>
      <c r="H270" s="55" t="s">
        <v>372</v>
      </c>
      <c r="I270" s="15" t="s">
        <v>40</v>
      </c>
    </row>
    <row r="271" spans="1:9" ht="51.75" customHeight="1" x14ac:dyDescent="0.35">
      <c r="A271" s="15" t="s">
        <v>22467</v>
      </c>
      <c r="B271" s="15" t="s">
        <v>22468</v>
      </c>
      <c r="C271" s="15" t="s">
        <v>22469</v>
      </c>
      <c r="D271" s="31">
        <v>39253</v>
      </c>
      <c r="E271" s="15" t="s">
        <v>22470</v>
      </c>
      <c r="F271" s="87" t="s">
        <v>21871</v>
      </c>
      <c r="G271" s="45" t="s">
        <v>371</v>
      </c>
      <c r="H271" s="55" t="s">
        <v>372</v>
      </c>
      <c r="I271" s="15" t="s">
        <v>40</v>
      </c>
    </row>
    <row r="272" spans="1:9" ht="51.75" customHeight="1" x14ac:dyDescent="0.35">
      <c r="A272" s="15">
        <v>1</v>
      </c>
      <c r="B272" s="15" t="s">
        <v>22471</v>
      </c>
      <c r="C272" s="15" t="s">
        <v>22472</v>
      </c>
      <c r="D272" s="31">
        <v>39553</v>
      </c>
      <c r="E272" s="15" t="s">
        <v>22473</v>
      </c>
      <c r="F272" s="87" t="s">
        <v>21871</v>
      </c>
      <c r="G272" s="45" t="s">
        <v>390</v>
      </c>
      <c r="H272" s="55" t="s">
        <v>391</v>
      </c>
      <c r="I272" s="15" t="s">
        <v>40</v>
      </c>
    </row>
    <row r="273" spans="1:9" ht="51.75" customHeight="1" x14ac:dyDescent="0.35">
      <c r="A273" s="15">
        <v>2</v>
      </c>
      <c r="B273" s="15" t="s">
        <v>22474</v>
      </c>
      <c r="C273" s="15" t="s">
        <v>22475</v>
      </c>
      <c r="D273" s="31">
        <v>39553</v>
      </c>
      <c r="E273" s="15" t="s">
        <v>22476</v>
      </c>
      <c r="F273" s="87" t="s">
        <v>21871</v>
      </c>
      <c r="G273" s="45" t="s">
        <v>390</v>
      </c>
      <c r="H273" s="55" t="s">
        <v>391</v>
      </c>
      <c r="I273" s="15" t="s">
        <v>40</v>
      </c>
    </row>
    <row r="274" spans="1:9" ht="51.75" customHeight="1" x14ac:dyDescent="0.35">
      <c r="A274" s="15">
        <v>1</v>
      </c>
      <c r="B274" s="15" t="s">
        <v>22477</v>
      </c>
      <c r="C274" s="15" t="s">
        <v>22478</v>
      </c>
      <c r="D274" s="31">
        <v>39097</v>
      </c>
      <c r="E274" s="15" t="s">
        <v>22479</v>
      </c>
      <c r="F274" s="87" t="s">
        <v>21871</v>
      </c>
      <c r="G274" s="45" t="s">
        <v>384</v>
      </c>
      <c r="H274" s="55" t="s">
        <v>385</v>
      </c>
      <c r="I274" s="15" t="s">
        <v>40</v>
      </c>
    </row>
    <row r="275" spans="1:9" ht="51.75" customHeight="1" x14ac:dyDescent="0.35">
      <c r="A275" s="15">
        <v>1</v>
      </c>
      <c r="B275" s="15" t="s">
        <v>22480</v>
      </c>
      <c r="C275" s="15" t="s">
        <v>22481</v>
      </c>
      <c r="D275" s="31">
        <v>39351</v>
      </c>
      <c r="E275" s="15" t="s">
        <v>22482</v>
      </c>
      <c r="F275" s="87" t="s">
        <v>21871</v>
      </c>
      <c r="G275" s="45" t="s">
        <v>135</v>
      </c>
      <c r="H275" s="55" t="s">
        <v>136</v>
      </c>
      <c r="I275" s="15" t="s">
        <v>40</v>
      </c>
    </row>
    <row r="276" spans="1:9" ht="51.75" customHeight="1" x14ac:dyDescent="0.35">
      <c r="A276" s="15">
        <v>1</v>
      </c>
      <c r="B276" s="15" t="s">
        <v>22483</v>
      </c>
      <c r="C276" s="15" t="s">
        <v>22484</v>
      </c>
      <c r="D276" s="31">
        <v>39813</v>
      </c>
      <c r="E276" s="15" t="s">
        <v>22485</v>
      </c>
      <c r="F276" s="87" t="s">
        <v>21871</v>
      </c>
      <c r="G276" s="45" t="s">
        <v>2749</v>
      </c>
      <c r="H276" s="55" t="s">
        <v>2750</v>
      </c>
      <c r="I276" s="15" t="s">
        <v>40</v>
      </c>
    </row>
    <row r="277" spans="1:9" ht="51.75" customHeight="1" x14ac:dyDescent="0.35">
      <c r="A277" s="15">
        <v>1</v>
      </c>
      <c r="B277" s="15" t="s">
        <v>22486</v>
      </c>
      <c r="C277" s="15" t="s">
        <v>22487</v>
      </c>
      <c r="D277" s="31">
        <v>39776</v>
      </c>
      <c r="E277" s="15" t="s">
        <v>22488</v>
      </c>
      <c r="F277" s="87" t="s">
        <v>21871</v>
      </c>
      <c r="G277" s="45" t="s">
        <v>2592</v>
      </c>
      <c r="H277" s="55" t="s">
        <v>2593</v>
      </c>
      <c r="I277" s="15" t="s">
        <v>40</v>
      </c>
    </row>
    <row r="278" spans="1:9" ht="51.75" customHeight="1" x14ac:dyDescent="0.35">
      <c r="A278" s="15">
        <v>1</v>
      </c>
      <c r="B278" s="15" t="s">
        <v>22489</v>
      </c>
      <c r="C278" s="15" t="s">
        <v>22490</v>
      </c>
      <c r="D278" s="31">
        <v>39632</v>
      </c>
      <c r="E278" s="15" t="s">
        <v>22490</v>
      </c>
      <c r="F278" s="87" t="s">
        <v>21871</v>
      </c>
      <c r="G278" s="45" t="s">
        <v>2570</v>
      </c>
      <c r="H278" s="55" t="s">
        <v>2571</v>
      </c>
      <c r="I278" s="15" t="s">
        <v>40</v>
      </c>
    </row>
    <row r="279" spans="1:9" ht="51.75" customHeight="1" x14ac:dyDescent="0.35">
      <c r="A279" s="15">
        <v>1</v>
      </c>
      <c r="B279" s="15" t="s">
        <v>22491</v>
      </c>
      <c r="C279" s="15" t="s">
        <v>22492</v>
      </c>
      <c r="D279" s="31">
        <v>39700</v>
      </c>
      <c r="E279" s="15" t="s">
        <v>22493</v>
      </c>
      <c r="F279" s="87" t="s">
        <v>21871</v>
      </c>
      <c r="G279" s="45" t="s">
        <v>2329</v>
      </c>
      <c r="H279" s="55" t="s">
        <v>2330</v>
      </c>
      <c r="I279" s="15" t="s">
        <v>40</v>
      </c>
    </row>
    <row r="280" spans="1:9" ht="51.75" customHeight="1" x14ac:dyDescent="0.35">
      <c r="A280" s="15">
        <v>2</v>
      </c>
      <c r="B280" s="15" t="s">
        <v>22494</v>
      </c>
      <c r="C280" s="15" t="s">
        <v>22495</v>
      </c>
      <c r="D280" s="31">
        <v>39700</v>
      </c>
      <c r="E280" s="15" t="s">
        <v>22496</v>
      </c>
      <c r="F280" s="87" t="s">
        <v>21871</v>
      </c>
      <c r="G280" s="45" t="s">
        <v>2329</v>
      </c>
      <c r="H280" s="55" t="s">
        <v>2330</v>
      </c>
      <c r="I280" s="15" t="s">
        <v>40</v>
      </c>
    </row>
    <row r="281" spans="1:9" ht="51.75" customHeight="1" x14ac:dyDescent="0.35">
      <c r="A281" s="15">
        <v>1</v>
      </c>
      <c r="B281" s="15" t="s">
        <v>22497</v>
      </c>
      <c r="C281" s="15" t="s">
        <v>22498</v>
      </c>
      <c r="D281" s="31">
        <v>39811</v>
      </c>
      <c r="E281" s="15" t="s">
        <v>22499</v>
      </c>
      <c r="F281" s="87" t="s">
        <v>21871</v>
      </c>
      <c r="G281" s="45" t="s">
        <v>2232</v>
      </c>
      <c r="H281" s="55" t="s">
        <v>2233</v>
      </c>
      <c r="I281" s="15" t="s">
        <v>40</v>
      </c>
    </row>
    <row r="282" spans="1:9" ht="51.75" customHeight="1" x14ac:dyDescent="0.35">
      <c r="A282" s="15">
        <v>2</v>
      </c>
      <c r="B282" s="15" t="s">
        <v>22500</v>
      </c>
      <c r="C282" s="15" t="s">
        <v>22501</v>
      </c>
      <c r="D282" s="31">
        <v>39811</v>
      </c>
      <c r="E282" s="15" t="s">
        <v>22502</v>
      </c>
      <c r="F282" s="87" t="s">
        <v>21871</v>
      </c>
      <c r="G282" s="45" t="s">
        <v>2232</v>
      </c>
      <c r="H282" s="55" t="s">
        <v>2233</v>
      </c>
      <c r="I282" s="15" t="s">
        <v>40</v>
      </c>
    </row>
    <row r="283" spans="1:9" ht="51.75" customHeight="1" x14ac:dyDescent="0.35">
      <c r="A283" s="15">
        <v>1</v>
      </c>
      <c r="B283" s="15" t="s">
        <v>22503</v>
      </c>
      <c r="C283" s="15" t="s">
        <v>22504</v>
      </c>
      <c r="D283" s="31">
        <v>39826</v>
      </c>
      <c r="E283" s="15" t="s">
        <v>22505</v>
      </c>
      <c r="F283" s="87" t="s">
        <v>21871</v>
      </c>
      <c r="G283" s="45" t="s">
        <v>2283</v>
      </c>
      <c r="H283" s="55" t="s">
        <v>2284</v>
      </c>
      <c r="I283" s="15" t="s">
        <v>40</v>
      </c>
    </row>
    <row r="284" spans="1:9" ht="51.75" customHeight="1" x14ac:dyDescent="0.35">
      <c r="A284" s="15">
        <v>1</v>
      </c>
      <c r="B284" s="15" t="s">
        <v>22506</v>
      </c>
      <c r="C284" s="15" t="s">
        <v>22507</v>
      </c>
      <c r="D284" s="31">
        <v>39709</v>
      </c>
      <c r="E284" s="15" t="s">
        <v>22508</v>
      </c>
      <c r="F284" s="87" t="s">
        <v>21871</v>
      </c>
      <c r="G284" s="45" t="s">
        <v>2548</v>
      </c>
      <c r="H284" s="55" t="s">
        <v>2549</v>
      </c>
      <c r="I284" s="15" t="s">
        <v>40</v>
      </c>
    </row>
    <row r="285" spans="1:9" ht="51.75" customHeight="1" x14ac:dyDescent="0.35">
      <c r="A285" s="15">
        <v>2</v>
      </c>
      <c r="B285" s="15" t="s">
        <v>22509</v>
      </c>
      <c r="C285" s="15" t="s">
        <v>22510</v>
      </c>
      <c r="D285" s="31">
        <v>39699</v>
      </c>
      <c r="E285" s="15" t="s">
        <v>22511</v>
      </c>
      <c r="F285" s="87" t="s">
        <v>21871</v>
      </c>
      <c r="G285" s="45" t="s">
        <v>2548</v>
      </c>
      <c r="H285" s="55" t="s">
        <v>2549</v>
      </c>
      <c r="I285" s="15" t="s">
        <v>40</v>
      </c>
    </row>
    <row r="286" spans="1:9" ht="51.75" customHeight="1" x14ac:dyDescent="0.35">
      <c r="A286" s="15">
        <v>1</v>
      </c>
      <c r="B286" s="15" t="s">
        <v>22512</v>
      </c>
      <c r="C286" s="15" t="s">
        <v>22513</v>
      </c>
      <c r="D286" s="31">
        <v>39318</v>
      </c>
      <c r="E286" s="15" t="s">
        <v>22513</v>
      </c>
      <c r="F286" s="87" t="s">
        <v>21871</v>
      </c>
      <c r="G286" s="45" t="s">
        <v>2086</v>
      </c>
      <c r="H286" s="55" t="s">
        <v>2087</v>
      </c>
      <c r="I286" s="15" t="s">
        <v>40</v>
      </c>
    </row>
    <row r="287" spans="1:9" ht="51.75" customHeight="1" x14ac:dyDescent="0.35">
      <c r="A287" s="15">
        <v>2</v>
      </c>
      <c r="B287" s="15" t="s">
        <v>22514</v>
      </c>
      <c r="C287" s="15" t="s">
        <v>22515</v>
      </c>
      <c r="D287" s="31">
        <v>39318</v>
      </c>
      <c r="E287" s="15" t="s">
        <v>22516</v>
      </c>
      <c r="F287" s="87" t="s">
        <v>21871</v>
      </c>
      <c r="G287" s="45" t="s">
        <v>2086</v>
      </c>
      <c r="H287" s="55" t="s">
        <v>2087</v>
      </c>
      <c r="I287" s="15" t="s">
        <v>40</v>
      </c>
    </row>
    <row r="288" spans="1:9" ht="51.75" customHeight="1" x14ac:dyDescent="0.35">
      <c r="A288" s="15">
        <v>3</v>
      </c>
      <c r="B288" s="15" t="s">
        <v>22517</v>
      </c>
      <c r="C288" s="15" t="s">
        <v>22518</v>
      </c>
      <c r="D288" s="31">
        <v>39318</v>
      </c>
      <c r="E288" s="15" t="s">
        <v>22519</v>
      </c>
      <c r="F288" s="87" t="s">
        <v>21871</v>
      </c>
      <c r="G288" s="45" t="s">
        <v>2086</v>
      </c>
      <c r="H288" s="55" t="s">
        <v>2087</v>
      </c>
      <c r="I288" s="15" t="s">
        <v>40</v>
      </c>
    </row>
    <row r="289" spans="1:9" ht="51.75" customHeight="1" x14ac:dyDescent="0.35">
      <c r="A289" s="15">
        <v>4</v>
      </c>
      <c r="B289" s="15" t="s">
        <v>22520</v>
      </c>
      <c r="C289" s="15" t="s">
        <v>22521</v>
      </c>
      <c r="D289" s="31">
        <v>39318</v>
      </c>
      <c r="E289" s="15" t="s">
        <v>22522</v>
      </c>
      <c r="F289" s="87" t="s">
        <v>21871</v>
      </c>
      <c r="G289" s="45" t="s">
        <v>2086</v>
      </c>
      <c r="H289" s="55" t="s">
        <v>2087</v>
      </c>
      <c r="I289" s="15" t="s">
        <v>40</v>
      </c>
    </row>
    <row r="290" spans="1:9" ht="51.75" customHeight="1" x14ac:dyDescent="0.35">
      <c r="A290" s="15">
        <v>1</v>
      </c>
      <c r="B290" s="15" t="s">
        <v>22523</v>
      </c>
      <c r="C290" s="15" t="s">
        <v>22524</v>
      </c>
      <c r="D290" s="31">
        <v>39749</v>
      </c>
      <c r="E290" s="15" t="s">
        <v>22525</v>
      </c>
      <c r="F290" s="87" t="s">
        <v>21871</v>
      </c>
      <c r="G290" s="45" t="s">
        <v>2044</v>
      </c>
      <c r="H290" s="55" t="s">
        <v>2045</v>
      </c>
      <c r="I290" s="15" t="s">
        <v>40</v>
      </c>
    </row>
    <row r="291" spans="1:9" ht="51.75" customHeight="1" x14ac:dyDescent="0.35">
      <c r="A291" s="15">
        <v>1</v>
      </c>
      <c r="B291" s="15" t="s">
        <v>22526</v>
      </c>
      <c r="C291" s="15" t="s">
        <v>22527</v>
      </c>
      <c r="D291" s="31">
        <v>39678</v>
      </c>
      <c r="E291" s="15" t="s">
        <v>22528</v>
      </c>
      <c r="F291" s="87" t="s">
        <v>21871</v>
      </c>
      <c r="G291" s="45" t="s">
        <v>1925</v>
      </c>
      <c r="H291" s="55" t="s">
        <v>1926</v>
      </c>
      <c r="I291" s="15" t="s">
        <v>40</v>
      </c>
    </row>
    <row r="292" spans="1:9" ht="51.75" customHeight="1" x14ac:dyDescent="0.35">
      <c r="A292" s="15">
        <v>1</v>
      </c>
      <c r="B292" s="15" t="s">
        <v>22529</v>
      </c>
      <c r="C292" s="15" t="s">
        <v>22530</v>
      </c>
      <c r="D292" s="31">
        <v>39770</v>
      </c>
      <c r="E292" s="15" t="s">
        <v>22531</v>
      </c>
      <c r="F292" s="87" t="s">
        <v>21871</v>
      </c>
      <c r="G292" s="45" t="s">
        <v>1971</v>
      </c>
      <c r="H292" s="55" t="s">
        <v>1972</v>
      </c>
      <c r="I292" s="15" t="s">
        <v>40</v>
      </c>
    </row>
    <row r="293" spans="1:9" ht="51.75" customHeight="1" x14ac:dyDescent="0.35">
      <c r="A293" s="15">
        <v>2</v>
      </c>
      <c r="B293" s="15" t="s">
        <v>22532</v>
      </c>
      <c r="C293" s="15" t="s">
        <v>22533</v>
      </c>
      <c r="D293" s="31">
        <v>39770</v>
      </c>
      <c r="E293" s="15" t="s">
        <v>22534</v>
      </c>
      <c r="F293" s="87" t="s">
        <v>21871</v>
      </c>
      <c r="G293" s="45" t="s">
        <v>1971</v>
      </c>
      <c r="H293" s="55" t="s">
        <v>1972</v>
      </c>
      <c r="I293" s="15" t="s">
        <v>40</v>
      </c>
    </row>
    <row r="294" spans="1:9" ht="51.75" customHeight="1" x14ac:dyDescent="0.35">
      <c r="A294" s="15">
        <v>1</v>
      </c>
      <c r="B294" s="15" t="s">
        <v>22535</v>
      </c>
      <c r="C294" s="15" t="s">
        <v>22536</v>
      </c>
      <c r="D294" s="31">
        <v>39510</v>
      </c>
      <c r="E294" s="15" t="s">
        <v>22537</v>
      </c>
      <c r="F294" s="87" t="s">
        <v>21871</v>
      </c>
      <c r="G294" s="45" t="s">
        <v>1666</v>
      </c>
      <c r="H294" s="55" t="s">
        <v>1667</v>
      </c>
      <c r="I294" s="15" t="s">
        <v>40</v>
      </c>
    </row>
    <row r="295" spans="1:9" ht="51.75" customHeight="1" x14ac:dyDescent="0.35">
      <c r="A295" s="15">
        <v>1</v>
      </c>
      <c r="B295" s="15" t="s">
        <v>22538</v>
      </c>
      <c r="C295" s="15" t="s">
        <v>22539</v>
      </c>
      <c r="D295" s="31">
        <v>39476</v>
      </c>
      <c r="E295" s="15" t="s">
        <v>22540</v>
      </c>
      <c r="F295" s="87" t="s">
        <v>21871</v>
      </c>
      <c r="G295" s="45" t="s">
        <v>1784</v>
      </c>
      <c r="H295" s="55" t="s">
        <v>1785</v>
      </c>
      <c r="I295" s="15" t="s">
        <v>40</v>
      </c>
    </row>
    <row r="296" spans="1:9" ht="51.75" customHeight="1" x14ac:dyDescent="0.35">
      <c r="A296" s="15">
        <v>2</v>
      </c>
      <c r="B296" s="15" t="s">
        <v>22541</v>
      </c>
      <c r="C296" s="15" t="s">
        <v>22542</v>
      </c>
      <c r="D296" s="31">
        <v>39476</v>
      </c>
      <c r="E296" s="15" t="s">
        <v>22543</v>
      </c>
      <c r="F296" s="87" t="s">
        <v>21871</v>
      </c>
      <c r="G296" s="45" t="s">
        <v>1784</v>
      </c>
      <c r="H296" s="55" t="s">
        <v>1785</v>
      </c>
      <c r="I296" s="15" t="s">
        <v>40</v>
      </c>
    </row>
    <row r="297" spans="1:9" ht="51.75" customHeight="1" x14ac:dyDescent="0.35">
      <c r="A297" s="15">
        <v>3</v>
      </c>
      <c r="B297" s="15" t="s">
        <v>22544</v>
      </c>
      <c r="C297" s="15" t="s">
        <v>22545</v>
      </c>
      <c r="D297" s="31">
        <v>39476</v>
      </c>
      <c r="E297" s="15" t="s">
        <v>22546</v>
      </c>
      <c r="F297" s="87" t="s">
        <v>21871</v>
      </c>
      <c r="G297" s="45" t="s">
        <v>1784</v>
      </c>
      <c r="H297" s="55" t="s">
        <v>1785</v>
      </c>
      <c r="I297" s="15" t="s">
        <v>40</v>
      </c>
    </row>
    <row r="298" spans="1:9" ht="51.75" customHeight="1" x14ac:dyDescent="0.35">
      <c r="A298" s="15">
        <v>1</v>
      </c>
      <c r="B298" s="15" t="s">
        <v>22547</v>
      </c>
      <c r="C298" s="15" t="s">
        <v>22548</v>
      </c>
      <c r="D298" s="31">
        <v>39218</v>
      </c>
      <c r="E298" s="15" t="s">
        <v>22548</v>
      </c>
      <c r="F298" s="87" t="s">
        <v>21871</v>
      </c>
      <c r="G298" s="45" t="s">
        <v>1634</v>
      </c>
      <c r="H298" s="55" t="s">
        <v>1635</v>
      </c>
      <c r="I298" s="15" t="s">
        <v>40</v>
      </c>
    </row>
    <row r="299" spans="1:9" ht="51.75" customHeight="1" x14ac:dyDescent="0.35">
      <c r="A299" s="15">
        <v>1</v>
      </c>
      <c r="B299" s="15" t="s">
        <v>22549</v>
      </c>
      <c r="C299" s="15" t="s">
        <v>22550</v>
      </c>
      <c r="D299" s="31">
        <v>39423</v>
      </c>
      <c r="E299" s="15" t="s">
        <v>22551</v>
      </c>
      <c r="F299" s="87" t="s">
        <v>21871</v>
      </c>
      <c r="G299" s="45" t="s">
        <v>1490</v>
      </c>
      <c r="H299" s="55" t="s">
        <v>1491</v>
      </c>
      <c r="I299" s="15" t="s">
        <v>40</v>
      </c>
    </row>
    <row r="300" spans="1:9" ht="51.75" customHeight="1" x14ac:dyDescent="0.35">
      <c r="A300" s="15">
        <v>2</v>
      </c>
      <c r="B300" s="15" t="s">
        <v>22552</v>
      </c>
      <c r="C300" s="15" t="s">
        <v>22553</v>
      </c>
      <c r="D300" s="31">
        <v>39423</v>
      </c>
      <c r="E300" s="15" t="s">
        <v>22554</v>
      </c>
      <c r="F300" s="87" t="s">
        <v>21871</v>
      </c>
      <c r="G300" s="45" t="s">
        <v>1490</v>
      </c>
      <c r="H300" s="55" t="s">
        <v>1491</v>
      </c>
      <c r="I300" s="15" t="s">
        <v>40</v>
      </c>
    </row>
    <row r="301" spans="1:9" ht="51.75" customHeight="1" x14ac:dyDescent="0.35">
      <c r="A301" s="15">
        <v>3</v>
      </c>
      <c r="B301" s="15" t="s">
        <v>22555</v>
      </c>
      <c r="C301" s="15" t="s">
        <v>22556</v>
      </c>
      <c r="D301" s="31">
        <v>39423</v>
      </c>
      <c r="E301" s="15" t="s">
        <v>22557</v>
      </c>
      <c r="F301" s="87" t="s">
        <v>21871</v>
      </c>
      <c r="G301" s="45" t="s">
        <v>1490</v>
      </c>
      <c r="H301" s="55" t="s">
        <v>1491</v>
      </c>
      <c r="I301" s="15" t="s">
        <v>40</v>
      </c>
    </row>
    <row r="302" spans="1:9" ht="51.75" customHeight="1" x14ac:dyDescent="0.35">
      <c r="A302" s="15">
        <v>1</v>
      </c>
      <c r="B302" s="15" t="s">
        <v>22558</v>
      </c>
      <c r="C302" s="15" t="s">
        <v>22559</v>
      </c>
      <c r="D302" s="31">
        <v>39409</v>
      </c>
      <c r="E302" s="15" t="s">
        <v>22560</v>
      </c>
      <c r="F302" s="87" t="s">
        <v>21871</v>
      </c>
      <c r="G302" s="45" t="s">
        <v>1417</v>
      </c>
      <c r="H302" s="55" t="s">
        <v>1418</v>
      </c>
      <c r="I302" s="15" t="s">
        <v>40</v>
      </c>
    </row>
    <row r="303" spans="1:9" ht="51.75" customHeight="1" x14ac:dyDescent="0.35">
      <c r="A303" s="15">
        <v>2</v>
      </c>
      <c r="B303" s="15" t="s">
        <v>22561</v>
      </c>
      <c r="C303" s="15" t="s">
        <v>22562</v>
      </c>
      <c r="D303" s="31">
        <v>39409</v>
      </c>
      <c r="E303" s="15" t="s">
        <v>22563</v>
      </c>
      <c r="F303" s="87" t="s">
        <v>21871</v>
      </c>
      <c r="G303" s="45" t="s">
        <v>1417</v>
      </c>
      <c r="H303" s="55" t="s">
        <v>1418</v>
      </c>
      <c r="I303" s="15" t="s">
        <v>40</v>
      </c>
    </row>
    <row r="304" spans="1:9" ht="51.75" customHeight="1" x14ac:dyDescent="0.35">
      <c r="A304" s="15">
        <v>3</v>
      </c>
      <c r="B304" s="15" t="s">
        <v>22564</v>
      </c>
      <c r="C304" s="15" t="s">
        <v>22565</v>
      </c>
      <c r="D304" s="31">
        <v>39409</v>
      </c>
      <c r="E304" s="15" t="s">
        <v>22566</v>
      </c>
      <c r="F304" s="87" t="s">
        <v>21871</v>
      </c>
      <c r="G304" s="45" t="s">
        <v>1417</v>
      </c>
      <c r="H304" s="55" t="s">
        <v>1418</v>
      </c>
      <c r="I304" s="15" t="s">
        <v>40</v>
      </c>
    </row>
    <row r="305" spans="1:9" ht="51.75" customHeight="1" x14ac:dyDescent="0.35">
      <c r="A305" s="15">
        <v>4</v>
      </c>
      <c r="B305" s="15" t="s">
        <v>22567</v>
      </c>
      <c r="C305" s="15" t="s">
        <v>22568</v>
      </c>
      <c r="D305" s="31">
        <v>39409</v>
      </c>
      <c r="E305" s="15" t="s">
        <v>22569</v>
      </c>
      <c r="F305" s="87" t="s">
        <v>21871</v>
      </c>
      <c r="G305" s="45" t="s">
        <v>1417</v>
      </c>
      <c r="H305" s="55" t="s">
        <v>1418</v>
      </c>
      <c r="I305" s="15" t="s">
        <v>40</v>
      </c>
    </row>
    <row r="306" spans="1:9" ht="51.75" customHeight="1" x14ac:dyDescent="0.35">
      <c r="A306" s="15" t="s">
        <v>22570</v>
      </c>
      <c r="B306" s="15" t="s">
        <v>22571</v>
      </c>
      <c r="C306" s="15" t="s">
        <v>22572</v>
      </c>
      <c r="D306" s="31">
        <v>41473</v>
      </c>
      <c r="E306" s="15" t="s">
        <v>22573</v>
      </c>
      <c r="F306" s="87" t="s">
        <v>21871</v>
      </c>
      <c r="G306" s="45" t="s">
        <v>7541</v>
      </c>
      <c r="H306" s="55" t="s">
        <v>7542</v>
      </c>
      <c r="I306" s="15" t="s">
        <v>40</v>
      </c>
    </row>
    <row r="307" spans="1:9" ht="51.75" customHeight="1" x14ac:dyDescent="0.35">
      <c r="A307" s="15" t="s">
        <v>22574</v>
      </c>
      <c r="B307" s="15" t="s">
        <v>22575</v>
      </c>
      <c r="C307" s="15" t="s">
        <v>22576</v>
      </c>
      <c r="D307" s="31">
        <v>41473</v>
      </c>
      <c r="E307" s="15" t="s">
        <v>22577</v>
      </c>
      <c r="F307" s="87" t="s">
        <v>21871</v>
      </c>
      <c r="G307" s="45" t="s">
        <v>7541</v>
      </c>
      <c r="H307" s="55" t="s">
        <v>7542</v>
      </c>
      <c r="I307" s="15" t="s">
        <v>40</v>
      </c>
    </row>
    <row r="308" spans="1:9" ht="51.75" customHeight="1" x14ac:dyDescent="0.35">
      <c r="A308" s="15" t="s">
        <v>22578</v>
      </c>
      <c r="B308" s="15" t="s">
        <v>22579</v>
      </c>
      <c r="C308" s="15" t="s">
        <v>22580</v>
      </c>
      <c r="D308" s="31">
        <v>41473</v>
      </c>
      <c r="E308" s="15" t="s">
        <v>22581</v>
      </c>
      <c r="F308" s="87" t="s">
        <v>21871</v>
      </c>
      <c r="G308" s="45" t="s">
        <v>7541</v>
      </c>
      <c r="H308" s="55" t="s">
        <v>7542</v>
      </c>
      <c r="I308" s="15" t="s">
        <v>40</v>
      </c>
    </row>
    <row r="309" spans="1:9" ht="51.75" customHeight="1" x14ac:dyDescent="0.35">
      <c r="A309" s="15" t="s">
        <v>22582</v>
      </c>
      <c r="B309" s="15" t="s">
        <v>22583</v>
      </c>
      <c r="C309" s="15" t="s">
        <v>22584</v>
      </c>
      <c r="D309" s="31">
        <v>41473</v>
      </c>
      <c r="E309" s="15" t="s">
        <v>22585</v>
      </c>
      <c r="F309" s="87" t="s">
        <v>21871</v>
      </c>
      <c r="G309" s="45" t="s">
        <v>7541</v>
      </c>
      <c r="H309" s="55" t="s">
        <v>7542</v>
      </c>
      <c r="I309" s="15" t="s">
        <v>40</v>
      </c>
    </row>
    <row r="310" spans="1:9" ht="51.75" customHeight="1" x14ac:dyDescent="0.35">
      <c r="A310" s="15" t="s">
        <v>22586</v>
      </c>
      <c r="B310" s="15" t="s">
        <v>22587</v>
      </c>
      <c r="C310" s="15" t="s">
        <v>22588</v>
      </c>
      <c r="D310" s="31">
        <v>41473</v>
      </c>
      <c r="E310" s="15" t="s">
        <v>22589</v>
      </c>
      <c r="F310" s="87" t="s">
        <v>21871</v>
      </c>
      <c r="G310" s="45" t="s">
        <v>7541</v>
      </c>
      <c r="H310" s="55" t="s">
        <v>7542</v>
      </c>
      <c r="I310" s="15" t="s">
        <v>40</v>
      </c>
    </row>
    <row r="311" spans="1:9" ht="51.75" customHeight="1" x14ac:dyDescent="0.35">
      <c r="A311" s="15">
        <v>1</v>
      </c>
      <c r="B311" s="15" t="s">
        <v>22590</v>
      </c>
      <c r="C311" s="15" t="s">
        <v>22591</v>
      </c>
      <c r="D311" s="31">
        <v>39183</v>
      </c>
      <c r="E311" s="15" t="s">
        <v>22592</v>
      </c>
      <c r="F311" s="87" t="s">
        <v>21871</v>
      </c>
      <c r="G311" s="45" t="s">
        <v>555</v>
      </c>
      <c r="H311" s="55" t="s">
        <v>556</v>
      </c>
      <c r="I311" s="15" t="s">
        <v>40</v>
      </c>
    </row>
    <row r="312" spans="1:9" ht="51.75" customHeight="1" x14ac:dyDescent="0.35">
      <c r="A312" s="15">
        <v>1</v>
      </c>
      <c r="B312" s="15" t="s">
        <v>22593</v>
      </c>
      <c r="C312" s="15" t="s">
        <v>22594</v>
      </c>
      <c r="D312" s="32">
        <v>38833</v>
      </c>
      <c r="E312" s="15" t="s">
        <v>22595</v>
      </c>
      <c r="F312" s="87" t="s">
        <v>21871</v>
      </c>
      <c r="G312" s="45" t="s">
        <v>149</v>
      </c>
      <c r="H312" s="55" t="s">
        <v>150</v>
      </c>
      <c r="I312" s="15" t="s">
        <v>40</v>
      </c>
    </row>
    <row r="313" spans="1:9" ht="51.75" customHeight="1" x14ac:dyDescent="0.35">
      <c r="A313" s="15">
        <v>1</v>
      </c>
      <c r="B313" s="15" t="s">
        <v>22596</v>
      </c>
      <c r="C313" s="15" t="s">
        <v>22597</v>
      </c>
      <c r="D313" s="31">
        <v>38903</v>
      </c>
      <c r="E313" s="15" t="s">
        <v>22598</v>
      </c>
      <c r="F313" s="87" t="s">
        <v>21871</v>
      </c>
      <c r="G313" s="45" t="s">
        <v>200</v>
      </c>
      <c r="H313" s="55" t="s">
        <v>201</v>
      </c>
      <c r="I313" s="15" t="s">
        <v>40</v>
      </c>
    </row>
    <row r="314" spans="1:9" ht="51.75" customHeight="1" x14ac:dyDescent="0.35">
      <c r="A314" s="15">
        <v>2</v>
      </c>
      <c r="B314" s="15" t="s">
        <v>22599</v>
      </c>
      <c r="C314" s="15" t="s">
        <v>22600</v>
      </c>
      <c r="D314" s="31">
        <v>38903</v>
      </c>
      <c r="E314" s="15" t="s">
        <v>22601</v>
      </c>
      <c r="F314" s="87" t="s">
        <v>21871</v>
      </c>
      <c r="G314" s="45" t="s">
        <v>200</v>
      </c>
      <c r="H314" s="55" t="s">
        <v>201</v>
      </c>
      <c r="I314" s="15" t="s">
        <v>40</v>
      </c>
    </row>
    <row r="315" spans="1:9" ht="51.75" customHeight="1" x14ac:dyDescent="0.35">
      <c r="A315" s="15">
        <v>3</v>
      </c>
      <c r="B315" s="15" t="s">
        <v>22602</v>
      </c>
      <c r="C315" s="15" t="s">
        <v>22603</v>
      </c>
      <c r="D315" s="31">
        <v>38903</v>
      </c>
      <c r="E315" s="15" t="s">
        <v>22604</v>
      </c>
      <c r="F315" s="87" t="s">
        <v>21871</v>
      </c>
      <c r="G315" s="45" t="s">
        <v>200</v>
      </c>
      <c r="H315" s="55" t="s">
        <v>201</v>
      </c>
      <c r="I315" s="15" t="s">
        <v>40</v>
      </c>
    </row>
    <row r="316" spans="1:9" ht="51.75" customHeight="1" x14ac:dyDescent="0.35">
      <c r="A316" s="15">
        <v>1</v>
      </c>
      <c r="B316" s="15" t="s">
        <v>22605</v>
      </c>
      <c r="C316" s="15" t="s">
        <v>22606</v>
      </c>
      <c r="D316" s="31">
        <v>39034</v>
      </c>
      <c r="E316" s="15" t="s">
        <v>22607</v>
      </c>
      <c r="F316" s="87"/>
      <c r="G316" s="45" t="s">
        <v>90</v>
      </c>
      <c r="H316" s="55" t="s">
        <v>91</v>
      </c>
      <c r="I316" s="15" t="s">
        <v>40</v>
      </c>
    </row>
    <row r="317" spans="1:9" ht="51.75" customHeight="1" x14ac:dyDescent="0.35">
      <c r="A317" s="15">
        <v>1</v>
      </c>
      <c r="B317" s="15" t="s">
        <v>22608</v>
      </c>
      <c r="C317" s="15" t="s">
        <v>22609</v>
      </c>
      <c r="D317" s="31">
        <v>38826</v>
      </c>
      <c r="E317" s="15" t="s">
        <v>22610</v>
      </c>
      <c r="F317" s="87" t="s">
        <v>21871</v>
      </c>
      <c r="G317" s="45" t="s">
        <v>65</v>
      </c>
      <c r="H317" s="55" t="s">
        <v>66</v>
      </c>
      <c r="I317" s="15" t="s">
        <v>40</v>
      </c>
    </row>
    <row r="318" spans="1:9" ht="51.75" customHeight="1" x14ac:dyDescent="0.35">
      <c r="A318" s="15">
        <v>2</v>
      </c>
      <c r="B318" s="15" t="s">
        <v>22611</v>
      </c>
      <c r="C318" s="15" t="s">
        <v>22612</v>
      </c>
      <c r="D318" s="31">
        <v>38826</v>
      </c>
      <c r="E318" s="15" t="s">
        <v>22613</v>
      </c>
      <c r="F318" s="87" t="s">
        <v>21871</v>
      </c>
      <c r="G318" s="45" t="s">
        <v>65</v>
      </c>
      <c r="H318" s="55" t="s">
        <v>66</v>
      </c>
      <c r="I318" s="15" t="s">
        <v>40</v>
      </c>
    </row>
    <row r="319" spans="1:9" ht="51.75" customHeight="1" x14ac:dyDescent="0.35">
      <c r="A319" s="15" t="s">
        <v>22614</v>
      </c>
      <c r="B319" s="15" t="s">
        <v>22615</v>
      </c>
      <c r="C319" s="15" t="s">
        <v>22616</v>
      </c>
      <c r="D319" s="31">
        <v>41508</v>
      </c>
      <c r="E319" s="15" t="s">
        <v>22617</v>
      </c>
      <c r="F319" s="87" t="s">
        <v>21871</v>
      </c>
      <c r="G319" s="45" t="s">
        <v>6916</v>
      </c>
      <c r="H319" s="55" t="s">
        <v>6917</v>
      </c>
      <c r="I319" s="15" t="s">
        <v>40</v>
      </c>
    </row>
    <row r="320" spans="1:9" ht="51.75" customHeight="1" x14ac:dyDescent="0.35">
      <c r="A320" s="15" t="s">
        <v>22618</v>
      </c>
      <c r="B320" s="15" t="s">
        <v>22619</v>
      </c>
      <c r="C320" s="15" t="s">
        <v>22620</v>
      </c>
      <c r="D320" s="31">
        <v>41176</v>
      </c>
      <c r="E320" s="15" t="s">
        <v>22621</v>
      </c>
      <c r="F320" s="87" t="s">
        <v>21871</v>
      </c>
      <c r="G320" s="45" t="s">
        <v>6965</v>
      </c>
      <c r="H320" s="55" t="s">
        <v>6966</v>
      </c>
      <c r="I320" s="15" t="s">
        <v>40</v>
      </c>
    </row>
    <row r="321" spans="1:9" ht="51.75" customHeight="1" x14ac:dyDescent="0.35">
      <c r="A321" s="15" t="s">
        <v>22622</v>
      </c>
      <c r="B321" s="15" t="s">
        <v>22623</v>
      </c>
      <c r="C321" s="15" t="s">
        <v>22624</v>
      </c>
      <c r="D321" s="31">
        <v>41176</v>
      </c>
      <c r="E321" s="15" t="s">
        <v>22625</v>
      </c>
      <c r="F321" s="87" t="s">
        <v>21871</v>
      </c>
      <c r="G321" s="45" t="s">
        <v>6965</v>
      </c>
      <c r="H321" s="55" t="s">
        <v>6966</v>
      </c>
      <c r="I321" s="15" t="s">
        <v>40</v>
      </c>
    </row>
    <row r="322" spans="1:9" ht="51.75" customHeight="1" x14ac:dyDescent="0.35">
      <c r="A322" s="15">
        <v>1</v>
      </c>
      <c r="B322" s="15" t="s">
        <v>22626</v>
      </c>
      <c r="C322" s="15" t="s">
        <v>22627</v>
      </c>
      <c r="D322" s="31">
        <v>40952</v>
      </c>
      <c r="E322" s="15" t="s">
        <v>22628</v>
      </c>
      <c r="F322" s="87" t="s">
        <v>21871</v>
      </c>
      <c r="G322" s="45" t="s">
        <v>5631</v>
      </c>
      <c r="H322" s="55" t="s">
        <v>5632</v>
      </c>
      <c r="I322" s="15" t="s">
        <v>40</v>
      </c>
    </row>
    <row r="323" spans="1:9" ht="51.75" customHeight="1" x14ac:dyDescent="0.35">
      <c r="A323" s="15">
        <v>2</v>
      </c>
      <c r="B323" s="15" t="s">
        <v>22629</v>
      </c>
      <c r="C323" s="15" t="s">
        <v>22630</v>
      </c>
      <c r="D323" s="31">
        <v>40952</v>
      </c>
      <c r="E323" s="15" t="s">
        <v>22631</v>
      </c>
      <c r="F323" s="87" t="s">
        <v>21871</v>
      </c>
      <c r="G323" s="45" t="s">
        <v>5631</v>
      </c>
      <c r="H323" s="55" t="s">
        <v>5632</v>
      </c>
      <c r="I323" s="15" t="s">
        <v>40</v>
      </c>
    </row>
    <row r="324" spans="1:9" ht="51.75" customHeight="1" x14ac:dyDescent="0.35">
      <c r="A324" s="15">
        <v>3</v>
      </c>
      <c r="B324" s="15" t="s">
        <v>22632</v>
      </c>
      <c r="C324" s="15" t="s">
        <v>22633</v>
      </c>
      <c r="D324" s="31">
        <v>40952</v>
      </c>
      <c r="E324" s="15" t="s">
        <v>22634</v>
      </c>
      <c r="F324" s="87" t="s">
        <v>21871</v>
      </c>
      <c r="G324" s="45" t="s">
        <v>5631</v>
      </c>
      <c r="H324" s="55" t="s">
        <v>5632</v>
      </c>
      <c r="I324" s="15" t="s">
        <v>40</v>
      </c>
    </row>
    <row r="325" spans="1:9" ht="51.75" customHeight="1" x14ac:dyDescent="0.35">
      <c r="A325" s="15">
        <v>4</v>
      </c>
      <c r="B325" s="15" t="s">
        <v>22635</v>
      </c>
      <c r="C325" s="15" t="s">
        <v>22636</v>
      </c>
      <c r="D325" s="31">
        <v>40952</v>
      </c>
      <c r="E325" s="15" t="s">
        <v>22637</v>
      </c>
      <c r="F325" s="87" t="s">
        <v>21871</v>
      </c>
      <c r="G325" s="45" t="s">
        <v>5631</v>
      </c>
      <c r="H325" s="55" t="s">
        <v>5632</v>
      </c>
      <c r="I325" s="15" t="s">
        <v>40</v>
      </c>
    </row>
    <row r="326" spans="1:9" ht="51.75" customHeight="1" x14ac:dyDescent="0.35">
      <c r="A326" s="15">
        <v>5</v>
      </c>
      <c r="B326" s="15" t="s">
        <v>22638</v>
      </c>
      <c r="C326" s="15" t="s">
        <v>22639</v>
      </c>
      <c r="D326" s="31">
        <v>40952</v>
      </c>
      <c r="E326" s="15" t="s">
        <v>22640</v>
      </c>
      <c r="F326" s="87" t="s">
        <v>21871</v>
      </c>
      <c r="G326" s="45" t="s">
        <v>5631</v>
      </c>
      <c r="H326" s="55" t="s">
        <v>5632</v>
      </c>
      <c r="I326" s="15" t="s">
        <v>40</v>
      </c>
    </row>
    <row r="327" spans="1:9" ht="51.75" customHeight="1" x14ac:dyDescent="0.35">
      <c r="A327" s="15">
        <v>6</v>
      </c>
      <c r="B327" s="15" t="s">
        <v>22641</v>
      </c>
      <c r="C327" s="15" t="s">
        <v>22642</v>
      </c>
      <c r="D327" s="31">
        <v>40952</v>
      </c>
      <c r="E327" s="15" t="s">
        <v>22643</v>
      </c>
      <c r="F327" s="87" t="s">
        <v>21871</v>
      </c>
      <c r="G327" s="45" t="s">
        <v>5631</v>
      </c>
      <c r="H327" s="55" t="s">
        <v>5632</v>
      </c>
      <c r="I327" s="15" t="s">
        <v>40</v>
      </c>
    </row>
    <row r="328" spans="1:9" ht="51.75" customHeight="1" x14ac:dyDescent="0.35">
      <c r="A328" s="15">
        <v>7</v>
      </c>
      <c r="B328" s="15" t="s">
        <v>22644</v>
      </c>
      <c r="C328" s="15" t="s">
        <v>22645</v>
      </c>
      <c r="D328" s="31">
        <v>40952</v>
      </c>
      <c r="E328" s="15" t="s">
        <v>22646</v>
      </c>
      <c r="F328" s="87" t="s">
        <v>21871</v>
      </c>
      <c r="G328" s="45" t="s">
        <v>5631</v>
      </c>
      <c r="H328" s="55" t="s">
        <v>5632</v>
      </c>
      <c r="I328" s="15" t="s">
        <v>40</v>
      </c>
    </row>
    <row r="329" spans="1:9" ht="51.75" customHeight="1" x14ac:dyDescent="0.35">
      <c r="A329" s="15">
        <v>8</v>
      </c>
      <c r="B329" s="15" t="s">
        <v>22647</v>
      </c>
      <c r="C329" s="15" t="s">
        <v>22648</v>
      </c>
      <c r="D329" s="31">
        <v>40952</v>
      </c>
      <c r="E329" s="15" t="s">
        <v>22649</v>
      </c>
      <c r="F329" s="87" t="s">
        <v>21871</v>
      </c>
      <c r="G329" s="45" t="s">
        <v>5631</v>
      </c>
      <c r="H329" s="55" t="s">
        <v>5632</v>
      </c>
      <c r="I329" s="15" t="s">
        <v>40</v>
      </c>
    </row>
    <row r="330" spans="1:9" ht="51.75" customHeight="1" x14ac:dyDescent="0.35">
      <c r="A330" s="15">
        <v>9</v>
      </c>
      <c r="B330" s="15" t="s">
        <v>22650</v>
      </c>
      <c r="C330" s="15" t="s">
        <v>22651</v>
      </c>
      <c r="D330" s="31">
        <v>40952</v>
      </c>
      <c r="E330" s="15" t="s">
        <v>22652</v>
      </c>
      <c r="F330" s="87" t="s">
        <v>21871</v>
      </c>
      <c r="G330" s="45" t="s">
        <v>5631</v>
      </c>
      <c r="H330" s="55" t="s">
        <v>5632</v>
      </c>
      <c r="I330" s="15" t="s">
        <v>40</v>
      </c>
    </row>
    <row r="331" spans="1:9" ht="51.75" customHeight="1" x14ac:dyDescent="0.35">
      <c r="A331" s="15">
        <v>10</v>
      </c>
      <c r="B331" s="15" t="s">
        <v>22653</v>
      </c>
      <c r="C331" s="15" t="s">
        <v>22654</v>
      </c>
      <c r="D331" s="31">
        <v>40952</v>
      </c>
      <c r="E331" s="15" t="s">
        <v>22655</v>
      </c>
      <c r="F331" s="87" t="s">
        <v>21871</v>
      </c>
      <c r="G331" s="45" t="s">
        <v>5631</v>
      </c>
      <c r="H331" s="55" t="s">
        <v>5632</v>
      </c>
      <c r="I331" s="15" t="s">
        <v>40</v>
      </c>
    </row>
    <row r="332" spans="1:9" ht="51.75" customHeight="1" x14ac:dyDescent="0.35">
      <c r="A332" s="15" t="s">
        <v>22656</v>
      </c>
      <c r="B332" s="15" t="s">
        <v>22657</v>
      </c>
      <c r="C332" s="15" t="s">
        <v>22658</v>
      </c>
      <c r="D332" s="31">
        <v>40952</v>
      </c>
      <c r="E332" s="15" t="s">
        <v>22659</v>
      </c>
      <c r="F332" s="87" t="s">
        <v>21871</v>
      </c>
      <c r="G332" s="45" t="s">
        <v>5631</v>
      </c>
      <c r="H332" s="55" t="s">
        <v>5632</v>
      </c>
      <c r="I332" s="15" t="s">
        <v>40</v>
      </c>
    </row>
    <row r="333" spans="1:9" ht="51.75" customHeight="1" x14ac:dyDescent="0.35">
      <c r="A333" s="15" t="s">
        <v>22660</v>
      </c>
      <c r="B333" s="15" t="s">
        <v>22661</v>
      </c>
      <c r="C333" s="15" t="s">
        <v>22662</v>
      </c>
      <c r="D333" s="31">
        <v>40952</v>
      </c>
      <c r="E333" s="15" t="s">
        <v>22663</v>
      </c>
      <c r="F333" s="87" t="s">
        <v>21871</v>
      </c>
      <c r="G333" s="45" t="s">
        <v>5631</v>
      </c>
      <c r="H333" s="55" t="s">
        <v>5632</v>
      </c>
      <c r="I333" s="15" t="s">
        <v>40</v>
      </c>
    </row>
    <row r="334" spans="1:9" ht="51.75" customHeight="1" x14ac:dyDescent="0.35">
      <c r="A334" s="15">
        <v>1</v>
      </c>
      <c r="B334" s="15" t="s">
        <v>22664</v>
      </c>
      <c r="C334" s="15" t="s">
        <v>22665</v>
      </c>
      <c r="D334" s="31">
        <v>40947</v>
      </c>
      <c r="E334" s="15" t="s">
        <v>22666</v>
      </c>
      <c r="F334" s="87" t="s">
        <v>21871</v>
      </c>
      <c r="G334" s="45" t="s">
        <v>5788</v>
      </c>
      <c r="H334" s="55" t="s">
        <v>5789</v>
      </c>
      <c r="I334" s="15" t="s">
        <v>40</v>
      </c>
    </row>
    <row r="335" spans="1:9" ht="51.75" customHeight="1" x14ac:dyDescent="0.35">
      <c r="A335" s="15">
        <v>2</v>
      </c>
      <c r="B335" s="15" t="s">
        <v>22667</v>
      </c>
      <c r="C335" s="15" t="s">
        <v>22668</v>
      </c>
      <c r="D335" s="31">
        <v>40947</v>
      </c>
      <c r="E335" s="15" t="s">
        <v>22669</v>
      </c>
      <c r="F335" s="87" t="s">
        <v>21871</v>
      </c>
      <c r="G335" s="45" t="s">
        <v>5788</v>
      </c>
      <c r="H335" s="55" t="s">
        <v>5789</v>
      </c>
      <c r="I335" s="15" t="s">
        <v>40</v>
      </c>
    </row>
    <row r="336" spans="1:9" ht="51.75" customHeight="1" x14ac:dyDescent="0.35">
      <c r="A336" s="15">
        <v>1</v>
      </c>
      <c r="B336" s="15" t="s">
        <v>22670</v>
      </c>
      <c r="C336" s="15" t="s">
        <v>22671</v>
      </c>
      <c r="D336" s="31">
        <v>40959</v>
      </c>
      <c r="E336" s="15" t="s">
        <v>22672</v>
      </c>
      <c r="F336" s="87" t="s">
        <v>21871</v>
      </c>
      <c r="G336" s="45" t="s">
        <v>5776</v>
      </c>
      <c r="H336" s="55" t="s">
        <v>5777</v>
      </c>
      <c r="I336" s="15" t="s">
        <v>40</v>
      </c>
    </row>
    <row r="337" spans="1:9" ht="51.75" customHeight="1" x14ac:dyDescent="0.35">
      <c r="A337" s="15">
        <v>2</v>
      </c>
      <c r="B337" s="15" t="s">
        <v>22673</v>
      </c>
      <c r="C337" s="15" t="s">
        <v>22674</v>
      </c>
      <c r="D337" s="31">
        <v>40959</v>
      </c>
      <c r="E337" s="15" t="s">
        <v>22675</v>
      </c>
      <c r="F337" s="87" t="s">
        <v>21871</v>
      </c>
      <c r="G337" s="45" t="s">
        <v>5776</v>
      </c>
      <c r="H337" s="55" t="s">
        <v>5777</v>
      </c>
      <c r="I337" s="15" t="s">
        <v>40</v>
      </c>
    </row>
    <row r="338" spans="1:9" ht="51.75" customHeight="1" x14ac:dyDescent="0.35">
      <c r="A338" s="15">
        <v>3</v>
      </c>
      <c r="B338" s="15" t="s">
        <v>22676</v>
      </c>
      <c r="C338" s="15" t="s">
        <v>22677</v>
      </c>
      <c r="D338" s="31">
        <v>40959</v>
      </c>
      <c r="E338" s="15" t="s">
        <v>22678</v>
      </c>
      <c r="F338" s="87" t="s">
        <v>21871</v>
      </c>
      <c r="G338" s="45" t="s">
        <v>5776</v>
      </c>
      <c r="H338" s="55" t="s">
        <v>5777</v>
      </c>
      <c r="I338" s="15" t="s">
        <v>40</v>
      </c>
    </row>
    <row r="339" spans="1:9" ht="51.75" customHeight="1" x14ac:dyDescent="0.35">
      <c r="A339" s="15">
        <v>4</v>
      </c>
      <c r="B339" s="15" t="s">
        <v>22679</v>
      </c>
      <c r="C339" s="15" t="s">
        <v>22680</v>
      </c>
      <c r="D339" s="31">
        <v>40959</v>
      </c>
      <c r="E339" s="15" t="s">
        <v>22681</v>
      </c>
      <c r="F339" s="87" t="s">
        <v>21871</v>
      </c>
      <c r="G339" s="45" t="s">
        <v>5776</v>
      </c>
      <c r="H339" s="55" t="s">
        <v>5777</v>
      </c>
      <c r="I339" s="15" t="s">
        <v>40</v>
      </c>
    </row>
    <row r="340" spans="1:9" ht="51.75" customHeight="1" x14ac:dyDescent="0.35">
      <c r="A340" s="15">
        <v>5</v>
      </c>
      <c r="B340" s="15" t="s">
        <v>22682</v>
      </c>
      <c r="C340" s="15" t="s">
        <v>22683</v>
      </c>
      <c r="D340" s="31">
        <v>40959</v>
      </c>
      <c r="E340" s="15" t="s">
        <v>22684</v>
      </c>
      <c r="F340" s="87" t="s">
        <v>21871</v>
      </c>
      <c r="G340" s="45" t="s">
        <v>5776</v>
      </c>
      <c r="H340" s="55" t="s">
        <v>5777</v>
      </c>
      <c r="I340" s="15" t="s">
        <v>40</v>
      </c>
    </row>
    <row r="341" spans="1:9" ht="51.75" customHeight="1" x14ac:dyDescent="0.35">
      <c r="A341" s="15">
        <v>1</v>
      </c>
      <c r="B341" s="15" t="s">
        <v>22685</v>
      </c>
      <c r="C341" s="15" t="s">
        <v>22686</v>
      </c>
      <c r="D341" s="31">
        <v>39409</v>
      </c>
      <c r="E341" s="15" t="s">
        <v>22687</v>
      </c>
      <c r="F341" s="87" t="s">
        <v>21871</v>
      </c>
      <c r="G341" s="45" t="s">
        <v>1620</v>
      </c>
      <c r="H341" s="55" t="s">
        <v>1621</v>
      </c>
      <c r="I341" s="15" t="s">
        <v>40</v>
      </c>
    </row>
    <row r="342" spans="1:9" ht="51.75" customHeight="1" x14ac:dyDescent="0.35">
      <c r="A342" s="15">
        <v>2</v>
      </c>
      <c r="B342" s="15" t="s">
        <v>22688</v>
      </c>
      <c r="C342" s="15" t="s">
        <v>22689</v>
      </c>
      <c r="D342" s="31">
        <v>39409</v>
      </c>
      <c r="E342" s="15" t="s">
        <v>22690</v>
      </c>
      <c r="F342" s="87" t="s">
        <v>21871</v>
      </c>
      <c r="G342" s="45" t="s">
        <v>1620</v>
      </c>
      <c r="H342" s="55" t="s">
        <v>1621</v>
      </c>
      <c r="I342" s="15" t="s">
        <v>40</v>
      </c>
    </row>
    <row r="343" spans="1:9" ht="51.75" customHeight="1" x14ac:dyDescent="0.35">
      <c r="A343" s="15">
        <v>3</v>
      </c>
      <c r="B343" s="15" t="s">
        <v>22691</v>
      </c>
      <c r="C343" s="15" t="s">
        <v>22692</v>
      </c>
      <c r="D343" s="31">
        <v>39409</v>
      </c>
      <c r="E343" s="15" t="s">
        <v>22693</v>
      </c>
      <c r="F343" s="87" t="s">
        <v>21871</v>
      </c>
      <c r="G343" s="45" t="s">
        <v>1620</v>
      </c>
      <c r="H343" s="55" t="s">
        <v>1621</v>
      </c>
      <c r="I343" s="15" t="s">
        <v>40</v>
      </c>
    </row>
    <row r="344" spans="1:9" ht="51.75" customHeight="1" x14ac:dyDescent="0.35">
      <c r="A344" s="15">
        <v>1</v>
      </c>
      <c r="B344" s="15" t="s">
        <v>22694</v>
      </c>
      <c r="C344" s="15" t="s">
        <v>22695</v>
      </c>
      <c r="D344" s="31">
        <v>40938</v>
      </c>
      <c r="E344" s="15" t="s">
        <v>22696</v>
      </c>
      <c r="F344" s="87" t="s">
        <v>21871</v>
      </c>
      <c r="G344" s="45" t="s">
        <v>5717</v>
      </c>
      <c r="H344" s="55" t="s">
        <v>5718</v>
      </c>
      <c r="I344" s="15" t="s">
        <v>40</v>
      </c>
    </row>
    <row r="345" spans="1:9" ht="51.75" customHeight="1" x14ac:dyDescent="0.35">
      <c r="A345" s="15">
        <v>2</v>
      </c>
      <c r="B345" s="15" t="s">
        <v>22697</v>
      </c>
      <c r="C345" s="15" t="s">
        <v>22698</v>
      </c>
      <c r="D345" s="31">
        <v>40938</v>
      </c>
      <c r="E345" s="15" t="s">
        <v>22699</v>
      </c>
      <c r="F345" s="87" t="s">
        <v>21871</v>
      </c>
      <c r="G345" s="45" t="s">
        <v>5717</v>
      </c>
      <c r="H345" s="55" t="s">
        <v>5718</v>
      </c>
      <c r="I345" s="15" t="s">
        <v>40</v>
      </c>
    </row>
    <row r="346" spans="1:9" ht="51.75" customHeight="1" x14ac:dyDescent="0.35">
      <c r="A346" s="15">
        <v>3</v>
      </c>
      <c r="B346" s="15" t="s">
        <v>22700</v>
      </c>
      <c r="C346" s="15" t="s">
        <v>22701</v>
      </c>
      <c r="D346" s="31">
        <v>40938</v>
      </c>
      <c r="E346" s="15" t="s">
        <v>22702</v>
      </c>
      <c r="F346" s="87" t="s">
        <v>21871</v>
      </c>
      <c r="G346" s="45" t="s">
        <v>5717</v>
      </c>
      <c r="H346" s="55" t="s">
        <v>5718</v>
      </c>
      <c r="I346" s="15" t="s">
        <v>40</v>
      </c>
    </row>
    <row r="347" spans="1:9" ht="51.75" customHeight="1" x14ac:dyDescent="0.35">
      <c r="A347" s="15" t="s">
        <v>22703</v>
      </c>
      <c r="B347" s="15" t="s">
        <v>22704</v>
      </c>
      <c r="C347" s="15" t="s">
        <v>22705</v>
      </c>
      <c r="D347" s="31">
        <v>41515</v>
      </c>
      <c r="E347" s="15" t="s">
        <v>22706</v>
      </c>
      <c r="F347" s="87" t="s">
        <v>21871</v>
      </c>
      <c r="G347" s="45" t="s">
        <v>8064</v>
      </c>
      <c r="H347" s="55" t="s">
        <v>8065</v>
      </c>
      <c r="I347" s="15" t="s">
        <v>40</v>
      </c>
    </row>
    <row r="348" spans="1:9" ht="51.75" customHeight="1" x14ac:dyDescent="0.35">
      <c r="A348" s="15" t="s">
        <v>22707</v>
      </c>
      <c r="B348" s="15" t="s">
        <v>22708</v>
      </c>
      <c r="C348" s="15" t="s">
        <v>22709</v>
      </c>
      <c r="D348" s="31">
        <v>41515</v>
      </c>
      <c r="E348" s="15" t="s">
        <v>22710</v>
      </c>
      <c r="F348" s="87" t="s">
        <v>21871</v>
      </c>
      <c r="G348" s="45" t="s">
        <v>8064</v>
      </c>
      <c r="H348" s="55" t="s">
        <v>8065</v>
      </c>
      <c r="I348" s="15" t="s">
        <v>40</v>
      </c>
    </row>
    <row r="349" spans="1:9" ht="51.75" customHeight="1" x14ac:dyDescent="0.35">
      <c r="A349" s="15" t="s">
        <v>22711</v>
      </c>
      <c r="B349" s="15" t="s">
        <v>22712</v>
      </c>
      <c r="C349" s="15" t="s">
        <v>22713</v>
      </c>
      <c r="D349" s="31">
        <v>41515</v>
      </c>
      <c r="E349" s="15" t="s">
        <v>22714</v>
      </c>
      <c r="F349" s="87" t="s">
        <v>21871</v>
      </c>
      <c r="G349" s="45" t="s">
        <v>8064</v>
      </c>
      <c r="H349" s="55" t="s">
        <v>8065</v>
      </c>
      <c r="I349" s="15" t="s">
        <v>40</v>
      </c>
    </row>
    <row r="350" spans="1:9" ht="51.75" customHeight="1" x14ac:dyDescent="0.35">
      <c r="A350" s="15" t="s">
        <v>22715</v>
      </c>
      <c r="B350" s="15" t="s">
        <v>22716</v>
      </c>
      <c r="C350" s="15" t="s">
        <v>22717</v>
      </c>
      <c r="D350" s="31">
        <v>41515</v>
      </c>
      <c r="E350" s="15" t="s">
        <v>22718</v>
      </c>
      <c r="F350" s="87" t="s">
        <v>21871</v>
      </c>
      <c r="G350" s="45" t="s">
        <v>8064</v>
      </c>
      <c r="H350" s="55" t="s">
        <v>8065</v>
      </c>
      <c r="I350" s="15" t="s">
        <v>40</v>
      </c>
    </row>
    <row r="351" spans="1:9" ht="51.75" customHeight="1" x14ac:dyDescent="0.35">
      <c r="A351" s="15" t="s">
        <v>22719</v>
      </c>
      <c r="B351" s="15" t="s">
        <v>22720</v>
      </c>
      <c r="C351" s="15" t="s">
        <v>22721</v>
      </c>
      <c r="D351" s="31">
        <v>41690</v>
      </c>
      <c r="E351" s="15" t="s">
        <v>22722</v>
      </c>
      <c r="F351" s="87" t="s">
        <v>21871</v>
      </c>
      <c r="G351" s="45" t="s">
        <v>8598</v>
      </c>
      <c r="H351" s="55" t="s">
        <v>8599</v>
      </c>
      <c r="I351" s="15" t="s">
        <v>40</v>
      </c>
    </row>
    <row r="352" spans="1:9" ht="51.75" customHeight="1" x14ac:dyDescent="0.35">
      <c r="A352" s="15" t="s">
        <v>22723</v>
      </c>
      <c r="B352" s="15" t="s">
        <v>22724</v>
      </c>
      <c r="C352" s="15" t="s">
        <v>22725</v>
      </c>
      <c r="D352" s="31">
        <v>41690</v>
      </c>
      <c r="E352" s="15" t="s">
        <v>22726</v>
      </c>
      <c r="F352" s="87" t="s">
        <v>21871</v>
      </c>
      <c r="G352" s="45" t="s">
        <v>8598</v>
      </c>
      <c r="H352" s="55" t="s">
        <v>8599</v>
      </c>
      <c r="I352" s="15" t="s">
        <v>40</v>
      </c>
    </row>
    <row r="353" spans="1:9" ht="51.75" customHeight="1" x14ac:dyDescent="0.35">
      <c r="A353" s="15" t="s">
        <v>22727</v>
      </c>
      <c r="B353" s="15" t="s">
        <v>22728</v>
      </c>
      <c r="C353" s="15" t="s">
        <v>22729</v>
      </c>
      <c r="D353" s="31">
        <v>41690</v>
      </c>
      <c r="E353" s="15" t="s">
        <v>22730</v>
      </c>
      <c r="F353" s="87" t="s">
        <v>21871</v>
      </c>
      <c r="G353" s="45" t="s">
        <v>8598</v>
      </c>
      <c r="H353" s="55" t="s">
        <v>8599</v>
      </c>
      <c r="I353" s="15" t="s">
        <v>40</v>
      </c>
    </row>
    <row r="354" spans="1:9" ht="51.75" customHeight="1" x14ac:dyDescent="0.35">
      <c r="A354" s="15" t="s">
        <v>21890</v>
      </c>
      <c r="B354" s="15" t="s">
        <v>22731</v>
      </c>
      <c r="C354" s="15" t="s">
        <v>22732</v>
      </c>
      <c r="D354" s="31">
        <v>41690</v>
      </c>
      <c r="E354" s="15" t="s">
        <v>22733</v>
      </c>
      <c r="F354" s="87" t="s">
        <v>21871</v>
      </c>
      <c r="G354" s="45" t="s">
        <v>8598</v>
      </c>
      <c r="H354" s="55" t="s">
        <v>8599</v>
      </c>
      <c r="I354" s="15" t="s">
        <v>40</v>
      </c>
    </row>
    <row r="355" spans="1:9" ht="51.75" customHeight="1" x14ac:dyDescent="0.35">
      <c r="A355" s="15" t="s">
        <v>22734</v>
      </c>
      <c r="B355" s="15" t="s">
        <v>22735</v>
      </c>
      <c r="C355" s="15" t="s">
        <v>22736</v>
      </c>
      <c r="D355" s="31">
        <v>41954</v>
      </c>
      <c r="E355" s="15" t="s">
        <v>22737</v>
      </c>
      <c r="F355" s="87" t="s">
        <v>21871</v>
      </c>
      <c r="G355" s="45" t="s">
        <v>9346</v>
      </c>
      <c r="H355" s="55" t="s">
        <v>9347</v>
      </c>
      <c r="I355" s="15" t="s">
        <v>40</v>
      </c>
    </row>
    <row r="356" spans="1:9" ht="51.75" customHeight="1" x14ac:dyDescent="0.35">
      <c r="A356" s="15" t="s">
        <v>22738</v>
      </c>
      <c r="B356" s="15" t="s">
        <v>22739</v>
      </c>
      <c r="C356" s="15" t="s">
        <v>22740</v>
      </c>
      <c r="D356" s="31">
        <v>41954</v>
      </c>
      <c r="E356" s="15" t="s">
        <v>22741</v>
      </c>
      <c r="F356" s="87" t="s">
        <v>21871</v>
      </c>
      <c r="G356" s="45" t="s">
        <v>9346</v>
      </c>
      <c r="H356" s="55" t="s">
        <v>9347</v>
      </c>
      <c r="I356" s="15" t="s">
        <v>40</v>
      </c>
    </row>
    <row r="357" spans="1:9" ht="51.75" customHeight="1" x14ac:dyDescent="0.35">
      <c r="A357" s="15" t="s">
        <v>22742</v>
      </c>
      <c r="B357" s="15" t="s">
        <v>22743</v>
      </c>
      <c r="C357" s="15" t="s">
        <v>22744</v>
      </c>
      <c r="D357" s="31">
        <v>41954</v>
      </c>
      <c r="E357" s="15" t="s">
        <v>22745</v>
      </c>
      <c r="F357" s="87" t="s">
        <v>21871</v>
      </c>
      <c r="G357" s="45" t="s">
        <v>9346</v>
      </c>
      <c r="H357" s="55" t="s">
        <v>9347</v>
      </c>
      <c r="I357" s="15" t="s">
        <v>40</v>
      </c>
    </row>
    <row r="358" spans="1:9" ht="51.75" customHeight="1" x14ac:dyDescent="0.35">
      <c r="A358" s="15" t="s">
        <v>22746</v>
      </c>
      <c r="B358" s="15" t="s">
        <v>22747</v>
      </c>
      <c r="C358" s="15" t="s">
        <v>22748</v>
      </c>
      <c r="D358" s="31">
        <v>41954</v>
      </c>
      <c r="E358" s="15" t="s">
        <v>22749</v>
      </c>
      <c r="F358" s="87" t="s">
        <v>21871</v>
      </c>
      <c r="G358" s="45" t="s">
        <v>9346</v>
      </c>
      <c r="H358" s="55" t="s">
        <v>9347</v>
      </c>
      <c r="I358" s="15" t="s">
        <v>40</v>
      </c>
    </row>
    <row r="359" spans="1:9" ht="51.75" customHeight="1" x14ac:dyDescent="0.35">
      <c r="A359" s="15" t="s">
        <v>22750</v>
      </c>
      <c r="B359" s="15" t="s">
        <v>22751</v>
      </c>
      <c r="C359" s="15" t="s">
        <v>22752</v>
      </c>
      <c r="D359" s="31">
        <v>41954</v>
      </c>
      <c r="E359" s="15" t="s">
        <v>22753</v>
      </c>
      <c r="F359" s="87" t="s">
        <v>21871</v>
      </c>
      <c r="G359" s="45" t="s">
        <v>9346</v>
      </c>
      <c r="H359" s="55" t="s">
        <v>9347</v>
      </c>
      <c r="I359" s="15" t="s">
        <v>40</v>
      </c>
    </row>
    <row r="360" spans="1:9" ht="51.75" customHeight="1" x14ac:dyDescent="0.35">
      <c r="A360" s="15" t="s">
        <v>22754</v>
      </c>
      <c r="B360" s="15" t="s">
        <v>22755</v>
      </c>
      <c r="C360" s="15" t="s">
        <v>22756</v>
      </c>
      <c r="D360" s="31">
        <v>41954</v>
      </c>
      <c r="E360" s="15" t="s">
        <v>22757</v>
      </c>
      <c r="F360" s="87" t="s">
        <v>21871</v>
      </c>
      <c r="G360" s="45" t="s">
        <v>9346</v>
      </c>
      <c r="H360" s="55" t="s">
        <v>9347</v>
      </c>
      <c r="I360" s="15" t="s">
        <v>40</v>
      </c>
    </row>
    <row r="361" spans="1:9" ht="51.75" customHeight="1" x14ac:dyDescent="0.35">
      <c r="A361" s="15" t="s">
        <v>22758</v>
      </c>
      <c r="B361" s="15" t="s">
        <v>22759</v>
      </c>
      <c r="C361" s="15" t="s">
        <v>22760</v>
      </c>
      <c r="D361" s="31">
        <v>42559</v>
      </c>
      <c r="E361" s="15" t="s">
        <v>22761</v>
      </c>
      <c r="F361" s="87" t="s">
        <v>21871</v>
      </c>
      <c r="G361" s="45" t="s">
        <v>10757</v>
      </c>
      <c r="H361" s="55" t="s">
        <v>10758</v>
      </c>
      <c r="I361" s="15" t="s">
        <v>40</v>
      </c>
    </row>
    <row r="362" spans="1:9" ht="51.75" customHeight="1" x14ac:dyDescent="0.35">
      <c r="A362" s="15" t="s">
        <v>22762</v>
      </c>
      <c r="B362" s="15" t="s">
        <v>22763</v>
      </c>
      <c r="C362" s="15" t="s">
        <v>22764</v>
      </c>
      <c r="D362" s="31">
        <v>42559</v>
      </c>
      <c r="E362" s="15" t="s">
        <v>22765</v>
      </c>
      <c r="F362" s="87" t="s">
        <v>21871</v>
      </c>
      <c r="G362" s="45" t="s">
        <v>10757</v>
      </c>
      <c r="H362" s="55" t="s">
        <v>10758</v>
      </c>
      <c r="I362" s="15" t="s">
        <v>40</v>
      </c>
    </row>
    <row r="363" spans="1:9" ht="51.75" customHeight="1" x14ac:dyDescent="0.35">
      <c r="A363" s="15" t="s">
        <v>22766</v>
      </c>
      <c r="B363" s="15" t="s">
        <v>22767</v>
      </c>
      <c r="C363" s="15" t="s">
        <v>22768</v>
      </c>
      <c r="D363" s="31">
        <v>42559</v>
      </c>
      <c r="E363" s="15" t="s">
        <v>22769</v>
      </c>
      <c r="F363" s="87" t="s">
        <v>21871</v>
      </c>
      <c r="G363" s="45" t="s">
        <v>10757</v>
      </c>
      <c r="H363" s="55" t="s">
        <v>10758</v>
      </c>
      <c r="I363" s="15" t="s">
        <v>40</v>
      </c>
    </row>
    <row r="364" spans="1:9" ht="51.75" customHeight="1" x14ac:dyDescent="0.35">
      <c r="A364" s="15" t="s">
        <v>22770</v>
      </c>
      <c r="B364" s="15" t="s">
        <v>22771</v>
      </c>
      <c r="C364" s="15" t="s">
        <v>22772</v>
      </c>
      <c r="D364" s="31">
        <v>42559</v>
      </c>
      <c r="E364" s="15" t="s">
        <v>22773</v>
      </c>
      <c r="F364" s="87" t="s">
        <v>21871</v>
      </c>
      <c r="G364" s="45" t="s">
        <v>10757</v>
      </c>
      <c r="H364" s="55" t="s">
        <v>10758</v>
      </c>
      <c r="I364" s="15" t="s">
        <v>40</v>
      </c>
    </row>
    <row r="365" spans="1:9" ht="51.75" customHeight="1" x14ac:dyDescent="0.35">
      <c r="A365" s="15" t="s">
        <v>22774</v>
      </c>
      <c r="B365" s="15" t="s">
        <v>22775</v>
      </c>
      <c r="C365" s="15" t="s">
        <v>22776</v>
      </c>
      <c r="D365" s="31">
        <v>42559</v>
      </c>
      <c r="E365" s="15" t="s">
        <v>22777</v>
      </c>
      <c r="F365" s="87" t="s">
        <v>21871</v>
      </c>
      <c r="G365" s="45" t="s">
        <v>10757</v>
      </c>
      <c r="H365" s="55" t="s">
        <v>10758</v>
      </c>
      <c r="I365" s="15" t="s">
        <v>40</v>
      </c>
    </row>
    <row r="366" spans="1:9" ht="51.75" customHeight="1" x14ac:dyDescent="0.35">
      <c r="A366" s="15" t="s">
        <v>22778</v>
      </c>
      <c r="B366" s="15" t="s">
        <v>22779</v>
      </c>
      <c r="C366" s="15" t="s">
        <v>22780</v>
      </c>
      <c r="D366" s="31">
        <v>42235</v>
      </c>
      <c r="E366" s="15" t="s">
        <v>22781</v>
      </c>
      <c r="F366" s="87" t="s">
        <v>21871</v>
      </c>
      <c r="G366" s="45" t="s">
        <v>10844</v>
      </c>
      <c r="H366" s="55" t="s">
        <v>10845</v>
      </c>
      <c r="I366" s="15" t="s">
        <v>40</v>
      </c>
    </row>
    <row r="367" spans="1:9" ht="51.75" customHeight="1" x14ac:dyDescent="0.35">
      <c r="A367" s="15" t="s">
        <v>22782</v>
      </c>
      <c r="B367" s="15" t="s">
        <v>22783</v>
      </c>
      <c r="C367" s="15" t="s">
        <v>22784</v>
      </c>
      <c r="D367" s="31">
        <v>42235</v>
      </c>
      <c r="E367" s="15" t="s">
        <v>22785</v>
      </c>
      <c r="F367" s="87" t="s">
        <v>21871</v>
      </c>
      <c r="G367" s="45" t="s">
        <v>10844</v>
      </c>
      <c r="H367" s="55" t="s">
        <v>10845</v>
      </c>
      <c r="I367" s="15" t="s">
        <v>40</v>
      </c>
    </row>
    <row r="368" spans="1:9" ht="51.75" customHeight="1" x14ac:dyDescent="0.35">
      <c r="A368" s="15" t="s">
        <v>22786</v>
      </c>
      <c r="B368" s="15" t="s">
        <v>22787</v>
      </c>
      <c r="C368" s="15" t="s">
        <v>22788</v>
      </c>
      <c r="D368" s="31">
        <v>42235</v>
      </c>
      <c r="E368" s="15" t="s">
        <v>22789</v>
      </c>
      <c r="F368" s="87" t="s">
        <v>21871</v>
      </c>
      <c r="G368" s="45" t="s">
        <v>10844</v>
      </c>
      <c r="H368" s="55" t="s">
        <v>10845</v>
      </c>
      <c r="I368" s="15" t="s">
        <v>40</v>
      </c>
    </row>
    <row r="369" spans="1:9" ht="51.75" customHeight="1" x14ac:dyDescent="0.35">
      <c r="A369" s="15" t="s">
        <v>22790</v>
      </c>
      <c r="B369" s="15" t="s">
        <v>22791</v>
      </c>
      <c r="C369" s="15" t="s">
        <v>22792</v>
      </c>
      <c r="D369" s="31">
        <v>42293</v>
      </c>
      <c r="E369" s="15" t="s">
        <v>22793</v>
      </c>
      <c r="F369" s="87" t="s">
        <v>21871</v>
      </c>
      <c r="G369" s="45" t="s">
        <v>10981</v>
      </c>
      <c r="H369" s="55" t="s">
        <v>10982</v>
      </c>
      <c r="I369" s="15" t="s">
        <v>40</v>
      </c>
    </row>
    <row r="370" spans="1:9" ht="51.75" customHeight="1" x14ac:dyDescent="0.35">
      <c r="A370" s="15" t="s">
        <v>22235</v>
      </c>
      <c r="B370" s="15" t="s">
        <v>22794</v>
      </c>
      <c r="C370" s="15" t="s">
        <v>22795</v>
      </c>
      <c r="D370" s="31">
        <v>42293</v>
      </c>
      <c r="E370" s="15" t="s">
        <v>22796</v>
      </c>
      <c r="F370" s="87" t="s">
        <v>21871</v>
      </c>
      <c r="G370" s="45" t="s">
        <v>10981</v>
      </c>
      <c r="H370" s="55" t="s">
        <v>10982</v>
      </c>
      <c r="I370" s="15" t="s">
        <v>40</v>
      </c>
    </row>
    <row r="371" spans="1:9" ht="51.75" customHeight="1" x14ac:dyDescent="0.35">
      <c r="A371" s="15" t="s">
        <v>22797</v>
      </c>
      <c r="B371" s="15" t="s">
        <v>22798</v>
      </c>
      <c r="C371" s="15" t="s">
        <v>22799</v>
      </c>
      <c r="D371" s="31">
        <v>42293</v>
      </c>
      <c r="E371" s="15" t="s">
        <v>22800</v>
      </c>
      <c r="F371" s="87" t="s">
        <v>21871</v>
      </c>
      <c r="G371" s="45" t="s">
        <v>10981</v>
      </c>
      <c r="H371" s="55" t="s">
        <v>10982</v>
      </c>
      <c r="I371" s="15" t="s">
        <v>40</v>
      </c>
    </row>
    <row r="372" spans="1:9" ht="51.75" customHeight="1" x14ac:dyDescent="0.35">
      <c r="A372" s="15" t="s">
        <v>22801</v>
      </c>
      <c r="B372" s="15" t="s">
        <v>22802</v>
      </c>
      <c r="C372" s="15" t="s">
        <v>22803</v>
      </c>
      <c r="D372" s="31">
        <v>42226</v>
      </c>
      <c r="E372" s="15" t="s">
        <v>22804</v>
      </c>
      <c r="F372" s="87" t="s">
        <v>21871</v>
      </c>
      <c r="G372" s="45" t="s">
        <v>10998</v>
      </c>
      <c r="H372" s="55" t="s">
        <v>10999</v>
      </c>
      <c r="I372" s="15" t="s">
        <v>40</v>
      </c>
    </row>
    <row r="373" spans="1:9" ht="51.75" customHeight="1" x14ac:dyDescent="0.35">
      <c r="A373" s="15" t="s">
        <v>22805</v>
      </c>
      <c r="B373" s="15" t="s">
        <v>22806</v>
      </c>
      <c r="C373" s="15" t="s">
        <v>22807</v>
      </c>
      <c r="D373" s="31">
        <v>42226</v>
      </c>
      <c r="E373" s="15" t="s">
        <v>22808</v>
      </c>
      <c r="F373" s="87" t="s">
        <v>21871</v>
      </c>
      <c r="G373" s="45" t="s">
        <v>10998</v>
      </c>
      <c r="H373" s="55" t="s">
        <v>10999</v>
      </c>
      <c r="I373" s="15" t="s">
        <v>40</v>
      </c>
    </row>
    <row r="374" spans="1:9" ht="51.75" customHeight="1" x14ac:dyDescent="0.35">
      <c r="A374" s="15" t="s">
        <v>22809</v>
      </c>
      <c r="B374" s="15" t="s">
        <v>22810</v>
      </c>
      <c r="C374" s="15" t="s">
        <v>22811</v>
      </c>
      <c r="D374" s="31">
        <v>42226</v>
      </c>
      <c r="E374" s="15" t="s">
        <v>22812</v>
      </c>
      <c r="F374" s="87" t="s">
        <v>21871</v>
      </c>
      <c r="G374" s="45" t="s">
        <v>10998</v>
      </c>
      <c r="H374" s="55" t="s">
        <v>10999</v>
      </c>
      <c r="I374" s="15" t="s">
        <v>40</v>
      </c>
    </row>
    <row r="375" spans="1:9" ht="51.75" customHeight="1" x14ac:dyDescent="0.35">
      <c r="A375" s="15" t="s">
        <v>22813</v>
      </c>
      <c r="B375" s="15" t="s">
        <v>22814</v>
      </c>
      <c r="C375" s="15" t="s">
        <v>22815</v>
      </c>
      <c r="D375" s="31">
        <v>42226</v>
      </c>
      <c r="E375" s="15" t="s">
        <v>22816</v>
      </c>
      <c r="F375" s="87" t="s">
        <v>21871</v>
      </c>
      <c r="G375" s="45" t="s">
        <v>10998</v>
      </c>
      <c r="H375" s="55" t="s">
        <v>10999</v>
      </c>
      <c r="I375" s="15" t="s">
        <v>40</v>
      </c>
    </row>
    <row r="376" spans="1:9" ht="51.75" customHeight="1" x14ac:dyDescent="0.35">
      <c r="A376" s="15" t="s">
        <v>22817</v>
      </c>
      <c r="B376" s="15" t="s">
        <v>22818</v>
      </c>
      <c r="C376" s="15" t="s">
        <v>22819</v>
      </c>
      <c r="D376" s="31">
        <v>42226</v>
      </c>
      <c r="E376" s="15" t="s">
        <v>22820</v>
      </c>
      <c r="F376" s="87" t="s">
        <v>21871</v>
      </c>
      <c r="G376" s="45" t="s">
        <v>10998</v>
      </c>
      <c r="H376" s="55" t="s">
        <v>10999</v>
      </c>
      <c r="I376" s="15" t="s">
        <v>40</v>
      </c>
    </row>
    <row r="377" spans="1:9" ht="51.75" customHeight="1" x14ac:dyDescent="0.35">
      <c r="A377" s="15" t="s">
        <v>22821</v>
      </c>
      <c r="B377" s="15" t="s">
        <v>22822</v>
      </c>
      <c r="C377" s="15" t="s">
        <v>22823</v>
      </c>
      <c r="D377" s="31">
        <v>42226</v>
      </c>
      <c r="E377" s="15" t="s">
        <v>22824</v>
      </c>
      <c r="F377" s="87" t="s">
        <v>21871</v>
      </c>
      <c r="G377" s="45" t="s">
        <v>10998</v>
      </c>
      <c r="H377" s="55" t="s">
        <v>10999</v>
      </c>
      <c r="I377" s="15" t="s">
        <v>40</v>
      </c>
    </row>
    <row r="378" spans="1:9" ht="51.75" customHeight="1" x14ac:dyDescent="0.35">
      <c r="A378" s="15" t="s">
        <v>22825</v>
      </c>
      <c r="B378" s="15" t="s">
        <v>22826</v>
      </c>
      <c r="C378" s="15" t="s">
        <v>22827</v>
      </c>
      <c r="D378" s="31">
        <v>42647</v>
      </c>
      <c r="E378" s="15" t="s">
        <v>22828</v>
      </c>
      <c r="F378" s="87" t="s">
        <v>21871</v>
      </c>
      <c r="G378" s="45" t="s">
        <v>12095</v>
      </c>
      <c r="H378" s="55" t="s">
        <v>12096</v>
      </c>
      <c r="I378" s="15" t="s">
        <v>40</v>
      </c>
    </row>
    <row r="379" spans="1:9" ht="51.75" customHeight="1" x14ac:dyDescent="0.35">
      <c r="A379" s="15" t="s">
        <v>22829</v>
      </c>
      <c r="B379" s="15" t="s">
        <v>22830</v>
      </c>
      <c r="C379" s="15" t="s">
        <v>22831</v>
      </c>
      <c r="D379" s="31">
        <v>42647</v>
      </c>
      <c r="E379" s="15" t="s">
        <v>22832</v>
      </c>
      <c r="F379" s="87" t="s">
        <v>21871</v>
      </c>
      <c r="G379" s="45" t="s">
        <v>12095</v>
      </c>
      <c r="H379" s="55" t="s">
        <v>12096</v>
      </c>
      <c r="I379" s="15" t="s">
        <v>40</v>
      </c>
    </row>
    <row r="380" spans="1:9" ht="51.75" customHeight="1" x14ac:dyDescent="0.35">
      <c r="A380" s="15" t="s">
        <v>21987</v>
      </c>
      <c r="B380" s="15" t="s">
        <v>22833</v>
      </c>
      <c r="C380" s="15" t="s">
        <v>22834</v>
      </c>
      <c r="D380" s="31">
        <v>42786</v>
      </c>
      <c r="E380" s="15" t="s">
        <v>22835</v>
      </c>
      <c r="F380" s="87" t="s">
        <v>21871</v>
      </c>
      <c r="G380" s="45" t="s">
        <v>12246</v>
      </c>
      <c r="H380" s="55" t="s">
        <v>12247</v>
      </c>
      <c r="I380" s="15" t="s">
        <v>40</v>
      </c>
    </row>
    <row r="381" spans="1:9" ht="51.75" customHeight="1" x14ac:dyDescent="0.35">
      <c r="A381" s="15" t="s">
        <v>21991</v>
      </c>
      <c r="B381" s="15" t="s">
        <v>22836</v>
      </c>
      <c r="C381" s="15" t="s">
        <v>22837</v>
      </c>
      <c r="D381" s="31">
        <v>42786</v>
      </c>
      <c r="E381" s="15" t="s">
        <v>22838</v>
      </c>
      <c r="F381" s="87" t="s">
        <v>21871</v>
      </c>
      <c r="G381" s="45" t="s">
        <v>12246</v>
      </c>
      <c r="H381" s="55" t="s">
        <v>12247</v>
      </c>
      <c r="I381" s="15" t="s">
        <v>40</v>
      </c>
    </row>
    <row r="382" spans="1:9" ht="51.75" customHeight="1" x14ac:dyDescent="0.35">
      <c r="A382" s="15" t="s">
        <v>21999</v>
      </c>
      <c r="B382" s="15" t="s">
        <v>22839</v>
      </c>
      <c r="C382" s="15" t="s">
        <v>22840</v>
      </c>
      <c r="D382" s="31">
        <v>42786</v>
      </c>
      <c r="E382" s="15" t="s">
        <v>22841</v>
      </c>
      <c r="F382" s="87" t="s">
        <v>21871</v>
      </c>
      <c r="G382" s="45" t="s">
        <v>12246</v>
      </c>
      <c r="H382" s="55" t="s">
        <v>12247</v>
      </c>
      <c r="I382" s="15" t="s">
        <v>40</v>
      </c>
    </row>
    <row r="383" spans="1:9" ht="51.75" customHeight="1" x14ac:dyDescent="0.35">
      <c r="A383" s="15" t="s">
        <v>22842</v>
      </c>
      <c r="B383" s="15" t="s">
        <v>22843</v>
      </c>
      <c r="C383" s="15" t="s">
        <v>22844</v>
      </c>
      <c r="D383" s="31">
        <v>42807</v>
      </c>
      <c r="E383" s="15" t="s">
        <v>22845</v>
      </c>
      <c r="F383" s="87" t="s">
        <v>21871</v>
      </c>
      <c r="G383" s="45" t="s">
        <v>12550</v>
      </c>
      <c r="H383" s="55" t="s">
        <v>12551</v>
      </c>
      <c r="I383" s="15" t="s">
        <v>40</v>
      </c>
    </row>
    <row r="384" spans="1:9" ht="51.75" customHeight="1" x14ac:dyDescent="0.35">
      <c r="A384" s="15" t="s">
        <v>22846</v>
      </c>
      <c r="B384" s="15" t="s">
        <v>22847</v>
      </c>
      <c r="C384" s="15" t="s">
        <v>22848</v>
      </c>
      <c r="D384" s="31">
        <v>42807</v>
      </c>
      <c r="E384" s="15" t="s">
        <v>22849</v>
      </c>
      <c r="F384" s="87" t="s">
        <v>21871</v>
      </c>
      <c r="G384" s="45" t="s">
        <v>12550</v>
      </c>
      <c r="H384" s="55" t="s">
        <v>12551</v>
      </c>
      <c r="I384" s="15" t="s">
        <v>40</v>
      </c>
    </row>
    <row r="385" spans="1:9" ht="51.75" customHeight="1" x14ac:dyDescent="0.35">
      <c r="A385" s="15" t="s">
        <v>22850</v>
      </c>
      <c r="B385" s="15" t="s">
        <v>22851</v>
      </c>
      <c r="C385" s="15" t="s">
        <v>22852</v>
      </c>
      <c r="D385" s="31">
        <v>42807</v>
      </c>
      <c r="E385" s="15" t="s">
        <v>22853</v>
      </c>
      <c r="F385" s="87" t="s">
        <v>21871</v>
      </c>
      <c r="G385" s="45" t="s">
        <v>12550</v>
      </c>
      <c r="H385" s="55" t="s">
        <v>12551</v>
      </c>
      <c r="I385" s="15" t="s">
        <v>40</v>
      </c>
    </row>
    <row r="386" spans="1:9" ht="51.75" customHeight="1" x14ac:dyDescent="0.35">
      <c r="A386" s="15" t="s">
        <v>22854</v>
      </c>
      <c r="B386" s="15" t="s">
        <v>22855</v>
      </c>
      <c r="C386" s="15" t="s">
        <v>22856</v>
      </c>
      <c r="D386" s="31">
        <v>42807</v>
      </c>
      <c r="E386" s="15" t="s">
        <v>22857</v>
      </c>
      <c r="F386" s="87" t="s">
        <v>21871</v>
      </c>
      <c r="G386" s="45" t="s">
        <v>12550</v>
      </c>
      <c r="H386" s="55" t="s">
        <v>12551</v>
      </c>
      <c r="I386" s="15" t="s">
        <v>40</v>
      </c>
    </row>
    <row r="387" spans="1:9" ht="51.75" customHeight="1" x14ac:dyDescent="0.35">
      <c r="A387" s="15" t="s">
        <v>22858</v>
      </c>
      <c r="B387" s="15" t="s">
        <v>22859</v>
      </c>
      <c r="C387" s="15" t="s">
        <v>22860</v>
      </c>
      <c r="D387" s="31">
        <v>42878</v>
      </c>
      <c r="E387" s="15" t="s">
        <v>22861</v>
      </c>
      <c r="F387" s="87" t="s">
        <v>21871</v>
      </c>
      <c r="G387" s="45" t="s">
        <v>12640</v>
      </c>
      <c r="H387" s="55" t="s">
        <v>12641</v>
      </c>
      <c r="I387" s="15" t="s">
        <v>40</v>
      </c>
    </row>
    <row r="388" spans="1:9" ht="51.75" customHeight="1" x14ac:dyDescent="0.35">
      <c r="A388" s="15" t="s">
        <v>22862</v>
      </c>
      <c r="B388" s="15" t="s">
        <v>22863</v>
      </c>
      <c r="C388" s="15" t="s">
        <v>22864</v>
      </c>
      <c r="D388" s="31">
        <v>42878</v>
      </c>
      <c r="E388" s="15" t="s">
        <v>22865</v>
      </c>
      <c r="F388" s="87" t="s">
        <v>21871</v>
      </c>
      <c r="G388" s="45" t="s">
        <v>12640</v>
      </c>
      <c r="H388" s="55" t="s">
        <v>12641</v>
      </c>
      <c r="I388" s="15" t="s">
        <v>40</v>
      </c>
    </row>
    <row r="389" spans="1:9" ht="51.75" customHeight="1" x14ac:dyDescent="0.35">
      <c r="A389" s="15" t="s">
        <v>22866</v>
      </c>
      <c r="B389" s="15" t="s">
        <v>22867</v>
      </c>
      <c r="C389" s="15" t="s">
        <v>22868</v>
      </c>
      <c r="D389" s="31">
        <v>42878</v>
      </c>
      <c r="E389" s="15" t="s">
        <v>22869</v>
      </c>
      <c r="F389" s="87" t="s">
        <v>21871</v>
      </c>
      <c r="G389" s="45" t="s">
        <v>12640</v>
      </c>
      <c r="H389" s="55" t="s">
        <v>12641</v>
      </c>
      <c r="I389" s="15" t="s">
        <v>40</v>
      </c>
    </row>
    <row r="390" spans="1:9" ht="51.75" customHeight="1" x14ac:dyDescent="0.35">
      <c r="A390" s="15" t="s">
        <v>22870</v>
      </c>
      <c r="B390" s="15" t="s">
        <v>22871</v>
      </c>
      <c r="C390" s="15" t="s">
        <v>22872</v>
      </c>
      <c r="D390" s="31">
        <v>42863</v>
      </c>
      <c r="E390" s="15" t="s">
        <v>22873</v>
      </c>
      <c r="F390" s="87" t="s">
        <v>21871</v>
      </c>
      <c r="G390" s="45" t="s">
        <v>12609</v>
      </c>
      <c r="H390" s="55" t="s">
        <v>12610</v>
      </c>
      <c r="I390" s="15" t="s">
        <v>40</v>
      </c>
    </row>
    <row r="391" spans="1:9" ht="51.75" customHeight="1" x14ac:dyDescent="0.35">
      <c r="A391" s="15" t="s">
        <v>22023</v>
      </c>
      <c r="B391" s="15" t="s">
        <v>22874</v>
      </c>
      <c r="C391" s="15" t="s">
        <v>22875</v>
      </c>
      <c r="D391" s="31">
        <v>42863</v>
      </c>
      <c r="E391" s="15" t="s">
        <v>22876</v>
      </c>
      <c r="F391" s="87" t="s">
        <v>21871</v>
      </c>
      <c r="G391" s="45" t="s">
        <v>12609</v>
      </c>
      <c r="H391" s="55" t="s">
        <v>12610</v>
      </c>
      <c r="I391" s="15" t="s">
        <v>40</v>
      </c>
    </row>
    <row r="392" spans="1:9" ht="51.75" customHeight="1" x14ac:dyDescent="0.35">
      <c r="A392" s="15" t="s">
        <v>22877</v>
      </c>
      <c r="B392" s="15" t="s">
        <v>22878</v>
      </c>
      <c r="C392" s="15" t="s">
        <v>22879</v>
      </c>
      <c r="D392" s="31">
        <v>42863</v>
      </c>
      <c r="E392" s="15" t="s">
        <v>22880</v>
      </c>
      <c r="F392" s="87" t="s">
        <v>21871</v>
      </c>
      <c r="G392" s="45" t="s">
        <v>12609</v>
      </c>
      <c r="H392" s="55" t="s">
        <v>12610</v>
      </c>
      <c r="I392" s="15" t="s">
        <v>40</v>
      </c>
    </row>
    <row r="393" spans="1:9" ht="51.75" customHeight="1" x14ac:dyDescent="0.35">
      <c r="A393" s="15" t="s">
        <v>22881</v>
      </c>
      <c r="B393" s="15" t="s">
        <v>22882</v>
      </c>
      <c r="C393" s="15" t="s">
        <v>22883</v>
      </c>
      <c r="D393" s="31">
        <v>42863</v>
      </c>
      <c r="E393" s="15" t="s">
        <v>22884</v>
      </c>
      <c r="F393" s="87" t="s">
        <v>21871</v>
      </c>
      <c r="G393" s="45" t="s">
        <v>12609</v>
      </c>
      <c r="H393" s="55" t="s">
        <v>12610</v>
      </c>
      <c r="I393" s="15" t="s">
        <v>40</v>
      </c>
    </row>
    <row r="394" spans="1:9" ht="51.75" customHeight="1" x14ac:dyDescent="0.35">
      <c r="A394" s="15" t="s">
        <v>22885</v>
      </c>
      <c r="B394" s="15" t="s">
        <v>22886</v>
      </c>
      <c r="C394" s="15" t="s">
        <v>22887</v>
      </c>
      <c r="D394" s="31">
        <v>43145</v>
      </c>
      <c r="E394" s="15" t="s">
        <v>22888</v>
      </c>
      <c r="F394" s="87" t="s">
        <v>21871</v>
      </c>
      <c r="G394" s="45" t="s">
        <v>13757</v>
      </c>
      <c r="H394" s="55" t="s">
        <v>13758</v>
      </c>
      <c r="I394" s="15" t="s">
        <v>40</v>
      </c>
    </row>
    <row r="395" spans="1:9" ht="51.75" customHeight="1" x14ac:dyDescent="0.35">
      <c r="A395" s="15" t="s">
        <v>21963</v>
      </c>
      <c r="B395" s="15" t="s">
        <v>22889</v>
      </c>
      <c r="C395" s="15" t="s">
        <v>22890</v>
      </c>
      <c r="D395" s="31">
        <v>43145</v>
      </c>
      <c r="E395" s="15" t="s">
        <v>22891</v>
      </c>
      <c r="F395" s="87" t="s">
        <v>21871</v>
      </c>
      <c r="G395" s="45" t="s">
        <v>13757</v>
      </c>
      <c r="H395" s="55" t="s">
        <v>13758</v>
      </c>
      <c r="I395" s="15" t="s">
        <v>40</v>
      </c>
    </row>
    <row r="396" spans="1:9" ht="51.75" customHeight="1" x14ac:dyDescent="0.35">
      <c r="A396" s="15" t="s">
        <v>21872</v>
      </c>
      <c r="B396" s="15" t="s">
        <v>22892</v>
      </c>
      <c r="C396" s="15" t="s">
        <v>22893</v>
      </c>
      <c r="D396" s="31">
        <v>43145</v>
      </c>
      <c r="E396" s="15" t="s">
        <v>22894</v>
      </c>
      <c r="F396" s="87" t="s">
        <v>21871</v>
      </c>
      <c r="G396" s="45" t="s">
        <v>13757</v>
      </c>
      <c r="H396" s="55" t="s">
        <v>13758</v>
      </c>
      <c r="I396" s="15" t="s">
        <v>40</v>
      </c>
    </row>
    <row r="397" spans="1:9" ht="51.75" customHeight="1" x14ac:dyDescent="0.35">
      <c r="A397" s="15" t="s">
        <v>22895</v>
      </c>
      <c r="B397" s="15" t="s">
        <v>22896</v>
      </c>
      <c r="C397" s="15" t="s">
        <v>22897</v>
      </c>
      <c r="D397" s="31">
        <v>43145</v>
      </c>
      <c r="E397" s="15" t="s">
        <v>22898</v>
      </c>
      <c r="F397" s="87" t="s">
        <v>21871</v>
      </c>
      <c r="G397" s="45" t="s">
        <v>13757</v>
      </c>
      <c r="H397" s="55" t="s">
        <v>13758</v>
      </c>
      <c r="I397" s="15" t="s">
        <v>40</v>
      </c>
    </row>
    <row r="398" spans="1:9" ht="51.75" customHeight="1" x14ac:dyDescent="0.35">
      <c r="A398" s="15" t="s">
        <v>22899</v>
      </c>
      <c r="B398" s="15" t="s">
        <v>22900</v>
      </c>
      <c r="C398" s="15" t="s">
        <v>22901</v>
      </c>
      <c r="D398" s="31">
        <v>43145</v>
      </c>
      <c r="E398" s="15" t="s">
        <v>22753</v>
      </c>
      <c r="F398" s="87" t="s">
        <v>21871</v>
      </c>
      <c r="G398" s="45" t="s">
        <v>13757</v>
      </c>
      <c r="H398" s="55" t="s">
        <v>13758</v>
      </c>
      <c r="I398" s="15" t="s">
        <v>40</v>
      </c>
    </row>
    <row r="399" spans="1:9" ht="51.75" customHeight="1" x14ac:dyDescent="0.35">
      <c r="A399" s="15" t="s">
        <v>22902</v>
      </c>
      <c r="B399" s="15" t="s">
        <v>22903</v>
      </c>
      <c r="C399" s="15" t="s">
        <v>22904</v>
      </c>
      <c r="D399" s="31">
        <v>43258</v>
      </c>
      <c r="E399" s="15" t="s">
        <v>22905</v>
      </c>
      <c r="F399" s="87" t="s">
        <v>21871</v>
      </c>
      <c r="G399" s="45" t="s">
        <v>14218</v>
      </c>
      <c r="H399" s="55" t="s">
        <v>14219</v>
      </c>
      <c r="I399" s="15" t="s">
        <v>40</v>
      </c>
    </row>
    <row r="400" spans="1:9" ht="51.75" customHeight="1" x14ac:dyDescent="0.35">
      <c r="A400" s="15" t="s">
        <v>22906</v>
      </c>
      <c r="B400" s="15" t="s">
        <v>22907</v>
      </c>
      <c r="C400" s="15" t="s">
        <v>22908</v>
      </c>
      <c r="D400" s="31">
        <v>43258</v>
      </c>
      <c r="E400" s="15" t="s">
        <v>22909</v>
      </c>
      <c r="F400" s="87" t="s">
        <v>21871</v>
      </c>
      <c r="G400" s="45" t="s">
        <v>14218</v>
      </c>
      <c r="H400" s="55" t="s">
        <v>14219</v>
      </c>
      <c r="I400" s="15" t="s">
        <v>40</v>
      </c>
    </row>
    <row r="401" spans="1:9" ht="51.75" customHeight="1" x14ac:dyDescent="0.35">
      <c r="A401" s="15" t="s">
        <v>22910</v>
      </c>
      <c r="B401" s="15" t="s">
        <v>22911</v>
      </c>
      <c r="C401" s="15" t="s">
        <v>22912</v>
      </c>
      <c r="D401" s="31">
        <v>43258</v>
      </c>
      <c r="E401" s="15" t="s">
        <v>22913</v>
      </c>
      <c r="F401" s="87" t="s">
        <v>21871</v>
      </c>
      <c r="G401" s="45" t="s">
        <v>14218</v>
      </c>
      <c r="H401" s="55" t="s">
        <v>14219</v>
      </c>
      <c r="I401" s="15" t="s">
        <v>40</v>
      </c>
    </row>
    <row r="402" spans="1:9" ht="51.75" customHeight="1" x14ac:dyDescent="0.35">
      <c r="A402" s="15" t="s">
        <v>22914</v>
      </c>
      <c r="B402" s="15" t="s">
        <v>22915</v>
      </c>
      <c r="C402" s="15" t="s">
        <v>22916</v>
      </c>
      <c r="D402" s="31">
        <v>43258</v>
      </c>
      <c r="E402" s="15" t="s">
        <v>22917</v>
      </c>
      <c r="F402" s="87" t="s">
        <v>21871</v>
      </c>
      <c r="G402" s="45" t="s">
        <v>14218</v>
      </c>
      <c r="H402" s="55" t="s">
        <v>14219</v>
      </c>
      <c r="I402" s="15" t="s">
        <v>40</v>
      </c>
    </row>
    <row r="403" spans="1:9" ht="51.75" customHeight="1" x14ac:dyDescent="0.35">
      <c r="A403" s="15" t="s">
        <v>22918</v>
      </c>
      <c r="B403" s="15" t="s">
        <v>22919</v>
      </c>
      <c r="C403" s="15" t="s">
        <v>22920</v>
      </c>
      <c r="D403" s="31">
        <v>43252</v>
      </c>
      <c r="E403" s="15" t="s">
        <v>22921</v>
      </c>
      <c r="F403" s="87" t="s">
        <v>21871</v>
      </c>
      <c r="G403" s="45" t="s">
        <v>14102</v>
      </c>
      <c r="H403" s="55" t="s">
        <v>14103</v>
      </c>
      <c r="I403" s="15" t="s">
        <v>40</v>
      </c>
    </row>
    <row r="404" spans="1:9" ht="51.75" customHeight="1" x14ac:dyDescent="0.35">
      <c r="A404" s="15" t="s">
        <v>22922</v>
      </c>
      <c r="B404" s="15" t="s">
        <v>22923</v>
      </c>
      <c r="C404" s="15" t="s">
        <v>22924</v>
      </c>
      <c r="D404" s="31">
        <v>43252</v>
      </c>
      <c r="E404" s="15" t="s">
        <v>22925</v>
      </c>
      <c r="F404" s="87" t="s">
        <v>21871</v>
      </c>
      <c r="G404" s="45" t="s">
        <v>14102</v>
      </c>
      <c r="H404" s="55" t="s">
        <v>14103</v>
      </c>
      <c r="I404" s="15" t="s">
        <v>40</v>
      </c>
    </row>
    <row r="405" spans="1:9" ht="51.75" customHeight="1" x14ac:dyDescent="0.35">
      <c r="A405" s="15" t="s">
        <v>22926</v>
      </c>
      <c r="B405" s="15" t="s">
        <v>22927</v>
      </c>
      <c r="C405" s="15" t="s">
        <v>22928</v>
      </c>
      <c r="D405" s="31">
        <v>43252</v>
      </c>
      <c r="E405" s="15" t="s">
        <v>22929</v>
      </c>
      <c r="F405" s="87" t="s">
        <v>21871</v>
      </c>
      <c r="G405" s="45" t="s">
        <v>14102</v>
      </c>
      <c r="H405" s="55" t="s">
        <v>14103</v>
      </c>
      <c r="I405" s="15" t="s">
        <v>40</v>
      </c>
    </row>
    <row r="406" spans="1:9" ht="51.75" customHeight="1" x14ac:dyDescent="0.35">
      <c r="A406" s="15" t="s">
        <v>22930</v>
      </c>
      <c r="B406" s="15" t="s">
        <v>22931</v>
      </c>
      <c r="C406" s="15" t="s">
        <v>22932</v>
      </c>
      <c r="D406" s="31">
        <v>43252</v>
      </c>
      <c r="E406" s="15" t="s">
        <v>22933</v>
      </c>
      <c r="F406" s="87" t="s">
        <v>21871</v>
      </c>
      <c r="G406" s="45" t="s">
        <v>14102</v>
      </c>
      <c r="H406" s="55" t="s">
        <v>14103</v>
      </c>
      <c r="I406" s="15" t="s">
        <v>40</v>
      </c>
    </row>
    <row r="407" spans="1:9" ht="51.75" customHeight="1" x14ac:dyDescent="0.35">
      <c r="A407" s="15" t="s">
        <v>22055</v>
      </c>
      <c r="B407" s="15" t="s">
        <v>22934</v>
      </c>
      <c r="C407" s="15" t="s">
        <v>22935</v>
      </c>
      <c r="D407" s="31">
        <v>43252</v>
      </c>
      <c r="E407" s="15" t="s">
        <v>22936</v>
      </c>
      <c r="F407" s="87" t="s">
        <v>21871</v>
      </c>
      <c r="G407" s="45" t="s">
        <v>14102</v>
      </c>
      <c r="H407" s="55" t="s">
        <v>14103</v>
      </c>
      <c r="I407" s="15" t="s">
        <v>40</v>
      </c>
    </row>
    <row r="408" spans="1:9" ht="51.75" customHeight="1" x14ac:dyDescent="0.35">
      <c r="A408" s="15" t="s">
        <v>22937</v>
      </c>
      <c r="B408" s="15" t="s">
        <v>22938</v>
      </c>
      <c r="C408" s="15" t="s">
        <v>22939</v>
      </c>
      <c r="D408" s="31">
        <v>43252</v>
      </c>
      <c r="E408" s="15" t="s">
        <v>22940</v>
      </c>
      <c r="F408" s="87" t="s">
        <v>21871</v>
      </c>
      <c r="G408" s="45" t="s">
        <v>14102</v>
      </c>
      <c r="H408" s="55" t="s">
        <v>14103</v>
      </c>
      <c r="I408" s="15" t="s">
        <v>40</v>
      </c>
    </row>
    <row r="409" spans="1:9" ht="51.75" customHeight="1" x14ac:dyDescent="0.35">
      <c r="A409" s="15" t="s">
        <v>22941</v>
      </c>
      <c r="B409" s="15" t="s">
        <v>22942</v>
      </c>
      <c r="C409" s="15" t="s">
        <v>22943</v>
      </c>
      <c r="D409" s="31">
        <v>43252</v>
      </c>
      <c r="E409" s="15" t="s">
        <v>22944</v>
      </c>
      <c r="F409" s="87" t="s">
        <v>21871</v>
      </c>
      <c r="G409" s="45" t="s">
        <v>14102</v>
      </c>
      <c r="H409" s="55" t="s">
        <v>14103</v>
      </c>
      <c r="I409" s="15" t="s">
        <v>40</v>
      </c>
    </row>
    <row r="410" spans="1:9" ht="51.75" customHeight="1" x14ac:dyDescent="0.35">
      <c r="A410" s="15" t="s">
        <v>22945</v>
      </c>
      <c r="B410" s="15" t="s">
        <v>22946</v>
      </c>
      <c r="C410" s="15" t="s">
        <v>22947</v>
      </c>
      <c r="D410" s="31">
        <v>43468</v>
      </c>
      <c r="E410" s="15" t="s">
        <v>22948</v>
      </c>
      <c r="F410" s="87" t="s">
        <v>21871</v>
      </c>
      <c r="G410" s="45" t="s">
        <v>14955</v>
      </c>
      <c r="H410" s="55" t="s">
        <v>14956</v>
      </c>
      <c r="I410" s="15" t="s">
        <v>40</v>
      </c>
    </row>
    <row r="411" spans="1:9" ht="51.75" customHeight="1" x14ac:dyDescent="0.35">
      <c r="A411" s="15" t="s">
        <v>22223</v>
      </c>
      <c r="B411" s="15" t="s">
        <v>22949</v>
      </c>
      <c r="C411" s="15" t="s">
        <v>22950</v>
      </c>
      <c r="D411" s="31">
        <v>43468</v>
      </c>
      <c r="E411" s="15" t="s">
        <v>22951</v>
      </c>
      <c r="F411" s="87" t="s">
        <v>21871</v>
      </c>
      <c r="G411" s="45" t="s">
        <v>14955</v>
      </c>
      <c r="H411" s="55" t="s">
        <v>14956</v>
      </c>
      <c r="I411" s="15" t="s">
        <v>40</v>
      </c>
    </row>
    <row r="412" spans="1:9" ht="51.75" customHeight="1" x14ac:dyDescent="0.35">
      <c r="A412" s="15" t="s">
        <v>22952</v>
      </c>
      <c r="B412" s="15" t="s">
        <v>22953</v>
      </c>
      <c r="C412" s="15" t="s">
        <v>22954</v>
      </c>
      <c r="D412" s="31">
        <v>43468</v>
      </c>
      <c r="E412" s="15" t="s">
        <v>22955</v>
      </c>
      <c r="F412" s="87" t="s">
        <v>21871</v>
      </c>
      <c r="G412" s="45" t="s">
        <v>14955</v>
      </c>
      <c r="H412" s="55" t="s">
        <v>14956</v>
      </c>
      <c r="I412" s="15" t="s">
        <v>40</v>
      </c>
    </row>
    <row r="413" spans="1:9" ht="51.75" customHeight="1" x14ac:dyDescent="0.35">
      <c r="A413" s="15" t="s">
        <v>22956</v>
      </c>
      <c r="B413" s="15" t="s">
        <v>22957</v>
      </c>
      <c r="C413" s="15" t="s">
        <v>22958</v>
      </c>
      <c r="D413" s="31">
        <v>43468</v>
      </c>
      <c r="E413" s="15" t="s">
        <v>22959</v>
      </c>
      <c r="F413" s="87" t="s">
        <v>21871</v>
      </c>
      <c r="G413" s="45" t="s">
        <v>14955</v>
      </c>
      <c r="H413" s="55" t="s">
        <v>14956</v>
      </c>
      <c r="I413" s="15" t="s">
        <v>40</v>
      </c>
    </row>
    <row r="414" spans="1:9" ht="51.75" customHeight="1" x14ac:dyDescent="0.35">
      <c r="A414" s="15" t="s">
        <v>22960</v>
      </c>
      <c r="B414" s="15" t="s">
        <v>22961</v>
      </c>
      <c r="C414" s="15" t="s">
        <v>22962</v>
      </c>
      <c r="D414" s="31">
        <v>43468</v>
      </c>
      <c r="E414" s="15" t="s">
        <v>22963</v>
      </c>
      <c r="F414" s="87" t="s">
        <v>21871</v>
      </c>
      <c r="G414" s="45" t="s">
        <v>14955</v>
      </c>
      <c r="H414" s="55" t="s">
        <v>14956</v>
      </c>
      <c r="I414" s="15" t="s">
        <v>40</v>
      </c>
    </row>
    <row r="415" spans="1:9" ht="51.75" customHeight="1" x14ac:dyDescent="0.35">
      <c r="A415" s="15" t="s">
        <v>22964</v>
      </c>
      <c r="B415" s="15" t="s">
        <v>22965</v>
      </c>
      <c r="C415" s="15" t="s">
        <v>22966</v>
      </c>
      <c r="D415" s="31">
        <v>43468</v>
      </c>
      <c r="E415" s="15" t="s">
        <v>22967</v>
      </c>
      <c r="F415" s="87" t="s">
        <v>21871</v>
      </c>
      <c r="G415" s="45" t="s">
        <v>14955</v>
      </c>
      <c r="H415" s="55" t="s">
        <v>14956</v>
      </c>
      <c r="I415" s="15" t="s">
        <v>40</v>
      </c>
    </row>
    <row r="416" spans="1:9" ht="51.75" customHeight="1" x14ac:dyDescent="0.35">
      <c r="A416" s="15" t="s">
        <v>22968</v>
      </c>
      <c r="B416" s="15" t="s">
        <v>22969</v>
      </c>
      <c r="C416" s="15" t="s">
        <v>22916</v>
      </c>
      <c r="D416" s="31">
        <v>43468</v>
      </c>
      <c r="E416" s="15" t="s">
        <v>22970</v>
      </c>
      <c r="F416" s="87" t="s">
        <v>21871</v>
      </c>
      <c r="G416" s="45" t="s">
        <v>14955</v>
      </c>
      <c r="H416" s="55" t="s">
        <v>14956</v>
      </c>
      <c r="I416" s="15" t="s">
        <v>40</v>
      </c>
    </row>
    <row r="417" spans="1:9" ht="51.75" customHeight="1" x14ac:dyDescent="0.35">
      <c r="A417" s="15" t="s">
        <v>22971</v>
      </c>
      <c r="B417" s="15" t="s">
        <v>22972</v>
      </c>
      <c r="C417" s="15" t="s">
        <v>22973</v>
      </c>
      <c r="D417" s="31">
        <v>43664</v>
      </c>
      <c r="E417" s="15" t="s">
        <v>22974</v>
      </c>
      <c r="F417" s="87" t="s">
        <v>21871</v>
      </c>
      <c r="G417" s="45" t="s">
        <v>15831</v>
      </c>
      <c r="H417" s="55" t="s">
        <v>15832</v>
      </c>
      <c r="I417" s="15" t="s">
        <v>40</v>
      </c>
    </row>
    <row r="418" spans="1:9" ht="51.75" customHeight="1" x14ac:dyDescent="0.35">
      <c r="A418" s="15" t="s">
        <v>22975</v>
      </c>
      <c r="B418" s="15" t="s">
        <v>22976</v>
      </c>
      <c r="C418" s="15" t="s">
        <v>22977</v>
      </c>
      <c r="D418" s="31">
        <v>43664</v>
      </c>
      <c r="E418" s="15" t="s">
        <v>22978</v>
      </c>
      <c r="F418" s="87" t="s">
        <v>21871</v>
      </c>
      <c r="G418" s="45" t="s">
        <v>15831</v>
      </c>
      <c r="H418" s="55" t="s">
        <v>15832</v>
      </c>
      <c r="I418" s="15" t="s">
        <v>40</v>
      </c>
    </row>
    <row r="419" spans="1:9" ht="51.75" customHeight="1" x14ac:dyDescent="0.35">
      <c r="A419" s="15" t="s">
        <v>22979</v>
      </c>
      <c r="B419" s="15" t="s">
        <v>22980</v>
      </c>
      <c r="C419" s="15" t="s">
        <v>22981</v>
      </c>
      <c r="D419" s="31">
        <v>43664</v>
      </c>
      <c r="E419" s="15" t="s">
        <v>22982</v>
      </c>
      <c r="F419" s="87" t="s">
        <v>21871</v>
      </c>
      <c r="G419" s="45" t="s">
        <v>15831</v>
      </c>
      <c r="H419" s="55" t="s">
        <v>15832</v>
      </c>
      <c r="I419" s="15" t="s">
        <v>40</v>
      </c>
    </row>
    <row r="420" spans="1:9" ht="51.75" customHeight="1" x14ac:dyDescent="0.35">
      <c r="A420" s="15" t="s">
        <v>22983</v>
      </c>
      <c r="B420" s="15" t="s">
        <v>22984</v>
      </c>
      <c r="C420" s="15" t="s">
        <v>22985</v>
      </c>
      <c r="D420" s="31">
        <v>43664</v>
      </c>
      <c r="E420" s="15" t="s">
        <v>22986</v>
      </c>
      <c r="F420" s="87" t="s">
        <v>21871</v>
      </c>
      <c r="G420" s="45" t="s">
        <v>15831</v>
      </c>
      <c r="H420" s="55" t="s">
        <v>15832</v>
      </c>
      <c r="I420" s="15" t="s">
        <v>40</v>
      </c>
    </row>
    <row r="421" spans="1:9" ht="51.75" customHeight="1" x14ac:dyDescent="0.35">
      <c r="A421" s="15" t="s">
        <v>22885</v>
      </c>
      <c r="B421" s="15" t="s">
        <v>22987</v>
      </c>
      <c r="C421" s="15" t="s">
        <v>22988</v>
      </c>
      <c r="D421" s="31">
        <v>43664</v>
      </c>
      <c r="E421" s="15" t="s">
        <v>22989</v>
      </c>
      <c r="F421" s="87" t="s">
        <v>21871</v>
      </c>
      <c r="G421" s="45" t="s">
        <v>15831</v>
      </c>
      <c r="H421" s="55" t="s">
        <v>15832</v>
      </c>
      <c r="I421" s="15" t="s">
        <v>40</v>
      </c>
    </row>
    <row r="422" spans="1:9" ht="51.75" customHeight="1" x14ac:dyDescent="0.35">
      <c r="A422" s="15" t="s">
        <v>21995</v>
      </c>
      <c r="B422" s="15" t="s">
        <v>22990</v>
      </c>
      <c r="C422" s="15" t="s">
        <v>22991</v>
      </c>
      <c r="D422" s="31">
        <v>43664</v>
      </c>
      <c r="E422" s="15" t="s">
        <v>22992</v>
      </c>
      <c r="F422" s="87" t="s">
        <v>21871</v>
      </c>
      <c r="G422" s="45" t="s">
        <v>15831</v>
      </c>
      <c r="H422" s="55" t="s">
        <v>15832</v>
      </c>
      <c r="I422" s="15" t="s">
        <v>40</v>
      </c>
    </row>
    <row r="423" spans="1:9" ht="51.75" customHeight="1" x14ac:dyDescent="0.35">
      <c r="A423" s="15" t="s">
        <v>21872</v>
      </c>
      <c r="B423" s="15" t="s">
        <v>22993</v>
      </c>
      <c r="C423" s="15" t="s">
        <v>22994</v>
      </c>
      <c r="D423" s="31">
        <v>43664</v>
      </c>
      <c r="E423" s="15" t="s">
        <v>22995</v>
      </c>
      <c r="F423" s="87" t="s">
        <v>21871</v>
      </c>
      <c r="G423" s="45" t="s">
        <v>15831</v>
      </c>
      <c r="H423" s="55" t="s">
        <v>15832</v>
      </c>
      <c r="I423" s="15" t="s">
        <v>40</v>
      </c>
    </row>
    <row r="424" spans="1:9" ht="51.75" customHeight="1" x14ac:dyDescent="0.35">
      <c r="A424" s="15" t="s">
        <v>22996</v>
      </c>
      <c r="B424" s="15" t="s">
        <v>22997</v>
      </c>
      <c r="C424" s="15" t="s">
        <v>22998</v>
      </c>
      <c r="D424" s="31">
        <v>43664</v>
      </c>
      <c r="E424" s="15" t="s">
        <v>22999</v>
      </c>
      <c r="F424" s="87" t="s">
        <v>21871</v>
      </c>
      <c r="G424" s="45" t="s">
        <v>15831</v>
      </c>
      <c r="H424" s="55" t="s">
        <v>15832</v>
      </c>
      <c r="I424" s="15" t="s">
        <v>40</v>
      </c>
    </row>
    <row r="425" spans="1:9" ht="51.75" customHeight="1" x14ac:dyDescent="0.35">
      <c r="A425" s="15" t="s">
        <v>23000</v>
      </c>
      <c r="B425" s="15" t="s">
        <v>23001</v>
      </c>
      <c r="C425" s="15" t="s">
        <v>23002</v>
      </c>
      <c r="D425" s="31">
        <v>44054</v>
      </c>
      <c r="E425" s="15" t="s">
        <v>23003</v>
      </c>
      <c r="F425" s="87" t="s">
        <v>21871</v>
      </c>
      <c r="G425" s="45" t="s">
        <v>17168</v>
      </c>
      <c r="H425" s="55" t="s">
        <v>17169</v>
      </c>
      <c r="I425" s="15" t="s">
        <v>40</v>
      </c>
    </row>
    <row r="426" spans="1:9" ht="51.75" customHeight="1" x14ac:dyDescent="0.35">
      <c r="A426" s="15" t="s">
        <v>23004</v>
      </c>
      <c r="B426" s="15" t="s">
        <v>23005</v>
      </c>
      <c r="C426" s="15" t="s">
        <v>23006</v>
      </c>
      <c r="D426" s="31">
        <v>44054</v>
      </c>
      <c r="E426" s="15" t="s">
        <v>23007</v>
      </c>
      <c r="F426" s="87" t="s">
        <v>21871</v>
      </c>
      <c r="G426" s="45" t="s">
        <v>17168</v>
      </c>
      <c r="H426" s="55" t="s">
        <v>17169</v>
      </c>
      <c r="I426" s="15" t="s">
        <v>40</v>
      </c>
    </row>
    <row r="427" spans="1:9" ht="51.75" customHeight="1" x14ac:dyDescent="0.35">
      <c r="A427" s="15" t="s">
        <v>23008</v>
      </c>
      <c r="B427" s="15" t="s">
        <v>23009</v>
      </c>
      <c r="C427" s="15" t="s">
        <v>23010</v>
      </c>
      <c r="D427" s="31">
        <v>44054</v>
      </c>
      <c r="E427" s="15" t="s">
        <v>23011</v>
      </c>
      <c r="F427" s="87" t="s">
        <v>21871</v>
      </c>
      <c r="G427" s="45" t="s">
        <v>17168</v>
      </c>
      <c r="H427" s="55" t="s">
        <v>17169</v>
      </c>
      <c r="I427" s="15" t="s">
        <v>40</v>
      </c>
    </row>
    <row r="428" spans="1:9" ht="51.75" customHeight="1" x14ac:dyDescent="0.35">
      <c r="A428" s="15" t="s">
        <v>23012</v>
      </c>
      <c r="B428" s="15" t="s">
        <v>23013</v>
      </c>
      <c r="C428" s="15" t="s">
        <v>23014</v>
      </c>
      <c r="D428" s="31">
        <v>44054</v>
      </c>
      <c r="E428" s="15" t="s">
        <v>23015</v>
      </c>
      <c r="F428" s="87" t="s">
        <v>21871</v>
      </c>
      <c r="G428" s="45" t="s">
        <v>17168</v>
      </c>
      <c r="H428" s="55" t="s">
        <v>17169</v>
      </c>
      <c r="I428" s="15" t="s">
        <v>40</v>
      </c>
    </row>
    <row r="429" spans="1:9" ht="51.75" customHeight="1" x14ac:dyDescent="0.35">
      <c r="A429" s="15" t="s">
        <v>23016</v>
      </c>
      <c r="B429" s="15" t="s">
        <v>23017</v>
      </c>
      <c r="C429" s="15" t="s">
        <v>23018</v>
      </c>
      <c r="D429" s="31">
        <v>44096</v>
      </c>
      <c r="E429" s="15" t="s">
        <v>23019</v>
      </c>
      <c r="F429" s="87" t="s">
        <v>21871</v>
      </c>
      <c r="G429" s="45" t="s">
        <v>16858</v>
      </c>
      <c r="H429" s="55" t="s">
        <v>16859</v>
      </c>
      <c r="I429" s="15" t="s">
        <v>40</v>
      </c>
    </row>
    <row r="430" spans="1:9" ht="51.75" customHeight="1" x14ac:dyDescent="0.35">
      <c r="A430" s="15" t="s">
        <v>23020</v>
      </c>
      <c r="B430" s="15" t="s">
        <v>23021</v>
      </c>
      <c r="C430" s="15" t="s">
        <v>23022</v>
      </c>
      <c r="D430" s="31">
        <v>44096</v>
      </c>
      <c r="E430" s="15" t="s">
        <v>23023</v>
      </c>
      <c r="F430" s="87" t="s">
        <v>21871</v>
      </c>
      <c r="G430" s="45" t="s">
        <v>16858</v>
      </c>
      <c r="H430" s="55" t="s">
        <v>16859</v>
      </c>
      <c r="I430" s="15" t="s">
        <v>40</v>
      </c>
    </row>
    <row r="431" spans="1:9" ht="51.75" customHeight="1" x14ac:dyDescent="0.35">
      <c r="A431" s="15" t="s">
        <v>23024</v>
      </c>
      <c r="B431" s="15" t="s">
        <v>23025</v>
      </c>
      <c r="C431" s="15" t="s">
        <v>23026</v>
      </c>
      <c r="D431" s="31">
        <v>44096</v>
      </c>
      <c r="E431" s="15" t="s">
        <v>23027</v>
      </c>
      <c r="F431" s="87" t="s">
        <v>21871</v>
      </c>
      <c r="G431" s="45" t="s">
        <v>16858</v>
      </c>
      <c r="H431" s="55" t="s">
        <v>16859</v>
      </c>
      <c r="I431" s="15" t="s">
        <v>40</v>
      </c>
    </row>
    <row r="432" spans="1:9" ht="51.75" customHeight="1" x14ac:dyDescent="0.35">
      <c r="A432" s="15" t="s">
        <v>23028</v>
      </c>
      <c r="B432" s="15" t="s">
        <v>23029</v>
      </c>
      <c r="C432" s="15" t="s">
        <v>23030</v>
      </c>
      <c r="D432" s="31">
        <v>44096</v>
      </c>
      <c r="E432" s="15" t="s">
        <v>23031</v>
      </c>
      <c r="F432" s="87" t="s">
        <v>21871</v>
      </c>
      <c r="G432" s="45" t="s">
        <v>16858</v>
      </c>
      <c r="H432" s="55" t="s">
        <v>16859</v>
      </c>
      <c r="I432" s="15" t="s">
        <v>40</v>
      </c>
    </row>
    <row r="433" spans="1:9" ht="51.75" customHeight="1" x14ac:dyDescent="0.35">
      <c r="A433" s="15" t="s">
        <v>23032</v>
      </c>
      <c r="B433" s="15" t="s">
        <v>23033</v>
      </c>
      <c r="C433" s="15" t="s">
        <v>23034</v>
      </c>
      <c r="D433" s="31">
        <v>44096</v>
      </c>
      <c r="E433" s="15" t="s">
        <v>23035</v>
      </c>
      <c r="F433" s="87" t="s">
        <v>21871</v>
      </c>
      <c r="G433" s="45" t="s">
        <v>16858</v>
      </c>
      <c r="H433" s="55" t="s">
        <v>16859</v>
      </c>
      <c r="I433" s="15" t="s">
        <v>40</v>
      </c>
    </row>
    <row r="434" spans="1:9" ht="51.75" customHeight="1" x14ac:dyDescent="0.35">
      <c r="A434" s="15" t="s">
        <v>23036</v>
      </c>
      <c r="B434" s="15" t="s">
        <v>23037</v>
      </c>
      <c r="C434" s="15" t="s">
        <v>23038</v>
      </c>
      <c r="D434" s="31">
        <v>44096</v>
      </c>
      <c r="E434" s="15" t="s">
        <v>23039</v>
      </c>
      <c r="F434" s="87" t="s">
        <v>21871</v>
      </c>
      <c r="G434" s="45" t="s">
        <v>16858</v>
      </c>
      <c r="H434" s="55" t="s">
        <v>16859</v>
      </c>
      <c r="I434" s="15" t="s">
        <v>40</v>
      </c>
    </row>
    <row r="435" spans="1:9" ht="51.75" customHeight="1" x14ac:dyDescent="0.35">
      <c r="A435" s="15" t="s">
        <v>23040</v>
      </c>
      <c r="B435" s="15" t="s">
        <v>23041</v>
      </c>
      <c r="C435" s="15" t="s">
        <v>23042</v>
      </c>
      <c r="D435" s="31">
        <v>44096</v>
      </c>
      <c r="E435" s="15" t="s">
        <v>23043</v>
      </c>
      <c r="F435" s="87" t="s">
        <v>21871</v>
      </c>
      <c r="G435" s="45" t="s">
        <v>16858</v>
      </c>
      <c r="H435" s="55" t="s">
        <v>16859</v>
      </c>
      <c r="I435" s="15" t="s">
        <v>40</v>
      </c>
    </row>
    <row r="436" spans="1:9" ht="51.75" customHeight="1" x14ac:dyDescent="0.35">
      <c r="A436" s="15" t="s">
        <v>23044</v>
      </c>
      <c r="B436" s="15" t="s">
        <v>23045</v>
      </c>
      <c r="C436" s="15" t="s">
        <v>23046</v>
      </c>
      <c r="D436" s="31">
        <v>44096</v>
      </c>
      <c r="E436" s="15" t="s">
        <v>23047</v>
      </c>
      <c r="F436" s="87" t="s">
        <v>21871</v>
      </c>
      <c r="G436" s="45" t="s">
        <v>16858</v>
      </c>
      <c r="H436" s="55" t="s">
        <v>16859</v>
      </c>
      <c r="I436" s="15" t="s">
        <v>40</v>
      </c>
    </row>
    <row r="437" spans="1:9" ht="51.75" customHeight="1" x14ac:dyDescent="0.35">
      <c r="A437" s="15" t="s">
        <v>23048</v>
      </c>
      <c r="B437" s="15" t="s">
        <v>23049</v>
      </c>
      <c r="C437" s="15" t="s">
        <v>23050</v>
      </c>
      <c r="D437" s="31">
        <v>44096</v>
      </c>
      <c r="E437" s="15" t="s">
        <v>23051</v>
      </c>
      <c r="F437" s="87" t="s">
        <v>21871</v>
      </c>
      <c r="G437" s="45" t="s">
        <v>16858</v>
      </c>
      <c r="H437" s="55" t="s">
        <v>16859</v>
      </c>
      <c r="I437" s="15" t="s">
        <v>40</v>
      </c>
    </row>
    <row r="438" spans="1:9" ht="51.75" customHeight="1" x14ac:dyDescent="0.35">
      <c r="A438" s="15"/>
      <c r="B438" s="15" t="s">
        <v>23052</v>
      </c>
      <c r="C438" s="15" t="s">
        <v>23053</v>
      </c>
      <c r="D438" s="28">
        <v>44210</v>
      </c>
      <c r="E438" s="15" t="s">
        <v>23054</v>
      </c>
      <c r="F438" s="87" t="s">
        <v>21871</v>
      </c>
      <c r="G438" s="45" t="s">
        <v>17722</v>
      </c>
      <c r="H438" s="55" t="s">
        <v>17723</v>
      </c>
      <c r="I438" s="15" t="s">
        <v>40</v>
      </c>
    </row>
    <row r="439" spans="1:9" ht="51.75" customHeight="1" x14ac:dyDescent="0.35">
      <c r="A439" s="15"/>
      <c r="B439" s="15" t="s">
        <v>23055</v>
      </c>
      <c r="C439" s="15" t="s">
        <v>23056</v>
      </c>
      <c r="D439" s="28">
        <v>44210</v>
      </c>
      <c r="E439" s="15" t="s">
        <v>23057</v>
      </c>
      <c r="F439" s="87" t="s">
        <v>21871</v>
      </c>
      <c r="G439" s="45" t="s">
        <v>17722</v>
      </c>
      <c r="H439" s="55" t="s">
        <v>17723</v>
      </c>
      <c r="I439" s="15" t="s">
        <v>40</v>
      </c>
    </row>
    <row r="440" spans="1:9" ht="51.75" customHeight="1" x14ac:dyDescent="0.35">
      <c r="A440" s="15"/>
      <c r="B440" s="15" t="s">
        <v>23058</v>
      </c>
      <c r="C440" s="15" t="s">
        <v>23059</v>
      </c>
      <c r="D440" s="28">
        <v>44210</v>
      </c>
      <c r="E440" s="15" t="s">
        <v>23060</v>
      </c>
      <c r="F440" s="87" t="s">
        <v>21871</v>
      </c>
      <c r="G440" s="45" t="s">
        <v>17722</v>
      </c>
      <c r="H440" s="55" t="s">
        <v>17723</v>
      </c>
      <c r="I440" s="15" t="s">
        <v>40</v>
      </c>
    </row>
    <row r="441" spans="1:9" ht="51.75" customHeight="1" x14ac:dyDescent="0.35">
      <c r="A441" s="15"/>
      <c r="B441" s="15" t="s">
        <v>23061</v>
      </c>
      <c r="C441" s="15" t="s">
        <v>23062</v>
      </c>
      <c r="D441" s="28">
        <v>44210</v>
      </c>
      <c r="E441" s="15" t="s">
        <v>23063</v>
      </c>
      <c r="F441" s="87" t="s">
        <v>21871</v>
      </c>
      <c r="G441" s="45" t="s">
        <v>17722</v>
      </c>
      <c r="H441" s="55" t="s">
        <v>17723</v>
      </c>
      <c r="I441" s="15" t="s">
        <v>40</v>
      </c>
    </row>
    <row r="442" spans="1:9" ht="51.75" customHeight="1" x14ac:dyDescent="0.35">
      <c r="A442" s="15">
        <v>1</v>
      </c>
      <c r="B442" s="15" t="s">
        <v>23064</v>
      </c>
      <c r="C442" s="15" t="s">
        <v>23065</v>
      </c>
      <c r="D442" s="31">
        <v>40847</v>
      </c>
      <c r="E442" s="15" t="s">
        <v>23065</v>
      </c>
      <c r="F442" s="87"/>
      <c r="G442" s="45" t="s">
        <v>5312</v>
      </c>
      <c r="H442" s="55" t="s">
        <v>5313</v>
      </c>
      <c r="I442" s="15" t="s">
        <v>96</v>
      </c>
    </row>
    <row r="443" spans="1:9" ht="51.75" customHeight="1" x14ac:dyDescent="0.35">
      <c r="A443" s="15">
        <v>2</v>
      </c>
      <c r="B443" s="15" t="s">
        <v>23066</v>
      </c>
      <c r="C443" s="15" t="s">
        <v>23067</v>
      </c>
      <c r="D443" s="31">
        <v>40847</v>
      </c>
      <c r="E443" s="15" t="s">
        <v>23067</v>
      </c>
      <c r="F443" s="87"/>
      <c r="G443" s="45" t="s">
        <v>5312</v>
      </c>
      <c r="H443" s="55" t="s">
        <v>5313</v>
      </c>
      <c r="I443" s="15" t="s">
        <v>96</v>
      </c>
    </row>
    <row r="444" spans="1:9" ht="51.75" customHeight="1" x14ac:dyDescent="0.35">
      <c r="A444" s="15">
        <v>3</v>
      </c>
      <c r="B444" s="15" t="s">
        <v>23068</v>
      </c>
      <c r="C444" s="15" t="s">
        <v>23069</v>
      </c>
      <c r="D444" s="31">
        <v>40847</v>
      </c>
      <c r="E444" s="15" t="s">
        <v>23069</v>
      </c>
      <c r="F444" s="87"/>
      <c r="G444" s="45" t="s">
        <v>5312</v>
      </c>
      <c r="H444" s="55" t="s">
        <v>5313</v>
      </c>
      <c r="I444" s="15" t="s">
        <v>96</v>
      </c>
    </row>
    <row r="445" spans="1:9" ht="51.75" customHeight="1" x14ac:dyDescent="0.35">
      <c r="A445" s="15">
        <v>1</v>
      </c>
      <c r="B445" s="15" t="s">
        <v>23070</v>
      </c>
      <c r="C445" s="15" t="s">
        <v>23071</v>
      </c>
      <c r="D445" s="31">
        <v>40784</v>
      </c>
      <c r="E445" s="15" t="s">
        <v>23071</v>
      </c>
      <c r="F445" s="87"/>
      <c r="G445" s="45" t="s">
        <v>5133</v>
      </c>
      <c r="H445" s="55" t="s">
        <v>5134</v>
      </c>
      <c r="I445" s="15" t="s">
        <v>96</v>
      </c>
    </row>
    <row r="446" spans="1:9" ht="51.75" customHeight="1" x14ac:dyDescent="0.35">
      <c r="A446" s="15">
        <v>2</v>
      </c>
      <c r="B446" s="15" t="s">
        <v>23072</v>
      </c>
      <c r="C446" s="15" t="s">
        <v>23073</v>
      </c>
      <c r="D446" s="31">
        <v>40784</v>
      </c>
      <c r="E446" s="15" t="s">
        <v>23073</v>
      </c>
      <c r="F446" s="87"/>
      <c r="G446" s="45" t="s">
        <v>5133</v>
      </c>
      <c r="H446" s="55" t="s">
        <v>5134</v>
      </c>
      <c r="I446" s="15" t="s">
        <v>96</v>
      </c>
    </row>
    <row r="447" spans="1:9" ht="51.75" customHeight="1" x14ac:dyDescent="0.35">
      <c r="A447" s="15">
        <v>3</v>
      </c>
      <c r="B447" s="15" t="s">
        <v>23074</v>
      </c>
      <c r="C447" s="15" t="s">
        <v>23075</v>
      </c>
      <c r="D447" s="31">
        <v>40784</v>
      </c>
      <c r="E447" s="15" t="s">
        <v>23075</v>
      </c>
      <c r="F447" s="87"/>
      <c r="G447" s="45" t="s">
        <v>5133</v>
      </c>
      <c r="H447" s="55" t="s">
        <v>5134</v>
      </c>
      <c r="I447" s="15" t="s">
        <v>96</v>
      </c>
    </row>
    <row r="448" spans="1:9" ht="51.75" customHeight="1" x14ac:dyDescent="0.35">
      <c r="A448" s="15">
        <v>1</v>
      </c>
      <c r="B448" s="15" t="s">
        <v>23076</v>
      </c>
      <c r="C448" s="15" t="s">
        <v>23077</v>
      </c>
      <c r="D448" s="31">
        <v>40989</v>
      </c>
      <c r="E448" s="15" t="s">
        <v>23077</v>
      </c>
      <c r="F448" s="87"/>
      <c r="G448" s="45" t="s">
        <v>4875</v>
      </c>
      <c r="H448" s="55" t="s">
        <v>4876</v>
      </c>
      <c r="I448" s="15" t="s">
        <v>96</v>
      </c>
    </row>
    <row r="449" spans="1:9" ht="51.75" customHeight="1" x14ac:dyDescent="0.35">
      <c r="A449" s="15">
        <v>2</v>
      </c>
      <c r="B449" s="15" t="s">
        <v>23078</v>
      </c>
      <c r="C449" s="15" t="s">
        <v>23079</v>
      </c>
      <c r="D449" s="31">
        <v>40989</v>
      </c>
      <c r="E449" s="15" t="s">
        <v>23079</v>
      </c>
      <c r="F449" s="87"/>
      <c r="G449" s="45" t="s">
        <v>4875</v>
      </c>
      <c r="H449" s="55" t="s">
        <v>4876</v>
      </c>
      <c r="I449" s="15" t="s">
        <v>96</v>
      </c>
    </row>
    <row r="450" spans="1:9" ht="51.75" customHeight="1" x14ac:dyDescent="0.35">
      <c r="A450" s="15">
        <v>3</v>
      </c>
      <c r="B450" s="15" t="s">
        <v>23080</v>
      </c>
      <c r="C450" s="15" t="s">
        <v>23081</v>
      </c>
      <c r="D450" s="31">
        <v>40989</v>
      </c>
      <c r="E450" s="15" t="s">
        <v>23081</v>
      </c>
      <c r="F450" s="87"/>
      <c r="G450" s="45" t="s">
        <v>4875</v>
      </c>
      <c r="H450" s="55" t="s">
        <v>4876</v>
      </c>
      <c r="I450" s="15" t="s">
        <v>96</v>
      </c>
    </row>
    <row r="451" spans="1:9" ht="51.75" customHeight="1" x14ac:dyDescent="0.35">
      <c r="A451" s="15">
        <v>4</v>
      </c>
      <c r="B451" s="15" t="s">
        <v>23082</v>
      </c>
      <c r="C451" s="15" t="s">
        <v>23083</v>
      </c>
      <c r="D451" s="31">
        <v>40989</v>
      </c>
      <c r="E451" s="15" t="s">
        <v>23083</v>
      </c>
      <c r="F451" s="87"/>
      <c r="G451" s="45" t="s">
        <v>4875</v>
      </c>
      <c r="H451" s="55" t="s">
        <v>4876</v>
      </c>
      <c r="I451" s="15" t="s">
        <v>96</v>
      </c>
    </row>
    <row r="452" spans="1:9" ht="51.75" customHeight="1" x14ac:dyDescent="0.35">
      <c r="A452" s="15">
        <v>5</v>
      </c>
      <c r="B452" s="15" t="s">
        <v>23084</v>
      </c>
      <c r="C452" s="15" t="s">
        <v>23085</v>
      </c>
      <c r="D452" s="31">
        <v>40989</v>
      </c>
      <c r="E452" s="15" t="s">
        <v>23085</v>
      </c>
      <c r="F452" s="87"/>
      <c r="G452" s="45" t="s">
        <v>4875</v>
      </c>
      <c r="H452" s="55" t="s">
        <v>4876</v>
      </c>
      <c r="I452" s="15" t="s">
        <v>96</v>
      </c>
    </row>
    <row r="453" spans="1:9" ht="51.75" customHeight="1" x14ac:dyDescent="0.35">
      <c r="A453" s="15">
        <v>6</v>
      </c>
      <c r="B453" s="15" t="s">
        <v>23086</v>
      </c>
      <c r="C453" s="15" t="s">
        <v>23087</v>
      </c>
      <c r="D453" s="31">
        <v>40989</v>
      </c>
      <c r="E453" s="15" t="s">
        <v>23087</v>
      </c>
      <c r="F453" s="87"/>
      <c r="G453" s="45" t="s">
        <v>4875</v>
      </c>
      <c r="H453" s="55" t="s">
        <v>4876</v>
      </c>
      <c r="I453" s="15" t="s">
        <v>96</v>
      </c>
    </row>
    <row r="454" spans="1:9" ht="51.75" customHeight="1" x14ac:dyDescent="0.35">
      <c r="A454" s="15">
        <v>7</v>
      </c>
      <c r="B454" s="15" t="s">
        <v>23088</v>
      </c>
      <c r="C454" s="15" t="s">
        <v>23089</v>
      </c>
      <c r="D454" s="31">
        <v>40989</v>
      </c>
      <c r="E454" s="15" t="s">
        <v>23089</v>
      </c>
      <c r="F454" s="87"/>
      <c r="G454" s="45" t="s">
        <v>4875</v>
      </c>
      <c r="H454" s="55" t="s">
        <v>4876</v>
      </c>
      <c r="I454" s="15" t="s">
        <v>96</v>
      </c>
    </row>
    <row r="455" spans="1:9" ht="51.75" customHeight="1" x14ac:dyDescent="0.35">
      <c r="A455" s="15">
        <v>8</v>
      </c>
      <c r="B455" s="15" t="s">
        <v>23090</v>
      </c>
      <c r="C455" s="15" t="s">
        <v>23091</v>
      </c>
      <c r="D455" s="31">
        <v>40989</v>
      </c>
      <c r="E455" s="15" t="s">
        <v>23091</v>
      </c>
      <c r="F455" s="87"/>
      <c r="G455" s="45" t="s">
        <v>4875</v>
      </c>
      <c r="H455" s="55" t="s">
        <v>4876</v>
      </c>
      <c r="I455" s="15" t="s">
        <v>96</v>
      </c>
    </row>
    <row r="456" spans="1:9" ht="51.75" customHeight="1" x14ac:dyDescent="0.35">
      <c r="A456" s="15">
        <v>1</v>
      </c>
      <c r="B456" s="15" t="s">
        <v>23092</v>
      </c>
      <c r="C456" s="15" t="s">
        <v>23093</v>
      </c>
      <c r="D456" s="31">
        <v>40534</v>
      </c>
      <c r="E456" s="15" t="s">
        <v>23093</v>
      </c>
      <c r="F456" s="87"/>
      <c r="G456" s="45" t="s">
        <v>4297</v>
      </c>
      <c r="H456" s="55" t="s">
        <v>4298</v>
      </c>
      <c r="I456" s="15" t="s">
        <v>96</v>
      </c>
    </row>
    <row r="457" spans="1:9" ht="51.75" customHeight="1" x14ac:dyDescent="0.35">
      <c r="A457" s="15">
        <v>2</v>
      </c>
      <c r="B457" s="15" t="s">
        <v>23094</v>
      </c>
      <c r="C457" s="15" t="s">
        <v>23095</v>
      </c>
      <c r="D457" s="31">
        <v>40534</v>
      </c>
      <c r="E457" s="15" t="s">
        <v>23095</v>
      </c>
      <c r="F457" s="87"/>
      <c r="G457" s="45" t="s">
        <v>4297</v>
      </c>
      <c r="H457" s="55" t="s">
        <v>4298</v>
      </c>
      <c r="I457" s="15" t="s">
        <v>96</v>
      </c>
    </row>
    <row r="458" spans="1:9" ht="51.75" customHeight="1" x14ac:dyDescent="0.35">
      <c r="A458" s="15">
        <v>3</v>
      </c>
      <c r="B458" s="15" t="s">
        <v>23096</v>
      </c>
      <c r="C458" s="15" t="s">
        <v>23097</v>
      </c>
      <c r="D458" s="31">
        <v>40534</v>
      </c>
      <c r="E458" s="15" t="s">
        <v>23097</v>
      </c>
      <c r="F458" s="87"/>
      <c r="G458" s="45" t="s">
        <v>4297</v>
      </c>
      <c r="H458" s="55" t="s">
        <v>4298</v>
      </c>
      <c r="I458" s="15" t="s">
        <v>96</v>
      </c>
    </row>
    <row r="459" spans="1:9" ht="51.75" customHeight="1" x14ac:dyDescent="0.35">
      <c r="A459" s="15">
        <v>4</v>
      </c>
      <c r="B459" s="15" t="s">
        <v>23098</v>
      </c>
      <c r="C459" s="15" t="s">
        <v>23099</v>
      </c>
      <c r="D459" s="31">
        <v>40534</v>
      </c>
      <c r="E459" s="15" t="s">
        <v>23099</v>
      </c>
      <c r="F459" s="87"/>
      <c r="G459" s="45" t="s">
        <v>4297</v>
      </c>
      <c r="H459" s="55" t="s">
        <v>4298</v>
      </c>
      <c r="I459" s="15" t="s">
        <v>96</v>
      </c>
    </row>
    <row r="460" spans="1:9" ht="51.75" customHeight="1" x14ac:dyDescent="0.35">
      <c r="A460" s="15">
        <v>5</v>
      </c>
      <c r="B460" s="15" t="s">
        <v>23100</v>
      </c>
      <c r="C460" s="15" t="s">
        <v>23101</v>
      </c>
      <c r="D460" s="31">
        <v>40534</v>
      </c>
      <c r="E460" s="15" t="s">
        <v>23101</v>
      </c>
      <c r="F460" s="87"/>
      <c r="G460" s="45" t="s">
        <v>4297</v>
      </c>
      <c r="H460" s="55" t="s">
        <v>4298</v>
      </c>
      <c r="I460" s="15" t="s">
        <v>96</v>
      </c>
    </row>
    <row r="461" spans="1:9" ht="51.75" customHeight="1" x14ac:dyDescent="0.35">
      <c r="A461" s="15">
        <v>1</v>
      </c>
      <c r="B461" s="15" t="s">
        <v>23102</v>
      </c>
      <c r="C461" s="15" t="s">
        <v>23103</v>
      </c>
      <c r="D461" s="31">
        <v>40443</v>
      </c>
      <c r="E461" s="15" t="s">
        <v>23103</v>
      </c>
      <c r="F461" s="87"/>
      <c r="G461" s="45" t="s">
        <v>4156</v>
      </c>
      <c r="H461" s="55" t="s">
        <v>4157</v>
      </c>
      <c r="I461" s="15" t="s">
        <v>96</v>
      </c>
    </row>
    <row r="462" spans="1:9" ht="51.75" customHeight="1" x14ac:dyDescent="0.35">
      <c r="A462" s="15">
        <v>2</v>
      </c>
      <c r="B462" s="15" t="s">
        <v>23104</v>
      </c>
      <c r="C462" s="15" t="s">
        <v>23105</v>
      </c>
      <c r="D462" s="31">
        <v>40443</v>
      </c>
      <c r="E462" s="15" t="s">
        <v>23105</v>
      </c>
      <c r="F462" s="87"/>
      <c r="G462" s="45" t="s">
        <v>4156</v>
      </c>
      <c r="H462" s="55" t="s">
        <v>4157</v>
      </c>
      <c r="I462" s="15" t="s">
        <v>96</v>
      </c>
    </row>
    <row r="463" spans="1:9" ht="51.75" customHeight="1" x14ac:dyDescent="0.35">
      <c r="A463" s="15">
        <v>3</v>
      </c>
      <c r="B463" s="15" t="s">
        <v>23106</v>
      </c>
      <c r="C463" s="15" t="s">
        <v>23107</v>
      </c>
      <c r="D463" s="31">
        <v>40443</v>
      </c>
      <c r="E463" s="15" t="s">
        <v>23107</v>
      </c>
      <c r="F463" s="87"/>
      <c r="G463" s="45" t="s">
        <v>4156</v>
      </c>
      <c r="H463" s="55" t="s">
        <v>4157</v>
      </c>
      <c r="I463" s="15" t="s">
        <v>96</v>
      </c>
    </row>
    <row r="464" spans="1:9" ht="51.75" customHeight="1" x14ac:dyDescent="0.35">
      <c r="A464" s="15">
        <v>1</v>
      </c>
      <c r="B464" s="15" t="s">
        <v>23108</v>
      </c>
      <c r="C464" s="15" t="s">
        <v>23109</v>
      </c>
      <c r="D464" s="31">
        <v>40653</v>
      </c>
      <c r="E464" s="15" t="s">
        <v>23109</v>
      </c>
      <c r="F464" s="87"/>
      <c r="G464" s="45" t="s">
        <v>3903</v>
      </c>
      <c r="H464" s="55" t="s">
        <v>3904</v>
      </c>
      <c r="I464" s="15" t="s">
        <v>96</v>
      </c>
    </row>
    <row r="465" spans="1:9" ht="51.75" customHeight="1" x14ac:dyDescent="0.35">
      <c r="A465" s="15">
        <v>2</v>
      </c>
      <c r="B465" s="15" t="s">
        <v>23110</v>
      </c>
      <c r="C465" s="15" t="s">
        <v>23111</v>
      </c>
      <c r="D465" s="31">
        <v>40653</v>
      </c>
      <c r="E465" s="15" t="s">
        <v>23111</v>
      </c>
      <c r="F465" s="87"/>
      <c r="G465" s="45" t="s">
        <v>3903</v>
      </c>
      <c r="H465" s="55" t="s">
        <v>3904</v>
      </c>
      <c r="I465" s="15" t="s">
        <v>96</v>
      </c>
    </row>
    <row r="466" spans="1:9" ht="51.75" customHeight="1" x14ac:dyDescent="0.35">
      <c r="A466" s="15">
        <v>3</v>
      </c>
      <c r="B466" s="15" t="s">
        <v>23112</v>
      </c>
      <c r="C466" s="15" t="s">
        <v>23113</v>
      </c>
      <c r="D466" s="31">
        <v>40653</v>
      </c>
      <c r="E466" s="15" t="s">
        <v>23113</v>
      </c>
      <c r="F466" s="87"/>
      <c r="G466" s="45" t="s">
        <v>3903</v>
      </c>
      <c r="H466" s="55" t="s">
        <v>3904</v>
      </c>
      <c r="I466" s="15" t="s">
        <v>96</v>
      </c>
    </row>
    <row r="467" spans="1:9" ht="51.75" customHeight="1" x14ac:dyDescent="0.35">
      <c r="A467" s="15">
        <v>1</v>
      </c>
      <c r="B467" s="15" t="s">
        <v>23114</v>
      </c>
      <c r="C467" s="15" t="s">
        <v>23115</v>
      </c>
      <c r="D467" s="31">
        <v>40653</v>
      </c>
      <c r="E467" s="15" t="s">
        <v>23116</v>
      </c>
      <c r="F467" s="87"/>
      <c r="G467" s="45" t="s">
        <v>3791</v>
      </c>
      <c r="H467" s="55" t="s">
        <v>3792</v>
      </c>
      <c r="I467" s="15" t="s">
        <v>96</v>
      </c>
    </row>
    <row r="468" spans="1:9" ht="51.75" customHeight="1" x14ac:dyDescent="0.35">
      <c r="A468" s="15">
        <v>2</v>
      </c>
      <c r="B468" s="15" t="s">
        <v>23117</v>
      </c>
      <c r="C468" s="15" t="s">
        <v>23118</v>
      </c>
      <c r="D468" s="31">
        <v>40653</v>
      </c>
      <c r="E468" s="15" t="s">
        <v>23118</v>
      </c>
      <c r="F468" s="87"/>
      <c r="G468" s="45" t="s">
        <v>3791</v>
      </c>
      <c r="H468" s="55" t="s">
        <v>3792</v>
      </c>
      <c r="I468" s="15" t="s">
        <v>96</v>
      </c>
    </row>
    <row r="469" spans="1:9" ht="51.75" customHeight="1" x14ac:dyDescent="0.35">
      <c r="A469" s="15">
        <v>3</v>
      </c>
      <c r="B469" s="15" t="s">
        <v>23119</v>
      </c>
      <c r="C469" s="15" t="s">
        <v>23120</v>
      </c>
      <c r="D469" s="31">
        <v>40653</v>
      </c>
      <c r="E469" s="15" t="s">
        <v>23120</v>
      </c>
      <c r="F469" s="87"/>
      <c r="G469" s="45" t="s">
        <v>3791</v>
      </c>
      <c r="H469" s="55" t="s">
        <v>3792</v>
      </c>
      <c r="I469" s="15" t="s">
        <v>96</v>
      </c>
    </row>
    <row r="470" spans="1:9" ht="51.75" customHeight="1" x14ac:dyDescent="0.35">
      <c r="A470" s="15">
        <v>4</v>
      </c>
      <c r="B470" s="15" t="s">
        <v>23121</v>
      </c>
      <c r="C470" s="15" t="s">
        <v>23122</v>
      </c>
      <c r="D470" s="31">
        <v>40653</v>
      </c>
      <c r="E470" s="15" t="s">
        <v>23123</v>
      </c>
      <c r="F470" s="87"/>
      <c r="G470" s="45" t="s">
        <v>3791</v>
      </c>
      <c r="H470" s="55" t="s">
        <v>3792</v>
      </c>
      <c r="I470" s="15" t="s">
        <v>96</v>
      </c>
    </row>
    <row r="471" spans="1:9" ht="51.75" customHeight="1" x14ac:dyDescent="0.35">
      <c r="A471" s="15">
        <v>1</v>
      </c>
      <c r="B471" s="15" t="s">
        <v>23124</v>
      </c>
      <c r="C471" s="15" t="s">
        <v>23125</v>
      </c>
      <c r="D471" s="31">
        <v>40534</v>
      </c>
      <c r="E471" s="15" t="s">
        <v>23125</v>
      </c>
      <c r="F471" s="87"/>
      <c r="G471" s="45" t="s">
        <v>3553</v>
      </c>
      <c r="H471" s="55" t="s">
        <v>3554</v>
      </c>
      <c r="I471" s="15" t="s">
        <v>96</v>
      </c>
    </row>
    <row r="472" spans="1:9" ht="51.75" customHeight="1" x14ac:dyDescent="0.35">
      <c r="A472" s="15">
        <v>2</v>
      </c>
      <c r="B472" s="15" t="s">
        <v>23126</v>
      </c>
      <c r="C472" s="15" t="s">
        <v>23127</v>
      </c>
      <c r="D472" s="31">
        <v>40534</v>
      </c>
      <c r="E472" s="15" t="s">
        <v>23128</v>
      </c>
      <c r="F472" s="87"/>
      <c r="G472" s="45" t="s">
        <v>3553</v>
      </c>
      <c r="H472" s="55" t="s">
        <v>3554</v>
      </c>
      <c r="I472" s="15" t="s">
        <v>96</v>
      </c>
    </row>
    <row r="473" spans="1:9" ht="51.75" customHeight="1" x14ac:dyDescent="0.35">
      <c r="A473" s="15">
        <v>3</v>
      </c>
      <c r="B473" s="15" t="s">
        <v>23129</v>
      </c>
      <c r="C473" s="15" t="s">
        <v>23130</v>
      </c>
      <c r="D473" s="31">
        <v>40534</v>
      </c>
      <c r="E473" s="15" t="s">
        <v>23130</v>
      </c>
      <c r="F473" s="87"/>
      <c r="G473" s="45" t="s">
        <v>3553</v>
      </c>
      <c r="H473" s="55" t="s">
        <v>3554</v>
      </c>
      <c r="I473" s="15" t="s">
        <v>96</v>
      </c>
    </row>
    <row r="474" spans="1:9" ht="51.75" customHeight="1" x14ac:dyDescent="0.35">
      <c r="A474" s="15">
        <v>1</v>
      </c>
      <c r="B474" s="15" t="s">
        <v>23131</v>
      </c>
      <c r="C474" s="15" t="s">
        <v>23132</v>
      </c>
      <c r="D474" s="31">
        <v>40177</v>
      </c>
      <c r="E474" s="15" t="s">
        <v>23132</v>
      </c>
      <c r="F474" s="87"/>
      <c r="G474" s="45" t="s">
        <v>3626</v>
      </c>
      <c r="H474" s="55" t="s">
        <v>3627</v>
      </c>
      <c r="I474" s="15" t="s">
        <v>96</v>
      </c>
    </row>
    <row r="475" spans="1:9" ht="51.75" customHeight="1" x14ac:dyDescent="0.35">
      <c r="A475" s="15">
        <v>2</v>
      </c>
      <c r="B475" s="15" t="s">
        <v>23133</v>
      </c>
      <c r="C475" s="15" t="s">
        <v>23134</v>
      </c>
      <c r="D475" s="31">
        <v>40177</v>
      </c>
      <c r="E475" s="15" t="s">
        <v>23134</v>
      </c>
      <c r="F475" s="87"/>
      <c r="G475" s="45" t="s">
        <v>3626</v>
      </c>
      <c r="H475" s="55" t="s">
        <v>3627</v>
      </c>
      <c r="I475" s="15" t="s">
        <v>96</v>
      </c>
    </row>
    <row r="476" spans="1:9" ht="51.75" customHeight="1" x14ac:dyDescent="0.35">
      <c r="A476" s="15">
        <v>3</v>
      </c>
      <c r="B476" s="15" t="s">
        <v>23135</v>
      </c>
      <c r="C476" s="15" t="s">
        <v>23136</v>
      </c>
      <c r="D476" s="31">
        <v>40177</v>
      </c>
      <c r="E476" s="15" t="s">
        <v>23137</v>
      </c>
      <c r="F476" s="87"/>
      <c r="G476" s="45" t="s">
        <v>3626</v>
      </c>
      <c r="H476" s="55" t="s">
        <v>3627</v>
      </c>
      <c r="I476" s="15" t="s">
        <v>96</v>
      </c>
    </row>
    <row r="477" spans="1:9" ht="51.75" customHeight="1" x14ac:dyDescent="0.35">
      <c r="A477" s="15">
        <v>4</v>
      </c>
      <c r="B477" s="15" t="s">
        <v>23138</v>
      </c>
      <c r="C477" s="15" t="s">
        <v>23139</v>
      </c>
      <c r="D477" s="31">
        <v>40177</v>
      </c>
      <c r="E477" s="15" t="s">
        <v>23139</v>
      </c>
      <c r="F477" s="87"/>
      <c r="G477" s="45" t="s">
        <v>3626</v>
      </c>
      <c r="H477" s="55" t="s">
        <v>3627</v>
      </c>
      <c r="I477" s="15" t="s">
        <v>96</v>
      </c>
    </row>
    <row r="478" spans="1:9" ht="51.75" customHeight="1" x14ac:dyDescent="0.35">
      <c r="A478" s="15">
        <v>5</v>
      </c>
      <c r="B478" s="15" t="s">
        <v>23140</v>
      </c>
      <c r="C478" s="15" t="s">
        <v>23141</v>
      </c>
      <c r="D478" s="31">
        <v>40177</v>
      </c>
      <c r="E478" s="15" t="s">
        <v>23141</v>
      </c>
      <c r="F478" s="87"/>
      <c r="G478" s="45" t="s">
        <v>3626</v>
      </c>
      <c r="H478" s="55" t="s">
        <v>3627</v>
      </c>
      <c r="I478" s="15" t="s">
        <v>96</v>
      </c>
    </row>
    <row r="479" spans="1:9" ht="51.75" customHeight="1" x14ac:dyDescent="0.35">
      <c r="A479" s="15">
        <v>6</v>
      </c>
      <c r="B479" s="15" t="s">
        <v>23142</v>
      </c>
      <c r="C479" s="15" t="s">
        <v>23143</v>
      </c>
      <c r="D479" s="31">
        <v>40177</v>
      </c>
      <c r="E479" s="15" t="s">
        <v>23144</v>
      </c>
      <c r="F479" s="87"/>
      <c r="G479" s="45" t="s">
        <v>3626</v>
      </c>
      <c r="H479" s="55" t="s">
        <v>3627</v>
      </c>
      <c r="I479" s="15" t="s">
        <v>96</v>
      </c>
    </row>
    <row r="480" spans="1:9" ht="51.75" customHeight="1" x14ac:dyDescent="0.35">
      <c r="A480" s="15">
        <v>1</v>
      </c>
      <c r="B480" s="15" t="s">
        <v>23145</v>
      </c>
      <c r="C480" s="15" t="s">
        <v>23146</v>
      </c>
      <c r="D480" s="31">
        <v>40534</v>
      </c>
      <c r="E480" s="15" t="s">
        <v>23146</v>
      </c>
      <c r="F480" s="87"/>
      <c r="G480" s="45" t="s">
        <v>3192</v>
      </c>
      <c r="H480" s="55" t="s">
        <v>3193</v>
      </c>
      <c r="I480" s="15" t="s">
        <v>96</v>
      </c>
    </row>
    <row r="481" spans="1:9" ht="51.75" customHeight="1" x14ac:dyDescent="0.35">
      <c r="A481" s="15">
        <v>2</v>
      </c>
      <c r="B481" s="15" t="s">
        <v>23147</v>
      </c>
      <c r="C481" s="15" t="s">
        <v>23148</v>
      </c>
      <c r="D481" s="31">
        <v>40534</v>
      </c>
      <c r="E481" s="15" t="s">
        <v>23148</v>
      </c>
      <c r="F481" s="87"/>
      <c r="G481" s="45" t="s">
        <v>3192</v>
      </c>
      <c r="H481" s="55" t="s">
        <v>3193</v>
      </c>
      <c r="I481" s="15" t="s">
        <v>96</v>
      </c>
    </row>
    <row r="482" spans="1:9" ht="51.75" customHeight="1" x14ac:dyDescent="0.35">
      <c r="A482" s="15">
        <v>3</v>
      </c>
      <c r="B482" s="15" t="s">
        <v>23149</v>
      </c>
      <c r="C482" s="15" t="s">
        <v>23150</v>
      </c>
      <c r="D482" s="31">
        <v>40534</v>
      </c>
      <c r="E482" s="15" t="s">
        <v>23150</v>
      </c>
      <c r="F482" s="87"/>
      <c r="G482" s="45" t="s">
        <v>3192</v>
      </c>
      <c r="H482" s="55" t="s">
        <v>3193</v>
      </c>
      <c r="I482" s="15" t="s">
        <v>96</v>
      </c>
    </row>
    <row r="483" spans="1:9" ht="51.75" customHeight="1" x14ac:dyDescent="0.35">
      <c r="A483" s="15">
        <v>4</v>
      </c>
      <c r="B483" s="15" t="s">
        <v>23151</v>
      </c>
      <c r="C483" s="15" t="s">
        <v>23152</v>
      </c>
      <c r="D483" s="31">
        <v>40534</v>
      </c>
      <c r="E483" s="15" t="s">
        <v>23152</v>
      </c>
      <c r="F483" s="87"/>
      <c r="G483" s="45" t="s">
        <v>3192</v>
      </c>
      <c r="H483" s="55" t="s">
        <v>3193</v>
      </c>
      <c r="I483" s="15" t="s">
        <v>96</v>
      </c>
    </row>
    <row r="484" spans="1:9" ht="51.75" customHeight="1" x14ac:dyDescent="0.35">
      <c r="A484" s="15">
        <v>5</v>
      </c>
      <c r="B484" s="15" t="s">
        <v>23153</v>
      </c>
      <c r="C484" s="15" t="s">
        <v>23154</v>
      </c>
      <c r="D484" s="31">
        <v>40534</v>
      </c>
      <c r="E484" s="15" t="s">
        <v>23154</v>
      </c>
      <c r="F484" s="87"/>
      <c r="G484" s="45" t="s">
        <v>3192</v>
      </c>
      <c r="H484" s="55" t="s">
        <v>3193</v>
      </c>
      <c r="I484" s="15" t="s">
        <v>96</v>
      </c>
    </row>
    <row r="485" spans="1:9" ht="51.75" customHeight="1" x14ac:dyDescent="0.35">
      <c r="A485" s="15">
        <v>6</v>
      </c>
      <c r="B485" s="15" t="s">
        <v>23155</v>
      </c>
      <c r="C485" s="15" t="s">
        <v>23156</v>
      </c>
      <c r="D485" s="31">
        <v>40534</v>
      </c>
      <c r="E485" s="15" t="s">
        <v>23156</v>
      </c>
      <c r="F485" s="87"/>
      <c r="G485" s="45" t="s">
        <v>3192</v>
      </c>
      <c r="H485" s="55" t="s">
        <v>3193</v>
      </c>
      <c r="I485" s="15" t="s">
        <v>96</v>
      </c>
    </row>
    <row r="486" spans="1:9" ht="51.75" customHeight="1" x14ac:dyDescent="0.35">
      <c r="A486" s="15">
        <v>1</v>
      </c>
      <c r="B486" s="15" t="s">
        <v>23157</v>
      </c>
      <c r="C486" s="15" t="s">
        <v>23158</v>
      </c>
      <c r="D486" s="31">
        <v>40177</v>
      </c>
      <c r="E486" s="15" t="s">
        <v>23159</v>
      </c>
      <c r="F486" s="87"/>
      <c r="G486" s="45" t="s">
        <v>3026</v>
      </c>
      <c r="H486" s="55" t="s">
        <v>3027</v>
      </c>
      <c r="I486" s="15" t="s">
        <v>96</v>
      </c>
    </row>
    <row r="487" spans="1:9" ht="51.75" customHeight="1" x14ac:dyDescent="0.35">
      <c r="A487" s="15">
        <v>2</v>
      </c>
      <c r="B487" s="15" t="s">
        <v>23160</v>
      </c>
      <c r="C487" s="15" t="s">
        <v>23161</v>
      </c>
      <c r="D487" s="31">
        <v>40177</v>
      </c>
      <c r="E487" s="15" t="s">
        <v>23162</v>
      </c>
      <c r="F487" s="87"/>
      <c r="G487" s="45" t="s">
        <v>3026</v>
      </c>
      <c r="H487" s="55" t="s">
        <v>3027</v>
      </c>
      <c r="I487" s="15" t="s">
        <v>96</v>
      </c>
    </row>
    <row r="488" spans="1:9" ht="51.75" customHeight="1" x14ac:dyDescent="0.35">
      <c r="A488" s="15">
        <v>1</v>
      </c>
      <c r="B488" s="15" t="s">
        <v>23163</v>
      </c>
      <c r="C488" s="15" t="s">
        <v>23164</v>
      </c>
      <c r="D488" s="31">
        <v>39545</v>
      </c>
      <c r="E488" s="15" t="s">
        <v>23164</v>
      </c>
      <c r="F488" s="87"/>
      <c r="G488" s="45" t="s">
        <v>2970</v>
      </c>
      <c r="H488" s="55" t="s">
        <v>2971</v>
      </c>
      <c r="I488" s="15" t="s">
        <v>96</v>
      </c>
    </row>
    <row r="489" spans="1:9" ht="51.75" customHeight="1" x14ac:dyDescent="0.35">
      <c r="A489" s="15">
        <v>2</v>
      </c>
      <c r="B489" s="15" t="s">
        <v>23165</v>
      </c>
      <c r="C489" s="15" t="s">
        <v>23166</v>
      </c>
      <c r="D489" s="31">
        <v>39545</v>
      </c>
      <c r="E489" s="15" t="s">
        <v>23166</v>
      </c>
      <c r="F489" s="87"/>
      <c r="G489" s="45" t="s">
        <v>2970</v>
      </c>
      <c r="H489" s="55" t="s">
        <v>2971</v>
      </c>
      <c r="I489" s="15" t="s">
        <v>96</v>
      </c>
    </row>
    <row r="490" spans="1:9" ht="51.75" customHeight="1" x14ac:dyDescent="0.35">
      <c r="A490" s="15">
        <v>3</v>
      </c>
      <c r="B490" s="15" t="s">
        <v>23167</v>
      </c>
      <c r="C490" s="15" t="s">
        <v>23168</v>
      </c>
      <c r="D490" s="31">
        <v>39545</v>
      </c>
      <c r="E490" s="15" t="s">
        <v>23168</v>
      </c>
      <c r="F490" s="87"/>
      <c r="G490" s="45" t="s">
        <v>2970</v>
      </c>
      <c r="H490" s="55" t="s">
        <v>2971</v>
      </c>
      <c r="I490" s="15" t="s">
        <v>96</v>
      </c>
    </row>
    <row r="491" spans="1:9" ht="51.75" customHeight="1" x14ac:dyDescent="0.35">
      <c r="A491" s="15">
        <v>1</v>
      </c>
      <c r="B491" s="15" t="s">
        <v>23169</v>
      </c>
      <c r="C491" s="15" t="s">
        <v>23170</v>
      </c>
      <c r="D491" s="31">
        <v>40443</v>
      </c>
      <c r="E491" s="15" t="s">
        <v>23170</v>
      </c>
      <c r="F491" s="87"/>
      <c r="G491" s="45" t="s">
        <v>2864</v>
      </c>
      <c r="H491" s="55" t="s">
        <v>2865</v>
      </c>
      <c r="I491" s="15" t="s">
        <v>96</v>
      </c>
    </row>
    <row r="492" spans="1:9" ht="51.75" customHeight="1" x14ac:dyDescent="0.35">
      <c r="A492" s="15">
        <v>2</v>
      </c>
      <c r="B492" s="15" t="s">
        <v>23171</v>
      </c>
      <c r="C492" s="15" t="s">
        <v>23172</v>
      </c>
      <c r="D492" s="31">
        <v>40443</v>
      </c>
      <c r="E492" s="15" t="s">
        <v>23172</v>
      </c>
      <c r="F492" s="87"/>
      <c r="G492" s="45" t="s">
        <v>2864</v>
      </c>
      <c r="H492" s="55" t="s">
        <v>2865</v>
      </c>
      <c r="I492" s="15" t="s">
        <v>96</v>
      </c>
    </row>
    <row r="493" spans="1:9" ht="51.75" customHeight="1" x14ac:dyDescent="0.35">
      <c r="A493" s="15">
        <v>3</v>
      </c>
      <c r="B493" s="15" t="s">
        <v>23173</v>
      </c>
      <c r="C493" s="15" t="s">
        <v>23174</v>
      </c>
      <c r="D493" s="31">
        <v>40443</v>
      </c>
      <c r="E493" s="15" t="s">
        <v>23174</v>
      </c>
      <c r="F493" s="87"/>
      <c r="G493" s="45" t="s">
        <v>2864</v>
      </c>
      <c r="H493" s="55" t="s">
        <v>2865</v>
      </c>
      <c r="I493" s="15" t="s">
        <v>96</v>
      </c>
    </row>
    <row r="494" spans="1:9" ht="51.75" customHeight="1" x14ac:dyDescent="0.35">
      <c r="A494" s="15">
        <v>1</v>
      </c>
      <c r="B494" s="15" t="s">
        <v>23175</v>
      </c>
      <c r="C494" s="15" t="s">
        <v>23176</v>
      </c>
      <c r="D494" s="31">
        <v>39436</v>
      </c>
      <c r="E494" s="15" t="s">
        <v>23176</v>
      </c>
      <c r="F494" s="87"/>
      <c r="G494" s="45" t="s">
        <v>2435</v>
      </c>
      <c r="H494" s="55" t="s">
        <v>2436</v>
      </c>
      <c r="I494" s="15" t="s">
        <v>96</v>
      </c>
    </row>
    <row r="495" spans="1:9" ht="51.75" customHeight="1" x14ac:dyDescent="0.35">
      <c r="A495" s="15">
        <v>2</v>
      </c>
      <c r="B495" s="15" t="s">
        <v>23177</v>
      </c>
      <c r="C495" s="15" t="s">
        <v>23178</v>
      </c>
      <c r="D495" s="31">
        <v>39436</v>
      </c>
      <c r="E495" s="15" t="s">
        <v>23178</v>
      </c>
      <c r="F495" s="87"/>
      <c r="G495" s="45" t="s">
        <v>2435</v>
      </c>
      <c r="H495" s="55" t="s">
        <v>2436</v>
      </c>
      <c r="I495" s="15" t="s">
        <v>96</v>
      </c>
    </row>
    <row r="496" spans="1:9" ht="51.75" customHeight="1" x14ac:dyDescent="0.35">
      <c r="A496" s="15">
        <v>3</v>
      </c>
      <c r="B496" s="15" t="s">
        <v>23179</v>
      </c>
      <c r="C496" s="15" t="s">
        <v>23180</v>
      </c>
      <c r="D496" s="31">
        <v>39436</v>
      </c>
      <c r="E496" s="15" t="s">
        <v>23180</v>
      </c>
      <c r="F496" s="87"/>
      <c r="G496" s="45" t="s">
        <v>2435</v>
      </c>
      <c r="H496" s="55" t="s">
        <v>2436</v>
      </c>
      <c r="I496" s="15" t="s">
        <v>96</v>
      </c>
    </row>
    <row r="497" spans="1:9" ht="51.75" customHeight="1" x14ac:dyDescent="0.35">
      <c r="A497" s="15">
        <v>1</v>
      </c>
      <c r="B497" s="15" t="s">
        <v>23181</v>
      </c>
      <c r="C497" s="15" t="s">
        <v>23182</v>
      </c>
      <c r="D497" s="31">
        <v>40177</v>
      </c>
      <c r="E497" s="15" t="s">
        <v>23182</v>
      </c>
      <c r="F497" s="87"/>
      <c r="G497" s="45" t="s">
        <v>2351</v>
      </c>
      <c r="H497" s="55" t="s">
        <v>2352</v>
      </c>
      <c r="I497" s="15" t="s">
        <v>96</v>
      </c>
    </row>
    <row r="498" spans="1:9" ht="51.75" customHeight="1" x14ac:dyDescent="0.35">
      <c r="A498" s="15">
        <v>2</v>
      </c>
      <c r="B498" s="15" t="s">
        <v>23183</v>
      </c>
      <c r="C498" s="15" t="s">
        <v>23184</v>
      </c>
      <c r="D498" s="31">
        <v>40177</v>
      </c>
      <c r="E498" s="15" t="s">
        <v>23184</v>
      </c>
      <c r="F498" s="87"/>
      <c r="G498" s="45" t="s">
        <v>2351</v>
      </c>
      <c r="H498" s="55" t="s">
        <v>2352</v>
      </c>
      <c r="I498" s="15" t="s">
        <v>96</v>
      </c>
    </row>
    <row r="499" spans="1:9" ht="51.75" customHeight="1" x14ac:dyDescent="0.35">
      <c r="A499" s="15">
        <v>3</v>
      </c>
      <c r="B499" s="15" t="s">
        <v>23185</v>
      </c>
      <c r="C499" s="15" t="s">
        <v>23186</v>
      </c>
      <c r="D499" s="31">
        <v>40177</v>
      </c>
      <c r="E499" s="15" t="s">
        <v>23186</v>
      </c>
      <c r="F499" s="87"/>
      <c r="G499" s="45" t="s">
        <v>2351</v>
      </c>
      <c r="H499" s="55" t="s">
        <v>2352</v>
      </c>
      <c r="I499" s="15" t="s">
        <v>96</v>
      </c>
    </row>
    <row r="500" spans="1:9" ht="51.75" customHeight="1" x14ac:dyDescent="0.35">
      <c r="A500" s="15">
        <v>1</v>
      </c>
      <c r="B500" s="15" t="s">
        <v>23187</v>
      </c>
      <c r="C500" s="15" t="s">
        <v>23188</v>
      </c>
      <c r="D500" s="31">
        <v>40154</v>
      </c>
      <c r="E500" s="15" t="s">
        <v>23188</v>
      </c>
      <c r="F500" s="87"/>
      <c r="G500" s="45" t="s">
        <v>1846</v>
      </c>
      <c r="H500" s="55" t="s">
        <v>1847</v>
      </c>
      <c r="I500" s="15" t="s">
        <v>96</v>
      </c>
    </row>
    <row r="501" spans="1:9" ht="51.75" customHeight="1" x14ac:dyDescent="0.35">
      <c r="A501" s="15">
        <v>2</v>
      </c>
      <c r="B501" s="15" t="s">
        <v>23189</v>
      </c>
      <c r="C501" s="15" t="s">
        <v>23190</v>
      </c>
      <c r="D501" s="31">
        <v>40154</v>
      </c>
      <c r="E501" s="15" t="s">
        <v>23190</v>
      </c>
      <c r="F501" s="87"/>
      <c r="G501" s="45" t="s">
        <v>1846</v>
      </c>
      <c r="H501" s="55" t="s">
        <v>1847</v>
      </c>
      <c r="I501" s="15" t="s">
        <v>96</v>
      </c>
    </row>
    <row r="502" spans="1:9" ht="51.75" customHeight="1" x14ac:dyDescent="0.35">
      <c r="A502" s="15">
        <v>3</v>
      </c>
      <c r="B502" s="15" t="s">
        <v>23191</v>
      </c>
      <c r="C502" s="15" t="s">
        <v>23192</v>
      </c>
      <c r="D502" s="31">
        <v>40154</v>
      </c>
      <c r="E502" s="15" t="s">
        <v>23192</v>
      </c>
      <c r="F502" s="87"/>
      <c r="G502" s="45" t="s">
        <v>1846</v>
      </c>
      <c r="H502" s="55" t="s">
        <v>1847</v>
      </c>
      <c r="I502" s="15" t="s">
        <v>96</v>
      </c>
    </row>
    <row r="503" spans="1:9" ht="51.75" customHeight="1" x14ac:dyDescent="0.35">
      <c r="A503" s="15">
        <v>4</v>
      </c>
      <c r="B503" s="15" t="s">
        <v>23193</v>
      </c>
      <c r="C503" s="15" t="s">
        <v>23194</v>
      </c>
      <c r="D503" s="31">
        <v>40154</v>
      </c>
      <c r="E503" s="15" t="s">
        <v>23194</v>
      </c>
      <c r="F503" s="87"/>
      <c r="G503" s="45" t="s">
        <v>1846</v>
      </c>
      <c r="H503" s="55" t="s">
        <v>1847</v>
      </c>
      <c r="I503" s="15" t="s">
        <v>96</v>
      </c>
    </row>
    <row r="504" spans="1:9" ht="51.75" customHeight="1" x14ac:dyDescent="0.35">
      <c r="A504" s="15">
        <v>5</v>
      </c>
      <c r="B504" s="15" t="s">
        <v>23195</v>
      </c>
      <c r="C504" s="15" t="s">
        <v>23196</v>
      </c>
      <c r="D504" s="31">
        <v>40154</v>
      </c>
      <c r="E504" s="15" t="s">
        <v>23196</v>
      </c>
      <c r="F504" s="87"/>
      <c r="G504" s="45" t="s">
        <v>1846</v>
      </c>
      <c r="H504" s="55" t="s">
        <v>1847</v>
      </c>
      <c r="I504" s="15" t="s">
        <v>96</v>
      </c>
    </row>
    <row r="505" spans="1:9" ht="51.75" customHeight="1" x14ac:dyDescent="0.35">
      <c r="A505" s="15" t="s">
        <v>23197</v>
      </c>
      <c r="B505" s="15" t="s">
        <v>23198</v>
      </c>
      <c r="C505" s="15" t="s">
        <v>23199</v>
      </c>
      <c r="D505" s="31">
        <v>41519</v>
      </c>
      <c r="E505" s="15" t="s">
        <v>23199</v>
      </c>
      <c r="F505" s="87" t="s">
        <v>21871</v>
      </c>
      <c r="G505" s="45" t="s">
        <v>7547</v>
      </c>
      <c r="H505" s="55" t="s">
        <v>7548</v>
      </c>
      <c r="I505" s="15" t="s">
        <v>96</v>
      </c>
    </row>
    <row r="506" spans="1:9" ht="51.75" customHeight="1" x14ac:dyDescent="0.35">
      <c r="A506" s="15" t="s">
        <v>23200</v>
      </c>
      <c r="B506" s="15" t="s">
        <v>23201</v>
      </c>
      <c r="C506" s="15" t="s">
        <v>23202</v>
      </c>
      <c r="D506" s="31">
        <v>41519</v>
      </c>
      <c r="E506" s="15" t="s">
        <v>23202</v>
      </c>
      <c r="F506" s="87" t="s">
        <v>21871</v>
      </c>
      <c r="G506" s="45" t="s">
        <v>7547</v>
      </c>
      <c r="H506" s="55" t="s">
        <v>7548</v>
      </c>
      <c r="I506" s="15" t="s">
        <v>96</v>
      </c>
    </row>
    <row r="507" spans="1:9" ht="51.75" customHeight="1" x14ac:dyDescent="0.35">
      <c r="A507" s="15" t="s">
        <v>23203</v>
      </c>
      <c r="B507" s="15" t="s">
        <v>23204</v>
      </c>
      <c r="C507" s="15" t="s">
        <v>23205</v>
      </c>
      <c r="D507" s="31">
        <v>41519</v>
      </c>
      <c r="E507" s="15" t="s">
        <v>23206</v>
      </c>
      <c r="F507" s="87" t="s">
        <v>21871</v>
      </c>
      <c r="G507" s="45" t="s">
        <v>7547</v>
      </c>
      <c r="H507" s="55" t="s">
        <v>7548</v>
      </c>
      <c r="I507" s="15" t="s">
        <v>96</v>
      </c>
    </row>
    <row r="508" spans="1:9" ht="51.75" customHeight="1" x14ac:dyDescent="0.35">
      <c r="A508" s="15">
        <v>1</v>
      </c>
      <c r="B508" s="15" t="s">
        <v>23207</v>
      </c>
      <c r="C508" s="15" t="s">
        <v>23208</v>
      </c>
      <c r="D508" s="31" t="s">
        <v>50</v>
      </c>
      <c r="E508" s="15" t="s">
        <v>23209</v>
      </c>
      <c r="F508" s="87" t="s">
        <v>23210</v>
      </c>
      <c r="G508" s="45" t="s">
        <v>7080</v>
      </c>
      <c r="H508" s="55" t="s">
        <v>7081</v>
      </c>
      <c r="I508" s="15" t="s">
        <v>96</v>
      </c>
    </row>
    <row r="509" spans="1:9" ht="51.75" customHeight="1" x14ac:dyDescent="0.35">
      <c r="A509" s="15">
        <v>1</v>
      </c>
      <c r="B509" s="15" t="s">
        <v>23211</v>
      </c>
      <c r="C509" s="15" t="s">
        <v>23208</v>
      </c>
      <c r="D509" s="31" t="s">
        <v>50</v>
      </c>
      <c r="E509" s="15" t="s">
        <v>23212</v>
      </c>
      <c r="F509" s="87" t="s">
        <v>21871</v>
      </c>
      <c r="G509" s="45" t="s">
        <v>7080</v>
      </c>
      <c r="H509" s="55" t="s">
        <v>7081</v>
      </c>
      <c r="I509" s="15" t="s">
        <v>96</v>
      </c>
    </row>
    <row r="510" spans="1:9" ht="51.75" customHeight="1" x14ac:dyDescent="0.35">
      <c r="A510" s="15" t="s">
        <v>23213</v>
      </c>
      <c r="B510" s="15" t="s">
        <v>23214</v>
      </c>
      <c r="C510" s="15" t="s">
        <v>23215</v>
      </c>
      <c r="D510" s="31">
        <v>41437</v>
      </c>
      <c r="E510" s="15" t="s">
        <v>23216</v>
      </c>
      <c r="F510" s="87" t="s">
        <v>23210</v>
      </c>
      <c r="G510" s="45" t="s">
        <v>6820</v>
      </c>
      <c r="H510" s="55" t="s">
        <v>6821</v>
      </c>
      <c r="I510" s="15" t="s">
        <v>96</v>
      </c>
    </row>
    <row r="511" spans="1:9" ht="51.75" customHeight="1" x14ac:dyDescent="0.35">
      <c r="A511" s="15" t="s">
        <v>23213</v>
      </c>
      <c r="B511" s="15" t="s">
        <v>23217</v>
      </c>
      <c r="C511" s="15" t="s">
        <v>23215</v>
      </c>
      <c r="D511" s="31">
        <v>41437</v>
      </c>
      <c r="E511" s="15" t="s">
        <v>23218</v>
      </c>
      <c r="F511" s="87" t="s">
        <v>21871</v>
      </c>
      <c r="G511" s="45" t="s">
        <v>6820</v>
      </c>
      <c r="H511" s="55" t="s">
        <v>6821</v>
      </c>
      <c r="I511" s="15" t="s">
        <v>96</v>
      </c>
    </row>
    <row r="512" spans="1:9" ht="51.75" customHeight="1" x14ac:dyDescent="0.35">
      <c r="A512" s="15" t="s">
        <v>23219</v>
      </c>
      <c r="B512" s="15" t="s">
        <v>23220</v>
      </c>
      <c r="C512" s="15" t="s">
        <v>23221</v>
      </c>
      <c r="D512" s="31">
        <v>41437</v>
      </c>
      <c r="E512" s="15" t="s">
        <v>23222</v>
      </c>
      <c r="F512" s="87" t="s">
        <v>23210</v>
      </c>
      <c r="G512" s="45" t="s">
        <v>6820</v>
      </c>
      <c r="H512" s="55" t="s">
        <v>6821</v>
      </c>
      <c r="I512" s="15" t="s">
        <v>96</v>
      </c>
    </row>
    <row r="513" spans="1:9" ht="51.75" customHeight="1" x14ac:dyDescent="0.35">
      <c r="A513" s="15" t="s">
        <v>23219</v>
      </c>
      <c r="B513" s="15" t="s">
        <v>23223</v>
      </c>
      <c r="C513" s="15" t="s">
        <v>23221</v>
      </c>
      <c r="D513" s="31">
        <v>41437</v>
      </c>
      <c r="E513" s="15" t="s">
        <v>23224</v>
      </c>
      <c r="F513" s="87" t="s">
        <v>21871</v>
      </c>
      <c r="G513" s="45" t="s">
        <v>6820</v>
      </c>
      <c r="H513" s="55" t="s">
        <v>6821</v>
      </c>
      <c r="I513" s="15" t="s">
        <v>96</v>
      </c>
    </row>
    <row r="514" spans="1:9" ht="51.75" customHeight="1" x14ac:dyDescent="0.35">
      <c r="A514" s="15" t="s">
        <v>23225</v>
      </c>
      <c r="B514" s="15" t="s">
        <v>23226</v>
      </c>
      <c r="C514" s="15" t="s">
        <v>23227</v>
      </c>
      <c r="D514" s="31">
        <v>41247</v>
      </c>
      <c r="E514" s="15" t="s">
        <v>23228</v>
      </c>
      <c r="F514" s="87" t="s">
        <v>21871</v>
      </c>
      <c r="G514" s="45" t="s">
        <v>6688</v>
      </c>
      <c r="H514" s="55" t="s">
        <v>6689</v>
      </c>
      <c r="I514" s="15" t="s">
        <v>96</v>
      </c>
    </row>
    <row r="515" spans="1:9" ht="51.75" customHeight="1" x14ac:dyDescent="0.35">
      <c r="A515" s="15" t="s">
        <v>22945</v>
      </c>
      <c r="B515" s="15" t="s">
        <v>23229</v>
      </c>
      <c r="C515" s="15" t="s">
        <v>23230</v>
      </c>
      <c r="D515" s="31">
        <v>41088</v>
      </c>
      <c r="E515" s="15" t="s">
        <v>23231</v>
      </c>
      <c r="F515" s="87" t="s">
        <v>23210</v>
      </c>
      <c r="G515" s="45" t="s">
        <v>6667</v>
      </c>
      <c r="H515" s="55" t="s">
        <v>6668</v>
      </c>
      <c r="I515" s="15" t="s">
        <v>96</v>
      </c>
    </row>
    <row r="516" spans="1:9" ht="51.75" customHeight="1" x14ac:dyDescent="0.35">
      <c r="A516" s="15" t="s">
        <v>22945</v>
      </c>
      <c r="B516" s="15" t="s">
        <v>23232</v>
      </c>
      <c r="C516" s="15" t="s">
        <v>23230</v>
      </c>
      <c r="D516" s="31">
        <v>41088</v>
      </c>
      <c r="E516" s="15" t="s">
        <v>23233</v>
      </c>
      <c r="F516" s="87" t="s">
        <v>21871</v>
      </c>
      <c r="G516" s="45" t="s">
        <v>6667</v>
      </c>
      <c r="H516" s="55" t="s">
        <v>6668</v>
      </c>
      <c r="I516" s="15" t="s">
        <v>96</v>
      </c>
    </row>
    <row r="517" spans="1:9" ht="51.75" customHeight="1" x14ac:dyDescent="0.35">
      <c r="A517" s="15" t="s">
        <v>23234</v>
      </c>
      <c r="B517" s="15" t="s">
        <v>23235</v>
      </c>
      <c r="C517" s="15" t="s">
        <v>23236</v>
      </c>
      <c r="D517" s="31">
        <v>41088</v>
      </c>
      <c r="E517" s="15" t="s">
        <v>23237</v>
      </c>
      <c r="F517" s="87" t="s">
        <v>23210</v>
      </c>
      <c r="G517" s="45" t="s">
        <v>6667</v>
      </c>
      <c r="H517" s="55" t="s">
        <v>6668</v>
      </c>
      <c r="I517" s="15" t="s">
        <v>96</v>
      </c>
    </row>
    <row r="518" spans="1:9" ht="51.75" customHeight="1" x14ac:dyDescent="0.35">
      <c r="A518" s="15" t="s">
        <v>23234</v>
      </c>
      <c r="B518" s="15" t="s">
        <v>23238</v>
      </c>
      <c r="C518" s="15" t="s">
        <v>23236</v>
      </c>
      <c r="D518" s="31">
        <v>41088</v>
      </c>
      <c r="E518" s="15" t="s">
        <v>23239</v>
      </c>
      <c r="F518" s="87" t="s">
        <v>21871</v>
      </c>
      <c r="G518" s="45" t="s">
        <v>6667</v>
      </c>
      <c r="H518" s="55" t="s">
        <v>6668</v>
      </c>
      <c r="I518" s="15" t="s">
        <v>96</v>
      </c>
    </row>
    <row r="519" spans="1:9" ht="51.75" customHeight="1" x14ac:dyDescent="0.35">
      <c r="A519" s="15" t="s">
        <v>23240</v>
      </c>
      <c r="B519" s="15" t="s">
        <v>23241</v>
      </c>
      <c r="C519" s="15" t="s">
        <v>23242</v>
      </c>
      <c r="D519" s="31">
        <v>41038</v>
      </c>
      <c r="E519" s="15" t="s">
        <v>23243</v>
      </c>
      <c r="F519" s="87" t="s">
        <v>23210</v>
      </c>
      <c r="G519" s="45" t="s">
        <v>6290</v>
      </c>
      <c r="H519" s="55" t="s">
        <v>6291</v>
      </c>
      <c r="I519" s="15" t="s">
        <v>96</v>
      </c>
    </row>
    <row r="520" spans="1:9" ht="51.75" customHeight="1" x14ac:dyDescent="0.35">
      <c r="A520" s="15" t="s">
        <v>23240</v>
      </c>
      <c r="B520" s="15" t="s">
        <v>23244</v>
      </c>
      <c r="C520" s="15" t="s">
        <v>23242</v>
      </c>
      <c r="D520" s="31">
        <v>41038</v>
      </c>
      <c r="E520" s="15" t="s">
        <v>23245</v>
      </c>
      <c r="F520" s="87" t="s">
        <v>21871</v>
      </c>
      <c r="G520" s="45" t="s">
        <v>6290</v>
      </c>
      <c r="H520" s="55" t="s">
        <v>6291</v>
      </c>
      <c r="I520" s="15" t="s">
        <v>96</v>
      </c>
    </row>
    <row r="521" spans="1:9" ht="51.75" customHeight="1" x14ac:dyDescent="0.35">
      <c r="A521" s="15" t="s">
        <v>23246</v>
      </c>
      <c r="B521" s="15" t="s">
        <v>23247</v>
      </c>
      <c r="C521" s="15" t="s">
        <v>23248</v>
      </c>
      <c r="D521" s="31">
        <v>41038</v>
      </c>
      <c r="E521" s="15" t="s">
        <v>23249</v>
      </c>
      <c r="F521" s="87" t="s">
        <v>23210</v>
      </c>
      <c r="G521" s="45" t="s">
        <v>6290</v>
      </c>
      <c r="H521" s="55" t="s">
        <v>6291</v>
      </c>
      <c r="I521" s="15" t="s">
        <v>96</v>
      </c>
    </row>
    <row r="522" spans="1:9" ht="51.75" customHeight="1" x14ac:dyDescent="0.35">
      <c r="A522" s="15" t="s">
        <v>23246</v>
      </c>
      <c r="B522" s="15" t="s">
        <v>23250</v>
      </c>
      <c r="C522" s="15" t="s">
        <v>23248</v>
      </c>
      <c r="D522" s="31">
        <v>41038</v>
      </c>
      <c r="E522" s="15" t="s">
        <v>23251</v>
      </c>
      <c r="F522" s="87" t="s">
        <v>21871</v>
      </c>
      <c r="G522" s="45" t="s">
        <v>6290</v>
      </c>
      <c r="H522" s="55" t="s">
        <v>6291</v>
      </c>
      <c r="I522" s="15" t="s">
        <v>96</v>
      </c>
    </row>
    <row r="523" spans="1:9" ht="51.75" customHeight="1" x14ac:dyDescent="0.35">
      <c r="A523" s="15" t="s">
        <v>23252</v>
      </c>
      <c r="B523" s="15" t="s">
        <v>23253</v>
      </c>
      <c r="C523" s="15" t="s">
        <v>23254</v>
      </c>
      <c r="D523" s="31">
        <v>41038</v>
      </c>
      <c r="E523" s="15" t="s">
        <v>23255</v>
      </c>
      <c r="F523" s="87" t="s">
        <v>23210</v>
      </c>
      <c r="G523" s="45" t="s">
        <v>6290</v>
      </c>
      <c r="H523" s="55" t="s">
        <v>6291</v>
      </c>
      <c r="I523" s="15" t="s">
        <v>96</v>
      </c>
    </row>
    <row r="524" spans="1:9" ht="51.75" customHeight="1" x14ac:dyDescent="0.35">
      <c r="A524" s="15" t="s">
        <v>23252</v>
      </c>
      <c r="B524" s="15" t="s">
        <v>23256</v>
      </c>
      <c r="C524" s="15" t="s">
        <v>23254</v>
      </c>
      <c r="D524" s="31">
        <v>41038</v>
      </c>
      <c r="E524" s="15" t="s">
        <v>23257</v>
      </c>
      <c r="F524" s="87" t="s">
        <v>21871</v>
      </c>
      <c r="G524" s="45" t="s">
        <v>6290</v>
      </c>
      <c r="H524" s="55" t="s">
        <v>6291</v>
      </c>
      <c r="I524" s="15" t="s">
        <v>96</v>
      </c>
    </row>
    <row r="525" spans="1:9" ht="51.75" customHeight="1" x14ac:dyDescent="0.35">
      <c r="A525" s="15" t="s">
        <v>23258</v>
      </c>
      <c r="B525" s="15" t="s">
        <v>23259</v>
      </c>
      <c r="C525" s="15" t="s">
        <v>23260</v>
      </c>
      <c r="D525" s="31">
        <v>41038</v>
      </c>
      <c r="E525" s="15" t="s">
        <v>23261</v>
      </c>
      <c r="F525" s="87" t="s">
        <v>23210</v>
      </c>
      <c r="G525" s="45" t="s">
        <v>6290</v>
      </c>
      <c r="H525" s="55" t="s">
        <v>6291</v>
      </c>
      <c r="I525" s="15" t="s">
        <v>96</v>
      </c>
    </row>
    <row r="526" spans="1:9" ht="51.75" customHeight="1" x14ac:dyDescent="0.35">
      <c r="A526" s="15" t="s">
        <v>23258</v>
      </c>
      <c r="B526" s="15" t="s">
        <v>23262</v>
      </c>
      <c r="C526" s="15" t="s">
        <v>23260</v>
      </c>
      <c r="D526" s="31">
        <v>41038</v>
      </c>
      <c r="E526" s="15" t="s">
        <v>23263</v>
      </c>
      <c r="F526" s="87" t="s">
        <v>21871</v>
      </c>
      <c r="G526" s="45" t="s">
        <v>6290</v>
      </c>
      <c r="H526" s="55" t="s">
        <v>6291</v>
      </c>
      <c r="I526" s="15" t="s">
        <v>96</v>
      </c>
    </row>
    <row r="527" spans="1:9" ht="51.75" customHeight="1" x14ac:dyDescent="0.35">
      <c r="A527" s="15" t="s">
        <v>23264</v>
      </c>
      <c r="B527" s="15" t="s">
        <v>23265</v>
      </c>
      <c r="C527" s="15" t="s">
        <v>23266</v>
      </c>
      <c r="D527" s="31">
        <v>42244</v>
      </c>
      <c r="E527" s="15" t="s">
        <v>23267</v>
      </c>
      <c r="F527" s="87" t="s">
        <v>21871</v>
      </c>
      <c r="G527" s="45" t="s">
        <v>6090</v>
      </c>
      <c r="H527" s="55" t="s">
        <v>6091</v>
      </c>
      <c r="I527" s="15" t="s">
        <v>96</v>
      </c>
    </row>
    <row r="528" spans="1:9" ht="51.75" customHeight="1" x14ac:dyDescent="0.35">
      <c r="A528" s="15" t="s">
        <v>22223</v>
      </c>
      <c r="B528" s="15" t="s">
        <v>23268</v>
      </c>
      <c r="C528" s="15" t="s">
        <v>23269</v>
      </c>
      <c r="D528" s="31">
        <v>42244</v>
      </c>
      <c r="E528" s="15" t="s">
        <v>23270</v>
      </c>
      <c r="F528" s="87" t="s">
        <v>21871</v>
      </c>
      <c r="G528" s="45" t="s">
        <v>6090</v>
      </c>
      <c r="H528" s="55" t="s">
        <v>6091</v>
      </c>
      <c r="I528" s="15" t="s">
        <v>96</v>
      </c>
    </row>
    <row r="529" spans="1:9" ht="51.75" customHeight="1" x14ac:dyDescent="0.35">
      <c r="A529" s="15" t="s">
        <v>23271</v>
      </c>
      <c r="B529" s="15" t="s">
        <v>23272</v>
      </c>
      <c r="C529" s="15" t="s">
        <v>23273</v>
      </c>
      <c r="D529" s="31">
        <v>41100</v>
      </c>
      <c r="E529" s="15" t="s">
        <v>23274</v>
      </c>
      <c r="F529" s="87" t="s">
        <v>23210</v>
      </c>
      <c r="G529" s="45" t="s">
        <v>5834</v>
      </c>
      <c r="H529" s="55" t="s">
        <v>5835</v>
      </c>
      <c r="I529" s="15" t="s">
        <v>96</v>
      </c>
    </row>
    <row r="530" spans="1:9" ht="51.75" customHeight="1" x14ac:dyDescent="0.35">
      <c r="A530" s="15" t="s">
        <v>23271</v>
      </c>
      <c r="B530" s="15" t="s">
        <v>23275</v>
      </c>
      <c r="C530" s="15" t="s">
        <v>23273</v>
      </c>
      <c r="D530" s="31">
        <v>41100</v>
      </c>
      <c r="E530" s="15" t="s">
        <v>23276</v>
      </c>
      <c r="F530" s="87" t="s">
        <v>21871</v>
      </c>
      <c r="G530" s="45" t="s">
        <v>5834</v>
      </c>
      <c r="H530" s="55" t="s">
        <v>5835</v>
      </c>
      <c r="I530" s="15" t="s">
        <v>96</v>
      </c>
    </row>
    <row r="531" spans="1:9" ht="51.75" customHeight="1" x14ac:dyDescent="0.35">
      <c r="A531" s="15" t="s">
        <v>23277</v>
      </c>
      <c r="B531" s="15" t="s">
        <v>23278</v>
      </c>
      <c r="C531" s="15" t="s">
        <v>23279</v>
      </c>
      <c r="D531" s="31">
        <v>41100</v>
      </c>
      <c r="E531" s="15" t="s">
        <v>23280</v>
      </c>
      <c r="F531" s="87" t="s">
        <v>23210</v>
      </c>
      <c r="G531" s="45" t="s">
        <v>5834</v>
      </c>
      <c r="H531" s="55" t="s">
        <v>5835</v>
      </c>
      <c r="I531" s="15" t="s">
        <v>96</v>
      </c>
    </row>
    <row r="532" spans="1:9" ht="51.75" customHeight="1" x14ac:dyDescent="0.35">
      <c r="A532" s="15" t="s">
        <v>23277</v>
      </c>
      <c r="B532" s="15" t="s">
        <v>23281</v>
      </c>
      <c r="C532" s="15" t="s">
        <v>23279</v>
      </c>
      <c r="D532" s="31">
        <v>41100</v>
      </c>
      <c r="E532" s="15" t="s">
        <v>23282</v>
      </c>
      <c r="F532" s="87" t="s">
        <v>21871</v>
      </c>
      <c r="G532" s="45" t="s">
        <v>5834</v>
      </c>
      <c r="H532" s="55" t="s">
        <v>5835</v>
      </c>
      <c r="I532" s="15" t="s">
        <v>96</v>
      </c>
    </row>
    <row r="533" spans="1:9" ht="51.75" customHeight="1" x14ac:dyDescent="0.35">
      <c r="A533" s="15" t="s">
        <v>23283</v>
      </c>
      <c r="B533" s="15" t="s">
        <v>23284</v>
      </c>
      <c r="C533" s="15" t="s">
        <v>23285</v>
      </c>
      <c r="D533" s="31">
        <v>41100</v>
      </c>
      <c r="E533" s="15" t="s">
        <v>23286</v>
      </c>
      <c r="F533" s="87" t="s">
        <v>23210</v>
      </c>
      <c r="G533" s="45" t="s">
        <v>5834</v>
      </c>
      <c r="H533" s="55" t="s">
        <v>5835</v>
      </c>
      <c r="I533" s="15" t="s">
        <v>96</v>
      </c>
    </row>
    <row r="534" spans="1:9" ht="51.75" customHeight="1" x14ac:dyDescent="0.35">
      <c r="A534" s="15" t="s">
        <v>23283</v>
      </c>
      <c r="B534" s="15" t="s">
        <v>23287</v>
      </c>
      <c r="C534" s="15" t="s">
        <v>23285</v>
      </c>
      <c r="D534" s="31">
        <v>41100</v>
      </c>
      <c r="E534" s="15" t="s">
        <v>23288</v>
      </c>
      <c r="F534" s="87" t="s">
        <v>21871</v>
      </c>
      <c r="G534" s="45" t="s">
        <v>5834</v>
      </c>
      <c r="H534" s="55" t="s">
        <v>5835</v>
      </c>
      <c r="I534" s="15" t="s">
        <v>96</v>
      </c>
    </row>
    <row r="535" spans="1:9" ht="51.75" customHeight="1" x14ac:dyDescent="0.35">
      <c r="A535" s="15" t="s">
        <v>23289</v>
      </c>
      <c r="B535" s="15" t="s">
        <v>23290</v>
      </c>
      <c r="C535" s="15" t="s">
        <v>23291</v>
      </c>
      <c r="D535" s="31">
        <v>41089</v>
      </c>
      <c r="E535" s="15" t="s">
        <v>23292</v>
      </c>
      <c r="F535" s="87" t="s">
        <v>23210</v>
      </c>
      <c r="G535" s="45" t="s">
        <v>5668</v>
      </c>
      <c r="H535" s="55" t="s">
        <v>5669</v>
      </c>
      <c r="I535" s="15" t="s">
        <v>96</v>
      </c>
    </row>
    <row r="536" spans="1:9" ht="51.75" customHeight="1" x14ac:dyDescent="0.35">
      <c r="A536" s="15" t="s">
        <v>23289</v>
      </c>
      <c r="B536" s="15" t="s">
        <v>23293</v>
      </c>
      <c r="C536" s="15" t="s">
        <v>23291</v>
      </c>
      <c r="D536" s="31">
        <v>41089</v>
      </c>
      <c r="E536" s="15" t="s">
        <v>23294</v>
      </c>
      <c r="F536" s="87" t="s">
        <v>21871</v>
      </c>
      <c r="G536" s="45" t="s">
        <v>5668</v>
      </c>
      <c r="H536" s="55" t="s">
        <v>5669</v>
      </c>
      <c r="I536" s="15" t="s">
        <v>96</v>
      </c>
    </row>
    <row r="537" spans="1:9" ht="51.75" customHeight="1" x14ac:dyDescent="0.35">
      <c r="A537" s="15" t="s">
        <v>22015</v>
      </c>
      <c r="B537" s="15" t="s">
        <v>23295</v>
      </c>
      <c r="C537" s="15" t="s">
        <v>23296</v>
      </c>
      <c r="D537" s="31">
        <v>41089</v>
      </c>
      <c r="E537" s="15" t="s">
        <v>23297</v>
      </c>
      <c r="F537" s="87" t="s">
        <v>23210</v>
      </c>
      <c r="G537" s="45" t="s">
        <v>5668</v>
      </c>
      <c r="H537" s="55" t="s">
        <v>5669</v>
      </c>
      <c r="I537" s="15" t="s">
        <v>96</v>
      </c>
    </row>
    <row r="538" spans="1:9" ht="51.75" customHeight="1" x14ac:dyDescent="0.35">
      <c r="A538" s="15" t="s">
        <v>22015</v>
      </c>
      <c r="B538" s="15" t="s">
        <v>23298</v>
      </c>
      <c r="C538" s="15" t="s">
        <v>23296</v>
      </c>
      <c r="D538" s="31">
        <v>41089</v>
      </c>
      <c r="E538" s="15" t="s">
        <v>23299</v>
      </c>
      <c r="F538" s="87" t="s">
        <v>21871</v>
      </c>
      <c r="G538" s="45" t="s">
        <v>5668</v>
      </c>
      <c r="H538" s="55" t="s">
        <v>5669</v>
      </c>
      <c r="I538" s="15" t="s">
        <v>96</v>
      </c>
    </row>
    <row r="539" spans="1:9" ht="51.75" customHeight="1" x14ac:dyDescent="0.35">
      <c r="A539" s="15" t="s">
        <v>22213</v>
      </c>
      <c r="B539" s="15" t="s">
        <v>23300</v>
      </c>
      <c r="C539" s="15" t="s">
        <v>23301</v>
      </c>
      <c r="D539" s="31">
        <v>41089</v>
      </c>
      <c r="E539" s="15" t="s">
        <v>23302</v>
      </c>
      <c r="F539" s="87" t="s">
        <v>23210</v>
      </c>
      <c r="G539" s="45" t="s">
        <v>5668</v>
      </c>
      <c r="H539" s="55" t="s">
        <v>5669</v>
      </c>
      <c r="I539" s="15" t="s">
        <v>96</v>
      </c>
    </row>
    <row r="540" spans="1:9" ht="51.75" customHeight="1" x14ac:dyDescent="0.35">
      <c r="A540" s="15" t="s">
        <v>22213</v>
      </c>
      <c r="B540" s="15" t="s">
        <v>23303</v>
      </c>
      <c r="C540" s="15" t="s">
        <v>23301</v>
      </c>
      <c r="D540" s="31">
        <v>41089</v>
      </c>
      <c r="E540" s="15" t="s">
        <v>23304</v>
      </c>
      <c r="F540" s="87" t="s">
        <v>21871</v>
      </c>
      <c r="G540" s="45" t="s">
        <v>5668</v>
      </c>
      <c r="H540" s="55" t="s">
        <v>5669</v>
      </c>
      <c r="I540" s="15" t="s">
        <v>96</v>
      </c>
    </row>
    <row r="541" spans="1:9" ht="51.75" customHeight="1" x14ac:dyDescent="0.35">
      <c r="A541" s="15">
        <v>1</v>
      </c>
      <c r="B541" s="15" t="s">
        <v>23305</v>
      </c>
      <c r="C541" s="15" t="s">
        <v>23306</v>
      </c>
      <c r="D541" s="31">
        <v>40989</v>
      </c>
      <c r="E541" s="15" t="s">
        <v>23306</v>
      </c>
      <c r="F541" s="87"/>
      <c r="G541" s="45" t="s">
        <v>5555</v>
      </c>
      <c r="H541" s="55" t="s">
        <v>5556</v>
      </c>
      <c r="I541" s="15" t="s">
        <v>96</v>
      </c>
    </row>
    <row r="542" spans="1:9" ht="51.75" customHeight="1" x14ac:dyDescent="0.35">
      <c r="A542" s="15">
        <v>2</v>
      </c>
      <c r="B542" s="15" t="s">
        <v>23307</v>
      </c>
      <c r="C542" s="15" t="s">
        <v>23308</v>
      </c>
      <c r="D542" s="31">
        <v>40989</v>
      </c>
      <c r="E542" s="15" t="s">
        <v>23308</v>
      </c>
      <c r="F542" s="87"/>
      <c r="G542" s="45" t="s">
        <v>5555</v>
      </c>
      <c r="H542" s="55" t="s">
        <v>5556</v>
      </c>
      <c r="I542" s="15" t="s">
        <v>96</v>
      </c>
    </row>
    <row r="543" spans="1:9" ht="51.75" customHeight="1" x14ac:dyDescent="0.35">
      <c r="A543" s="15" t="s">
        <v>23309</v>
      </c>
      <c r="B543" s="15" t="s">
        <v>23310</v>
      </c>
      <c r="C543" s="15" t="s">
        <v>23266</v>
      </c>
      <c r="D543" s="31">
        <v>41499</v>
      </c>
      <c r="E543" s="15" t="s">
        <v>23311</v>
      </c>
      <c r="F543" s="87" t="s">
        <v>23210</v>
      </c>
      <c r="G543" s="45" t="s">
        <v>7727</v>
      </c>
      <c r="H543" s="55" t="s">
        <v>7728</v>
      </c>
      <c r="I543" s="15" t="s">
        <v>96</v>
      </c>
    </row>
    <row r="544" spans="1:9" ht="51.75" customHeight="1" x14ac:dyDescent="0.35">
      <c r="A544" s="15" t="s">
        <v>23309</v>
      </c>
      <c r="B544" s="15" t="s">
        <v>23312</v>
      </c>
      <c r="C544" s="15" t="s">
        <v>23266</v>
      </c>
      <c r="D544" s="31">
        <v>41499</v>
      </c>
      <c r="E544" s="15" t="s">
        <v>23313</v>
      </c>
      <c r="F544" s="87" t="s">
        <v>21871</v>
      </c>
      <c r="G544" s="45" t="s">
        <v>7727</v>
      </c>
      <c r="H544" s="55" t="s">
        <v>7728</v>
      </c>
      <c r="I544" s="15" t="s">
        <v>96</v>
      </c>
    </row>
    <row r="545" spans="1:9" ht="51.75" customHeight="1" x14ac:dyDescent="0.35">
      <c r="A545" s="15" t="s">
        <v>23314</v>
      </c>
      <c r="B545" s="15" t="s">
        <v>23315</v>
      </c>
      <c r="C545" s="15" t="s">
        <v>23269</v>
      </c>
      <c r="D545" s="31">
        <v>41499</v>
      </c>
      <c r="E545" s="15" t="s">
        <v>23316</v>
      </c>
      <c r="F545" s="87" t="s">
        <v>23210</v>
      </c>
      <c r="G545" s="45" t="s">
        <v>7727</v>
      </c>
      <c r="H545" s="55" t="s">
        <v>7728</v>
      </c>
      <c r="I545" s="15" t="s">
        <v>96</v>
      </c>
    </row>
    <row r="546" spans="1:9" ht="51.75" customHeight="1" x14ac:dyDescent="0.35">
      <c r="A546" s="15" t="s">
        <v>23314</v>
      </c>
      <c r="B546" s="15" t="s">
        <v>23317</v>
      </c>
      <c r="C546" s="15" t="s">
        <v>23269</v>
      </c>
      <c r="D546" s="31">
        <v>41499</v>
      </c>
      <c r="E546" s="15" t="s">
        <v>23318</v>
      </c>
      <c r="F546" s="87" t="s">
        <v>21871</v>
      </c>
      <c r="G546" s="45" t="s">
        <v>7727</v>
      </c>
      <c r="H546" s="55" t="s">
        <v>7728</v>
      </c>
      <c r="I546" s="15" t="s">
        <v>96</v>
      </c>
    </row>
    <row r="547" spans="1:9" ht="51.75" customHeight="1" x14ac:dyDescent="0.35">
      <c r="A547" s="15" t="s">
        <v>23319</v>
      </c>
      <c r="B547" s="15" t="s">
        <v>23320</v>
      </c>
      <c r="C547" s="15" t="s">
        <v>23321</v>
      </c>
      <c r="D547" s="31">
        <v>41499</v>
      </c>
      <c r="E547" s="15" t="s">
        <v>23322</v>
      </c>
      <c r="F547" s="87" t="s">
        <v>23210</v>
      </c>
      <c r="G547" s="45" t="s">
        <v>7727</v>
      </c>
      <c r="H547" s="55" t="s">
        <v>7728</v>
      </c>
      <c r="I547" s="15" t="s">
        <v>96</v>
      </c>
    </row>
    <row r="548" spans="1:9" ht="51.75" customHeight="1" x14ac:dyDescent="0.35">
      <c r="A548" s="15" t="s">
        <v>23319</v>
      </c>
      <c r="B548" s="15" t="s">
        <v>23323</v>
      </c>
      <c r="C548" s="15" t="s">
        <v>23321</v>
      </c>
      <c r="D548" s="31">
        <v>41499</v>
      </c>
      <c r="E548" s="15" t="s">
        <v>23324</v>
      </c>
      <c r="F548" s="87" t="s">
        <v>21871</v>
      </c>
      <c r="G548" s="45" t="s">
        <v>7727</v>
      </c>
      <c r="H548" s="55" t="s">
        <v>7728</v>
      </c>
      <c r="I548" s="15" t="s">
        <v>96</v>
      </c>
    </row>
    <row r="549" spans="1:9" ht="51.75" customHeight="1" x14ac:dyDescent="0.35">
      <c r="A549" s="15" t="s">
        <v>23325</v>
      </c>
      <c r="B549" s="15" t="s">
        <v>23326</v>
      </c>
      <c r="C549" s="15" t="s">
        <v>23327</v>
      </c>
      <c r="D549" s="31" t="s">
        <v>50</v>
      </c>
      <c r="E549" s="15" t="s">
        <v>23328</v>
      </c>
      <c r="F549" s="87" t="s">
        <v>21871</v>
      </c>
      <c r="G549" s="45" t="s">
        <v>7064</v>
      </c>
      <c r="H549" s="55" t="s">
        <v>7065</v>
      </c>
      <c r="I549" s="15" t="s">
        <v>96</v>
      </c>
    </row>
    <row r="550" spans="1:9" ht="51.75" customHeight="1" x14ac:dyDescent="0.35">
      <c r="A550" s="15" t="s">
        <v>23329</v>
      </c>
      <c r="B550" s="15" t="s">
        <v>23330</v>
      </c>
      <c r="C550" s="15" t="s">
        <v>23331</v>
      </c>
      <c r="D550" s="31">
        <v>41422</v>
      </c>
      <c r="E550" s="15" t="s">
        <v>23332</v>
      </c>
      <c r="F550" s="87" t="s">
        <v>21871</v>
      </c>
      <c r="G550" s="45" t="s">
        <v>7064</v>
      </c>
      <c r="H550" s="55" t="s">
        <v>7065</v>
      </c>
      <c r="I550" s="15" t="s">
        <v>96</v>
      </c>
    </row>
    <row r="551" spans="1:9" ht="51.75" customHeight="1" x14ac:dyDescent="0.35">
      <c r="A551" s="15" t="s">
        <v>23333</v>
      </c>
      <c r="B551" s="15" t="s">
        <v>23334</v>
      </c>
      <c r="C551" s="15" t="s">
        <v>23335</v>
      </c>
      <c r="D551" s="31">
        <v>41422</v>
      </c>
      <c r="E551" s="15" t="s">
        <v>23336</v>
      </c>
      <c r="F551" s="87" t="s">
        <v>21871</v>
      </c>
      <c r="G551" s="45" t="s">
        <v>7064</v>
      </c>
      <c r="H551" s="55" t="s">
        <v>7065</v>
      </c>
      <c r="I551" s="15" t="s">
        <v>96</v>
      </c>
    </row>
    <row r="552" spans="1:9" ht="51.75" customHeight="1" x14ac:dyDescent="0.35">
      <c r="A552" s="15" t="s">
        <v>23337</v>
      </c>
      <c r="B552" s="15" t="s">
        <v>23338</v>
      </c>
      <c r="C552" s="15" t="s">
        <v>23339</v>
      </c>
      <c r="D552" s="31">
        <v>41753</v>
      </c>
      <c r="E552" s="15" t="s">
        <v>23340</v>
      </c>
      <c r="F552" s="87" t="s">
        <v>21871</v>
      </c>
      <c r="G552" s="45" t="s">
        <v>8630</v>
      </c>
      <c r="H552" s="55" t="s">
        <v>8631</v>
      </c>
      <c r="I552" s="15" t="s">
        <v>96</v>
      </c>
    </row>
    <row r="553" spans="1:9" ht="51.75" customHeight="1" x14ac:dyDescent="0.35">
      <c r="A553" s="15" t="s">
        <v>23341</v>
      </c>
      <c r="B553" s="15" t="s">
        <v>23342</v>
      </c>
      <c r="C553" s="15" t="s">
        <v>23343</v>
      </c>
      <c r="D553" s="31" t="s">
        <v>50</v>
      </c>
      <c r="E553" s="15" t="s">
        <v>23344</v>
      </c>
      <c r="F553" s="87" t="s">
        <v>21871</v>
      </c>
      <c r="G553" s="45" t="s">
        <v>8932</v>
      </c>
      <c r="H553" s="55" t="s">
        <v>8933</v>
      </c>
      <c r="I553" s="15" t="s">
        <v>96</v>
      </c>
    </row>
    <row r="554" spans="1:9" ht="51.75" customHeight="1" x14ac:dyDescent="0.35">
      <c r="A554" s="15" t="s">
        <v>23345</v>
      </c>
      <c r="B554" s="15" t="s">
        <v>23346</v>
      </c>
      <c r="C554" s="15" t="s">
        <v>23347</v>
      </c>
      <c r="D554" s="31" t="s">
        <v>50</v>
      </c>
      <c r="E554" s="15" t="s">
        <v>23348</v>
      </c>
      <c r="F554" s="87" t="s">
        <v>21871</v>
      </c>
      <c r="G554" s="45" t="s">
        <v>8932</v>
      </c>
      <c r="H554" s="55" t="s">
        <v>8933</v>
      </c>
      <c r="I554" s="15" t="s">
        <v>96</v>
      </c>
    </row>
    <row r="555" spans="1:9" ht="51.75" customHeight="1" x14ac:dyDescent="0.35">
      <c r="A555" s="15" t="s">
        <v>23349</v>
      </c>
      <c r="B555" s="15" t="s">
        <v>23350</v>
      </c>
      <c r="C555" s="15" t="s">
        <v>23351</v>
      </c>
      <c r="D555" s="31" t="s">
        <v>50</v>
      </c>
      <c r="E555" s="15" t="s">
        <v>23352</v>
      </c>
      <c r="F555" s="87" t="s">
        <v>21871</v>
      </c>
      <c r="G555" s="45" t="s">
        <v>8932</v>
      </c>
      <c r="H555" s="55" t="s">
        <v>8933</v>
      </c>
      <c r="I555" s="15" t="s">
        <v>96</v>
      </c>
    </row>
    <row r="556" spans="1:9" ht="51.75" customHeight="1" x14ac:dyDescent="0.35">
      <c r="A556" s="15" t="s">
        <v>23353</v>
      </c>
      <c r="B556" s="15" t="s">
        <v>23354</v>
      </c>
      <c r="C556" s="15" t="s">
        <v>23355</v>
      </c>
      <c r="D556" s="31" t="s">
        <v>50</v>
      </c>
      <c r="E556" s="15" t="s">
        <v>23356</v>
      </c>
      <c r="F556" s="87" t="s">
        <v>21871</v>
      </c>
      <c r="G556" s="45" t="s">
        <v>8932</v>
      </c>
      <c r="H556" s="55" t="s">
        <v>8933</v>
      </c>
      <c r="I556" s="15" t="s">
        <v>96</v>
      </c>
    </row>
    <row r="557" spans="1:9" ht="51.75" customHeight="1" x14ac:dyDescent="0.35">
      <c r="A557" s="15" t="s">
        <v>23357</v>
      </c>
      <c r="B557" s="15" t="s">
        <v>23358</v>
      </c>
      <c r="C557" s="15" t="s">
        <v>23359</v>
      </c>
      <c r="D557" s="31" t="s">
        <v>50</v>
      </c>
      <c r="E557" s="15" t="s">
        <v>23360</v>
      </c>
      <c r="F557" s="87" t="s">
        <v>21871</v>
      </c>
      <c r="G557" s="45" t="s">
        <v>8932</v>
      </c>
      <c r="H557" s="55" t="s">
        <v>8933</v>
      </c>
      <c r="I557" s="15" t="s">
        <v>96</v>
      </c>
    </row>
    <row r="558" spans="1:9" ht="51.75" customHeight="1" x14ac:dyDescent="0.35">
      <c r="A558" s="15" t="s">
        <v>23361</v>
      </c>
      <c r="B558" s="15" t="s">
        <v>23362</v>
      </c>
      <c r="C558" s="15" t="s">
        <v>23363</v>
      </c>
      <c r="D558" s="31" t="s">
        <v>50</v>
      </c>
      <c r="E558" s="15" t="s">
        <v>23364</v>
      </c>
      <c r="F558" s="87" t="s">
        <v>21871</v>
      </c>
      <c r="G558" s="45" t="s">
        <v>8932</v>
      </c>
      <c r="H558" s="55" t="s">
        <v>8933</v>
      </c>
      <c r="I558" s="15" t="s">
        <v>96</v>
      </c>
    </row>
    <row r="559" spans="1:9" ht="51.75" customHeight="1" x14ac:dyDescent="0.35">
      <c r="A559" s="15" t="s">
        <v>22110</v>
      </c>
      <c r="B559" s="15" t="s">
        <v>23365</v>
      </c>
      <c r="C559" s="15" t="s">
        <v>23266</v>
      </c>
      <c r="D559" s="31">
        <v>42160</v>
      </c>
      <c r="E559" s="15" t="s">
        <v>23366</v>
      </c>
      <c r="F559" s="87" t="s">
        <v>21871</v>
      </c>
      <c r="G559" s="45" t="s">
        <v>9248</v>
      </c>
      <c r="H559" s="55" t="s">
        <v>9249</v>
      </c>
      <c r="I559" s="15" t="s">
        <v>96</v>
      </c>
    </row>
    <row r="560" spans="1:9" ht="51.75" customHeight="1" x14ac:dyDescent="0.35">
      <c r="A560" s="15" t="s">
        <v>23219</v>
      </c>
      <c r="B560" s="15" t="s">
        <v>23367</v>
      </c>
      <c r="C560" s="15" t="s">
        <v>23368</v>
      </c>
      <c r="D560" s="31">
        <v>42389</v>
      </c>
      <c r="E560" s="15" t="s">
        <v>23369</v>
      </c>
      <c r="F560" s="87" t="s">
        <v>21871</v>
      </c>
      <c r="G560" s="45" t="s">
        <v>9395</v>
      </c>
      <c r="H560" s="55" t="s">
        <v>9396</v>
      </c>
      <c r="I560" s="15" t="s">
        <v>96</v>
      </c>
    </row>
    <row r="561" spans="1:9" ht="51.75" customHeight="1" x14ac:dyDescent="0.35">
      <c r="A561" s="15" t="s">
        <v>23197</v>
      </c>
      <c r="B561" s="15" t="s">
        <v>23370</v>
      </c>
      <c r="C561" s="15" t="s">
        <v>23371</v>
      </c>
      <c r="D561" s="31">
        <v>42389</v>
      </c>
      <c r="E561" s="15" t="s">
        <v>23372</v>
      </c>
      <c r="F561" s="87" t="s">
        <v>21871</v>
      </c>
      <c r="G561" s="45" t="s">
        <v>9395</v>
      </c>
      <c r="H561" s="55" t="s">
        <v>9396</v>
      </c>
      <c r="I561" s="15" t="s">
        <v>96</v>
      </c>
    </row>
    <row r="562" spans="1:9" ht="51.75" customHeight="1" x14ac:dyDescent="0.35">
      <c r="A562" s="15" t="s">
        <v>23200</v>
      </c>
      <c r="B562" s="15" t="s">
        <v>23373</v>
      </c>
      <c r="C562" s="15" t="s">
        <v>23374</v>
      </c>
      <c r="D562" s="31">
        <v>42389</v>
      </c>
      <c r="E562" s="15" t="s">
        <v>23375</v>
      </c>
      <c r="F562" s="87" t="s">
        <v>21871</v>
      </c>
      <c r="G562" s="45" t="s">
        <v>9395</v>
      </c>
      <c r="H562" s="55" t="s">
        <v>9396</v>
      </c>
      <c r="I562" s="15" t="s">
        <v>96</v>
      </c>
    </row>
    <row r="563" spans="1:9" ht="51.75" customHeight="1" x14ac:dyDescent="0.35">
      <c r="A563" s="15" t="s">
        <v>23376</v>
      </c>
      <c r="B563" s="15" t="s">
        <v>23377</v>
      </c>
      <c r="C563" s="15" t="s">
        <v>23378</v>
      </c>
      <c r="D563" s="31">
        <v>42174</v>
      </c>
      <c r="E563" s="15" t="s">
        <v>23379</v>
      </c>
      <c r="F563" s="87" t="s">
        <v>21871</v>
      </c>
      <c r="G563" s="45" t="s">
        <v>9447</v>
      </c>
      <c r="H563" s="55" t="s">
        <v>9448</v>
      </c>
      <c r="I563" s="15" t="s">
        <v>96</v>
      </c>
    </row>
    <row r="564" spans="1:9" ht="51.75" customHeight="1" x14ac:dyDescent="0.35">
      <c r="A564" s="15" t="s">
        <v>23380</v>
      </c>
      <c r="B564" s="15" t="s">
        <v>23381</v>
      </c>
      <c r="C564" s="15" t="s">
        <v>23382</v>
      </c>
      <c r="D564" s="31">
        <v>42174</v>
      </c>
      <c r="E564" s="15" t="s">
        <v>23383</v>
      </c>
      <c r="F564" s="87" t="s">
        <v>21871</v>
      </c>
      <c r="G564" s="45" t="s">
        <v>9447</v>
      </c>
      <c r="H564" s="55" t="s">
        <v>9448</v>
      </c>
      <c r="I564" s="15" t="s">
        <v>96</v>
      </c>
    </row>
    <row r="565" spans="1:9" ht="51.75" customHeight="1" x14ac:dyDescent="0.35">
      <c r="A565" s="15" t="s">
        <v>23384</v>
      </c>
      <c r="B565" s="15" t="s">
        <v>23385</v>
      </c>
      <c r="C565" s="15" t="s">
        <v>23386</v>
      </c>
      <c r="D565" s="31">
        <v>42174</v>
      </c>
      <c r="E565" s="15" t="s">
        <v>23387</v>
      </c>
      <c r="F565" s="87" t="s">
        <v>21871</v>
      </c>
      <c r="G565" s="45" t="s">
        <v>9447</v>
      </c>
      <c r="H565" s="55" t="s">
        <v>9448</v>
      </c>
      <c r="I565" s="15" t="s">
        <v>96</v>
      </c>
    </row>
    <row r="566" spans="1:9" ht="51.75" customHeight="1" x14ac:dyDescent="0.35">
      <c r="A566" s="15" t="s">
        <v>23388</v>
      </c>
      <c r="B566" s="15" t="s">
        <v>23389</v>
      </c>
      <c r="C566" s="15" t="s">
        <v>23390</v>
      </c>
      <c r="D566" s="31">
        <v>42174</v>
      </c>
      <c r="E566" s="15" t="s">
        <v>23391</v>
      </c>
      <c r="F566" s="87" t="s">
        <v>21871</v>
      </c>
      <c r="G566" s="45" t="s">
        <v>9447</v>
      </c>
      <c r="H566" s="55" t="s">
        <v>9448</v>
      </c>
      <c r="I566" s="15" t="s">
        <v>96</v>
      </c>
    </row>
    <row r="567" spans="1:9" ht="51.75" customHeight="1" x14ac:dyDescent="0.35">
      <c r="A567" s="15" t="s">
        <v>23392</v>
      </c>
      <c r="B567" s="15" t="s">
        <v>23393</v>
      </c>
      <c r="C567" s="15" t="s">
        <v>23394</v>
      </c>
      <c r="D567" s="31">
        <v>42158</v>
      </c>
      <c r="E567" s="15" t="s">
        <v>23395</v>
      </c>
      <c r="F567" s="87" t="s">
        <v>23210</v>
      </c>
      <c r="G567" s="45" t="s">
        <v>8355</v>
      </c>
      <c r="H567" s="55" t="s">
        <v>8356</v>
      </c>
      <c r="I567" s="15" t="s">
        <v>96</v>
      </c>
    </row>
    <row r="568" spans="1:9" ht="51.75" customHeight="1" x14ac:dyDescent="0.35">
      <c r="A568" s="15" t="s">
        <v>22147</v>
      </c>
      <c r="B568" s="15" t="s">
        <v>23396</v>
      </c>
      <c r="C568" s="15" t="s">
        <v>23397</v>
      </c>
      <c r="D568" s="31">
        <v>42158</v>
      </c>
      <c r="E568" s="15" t="s">
        <v>23398</v>
      </c>
      <c r="F568" s="87" t="s">
        <v>23210</v>
      </c>
      <c r="G568" s="45" t="s">
        <v>8355</v>
      </c>
      <c r="H568" s="55" t="s">
        <v>8356</v>
      </c>
      <c r="I568" s="15" t="s">
        <v>96</v>
      </c>
    </row>
    <row r="569" spans="1:9" ht="51.75" customHeight="1" x14ac:dyDescent="0.35">
      <c r="A569" s="15" t="s">
        <v>22043</v>
      </c>
      <c r="B569" s="15" t="s">
        <v>23399</v>
      </c>
      <c r="C569" s="15" t="s">
        <v>23400</v>
      </c>
      <c r="D569" s="31">
        <v>42158</v>
      </c>
      <c r="E569" s="15" t="s">
        <v>23401</v>
      </c>
      <c r="F569" s="87" t="s">
        <v>23210</v>
      </c>
      <c r="G569" s="45" t="s">
        <v>8355</v>
      </c>
      <c r="H569" s="55" t="s">
        <v>8356</v>
      </c>
      <c r="I569" s="15" t="s">
        <v>96</v>
      </c>
    </row>
    <row r="570" spans="1:9" ht="51.75" customHeight="1" x14ac:dyDescent="0.35">
      <c r="A570" s="15" t="s">
        <v>22711</v>
      </c>
      <c r="B570" s="15" t="s">
        <v>23402</v>
      </c>
      <c r="C570" s="15" t="s">
        <v>23403</v>
      </c>
      <c r="D570" s="31">
        <v>41835</v>
      </c>
      <c r="E570" s="15" t="s">
        <v>23404</v>
      </c>
      <c r="F570" s="87" t="s">
        <v>21871</v>
      </c>
      <c r="G570" s="45" t="s">
        <v>8093</v>
      </c>
      <c r="H570" s="55" t="s">
        <v>8094</v>
      </c>
      <c r="I570" s="15" t="s">
        <v>96</v>
      </c>
    </row>
    <row r="571" spans="1:9" ht="51.75" customHeight="1" x14ac:dyDescent="0.35">
      <c r="A571" s="15" t="s">
        <v>22715</v>
      </c>
      <c r="B571" s="15" t="s">
        <v>23405</v>
      </c>
      <c r="C571" s="15" t="s">
        <v>23406</v>
      </c>
      <c r="D571" s="31">
        <v>41835</v>
      </c>
      <c r="E571" s="15" t="s">
        <v>23407</v>
      </c>
      <c r="F571" s="87" t="s">
        <v>21871</v>
      </c>
      <c r="G571" s="45" t="s">
        <v>8093</v>
      </c>
      <c r="H571" s="55" t="s">
        <v>8094</v>
      </c>
      <c r="I571" s="15" t="s">
        <v>96</v>
      </c>
    </row>
    <row r="572" spans="1:9" ht="51.75" customHeight="1" x14ac:dyDescent="0.35">
      <c r="A572" s="15" t="s">
        <v>23408</v>
      </c>
      <c r="B572" s="15" t="s">
        <v>23409</v>
      </c>
      <c r="C572" s="15" t="s">
        <v>23410</v>
      </c>
      <c r="D572" s="31" t="s">
        <v>50</v>
      </c>
      <c r="E572" s="15" t="s">
        <v>23411</v>
      </c>
      <c r="F572" s="87" t="s">
        <v>21871</v>
      </c>
      <c r="G572" s="45" t="s">
        <v>8093</v>
      </c>
      <c r="H572" s="55" t="s">
        <v>8094</v>
      </c>
      <c r="I572" s="15" t="s">
        <v>96</v>
      </c>
    </row>
    <row r="573" spans="1:9" ht="51.75" customHeight="1" x14ac:dyDescent="0.35">
      <c r="A573" s="15" t="s">
        <v>23412</v>
      </c>
      <c r="B573" s="15" t="s">
        <v>23413</v>
      </c>
      <c r="C573" s="15" t="s">
        <v>23414</v>
      </c>
      <c r="D573" s="31">
        <v>42411</v>
      </c>
      <c r="E573" s="15" t="s">
        <v>23415</v>
      </c>
      <c r="F573" s="87" t="s">
        <v>21871</v>
      </c>
      <c r="G573" s="45" t="s">
        <v>10100</v>
      </c>
      <c r="H573" s="55" t="s">
        <v>10101</v>
      </c>
      <c r="I573" s="15" t="s">
        <v>96</v>
      </c>
    </row>
    <row r="574" spans="1:9" ht="51.75" customHeight="1" x14ac:dyDescent="0.35">
      <c r="A574" s="15" t="s">
        <v>23416</v>
      </c>
      <c r="B574" s="15" t="s">
        <v>23417</v>
      </c>
      <c r="C574" s="15" t="s">
        <v>23418</v>
      </c>
      <c r="D574" s="31">
        <v>42411</v>
      </c>
      <c r="E574" s="15" t="s">
        <v>23419</v>
      </c>
      <c r="F574" s="87" t="s">
        <v>21871</v>
      </c>
      <c r="G574" s="45" t="s">
        <v>10100</v>
      </c>
      <c r="H574" s="55" t="s">
        <v>10101</v>
      </c>
      <c r="I574" s="15" t="s">
        <v>96</v>
      </c>
    </row>
    <row r="575" spans="1:9" ht="51.75" customHeight="1" x14ac:dyDescent="0.35">
      <c r="A575" s="15" t="s">
        <v>23420</v>
      </c>
      <c r="B575" s="15" t="s">
        <v>23421</v>
      </c>
      <c r="C575" s="15" t="s">
        <v>23422</v>
      </c>
      <c r="D575" s="31">
        <v>41942</v>
      </c>
      <c r="E575" s="15" t="s">
        <v>23423</v>
      </c>
      <c r="F575" s="87" t="s">
        <v>21871</v>
      </c>
      <c r="G575" s="45" t="s">
        <v>8883</v>
      </c>
      <c r="H575" s="55" t="s">
        <v>8884</v>
      </c>
      <c r="I575" s="15" t="s">
        <v>96</v>
      </c>
    </row>
    <row r="576" spans="1:9" ht="51.75" customHeight="1" x14ac:dyDescent="0.35">
      <c r="A576" s="15" t="s">
        <v>23424</v>
      </c>
      <c r="B576" s="15" t="s">
        <v>23425</v>
      </c>
      <c r="C576" s="15" t="s">
        <v>23426</v>
      </c>
      <c r="D576" s="31">
        <v>41942</v>
      </c>
      <c r="E576" s="15" t="s">
        <v>23427</v>
      </c>
      <c r="F576" s="87" t="s">
        <v>21871</v>
      </c>
      <c r="G576" s="45" t="s">
        <v>8883</v>
      </c>
      <c r="H576" s="55" t="s">
        <v>8884</v>
      </c>
      <c r="I576" s="15" t="s">
        <v>96</v>
      </c>
    </row>
    <row r="577" spans="1:9" ht="51.75" customHeight="1" x14ac:dyDescent="0.35">
      <c r="A577" s="15" t="s">
        <v>23428</v>
      </c>
      <c r="B577" s="15" t="s">
        <v>23429</v>
      </c>
      <c r="C577" s="15" t="s">
        <v>23430</v>
      </c>
      <c r="D577" s="31" t="s">
        <v>50</v>
      </c>
      <c r="E577" s="15" t="s">
        <v>23431</v>
      </c>
      <c r="F577" s="87" t="s">
        <v>21871</v>
      </c>
      <c r="G577" s="45" t="s">
        <v>8883</v>
      </c>
      <c r="H577" s="55" t="s">
        <v>8884</v>
      </c>
      <c r="I577" s="15" t="s">
        <v>96</v>
      </c>
    </row>
    <row r="578" spans="1:9" ht="51.75" customHeight="1" x14ac:dyDescent="0.35">
      <c r="A578" s="15" t="s">
        <v>23432</v>
      </c>
      <c r="B578" s="15" t="s">
        <v>23433</v>
      </c>
      <c r="C578" s="15" t="s">
        <v>23434</v>
      </c>
      <c r="D578" s="31">
        <v>42592</v>
      </c>
      <c r="E578" s="15" t="s">
        <v>23435</v>
      </c>
      <c r="F578" s="87" t="s">
        <v>21871</v>
      </c>
      <c r="G578" s="45" t="s">
        <v>10639</v>
      </c>
      <c r="H578" s="55" t="s">
        <v>10640</v>
      </c>
      <c r="I578" s="15" t="s">
        <v>96</v>
      </c>
    </row>
    <row r="579" spans="1:9" ht="51.75" customHeight="1" x14ac:dyDescent="0.35">
      <c r="A579" s="15" t="s">
        <v>23436</v>
      </c>
      <c r="B579" s="15" t="s">
        <v>23437</v>
      </c>
      <c r="C579" s="15" t="s">
        <v>23438</v>
      </c>
      <c r="D579" s="31">
        <v>42592</v>
      </c>
      <c r="E579" s="15" t="s">
        <v>23439</v>
      </c>
      <c r="F579" s="87" t="s">
        <v>21871</v>
      </c>
      <c r="G579" s="45" t="s">
        <v>10639</v>
      </c>
      <c r="H579" s="55" t="s">
        <v>10640</v>
      </c>
      <c r="I579" s="15" t="s">
        <v>96</v>
      </c>
    </row>
    <row r="580" spans="1:9" ht="51.75" customHeight="1" x14ac:dyDescent="0.35">
      <c r="A580" s="15" t="s">
        <v>23440</v>
      </c>
      <c r="B580" s="15" t="s">
        <v>23441</v>
      </c>
      <c r="C580" s="15" t="s">
        <v>23442</v>
      </c>
      <c r="D580" s="31">
        <v>42592</v>
      </c>
      <c r="E580" s="15" t="s">
        <v>23443</v>
      </c>
      <c r="F580" s="87" t="s">
        <v>21871</v>
      </c>
      <c r="G580" s="45" t="s">
        <v>10639</v>
      </c>
      <c r="H580" s="55" t="s">
        <v>10640</v>
      </c>
      <c r="I580" s="15" t="s">
        <v>96</v>
      </c>
    </row>
    <row r="581" spans="1:9" ht="51.75" customHeight="1" x14ac:dyDescent="0.35">
      <c r="A581" s="15" t="s">
        <v>23444</v>
      </c>
      <c r="B581" s="15" t="s">
        <v>23445</v>
      </c>
      <c r="C581" s="15" t="s">
        <v>23446</v>
      </c>
      <c r="D581" s="31">
        <v>42592</v>
      </c>
      <c r="E581" s="15" t="s">
        <v>23447</v>
      </c>
      <c r="F581" s="87" t="s">
        <v>21871</v>
      </c>
      <c r="G581" s="45" t="s">
        <v>10639</v>
      </c>
      <c r="H581" s="55" t="s">
        <v>10640</v>
      </c>
      <c r="I581" s="15" t="s">
        <v>96</v>
      </c>
    </row>
    <row r="582" spans="1:9" ht="51.75" customHeight="1" x14ac:dyDescent="0.35">
      <c r="A582" s="15" t="s">
        <v>23448</v>
      </c>
      <c r="B582" s="15" t="s">
        <v>23449</v>
      </c>
      <c r="C582" s="15" t="s">
        <v>23450</v>
      </c>
      <c r="D582" s="31">
        <v>42523</v>
      </c>
      <c r="E582" s="15" t="s">
        <v>23451</v>
      </c>
      <c r="F582" s="87" t="s">
        <v>21871</v>
      </c>
      <c r="G582" s="45" t="s">
        <v>10670</v>
      </c>
      <c r="H582" s="55" t="s">
        <v>10671</v>
      </c>
      <c r="I582" s="15" t="s">
        <v>96</v>
      </c>
    </row>
    <row r="583" spans="1:9" ht="51.75" customHeight="1" x14ac:dyDescent="0.35">
      <c r="A583" s="15" t="s">
        <v>22858</v>
      </c>
      <c r="B583" s="15" t="s">
        <v>23452</v>
      </c>
      <c r="C583" s="15" t="s">
        <v>23453</v>
      </c>
      <c r="D583" s="31">
        <v>42494</v>
      </c>
      <c r="E583" s="15" t="s">
        <v>23454</v>
      </c>
      <c r="F583" s="87" t="s">
        <v>21871</v>
      </c>
      <c r="G583" s="45" t="s">
        <v>10785</v>
      </c>
      <c r="H583" s="55" t="s">
        <v>10786</v>
      </c>
      <c r="I583" s="15" t="s">
        <v>96</v>
      </c>
    </row>
    <row r="584" spans="1:9" ht="51.75" customHeight="1" x14ac:dyDescent="0.35">
      <c r="A584" s="15" t="s">
        <v>22862</v>
      </c>
      <c r="B584" s="15" t="s">
        <v>23455</v>
      </c>
      <c r="C584" s="15" t="s">
        <v>23456</v>
      </c>
      <c r="D584" s="31">
        <v>42494</v>
      </c>
      <c r="E584" s="15" t="s">
        <v>23457</v>
      </c>
      <c r="F584" s="87" t="s">
        <v>21871</v>
      </c>
      <c r="G584" s="45" t="s">
        <v>10785</v>
      </c>
      <c r="H584" s="55" t="s">
        <v>10786</v>
      </c>
      <c r="I584" s="15" t="s">
        <v>96</v>
      </c>
    </row>
    <row r="585" spans="1:9" ht="51.75" customHeight="1" x14ac:dyDescent="0.35">
      <c r="A585" s="15" t="s">
        <v>22866</v>
      </c>
      <c r="B585" s="15" t="s">
        <v>23458</v>
      </c>
      <c r="C585" s="15" t="s">
        <v>23459</v>
      </c>
      <c r="D585" s="31">
        <v>42494</v>
      </c>
      <c r="E585" s="15" t="s">
        <v>23460</v>
      </c>
      <c r="F585" s="87" t="s">
        <v>21871</v>
      </c>
      <c r="G585" s="45" t="s">
        <v>10785</v>
      </c>
      <c r="H585" s="55" t="s">
        <v>10786</v>
      </c>
      <c r="I585" s="15" t="s">
        <v>96</v>
      </c>
    </row>
    <row r="586" spans="1:9" ht="51.75" customHeight="1" x14ac:dyDescent="0.35">
      <c r="A586" s="15" t="s">
        <v>23461</v>
      </c>
      <c r="B586" s="15" t="s">
        <v>23462</v>
      </c>
      <c r="C586" s="15" t="s">
        <v>23463</v>
      </c>
      <c r="D586" s="31">
        <v>42494</v>
      </c>
      <c r="E586" s="15" t="s">
        <v>23464</v>
      </c>
      <c r="F586" s="87" t="s">
        <v>21871</v>
      </c>
      <c r="G586" s="45" t="s">
        <v>10785</v>
      </c>
      <c r="H586" s="55" t="s">
        <v>10786</v>
      </c>
      <c r="I586" s="15" t="s">
        <v>96</v>
      </c>
    </row>
    <row r="587" spans="1:9" ht="51.75" customHeight="1" x14ac:dyDescent="0.35">
      <c r="A587" s="15" t="s">
        <v>23465</v>
      </c>
      <c r="B587" s="15" t="s">
        <v>23466</v>
      </c>
      <c r="C587" s="15" t="s">
        <v>23467</v>
      </c>
      <c r="D587" s="31">
        <v>42494</v>
      </c>
      <c r="E587" s="15" t="s">
        <v>23468</v>
      </c>
      <c r="F587" s="87" t="s">
        <v>21871</v>
      </c>
      <c r="G587" s="45" t="s">
        <v>10785</v>
      </c>
      <c r="H587" s="55" t="s">
        <v>10786</v>
      </c>
      <c r="I587" s="15" t="s">
        <v>96</v>
      </c>
    </row>
    <row r="588" spans="1:9" ht="51.75" customHeight="1" x14ac:dyDescent="0.35">
      <c r="A588" s="15" t="s">
        <v>23469</v>
      </c>
      <c r="B588" s="15" t="s">
        <v>23470</v>
      </c>
      <c r="C588" s="15" t="s">
        <v>23471</v>
      </c>
      <c r="D588" s="31">
        <v>42494</v>
      </c>
      <c r="E588" s="15" t="s">
        <v>23472</v>
      </c>
      <c r="F588" s="87" t="s">
        <v>21871</v>
      </c>
      <c r="G588" s="45" t="s">
        <v>10785</v>
      </c>
      <c r="H588" s="55" t="s">
        <v>10786</v>
      </c>
      <c r="I588" s="15" t="s">
        <v>96</v>
      </c>
    </row>
    <row r="589" spans="1:9" ht="51.75" customHeight="1" x14ac:dyDescent="0.35">
      <c r="A589" s="15" t="s">
        <v>23473</v>
      </c>
      <c r="B589" s="15" t="s">
        <v>23474</v>
      </c>
      <c r="C589" s="15" t="s">
        <v>23475</v>
      </c>
      <c r="D589" s="31">
        <v>42464</v>
      </c>
      <c r="E589" s="15" t="s">
        <v>23476</v>
      </c>
      <c r="F589" s="87" t="s">
        <v>21871</v>
      </c>
      <c r="G589" s="45" t="s">
        <v>10645</v>
      </c>
      <c r="H589" s="55" t="s">
        <v>10646</v>
      </c>
      <c r="I589" s="15" t="s">
        <v>96</v>
      </c>
    </row>
    <row r="590" spans="1:9" ht="51.75" customHeight="1" x14ac:dyDescent="0.35">
      <c r="A590" s="15" t="s">
        <v>23477</v>
      </c>
      <c r="B590" s="15" t="s">
        <v>23478</v>
      </c>
      <c r="C590" s="15" t="s">
        <v>23479</v>
      </c>
      <c r="D590" s="31">
        <v>42464</v>
      </c>
      <c r="E590" s="15" t="s">
        <v>23480</v>
      </c>
      <c r="F590" s="87" t="s">
        <v>21871</v>
      </c>
      <c r="G590" s="45" t="s">
        <v>10645</v>
      </c>
      <c r="H590" s="55" t="s">
        <v>10646</v>
      </c>
      <c r="I590" s="15" t="s">
        <v>96</v>
      </c>
    </row>
    <row r="591" spans="1:9" ht="51.75" customHeight="1" x14ac:dyDescent="0.35">
      <c r="A591" s="15" t="s">
        <v>23481</v>
      </c>
      <c r="B591" s="15" t="s">
        <v>23482</v>
      </c>
      <c r="C591" s="15" t="s">
        <v>23483</v>
      </c>
      <c r="D591" s="31">
        <v>42464</v>
      </c>
      <c r="E591" s="15" t="s">
        <v>23484</v>
      </c>
      <c r="F591" s="87" t="s">
        <v>21871</v>
      </c>
      <c r="G591" s="45" t="s">
        <v>10645</v>
      </c>
      <c r="H591" s="55" t="s">
        <v>10646</v>
      </c>
      <c r="I591" s="15" t="s">
        <v>96</v>
      </c>
    </row>
    <row r="592" spans="1:9" ht="51.75" customHeight="1" x14ac:dyDescent="0.35">
      <c r="A592" s="15" t="s">
        <v>22239</v>
      </c>
      <c r="B592" s="15" t="s">
        <v>23485</v>
      </c>
      <c r="C592" s="15" t="s">
        <v>23434</v>
      </c>
      <c r="D592" s="31">
        <v>42677</v>
      </c>
      <c r="E592" s="15" t="s">
        <v>23486</v>
      </c>
      <c r="F592" s="87" t="s">
        <v>23210</v>
      </c>
      <c r="G592" s="45" t="s">
        <v>10809</v>
      </c>
      <c r="H592" s="55" t="s">
        <v>10810</v>
      </c>
      <c r="I592" s="15" t="s">
        <v>96</v>
      </c>
    </row>
    <row r="593" spans="1:9" ht="51.75" customHeight="1" x14ac:dyDescent="0.35">
      <c r="A593" s="15" t="s">
        <v>22239</v>
      </c>
      <c r="B593" s="15" t="s">
        <v>23487</v>
      </c>
      <c r="C593" s="15" t="s">
        <v>23434</v>
      </c>
      <c r="D593" s="31">
        <v>42677</v>
      </c>
      <c r="E593" s="15" t="s">
        <v>23488</v>
      </c>
      <c r="F593" s="87" t="s">
        <v>21871</v>
      </c>
      <c r="G593" s="45" t="s">
        <v>10809</v>
      </c>
      <c r="H593" s="55" t="s">
        <v>10810</v>
      </c>
      <c r="I593" s="15" t="s">
        <v>96</v>
      </c>
    </row>
    <row r="594" spans="1:9" ht="51.75" customHeight="1" x14ac:dyDescent="0.35">
      <c r="A594" s="15" t="s">
        <v>23489</v>
      </c>
      <c r="B594" s="15" t="s">
        <v>23490</v>
      </c>
      <c r="C594" s="15" t="s">
        <v>23438</v>
      </c>
      <c r="D594" s="31">
        <v>42677</v>
      </c>
      <c r="E594" s="15" t="s">
        <v>23491</v>
      </c>
      <c r="F594" s="87" t="s">
        <v>23210</v>
      </c>
      <c r="G594" s="45" t="s">
        <v>10809</v>
      </c>
      <c r="H594" s="55" t="s">
        <v>10810</v>
      </c>
      <c r="I594" s="15" t="s">
        <v>96</v>
      </c>
    </row>
    <row r="595" spans="1:9" ht="51.75" customHeight="1" x14ac:dyDescent="0.35">
      <c r="A595" s="15" t="s">
        <v>23489</v>
      </c>
      <c r="B595" s="15" t="s">
        <v>23492</v>
      </c>
      <c r="C595" s="15" t="s">
        <v>23438</v>
      </c>
      <c r="D595" s="31">
        <v>42677</v>
      </c>
      <c r="E595" s="15" t="s">
        <v>23493</v>
      </c>
      <c r="F595" s="87" t="s">
        <v>21871</v>
      </c>
      <c r="G595" s="45" t="s">
        <v>10809</v>
      </c>
      <c r="H595" s="55" t="s">
        <v>10810</v>
      </c>
      <c r="I595" s="15" t="s">
        <v>96</v>
      </c>
    </row>
    <row r="596" spans="1:9" ht="51.75" customHeight="1" x14ac:dyDescent="0.35">
      <c r="A596" s="15" t="s">
        <v>23494</v>
      </c>
      <c r="B596" s="15" t="s">
        <v>23495</v>
      </c>
      <c r="C596" s="15" t="s">
        <v>23442</v>
      </c>
      <c r="D596" s="31">
        <v>42677</v>
      </c>
      <c r="E596" s="15" t="s">
        <v>23496</v>
      </c>
      <c r="F596" s="87" t="s">
        <v>23210</v>
      </c>
      <c r="G596" s="45" t="s">
        <v>10809</v>
      </c>
      <c r="H596" s="55" t="s">
        <v>10810</v>
      </c>
      <c r="I596" s="15" t="s">
        <v>96</v>
      </c>
    </row>
    <row r="597" spans="1:9" ht="51.75" customHeight="1" x14ac:dyDescent="0.35">
      <c r="A597" s="15" t="s">
        <v>23494</v>
      </c>
      <c r="B597" s="15" t="s">
        <v>23497</v>
      </c>
      <c r="C597" s="15" t="s">
        <v>23442</v>
      </c>
      <c r="D597" s="31">
        <v>42677</v>
      </c>
      <c r="E597" s="15" t="s">
        <v>23498</v>
      </c>
      <c r="F597" s="87" t="s">
        <v>21871</v>
      </c>
      <c r="G597" s="45" t="s">
        <v>10809</v>
      </c>
      <c r="H597" s="55" t="s">
        <v>10810</v>
      </c>
      <c r="I597" s="15" t="s">
        <v>96</v>
      </c>
    </row>
    <row r="598" spans="1:9" ht="51.75" customHeight="1" x14ac:dyDescent="0.35">
      <c r="A598" s="15" t="s">
        <v>23499</v>
      </c>
      <c r="B598" s="15" t="s">
        <v>23500</v>
      </c>
      <c r="C598" s="15" t="s">
        <v>23501</v>
      </c>
      <c r="D598" s="31">
        <v>42731</v>
      </c>
      <c r="E598" s="15" t="s">
        <v>23502</v>
      </c>
      <c r="F598" s="87" t="s">
        <v>21871</v>
      </c>
      <c r="G598" s="45" t="s">
        <v>11091</v>
      </c>
      <c r="H598" s="55" t="s">
        <v>11092</v>
      </c>
      <c r="I598" s="15" t="s">
        <v>96</v>
      </c>
    </row>
    <row r="599" spans="1:9" ht="51.75" customHeight="1" x14ac:dyDescent="0.35">
      <c r="A599" s="15" t="s">
        <v>23503</v>
      </c>
      <c r="B599" s="15" t="s">
        <v>23504</v>
      </c>
      <c r="C599" s="15" t="s">
        <v>23505</v>
      </c>
      <c r="D599" s="31">
        <v>42731</v>
      </c>
      <c r="E599" s="15" t="s">
        <v>23506</v>
      </c>
      <c r="F599" s="87" t="s">
        <v>21871</v>
      </c>
      <c r="G599" s="45" t="s">
        <v>11091</v>
      </c>
      <c r="H599" s="55" t="s">
        <v>11092</v>
      </c>
      <c r="I599" s="15" t="s">
        <v>96</v>
      </c>
    </row>
    <row r="600" spans="1:9" ht="51.75" customHeight="1" x14ac:dyDescent="0.35">
      <c r="A600" s="15" t="s">
        <v>23507</v>
      </c>
      <c r="B600" s="15" t="s">
        <v>23508</v>
      </c>
      <c r="C600" s="15" t="s">
        <v>23509</v>
      </c>
      <c r="D600" s="31" t="s">
        <v>50</v>
      </c>
      <c r="E600" s="15" t="s">
        <v>23510</v>
      </c>
      <c r="F600" s="87" t="s">
        <v>21871</v>
      </c>
      <c r="G600" s="45" t="s">
        <v>11091</v>
      </c>
      <c r="H600" s="55" t="s">
        <v>11092</v>
      </c>
      <c r="I600" s="15" t="s">
        <v>96</v>
      </c>
    </row>
    <row r="601" spans="1:9" ht="51.75" customHeight="1" x14ac:dyDescent="0.35">
      <c r="A601" s="15" t="s">
        <v>23511</v>
      </c>
      <c r="B601" s="15" t="s">
        <v>23512</v>
      </c>
      <c r="C601" s="15" t="s">
        <v>23266</v>
      </c>
      <c r="D601" s="31">
        <v>42759</v>
      </c>
      <c r="E601" s="15" t="s">
        <v>23513</v>
      </c>
      <c r="F601" s="87" t="s">
        <v>21871</v>
      </c>
      <c r="G601" s="45" t="s">
        <v>11697</v>
      </c>
      <c r="H601" s="55" t="s">
        <v>11698</v>
      </c>
      <c r="I601" s="15" t="s">
        <v>96</v>
      </c>
    </row>
    <row r="602" spans="1:9" ht="51.75" customHeight="1" x14ac:dyDescent="0.35">
      <c r="A602" s="15" t="s">
        <v>23514</v>
      </c>
      <c r="B602" s="15" t="s">
        <v>23515</v>
      </c>
      <c r="C602" s="15" t="s">
        <v>23269</v>
      </c>
      <c r="D602" s="31">
        <v>42759</v>
      </c>
      <c r="E602" s="15" t="s">
        <v>23516</v>
      </c>
      <c r="F602" s="87" t="s">
        <v>21871</v>
      </c>
      <c r="G602" s="45" t="s">
        <v>11697</v>
      </c>
      <c r="H602" s="55" t="s">
        <v>11698</v>
      </c>
      <c r="I602" s="15" t="s">
        <v>96</v>
      </c>
    </row>
    <row r="603" spans="1:9" ht="51.75" customHeight="1" x14ac:dyDescent="0.35">
      <c r="A603" s="15" t="s">
        <v>22801</v>
      </c>
      <c r="B603" s="15" t="s">
        <v>23517</v>
      </c>
      <c r="C603" s="15" t="s">
        <v>23321</v>
      </c>
      <c r="D603" s="31">
        <v>42759</v>
      </c>
      <c r="E603" s="15" t="s">
        <v>23518</v>
      </c>
      <c r="F603" s="87" t="s">
        <v>21871</v>
      </c>
      <c r="G603" s="45" t="s">
        <v>11697</v>
      </c>
      <c r="H603" s="55" t="s">
        <v>11698</v>
      </c>
      <c r="I603" s="15" t="s">
        <v>96</v>
      </c>
    </row>
    <row r="604" spans="1:9" ht="51.75" customHeight="1" x14ac:dyDescent="0.35">
      <c r="A604" s="15" t="s">
        <v>22805</v>
      </c>
      <c r="B604" s="15" t="s">
        <v>23519</v>
      </c>
      <c r="C604" s="15" t="s">
        <v>23520</v>
      </c>
      <c r="D604" s="31">
        <v>42759</v>
      </c>
      <c r="E604" s="15" t="s">
        <v>23521</v>
      </c>
      <c r="F604" s="87" t="s">
        <v>21871</v>
      </c>
      <c r="G604" s="45" t="s">
        <v>11697</v>
      </c>
      <c r="H604" s="55" t="s">
        <v>11698</v>
      </c>
      <c r="I604" s="15" t="s">
        <v>96</v>
      </c>
    </row>
    <row r="605" spans="1:9" ht="51.75" customHeight="1" x14ac:dyDescent="0.35">
      <c r="A605" s="15" t="s">
        <v>22809</v>
      </c>
      <c r="B605" s="15" t="s">
        <v>23522</v>
      </c>
      <c r="C605" s="15" t="s">
        <v>23523</v>
      </c>
      <c r="D605" s="31">
        <v>42759</v>
      </c>
      <c r="E605" s="15" t="s">
        <v>23524</v>
      </c>
      <c r="F605" s="87" t="s">
        <v>21871</v>
      </c>
      <c r="G605" s="45" t="s">
        <v>11697</v>
      </c>
      <c r="H605" s="55" t="s">
        <v>11698</v>
      </c>
      <c r="I605" s="15" t="s">
        <v>96</v>
      </c>
    </row>
    <row r="606" spans="1:9" ht="51.75" customHeight="1" x14ac:dyDescent="0.35">
      <c r="A606" s="15" t="s">
        <v>23525</v>
      </c>
      <c r="B606" s="15" t="s">
        <v>23526</v>
      </c>
      <c r="C606" s="15" t="s">
        <v>23527</v>
      </c>
      <c r="D606" s="31">
        <v>42695</v>
      </c>
      <c r="E606" s="15" t="s">
        <v>23528</v>
      </c>
      <c r="F606" s="87" t="s">
        <v>21871</v>
      </c>
      <c r="G606" s="45" t="s">
        <v>11725</v>
      </c>
      <c r="H606" s="55" t="s">
        <v>11726</v>
      </c>
      <c r="I606" s="15" t="s">
        <v>96</v>
      </c>
    </row>
    <row r="607" spans="1:9" ht="51.75" customHeight="1" x14ac:dyDescent="0.35">
      <c r="A607" s="15" t="s">
        <v>23529</v>
      </c>
      <c r="B607" s="15" t="s">
        <v>23530</v>
      </c>
      <c r="C607" s="15" t="s">
        <v>23531</v>
      </c>
      <c r="D607" s="31">
        <v>42695</v>
      </c>
      <c r="E607" s="15" t="s">
        <v>23532</v>
      </c>
      <c r="F607" s="87" t="s">
        <v>21871</v>
      </c>
      <c r="G607" s="45" t="s">
        <v>11725</v>
      </c>
      <c r="H607" s="55" t="s">
        <v>11726</v>
      </c>
      <c r="I607" s="15" t="s">
        <v>96</v>
      </c>
    </row>
    <row r="608" spans="1:9" ht="51.75" customHeight="1" x14ac:dyDescent="0.35">
      <c r="A608" s="15" t="s">
        <v>23533</v>
      </c>
      <c r="B608" s="15" t="s">
        <v>23534</v>
      </c>
      <c r="C608" s="15" t="s">
        <v>23266</v>
      </c>
      <c r="D608" s="31">
        <v>42879</v>
      </c>
      <c r="E608" s="15" t="s">
        <v>23535</v>
      </c>
      <c r="F608" s="87" t="s">
        <v>21871</v>
      </c>
      <c r="G608" s="45" t="s">
        <v>11864</v>
      </c>
      <c r="H608" s="55" t="s">
        <v>11865</v>
      </c>
      <c r="I608" s="15" t="s">
        <v>96</v>
      </c>
    </row>
    <row r="609" spans="1:9" ht="51.75" customHeight="1" x14ac:dyDescent="0.35">
      <c r="A609" s="15" t="s">
        <v>23536</v>
      </c>
      <c r="B609" s="15" t="s">
        <v>23537</v>
      </c>
      <c r="C609" s="15" t="s">
        <v>23269</v>
      </c>
      <c r="D609" s="31">
        <v>42879</v>
      </c>
      <c r="E609" s="15" t="s">
        <v>23538</v>
      </c>
      <c r="F609" s="87" t="s">
        <v>21871</v>
      </c>
      <c r="G609" s="45" t="s">
        <v>11864</v>
      </c>
      <c r="H609" s="55" t="s">
        <v>11865</v>
      </c>
      <c r="I609" s="15" t="s">
        <v>96</v>
      </c>
    </row>
    <row r="610" spans="1:9" ht="51.75" customHeight="1" x14ac:dyDescent="0.35">
      <c r="A610" s="15" t="s">
        <v>23539</v>
      </c>
      <c r="B610" s="15" t="s">
        <v>23540</v>
      </c>
      <c r="C610" s="15" t="s">
        <v>23321</v>
      </c>
      <c r="D610" s="31">
        <v>42879</v>
      </c>
      <c r="E610" s="15" t="s">
        <v>23541</v>
      </c>
      <c r="F610" s="87" t="s">
        <v>21871</v>
      </c>
      <c r="G610" s="45" t="s">
        <v>11864</v>
      </c>
      <c r="H610" s="55" t="s">
        <v>11865</v>
      </c>
      <c r="I610" s="15" t="s">
        <v>96</v>
      </c>
    </row>
    <row r="611" spans="1:9" ht="51.75" customHeight="1" x14ac:dyDescent="0.35">
      <c r="A611" s="15" t="s">
        <v>23473</v>
      </c>
      <c r="B611" s="15" t="s">
        <v>23542</v>
      </c>
      <c r="C611" s="15" t="s">
        <v>23520</v>
      </c>
      <c r="D611" s="31">
        <v>42879</v>
      </c>
      <c r="E611" s="15" t="s">
        <v>23543</v>
      </c>
      <c r="F611" s="87" t="s">
        <v>21871</v>
      </c>
      <c r="G611" s="45" t="s">
        <v>11864</v>
      </c>
      <c r="H611" s="55" t="s">
        <v>11865</v>
      </c>
      <c r="I611" s="15" t="s">
        <v>96</v>
      </c>
    </row>
    <row r="612" spans="1:9" ht="51.75" customHeight="1" x14ac:dyDescent="0.35">
      <c r="A612" s="15" t="s">
        <v>23477</v>
      </c>
      <c r="B612" s="15" t="s">
        <v>23544</v>
      </c>
      <c r="C612" s="15" t="s">
        <v>23523</v>
      </c>
      <c r="D612" s="31">
        <v>42879</v>
      </c>
      <c r="E612" s="15" t="s">
        <v>23545</v>
      </c>
      <c r="F612" s="87" t="s">
        <v>21871</v>
      </c>
      <c r="G612" s="45" t="s">
        <v>11864</v>
      </c>
      <c r="H612" s="55" t="s">
        <v>11865</v>
      </c>
      <c r="I612" s="15" t="s">
        <v>96</v>
      </c>
    </row>
    <row r="613" spans="1:9" ht="51.75" customHeight="1" x14ac:dyDescent="0.35">
      <c r="A613" s="15" t="s">
        <v>23481</v>
      </c>
      <c r="B613" s="15" t="s">
        <v>23546</v>
      </c>
      <c r="C613" s="15" t="s">
        <v>23547</v>
      </c>
      <c r="D613" s="31">
        <v>42879</v>
      </c>
      <c r="E613" s="15" t="s">
        <v>23548</v>
      </c>
      <c r="F613" s="87" t="s">
        <v>21871</v>
      </c>
      <c r="G613" s="45" t="s">
        <v>11864</v>
      </c>
      <c r="H613" s="55" t="s">
        <v>11865</v>
      </c>
      <c r="I613" s="15" t="s">
        <v>96</v>
      </c>
    </row>
    <row r="614" spans="1:9" ht="51.75" customHeight="1" x14ac:dyDescent="0.35">
      <c r="A614" s="15" t="s">
        <v>23549</v>
      </c>
      <c r="B614" s="15" t="s">
        <v>23550</v>
      </c>
      <c r="C614" s="15" t="s">
        <v>23551</v>
      </c>
      <c r="D614" s="31">
        <v>42677</v>
      </c>
      <c r="E614" s="15" t="s">
        <v>23552</v>
      </c>
      <c r="F614" s="87" t="s">
        <v>23210</v>
      </c>
      <c r="G614" s="45" t="s">
        <v>11949</v>
      </c>
      <c r="H614" s="55" t="s">
        <v>11950</v>
      </c>
      <c r="I614" s="15" t="s">
        <v>96</v>
      </c>
    </row>
    <row r="615" spans="1:9" ht="51.75" customHeight="1" x14ac:dyDescent="0.35">
      <c r="A615" s="15" t="s">
        <v>23549</v>
      </c>
      <c r="B615" s="15" t="s">
        <v>23553</v>
      </c>
      <c r="C615" s="15" t="s">
        <v>23551</v>
      </c>
      <c r="D615" s="31">
        <v>42677</v>
      </c>
      <c r="E615" s="15" t="s">
        <v>23554</v>
      </c>
      <c r="F615" s="87" t="s">
        <v>21871</v>
      </c>
      <c r="G615" s="45" t="s">
        <v>11949</v>
      </c>
      <c r="H615" s="55" t="s">
        <v>11950</v>
      </c>
      <c r="I615" s="15" t="s">
        <v>96</v>
      </c>
    </row>
    <row r="616" spans="1:9" ht="51.75" customHeight="1" x14ac:dyDescent="0.35">
      <c r="A616" s="15" t="s">
        <v>23555</v>
      </c>
      <c r="B616" s="15" t="s">
        <v>23556</v>
      </c>
      <c r="C616" s="15" t="s">
        <v>23557</v>
      </c>
      <c r="D616" s="31">
        <v>42677</v>
      </c>
      <c r="E616" s="15" t="s">
        <v>23558</v>
      </c>
      <c r="F616" s="87" t="s">
        <v>23210</v>
      </c>
      <c r="G616" s="45" t="s">
        <v>11949</v>
      </c>
      <c r="H616" s="55" t="s">
        <v>11950</v>
      </c>
      <c r="I616" s="15" t="s">
        <v>96</v>
      </c>
    </row>
    <row r="617" spans="1:9" ht="51.75" customHeight="1" x14ac:dyDescent="0.35">
      <c r="A617" s="15" t="s">
        <v>23555</v>
      </c>
      <c r="B617" s="15" t="s">
        <v>23559</v>
      </c>
      <c r="C617" s="15" t="s">
        <v>23557</v>
      </c>
      <c r="D617" s="31">
        <v>42677</v>
      </c>
      <c r="E617" s="15" t="s">
        <v>23560</v>
      </c>
      <c r="F617" s="87" t="s">
        <v>21871</v>
      </c>
      <c r="G617" s="45" t="s">
        <v>11949</v>
      </c>
      <c r="H617" s="55" t="s">
        <v>11950</v>
      </c>
      <c r="I617" s="15" t="s">
        <v>96</v>
      </c>
    </row>
    <row r="618" spans="1:9" ht="51.75" customHeight="1" x14ac:dyDescent="0.35">
      <c r="A618" s="15" t="s">
        <v>22821</v>
      </c>
      <c r="B618" s="15" t="s">
        <v>23561</v>
      </c>
      <c r="C618" s="15" t="s">
        <v>23562</v>
      </c>
      <c r="D618" s="31" t="s">
        <v>50</v>
      </c>
      <c r="E618" s="15" t="s">
        <v>23563</v>
      </c>
      <c r="F618" s="87" t="s">
        <v>21871</v>
      </c>
      <c r="G618" s="45" t="s">
        <v>13034</v>
      </c>
      <c r="H618" s="55" t="s">
        <v>13035</v>
      </c>
      <c r="I618" s="15" t="s">
        <v>96</v>
      </c>
    </row>
    <row r="619" spans="1:9" ht="51.75" customHeight="1" x14ac:dyDescent="0.35">
      <c r="A619" s="15" t="s">
        <v>22778</v>
      </c>
      <c r="B619" s="15" t="s">
        <v>23564</v>
      </c>
      <c r="C619" s="15" t="s">
        <v>23565</v>
      </c>
      <c r="D619" s="31" t="s">
        <v>50</v>
      </c>
      <c r="E619" s="15" t="s">
        <v>23566</v>
      </c>
      <c r="F619" s="87" t="s">
        <v>21871</v>
      </c>
      <c r="G619" s="45" t="s">
        <v>13034</v>
      </c>
      <c r="H619" s="55" t="s">
        <v>13035</v>
      </c>
      <c r="I619" s="15" t="s">
        <v>96</v>
      </c>
    </row>
    <row r="620" spans="1:9" ht="51.75" customHeight="1" x14ac:dyDescent="0.35">
      <c r="A620" s="15" t="s">
        <v>22782</v>
      </c>
      <c r="B620" s="15" t="s">
        <v>23567</v>
      </c>
      <c r="C620" s="15" t="s">
        <v>23568</v>
      </c>
      <c r="D620" s="31" t="s">
        <v>50</v>
      </c>
      <c r="E620" s="15" t="s">
        <v>23569</v>
      </c>
      <c r="F620" s="87" t="s">
        <v>21871</v>
      </c>
      <c r="G620" s="45" t="s">
        <v>13034</v>
      </c>
      <c r="H620" s="55" t="s">
        <v>13035</v>
      </c>
      <c r="I620" s="15" t="s">
        <v>96</v>
      </c>
    </row>
    <row r="621" spans="1:9" ht="51.75" customHeight="1" x14ac:dyDescent="0.35">
      <c r="A621" s="15" t="s">
        <v>22850</v>
      </c>
      <c r="B621" s="15" t="s">
        <v>23570</v>
      </c>
      <c r="C621" s="15" t="s">
        <v>23266</v>
      </c>
      <c r="D621" s="31">
        <v>43271</v>
      </c>
      <c r="E621" s="15" t="s">
        <v>23571</v>
      </c>
      <c r="F621" s="87" t="s">
        <v>21871</v>
      </c>
      <c r="G621" s="45" t="s">
        <v>13062</v>
      </c>
      <c r="H621" s="55" t="s">
        <v>13063</v>
      </c>
      <c r="I621" s="15" t="s">
        <v>96</v>
      </c>
    </row>
    <row r="622" spans="1:9" ht="51.75" customHeight="1" x14ac:dyDescent="0.35">
      <c r="A622" s="15" t="s">
        <v>23572</v>
      </c>
      <c r="B622" s="15" t="s">
        <v>23573</v>
      </c>
      <c r="C622" s="15" t="s">
        <v>23269</v>
      </c>
      <c r="D622" s="31">
        <v>43271</v>
      </c>
      <c r="E622" s="15" t="s">
        <v>23574</v>
      </c>
      <c r="F622" s="87" t="s">
        <v>21871</v>
      </c>
      <c r="G622" s="45" t="s">
        <v>13062</v>
      </c>
      <c r="H622" s="55" t="s">
        <v>13063</v>
      </c>
      <c r="I622" s="15" t="s">
        <v>96</v>
      </c>
    </row>
    <row r="623" spans="1:9" ht="51.75" customHeight="1" x14ac:dyDescent="0.35">
      <c r="A623" s="15" t="s">
        <v>23575</v>
      </c>
      <c r="B623" s="15" t="s">
        <v>23576</v>
      </c>
      <c r="C623" s="15" t="s">
        <v>23266</v>
      </c>
      <c r="D623" s="31">
        <v>43517</v>
      </c>
      <c r="E623" s="15" t="s">
        <v>23577</v>
      </c>
      <c r="F623" s="87" t="s">
        <v>21871</v>
      </c>
      <c r="G623" s="45" t="s">
        <v>13373</v>
      </c>
      <c r="H623" s="55" t="s">
        <v>13374</v>
      </c>
      <c r="I623" s="15" t="s">
        <v>96</v>
      </c>
    </row>
    <row r="624" spans="1:9" ht="51.75" customHeight="1" x14ac:dyDescent="0.35">
      <c r="A624" s="15" t="s">
        <v>23578</v>
      </c>
      <c r="B624" s="15" t="s">
        <v>23579</v>
      </c>
      <c r="C624" s="15" t="s">
        <v>23269</v>
      </c>
      <c r="D624" s="31">
        <v>43517</v>
      </c>
      <c r="E624" s="15" t="s">
        <v>23580</v>
      </c>
      <c r="F624" s="87" t="s">
        <v>21871</v>
      </c>
      <c r="G624" s="45" t="s">
        <v>13373</v>
      </c>
      <c r="H624" s="55" t="s">
        <v>13374</v>
      </c>
      <c r="I624" s="15" t="s">
        <v>96</v>
      </c>
    </row>
    <row r="625" spans="1:9" ht="51.75" customHeight="1" x14ac:dyDescent="0.35">
      <c r="A625" s="15" t="s">
        <v>23581</v>
      </c>
      <c r="B625" s="15" t="s">
        <v>23582</v>
      </c>
      <c r="C625" s="15" t="s">
        <v>23266</v>
      </c>
      <c r="D625" s="31">
        <v>43453</v>
      </c>
      <c r="E625" s="15" t="s">
        <v>23583</v>
      </c>
      <c r="F625" s="87" t="s">
        <v>21871</v>
      </c>
      <c r="G625" s="45" t="s">
        <v>13973</v>
      </c>
      <c r="H625" s="55" t="s">
        <v>13974</v>
      </c>
      <c r="I625" s="15" t="s">
        <v>96</v>
      </c>
    </row>
    <row r="626" spans="1:9" ht="51.75" customHeight="1" x14ac:dyDescent="0.35">
      <c r="A626" s="15" t="s">
        <v>23584</v>
      </c>
      <c r="B626" s="15" t="s">
        <v>23585</v>
      </c>
      <c r="C626" s="15" t="s">
        <v>23269</v>
      </c>
      <c r="D626" s="31">
        <v>43453</v>
      </c>
      <c r="E626" s="15" t="s">
        <v>23586</v>
      </c>
      <c r="F626" s="87" t="s">
        <v>21871</v>
      </c>
      <c r="G626" s="45" t="s">
        <v>13973</v>
      </c>
      <c r="H626" s="55" t="s">
        <v>13974</v>
      </c>
      <c r="I626" s="15" t="s">
        <v>96</v>
      </c>
    </row>
    <row r="627" spans="1:9" ht="51.75" customHeight="1" x14ac:dyDescent="0.35">
      <c r="A627" s="15" t="s">
        <v>23587</v>
      </c>
      <c r="B627" s="15" t="s">
        <v>23588</v>
      </c>
      <c r="C627" s="15" t="s">
        <v>23321</v>
      </c>
      <c r="D627" s="31">
        <v>43453</v>
      </c>
      <c r="E627" s="15" t="s">
        <v>23589</v>
      </c>
      <c r="F627" s="87" t="s">
        <v>21871</v>
      </c>
      <c r="G627" s="45" t="s">
        <v>13973</v>
      </c>
      <c r="H627" s="55" t="s">
        <v>13974</v>
      </c>
      <c r="I627" s="15" t="s">
        <v>96</v>
      </c>
    </row>
    <row r="628" spans="1:9" ht="51.75" customHeight="1" x14ac:dyDescent="0.35">
      <c r="A628" s="15" t="s">
        <v>23590</v>
      </c>
      <c r="B628" s="15" t="s">
        <v>23591</v>
      </c>
      <c r="C628" s="15" t="s">
        <v>23592</v>
      </c>
      <c r="D628" s="31">
        <v>43669</v>
      </c>
      <c r="E628" s="15" t="s">
        <v>23593</v>
      </c>
      <c r="F628" s="87" t="s">
        <v>21871</v>
      </c>
      <c r="G628" s="45" t="s">
        <v>14290</v>
      </c>
      <c r="H628" s="55" t="s">
        <v>14291</v>
      </c>
      <c r="I628" s="15" t="s">
        <v>96</v>
      </c>
    </row>
    <row r="629" spans="1:9" ht="51.75" customHeight="1" x14ac:dyDescent="0.35">
      <c r="A629" s="15" t="s">
        <v>23594</v>
      </c>
      <c r="B629" s="15" t="s">
        <v>23595</v>
      </c>
      <c r="C629" s="15" t="s">
        <v>23596</v>
      </c>
      <c r="D629" s="31">
        <v>43669</v>
      </c>
      <c r="E629" s="15" t="s">
        <v>23597</v>
      </c>
      <c r="F629" s="87" t="s">
        <v>21871</v>
      </c>
      <c r="G629" s="45" t="s">
        <v>14290</v>
      </c>
      <c r="H629" s="55" t="s">
        <v>14291</v>
      </c>
      <c r="I629" s="15" t="s">
        <v>96</v>
      </c>
    </row>
    <row r="630" spans="1:9" ht="51.75" customHeight="1" x14ac:dyDescent="0.35">
      <c r="A630" s="15" t="s">
        <v>23598</v>
      </c>
      <c r="B630" s="15" t="s">
        <v>23599</v>
      </c>
      <c r="C630" s="15" t="s">
        <v>23600</v>
      </c>
      <c r="D630" s="31">
        <v>43602</v>
      </c>
      <c r="E630" s="15" t="s">
        <v>23601</v>
      </c>
      <c r="F630" s="87" t="s">
        <v>21871</v>
      </c>
      <c r="G630" s="45" t="s">
        <v>14484</v>
      </c>
      <c r="H630" s="55" t="s">
        <v>14485</v>
      </c>
      <c r="I630" s="15" t="s">
        <v>96</v>
      </c>
    </row>
    <row r="631" spans="1:9" ht="51.75" customHeight="1" x14ac:dyDescent="0.35">
      <c r="A631" s="15" t="s">
        <v>23602</v>
      </c>
      <c r="B631" s="15" t="s">
        <v>23603</v>
      </c>
      <c r="C631" s="15" t="s">
        <v>23604</v>
      </c>
      <c r="D631" s="31">
        <v>43602</v>
      </c>
      <c r="E631" s="15" t="s">
        <v>23605</v>
      </c>
      <c r="F631" s="87" t="s">
        <v>21871</v>
      </c>
      <c r="G631" s="45" t="s">
        <v>14484</v>
      </c>
      <c r="H631" s="55" t="s">
        <v>14485</v>
      </c>
      <c r="I631" s="15" t="s">
        <v>96</v>
      </c>
    </row>
    <row r="632" spans="1:9" ht="51.75" customHeight="1" x14ac:dyDescent="0.35">
      <c r="A632" s="15" t="s">
        <v>23606</v>
      </c>
      <c r="B632" s="15" t="s">
        <v>23607</v>
      </c>
      <c r="C632" s="15" t="s">
        <v>23608</v>
      </c>
      <c r="D632" s="31">
        <v>43602</v>
      </c>
      <c r="E632" s="15" t="s">
        <v>23609</v>
      </c>
      <c r="F632" s="87" t="s">
        <v>21871</v>
      </c>
      <c r="G632" s="45" t="s">
        <v>14484</v>
      </c>
      <c r="H632" s="55" t="s">
        <v>14485</v>
      </c>
      <c r="I632" s="15" t="s">
        <v>96</v>
      </c>
    </row>
    <row r="633" spans="1:9" ht="51.75" customHeight="1" x14ac:dyDescent="0.35">
      <c r="A633" s="15" t="s">
        <v>23610</v>
      </c>
      <c r="B633" s="15" t="s">
        <v>23611</v>
      </c>
      <c r="C633" s="15" t="s">
        <v>23612</v>
      </c>
      <c r="D633" s="31">
        <v>43602</v>
      </c>
      <c r="E633" s="15" t="s">
        <v>23613</v>
      </c>
      <c r="F633" s="87" t="s">
        <v>21871</v>
      </c>
      <c r="G633" s="45" t="s">
        <v>14484</v>
      </c>
      <c r="H633" s="55" t="s">
        <v>14485</v>
      </c>
      <c r="I633" s="15" t="s">
        <v>96</v>
      </c>
    </row>
    <row r="634" spans="1:9" ht="51.75" customHeight="1" x14ac:dyDescent="0.35">
      <c r="A634" s="15" t="s">
        <v>23376</v>
      </c>
      <c r="B634" s="15" t="s">
        <v>23614</v>
      </c>
      <c r="C634" s="15" t="s">
        <v>23615</v>
      </c>
      <c r="D634" s="31">
        <v>43602</v>
      </c>
      <c r="E634" s="15" t="s">
        <v>23616</v>
      </c>
      <c r="F634" s="87" t="s">
        <v>21871</v>
      </c>
      <c r="G634" s="45" t="s">
        <v>14484</v>
      </c>
      <c r="H634" s="55" t="s">
        <v>14485</v>
      </c>
      <c r="I634" s="15" t="s">
        <v>96</v>
      </c>
    </row>
    <row r="635" spans="1:9" ht="51.75" customHeight="1" x14ac:dyDescent="0.35">
      <c r="A635" s="15" t="s">
        <v>23617</v>
      </c>
      <c r="B635" s="15" t="s">
        <v>23618</v>
      </c>
      <c r="C635" s="15" t="s">
        <v>23619</v>
      </c>
      <c r="D635" s="31">
        <v>43545</v>
      </c>
      <c r="E635" s="15" t="s">
        <v>23620</v>
      </c>
      <c r="F635" s="87" t="s">
        <v>21871</v>
      </c>
      <c r="G635" s="45" t="s">
        <v>14607</v>
      </c>
      <c r="H635" s="55" t="s">
        <v>14608</v>
      </c>
      <c r="I635" s="15" t="s">
        <v>96</v>
      </c>
    </row>
    <row r="636" spans="1:9" ht="51.75" customHeight="1" x14ac:dyDescent="0.35">
      <c r="A636" s="15" t="s">
        <v>23621</v>
      </c>
      <c r="B636" s="15" t="s">
        <v>23622</v>
      </c>
      <c r="C636" s="15" t="s">
        <v>23623</v>
      </c>
      <c r="D636" s="31">
        <v>43584</v>
      </c>
      <c r="E636" s="15" t="s">
        <v>23624</v>
      </c>
      <c r="F636" s="87" t="s">
        <v>21871</v>
      </c>
      <c r="G636" s="45" t="s">
        <v>14797</v>
      </c>
      <c r="H636" s="55" t="s">
        <v>14798</v>
      </c>
      <c r="I636" s="15" t="s">
        <v>96</v>
      </c>
    </row>
    <row r="637" spans="1:9" ht="51.75" customHeight="1" x14ac:dyDescent="0.35">
      <c r="A637" s="15" t="s">
        <v>23625</v>
      </c>
      <c r="B637" s="15" t="s">
        <v>23626</v>
      </c>
      <c r="C637" s="15" t="s">
        <v>23627</v>
      </c>
      <c r="D637" s="31">
        <v>43584</v>
      </c>
      <c r="E637" s="15" t="s">
        <v>23628</v>
      </c>
      <c r="F637" s="87" t="s">
        <v>21871</v>
      </c>
      <c r="G637" s="45" t="s">
        <v>14797</v>
      </c>
      <c r="H637" s="55" t="s">
        <v>14798</v>
      </c>
      <c r="I637" s="15" t="s">
        <v>96</v>
      </c>
    </row>
    <row r="638" spans="1:9" ht="51.75" customHeight="1" x14ac:dyDescent="0.35">
      <c r="A638" s="15" t="s">
        <v>23629</v>
      </c>
      <c r="B638" s="15" t="s">
        <v>23630</v>
      </c>
      <c r="C638" s="15" t="s">
        <v>23631</v>
      </c>
      <c r="D638" s="31">
        <v>43584</v>
      </c>
      <c r="E638" s="15" t="s">
        <v>23632</v>
      </c>
      <c r="F638" s="87" t="s">
        <v>21871</v>
      </c>
      <c r="G638" s="45" t="s">
        <v>14797</v>
      </c>
      <c r="H638" s="55" t="s">
        <v>14798</v>
      </c>
      <c r="I638" s="15" t="s">
        <v>96</v>
      </c>
    </row>
    <row r="639" spans="1:9" ht="51.75" customHeight="1" x14ac:dyDescent="0.35">
      <c r="A639" s="15" t="s">
        <v>23361</v>
      </c>
      <c r="B639" s="15" t="s">
        <v>23633</v>
      </c>
      <c r="C639" s="15" t="s">
        <v>23634</v>
      </c>
      <c r="D639" s="31">
        <v>43584</v>
      </c>
      <c r="E639" s="15" t="s">
        <v>23635</v>
      </c>
      <c r="F639" s="87" t="s">
        <v>21871</v>
      </c>
      <c r="G639" s="45" t="s">
        <v>14797</v>
      </c>
      <c r="H639" s="55" t="s">
        <v>14798</v>
      </c>
      <c r="I639" s="15" t="s">
        <v>96</v>
      </c>
    </row>
    <row r="640" spans="1:9" ht="51.75" customHeight="1" x14ac:dyDescent="0.35">
      <c r="A640" s="15" t="s">
        <v>23636</v>
      </c>
      <c r="B640" s="15" t="s">
        <v>23637</v>
      </c>
      <c r="C640" s="15" t="s">
        <v>23638</v>
      </c>
      <c r="D640" s="31">
        <v>43584</v>
      </c>
      <c r="E640" s="15" t="s">
        <v>23639</v>
      </c>
      <c r="F640" s="87" t="s">
        <v>21871</v>
      </c>
      <c r="G640" s="45" t="s">
        <v>14797</v>
      </c>
      <c r="H640" s="55" t="s">
        <v>14798</v>
      </c>
      <c r="I640" s="15" t="s">
        <v>96</v>
      </c>
    </row>
    <row r="641" spans="1:9" ht="51.75" customHeight="1" x14ac:dyDescent="0.35">
      <c r="A641" s="15" t="s">
        <v>23640</v>
      </c>
      <c r="B641" s="15" t="s">
        <v>23641</v>
      </c>
      <c r="C641" s="15" t="s">
        <v>23642</v>
      </c>
      <c r="D641" s="31">
        <v>44116</v>
      </c>
      <c r="E641" s="15" t="s">
        <v>23643</v>
      </c>
      <c r="F641" s="87" t="s">
        <v>21871</v>
      </c>
      <c r="G641" s="45" t="s">
        <v>15493</v>
      </c>
      <c r="H641" s="55" t="s">
        <v>15494</v>
      </c>
      <c r="I641" s="15" t="s">
        <v>96</v>
      </c>
    </row>
    <row r="642" spans="1:9" ht="51.75" customHeight="1" x14ac:dyDescent="0.35">
      <c r="A642" s="15" t="s">
        <v>23644</v>
      </c>
      <c r="B642" s="15" t="s">
        <v>23645</v>
      </c>
      <c r="C642" s="15" t="s">
        <v>23646</v>
      </c>
      <c r="D642" s="31">
        <v>44116</v>
      </c>
      <c r="E642" s="15" t="s">
        <v>23647</v>
      </c>
      <c r="F642" s="87" t="s">
        <v>21871</v>
      </c>
      <c r="G642" s="45" t="s">
        <v>15493</v>
      </c>
      <c r="H642" s="55" t="s">
        <v>15494</v>
      </c>
      <c r="I642" s="15" t="s">
        <v>96</v>
      </c>
    </row>
    <row r="643" spans="1:9" ht="51.75" customHeight="1" x14ac:dyDescent="0.35">
      <c r="A643" s="15" t="s">
        <v>23648</v>
      </c>
      <c r="B643" s="15" t="s">
        <v>23649</v>
      </c>
      <c r="C643" s="15" t="s">
        <v>23650</v>
      </c>
      <c r="D643" s="31">
        <v>44116</v>
      </c>
      <c r="E643" s="15" t="s">
        <v>23651</v>
      </c>
      <c r="F643" s="87" t="s">
        <v>21871</v>
      </c>
      <c r="G643" s="45" t="s">
        <v>15493</v>
      </c>
      <c r="H643" s="55" t="s">
        <v>15494</v>
      </c>
      <c r="I643" s="15" t="s">
        <v>96</v>
      </c>
    </row>
    <row r="644" spans="1:9" ht="51.75" customHeight="1" x14ac:dyDescent="0.35">
      <c r="A644" s="15" t="s">
        <v>23271</v>
      </c>
      <c r="B644" s="15" t="s">
        <v>23652</v>
      </c>
      <c r="C644" s="15" t="s">
        <v>23653</v>
      </c>
      <c r="D644" s="31">
        <v>43803</v>
      </c>
      <c r="E644" s="15" t="s">
        <v>23654</v>
      </c>
      <c r="F644" s="87" t="s">
        <v>21871</v>
      </c>
      <c r="G644" s="45" t="s">
        <v>15471</v>
      </c>
      <c r="H644" s="55" t="s">
        <v>15472</v>
      </c>
      <c r="I644" s="15" t="s">
        <v>96</v>
      </c>
    </row>
    <row r="645" spans="1:9" ht="51.75" customHeight="1" x14ac:dyDescent="0.35">
      <c r="A645" s="15" t="s">
        <v>22163</v>
      </c>
      <c r="B645" s="15" t="s">
        <v>23655</v>
      </c>
      <c r="C645" s="15" t="s">
        <v>23656</v>
      </c>
      <c r="D645" s="31">
        <v>44019</v>
      </c>
      <c r="E645" s="15" t="s">
        <v>23657</v>
      </c>
      <c r="F645" s="87" t="s">
        <v>21871</v>
      </c>
      <c r="G645" s="45" t="s">
        <v>16354</v>
      </c>
      <c r="H645" s="55" t="s">
        <v>16355</v>
      </c>
      <c r="I645" s="15" t="s">
        <v>96</v>
      </c>
    </row>
    <row r="646" spans="1:9" ht="51.75" customHeight="1" x14ac:dyDescent="0.35">
      <c r="A646" s="15" t="s">
        <v>23658</v>
      </c>
      <c r="B646" s="15" t="s">
        <v>23659</v>
      </c>
      <c r="C646" s="15" t="s">
        <v>23660</v>
      </c>
      <c r="D646" s="31">
        <v>44019</v>
      </c>
      <c r="E646" s="15" t="s">
        <v>23661</v>
      </c>
      <c r="F646" s="87" t="s">
        <v>21871</v>
      </c>
      <c r="G646" s="45" t="s">
        <v>16354</v>
      </c>
      <c r="H646" s="55" t="s">
        <v>16355</v>
      </c>
      <c r="I646" s="15" t="s">
        <v>96</v>
      </c>
    </row>
    <row r="647" spans="1:9" ht="51.75" customHeight="1" x14ac:dyDescent="0.35">
      <c r="A647" s="15" t="s">
        <v>23662</v>
      </c>
      <c r="B647" s="15" t="s">
        <v>23663</v>
      </c>
      <c r="C647" s="15" t="s">
        <v>23664</v>
      </c>
      <c r="D647" s="31">
        <v>44019</v>
      </c>
      <c r="E647" s="15" t="s">
        <v>23665</v>
      </c>
      <c r="F647" s="87" t="s">
        <v>21871</v>
      </c>
      <c r="G647" s="45" t="s">
        <v>16354</v>
      </c>
      <c r="H647" s="55" t="s">
        <v>16355</v>
      </c>
      <c r="I647" s="15" t="s">
        <v>96</v>
      </c>
    </row>
    <row r="648" spans="1:9" ht="51.75" customHeight="1" x14ac:dyDescent="0.35">
      <c r="A648" s="15" t="s">
        <v>23666</v>
      </c>
      <c r="B648" s="15" t="s">
        <v>23667</v>
      </c>
      <c r="C648" s="15" t="s">
        <v>23668</v>
      </c>
      <c r="D648" s="31">
        <v>44019</v>
      </c>
      <c r="E648" s="15" t="s">
        <v>23669</v>
      </c>
      <c r="F648" s="87" t="s">
        <v>21871</v>
      </c>
      <c r="G648" s="45" t="s">
        <v>16354</v>
      </c>
      <c r="H648" s="55" t="s">
        <v>16355</v>
      </c>
      <c r="I648" s="15" t="s">
        <v>96</v>
      </c>
    </row>
    <row r="649" spans="1:9" ht="51.75" customHeight="1" x14ac:dyDescent="0.35">
      <c r="A649" s="15" t="s">
        <v>23670</v>
      </c>
      <c r="B649" s="15" t="s">
        <v>23671</v>
      </c>
      <c r="C649" s="15" t="s">
        <v>23672</v>
      </c>
      <c r="D649" s="31">
        <v>44130</v>
      </c>
      <c r="E649" s="15" t="s">
        <v>23673</v>
      </c>
      <c r="F649" s="87" t="s">
        <v>21871</v>
      </c>
      <c r="G649" s="45" t="s">
        <v>16596</v>
      </c>
      <c r="H649" s="55" t="s">
        <v>16597</v>
      </c>
      <c r="I649" s="15" t="s">
        <v>96</v>
      </c>
    </row>
    <row r="650" spans="1:9" ht="51.75" customHeight="1" x14ac:dyDescent="0.35">
      <c r="A650" s="15"/>
      <c r="B650" s="15" t="s">
        <v>23674</v>
      </c>
      <c r="C650" s="15" t="s">
        <v>23675</v>
      </c>
      <c r="D650" s="28">
        <v>44327</v>
      </c>
      <c r="E650" s="15" t="s">
        <v>23676</v>
      </c>
      <c r="F650" s="87" t="s">
        <v>23210</v>
      </c>
      <c r="G650" s="45" t="s">
        <v>16654</v>
      </c>
      <c r="H650" s="54" t="s">
        <v>16655</v>
      </c>
      <c r="I650" s="15" t="s">
        <v>96</v>
      </c>
    </row>
    <row r="651" spans="1:9" ht="51.75" customHeight="1" x14ac:dyDescent="0.35">
      <c r="A651" s="15"/>
      <c r="B651" s="15" t="s">
        <v>23677</v>
      </c>
      <c r="C651" s="15" t="s">
        <v>23678</v>
      </c>
      <c r="D651" s="28">
        <v>44327</v>
      </c>
      <c r="E651" s="15" t="s">
        <v>23679</v>
      </c>
      <c r="F651" s="87" t="s">
        <v>23210</v>
      </c>
      <c r="G651" s="45" t="s">
        <v>16654</v>
      </c>
      <c r="H651" s="54" t="s">
        <v>16655</v>
      </c>
      <c r="I651" s="15" t="s">
        <v>96</v>
      </c>
    </row>
    <row r="652" spans="1:9" ht="51.75" customHeight="1" x14ac:dyDescent="0.35">
      <c r="A652" s="15"/>
      <c r="B652" s="15" t="s">
        <v>23680</v>
      </c>
      <c r="C652" s="15" t="s">
        <v>23681</v>
      </c>
      <c r="D652" s="28">
        <v>44327</v>
      </c>
      <c r="E652" s="15" t="s">
        <v>23682</v>
      </c>
      <c r="F652" s="87" t="s">
        <v>23210</v>
      </c>
      <c r="G652" s="45" t="s">
        <v>16654</v>
      </c>
      <c r="H652" s="54" t="s">
        <v>16655</v>
      </c>
      <c r="I652" s="15" t="s">
        <v>96</v>
      </c>
    </row>
    <row r="653" spans="1:9" ht="51.75" customHeight="1" x14ac:dyDescent="0.35">
      <c r="A653" s="15"/>
      <c r="B653" s="15" t="s">
        <v>23683</v>
      </c>
      <c r="C653" s="15" t="s">
        <v>23684</v>
      </c>
      <c r="D653" s="28">
        <v>44327</v>
      </c>
      <c r="E653" s="15" t="s">
        <v>23685</v>
      </c>
      <c r="F653" s="87" t="s">
        <v>23210</v>
      </c>
      <c r="G653" s="45" t="s">
        <v>16654</v>
      </c>
      <c r="H653" s="54" t="s">
        <v>16655</v>
      </c>
      <c r="I653" s="15" t="s">
        <v>96</v>
      </c>
    </row>
    <row r="654" spans="1:9" ht="51.75" customHeight="1" x14ac:dyDescent="0.35">
      <c r="A654" s="15"/>
      <c r="B654" s="15" t="s">
        <v>23686</v>
      </c>
      <c r="C654" s="15" t="s">
        <v>23687</v>
      </c>
      <c r="D654" s="28">
        <v>44271</v>
      </c>
      <c r="E654" s="15" t="s">
        <v>23688</v>
      </c>
      <c r="F654" s="87" t="s">
        <v>21871</v>
      </c>
      <c r="G654" s="45" t="s">
        <v>16923</v>
      </c>
      <c r="H654" s="54" t="s">
        <v>16924</v>
      </c>
      <c r="I654" s="5" t="s">
        <v>96</v>
      </c>
    </row>
    <row r="655" spans="1:9" ht="51.75" customHeight="1" x14ac:dyDescent="0.35">
      <c r="A655" s="15"/>
      <c r="B655" s="15" t="s">
        <v>23689</v>
      </c>
      <c r="C655" s="15" t="s">
        <v>23690</v>
      </c>
      <c r="D655" s="28">
        <v>44271</v>
      </c>
      <c r="E655" s="15" t="s">
        <v>23691</v>
      </c>
      <c r="F655" s="87" t="s">
        <v>21871</v>
      </c>
      <c r="G655" s="45" t="s">
        <v>16923</v>
      </c>
      <c r="H655" s="54" t="s">
        <v>16924</v>
      </c>
      <c r="I655" s="5" t="s">
        <v>96</v>
      </c>
    </row>
    <row r="656" spans="1:9" ht="51.75" customHeight="1" x14ac:dyDescent="0.35">
      <c r="A656" s="15"/>
      <c r="B656" s="15" t="s">
        <v>23692</v>
      </c>
      <c r="C656" s="15" t="s">
        <v>23693</v>
      </c>
      <c r="D656" s="28">
        <v>44271</v>
      </c>
      <c r="E656" s="15" t="s">
        <v>23694</v>
      </c>
      <c r="F656" s="87" t="s">
        <v>21871</v>
      </c>
      <c r="G656" s="45" t="s">
        <v>16923</v>
      </c>
      <c r="H656" s="54" t="s">
        <v>16924</v>
      </c>
      <c r="I656" s="5" t="s">
        <v>96</v>
      </c>
    </row>
    <row r="657" spans="1:9" ht="51.75" customHeight="1" x14ac:dyDescent="0.35">
      <c r="A657" s="15"/>
      <c r="B657" s="15" t="s">
        <v>23695</v>
      </c>
      <c r="C657" s="15" t="s">
        <v>23696</v>
      </c>
      <c r="D657" s="28">
        <v>44271</v>
      </c>
      <c r="E657" s="15" t="s">
        <v>23697</v>
      </c>
      <c r="F657" s="87" t="s">
        <v>21871</v>
      </c>
      <c r="G657" s="45" t="s">
        <v>16923</v>
      </c>
      <c r="H657" s="54" t="s">
        <v>16924</v>
      </c>
      <c r="I657" s="5" t="s">
        <v>96</v>
      </c>
    </row>
    <row r="658" spans="1:9" ht="51.75" customHeight="1" x14ac:dyDescent="0.35">
      <c r="A658" s="15"/>
      <c r="B658" s="15" t="str">
        <f>CONCATENATE(G658,"/",COUNTIF($G$2:G658,G658))</f>
        <v>FR-6149/1</v>
      </c>
      <c r="C658" s="15" t="s">
        <v>23698</v>
      </c>
      <c r="D658" s="28">
        <v>44406</v>
      </c>
      <c r="E658" s="15" t="s">
        <v>23699</v>
      </c>
      <c r="F658" s="87" t="s">
        <v>21871</v>
      </c>
      <c r="G658" s="45" t="s">
        <v>17198</v>
      </c>
      <c r="H658" s="54" t="s">
        <v>17199</v>
      </c>
      <c r="I658" s="5" t="s">
        <v>96</v>
      </c>
    </row>
    <row r="659" spans="1:9" ht="51.75" customHeight="1" x14ac:dyDescent="0.35">
      <c r="A659" s="15"/>
      <c r="B659" s="15" t="str">
        <f>CONCATENATE(G659,"/",COUNTIF($G$2:G659,G659))</f>
        <v>FR-6149/2</v>
      </c>
      <c r="C659" s="15" t="s">
        <v>23700</v>
      </c>
      <c r="D659" s="28">
        <v>44406</v>
      </c>
      <c r="E659" s="15" t="s">
        <v>23701</v>
      </c>
      <c r="F659" s="87" t="s">
        <v>21871</v>
      </c>
      <c r="G659" s="45" t="s">
        <v>17198</v>
      </c>
      <c r="H659" s="54" t="s">
        <v>17199</v>
      </c>
      <c r="I659" s="5" t="s">
        <v>96</v>
      </c>
    </row>
    <row r="660" spans="1:9" ht="51.75" customHeight="1" x14ac:dyDescent="0.35">
      <c r="A660" s="15"/>
      <c r="B660" s="15" t="str">
        <f>CONCATENATE(G660,"/",COUNTIF($G$2:G660,G660))</f>
        <v>FR-6149/3</v>
      </c>
      <c r="C660" s="15" t="s">
        <v>23702</v>
      </c>
      <c r="D660" s="28">
        <v>44406</v>
      </c>
      <c r="E660" s="15" t="s">
        <v>23703</v>
      </c>
      <c r="F660" s="87" t="s">
        <v>21871</v>
      </c>
      <c r="G660" s="45" t="s">
        <v>17198</v>
      </c>
      <c r="H660" s="54" t="s">
        <v>17199</v>
      </c>
      <c r="I660" s="5" t="s">
        <v>96</v>
      </c>
    </row>
    <row r="661" spans="1:9" ht="51.75" customHeight="1" x14ac:dyDescent="0.35">
      <c r="A661" s="15"/>
      <c r="B661" s="15" t="str">
        <f>CONCATENATE(G661,"/",COUNTIF($G$2:G661,G661))</f>
        <v>FR-6149/4</v>
      </c>
      <c r="C661" s="15" t="s">
        <v>23704</v>
      </c>
      <c r="D661" s="28">
        <v>44406</v>
      </c>
      <c r="E661" s="15" t="s">
        <v>23705</v>
      </c>
      <c r="F661" s="87" t="s">
        <v>21871</v>
      </c>
      <c r="G661" s="45" t="s">
        <v>17198</v>
      </c>
      <c r="H661" s="54" t="s">
        <v>17199</v>
      </c>
      <c r="I661" s="5" t="s">
        <v>96</v>
      </c>
    </row>
    <row r="662" spans="1:9" ht="51.75" customHeight="1" x14ac:dyDescent="0.35">
      <c r="A662" s="15" t="s">
        <v>23706</v>
      </c>
      <c r="B662" s="15" t="s">
        <v>23707</v>
      </c>
      <c r="C662" s="15" t="s">
        <v>23708</v>
      </c>
      <c r="D662" s="31" t="s">
        <v>50</v>
      </c>
      <c r="E662" s="15" t="s">
        <v>23709</v>
      </c>
      <c r="F662" s="87" t="s">
        <v>23710</v>
      </c>
      <c r="G662" s="45" t="s">
        <v>7802</v>
      </c>
      <c r="H662" s="55" t="s">
        <v>7803</v>
      </c>
      <c r="I662" s="15" t="s">
        <v>563</v>
      </c>
    </row>
    <row r="663" spans="1:9" ht="51.75" customHeight="1" x14ac:dyDescent="0.35">
      <c r="A663" s="15" t="s">
        <v>23706</v>
      </c>
      <c r="B663" s="15" t="s">
        <v>23711</v>
      </c>
      <c r="C663" s="15" t="s">
        <v>23708</v>
      </c>
      <c r="D663" s="31" t="s">
        <v>50</v>
      </c>
      <c r="E663" s="15" t="s">
        <v>23712</v>
      </c>
      <c r="F663" s="87" t="s">
        <v>21871</v>
      </c>
      <c r="G663" s="45" t="s">
        <v>7802</v>
      </c>
      <c r="H663" s="55" t="s">
        <v>7803</v>
      </c>
      <c r="I663" s="15" t="s">
        <v>563</v>
      </c>
    </row>
    <row r="664" spans="1:9" ht="51.75" customHeight="1" x14ac:dyDescent="0.35">
      <c r="A664" s="15" t="s">
        <v>23713</v>
      </c>
      <c r="B664" s="15" t="s">
        <v>23714</v>
      </c>
      <c r="C664" s="15" t="s">
        <v>23715</v>
      </c>
      <c r="D664" s="31" t="s">
        <v>50</v>
      </c>
      <c r="E664" s="15" t="s">
        <v>23716</v>
      </c>
      <c r="F664" s="87" t="s">
        <v>23710</v>
      </c>
      <c r="G664" s="45" t="s">
        <v>7802</v>
      </c>
      <c r="H664" s="55" t="s">
        <v>7803</v>
      </c>
      <c r="I664" s="15" t="s">
        <v>563</v>
      </c>
    </row>
    <row r="665" spans="1:9" ht="51.75" customHeight="1" x14ac:dyDescent="0.35">
      <c r="A665" s="15" t="s">
        <v>23713</v>
      </c>
      <c r="B665" s="15" t="s">
        <v>23717</v>
      </c>
      <c r="C665" s="15" t="s">
        <v>23715</v>
      </c>
      <c r="D665" s="31" t="s">
        <v>50</v>
      </c>
      <c r="E665" s="15" t="s">
        <v>23718</v>
      </c>
      <c r="F665" s="87" t="s">
        <v>21871</v>
      </c>
      <c r="G665" s="45" t="s">
        <v>7802</v>
      </c>
      <c r="H665" s="55" t="s">
        <v>7803</v>
      </c>
      <c r="I665" s="15" t="s">
        <v>563</v>
      </c>
    </row>
    <row r="666" spans="1:9" ht="51.75" customHeight="1" x14ac:dyDescent="0.35">
      <c r="A666" s="15">
        <v>1</v>
      </c>
      <c r="B666" s="15" t="s">
        <v>23719</v>
      </c>
      <c r="C666" s="15" t="s">
        <v>23720</v>
      </c>
      <c r="D666" s="31">
        <v>40429</v>
      </c>
      <c r="E666" s="15" t="s">
        <v>23721</v>
      </c>
      <c r="F666" s="87" t="s">
        <v>23710</v>
      </c>
      <c r="G666" s="45" t="s">
        <v>5254</v>
      </c>
      <c r="H666" s="55" t="s">
        <v>5255</v>
      </c>
      <c r="I666" s="15" t="s">
        <v>563</v>
      </c>
    </row>
    <row r="667" spans="1:9" ht="51.75" customHeight="1" x14ac:dyDescent="0.35">
      <c r="A667" s="15">
        <v>1</v>
      </c>
      <c r="B667" s="15" t="s">
        <v>23722</v>
      </c>
      <c r="C667" s="15" t="s">
        <v>23720</v>
      </c>
      <c r="D667" s="31">
        <v>40429</v>
      </c>
      <c r="E667" s="15" t="s">
        <v>23723</v>
      </c>
      <c r="F667" s="87" t="s">
        <v>21871</v>
      </c>
      <c r="G667" s="45" t="s">
        <v>5254</v>
      </c>
      <c r="H667" s="55" t="s">
        <v>5255</v>
      </c>
      <c r="I667" s="15" t="s">
        <v>563</v>
      </c>
    </row>
    <row r="668" spans="1:9" ht="51.75" customHeight="1" x14ac:dyDescent="0.35">
      <c r="A668" s="15">
        <v>2</v>
      </c>
      <c r="B668" s="15" t="s">
        <v>23724</v>
      </c>
      <c r="C668" s="15" t="s">
        <v>23725</v>
      </c>
      <c r="D668" s="31">
        <v>40429</v>
      </c>
      <c r="E668" s="15" t="s">
        <v>23726</v>
      </c>
      <c r="F668" s="87" t="s">
        <v>23710</v>
      </c>
      <c r="G668" s="45" t="s">
        <v>5254</v>
      </c>
      <c r="H668" s="55" t="s">
        <v>5255</v>
      </c>
      <c r="I668" s="15" t="s">
        <v>563</v>
      </c>
    </row>
    <row r="669" spans="1:9" ht="51.75" customHeight="1" x14ac:dyDescent="0.35">
      <c r="A669" s="15">
        <v>2</v>
      </c>
      <c r="B669" s="15" t="s">
        <v>23727</v>
      </c>
      <c r="C669" s="15" t="s">
        <v>23725</v>
      </c>
      <c r="D669" s="31">
        <v>40429</v>
      </c>
      <c r="E669" s="15" t="s">
        <v>23728</v>
      </c>
      <c r="F669" s="87" t="s">
        <v>21871</v>
      </c>
      <c r="G669" s="45" t="s">
        <v>5254</v>
      </c>
      <c r="H669" s="55" t="s">
        <v>5255</v>
      </c>
      <c r="I669" s="15" t="s">
        <v>563</v>
      </c>
    </row>
    <row r="670" spans="1:9" ht="51.75" customHeight="1" x14ac:dyDescent="0.35">
      <c r="A670" s="15">
        <v>1</v>
      </c>
      <c r="B670" s="15" t="s">
        <v>23729</v>
      </c>
      <c r="C670" s="15" t="s">
        <v>23730</v>
      </c>
      <c r="D670" s="31">
        <v>40371</v>
      </c>
      <c r="E670" s="15" t="s">
        <v>23731</v>
      </c>
      <c r="F670" s="87" t="s">
        <v>23710</v>
      </c>
      <c r="G670" s="45" t="s">
        <v>5044</v>
      </c>
      <c r="H670" s="55" t="s">
        <v>5045</v>
      </c>
      <c r="I670" s="15" t="s">
        <v>563</v>
      </c>
    </row>
    <row r="671" spans="1:9" ht="51.75" customHeight="1" x14ac:dyDescent="0.35">
      <c r="A671" s="15">
        <v>1</v>
      </c>
      <c r="B671" s="15" t="s">
        <v>23732</v>
      </c>
      <c r="C671" s="15" t="s">
        <v>23730</v>
      </c>
      <c r="D671" s="31">
        <v>40371</v>
      </c>
      <c r="E671" s="15" t="s">
        <v>23733</v>
      </c>
      <c r="F671" s="87" t="s">
        <v>21871</v>
      </c>
      <c r="G671" s="45" t="s">
        <v>5044</v>
      </c>
      <c r="H671" s="55" t="s">
        <v>5045</v>
      </c>
      <c r="I671" s="15" t="s">
        <v>563</v>
      </c>
    </row>
    <row r="672" spans="1:9" ht="51.75" customHeight="1" x14ac:dyDescent="0.35">
      <c r="A672" s="15">
        <v>1</v>
      </c>
      <c r="B672" s="15" t="s">
        <v>23734</v>
      </c>
      <c r="C672" s="15" t="s">
        <v>23735</v>
      </c>
      <c r="D672" s="31">
        <v>40198</v>
      </c>
      <c r="E672" s="15" t="s">
        <v>23736</v>
      </c>
      <c r="F672" s="87" t="s">
        <v>23710</v>
      </c>
      <c r="G672" s="45" t="s">
        <v>4463</v>
      </c>
      <c r="H672" s="55" t="s">
        <v>4464</v>
      </c>
      <c r="I672" s="15" t="s">
        <v>563</v>
      </c>
    </row>
    <row r="673" spans="1:9" ht="51.75" customHeight="1" x14ac:dyDescent="0.35">
      <c r="A673" s="15">
        <v>1</v>
      </c>
      <c r="B673" s="15" t="s">
        <v>23737</v>
      </c>
      <c r="C673" s="15" t="s">
        <v>23735</v>
      </c>
      <c r="D673" s="31">
        <v>40198</v>
      </c>
      <c r="E673" s="15" t="s">
        <v>23738</v>
      </c>
      <c r="F673" s="87" t="s">
        <v>21871</v>
      </c>
      <c r="G673" s="45" t="s">
        <v>4463</v>
      </c>
      <c r="H673" s="55" t="s">
        <v>4464</v>
      </c>
      <c r="I673" s="15" t="s">
        <v>563</v>
      </c>
    </row>
    <row r="674" spans="1:9" ht="51.75" customHeight="1" x14ac:dyDescent="0.35">
      <c r="A674" s="15">
        <v>1</v>
      </c>
      <c r="B674" s="15" t="s">
        <v>23739</v>
      </c>
      <c r="C674" s="15" t="s">
        <v>23740</v>
      </c>
      <c r="D674" s="31">
        <v>39995</v>
      </c>
      <c r="E674" s="15" t="s">
        <v>23741</v>
      </c>
      <c r="F674" s="87" t="s">
        <v>23710</v>
      </c>
      <c r="G674" s="45" t="s">
        <v>3879</v>
      </c>
      <c r="H674" s="55" t="s">
        <v>3880</v>
      </c>
      <c r="I674" s="15" t="s">
        <v>563</v>
      </c>
    </row>
    <row r="675" spans="1:9" ht="51.75" customHeight="1" x14ac:dyDescent="0.35">
      <c r="A675" s="15">
        <v>1</v>
      </c>
      <c r="B675" s="15" t="s">
        <v>23742</v>
      </c>
      <c r="C675" s="15" t="s">
        <v>23740</v>
      </c>
      <c r="D675" s="31">
        <v>39995</v>
      </c>
      <c r="E675" s="15" t="s">
        <v>23743</v>
      </c>
      <c r="F675" s="87" t="s">
        <v>21871</v>
      </c>
      <c r="G675" s="45" t="s">
        <v>3879</v>
      </c>
      <c r="H675" s="55" t="s">
        <v>3880</v>
      </c>
      <c r="I675" s="15" t="s">
        <v>563</v>
      </c>
    </row>
    <row r="676" spans="1:9" ht="51.75" customHeight="1" x14ac:dyDescent="0.35">
      <c r="A676" s="15">
        <v>2</v>
      </c>
      <c r="B676" s="15" t="s">
        <v>23744</v>
      </c>
      <c r="C676" s="15" t="s">
        <v>23745</v>
      </c>
      <c r="D676" s="31">
        <v>39995</v>
      </c>
      <c r="E676" s="15" t="s">
        <v>23746</v>
      </c>
      <c r="F676" s="87" t="s">
        <v>23710</v>
      </c>
      <c r="G676" s="45" t="s">
        <v>3879</v>
      </c>
      <c r="H676" s="55" t="s">
        <v>3880</v>
      </c>
      <c r="I676" s="15" t="s">
        <v>563</v>
      </c>
    </row>
    <row r="677" spans="1:9" ht="51.75" customHeight="1" x14ac:dyDescent="0.35">
      <c r="A677" s="15">
        <v>2</v>
      </c>
      <c r="B677" s="15" t="s">
        <v>23747</v>
      </c>
      <c r="C677" s="15" t="s">
        <v>23745</v>
      </c>
      <c r="D677" s="31">
        <v>39995</v>
      </c>
      <c r="E677" s="15" t="s">
        <v>23748</v>
      </c>
      <c r="F677" s="87" t="s">
        <v>21871</v>
      </c>
      <c r="G677" s="45" t="s">
        <v>3879</v>
      </c>
      <c r="H677" s="55" t="s">
        <v>3880</v>
      </c>
      <c r="I677" s="15" t="s">
        <v>563</v>
      </c>
    </row>
    <row r="678" spans="1:9" ht="51.75" customHeight="1" x14ac:dyDescent="0.35">
      <c r="A678" s="15">
        <v>3</v>
      </c>
      <c r="B678" s="15" t="s">
        <v>23749</v>
      </c>
      <c r="C678" s="15" t="s">
        <v>23750</v>
      </c>
      <c r="D678" s="31">
        <v>39995</v>
      </c>
      <c r="E678" s="15" t="s">
        <v>23751</v>
      </c>
      <c r="F678" s="87" t="s">
        <v>23710</v>
      </c>
      <c r="G678" s="45" t="s">
        <v>3879</v>
      </c>
      <c r="H678" s="55" t="s">
        <v>3880</v>
      </c>
      <c r="I678" s="15" t="s">
        <v>563</v>
      </c>
    </row>
    <row r="679" spans="1:9" ht="51.75" customHeight="1" x14ac:dyDescent="0.35">
      <c r="A679" s="15">
        <v>3</v>
      </c>
      <c r="B679" s="15" t="s">
        <v>23752</v>
      </c>
      <c r="C679" s="15" t="s">
        <v>23750</v>
      </c>
      <c r="D679" s="31">
        <v>39995</v>
      </c>
      <c r="E679" s="15" t="s">
        <v>23753</v>
      </c>
      <c r="F679" s="87" t="s">
        <v>21871</v>
      </c>
      <c r="G679" s="45" t="s">
        <v>3879</v>
      </c>
      <c r="H679" s="55" t="s">
        <v>3880</v>
      </c>
      <c r="I679" s="15" t="s">
        <v>563</v>
      </c>
    </row>
    <row r="680" spans="1:9" ht="51.75" customHeight="1" x14ac:dyDescent="0.35">
      <c r="A680" s="15">
        <v>1</v>
      </c>
      <c r="B680" s="15" t="s">
        <v>23754</v>
      </c>
      <c r="C680" s="15" t="s">
        <v>23755</v>
      </c>
      <c r="D680" s="31">
        <v>39777</v>
      </c>
      <c r="E680" s="15" t="s">
        <v>23756</v>
      </c>
      <c r="F680" s="87" t="s">
        <v>23710</v>
      </c>
      <c r="G680" s="45" t="s">
        <v>3406</v>
      </c>
      <c r="H680" s="55" t="s">
        <v>3407</v>
      </c>
      <c r="I680" s="15" t="s">
        <v>563</v>
      </c>
    </row>
    <row r="681" spans="1:9" ht="51.75" customHeight="1" x14ac:dyDescent="0.35">
      <c r="A681" s="15">
        <v>1</v>
      </c>
      <c r="B681" s="15" t="s">
        <v>23757</v>
      </c>
      <c r="C681" s="15" t="s">
        <v>23755</v>
      </c>
      <c r="D681" s="31">
        <v>39777</v>
      </c>
      <c r="E681" s="15" t="s">
        <v>23758</v>
      </c>
      <c r="F681" s="87" t="s">
        <v>21871</v>
      </c>
      <c r="G681" s="45" t="s">
        <v>3406</v>
      </c>
      <c r="H681" s="55" t="s">
        <v>3407</v>
      </c>
      <c r="I681" s="15" t="s">
        <v>563</v>
      </c>
    </row>
    <row r="682" spans="1:9" ht="51.75" customHeight="1" x14ac:dyDescent="0.35">
      <c r="A682" s="15" t="s">
        <v>23759</v>
      </c>
      <c r="B682" s="15" t="s">
        <v>23760</v>
      </c>
      <c r="C682" s="15" t="s">
        <v>23761</v>
      </c>
      <c r="D682" s="31" t="s">
        <v>50</v>
      </c>
      <c r="E682" s="15" t="s">
        <v>23762</v>
      </c>
      <c r="F682" s="87" t="s">
        <v>23710</v>
      </c>
      <c r="G682" s="45" t="s">
        <v>8227</v>
      </c>
      <c r="H682" s="55" t="s">
        <v>8228</v>
      </c>
      <c r="I682" s="15" t="s">
        <v>563</v>
      </c>
    </row>
    <row r="683" spans="1:9" ht="51.75" customHeight="1" x14ac:dyDescent="0.35">
      <c r="A683" s="15" t="s">
        <v>23759</v>
      </c>
      <c r="B683" s="15" t="s">
        <v>23763</v>
      </c>
      <c r="C683" s="15" t="s">
        <v>23761</v>
      </c>
      <c r="D683" s="31" t="s">
        <v>50</v>
      </c>
      <c r="E683" s="15" t="s">
        <v>23764</v>
      </c>
      <c r="F683" s="87" t="s">
        <v>21871</v>
      </c>
      <c r="G683" s="45" t="s">
        <v>8227</v>
      </c>
      <c r="H683" s="55" t="s">
        <v>8228</v>
      </c>
      <c r="I683" s="15" t="s">
        <v>563</v>
      </c>
    </row>
    <row r="684" spans="1:9" ht="51.75" customHeight="1" x14ac:dyDescent="0.35">
      <c r="A684" s="15" t="s">
        <v>23539</v>
      </c>
      <c r="B684" s="15" t="s">
        <v>23765</v>
      </c>
      <c r="C684" s="15" t="s">
        <v>23766</v>
      </c>
      <c r="D684" s="31" t="s">
        <v>50</v>
      </c>
      <c r="E684" s="15" t="s">
        <v>23767</v>
      </c>
      <c r="F684" s="87" t="s">
        <v>23710</v>
      </c>
      <c r="G684" s="45" t="s">
        <v>8282</v>
      </c>
      <c r="H684" s="55" t="s">
        <v>8283</v>
      </c>
      <c r="I684" s="15" t="s">
        <v>563</v>
      </c>
    </row>
    <row r="685" spans="1:9" ht="51.75" customHeight="1" x14ac:dyDescent="0.35">
      <c r="A685" s="15" t="s">
        <v>23539</v>
      </c>
      <c r="B685" s="15" t="s">
        <v>23768</v>
      </c>
      <c r="C685" s="15" t="s">
        <v>23766</v>
      </c>
      <c r="D685" s="31" t="s">
        <v>50</v>
      </c>
      <c r="E685" s="15" t="s">
        <v>23769</v>
      </c>
      <c r="F685" s="87" t="s">
        <v>21871</v>
      </c>
      <c r="G685" s="45" t="s">
        <v>8282</v>
      </c>
      <c r="H685" s="55" t="s">
        <v>8283</v>
      </c>
      <c r="I685" s="15" t="s">
        <v>563</v>
      </c>
    </row>
    <row r="686" spans="1:9" ht="51.75" customHeight="1" x14ac:dyDescent="0.35">
      <c r="A686" s="15" t="s">
        <v>23770</v>
      </c>
      <c r="B686" s="15" t="s">
        <v>23771</v>
      </c>
      <c r="C686" s="15" t="s">
        <v>23772</v>
      </c>
      <c r="D686" s="31" t="s">
        <v>50</v>
      </c>
      <c r="E686" s="15" t="s">
        <v>23773</v>
      </c>
      <c r="F686" s="87" t="s">
        <v>23710</v>
      </c>
      <c r="G686" s="45" t="s">
        <v>8282</v>
      </c>
      <c r="H686" s="55" t="s">
        <v>8283</v>
      </c>
      <c r="I686" s="15" t="s">
        <v>563</v>
      </c>
    </row>
    <row r="687" spans="1:9" ht="51.75" customHeight="1" x14ac:dyDescent="0.35">
      <c r="A687" s="15" t="s">
        <v>23770</v>
      </c>
      <c r="B687" s="15" t="s">
        <v>23774</v>
      </c>
      <c r="C687" s="15" t="s">
        <v>23772</v>
      </c>
      <c r="D687" s="31" t="s">
        <v>50</v>
      </c>
      <c r="E687" s="15" t="s">
        <v>23775</v>
      </c>
      <c r="F687" s="87" t="s">
        <v>21871</v>
      </c>
      <c r="G687" s="45" t="s">
        <v>8282</v>
      </c>
      <c r="H687" s="55" t="s">
        <v>8283</v>
      </c>
      <c r="I687" s="15" t="s">
        <v>563</v>
      </c>
    </row>
    <row r="688" spans="1:9" ht="51.75" customHeight="1" x14ac:dyDescent="0.35">
      <c r="A688" s="15" t="s">
        <v>23776</v>
      </c>
      <c r="B688" s="15" t="s">
        <v>23777</v>
      </c>
      <c r="C688" s="15" t="s">
        <v>23778</v>
      </c>
      <c r="D688" s="31" t="s">
        <v>50</v>
      </c>
      <c r="E688" s="15" t="s">
        <v>23779</v>
      </c>
      <c r="F688" s="87" t="s">
        <v>23710</v>
      </c>
      <c r="G688" s="45" t="s">
        <v>8282</v>
      </c>
      <c r="H688" s="55" t="s">
        <v>8283</v>
      </c>
      <c r="I688" s="15" t="s">
        <v>563</v>
      </c>
    </row>
    <row r="689" spans="1:9" ht="51.75" customHeight="1" x14ac:dyDescent="0.35">
      <c r="A689" s="15" t="s">
        <v>23776</v>
      </c>
      <c r="B689" s="15" t="s">
        <v>23780</v>
      </c>
      <c r="C689" s="15" t="s">
        <v>23778</v>
      </c>
      <c r="D689" s="31" t="s">
        <v>50</v>
      </c>
      <c r="E689" s="15" t="s">
        <v>23781</v>
      </c>
      <c r="F689" s="87" t="s">
        <v>21871</v>
      </c>
      <c r="G689" s="45" t="s">
        <v>8282</v>
      </c>
      <c r="H689" s="55" t="s">
        <v>8283</v>
      </c>
      <c r="I689" s="15" t="s">
        <v>563</v>
      </c>
    </row>
    <row r="690" spans="1:9" ht="51.75" customHeight="1" x14ac:dyDescent="0.35">
      <c r="A690" s="15" t="s">
        <v>23782</v>
      </c>
      <c r="B690" s="15" t="s">
        <v>23783</v>
      </c>
      <c r="C690" s="15" t="s">
        <v>23784</v>
      </c>
      <c r="D690" s="31" t="s">
        <v>50</v>
      </c>
      <c r="E690" s="15" t="s">
        <v>23785</v>
      </c>
      <c r="F690" s="87" t="s">
        <v>23710</v>
      </c>
      <c r="G690" s="45" t="s">
        <v>8282</v>
      </c>
      <c r="H690" s="55" t="s">
        <v>8283</v>
      </c>
      <c r="I690" s="15" t="s">
        <v>563</v>
      </c>
    </row>
    <row r="691" spans="1:9" ht="51.75" customHeight="1" x14ac:dyDescent="0.35">
      <c r="A691" s="15" t="s">
        <v>23782</v>
      </c>
      <c r="B691" s="15" t="s">
        <v>23786</v>
      </c>
      <c r="C691" s="15" t="s">
        <v>23784</v>
      </c>
      <c r="D691" s="31" t="s">
        <v>50</v>
      </c>
      <c r="E691" s="15" t="s">
        <v>23787</v>
      </c>
      <c r="F691" s="87" t="s">
        <v>21871</v>
      </c>
      <c r="G691" s="45" t="s">
        <v>8282</v>
      </c>
      <c r="H691" s="55" t="s">
        <v>8283</v>
      </c>
      <c r="I691" s="15" t="s">
        <v>563</v>
      </c>
    </row>
    <row r="692" spans="1:9" ht="51.75" customHeight="1" x14ac:dyDescent="0.35">
      <c r="A692" s="15" t="s">
        <v>23788</v>
      </c>
      <c r="B692" s="15" t="s">
        <v>23789</v>
      </c>
      <c r="C692" s="15" t="s">
        <v>23790</v>
      </c>
      <c r="D692" s="31" t="s">
        <v>50</v>
      </c>
      <c r="E692" s="15" t="s">
        <v>23791</v>
      </c>
      <c r="F692" s="87" t="s">
        <v>23710</v>
      </c>
      <c r="G692" s="45" t="s">
        <v>8282</v>
      </c>
      <c r="H692" s="55" t="s">
        <v>8283</v>
      </c>
      <c r="I692" s="15" t="s">
        <v>563</v>
      </c>
    </row>
    <row r="693" spans="1:9" ht="51.75" customHeight="1" x14ac:dyDescent="0.35">
      <c r="A693" s="15" t="s">
        <v>23788</v>
      </c>
      <c r="B693" s="15" t="s">
        <v>23792</v>
      </c>
      <c r="C693" s="15" t="s">
        <v>23790</v>
      </c>
      <c r="D693" s="31" t="s">
        <v>50</v>
      </c>
      <c r="E693" s="15" t="s">
        <v>23793</v>
      </c>
      <c r="F693" s="87" t="s">
        <v>21871</v>
      </c>
      <c r="G693" s="45" t="s">
        <v>8282</v>
      </c>
      <c r="H693" s="55" t="s">
        <v>8283</v>
      </c>
      <c r="I693" s="15" t="s">
        <v>563</v>
      </c>
    </row>
    <row r="694" spans="1:9" ht="51.75" customHeight="1" x14ac:dyDescent="0.35">
      <c r="A694" s="15" t="s">
        <v>22143</v>
      </c>
      <c r="B694" s="15" t="s">
        <v>23794</v>
      </c>
      <c r="C694" s="15" t="s">
        <v>23795</v>
      </c>
      <c r="D694" s="31" t="s">
        <v>50</v>
      </c>
      <c r="E694" s="15" t="s">
        <v>23796</v>
      </c>
      <c r="F694" s="87" t="s">
        <v>23710</v>
      </c>
      <c r="G694" s="45" t="s">
        <v>8282</v>
      </c>
      <c r="H694" s="55" t="s">
        <v>8283</v>
      </c>
      <c r="I694" s="15" t="s">
        <v>563</v>
      </c>
    </row>
    <row r="695" spans="1:9" ht="51.75" customHeight="1" x14ac:dyDescent="0.35">
      <c r="A695" s="15" t="s">
        <v>22143</v>
      </c>
      <c r="B695" s="15" t="s">
        <v>23797</v>
      </c>
      <c r="C695" s="15" t="s">
        <v>23795</v>
      </c>
      <c r="D695" s="31" t="s">
        <v>50</v>
      </c>
      <c r="E695" s="15" t="s">
        <v>23798</v>
      </c>
      <c r="F695" s="87" t="s">
        <v>21871</v>
      </c>
      <c r="G695" s="45" t="s">
        <v>8282</v>
      </c>
      <c r="H695" s="55" t="s">
        <v>8283</v>
      </c>
      <c r="I695" s="15" t="s">
        <v>563</v>
      </c>
    </row>
    <row r="696" spans="1:9" ht="51.75" customHeight="1" x14ac:dyDescent="0.35">
      <c r="A696" s="15" t="s">
        <v>23392</v>
      </c>
      <c r="B696" s="15" t="s">
        <v>23799</v>
      </c>
      <c r="C696" s="15" t="s">
        <v>23800</v>
      </c>
      <c r="D696" s="31" t="s">
        <v>50</v>
      </c>
      <c r="E696" s="15" t="s">
        <v>23801</v>
      </c>
      <c r="F696" s="87" t="s">
        <v>23710</v>
      </c>
      <c r="G696" s="45" t="s">
        <v>8282</v>
      </c>
      <c r="H696" s="55" t="s">
        <v>8283</v>
      </c>
      <c r="I696" s="15" t="s">
        <v>563</v>
      </c>
    </row>
    <row r="697" spans="1:9" ht="51.75" customHeight="1" x14ac:dyDescent="0.35">
      <c r="A697" s="15" t="s">
        <v>23392</v>
      </c>
      <c r="B697" s="15" t="s">
        <v>23802</v>
      </c>
      <c r="C697" s="15" t="s">
        <v>23800</v>
      </c>
      <c r="D697" s="31" t="s">
        <v>50</v>
      </c>
      <c r="E697" s="15" t="s">
        <v>23803</v>
      </c>
      <c r="F697" s="87" t="s">
        <v>21871</v>
      </c>
      <c r="G697" s="45" t="s">
        <v>8282</v>
      </c>
      <c r="H697" s="55" t="s">
        <v>8283</v>
      </c>
      <c r="I697" s="15" t="s">
        <v>563</v>
      </c>
    </row>
    <row r="698" spans="1:9" ht="51.75" customHeight="1" x14ac:dyDescent="0.35">
      <c r="A698" s="15" t="s">
        <v>23804</v>
      </c>
      <c r="B698" s="15" t="s">
        <v>23805</v>
      </c>
      <c r="C698" s="15" t="s">
        <v>23806</v>
      </c>
      <c r="D698" s="31" t="s">
        <v>50</v>
      </c>
      <c r="E698" s="15" t="s">
        <v>23807</v>
      </c>
      <c r="F698" s="87" t="s">
        <v>23710</v>
      </c>
      <c r="G698" s="45" t="s">
        <v>9303</v>
      </c>
      <c r="H698" s="55" t="s">
        <v>9304</v>
      </c>
      <c r="I698" s="15" t="s">
        <v>563</v>
      </c>
    </row>
    <row r="699" spans="1:9" ht="51.75" customHeight="1" x14ac:dyDescent="0.35">
      <c r="A699" s="15" t="s">
        <v>23804</v>
      </c>
      <c r="B699" s="15" t="s">
        <v>23808</v>
      </c>
      <c r="C699" s="15" t="s">
        <v>23806</v>
      </c>
      <c r="D699" s="31" t="s">
        <v>50</v>
      </c>
      <c r="E699" s="15" t="s">
        <v>23809</v>
      </c>
      <c r="F699" s="87" t="s">
        <v>21871</v>
      </c>
      <c r="G699" s="45" t="s">
        <v>9303</v>
      </c>
      <c r="H699" s="55" t="s">
        <v>9304</v>
      </c>
      <c r="I699" s="15" t="s">
        <v>563</v>
      </c>
    </row>
    <row r="700" spans="1:9" ht="51.75" customHeight="1" x14ac:dyDescent="0.35">
      <c r="A700" s="15" t="s">
        <v>23810</v>
      </c>
      <c r="B700" s="15" t="s">
        <v>23811</v>
      </c>
      <c r="C700" s="15" t="s">
        <v>23812</v>
      </c>
      <c r="D700" s="31" t="s">
        <v>50</v>
      </c>
      <c r="E700" s="15" t="s">
        <v>23813</v>
      </c>
      <c r="F700" s="87" t="s">
        <v>23710</v>
      </c>
      <c r="G700" s="45" t="s">
        <v>9303</v>
      </c>
      <c r="H700" s="55" t="s">
        <v>9304</v>
      </c>
      <c r="I700" s="15" t="s">
        <v>563</v>
      </c>
    </row>
    <row r="701" spans="1:9" ht="51.75" customHeight="1" x14ac:dyDescent="0.35">
      <c r="A701" s="15" t="s">
        <v>23810</v>
      </c>
      <c r="B701" s="15" t="s">
        <v>23814</v>
      </c>
      <c r="C701" s="15" t="s">
        <v>23812</v>
      </c>
      <c r="D701" s="31" t="s">
        <v>50</v>
      </c>
      <c r="E701" s="15" t="s">
        <v>23815</v>
      </c>
      <c r="F701" s="87" t="s">
        <v>21871</v>
      </c>
      <c r="G701" s="45" t="s">
        <v>9303</v>
      </c>
      <c r="H701" s="55" t="s">
        <v>9304</v>
      </c>
      <c r="I701" s="15" t="s">
        <v>563</v>
      </c>
    </row>
    <row r="702" spans="1:9" ht="51.75" customHeight="1" x14ac:dyDescent="0.35">
      <c r="A702" s="15" t="s">
        <v>23816</v>
      </c>
      <c r="B702" s="15" t="s">
        <v>23817</v>
      </c>
      <c r="C702" s="15" t="s">
        <v>23818</v>
      </c>
      <c r="D702" s="31" t="s">
        <v>50</v>
      </c>
      <c r="E702" s="15" t="s">
        <v>23818</v>
      </c>
      <c r="F702" s="87" t="s">
        <v>23710</v>
      </c>
      <c r="G702" s="45" t="s">
        <v>10152</v>
      </c>
      <c r="H702" s="55" t="s">
        <v>10153</v>
      </c>
      <c r="I702" s="15" t="s">
        <v>563</v>
      </c>
    </row>
    <row r="703" spans="1:9" ht="51.75" customHeight="1" x14ac:dyDescent="0.35">
      <c r="A703" s="15" t="s">
        <v>23816</v>
      </c>
      <c r="B703" s="15" t="s">
        <v>23819</v>
      </c>
      <c r="C703" s="15" t="s">
        <v>23818</v>
      </c>
      <c r="D703" s="31" t="s">
        <v>50</v>
      </c>
      <c r="E703" s="15" t="s">
        <v>23820</v>
      </c>
      <c r="F703" s="87" t="s">
        <v>21871</v>
      </c>
      <c r="G703" s="45" t="s">
        <v>10152</v>
      </c>
      <c r="H703" s="55" t="s">
        <v>10153</v>
      </c>
      <c r="I703" s="15" t="s">
        <v>563</v>
      </c>
    </row>
    <row r="704" spans="1:9" ht="51.75" customHeight="1" x14ac:dyDescent="0.35">
      <c r="A704" s="15" t="s">
        <v>22614</v>
      </c>
      <c r="B704" s="15" t="s">
        <v>23821</v>
      </c>
      <c r="C704" s="15" t="s">
        <v>23822</v>
      </c>
      <c r="D704" s="31" t="s">
        <v>50</v>
      </c>
      <c r="E704" s="15" t="s">
        <v>23822</v>
      </c>
      <c r="F704" s="87" t="s">
        <v>23710</v>
      </c>
      <c r="G704" s="45" t="s">
        <v>10152</v>
      </c>
      <c r="H704" s="55" t="s">
        <v>10153</v>
      </c>
      <c r="I704" s="15" t="s">
        <v>563</v>
      </c>
    </row>
    <row r="705" spans="1:9" ht="51.75" customHeight="1" x14ac:dyDescent="0.35">
      <c r="A705" s="15" t="s">
        <v>22614</v>
      </c>
      <c r="B705" s="15" t="s">
        <v>23823</v>
      </c>
      <c r="C705" s="15" t="s">
        <v>23822</v>
      </c>
      <c r="D705" s="31" t="s">
        <v>50</v>
      </c>
      <c r="E705" s="15" t="s">
        <v>23824</v>
      </c>
      <c r="F705" s="87" t="s">
        <v>21871</v>
      </c>
      <c r="G705" s="45" t="s">
        <v>10152</v>
      </c>
      <c r="H705" s="55" t="s">
        <v>10153</v>
      </c>
      <c r="I705" s="15" t="s">
        <v>563</v>
      </c>
    </row>
    <row r="706" spans="1:9" ht="51.75" customHeight="1" x14ac:dyDescent="0.35">
      <c r="A706" s="15">
        <v>1</v>
      </c>
      <c r="B706" s="15" t="s">
        <v>23825</v>
      </c>
      <c r="C706" s="15" t="s">
        <v>23826</v>
      </c>
      <c r="D706" s="31">
        <v>40588</v>
      </c>
      <c r="E706" s="15" t="s">
        <v>23827</v>
      </c>
      <c r="F706" s="87"/>
      <c r="G706" s="45" t="s">
        <v>3983</v>
      </c>
      <c r="H706" s="55" t="s">
        <v>3984</v>
      </c>
      <c r="I706" s="15" t="s">
        <v>563</v>
      </c>
    </row>
    <row r="707" spans="1:9" ht="51.75" customHeight="1" x14ac:dyDescent="0.35">
      <c r="A707" s="15">
        <v>2</v>
      </c>
      <c r="B707" s="15" t="s">
        <v>23828</v>
      </c>
      <c r="C707" s="15" t="s">
        <v>23829</v>
      </c>
      <c r="D707" s="31">
        <v>40588</v>
      </c>
      <c r="E707" s="15" t="s">
        <v>23830</v>
      </c>
      <c r="F707" s="87"/>
      <c r="G707" s="45" t="s">
        <v>3983</v>
      </c>
      <c r="H707" s="55" t="s">
        <v>3984</v>
      </c>
      <c r="I707" s="15" t="s">
        <v>563</v>
      </c>
    </row>
    <row r="708" spans="1:9" ht="51.75" customHeight="1" x14ac:dyDescent="0.35">
      <c r="A708" s="15" t="s">
        <v>22186</v>
      </c>
      <c r="B708" s="15" t="s">
        <v>23831</v>
      </c>
      <c r="C708" s="15" t="s">
        <v>23832</v>
      </c>
      <c r="D708" s="31" t="s">
        <v>50</v>
      </c>
      <c r="E708" s="15" t="s">
        <v>23833</v>
      </c>
      <c r="F708" s="87" t="s">
        <v>23710</v>
      </c>
      <c r="G708" s="45" t="s">
        <v>3955</v>
      </c>
      <c r="H708" s="55" t="s">
        <v>3956</v>
      </c>
      <c r="I708" s="15" t="s">
        <v>563</v>
      </c>
    </row>
    <row r="709" spans="1:9" ht="51.75" customHeight="1" x14ac:dyDescent="0.35">
      <c r="A709" s="15" t="s">
        <v>22186</v>
      </c>
      <c r="B709" s="15" t="s">
        <v>23834</v>
      </c>
      <c r="C709" s="15" t="s">
        <v>23832</v>
      </c>
      <c r="D709" s="31" t="s">
        <v>50</v>
      </c>
      <c r="E709" s="15" t="s">
        <v>23835</v>
      </c>
      <c r="F709" s="87" t="s">
        <v>21871</v>
      </c>
      <c r="G709" s="45" t="s">
        <v>3955</v>
      </c>
      <c r="H709" s="55" t="s">
        <v>3956</v>
      </c>
      <c r="I709" s="15" t="s">
        <v>563</v>
      </c>
    </row>
    <row r="710" spans="1:9" ht="51.75" customHeight="1" x14ac:dyDescent="0.35">
      <c r="A710" s="15" t="s">
        <v>23836</v>
      </c>
      <c r="B710" s="15" t="s">
        <v>23837</v>
      </c>
      <c r="C710" s="15" t="s">
        <v>23838</v>
      </c>
      <c r="D710" s="31" t="s">
        <v>50</v>
      </c>
      <c r="E710" s="15" t="s">
        <v>23839</v>
      </c>
      <c r="F710" s="87" t="s">
        <v>23710</v>
      </c>
      <c r="G710" s="45" t="s">
        <v>1598</v>
      </c>
      <c r="H710" s="55" t="s">
        <v>1599</v>
      </c>
      <c r="I710" s="15" t="s">
        <v>563</v>
      </c>
    </row>
    <row r="711" spans="1:9" ht="51.75" customHeight="1" x14ac:dyDescent="0.35">
      <c r="A711" s="15" t="s">
        <v>23836</v>
      </c>
      <c r="B711" s="15" t="s">
        <v>23840</v>
      </c>
      <c r="C711" s="15" t="s">
        <v>23838</v>
      </c>
      <c r="D711" s="31" t="s">
        <v>50</v>
      </c>
      <c r="E711" s="15" t="s">
        <v>23841</v>
      </c>
      <c r="F711" s="87" t="s">
        <v>21871</v>
      </c>
      <c r="G711" s="45" t="s">
        <v>1598</v>
      </c>
      <c r="H711" s="55" t="s">
        <v>1599</v>
      </c>
      <c r="I711" s="15" t="s">
        <v>563</v>
      </c>
    </row>
    <row r="712" spans="1:9" ht="51.75" customHeight="1" x14ac:dyDescent="0.35">
      <c r="A712" s="15">
        <v>1</v>
      </c>
      <c r="B712" s="15" t="s">
        <v>23842</v>
      </c>
      <c r="C712" s="15" t="s">
        <v>23843</v>
      </c>
      <c r="D712" s="31">
        <v>40554</v>
      </c>
      <c r="E712" s="15" t="s">
        <v>23843</v>
      </c>
      <c r="F712" s="87"/>
      <c r="G712" s="45" t="s">
        <v>3743</v>
      </c>
      <c r="H712" s="55" t="s">
        <v>3744</v>
      </c>
      <c r="I712" s="15" t="s">
        <v>563</v>
      </c>
    </row>
    <row r="713" spans="1:9" ht="51.75" customHeight="1" x14ac:dyDescent="0.35">
      <c r="A713" s="15">
        <v>2</v>
      </c>
      <c r="B713" s="15" t="s">
        <v>23844</v>
      </c>
      <c r="C713" s="15" t="s">
        <v>23845</v>
      </c>
      <c r="D713" s="31">
        <v>40554</v>
      </c>
      <c r="E713" s="15" t="s">
        <v>23845</v>
      </c>
      <c r="F713" s="87"/>
      <c r="G713" s="45" t="s">
        <v>3743</v>
      </c>
      <c r="H713" s="55" t="s">
        <v>3744</v>
      </c>
      <c r="I713" s="15" t="s">
        <v>563</v>
      </c>
    </row>
    <row r="714" spans="1:9" ht="51.75" customHeight="1" x14ac:dyDescent="0.35">
      <c r="A714" s="15">
        <v>3</v>
      </c>
      <c r="B714" s="15" t="s">
        <v>23846</v>
      </c>
      <c r="C714" s="15" t="s">
        <v>23847</v>
      </c>
      <c r="D714" s="31">
        <v>40554</v>
      </c>
      <c r="E714" s="15" t="s">
        <v>23848</v>
      </c>
      <c r="F714" s="87"/>
      <c r="G714" s="45" t="s">
        <v>3743</v>
      </c>
      <c r="H714" s="55" t="s">
        <v>3744</v>
      </c>
      <c r="I714" s="15" t="s">
        <v>563</v>
      </c>
    </row>
    <row r="715" spans="1:9" ht="51.75" customHeight="1" x14ac:dyDescent="0.35">
      <c r="A715" s="15">
        <v>1</v>
      </c>
      <c r="B715" s="15" t="s">
        <v>23849</v>
      </c>
      <c r="C715" s="15" t="s">
        <v>23850</v>
      </c>
      <c r="D715" s="31">
        <v>38793</v>
      </c>
      <c r="E715" s="15" t="s">
        <v>23851</v>
      </c>
      <c r="F715" s="87" t="s">
        <v>23710</v>
      </c>
      <c r="G715" s="45" t="s">
        <v>561</v>
      </c>
      <c r="H715" s="55" t="s">
        <v>562</v>
      </c>
      <c r="I715" s="15" t="s">
        <v>563</v>
      </c>
    </row>
    <row r="716" spans="1:9" ht="51.75" customHeight="1" x14ac:dyDescent="0.35">
      <c r="A716" s="15">
        <v>1</v>
      </c>
      <c r="B716" s="15" t="s">
        <v>23852</v>
      </c>
      <c r="C716" s="15" t="s">
        <v>23850</v>
      </c>
      <c r="D716" s="31">
        <v>38793</v>
      </c>
      <c r="E716" s="15" t="s">
        <v>23853</v>
      </c>
      <c r="F716" s="87" t="s">
        <v>21871</v>
      </c>
      <c r="G716" s="45" t="s">
        <v>561</v>
      </c>
      <c r="H716" s="55" t="s">
        <v>562</v>
      </c>
      <c r="I716" s="15" t="s">
        <v>563</v>
      </c>
    </row>
    <row r="717" spans="1:9" ht="51.75" customHeight="1" x14ac:dyDescent="0.35">
      <c r="A717" s="15">
        <v>2</v>
      </c>
      <c r="B717" s="15" t="s">
        <v>23854</v>
      </c>
      <c r="C717" s="15" t="s">
        <v>23855</v>
      </c>
      <c r="D717" s="31">
        <v>38793</v>
      </c>
      <c r="E717" s="15" t="s">
        <v>23856</v>
      </c>
      <c r="F717" s="87" t="s">
        <v>23710</v>
      </c>
      <c r="G717" s="45" t="s">
        <v>561</v>
      </c>
      <c r="H717" s="55" t="s">
        <v>562</v>
      </c>
      <c r="I717" s="15" t="s">
        <v>563</v>
      </c>
    </row>
    <row r="718" spans="1:9" ht="51.75" customHeight="1" x14ac:dyDescent="0.35">
      <c r="A718" s="15">
        <v>2</v>
      </c>
      <c r="B718" s="15" t="s">
        <v>23857</v>
      </c>
      <c r="C718" s="15" t="s">
        <v>23855</v>
      </c>
      <c r="D718" s="31">
        <v>38793</v>
      </c>
      <c r="E718" s="15" t="s">
        <v>23858</v>
      </c>
      <c r="F718" s="87" t="s">
        <v>21871</v>
      </c>
      <c r="G718" s="45" t="s">
        <v>561</v>
      </c>
      <c r="H718" s="55" t="s">
        <v>562</v>
      </c>
      <c r="I718" s="15" t="s">
        <v>563</v>
      </c>
    </row>
    <row r="719" spans="1:9" ht="51.75" customHeight="1" x14ac:dyDescent="0.35">
      <c r="A719" s="15">
        <v>3</v>
      </c>
      <c r="B719" s="15" t="s">
        <v>23859</v>
      </c>
      <c r="C719" s="15" t="s">
        <v>23860</v>
      </c>
      <c r="D719" s="31">
        <v>38793</v>
      </c>
      <c r="E719" s="15" t="s">
        <v>23861</v>
      </c>
      <c r="F719" s="87" t="s">
        <v>23710</v>
      </c>
      <c r="G719" s="45" t="s">
        <v>561</v>
      </c>
      <c r="H719" s="55" t="s">
        <v>562</v>
      </c>
      <c r="I719" s="15" t="s">
        <v>563</v>
      </c>
    </row>
    <row r="720" spans="1:9" ht="51.75" customHeight="1" x14ac:dyDescent="0.35">
      <c r="A720" s="15">
        <v>3</v>
      </c>
      <c r="B720" s="15" t="s">
        <v>23862</v>
      </c>
      <c r="C720" s="15" t="s">
        <v>23860</v>
      </c>
      <c r="D720" s="31">
        <v>38793</v>
      </c>
      <c r="E720" s="15" t="s">
        <v>23863</v>
      </c>
      <c r="F720" s="87" t="s">
        <v>21871</v>
      </c>
      <c r="G720" s="45" t="s">
        <v>561</v>
      </c>
      <c r="H720" s="55" t="s">
        <v>562</v>
      </c>
      <c r="I720" s="15" t="s">
        <v>563</v>
      </c>
    </row>
    <row r="721" spans="1:9" ht="51.75" customHeight="1" x14ac:dyDescent="0.35">
      <c r="A721" s="15" t="s">
        <v>23864</v>
      </c>
      <c r="B721" s="15" t="s">
        <v>23865</v>
      </c>
      <c r="C721" s="15" t="s">
        <v>23866</v>
      </c>
      <c r="D721" s="31">
        <v>39876</v>
      </c>
      <c r="E721" s="15" t="s">
        <v>23867</v>
      </c>
      <c r="F721" s="87" t="s">
        <v>23710</v>
      </c>
      <c r="G721" s="45" t="s">
        <v>3032</v>
      </c>
      <c r="H721" s="55" t="s">
        <v>3033</v>
      </c>
      <c r="I721" s="15" t="s">
        <v>563</v>
      </c>
    </row>
    <row r="722" spans="1:9" ht="51.75" customHeight="1" x14ac:dyDescent="0.35">
      <c r="A722" s="15" t="s">
        <v>23864</v>
      </c>
      <c r="B722" s="15" t="s">
        <v>23868</v>
      </c>
      <c r="C722" s="15" t="s">
        <v>23866</v>
      </c>
      <c r="D722" s="31">
        <v>39876</v>
      </c>
      <c r="E722" s="15" t="s">
        <v>23869</v>
      </c>
      <c r="F722" s="87" t="s">
        <v>21871</v>
      </c>
      <c r="G722" s="45" t="s">
        <v>3032</v>
      </c>
      <c r="H722" s="55" t="s">
        <v>3033</v>
      </c>
      <c r="I722" s="15" t="s">
        <v>563</v>
      </c>
    </row>
    <row r="723" spans="1:9" ht="51.75" customHeight="1" x14ac:dyDescent="0.35">
      <c r="A723" s="15">
        <v>1</v>
      </c>
      <c r="B723" s="15" t="s">
        <v>23870</v>
      </c>
      <c r="C723" s="15" t="s">
        <v>23871</v>
      </c>
      <c r="D723" s="31">
        <v>40364</v>
      </c>
      <c r="E723" s="15" t="s">
        <v>23872</v>
      </c>
      <c r="F723" s="87"/>
      <c r="G723" s="45" t="s">
        <v>2726</v>
      </c>
      <c r="H723" s="55" t="s">
        <v>2727</v>
      </c>
      <c r="I723" s="15" t="s">
        <v>563</v>
      </c>
    </row>
    <row r="724" spans="1:9" ht="51.75" customHeight="1" x14ac:dyDescent="0.35">
      <c r="A724" s="15">
        <v>2</v>
      </c>
      <c r="B724" s="15" t="s">
        <v>23873</v>
      </c>
      <c r="C724" s="15" t="s">
        <v>23874</v>
      </c>
      <c r="D724" s="31">
        <v>40364</v>
      </c>
      <c r="E724" s="15" t="s">
        <v>23874</v>
      </c>
      <c r="F724" s="87"/>
      <c r="G724" s="45" t="s">
        <v>2726</v>
      </c>
      <c r="H724" s="55" t="s">
        <v>2727</v>
      </c>
      <c r="I724" s="15" t="s">
        <v>563</v>
      </c>
    </row>
    <row r="725" spans="1:9" ht="51.75" customHeight="1" x14ac:dyDescent="0.35">
      <c r="A725" s="15">
        <v>3</v>
      </c>
      <c r="B725" s="15" t="s">
        <v>23875</v>
      </c>
      <c r="C725" s="15" t="s">
        <v>23876</v>
      </c>
      <c r="D725" s="31">
        <v>40364</v>
      </c>
      <c r="E725" s="15" t="s">
        <v>23877</v>
      </c>
      <c r="F725" s="87"/>
      <c r="G725" s="45" t="s">
        <v>2726</v>
      </c>
      <c r="H725" s="55" t="s">
        <v>2727</v>
      </c>
      <c r="I725" s="15" t="s">
        <v>563</v>
      </c>
    </row>
    <row r="726" spans="1:9" ht="51.75" customHeight="1" x14ac:dyDescent="0.35">
      <c r="A726" s="15">
        <v>4</v>
      </c>
      <c r="B726" s="15" t="s">
        <v>23878</v>
      </c>
      <c r="C726" s="15" t="s">
        <v>23879</v>
      </c>
      <c r="D726" s="31">
        <v>40364</v>
      </c>
      <c r="E726" s="15" t="s">
        <v>23880</v>
      </c>
      <c r="F726" s="87"/>
      <c r="G726" s="45" t="s">
        <v>2726</v>
      </c>
      <c r="H726" s="55" t="s">
        <v>2727</v>
      </c>
      <c r="I726" s="15" t="s">
        <v>563</v>
      </c>
    </row>
    <row r="727" spans="1:9" ht="51.75" customHeight="1" x14ac:dyDescent="0.35">
      <c r="A727" s="15">
        <v>5</v>
      </c>
      <c r="B727" s="15" t="s">
        <v>23881</v>
      </c>
      <c r="C727" s="15" t="s">
        <v>23882</v>
      </c>
      <c r="D727" s="31">
        <v>40364</v>
      </c>
      <c r="E727" s="15" t="s">
        <v>23883</v>
      </c>
      <c r="F727" s="87"/>
      <c r="G727" s="45" t="s">
        <v>2726</v>
      </c>
      <c r="H727" s="55" t="s">
        <v>2727</v>
      </c>
      <c r="I727" s="15" t="s">
        <v>563</v>
      </c>
    </row>
    <row r="728" spans="1:9" ht="51.75" customHeight="1" x14ac:dyDescent="0.35">
      <c r="A728" s="15" t="s">
        <v>23219</v>
      </c>
      <c r="B728" s="15" t="s">
        <v>23884</v>
      </c>
      <c r="C728" s="15" t="s">
        <v>23885</v>
      </c>
      <c r="D728" s="31" t="s">
        <v>50</v>
      </c>
      <c r="E728" s="15" t="s">
        <v>23886</v>
      </c>
      <c r="F728" s="87" t="s">
        <v>23710</v>
      </c>
      <c r="G728" s="45" t="s">
        <v>7381</v>
      </c>
      <c r="H728" s="55" t="s">
        <v>7382</v>
      </c>
      <c r="I728" s="15" t="s">
        <v>563</v>
      </c>
    </row>
    <row r="729" spans="1:9" ht="51.75" customHeight="1" x14ac:dyDescent="0.35">
      <c r="A729" s="15" t="s">
        <v>23219</v>
      </c>
      <c r="B729" s="15" t="s">
        <v>23887</v>
      </c>
      <c r="C729" s="15" t="s">
        <v>23885</v>
      </c>
      <c r="D729" s="31" t="s">
        <v>50</v>
      </c>
      <c r="E729" s="15" t="s">
        <v>23888</v>
      </c>
      <c r="F729" s="87" t="s">
        <v>21871</v>
      </c>
      <c r="G729" s="45" t="s">
        <v>7381</v>
      </c>
      <c r="H729" s="55" t="s">
        <v>7382</v>
      </c>
      <c r="I729" s="15" t="s">
        <v>563</v>
      </c>
    </row>
    <row r="730" spans="1:9" ht="51.75" customHeight="1" x14ac:dyDescent="0.35">
      <c r="A730" s="15" t="s">
        <v>22866</v>
      </c>
      <c r="B730" s="15" t="s">
        <v>23889</v>
      </c>
      <c r="C730" s="15"/>
      <c r="D730" s="31" t="s">
        <v>50</v>
      </c>
      <c r="E730" s="15" t="s">
        <v>23890</v>
      </c>
      <c r="F730" s="87" t="s">
        <v>23710</v>
      </c>
      <c r="G730" s="45" t="s">
        <v>6506</v>
      </c>
      <c r="H730" s="55" t="s">
        <v>6507</v>
      </c>
      <c r="I730" s="15" t="s">
        <v>563</v>
      </c>
    </row>
    <row r="731" spans="1:9" ht="51.75" customHeight="1" x14ac:dyDescent="0.35">
      <c r="A731" s="15" t="s">
        <v>22866</v>
      </c>
      <c r="B731" s="15" t="s">
        <v>23891</v>
      </c>
      <c r="C731" s="15"/>
      <c r="D731" s="31" t="s">
        <v>50</v>
      </c>
      <c r="E731" s="15" t="s">
        <v>23892</v>
      </c>
      <c r="F731" s="87" t="s">
        <v>21871</v>
      </c>
      <c r="G731" s="45" t="s">
        <v>6506</v>
      </c>
      <c r="H731" s="55" t="s">
        <v>6507</v>
      </c>
      <c r="I731" s="15" t="s">
        <v>563</v>
      </c>
    </row>
    <row r="732" spans="1:9" ht="51.75" customHeight="1" x14ac:dyDescent="0.35">
      <c r="A732" s="15" t="s">
        <v>23893</v>
      </c>
      <c r="B732" s="15" t="s">
        <v>23894</v>
      </c>
      <c r="C732" s="15"/>
      <c r="D732" s="31" t="s">
        <v>50</v>
      </c>
      <c r="E732" s="15" t="s">
        <v>23895</v>
      </c>
      <c r="F732" s="87" t="s">
        <v>23710</v>
      </c>
      <c r="G732" s="45" t="s">
        <v>6506</v>
      </c>
      <c r="H732" s="55" t="s">
        <v>6507</v>
      </c>
      <c r="I732" s="15" t="s">
        <v>563</v>
      </c>
    </row>
    <row r="733" spans="1:9" ht="51.75" customHeight="1" x14ac:dyDescent="0.35">
      <c r="A733" s="15" t="s">
        <v>23893</v>
      </c>
      <c r="B733" s="15" t="s">
        <v>23896</v>
      </c>
      <c r="C733" s="15"/>
      <c r="D733" s="31" t="s">
        <v>50</v>
      </c>
      <c r="E733" s="15" t="s">
        <v>23897</v>
      </c>
      <c r="F733" s="87" t="s">
        <v>21871</v>
      </c>
      <c r="G733" s="45" t="s">
        <v>6506</v>
      </c>
      <c r="H733" s="55" t="s">
        <v>6507</v>
      </c>
      <c r="I733" s="15" t="s">
        <v>563</v>
      </c>
    </row>
    <row r="734" spans="1:9" ht="51.75" customHeight="1" x14ac:dyDescent="0.35">
      <c r="A734" s="15" t="s">
        <v>22449</v>
      </c>
      <c r="B734" s="15" t="s">
        <v>23898</v>
      </c>
      <c r="C734" s="15" t="s">
        <v>21892</v>
      </c>
      <c r="D734" s="31">
        <v>41381</v>
      </c>
      <c r="E734" s="15" t="s">
        <v>23899</v>
      </c>
      <c r="F734" s="87" t="s">
        <v>23710</v>
      </c>
      <c r="G734" s="45" t="s">
        <v>6546</v>
      </c>
      <c r="H734" s="55" t="s">
        <v>6547</v>
      </c>
      <c r="I734" s="15" t="s">
        <v>563</v>
      </c>
    </row>
    <row r="735" spans="1:9" ht="51.75" customHeight="1" x14ac:dyDescent="0.35">
      <c r="A735" s="15" t="s">
        <v>22449</v>
      </c>
      <c r="B735" s="15" t="s">
        <v>23900</v>
      </c>
      <c r="C735" s="15" t="s">
        <v>21892</v>
      </c>
      <c r="D735" s="31">
        <v>41381</v>
      </c>
      <c r="E735" s="15" t="s">
        <v>23901</v>
      </c>
      <c r="F735" s="87" t="s">
        <v>21871</v>
      </c>
      <c r="G735" s="45" t="s">
        <v>6546</v>
      </c>
      <c r="H735" s="55" t="s">
        <v>6547</v>
      </c>
      <c r="I735" s="15" t="s">
        <v>563</v>
      </c>
    </row>
    <row r="736" spans="1:9" ht="51.75" customHeight="1" x14ac:dyDescent="0.35">
      <c r="A736" s="15" t="s">
        <v>23902</v>
      </c>
      <c r="B736" s="15" t="s">
        <v>23903</v>
      </c>
      <c r="C736" s="15" t="s">
        <v>23904</v>
      </c>
      <c r="D736" s="31" t="s">
        <v>50</v>
      </c>
      <c r="E736" s="15" t="s">
        <v>23905</v>
      </c>
      <c r="F736" s="87" t="s">
        <v>23710</v>
      </c>
      <c r="G736" s="45" t="s">
        <v>6349</v>
      </c>
      <c r="H736" s="55" t="s">
        <v>6350</v>
      </c>
      <c r="I736" s="15" t="s">
        <v>563</v>
      </c>
    </row>
    <row r="737" spans="1:9" ht="51.75" customHeight="1" x14ac:dyDescent="0.35">
      <c r="A737" s="15" t="s">
        <v>23902</v>
      </c>
      <c r="B737" s="15" t="s">
        <v>23906</v>
      </c>
      <c r="C737" s="15" t="s">
        <v>23904</v>
      </c>
      <c r="D737" s="31" t="s">
        <v>50</v>
      </c>
      <c r="E737" s="15" t="s">
        <v>23907</v>
      </c>
      <c r="F737" s="87" t="s">
        <v>21871</v>
      </c>
      <c r="G737" s="45" t="s">
        <v>6349</v>
      </c>
      <c r="H737" s="55" t="s">
        <v>6350</v>
      </c>
      <c r="I737" s="15" t="s">
        <v>563</v>
      </c>
    </row>
    <row r="738" spans="1:9" ht="51.75" customHeight="1" x14ac:dyDescent="0.35">
      <c r="A738" s="15">
        <v>1</v>
      </c>
      <c r="B738" s="15" t="s">
        <v>23908</v>
      </c>
      <c r="C738" s="15" t="s">
        <v>23909</v>
      </c>
      <c r="D738" s="31">
        <v>40802</v>
      </c>
      <c r="E738" s="15" t="s">
        <v>23910</v>
      </c>
      <c r="F738" s="87" t="s">
        <v>23710</v>
      </c>
      <c r="G738" s="45" t="s">
        <v>5706</v>
      </c>
      <c r="H738" s="55" t="s">
        <v>5707</v>
      </c>
      <c r="I738" s="15" t="s">
        <v>563</v>
      </c>
    </row>
    <row r="739" spans="1:9" ht="51.75" customHeight="1" x14ac:dyDescent="0.35">
      <c r="A739" s="15">
        <v>1</v>
      </c>
      <c r="B739" s="15" t="s">
        <v>23911</v>
      </c>
      <c r="C739" s="15" t="s">
        <v>23909</v>
      </c>
      <c r="D739" s="31">
        <v>40802</v>
      </c>
      <c r="E739" s="15" t="s">
        <v>23912</v>
      </c>
      <c r="F739" s="87" t="s">
        <v>21871</v>
      </c>
      <c r="G739" s="45" t="s">
        <v>5706</v>
      </c>
      <c r="H739" s="55" t="s">
        <v>5707</v>
      </c>
      <c r="I739" s="15" t="s">
        <v>563</v>
      </c>
    </row>
    <row r="740" spans="1:9" ht="51.75" customHeight="1" x14ac:dyDescent="0.35">
      <c r="A740" s="15">
        <v>2</v>
      </c>
      <c r="B740" s="15" t="s">
        <v>23913</v>
      </c>
      <c r="C740" s="15" t="s">
        <v>23914</v>
      </c>
      <c r="D740" s="31">
        <v>40802</v>
      </c>
      <c r="E740" s="15" t="s">
        <v>23915</v>
      </c>
      <c r="F740" s="87" t="s">
        <v>23710</v>
      </c>
      <c r="G740" s="45" t="s">
        <v>5706</v>
      </c>
      <c r="H740" s="55" t="s">
        <v>5707</v>
      </c>
      <c r="I740" s="15" t="s">
        <v>563</v>
      </c>
    </row>
    <row r="741" spans="1:9" ht="51.75" customHeight="1" x14ac:dyDescent="0.35">
      <c r="A741" s="15">
        <v>2</v>
      </c>
      <c r="B741" s="15" t="s">
        <v>23916</v>
      </c>
      <c r="C741" s="15" t="s">
        <v>23914</v>
      </c>
      <c r="D741" s="31">
        <v>40802</v>
      </c>
      <c r="E741" s="15" t="s">
        <v>23917</v>
      </c>
      <c r="F741" s="87" t="s">
        <v>21871</v>
      </c>
      <c r="G741" s="45" t="s">
        <v>5706</v>
      </c>
      <c r="H741" s="55" t="s">
        <v>5707</v>
      </c>
      <c r="I741" s="15" t="s">
        <v>563</v>
      </c>
    </row>
    <row r="742" spans="1:9" ht="51.75" customHeight="1" x14ac:dyDescent="0.35">
      <c r="A742" s="15" t="s">
        <v>23776</v>
      </c>
      <c r="B742" s="15" t="s">
        <v>23918</v>
      </c>
      <c r="C742" s="15" t="s">
        <v>23919</v>
      </c>
      <c r="D742" s="31" t="s">
        <v>50</v>
      </c>
      <c r="E742" s="15" t="s">
        <v>23920</v>
      </c>
      <c r="F742" s="87" t="s">
        <v>23710</v>
      </c>
      <c r="G742" s="45" t="s">
        <v>11114</v>
      </c>
      <c r="H742" s="55" t="s">
        <v>11115</v>
      </c>
      <c r="I742" s="15" t="s">
        <v>563</v>
      </c>
    </row>
    <row r="743" spans="1:9" ht="51.75" customHeight="1" x14ac:dyDescent="0.35">
      <c r="A743" s="15" t="s">
        <v>23776</v>
      </c>
      <c r="B743" s="15" t="s">
        <v>23921</v>
      </c>
      <c r="C743" s="15" t="s">
        <v>23919</v>
      </c>
      <c r="D743" s="31" t="s">
        <v>50</v>
      </c>
      <c r="E743" s="15" t="s">
        <v>23922</v>
      </c>
      <c r="F743" s="87" t="s">
        <v>21871</v>
      </c>
      <c r="G743" s="45" t="s">
        <v>11114</v>
      </c>
      <c r="H743" s="55" t="s">
        <v>11115</v>
      </c>
      <c r="I743" s="15" t="s">
        <v>563</v>
      </c>
    </row>
    <row r="744" spans="1:9" ht="51.75" customHeight="1" x14ac:dyDescent="0.35">
      <c r="A744" s="15" t="s">
        <v>23923</v>
      </c>
      <c r="B744" s="15" t="s">
        <v>23924</v>
      </c>
      <c r="C744" s="15" t="s">
        <v>23925</v>
      </c>
      <c r="D744" s="31" t="s">
        <v>50</v>
      </c>
      <c r="E744" s="15" t="s">
        <v>23926</v>
      </c>
      <c r="F744" s="87" t="s">
        <v>23710</v>
      </c>
      <c r="G744" s="45" t="s">
        <v>11593</v>
      </c>
      <c r="H744" s="55" t="s">
        <v>11594</v>
      </c>
      <c r="I744" s="15" t="s">
        <v>563</v>
      </c>
    </row>
    <row r="745" spans="1:9" ht="51.75" customHeight="1" x14ac:dyDescent="0.35">
      <c r="A745" s="15" t="s">
        <v>23923</v>
      </c>
      <c r="B745" s="15" t="s">
        <v>23927</v>
      </c>
      <c r="C745" s="15" t="s">
        <v>23925</v>
      </c>
      <c r="D745" s="31" t="s">
        <v>50</v>
      </c>
      <c r="E745" s="15" t="s">
        <v>23928</v>
      </c>
      <c r="F745" s="87" t="s">
        <v>23710</v>
      </c>
      <c r="G745" s="45" t="s">
        <v>11593</v>
      </c>
      <c r="H745" s="55" t="s">
        <v>11594</v>
      </c>
      <c r="I745" s="15" t="s">
        <v>563</v>
      </c>
    </row>
    <row r="746" spans="1:9" ht="51.75" customHeight="1" x14ac:dyDescent="0.35">
      <c r="A746" s="15" t="s">
        <v>23923</v>
      </c>
      <c r="B746" s="15" t="s">
        <v>23929</v>
      </c>
      <c r="C746" s="15" t="s">
        <v>23925</v>
      </c>
      <c r="D746" s="31" t="s">
        <v>50</v>
      </c>
      <c r="E746" s="15" t="s">
        <v>23930</v>
      </c>
      <c r="F746" s="87" t="s">
        <v>23710</v>
      </c>
      <c r="G746" s="45" t="s">
        <v>11593</v>
      </c>
      <c r="H746" s="55" t="s">
        <v>11594</v>
      </c>
      <c r="I746" s="15" t="s">
        <v>563</v>
      </c>
    </row>
    <row r="747" spans="1:9" ht="51.75" customHeight="1" x14ac:dyDescent="0.35">
      <c r="A747" s="15" t="s">
        <v>23923</v>
      </c>
      <c r="B747" s="15" t="s">
        <v>23931</v>
      </c>
      <c r="C747" s="15" t="s">
        <v>23925</v>
      </c>
      <c r="D747" s="31" t="s">
        <v>50</v>
      </c>
      <c r="E747" s="15" t="s">
        <v>23932</v>
      </c>
      <c r="F747" s="87" t="s">
        <v>21871</v>
      </c>
      <c r="G747" s="45" t="s">
        <v>11593</v>
      </c>
      <c r="H747" s="55" t="s">
        <v>11594</v>
      </c>
      <c r="I747" s="15" t="s">
        <v>563</v>
      </c>
    </row>
    <row r="748" spans="1:9" ht="51.75" customHeight="1" x14ac:dyDescent="0.35">
      <c r="A748" s="15" t="s">
        <v>23923</v>
      </c>
      <c r="B748" s="15" t="s">
        <v>23933</v>
      </c>
      <c r="C748" s="15" t="s">
        <v>23925</v>
      </c>
      <c r="D748" s="31" t="s">
        <v>50</v>
      </c>
      <c r="E748" s="15" t="s">
        <v>23934</v>
      </c>
      <c r="F748" s="87" t="s">
        <v>21871</v>
      </c>
      <c r="G748" s="45" t="s">
        <v>11593</v>
      </c>
      <c r="H748" s="55" t="s">
        <v>11594</v>
      </c>
      <c r="I748" s="15" t="s">
        <v>563</v>
      </c>
    </row>
    <row r="749" spans="1:9" ht="51.75" customHeight="1" x14ac:dyDescent="0.35">
      <c r="A749" s="15" t="s">
        <v>23923</v>
      </c>
      <c r="B749" s="15" t="s">
        <v>23935</v>
      </c>
      <c r="C749" s="15" t="s">
        <v>23925</v>
      </c>
      <c r="D749" s="31" t="s">
        <v>50</v>
      </c>
      <c r="E749" s="15" t="s">
        <v>23936</v>
      </c>
      <c r="F749" s="87" t="s">
        <v>21871</v>
      </c>
      <c r="G749" s="45" t="s">
        <v>11593</v>
      </c>
      <c r="H749" s="55" t="s">
        <v>11594</v>
      </c>
      <c r="I749" s="15" t="s">
        <v>563</v>
      </c>
    </row>
    <row r="750" spans="1:9" ht="51.75" customHeight="1" x14ac:dyDescent="0.35">
      <c r="A750" s="15" t="s">
        <v>23937</v>
      </c>
      <c r="B750" s="15" t="s">
        <v>23938</v>
      </c>
      <c r="C750" s="15" t="s">
        <v>23939</v>
      </c>
      <c r="D750" s="31">
        <v>43920</v>
      </c>
      <c r="E750" s="15" t="s">
        <v>23940</v>
      </c>
      <c r="F750" s="87" t="s">
        <v>23710</v>
      </c>
      <c r="G750" s="45" t="s">
        <v>15643</v>
      </c>
      <c r="H750" s="55" t="s">
        <v>15644</v>
      </c>
      <c r="I750" s="15" t="s">
        <v>563</v>
      </c>
    </row>
    <row r="751" spans="1:9" ht="51.75" customHeight="1" x14ac:dyDescent="0.35">
      <c r="A751" s="15" t="s">
        <v>23937</v>
      </c>
      <c r="B751" s="15" t="s">
        <v>23941</v>
      </c>
      <c r="C751" s="15" t="s">
        <v>23939</v>
      </c>
      <c r="D751" s="31">
        <v>43920</v>
      </c>
      <c r="E751" s="15" t="s">
        <v>23942</v>
      </c>
      <c r="F751" s="87" t="s">
        <v>21871</v>
      </c>
      <c r="G751" s="45" t="s">
        <v>15643</v>
      </c>
      <c r="H751" s="55" t="s">
        <v>15644</v>
      </c>
      <c r="I751" s="15" t="s">
        <v>563</v>
      </c>
    </row>
    <row r="752" spans="1:9" ht="51.75" customHeight="1" x14ac:dyDescent="0.35">
      <c r="A752" s="15" t="s">
        <v>23629</v>
      </c>
      <c r="B752" s="15" t="s">
        <v>23943</v>
      </c>
      <c r="C752" s="15" t="s">
        <v>23944</v>
      </c>
      <c r="D752" s="31">
        <v>43920</v>
      </c>
      <c r="E752" s="15" t="s">
        <v>23945</v>
      </c>
      <c r="F752" s="87" t="s">
        <v>23710</v>
      </c>
      <c r="G752" s="45" t="s">
        <v>15643</v>
      </c>
      <c r="H752" s="55" t="s">
        <v>15644</v>
      </c>
      <c r="I752" s="15" t="s">
        <v>563</v>
      </c>
    </row>
    <row r="753" spans="1:9" ht="51.75" customHeight="1" x14ac:dyDescent="0.35">
      <c r="A753" s="15" t="s">
        <v>23629</v>
      </c>
      <c r="B753" s="15" t="s">
        <v>23946</v>
      </c>
      <c r="C753" s="15" t="s">
        <v>23944</v>
      </c>
      <c r="D753" s="31">
        <v>43920</v>
      </c>
      <c r="E753" s="15" t="s">
        <v>23947</v>
      </c>
      <c r="F753" s="87" t="s">
        <v>21871</v>
      </c>
      <c r="G753" s="45" t="s">
        <v>15643</v>
      </c>
      <c r="H753" s="55" t="s">
        <v>15644</v>
      </c>
      <c r="I753" s="15" t="s">
        <v>563</v>
      </c>
    </row>
    <row r="754" spans="1:9" ht="51.75" customHeight="1" x14ac:dyDescent="0.35">
      <c r="A754" s="15" t="s">
        <v>23948</v>
      </c>
      <c r="B754" s="15" t="s">
        <v>23949</v>
      </c>
      <c r="C754" s="15" t="s">
        <v>23950</v>
      </c>
      <c r="D754" s="31">
        <v>44137</v>
      </c>
      <c r="E754" s="15" t="s">
        <v>23951</v>
      </c>
      <c r="F754" s="87" t="s">
        <v>23710</v>
      </c>
      <c r="G754" s="45" t="s">
        <v>16711</v>
      </c>
      <c r="H754" s="55" t="s">
        <v>23952</v>
      </c>
      <c r="I754" s="15" t="s">
        <v>563</v>
      </c>
    </row>
    <row r="755" spans="1:9" ht="51.75" customHeight="1" x14ac:dyDescent="0.35">
      <c r="A755" s="15" t="s">
        <v>23948</v>
      </c>
      <c r="B755" s="15" t="s">
        <v>23953</v>
      </c>
      <c r="C755" s="15" t="s">
        <v>23950</v>
      </c>
      <c r="D755" s="31">
        <v>44137</v>
      </c>
      <c r="E755" s="15" t="s">
        <v>23954</v>
      </c>
      <c r="F755" s="87" t="s">
        <v>21871</v>
      </c>
      <c r="G755" s="45" t="s">
        <v>16711</v>
      </c>
      <c r="H755" s="55" t="s">
        <v>23952</v>
      </c>
      <c r="I755" s="15" t="s">
        <v>563</v>
      </c>
    </row>
    <row r="756" spans="1:9" ht="51.75" customHeight="1" x14ac:dyDescent="0.35">
      <c r="A756" s="15"/>
      <c r="B756" s="15" t="s">
        <v>23955</v>
      </c>
      <c r="C756" s="15" t="s">
        <v>23956</v>
      </c>
      <c r="D756" s="28">
        <v>44027</v>
      </c>
      <c r="E756" s="15" t="s">
        <v>23957</v>
      </c>
      <c r="F756" s="87" t="s">
        <v>23710</v>
      </c>
      <c r="G756" s="45" t="s">
        <v>17715</v>
      </c>
      <c r="H756" s="54" t="s">
        <v>17716</v>
      </c>
      <c r="I756" s="5" t="s">
        <v>563</v>
      </c>
    </row>
    <row r="757" spans="1:9" ht="51.75" customHeight="1" x14ac:dyDescent="0.35">
      <c r="A757" s="15"/>
      <c r="B757" s="15" t="s">
        <v>23958</v>
      </c>
      <c r="C757" s="15" t="s">
        <v>23959</v>
      </c>
      <c r="D757" s="28">
        <v>44378</v>
      </c>
      <c r="E757" s="15" t="s">
        <v>23960</v>
      </c>
      <c r="F757" s="87" t="s">
        <v>23710</v>
      </c>
      <c r="G757" s="45" t="s">
        <v>17715</v>
      </c>
      <c r="H757" s="54" t="s">
        <v>17716</v>
      </c>
      <c r="I757" s="5" t="s">
        <v>563</v>
      </c>
    </row>
    <row r="758" spans="1:9" ht="51.75" customHeight="1" x14ac:dyDescent="0.35">
      <c r="A758" s="15"/>
      <c r="B758" s="15" t="s">
        <v>23961</v>
      </c>
      <c r="C758" s="15" t="s">
        <v>23962</v>
      </c>
      <c r="D758" s="28">
        <v>44378</v>
      </c>
      <c r="E758" s="15" t="s">
        <v>23963</v>
      </c>
      <c r="F758" s="87" t="s">
        <v>23710</v>
      </c>
      <c r="G758" s="45" t="s">
        <v>17715</v>
      </c>
      <c r="H758" s="54" t="s">
        <v>17716</v>
      </c>
      <c r="I758" s="5" t="s">
        <v>563</v>
      </c>
    </row>
    <row r="759" spans="1:9" ht="51.75" customHeight="1" x14ac:dyDescent="0.35">
      <c r="A759" s="15"/>
      <c r="B759" s="15" t="str">
        <f>CONCATENATE(G759,"/",COUNTIF($G$2:G759,G759))</f>
        <v>DE-6237/1</v>
      </c>
      <c r="C759" s="15" t="s">
        <v>23964</v>
      </c>
      <c r="D759" s="28">
        <v>44399</v>
      </c>
      <c r="E759" s="15" t="s">
        <v>23965</v>
      </c>
      <c r="F759" s="87" t="s">
        <v>23710</v>
      </c>
      <c r="G759" s="45" t="s">
        <v>17595</v>
      </c>
      <c r="H759" s="54" t="s">
        <v>17596</v>
      </c>
      <c r="I759" s="5" t="s">
        <v>563</v>
      </c>
    </row>
    <row r="760" spans="1:9" ht="51.75" customHeight="1" x14ac:dyDescent="0.35">
      <c r="A760" s="15">
        <v>1</v>
      </c>
      <c r="B760" s="15" t="s">
        <v>23966</v>
      </c>
      <c r="C760" s="15" t="s">
        <v>23967</v>
      </c>
      <c r="D760" s="31">
        <v>39948</v>
      </c>
      <c r="E760" s="15" t="s">
        <v>23968</v>
      </c>
      <c r="F760" s="87"/>
      <c r="G760" s="45" t="s">
        <v>1249</v>
      </c>
      <c r="H760" s="55" t="s">
        <v>1250</v>
      </c>
      <c r="I760" s="15" t="s">
        <v>178</v>
      </c>
    </row>
    <row r="761" spans="1:9" ht="51.75" customHeight="1" x14ac:dyDescent="0.35">
      <c r="A761" s="15">
        <v>2</v>
      </c>
      <c r="B761" s="15" t="s">
        <v>23969</v>
      </c>
      <c r="C761" s="15" t="s">
        <v>23970</v>
      </c>
      <c r="D761" s="31">
        <v>39948</v>
      </c>
      <c r="E761" s="15" t="s">
        <v>23971</v>
      </c>
      <c r="F761" s="87"/>
      <c r="G761" s="45" t="s">
        <v>1249</v>
      </c>
      <c r="H761" s="55" t="s">
        <v>1250</v>
      </c>
      <c r="I761" s="15" t="s">
        <v>178</v>
      </c>
    </row>
    <row r="762" spans="1:9" ht="51.75" customHeight="1" x14ac:dyDescent="0.35">
      <c r="A762" s="15">
        <v>1</v>
      </c>
      <c r="B762" s="15" t="s">
        <v>23972</v>
      </c>
      <c r="C762" s="15" t="s">
        <v>23973</v>
      </c>
      <c r="D762" s="31">
        <v>40652</v>
      </c>
      <c r="E762" s="15" t="s">
        <v>23974</v>
      </c>
      <c r="F762" s="87"/>
      <c r="G762" s="45" t="s">
        <v>3724</v>
      </c>
      <c r="H762" s="55" t="s">
        <v>3725</v>
      </c>
      <c r="I762" s="15" t="s">
        <v>178</v>
      </c>
    </row>
    <row r="763" spans="1:9" ht="51.75" customHeight="1" x14ac:dyDescent="0.35">
      <c r="A763" s="15">
        <v>2</v>
      </c>
      <c r="B763" s="15" t="s">
        <v>23975</v>
      </c>
      <c r="C763" s="15" t="s">
        <v>23976</v>
      </c>
      <c r="D763" s="31">
        <v>40652</v>
      </c>
      <c r="E763" s="15" t="s">
        <v>23977</v>
      </c>
      <c r="F763" s="87"/>
      <c r="G763" s="45" t="s">
        <v>3724</v>
      </c>
      <c r="H763" s="55" t="s">
        <v>3725</v>
      </c>
      <c r="I763" s="15" t="s">
        <v>178</v>
      </c>
    </row>
    <row r="764" spans="1:9" ht="51.75" customHeight="1" x14ac:dyDescent="0.35">
      <c r="A764" s="15">
        <v>3</v>
      </c>
      <c r="B764" s="15" t="s">
        <v>23978</v>
      </c>
      <c r="C764" s="15" t="s">
        <v>23979</v>
      </c>
      <c r="D764" s="31">
        <v>40652</v>
      </c>
      <c r="E764" s="15" t="s">
        <v>23980</v>
      </c>
      <c r="F764" s="87"/>
      <c r="G764" s="45" t="s">
        <v>3724</v>
      </c>
      <c r="H764" s="55" t="s">
        <v>3725</v>
      </c>
      <c r="I764" s="15" t="s">
        <v>178</v>
      </c>
    </row>
    <row r="765" spans="1:9" ht="51.75" customHeight="1" x14ac:dyDescent="0.35">
      <c r="A765" s="15">
        <v>4</v>
      </c>
      <c r="B765" s="15" t="s">
        <v>23981</v>
      </c>
      <c r="C765" s="15" t="s">
        <v>23982</v>
      </c>
      <c r="D765" s="31">
        <v>40652</v>
      </c>
      <c r="E765" s="15" t="s">
        <v>23983</v>
      </c>
      <c r="F765" s="87"/>
      <c r="G765" s="45" t="s">
        <v>3724</v>
      </c>
      <c r="H765" s="55" t="s">
        <v>3725</v>
      </c>
      <c r="I765" s="15" t="s">
        <v>178</v>
      </c>
    </row>
    <row r="766" spans="1:9" ht="51.75" customHeight="1" x14ac:dyDescent="0.35">
      <c r="A766" s="15">
        <v>5</v>
      </c>
      <c r="B766" s="15" t="s">
        <v>23984</v>
      </c>
      <c r="C766" s="15" t="s">
        <v>23985</v>
      </c>
      <c r="D766" s="31">
        <v>40652</v>
      </c>
      <c r="E766" s="15" t="s">
        <v>23986</v>
      </c>
      <c r="F766" s="87"/>
      <c r="G766" s="45" t="s">
        <v>3724</v>
      </c>
      <c r="H766" s="55" t="s">
        <v>3725</v>
      </c>
      <c r="I766" s="15" t="s">
        <v>178</v>
      </c>
    </row>
    <row r="767" spans="1:9" ht="51.75" customHeight="1" x14ac:dyDescent="0.35">
      <c r="A767" s="15">
        <v>6</v>
      </c>
      <c r="B767" s="15" t="s">
        <v>23987</v>
      </c>
      <c r="C767" s="15" t="s">
        <v>23988</v>
      </c>
      <c r="D767" s="31">
        <v>40652</v>
      </c>
      <c r="E767" s="15" t="s">
        <v>23989</v>
      </c>
      <c r="F767" s="87"/>
      <c r="G767" s="45" t="s">
        <v>3724</v>
      </c>
      <c r="H767" s="55" t="s">
        <v>3725</v>
      </c>
      <c r="I767" s="15" t="s">
        <v>178</v>
      </c>
    </row>
    <row r="768" spans="1:9" ht="51.75" customHeight="1" x14ac:dyDescent="0.35">
      <c r="A768" s="15">
        <v>7</v>
      </c>
      <c r="B768" s="15" t="s">
        <v>23990</v>
      </c>
      <c r="C768" s="15" t="s">
        <v>23991</v>
      </c>
      <c r="D768" s="31">
        <v>40652</v>
      </c>
      <c r="E768" s="15" t="s">
        <v>23992</v>
      </c>
      <c r="F768" s="87"/>
      <c r="G768" s="45" t="s">
        <v>3724</v>
      </c>
      <c r="H768" s="55" t="s">
        <v>3725</v>
      </c>
      <c r="I768" s="15" t="s">
        <v>178</v>
      </c>
    </row>
    <row r="769" spans="1:9" ht="51.75" customHeight="1" x14ac:dyDescent="0.35">
      <c r="A769" s="15">
        <v>8</v>
      </c>
      <c r="B769" s="15" t="s">
        <v>23993</v>
      </c>
      <c r="C769" s="15" t="s">
        <v>23994</v>
      </c>
      <c r="D769" s="31">
        <v>40652</v>
      </c>
      <c r="E769" s="15" t="s">
        <v>23995</v>
      </c>
      <c r="F769" s="87"/>
      <c r="G769" s="45" t="s">
        <v>3724</v>
      </c>
      <c r="H769" s="55" t="s">
        <v>3725</v>
      </c>
      <c r="I769" s="15" t="s">
        <v>178</v>
      </c>
    </row>
    <row r="770" spans="1:9" ht="51.75" customHeight="1" x14ac:dyDescent="0.35">
      <c r="A770" s="15">
        <v>9</v>
      </c>
      <c r="B770" s="15" t="s">
        <v>23996</v>
      </c>
      <c r="C770" s="15" t="s">
        <v>23997</v>
      </c>
      <c r="D770" s="31">
        <v>40652</v>
      </c>
      <c r="E770" s="15" t="s">
        <v>23998</v>
      </c>
      <c r="F770" s="87"/>
      <c r="G770" s="45" t="s">
        <v>3724</v>
      </c>
      <c r="H770" s="55" t="s">
        <v>3725</v>
      </c>
      <c r="I770" s="15" t="s">
        <v>178</v>
      </c>
    </row>
    <row r="771" spans="1:9" ht="51.75" customHeight="1" x14ac:dyDescent="0.35">
      <c r="A771" s="15">
        <v>10</v>
      </c>
      <c r="B771" s="15" t="s">
        <v>23999</v>
      </c>
      <c r="C771" s="15" t="s">
        <v>24000</v>
      </c>
      <c r="D771" s="31">
        <v>40652</v>
      </c>
      <c r="E771" s="15" t="s">
        <v>24001</v>
      </c>
      <c r="F771" s="87"/>
      <c r="G771" s="45" t="s">
        <v>3724</v>
      </c>
      <c r="H771" s="55" t="s">
        <v>3725</v>
      </c>
      <c r="I771" s="15" t="s">
        <v>178</v>
      </c>
    </row>
    <row r="772" spans="1:9" ht="51.75" customHeight="1" x14ac:dyDescent="0.35">
      <c r="A772" s="15">
        <v>1</v>
      </c>
      <c r="B772" s="15" t="s">
        <v>24002</v>
      </c>
      <c r="C772" s="15" t="s">
        <v>24003</v>
      </c>
      <c r="D772" s="31">
        <v>40592</v>
      </c>
      <c r="E772" s="15" t="s">
        <v>24004</v>
      </c>
      <c r="F772" s="87"/>
      <c r="G772" s="45" t="s">
        <v>3262</v>
      </c>
      <c r="H772" s="55" t="s">
        <v>3263</v>
      </c>
      <c r="I772" s="15" t="s">
        <v>178</v>
      </c>
    </row>
    <row r="773" spans="1:9" ht="51.75" customHeight="1" x14ac:dyDescent="0.35">
      <c r="A773" s="15">
        <v>2</v>
      </c>
      <c r="B773" s="15" t="s">
        <v>24005</v>
      </c>
      <c r="C773" s="15" t="s">
        <v>24006</v>
      </c>
      <c r="D773" s="31">
        <v>40592</v>
      </c>
      <c r="E773" s="15" t="s">
        <v>24007</v>
      </c>
      <c r="F773" s="87"/>
      <c r="G773" s="45" t="s">
        <v>3262</v>
      </c>
      <c r="H773" s="55" t="s">
        <v>3263</v>
      </c>
      <c r="I773" s="15" t="s">
        <v>178</v>
      </c>
    </row>
    <row r="774" spans="1:9" ht="51.75" customHeight="1" x14ac:dyDescent="0.35">
      <c r="A774" s="15">
        <v>3</v>
      </c>
      <c r="B774" s="15" t="s">
        <v>24008</v>
      </c>
      <c r="C774" s="15" t="s">
        <v>24009</v>
      </c>
      <c r="D774" s="31">
        <v>40592</v>
      </c>
      <c r="E774" s="15" t="s">
        <v>24010</v>
      </c>
      <c r="F774" s="87"/>
      <c r="G774" s="45" t="s">
        <v>3262</v>
      </c>
      <c r="H774" s="55" t="s">
        <v>3263</v>
      </c>
      <c r="I774" s="15" t="s">
        <v>178</v>
      </c>
    </row>
    <row r="775" spans="1:9" ht="51.75" customHeight="1" x14ac:dyDescent="0.35">
      <c r="A775" s="15">
        <v>4</v>
      </c>
      <c r="B775" s="15" t="s">
        <v>24011</v>
      </c>
      <c r="C775" s="15" t="s">
        <v>24012</v>
      </c>
      <c r="D775" s="31">
        <v>40592</v>
      </c>
      <c r="E775" s="15" t="s">
        <v>24013</v>
      </c>
      <c r="F775" s="87"/>
      <c r="G775" s="45" t="s">
        <v>3262</v>
      </c>
      <c r="H775" s="55" t="s">
        <v>3263</v>
      </c>
      <c r="I775" s="15" t="s">
        <v>178</v>
      </c>
    </row>
    <row r="776" spans="1:9" ht="51.75" customHeight="1" x14ac:dyDescent="0.35">
      <c r="A776" s="15">
        <v>5</v>
      </c>
      <c r="B776" s="15" t="s">
        <v>24014</v>
      </c>
      <c r="C776" s="15" t="s">
        <v>24015</v>
      </c>
      <c r="D776" s="31">
        <v>40592</v>
      </c>
      <c r="E776" s="15" t="s">
        <v>24016</v>
      </c>
      <c r="F776" s="87"/>
      <c r="G776" s="45" t="s">
        <v>3262</v>
      </c>
      <c r="H776" s="55" t="s">
        <v>3263</v>
      </c>
      <c r="I776" s="15" t="s">
        <v>178</v>
      </c>
    </row>
    <row r="777" spans="1:9" ht="51.75" customHeight="1" x14ac:dyDescent="0.35">
      <c r="A777" s="15">
        <v>6</v>
      </c>
      <c r="B777" s="15" t="s">
        <v>24017</v>
      </c>
      <c r="C777" s="15" t="s">
        <v>24018</v>
      </c>
      <c r="D777" s="31">
        <v>40592</v>
      </c>
      <c r="E777" s="15" t="s">
        <v>24019</v>
      </c>
      <c r="F777" s="87"/>
      <c r="G777" s="45" t="s">
        <v>3262</v>
      </c>
      <c r="H777" s="55" t="s">
        <v>3263</v>
      </c>
      <c r="I777" s="15" t="s">
        <v>178</v>
      </c>
    </row>
    <row r="778" spans="1:9" ht="51.75" customHeight="1" x14ac:dyDescent="0.35">
      <c r="A778" s="15">
        <v>1</v>
      </c>
      <c r="B778" s="15" t="s">
        <v>24020</v>
      </c>
      <c r="C778" s="15" t="s">
        <v>24021</v>
      </c>
      <c r="D778" s="31">
        <v>40592</v>
      </c>
      <c r="E778" s="15" t="s">
        <v>24021</v>
      </c>
      <c r="F778" s="87"/>
      <c r="G778" s="45" t="s">
        <v>2265</v>
      </c>
      <c r="H778" s="55" t="s">
        <v>2266</v>
      </c>
      <c r="I778" s="15" t="s">
        <v>178</v>
      </c>
    </row>
    <row r="779" spans="1:9" ht="51.75" customHeight="1" x14ac:dyDescent="0.35">
      <c r="A779" s="15">
        <v>1</v>
      </c>
      <c r="B779" s="15" t="s">
        <v>24022</v>
      </c>
      <c r="C779" s="15" t="s">
        <v>24023</v>
      </c>
      <c r="D779" s="31">
        <v>40589</v>
      </c>
      <c r="E779" s="15" t="s">
        <v>24024</v>
      </c>
      <c r="F779" s="87"/>
      <c r="G779" s="45" t="s">
        <v>3315</v>
      </c>
      <c r="H779" s="55" t="s">
        <v>3316</v>
      </c>
      <c r="I779" s="15" t="s">
        <v>178</v>
      </c>
    </row>
    <row r="780" spans="1:9" ht="51.75" customHeight="1" x14ac:dyDescent="0.35">
      <c r="A780" s="15">
        <v>2</v>
      </c>
      <c r="B780" s="15" t="s">
        <v>24025</v>
      </c>
      <c r="C780" s="15" t="s">
        <v>24026</v>
      </c>
      <c r="D780" s="31">
        <v>40589</v>
      </c>
      <c r="E780" s="15" t="s">
        <v>24027</v>
      </c>
      <c r="F780" s="87"/>
      <c r="G780" s="45" t="s">
        <v>3315</v>
      </c>
      <c r="H780" s="55" t="s">
        <v>3316</v>
      </c>
      <c r="I780" s="15" t="s">
        <v>178</v>
      </c>
    </row>
    <row r="781" spans="1:9" ht="51.75" customHeight="1" x14ac:dyDescent="0.35">
      <c r="A781" s="15">
        <v>3</v>
      </c>
      <c r="B781" s="15" t="s">
        <v>24028</v>
      </c>
      <c r="C781" s="15" t="s">
        <v>24029</v>
      </c>
      <c r="D781" s="31">
        <v>40589</v>
      </c>
      <c r="E781" s="15" t="s">
        <v>24030</v>
      </c>
      <c r="F781" s="87"/>
      <c r="G781" s="45" t="s">
        <v>3315</v>
      </c>
      <c r="H781" s="55" t="s">
        <v>3316</v>
      </c>
      <c r="I781" s="15" t="s">
        <v>178</v>
      </c>
    </row>
    <row r="782" spans="1:9" ht="51.75" customHeight="1" x14ac:dyDescent="0.35">
      <c r="A782" s="15">
        <v>4</v>
      </c>
      <c r="B782" s="15" t="s">
        <v>24031</v>
      </c>
      <c r="C782" s="15" t="s">
        <v>24032</v>
      </c>
      <c r="D782" s="31">
        <v>40589</v>
      </c>
      <c r="E782" s="15" t="s">
        <v>24033</v>
      </c>
      <c r="F782" s="87"/>
      <c r="G782" s="45" t="s">
        <v>3315</v>
      </c>
      <c r="H782" s="55" t="s">
        <v>3316</v>
      </c>
      <c r="I782" s="15" t="s">
        <v>178</v>
      </c>
    </row>
    <row r="783" spans="1:9" ht="51.75" customHeight="1" x14ac:dyDescent="0.35">
      <c r="A783" s="15">
        <v>1</v>
      </c>
      <c r="B783" s="15" t="s">
        <v>24034</v>
      </c>
      <c r="C783" s="15" t="s">
        <v>24035</v>
      </c>
      <c r="D783" s="31">
        <v>40674</v>
      </c>
      <c r="E783" s="15" t="s">
        <v>24036</v>
      </c>
      <c r="F783" s="87"/>
      <c r="G783" s="45" t="s">
        <v>3197</v>
      </c>
      <c r="H783" s="55" t="s">
        <v>3198</v>
      </c>
      <c r="I783" s="15" t="s">
        <v>178</v>
      </c>
    </row>
    <row r="784" spans="1:9" ht="51.75" customHeight="1" x14ac:dyDescent="0.35">
      <c r="A784" s="15">
        <v>1</v>
      </c>
      <c r="B784" s="15" t="s">
        <v>24037</v>
      </c>
      <c r="C784" s="15" t="s">
        <v>24038</v>
      </c>
      <c r="D784" s="31">
        <v>40674</v>
      </c>
      <c r="E784" s="15" t="s">
        <v>24039</v>
      </c>
      <c r="F784" s="87"/>
      <c r="G784" s="45" t="s">
        <v>3616</v>
      </c>
      <c r="H784" s="55" t="s">
        <v>3617</v>
      </c>
      <c r="I784" s="15" t="s">
        <v>178</v>
      </c>
    </row>
    <row r="785" spans="1:9" ht="51.75" customHeight="1" x14ac:dyDescent="0.35">
      <c r="A785" s="15">
        <v>2</v>
      </c>
      <c r="B785" s="15" t="s">
        <v>24040</v>
      </c>
      <c r="C785" s="15" t="s">
        <v>24041</v>
      </c>
      <c r="D785" s="31">
        <v>40674</v>
      </c>
      <c r="E785" s="15" t="s">
        <v>24041</v>
      </c>
      <c r="F785" s="87"/>
      <c r="G785" s="45" t="s">
        <v>3616</v>
      </c>
      <c r="H785" s="55" t="s">
        <v>3617</v>
      </c>
      <c r="I785" s="15" t="s">
        <v>178</v>
      </c>
    </row>
    <row r="786" spans="1:9" ht="51.75" customHeight="1" x14ac:dyDescent="0.35">
      <c r="A786" s="15">
        <v>3</v>
      </c>
      <c r="B786" s="15" t="s">
        <v>24042</v>
      </c>
      <c r="C786" s="15" t="s">
        <v>24043</v>
      </c>
      <c r="D786" s="31">
        <v>40674</v>
      </c>
      <c r="E786" s="15" t="s">
        <v>24044</v>
      </c>
      <c r="F786" s="87"/>
      <c r="G786" s="45" t="s">
        <v>3616</v>
      </c>
      <c r="H786" s="55" t="s">
        <v>3617</v>
      </c>
      <c r="I786" s="15" t="s">
        <v>178</v>
      </c>
    </row>
    <row r="787" spans="1:9" ht="51.75" customHeight="1" x14ac:dyDescent="0.35">
      <c r="A787" s="15">
        <v>1</v>
      </c>
      <c r="B787" s="15" t="s">
        <v>24045</v>
      </c>
      <c r="C787" s="15" t="s">
        <v>24046</v>
      </c>
      <c r="D787" s="31">
        <v>40674</v>
      </c>
      <c r="E787" s="15" t="s">
        <v>24046</v>
      </c>
      <c r="F787" s="87"/>
      <c r="G787" s="45" t="s">
        <v>3295</v>
      </c>
      <c r="H787" s="55" t="s">
        <v>3296</v>
      </c>
      <c r="I787" s="15" t="s">
        <v>178</v>
      </c>
    </row>
    <row r="788" spans="1:9" ht="51.75" customHeight="1" x14ac:dyDescent="0.35">
      <c r="A788" s="15">
        <v>2</v>
      </c>
      <c r="B788" s="15" t="s">
        <v>24047</v>
      </c>
      <c r="C788" s="15" t="s">
        <v>24048</v>
      </c>
      <c r="D788" s="31">
        <v>40674</v>
      </c>
      <c r="E788" s="15" t="s">
        <v>24049</v>
      </c>
      <c r="F788" s="87"/>
      <c r="G788" s="45" t="s">
        <v>3295</v>
      </c>
      <c r="H788" s="55" t="s">
        <v>3296</v>
      </c>
      <c r="I788" s="15" t="s">
        <v>178</v>
      </c>
    </row>
    <row r="789" spans="1:9" ht="51.75" customHeight="1" x14ac:dyDescent="0.35">
      <c r="A789" s="15">
        <v>3</v>
      </c>
      <c r="B789" s="15" t="s">
        <v>24050</v>
      </c>
      <c r="C789" s="15" t="s">
        <v>24051</v>
      </c>
      <c r="D789" s="31">
        <v>40674</v>
      </c>
      <c r="E789" s="15" t="s">
        <v>24052</v>
      </c>
      <c r="F789" s="87"/>
      <c r="G789" s="45" t="s">
        <v>3295</v>
      </c>
      <c r="H789" s="55" t="s">
        <v>3296</v>
      </c>
      <c r="I789" s="15" t="s">
        <v>178</v>
      </c>
    </row>
    <row r="790" spans="1:9" ht="51.75" customHeight="1" x14ac:dyDescent="0.35">
      <c r="A790" s="15">
        <v>4</v>
      </c>
      <c r="B790" s="15" t="s">
        <v>24053</v>
      </c>
      <c r="C790" s="15" t="s">
        <v>24054</v>
      </c>
      <c r="D790" s="31">
        <v>40674</v>
      </c>
      <c r="E790" s="15" t="s">
        <v>24054</v>
      </c>
      <c r="F790" s="87"/>
      <c r="G790" s="45" t="s">
        <v>3295</v>
      </c>
      <c r="H790" s="55" t="s">
        <v>3296</v>
      </c>
      <c r="I790" s="15" t="s">
        <v>178</v>
      </c>
    </row>
    <row r="791" spans="1:9" ht="51.75" customHeight="1" x14ac:dyDescent="0.35">
      <c r="A791" s="15">
        <v>1</v>
      </c>
      <c r="B791" s="15" t="s">
        <v>24055</v>
      </c>
      <c r="C791" s="15" t="s">
        <v>24056</v>
      </c>
      <c r="D791" s="31">
        <v>39947</v>
      </c>
      <c r="E791" s="15" t="s">
        <v>24057</v>
      </c>
      <c r="F791" s="87"/>
      <c r="G791" s="45" t="s">
        <v>2207</v>
      </c>
      <c r="H791" s="55" t="s">
        <v>2208</v>
      </c>
      <c r="I791" s="15" t="s">
        <v>178</v>
      </c>
    </row>
    <row r="792" spans="1:9" ht="51.75" customHeight="1" x14ac:dyDescent="0.35">
      <c r="A792" s="15">
        <v>2</v>
      </c>
      <c r="B792" s="15" t="s">
        <v>24058</v>
      </c>
      <c r="C792" s="15" t="s">
        <v>24059</v>
      </c>
      <c r="D792" s="31">
        <v>39947</v>
      </c>
      <c r="E792" s="15" t="s">
        <v>24060</v>
      </c>
      <c r="F792" s="87"/>
      <c r="G792" s="45" t="s">
        <v>2207</v>
      </c>
      <c r="H792" s="55" t="s">
        <v>2208</v>
      </c>
      <c r="I792" s="15" t="s">
        <v>178</v>
      </c>
    </row>
    <row r="793" spans="1:9" ht="51.75" customHeight="1" x14ac:dyDescent="0.35">
      <c r="A793" s="15">
        <v>3</v>
      </c>
      <c r="B793" s="15" t="s">
        <v>24061</v>
      </c>
      <c r="C793" s="15" t="s">
        <v>24062</v>
      </c>
      <c r="D793" s="31">
        <v>39947</v>
      </c>
      <c r="E793" s="15" t="s">
        <v>24063</v>
      </c>
      <c r="F793" s="87"/>
      <c r="G793" s="45" t="s">
        <v>2207</v>
      </c>
      <c r="H793" s="55" t="s">
        <v>2208</v>
      </c>
      <c r="I793" s="15" t="s">
        <v>178</v>
      </c>
    </row>
    <row r="794" spans="1:9" ht="51.75" customHeight="1" x14ac:dyDescent="0.35">
      <c r="A794" s="15">
        <v>4</v>
      </c>
      <c r="B794" s="15" t="s">
        <v>24064</v>
      </c>
      <c r="C794" s="15" t="s">
        <v>24065</v>
      </c>
      <c r="D794" s="31">
        <v>39947</v>
      </c>
      <c r="E794" s="15" t="s">
        <v>24066</v>
      </c>
      <c r="F794" s="87"/>
      <c r="G794" s="45" t="s">
        <v>2207</v>
      </c>
      <c r="H794" s="55" t="s">
        <v>2208</v>
      </c>
      <c r="I794" s="15" t="s">
        <v>178</v>
      </c>
    </row>
    <row r="795" spans="1:9" ht="51.75" customHeight="1" x14ac:dyDescent="0.35">
      <c r="A795" s="15">
        <v>5</v>
      </c>
      <c r="B795" s="15" t="s">
        <v>24067</v>
      </c>
      <c r="C795" s="15" t="s">
        <v>24068</v>
      </c>
      <c r="D795" s="31">
        <v>39947</v>
      </c>
      <c r="E795" s="15" t="s">
        <v>24069</v>
      </c>
      <c r="F795" s="87"/>
      <c r="G795" s="45" t="s">
        <v>2207</v>
      </c>
      <c r="H795" s="55" t="s">
        <v>2208</v>
      </c>
      <c r="I795" s="15" t="s">
        <v>178</v>
      </c>
    </row>
    <row r="796" spans="1:9" ht="51.75" customHeight="1" x14ac:dyDescent="0.35">
      <c r="A796" s="15">
        <v>6</v>
      </c>
      <c r="B796" s="15" t="s">
        <v>24070</v>
      </c>
      <c r="C796" s="15" t="s">
        <v>24071</v>
      </c>
      <c r="D796" s="31">
        <v>39947</v>
      </c>
      <c r="E796" s="15" t="s">
        <v>24072</v>
      </c>
      <c r="F796" s="87"/>
      <c r="G796" s="45" t="s">
        <v>2207</v>
      </c>
      <c r="H796" s="55" t="s">
        <v>2208</v>
      </c>
      <c r="I796" s="15" t="s">
        <v>178</v>
      </c>
    </row>
    <row r="797" spans="1:9" ht="51.75" customHeight="1" x14ac:dyDescent="0.35">
      <c r="A797" s="15">
        <v>1</v>
      </c>
      <c r="B797" s="15" t="s">
        <v>24073</v>
      </c>
      <c r="C797" s="15" t="s">
        <v>24074</v>
      </c>
      <c r="D797" s="31">
        <v>39947</v>
      </c>
      <c r="E797" s="15" t="s">
        <v>24075</v>
      </c>
      <c r="F797" s="87"/>
      <c r="G797" s="45" t="s">
        <v>2031</v>
      </c>
      <c r="H797" s="55" t="s">
        <v>2032</v>
      </c>
      <c r="I797" s="15" t="s">
        <v>178</v>
      </c>
    </row>
    <row r="798" spans="1:9" ht="51.75" customHeight="1" x14ac:dyDescent="0.35">
      <c r="A798" s="15">
        <v>2</v>
      </c>
      <c r="B798" s="15" t="s">
        <v>24076</v>
      </c>
      <c r="C798" s="15" t="s">
        <v>24077</v>
      </c>
      <c r="D798" s="31">
        <v>39947</v>
      </c>
      <c r="E798" s="15" t="s">
        <v>24078</v>
      </c>
      <c r="F798" s="87"/>
      <c r="G798" s="45" t="s">
        <v>2031</v>
      </c>
      <c r="H798" s="55" t="s">
        <v>2032</v>
      </c>
      <c r="I798" s="15" t="s">
        <v>178</v>
      </c>
    </row>
    <row r="799" spans="1:9" ht="51.75" customHeight="1" x14ac:dyDescent="0.35">
      <c r="A799" s="15">
        <v>3</v>
      </c>
      <c r="B799" s="15" t="s">
        <v>24079</v>
      </c>
      <c r="C799" s="15" t="s">
        <v>24080</v>
      </c>
      <c r="D799" s="31">
        <v>39947</v>
      </c>
      <c r="E799" s="15" t="s">
        <v>24081</v>
      </c>
      <c r="F799" s="87"/>
      <c r="G799" s="45" t="s">
        <v>2031</v>
      </c>
      <c r="H799" s="55" t="s">
        <v>2032</v>
      </c>
      <c r="I799" s="15" t="s">
        <v>178</v>
      </c>
    </row>
    <row r="800" spans="1:9" ht="51.75" customHeight="1" x14ac:dyDescent="0.35">
      <c r="A800" s="15">
        <v>4</v>
      </c>
      <c r="B800" s="15" t="s">
        <v>24082</v>
      </c>
      <c r="C800" s="15" t="s">
        <v>24083</v>
      </c>
      <c r="D800" s="31">
        <v>39947</v>
      </c>
      <c r="E800" s="15" t="s">
        <v>24084</v>
      </c>
      <c r="F800" s="87"/>
      <c r="G800" s="45" t="s">
        <v>2031</v>
      </c>
      <c r="H800" s="55" t="s">
        <v>2032</v>
      </c>
      <c r="I800" s="15" t="s">
        <v>178</v>
      </c>
    </row>
    <row r="801" spans="1:9" ht="51.75" customHeight="1" x14ac:dyDescent="0.35">
      <c r="A801" s="15">
        <v>1</v>
      </c>
      <c r="B801" s="15" t="s">
        <v>24085</v>
      </c>
      <c r="C801" s="15" t="s">
        <v>24086</v>
      </c>
      <c r="D801" s="31">
        <v>40592</v>
      </c>
      <c r="E801" s="15" t="s">
        <v>24087</v>
      </c>
      <c r="F801" s="87"/>
      <c r="G801" s="45" t="s">
        <v>2157</v>
      </c>
      <c r="H801" s="55" t="s">
        <v>2158</v>
      </c>
      <c r="I801" s="15" t="s">
        <v>178</v>
      </c>
    </row>
    <row r="802" spans="1:9" ht="51.75" customHeight="1" x14ac:dyDescent="0.35">
      <c r="A802" s="15">
        <v>2</v>
      </c>
      <c r="B802" s="15" t="s">
        <v>24088</v>
      </c>
      <c r="C802" s="15" t="s">
        <v>24089</v>
      </c>
      <c r="D802" s="31">
        <v>40592</v>
      </c>
      <c r="E802" s="15" t="s">
        <v>24090</v>
      </c>
      <c r="F802" s="87"/>
      <c r="G802" s="45" t="s">
        <v>2157</v>
      </c>
      <c r="H802" s="55" t="s">
        <v>2158</v>
      </c>
      <c r="I802" s="15" t="s">
        <v>178</v>
      </c>
    </row>
    <row r="803" spans="1:9" ht="51.75" customHeight="1" x14ac:dyDescent="0.35">
      <c r="A803" s="15">
        <v>3</v>
      </c>
      <c r="B803" s="15" t="s">
        <v>24091</v>
      </c>
      <c r="C803" s="15" t="s">
        <v>24092</v>
      </c>
      <c r="D803" s="31">
        <v>40592</v>
      </c>
      <c r="E803" s="15" t="s">
        <v>24093</v>
      </c>
      <c r="F803" s="87"/>
      <c r="G803" s="45" t="s">
        <v>2157</v>
      </c>
      <c r="H803" s="55" t="s">
        <v>2158</v>
      </c>
      <c r="I803" s="15" t="s">
        <v>178</v>
      </c>
    </row>
    <row r="804" spans="1:9" ht="51.75" customHeight="1" x14ac:dyDescent="0.35">
      <c r="A804" s="15">
        <v>4</v>
      </c>
      <c r="B804" s="15" t="s">
        <v>24094</v>
      </c>
      <c r="C804" s="15" t="s">
        <v>24095</v>
      </c>
      <c r="D804" s="31">
        <v>40592</v>
      </c>
      <c r="E804" s="15" t="s">
        <v>24096</v>
      </c>
      <c r="F804" s="87"/>
      <c r="G804" s="45" t="s">
        <v>2157</v>
      </c>
      <c r="H804" s="55" t="s">
        <v>2158</v>
      </c>
      <c r="I804" s="15" t="s">
        <v>178</v>
      </c>
    </row>
    <row r="805" spans="1:9" ht="51.75" customHeight="1" x14ac:dyDescent="0.35">
      <c r="A805" s="15">
        <v>5</v>
      </c>
      <c r="B805" s="15" t="s">
        <v>24097</v>
      </c>
      <c r="C805" s="15" t="s">
        <v>24098</v>
      </c>
      <c r="D805" s="31">
        <v>40592</v>
      </c>
      <c r="E805" s="15" t="s">
        <v>24099</v>
      </c>
      <c r="F805" s="87"/>
      <c r="G805" s="45" t="s">
        <v>2157</v>
      </c>
      <c r="H805" s="55" t="s">
        <v>2158</v>
      </c>
      <c r="I805" s="15" t="s">
        <v>178</v>
      </c>
    </row>
    <row r="806" spans="1:9" ht="51.75" customHeight="1" x14ac:dyDescent="0.35">
      <c r="A806" s="15">
        <v>1</v>
      </c>
      <c r="B806" s="15" t="s">
        <v>24100</v>
      </c>
      <c r="C806" s="15" t="s">
        <v>24101</v>
      </c>
      <c r="D806" s="31">
        <v>40592</v>
      </c>
      <c r="E806" s="15" t="s">
        <v>24102</v>
      </c>
      <c r="F806" s="87"/>
      <c r="G806" s="45" t="s">
        <v>2256</v>
      </c>
      <c r="H806" s="55" t="s">
        <v>2257</v>
      </c>
      <c r="I806" s="15" t="s">
        <v>178</v>
      </c>
    </row>
    <row r="807" spans="1:9" ht="51.75" customHeight="1" x14ac:dyDescent="0.35">
      <c r="A807" s="15">
        <v>2</v>
      </c>
      <c r="B807" s="15" t="s">
        <v>24103</v>
      </c>
      <c r="C807" s="15" t="s">
        <v>24104</v>
      </c>
      <c r="D807" s="31">
        <v>40592</v>
      </c>
      <c r="E807" s="15" t="s">
        <v>24105</v>
      </c>
      <c r="F807" s="87"/>
      <c r="G807" s="45" t="s">
        <v>2256</v>
      </c>
      <c r="H807" s="55" t="s">
        <v>2257</v>
      </c>
      <c r="I807" s="15" t="s">
        <v>178</v>
      </c>
    </row>
    <row r="808" spans="1:9" ht="51.75" customHeight="1" x14ac:dyDescent="0.35">
      <c r="A808" s="15">
        <v>3</v>
      </c>
      <c r="B808" s="15" t="s">
        <v>24106</v>
      </c>
      <c r="C808" s="15" t="s">
        <v>24107</v>
      </c>
      <c r="D808" s="31">
        <v>40592</v>
      </c>
      <c r="E808" s="15" t="s">
        <v>24107</v>
      </c>
      <c r="F808" s="87"/>
      <c r="G808" s="45" t="s">
        <v>2256</v>
      </c>
      <c r="H808" s="55" t="s">
        <v>2257</v>
      </c>
      <c r="I808" s="15" t="s">
        <v>178</v>
      </c>
    </row>
    <row r="809" spans="1:9" ht="51.75" customHeight="1" x14ac:dyDescent="0.35">
      <c r="A809" s="15">
        <v>1</v>
      </c>
      <c r="B809" s="15" t="s">
        <v>24108</v>
      </c>
      <c r="C809" s="15" t="s">
        <v>24109</v>
      </c>
      <c r="D809" s="31">
        <v>39666</v>
      </c>
      <c r="E809" s="15" t="s">
        <v>24110</v>
      </c>
      <c r="F809" s="87"/>
      <c r="G809" s="45" t="s">
        <v>2238</v>
      </c>
      <c r="H809" s="55" t="s">
        <v>2239</v>
      </c>
      <c r="I809" s="15" t="s">
        <v>178</v>
      </c>
    </row>
    <row r="810" spans="1:9" ht="51.75" customHeight="1" x14ac:dyDescent="0.35">
      <c r="A810" s="15">
        <v>2</v>
      </c>
      <c r="B810" s="15" t="s">
        <v>24111</v>
      </c>
      <c r="C810" s="15" t="s">
        <v>24112</v>
      </c>
      <c r="D810" s="31">
        <v>39666</v>
      </c>
      <c r="E810" s="15" t="s">
        <v>24113</v>
      </c>
      <c r="F810" s="87"/>
      <c r="G810" s="45" t="s">
        <v>2238</v>
      </c>
      <c r="H810" s="55" t="s">
        <v>2239</v>
      </c>
      <c r="I810" s="15" t="s">
        <v>178</v>
      </c>
    </row>
    <row r="811" spans="1:9" ht="51.75" customHeight="1" x14ac:dyDescent="0.35">
      <c r="A811" s="15">
        <v>1</v>
      </c>
      <c r="B811" s="15" t="s">
        <v>24114</v>
      </c>
      <c r="C811" s="15" t="s">
        <v>24115</v>
      </c>
      <c r="D811" s="31">
        <v>38935</v>
      </c>
      <c r="E811" s="15" t="s">
        <v>24116</v>
      </c>
      <c r="F811" s="87"/>
      <c r="G811" s="45" t="s">
        <v>397</v>
      </c>
      <c r="H811" s="55" t="s">
        <v>398</v>
      </c>
      <c r="I811" s="15" t="s">
        <v>178</v>
      </c>
    </row>
    <row r="812" spans="1:9" ht="51.75" customHeight="1" x14ac:dyDescent="0.35">
      <c r="A812" s="15">
        <v>2</v>
      </c>
      <c r="B812" s="15" t="s">
        <v>24117</v>
      </c>
      <c r="C812" s="15" t="s">
        <v>24118</v>
      </c>
      <c r="D812" s="31">
        <v>38935</v>
      </c>
      <c r="E812" s="15" t="s">
        <v>24119</v>
      </c>
      <c r="F812" s="87"/>
      <c r="G812" s="45" t="s">
        <v>397</v>
      </c>
      <c r="H812" s="55" t="s">
        <v>398</v>
      </c>
      <c r="I812" s="15" t="s">
        <v>178</v>
      </c>
    </row>
    <row r="813" spans="1:9" ht="51.75" customHeight="1" x14ac:dyDescent="0.35">
      <c r="A813" s="15">
        <v>1</v>
      </c>
      <c r="B813" s="15" t="s">
        <v>24120</v>
      </c>
      <c r="C813" s="15" t="s">
        <v>24115</v>
      </c>
      <c r="D813" s="31">
        <v>39666</v>
      </c>
      <c r="E813" s="15" t="s">
        <v>24116</v>
      </c>
      <c r="F813" s="87"/>
      <c r="G813" s="45" t="s">
        <v>418</v>
      </c>
      <c r="H813" s="55" t="s">
        <v>419</v>
      </c>
      <c r="I813" s="15" t="s">
        <v>178</v>
      </c>
    </row>
    <row r="814" spans="1:9" ht="51.75" customHeight="1" x14ac:dyDescent="0.35">
      <c r="A814" s="15">
        <v>2</v>
      </c>
      <c r="B814" s="15" t="s">
        <v>24121</v>
      </c>
      <c r="C814" s="15" t="s">
        <v>24118</v>
      </c>
      <c r="D814" s="31">
        <v>39666</v>
      </c>
      <c r="E814" s="15" t="s">
        <v>24119</v>
      </c>
      <c r="F814" s="87"/>
      <c r="G814" s="45" t="s">
        <v>418</v>
      </c>
      <c r="H814" s="55" t="s">
        <v>419</v>
      </c>
      <c r="I814" s="15" t="s">
        <v>178</v>
      </c>
    </row>
    <row r="815" spans="1:9" ht="51.75" customHeight="1" x14ac:dyDescent="0.35">
      <c r="A815" s="15">
        <v>1</v>
      </c>
      <c r="B815" s="15" t="s">
        <v>24122</v>
      </c>
      <c r="C815" s="15" t="s">
        <v>24123</v>
      </c>
      <c r="D815" s="31">
        <v>39666</v>
      </c>
      <c r="E815" s="15" t="s">
        <v>24124</v>
      </c>
      <c r="F815" s="87"/>
      <c r="G815" s="45" t="s">
        <v>1581</v>
      </c>
      <c r="H815" s="55" t="s">
        <v>1582</v>
      </c>
      <c r="I815" s="15" t="s">
        <v>178</v>
      </c>
    </row>
    <row r="816" spans="1:9" ht="51.75" customHeight="1" x14ac:dyDescent="0.35">
      <c r="A816" s="15">
        <v>1</v>
      </c>
      <c r="B816" s="15" t="s">
        <v>24125</v>
      </c>
      <c r="C816" s="15" t="s">
        <v>24126</v>
      </c>
      <c r="D816" s="31">
        <v>39666</v>
      </c>
      <c r="E816" s="15" t="s">
        <v>24127</v>
      </c>
      <c r="F816" s="87"/>
      <c r="G816" s="45" t="s">
        <v>1381</v>
      </c>
      <c r="H816" s="55" t="s">
        <v>1382</v>
      </c>
      <c r="I816" s="15" t="s">
        <v>178</v>
      </c>
    </row>
    <row r="817" spans="1:9" ht="51.75" customHeight="1" x14ac:dyDescent="0.35">
      <c r="A817" s="15">
        <v>2</v>
      </c>
      <c r="B817" s="15" t="s">
        <v>24128</v>
      </c>
      <c r="C817" s="15" t="s">
        <v>24129</v>
      </c>
      <c r="D817" s="31">
        <v>39666</v>
      </c>
      <c r="E817" s="15" t="s">
        <v>24130</v>
      </c>
      <c r="F817" s="87"/>
      <c r="G817" s="45" t="s">
        <v>1381</v>
      </c>
      <c r="H817" s="55" t="s">
        <v>1382</v>
      </c>
      <c r="I817" s="15" t="s">
        <v>178</v>
      </c>
    </row>
    <row r="818" spans="1:9" ht="51.75" customHeight="1" x14ac:dyDescent="0.35">
      <c r="A818" s="15">
        <v>3</v>
      </c>
      <c r="B818" s="15" t="s">
        <v>24131</v>
      </c>
      <c r="C818" s="15" t="s">
        <v>24132</v>
      </c>
      <c r="D818" s="31">
        <v>39666</v>
      </c>
      <c r="E818" s="15" t="s">
        <v>24133</v>
      </c>
      <c r="F818" s="87"/>
      <c r="G818" s="45" t="s">
        <v>1381</v>
      </c>
      <c r="H818" s="55" t="s">
        <v>1382</v>
      </c>
      <c r="I818" s="15" t="s">
        <v>178</v>
      </c>
    </row>
    <row r="819" spans="1:9" ht="51.75" customHeight="1" x14ac:dyDescent="0.35">
      <c r="A819" s="15">
        <v>4</v>
      </c>
      <c r="B819" s="15" t="s">
        <v>24134</v>
      </c>
      <c r="C819" s="15" t="s">
        <v>24135</v>
      </c>
      <c r="D819" s="31">
        <v>39666</v>
      </c>
      <c r="E819" s="15" t="s">
        <v>24136</v>
      </c>
      <c r="F819" s="87"/>
      <c r="G819" s="45" t="s">
        <v>1381</v>
      </c>
      <c r="H819" s="55" t="s">
        <v>1382</v>
      </c>
      <c r="I819" s="15" t="s">
        <v>178</v>
      </c>
    </row>
    <row r="820" spans="1:9" ht="51.75" customHeight="1" x14ac:dyDescent="0.35">
      <c r="A820" s="15">
        <v>5</v>
      </c>
      <c r="B820" s="15" t="s">
        <v>24137</v>
      </c>
      <c r="C820" s="15" t="s">
        <v>24138</v>
      </c>
      <c r="D820" s="31">
        <v>39666</v>
      </c>
      <c r="E820" s="15" t="s">
        <v>24139</v>
      </c>
      <c r="F820" s="87"/>
      <c r="G820" s="45" t="s">
        <v>1381</v>
      </c>
      <c r="H820" s="55" t="s">
        <v>1382</v>
      </c>
      <c r="I820" s="15" t="s">
        <v>178</v>
      </c>
    </row>
    <row r="821" spans="1:9" ht="51.75" customHeight="1" x14ac:dyDescent="0.35">
      <c r="A821" s="15">
        <v>6</v>
      </c>
      <c r="B821" s="15" t="s">
        <v>24140</v>
      </c>
      <c r="C821" s="15" t="s">
        <v>24141</v>
      </c>
      <c r="D821" s="31">
        <v>39666</v>
      </c>
      <c r="E821" s="15" t="s">
        <v>24142</v>
      </c>
      <c r="F821" s="87"/>
      <c r="G821" s="45" t="s">
        <v>1381</v>
      </c>
      <c r="H821" s="55" t="s">
        <v>1382</v>
      </c>
      <c r="I821" s="15" t="s">
        <v>178</v>
      </c>
    </row>
    <row r="822" spans="1:9" ht="51.75" customHeight="1" x14ac:dyDescent="0.35">
      <c r="A822" s="15">
        <v>1</v>
      </c>
      <c r="B822" s="15" t="s">
        <v>24143</v>
      </c>
      <c r="C822" s="15" t="s">
        <v>24144</v>
      </c>
      <c r="D822" s="31">
        <v>39666</v>
      </c>
      <c r="E822" s="15" t="s">
        <v>24144</v>
      </c>
      <c r="F822" s="87"/>
      <c r="G822" s="45" t="s">
        <v>193</v>
      </c>
      <c r="H822" s="55" t="s">
        <v>194</v>
      </c>
      <c r="I822" s="15" t="s">
        <v>178</v>
      </c>
    </row>
    <row r="823" spans="1:9" ht="51.75" customHeight="1" x14ac:dyDescent="0.35">
      <c r="A823" s="15">
        <v>2</v>
      </c>
      <c r="B823" s="15" t="s">
        <v>24145</v>
      </c>
      <c r="C823" s="15" t="s">
        <v>24146</v>
      </c>
      <c r="D823" s="31">
        <v>39666</v>
      </c>
      <c r="E823" s="15" t="s">
        <v>24146</v>
      </c>
      <c r="F823" s="87"/>
      <c r="G823" s="45" t="s">
        <v>193</v>
      </c>
      <c r="H823" s="55" t="s">
        <v>194</v>
      </c>
      <c r="I823" s="15" t="s">
        <v>178</v>
      </c>
    </row>
    <row r="824" spans="1:9" ht="51.75" customHeight="1" x14ac:dyDescent="0.35">
      <c r="A824" s="15">
        <v>3</v>
      </c>
      <c r="B824" s="15" t="s">
        <v>24147</v>
      </c>
      <c r="C824" s="15" t="s">
        <v>24148</v>
      </c>
      <c r="D824" s="31">
        <v>39666</v>
      </c>
      <c r="E824" s="15" t="s">
        <v>24148</v>
      </c>
      <c r="F824" s="87"/>
      <c r="G824" s="45" t="s">
        <v>193</v>
      </c>
      <c r="H824" s="55" t="s">
        <v>194</v>
      </c>
      <c r="I824" s="15" t="s">
        <v>178</v>
      </c>
    </row>
    <row r="825" spans="1:9" ht="51.75" customHeight="1" x14ac:dyDescent="0.35">
      <c r="A825" s="15">
        <v>1</v>
      </c>
      <c r="B825" s="15" t="s">
        <v>24149</v>
      </c>
      <c r="C825" s="15" t="s">
        <v>24150</v>
      </c>
      <c r="D825" s="31">
        <v>39665</v>
      </c>
      <c r="E825" s="15" t="s">
        <v>24151</v>
      </c>
      <c r="F825" s="87"/>
      <c r="G825" s="45" t="s">
        <v>176</v>
      </c>
      <c r="H825" s="55" t="s">
        <v>177</v>
      </c>
      <c r="I825" s="15" t="s">
        <v>178</v>
      </c>
    </row>
    <row r="826" spans="1:9" ht="51.75" customHeight="1" x14ac:dyDescent="0.35">
      <c r="A826" s="15">
        <v>2</v>
      </c>
      <c r="B826" s="15" t="s">
        <v>24152</v>
      </c>
      <c r="C826" s="15" t="s">
        <v>24153</v>
      </c>
      <c r="D826" s="31">
        <v>39665</v>
      </c>
      <c r="E826" s="15" t="s">
        <v>24154</v>
      </c>
      <c r="F826" s="87"/>
      <c r="G826" s="45" t="s">
        <v>176</v>
      </c>
      <c r="H826" s="55" t="s">
        <v>177</v>
      </c>
      <c r="I826" s="15" t="s">
        <v>178</v>
      </c>
    </row>
    <row r="827" spans="1:9" ht="51.75" customHeight="1" x14ac:dyDescent="0.35">
      <c r="A827" s="15">
        <v>3</v>
      </c>
      <c r="B827" s="15" t="s">
        <v>24155</v>
      </c>
      <c r="C827" s="15" t="s">
        <v>24156</v>
      </c>
      <c r="D827" s="31">
        <v>39665</v>
      </c>
      <c r="E827" s="15" t="s">
        <v>24157</v>
      </c>
      <c r="F827" s="87"/>
      <c r="G827" s="45" t="s">
        <v>176</v>
      </c>
      <c r="H827" s="55" t="s">
        <v>177</v>
      </c>
      <c r="I827" s="15" t="s">
        <v>178</v>
      </c>
    </row>
    <row r="828" spans="1:9" ht="51.75" customHeight="1" x14ac:dyDescent="0.35">
      <c r="A828" s="15">
        <v>4</v>
      </c>
      <c r="B828" s="15" t="s">
        <v>24158</v>
      </c>
      <c r="C828" s="15" t="s">
        <v>24159</v>
      </c>
      <c r="D828" s="31">
        <v>39665</v>
      </c>
      <c r="E828" s="15" t="s">
        <v>24160</v>
      </c>
      <c r="F828" s="87"/>
      <c r="G828" s="45" t="s">
        <v>176</v>
      </c>
      <c r="H828" s="55" t="s">
        <v>177</v>
      </c>
      <c r="I828" s="15" t="s">
        <v>178</v>
      </c>
    </row>
    <row r="829" spans="1:9" ht="51.75" customHeight="1" x14ac:dyDescent="0.35">
      <c r="A829" s="15">
        <v>5</v>
      </c>
      <c r="B829" s="15" t="s">
        <v>24161</v>
      </c>
      <c r="C829" s="15" t="s">
        <v>24162</v>
      </c>
      <c r="D829" s="31">
        <v>39665</v>
      </c>
      <c r="E829" s="15" t="s">
        <v>24163</v>
      </c>
      <c r="F829" s="87"/>
      <c r="G829" s="45" t="s">
        <v>176</v>
      </c>
      <c r="H829" s="55" t="s">
        <v>177</v>
      </c>
      <c r="I829" s="15" t="s">
        <v>178</v>
      </c>
    </row>
    <row r="830" spans="1:9" ht="51.75" customHeight="1" x14ac:dyDescent="0.35">
      <c r="A830" s="15">
        <v>6</v>
      </c>
      <c r="B830" s="15" t="s">
        <v>24164</v>
      </c>
      <c r="C830" s="15" t="s">
        <v>24165</v>
      </c>
      <c r="D830" s="31">
        <v>39665</v>
      </c>
      <c r="E830" s="15" t="s">
        <v>24166</v>
      </c>
      <c r="F830" s="87"/>
      <c r="G830" s="45" t="s">
        <v>176</v>
      </c>
      <c r="H830" s="55" t="s">
        <v>177</v>
      </c>
      <c r="I830" s="15" t="s">
        <v>178</v>
      </c>
    </row>
    <row r="831" spans="1:9" ht="51.75" customHeight="1" x14ac:dyDescent="0.35">
      <c r="A831" s="15">
        <v>1</v>
      </c>
      <c r="B831" s="15" t="s">
        <v>24167</v>
      </c>
      <c r="C831" s="15" t="s">
        <v>24168</v>
      </c>
      <c r="D831" s="31">
        <v>39947</v>
      </c>
      <c r="E831" s="15" t="s">
        <v>24168</v>
      </c>
      <c r="F831" s="87"/>
      <c r="G831" s="45" t="s">
        <v>1151</v>
      </c>
      <c r="H831" s="55" t="s">
        <v>1152</v>
      </c>
      <c r="I831" s="15" t="s">
        <v>178</v>
      </c>
    </row>
    <row r="832" spans="1:9" ht="51.75" customHeight="1" x14ac:dyDescent="0.35">
      <c r="A832" s="15">
        <v>2</v>
      </c>
      <c r="B832" s="15" t="s">
        <v>24169</v>
      </c>
      <c r="C832" s="15" t="s">
        <v>24170</v>
      </c>
      <c r="D832" s="31">
        <v>39947</v>
      </c>
      <c r="E832" s="15" t="s">
        <v>24170</v>
      </c>
      <c r="F832" s="87"/>
      <c r="G832" s="45" t="s">
        <v>1151</v>
      </c>
      <c r="H832" s="55" t="s">
        <v>1152</v>
      </c>
      <c r="I832" s="15" t="s">
        <v>178</v>
      </c>
    </row>
    <row r="833" spans="1:9" ht="51.75" customHeight="1" x14ac:dyDescent="0.35">
      <c r="A833" s="15" t="s">
        <v>22011</v>
      </c>
      <c r="B833" s="15" t="s">
        <v>24171</v>
      </c>
      <c r="C833" s="15" t="s">
        <v>24172</v>
      </c>
      <c r="D833" s="31">
        <v>41156</v>
      </c>
      <c r="E833" s="15" t="s">
        <v>24173</v>
      </c>
      <c r="F833" s="87" t="s">
        <v>23710</v>
      </c>
      <c r="G833" s="45" t="s">
        <v>7074</v>
      </c>
      <c r="H833" s="55" t="s">
        <v>7075</v>
      </c>
      <c r="I833" s="15" t="s">
        <v>178</v>
      </c>
    </row>
    <row r="834" spans="1:9" ht="51.75" customHeight="1" x14ac:dyDescent="0.35">
      <c r="A834" s="15" t="s">
        <v>22011</v>
      </c>
      <c r="B834" s="15" t="s">
        <v>24174</v>
      </c>
      <c r="C834" s="15" t="s">
        <v>24172</v>
      </c>
      <c r="D834" s="31">
        <v>41156</v>
      </c>
      <c r="E834" s="15" t="s">
        <v>24175</v>
      </c>
      <c r="F834" s="87" t="s">
        <v>21871</v>
      </c>
      <c r="G834" s="45" t="s">
        <v>7074</v>
      </c>
      <c r="H834" s="55" t="s">
        <v>7075</v>
      </c>
      <c r="I834" s="15" t="s">
        <v>178</v>
      </c>
    </row>
    <row r="835" spans="1:9" ht="51.75" customHeight="1" x14ac:dyDescent="0.35">
      <c r="A835" s="15" t="s">
        <v>24176</v>
      </c>
      <c r="B835" s="15" t="s">
        <v>24177</v>
      </c>
      <c r="C835" s="15" t="s">
        <v>24178</v>
      </c>
      <c r="D835" s="31">
        <v>41156</v>
      </c>
      <c r="E835" s="15" t="s">
        <v>24179</v>
      </c>
      <c r="F835" s="87" t="s">
        <v>23710</v>
      </c>
      <c r="G835" s="45" t="s">
        <v>7074</v>
      </c>
      <c r="H835" s="55" t="s">
        <v>7075</v>
      </c>
      <c r="I835" s="15" t="s">
        <v>178</v>
      </c>
    </row>
    <row r="836" spans="1:9" ht="51.75" customHeight="1" x14ac:dyDescent="0.35">
      <c r="A836" s="15" t="s">
        <v>24176</v>
      </c>
      <c r="B836" s="15" t="s">
        <v>24180</v>
      </c>
      <c r="C836" s="15" t="s">
        <v>24178</v>
      </c>
      <c r="D836" s="31">
        <v>41156</v>
      </c>
      <c r="E836" s="15" t="s">
        <v>24181</v>
      </c>
      <c r="F836" s="87" t="s">
        <v>21871</v>
      </c>
      <c r="G836" s="45" t="s">
        <v>7074</v>
      </c>
      <c r="H836" s="55" t="s">
        <v>7075</v>
      </c>
      <c r="I836" s="15" t="s">
        <v>178</v>
      </c>
    </row>
    <row r="837" spans="1:9" ht="51.75" customHeight="1" x14ac:dyDescent="0.35">
      <c r="A837" s="15" t="s">
        <v>23923</v>
      </c>
      <c r="B837" s="15" t="s">
        <v>24182</v>
      </c>
      <c r="C837" s="15" t="s">
        <v>21892</v>
      </c>
      <c r="D837" s="31">
        <v>41088</v>
      </c>
      <c r="E837" s="15" t="s">
        <v>24183</v>
      </c>
      <c r="F837" s="87" t="s">
        <v>23710</v>
      </c>
      <c r="G837" s="45" t="s">
        <v>6862</v>
      </c>
      <c r="H837" s="55" t="s">
        <v>6863</v>
      </c>
      <c r="I837" s="15" t="s">
        <v>178</v>
      </c>
    </row>
    <row r="838" spans="1:9" ht="51.75" customHeight="1" x14ac:dyDescent="0.35">
      <c r="A838" s="15" t="s">
        <v>23923</v>
      </c>
      <c r="B838" s="15" t="s">
        <v>24184</v>
      </c>
      <c r="C838" s="15" t="s">
        <v>21892</v>
      </c>
      <c r="D838" s="31">
        <v>41088</v>
      </c>
      <c r="E838" s="15" t="s">
        <v>24185</v>
      </c>
      <c r="F838" s="87" t="s">
        <v>21871</v>
      </c>
      <c r="G838" s="45" t="s">
        <v>6862</v>
      </c>
      <c r="H838" s="55" t="s">
        <v>6863</v>
      </c>
      <c r="I838" s="15" t="s">
        <v>178</v>
      </c>
    </row>
    <row r="839" spans="1:9" ht="51.75" customHeight="1" x14ac:dyDescent="0.35">
      <c r="A839" s="15" t="s">
        <v>24186</v>
      </c>
      <c r="B839" s="15" t="s">
        <v>24187</v>
      </c>
      <c r="C839" s="15" t="s">
        <v>21896</v>
      </c>
      <c r="D839" s="31">
        <v>41088</v>
      </c>
      <c r="E839" s="15" t="s">
        <v>24188</v>
      </c>
      <c r="F839" s="87" t="s">
        <v>23710</v>
      </c>
      <c r="G839" s="45" t="s">
        <v>6862</v>
      </c>
      <c r="H839" s="55" t="s">
        <v>6863</v>
      </c>
      <c r="I839" s="15" t="s">
        <v>178</v>
      </c>
    </row>
    <row r="840" spans="1:9" ht="51.75" customHeight="1" x14ac:dyDescent="0.35">
      <c r="A840" s="15" t="s">
        <v>24186</v>
      </c>
      <c r="B840" s="15" t="s">
        <v>24189</v>
      </c>
      <c r="C840" s="15" t="s">
        <v>21896</v>
      </c>
      <c r="D840" s="31">
        <v>41088</v>
      </c>
      <c r="E840" s="15" t="s">
        <v>24190</v>
      </c>
      <c r="F840" s="87" t="s">
        <v>21871</v>
      </c>
      <c r="G840" s="45" t="s">
        <v>6862</v>
      </c>
      <c r="H840" s="55" t="s">
        <v>6863</v>
      </c>
      <c r="I840" s="15" t="s">
        <v>178</v>
      </c>
    </row>
    <row r="841" spans="1:9" ht="51.75" customHeight="1" x14ac:dyDescent="0.35">
      <c r="A841" s="15" t="s">
        <v>24191</v>
      </c>
      <c r="B841" s="15" t="s">
        <v>24192</v>
      </c>
      <c r="C841" s="15" t="s">
        <v>24193</v>
      </c>
      <c r="D841" s="31">
        <v>41088</v>
      </c>
      <c r="E841" s="15" t="s">
        <v>24194</v>
      </c>
      <c r="F841" s="87" t="s">
        <v>23710</v>
      </c>
      <c r="G841" s="45" t="s">
        <v>6862</v>
      </c>
      <c r="H841" s="55" t="s">
        <v>6863</v>
      </c>
      <c r="I841" s="15" t="s">
        <v>178</v>
      </c>
    </row>
    <row r="842" spans="1:9" ht="51.75" customHeight="1" x14ac:dyDescent="0.35">
      <c r="A842" s="15" t="s">
        <v>24191</v>
      </c>
      <c r="B842" s="15" t="s">
        <v>24195</v>
      </c>
      <c r="C842" s="15" t="s">
        <v>24193</v>
      </c>
      <c r="D842" s="31">
        <v>41088</v>
      </c>
      <c r="E842" s="15" t="s">
        <v>24196</v>
      </c>
      <c r="F842" s="87" t="s">
        <v>21871</v>
      </c>
      <c r="G842" s="45" t="s">
        <v>6862</v>
      </c>
      <c r="H842" s="55" t="s">
        <v>6863</v>
      </c>
      <c r="I842" s="15" t="s">
        <v>178</v>
      </c>
    </row>
    <row r="843" spans="1:9" ht="51.75" customHeight="1" x14ac:dyDescent="0.35">
      <c r="A843" s="15" t="s">
        <v>24197</v>
      </c>
      <c r="B843" s="15" t="s">
        <v>24198</v>
      </c>
      <c r="C843" s="15" t="s">
        <v>24199</v>
      </c>
      <c r="D843" s="31">
        <v>41088</v>
      </c>
      <c r="E843" s="15" t="s">
        <v>24200</v>
      </c>
      <c r="F843" s="87" t="s">
        <v>23710</v>
      </c>
      <c r="G843" s="45" t="s">
        <v>6862</v>
      </c>
      <c r="H843" s="55" t="s">
        <v>6863</v>
      </c>
      <c r="I843" s="15" t="s">
        <v>178</v>
      </c>
    </row>
    <row r="844" spans="1:9" ht="51.75" customHeight="1" x14ac:dyDescent="0.35">
      <c r="A844" s="15" t="s">
        <v>24197</v>
      </c>
      <c r="B844" s="15" t="s">
        <v>24201</v>
      </c>
      <c r="C844" s="15" t="s">
        <v>24199</v>
      </c>
      <c r="D844" s="31">
        <v>41088</v>
      </c>
      <c r="E844" s="15" t="s">
        <v>24202</v>
      </c>
      <c r="F844" s="87" t="s">
        <v>21871</v>
      </c>
      <c r="G844" s="45" t="s">
        <v>6862</v>
      </c>
      <c r="H844" s="55" t="s">
        <v>6863</v>
      </c>
      <c r="I844" s="15" t="s">
        <v>178</v>
      </c>
    </row>
    <row r="845" spans="1:9" ht="51.75" customHeight="1" x14ac:dyDescent="0.35">
      <c r="A845" s="15" t="s">
        <v>24203</v>
      </c>
      <c r="B845" s="15" t="s">
        <v>24204</v>
      </c>
      <c r="C845" s="15" t="s">
        <v>24205</v>
      </c>
      <c r="D845" s="31">
        <v>41088</v>
      </c>
      <c r="E845" s="15" t="s">
        <v>24206</v>
      </c>
      <c r="F845" s="87" t="s">
        <v>23710</v>
      </c>
      <c r="G845" s="45" t="s">
        <v>6862</v>
      </c>
      <c r="H845" s="55" t="s">
        <v>6863</v>
      </c>
      <c r="I845" s="15" t="s">
        <v>178</v>
      </c>
    </row>
    <row r="846" spans="1:9" ht="51.75" customHeight="1" x14ac:dyDescent="0.35">
      <c r="A846" s="15" t="s">
        <v>24203</v>
      </c>
      <c r="B846" s="15" t="s">
        <v>24207</v>
      </c>
      <c r="C846" s="15" t="s">
        <v>24205</v>
      </c>
      <c r="D846" s="31">
        <v>41088</v>
      </c>
      <c r="E846" s="15" t="s">
        <v>24208</v>
      </c>
      <c r="F846" s="87" t="s">
        <v>21871</v>
      </c>
      <c r="G846" s="45" t="s">
        <v>6862</v>
      </c>
      <c r="H846" s="55" t="s">
        <v>6863</v>
      </c>
      <c r="I846" s="15" t="s">
        <v>178</v>
      </c>
    </row>
    <row r="847" spans="1:9" ht="51.75" customHeight="1" x14ac:dyDescent="0.35">
      <c r="A847" s="15" t="s">
        <v>24209</v>
      </c>
      <c r="B847" s="15" t="s">
        <v>24210</v>
      </c>
      <c r="C847" s="15" t="s">
        <v>24211</v>
      </c>
      <c r="D847" s="31">
        <v>40938</v>
      </c>
      <c r="E847" s="15" t="s">
        <v>24212</v>
      </c>
      <c r="F847" s="87" t="s">
        <v>23710</v>
      </c>
      <c r="G847" s="45" t="s">
        <v>6683</v>
      </c>
      <c r="H847" s="55" t="s">
        <v>6684</v>
      </c>
      <c r="I847" s="15" t="s">
        <v>178</v>
      </c>
    </row>
    <row r="848" spans="1:9" ht="51.75" customHeight="1" x14ac:dyDescent="0.35">
      <c r="A848" s="15" t="s">
        <v>24209</v>
      </c>
      <c r="B848" s="15" t="s">
        <v>24213</v>
      </c>
      <c r="C848" s="15" t="s">
        <v>24211</v>
      </c>
      <c r="D848" s="31">
        <v>40938</v>
      </c>
      <c r="E848" s="15" t="s">
        <v>24214</v>
      </c>
      <c r="F848" s="87" t="s">
        <v>21871</v>
      </c>
      <c r="G848" s="45" t="s">
        <v>6683</v>
      </c>
      <c r="H848" s="55" t="s">
        <v>6684</v>
      </c>
      <c r="I848" s="15" t="s">
        <v>178</v>
      </c>
    </row>
    <row r="849" spans="1:9" ht="51.75" customHeight="1" x14ac:dyDescent="0.35">
      <c r="A849" s="15" t="s">
        <v>24215</v>
      </c>
      <c r="B849" s="15" t="s">
        <v>24216</v>
      </c>
      <c r="C849" s="15" t="s">
        <v>21892</v>
      </c>
      <c r="D849" s="31">
        <v>40899</v>
      </c>
      <c r="E849" s="15" t="s">
        <v>24217</v>
      </c>
      <c r="F849" s="87" t="s">
        <v>23710</v>
      </c>
      <c r="G849" s="45" t="s">
        <v>6620</v>
      </c>
      <c r="H849" s="55" t="s">
        <v>6621</v>
      </c>
      <c r="I849" s="15" t="s">
        <v>178</v>
      </c>
    </row>
    <row r="850" spans="1:9" ht="51.75" customHeight="1" x14ac:dyDescent="0.35">
      <c r="A850" s="15" t="s">
        <v>24215</v>
      </c>
      <c r="B850" s="15" t="s">
        <v>24218</v>
      </c>
      <c r="C850" s="15" t="s">
        <v>21892</v>
      </c>
      <c r="D850" s="31">
        <v>40899</v>
      </c>
      <c r="E850" s="15" t="s">
        <v>24219</v>
      </c>
      <c r="F850" s="87" t="s">
        <v>21871</v>
      </c>
      <c r="G850" s="45" t="s">
        <v>6620</v>
      </c>
      <c r="H850" s="55" t="s">
        <v>6621</v>
      </c>
      <c r="I850" s="15" t="s">
        <v>178</v>
      </c>
    </row>
    <row r="851" spans="1:9" ht="51.75" customHeight="1" x14ac:dyDescent="0.35">
      <c r="A851" s="15" t="s">
        <v>23271</v>
      </c>
      <c r="B851" s="15" t="s">
        <v>24220</v>
      </c>
      <c r="C851" s="15" t="s">
        <v>21896</v>
      </c>
      <c r="D851" s="31">
        <v>40899</v>
      </c>
      <c r="E851" s="15" t="s">
        <v>24221</v>
      </c>
      <c r="F851" s="87" t="s">
        <v>23710</v>
      </c>
      <c r="G851" s="45" t="s">
        <v>6620</v>
      </c>
      <c r="H851" s="55" t="s">
        <v>6621</v>
      </c>
      <c r="I851" s="15" t="s">
        <v>178</v>
      </c>
    </row>
    <row r="852" spans="1:9" ht="51.75" customHeight="1" x14ac:dyDescent="0.35">
      <c r="A852" s="15" t="s">
        <v>23271</v>
      </c>
      <c r="B852" s="15" t="s">
        <v>24222</v>
      </c>
      <c r="C852" s="15" t="s">
        <v>21896</v>
      </c>
      <c r="D852" s="31">
        <v>40899</v>
      </c>
      <c r="E852" s="15" t="s">
        <v>24223</v>
      </c>
      <c r="F852" s="87" t="s">
        <v>21871</v>
      </c>
      <c r="G852" s="45" t="s">
        <v>6620</v>
      </c>
      <c r="H852" s="55" t="s">
        <v>6621</v>
      </c>
      <c r="I852" s="15" t="s">
        <v>178</v>
      </c>
    </row>
    <row r="853" spans="1:9" ht="51.75" customHeight="1" x14ac:dyDescent="0.35">
      <c r="A853" s="15" t="s">
        <v>24224</v>
      </c>
      <c r="B853" s="15" t="s">
        <v>24225</v>
      </c>
      <c r="C853" s="15" t="s">
        <v>21892</v>
      </c>
      <c r="D853" s="31">
        <v>40960</v>
      </c>
      <c r="E853" s="15" t="s">
        <v>24226</v>
      </c>
      <c r="F853" s="87" t="s">
        <v>23710</v>
      </c>
      <c r="G853" s="45" t="s">
        <v>6208</v>
      </c>
      <c r="H853" s="55" t="s">
        <v>6209</v>
      </c>
      <c r="I853" s="15" t="s">
        <v>178</v>
      </c>
    </row>
    <row r="854" spans="1:9" ht="51.75" customHeight="1" x14ac:dyDescent="0.35">
      <c r="A854" s="15" t="s">
        <v>24224</v>
      </c>
      <c r="B854" s="15" t="s">
        <v>24227</v>
      </c>
      <c r="C854" s="15" t="s">
        <v>21892</v>
      </c>
      <c r="D854" s="31">
        <v>40960</v>
      </c>
      <c r="E854" s="15" t="s">
        <v>24228</v>
      </c>
      <c r="F854" s="87" t="s">
        <v>21871</v>
      </c>
      <c r="G854" s="45" t="s">
        <v>6208</v>
      </c>
      <c r="H854" s="55" t="s">
        <v>6209</v>
      </c>
      <c r="I854" s="15" t="s">
        <v>178</v>
      </c>
    </row>
    <row r="855" spans="1:9" ht="51.75" customHeight="1" x14ac:dyDescent="0.35">
      <c r="A855" s="15" t="s">
        <v>24229</v>
      </c>
      <c r="B855" s="15" t="s">
        <v>24230</v>
      </c>
      <c r="C855" s="15" t="s">
        <v>21896</v>
      </c>
      <c r="D855" s="31">
        <v>40960</v>
      </c>
      <c r="E855" s="15" t="s">
        <v>24231</v>
      </c>
      <c r="F855" s="87" t="s">
        <v>23710</v>
      </c>
      <c r="G855" s="45" t="s">
        <v>6208</v>
      </c>
      <c r="H855" s="55" t="s">
        <v>6209</v>
      </c>
      <c r="I855" s="15" t="s">
        <v>178</v>
      </c>
    </row>
    <row r="856" spans="1:9" ht="51.75" customHeight="1" x14ac:dyDescent="0.35">
      <c r="A856" s="15" t="s">
        <v>24229</v>
      </c>
      <c r="B856" s="15" t="s">
        <v>24232</v>
      </c>
      <c r="C856" s="15" t="s">
        <v>21896</v>
      </c>
      <c r="D856" s="31">
        <v>40960</v>
      </c>
      <c r="E856" s="15" t="s">
        <v>24233</v>
      </c>
      <c r="F856" s="87" t="s">
        <v>21871</v>
      </c>
      <c r="G856" s="45" t="s">
        <v>6208</v>
      </c>
      <c r="H856" s="55" t="s">
        <v>6209</v>
      </c>
      <c r="I856" s="15" t="s">
        <v>178</v>
      </c>
    </row>
    <row r="857" spans="1:9" ht="51.75" customHeight="1" x14ac:dyDescent="0.35">
      <c r="A857" s="15" t="s">
        <v>22945</v>
      </c>
      <c r="B857" s="15" t="s">
        <v>24234</v>
      </c>
      <c r="C857" s="15" t="s">
        <v>21892</v>
      </c>
      <c r="D857" s="31">
        <v>41079</v>
      </c>
      <c r="E857" s="15" t="s">
        <v>24235</v>
      </c>
      <c r="F857" s="87" t="s">
        <v>23710</v>
      </c>
      <c r="G857" s="45" t="s">
        <v>6203</v>
      </c>
      <c r="H857" s="55" t="s">
        <v>6204</v>
      </c>
      <c r="I857" s="15" t="s">
        <v>178</v>
      </c>
    </row>
    <row r="858" spans="1:9" ht="51.75" customHeight="1" x14ac:dyDescent="0.35">
      <c r="A858" s="15" t="s">
        <v>22945</v>
      </c>
      <c r="B858" s="15" t="s">
        <v>24236</v>
      </c>
      <c r="C858" s="15" t="s">
        <v>21892</v>
      </c>
      <c r="D858" s="31">
        <v>41079</v>
      </c>
      <c r="E858" s="15" t="s">
        <v>24237</v>
      </c>
      <c r="F858" s="87" t="s">
        <v>21871</v>
      </c>
      <c r="G858" s="45" t="s">
        <v>6203</v>
      </c>
      <c r="H858" s="55" t="s">
        <v>6204</v>
      </c>
      <c r="I858" s="15" t="s">
        <v>178</v>
      </c>
    </row>
    <row r="859" spans="1:9" ht="51.75" customHeight="1" x14ac:dyDescent="0.35">
      <c r="A859" s="15" t="s">
        <v>23234</v>
      </c>
      <c r="B859" s="15" t="s">
        <v>24238</v>
      </c>
      <c r="C859" s="15" t="s">
        <v>21896</v>
      </c>
      <c r="D859" s="31">
        <v>41079</v>
      </c>
      <c r="E859" s="15" t="s">
        <v>24239</v>
      </c>
      <c r="F859" s="87" t="s">
        <v>23710</v>
      </c>
      <c r="G859" s="45" t="s">
        <v>6203</v>
      </c>
      <c r="H859" s="55" t="s">
        <v>6204</v>
      </c>
      <c r="I859" s="15" t="s">
        <v>178</v>
      </c>
    </row>
    <row r="860" spans="1:9" ht="51.75" customHeight="1" x14ac:dyDescent="0.35">
      <c r="A860" s="15" t="s">
        <v>23234</v>
      </c>
      <c r="B860" s="15" t="s">
        <v>24240</v>
      </c>
      <c r="C860" s="15" t="s">
        <v>21896</v>
      </c>
      <c r="D860" s="31">
        <v>41079</v>
      </c>
      <c r="E860" s="15" t="s">
        <v>24241</v>
      </c>
      <c r="F860" s="87" t="s">
        <v>21871</v>
      </c>
      <c r="G860" s="45" t="s">
        <v>6203</v>
      </c>
      <c r="H860" s="55" t="s">
        <v>6204</v>
      </c>
      <c r="I860" s="15" t="s">
        <v>178</v>
      </c>
    </row>
    <row r="861" spans="1:9" ht="51.75" customHeight="1" x14ac:dyDescent="0.35">
      <c r="A861" s="15" t="s">
        <v>23289</v>
      </c>
      <c r="B861" s="15" t="s">
        <v>24242</v>
      </c>
      <c r="C861" s="15" t="s">
        <v>24243</v>
      </c>
      <c r="D861" s="31">
        <v>41079</v>
      </c>
      <c r="E861" s="15" t="s">
        <v>24244</v>
      </c>
      <c r="F861" s="87" t="s">
        <v>23710</v>
      </c>
      <c r="G861" s="45" t="s">
        <v>6203</v>
      </c>
      <c r="H861" s="55" t="s">
        <v>6204</v>
      </c>
      <c r="I861" s="15" t="s">
        <v>178</v>
      </c>
    </row>
    <row r="862" spans="1:9" ht="51.75" customHeight="1" x14ac:dyDescent="0.35">
      <c r="A862" s="15" t="s">
        <v>23289</v>
      </c>
      <c r="B862" s="15" t="s">
        <v>24245</v>
      </c>
      <c r="C862" s="15" t="s">
        <v>24243</v>
      </c>
      <c r="D862" s="31">
        <v>41079</v>
      </c>
      <c r="E862" s="15" t="s">
        <v>24246</v>
      </c>
      <c r="F862" s="87" t="s">
        <v>21871</v>
      </c>
      <c r="G862" s="45" t="s">
        <v>6203</v>
      </c>
      <c r="H862" s="55" t="s">
        <v>6204</v>
      </c>
      <c r="I862" s="15" t="s">
        <v>178</v>
      </c>
    </row>
    <row r="863" spans="1:9" ht="51.75" customHeight="1" x14ac:dyDescent="0.35">
      <c r="A863" s="15" t="s">
        <v>22015</v>
      </c>
      <c r="B863" s="15" t="s">
        <v>24247</v>
      </c>
      <c r="C863" s="15" t="s">
        <v>24199</v>
      </c>
      <c r="D863" s="31">
        <v>41079</v>
      </c>
      <c r="E863" s="15" t="s">
        <v>24248</v>
      </c>
      <c r="F863" s="87" t="s">
        <v>23710</v>
      </c>
      <c r="G863" s="45" t="s">
        <v>6203</v>
      </c>
      <c r="H863" s="55" t="s">
        <v>6204</v>
      </c>
      <c r="I863" s="15" t="s">
        <v>178</v>
      </c>
    </row>
    <row r="864" spans="1:9" ht="51.75" customHeight="1" x14ac:dyDescent="0.35">
      <c r="A864" s="15" t="s">
        <v>22015</v>
      </c>
      <c r="B864" s="15" t="s">
        <v>24249</v>
      </c>
      <c r="C864" s="15" t="s">
        <v>24199</v>
      </c>
      <c r="D864" s="31">
        <v>41079</v>
      </c>
      <c r="E864" s="15" t="s">
        <v>24250</v>
      </c>
      <c r="F864" s="87" t="s">
        <v>21871</v>
      </c>
      <c r="G864" s="45" t="s">
        <v>6203</v>
      </c>
      <c r="H864" s="55" t="s">
        <v>6204</v>
      </c>
      <c r="I864" s="15" t="s">
        <v>178</v>
      </c>
    </row>
    <row r="865" spans="1:9" ht="51.75" customHeight="1" x14ac:dyDescent="0.35">
      <c r="A865" s="15" t="s">
        <v>22213</v>
      </c>
      <c r="B865" s="15" t="s">
        <v>24251</v>
      </c>
      <c r="C865" s="15" t="s">
        <v>24205</v>
      </c>
      <c r="D865" s="31">
        <v>41079</v>
      </c>
      <c r="E865" s="15" t="s">
        <v>24252</v>
      </c>
      <c r="F865" s="87" t="s">
        <v>23710</v>
      </c>
      <c r="G865" s="45" t="s">
        <v>6203</v>
      </c>
      <c r="H865" s="55" t="s">
        <v>6204</v>
      </c>
      <c r="I865" s="15" t="s">
        <v>178</v>
      </c>
    </row>
    <row r="866" spans="1:9" ht="51.75" customHeight="1" x14ac:dyDescent="0.35">
      <c r="A866" s="15" t="s">
        <v>22213</v>
      </c>
      <c r="B866" s="15" t="s">
        <v>24253</v>
      </c>
      <c r="C866" s="15" t="s">
        <v>24205</v>
      </c>
      <c r="D866" s="31">
        <v>41079</v>
      </c>
      <c r="E866" s="15" t="s">
        <v>24254</v>
      </c>
      <c r="F866" s="87" t="s">
        <v>21871</v>
      </c>
      <c r="G866" s="45" t="s">
        <v>6203</v>
      </c>
      <c r="H866" s="55" t="s">
        <v>6204</v>
      </c>
      <c r="I866" s="15" t="s">
        <v>178</v>
      </c>
    </row>
    <row r="867" spans="1:9" ht="51.75" customHeight="1" x14ac:dyDescent="0.35">
      <c r="A867" s="15" t="s">
        <v>24255</v>
      </c>
      <c r="B867" s="15" t="s">
        <v>24256</v>
      </c>
      <c r="C867" s="15" t="s">
        <v>24257</v>
      </c>
      <c r="D867" s="31">
        <v>41079</v>
      </c>
      <c r="E867" s="15" t="s">
        <v>24258</v>
      </c>
      <c r="F867" s="87" t="s">
        <v>23710</v>
      </c>
      <c r="G867" s="45" t="s">
        <v>6203</v>
      </c>
      <c r="H867" s="55" t="s">
        <v>6204</v>
      </c>
      <c r="I867" s="15" t="s">
        <v>178</v>
      </c>
    </row>
    <row r="868" spans="1:9" ht="51.75" customHeight="1" x14ac:dyDescent="0.35">
      <c r="A868" s="15" t="s">
        <v>24255</v>
      </c>
      <c r="B868" s="15" t="s">
        <v>24259</v>
      </c>
      <c r="C868" s="15" t="s">
        <v>24257</v>
      </c>
      <c r="D868" s="31">
        <v>41079</v>
      </c>
      <c r="E868" s="15" t="s">
        <v>24260</v>
      </c>
      <c r="F868" s="87" t="s">
        <v>21871</v>
      </c>
      <c r="G868" s="45" t="s">
        <v>6203</v>
      </c>
      <c r="H868" s="55" t="s">
        <v>6204</v>
      </c>
      <c r="I868" s="15" t="s">
        <v>178</v>
      </c>
    </row>
    <row r="869" spans="1:9" ht="51.75" customHeight="1" x14ac:dyDescent="0.35">
      <c r="A869" s="15" t="s">
        <v>24261</v>
      </c>
      <c r="B869" s="15" t="s">
        <v>24262</v>
      </c>
      <c r="C869" s="15" t="s">
        <v>24263</v>
      </c>
      <c r="D869" s="31">
        <v>41079</v>
      </c>
      <c r="E869" s="15" t="s">
        <v>24264</v>
      </c>
      <c r="F869" s="87" t="s">
        <v>23710</v>
      </c>
      <c r="G869" s="45" t="s">
        <v>6203</v>
      </c>
      <c r="H869" s="55" t="s">
        <v>6204</v>
      </c>
      <c r="I869" s="15" t="s">
        <v>178</v>
      </c>
    </row>
    <row r="870" spans="1:9" ht="51.75" customHeight="1" x14ac:dyDescent="0.35">
      <c r="A870" s="15" t="s">
        <v>24261</v>
      </c>
      <c r="B870" s="15" t="s">
        <v>24265</v>
      </c>
      <c r="C870" s="15" t="s">
        <v>24263</v>
      </c>
      <c r="D870" s="31">
        <v>41079</v>
      </c>
      <c r="E870" s="15" t="s">
        <v>24266</v>
      </c>
      <c r="F870" s="87" t="s">
        <v>21871</v>
      </c>
      <c r="G870" s="45" t="s">
        <v>6203</v>
      </c>
      <c r="H870" s="55" t="s">
        <v>6204</v>
      </c>
      <c r="I870" s="15" t="s">
        <v>178</v>
      </c>
    </row>
    <row r="871" spans="1:9" ht="51.75" customHeight="1" x14ac:dyDescent="0.35">
      <c r="A871" s="15" t="s">
        <v>24209</v>
      </c>
      <c r="B871" s="15" t="s">
        <v>24267</v>
      </c>
      <c r="C871" s="15" t="s">
        <v>21892</v>
      </c>
      <c r="D871" s="31">
        <v>40960</v>
      </c>
      <c r="E871" s="15" t="s">
        <v>24268</v>
      </c>
      <c r="F871" s="87" t="s">
        <v>23710</v>
      </c>
      <c r="G871" s="45" t="s">
        <v>6176</v>
      </c>
      <c r="H871" s="55" t="s">
        <v>6177</v>
      </c>
      <c r="I871" s="15" t="s">
        <v>178</v>
      </c>
    </row>
    <row r="872" spans="1:9" ht="51.75" customHeight="1" x14ac:dyDescent="0.35">
      <c r="A872" s="15" t="s">
        <v>24209</v>
      </c>
      <c r="B872" s="15" t="s">
        <v>24269</v>
      </c>
      <c r="C872" s="15" t="s">
        <v>21892</v>
      </c>
      <c r="D872" s="31">
        <v>40960</v>
      </c>
      <c r="E872" s="15" t="s">
        <v>24270</v>
      </c>
      <c r="F872" s="87" t="s">
        <v>21871</v>
      </c>
      <c r="G872" s="45" t="s">
        <v>6176</v>
      </c>
      <c r="H872" s="55" t="s">
        <v>6177</v>
      </c>
      <c r="I872" s="15" t="s">
        <v>178</v>
      </c>
    </row>
    <row r="873" spans="1:9" ht="51.75" customHeight="1" x14ac:dyDescent="0.35">
      <c r="A873" s="15" t="s">
        <v>24271</v>
      </c>
      <c r="B873" s="15" t="s">
        <v>24272</v>
      </c>
      <c r="C873" s="15" t="s">
        <v>21896</v>
      </c>
      <c r="D873" s="31">
        <v>40960</v>
      </c>
      <c r="E873" s="15" t="s">
        <v>24273</v>
      </c>
      <c r="F873" s="87" t="s">
        <v>23710</v>
      </c>
      <c r="G873" s="45" t="s">
        <v>6176</v>
      </c>
      <c r="H873" s="55" t="s">
        <v>6177</v>
      </c>
      <c r="I873" s="15" t="s">
        <v>178</v>
      </c>
    </row>
    <row r="874" spans="1:9" ht="51.75" customHeight="1" x14ac:dyDescent="0.35">
      <c r="A874" s="15" t="s">
        <v>24271</v>
      </c>
      <c r="B874" s="15" t="s">
        <v>24274</v>
      </c>
      <c r="C874" s="15" t="s">
        <v>21896</v>
      </c>
      <c r="D874" s="31">
        <v>40960</v>
      </c>
      <c r="E874" s="15" t="s">
        <v>24275</v>
      </c>
      <c r="F874" s="87" t="s">
        <v>21871</v>
      </c>
      <c r="G874" s="45" t="s">
        <v>6176</v>
      </c>
      <c r="H874" s="55" t="s">
        <v>6177</v>
      </c>
      <c r="I874" s="15" t="s">
        <v>178</v>
      </c>
    </row>
    <row r="875" spans="1:9" ht="51.75" customHeight="1" x14ac:dyDescent="0.35">
      <c r="A875" s="15" t="s">
        <v>24276</v>
      </c>
      <c r="B875" s="15" t="s">
        <v>24277</v>
      </c>
      <c r="C875" s="15" t="s">
        <v>24243</v>
      </c>
      <c r="D875" s="31">
        <v>40960</v>
      </c>
      <c r="E875" s="15" t="s">
        <v>24278</v>
      </c>
      <c r="F875" s="87" t="s">
        <v>23710</v>
      </c>
      <c r="G875" s="45" t="s">
        <v>6176</v>
      </c>
      <c r="H875" s="55" t="s">
        <v>6177</v>
      </c>
      <c r="I875" s="15" t="s">
        <v>178</v>
      </c>
    </row>
    <row r="876" spans="1:9" ht="51.75" customHeight="1" x14ac:dyDescent="0.35">
      <c r="A876" s="15" t="s">
        <v>24276</v>
      </c>
      <c r="B876" s="15" t="s">
        <v>24279</v>
      </c>
      <c r="C876" s="15" t="s">
        <v>24243</v>
      </c>
      <c r="D876" s="31">
        <v>40960</v>
      </c>
      <c r="E876" s="15" t="s">
        <v>24280</v>
      </c>
      <c r="F876" s="87" t="s">
        <v>21871</v>
      </c>
      <c r="G876" s="45" t="s">
        <v>6176</v>
      </c>
      <c r="H876" s="55" t="s">
        <v>6177</v>
      </c>
      <c r="I876" s="15" t="s">
        <v>178</v>
      </c>
    </row>
    <row r="877" spans="1:9" ht="51.75" customHeight="1" x14ac:dyDescent="0.35">
      <c r="A877" s="15" t="s">
        <v>24281</v>
      </c>
      <c r="B877" s="15" t="s">
        <v>24282</v>
      </c>
      <c r="C877" s="15" t="s">
        <v>24199</v>
      </c>
      <c r="D877" s="31">
        <v>40960</v>
      </c>
      <c r="E877" s="15" t="s">
        <v>24283</v>
      </c>
      <c r="F877" s="87" t="s">
        <v>23710</v>
      </c>
      <c r="G877" s="45" t="s">
        <v>6176</v>
      </c>
      <c r="H877" s="55" t="s">
        <v>6177</v>
      </c>
      <c r="I877" s="15" t="s">
        <v>178</v>
      </c>
    </row>
    <row r="878" spans="1:9" ht="51.75" customHeight="1" x14ac:dyDescent="0.35">
      <c r="A878" s="15" t="s">
        <v>24281</v>
      </c>
      <c r="B878" s="15" t="s">
        <v>24284</v>
      </c>
      <c r="C878" s="15" t="s">
        <v>24199</v>
      </c>
      <c r="D878" s="31">
        <v>40960</v>
      </c>
      <c r="E878" s="15" t="s">
        <v>24285</v>
      </c>
      <c r="F878" s="87" t="s">
        <v>21871</v>
      </c>
      <c r="G878" s="45" t="s">
        <v>6176</v>
      </c>
      <c r="H878" s="55" t="s">
        <v>6177</v>
      </c>
      <c r="I878" s="15" t="s">
        <v>178</v>
      </c>
    </row>
    <row r="879" spans="1:9" ht="51.75" customHeight="1" x14ac:dyDescent="0.35">
      <c r="A879" s="15" t="s">
        <v>24271</v>
      </c>
      <c r="B879" s="15" t="s">
        <v>24286</v>
      </c>
      <c r="C879" s="15" t="s">
        <v>24287</v>
      </c>
      <c r="D879" s="31">
        <v>40968</v>
      </c>
      <c r="E879" s="15" t="s">
        <v>24288</v>
      </c>
      <c r="F879" s="87" t="s">
        <v>23710</v>
      </c>
      <c r="G879" s="45" t="s">
        <v>6057</v>
      </c>
      <c r="H879" s="55" t="s">
        <v>6058</v>
      </c>
      <c r="I879" s="15" t="s">
        <v>178</v>
      </c>
    </row>
    <row r="880" spans="1:9" ht="51.75" customHeight="1" x14ac:dyDescent="0.35">
      <c r="A880" s="15" t="s">
        <v>24271</v>
      </c>
      <c r="B880" s="15" t="s">
        <v>24289</v>
      </c>
      <c r="C880" s="15" t="s">
        <v>24287</v>
      </c>
      <c r="D880" s="31">
        <v>40968</v>
      </c>
      <c r="E880" s="15" t="s">
        <v>24290</v>
      </c>
      <c r="F880" s="87" t="s">
        <v>21871</v>
      </c>
      <c r="G880" s="45" t="s">
        <v>6057</v>
      </c>
      <c r="H880" s="55" t="s">
        <v>6058</v>
      </c>
      <c r="I880" s="15" t="s">
        <v>178</v>
      </c>
    </row>
    <row r="881" spans="1:9" ht="51.75" customHeight="1" x14ac:dyDescent="0.35">
      <c r="A881" s="15" t="s">
        <v>24276</v>
      </c>
      <c r="B881" s="15" t="s">
        <v>24291</v>
      </c>
      <c r="C881" s="15" t="s">
        <v>24292</v>
      </c>
      <c r="D881" s="31">
        <v>40968</v>
      </c>
      <c r="E881" s="15" t="s">
        <v>24293</v>
      </c>
      <c r="F881" s="87" t="s">
        <v>23710</v>
      </c>
      <c r="G881" s="45" t="s">
        <v>6057</v>
      </c>
      <c r="H881" s="55" t="s">
        <v>6058</v>
      </c>
      <c r="I881" s="15" t="s">
        <v>178</v>
      </c>
    </row>
    <row r="882" spans="1:9" ht="51.75" customHeight="1" x14ac:dyDescent="0.35">
      <c r="A882" s="15" t="s">
        <v>24276</v>
      </c>
      <c r="B882" s="15" t="s">
        <v>24294</v>
      </c>
      <c r="C882" s="15" t="s">
        <v>24292</v>
      </c>
      <c r="D882" s="31">
        <v>40968</v>
      </c>
      <c r="E882" s="15" t="s">
        <v>24295</v>
      </c>
      <c r="F882" s="87" t="s">
        <v>21871</v>
      </c>
      <c r="G882" s="45" t="s">
        <v>6057</v>
      </c>
      <c r="H882" s="55" t="s">
        <v>6058</v>
      </c>
      <c r="I882" s="15" t="s">
        <v>178</v>
      </c>
    </row>
    <row r="883" spans="1:9" ht="51.75" customHeight="1" x14ac:dyDescent="0.35">
      <c r="A883" s="15" t="s">
        <v>24281</v>
      </c>
      <c r="B883" s="15" t="s">
        <v>24296</v>
      </c>
      <c r="C883" s="15" t="s">
        <v>24297</v>
      </c>
      <c r="D883" s="31">
        <v>40968</v>
      </c>
      <c r="E883" s="15" t="s">
        <v>24298</v>
      </c>
      <c r="F883" s="87" t="s">
        <v>23710</v>
      </c>
      <c r="G883" s="45" t="s">
        <v>6057</v>
      </c>
      <c r="H883" s="55" t="s">
        <v>6058</v>
      </c>
      <c r="I883" s="15" t="s">
        <v>178</v>
      </c>
    </row>
    <row r="884" spans="1:9" ht="51.75" customHeight="1" x14ac:dyDescent="0.35">
      <c r="A884" s="15" t="s">
        <v>24281</v>
      </c>
      <c r="B884" s="15" t="s">
        <v>24299</v>
      </c>
      <c r="C884" s="15" t="s">
        <v>24297</v>
      </c>
      <c r="D884" s="31">
        <v>40968</v>
      </c>
      <c r="E884" s="15" t="s">
        <v>24300</v>
      </c>
      <c r="F884" s="87" t="s">
        <v>21871</v>
      </c>
      <c r="G884" s="45" t="s">
        <v>6057</v>
      </c>
      <c r="H884" s="55" t="s">
        <v>6058</v>
      </c>
      <c r="I884" s="15" t="s">
        <v>178</v>
      </c>
    </row>
    <row r="885" spans="1:9" ht="51.75" customHeight="1" x14ac:dyDescent="0.35">
      <c r="A885" s="15" t="s">
        <v>24301</v>
      </c>
      <c r="B885" s="15" t="s">
        <v>24302</v>
      </c>
      <c r="C885" s="15" t="s">
        <v>24303</v>
      </c>
      <c r="D885" s="31">
        <v>40968</v>
      </c>
      <c r="E885" s="15" t="s">
        <v>24304</v>
      </c>
      <c r="F885" s="87" t="s">
        <v>23710</v>
      </c>
      <c r="G885" s="45" t="s">
        <v>6057</v>
      </c>
      <c r="H885" s="55" t="s">
        <v>6058</v>
      </c>
      <c r="I885" s="15" t="s">
        <v>178</v>
      </c>
    </row>
    <row r="886" spans="1:9" ht="51.75" customHeight="1" x14ac:dyDescent="0.35">
      <c r="A886" s="15" t="s">
        <v>24301</v>
      </c>
      <c r="B886" s="15" t="s">
        <v>24305</v>
      </c>
      <c r="C886" s="15" t="s">
        <v>24303</v>
      </c>
      <c r="D886" s="31">
        <v>40968</v>
      </c>
      <c r="E886" s="15" t="s">
        <v>24306</v>
      </c>
      <c r="F886" s="87" t="s">
        <v>21871</v>
      </c>
      <c r="G886" s="45" t="s">
        <v>6057</v>
      </c>
      <c r="H886" s="55" t="s">
        <v>6058</v>
      </c>
      <c r="I886" s="15" t="s">
        <v>178</v>
      </c>
    </row>
    <row r="887" spans="1:9" ht="51.75" customHeight="1" x14ac:dyDescent="0.35">
      <c r="A887" s="15" t="s">
        <v>22039</v>
      </c>
      <c r="B887" s="15" t="s">
        <v>24307</v>
      </c>
      <c r="C887" s="15" t="s">
        <v>24308</v>
      </c>
      <c r="D887" s="31">
        <v>40968</v>
      </c>
      <c r="E887" s="15" t="s">
        <v>24309</v>
      </c>
      <c r="F887" s="87" t="s">
        <v>23710</v>
      </c>
      <c r="G887" s="45" t="s">
        <v>6057</v>
      </c>
      <c r="H887" s="55" t="s">
        <v>6058</v>
      </c>
      <c r="I887" s="15" t="s">
        <v>178</v>
      </c>
    </row>
    <row r="888" spans="1:9" ht="51.75" customHeight="1" x14ac:dyDescent="0.35">
      <c r="A888" s="15" t="s">
        <v>22039</v>
      </c>
      <c r="B888" s="15" t="s">
        <v>24310</v>
      </c>
      <c r="C888" s="15" t="s">
        <v>24308</v>
      </c>
      <c r="D888" s="31">
        <v>40968</v>
      </c>
      <c r="E888" s="15" t="s">
        <v>24311</v>
      </c>
      <c r="F888" s="87" t="s">
        <v>21871</v>
      </c>
      <c r="G888" s="45" t="s">
        <v>6057</v>
      </c>
      <c r="H888" s="55" t="s">
        <v>6058</v>
      </c>
      <c r="I888" s="15" t="s">
        <v>178</v>
      </c>
    </row>
    <row r="889" spans="1:9" ht="51.75" customHeight="1" x14ac:dyDescent="0.35">
      <c r="A889" s="15" t="s">
        <v>23412</v>
      </c>
      <c r="B889" s="15" t="s">
        <v>24312</v>
      </c>
      <c r="C889" s="15" t="s">
        <v>24313</v>
      </c>
      <c r="D889" s="31">
        <v>40968</v>
      </c>
      <c r="E889" s="15" t="s">
        <v>24314</v>
      </c>
      <c r="F889" s="87" t="s">
        <v>23710</v>
      </c>
      <c r="G889" s="45" t="s">
        <v>6057</v>
      </c>
      <c r="H889" s="55" t="s">
        <v>6058</v>
      </c>
      <c r="I889" s="15" t="s">
        <v>178</v>
      </c>
    </row>
    <row r="890" spans="1:9" ht="51.75" customHeight="1" x14ac:dyDescent="0.35">
      <c r="A890" s="15" t="s">
        <v>23412</v>
      </c>
      <c r="B890" s="15" t="s">
        <v>24315</v>
      </c>
      <c r="C890" s="15" t="s">
        <v>24313</v>
      </c>
      <c r="D890" s="31">
        <v>40968</v>
      </c>
      <c r="E890" s="15" t="s">
        <v>24316</v>
      </c>
      <c r="F890" s="87" t="s">
        <v>21871</v>
      </c>
      <c r="G890" s="45" t="s">
        <v>6057</v>
      </c>
      <c r="H890" s="55" t="s">
        <v>6058</v>
      </c>
      <c r="I890" s="15" t="s">
        <v>178</v>
      </c>
    </row>
    <row r="891" spans="1:9" ht="51.75" customHeight="1" x14ac:dyDescent="0.35">
      <c r="A891" s="15">
        <v>1</v>
      </c>
      <c r="B891" s="15" t="s">
        <v>24317</v>
      </c>
      <c r="C891" s="15" t="s">
        <v>24318</v>
      </c>
      <c r="D891" s="31">
        <v>40652</v>
      </c>
      <c r="E891" s="15" t="s">
        <v>24319</v>
      </c>
      <c r="F891" s="87"/>
      <c r="G891" s="45" t="s">
        <v>4580</v>
      </c>
      <c r="H891" s="55" t="s">
        <v>4581</v>
      </c>
      <c r="I891" s="15" t="s">
        <v>178</v>
      </c>
    </row>
    <row r="892" spans="1:9" ht="51.75" customHeight="1" x14ac:dyDescent="0.35">
      <c r="A892" s="15">
        <v>2</v>
      </c>
      <c r="B892" s="15" t="s">
        <v>24320</v>
      </c>
      <c r="C892" s="15" t="s">
        <v>24321</v>
      </c>
      <c r="D892" s="31">
        <v>40652</v>
      </c>
      <c r="E892" s="15" t="s">
        <v>24322</v>
      </c>
      <c r="F892" s="87"/>
      <c r="G892" s="45" t="s">
        <v>4580</v>
      </c>
      <c r="H892" s="55" t="s">
        <v>4581</v>
      </c>
      <c r="I892" s="15" t="s">
        <v>178</v>
      </c>
    </row>
    <row r="893" spans="1:9" ht="51.75" customHeight="1" x14ac:dyDescent="0.35">
      <c r="A893" s="15" t="s">
        <v>24323</v>
      </c>
      <c r="B893" s="15" t="s">
        <v>24324</v>
      </c>
      <c r="C893" s="15" t="s">
        <v>24325</v>
      </c>
      <c r="D893" s="31">
        <v>40960</v>
      </c>
      <c r="E893" s="15" t="s">
        <v>24326</v>
      </c>
      <c r="F893" s="87" t="s">
        <v>23710</v>
      </c>
      <c r="G893" s="45" t="s">
        <v>4119</v>
      </c>
      <c r="H893" s="55" t="s">
        <v>4120</v>
      </c>
      <c r="I893" s="15" t="s">
        <v>178</v>
      </c>
    </row>
    <row r="894" spans="1:9" ht="51.75" customHeight="1" x14ac:dyDescent="0.35">
      <c r="A894" s="15" t="s">
        <v>24323</v>
      </c>
      <c r="B894" s="15" t="s">
        <v>24327</v>
      </c>
      <c r="C894" s="15" t="s">
        <v>24325</v>
      </c>
      <c r="D894" s="31">
        <v>40960</v>
      </c>
      <c r="E894" s="15" t="s">
        <v>24328</v>
      </c>
      <c r="F894" s="87" t="s">
        <v>21871</v>
      </c>
      <c r="G894" s="45" t="s">
        <v>4119</v>
      </c>
      <c r="H894" s="55" t="s">
        <v>4120</v>
      </c>
      <c r="I894" s="15" t="s">
        <v>178</v>
      </c>
    </row>
    <row r="895" spans="1:9" ht="51.75" customHeight="1" x14ac:dyDescent="0.35">
      <c r="A895" s="15" t="s">
        <v>24329</v>
      </c>
      <c r="B895" s="15" t="s">
        <v>24330</v>
      </c>
      <c r="C895" s="15" t="s">
        <v>24331</v>
      </c>
      <c r="D895" s="31">
        <v>40960</v>
      </c>
      <c r="E895" s="15" t="s">
        <v>24332</v>
      </c>
      <c r="F895" s="87" t="s">
        <v>23710</v>
      </c>
      <c r="G895" s="45" t="s">
        <v>4119</v>
      </c>
      <c r="H895" s="55" t="s">
        <v>4120</v>
      </c>
      <c r="I895" s="15" t="s">
        <v>178</v>
      </c>
    </row>
    <row r="896" spans="1:9" ht="51.75" customHeight="1" x14ac:dyDescent="0.35">
      <c r="A896" s="15" t="s">
        <v>24329</v>
      </c>
      <c r="B896" s="15" t="s">
        <v>24333</v>
      </c>
      <c r="C896" s="15" t="s">
        <v>24331</v>
      </c>
      <c r="D896" s="31">
        <v>40960</v>
      </c>
      <c r="E896" s="15" t="s">
        <v>24334</v>
      </c>
      <c r="F896" s="87" t="s">
        <v>21871</v>
      </c>
      <c r="G896" s="45" t="s">
        <v>4119</v>
      </c>
      <c r="H896" s="55" t="s">
        <v>4120</v>
      </c>
      <c r="I896" s="15" t="s">
        <v>178</v>
      </c>
    </row>
    <row r="897" spans="1:9" ht="51.75" customHeight="1" x14ac:dyDescent="0.35">
      <c r="A897" s="15" t="s">
        <v>24335</v>
      </c>
      <c r="B897" s="15" t="s">
        <v>24336</v>
      </c>
      <c r="C897" s="15" t="s">
        <v>24331</v>
      </c>
      <c r="D897" s="31">
        <v>40960</v>
      </c>
      <c r="E897" s="15" t="s">
        <v>24337</v>
      </c>
      <c r="F897" s="87" t="s">
        <v>23710</v>
      </c>
      <c r="G897" s="45" t="s">
        <v>4119</v>
      </c>
      <c r="H897" s="55" t="s">
        <v>4120</v>
      </c>
      <c r="I897" s="15" t="s">
        <v>178</v>
      </c>
    </row>
    <row r="898" spans="1:9" ht="51.75" customHeight="1" x14ac:dyDescent="0.35">
      <c r="A898" s="15" t="s">
        <v>24335</v>
      </c>
      <c r="B898" s="15" t="s">
        <v>24338</v>
      </c>
      <c r="C898" s="15" t="s">
        <v>24331</v>
      </c>
      <c r="D898" s="31">
        <v>40960</v>
      </c>
      <c r="E898" s="15" t="s">
        <v>24339</v>
      </c>
      <c r="F898" s="87" t="s">
        <v>21871</v>
      </c>
      <c r="G898" s="45" t="s">
        <v>4119</v>
      </c>
      <c r="H898" s="55" t="s">
        <v>4120</v>
      </c>
      <c r="I898" s="15" t="s">
        <v>178</v>
      </c>
    </row>
    <row r="899" spans="1:9" ht="51.75" customHeight="1" x14ac:dyDescent="0.35">
      <c r="A899" s="15" t="s">
        <v>24340</v>
      </c>
      <c r="B899" s="15" t="s">
        <v>24341</v>
      </c>
      <c r="C899" s="15" t="s">
        <v>24331</v>
      </c>
      <c r="D899" s="31">
        <v>40960</v>
      </c>
      <c r="E899" s="15" t="s">
        <v>24342</v>
      </c>
      <c r="F899" s="87" t="s">
        <v>23710</v>
      </c>
      <c r="G899" s="45" t="s">
        <v>4119</v>
      </c>
      <c r="H899" s="55" t="s">
        <v>4120</v>
      </c>
      <c r="I899" s="15" t="s">
        <v>178</v>
      </c>
    </row>
    <row r="900" spans="1:9" ht="51.75" customHeight="1" x14ac:dyDescent="0.35">
      <c r="A900" s="15" t="s">
        <v>24340</v>
      </c>
      <c r="B900" s="15" t="s">
        <v>24343</v>
      </c>
      <c r="C900" s="15" t="s">
        <v>24331</v>
      </c>
      <c r="D900" s="31">
        <v>40960</v>
      </c>
      <c r="E900" s="15" t="s">
        <v>24344</v>
      </c>
      <c r="F900" s="87" t="s">
        <v>21871</v>
      </c>
      <c r="G900" s="45" t="s">
        <v>4119</v>
      </c>
      <c r="H900" s="55" t="s">
        <v>4120</v>
      </c>
      <c r="I900" s="15" t="s">
        <v>178</v>
      </c>
    </row>
    <row r="901" spans="1:9" ht="51.75" customHeight="1" x14ac:dyDescent="0.35">
      <c r="A901" s="15" t="s">
        <v>24345</v>
      </c>
      <c r="B901" s="15" t="s">
        <v>24346</v>
      </c>
      <c r="C901" s="15" t="s">
        <v>24331</v>
      </c>
      <c r="D901" s="31">
        <v>40960</v>
      </c>
      <c r="E901" s="15" t="s">
        <v>24347</v>
      </c>
      <c r="F901" s="87" t="s">
        <v>23710</v>
      </c>
      <c r="G901" s="45" t="s">
        <v>4119</v>
      </c>
      <c r="H901" s="55" t="s">
        <v>4120</v>
      </c>
      <c r="I901" s="15" t="s">
        <v>178</v>
      </c>
    </row>
    <row r="902" spans="1:9" ht="51.75" customHeight="1" x14ac:dyDescent="0.35">
      <c r="A902" s="15" t="s">
        <v>24345</v>
      </c>
      <c r="B902" s="15" t="s">
        <v>24348</v>
      </c>
      <c r="C902" s="15" t="s">
        <v>24331</v>
      </c>
      <c r="D902" s="31">
        <v>40960</v>
      </c>
      <c r="E902" s="15" t="s">
        <v>24349</v>
      </c>
      <c r="F902" s="87" t="s">
        <v>21871</v>
      </c>
      <c r="G902" s="45" t="s">
        <v>4119</v>
      </c>
      <c r="H902" s="55" t="s">
        <v>4120</v>
      </c>
      <c r="I902" s="15" t="s">
        <v>178</v>
      </c>
    </row>
    <row r="903" spans="1:9" ht="51.75" customHeight="1" x14ac:dyDescent="0.35">
      <c r="A903" s="15" t="s">
        <v>22159</v>
      </c>
      <c r="B903" s="15" t="s">
        <v>24350</v>
      </c>
      <c r="C903" s="15" t="s">
        <v>24325</v>
      </c>
      <c r="D903" s="31">
        <v>40960</v>
      </c>
      <c r="E903" s="15" t="s">
        <v>24351</v>
      </c>
      <c r="F903" s="87" t="s">
        <v>23710</v>
      </c>
      <c r="G903" s="45" t="s">
        <v>4119</v>
      </c>
      <c r="H903" s="55" t="s">
        <v>4120</v>
      </c>
      <c r="I903" s="15" t="s">
        <v>178</v>
      </c>
    </row>
    <row r="904" spans="1:9" ht="51.75" customHeight="1" x14ac:dyDescent="0.35">
      <c r="A904" s="15" t="s">
        <v>22159</v>
      </c>
      <c r="B904" s="15" t="s">
        <v>24352</v>
      </c>
      <c r="C904" s="15" t="s">
        <v>24325</v>
      </c>
      <c r="D904" s="31">
        <v>40960</v>
      </c>
      <c r="E904" s="15" t="s">
        <v>24353</v>
      </c>
      <c r="F904" s="87" t="s">
        <v>21871</v>
      </c>
      <c r="G904" s="45" t="s">
        <v>4119</v>
      </c>
      <c r="H904" s="55" t="s">
        <v>4120</v>
      </c>
      <c r="I904" s="15" t="s">
        <v>178</v>
      </c>
    </row>
    <row r="905" spans="1:9" ht="51.75" customHeight="1" x14ac:dyDescent="0.35">
      <c r="A905" s="15" t="s">
        <v>22660</v>
      </c>
      <c r="B905" s="15" t="s">
        <v>24354</v>
      </c>
      <c r="C905" s="15" t="s">
        <v>24331</v>
      </c>
      <c r="D905" s="31">
        <v>40960</v>
      </c>
      <c r="E905" s="15" t="s">
        <v>24355</v>
      </c>
      <c r="F905" s="87" t="s">
        <v>23710</v>
      </c>
      <c r="G905" s="45" t="s">
        <v>4119</v>
      </c>
      <c r="H905" s="55" t="s">
        <v>4120</v>
      </c>
      <c r="I905" s="15" t="s">
        <v>178</v>
      </c>
    </row>
    <row r="906" spans="1:9" ht="51.75" customHeight="1" x14ac:dyDescent="0.35">
      <c r="A906" s="15" t="s">
        <v>22660</v>
      </c>
      <c r="B906" s="15" t="s">
        <v>24356</v>
      </c>
      <c r="C906" s="15" t="s">
        <v>24331</v>
      </c>
      <c r="D906" s="31">
        <v>40960</v>
      </c>
      <c r="E906" s="15" t="s">
        <v>24357</v>
      </c>
      <c r="F906" s="87" t="s">
        <v>21871</v>
      </c>
      <c r="G906" s="45" t="s">
        <v>4119</v>
      </c>
      <c r="H906" s="55" t="s">
        <v>4120</v>
      </c>
      <c r="I906" s="15" t="s">
        <v>178</v>
      </c>
    </row>
    <row r="907" spans="1:9" ht="51.75" customHeight="1" x14ac:dyDescent="0.35">
      <c r="A907" s="15" t="s">
        <v>24358</v>
      </c>
      <c r="B907" s="15" t="s">
        <v>24359</v>
      </c>
      <c r="C907" s="15" t="s">
        <v>24331</v>
      </c>
      <c r="D907" s="31">
        <v>40960</v>
      </c>
      <c r="E907" s="15" t="s">
        <v>24360</v>
      </c>
      <c r="F907" s="87" t="s">
        <v>23710</v>
      </c>
      <c r="G907" s="45" t="s">
        <v>4119</v>
      </c>
      <c r="H907" s="55" t="s">
        <v>4120</v>
      </c>
      <c r="I907" s="15" t="s">
        <v>178</v>
      </c>
    </row>
    <row r="908" spans="1:9" ht="51.75" customHeight="1" x14ac:dyDescent="0.35">
      <c r="A908" s="15" t="s">
        <v>24358</v>
      </c>
      <c r="B908" s="15" t="s">
        <v>24361</v>
      </c>
      <c r="C908" s="15" t="s">
        <v>24331</v>
      </c>
      <c r="D908" s="31">
        <v>40960</v>
      </c>
      <c r="E908" s="15" t="s">
        <v>24362</v>
      </c>
      <c r="F908" s="87" t="s">
        <v>21871</v>
      </c>
      <c r="G908" s="45" t="s">
        <v>4119</v>
      </c>
      <c r="H908" s="55" t="s">
        <v>4120</v>
      </c>
      <c r="I908" s="15" t="s">
        <v>178</v>
      </c>
    </row>
    <row r="909" spans="1:9" ht="51.75" customHeight="1" x14ac:dyDescent="0.35">
      <c r="A909" s="15" t="s">
        <v>24363</v>
      </c>
      <c r="B909" s="15" t="s">
        <v>24364</v>
      </c>
      <c r="C909" s="15" t="s">
        <v>24365</v>
      </c>
      <c r="D909" s="31">
        <v>40960</v>
      </c>
      <c r="E909" s="15" t="s">
        <v>24366</v>
      </c>
      <c r="F909" s="87" t="s">
        <v>23710</v>
      </c>
      <c r="G909" s="45" t="s">
        <v>4119</v>
      </c>
      <c r="H909" s="55" t="s">
        <v>4120</v>
      </c>
      <c r="I909" s="15" t="s">
        <v>178</v>
      </c>
    </row>
    <row r="910" spans="1:9" ht="51.75" customHeight="1" x14ac:dyDescent="0.35">
      <c r="A910" s="15" t="s">
        <v>24363</v>
      </c>
      <c r="B910" s="15" t="s">
        <v>24367</v>
      </c>
      <c r="C910" s="15" t="s">
        <v>24365</v>
      </c>
      <c r="D910" s="31">
        <v>40960</v>
      </c>
      <c r="E910" s="15" t="s">
        <v>24368</v>
      </c>
      <c r="F910" s="87" t="s">
        <v>21871</v>
      </c>
      <c r="G910" s="45" t="s">
        <v>4119</v>
      </c>
      <c r="H910" s="55" t="s">
        <v>4120</v>
      </c>
      <c r="I910" s="15" t="s">
        <v>178</v>
      </c>
    </row>
    <row r="911" spans="1:9" ht="51.75" customHeight="1" x14ac:dyDescent="0.35">
      <c r="A911" s="15" t="s">
        <v>24369</v>
      </c>
      <c r="B911" s="15" t="s">
        <v>24370</v>
      </c>
      <c r="C911" s="15" t="s">
        <v>24371</v>
      </c>
      <c r="D911" s="31">
        <v>40960</v>
      </c>
      <c r="E911" s="15" t="s">
        <v>24372</v>
      </c>
      <c r="F911" s="87" t="s">
        <v>23710</v>
      </c>
      <c r="G911" s="45" t="s">
        <v>4119</v>
      </c>
      <c r="H911" s="55" t="s">
        <v>4120</v>
      </c>
      <c r="I911" s="15" t="s">
        <v>178</v>
      </c>
    </row>
    <row r="912" spans="1:9" ht="51.75" customHeight="1" x14ac:dyDescent="0.35">
      <c r="A912" s="15" t="s">
        <v>24369</v>
      </c>
      <c r="B912" s="15" t="s">
        <v>24373</v>
      </c>
      <c r="C912" s="15" t="s">
        <v>24371</v>
      </c>
      <c r="D912" s="31">
        <v>40960</v>
      </c>
      <c r="E912" s="15" t="s">
        <v>24374</v>
      </c>
      <c r="F912" s="87" t="s">
        <v>21871</v>
      </c>
      <c r="G912" s="45" t="s">
        <v>4119</v>
      </c>
      <c r="H912" s="55" t="s">
        <v>4120</v>
      </c>
      <c r="I912" s="15" t="s">
        <v>178</v>
      </c>
    </row>
    <row r="913" spans="1:9" ht="51.75" customHeight="1" x14ac:dyDescent="0.35">
      <c r="A913" s="15" t="s">
        <v>24375</v>
      </c>
      <c r="B913" s="15" t="s">
        <v>24376</v>
      </c>
      <c r="C913" s="15" t="s">
        <v>24331</v>
      </c>
      <c r="D913" s="31">
        <v>40960</v>
      </c>
      <c r="E913" s="15" t="s">
        <v>24377</v>
      </c>
      <c r="F913" s="87" t="s">
        <v>23710</v>
      </c>
      <c r="G913" s="45" t="s">
        <v>4119</v>
      </c>
      <c r="H913" s="55" t="s">
        <v>4120</v>
      </c>
      <c r="I913" s="15" t="s">
        <v>178</v>
      </c>
    </row>
    <row r="914" spans="1:9" ht="51.75" customHeight="1" x14ac:dyDescent="0.35">
      <c r="A914" s="15" t="s">
        <v>24375</v>
      </c>
      <c r="B914" s="15" t="s">
        <v>24378</v>
      </c>
      <c r="C914" s="15" t="s">
        <v>24331</v>
      </c>
      <c r="D914" s="31">
        <v>40960</v>
      </c>
      <c r="E914" s="15" t="s">
        <v>24379</v>
      </c>
      <c r="F914" s="87" t="s">
        <v>21871</v>
      </c>
      <c r="G914" s="45" t="s">
        <v>4119</v>
      </c>
      <c r="H914" s="55" t="s">
        <v>4120</v>
      </c>
      <c r="I914" s="15" t="s">
        <v>178</v>
      </c>
    </row>
    <row r="915" spans="1:9" ht="51.75" customHeight="1" x14ac:dyDescent="0.35">
      <c r="A915" s="15" t="s">
        <v>24380</v>
      </c>
      <c r="B915" s="15" t="s">
        <v>24381</v>
      </c>
      <c r="C915" s="15" t="s">
        <v>24382</v>
      </c>
      <c r="D915" s="31">
        <v>40960</v>
      </c>
      <c r="E915" s="15" t="s">
        <v>24383</v>
      </c>
      <c r="F915" s="87" t="s">
        <v>23710</v>
      </c>
      <c r="G915" s="45" t="s">
        <v>4119</v>
      </c>
      <c r="H915" s="55" t="s">
        <v>4120</v>
      </c>
      <c r="I915" s="15" t="s">
        <v>178</v>
      </c>
    </row>
    <row r="916" spans="1:9" ht="51.75" customHeight="1" x14ac:dyDescent="0.35">
      <c r="A916" s="15" t="s">
        <v>24380</v>
      </c>
      <c r="B916" s="15" t="s">
        <v>24384</v>
      </c>
      <c r="C916" s="15" t="s">
        <v>24382</v>
      </c>
      <c r="D916" s="31">
        <v>40960</v>
      </c>
      <c r="E916" s="15" t="s">
        <v>24385</v>
      </c>
      <c r="F916" s="87" t="s">
        <v>21871</v>
      </c>
      <c r="G916" s="45" t="s">
        <v>4119</v>
      </c>
      <c r="H916" s="55" t="s">
        <v>4120</v>
      </c>
      <c r="I916" s="15" t="s">
        <v>178</v>
      </c>
    </row>
    <row r="917" spans="1:9" ht="51.75" customHeight="1" x14ac:dyDescent="0.35">
      <c r="A917" s="15" t="s">
        <v>24386</v>
      </c>
      <c r="B917" s="15" t="s">
        <v>24387</v>
      </c>
      <c r="C917" s="15" t="s">
        <v>24331</v>
      </c>
      <c r="D917" s="31">
        <v>40960</v>
      </c>
      <c r="E917" s="15" t="s">
        <v>24388</v>
      </c>
      <c r="F917" s="87" t="s">
        <v>23710</v>
      </c>
      <c r="G917" s="45" t="s">
        <v>4119</v>
      </c>
      <c r="H917" s="55" t="s">
        <v>4120</v>
      </c>
      <c r="I917" s="15" t="s">
        <v>178</v>
      </c>
    </row>
    <row r="918" spans="1:9" ht="51.75" customHeight="1" x14ac:dyDescent="0.35">
      <c r="A918" s="15" t="s">
        <v>24386</v>
      </c>
      <c r="B918" s="15" t="s">
        <v>24389</v>
      </c>
      <c r="C918" s="15" t="s">
        <v>24331</v>
      </c>
      <c r="D918" s="31">
        <v>40960</v>
      </c>
      <c r="E918" s="15" t="s">
        <v>24390</v>
      </c>
      <c r="F918" s="87" t="s">
        <v>21871</v>
      </c>
      <c r="G918" s="45" t="s">
        <v>4119</v>
      </c>
      <c r="H918" s="55" t="s">
        <v>4120</v>
      </c>
      <c r="I918" s="15" t="s">
        <v>178</v>
      </c>
    </row>
    <row r="919" spans="1:9" ht="51.75" customHeight="1" x14ac:dyDescent="0.35">
      <c r="A919" s="15" t="s">
        <v>24391</v>
      </c>
      <c r="B919" s="15" t="s">
        <v>24392</v>
      </c>
      <c r="C919" s="15" t="s">
        <v>24393</v>
      </c>
      <c r="D919" s="31">
        <v>40960</v>
      </c>
      <c r="E919" s="15" t="s">
        <v>24394</v>
      </c>
      <c r="F919" s="87" t="s">
        <v>23710</v>
      </c>
      <c r="G919" s="45" t="s">
        <v>4119</v>
      </c>
      <c r="H919" s="55" t="s">
        <v>4120</v>
      </c>
      <c r="I919" s="15" t="s">
        <v>178</v>
      </c>
    </row>
    <row r="920" spans="1:9" ht="51.75" customHeight="1" x14ac:dyDescent="0.35">
      <c r="A920" s="15" t="s">
        <v>24391</v>
      </c>
      <c r="B920" s="15" t="s">
        <v>24395</v>
      </c>
      <c r="C920" s="15" t="s">
        <v>24393</v>
      </c>
      <c r="D920" s="31">
        <v>40960</v>
      </c>
      <c r="E920" s="15" t="s">
        <v>24396</v>
      </c>
      <c r="F920" s="87" t="s">
        <v>21871</v>
      </c>
      <c r="G920" s="45" t="s">
        <v>4119</v>
      </c>
      <c r="H920" s="55" t="s">
        <v>4120</v>
      </c>
      <c r="I920" s="15" t="s">
        <v>178</v>
      </c>
    </row>
    <row r="921" spans="1:9" ht="51.75" customHeight="1" x14ac:dyDescent="0.35">
      <c r="A921" s="15">
        <v>1</v>
      </c>
      <c r="B921" s="15" t="s">
        <v>24397</v>
      </c>
      <c r="C921" s="15" t="s">
        <v>24398</v>
      </c>
      <c r="D921" s="31">
        <v>40652</v>
      </c>
      <c r="E921" s="15" t="s">
        <v>24399</v>
      </c>
      <c r="F921" s="87"/>
      <c r="G921" s="45" t="s">
        <v>3174</v>
      </c>
      <c r="H921" s="55" t="s">
        <v>3175</v>
      </c>
      <c r="I921" s="15" t="s">
        <v>178</v>
      </c>
    </row>
    <row r="922" spans="1:9" ht="51.75" customHeight="1" x14ac:dyDescent="0.35">
      <c r="A922" s="15">
        <v>2</v>
      </c>
      <c r="B922" s="15" t="s">
        <v>24400</v>
      </c>
      <c r="C922" s="15" t="s">
        <v>24401</v>
      </c>
      <c r="D922" s="31">
        <v>40652</v>
      </c>
      <c r="E922" s="15" t="s">
        <v>24402</v>
      </c>
      <c r="F922" s="87"/>
      <c r="G922" s="45" t="s">
        <v>3174</v>
      </c>
      <c r="H922" s="55" t="s">
        <v>3175</v>
      </c>
      <c r="I922" s="15" t="s">
        <v>178</v>
      </c>
    </row>
    <row r="923" spans="1:9" ht="51.75" customHeight="1" x14ac:dyDescent="0.35">
      <c r="A923" s="15">
        <v>3</v>
      </c>
      <c r="B923" s="15" t="s">
        <v>24403</v>
      </c>
      <c r="C923" s="15" t="s">
        <v>24404</v>
      </c>
      <c r="D923" s="31">
        <v>40652</v>
      </c>
      <c r="E923" s="15" t="s">
        <v>24405</v>
      </c>
      <c r="F923" s="87"/>
      <c r="G923" s="45" t="s">
        <v>3174</v>
      </c>
      <c r="H923" s="55" t="s">
        <v>3175</v>
      </c>
      <c r="I923" s="15" t="s">
        <v>178</v>
      </c>
    </row>
    <row r="924" spans="1:9" ht="51.75" customHeight="1" x14ac:dyDescent="0.35">
      <c r="A924" s="15">
        <v>1</v>
      </c>
      <c r="B924" s="15" t="s">
        <v>24406</v>
      </c>
      <c r="C924" s="15" t="s">
        <v>24407</v>
      </c>
      <c r="D924" s="31">
        <v>40652</v>
      </c>
      <c r="E924" s="15" t="s">
        <v>24407</v>
      </c>
      <c r="F924" s="87"/>
      <c r="G924" s="45" t="s">
        <v>3120</v>
      </c>
      <c r="H924" s="55" t="s">
        <v>3121</v>
      </c>
      <c r="I924" s="15" t="s">
        <v>178</v>
      </c>
    </row>
    <row r="925" spans="1:9" ht="51.75" customHeight="1" x14ac:dyDescent="0.35">
      <c r="A925" s="15">
        <v>2</v>
      </c>
      <c r="B925" s="15" t="s">
        <v>24408</v>
      </c>
      <c r="C925" s="15" t="s">
        <v>24409</v>
      </c>
      <c r="D925" s="31">
        <v>40652</v>
      </c>
      <c r="E925" s="15" t="s">
        <v>24410</v>
      </c>
      <c r="F925" s="87"/>
      <c r="G925" s="45" t="s">
        <v>3120</v>
      </c>
      <c r="H925" s="55" t="s">
        <v>3121</v>
      </c>
      <c r="I925" s="15" t="s">
        <v>178</v>
      </c>
    </row>
    <row r="926" spans="1:9" ht="51.75" customHeight="1" x14ac:dyDescent="0.35">
      <c r="A926" s="15">
        <v>3</v>
      </c>
      <c r="B926" s="15" t="s">
        <v>24411</v>
      </c>
      <c r="C926" s="15" t="s">
        <v>24412</v>
      </c>
      <c r="D926" s="31">
        <v>40652</v>
      </c>
      <c r="E926" s="15" t="s">
        <v>24413</v>
      </c>
      <c r="F926" s="87"/>
      <c r="G926" s="45" t="s">
        <v>3120</v>
      </c>
      <c r="H926" s="55" t="s">
        <v>3121</v>
      </c>
      <c r="I926" s="15" t="s">
        <v>178</v>
      </c>
    </row>
    <row r="927" spans="1:9" ht="51.75" customHeight="1" x14ac:dyDescent="0.35">
      <c r="A927" s="15">
        <v>4</v>
      </c>
      <c r="B927" s="15" t="s">
        <v>24414</v>
      </c>
      <c r="C927" s="15" t="s">
        <v>24415</v>
      </c>
      <c r="D927" s="31">
        <v>40652</v>
      </c>
      <c r="E927" s="15" t="s">
        <v>24416</v>
      </c>
      <c r="F927" s="87"/>
      <c r="G927" s="45" t="s">
        <v>3120</v>
      </c>
      <c r="H927" s="55" t="s">
        <v>3121</v>
      </c>
      <c r="I927" s="15" t="s">
        <v>178</v>
      </c>
    </row>
    <row r="928" spans="1:9" ht="51.75" customHeight="1" x14ac:dyDescent="0.35">
      <c r="A928" s="15">
        <v>5</v>
      </c>
      <c r="B928" s="15" t="s">
        <v>24417</v>
      </c>
      <c r="C928" s="15" t="s">
        <v>24418</v>
      </c>
      <c r="D928" s="31">
        <v>40652</v>
      </c>
      <c r="E928" s="15" t="s">
        <v>24418</v>
      </c>
      <c r="F928" s="87"/>
      <c r="G928" s="45" t="s">
        <v>3120</v>
      </c>
      <c r="H928" s="55" t="s">
        <v>3121</v>
      </c>
      <c r="I928" s="15" t="s">
        <v>178</v>
      </c>
    </row>
    <row r="929" spans="1:9" ht="51.75" customHeight="1" x14ac:dyDescent="0.35">
      <c r="A929" s="15">
        <v>6</v>
      </c>
      <c r="B929" s="15" t="s">
        <v>24419</v>
      </c>
      <c r="C929" s="15" t="s">
        <v>24420</v>
      </c>
      <c r="D929" s="31">
        <v>40652</v>
      </c>
      <c r="E929" s="15" t="s">
        <v>24421</v>
      </c>
      <c r="F929" s="87"/>
      <c r="G929" s="45" t="s">
        <v>3120</v>
      </c>
      <c r="H929" s="55" t="s">
        <v>3121</v>
      </c>
      <c r="I929" s="15" t="s">
        <v>178</v>
      </c>
    </row>
    <row r="930" spans="1:9" ht="51.75" customHeight="1" x14ac:dyDescent="0.35">
      <c r="A930" s="15">
        <v>7</v>
      </c>
      <c r="B930" s="15" t="s">
        <v>24422</v>
      </c>
      <c r="C930" s="15" t="s">
        <v>24423</v>
      </c>
      <c r="D930" s="31">
        <v>40652</v>
      </c>
      <c r="E930" s="15" t="s">
        <v>24424</v>
      </c>
      <c r="F930" s="87"/>
      <c r="G930" s="45" t="s">
        <v>3120</v>
      </c>
      <c r="H930" s="55" t="s">
        <v>3121</v>
      </c>
      <c r="I930" s="15" t="s">
        <v>178</v>
      </c>
    </row>
    <row r="931" spans="1:9" ht="51.75" customHeight="1" x14ac:dyDescent="0.35">
      <c r="A931" s="15">
        <v>8</v>
      </c>
      <c r="B931" s="15" t="s">
        <v>24425</v>
      </c>
      <c r="C931" s="15" t="s">
        <v>24426</v>
      </c>
      <c r="D931" s="31">
        <v>40652</v>
      </c>
      <c r="E931" s="15" t="s">
        <v>24427</v>
      </c>
      <c r="F931" s="87"/>
      <c r="G931" s="45" t="s">
        <v>3120</v>
      </c>
      <c r="H931" s="55" t="s">
        <v>3121</v>
      </c>
      <c r="I931" s="15" t="s">
        <v>178</v>
      </c>
    </row>
    <row r="932" spans="1:9" ht="51.75" customHeight="1" x14ac:dyDescent="0.35">
      <c r="A932" s="15">
        <v>1</v>
      </c>
      <c r="B932" s="15" t="s">
        <v>24428</v>
      </c>
      <c r="C932" s="15" t="s">
        <v>24429</v>
      </c>
      <c r="D932" s="31">
        <v>40652</v>
      </c>
      <c r="E932" s="15" t="s">
        <v>24430</v>
      </c>
      <c r="F932" s="87"/>
      <c r="G932" s="45" t="s">
        <v>1693</v>
      </c>
      <c r="H932" s="55" t="s">
        <v>1694</v>
      </c>
      <c r="I932" s="15" t="s">
        <v>178</v>
      </c>
    </row>
    <row r="933" spans="1:9" ht="51.75" customHeight="1" x14ac:dyDescent="0.35">
      <c r="A933" s="15">
        <v>2</v>
      </c>
      <c r="B933" s="15" t="s">
        <v>24431</v>
      </c>
      <c r="C933" s="15" t="s">
        <v>24432</v>
      </c>
      <c r="D933" s="31">
        <v>40652</v>
      </c>
      <c r="E933" s="15" t="s">
        <v>24433</v>
      </c>
      <c r="F933" s="87"/>
      <c r="G933" s="45" t="s">
        <v>1693</v>
      </c>
      <c r="H933" s="55" t="s">
        <v>1694</v>
      </c>
      <c r="I933" s="15" t="s">
        <v>178</v>
      </c>
    </row>
    <row r="934" spans="1:9" ht="51.75" customHeight="1" x14ac:dyDescent="0.35">
      <c r="A934" s="15">
        <v>3</v>
      </c>
      <c r="B934" s="15" t="s">
        <v>24434</v>
      </c>
      <c r="C934" s="15" t="s">
        <v>24435</v>
      </c>
      <c r="D934" s="31">
        <v>40652</v>
      </c>
      <c r="E934" s="15" t="s">
        <v>24436</v>
      </c>
      <c r="F934" s="87"/>
      <c r="G934" s="45" t="s">
        <v>1693</v>
      </c>
      <c r="H934" s="55" t="s">
        <v>1694</v>
      </c>
      <c r="I934" s="15" t="s">
        <v>178</v>
      </c>
    </row>
    <row r="935" spans="1:9" ht="51.75" customHeight="1" x14ac:dyDescent="0.35">
      <c r="A935" s="15">
        <v>4</v>
      </c>
      <c r="B935" s="15" t="s">
        <v>24437</v>
      </c>
      <c r="C935" s="15" t="s">
        <v>24438</v>
      </c>
      <c r="D935" s="31">
        <v>40652</v>
      </c>
      <c r="E935" s="15" t="s">
        <v>24439</v>
      </c>
      <c r="F935" s="87"/>
      <c r="G935" s="45" t="s">
        <v>1693</v>
      </c>
      <c r="H935" s="55" t="s">
        <v>1694</v>
      </c>
      <c r="I935" s="15" t="s">
        <v>178</v>
      </c>
    </row>
    <row r="936" spans="1:9" ht="51.75" customHeight="1" x14ac:dyDescent="0.35">
      <c r="A936" s="15">
        <v>5</v>
      </c>
      <c r="B936" s="15" t="s">
        <v>24440</v>
      </c>
      <c r="C936" s="15" t="s">
        <v>24441</v>
      </c>
      <c r="D936" s="31">
        <v>40652</v>
      </c>
      <c r="E936" s="15" t="s">
        <v>24442</v>
      </c>
      <c r="F936" s="87"/>
      <c r="G936" s="45" t="s">
        <v>1693</v>
      </c>
      <c r="H936" s="55" t="s">
        <v>1694</v>
      </c>
      <c r="I936" s="15" t="s">
        <v>178</v>
      </c>
    </row>
    <row r="937" spans="1:9" ht="51.75" customHeight="1" x14ac:dyDescent="0.35">
      <c r="A937" s="15" t="s">
        <v>23810</v>
      </c>
      <c r="B937" s="15" t="s">
        <v>24443</v>
      </c>
      <c r="C937" s="15" t="s">
        <v>24444</v>
      </c>
      <c r="D937" s="31">
        <v>41099</v>
      </c>
      <c r="E937" s="15" t="s">
        <v>24445</v>
      </c>
      <c r="F937" s="87" t="s">
        <v>23710</v>
      </c>
      <c r="G937" s="45" t="s">
        <v>7301</v>
      </c>
      <c r="H937" s="55" t="s">
        <v>7302</v>
      </c>
      <c r="I937" s="15" t="s">
        <v>178</v>
      </c>
    </row>
    <row r="938" spans="1:9" ht="51.75" customHeight="1" x14ac:dyDescent="0.35">
      <c r="A938" s="15" t="s">
        <v>23810</v>
      </c>
      <c r="B938" s="15" t="s">
        <v>24446</v>
      </c>
      <c r="C938" s="15" t="s">
        <v>24444</v>
      </c>
      <c r="D938" s="31">
        <v>41099</v>
      </c>
      <c r="E938" s="15" t="s">
        <v>24447</v>
      </c>
      <c r="F938" s="87" t="s">
        <v>21871</v>
      </c>
      <c r="G938" s="45" t="s">
        <v>7301</v>
      </c>
      <c r="H938" s="55" t="s">
        <v>7302</v>
      </c>
      <c r="I938" s="15" t="s">
        <v>178</v>
      </c>
    </row>
    <row r="939" spans="1:9" ht="51.75" customHeight="1" x14ac:dyDescent="0.35">
      <c r="A939" s="15" t="s">
        <v>24215</v>
      </c>
      <c r="B939" s="15" t="s">
        <v>24448</v>
      </c>
      <c r="C939" s="15" t="s">
        <v>24449</v>
      </c>
      <c r="D939" s="31">
        <v>41088</v>
      </c>
      <c r="E939" s="15" t="s">
        <v>24450</v>
      </c>
      <c r="F939" s="87" t="s">
        <v>23710</v>
      </c>
      <c r="G939" s="45" t="s">
        <v>7216</v>
      </c>
      <c r="H939" s="55" t="s">
        <v>7217</v>
      </c>
      <c r="I939" s="15" t="s">
        <v>178</v>
      </c>
    </row>
    <row r="940" spans="1:9" ht="51.75" customHeight="1" x14ac:dyDescent="0.35">
      <c r="A940" s="15" t="s">
        <v>24215</v>
      </c>
      <c r="B940" s="15" t="s">
        <v>24451</v>
      </c>
      <c r="C940" s="15" t="s">
        <v>24449</v>
      </c>
      <c r="D940" s="31">
        <v>41088</v>
      </c>
      <c r="E940" s="15" t="s">
        <v>24452</v>
      </c>
      <c r="F940" s="87" t="s">
        <v>21871</v>
      </c>
      <c r="G940" s="45" t="s">
        <v>7216</v>
      </c>
      <c r="H940" s="55" t="s">
        <v>7217</v>
      </c>
      <c r="I940" s="15" t="s">
        <v>178</v>
      </c>
    </row>
    <row r="941" spans="1:9" ht="51.75" customHeight="1" x14ac:dyDescent="0.35">
      <c r="A941" s="15" t="s">
        <v>22656</v>
      </c>
      <c r="B941" s="15" t="s">
        <v>24453</v>
      </c>
      <c r="C941" s="15" t="s">
        <v>24454</v>
      </c>
      <c r="D941" s="31">
        <v>41022</v>
      </c>
      <c r="E941" s="15" t="s">
        <v>24455</v>
      </c>
      <c r="F941" s="87" t="s">
        <v>23710</v>
      </c>
      <c r="G941" s="45" t="s">
        <v>7087</v>
      </c>
      <c r="H941" s="55" t="s">
        <v>7088</v>
      </c>
      <c r="I941" s="15" t="s">
        <v>178</v>
      </c>
    </row>
    <row r="942" spans="1:9" ht="51.75" customHeight="1" x14ac:dyDescent="0.35">
      <c r="A942" s="15" t="s">
        <v>22656</v>
      </c>
      <c r="B942" s="15" t="s">
        <v>24456</v>
      </c>
      <c r="C942" s="15" t="s">
        <v>24454</v>
      </c>
      <c r="D942" s="31">
        <v>41022</v>
      </c>
      <c r="E942" s="15" t="s">
        <v>24457</v>
      </c>
      <c r="F942" s="87" t="s">
        <v>21871</v>
      </c>
      <c r="G942" s="45" t="s">
        <v>7087</v>
      </c>
      <c r="H942" s="55" t="s">
        <v>7088</v>
      </c>
      <c r="I942" s="15" t="s">
        <v>178</v>
      </c>
    </row>
    <row r="943" spans="1:9" ht="51.75" customHeight="1" x14ac:dyDescent="0.35">
      <c r="A943" s="15" t="s">
        <v>22719</v>
      </c>
      <c r="B943" s="15" t="s">
        <v>24458</v>
      </c>
      <c r="C943" s="15" t="s">
        <v>24459</v>
      </c>
      <c r="D943" s="31">
        <v>41155</v>
      </c>
      <c r="E943" s="15" t="s">
        <v>24460</v>
      </c>
      <c r="F943" s="87" t="s">
        <v>23710</v>
      </c>
      <c r="G943" s="45" t="s">
        <v>7718</v>
      </c>
      <c r="H943" s="55" t="s">
        <v>7719</v>
      </c>
      <c r="I943" s="15" t="s">
        <v>178</v>
      </c>
    </row>
    <row r="944" spans="1:9" ht="51.75" customHeight="1" x14ac:dyDescent="0.35">
      <c r="A944" s="15" t="s">
        <v>22719</v>
      </c>
      <c r="B944" s="15" t="s">
        <v>24461</v>
      </c>
      <c r="C944" s="15" t="s">
        <v>24459</v>
      </c>
      <c r="D944" s="31">
        <v>41155</v>
      </c>
      <c r="E944" s="15" t="s">
        <v>24462</v>
      </c>
      <c r="F944" s="87" t="s">
        <v>21871</v>
      </c>
      <c r="G944" s="45" t="s">
        <v>7718</v>
      </c>
      <c r="H944" s="55" t="s">
        <v>7719</v>
      </c>
      <c r="I944" s="15" t="s">
        <v>178</v>
      </c>
    </row>
    <row r="945" spans="1:9" ht="51.75" customHeight="1" x14ac:dyDescent="0.35">
      <c r="A945" s="15" t="s">
        <v>22723</v>
      </c>
      <c r="B945" s="15" t="s">
        <v>24463</v>
      </c>
      <c r="C945" s="15" t="s">
        <v>24464</v>
      </c>
      <c r="D945" s="31">
        <v>41155</v>
      </c>
      <c r="E945" s="15" t="s">
        <v>24465</v>
      </c>
      <c r="F945" s="87" t="s">
        <v>23710</v>
      </c>
      <c r="G945" s="45" t="s">
        <v>7718</v>
      </c>
      <c r="H945" s="55" t="s">
        <v>7719</v>
      </c>
      <c r="I945" s="15" t="s">
        <v>178</v>
      </c>
    </row>
    <row r="946" spans="1:9" ht="51.75" customHeight="1" x14ac:dyDescent="0.35">
      <c r="A946" s="15" t="s">
        <v>22723</v>
      </c>
      <c r="B946" s="15" t="s">
        <v>24466</v>
      </c>
      <c r="C946" s="15" t="s">
        <v>24464</v>
      </c>
      <c r="D946" s="31">
        <v>41155</v>
      </c>
      <c r="E946" s="15" t="s">
        <v>24467</v>
      </c>
      <c r="F946" s="87" t="s">
        <v>21871</v>
      </c>
      <c r="G946" s="45" t="s">
        <v>7718</v>
      </c>
      <c r="H946" s="55" t="s">
        <v>7719</v>
      </c>
      <c r="I946" s="15" t="s">
        <v>178</v>
      </c>
    </row>
    <row r="947" spans="1:9" ht="51.75" customHeight="1" x14ac:dyDescent="0.35">
      <c r="A947" s="15" t="s">
        <v>22727</v>
      </c>
      <c r="B947" s="15" t="s">
        <v>24468</v>
      </c>
      <c r="C947" s="15" t="s">
        <v>24469</v>
      </c>
      <c r="D947" s="31">
        <v>41155</v>
      </c>
      <c r="E947" s="15" t="s">
        <v>24470</v>
      </c>
      <c r="F947" s="87" t="s">
        <v>23710</v>
      </c>
      <c r="G947" s="45" t="s">
        <v>7718</v>
      </c>
      <c r="H947" s="55" t="s">
        <v>7719</v>
      </c>
      <c r="I947" s="15" t="s">
        <v>178</v>
      </c>
    </row>
    <row r="948" spans="1:9" ht="51.75" customHeight="1" x14ac:dyDescent="0.35">
      <c r="A948" s="15" t="s">
        <v>22727</v>
      </c>
      <c r="B948" s="15" t="s">
        <v>24471</v>
      </c>
      <c r="C948" s="15" t="s">
        <v>24469</v>
      </c>
      <c r="D948" s="31">
        <v>41155</v>
      </c>
      <c r="E948" s="15" t="s">
        <v>24472</v>
      </c>
      <c r="F948" s="87" t="s">
        <v>21871</v>
      </c>
      <c r="G948" s="45" t="s">
        <v>7718</v>
      </c>
      <c r="H948" s="55" t="s">
        <v>7719</v>
      </c>
      <c r="I948" s="15" t="s">
        <v>178</v>
      </c>
    </row>
    <row r="949" spans="1:9" ht="51.75" customHeight="1" x14ac:dyDescent="0.35">
      <c r="A949" s="15" t="s">
        <v>23219</v>
      </c>
      <c r="B949" s="15" t="s">
        <v>24473</v>
      </c>
      <c r="C949" s="15" t="s">
        <v>24474</v>
      </c>
      <c r="D949" s="31">
        <v>41116</v>
      </c>
      <c r="E949" s="15" t="s">
        <v>24475</v>
      </c>
      <c r="F949" s="87" t="s">
        <v>23710</v>
      </c>
      <c r="G949" s="45" t="s">
        <v>6589</v>
      </c>
      <c r="H949" s="55" t="s">
        <v>6590</v>
      </c>
      <c r="I949" s="15" t="s">
        <v>178</v>
      </c>
    </row>
    <row r="950" spans="1:9" ht="51.75" customHeight="1" x14ac:dyDescent="0.35">
      <c r="A950" s="15" t="s">
        <v>23219</v>
      </c>
      <c r="B950" s="15" t="s">
        <v>24476</v>
      </c>
      <c r="C950" s="15" t="s">
        <v>24474</v>
      </c>
      <c r="D950" s="31">
        <v>41116</v>
      </c>
      <c r="E950" s="15" t="s">
        <v>24477</v>
      </c>
      <c r="F950" s="87" t="s">
        <v>21871</v>
      </c>
      <c r="G950" s="45" t="s">
        <v>6589</v>
      </c>
      <c r="H950" s="55" t="s">
        <v>6590</v>
      </c>
      <c r="I950" s="15" t="s">
        <v>178</v>
      </c>
    </row>
    <row r="951" spans="1:9" ht="51.75" customHeight="1" x14ac:dyDescent="0.35">
      <c r="A951" s="15" t="s">
        <v>23197</v>
      </c>
      <c r="B951" s="15" t="s">
        <v>24478</v>
      </c>
      <c r="C951" s="15" t="s">
        <v>24479</v>
      </c>
      <c r="D951" s="31">
        <v>41116</v>
      </c>
      <c r="E951" s="15" t="s">
        <v>24480</v>
      </c>
      <c r="F951" s="87" t="s">
        <v>23710</v>
      </c>
      <c r="G951" s="45" t="s">
        <v>6589</v>
      </c>
      <c r="H951" s="55" t="s">
        <v>6590</v>
      </c>
      <c r="I951" s="15" t="s">
        <v>178</v>
      </c>
    </row>
    <row r="952" spans="1:9" ht="51.75" customHeight="1" x14ac:dyDescent="0.35">
      <c r="A952" s="15" t="s">
        <v>23197</v>
      </c>
      <c r="B952" s="15" t="s">
        <v>24481</v>
      </c>
      <c r="C952" s="15" t="s">
        <v>24479</v>
      </c>
      <c r="D952" s="31">
        <v>41116</v>
      </c>
      <c r="E952" s="15" t="s">
        <v>24482</v>
      </c>
      <c r="F952" s="87" t="s">
        <v>21871</v>
      </c>
      <c r="G952" s="45" t="s">
        <v>6589</v>
      </c>
      <c r="H952" s="55" t="s">
        <v>6590</v>
      </c>
      <c r="I952" s="15" t="s">
        <v>178</v>
      </c>
    </row>
    <row r="953" spans="1:9" ht="51.75" customHeight="1" x14ac:dyDescent="0.35">
      <c r="A953" s="15" t="s">
        <v>23200</v>
      </c>
      <c r="B953" s="15" t="s">
        <v>24483</v>
      </c>
      <c r="C953" s="15" t="s">
        <v>24484</v>
      </c>
      <c r="D953" s="31">
        <v>41116</v>
      </c>
      <c r="E953" s="15" t="s">
        <v>24485</v>
      </c>
      <c r="F953" s="87" t="s">
        <v>23710</v>
      </c>
      <c r="G953" s="45" t="s">
        <v>6589</v>
      </c>
      <c r="H953" s="55" t="s">
        <v>6590</v>
      </c>
      <c r="I953" s="15" t="s">
        <v>178</v>
      </c>
    </row>
    <row r="954" spans="1:9" ht="51.75" customHeight="1" x14ac:dyDescent="0.35">
      <c r="A954" s="15" t="s">
        <v>23200</v>
      </c>
      <c r="B954" s="15" t="s">
        <v>24486</v>
      </c>
      <c r="C954" s="15" t="s">
        <v>24484</v>
      </c>
      <c r="D954" s="31">
        <v>41116</v>
      </c>
      <c r="E954" s="15" t="s">
        <v>24487</v>
      </c>
      <c r="F954" s="87" t="s">
        <v>21871</v>
      </c>
      <c r="G954" s="45" t="s">
        <v>6589</v>
      </c>
      <c r="H954" s="55" t="s">
        <v>6590</v>
      </c>
      <c r="I954" s="15" t="s">
        <v>178</v>
      </c>
    </row>
    <row r="955" spans="1:9" ht="51.75" customHeight="1" x14ac:dyDescent="0.35">
      <c r="A955" s="15" t="s">
        <v>23341</v>
      </c>
      <c r="B955" s="15" t="s">
        <v>24488</v>
      </c>
      <c r="C955" s="15" t="s">
        <v>24489</v>
      </c>
      <c r="D955" s="31">
        <v>41116</v>
      </c>
      <c r="E955" s="15" t="s">
        <v>24490</v>
      </c>
      <c r="F955" s="87" t="s">
        <v>23710</v>
      </c>
      <c r="G955" s="45" t="s">
        <v>6589</v>
      </c>
      <c r="H955" s="55" t="s">
        <v>6590</v>
      </c>
      <c r="I955" s="15" t="s">
        <v>178</v>
      </c>
    </row>
    <row r="956" spans="1:9" ht="51.75" customHeight="1" x14ac:dyDescent="0.35">
      <c r="A956" s="15" t="s">
        <v>23341</v>
      </c>
      <c r="B956" s="15" t="s">
        <v>24491</v>
      </c>
      <c r="C956" s="15" t="s">
        <v>24489</v>
      </c>
      <c r="D956" s="31">
        <v>41116</v>
      </c>
      <c r="E956" s="15" t="s">
        <v>24492</v>
      </c>
      <c r="F956" s="87" t="s">
        <v>21871</v>
      </c>
      <c r="G956" s="45" t="s">
        <v>6589</v>
      </c>
      <c r="H956" s="55" t="s">
        <v>6590</v>
      </c>
      <c r="I956" s="15" t="s">
        <v>178</v>
      </c>
    </row>
    <row r="957" spans="1:9" ht="51.75" customHeight="1" x14ac:dyDescent="0.35">
      <c r="A957" s="15" t="s">
        <v>23345</v>
      </c>
      <c r="B957" s="15" t="s">
        <v>24493</v>
      </c>
      <c r="C957" s="15" t="s">
        <v>24494</v>
      </c>
      <c r="D957" s="31">
        <v>41121</v>
      </c>
      <c r="E957" s="15" t="s">
        <v>24495</v>
      </c>
      <c r="F957" s="87" t="s">
        <v>23710</v>
      </c>
      <c r="G957" s="45" t="s">
        <v>7536</v>
      </c>
      <c r="H957" s="55" t="s">
        <v>7537</v>
      </c>
      <c r="I957" s="15" t="s">
        <v>178</v>
      </c>
    </row>
    <row r="958" spans="1:9" ht="51.75" customHeight="1" x14ac:dyDescent="0.35">
      <c r="A958" s="15" t="s">
        <v>23345</v>
      </c>
      <c r="B958" s="15" t="s">
        <v>24496</v>
      </c>
      <c r="C958" s="15" t="s">
        <v>24494</v>
      </c>
      <c r="D958" s="31">
        <v>41121</v>
      </c>
      <c r="E958" s="15" t="s">
        <v>24497</v>
      </c>
      <c r="F958" s="87" t="s">
        <v>21871</v>
      </c>
      <c r="G958" s="45" t="s">
        <v>7536</v>
      </c>
      <c r="H958" s="55" t="s">
        <v>7537</v>
      </c>
      <c r="I958" s="15" t="s">
        <v>178</v>
      </c>
    </row>
    <row r="959" spans="1:9" ht="51.75" customHeight="1" x14ac:dyDescent="0.35">
      <c r="A959" s="15" t="s">
        <v>23349</v>
      </c>
      <c r="B959" s="15" t="s">
        <v>24498</v>
      </c>
      <c r="C959" s="15" t="s">
        <v>24499</v>
      </c>
      <c r="D959" s="31">
        <v>41121</v>
      </c>
      <c r="E959" s="15" t="s">
        <v>24500</v>
      </c>
      <c r="F959" s="87" t="s">
        <v>23710</v>
      </c>
      <c r="G959" s="45" t="s">
        <v>7536</v>
      </c>
      <c r="H959" s="55" t="s">
        <v>7537</v>
      </c>
      <c r="I959" s="15" t="s">
        <v>178</v>
      </c>
    </row>
    <row r="960" spans="1:9" ht="51.75" customHeight="1" x14ac:dyDescent="0.35">
      <c r="A960" s="15" t="s">
        <v>23349</v>
      </c>
      <c r="B960" s="15" t="s">
        <v>24501</v>
      </c>
      <c r="C960" s="15" t="s">
        <v>24499</v>
      </c>
      <c r="D960" s="31">
        <v>41121</v>
      </c>
      <c r="E960" s="15" t="s">
        <v>24502</v>
      </c>
      <c r="F960" s="87" t="s">
        <v>21871</v>
      </c>
      <c r="G960" s="45" t="s">
        <v>7536</v>
      </c>
      <c r="H960" s="55" t="s">
        <v>7537</v>
      </c>
      <c r="I960" s="15" t="s">
        <v>178</v>
      </c>
    </row>
    <row r="961" spans="1:9" ht="51.75" customHeight="1" x14ac:dyDescent="0.35">
      <c r="A961" s="15" t="s">
        <v>24503</v>
      </c>
      <c r="B961" s="15" t="s">
        <v>24504</v>
      </c>
      <c r="C961" s="15" t="s">
        <v>24505</v>
      </c>
      <c r="D961" s="31">
        <v>41121</v>
      </c>
      <c r="E961" s="15" t="s">
        <v>24506</v>
      </c>
      <c r="F961" s="87" t="s">
        <v>23710</v>
      </c>
      <c r="G961" s="45" t="s">
        <v>7536</v>
      </c>
      <c r="H961" s="55" t="s">
        <v>7537</v>
      </c>
      <c r="I961" s="15" t="s">
        <v>178</v>
      </c>
    </row>
    <row r="962" spans="1:9" ht="51.75" customHeight="1" x14ac:dyDescent="0.35">
      <c r="A962" s="15" t="s">
        <v>24503</v>
      </c>
      <c r="B962" s="15" t="s">
        <v>24507</v>
      </c>
      <c r="C962" s="15" t="s">
        <v>24505</v>
      </c>
      <c r="D962" s="31">
        <v>41121</v>
      </c>
      <c r="E962" s="15" t="s">
        <v>24508</v>
      </c>
      <c r="F962" s="87" t="s">
        <v>21871</v>
      </c>
      <c r="G962" s="45" t="s">
        <v>7536</v>
      </c>
      <c r="H962" s="55" t="s">
        <v>7537</v>
      </c>
      <c r="I962" s="15" t="s">
        <v>178</v>
      </c>
    </row>
    <row r="963" spans="1:9" ht="51.75" customHeight="1" x14ac:dyDescent="0.35">
      <c r="A963" s="15" t="s">
        <v>24509</v>
      </c>
      <c r="B963" s="15" t="s">
        <v>24510</v>
      </c>
      <c r="C963" s="15" t="s">
        <v>24511</v>
      </c>
      <c r="D963" s="31">
        <v>41121</v>
      </c>
      <c r="E963" s="15" t="s">
        <v>24512</v>
      </c>
      <c r="F963" s="87" t="s">
        <v>23710</v>
      </c>
      <c r="G963" s="45" t="s">
        <v>6911</v>
      </c>
      <c r="H963" s="55" t="s">
        <v>6912</v>
      </c>
      <c r="I963" s="15" t="s">
        <v>178</v>
      </c>
    </row>
    <row r="964" spans="1:9" ht="51.75" customHeight="1" x14ac:dyDescent="0.35">
      <c r="A964" s="15" t="s">
        <v>24509</v>
      </c>
      <c r="B964" s="15" t="s">
        <v>24513</v>
      </c>
      <c r="C964" s="15" t="s">
        <v>24511</v>
      </c>
      <c r="D964" s="31">
        <v>41121</v>
      </c>
      <c r="E964" s="15" t="s">
        <v>24514</v>
      </c>
      <c r="F964" s="87" t="s">
        <v>21871</v>
      </c>
      <c r="G964" s="45" t="s">
        <v>6911</v>
      </c>
      <c r="H964" s="55" t="s">
        <v>6912</v>
      </c>
      <c r="I964" s="15" t="s">
        <v>178</v>
      </c>
    </row>
    <row r="965" spans="1:9" ht="51.75" customHeight="1" x14ac:dyDescent="0.35">
      <c r="A965" s="15" t="s">
        <v>24515</v>
      </c>
      <c r="B965" s="15" t="s">
        <v>24516</v>
      </c>
      <c r="C965" s="15" t="s">
        <v>24517</v>
      </c>
      <c r="D965" s="31">
        <v>41121</v>
      </c>
      <c r="E965" s="15" t="s">
        <v>24518</v>
      </c>
      <c r="F965" s="87" t="s">
        <v>23710</v>
      </c>
      <c r="G965" s="45" t="s">
        <v>6911</v>
      </c>
      <c r="H965" s="55" t="s">
        <v>6912</v>
      </c>
      <c r="I965" s="15" t="s">
        <v>178</v>
      </c>
    </row>
    <row r="966" spans="1:9" ht="51.75" customHeight="1" x14ac:dyDescent="0.35">
      <c r="A966" s="15" t="s">
        <v>24515</v>
      </c>
      <c r="B966" s="15" t="s">
        <v>24519</v>
      </c>
      <c r="C966" s="15" t="s">
        <v>24517</v>
      </c>
      <c r="D966" s="31">
        <v>41121</v>
      </c>
      <c r="E966" s="15" t="s">
        <v>24520</v>
      </c>
      <c r="F966" s="87" t="s">
        <v>21871</v>
      </c>
      <c r="G966" s="45" t="s">
        <v>6911</v>
      </c>
      <c r="H966" s="55" t="s">
        <v>6912</v>
      </c>
      <c r="I966" s="15" t="s">
        <v>178</v>
      </c>
    </row>
    <row r="967" spans="1:9" ht="51.75" customHeight="1" x14ac:dyDescent="0.35">
      <c r="A967" s="15" t="s">
        <v>24521</v>
      </c>
      <c r="B967" s="15" t="s">
        <v>24522</v>
      </c>
      <c r="C967" s="15" t="s">
        <v>24494</v>
      </c>
      <c r="D967" s="31">
        <v>41144</v>
      </c>
      <c r="E967" s="15" t="s">
        <v>24523</v>
      </c>
      <c r="F967" s="87" t="s">
        <v>23710</v>
      </c>
      <c r="G967" s="45" t="s">
        <v>6943</v>
      </c>
      <c r="H967" s="55" t="s">
        <v>6944</v>
      </c>
      <c r="I967" s="15" t="s">
        <v>178</v>
      </c>
    </row>
    <row r="968" spans="1:9" ht="51.75" customHeight="1" x14ac:dyDescent="0.35">
      <c r="A968" s="15" t="s">
        <v>24521</v>
      </c>
      <c r="B968" s="15" t="s">
        <v>24524</v>
      </c>
      <c r="C968" s="15" t="s">
        <v>24494</v>
      </c>
      <c r="D968" s="31">
        <v>41144</v>
      </c>
      <c r="E968" s="15" t="s">
        <v>24525</v>
      </c>
      <c r="F968" s="87" t="s">
        <v>21871</v>
      </c>
      <c r="G968" s="45" t="s">
        <v>6943</v>
      </c>
      <c r="H968" s="55" t="s">
        <v>6944</v>
      </c>
      <c r="I968" s="15" t="s">
        <v>178</v>
      </c>
    </row>
    <row r="969" spans="1:9" ht="51.75" customHeight="1" x14ac:dyDescent="0.35">
      <c r="A969" s="15" t="s">
        <v>24526</v>
      </c>
      <c r="B969" s="15" t="s">
        <v>24527</v>
      </c>
      <c r="C969" s="15" t="s">
        <v>24528</v>
      </c>
      <c r="D969" s="31">
        <v>41144</v>
      </c>
      <c r="E969" s="15" t="s">
        <v>24500</v>
      </c>
      <c r="F969" s="87" t="s">
        <v>23710</v>
      </c>
      <c r="G969" s="45" t="s">
        <v>6943</v>
      </c>
      <c r="H969" s="55" t="s">
        <v>6944</v>
      </c>
      <c r="I969" s="15" t="s">
        <v>178</v>
      </c>
    </row>
    <row r="970" spans="1:9" ht="51.75" customHeight="1" x14ac:dyDescent="0.35">
      <c r="A970" s="15" t="s">
        <v>24526</v>
      </c>
      <c r="B970" s="15" t="s">
        <v>24529</v>
      </c>
      <c r="C970" s="15" t="s">
        <v>24528</v>
      </c>
      <c r="D970" s="31">
        <v>41144</v>
      </c>
      <c r="E970" s="15" t="s">
        <v>24502</v>
      </c>
      <c r="F970" s="87" t="s">
        <v>21871</v>
      </c>
      <c r="G970" s="45" t="s">
        <v>6943</v>
      </c>
      <c r="H970" s="55" t="s">
        <v>6944</v>
      </c>
      <c r="I970" s="15" t="s">
        <v>178</v>
      </c>
    </row>
    <row r="971" spans="1:9" ht="51.75" customHeight="1" x14ac:dyDescent="0.35">
      <c r="A971" s="15" t="s">
        <v>24530</v>
      </c>
      <c r="B971" s="15" t="s">
        <v>24531</v>
      </c>
      <c r="C971" s="15" t="s">
        <v>24532</v>
      </c>
      <c r="D971" s="31">
        <v>41144</v>
      </c>
      <c r="E971" s="15" t="s">
        <v>24533</v>
      </c>
      <c r="F971" s="87" t="s">
        <v>23710</v>
      </c>
      <c r="G971" s="45" t="s">
        <v>6943</v>
      </c>
      <c r="H971" s="55" t="s">
        <v>6944</v>
      </c>
      <c r="I971" s="15" t="s">
        <v>178</v>
      </c>
    </row>
    <row r="972" spans="1:9" ht="51.75" customHeight="1" x14ac:dyDescent="0.35">
      <c r="A972" s="15" t="s">
        <v>24530</v>
      </c>
      <c r="B972" s="15" t="s">
        <v>24534</v>
      </c>
      <c r="C972" s="15" t="s">
        <v>24532</v>
      </c>
      <c r="D972" s="31">
        <v>41144</v>
      </c>
      <c r="E972" s="15" t="s">
        <v>24535</v>
      </c>
      <c r="F972" s="87" t="s">
        <v>21871</v>
      </c>
      <c r="G972" s="45" t="s">
        <v>6943</v>
      </c>
      <c r="H972" s="55" t="s">
        <v>6944</v>
      </c>
      <c r="I972" s="15" t="s">
        <v>178</v>
      </c>
    </row>
    <row r="973" spans="1:9" ht="51.75" customHeight="1" x14ac:dyDescent="0.35">
      <c r="A973" s="15" t="s">
        <v>24536</v>
      </c>
      <c r="B973" s="15" t="s">
        <v>24537</v>
      </c>
      <c r="C973" s="15" t="s">
        <v>24494</v>
      </c>
      <c r="D973" s="31" t="s">
        <v>50</v>
      </c>
      <c r="E973" s="15" t="s">
        <v>24538</v>
      </c>
      <c r="F973" s="87" t="s">
        <v>23710</v>
      </c>
      <c r="G973" s="45" t="s">
        <v>7723</v>
      </c>
      <c r="H973" s="55" t="s">
        <v>7724</v>
      </c>
      <c r="I973" s="15" t="s">
        <v>178</v>
      </c>
    </row>
    <row r="974" spans="1:9" ht="51.75" customHeight="1" x14ac:dyDescent="0.35">
      <c r="A974" s="15" t="s">
        <v>24536</v>
      </c>
      <c r="B974" s="15" t="s">
        <v>24539</v>
      </c>
      <c r="C974" s="15" t="s">
        <v>24494</v>
      </c>
      <c r="D974" s="31" t="s">
        <v>50</v>
      </c>
      <c r="E974" s="15" t="s">
        <v>24540</v>
      </c>
      <c r="F974" s="87" t="s">
        <v>21871</v>
      </c>
      <c r="G974" s="45" t="s">
        <v>7723</v>
      </c>
      <c r="H974" s="55" t="s">
        <v>7724</v>
      </c>
      <c r="I974" s="15" t="s">
        <v>178</v>
      </c>
    </row>
    <row r="975" spans="1:9" ht="51.75" customHeight="1" x14ac:dyDescent="0.35">
      <c r="A975" s="15" t="s">
        <v>24541</v>
      </c>
      <c r="B975" s="15" t="s">
        <v>24542</v>
      </c>
      <c r="C975" s="15" t="s">
        <v>24511</v>
      </c>
      <c r="D975" s="31">
        <v>41144</v>
      </c>
      <c r="E975" s="15" t="s">
        <v>24543</v>
      </c>
      <c r="F975" s="87" t="s">
        <v>23710</v>
      </c>
      <c r="G975" s="45" t="s">
        <v>7632</v>
      </c>
      <c r="H975" s="55" t="s">
        <v>7633</v>
      </c>
      <c r="I975" s="15" t="s">
        <v>178</v>
      </c>
    </row>
    <row r="976" spans="1:9" ht="51.75" customHeight="1" x14ac:dyDescent="0.35">
      <c r="A976" s="15" t="s">
        <v>24541</v>
      </c>
      <c r="B976" s="15" t="s">
        <v>24544</v>
      </c>
      <c r="C976" s="15" t="s">
        <v>24511</v>
      </c>
      <c r="D976" s="31">
        <v>41144</v>
      </c>
      <c r="E976" s="15" t="s">
        <v>24545</v>
      </c>
      <c r="F976" s="87" t="s">
        <v>21871</v>
      </c>
      <c r="G976" s="45" t="s">
        <v>7632</v>
      </c>
      <c r="H976" s="55" t="s">
        <v>7633</v>
      </c>
      <c r="I976" s="15" t="s">
        <v>178</v>
      </c>
    </row>
    <row r="977" spans="1:9" ht="51.75" customHeight="1" x14ac:dyDescent="0.35">
      <c r="A977" s="15" t="s">
        <v>24546</v>
      </c>
      <c r="B977" s="15" t="s">
        <v>24547</v>
      </c>
      <c r="C977" s="15" t="s">
        <v>21892</v>
      </c>
      <c r="D977" s="31">
        <v>41180</v>
      </c>
      <c r="E977" s="15" t="s">
        <v>24548</v>
      </c>
      <c r="F977" s="87" t="s">
        <v>23710</v>
      </c>
      <c r="G977" s="45" t="s">
        <v>7830</v>
      </c>
      <c r="H977" s="55" t="s">
        <v>7831</v>
      </c>
      <c r="I977" s="15" t="s">
        <v>178</v>
      </c>
    </row>
    <row r="978" spans="1:9" ht="51.75" customHeight="1" x14ac:dyDescent="0.35">
      <c r="A978" s="15" t="s">
        <v>24546</v>
      </c>
      <c r="B978" s="15" t="s">
        <v>24549</v>
      </c>
      <c r="C978" s="15" t="s">
        <v>21892</v>
      </c>
      <c r="D978" s="31">
        <v>41180</v>
      </c>
      <c r="E978" s="15" t="s">
        <v>24550</v>
      </c>
      <c r="F978" s="87" t="s">
        <v>21871</v>
      </c>
      <c r="G978" s="45" t="s">
        <v>7830</v>
      </c>
      <c r="H978" s="55" t="s">
        <v>7831</v>
      </c>
      <c r="I978" s="15" t="s">
        <v>178</v>
      </c>
    </row>
    <row r="979" spans="1:9" ht="51.75" customHeight="1" x14ac:dyDescent="0.35">
      <c r="A979" s="15" t="s">
        <v>24551</v>
      </c>
      <c r="B979" s="15" t="s">
        <v>24552</v>
      </c>
      <c r="C979" s="15" t="s">
        <v>21896</v>
      </c>
      <c r="D979" s="31">
        <v>41180</v>
      </c>
      <c r="E979" s="15" t="s">
        <v>24553</v>
      </c>
      <c r="F979" s="87" t="s">
        <v>23710</v>
      </c>
      <c r="G979" s="45" t="s">
        <v>7830</v>
      </c>
      <c r="H979" s="55" t="s">
        <v>7831</v>
      </c>
      <c r="I979" s="15" t="s">
        <v>178</v>
      </c>
    </row>
    <row r="980" spans="1:9" ht="51.75" customHeight="1" x14ac:dyDescent="0.35">
      <c r="A980" s="15" t="s">
        <v>24551</v>
      </c>
      <c r="B980" s="15" t="s">
        <v>24554</v>
      </c>
      <c r="C980" s="15" t="s">
        <v>21896</v>
      </c>
      <c r="D980" s="31">
        <v>41180</v>
      </c>
      <c r="E980" s="15" t="s">
        <v>24555</v>
      </c>
      <c r="F980" s="87" t="s">
        <v>21871</v>
      </c>
      <c r="G980" s="45" t="s">
        <v>7830</v>
      </c>
      <c r="H980" s="55" t="s">
        <v>7831</v>
      </c>
      <c r="I980" s="15" t="s">
        <v>178</v>
      </c>
    </row>
    <row r="981" spans="1:9" ht="51.75" customHeight="1" x14ac:dyDescent="0.35">
      <c r="A981" s="15" t="s">
        <v>24556</v>
      </c>
      <c r="B981" s="15" t="s">
        <v>24557</v>
      </c>
      <c r="C981" s="15" t="s">
        <v>24243</v>
      </c>
      <c r="D981" s="31">
        <v>41180</v>
      </c>
      <c r="E981" s="15" t="s">
        <v>24558</v>
      </c>
      <c r="F981" s="87" t="s">
        <v>23710</v>
      </c>
      <c r="G981" s="45" t="s">
        <v>7830</v>
      </c>
      <c r="H981" s="55" t="s">
        <v>7831</v>
      </c>
      <c r="I981" s="15" t="s">
        <v>178</v>
      </c>
    </row>
    <row r="982" spans="1:9" ht="51.75" customHeight="1" x14ac:dyDescent="0.35">
      <c r="A982" s="15" t="s">
        <v>24556</v>
      </c>
      <c r="B982" s="15" t="s">
        <v>24559</v>
      </c>
      <c r="C982" s="15" t="s">
        <v>24243</v>
      </c>
      <c r="D982" s="31">
        <v>41180</v>
      </c>
      <c r="E982" s="15" t="s">
        <v>24560</v>
      </c>
      <c r="F982" s="87" t="s">
        <v>21871</v>
      </c>
      <c r="G982" s="45" t="s">
        <v>7830</v>
      </c>
      <c r="H982" s="55" t="s">
        <v>7831</v>
      </c>
      <c r="I982" s="15" t="s">
        <v>178</v>
      </c>
    </row>
    <row r="983" spans="1:9" ht="51.75" customHeight="1" x14ac:dyDescent="0.35">
      <c r="A983" s="15" t="s">
        <v>24561</v>
      </c>
      <c r="B983" s="15" t="s">
        <v>24562</v>
      </c>
      <c r="C983" s="15" t="s">
        <v>24563</v>
      </c>
      <c r="D983" s="31">
        <v>41332</v>
      </c>
      <c r="E983" s="15" t="s">
        <v>24564</v>
      </c>
      <c r="F983" s="87" t="s">
        <v>23710</v>
      </c>
      <c r="G983" s="45" t="s">
        <v>7031</v>
      </c>
      <c r="H983" s="55" t="s">
        <v>7032</v>
      </c>
      <c r="I983" s="15" t="s">
        <v>178</v>
      </c>
    </row>
    <row r="984" spans="1:9" ht="51.75" customHeight="1" x14ac:dyDescent="0.35">
      <c r="A984" s="15" t="s">
        <v>24561</v>
      </c>
      <c r="B984" s="15" t="s">
        <v>24565</v>
      </c>
      <c r="C984" s="15" t="s">
        <v>24563</v>
      </c>
      <c r="D984" s="31">
        <v>41332</v>
      </c>
      <c r="E984" s="15" t="s">
        <v>24566</v>
      </c>
      <c r="F984" s="87" t="s">
        <v>21871</v>
      </c>
      <c r="G984" s="45" t="s">
        <v>7031</v>
      </c>
      <c r="H984" s="55" t="s">
        <v>7032</v>
      </c>
      <c r="I984" s="15" t="s">
        <v>178</v>
      </c>
    </row>
    <row r="985" spans="1:9" ht="51.75" customHeight="1" x14ac:dyDescent="0.35">
      <c r="A985" s="15" t="s">
        <v>24567</v>
      </c>
      <c r="B985" s="15" t="s">
        <v>24568</v>
      </c>
      <c r="C985" s="15" t="s">
        <v>21892</v>
      </c>
      <c r="D985" s="31">
        <v>41331</v>
      </c>
      <c r="E985" s="15" t="s">
        <v>24569</v>
      </c>
      <c r="F985" s="87" t="s">
        <v>23710</v>
      </c>
      <c r="G985" s="45" t="s">
        <v>7675</v>
      </c>
      <c r="H985" s="55" t="s">
        <v>7676</v>
      </c>
      <c r="I985" s="15" t="s">
        <v>178</v>
      </c>
    </row>
    <row r="986" spans="1:9" ht="51.75" customHeight="1" x14ac:dyDescent="0.35">
      <c r="A986" s="15" t="s">
        <v>24567</v>
      </c>
      <c r="B986" s="15" t="s">
        <v>24570</v>
      </c>
      <c r="C986" s="15" t="s">
        <v>21892</v>
      </c>
      <c r="D986" s="31">
        <v>41331</v>
      </c>
      <c r="E986" s="15" t="s">
        <v>24571</v>
      </c>
      <c r="F986" s="87" t="s">
        <v>21871</v>
      </c>
      <c r="G986" s="45" t="s">
        <v>7675</v>
      </c>
      <c r="H986" s="55" t="s">
        <v>7676</v>
      </c>
      <c r="I986" s="15" t="s">
        <v>178</v>
      </c>
    </row>
    <row r="987" spans="1:9" ht="51.75" customHeight="1" x14ac:dyDescent="0.35">
      <c r="A987" s="15" t="s">
        <v>24572</v>
      </c>
      <c r="B987" s="15" t="s">
        <v>24573</v>
      </c>
      <c r="C987" s="15" t="s">
        <v>21896</v>
      </c>
      <c r="D987" s="31">
        <v>41331</v>
      </c>
      <c r="E987" s="15" t="s">
        <v>24574</v>
      </c>
      <c r="F987" s="87" t="s">
        <v>23710</v>
      </c>
      <c r="G987" s="45" t="s">
        <v>7675</v>
      </c>
      <c r="H987" s="55" t="s">
        <v>7676</v>
      </c>
      <c r="I987" s="15" t="s">
        <v>178</v>
      </c>
    </row>
    <row r="988" spans="1:9" ht="51.75" customHeight="1" x14ac:dyDescent="0.35">
      <c r="A988" s="15" t="s">
        <v>24572</v>
      </c>
      <c r="B988" s="15" t="s">
        <v>24575</v>
      </c>
      <c r="C988" s="15" t="s">
        <v>21896</v>
      </c>
      <c r="D988" s="31">
        <v>41331</v>
      </c>
      <c r="E988" s="15" t="s">
        <v>24576</v>
      </c>
      <c r="F988" s="87" t="s">
        <v>21871</v>
      </c>
      <c r="G988" s="45" t="s">
        <v>7675</v>
      </c>
      <c r="H988" s="55" t="s">
        <v>7676</v>
      </c>
      <c r="I988" s="15" t="s">
        <v>178</v>
      </c>
    </row>
    <row r="989" spans="1:9" ht="51.75" customHeight="1" x14ac:dyDescent="0.35">
      <c r="A989" s="15" t="s">
        <v>23810</v>
      </c>
      <c r="B989" s="15" t="s">
        <v>24577</v>
      </c>
      <c r="C989" s="15" t="s">
        <v>24243</v>
      </c>
      <c r="D989" s="31">
        <v>41331</v>
      </c>
      <c r="E989" s="15" t="s">
        <v>24578</v>
      </c>
      <c r="F989" s="87" t="s">
        <v>23710</v>
      </c>
      <c r="G989" s="45" t="s">
        <v>7675</v>
      </c>
      <c r="H989" s="55" t="s">
        <v>7676</v>
      </c>
      <c r="I989" s="15" t="s">
        <v>178</v>
      </c>
    </row>
    <row r="990" spans="1:9" ht="51.75" customHeight="1" x14ac:dyDescent="0.35">
      <c r="A990" s="15" t="s">
        <v>23810</v>
      </c>
      <c r="B990" s="15" t="s">
        <v>24579</v>
      </c>
      <c r="C990" s="15" t="s">
        <v>24243</v>
      </c>
      <c r="D990" s="31">
        <v>41331</v>
      </c>
      <c r="E990" s="15" t="s">
        <v>24580</v>
      </c>
      <c r="F990" s="87" t="s">
        <v>21871</v>
      </c>
      <c r="G990" s="45" t="s">
        <v>7675</v>
      </c>
      <c r="H990" s="55" t="s">
        <v>7676</v>
      </c>
      <c r="I990" s="15" t="s">
        <v>178</v>
      </c>
    </row>
    <row r="991" spans="1:9" ht="51.75" customHeight="1" x14ac:dyDescent="0.35">
      <c r="A991" s="15" t="s">
        <v>24581</v>
      </c>
      <c r="B991" s="15" t="s">
        <v>24582</v>
      </c>
      <c r="C991" s="15" t="s">
        <v>24583</v>
      </c>
      <c r="D991" s="31">
        <v>40756</v>
      </c>
      <c r="E991" s="15" t="s">
        <v>24584</v>
      </c>
      <c r="F991" s="87" t="s">
        <v>23710</v>
      </c>
      <c r="G991" s="45" t="s">
        <v>6186</v>
      </c>
      <c r="H991" s="55" t="s">
        <v>6187</v>
      </c>
      <c r="I991" s="15" t="s">
        <v>178</v>
      </c>
    </row>
    <row r="992" spans="1:9" ht="51.75" customHeight="1" x14ac:dyDescent="0.35">
      <c r="A992" s="15" t="s">
        <v>24581</v>
      </c>
      <c r="B992" s="15" t="s">
        <v>24585</v>
      </c>
      <c r="C992" s="15" t="s">
        <v>24583</v>
      </c>
      <c r="D992" s="31">
        <v>40756</v>
      </c>
      <c r="E992" s="15" t="s">
        <v>24586</v>
      </c>
      <c r="F992" s="87" t="s">
        <v>21871</v>
      </c>
      <c r="G992" s="45" t="s">
        <v>6186</v>
      </c>
      <c r="H992" s="55" t="s">
        <v>6187</v>
      </c>
      <c r="I992" s="15" t="s">
        <v>178</v>
      </c>
    </row>
    <row r="993" spans="1:9" ht="51.75" customHeight="1" x14ac:dyDescent="0.35">
      <c r="A993" s="15" t="s">
        <v>24587</v>
      </c>
      <c r="B993" s="15" t="s">
        <v>24588</v>
      </c>
      <c r="C993" s="15" t="s">
        <v>24589</v>
      </c>
      <c r="D993" s="31">
        <v>40756</v>
      </c>
      <c r="E993" s="15" t="s">
        <v>24590</v>
      </c>
      <c r="F993" s="87" t="s">
        <v>23710</v>
      </c>
      <c r="G993" s="45" t="s">
        <v>6186</v>
      </c>
      <c r="H993" s="55" t="s">
        <v>6187</v>
      </c>
      <c r="I993" s="15" t="s">
        <v>178</v>
      </c>
    </row>
    <row r="994" spans="1:9" ht="51.75" customHeight="1" x14ac:dyDescent="0.35">
      <c r="A994" s="15" t="s">
        <v>24587</v>
      </c>
      <c r="B994" s="15" t="s">
        <v>24591</v>
      </c>
      <c r="C994" s="15" t="s">
        <v>24589</v>
      </c>
      <c r="D994" s="31">
        <v>40756</v>
      </c>
      <c r="E994" s="15" t="s">
        <v>24592</v>
      </c>
      <c r="F994" s="87" t="s">
        <v>21871</v>
      </c>
      <c r="G994" s="45" t="s">
        <v>6186</v>
      </c>
      <c r="H994" s="55" t="s">
        <v>6187</v>
      </c>
      <c r="I994" s="15" t="s">
        <v>178</v>
      </c>
    </row>
    <row r="995" spans="1:9" ht="51.75" customHeight="1" x14ac:dyDescent="0.35">
      <c r="A995" s="15" t="s">
        <v>24515</v>
      </c>
      <c r="B995" s="15" t="s">
        <v>24593</v>
      </c>
      <c r="C995" s="15" t="s">
        <v>24594</v>
      </c>
      <c r="D995" s="31">
        <v>40640</v>
      </c>
      <c r="E995" s="15" t="s">
        <v>24595</v>
      </c>
      <c r="F995" s="87" t="s">
        <v>23710</v>
      </c>
      <c r="G995" s="45" t="s">
        <v>4521</v>
      </c>
      <c r="H995" s="55" t="s">
        <v>4522</v>
      </c>
      <c r="I995" s="15" t="s">
        <v>178</v>
      </c>
    </row>
    <row r="996" spans="1:9" ht="51.75" customHeight="1" x14ac:dyDescent="0.35">
      <c r="A996" s="15" t="s">
        <v>24515</v>
      </c>
      <c r="B996" s="15" t="s">
        <v>24596</v>
      </c>
      <c r="C996" s="15" t="s">
        <v>24594</v>
      </c>
      <c r="D996" s="31">
        <v>40640</v>
      </c>
      <c r="E996" s="15" t="s">
        <v>24597</v>
      </c>
      <c r="F996" s="87" t="s">
        <v>21871</v>
      </c>
      <c r="G996" s="45" t="s">
        <v>4521</v>
      </c>
      <c r="H996" s="55" t="s">
        <v>4522</v>
      </c>
      <c r="I996" s="15" t="s">
        <v>178</v>
      </c>
    </row>
    <row r="997" spans="1:9" ht="51.75" customHeight="1" x14ac:dyDescent="0.35">
      <c r="A997" s="15" t="s">
        <v>24541</v>
      </c>
      <c r="B997" s="15" t="s">
        <v>24598</v>
      </c>
      <c r="C997" s="15" t="s">
        <v>24599</v>
      </c>
      <c r="D997" s="31">
        <v>40640</v>
      </c>
      <c r="E997" s="15" t="s">
        <v>24600</v>
      </c>
      <c r="F997" s="87" t="s">
        <v>23710</v>
      </c>
      <c r="G997" s="45" t="s">
        <v>4521</v>
      </c>
      <c r="H997" s="55" t="s">
        <v>4522</v>
      </c>
      <c r="I997" s="15" t="s">
        <v>178</v>
      </c>
    </row>
    <row r="998" spans="1:9" ht="51.75" customHeight="1" x14ac:dyDescent="0.35">
      <c r="A998" s="15" t="s">
        <v>24541</v>
      </c>
      <c r="B998" s="15" t="s">
        <v>24601</v>
      </c>
      <c r="C998" s="15" t="s">
        <v>24599</v>
      </c>
      <c r="D998" s="31">
        <v>40640</v>
      </c>
      <c r="E998" s="15" t="s">
        <v>24602</v>
      </c>
      <c r="F998" s="87" t="s">
        <v>21871</v>
      </c>
      <c r="G998" s="45" t="s">
        <v>4521</v>
      </c>
      <c r="H998" s="55" t="s">
        <v>4522</v>
      </c>
      <c r="I998" s="15" t="s">
        <v>178</v>
      </c>
    </row>
    <row r="999" spans="1:9" ht="51.75" customHeight="1" x14ac:dyDescent="0.35">
      <c r="A999" s="15" t="s">
        <v>24536</v>
      </c>
      <c r="B999" s="15" t="s">
        <v>24603</v>
      </c>
      <c r="C999" s="15" t="s">
        <v>24604</v>
      </c>
      <c r="D999" s="31">
        <v>40640</v>
      </c>
      <c r="E999" s="15" t="s">
        <v>24605</v>
      </c>
      <c r="F999" s="87" t="s">
        <v>23710</v>
      </c>
      <c r="G999" s="45" t="s">
        <v>4521</v>
      </c>
      <c r="H999" s="55" t="s">
        <v>4522</v>
      </c>
      <c r="I999" s="15" t="s">
        <v>178</v>
      </c>
    </row>
    <row r="1000" spans="1:9" ht="51.75" customHeight="1" x14ac:dyDescent="0.35">
      <c r="A1000" s="15" t="s">
        <v>24536</v>
      </c>
      <c r="B1000" s="15" t="s">
        <v>24606</v>
      </c>
      <c r="C1000" s="15" t="s">
        <v>24604</v>
      </c>
      <c r="D1000" s="31">
        <v>40640</v>
      </c>
      <c r="E1000" s="15" t="s">
        <v>24607</v>
      </c>
      <c r="F1000" s="87" t="s">
        <v>21871</v>
      </c>
      <c r="G1000" s="45" t="s">
        <v>4521</v>
      </c>
      <c r="H1000" s="55" t="s">
        <v>4522</v>
      </c>
      <c r="I1000" s="15" t="s">
        <v>178</v>
      </c>
    </row>
    <row r="1001" spans="1:9" ht="51.75" customHeight="1" x14ac:dyDescent="0.35">
      <c r="A1001" s="15" t="s">
        <v>24521</v>
      </c>
      <c r="B1001" s="15" t="s">
        <v>24608</v>
      </c>
      <c r="C1001" s="15" t="s">
        <v>24609</v>
      </c>
      <c r="D1001" s="31">
        <v>40640</v>
      </c>
      <c r="E1001" s="15" t="s">
        <v>24610</v>
      </c>
      <c r="F1001" s="87" t="s">
        <v>23710</v>
      </c>
      <c r="G1001" s="45" t="s">
        <v>4521</v>
      </c>
      <c r="H1001" s="55" t="s">
        <v>4522</v>
      </c>
      <c r="I1001" s="15" t="s">
        <v>178</v>
      </c>
    </row>
    <row r="1002" spans="1:9" ht="51.75" customHeight="1" x14ac:dyDescent="0.35">
      <c r="A1002" s="15" t="s">
        <v>24521</v>
      </c>
      <c r="B1002" s="15" t="s">
        <v>24611</v>
      </c>
      <c r="C1002" s="15" t="s">
        <v>24609</v>
      </c>
      <c r="D1002" s="31">
        <v>40640</v>
      </c>
      <c r="E1002" s="15" t="s">
        <v>24612</v>
      </c>
      <c r="F1002" s="87" t="s">
        <v>21871</v>
      </c>
      <c r="G1002" s="45" t="s">
        <v>4521</v>
      </c>
      <c r="H1002" s="55" t="s">
        <v>4522</v>
      </c>
      <c r="I1002" s="15" t="s">
        <v>178</v>
      </c>
    </row>
    <row r="1003" spans="1:9" ht="51.75" customHeight="1" x14ac:dyDescent="0.35">
      <c r="A1003" s="15" t="s">
        <v>24526</v>
      </c>
      <c r="B1003" s="15" t="s">
        <v>24613</v>
      </c>
      <c r="C1003" s="15" t="s">
        <v>24614</v>
      </c>
      <c r="D1003" s="31">
        <v>40640</v>
      </c>
      <c r="E1003" s="15" t="s">
        <v>24615</v>
      </c>
      <c r="F1003" s="87" t="s">
        <v>23710</v>
      </c>
      <c r="G1003" s="45" t="s">
        <v>4521</v>
      </c>
      <c r="H1003" s="55" t="s">
        <v>4522</v>
      </c>
      <c r="I1003" s="15" t="s">
        <v>178</v>
      </c>
    </row>
    <row r="1004" spans="1:9" ht="51.75" customHeight="1" x14ac:dyDescent="0.35">
      <c r="A1004" s="15" t="s">
        <v>24526</v>
      </c>
      <c r="B1004" s="15" t="s">
        <v>24616</v>
      </c>
      <c r="C1004" s="15" t="s">
        <v>24614</v>
      </c>
      <c r="D1004" s="31">
        <v>40640</v>
      </c>
      <c r="E1004" s="15" t="s">
        <v>24617</v>
      </c>
      <c r="F1004" s="87" t="s">
        <v>21871</v>
      </c>
      <c r="G1004" s="45" t="s">
        <v>4521</v>
      </c>
      <c r="H1004" s="55" t="s">
        <v>4522</v>
      </c>
      <c r="I1004" s="15" t="s">
        <v>178</v>
      </c>
    </row>
    <row r="1005" spans="1:9" ht="51.75" customHeight="1" x14ac:dyDescent="0.35">
      <c r="A1005" s="15" t="s">
        <v>24530</v>
      </c>
      <c r="B1005" s="15" t="s">
        <v>24618</v>
      </c>
      <c r="C1005" s="15" t="s">
        <v>24619</v>
      </c>
      <c r="D1005" s="31">
        <v>40640</v>
      </c>
      <c r="E1005" s="15" t="s">
        <v>24620</v>
      </c>
      <c r="F1005" s="87" t="s">
        <v>23710</v>
      </c>
      <c r="G1005" s="45" t="s">
        <v>4521</v>
      </c>
      <c r="H1005" s="55" t="s">
        <v>4522</v>
      </c>
      <c r="I1005" s="15" t="s">
        <v>178</v>
      </c>
    </row>
    <row r="1006" spans="1:9" ht="51.75" customHeight="1" x14ac:dyDescent="0.35">
      <c r="A1006" s="15" t="s">
        <v>24530</v>
      </c>
      <c r="B1006" s="15" t="s">
        <v>24621</v>
      </c>
      <c r="C1006" s="15" t="s">
        <v>24619</v>
      </c>
      <c r="D1006" s="31">
        <v>40640</v>
      </c>
      <c r="E1006" s="15" t="s">
        <v>24622</v>
      </c>
      <c r="F1006" s="87" t="s">
        <v>21871</v>
      </c>
      <c r="G1006" s="45" t="s">
        <v>4521</v>
      </c>
      <c r="H1006" s="55" t="s">
        <v>4522</v>
      </c>
      <c r="I1006" s="15" t="s">
        <v>178</v>
      </c>
    </row>
    <row r="1007" spans="1:9" ht="51.75" customHeight="1" x14ac:dyDescent="0.35">
      <c r="A1007" s="15" t="s">
        <v>24623</v>
      </c>
      <c r="B1007" s="15" t="s">
        <v>24624</v>
      </c>
      <c r="C1007" s="15" t="s">
        <v>24625</v>
      </c>
      <c r="D1007" s="31">
        <v>40763</v>
      </c>
      <c r="E1007" s="15" t="s">
        <v>24626</v>
      </c>
      <c r="F1007" s="87" t="s">
        <v>23710</v>
      </c>
      <c r="G1007" s="45" t="s">
        <v>4953</v>
      </c>
      <c r="H1007" s="55" t="s">
        <v>4954</v>
      </c>
      <c r="I1007" s="15" t="s">
        <v>178</v>
      </c>
    </row>
    <row r="1008" spans="1:9" ht="51.75" customHeight="1" x14ac:dyDescent="0.35">
      <c r="A1008" s="15" t="s">
        <v>24623</v>
      </c>
      <c r="B1008" s="15" t="s">
        <v>24627</v>
      </c>
      <c r="C1008" s="15" t="s">
        <v>24625</v>
      </c>
      <c r="D1008" s="31">
        <v>40763</v>
      </c>
      <c r="E1008" s="15" t="s">
        <v>24628</v>
      </c>
      <c r="F1008" s="87" t="s">
        <v>21871</v>
      </c>
      <c r="G1008" s="45" t="s">
        <v>4953</v>
      </c>
      <c r="H1008" s="55" t="s">
        <v>4954</v>
      </c>
      <c r="I1008" s="15" t="s">
        <v>178</v>
      </c>
    </row>
    <row r="1009" spans="1:9" ht="51.75" customHeight="1" x14ac:dyDescent="0.35">
      <c r="A1009" s="15" t="s">
        <v>24629</v>
      </c>
      <c r="B1009" s="15" t="s">
        <v>24630</v>
      </c>
      <c r="C1009" s="15" t="s">
        <v>24631</v>
      </c>
      <c r="D1009" s="31">
        <v>40763</v>
      </c>
      <c r="E1009" s="15" t="s">
        <v>24632</v>
      </c>
      <c r="F1009" s="87" t="s">
        <v>23710</v>
      </c>
      <c r="G1009" s="45" t="s">
        <v>4953</v>
      </c>
      <c r="H1009" s="55" t="s">
        <v>4954</v>
      </c>
      <c r="I1009" s="15" t="s">
        <v>178</v>
      </c>
    </row>
    <row r="1010" spans="1:9" ht="51.75" customHeight="1" x14ac:dyDescent="0.35">
      <c r="A1010" s="15" t="s">
        <v>24629</v>
      </c>
      <c r="B1010" s="15" t="s">
        <v>24633</v>
      </c>
      <c r="C1010" s="15" t="s">
        <v>24631</v>
      </c>
      <c r="D1010" s="31">
        <v>40763</v>
      </c>
      <c r="E1010" s="15" t="s">
        <v>24634</v>
      </c>
      <c r="F1010" s="87" t="s">
        <v>21871</v>
      </c>
      <c r="G1010" s="45" t="s">
        <v>4953</v>
      </c>
      <c r="H1010" s="55" t="s">
        <v>4954</v>
      </c>
      <c r="I1010" s="15" t="s">
        <v>178</v>
      </c>
    </row>
    <row r="1011" spans="1:9" ht="51.75" customHeight="1" x14ac:dyDescent="0.35">
      <c r="A1011" s="15" t="s">
        <v>24635</v>
      </c>
      <c r="B1011" s="15" t="s">
        <v>24636</v>
      </c>
      <c r="C1011" s="15" t="s">
        <v>24637</v>
      </c>
      <c r="D1011" s="31">
        <v>40763</v>
      </c>
      <c r="E1011" s="15" t="s">
        <v>24638</v>
      </c>
      <c r="F1011" s="87" t="s">
        <v>23710</v>
      </c>
      <c r="G1011" s="45" t="s">
        <v>4953</v>
      </c>
      <c r="H1011" s="55" t="s">
        <v>4954</v>
      </c>
      <c r="I1011" s="15" t="s">
        <v>178</v>
      </c>
    </row>
    <row r="1012" spans="1:9" ht="51.75" customHeight="1" x14ac:dyDescent="0.35">
      <c r="A1012" s="15" t="s">
        <v>24635</v>
      </c>
      <c r="B1012" s="15" t="s">
        <v>24639</v>
      </c>
      <c r="C1012" s="15" t="s">
        <v>24637</v>
      </c>
      <c r="D1012" s="31">
        <v>40763</v>
      </c>
      <c r="E1012" s="15" t="s">
        <v>24640</v>
      </c>
      <c r="F1012" s="87" t="s">
        <v>21871</v>
      </c>
      <c r="G1012" s="45" t="s">
        <v>4953</v>
      </c>
      <c r="H1012" s="55" t="s">
        <v>4954</v>
      </c>
      <c r="I1012" s="15" t="s">
        <v>178</v>
      </c>
    </row>
    <row r="1013" spans="1:9" ht="51.75" customHeight="1" x14ac:dyDescent="0.35">
      <c r="A1013" s="15" t="s">
        <v>24641</v>
      </c>
      <c r="B1013" s="15" t="s">
        <v>24642</v>
      </c>
      <c r="C1013" s="15" t="s">
        <v>24643</v>
      </c>
      <c r="D1013" s="31">
        <v>40763</v>
      </c>
      <c r="E1013" s="15" t="s">
        <v>24644</v>
      </c>
      <c r="F1013" s="87" t="s">
        <v>23710</v>
      </c>
      <c r="G1013" s="45" t="s">
        <v>4953</v>
      </c>
      <c r="H1013" s="55" t="s">
        <v>4954</v>
      </c>
      <c r="I1013" s="15" t="s">
        <v>178</v>
      </c>
    </row>
    <row r="1014" spans="1:9" ht="51.75" customHeight="1" x14ac:dyDescent="0.35">
      <c r="A1014" s="15" t="s">
        <v>24641</v>
      </c>
      <c r="B1014" s="15" t="s">
        <v>24645</v>
      </c>
      <c r="C1014" s="15" t="s">
        <v>24643</v>
      </c>
      <c r="D1014" s="31">
        <v>40763</v>
      </c>
      <c r="E1014" s="15" t="s">
        <v>24646</v>
      </c>
      <c r="F1014" s="87" t="s">
        <v>21871</v>
      </c>
      <c r="G1014" s="45" t="s">
        <v>4953</v>
      </c>
      <c r="H1014" s="55" t="s">
        <v>4954</v>
      </c>
      <c r="I1014" s="15" t="s">
        <v>178</v>
      </c>
    </row>
    <row r="1015" spans="1:9" ht="51.75" customHeight="1" x14ac:dyDescent="0.35">
      <c r="A1015" s="15" t="s">
        <v>24647</v>
      </c>
      <c r="B1015" s="15" t="s">
        <v>24648</v>
      </c>
      <c r="C1015" s="15" t="s">
        <v>24649</v>
      </c>
      <c r="D1015" s="31">
        <v>41544</v>
      </c>
      <c r="E1015" s="15" t="s">
        <v>24650</v>
      </c>
      <c r="F1015" s="87" t="s">
        <v>23710</v>
      </c>
      <c r="G1015" s="45" t="s">
        <v>8007</v>
      </c>
      <c r="H1015" s="55" t="s">
        <v>8008</v>
      </c>
      <c r="I1015" s="15" t="s">
        <v>178</v>
      </c>
    </row>
    <row r="1016" spans="1:9" ht="51.75" customHeight="1" x14ac:dyDescent="0.35">
      <c r="A1016" s="15" t="s">
        <v>24647</v>
      </c>
      <c r="B1016" s="15" t="s">
        <v>24651</v>
      </c>
      <c r="C1016" s="15" t="s">
        <v>24649</v>
      </c>
      <c r="D1016" s="31">
        <v>41544</v>
      </c>
      <c r="E1016" s="15" t="s">
        <v>24652</v>
      </c>
      <c r="F1016" s="87" t="s">
        <v>21871</v>
      </c>
      <c r="G1016" s="45" t="s">
        <v>8007</v>
      </c>
      <c r="H1016" s="55" t="s">
        <v>8008</v>
      </c>
      <c r="I1016" s="15" t="s">
        <v>178</v>
      </c>
    </row>
    <row r="1017" spans="1:9" ht="51.75" customHeight="1" x14ac:dyDescent="0.35">
      <c r="A1017" s="15" t="s">
        <v>24653</v>
      </c>
      <c r="B1017" s="15" t="s">
        <v>24654</v>
      </c>
      <c r="C1017" s="15" t="s">
        <v>24655</v>
      </c>
      <c r="D1017" s="31">
        <v>41544</v>
      </c>
      <c r="E1017" s="15" t="s">
        <v>24656</v>
      </c>
      <c r="F1017" s="87" t="s">
        <v>23710</v>
      </c>
      <c r="G1017" s="45" t="s">
        <v>8007</v>
      </c>
      <c r="H1017" s="55" t="s">
        <v>8008</v>
      </c>
      <c r="I1017" s="15" t="s">
        <v>178</v>
      </c>
    </row>
    <row r="1018" spans="1:9" ht="51.75" customHeight="1" x14ac:dyDescent="0.35">
      <c r="A1018" s="15" t="s">
        <v>24653</v>
      </c>
      <c r="B1018" s="15" t="s">
        <v>24657</v>
      </c>
      <c r="C1018" s="15" t="s">
        <v>24655</v>
      </c>
      <c r="D1018" s="31">
        <v>41544</v>
      </c>
      <c r="E1018" s="15" t="s">
        <v>24658</v>
      </c>
      <c r="F1018" s="87" t="s">
        <v>21871</v>
      </c>
      <c r="G1018" s="45" t="s">
        <v>8007</v>
      </c>
      <c r="H1018" s="55" t="s">
        <v>8008</v>
      </c>
      <c r="I1018" s="15" t="s">
        <v>178</v>
      </c>
    </row>
    <row r="1019" spans="1:9" ht="51.75" customHeight="1" x14ac:dyDescent="0.35">
      <c r="A1019" s="15" t="s">
        <v>24659</v>
      </c>
      <c r="B1019" s="15" t="s">
        <v>24660</v>
      </c>
      <c r="C1019" s="15" t="s">
        <v>24661</v>
      </c>
      <c r="D1019" s="31">
        <v>41544</v>
      </c>
      <c r="E1019" s="15" t="s">
        <v>24662</v>
      </c>
      <c r="F1019" s="87" t="s">
        <v>23710</v>
      </c>
      <c r="G1019" s="45" t="s">
        <v>8007</v>
      </c>
      <c r="H1019" s="55" t="s">
        <v>8008</v>
      </c>
      <c r="I1019" s="15" t="s">
        <v>178</v>
      </c>
    </row>
    <row r="1020" spans="1:9" ht="51.75" customHeight="1" x14ac:dyDescent="0.35">
      <c r="A1020" s="15" t="s">
        <v>24659</v>
      </c>
      <c r="B1020" s="15" t="s">
        <v>24663</v>
      </c>
      <c r="C1020" s="15" t="s">
        <v>24661</v>
      </c>
      <c r="D1020" s="31">
        <v>41544</v>
      </c>
      <c r="E1020" s="15" t="s">
        <v>24664</v>
      </c>
      <c r="F1020" s="87" t="s">
        <v>21871</v>
      </c>
      <c r="G1020" s="45" t="s">
        <v>8007</v>
      </c>
      <c r="H1020" s="55" t="s">
        <v>8008</v>
      </c>
      <c r="I1020" s="15" t="s">
        <v>178</v>
      </c>
    </row>
    <row r="1021" spans="1:9" ht="51.75" customHeight="1" x14ac:dyDescent="0.35">
      <c r="A1021" s="15" t="s">
        <v>24665</v>
      </c>
      <c r="B1021" s="15" t="s">
        <v>24666</v>
      </c>
      <c r="C1021" s="15" t="s">
        <v>24667</v>
      </c>
      <c r="D1021" s="31">
        <v>41544</v>
      </c>
      <c r="E1021" s="15" t="s">
        <v>24668</v>
      </c>
      <c r="F1021" s="87" t="s">
        <v>23710</v>
      </c>
      <c r="G1021" s="45" t="s">
        <v>8007</v>
      </c>
      <c r="H1021" s="55" t="s">
        <v>8008</v>
      </c>
      <c r="I1021" s="15" t="s">
        <v>178</v>
      </c>
    </row>
    <row r="1022" spans="1:9" ht="51.75" customHeight="1" x14ac:dyDescent="0.35">
      <c r="A1022" s="15" t="s">
        <v>24665</v>
      </c>
      <c r="B1022" s="15" t="s">
        <v>24669</v>
      </c>
      <c r="C1022" s="15" t="s">
        <v>24667</v>
      </c>
      <c r="D1022" s="31">
        <v>41544</v>
      </c>
      <c r="E1022" s="15" t="s">
        <v>24670</v>
      </c>
      <c r="F1022" s="87" t="s">
        <v>21871</v>
      </c>
      <c r="G1022" s="45" t="s">
        <v>8007</v>
      </c>
      <c r="H1022" s="55" t="s">
        <v>8008</v>
      </c>
      <c r="I1022" s="15" t="s">
        <v>178</v>
      </c>
    </row>
    <row r="1023" spans="1:9" ht="51.75" customHeight="1" x14ac:dyDescent="0.35">
      <c r="A1023" s="15" t="s">
        <v>22463</v>
      </c>
      <c r="B1023" s="15" t="s">
        <v>24671</v>
      </c>
      <c r="C1023" s="15" t="s">
        <v>24672</v>
      </c>
      <c r="D1023" s="31">
        <v>42152</v>
      </c>
      <c r="E1023" s="15" t="s">
        <v>24673</v>
      </c>
      <c r="F1023" s="87" t="s">
        <v>23710</v>
      </c>
      <c r="G1023" s="45" t="s">
        <v>8076</v>
      </c>
      <c r="H1023" s="55" t="s">
        <v>8077</v>
      </c>
      <c r="I1023" s="15" t="s">
        <v>178</v>
      </c>
    </row>
    <row r="1024" spans="1:9" ht="51.75" customHeight="1" x14ac:dyDescent="0.35">
      <c r="A1024" s="15" t="s">
        <v>22463</v>
      </c>
      <c r="B1024" s="15" t="s">
        <v>24674</v>
      </c>
      <c r="C1024" s="15" t="s">
        <v>24672</v>
      </c>
      <c r="D1024" s="31">
        <v>42152</v>
      </c>
      <c r="E1024" s="15" t="s">
        <v>24675</v>
      </c>
      <c r="F1024" s="87" t="s">
        <v>21871</v>
      </c>
      <c r="G1024" s="45" t="s">
        <v>8076</v>
      </c>
      <c r="H1024" s="55" t="s">
        <v>8077</v>
      </c>
      <c r="I1024" s="15" t="s">
        <v>178</v>
      </c>
    </row>
    <row r="1025" spans="1:9" ht="51.75" customHeight="1" x14ac:dyDescent="0.35">
      <c r="A1025" s="15" t="s">
        <v>22467</v>
      </c>
      <c r="B1025" s="15" t="s">
        <v>24676</v>
      </c>
      <c r="C1025" s="15" t="s">
        <v>24677</v>
      </c>
      <c r="D1025" s="31">
        <v>42152</v>
      </c>
      <c r="E1025" s="15" t="s">
        <v>24678</v>
      </c>
      <c r="F1025" s="87" t="s">
        <v>23710</v>
      </c>
      <c r="G1025" s="45" t="s">
        <v>8076</v>
      </c>
      <c r="H1025" s="55" t="s">
        <v>8077</v>
      </c>
      <c r="I1025" s="15" t="s">
        <v>178</v>
      </c>
    </row>
    <row r="1026" spans="1:9" ht="51.75" customHeight="1" x14ac:dyDescent="0.35">
      <c r="A1026" s="15" t="s">
        <v>22467</v>
      </c>
      <c r="B1026" s="15" t="s">
        <v>24679</v>
      </c>
      <c r="C1026" s="15" t="s">
        <v>24677</v>
      </c>
      <c r="D1026" s="31">
        <v>42152</v>
      </c>
      <c r="E1026" s="15" t="s">
        <v>24680</v>
      </c>
      <c r="F1026" s="87" t="s">
        <v>21871</v>
      </c>
      <c r="G1026" s="45" t="s">
        <v>8076</v>
      </c>
      <c r="H1026" s="55" t="s">
        <v>8077</v>
      </c>
      <c r="I1026" s="15" t="s">
        <v>178</v>
      </c>
    </row>
    <row r="1027" spans="1:9" ht="51.75" customHeight="1" x14ac:dyDescent="0.35">
      <c r="A1027" s="15" t="s">
        <v>22047</v>
      </c>
      <c r="B1027" s="15" t="s">
        <v>24681</v>
      </c>
      <c r="C1027" s="15" t="s">
        <v>24682</v>
      </c>
      <c r="D1027" s="31">
        <v>41435</v>
      </c>
      <c r="E1027" s="15" t="s">
        <v>24683</v>
      </c>
      <c r="F1027" s="87" t="s">
        <v>23710</v>
      </c>
      <c r="G1027" s="45" t="s">
        <v>8315</v>
      </c>
      <c r="H1027" s="55" t="s">
        <v>8316</v>
      </c>
      <c r="I1027" s="15" t="s">
        <v>178</v>
      </c>
    </row>
    <row r="1028" spans="1:9" ht="51.75" customHeight="1" x14ac:dyDescent="0.35">
      <c r="A1028" s="15" t="s">
        <v>22047</v>
      </c>
      <c r="B1028" s="15" t="s">
        <v>24684</v>
      </c>
      <c r="C1028" s="15" t="s">
        <v>24682</v>
      </c>
      <c r="D1028" s="31">
        <v>41435</v>
      </c>
      <c r="E1028" s="15" t="s">
        <v>24685</v>
      </c>
      <c r="F1028" s="87" t="s">
        <v>21871</v>
      </c>
      <c r="G1028" s="45" t="s">
        <v>8315</v>
      </c>
      <c r="H1028" s="55" t="s">
        <v>8316</v>
      </c>
      <c r="I1028" s="15" t="s">
        <v>178</v>
      </c>
    </row>
    <row r="1029" spans="1:9" ht="51.75" customHeight="1" x14ac:dyDescent="0.35">
      <c r="A1029" s="15" t="s">
        <v>24686</v>
      </c>
      <c r="B1029" s="15" t="s">
        <v>24687</v>
      </c>
      <c r="C1029" s="15" t="s">
        <v>24688</v>
      </c>
      <c r="D1029" s="31">
        <v>41435</v>
      </c>
      <c r="E1029" s="15" t="s">
        <v>24689</v>
      </c>
      <c r="F1029" s="87" t="s">
        <v>23710</v>
      </c>
      <c r="G1029" s="45" t="s">
        <v>8315</v>
      </c>
      <c r="H1029" s="55" t="s">
        <v>8316</v>
      </c>
      <c r="I1029" s="15" t="s">
        <v>178</v>
      </c>
    </row>
    <row r="1030" spans="1:9" ht="51.75" customHeight="1" x14ac:dyDescent="0.35">
      <c r="A1030" s="15" t="s">
        <v>24686</v>
      </c>
      <c r="B1030" s="15" t="s">
        <v>24690</v>
      </c>
      <c r="C1030" s="15" t="s">
        <v>24688</v>
      </c>
      <c r="D1030" s="31">
        <v>41435</v>
      </c>
      <c r="E1030" s="15" t="s">
        <v>24691</v>
      </c>
      <c r="F1030" s="87" t="s">
        <v>21871</v>
      </c>
      <c r="G1030" s="45" t="s">
        <v>8315</v>
      </c>
      <c r="H1030" s="55" t="s">
        <v>8316</v>
      </c>
      <c r="I1030" s="15" t="s">
        <v>178</v>
      </c>
    </row>
    <row r="1031" spans="1:9" ht="51.75" customHeight="1" x14ac:dyDescent="0.35">
      <c r="A1031" s="15" t="s">
        <v>24692</v>
      </c>
      <c r="B1031" s="15" t="s">
        <v>24693</v>
      </c>
      <c r="C1031" s="15" t="s">
        <v>24694</v>
      </c>
      <c r="D1031" s="31">
        <v>41435</v>
      </c>
      <c r="E1031" s="15" t="s">
        <v>24695</v>
      </c>
      <c r="F1031" s="87" t="s">
        <v>23710</v>
      </c>
      <c r="G1031" s="45" t="s">
        <v>8315</v>
      </c>
      <c r="H1031" s="55" t="s">
        <v>8316</v>
      </c>
      <c r="I1031" s="15" t="s">
        <v>178</v>
      </c>
    </row>
    <row r="1032" spans="1:9" ht="51.75" customHeight="1" x14ac:dyDescent="0.35">
      <c r="A1032" s="15" t="s">
        <v>24692</v>
      </c>
      <c r="B1032" s="15" t="s">
        <v>24696</v>
      </c>
      <c r="C1032" s="15" t="s">
        <v>24694</v>
      </c>
      <c r="D1032" s="31">
        <v>41435</v>
      </c>
      <c r="E1032" s="15" t="s">
        <v>24697</v>
      </c>
      <c r="F1032" s="87" t="s">
        <v>21871</v>
      </c>
      <c r="G1032" s="45" t="s">
        <v>8315</v>
      </c>
      <c r="H1032" s="55" t="s">
        <v>8316</v>
      </c>
      <c r="I1032" s="15" t="s">
        <v>178</v>
      </c>
    </row>
    <row r="1033" spans="1:9" ht="51.75" customHeight="1" x14ac:dyDescent="0.35">
      <c r="A1033" s="15" t="s">
        <v>22051</v>
      </c>
      <c r="B1033" s="15" t="s">
        <v>24698</v>
      </c>
      <c r="C1033" s="15" t="s">
        <v>24699</v>
      </c>
      <c r="D1033" s="31">
        <v>41435</v>
      </c>
      <c r="E1033" s="15" t="s">
        <v>24700</v>
      </c>
      <c r="F1033" s="87" t="s">
        <v>23710</v>
      </c>
      <c r="G1033" s="45" t="s">
        <v>8315</v>
      </c>
      <c r="H1033" s="55" t="s">
        <v>8316</v>
      </c>
      <c r="I1033" s="15" t="s">
        <v>178</v>
      </c>
    </row>
    <row r="1034" spans="1:9" ht="51.75" customHeight="1" x14ac:dyDescent="0.35">
      <c r="A1034" s="15" t="s">
        <v>22051</v>
      </c>
      <c r="B1034" s="15" t="s">
        <v>24701</v>
      </c>
      <c r="C1034" s="15" t="s">
        <v>24699</v>
      </c>
      <c r="D1034" s="31">
        <v>41435</v>
      </c>
      <c r="E1034" s="15" t="s">
        <v>24702</v>
      </c>
      <c r="F1034" s="87" t="s">
        <v>21871</v>
      </c>
      <c r="G1034" s="45" t="s">
        <v>8315</v>
      </c>
      <c r="H1034" s="55" t="s">
        <v>8316</v>
      </c>
      <c r="I1034" s="15" t="s">
        <v>178</v>
      </c>
    </row>
    <row r="1035" spans="1:9" ht="51.75" customHeight="1" x14ac:dyDescent="0.35">
      <c r="A1035" s="15" t="s">
        <v>24703</v>
      </c>
      <c r="B1035" s="15" t="s">
        <v>24704</v>
      </c>
      <c r="C1035" s="15" t="s">
        <v>24705</v>
      </c>
      <c r="D1035" s="31">
        <v>41435</v>
      </c>
      <c r="E1035" s="15" t="s">
        <v>24706</v>
      </c>
      <c r="F1035" s="87" t="s">
        <v>23710</v>
      </c>
      <c r="G1035" s="45" t="s">
        <v>8315</v>
      </c>
      <c r="H1035" s="55" t="s">
        <v>8316</v>
      </c>
      <c r="I1035" s="15" t="s">
        <v>178</v>
      </c>
    </row>
    <row r="1036" spans="1:9" ht="51.75" customHeight="1" x14ac:dyDescent="0.35">
      <c r="A1036" s="15" t="s">
        <v>24703</v>
      </c>
      <c r="B1036" s="15" t="s">
        <v>24707</v>
      </c>
      <c r="C1036" s="15" t="s">
        <v>24705</v>
      </c>
      <c r="D1036" s="31">
        <v>41435</v>
      </c>
      <c r="E1036" s="15" t="s">
        <v>24708</v>
      </c>
      <c r="F1036" s="87" t="s">
        <v>21871</v>
      </c>
      <c r="G1036" s="45" t="s">
        <v>8315</v>
      </c>
      <c r="H1036" s="55" t="s">
        <v>8316</v>
      </c>
      <c r="I1036" s="15" t="s">
        <v>178</v>
      </c>
    </row>
    <row r="1037" spans="1:9" ht="51.75" customHeight="1" x14ac:dyDescent="0.35">
      <c r="A1037" s="15" t="s">
        <v>23448</v>
      </c>
      <c r="B1037" s="15" t="s">
        <v>24709</v>
      </c>
      <c r="C1037" s="15" t="s">
        <v>24710</v>
      </c>
      <c r="D1037" s="31">
        <v>41435</v>
      </c>
      <c r="E1037" s="15" t="s">
        <v>24711</v>
      </c>
      <c r="F1037" s="87" t="s">
        <v>23710</v>
      </c>
      <c r="G1037" s="45" t="s">
        <v>8315</v>
      </c>
      <c r="H1037" s="55" t="s">
        <v>8316</v>
      </c>
      <c r="I1037" s="15" t="s">
        <v>178</v>
      </c>
    </row>
    <row r="1038" spans="1:9" ht="51.75" customHeight="1" x14ac:dyDescent="0.35">
      <c r="A1038" s="15" t="s">
        <v>23448</v>
      </c>
      <c r="B1038" s="15" t="s">
        <v>24712</v>
      </c>
      <c r="C1038" s="15" t="s">
        <v>24710</v>
      </c>
      <c r="D1038" s="31">
        <v>41435</v>
      </c>
      <c r="E1038" s="15" t="s">
        <v>24713</v>
      </c>
      <c r="F1038" s="87" t="s">
        <v>21871</v>
      </c>
      <c r="G1038" s="45" t="s">
        <v>8315</v>
      </c>
      <c r="H1038" s="55" t="s">
        <v>8316</v>
      </c>
      <c r="I1038" s="15" t="s">
        <v>178</v>
      </c>
    </row>
    <row r="1039" spans="1:9" ht="51.75" customHeight="1" x14ac:dyDescent="0.35">
      <c r="A1039" s="15" t="s">
        <v>24714</v>
      </c>
      <c r="B1039" s="15" t="s">
        <v>24715</v>
      </c>
      <c r="C1039" s="15" t="s">
        <v>24716</v>
      </c>
      <c r="D1039" s="31">
        <v>41435</v>
      </c>
      <c r="E1039" s="15" t="s">
        <v>24717</v>
      </c>
      <c r="F1039" s="87" t="s">
        <v>23710</v>
      </c>
      <c r="G1039" s="45" t="s">
        <v>8315</v>
      </c>
      <c r="H1039" s="55" t="s">
        <v>8316</v>
      </c>
      <c r="I1039" s="15" t="s">
        <v>178</v>
      </c>
    </row>
    <row r="1040" spans="1:9" ht="51.75" customHeight="1" x14ac:dyDescent="0.35">
      <c r="A1040" s="15" t="s">
        <v>24714</v>
      </c>
      <c r="B1040" s="15" t="s">
        <v>24718</v>
      </c>
      <c r="C1040" s="15" t="s">
        <v>24716</v>
      </c>
      <c r="D1040" s="31">
        <v>41435</v>
      </c>
      <c r="E1040" s="15" t="s">
        <v>24719</v>
      </c>
      <c r="F1040" s="87" t="s">
        <v>21871</v>
      </c>
      <c r="G1040" s="45" t="s">
        <v>8315</v>
      </c>
      <c r="H1040" s="55" t="s">
        <v>8316</v>
      </c>
      <c r="I1040" s="15" t="s">
        <v>178</v>
      </c>
    </row>
    <row r="1041" spans="1:9" ht="51.75" customHeight="1" x14ac:dyDescent="0.35">
      <c r="A1041" s="15" t="s">
        <v>24720</v>
      </c>
      <c r="B1041" s="15" t="s">
        <v>24721</v>
      </c>
      <c r="C1041" s="15" t="s">
        <v>24722</v>
      </c>
      <c r="D1041" s="31">
        <v>41435</v>
      </c>
      <c r="E1041" s="15" t="s">
        <v>24723</v>
      </c>
      <c r="F1041" s="87" t="s">
        <v>23710</v>
      </c>
      <c r="G1041" s="45" t="s">
        <v>8315</v>
      </c>
      <c r="H1041" s="55" t="s">
        <v>8316</v>
      </c>
      <c r="I1041" s="15" t="s">
        <v>178</v>
      </c>
    </row>
    <row r="1042" spans="1:9" ht="51.75" customHeight="1" x14ac:dyDescent="0.35">
      <c r="A1042" s="15" t="s">
        <v>24720</v>
      </c>
      <c r="B1042" s="15" t="s">
        <v>24724</v>
      </c>
      <c r="C1042" s="15" t="s">
        <v>24722</v>
      </c>
      <c r="D1042" s="31">
        <v>41435</v>
      </c>
      <c r="E1042" s="15" t="s">
        <v>24725</v>
      </c>
      <c r="F1042" s="87" t="s">
        <v>21871</v>
      </c>
      <c r="G1042" s="45" t="s">
        <v>8315</v>
      </c>
      <c r="H1042" s="55" t="s">
        <v>8316</v>
      </c>
      <c r="I1042" s="15" t="s">
        <v>178</v>
      </c>
    </row>
    <row r="1043" spans="1:9" ht="51.75" customHeight="1" x14ac:dyDescent="0.35">
      <c r="A1043" s="15" t="s">
        <v>23902</v>
      </c>
      <c r="B1043" s="15" t="s">
        <v>24726</v>
      </c>
      <c r="C1043" s="15" t="s">
        <v>24727</v>
      </c>
      <c r="D1043" s="31">
        <v>41435</v>
      </c>
      <c r="E1043" s="15" t="s">
        <v>24728</v>
      </c>
      <c r="F1043" s="87" t="s">
        <v>23710</v>
      </c>
      <c r="G1043" s="45" t="s">
        <v>8315</v>
      </c>
      <c r="H1043" s="55" t="s">
        <v>8316</v>
      </c>
      <c r="I1043" s="15" t="s">
        <v>178</v>
      </c>
    </row>
    <row r="1044" spans="1:9" ht="51.75" customHeight="1" x14ac:dyDescent="0.35">
      <c r="A1044" s="15" t="s">
        <v>23902</v>
      </c>
      <c r="B1044" s="15" t="s">
        <v>24729</v>
      </c>
      <c r="C1044" s="15" t="s">
        <v>24727</v>
      </c>
      <c r="D1044" s="31">
        <v>41435</v>
      </c>
      <c r="E1044" s="15" t="s">
        <v>24730</v>
      </c>
      <c r="F1044" s="87" t="s">
        <v>21871</v>
      </c>
      <c r="G1044" s="45" t="s">
        <v>8315</v>
      </c>
      <c r="H1044" s="55" t="s">
        <v>8316</v>
      </c>
      <c r="I1044" s="15" t="s">
        <v>178</v>
      </c>
    </row>
    <row r="1045" spans="1:9" ht="51.75" customHeight="1" x14ac:dyDescent="0.35">
      <c r="A1045" s="15" t="s">
        <v>22790</v>
      </c>
      <c r="B1045" s="15" t="s">
        <v>24731</v>
      </c>
      <c r="C1045" s="15" t="s">
        <v>24732</v>
      </c>
      <c r="D1045" s="31">
        <v>41743</v>
      </c>
      <c r="E1045" s="15" t="s">
        <v>24733</v>
      </c>
      <c r="F1045" s="87" t="s">
        <v>23710</v>
      </c>
      <c r="G1045" s="45" t="s">
        <v>8429</v>
      </c>
      <c r="H1045" s="55" t="s">
        <v>8430</v>
      </c>
      <c r="I1045" s="15" t="s">
        <v>178</v>
      </c>
    </row>
    <row r="1046" spans="1:9" ht="51.75" customHeight="1" x14ac:dyDescent="0.35">
      <c r="A1046" s="15" t="s">
        <v>22790</v>
      </c>
      <c r="B1046" s="15" t="s">
        <v>24734</v>
      </c>
      <c r="C1046" s="15" t="s">
        <v>24732</v>
      </c>
      <c r="D1046" s="31">
        <v>41743</v>
      </c>
      <c r="E1046" s="15" t="s">
        <v>24735</v>
      </c>
      <c r="F1046" s="87" t="s">
        <v>21871</v>
      </c>
      <c r="G1046" s="45" t="s">
        <v>8429</v>
      </c>
      <c r="H1046" s="55" t="s">
        <v>8430</v>
      </c>
      <c r="I1046" s="15" t="s">
        <v>178</v>
      </c>
    </row>
    <row r="1047" spans="1:9" ht="51.75" customHeight="1" x14ac:dyDescent="0.35">
      <c r="A1047" s="15" t="s">
        <v>24736</v>
      </c>
      <c r="B1047" s="15" t="s">
        <v>24737</v>
      </c>
      <c r="C1047" s="15" t="s">
        <v>24738</v>
      </c>
      <c r="D1047" s="31">
        <v>41743</v>
      </c>
      <c r="E1047" s="15" t="s">
        <v>24739</v>
      </c>
      <c r="F1047" s="87" t="s">
        <v>23710</v>
      </c>
      <c r="G1047" s="45" t="s">
        <v>8429</v>
      </c>
      <c r="H1047" s="55" t="s">
        <v>8430</v>
      </c>
      <c r="I1047" s="15" t="s">
        <v>178</v>
      </c>
    </row>
    <row r="1048" spans="1:9" ht="51.75" customHeight="1" x14ac:dyDescent="0.35">
      <c r="A1048" s="15" t="s">
        <v>24736</v>
      </c>
      <c r="B1048" s="15" t="s">
        <v>24740</v>
      </c>
      <c r="C1048" s="15" t="s">
        <v>24738</v>
      </c>
      <c r="D1048" s="31">
        <v>41743</v>
      </c>
      <c r="E1048" s="15" t="s">
        <v>24741</v>
      </c>
      <c r="F1048" s="87" t="s">
        <v>21871</v>
      </c>
      <c r="G1048" s="45" t="s">
        <v>8429</v>
      </c>
      <c r="H1048" s="55" t="s">
        <v>8430</v>
      </c>
      <c r="I1048" s="15" t="s">
        <v>178</v>
      </c>
    </row>
    <row r="1049" spans="1:9" ht="51.75" customHeight="1" x14ac:dyDescent="0.35">
      <c r="A1049" s="15" t="s">
        <v>22235</v>
      </c>
      <c r="B1049" s="15" t="s">
        <v>24742</v>
      </c>
      <c r="C1049" s="15" t="s">
        <v>24743</v>
      </c>
      <c r="D1049" s="31">
        <v>41743</v>
      </c>
      <c r="E1049" s="15" t="s">
        <v>24744</v>
      </c>
      <c r="F1049" s="87" t="s">
        <v>23710</v>
      </c>
      <c r="G1049" s="45" t="s">
        <v>8429</v>
      </c>
      <c r="H1049" s="55" t="s">
        <v>8430</v>
      </c>
      <c r="I1049" s="15" t="s">
        <v>178</v>
      </c>
    </row>
    <row r="1050" spans="1:9" ht="51.75" customHeight="1" x14ac:dyDescent="0.35">
      <c r="A1050" s="15" t="s">
        <v>22235</v>
      </c>
      <c r="B1050" s="15" t="s">
        <v>24745</v>
      </c>
      <c r="C1050" s="15" t="s">
        <v>24743</v>
      </c>
      <c r="D1050" s="31">
        <v>41743</v>
      </c>
      <c r="E1050" s="15" t="s">
        <v>24746</v>
      </c>
      <c r="F1050" s="87" t="s">
        <v>21871</v>
      </c>
      <c r="G1050" s="45" t="s">
        <v>8429</v>
      </c>
      <c r="H1050" s="55" t="s">
        <v>8430</v>
      </c>
      <c r="I1050" s="15" t="s">
        <v>178</v>
      </c>
    </row>
    <row r="1051" spans="1:9" ht="51.75" customHeight="1" x14ac:dyDescent="0.35">
      <c r="A1051" s="15" t="s">
        <v>24747</v>
      </c>
      <c r="B1051" s="15" t="s">
        <v>24748</v>
      </c>
      <c r="C1051" s="15" t="s">
        <v>24749</v>
      </c>
      <c r="D1051" s="31">
        <v>41743</v>
      </c>
      <c r="E1051" s="15" t="s">
        <v>24750</v>
      </c>
      <c r="F1051" s="87" t="s">
        <v>23710</v>
      </c>
      <c r="G1051" s="45" t="s">
        <v>8429</v>
      </c>
      <c r="H1051" s="55" t="s">
        <v>8430</v>
      </c>
      <c r="I1051" s="15" t="s">
        <v>178</v>
      </c>
    </row>
    <row r="1052" spans="1:9" ht="51.75" customHeight="1" x14ac:dyDescent="0.35">
      <c r="A1052" s="15" t="s">
        <v>24747</v>
      </c>
      <c r="B1052" s="15" t="s">
        <v>24751</v>
      </c>
      <c r="C1052" s="15" t="s">
        <v>24749</v>
      </c>
      <c r="D1052" s="31">
        <v>41743</v>
      </c>
      <c r="E1052" s="15" t="s">
        <v>24752</v>
      </c>
      <c r="F1052" s="87" t="s">
        <v>21871</v>
      </c>
      <c r="G1052" s="45" t="s">
        <v>8429</v>
      </c>
      <c r="H1052" s="55" t="s">
        <v>8430</v>
      </c>
      <c r="I1052" s="15" t="s">
        <v>178</v>
      </c>
    </row>
    <row r="1053" spans="1:9" ht="51.75" customHeight="1" x14ac:dyDescent="0.35">
      <c r="A1053" s="15" t="s">
        <v>23473</v>
      </c>
      <c r="B1053" s="15" t="s">
        <v>24753</v>
      </c>
      <c r="C1053" s="15" t="s">
        <v>24754</v>
      </c>
      <c r="D1053" s="31">
        <v>41031</v>
      </c>
      <c r="E1053" s="15" t="s">
        <v>24755</v>
      </c>
      <c r="F1053" s="87" t="s">
        <v>23710</v>
      </c>
      <c r="G1053" s="45" t="s">
        <v>6249</v>
      </c>
      <c r="H1053" s="55" t="s">
        <v>6250</v>
      </c>
      <c r="I1053" s="15" t="s">
        <v>178</v>
      </c>
    </row>
    <row r="1054" spans="1:9" ht="51.75" customHeight="1" x14ac:dyDescent="0.35">
      <c r="A1054" s="15" t="s">
        <v>23473</v>
      </c>
      <c r="B1054" s="15" t="s">
        <v>24756</v>
      </c>
      <c r="C1054" s="15" t="s">
        <v>24754</v>
      </c>
      <c r="D1054" s="31">
        <v>41031</v>
      </c>
      <c r="E1054" s="15" t="s">
        <v>24757</v>
      </c>
      <c r="F1054" s="87" t="s">
        <v>21871</v>
      </c>
      <c r="G1054" s="45" t="s">
        <v>6249</v>
      </c>
      <c r="H1054" s="55" t="s">
        <v>6250</v>
      </c>
      <c r="I1054" s="15" t="s">
        <v>178</v>
      </c>
    </row>
    <row r="1055" spans="1:9" ht="51.75" customHeight="1" x14ac:dyDescent="0.35">
      <c r="A1055" s="15" t="s">
        <v>23477</v>
      </c>
      <c r="B1055" s="15" t="s">
        <v>24758</v>
      </c>
      <c r="C1055" s="15" t="s">
        <v>24759</v>
      </c>
      <c r="D1055" s="31">
        <v>41031</v>
      </c>
      <c r="E1055" s="15" t="s">
        <v>24760</v>
      </c>
      <c r="F1055" s="87" t="s">
        <v>23710</v>
      </c>
      <c r="G1055" s="45" t="s">
        <v>6249</v>
      </c>
      <c r="H1055" s="55" t="s">
        <v>6250</v>
      </c>
      <c r="I1055" s="15" t="s">
        <v>178</v>
      </c>
    </row>
    <row r="1056" spans="1:9" ht="51.75" customHeight="1" x14ac:dyDescent="0.35">
      <c r="A1056" s="15" t="s">
        <v>23477</v>
      </c>
      <c r="B1056" s="15" t="s">
        <v>24761</v>
      </c>
      <c r="C1056" s="15" t="s">
        <v>24759</v>
      </c>
      <c r="D1056" s="31">
        <v>41031</v>
      </c>
      <c r="E1056" s="15" t="s">
        <v>24762</v>
      </c>
      <c r="F1056" s="87" t="s">
        <v>21871</v>
      </c>
      <c r="G1056" s="45" t="s">
        <v>6249</v>
      </c>
      <c r="H1056" s="55" t="s">
        <v>6250</v>
      </c>
      <c r="I1056" s="15" t="s">
        <v>178</v>
      </c>
    </row>
    <row r="1057" spans="1:9" ht="51.75" customHeight="1" x14ac:dyDescent="0.35">
      <c r="A1057" s="15" t="s">
        <v>23481</v>
      </c>
      <c r="B1057" s="15" t="s">
        <v>24763</v>
      </c>
      <c r="C1057" s="15" t="s">
        <v>24764</v>
      </c>
      <c r="D1057" s="31">
        <v>41031</v>
      </c>
      <c r="E1057" s="15" t="s">
        <v>24765</v>
      </c>
      <c r="F1057" s="87" t="s">
        <v>23710</v>
      </c>
      <c r="G1057" s="45" t="s">
        <v>6249</v>
      </c>
      <c r="H1057" s="55" t="s">
        <v>6250</v>
      </c>
      <c r="I1057" s="15" t="s">
        <v>178</v>
      </c>
    </row>
    <row r="1058" spans="1:9" ht="51.75" customHeight="1" x14ac:dyDescent="0.35">
      <c r="A1058" s="15" t="s">
        <v>23481</v>
      </c>
      <c r="B1058" s="15" t="s">
        <v>24766</v>
      </c>
      <c r="C1058" s="15" t="s">
        <v>24764</v>
      </c>
      <c r="D1058" s="31">
        <v>41031</v>
      </c>
      <c r="E1058" s="15" t="s">
        <v>24767</v>
      </c>
      <c r="F1058" s="87" t="s">
        <v>21871</v>
      </c>
      <c r="G1058" s="45" t="s">
        <v>6249</v>
      </c>
      <c r="H1058" s="55" t="s">
        <v>6250</v>
      </c>
      <c r="I1058" s="15" t="s">
        <v>178</v>
      </c>
    </row>
    <row r="1059" spans="1:9" ht="51.75" customHeight="1" x14ac:dyDescent="0.35">
      <c r="A1059" s="15" t="s">
        <v>24768</v>
      </c>
      <c r="B1059" s="15" t="s">
        <v>24769</v>
      </c>
      <c r="C1059" s="15" t="s">
        <v>24770</v>
      </c>
      <c r="D1059" s="31">
        <v>40611</v>
      </c>
      <c r="E1059" s="15" t="s">
        <v>24771</v>
      </c>
      <c r="F1059" s="87" t="s">
        <v>23710</v>
      </c>
      <c r="G1059" s="45" t="s">
        <v>4510</v>
      </c>
      <c r="H1059" s="55" t="s">
        <v>4511</v>
      </c>
      <c r="I1059" s="15" t="s">
        <v>178</v>
      </c>
    </row>
    <row r="1060" spans="1:9" ht="51.75" customHeight="1" x14ac:dyDescent="0.35">
      <c r="A1060" s="15" t="s">
        <v>24768</v>
      </c>
      <c r="B1060" s="15" t="s">
        <v>24772</v>
      </c>
      <c r="C1060" s="15" t="s">
        <v>24770</v>
      </c>
      <c r="D1060" s="31">
        <v>40611</v>
      </c>
      <c r="E1060" s="15" t="s">
        <v>24773</v>
      </c>
      <c r="F1060" s="87" t="s">
        <v>21871</v>
      </c>
      <c r="G1060" s="45" t="s">
        <v>4510</v>
      </c>
      <c r="H1060" s="55" t="s">
        <v>4511</v>
      </c>
      <c r="I1060" s="15" t="s">
        <v>178</v>
      </c>
    </row>
    <row r="1061" spans="1:9" ht="51.75" customHeight="1" x14ac:dyDescent="0.35">
      <c r="A1061" s="15" t="s">
        <v>24774</v>
      </c>
      <c r="B1061" s="15" t="s">
        <v>24775</v>
      </c>
      <c r="C1061" s="15" t="s">
        <v>24776</v>
      </c>
      <c r="D1061" s="31">
        <v>40611</v>
      </c>
      <c r="E1061" s="15" t="s">
        <v>24777</v>
      </c>
      <c r="F1061" s="87" t="s">
        <v>23710</v>
      </c>
      <c r="G1061" s="45" t="s">
        <v>4510</v>
      </c>
      <c r="H1061" s="55" t="s">
        <v>4511</v>
      </c>
      <c r="I1061" s="15" t="s">
        <v>178</v>
      </c>
    </row>
    <row r="1062" spans="1:9" ht="51.75" customHeight="1" x14ac:dyDescent="0.35">
      <c r="A1062" s="15" t="s">
        <v>24774</v>
      </c>
      <c r="B1062" s="15" t="s">
        <v>24778</v>
      </c>
      <c r="C1062" s="15" t="s">
        <v>24776</v>
      </c>
      <c r="D1062" s="31">
        <v>40611</v>
      </c>
      <c r="E1062" s="15" t="s">
        <v>24779</v>
      </c>
      <c r="F1062" s="87" t="s">
        <v>21871</v>
      </c>
      <c r="G1062" s="45" t="s">
        <v>4510</v>
      </c>
      <c r="H1062" s="55" t="s">
        <v>4511</v>
      </c>
      <c r="I1062" s="15" t="s">
        <v>178</v>
      </c>
    </row>
    <row r="1063" spans="1:9" ht="51.75" customHeight="1" x14ac:dyDescent="0.35">
      <c r="A1063" s="15" t="s">
        <v>24780</v>
      </c>
      <c r="B1063" s="15" t="s">
        <v>24781</v>
      </c>
      <c r="C1063" s="15" t="s">
        <v>24782</v>
      </c>
      <c r="D1063" s="31">
        <v>40611</v>
      </c>
      <c r="E1063" s="15" t="s">
        <v>24783</v>
      </c>
      <c r="F1063" s="87" t="s">
        <v>23710</v>
      </c>
      <c r="G1063" s="45" t="s">
        <v>4510</v>
      </c>
      <c r="H1063" s="55" t="s">
        <v>4511</v>
      </c>
      <c r="I1063" s="15" t="s">
        <v>178</v>
      </c>
    </row>
    <row r="1064" spans="1:9" ht="51.75" customHeight="1" x14ac:dyDescent="0.35">
      <c r="A1064" s="15" t="s">
        <v>24780</v>
      </c>
      <c r="B1064" s="15" t="s">
        <v>24784</v>
      </c>
      <c r="C1064" s="15" t="s">
        <v>24782</v>
      </c>
      <c r="D1064" s="31">
        <v>40611</v>
      </c>
      <c r="E1064" s="15" t="s">
        <v>24785</v>
      </c>
      <c r="F1064" s="87" t="s">
        <v>21871</v>
      </c>
      <c r="G1064" s="45" t="s">
        <v>4510</v>
      </c>
      <c r="H1064" s="55" t="s">
        <v>4511</v>
      </c>
      <c r="I1064" s="15" t="s">
        <v>178</v>
      </c>
    </row>
    <row r="1065" spans="1:9" ht="51.75" customHeight="1" x14ac:dyDescent="0.35">
      <c r="A1065" s="15" t="s">
        <v>24786</v>
      </c>
      <c r="B1065" s="15" t="s">
        <v>24787</v>
      </c>
      <c r="C1065" s="15" t="s">
        <v>24788</v>
      </c>
      <c r="D1065" s="31">
        <v>40611</v>
      </c>
      <c r="E1065" s="15" t="s">
        <v>24789</v>
      </c>
      <c r="F1065" s="87" t="s">
        <v>23710</v>
      </c>
      <c r="G1065" s="45" t="s">
        <v>4510</v>
      </c>
      <c r="H1065" s="55" t="s">
        <v>4511</v>
      </c>
      <c r="I1065" s="15" t="s">
        <v>178</v>
      </c>
    </row>
    <row r="1066" spans="1:9" ht="51.75" customHeight="1" x14ac:dyDescent="0.35">
      <c r="A1066" s="15" t="s">
        <v>24786</v>
      </c>
      <c r="B1066" s="15" t="s">
        <v>24790</v>
      </c>
      <c r="C1066" s="15" t="s">
        <v>24788</v>
      </c>
      <c r="D1066" s="31">
        <v>40611</v>
      </c>
      <c r="E1066" s="15" t="s">
        <v>24791</v>
      </c>
      <c r="F1066" s="87" t="s">
        <v>21871</v>
      </c>
      <c r="G1066" s="45" t="s">
        <v>4510</v>
      </c>
      <c r="H1066" s="55" t="s">
        <v>4511</v>
      </c>
      <c r="I1066" s="15" t="s">
        <v>178</v>
      </c>
    </row>
    <row r="1067" spans="1:9" ht="51.75" customHeight="1" x14ac:dyDescent="0.35">
      <c r="A1067" s="15" t="s">
        <v>24386</v>
      </c>
      <c r="B1067" s="15" t="s">
        <v>24792</v>
      </c>
      <c r="C1067" s="15" t="s">
        <v>24793</v>
      </c>
      <c r="D1067" s="31">
        <v>42097</v>
      </c>
      <c r="E1067" s="15" t="s">
        <v>24794</v>
      </c>
      <c r="F1067" s="87" t="s">
        <v>23710</v>
      </c>
      <c r="G1067" s="45" t="s">
        <v>8320</v>
      </c>
      <c r="H1067" s="55" t="s">
        <v>8321</v>
      </c>
      <c r="I1067" s="15" t="s">
        <v>178</v>
      </c>
    </row>
    <row r="1068" spans="1:9" ht="51.75" customHeight="1" x14ac:dyDescent="0.35">
      <c r="A1068" s="15" t="s">
        <v>24386</v>
      </c>
      <c r="B1068" s="15" t="s">
        <v>24795</v>
      </c>
      <c r="C1068" s="15" t="s">
        <v>24793</v>
      </c>
      <c r="D1068" s="31">
        <v>42097</v>
      </c>
      <c r="E1068" s="15" t="s">
        <v>24796</v>
      </c>
      <c r="F1068" s="87" t="s">
        <v>21871</v>
      </c>
      <c r="G1068" s="45" t="s">
        <v>8320</v>
      </c>
      <c r="H1068" s="55" t="s">
        <v>8321</v>
      </c>
      <c r="I1068" s="15" t="s">
        <v>178</v>
      </c>
    </row>
    <row r="1069" spans="1:9" ht="51.75" customHeight="1" x14ac:dyDescent="0.35">
      <c r="A1069" s="15" t="s">
        <v>24391</v>
      </c>
      <c r="B1069" s="15" t="s">
        <v>24797</v>
      </c>
      <c r="C1069" s="15" t="s">
        <v>24798</v>
      </c>
      <c r="D1069" s="31">
        <v>42097</v>
      </c>
      <c r="E1069" s="15" t="s">
        <v>24799</v>
      </c>
      <c r="F1069" s="87" t="s">
        <v>23710</v>
      </c>
      <c r="G1069" s="45" t="s">
        <v>8320</v>
      </c>
      <c r="H1069" s="55" t="s">
        <v>8321</v>
      </c>
      <c r="I1069" s="15" t="s">
        <v>178</v>
      </c>
    </row>
    <row r="1070" spans="1:9" ht="51.75" customHeight="1" x14ac:dyDescent="0.35">
      <c r="A1070" s="15" t="s">
        <v>24391</v>
      </c>
      <c r="B1070" s="15" t="s">
        <v>24800</v>
      </c>
      <c r="C1070" s="15" t="s">
        <v>24798</v>
      </c>
      <c r="D1070" s="31">
        <v>42097</v>
      </c>
      <c r="E1070" s="15" t="s">
        <v>24801</v>
      </c>
      <c r="F1070" s="87" t="s">
        <v>21871</v>
      </c>
      <c r="G1070" s="45" t="s">
        <v>8320</v>
      </c>
      <c r="H1070" s="55" t="s">
        <v>8321</v>
      </c>
      <c r="I1070" s="15" t="s">
        <v>178</v>
      </c>
    </row>
    <row r="1071" spans="1:9" ht="51.75" customHeight="1" x14ac:dyDescent="0.35">
      <c r="A1071" s="15" t="s">
        <v>24802</v>
      </c>
      <c r="B1071" s="15" t="s">
        <v>24803</v>
      </c>
      <c r="C1071" s="15" t="s">
        <v>24804</v>
      </c>
      <c r="D1071" s="31">
        <v>42097</v>
      </c>
      <c r="E1071" s="15" t="s">
        <v>24805</v>
      </c>
      <c r="F1071" s="87" t="s">
        <v>23710</v>
      </c>
      <c r="G1071" s="45" t="s">
        <v>8320</v>
      </c>
      <c r="H1071" s="55" t="s">
        <v>8321</v>
      </c>
      <c r="I1071" s="15" t="s">
        <v>178</v>
      </c>
    </row>
    <row r="1072" spans="1:9" ht="51.75" customHeight="1" x14ac:dyDescent="0.35">
      <c r="A1072" s="15" t="s">
        <v>24802</v>
      </c>
      <c r="B1072" s="15" t="s">
        <v>24806</v>
      </c>
      <c r="C1072" s="15" t="s">
        <v>24804</v>
      </c>
      <c r="D1072" s="31">
        <v>42097</v>
      </c>
      <c r="E1072" s="15" t="s">
        <v>24807</v>
      </c>
      <c r="F1072" s="87" t="s">
        <v>21871</v>
      </c>
      <c r="G1072" s="45" t="s">
        <v>8320</v>
      </c>
      <c r="H1072" s="55" t="s">
        <v>8321</v>
      </c>
      <c r="I1072" s="15" t="s">
        <v>178</v>
      </c>
    </row>
    <row r="1073" spans="1:9" ht="51.75" customHeight="1" x14ac:dyDescent="0.35">
      <c r="A1073" s="15" t="s">
        <v>24808</v>
      </c>
      <c r="B1073" s="15" t="s">
        <v>24809</v>
      </c>
      <c r="C1073" s="15" t="s">
        <v>24810</v>
      </c>
      <c r="D1073" s="31">
        <v>42097</v>
      </c>
      <c r="E1073" s="15" t="s">
        <v>24811</v>
      </c>
      <c r="F1073" s="87" t="s">
        <v>23710</v>
      </c>
      <c r="G1073" s="45" t="s">
        <v>8320</v>
      </c>
      <c r="H1073" s="55" t="s">
        <v>8321</v>
      </c>
      <c r="I1073" s="15" t="s">
        <v>178</v>
      </c>
    </row>
    <row r="1074" spans="1:9" ht="51.75" customHeight="1" x14ac:dyDescent="0.35">
      <c r="A1074" s="15" t="s">
        <v>24808</v>
      </c>
      <c r="B1074" s="15" t="s">
        <v>24812</v>
      </c>
      <c r="C1074" s="15" t="s">
        <v>24810</v>
      </c>
      <c r="D1074" s="31">
        <v>42097</v>
      </c>
      <c r="E1074" s="15" t="s">
        <v>24813</v>
      </c>
      <c r="F1074" s="87" t="s">
        <v>21871</v>
      </c>
      <c r="G1074" s="45" t="s">
        <v>8320</v>
      </c>
      <c r="H1074" s="55" t="s">
        <v>8321</v>
      </c>
      <c r="I1074" s="15" t="s">
        <v>178</v>
      </c>
    </row>
    <row r="1075" spans="1:9" ht="51.75" customHeight="1" x14ac:dyDescent="0.35">
      <c r="A1075" s="15" t="s">
        <v>24814</v>
      </c>
      <c r="B1075" s="15" t="s">
        <v>24815</v>
      </c>
      <c r="C1075" s="15" t="s">
        <v>24816</v>
      </c>
      <c r="D1075" s="31">
        <v>42097</v>
      </c>
      <c r="E1075" s="15" t="s">
        <v>24817</v>
      </c>
      <c r="F1075" s="87" t="s">
        <v>23710</v>
      </c>
      <c r="G1075" s="45" t="s">
        <v>8320</v>
      </c>
      <c r="H1075" s="55" t="s">
        <v>8321</v>
      </c>
      <c r="I1075" s="15" t="s">
        <v>178</v>
      </c>
    </row>
    <row r="1076" spans="1:9" ht="51.75" customHeight="1" x14ac:dyDescent="0.35">
      <c r="A1076" s="15" t="s">
        <v>24814</v>
      </c>
      <c r="B1076" s="15" t="s">
        <v>24818</v>
      </c>
      <c r="C1076" s="15" t="s">
        <v>24816</v>
      </c>
      <c r="D1076" s="31">
        <v>42097</v>
      </c>
      <c r="E1076" s="15" t="s">
        <v>24819</v>
      </c>
      <c r="F1076" s="87" t="s">
        <v>21871</v>
      </c>
      <c r="G1076" s="45" t="s">
        <v>8320</v>
      </c>
      <c r="H1076" s="55" t="s">
        <v>8321</v>
      </c>
      <c r="I1076" s="15" t="s">
        <v>178</v>
      </c>
    </row>
    <row r="1077" spans="1:9" ht="51.75" customHeight="1" x14ac:dyDescent="0.35">
      <c r="A1077" s="15" t="s">
        <v>24820</v>
      </c>
      <c r="B1077" s="15" t="s">
        <v>24821</v>
      </c>
      <c r="C1077" s="15" t="s">
        <v>24822</v>
      </c>
      <c r="D1077" s="31">
        <v>42097</v>
      </c>
      <c r="E1077" s="15" t="s">
        <v>24823</v>
      </c>
      <c r="F1077" s="87" t="s">
        <v>23710</v>
      </c>
      <c r="G1077" s="45" t="s">
        <v>8320</v>
      </c>
      <c r="H1077" s="55" t="s">
        <v>8321</v>
      </c>
      <c r="I1077" s="15" t="s">
        <v>178</v>
      </c>
    </row>
    <row r="1078" spans="1:9" ht="51.75" customHeight="1" x14ac:dyDescent="0.35">
      <c r="A1078" s="15" t="s">
        <v>24820</v>
      </c>
      <c r="B1078" s="15" t="s">
        <v>24824</v>
      </c>
      <c r="C1078" s="15" t="s">
        <v>24822</v>
      </c>
      <c r="D1078" s="31">
        <v>42097</v>
      </c>
      <c r="E1078" s="15" t="s">
        <v>24825</v>
      </c>
      <c r="F1078" s="87" t="s">
        <v>21871</v>
      </c>
      <c r="G1078" s="45" t="s">
        <v>8320</v>
      </c>
      <c r="H1078" s="55" t="s">
        <v>8321</v>
      </c>
      <c r="I1078" s="15" t="s">
        <v>178</v>
      </c>
    </row>
    <row r="1079" spans="1:9" ht="51.75" customHeight="1" x14ac:dyDescent="0.35">
      <c r="A1079" s="15" t="s">
        <v>24826</v>
      </c>
      <c r="B1079" s="15" t="s">
        <v>24827</v>
      </c>
      <c r="C1079" s="15" t="s">
        <v>24828</v>
      </c>
      <c r="D1079" s="31">
        <v>42097</v>
      </c>
      <c r="E1079" s="15" t="s">
        <v>24829</v>
      </c>
      <c r="F1079" s="87" t="s">
        <v>23710</v>
      </c>
      <c r="G1079" s="45" t="s">
        <v>8320</v>
      </c>
      <c r="H1079" s="55" t="s">
        <v>8321</v>
      </c>
      <c r="I1079" s="15" t="s">
        <v>178</v>
      </c>
    </row>
    <row r="1080" spans="1:9" ht="51.75" customHeight="1" x14ac:dyDescent="0.35">
      <c r="A1080" s="15" t="s">
        <v>24826</v>
      </c>
      <c r="B1080" s="15" t="s">
        <v>24830</v>
      </c>
      <c r="C1080" s="15" t="s">
        <v>24828</v>
      </c>
      <c r="D1080" s="31">
        <v>42097</v>
      </c>
      <c r="E1080" s="15" t="s">
        <v>24831</v>
      </c>
      <c r="F1080" s="87" t="s">
        <v>21871</v>
      </c>
      <c r="G1080" s="45" t="s">
        <v>8320</v>
      </c>
      <c r="H1080" s="55" t="s">
        <v>8321</v>
      </c>
      <c r="I1080" s="15" t="s">
        <v>178</v>
      </c>
    </row>
    <row r="1081" spans="1:9" ht="51.75" customHeight="1" x14ac:dyDescent="0.35">
      <c r="A1081" s="15" t="s">
        <v>24686</v>
      </c>
      <c r="B1081" s="15" t="s">
        <v>24832</v>
      </c>
      <c r="C1081" s="15" t="s">
        <v>24833</v>
      </c>
      <c r="D1081" s="31">
        <v>41775</v>
      </c>
      <c r="E1081" s="15" t="s">
        <v>24834</v>
      </c>
      <c r="F1081" s="87" t="s">
        <v>23710</v>
      </c>
      <c r="G1081" s="45" t="s">
        <v>8568</v>
      </c>
      <c r="H1081" s="55" t="s">
        <v>8569</v>
      </c>
      <c r="I1081" s="15" t="s">
        <v>178</v>
      </c>
    </row>
    <row r="1082" spans="1:9" ht="51.75" customHeight="1" x14ac:dyDescent="0.35">
      <c r="A1082" s="15" t="s">
        <v>24686</v>
      </c>
      <c r="B1082" s="15" t="s">
        <v>24835</v>
      </c>
      <c r="C1082" s="15" t="s">
        <v>24833</v>
      </c>
      <c r="D1082" s="31">
        <v>41775</v>
      </c>
      <c r="E1082" s="15" t="s">
        <v>24836</v>
      </c>
      <c r="F1082" s="87" t="s">
        <v>21871</v>
      </c>
      <c r="G1082" s="45" t="s">
        <v>8568</v>
      </c>
      <c r="H1082" s="55" t="s">
        <v>8569</v>
      </c>
      <c r="I1082" s="15" t="s">
        <v>178</v>
      </c>
    </row>
    <row r="1083" spans="1:9" ht="51.75" customHeight="1" x14ac:dyDescent="0.35">
      <c r="A1083" s="15" t="s">
        <v>24692</v>
      </c>
      <c r="B1083" s="15" t="s">
        <v>24837</v>
      </c>
      <c r="C1083" s="15" t="s">
        <v>24838</v>
      </c>
      <c r="D1083" s="31">
        <v>41775</v>
      </c>
      <c r="E1083" s="15" t="s">
        <v>24839</v>
      </c>
      <c r="F1083" s="87" t="s">
        <v>23710</v>
      </c>
      <c r="G1083" s="45" t="s">
        <v>8568</v>
      </c>
      <c r="H1083" s="55" t="s">
        <v>8569</v>
      </c>
      <c r="I1083" s="15" t="s">
        <v>178</v>
      </c>
    </row>
    <row r="1084" spans="1:9" ht="51.75" customHeight="1" x14ac:dyDescent="0.35">
      <c r="A1084" s="15" t="s">
        <v>24692</v>
      </c>
      <c r="B1084" s="15" t="s">
        <v>24840</v>
      </c>
      <c r="C1084" s="15" t="s">
        <v>24838</v>
      </c>
      <c r="D1084" s="31">
        <v>41775</v>
      </c>
      <c r="E1084" s="15" t="s">
        <v>24841</v>
      </c>
      <c r="F1084" s="87" t="s">
        <v>21871</v>
      </c>
      <c r="G1084" s="45" t="s">
        <v>8568</v>
      </c>
      <c r="H1084" s="55" t="s">
        <v>8569</v>
      </c>
      <c r="I1084" s="15" t="s">
        <v>178</v>
      </c>
    </row>
    <row r="1085" spans="1:9" ht="51.75" customHeight="1" x14ac:dyDescent="0.35">
      <c r="A1085" s="15" t="s">
        <v>22051</v>
      </c>
      <c r="B1085" s="15" t="s">
        <v>24842</v>
      </c>
      <c r="C1085" s="15" t="s">
        <v>24843</v>
      </c>
      <c r="D1085" s="31">
        <v>41775</v>
      </c>
      <c r="E1085" s="15" t="s">
        <v>24844</v>
      </c>
      <c r="F1085" s="87" t="s">
        <v>23710</v>
      </c>
      <c r="G1085" s="45" t="s">
        <v>8568</v>
      </c>
      <c r="H1085" s="55" t="s">
        <v>8569</v>
      </c>
      <c r="I1085" s="15" t="s">
        <v>178</v>
      </c>
    </row>
    <row r="1086" spans="1:9" ht="51.75" customHeight="1" x14ac:dyDescent="0.35">
      <c r="A1086" s="15" t="s">
        <v>22051</v>
      </c>
      <c r="B1086" s="15" t="s">
        <v>24845</v>
      </c>
      <c r="C1086" s="15" t="s">
        <v>24843</v>
      </c>
      <c r="D1086" s="31">
        <v>41775</v>
      </c>
      <c r="E1086" s="15" t="s">
        <v>24846</v>
      </c>
      <c r="F1086" s="87" t="s">
        <v>21871</v>
      </c>
      <c r="G1086" s="45" t="s">
        <v>8568</v>
      </c>
      <c r="H1086" s="55" t="s">
        <v>8569</v>
      </c>
      <c r="I1086" s="15" t="s">
        <v>178</v>
      </c>
    </row>
    <row r="1087" spans="1:9" ht="51.75" customHeight="1" x14ac:dyDescent="0.35">
      <c r="A1087" s="15" t="s">
        <v>24703</v>
      </c>
      <c r="B1087" s="15" t="s">
        <v>24847</v>
      </c>
      <c r="C1087" s="15" t="s">
        <v>24848</v>
      </c>
      <c r="D1087" s="31">
        <v>41775</v>
      </c>
      <c r="E1087" s="15" t="s">
        <v>24849</v>
      </c>
      <c r="F1087" s="87" t="s">
        <v>23710</v>
      </c>
      <c r="G1087" s="45" t="s">
        <v>8568</v>
      </c>
      <c r="H1087" s="55" t="s">
        <v>8569</v>
      </c>
      <c r="I1087" s="15" t="s">
        <v>178</v>
      </c>
    </row>
    <row r="1088" spans="1:9" ht="51.75" customHeight="1" x14ac:dyDescent="0.35">
      <c r="A1088" s="15" t="s">
        <v>24703</v>
      </c>
      <c r="B1088" s="15" t="s">
        <v>24850</v>
      </c>
      <c r="C1088" s="15" t="s">
        <v>24848</v>
      </c>
      <c r="D1088" s="31">
        <v>41775</v>
      </c>
      <c r="E1088" s="15" t="s">
        <v>24851</v>
      </c>
      <c r="F1088" s="87" t="s">
        <v>21871</v>
      </c>
      <c r="G1088" s="45" t="s">
        <v>8568</v>
      </c>
      <c r="H1088" s="55" t="s">
        <v>8569</v>
      </c>
      <c r="I1088" s="15" t="s">
        <v>178</v>
      </c>
    </row>
    <row r="1089" spans="1:9" ht="51.75" customHeight="1" x14ac:dyDescent="0.35">
      <c r="A1089" s="15" t="s">
        <v>23448</v>
      </c>
      <c r="B1089" s="15" t="s">
        <v>24852</v>
      </c>
      <c r="C1089" s="15" t="s">
        <v>24853</v>
      </c>
      <c r="D1089" s="31">
        <v>41775</v>
      </c>
      <c r="E1089" s="15" t="s">
        <v>24854</v>
      </c>
      <c r="F1089" s="87" t="s">
        <v>23710</v>
      </c>
      <c r="G1089" s="45" t="s">
        <v>8568</v>
      </c>
      <c r="H1089" s="55" t="s">
        <v>8569</v>
      </c>
      <c r="I1089" s="15" t="s">
        <v>178</v>
      </c>
    </row>
    <row r="1090" spans="1:9" ht="51.75" customHeight="1" x14ac:dyDescent="0.35">
      <c r="A1090" s="15" t="s">
        <v>23448</v>
      </c>
      <c r="B1090" s="15" t="s">
        <v>24855</v>
      </c>
      <c r="C1090" s="15" t="s">
        <v>24853</v>
      </c>
      <c r="D1090" s="31">
        <v>41775</v>
      </c>
      <c r="E1090" s="15" t="s">
        <v>24856</v>
      </c>
      <c r="F1090" s="87" t="s">
        <v>21871</v>
      </c>
      <c r="G1090" s="45" t="s">
        <v>8568</v>
      </c>
      <c r="H1090" s="55" t="s">
        <v>8569</v>
      </c>
      <c r="I1090" s="15" t="s">
        <v>178</v>
      </c>
    </row>
    <row r="1091" spans="1:9" ht="51.75" customHeight="1" x14ac:dyDescent="0.35">
      <c r="A1091" s="15" t="s">
        <v>24714</v>
      </c>
      <c r="B1091" s="15" t="s">
        <v>24857</v>
      </c>
      <c r="C1091" s="15" t="s">
        <v>24858</v>
      </c>
      <c r="D1091" s="31">
        <v>41775</v>
      </c>
      <c r="E1091" s="15" t="s">
        <v>24859</v>
      </c>
      <c r="F1091" s="87" t="s">
        <v>23710</v>
      </c>
      <c r="G1091" s="45" t="s">
        <v>8568</v>
      </c>
      <c r="H1091" s="55" t="s">
        <v>8569</v>
      </c>
      <c r="I1091" s="15" t="s">
        <v>178</v>
      </c>
    </row>
    <row r="1092" spans="1:9" ht="51.75" customHeight="1" x14ac:dyDescent="0.35">
      <c r="A1092" s="15" t="s">
        <v>24714</v>
      </c>
      <c r="B1092" s="15" t="s">
        <v>24860</v>
      </c>
      <c r="C1092" s="15" t="s">
        <v>24858</v>
      </c>
      <c r="D1092" s="31">
        <v>41775</v>
      </c>
      <c r="E1092" s="15" t="s">
        <v>24861</v>
      </c>
      <c r="F1092" s="87" t="s">
        <v>21871</v>
      </c>
      <c r="G1092" s="45" t="s">
        <v>8568</v>
      </c>
      <c r="H1092" s="55" t="s">
        <v>8569</v>
      </c>
      <c r="I1092" s="15" t="s">
        <v>178</v>
      </c>
    </row>
    <row r="1093" spans="1:9" ht="51.75" customHeight="1" x14ac:dyDescent="0.35">
      <c r="A1093" s="15" t="s">
        <v>23258</v>
      </c>
      <c r="B1093" s="15" t="s">
        <v>24862</v>
      </c>
      <c r="C1093" s="15" t="s">
        <v>24863</v>
      </c>
      <c r="D1093" s="31">
        <v>41389</v>
      </c>
      <c r="E1093" s="15" t="s">
        <v>24864</v>
      </c>
      <c r="F1093" s="87" t="s">
        <v>23710</v>
      </c>
      <c r="G1093" s="45" t="s">
        <v>7431</v>
      </c>
      <c r="H1093" s="55" t="s">
        <v>7432</v>
      </c>
      <c r="I1093" s="15" t="s">
        <v>178</v>
      </c>
    </row>
    <row r="1094" spans="1:9" ht="51.75" customHeight="1" x14ac:dyDescent="0.35">
      <c r="A1094" s="15" t="s">
        <v>23258</v>
      </c>
      <c r="B1094" s="15" t="s">
        <v>24865</v>
      </c>
      <c r="C1094" s="15" t="s">
        <v>24863</v>
      </c>
      <c r="D1094" s="31">
        <v>41389</v>
      </c>
      <c r="E1094" s="15" t="s">
        <v>24866</v>
      </c>
      <c r="F1094" s="87" t="s">
        <v>21871</v>
      </c>
      <c r="G1094" s="45" t="s">
        <v>7431</v>
      </c>
      <c r="H1094" s="55" t="s">
        <v>7432</v>
      </c>
      <c r="I1094" s="15" t="s">
        <v>178</v>
      </c>
    </row>
    <row r="1095" spans="1:9" ht="51.75" customHeight="1" x14ac:dyDescent="0.35">
      <c r="A1095" s="15" t="s">
        <v>22945</v>
      </c>
      <c r="B1095" s="15" t="s">
        <v>24867</v>
      </c>
      <c r="C1095" s="15" t="s">
        <v>24868</v>
      </c>
      <c r="D1095" s="31">
        <v>41389</v>
      </c>
      <c r="E1095" s="15" t="s">
        <v>24869</v>
      </c>
      <c r="F1095" s="87" t="s">
        <v>23710</v>
      </c>
      <c r="G1095" s="45" t="s">
        <v>7431</v>
      </c>
      <c r="H1095" s="55" t="s">
        <v>7432</v>
      </c>
      <c r="I1095" s="15" t="s">
        <v>178</v>
      </c>
    </row>
    <row r="1096" spans="1:9" ht="51.75" customHeight="1" x14ac:dyDescent="0.35">
      <c r="A1096" s="15" t="s">
        <v>22945</v>
      </c>
      <c r="B1096" s="15" t="s">
        <v>24870</v>
      </c>
      <c r="C1096" s="15" t="s">
        <v>24868</v>
      </c>
      <c r="D1096" s="31">
        <v>41389</v>
      </c>
      <c r="E1096" s="15" t="s">
        <v>24871</v>
      </c>
      <c r="F1096" s="87" t="s">
        <v>21871</v>
      </c>
      <c r="G1096" s="45" t="s">
        <v>7431</v>
      </c>
      <c r="H1096" s="55" t="s">
        <v>7432</v>
      </c>
      <c r="I1096" s="15" t="s">
        <v>178</v>
      </c>
    </row>
    <row r="1097" spans="1:9" ht="51.75" customHeight="1" x14ac:dyDescent="0.35">
      <c r="A1097" s="15" t="s">
        <v>23234</v>
      </c>
      <c r="B1097" s="15" t="s">
        <v>24872</v>
      </c>
      <c r="C1097" s="15" t="s">
        <v>24873</v>
      </c>
      <c r="D1097" s="31">
        <v>41389</v>
      </c>
      <c r="E1097" s="15" t="s">
        <v>24874</v>
      </c>
      <c r="F1097" s="87" t="s">
        <v>23710</v>
      </c>
      <c r="G1097" s="45" t="s">
        <v>7431</v>
      </c>
      <c r="H1097" s="55" t="s">
        <v>7432</v>
      </c>
      <c r="I1097" s="15" t="s">
        <v>178</v>
      </c>
    </row>
    <row r="1098" spans="1:9" ht="51.75" customHeight="1" x14ac:dyDescent="0.35">
      <c r="A1098" s="15" t="s">
        <v>23234</v>
      </c>
      <c r="B1098" s="15" t="s">
        <v>24875</v>
      </c>
      <c r="C1098" s="15" t="s">
        <v>24873</v>
      </c>
      <c r="D1098" s="31">
        <v>41389</v>
      </c>
      <c r="E1098" s="15" t="s">
        <v>24876</v>
      </c>
      <c r="F1098" s="87" t="s">
        <v>21871</v>
      </c>
      <c r="G1098" s="45" t="s">
        <v>7431</v>
      </c>
      <c r="H1098" s="55" t="s">
        <v>7432</v>
      </c>
      <c r="I1098" s="15" t="s">
        <v>178</v>
      </c>
    </row>
    <row r="1099" spans="1:9" ht="51.75" customHeight="1" x14ac:dyDescent="0.35">
      <c r="A1099" s="15" t="s">
        <v>24877</v>
      </c>
      <c r="B1099" s="15" t="s">
        <v>24878</v>
      </c>
      <c r="C1099" s="15" t="s">
        <v>24879</v>
      </c>
      <c r="D1099" s="31">
        <v>41604</v>
      </c>
      <c r="E1099" s="15" t="s">
        <v>24880</v>
      </c>
      <c r="F1099" s="87" t="s">
        <v>23710</v>
      </c>
      <c r="G1099" s="45" t="s">
        <v>7989</v>
      </c>
      <c r="H1099" s="55" t="s">
        <v>7990</v>
      </c>
      <c r="I1099" s="15" t="s">
        <v>178</v>
      </c>
    </row>
    <row r="1100" spans="1:9" ht="51.75" customHeight="1" x14ac:dyDescent="0.35">
      <c r="A1100" s="15" t="s">
        <v>24877</v>
      </c>
      <c r="B1100" s="15" t="s">
        <v>24881</v>
      </c>
      <c r="C1100" s="15" t="s">
        <v>24879</v>
      </c>
      <c r="D1100" s="31">
        <v>41604</v>
      </c>
      <c r="E1100" s="15" t="s">
        <v>24882</v>
      </c>
      <c r="F1100" s="87" t="s">
        <v>21871</v>
      </c>
      <c r="G1100" s="45" t="s">
        <v>7989</v>
      </c>
      <c r="H1100" s="55" t="s">
        <v>7990</v>
      </c>
      <c r="I1100" s="15" t="s">
        <v>178</v>
      </c>
    </row>
    <row r="1101" spans="1:9" ht="51.75" customHeight="1" x14ac:dyDescent="0.35">
      <c r="A1101" s="15" t="s">
        <v>22035</v>
      </c>
      <c r="B1101" s="15" t="s">
        <v>24883</v>
      </c>
      <c r="C1101" s="15" t="s">
        <v>24884</v>
      </c>
      <c r="D1101" s="31">
        <v>41604</v>
      </c>
      <c r="E1101" s="15" t="s">
        <v>24885</v>
      </c>
      <c r="F1101" s="87" t="s">
        <v>23710</v>
      </c>
      <c r="G1101" s="45" t="s">
        <v>7989</v>
      </c>
      <c r="H1101" s="55" t="s">
        <v>7990</v>
      </c>
      <c r="I1101" s="15" t="s">
        <v>178</v>
      </c>
    </row>
    <row r="1102" spans="1:9" ht="51.75" customHeight="1" x14ac:dyDescent="0.35">
      <c r="A1102" s="15" t="s">
        <v>22035</v>
      </c>
      <c r="B1102" s="15" t="s">
        <v>24886</v>
      </c>
      <c r="C1102" s="15" t="s">
        <v>24884</v>
      </c>
      <c r="D1102" s="31">
        <v>41604</v>
      </c>
      <c r="E1102" s="15" t="s">
        <v>24887</v>
      </c>
      <c r="F1102" s="87" t="s">
        <v>21871</v>
      </c>
      <c r="G1102" s="45" t="s">
        <v>7989</v>
      </c>
      <c r="H1102" s="55" t="s">
        <v>7990</v>
      </c>
      <c r="I1102" s="15" t="s">
        <v>178</v>
      </c>
    </row>
    <row r="1103" spans="1:9" ht="51.75" customHeight="1" x14ac:dyDescent="0.35">
      <c r="A1103" s="15" t="s">
        <v>23264</v>
      </c>
      <c r="B1103" s="15" t="s">
        <v>24888</v>
      </c>
      <c r="C1103" s="15" t="s">
        <v>24889</v>
      </c>
      <c r="D1103" s="31">
        <v>41604</v>
      </c>
      <c r="E1103" s="15" t="s">
        <v>24890</v>
      </c>
      <c r="F1103" s="87" t="s">
        <v>23710</v>
      </c>
      <c r="G1103" s="45" t="s">
        <v>7989</v>
      </c>
      <c r="H1103" s="55" t="s">
        <v>7990</v>
      </c>
      <c r="I1103" s="15" t="s">
        <v>178</v>
      </c>
    </row>
    <row r="1104" spans="1:9" ht="51.75" customHeight="1" x14ac:dyDescent="0.35">
      <c r="A1104" s="15" t="s">
        <v>23264</v>
      </c>
      <c r="B1104" s="15" t="s">
        <v>24891</v>
      </c>
      <c r="C1104" s="15" t="s">
        <v>24889</v>
      </c>
      <c r="D1104" s="31">
        <v>41604</v>
      </c>
      <c r="E1104" s="15" t="s">
        <v>24892</v>
      </c>
      <c r="F1104" s="87" t="s">
        <v>21871</v>
      </c>
      <c r="G1104" s="45" t="s">
        <v>7989</v>
      </c>
      <c r="H1104" s="55" t="s">
        <v>7990</v>
      </c>
      <c r="I1104" s="15" t="s">
        <v>178</v>
      </c>
    </row>
    <row r="1105" spans="1:9" ht="51.75" customHeight="1" x14ac:dyDescent="0.35">
      <c r="A1105" s="15" t="s">
        <v>22223</v>
      </c>
      <c r="B1105" s="15" t="s">
        <v>24893</v>
      </c>
      <c r="C1105" s="15" t="s">
        <v>24894</v>
      </c>
      <c r="D1105" s="31">
        <v>41604</v>
      </c>
      <c r="E1105" s="15" t="s">
        <v>24895</v>
      </c>
      <c r="F1105" s="87" t="s">
        <v>23710</v>
      </c>
      <c r="G1105" s="45" t="s">
        <v>7989</v>
      </c>
      <c r="H1105" s="55" t="s">
        <v>7990</v>
      </c>
      <c r="I1105" s="15" t="s">
        <v>178</v>
      </c>
    </row>
    <row r="1106" spans="1:9" ht="51.75" customHeight="1" x14ac:dyDescent="0.35">
      <c r="A1106" s="15" t="s">
        <v>22223</v>
      </c>
      <c r="B1106" s="15" t="s">
        <v>24896</v>
      </c>
      <c r="C1106" s="15" t="s">
        <v>24894</v>
      </c>
      <c r="D1106" s="31">
        <v>41604</v>
      </c>
      <c r="E1106" s="15" t="s">
        <v>24897</v>
      </c>
      <c r="F1106" s="87" t="s">
        <v>21871</v>
      </c>
      <c r="G1106" s="45" t="s">
        <v>7989</v>
      </c>
      <c r="H1106" s="55" t="s">
        <v>7990</v>
      </c>
      <c r="I1106" s="15" t="s">
        <v>178</v>
      </c>
    </row>
    <row r="1107" spans="1:9" ht="51.75" customHeight="1" x14ac:dyDescent="0.35">
      <c r="A1107" s="15" t="s">
        <v>22952</v>
      </c>
      <c r="B1107" s="15" t="s">
        <v>24898</v>
      </c>
      <c r="C1107" s="15" t="s">
        <v>24899</v>
      </c>
      <c r="D1107" s="31">
        <v>41604</v>
      </c>
      <c r="E1107" s="15" t="s">
        <v>24900</v>
      </c>
      <c r="F1107" s="87" t="s">
        <v>23710</v>
      </c>
      <c r="G1107" s="45" t="s">
        <v>7989</v>
      </c>
      <c r="H1107" s="55" t="s">
        <v>7990</v>
      </c>
      <c r="I1107" s="15" t="s">
        <v>178</v>
      </c>
    </row>
    <row r="1108" spans="1:9" ht="51.75" customHeight="1" x14ac:dyDescent="0.35">
      <c r="A1108" s="15" t="s">
        <v>22952</v>
      </c>
      <c r="B1108" s="15" t="s">
        <v>24901</v>
      </c>
      <c r="C1108" s="15" t="s">
        <v>24899</v>
      </c>
      <c r="D1108" s="31">
        <v>41604</v>
      </c>
      <c r="E1108" s="15" t="s">
        <v>24902</v>
      </c>
      <c r="F1108" s="87" t="s">
        <v>21871</v>
      </c>
      <c r="G1108" s="45" t="s">
        <v>7989</v>
      </c>
      <c r="H1108" s="55" t="s">
        <v>7990</v>
      </c>
      <c r="I1108" s="15" t="s">
        <v>178</v>
      </c>
    </row>
    <row r="1109" spans="1:9" ht="51.75" customHeight="1" x14ac:dyDescent="0.35">
      <c r="A1109" s="15" t="s">
        <v>22956</v>
      </c>
      <c r="B1109" s="15" t="s">
        <v>24903</v>
      </c>
      <c r="C1109" s="15" t="s">
        <v>24904</v>
      </c>
      <c r="D1109" s="31">
        <v>41604</v>
      </c>
      <c r="E1109" s="15" t="s">
        <v>24905</v>
      </c>
      <c r="F1109" s="87" t="s">
        <v>23710</v>
      </c>
      <c r="G1109" s="45" t="s">
        <v>7989</v>
      </c>
      <c r="H1109" s="55" t="s">
        <v>7990</v>
      </c>
      <c r="I1109" s="15" t="s">
        <v>178</v>
      </c>
    </row>
    <row r="1110" spans="1:9" ht="51.75" customHeight="1" x14ac:dyDescent="0.35">
      <c r="A1110" s="15" t="s">
        <v>22956</v>
      </c>
      <c r="B1110" s="15" t="s">
        <v>24906</v>
      </c>
      <c r="C1110" s="15" t="s">
        <v>24904</v>
      </c>
      <c r="D1110" s="31">
        <v>41604</v>
      </c>
      <c r="E1110" s="15" t="s">
        <v>24907</v>
      </c>
      <c r="F1110" s="87" t="s">
        <v>21871</v>
      </c>
      <c r="G1110" s="45" t="s">
        <v>7989</v>
      </c>
      <c r="H1110" s="55" t="s">
        <v>7990</v>
      </c>
      <c r="I1110" s="15" t="s">
        <v>178</v>
      </c>
    </row>
    <row r="1111" spans="1:9" ht="51.75" customHeight="1" x14ac:dyDescent="0.35">
      <c r="A1111" s="15" t="s">
        <v>22960</v>
      </c>
      <c r="B1111" s="15" t="s">
        <v>24908</v>
      </c>
      <c r="C1111" s="15" t="s">
        <v>24909</v>
      </c>
      <c r="D1111" s="31">
        <v>41604</v>
      </c>
      <c r="E1111" s="15" t="s">
        <v>24910</v>
      </c>
      <c r="F1111" s="87" t="s">
        <v>23710</v>
      </c>
      <c r="G1111" s="45" t="s">
        <v>7989</v>
      </c>
      <c r="H1111" s="55" t="s">
        <v>7990</v>
      </c>
      <c r="I1111" s="15" t="s">
        <v>178</v>
      </c>
    </row>
    <row r="1112" spans="1:9" ht="51.75" customHeight="1" x14ac:dyDescent="0.35">
      <c r="A1112" s="15" t="s">
        <v>22960</v>
      </c>
      <c r="B1112" s="15" t="s">
        <v>24911</v>
      </c>
      <c r="C1112" s="15" t="s">
        <v>24909</v>
      </c>
      <c r="D1112" s="31">
        <v>41604</v>
      </c>
      <c r="E1112" s="15" t="s">
        <v>24912</v>
      </c>
      <c r="F1112" s="87" t="s">
        <v>21871</v>
      </c>
      <c r="G1112" s="45" t="s">
        <v>7989</v>
      </c>
      <c r="H1112" s="55" t="s">
        <v>7990</v>
      </c>
      <c r="I1112" s="15" t="s">
        <v>178</v>
      </c>
    </row>
    <row r="1113" spans="1:9" ht="51.75" customHeight="1" x14ac:dyDescent="0.35">
      <c r="A1113" s="15" t="s">
        <v>22964</v>
      </c>
      <c r="B1113" s="15" t="s">
        <v>24913</v>
      </c>
      <c r="C1113" s="15" t="s">
        <v>24749</v>
      </c>
      <c r="D1113" s="31">
        <v>41604</v>
      </c>
      <c r="E1113" s="15" t="s">
        <v>24914</v>
      </c>
      <c r="F1113" s="87" t="s">
        <v>23710</v>
      </c>
      <c r="G1113" s="45" t="s">
        <v>7989</v>
      </c>
      <c r="H1113" s="55" t="s">
        <v>7990</v>
      </c>
      <c r="I1113" s="15" t="s">
        <v>178</v>
      </c>
    </row>
    <row r="1114" spans="1:9" ht="51.75" customHeight="1" x14ac:dyDescent="0.35">
      <c r="A1114" s="15" t="s">
        <v>22964</v>
      </c>
      <c r="B1114" s="15" t="s">
        <v>24915</v>
      </c>
      <c r="C1114" s="15" t="s">
        <v>24749</v>
      </c>
      <c r="D1114" s="31">
        <v>41604</v>
      </c>
      <c r="E1114" s="15" t="s">
        <v>24916</v>
      </c>
      <c r="F1114" s="87" t="s">
        <v>21871</v>
      </c>
      <c r="G1114" s="45" t="s">
        <v>7989</v>
      </c>
      <c r="H1114" s="55" t="s">
        <v>7990</v>
      </c>
      <c r="I1114" s="15" t="s">
        <v>178</v>
      </c>
    </row>
    <row r="1115" spans="1:9" ht="51.75" customHeight="1" x14ac:dyDescent="0.35">
      <c r="A1115" s="15" t="s">
        <v>24917</v>
      </c>
      <c r="B1115" s="15" t="s">
        <v>24918</v>
      </c>
      <c r="C1115" s="15" t="s">
        <v>24919</v>
      </c>
      <c r="D1115" s="31">
        <v>41848</v>
      </c>
      <c r="E1115" s="15" t="s">
        <v>24920</v>
      </c>
      <c r="F1115" s="87" t="s">
        <v>23710</v>
      </c>
      <c r="G1115" s="45" t="s">
        <v>8843</v>
      </c>
      <c r="H1115" s="55" t="s">
        <v>8844</v>
      </c>
      <c r="I1115" s="15" t="s">
        <v>178</v>
      </c>
    </row>
    <row r="1116" spans="1:9" ht="51.75" customHeight="1" x14ac:dyDescent="0.35">
      <c r="A1116" s="15" t="s">
        <v>24917</v>
      </c>
      <c r="B1116" s="15" t="s">
        <v>24921</v>
      </c>
      <c r="C1116" s="15" t="s">
        <v>24919</v>
      </c>
      <c r="D1116" s="31">
        <v>41848</v>
      </c>
      <c r="E1116" s="15" t="s">
        <v>24922</v>
      </c>
      <c r="F1116" s="87" t="s">
        <v>21871</v>
      </c>
      <c r="G1116" s="45" t="s">
        <v>8843</v>
      </c>
      <c r="H1116" s="55" t="s">
        <v>8844</v>
      </c>
      <c r="I1116" s="15" t="s">
        <v>178</v>
      </c>
    </row>
    <row r="1117" spans="1:9" ht="51.75" customHeight="1" x14ac:dyDescent="0.35">
      <c r="A1117" s="15" t="s">
        <v>24923</v>
      </c>
      <c r="B1117" s="15" t="s">
        <v>24924</v>
      </c>
      <c r="C1117" s="15" t="s">
        <v>24925</v>
      </c>
      <c r="D1117" s="31">
        <v>41848</v>
      </c>
      <c r="E1117" s="15" t="s">
        <v>24926</v>
      </c>
      <c r="F1117" s="87" t="s">
        <v>23710</v>
      </c>
      <c r="G1117" s="45" t="s">
        <v>8843</v>
      </c>
      <c r="H1117" s="55" t="s">
        <v>8844</v>
      </c>
      <c r="I1117" s="15" t="s">
        <v>178</v>
      </c>
    </row>
    <row r="1118" spans="1:9" ht="51.75" customHeight="1" x14ac:dyDescent="0.35">
      <c r="A1118" s="15" t="s">
        <v>24923</v>
      </c>
      <c r="B1118" s="15" t="s">
        <v>24927</v>
      </c>
      <c r="C1118" s="15" t="s">
        <v>24925</v>
      </c>
      <c r="D1118" s="31">
        <v>41848</v>
      </c>
      <c r="E1118" s="15" t="s">
        <v>24928</v>
      </c>
      <c r="F1118" s="87" t="s">
        <v>21871</v>
      </c>
      <c r="G1118" s="45" t="s">
        <v>8843</v>
      </c>
      <c r="H1118" s="55" t="s">
        <v>8844</v>
      </c>
      <c r="I1118" s="15" t="s">
        <v>178</v>
      </c>
    </row>
    <row r="1119" spans="1:9" ht="51.75" customHeight="1" x14ac:dyDescent="0.35">
      <c r="A1119" s="15" t="s">
        <v>24929</v>
      </c>
      <c r="B1119" s="15" t="s">
        <v>24930</v>
      </c>
      <c r="C1119" s="15" t="s">
        <v>24931</v>
      </c>
      <c r="D1119" s="31">
        <v>41848</v>
      </c>
      <c r="E1119" s="15" t="s">
        <v>24932</v>
      </c>
      <c r="F1119" s="87" t="s">
        <v>23710</v>
      </c>
      <c r="G1119" s="45" t="s">
        <v>8843</v>
      </c>
      <c r="H1119" s="55" t="s">
        <v>8844</v>
      </c>
      <c r="I1119" s="15" t="s">
        <v>178</v>
      </c>
    </row>
    <row r="1120" spans="1:9" ht="51.75" customHeight="1" x14ac:dyDescent="0.35">
      <c r="A1120" s="15" t="s">
        <v>24929</v>
      </c>
      <c r="B1120" s="15" t="s">
        <v>24933</v>
      </c>
      <c r="C1120" s="15" t="s">
        <v>24931</v>
      </c>
      <c r="D1120" s="31">
        <v>41848</v>
      </c>
      <c r="E1120" s="15" t="s">
        <v>24934</v>
      </c>
      <c r="F1120" s="87" t="s">
        <v>21871</v>
      </c>
      <c r="G1120" s="45" t="s">
        <v>8843</v>
      </c>
      <c r="H1120" s="55" t="s">
        <v>8844</v>
      </c>
      <c r="I1120" s="15" t="s">
        <v>178</v>
      </c>
    </row>
    <row r="1121" spans="1:9" ht="51.75" customHeight="1" x14ac:dyDescent="0.35">
      <c r="A1121" s="15" t="s">
        <v>23432</v>
      </c>
      <c r="B1121" s="15" t="s">
        <v>24935</v>
      </c>
      <c r="C1121" s="15" t="s">
        <v>24936</v>
      </c>
      <c r="D1121" s="31">
        <v>41848</v>
      </c>
      <c r="E1121" s="15" t="s">
        <v>24937</v>
      </c>
      <c r="F1121" s="87" t="s">
        <v>23710</v>
      </c>
      <c r="G1121" s="45" t="s">
        <v>8843</v>
      </c>
      <c r="H1121" s="55" t="s">
        <v>8844</v>
      </c>
      <c r="I1121" s="15" t="s">
        <v>178</v>
      </c>
    </row>
    <row r="1122" spans="1:9" ht="51.75" customHeight="1" x14ac:dyDescent="0.35">
      <c r="A1122" s="15" t="s">
        <v>23432</v>
      </c>
      <c r="B1122" s="15" t="s">
        <v>24938</v>
      </c>
      <c r="C1122" s="15" t="s">
        <v>24936</v>
      </c>
      <c r="D1122" s="31">
        <v>41848</v>
      </c>
      <c r="E1122" s="15" t="s">
        <v>24939</v>
      </c>
      <c r="F1122" s="87" t="s">
        <v>21871</v>
      </c>
      <c r="G1122" s="45" t="s">
        <v>8843</v>
      </c>
      <c r="H1122" s="55" t="s">
        <v>8844</v>
      </c>
      <c r="I1122" s="15" t="s">
        <v>178</v>
      </c>
    </row>
    <row r="1123" spans="1:9" ht="51.75" customHeight="1" x14ac:dyDescent="0.35">
      <c r="A1123" s="15" t="s">
        <v>23436</v>
      </c>
      <c r="B1123" s="15" t="s">
        <v>24940</v>
      </c>
      <c r="C1123" s="15" t="s">
        <v>24936</v>
      </c>
      <c r="D1123" s="31">
        <v>41848</v>
      </c>
      <c r="E1123" s="15" t="s">
        <v>24941</v>
      </c>
      <c r="F1123" s="87" t="s">
        <v>23710</v>
      </c>
      <c r="G1123" s="45" t="s">
        <v>8843</v>
      </c>
      <c r="H1123" s="55" t="s">
        <v>8844</v>
      </c>
      <c r="I1123" s="15" t="s">
        <v>178</v>
      </c>
    </row>
    <row r="1124" spans="1:9" ht="51.75" customHeight="1" x14ac:dyDescent="0.35">
      <c r="A1124" s="15" t="s">
        <v>23436</v>
      </c>
      <c r="B1124" s="15" t="s">
        <v>24942</v>
      </c>
      <c r="C1124" s="15" t="s">
        <v>24936</v>
      </c>
      <c r="D1124" s="31">
        <v>41848</v>
      </c>
      <c r="E1124" s="15" t="s">
        <v>24943</v>
      </c>
      <c r="F1124" s="87" t="s">
        <v>21871</v>
      </c>
      <c r="G1124" s="45" t="s">
        <v>8843</v>
      </c>
      <c r="H1124" s="55" t="s">
        <v>8844</v>
      </c>
      <c r="I1124" s="15" t="s">
        <v>178</v>
      </c>
    </row>
    <row r="1125" spans="1:9" ht="51.75" customHeight="1" x14ac:dyDescent="0.35">
      <c r="A1125" s="15" t="s">
        <v>23440</v>
      </c>
      <c r="B1125" s="15" t="s">
        <v>24944</v>
      </c>
      <c r="C1125" s="15" t="s">
        <v>24936</v>
      </c>
      <c r="D1125" s="31">
        <v>41848</v>
      </c>
      <c r="E1125" s="15" t="s">
        <v>24945</v>
      </c>
      <c r="F1125" s="87" t="s">
        <v>23710</v>
      </c>
      <c r="G1125" s="45" t="s">
        <v>8843</v>
      </c>
      <c r="H1125" s="55" t="s">
        <v>8844</v>
      </c>
      <c r="I1125" s="15" t="s">
        <v>178</v>
      </c>
    </row>
    <row r="1126" spans="1:9" ht="51.75" customHeight="1" x14ac:dyDescent="0.35">
      <c r="A1126" s="15" t="s">
        <v>23440</v>
      </c>
      <c r="B1126" s="15" t="s">
        <v>24946</v>
      </c>
      <c r="C1126" s="15" t="s">
        <v>24936</v>
      </c>
      <c r="D1126" s="31">
        <v>41848</v>
      </c>
      <c r="E1126" s="15" t="s">
        <v>24947</v>
      </c>
      <c r="F1126" s="87" t="s">
        <v>21871</v>
      </c>
      <c r="G1126" s="45" t="s">
        <v>8843</v>
      </c>
      <c r="H1126" s="55" t="s">
        <v>8844</v>
      </c>
      <c r="I1126" s="15" t="s">
        <v>178</v>
      </c>
    </row>
    <row r="1127" spans="1:9" ht="51.75" customHeight="1" x14ac:dyDescent="0.35">
      <c r="A1127" s="15" t="s">
        <v>23444</v>
      </c>
      <c r="B1127" s="15" t="s">
        <v>24948</v>
      </c>
      <c r="C1127" s="15" t="s">
        <v>24936</v>
      </c>
      <c r="D1127" s="31">
        <v>41848</v>
      </c>
      <c r="E1127" s="15" t="s">
        <v>24949</v>
      </c>
      <c r="F1127" s="87" t="s">
        <v>23710</v>
      </c>
      <c r="G1127" s="45" t="s">
        <v>8843</v>
      </c>
      <c r="H1127" s="55" t="s">
        <v>8844</v>
      </c>
      <c r="I1127" s="15" t="s">
        <v>178</v>
      </c>
    </row>
    <row r="1128" spans="1:9" ht="51.75" customHeight="1" x14ac:dyDescent="0.35">
      <c r="A1128" s="15" t="s">
        <v>23444</v>
      </c>
      <c r="B1128" s="15" t="s">
        <v>24950</v>
      </c>
      <c r="C1128" s="15" t="s">
        <v>24936</v>
      </c>
      <c r="D1128" s="31">
        <v>41848</v>
      </c>
      <c r="E1128" s="15" t="s">
        <v>24951</v>
      </c>
      <c r="F1128" s="87" t="s">
        <v>21871</v>
      </c>
      <c r="G1128" s="45" t="s">
        <v>8843</v>
      </c>
      <c r="H1128" s="55" t="s">
        <v>8844</v>
      </c>
      <c r="I1128" s="15" t="s">
        <v>178</v>
      </c>
    </row>
    <row r="1129" spans="1:9" ht="51.75" customHeight="1" x14ac:dyDescent="0.35">
      <c r="A1129" s="15" t="s">
        <v>21912</v>
      </c>
      <c r="B1129" s="15" t="s">
        <v>24952</v>
      </c>
      <c r="C1129" s="15" t="s">
        <v>24953</v>
      </c>
      <c r="D1129" s="31">
        <v>41848</v>
      </c>
      <c r="E1129" s="15" t="s">
        <v>24954</v>
      </c>
      <c r="F1129" s="87" t="s">
        <v>23710</v>
      </c>
      <c r="G1129" s="45" t="s">
        <v>8843</v>
      </c>
      <c r="H1129" s="55" t="s">
        <v>8844</v>
      </c>
      <c r="I1129" s="15" t="s">
        <v>178</v>
      </c>
    </row>
    <row r="1130" spans="1:9" ht="51.75" customHeight="1" x14ac:dyDescent="0.35">
      <c r="A1130" s="15" t="s">
        <v>21912</v>
      </c>
      <c r="B1130" s="15" t="s">
        <v>24955</v>
      </c>
      <c r="C1130" s="15" t="s">
        <v>24953</v>
      </c>
      <c r="D1130" s="31">
        <v>41848</v>
      </c>
      <c r="E1130" s="15" t="s">
        <v>24956</v>
      </c>
      <c r="F1130" s="87" t="s">
        <v>21871</v>
      </c>
      <c r="G1130" s="45" t="s">
        <v>8843</v>
      </c>
      <c r="H1130" s="55" t="s">
        <v>8844</v>
      </c>
      <c r="I1130" s="15" t="s">
        <v>178</v>
      </c>
    </row>
    <row r="1131" spans="1:9" ht="51.75" customHeight="1" x14ac:dyDescent="0.35">
      <c r="A1131" s="15" t="s">
        <v>24957</v>
      </c>
      <c r="B1131" s="15" t="s">
        <v>24958</v>
      </c>
      <c r="C1131" s="15" t="s">
        <v>24959</v>
      </c>
      <c r="D1131" s="31">
        <v>41512</v>
      </c>
      <c r="E1131" s="15" t="s">
        <v>24960</v>
      </c>
      <c r="F1131" s="87" t="s">
        <v>23710</v>
      </c>
      <c r="G1131" s="45" t="s">
        <v>7400</v>
      </c>
      <c r="H1131" s="55" t="s">
        <v>7401</v>
      </c>
      <c r="I1131" s="15" t="s">
        <v>178</v>
      </c>
    </row>
    <row r="1132" spans="1:9" ht="51.75" customHeight="1" x14ac:dyDescent="0.35">
      <c r="A1132" s="15" t="s">
        <v>24957</v>
      </c>
      <c r="B1132" s="15" t="s">
        <v>24961</v>
      </c>
      <c r="C1132" s="15" t="s">
        <v>24959</v>
      </c>
      <c r="D1132" s="31">
        <v>41512</v>
      </c>
      <c r="E1132" s="15" t="s">
        <v>24962</v>
      </c>
      <c r="F1132" s="87" t="s">
        <v>21871</v>
      </c>
      <c r="G1132" s="45" t="s">
        <v>7400</v>
      </c>
      <c r="H1132" s="55" t="s">
        <v>7401</v>
      </c>
      <c r="I1132" s="15" t="s">
        <v>178</v>
      </c>
    </row>
    <row r="1133" spans="1:9" ht="51.75" customHeight="1" x14ac:dyDescent="0.35">
      <c r="A1133" s="15" t="s">
        <v>22829</v>
      </c>
      <c r="B1133" s="15" t="s">
        <v>24963</v>
      </c>
      <c r="C1133" s="15" t="s">
        <v>24964</v>
      </c>
      <c r="D1133" s="31">
        <v>41529</v>
      </c>
      <c r="E1133" s="15" t="s">
        <v>24965</v>
      </c>
      <c r="F1133" s="87" t="s">
        <v>23710</v>
      </c>
      <c r="G1133" s="45" t="s">
        <v>8201</v>
      </c>
      <c r="H1133" s="55" t="s">
        <v>8202</v>
      </c>
      <c r="I1133" s="15" t="s">
        <v>178</v>
      </c>
    </row>
    <row r="1134" spans="1:9" ht="51.75" customHeight="1" x14ac:dyDescent="0.35">
      <c r="A1134" s="15" t="s">
        <v>22829</v>
      </c>
      <c r="B1134" s="15" t="s">
        <v>24966</v>
      </c>
      <c r="C1134" s="15" t="s">
        <v>24964</v>
      </c>
      <c r="D1134" s="31">
        <v>41529</v>
      </c>
      <c r="E1134" s="15" t="s">
        <v>24967</v>
      </c>
      <c r="F1134" s="87" t="s">
        <v>21871</v>
      </c>
      <c r="G1134" s="45" t="s">
        <v>8201</v>
      </c>
      <c r="H1134" s="55" t="s">
        <v>8202</v>
      </c>
      <c r="I1134" s="15" t="s">
        <v>178</v>
      </c>
    </row>
    <row r="1135" spans="1:9" ht="51.75" customHeight="1" x14ac:dyDescent="0.35">
      <c r="A1135" s="15" t="s">
        <v>24968</v>
      </c>
      <c r="B1135" s="15" t="s">
        <v>24969</v>
      </c>
      <c r="C1135" s="15" t="s">
        <v>24970</v>
      </c>
      <c r="D1135" s="31">
        <v>41529</v>
      </c>
      <c r="E1135" s="15" t="s">
        <v>24971</v>
      </c>
      <c r="F1135" s="87" t="s">
        <v>23710</v>
      </c>
      <c r="G1135" s="45" t="s">
        <v>8201</v>
      </c>
      <c r="H1135" s="55" t="s">
        <v>8202</v>
      </c>
      <c r="I1135" s="15" t="s">
        <v>178</v>
      </c>
    </row>
    <row r="1136" spans="1:9" ht="51.75" customHeight="1" x14ac:dyDescent="0.35">
      <c r="A1136" s="15" t="s">
        <v>24968</v>
      </c>
      <c r="B1136" s="15" t="s">
        <v>24972</v>
      </c>
      <c r="C1136" s="15" t="s">
        <v>24970</v>
      </c>
      <c r="D1136" s="31">
        <v>41529</v>
      </c>
      <c r="E1136" s="15" t="s">
        <v>24973</v>
      </c>
      <c r="F1136" s="87" t="s">
        <v>21871</v>
      </c>
      <c r="G1136" s="45" t="s">
        <v>8201</v>
      </c>
      <c r="H1136" s="55" t="s">
        <v>8202</v>
      </c>
      <c r="I1136" s="15" t="s">
        <v>178</v>
      </c>
    </row>
    <row r="1137" spans="1:9" ht="51.75" customHeight="1" x14ac:dyDescent="0.35">
      <c r="A1137" s="15" t="s">
        <v>24974</v>
      </c>
      <c r="B1137" s="15" t="s">
        <v>24975</v>
      </c>
      <c r="C1137" s="15" t="s">
        <v>24976</v>
      </c>
      <c r="D1137" s="31">
        <v>41529</v>
      </c>
      <c r="E1137" s="15" t="s">
        <v>24977</v>
      </c>
      <c r="F1137" s="87" t="s">
        <v>23710</v>
      </c>
      <c r="G1137" s="45" t="s">
        <v>8201</v>
      </c>
      <c r="H1137" s="55" t="s">
        <v>8202</v>
      </c>
      <c r="I1137" s="15" t="s">
        <v>178</v>
      </c>
    </row>
    <row r="1138" spans="1:9" ht="51.75" customHeight="1" x14ac:dyDescent="0.35">
      <c r="A1138" s="15" t="s">
        <v>24974</v>
      </c>
      <c r="B1138" s="15" t="s">
        <v>24978</v>
      </c>
      <c r="C1138" s="15" t="s">
        <v>24976</v>
      </c>
      <c r="D1138" s="31">
        <v>41529</v>
      </c>
      <c r="E1138" s="15" t="s">
        <v>24979</v>
      </c>
      <c r="F1138" s="87" t="s">
        <v>21871</v>
      </c>
      <c r="G1138" s="45" t="s">
        <v>8201</v>
      </c>
      <c r="H1138" s="55" t="s">
        <v>8202</v>
      </c>
      <c r="I1138" s="15" t="s">
        <v>178</v>
      </c>
    </row>
    <row r="1139" spans="1:9" ht="51.75" customHeight="1" x14ac:dyDescent="0.35">
      <c r="A1139" s="15" t="s">
        <v>24980</v>
      </c>
      <c r="B1139" s="15" t="s">
        <v>24981</v>
      </c>
      <c r="C1139" s="15" t="s">
        <v>24982</v>
      </c>
      <c r="D1139" s="31">
        <v>41519</v>
      </c>
      <c r="E1139" s="15" t="s">
        <v>24983</v>
      </c>
      <c r="F1139" s="87" t="s">
        <v>23710</v>
      </c>
      <c r="G1139" s="45" t="s">
        <v>7882</v>
      </c>
      <c r="H1139" s="55" t="s">
        <v>7883</v>
      </c>
      <c r="I1139" s="15" t="s">
        <v>178</v>
      </c>
    </row>
    <row r="1140" spans="1:9" ht="51.75" customHeight="1" x14ac:dyDescent="0.35">
      <c r="A1140" s="15" t="s">
        <v>24980</v>
      </c>
      <c r="B1140" s="15" t="s">
        <v>24984</v>
      </c>
      <c r="C1140" s="15" t="s">
        <v>24982</v>
      </c>
      <c r="D1140" s="31">
        <v>41519</v>
      </c>
      <c r="E1140" s="15" t="s">
        <v>24985</v>
      </c>
      <c r="F1140" s="87" t="s">
        <v>21871</v>
      </c>
      <c r="G1140" s="45" t="s">
        <v>7882</v>
      </c>
      <c r="H1140" s="55" t="s">
        <v>7883</v>
      </c>
      <c r="I1140" s="15" t="s">
        <v>178</v>
      </c>
    </row>
    <row r="1141" spans="1:9" ht="51.75" customHeight="1" x14ac:dyDescent="0.35">
      <c r="A1141" s="15" t="s">
        <v>24986</v>
      </c>
      <c r="B1141" s="15" t="s">
        <v>24987</v>
      </c>
      <c r="C1141" s="15" t="s">
        <v>24988</v>
      </c>
      <c r="D1141" s="31">
        <v>41519</v>
      </c>
      <c r="E1141" s="15" t="s">
        <v>24989</v>
      </c>
      <c r="F1141" s="87" t="s">
        <v>23710</v>
      </c>
      <c r="G1141" s="45" t="s">
        <v>7882</v>
      </c>
      <c r="H1141" s="55" t="s">
        <v>7883</v>
      </c>
      <c r="I1141" s="15" t="s">
        <v>178</v>
      </c>
    </row>
    <row r="1142" spans="1:9" ht="51.75" customHeight="1" x14ac:dyDescent="0.35">
      <c r="A1142" s="15" t="s">
        <v>24986</v>
      </c>
      <c r="B1142" s="15" t="s">
        <v>24990</v>
      </c>
      <c r="C1142" s="15" t="s">
        <v>24988</v>
      </c>
      <c r="D1142" s="31">
        <v>41519</v>
      </c>
      <c r="E1142" s="15" t="s">
        <v>24991</v>
      </c>
      <c r="F1142" s="87" t="s">
        <v>21871</v>
      </c>
      <c r="G1142" s="45" t="s">
        <v>7882</v>
      </c>
      <c r="H1142" s="55" t="s">
        <v>7883</v>
      </c>
      <c r="I1142" s="15" t="s">
        <v>178</v>
      </c>
    </row>
    <row r="1143" spans="1:9" ht="51.75" customHeight="1" x14ac:dyDescent="0.35">
      <c r="A1143" s="15" t="s">
        <v>24992</v>
      </c>
      <c r="B1143" s="15" t="s">
        <v>24993</v>
      </c>
      <c r="C1143" s="15" t="s">
        <v>24994</v>
      </c>
      <c r="D1143" s="31">
        <v>41519</v>
      </c>
      <c r="E1143" s="15" t="s">
        <v>24995</v>
      </c>
      <c r="F1143" s="87" t="s">
        <v>23710</v>
      </c>
      <c r="G1143" s="45" t="s">
        <v>7882</v>
      </c>
      <c r="H1143" s="55" t="s">
        <v>7883</v>
      </c>
      <c r="I1143" s="15" t="s">
        <v>178</v>
      </c>
    </row>
    <row r="1144" spans="1:9" ht="51.75" customHeight="1" x14ac:dyDescent="0.35">
      <c r="A1144" s="15" t="s">
        <v>24992</v>
      </c>
      <c r="B1144" s="15" t="s">
        <v>24996</v>
      </c>
      <c r="C1144" s="15" t="s">
        <v>24994</v>
      </c>
      <c r="D1144" s="31">
        <v>41519</v>
      </c>
      <c r="E1144" s="15" t="s">
        <v>24997</v>
      </c>
      <c r="F1144" s="87" t="s">
        <v>21871</v>
      </c>
      <c r="G1144" s="45" t="s">
        <v>7882</v>
      </c>
      <c r="H1144" s="55" t="s">
        <v>7883</v>
      </c>
      <c r="I1144" s="15" t="s">
        <v>178</v>
      </c>
    </row>
    <row r="1145" spans="1:9" ht="51.75" customHeight="1" x14ac:dyDescent="0.35">
      <c r="A1145" s="15" t="s">
        <v>24998</v>
      </c>
      <c r="B1145" s="15" t="s">
        <v>24999</v>
      </c>
      <c r="C1145" s="15" t="s">
        <v>25000</v>
      </c>
      <c r="D1145" s="31">
        <v>41519</v>
      </c>
      <c r="E1145" s="15" t="s">
        <v>25001</v>
      </c>
      <c r="F1145" s="87" t="s">
        <v>23710</v>
      </c>
      <c r="G1145" s="45" t="s">
        <v>7882</v>
      </c>
      <c r="H1145" s="55" t="s">
        <v>7883</v>
      </c>
      <c r="I1145" s="15" t="s">
        <v>178</v>
      </c>
    </row>
    <row r="1146" spans="1:9" ht="51.75" customHeight="1" x14ac:dyDescent="0.35">
      <c r="A1146" s="15" t="s">
        <v>24998</v>
      </c>
      <c r="B1146" s="15" t="s">
        <v>25002</v>
      </c>
      <c r="C1146" s="15" t="s">
        <v>25000</v>
      </c>
      <c r="D1146" s="31">
        <v>41519</v>
      </c>
      <c r="E1146" s="15" t="s">
        <v>25003</v>
      </c>
      <c r="F1146" s="87" t="s">
        <v>21871</v>
      </c>
      <c r="G1146" s="45" t="s">
        <v>7882</v>
      </c>
      <c r="H1146" s="55" t="s">
        <v>7883</v>
      </c>
      <c r="I1146" s="15" t="s">
        <v>178</v>
      </c>
    </row>
    <row r="1147" spans="1:9" ht="51.75" customHeight="1" x14ac:dyDescent="0.35">
      <c r="A1147" s="15" t="s">
        <v>25004</v>
      </c>
      <c r="B1147" s="15" t="s">
        <v>25005</v>
      </c>
      <c r="C1147" s="15" t="s">
        <v>25006</v>
      </c>
      <c r="D1147" s="31">
        <v>41519</v>
      </c>
      <c r="E1147" s="15" t="s">
        <v>25007</v>
      </c>
      <c r="F1147" s="87" t="s">
        <v>23710</v>
      </c>
      <c r="G1147" s="45" t="s">
        <v>7882</v>
      </c>
      <c r="H1147" s="55" t="s">
        <v>7883</v>
      </c>
      <c r="I1147" s="15" t="s">
        <v>178</v>
      </c>
    </row>
    <row r="1148" spans="1:9" ht="51.75" customHeight="1" x14ac:dyDescent="0.35">
      <c r="A1148" s="15" t="s">
        <v>25004</v>
      </c>
      <c r="B1148" s="15" t="s">
        <v>25008</v>
      </c>
      <c r="C1148" s="15" t="s">
        <v>25006</v>
      </c>
      <c r="D1148" s="31">
        <v>41519</v>
      </c>
      <c r="E1148" s="15" t="s">
        <v>25009</v>
      </c>
      <c r="F1148" s="87" t="s">
        <v>21871</v>
      </c>
      <c r="G1148" s="45" t="s">
        <v>7882</v>
      </c>
      <c r="H1148" s="55" t="s">
        <v>7883</v>
      </c>
      <c r="I1148" s="15" t="s">
        <v>178</v>
      </c>
    </row>
    <row r="1149" spans="1:9" ht="51.75" customHeight="1" x14ac:dyDescent="0.35">
      <c r="A1149" s="15" t="s">
        <v>22245</v>
      </c>
      <c r="B1149" s="15" t="s">
        <v>25010</v>
      </c>
      <c r="C1149" s="15" t="s">
        <v>25011</v>
      </c>
      <c r="D1149" s="31">
        <v>41099</v>
      </c>
      <c r="E1149" s="15" t="s">
        <v>25012</v>
      </c>
      <c r="F1149" s="87" t="s">
        <v>23710</v>
      </c>
      <c r="G1149" s="45" t="s">
        <v>7161</v>
      </c>
      <c r="H1149" s="55" t="s">
        <v>7162</v>
      </c>
      <c r="I1149" s="15" t="s">
        <v>178</v>
      </c>
    </row>
    <row r="1150" spans="1:9" ht="51.75" customHeight="1" x14ac:dyDescent="0.35">
      <c r="A1150" s="15" t="s">
        <v>22245</v>
      </c>
      <c r="B1150" s="15" t="s">
        <v>25013</v>
      </c>
      <c r="C1150" s="15" t="s">
        <v>25011</v>
      </c>
      <c r="D1150" s="31">
        <v>41099</v>
      </c>
      <c r="E1150" s="15" t="s">
        <v>25014</v>
      </c>
      <c r="F1150" s="87" t="s">
        <v>21871</v>
      </c>
      <c r="G1150" s="45" t="s">
        <v>7161</v>
      </c>
      <c r="H1150" s="55" t="s">
        <v>7162</v>
      </c>
      <c r="I1150" s="15" t="s">
        <v>178</v>
      </c>
    </row>
    <row r="1151" spans="1:9" ht="51.75" customHeight="1" x14ac:dyDescent="0.35">
      <c r="A1151" s="15" t="s">
        <v>25015</v>
      </c>
      <c r="B1151" s="15" t="s">
        <v>25016</v>
      </c>
      <c r="C1151" s="15" t="s">
        <v>25017</v>
      </c>
      <c r="D1151" s="31">
        <v>41099</v>
      </c>
      <c r="E1151" s="15" t="s">
        <v>25018</v>
      </c>
      <c r="F1151" s="87" t="s">
        <v>23710</v>
      </c>
      <c r="G1151" s="45" t="s">
        <v>7161</v>
      </c>
      <c r="H1151" s="55" t="s">
        <v>7162</v>
      </c>
      <c r="I1151" s="15" t="s">
        <v>178</v>
      </c>
    </row>
    <row r="1152" spans="1:9" ht="51.75" customHeight="1" x14ac:dyDescent="0.35">
      <c r="A1152" s="15" t="s">
        <v>25015</v>
      </c>
      <c r="B1152" s="15" t="s">
        <v>25019</v>
      </c>
      <c r="C1152" s="15" t="s">
        <v>25017</v>
      </c>
      <c r="D1152" s="31">
        <v>41099</v>
      </c>
      <c r="E1152" s="15" t="s">
        <v>25020</v>
      </c>
      <c r="F1152" s="87" t="s">
        <v>21871</v>
      </c>
      <c r="G1152" s="45" t="s">
        <v>7161</v>
      </c>
      <c r="H1152" s="55" t="s">
        <v>7162</v>
      </c>
      <c r="I1152" s="15" t="s">
        <v>178</v>
      </c>
    </row>
    <row r="1153" spans="1:9" ht="51.75" customHeight="1" x14ac:dyDescent="0.35">
      <c r="A1153" s="15" t="s">
        <v>25021</v>
      </c>
      <c r="B1153" s="15" t="s">
        <v>25022</v>
      </c>
      <c r="C1153" s="15" t="s">
        <v>25023</v>
      </c>
      <c r="D1153" s="31">
        <v>41099</v>
      </c>
      <c r="E1153" s="15" t="s">
        <v>25024</v>
      </c>
      <c r="F1153" s="87" t="s">
        <v>23710</v>
      </c>
      <c r="G1153" s="45" t="s">
        <v>7161</v>
      </c>
      <c r="H1153" s="55" t="s">
        <v>7162</v>
      </c>
      <c r="I1153" s="15" t="s">
        <v>178</v>
      </c>
    </row>
    <row r="1154" spans="1:9" ht="51.75" customHeight="1" x14ac:dyDescent="0.35">
      <c r="A1154" s="15" t="s">
        <v>25021</v>
      </c>
      <c r="B1154" s="15" t="s">
        <v>25025</v>
      </c>
      <c r="C1154" s="15" t="s">
        <v>25023</v>
      </c>
      <c r="D1154" s="31">
        <v>41099</v>
      </c>
      <c r="E1154" s="15" t="s">
        <v>25026</v>
      </c>
      <c r="F1154" s="87" t="s">
        <v>21871</v>
      </c>
      <c r="G1154" s="45" t="s">
        <v>7161</v>
      </c>
      <c r="H1154" s="55" t="s">
        <v>7162</v>
      </c>
      <c r="I1154" s="15" t="s">
        <v>178</v>
      </c>
    </row>
    <row r="1155" spans="1:9" ht="51.75" customHeight="1" x14ac:dyDescent="0.35">
      <c r="A1155" s="15" t="s">
        <v>25027</v>
      </c>
      <c r="B1155" s="15" t="s">
        <v>25028</v>
      </c>
      <c r="C1155" s="15" t="s">
        <v>25029</v>
      </c>
      <c r="D1155" s="31">
        <v>41211</v>
      </c>
      <c r="E1155" s="15" t="s">
        <v>25030</v>
      </c>
      <c r="F1155" s="87" t="s">
        <v>23710</v>
      </c>
      <c r="G1155" s="45" t="s">
        <v>7748</v>
      </c>
      <c r="H1155" s="55" t="s">
        <v>7749</v>
      </c>
      <c r="I1155" s="15" t="s">
        <v>178</v>
      </c>
    </row>
    <row r="1156" spans="1:9" ht="51.75" customHeight="1" x14ac:dyDescent="0.35">
      <c r="A1156" s="15" t="s">
        <v>25027</v>
      </c>
      <c r="B1156" s="15" t="s">
        <v>25031</v>
      </c>
      <c r="C1156" s="15" t="s">
        <v>25029</v>
      </c>
      <c r="D1156" s="31">
        <v>41211</v>
      </c>
      <c r="E1156" s="15" t="s">
        <v>25032</v>
      </c>
      <c r="F1156" s="87" t="s">
        <v>21871</v>
      </c>
      <c r="G1156" s="45" t="s">
        <v>7748</v>
      </c>
      <c r="H1156" s="55" t="s">
        <v>7749</v>
      </c>
      <c r="I1156" s="15" t="s">
        <v>178</v>
      </c>
    </row>
    <row r="1157" spans="1:9" ht="51.75" customHeight="1" x14ac:dyDescent="0.35">
      <c r="A1157" s="15" t="s">
        <v>22885</v>
      </c>
      <c r="B1157" s="15" t="s">
        <v>25033</v>
      </c>
      <c r="C1157" s="15" t="s">
        <v>25034</v>
      </c>
      <c r="D1157" s="31">
        <v>41211</v>
      </c>
      <c r="E1157" s="15" t="s">
        <v>25035</v>
      </c>
      <c r="F1157" s="87" t="s">
        <v>23710</v>
      </c>
      <c r="G1157" s="45" t="s">
        <v>7748</v>
      </c>
      <c r="H1157" s="55" t="s">
        <v>7749</v>
      </c>
      <c r="I1157" s="15" t="s">
        <v>178</v>
      </c>
    </row>
    <row r="1158" spans="1:9" ht="51.75" customHeight="1" x14ac:dyDescent="0.35">
      <c r="A1158" s="15" t="s">
        <v>22885</v>
      </c>
      <c r="B1158" s="15" t="s">
        <v>25036</v>
      </c>
      <c r="C1158" s="15" t="s">
        <v>25034</v>
      </c>
      <c r="D1158" s="31">
        <v>41211</v>
      </c>
      <c r="E1158" s="15" t="s">
        <v>25037</v>
      </c>
      <c r="F1158" s="87" t="s">
        <v>21871</v>
      </c>
      <c r="G1158" s="45" t="s">
        <v>7748</v>
      </c>
      <c r="H1158" s="55" t="s">
        <v>7749</v>
      </c>
      <c r="I1158" s="15" t="s">
        <v>178</v>
      </c>
    </row>
    <row r="1159" spans="1:9" ht="51.75" customHeight="1" x14ac:dyDescent="0.35">
      <c r="A1159" s="15" t="s">
        <v>25038</v>
      </c>
      <c r="B1159" s="15" t="s">
        <v>25039</v>
      </c>
      <c r="C1159" s="15" t="s">
        <v>25040</v>
      </c>
      <c r="D1159" s="31">
        <v>41148</v>
      </c>
      <c r="E1159" s="15" t="s">
        <v>25041</v>
      </c>
      <c r="F1159" s="87" t="s">
        <v>23710</v>
      </c>
      <c r="G1159" s="45" t="s">
        <v>7597</v>
      </c>
      <c r="H1159" s="55" t="s">
        <v>7598</v>
      </c>
      <c r="I1159" s="15" t="s">
        <v>178</v>
      </c>
    </row>
    <row r="1160" spans="1:9" ht="51.75" customHeight="1" x14ac:dyDescent="0.35">
      <c r="A1160" s="15" t="s">
        <v>25038</v>
      </c>
      <c r="B1160" s="15" t="s">
        <v>25042</v>
      </c>
      <c r="C1160" s="15" t="s">
        <v>25040</v>
      </c>
      <c r="D1160" s="31">
        <v>41148</v>
      </c>
      <c r="E1160" s="15" t="s">
        <v>25043</v>
      </c>
      <c r="F1160" s="87" t="s">
        <v>21871</v>
      </c>
      <c r="G1160" s="45" t="s">
        <v>7597</v>
      </c>
      <c r="H1160" s="55" t="s">
        <v>7598</v>
      </c>
      <c r="I1160" s="15" t="s">
        <v>178</v>
      </c>
    </row>
    <row r="1161" spans="1:9" ht="51.75" customHeight="1" x14ac:dyDescent="0.35">
      <c r="A1161" s="15" t="s">
        <v>25044</v>
      </c>
      <c r="B1161" s="15" t="s">
        <v>25045</v>
      </c>
      <c r="C1161" s="15" t="s">
        <v>25046</v>
      </c>
      <c r="D1161" s="31">
        <v>41148</v>
      </c>
      <c r="E1161" s="15" t="s">
        <v>25047</v>
      </c>
      <c r="F1161" s="87" t="s">
        <v>23710</v>
      </c>
      <c r="G1161" s="45" t="s">
        <v>7597</v>
      </c>
      <c r="H1161" s="55" t="s">
        <v>7598</v>
      </c>
      <c r="I1161" s="15" t="s">
        <v>178</v>
      </c>
    </row>
    <row r="1162" spans="1:9" ht="51.75" customHeight="1" x14ac:dyDescent="0.35">
      <c r="A1162" s="15" t="s">
        <v>25044</v>
      </c>
      <c r="B1162" s="15" t="s">
        <v>25048</v>
      </c>
      <c r="C1162" s="15" t="s">
        <v>25046</v>
      </c>
      <c r="D1162" s="31">
        <v>41148</v>
      </c>
      <c r="E1162" s="15" t="s">
        <v>25049</v>
      </c>
      <c r="F1162" s="87" t="s">
        <v>21871</v>
      </c>
      <c r="G1162" s="45" t="s">
        <v>7597</v>
      </c>
      <c r="H1162" s="55" t="s">
        <v>7598</v>
      </c>
      <c r="I1162" s="15" t="s">
        <v>178</v>
      </c>
    </row>
    <row r="1163" spans="1:9" ht="51.75" customHeight="1" x14ac:dyDescent="0.35">
      <c r="A1163" s="15" t="s">
        <v>25050</v>
      </c>
      <c r="B1163" s="15" t="s">
        <v>25051</v>
      </c>
      <c r="C1163" s="15" t="s">
        <v>25052</v>
      </c>
      <c r="D1163" s="31">
        <v>41148</v>
      </c>
      <c r="E1163" s="15" t="s">
        <v>25053</v>
      </c>
      <c r="F1163" s="87" t="s">
        <v>23710</v>
      </c>
      <c r="G1163" s="45" t="s">
        <v>7597</v>
      </c>
      <c r="H1163" s="55" t="s">
        <v>7598</v>
      </c>
      <c r="I1163" s="15" t="s">
        <v>178</v>
      </c>
    </row>
    <row r="1164" spans="1:9" ht="51.75" customHeight="1" x14ac:dyDescent="0.35">
      <c r="A1164" s="15" t="s">
        <v>25050</v>
      </c>
      <c r="B1164" s="15" t="s">
        <v>25054</v>
      </c>
      <c r="C1164" s="15" t="s">
        <v>25052</v>
      </c>
      <c r="D1164" s="31">
        <v>41148</v>
      </c>
      <c r="E1164" s="15" t="s">
        <v>25055</v>
      </c>
      <c r="F1164" s="87" t="s">
        <v>21871</v>
      </c>
      <c r="G1164" s="45" t="s">
        <v>7597</v>
      </c>
      <c r="H1164" s="55" t="s">
        <v>7598</v>
      </c>
      <c r="I1164" s="15" t="s">
        <v>178</v>
      </c>
    </row>
    <row r="1165" spans="1:9" ht="51.75" customHeight="1" x14ac:dyDescent="0.35">
      <c r="A1165" s="15" t="s">
        <v>25056</v>
      </c>
      <c r="B1165" s="15" t="s">
        <v>25057</v>
      </c>
      <c r="C1165" s="15" t="s">
        <v>25058</v>
      </c>
      <c r="D1165" s="31">
        <v>41198</v>
      </c>
      <c r="E1165" s="15" t="s">
        <v>25059</v>
      </c>
      <c r="F1165" s="87" t="s">
        <v>23710</v>
      </c>
      <c r="G1165" s="45" t="s">
        <v>7570</v>
      </c>
      <c r="H1165" s="55" t="s">
        <v>7571</v>
      </c>
      <c r="I1165" s="15" t="s">
        <v>178</v>
      </c>
    </row>
    <row r="1166" spans="1:9" ht="51.75" customHeight="1" x14ac:dyDescent="0.35">
      <c r="A1166" s="15" t="s">
        <v>25056</v>
      </c>
      <c r="B1166" s="15" t="s">
        <v>25060</v>
      </c>
      <c r="C1166" s="15" t="s">
        <v>25058</v>
      </c>
      <c r="D1166" s="31">
        <v>41198</v>
      </c>
      <c r="E1166" s="15" t="s">
        <v>25061</v>
      </c>
      <c r="F1166" s="87" t="s">
        <v>21871</v>
      </c>
      <c r="G1166" s="45" t="s">
        <v>7570</v>
      </c>
      <c r="H1166" s="55" t="s">
        <v>7571</v>
      </c>
      <c r="I1166" s="15" t="s">
        <v>178</v>
      </c>
    </row>
    <row r="1167" spans="1:9" ht="51.75" customHeight="1" x14ac:dyDescent="0.35">
      <c r="A1167" s="15" t="s">
        <v>25062</v>
      </c>
      <c r="B1167" s="15" t="s">
        <v>25063</v>
      </c>
      <c r="C1167" s="15" t="s">
        <v>25064</v>
      </c>
      <c r="D1167" s="31">
        <v>41198</v>
      </c>
      <c r="E1167" s="15" t="s">
        <v>25065</v>
      </c>
      <c r="F1167" s="87" t="s">
        <v>23710</v>
      </c>
      <c r="G1167" s="45" t="s">
        <v>7570</v>
      </c>
      <c r="H1167" s="55" t="s">
        <v>7571</v>
      </c>
      <c r="I1167" s="15" t="s">
        <v>178</v>
      </c>
    </row>
    <row r="1168" spans="1:9" ht="51.75" customHeight="1" x14ac:dyDescent="0.35">
      <c r="A1168" s="15" t="s">
        <v>25062</v>
      </c>
      <c r="B1168" s="15" t="s">
        <v>25066</v>
      </c>
      <c r="C1168" s="15" t="s">
        <v>25064</v>
      </c>
      <c r="D1168" s="31">
        <v>41198</v>
      </c>
      <c r="E1168" s="15" t="s">
        <v>25067</v>
      </c>
      <c r="F1168" s="87" t="s">
        <v>21871</v>
      </c>
      <c r="G1168" s="45" t="s">
        <v>7570</v>
      </c>
      <c r="H1168" s="55" t="s">
        <v>7571</v>
      </c>
      <c r="I1168" s="15" t="s">
        <v>178</v>
      </c>
    </row>
    <row r="1169" spans="1:9" ht="51.75" customHeight="1" x14ac:dyDescent="0.35">
      <c r="A1169" s="15" t="s">
        <v>25068</v>
      </c>
      <c r="B1169" s="15" t="s">
        <v>25069</v>
      </c>
      <c r="C1169" s="15" t="s">
        <v>25070</v>
      </c>
      <c r="D1169" s="31">
        <v>41198</v>
      </c>
      <c r="E1169" s="15" t="s">
        <v>25071</v>
      </c>
      <c r="F1169" s="87" t="s">
        <v>23710</v>
      </c>
      <c r="G1169" s="45" t="s">
        <v>7570</v>
      </c>
      <c r="H1169" s="55" t="s">
        <v>7571</v>
      </c>
      <c r="I1169" s="15" t="s">
        <v>178</v>
      </c>
    </row>
    <row r="1170" spans="1:9" ht="51.75" customHeight="1" x14ac:dyDescent="0.35">
      <c r="A1170" s="15" t="s">
        <v>25068</v>
      </c>
      <c r="B1170" s="15" t="s">
        <v>25072</v>
      </c>
      <c r="C1170" s="15" t="s">
        <v>25070</v>
      </c>
      <c r="D1170" s="31">
        <v>41198</v>
      </c>
      <c r="E1170" s="15" t="s">
        <v>25073</v>
      </c>
      <c r="F1170" s="87" t="s">
        <v>21871</v>
      </c>
      <c r="G1170" s="45" t="s">
        <v>7570</v>
      </c>
      <c r="H1170" s="55" t="s">
        <v>7571</v>
      </c>
      <c r="I1170" s="15" t="s">
        <v>178</v>
      </c>
    </row>
    <row r="1171" spans="1:9" ht="51.75" customHeight="1" x14ac:dyDescent="0.35">
      <c r="A1171" s="15" t="s">
        <v>25074</v>
      </c>
      <c r="B1171" s="15" t="s">
        <v>25075</v>
      </c>
      <c r="C1171" s="15" t="s">
        <v>25076</v>
      </c>
      <c r="D1171" s="31">
        <v>41563</v>
      </c>
      <c r="E1171" s="15" t="s">
        <v>25077</v>
      </c>
      <c r="F1171" s="87" t="s">
        <v>23710</v>
      </c>
      <c r="G1171" s="45" t="s">
        <v>7570</v>
      </c>
      <c r="H1171" s="55" t="s">
        <v>7571</v>
      </c>
      <c r="I1171" s="15" t="s">
        <v>178</v>
      </c>
    </row>
    <row r="1172" spans="1:9" ht="51.75" customHeight="1" x14ac:dyDescent="0.35">
      <c r="A1172" s="15" t="s">
        <v>25074</v>
      </c>
      <c r="B1172" s="15" t="s">
        <v>25078</v>
      </c>
      <c r="C1172" s="15" t="s">
        <v>25076</v>
      </c>
      <c r="D1172" s="31">
        <v>41563</v>
      </c>
      <c r="E1172" s="15" t="s">
        <v>25079</v>
      </c>
      <c r="F1172" s="87" t="s">
        <v>21871</v>
      </c>
      <c r="G1172" s="45" t="s">
        <v>7570</v>
      </c>
      <c r="H1172" s="55" t="s">
        <v>7571</v>
      </c>
      <c r="I1172" s="15" t="s">
        <v>178</v>
      </c>
    </row>
    <row r="1173" spans="1:9" ht="51.75" customHeight="1" x14ac:dyDescent="0.35">
      <c r="A1173" s="15" t="s">
        <v>22996</v>
      </c>
      <c r="B1173" s="15" t="s">
        <v>25080</v>
      </c>
      <c r="C1173" s="15" t="s">
        <v>25081</v>
      </c>
      <c r="D1173" s="31">
        <v>41118</v>
      </c>
      <c r="E1173" s="15" t="s">
        <v>25082</v>
      </c>
      <c r="F1173" s="87" t="s">
        <v>23710</v>
      </c>
      <c r="G1173" s="45" t="s">
        <v>7290</v>
      </c>
      <c r="H1173" s="55" t="s">
        <v>7291</v>
      </c>
      <c r="I1173" s="15" t="s">
        <v>178</v>
      </c>
    </row>
    <row r="1174" spans="1:9" ht="51.75" customHeight="1" x14ac:dyDescent="0.35">
      <c r="A1174" s="15" t="s">
        <v>22996</v>
      </c>
      <c r="B1174" s="15" t="s">
        <v>25083</v>
      </c>
      <c r="C1174" s="15" t="s">
        <v>25081</v>
      </c>
      <c r="D1174" s="31">
        <v>41118</v>
      </c>
      <c r="E1174" s="15" t="s">
        <v>25084</v>
      </c>
      <c r="F1174" s="87" t="s">
        <v>21871</v>
      </c>
      <c r="G1174" s="45" t="s">
        <v>7290</v>
      </c>
      <c r="H1174" s="55" t="s">
        <v>7291</v>
      </c>
      <c r="I1174" s="15" t="s">
        <v>178</v>
      </c>
    </row>
    <row r="1175" spans="1:9" ht="51.75" customHeight="1" x14ac:dyDescent="0.35">
      <c r="A1175" s="15" t="s">
        <v>22895</v>
      </c>
      <c r="B1175" s="15" t="s">
        <v>25085</v>
      </c>
      <c r="C1175" s="15" t="s">
        <v>25086</v>
      </c>
      <c r="D1175" s="31">
        <v>41118</v>
      </c>
      <c r="E1175" s="15" t="s">
        <v>24506</v>
      </c>
      <c r="F1175" s="87" t="s">
        <v>23710</v>
      </c>
      <c r="G1175" s="45" t="s">
        <v>7290</v>
      </c>
      <c r="H1175" s="55" t="s">
        <v>7291</v>
      </c>
      <c r="I1175" s="15" t="s">
        <v>178</v>
      </c>
    </row>
    <row r="1176" spans="1:9" ht="51.75" customHeight="1" x14ac:dyDescent="0.35">
      <c r="A1176" s="15" t="s">
        <v>22895</v>
      </c>
      <c r="B1176" s="15" t="s">
        <v>25087</v>
      </c>
      <c r="C1176" s="15" t="s">
        <v>25086</v>
      </c>
      <c r="D1176" s="31">
        <v>41118</v>
      </c>
      <c r="E1176" s="15" t="s">
        <v>25088</v>
      </c>
      <c r="F1176" s="87" t="s">
        <v>21871</v>
      </c>
      <c r="G1176" s="45" t="s">
        <v>7290</v>
      </c>
      <c r="H1176" s="55" t="s">
        <v>7291</v>
      </c>
      <c r="I1176" s="15" t="s">
        <v>178</v>
      </c>
    </row>
    <row r="1177" spans="1:9" ht="51.75" customHeight="1" x14ac:dyDescent="0.35">
      <c r="A1177" s="15" t="s">
        <v>25089</v>
      </c>
      <c r="B1177" s="15" t="s">
        <v>25090</v>
      </c>
      <c r="C1177" s="15" t="s">
        <v>25091</v>
      </c>
      <c r="D1177" s="31">
        <v>41327</v>
      </c>
      <c r="E1177" s="15" t="s">
        <v>25092</v>
      </c>
      <c r="F1177" s="87" t="s">
        <v>23710</v>
      </c>
      <c r="G1177" s="45" t="s">
        <v>8145</v>
      </c>
      <c r="H1177" s="55" t="s">
        <v>8146</v>
      </c>
      <c r="I1177" s="15" t="s">
        <v>178</v>
      </c>
    </row>
    <row r="1178" spans="1:9" ht="51.75" customHeight="1" x14ac:dyDescent="0.35">
      <c r="A1178" s="15" t="s">
        <v>25089</v>
      </c>
      <c r="B1178" s="15" t="s">
        <v>25093</v>
      </c>
      <c r="C1178" s="15" t="s">
        <v>25091</v>
      </c>
      <c r="D1178" s="31">
        <v>41327</v>
      </c>
      <c r="E1178" s="15" t="s">
        <v>25094</v>
      </c>
      <c r="F1178" s="87" t="s">
        <v>21871</v>
      </c>
      <c r="G1178" s="45" t="s">
        <v>8145</v>
      </c>
      <c r="H1178" s="55" t="s">
        <v>8146</v>
      </c>
      <c r="I1178" s="15" t="s">
        <v>178</v>
      </c>
    </row>
    <row r="1179" spans="1:9" ht="51.75" customHeight="1" x14ac:dyDescent="0.35">
      <c r="A1179" s="15" t="s">
        <v>22899</v>
      </c>
      <c r="B1179" s="15" t="s">
        <v>25095</v>
      </c>
      <c r="C1179" s="15" t="s">
        <v>25091</v>
      </c>
      <c r="D1179" s="31">
        <v>41327</v>
      </c>
      <c r="E1179" s="15" t="s">
        <v>25096</v>
      </c>
      <c r="F1179" s="87" t="s">
        <v>23710</v>
      </c>
      <c r="G1179" s="45" t="s">
        <v>8145</v>
      </c>
      <c r="H1179" s="55" t="s">
        <v>8146</v>
      </c>
      <c r="I1179" s="15" t="s">
        <v>178</v>
      </c>
    </row>
    <row r="1180" spans="1:9" ht="51.75" customHeight="1" x14ac:dyDescent="0.35">
      <c r="A1180" s="15" t="s">
        <v>22899</v>
      </c>
      <c r="B1180" s="15" t="s">
        <v>25097</v>
      </c>
      <c r="C1180" s="15" t="s">
        <v>25091</v>
      </c>
      <c r="D1180" s="31">
        <v>41327</v>
      </c>
      <c r="E1180" s="15" t="s">
        <v>25098</v>
      </c>
      <c r="F1180" s="87" t="s">
        <v>21871</v>
      </c>
      <c r="G1180" s="45" t="s">
        <v>8145</v>
      </c>
      <c r="H1180" s="55" t="s">
        <v>8146</v>
      </c>
      <c r="I1180" s="15" t="s">
        <v>178</v>
      </c>
    </row>
    <row r="1181" spans="1:9" ht="51.75" customHeight="1" x14ac:dyDescent="0.35">
      <c r="A1181" s="15" t="s">
        <v>25099</v>
      </c>
      <c r="B1181" s="15" t="s">
        <v>25100</v>
      </c>
      <c r="C1181" s="15" t="s">
        <v>25101</v>
      </c>
      <c r="D1181" s="31">
        <v>41247</v>
      </c>
      <c r="E1181" s="15" t="s">
        <v>25102</v>
      </c>
      <c r="F1181" s="87" t="s">
        <v>23710</v>
      </c>
      <c r="G1181" s="45" t="s">
        <v>7979</v>
      </c>
      <c r="H1181" s="55" t="s">
        <v>7980</v>
      </c>
      <c r="I1181" s="15" t="s">
        <v>178</v>
      </c>
    </row>
    <row r="1182" spans="1:9" ht="51.75" customHeight="1" x14ac:dyDescent="0.35">
      <c r="A1182" s="15" t="s">
        <v>25099</v>
      </c>
      <c r="B1182" s="15" t="s">
        <v>25103</v>
      </c>
      <c r="C1182" s="15" t="s">
        <v>25101</v>
      </c>
      <c r="D1182" s="31">
        <v>41247</v>
      </c>
      <c r="E1182" s="15" t="s">
        <v>25104</v>
      </c>
      <c r="F1182" s="87" t="s">
        <v>21871</v>
      </c>
      <c r="G1182" s="45" t="s">
        <v>7979</v>
      </c>
      <c r="H1182" s="55" t="s">
        <v>7980</v>
      </c>
      <c r="I1182" s="15" t="s">
        <v>178</v>
      </c>
    </row>
    <row r="1183" spans="1:9" ht="51.75" customHeight="1" x14ac:dyDescent="0.35">
      <c r="A1183" s="15" t="s">
        <v>21995</v>
      </c>
      <c r="B1183" s="15" t="s">
        <v>25105</v>
      </c>
      <c r="C1183" s="15" t="s">
        <v>25106</v>
      </c>
      <c r="D1183" s="31">
        <v>41247</v>
      </c>
      <c r="E1183" s="15" t="s">
        <v>25106</v>
      </c>
      <c r="F1183" s="87" t="s">
        <v>23710</v>
      </c>
      <c r="G1183" s="45" t="s">
        <v>7979</v>
      </c>
      <c r="H1183" s="55" t="s">
        <v>7980</v>
      </c>
      <c r="I1183" s="15" t="s">
        <v>178</v>
      </c>
    </row>
    <row r="1184" spans="1:9" ht="51.75" customHeight="1" x14ac:dyDescent="0.35">
      <c r="A1184" s="15" t="s">
        <v>21995</v>
      </c>
      <c r="B1184" s="15" t="s">
        <v>25107</v>
      </c>
      <c r="C1184" s="15" t="s">
        <v>25106</v>
      </c>
      <c r="D1184" s="31">
        <v>41247</v>
      </c>
      <c r="E1184" s="15" t="s">
        <v>25108</v>
      </c>
      <c r="F1184" s="87" t="s">
        <v>21871</v>
      </c>
      <c r="G1184" s="45" t="s">
        <v>7979</v>
      </c>
      <c r="H1184" s="55" t="s">
        <v>7980</v>
      </c>
      <c r="I1184" s="15" t="s">
        <v>178</v>
      </c>
    </row>
    <row r="1185" spans="1:9" ht="51.75" customHeight="1" x14ac:dyDescent="0.35">
      <c r="A1185" s="15" t="s">
        <v>21963</v>
      </c>
      <c r="B1185" s="15" t="s">
        <v>25109</v>
      </c>
      <c r="C1185" s="15" t="s">
        <v>25110</v>
      </c>
      <c r="D1185" s="31">
        <v>41247</v>
      </c>
      <c r="E1185" s="15" t="s">
        <v>25111</v>
      </c>
      <c r="F1185" s="87" t="s">
        <v>23710</v>
      </c>
      <c r="G1185" s="45" t="s">
        <v>7979</v>
      </c>
      <c r="H1185" s="55" t="s">
        <v>7980</v>
      </c>
      <c r="I1185" s="15" t="s">
        <v>178</v>
      </c>
    </row>
    <row r="1186" spans="1:9" ht="51.75" customHeight="1" x14ac:dyDescent="0.35">
      <c r="A1186" s="15" t="s">
        <v>21963</v>
      </c>
      <c r="B1186" s="15" t="s">
        <v>25112</v>
      </c>
      <c r="C1186" s="15" t="s">
        <v>25110</v>
      </c>
      <c r="D1186" s="31">
        <v>41247</v>
      </c>
      <c r="E1186" s="15" t="s">
        <v>25113</v>
      </c>
      <c r="F1186" s="87" t="s">
        <v>21871</v>
      </c>
      <c r="G1186" s="45" t="s">
        <v>7979</v>
      </c>
      <c r="H1186" s="55" t="s">
        <v>7980</v>
      </c>
      <c r="I1186" s="15" t="s">
        <v>178</v>
      </c>
    </row>
    <row r="1187" spans="1:9" ht="51.75" customHeight="1" x14ac:dyDescent="0.35">
      <c r="A1187" s="15" t="s">
        <v>21872</v>
      </c>
      <c r="B1187" s="15" t="s">
        <v>25114</v>
      </c>
      <c r="C1187" s="15" t="s">
        <v>25115</v>
      </c>
      <c r="D1187" s="31">
        <v>41247</v>
      </c>
      <c r="E1187" s="15" t="s">
        <v>25116</v>
      </c>
      <c r="F1187" s="87" t="s">
        <v>23710</v>
      </c>
      <c r="G1187" s="45" t="s">
        <v>7979</v>
      </c>
      <c r="H1187" s="55" t="s">
        <v>7980</v>
      </c>
      <c r="I1187" s="15" t="s">
        <v>178</v>
      </c>
    </row>
    <row r="1188" spans="1:9" ht="51.75" customHeight="1" x14ac:dyDescent="0.35">
      <c r="A1188" s="15" t="s">
        <v>21872</v>
      </c>
      <c r="B1188" s="15" t="s">
        <v>25117</v>
      </c>
      <c r="C1188" s="15" t="s">
        <v>25115</v>
      </c>
      <c r="D1188" s="31">
        <v>41247</v>
      </c>
      <c r="E1188" s="15" t="s">
        <v>25118</v>
      </c>
      <c r="F1188" s="87" t="s">
        <v>21871</v>
      </c>
      <c r="G1188" s="45" t="s">
        <v>7979</v>
      </c>
      <c r="H1188" s="55" t="s">
        <v>7980</v>
      </c>
      <c r="I1188" s="15" t="s">
        <v>178</v>
      </c>
    </row>
    <row r="1189" spans="1:9" ht="51.75" customHeight="1" x14ac:dyDescent="0.35">
      <c r="A1189" s="15" t="s">
        <v>25119</v>
      </c>
      <c r="B1189" s="15" t="s">
        <v>25120</v>
      </c>
      <c r="C1189" s="15" t="s">
        <v>25121</v>
      </c>
      <c r="D1189" s="31">
        <v>41247</v>
      </c>
      <c r="E1189" s="15" t="s">
        <v>25122</v>
      </c>
      <c r="F1189" s="87" t="s">
        <v>23710</v>
      </c>
      <c r="G1189" s="45" t="s">
        <v>7979</v>
      </c>
      <c r="H1189" s="55" t="s">
        <v>7980</v>
      </c>
      <c r="I1189" s="15" t="s">
        <v>178</v>
      </c>
    </row>
    <row r="1190" spans="1:9" ht="51.75" customHeight="1" x14ac:dyDescent="0.35">
      <c r="A1190" s="15" t="s">
        <v>25119</v>
      </c>
      <c r="B1190" s="15" t="s">
        <v>25123</v>
      </c>
      <c r="C1190" s="15" t="s">
        <v>25121</v>
      </c>
      <c r="D1190" s="31">
        <v>41247</v>
      </c>
      <c r="E1190" s="15" t="s">
        <v>25124</v>
      </c>
      <c r="F1190" s="87" t="s">
        <v>21871</v>
      </c>
      <c r="G1190" s="45" t="s">
        <v>7979</v>
      </c>
      <c r="H1190" s="55" t="s">
        <v>7980</v>
      </c>
      <c r="I1190" s="15" t="s">
        <v>178</v>
      </c>
    </row>
    <row r="1191" spans="1:9" ht="51.75" customHeight="1" x14ac:dyDescent="0.35">
      <c r="A1191" s="15" t="s">
        <v>23549</v>
      </c>
      <c r="B1191" s="15" t="s">
        <v>25125</v>
      </c>
      <c r="C1191" s="15" t="s">
        <v>25126</v>
      </c>
      <c r="D1191" s="31">
        <v>41536</v>
      </c>
      <c r="E1191" s="15" t="s">
        <v>25127</v>
      </c>
      <c r="F1191" s="87" t="s">
        <v>23710</v>
      </c>
      <c r="G1191" s="45" t="s">
        <v>8197</v>
      </c>
      <c r="H1191" s="55" t="s">
        <v>8198</v>
      </c>
      <c r="I1191" s="15" t="s">
        <v>178</v>
      </c>
    </row>
    <row r="1192" spans="1:9" ht="51.75" customHeight="1" x14ac:dyDescent="0.35">
      <c r="A1192" s="15" t="s">
        <v>23549</v>
      </c>
      <c r="B1192" s="15" t="s">
        <v>25128</v>
      </c>
      <c r="C1192" s="15" t="s">
        <v>25126</v>
      </c>
      <c r="D1192" s="31">
        <v>41536</v>
      </c>
      <c r="E1192" s="15" t="s">
        <v>25129</v>
      </c>
      <c r="F1192" s="87" t="s">
        <v>21871</v>
      </c>
      <c r="G1192" s="45" t="s">
        <v>8197</v>
      </c>
      <c r="H1192" s="55" t="s">
        <v>8198</v>
      </c>
      <c r="I1192" s="15" t="s">
        <v>178</v>
      </c>
    </row>
    <row r="1193" spans="1:9" ht="51.75" customHeight="1" x14ac:dyDescent="0.35">
      <c r="A1193" s="15" t="s">
        <v>23555</v>
      </c>
      <c r="B1193" s="15" t="s">
        <v>25130</v>
      </c>
      <c r="C1193" s="15" t="s">
        <v>25131</v>
      </c>
      <c r="D1193" s="31">
        <v>41536</v>
      </c>
      <c r="E1193" s="15" t="s">
        <v>25132</v>
      </c>
      <c r="F1193" s="87" t="s">
        <v>23710</v>
      </c>
      <c r="G1193" s="45" t="s">
        <v>8197</v>
      </c>
      <c r="H1193" s="55" t="s">
        <v>8198</v>
      </c>
      <c r="I1193" s="15" t="s">
        <v>178</v>
      </c>
    </row>
    <row r="1194" spans="1:9" ht="51.75" customHeight="1" x14ac:dyDescent="0.35">
      <c r="A1194" s="15" t="s">
        <v>23555</v>
      </c>
      <c r="B1194" s="15" t="s">
        <v>25133</v>
      </c>
      <c r="C1194" s="15" t="s">
        <v>25131</v>
      </c>
      <c r="D1194" s="31">
        <v>41536</v>
      </c>
      <c r="E1194" s="15" t="s">
        <v>25134</v>
      </c>
      <c r="F1194" s="87" t="s">
        <v>21871</v>
      </c>
      <c r="G1194" s="45" t="s">
        <v>8197</v>
      </c>
      <c r="H1194" s="55" t="s">
        <v>8198</v>
      </c>
      <c r="I1194" s="15" t="s">
        <v>178</v>
      </c>
    </row>
    <row r="1195" spans="1:9" ht="51.75" customHeight="1" x14ac:dyDescent="0.35">
      <c r="A1195" s="15" t="s">
        <v>22239</v>
      </c>
      <c r="B1195" s="15" t="s">
        <v>25135</v>
      </c>
      <c r="C1195" s="15" t="s">
        <v>25136</v>
      </c>
      <c r="D1195" s="31">
        <v>41536</v>
      </c>
      <c r="E1195" s="15" t="s">
        <v>25137</v>
      </c>
      <c r="F1195" s="87" t="s">
        <v>23710</v>
      </c>
      <c r="G1195" s="45" t="s">
        <v>8197</v>
      </c>
      <c r="H1195" s="55" t="s">
        <v>8198</v>
      </c>
      <c r="I1195" s="15" t="s">
        <v>178</v>
      </c>
    </row>
    <row r="1196" spans="1:9" ht="51.75" customHeight="1" x14ac:dyDescent="0.35">
      <c r="A1196" s="15" t="s">
        <v>22239</v>
      </c>
      <c r="B1196" s="15" t="s">
        <v>25138</v>
      </c>
      <c r="C1196" s="15" t="s">
        <v>25136</v>
      </c>
      <c r="D1196" s="31">
        <v>41536</v>
      </c>
      <c r="E1196" s="15" t="s">
        <v>25139</v>
      </c>
      <c r="F1196" s="87" t="s">
        <v>21871</v>
      </c>
      <c r="G1196" s="45" t="s">
        <v>8197</v>
      </c>
      <c r="H1196" s="55" t="s">
        <v>8198</v>
      </c>
      <c r="I1196" s="15" t="s">
        <v>178</v>
      </c>
    </row>
    <row r="1197" spans="1:9" ht="51.75" customHeight="1" x14ac:dyDescent="0.35">
      <c r="A1197" s="15" t="s">
        <v>23489</v>
      </c>
      <c r="B1197" s="15" t="s">
        <v>25140</v>
      </c>
      <c r="C1197" s="15" t="s">
        <v>25141</v>
      </c>
      <c r="D1197" s="31">
        <v>41536</v>
      </c>
      <c r="E1197" s="15" t="s">
        <v>25142</v>
      </c>
      <c r="F1197" s="87" t="s">
        <v>23710</v>
      </c>
      <c r="G1197" s="45" t="s">
        <v>8197</v>
      </c>
      <c r="H1197" s="55" t="s">
        <v>8198</v>
      </c>
      <c r="I1197" s="15" t="s">
        <v>178</v>
      </c>
    </row>
    <row r="1198" spans="1:9" ht="51.75" customHeight="1" x14ac:dyDescent="0.35">
      <c r="A1198" s="15" t="s">
        <v>23489</v>
      </c>
      <c r="B1198" s="15" t="s">
        <v>25143</v>
      </c>
      <c r="C1198" s="15" t="s">
        <v>25141</v>
      </c>
      <c r="D1198" s="31">
        <v>41536</v>
      </c>
      <c r="E1198" s="15" t="s">
        <v>25144</v>
      </c>
      <c r="F1198" s="87" t="s">
        <v>21871</v>
      </c>
      <c r="G1198" s="45" t="s">
        <v>8197</v>
      </c>
      <c r="H1198" s="55" t="s">
        <v>8198</v>
      </c>
      <c r="I1198" s="15" t="s">
        <v>178</v>
      </c>
    </row>
    <row r="1199" spans="1:9" ht="51.75" customHeight="1" x14ac:dyDescent="0.35">
      <c r="A1199" s="15" t="s">
        <v>23494</v>
      </c>
      <c r="B1199" s="15" t="s">
        <v>25145</v>
      </c>
      <c r="C1199" s="15" t="s">
        <v>25146</v>
      </c>
      <c r="D1199" s="31">
        <v>41536</v>
      </c>
      <c r="E1199" s="15" t="s">
        <v>25147</v>
      </c>
      <c r="F1199" s="87" t="s">
        <v>23710</v>
      </c>
      <c r="G1199" s="45" t="s">
        <v>8197</v>
      </c>
      <c r="H1199" s="55" t="s">
        <v>8198</v>
      </c>
      <c r="I1199" s="15" t="s">
        <v>178</v>
      </c>
    </row>
    <row r="1200" spans="1:9" ht="51.75" customHeight="1" x14ac:dyDescent="0.35">
      <c r="A1200" s="15" t="s">
        <v>23494</v>
      </c>
      <c r="B1200" s="15" t="s">
        <v>25148</v>
      </c>
      <c r="C1200" s="15" t="s">
        <v>25146</v>
      </c>
      <c r="D1200" s="31">
        <v>41536</v>
      </c>
      <c r="E1200" s="15" t="s">
        <v>25149</v>
      </c>
      <c r="F1200" s="87" t="s">
        <v>21871</v>
      </c>
      <c r="G1200" s="45" t="s">
        <v>8197</v>
      </c>
      <c r="H1200" s="55" t="s">
        <v>8198</v>
      </c>
      <c r="I1200" s="15" t="s">
        <v>178</v>
      </c>
    </row>
    <row r="1201" spans="1:9" ht="51.75" customHeight="1" x14ac:dyDescent="0.35">
      <c r="A1201" s="15" t="s">
        <v>25150</v>
      </c>
      <c r="B1201" s="15" t="s">
        <v>25151</v>
      </c>
      <c r="C1201" s="15" t="s">
        <v>25152</v>
      </c>
      <c r="D1201" s="31">
        <v>41536</v>
      </c>
      <c r="E1201" s="15" t="s">
        <v>25153</v>
      </c>
      <c r="F1201" s="87" t="s">
        <v>23710</v>
      </c>
      <c r="G1201" s="45" t="s">
        <v>8197</v>
      </c>
      <c r="H1201" s="55" t="s">
        <v>8198</v>
      </c>
      <c r="I1201" s="15" t="s">
        <v>178</v>
      </c>
    </row>
    <row r="1202" spans="1:9" ht="51.75" customHeight="1" x14ac:dyDescent="0.35">
      <c r="A1202" s="15" t="s">
        <v>25150</v>
      </c>
      <c r="B1202" s="15" t="s">
        <v>25154</v>
      </c>
      <c r="C1202" s="15" t="s">
        <v>25152</v>
      </c>
      <c r="D1202" s="31">
        <v>41536</v>
      </c>
      <c r="E1202" s="15" t="s">
        <v>25155</v>
      </c>
      <c r="F1202" s="87" t="s">
        <v>21871</v>
      </c>
      <c r="G1202" s="45" t="s">
        <v>8197</v>
      </c>
      <c r="H1202" s="55" t="s">
        <v>8198</v>
      </c>
      <c r="I1202" s="15" t="s">
        <v>178</v>
      </c>
    </row>
    <row r="1203" spans="1:9" ht="51.75" customHeight="1" x14ac:dyDescent="0.35">
      <c r="A1203" s="15" t="s">
        <v>25156</v>
      </c>
      <c r="B1203" s="15" t="s">
        <v>25157</v>
      </c>
      <c r="C1203" s="15" t="s">
        <v>25158</v>
      </c>
      <c r="D1203" s="31">
        <v>41536</v>
      </c>
      <c r="E1203" s="15" t="s">
        <v>25159</v>
      </c>
      <c r="F1203" s="87" t="s">
        <v>23710</v>
      </c>
      <c r="G1203" s="45" t="s">
        <v>8197</v>
      </c>
      <c r="H1203" s="55" t="s">
        <v>8198</v>
      </c>
      <c r="I1203" s="15" t="s">
        <v>178</v>
      </c>
    </row>
    <row r="1204" spans="1:9" ht="51.75" customHeight="1" x14ac:dyDescent="0.35">
      <c r="A1204" s="15" t="s">
        <v>25156</v>
      </c>
      <c r="B1204" s="15" t="s">
        <v>25160</v>
      </c>
      <c r="C1204" s="15" t="s">
        <v>25158</v>
      </c>
      <c r="D1204" s="31">
        <v>41536</v>
      </c>
      <c r="E1204" s="15" t="s">
        <v>25161</v>
      </c>
      <c r="F1204" s="87" t="s">
        <v>21871</v>
      </c>
      <c r="G1204" s="45" t="s">
        <v>8197</v>
      </c>
      <c r="H1204" s="55" t="s">
        <v>8198</v>
      </c>
      <c r="I1204" s="15" t="s">
        <v>178</v>
      </c>
    </row>
    <row r="1205" spans="1:9" ht="51.75" customHeight="1" x14ac:dyDescent="0.35">
      <c r="A1205" s="15" t="s">
        <v>23345</v>
      </c>
      <c r="B1205" s="15" t="s">
        <v>25162</v>
      </c>
      <c r="C1205" s="15" t="s">
        <v>25163</v>
      </c>
      <c r="D1205" s="31">
        <v>41995</v>
      </c>
      <c r="E1205" s="15" t="s">
        <v>24945</v>
      </c>
      <c r="F1205" s="87" t="s">
        <v>23710</v>
      </c>
      <c r="G1205" s="45" t="s">
        <v>9202</v>
      </c>
      <c r="H1205" s="55" t="s">
        <v>9203</v>
      </c>
      <c r="I1205" s="15" t="s">
        <v>178</v>
      </c>
    </row>
    <row r="1206" spans="1:9" ht="51.75" customHeight="1" x14ac:dyDescent="0.35">
      <c r="A1206" s="15" t="s">
        <v>23345</v>
      </c>
      <c r="B1206" s="15" t="s">
        <v>25164</v>
      </c>
      <c r="C1206" s="15" t="s">
        <v>25163</v>
      </c>
      <c r="D1206" s="31">
        <v>41995</v>
      </c>
      <c r="E1206" s="15" t="s">
        <v>25165</v>
      </c>
      <c r="F1206" s="87" t="s">
        <v>21871</v>
      </c>
      <c r="G1206" s="45" t="s">
        <v>9202</v>
      </c>
      <c r="H1206" s="55" t="s">
        <v>9203</v>
      </c>
      <c r="I1206" s="15" t="s">
        <v>178</v>
      </c>
    </row>
    <row r="1207" spans="1:9" ht="51.75" customHeight="1" x14ac:dyDescent="0.35">
      <c r="A1207" s="15" t="s">
        <v>23349</v>
      </c>
      <c r="B1207" s="15" t="s">
        <v>25166</v>
      </c>
      <c r="C1207" s="15" t="s">
        <v>25163</v>
      </c>
      <c r="D1207" s="31">
        <v>41995</v>
      </c>
      <c r="E1207" s="15" t="s">
        <v>24949</v>
      </c>
      <c r="F1207" s="87" t="s">
        <v>23710</v>
      </c>
      <c r="G1207" s="45" t="s">
        <v>9202</v>
      </c>
      <c r="H1207" s="55" t="s">
        <v>9203</v>
      </c>
      <c r="I1207" s="15" t="s">
        <v>178</v>
      </c>
    </row>
    <row r="1208" spans="1:9" ht="51.75" customHeight="1" x14ac:dyDescent="0.35">
      <c r="A1208" s="15" t="s">
        <v>23349</v>
      </c>
      <c r="B1208" s="15" t="s">
        <v>25167</v>
      </c>
      <c r="C1208" s="15" t="s">
        <v>25163</v>
      </c>
      <c r="D1208" s="31">
        <v>41995</v>
      </c>
      <c r="E1208" s="15" t="s">
        <v>25168</v>
      </c>
      <c r="F1208" s="87" t="s">
        <v>21871</v>
      </c>
      <c r="G1208" s="45" t="s">
        <v>9202</v>
      </c>
      <c r="H1208" s="55" t="s">
        <v>9203</v>
      </c>
      <c r="I1208" s="15" t="s">
        <v>178</v>
      </c>
    </row>
    <row r="1209" spans="1:9" ht="51.75" customHeight="1" x14ac:dyDescent="0.35">
      <c r="A1209" s="15" t="s">
        <v>24503</v>
      </c>
      <c r="B1209" s="15" t="s">
        <v>25169</v>
      </c>
      <c r="C1209" s="15" t="s">
        <v>24953</v>
      </c>
      <c r="D1209" s="31">
        <v>41995</v>
      </c>
      <c r="E1209" s="15" t="s">
        <v>25170</v>
      </c>
      <c r="F1209" s="87" t="s">
        <v>23710</v>
      </c>
      <c r="G1209" s="45" t="s">
        <v>9202</v>
      </c>
      <c r="H1209" s="55" t="s">
        <v>9203</v>
      </c>
      <c r="I1209" s="15" t="s">
        <v>178</v>
      </c>
    </row>
    <row r="1210" spans="1:9" ht="51.75" customHeight="1" x14ac:dyDescent="0.35">
      <c r="A1210" s="15" t="s">
        <v>24503</v>
      </c>
      <c r="B1210" s="15" t="s">
        <v>25171</v>
      </c>
      <c r="C1210" s="15" t="s">
        <v>24953</v>
      </c>
      <c r="D1210" s="31">
        <v>41995</v>
      </c>
      <c r="E1210" s="15" t="s">
        <v>25172</v>
      </c>
      <c r="F1210" s="87" t="s">
        <v>21871</v>
      </c>
      <c r="G1210" s="45" t="s">
        <v>9202</v>
      </c>
      <c r="H1210" s="55" t="s">
        <v>9203</v>
      </c>
      <c r="I1210" s="15" t="s">
        <v>178</v>
      </c>
    </row>
    <row r="1211" spans="1:9" ht="51.75" customHeight="1" x14ac:dyDescent="0.35">
      <c r="A1211" s="15" t="s">
        <v>25173</v>
      </c>
      <c r="B1211" s="15" t="s">
        <v>25174</v>
      </c>
      <c r="C1211" s="15" t="s">
        <v>25175</v>
      </c>
      <c r="D1211" s="31">
        <v>41995</v>
      </c>
      <c r="E1211" s="15" t="s">
        <v>25176</v>
      </c>
      <c r="F1211" s="87" t="s">
        <v>23710</v>
      </c>
      <c r="G1211" s="45" t="s">
        <v>9202</v>
      </c>
      <c r="H1211" s="55" t="s">
        <v>9203</v>
      </c>
      <c r="I1211" s="15" t="s">
        <v>178</v>
      </c>
    </row>
    <row r="1212" spans="1:9" ht="51.75" customHeight="1" x14ac:dyDescent="0.35">
      <c r="A1212" s="15" t="s">
        <v>25173</v>
      </c>
      <c r="B1212" s="15" t="s">
        <v>25177</v>
      </c>
      <c r="C1212" s="15" t="s">
        <v>25175</v>
      </c>
      <c r="D1212" s="31">
        <v>41995</v>
      </c>
      <c r="E1212" s="15" t="s">
        <v>25178</v>
      </c>
      <c r="F1212" s="87" t="s">
        <v>21871</v>
      </c>
      <c r="G1212" s="45" t="s">
        <v>9202</v>
      </c>
      <c r="H1212" s="55" t="s">
        <v>9203</v>
      </c>
      <c r="I1212" s="15" t="s">
        <v>178</v>
      </c>
    </row>
    <row r="1213" spans="1:9" ht="51.75" customHeight="1" x14ac:dyDescent="0.35">
      <c r="A1213" s="15" t="s">
        <v>24581</v>
      </c>
      <c r="B1213" s="15" t="s">
        <v>25179</v>
      </c>
      <c r="C1213" s="15" t="s">
        <v>24511</v>
      </c>
      <c r="D1213" s="31">
        <v>41099</v>
      </c>
      <c r="E1213" s="15" t="s">
        <v>25180</v>
      </c>
      <c r="F1213" s="87" t="s">
        <v>23710</v>
      </c>
      <c r="G1213" s="45" t="s">
        <v>7232</v>
      </c>
      <c r="H1213" s="55" t="s">
        <v>7233</v>
      </c>
      <c r="I1213" s="15" t="s">
        <v>178</v>
      </c>
    </row>
    <row r="1214" spans="1:9" ht="51.75" customHeight="1" x14ac:dyDescent="0.35">
      <c r="A1214" s="15" t="s">
        <v>24581</v>
      </c>
      <c r="B1214" s="15" t="s">
        <v>25181</v>
      </c>
      <c r="C1214" s="15" t="s">
        <v>24511</v>
      </c>
      <c r="D1214" s="31">
        <v>41099</v>
      </c>
      <c r="E1214" s="15" t="s">
        <v>25182</v>
      </c>
      <c r="F1214" s="87" t="s">
        <v>21871</v>
      </c>
      <c r="G1214" s="45" t="s">
        <v>7232</v>
      </c>
      <c r="H1214" s="55" t="s">
        <v>7233</v>
      </c>
      <c r="I1214" s="15" t="s">
        <v>178</v>
      </c>
    </row>
    <row r="1215" spans="1:9" ht="51.75" customHeight="1" x14ac:dyDescent="0.35">
      <c r="A1215" s="15" t="s">
        <v>24536</v>
      </c>
      <c r="B1215" s="15" t="s">
        <v>25183</v>
      </c>
      <c r="C1215" s="15" t="s">
        <v>25184</v>
      </c>
      <c r="D1215" s="31">
        <v>41247</v>
      </c>
      <c r="E1215" s="15" t="s">
        <v>25185</v>
      </c>
      <c r="F1215" s="87" t="s">
        <v>23710</v>
      </c>
      <c r="G1215" s="45" t="s">
        <v>7936</v>
      </c>
      <c r="H1215" s="55" t="s">
        <v>7937</v>
      </c>
      <c r="I1215" s="15" t="s">
        <v>178</v>
      </c>
    </row>
    <row r="1216" spans="1:9" ht="51.75" customHeight="1" x14ac:dyDescent="0.35">
      <c r="A1216" s="15" t="s">
        <v>24536</v>
      </c>
      <c r="B1216" s="15" t="s">
        <v>25186</v>
      </c>
      <c r="C1216" s="15" t="s">
        <v>25184</v>
      </c>
      <c r="D1216" s="31">
        <v>41247</v>
      </c>
      <c r="E1216" s="15" t="s">
        <v>25187</v>
      </c>
      <c r="F1216" s="87" t="s">
        <v>21871</v>
      </c>
      <c r="G1216" s="45" t="s">
        <v>7936</v>
      </c>
      <c r="H1216" s="55" t="s">
        <v>7937</v>
      </c>
      <c r="I1216" s="15" t="s">
        <v>178</v>
      </c>
    </row>
    <row r="1217" spans="1:9" ht="51.75" customHeight="1" x14ac:dyDescent="0.35">
      <c r="A1217" s="15" t="s">
        <v>24271</v>
      </c>
      <c r="B1217" s="15" t="s">
        <v>25188</v>
      </c>
      <c r="C1217" s="15" t="s">
        <v>25189</v>
      </c>
      <c r="D1217" s="31">
        <v>41360</v>
      </c>
      <c r="E1217" s="15" t="s">
        <v>25190</v>
      </c>
      <c r="F1217" s="87" t="s">
        <v>23710</v>
      </c>
      <c r="G1217" s="45" t="s">
        <v>7957</v>
      </c>
      <c r="H1217" s="55" t="s">
        <v>7958</v>
      </c>
      <c r="I1217" s="15" t="s">
        <v>178</v>
      </c>
    </row>
    <row r="1218" spans="1:9" ht="51.75" customHeight="1" x14ac:dyDescent="0.35">
      <c r="A1218" s="15" t="s">
        <v>24271</v>
      </c>
      <c r="B1218" s="15" t="s">
        <v>25191</v>
      </c>
      <c r="C1218" s="15" t="s">
        <v>25189</v>
      </c>
      <c r="D1218" s="31">
        <v>41360</v>
      </c>
      <c r="E1218" s="15" t="s">
        <v>25192</v>
      </c>
      <c r="F1218" s="87" t="s">
        <v>21871</v>
      </c>
      <c r="G1218" s="45" t="s">
        <v>7957</v>
      </c>
      <c r="H1218" s="55" t="s">
        <v>7958</v>
      </c>
      <c r="I1218" s="15" t="s">
        <v>178</v>
      </c>
    </row>
    <row r="1219" spans="1:9" ht="51.75" customHeight="1" x14ac:dyDescent="0.35">
      <c r="A1219" s="15" t="s">
        <v>24276</v>
      </c>
      <c r="B1219" s="15" t="s">
        <v>25193</v>
      </c>
      <c r="C1219" s="15" t="s">
        <v>25194</v>
      </c>
      <c r="D1219" s="31">
        <v>41360</v>
      </c>
      <c r="E1219" s="15" t="s">
        <v>25195</v>
      </c>
      <c r="F1219" s="87" t="s">
        <v>23710</v>
      </c>
      <c r="G1219" s="45" t="s">
        <v>7957</v>
      </c>
      <c r="H1219" s="55" t="s">
        <v>7958</v>
      </c>
      <c r="I1219" s="15" t="s">
        <v>178</v>
      </c>
    </row>
    <row r="1220" spans="1:9" ht="51.75" customHeight="1" x14ac:dyDescent="0.35">
      <c r="A1220" s="15" t="s">
        <v>24276</v>
      </c>
      <c r="B1220" s="15" t="s">
        <v>25196</v>
      </c>
      <c r="C1220" s="15" t="s">
        <v>25194</v>
      </c>
      <c r="D1220" s="31">
        <v>41360</v>
      </c>
      <c r="E1220" s="15" t="s">
        <v>25197</v>
      </c>
      <c r="F1220" s="87" t="s">
        <v>21871</v>
      </c>
      <c r="G1220" s="45" t="s">
        <v>7957</v>
      </c>
      <c r="H1220" s="55" t="s">
        <v>7958</v>
      </c>
      <c r="I1220" s="15" t="s">
        <v>178</v>
      </c>
    </row>
    <row r="1221" spans="1:9" ht="51.75" customHeight="1" x14ac:dyDescent="0.35">
      <c r="A1221" s="15" t="s">
        <v>24281</v>
      </c>
      <c r="B1221" s="15" t="s">
        <v>25198</v>
      </c>
      <c r="C1221" s="15" t="s">
        <v>25199</v>
      </c>
      <c r="D1221" s="31">
        <v>41360</v>
      </c>
      <c r="E1221" s="15" t="s">
        <v>25200</v>
      </c>
      <c r="F1221" s="87" t="s">
        <v>23710</v>
      </c>
      <c r="G1221" s="45" t="s">
        <v>7957</v>
      </c>
      <c r="H1221" s="55" t="s">
        <v>7958</v>
      </c>
      <c r="I1221" s="15" t="s">
        <v>178</v>
      </c>
    </row>
    <row r="1222" spans="1:9" ht="51.75" customHeight="1" x14ac:dyDescent="0.35">
      <c r="A1222" s="15" t="s">
        <v>24281</v>
      </c>
      <c r="B1222" s="15" t="s">
        <v>25201</v>
      </c>
      <c r="C1222" s="15" t="s">
        <v>25199</v>
      </c>
      <c r="D1222" s="31">
        <v>41360</v>
      </c>
      <c r="E1222" s="15" t="s">
        <v>25202</v>
      </c>
      <c r="F1222" s="87" t="s">
        <v>21871</v>
      </c>
      <c r="G1222" s="45" t="s">
        <v>7957</v>
      </c>
      <c r="H1222" s="55" t="s">
        <v>7958</v>
      </c>
      <c r="I1222" s="15" t="s">
        <v>178</v>
      </c>
    </row>
    <row r="1223" spans="1:9" ht="51.75" customHeight="1" x14ac:dyDescent="0.35">
      <c r="A1223" s="15" t="s">
        <v>24301</v>
      </c>
      <c r="B1223" s="15" t="s">
        <v>25203</v>
      </c>
      <c r="C1223" s="15" t="s">
        <v>25204</v>
      </c>
      <c r="D1223" s="31">
        <v>41360</v>
      </c>
      <c r="E1223" s="15" t="s">
        <v>25205</v>
      </c>
      <c r="F1223" s="87" t="s">
        <v>23710</v>
      </c>
      <c r="G1223" s="45" t="s">
        <v>7957</v>
      </c>
      <c r="H1223" s="55" t="s">
        <v>7958</v>
      </c>
      <c r="I1223" s="15" t="s">
        <v>178</v>
      </c>
    </row>
    <row r="1224" spans="1:9" ht="51.75" customHeight="1" x14ac:dyDescent="0.35">
      <c r="A1224" s="15" t="s">
        <v>24301</v>
      </c>
      <c r="B1224" s="15" t="s">
        <v>25206</v>
      </c>
      <c r="C1224" s="15" t="s">
        <v>25204</v>
      </c>
      <c r="D1224" s="31">
        <v>41360</v>
      </c>
      <c r="E1224" s="15" t="s">
        <v>25207</v>
      </c>
      <c r="F1224" s="87" t="s">
        <v>21871</v>
      </c>
      <c r="G1224" s="45" t="s">
        <v>7957</v>
      </c>
      <c r="H1224" s="55" t="s">
        <v>7958</v>
      </c>
      <c r="I1224" s="15" t="s">
        <v>178</v>
      </c>
    </row>
    <row r="1225" spans="1:9" ht="51.75" customHeight="1" x14ac:dyDescent="0.35">
      <c r="A1225" s="15" t="s">
        <v>22039</v>
      </c>
      <c r="B1225" s="15" t="s">
        <v>25208</v>
      </c>
      <c r="C1225" s="15" t="s">
        <v>25209</v>
      </c>
      <c r="D1225" s="31">
        <v>41360</v>
      </c>
      <c r="E1225" s="15" t="s">
        <v>25210</v>
      </c>
      <c r="F1225" s="87" t="s">
        <v>23710</v>
      </c>
      <c r="G1225" s="45" t="s">
        <v>7957</v>
      </c>
      <c r="H1225" s="55" t="s">
        <v>7958</v>
      </c>
      <c r="I1225" s="15" t="s">
        <v>178</v>
      </c>
    </row>
    <row r="1226" spans="1:9" ht="51.75" customHeight="1" x14ac:dyDescent="0.35">
      <c r="A1226" s="15" t="s">
        <v>22039</v>
      </c>
      <c r="B1226" s="15" t="s">
        <v>25211</v>
      </c>
      <c r="C1226" s="15" t="s">
        <v>25209</v>
      </c>
      <c r="D1226" s="31">
        <v>41360</v>
      </c>
      <c r="E1226" s="15" t="s">
        <v>25212</v>
      </c>
      <c r="F1226" s="87" t="s">
        <v>21871</v>
      </c>
      <c r="G1226" s="45" t="s">
        <v>7957</v>
      </c>
      <c r="H1226" s="55" t="s">
        <v>7958</v>
      </c>
      <c r="I1226" s="15" t="s">
        <v>178</v>
      </c>
    </row>
    <row r="1227" spans="1:9" ht="51.75" customHeight="1" x14ac:dyDescent="0.35">
      <c r="A1227" s="15" t="s">
        <v>23412</v>
      </c>
      <c r="B1227" s="15" t="s">
        <v>25213</v>
      </c>
      <c r="C1227" s="15" t="s">
        <v>25214</v>
      </c>
      <c r="D1227" s="31">
        <v>41360</v>
      </c>
      <c r="E1227" s="15" t="s">
        <v>25215</v>
      </c>
      <c r="F1227" s="87" t="s">
        <v>23710</v>
      </c>
      <c r="G1227" s="45" t="s">
        <v>7957</v>
      </c>
      <c r="H1227" s="55" t="s">
        <v>7958</v>
      </c>
      <c r="I1227" s="15" t="s">
        <v>178</v>
      </c>
    </row>
    <row r="1228" spans="1:9" ht="51.75" customHeight="1" x14ac:dyDescent="0.35">
      <c r="A1228" s="15" t="s">
        <v>23412</v>
      </c>
      <c r="B1228" s="15" t="s">
        <v>25216</v>
      </c>
      <c r="C1228" s="15" t="s">
        <v>25214</v>
      </c>
      <c r="D1228" s="31">
        <v>41360</v>
      </c>
      <c r="E1228" s="15" t="s">
        <v>25217</v>
      </c>
      <c r="F1228" s="87" t="s">
        <v>21871</v>
      </c>
      <c r="G1228" s="45" t="s">
        <v>7957</v>
      </c>
      <c r="H1228" s="55" t="s">
        <v>7958</v>
      </c>
      <c r="I1228" s="15" t="s">
        <v>178</v>
      </c>
    </row>
    <row r="1229" spans="1:9" ht="51.75" customHeight="1" x14ac:dyDescent="0.35">
      <c r="A1229" s="15" t="s">
        <v>23416</v>
      </c>
      <c r="B1229" s="15" t="s">
        <v>25218</v>
      </c>
      <c r="C1229" s="15" t="s">
        <v>25219</v>
      </c>
      <c r="D1229" s="31">
        <v>41360</v>
      </c>
      <c r="E1229" s="15" t="s">
        <v>25220</v>
      </c>
      <c r="F1229" s="87" t="s">
        <v>23710</v>
      </c>
      <c r="G1229" s="45" t="s">
        <v>7957</v>
      </c>
      <c r="H1229" s="55" t="s">
        <v>7958</v>
      </c>
      <c r="I1229" s="15" t="s">
        <v>178</v>
      </c>
    </row>
    <row r="1230" spans="1:9" ht="51.75" customHeight="1" x14ac:dyDescent="0.35">
      <c r="A1230" s="15" t="s">
        <v>23416</v>
      </c>
      <c r="B1230" s="15" t="s">
        <v>25221</v>
      </c>
      <c r="C1230" s="15" t="s">
        <v>25219</v>
      </c>
      <c r="D1230" s="31">
        <v>41360</v>
      </c>
      <c r="E1230" s="15" t="s">
        <v>25222</v>
      </c>
      <c r="F1230" s="87" t="s">
        <v>21871</v>
      </c>
      <c r="G1230" s="45" t="s">
        <v>7957</v>
      </c>
      <c r="H1230" s="55" t="s">
        <v>7958</v>
      </c>
      <c r="I1230" s="15" t="s">
        <v>178</v>
      </c>
    </row>
    <row r="1231" spans="1:9" ht="51.75" customHeight="1" x14ac:dyDescent="0.35">
      <c r="A1231" s="15" t="s">
        <v>25223</v>
      </c>
      <c r="B1231" s="15" t="s">
        <v>25224</v>
      </c>
      <c r="C1231" s="15" t="s">
        <v>25225</v>
      </c>
      <c r="D1231" s="31">
        <v>41360</v>
      </c>
      <c r="E1231" s="15" t="s">
        <v>25226</v>
      </c>
      <c r="F1231" s="87" t="s">
        <v>23710</v>
      </c>
      <c r="G1231" s="45" t="s">
        <v>7957</v>
      </c>
      <c r="H1231" s="55" t="s">
        <v>7958</v>
      </c>
      <c r="I1231" s="15" t="s">
        <v>178</v>
      </c>
    </row>
    <row r="1232" spans="1:9" ht="51.75" customHeight="1" x14ac:dyDescent="0.35">
      <c r="A1232" s="15" t="s">
        <v>25223</v>
      </c>
      <c r="B1232" s="15" t="s">
        <v>25227</v>
      </c>
      <c r="C1232" s="15" t="s">
        <v>25225</v>
      </c>
      <c r="D1232" s="31">
        <v>41360</v>
      </c>
      <c r="E1232" s="15" t="s">
        <v>25228</v>
      </c>
      <c r="F1232" s="87" t="s">
        <v>21871</v>
      </c>
      <c r="G1232" s="45" t="s">
        <v>7957</v>
      </c>
      <c r="H1232" s="55" t="s">
        <v>7958</v>
      </c>
      <c r="I1232" s="15" t="s">
        <v>178</v>
      </c>
    </row>
    <row r="1233" spans="1:9" ht="51.75" customHeight="1" x14ac:dyDescent="0.35">
      <c r="A1233" s="15" t="s">
        <v>25229</v>
      </c>
      <c r="B1233" s="15" t="s">
        <v>25230</v>
      </c>
      <c r="C1233" s="15" t="s">
        <v>25231</v>
      </c>
      <c r="D1233" s="31">
        <v>41360</v>
      </c>
      <c r="E1233" s="15" t="s">
        <v>25231</v>
      </c>
      <c r="F1233" s="87" t="s">
        <v>23710</v>
      </c>
      <c r="G1233" s="45" t="s">
        <v>7957</v>
      </c>
      <c r="H1233" s="55" t="s">
        <v>7958</v>
      </c>
      <c r="I1233" s="15" t="s">
        <v>178</v>
      </c>
    </row>
    <row r="1234" spans="1:9" ht="51.75" customHeight="1" x14ac:dyDescent="0.35">
      <c r="A1234" s="15" t="s">
        <v>25229</v>
      </c>
      <c r="B1234" s="15" t="s">
        <v>25232</v>
      </c>
      <c r="C1234" s="15" t="s">
        <v>25231</v>
      </c>
      <c r="D1234" s="31">
        <v>41360</v>
      </c>
      <c r="E1234" s="15" t="s">
        <v>25233</v>
      </c>
      <c r="F1234" s="87" t="s">
        <v>21871</v>
      </c>
      <c r="G1234" s="45" t="s">
        <v>7957</v>
      </c>
      <c r="H1234" s="55" t="s">
        <v>7958</v>
      </c>
      <c r="I1234" s="15" t="s">
        <v>178</v>
      </c>
    </row>
    <row r="1235" spans="1:9" ht="51.75" customHeight="1" x14ac:dyDescent="0.35">
      <c r="A1235" s="15" t="s">
        <v>21879</v>
      </c>
      <c r="B1235" s="15" t="s">
        <v>25234</v>
      </c>
      <c r="C1235" s="15" t="s">
        <v>25235</v>
      </c>
      <c r="D1235" s="31">
        <v>41360</v>
      </c>
      <c r="E1235" s="15" t="s">
        <v>25236</v>
      </c>
      <c r="F1235" s="87" t="s">
        <v>23710</v>
      </c>
      <c r="G1235" s="45" t="s">
        <v>7957</v>
      </c>
      <c r="H1235" s="55" t="s">
        <v>7958</v>
      </c>
      <c r="I1235" s="15" t="s">
        <v>178</v>
      </c>
    </row>
    <row r="1236" spans="1:9" ht="51.75" customHeight="1" x14ac:dyDescent="0.35">
      <c r="A1236" s="15" t="s">
        <v>21879</v>
      </c>
      <c r="B1236" s="15" t="s">
        <v>25237</v>
      </c>
      <c r="C1236" s="15" t="s">
        <v>25235</v>
      </c>
      <c r="D1236" s="31">
        <v>41360</v>
      </c>
      <c r="E1236" s="15" t="s">
        <v>25238</v>
      </c>
      <c r="F1236" s="87" t="s">
        <v>21871</v>
      </c>
      <c r="G1236" s="45" t="s">
        <v>7957</v>
      </c>
      <c r="H1236" s="55" t="s">
        <v>7958</v>
      </c>
      <c r="I1236" s="15" t="s">
        <v>178</v>
      </c>
    </row>
    <row r="1237" spans="1:9" ht="51.75" customHeight="1" x14ac:dyDescent="0.35">
      <c r="A1237" s="15" t="s">
        <v>24521</v>
      </c>
      <c r="B1237" s="15" t="s">
        <v>25239</v>
      </c>
      <c r="C1237" s="15" t="s">
        <v>25240</v>
      </c>
      <c r="D1237" s="31">
        <v>41327</v>
      </c>
      <c r="E1237" s="15" t="s">
        <v>25241</v>
      </c>
      <c r="F1237" s="87" t="s">
        <v>23710</v>
      </c>
      <c r="G1237" s="45" t="s">
        <v>8194</v>
      </c>
      <c r="H1237" s="55" t="s">
        <v>8195</v>
      </c>
      <c r="I1237" s="15" t="s">
        <v>178</v>
      </c>
    </row>
    <row r="1238" spans="1:9" ht="51.75" customHeight="1" x14ac:dyDescent="0.35">
      <c r="A1238" s="15" t="s">
        <v>24521</v>
      </c>
      <c r="B1238" s="15" t="s">
        <v>25242</v>
      </c>
      <c r="C1238" s="15" t="s">
        <v>25240</v>
      </c>
      <c r="D1238" s="31">
        <v>41327</v>
      </c>
      <c r="E1238" s="15" t="s">
        <v>25243</v>
      </c>
      <c r="F1238" s="87" t="s">
        <v>21871</v>
      </c>
      <c r="G1238" s="45" t="s">
        <v>8194</v>
      </c>
      <c r="H1238" s="55" t="s">
        <v>8195</v>
      </c>
      <c r="I1238" s="15" t="s">
        <v>178</v>
      </c>
    </row>
    <row r="1239" spans="1:9" ht="51.75" customHeight="1" x14ac:dyDescent="0.35">
      <c r="A1239" s="15" t="s">
        <v>24526</v>
      </c>
      <c r="B1239" s="15" t="s">
        <v>25244</v>
      </c>
      <c r="C1239" s="15" t="s">
        <v>25245</v>
      </c>
      <c r="D1239" s="31">
        <v>41327</v>
      </c>
      <c r="E1239" s="15" t="s">
        <v>25246</v>
      </c>
      <c r="F1239" s="87" t="s">
        <v>23710</v>
      </c>
      <c r="G1239" s="45" t="s">
        <v>8194</v>
      </c>
      <c r="H1239" s="55" t="s">
        <v>8195</v>
      </c>
      <c r="I1239" s="15" t="s">
        <v>178</v>
      </c>
    </row>
    <row r="1240" spans="1:9" ht="51.75" customHeight="1" x14ac:dyDescent="0.35">
      <c r="A1240" s="15" t="s">
        <v>24526</v>
      </c>
      <c r="B1240" s="15" t="s">
        <v>25247</v>
      </c>
      <c r="C1240" s="15" t="s">
        <v>25245</v>
      </c>
      <c r="D1240" s="31">
        <v>41327</v>
      </c>
      <c r="E1240" s="15" t="s">
        <v>25248</v>
      </c>
      <c r="F1240" s="87" t="s">
        <v>21871</v>
      </c>
      <c r="G1240" s="45" t="s">
        <v>8194</v>
      </c>
      <c r="H1240" s="55" t="s">
        <v>8195</v>
      </c>
      <c r="I1240" s="15" t="s">
        <v>178</v>
      </c>
    </row>
    <row r="1241" spans="1:9" ht="51.75" customHeight="1" x14ac:dyDescent="0.35">
      <c r="A1241" s="15" t="s">
        <v>24530</v>
      </c>
      <c r="B1241" s="15" t="s">
        <v>25249</v>
      </c>
      <c r="C1241" s="15" t="s">
        <v>25250</v>
      </c>
      <c r="D1241" s="31">
        <v>41327</v>
      </c>
      <c r="E1241" s="15" t="s">
        <v>25251</v>
      </c>
      <c r="F1241" s="87" t="s">
        <v>23710</v>
      </c>
      <c r="G1241" s="45" t="s">
        <v>8194</v>
      </c>
      <c r="H1241" s="55" t="s">
        <v>8195</v>
      </c>
      <c r="I1241" s="15" t="s">
        <v>178</v>
      </c>
    </row>
    <row r="1242" spans="1:9" ht="51.75" customHeight="1" x14ac:dyDescent="0.35">
      <c r="A1242" s="15" t="s">
        <v>24530</v>
      </c>
      <c r="B1242" s="15" t="s">
        <v>25252</v>
      </c>
      <c r="C1242" s="15" t="s">
        <v>25250</v>
      </c>
      <c r="D1242" s="31">
        <v>41327</v>
      </c>
      <c r="E1242" s="15" t="s">
        <v>25253</v>
      </c>
      <c r="F1242" s="87" t="s">
        <v>21871</v>
      </c>
      <c r="G1242" s="45" t="s">
        <v>8194</v>
      </c>
      <c r="H1242" s="55" t="s">
        <v>8195</v>
      </c>
      <c r="I1242" s="15" t="s">
        <v>178</v>
      </c>
    </row>
    <row r="1243" spans="1:9" ht="51.75" customHeight="1" x14ac:dyDescent="0.35">
      <c r="A1243" s="15" t="s">
        <v>24209</v>
      </c>
      <c r="B1243" s="15" t="s">
        <v>25254</v>
      </c>
      <c r="C1243" s="15" t="s">
        <v>25255</v>
      </c>
      <c r="D1243" s="31">
        <v>41327</v>
      </c>
      <c r="E1243" s="15" t="s">
        <v>25256</v>
      </c>
      <c r="F1243" s="87" t="s">
        <v>23710</v>
      </c>
      <c r="G1243" s="45" t="s">
        <v>8194</v>
      </c>
      <c r="H1243" s="55" t="s">
        <v>8195</v>
      </c>
      <c r="I1243" s="15" t="s">
        <v>178</v>
      </c>
    </row>
    <row r="1244" spans="1:9" ht="51.75" customHeight="1" x14ac:dyDescent="0.35">
      <c r="A1244" s="15" t="s">
        <v>24209</v>
      </c>
      <c r="B1244" s="15" t="s">
        <v>25257</v>
      </c>
      <c r="C1244" s="15" t="s">
        <v>25255</v>
      </c>
      <c r="D1244" s="31">
        <v>41327</v>
      </c>
      <c r="E1244" s="15" t="s">
        <v>25258</v>
      </c>
      <c r="F1244" s="87" t="s">
        <v>21871</v>
      </c>
      <c r="G1244" s="45" t="s">
        <v>8194</v>
      </c>
      <c r="H1244" s="55" t="s">
        <v>8195</v>
      </c>
      <c r="I1244" s="15" t="s">
        <v>178</v>
      </c>
    </row>
    <row r="1245" spans="1:9" ht="51.75" customHeight="1" x14ac:dyDescent="0.35">
      <c r="A1245" s="15" t="s">
        <v>24587</v>
      </c>
      <c r="B1245" s="15" t="s">
        <v>25259</v>
      </c>
      <c r="C1245" s="15" t="s">
        <v>25260</v>
      </c>
      <c r="D1245" s="31">
        <v>41228</v>
      </c>
      <c r="E1245" s="15" t="s">
        <v>25261</v>
      </c>
      <c r="F1245" s="87" t="s">
        <v>23710</v>
      </c>
      <c r="G1245" s="45" t="s">
        <v>7459</v>
      </c>
      <c r="H1245" s="55" t="s">
        <v>7460</v>
      </c>
      <c r="I1245" s="15" t="s">
        <v>178</v>
      </c>
    </row>
    <row r="1246" spans="1:9" ht="51.75" customHeight="1" x14ac:dyDescent="0.35">
      <c r="A1246" s="15" t="s">
        <v>24587</v>
      </c>
      <c r="B1246" s="15" t="s">
        <v>25262</v>
      </c>
      <c r="C1246" s="15" t="s">
        <v>25260</v>
      </c>
      <c r="D1246" s="31">
        <v>41228</v>
      </c>
      <c r="E1246" s="15" t="s">
        <v>25263</v>
      </c>
      <c r="F1246" s="87" t="s">
        <v>21871</v>
      </c>
      <c r="G1246" s="45" t="s">
        <v>7459</v>
      </c>
      <c r="H1246" s="55" t="s">
        <v>7460</v>
      </c>
      <c r="I1246" s="15" t="s">
        <v>178</v>
      </c>
    </row>
    <row r="1247" spans="1:9" ht="51.75" customHeight="1" x14ac:dyDescent="0.35">
      <c r="A1247" s="15" t="s">
        <v>25264</v>
      </c>
      <c r="B1247" s="15" t="s">
        <v>25265</v>
      </c>
      <c r="C1247" s="15" t="s">
        <v>25266</v>
      </c>
      <c r="D1247" s="31">
        <v>41228</v>
      </c>
      <c r="E1247" s="15" t="s">
        <v>25267</v>
      </c>
      <c r="F1247" s="87" t="s">
        <v>23710</v>
      </c>
      <c r="G1247" s="45" t="s">
        <v>7459</v>
      </c>
      <c r="H1247" s="55" t="s">
        <v>7460</v>
      </c>
      <c r="I1247" s="15" t="s">
        <v>178</v>
      </c>
    </row>
    <row r="1248" spans="1:9" ht="51.75" customHeight="1" x14ac:dyDescent="0.35">
      <c r="A1248" s="15" t="s">
        <v>25264</v>
      </c>
      <c r="B1248" s="15" t="s">
        <v>25268</v>
      </c>
      <c r="C1248" s="15" t="s">
        <v>25266</v>
      </c>
      <c r="D1248" s="31">
        <v>41228</v>
      </c>
      <c r="E1248" s="15" t="s">
        <v>25269</v>
      </c>
      <c r="F1248" s="87" t="s">
        <v>21871</v>
      </c>
      <c r="G1248" s="45" t="s">
        <v>7459</v>
      </c>
      <c r="H1248" s="55" t="s">
        <v>7460</v>
      </c>
      <c r="I1248" s="15" t="s">
        <v>178</v>
      </c>
    </row>
    <row r="1249" spans="1:9" ht="51.75" customHeight="1" x14ac:dyDescent="0.35">
      <c r="A1249" s="15" t="s">
        <v>24509</v>
      </c>
      <c r="B1249" s="15" t="s">
        <v>25270</v>
      </c>
      <c r="C1249" s="15" t="s">
        <v>25271</v>
      </c>
      <c r="D1249" s="31">
        <v>41228</v>
      </c>
      <c r="E1249" s="15" t="s">
        <v>25272</v>
      </c>
      <c r="F1249" s="87" t="s">
        <v>23710</v>
      </c>
      <c r="G1249" s="45" t="s">
        <v>7459</v>
      </c>
      <c r="H1249" s="55" t="s">
        <v>7460</v>
      </c>
      <c r="I1249" s="15" t="s">
        <v>178</v>
      </c>
    </row>
    <row r="1250" spans="1:9" ht="51.75" customHeight="1" x14ac:dyDescent="0.35">
      <c r="A1250" s="15" t="s">
        <v>24509</v>
      </c>
      <c r="B1250" s="15" t="s">
        <v>25273</v>
      </c>
      <c r="C1250" s="15" t="s">
        <v>25271</v>
      </c>
      <c r="D1250" s="31">
        <v>41228</v>
      </c>
      <c r="E1250" s="15" t="s">
        <v>25274</v>
      </c>
      <c r="F1250" s="87" t="s">
        <v>21871</v>
      </c>
      <c r="G1250" s="45" t="s">
        <v>7459</v>
      </c>
      <c r="H1250" s="55" t="s">
        <v>7460</v>
      </c>
      <c r="I1250" s="15" t="s">
        <v>178</v>
      </c>
    </row>
    <row r="1251" spans="1:9" ht="51.75" customHeight="1" x14ac:dyDescent="0.35">
      <c r="A1251" s="15" t="s">
        <v>24515</v>
      </c>
      <c r="B1251" s="15" t="s">
        <v>25275</v>
      </c>
      <c r="C1251" s="15" t="s">
        <v>25276</v>
      </c>
      <c r="D1251" s="31">
        <v>41228</v>
      </c>
      <c r="E1251" s="15" t="s">
        <v>25277</v>
      </c>
      <c r="F1251" s="87" t="s">
        <v>23710</v>
      </c>
      <c r="G1251" s="45" t="s">
        <v>7459</v>
      </c>
      <c r="H1251" s="55" t="s">
        <v>7460</v>
      </c>
      <c r="I1251" s="15" t="s">
        <v>178</v>
      </c>
    </row>
    <row r="1252" spans="1:9" ht="51.75" customHeight="1" x14ac:dyDescent="0.35">
      <c r="A1252" s="15" t="s">
        <v>24515</v>
      </c>
      <c r="B1252" s="15" t="s">
        <v>25278</v>
      </c>
      <c r="C1252" s="15" t="s">
        <v>25276</v>
      </c>
      <c r="D1252" s="31">
        <v>41228</v>
      </c>
      <c r="E1252" s="15" t="s">
        <v>25279</v>
      </c>
      <c r="F1252" s="87" t="s">
        <v>21871</v>
      </c>
      <c r="G1252" s="45" t="s">
        <v>7459</v>
      </c>
      <c r="H1252" s="55" t="s">
        <v>7460</v>
      </c>
      <c r="I1252" s="15" t="s">
        <v>178</v>
      </c>
    </row>
    <row r="1253" spans="1:9" ht="51.75" customHeight="1" x14ac:dyDescent="0.35">
      <c r="A1253" s="15" t="s">
        <v>24541</v>
      </c>
      <c r="B1253" s="15" t="s">
        <v>25280</v>
      </c>
      <c r="C1253" s="15" t="s">
        <v>25281</v>
      </c>
      <c r="D1253" s="31">
        <v>41228</v>
      </c>
      <c r="E1253" s="15" t="s">
        <v>25282</v>
      </c>
      <c r="F1253" s="87" t="s">
        <v>23710</v>
      </c>
      <c r="G1253" s="45" t="s">
        <v>7459</v>
      </c>
      <c r="H1253" s="55" t="s">
        <v>7460</v>
      </c>
      <c r="I1253" s="15" t="s">
        <v>178</v>
      </c>
    </row>
    <row r="1254" spans="1:9" ht="51.75" customHeight="1" x14ac:dyDescent="0.35">
      <c r="A1254" s="15" t="s">
        <v>24541</v>
      </c>
      <c r="B1254" s="15" t="s">
        <v>25283</v>
      </c>
      <c r="C1254" s="15" t="s">
        <v>25281</v>
      </c>
      <c r="D1254" s="31">
        <v>41228</v>
      </c>
      <c r="E1254" s="15" t="s">
        <v>25284</v>
      </c>
      <c r="F1254" s="87" t="s">
        <v>21871</v>
      </c>
      <c r="G1254" s="45" t="s">
        <v>7459</v>
      </c>
      <c r="H1254" s="55" t="s">
        <v>7460</v>
      </c>
      <c r="I1254" s="15" t="s">
        <v>178</v>
      </c>
    </row>
    <row r="1255" spans="1:9" ht="51.75" customHeight="1" x14ac:dyDescent="0.35">
      <c r="A1255" s="15" t="s">
        <v>25285</v>
      </c>
      <c r="B1255" s="15" t="s">
        <v>25286</v>
      </c>
      <c r="C1255" s="15" t="s">
        <v>25287</v>
      </c>
      <c r="D1255" s="31">
        <v>42086</v>
      </c>
      <c r="E1255" s="15" t="s">
        <v>25288</v>
      </c>
      <c r="F1255" s="87" t="s">
        <v>23710</v>
      </c>
      <c r="G1255" s="45" t="s">
        <v>9622</v>
      </c>
      <c r="H1255" s="55" t="s">
        <v>9623</v>
      </c>
      <c r="I1255" s="15" t="s">
        <v>178</v>
      </c>
    </row>
    <row r="1256" spans="1:9" ht="51.75" customHeight="1" x14ac:dyDescent="0.35">
      <c r="A1256" s="15" t="s">
        <v>25285</v>
      </c>
      <c r="B1256" s="15" t="s">
        <v>25289</v>
      </c>
      <c r="C1256" s="15" t="s">
        <v>25287</v>
      </c>
      <c r="D1256" s="31">
        <v>42086</v>
      </c>
      <c r="E1256" s="15" t="s">
        <v>25290</v>
      </c>
      <c r="F1256" s="87" t="s">
        <v>21871</v>
      </c>
      <c r="G1256" s="45" t="s">
        <v>9622</v>
      </c>
      <c r="H1256" s="55" t="s">
        <v>9623</v>
      </c>
      <c r="I1256" s="15" t="s">
        <v>178</v>
      </c>
    </row>
    <row r="1257" spans="1:9" ht="51.75" customHeight="1" x14ac:dyDescent="0.35">
      <c r="A1257" s="15" t="s">
        <v>25291</v>
      </c>
      <c r="B1257" s="15" t="s">
        <v>25292</v>
      </c>
      <c r="C1257" s="15" t="s">
        <v>25293</v>
      </c>
      <c r="D1257" s="31">
        <v>42086</v>
      </c>
      <c r="E1257" s="15" t="s">
        <v>25294</v>
      </c>
      <c r="F1257" s="87" t="s">
        <v>23710</v>
      </c>
      <c r="G1257" s="45" t="s">
        <v>9622</v>
      </c>
      <c r="H1257" s="55" t="s">
        <v>9623</v>
      </c>
      <c r="I1257" s="15" t="s">
        <v>178</v>
      </c>
    </row>
    <row r="1258" spans="1:9" ht="51.75" customHeight="1" x14ac:dyDescent="0.35">
      <c r="A1258" s="15" t="s">
        <v>25291</v>
      </c>
      <c r="B1258" s="15" t="s">
        <v>25295</v>
      </c>
      <c r="C1258" s="15" t="s">
        <v>25293</v>
      </c>
      <c r="D1258" s="31">
        <v>42086</v>
      </c>
      <c r="E1258" s="15" t="s">
        <v>25296</v>
      </c>
      <c r="F1258" s="87" t="s">
        <v>21871</v>
      </c>
      <c r="G1258" s="45" t="s">
        <v>9622</v>
      </c>
      <c r="H1258" s="55" t="s">
        <v>9623</v>
      </c>
      <c r="I1258" s="15" t="s">
        <v>178</v>
      </c>
    </row>
    <row r="1259" spans="1:9" ht="51.75" customHeight="1" x14ac:dyDescent="0.35">
      <c r="A1259" s="15" t="s">
        <v>25297</v>
      </c>
      <c r="B1259" s="15" t="s">
        <v>25298</v>
      </c>
      <c r="C1259" s="15" t="s">
        <v>25299</v>
      </c>
      <c r="D1259" s="31">
        <v>42086</v>
      </c>
      <c r="E1259" s="15" t="s">
        <v>25300</v>
      </c>
      <c r="F1259" s="87" t="s">
        <v>23710</v>
      </c>
      <c r="G1259" s="45" t="s">
        <v>9622</v>
      </c>
      <c r="H1259" s="55" t="s">
        <v>9623</v>
      </c>
      <c r="I1259" s="15" t="s">
        <v>178</v>
      </c>
    </row>
    <row r="1260" spans="1:9" ht="51.75" customHeight="1" x14ac:dyDescent="0.35">
      <c r="A1260" s="15" t="s">
        <v>25297</v>
      </c>
      <c r="B1260" s="15" t="s">
        <v>25301</v>
      </c>
      <c r="C1260" s="15" t="s">
        <v>25299</v>
      </c>
      <c r="D1260" s="31">
        <v>42086</v>
      </c>
      <c r="E1260" s="15" t="s">
        <v>25302</v>
      </c>
      <c r="F1260" s="87" t="s">
        <v>21871</v>
      </c>
      <c r="G1260" s="45" t="s">
        <v>9622</v>
      </c>
      <c r="H1260" s="55" t="s">
        <v>9623</v>
      </c>
      <c r="I1260" s="15" t="s">
        <v>178</v>
      </c>
    </row>
    <row r="1261" spans="1:9" ht="51.75" customHeight="1" x14ac:dyDescent="0.35">
      <c r="A1261" s="15" t="s">
        <v>25303</v>
      </c>
      <c r="B1261" s="15" t="s">
        <v>25304</v>
      </c>
      <c r="C1261" s="15" t="s">
        <v>25305</v>
      </c>
      <c r="D1261" s="31">
        <v>42086</v>
      </c>
      <c r="E1261" s="15" t="s">
        <v>25306</v>
      </c>
      <c r="F1261" s="87" t="s">
        <v>23710</v>
      </c>
      <c r="G1261" s="45" t="s">
        <v>9622</v>
      </c>
      <c r="H1261" s="55" t="s">
        <v>9623</v>
      </c>
      <c r="I1261" s="15" t="s">
        <v>178</v>
      </c>
    </row>
    <row r="1262" spans="1:9" ht="51.75" customHeight="1" x14ac:dyDescent="0.35">
      <c r="A1262" s="15" t="s">
        <v>25303</v>
      </c>
      <c r="B1262" s="15" t="s">
        <v>25307</v>
      </c>
      <c r="C1262" s="15" t="s">
        <v>25305</v>
      </c>
      <c r="D1262" s="31">
        <v>42086</v>
      </c>
      <c r="E1262" s="15" t="s">
        <v>25308</v>
      </c>
      <c r="F1262" s="87" t="s">
        <v>21871</v>
      </c>
      <c r="G1262" s="45" t="s">
        <v>9622</v>
      </c>
      <c r="H1262" s="55" t="s">
        <v>9623</v>
      </c>
      <c r="I1262" s="15" t="s">
        <v>178</v>
      </c>
    </row>
    <row r="1263" spans="1:9" ht="51.75" customHeight="1" x14ac:dyDescent="0.35">
      <c r="A1263" s="15" t="s">
        <v>21894</v>
      </c>
      <c r="B1263" s="15" t="s">
        <v>25309</v>
      </c>
      <c r="C1263" s="15" t="s">
        <v>25310</v>
      </c>
      <c r="D1263" s="31">
        <v>41655</v>
      </c>
      <c r="E1263" s="15" t="s">
        <v>25311</v>
      </c>
      <c r="F1263" s="87" t="s">
        <v>23710</v>
      </c>
      <c r="G1263" s="45" t="s">
        <v>8983</v>
      </c>
      <c r="H1263" s="55" t="s">
        <v>8984</v>
      </c>
      <c r="I1263" s="15" t="s">
        <v>178</v>
      </c>
    </row>
    <row r="1264" spans="1:9" ht="51.75" customHeight="1" x14ac:dyDescent="0.35">
      <c r="A1264" s="15" t="s">
        <v>21894</v>
      </c>
      <c r="B1264" s="15" t="s">
        <v>25312</v>
      </c>
      <c r="C1264" s="15" t="s">
        <v>25310</v>
      </c>
      <c r="D1264" s="31">
        <v>41655</v>
      </c>
      <c r="E1264" s="15" t="s">
        <v>25313</v>
      </c>
      <c r="F1264" s="87" t="s">
        <v>21871</v>
      </c>
      <c r="G1264" s="45" t="s">
        <v>8983</v>
      </c>
      <c r="H1264" s="55" t="s">
        <v>8984</v>
      </c>
      <c r="I1264" s="15" t="s">
        <v>178</v>
      </c>
    </row>
    <row r="1265" spans="1:9" ht="51.75" customHeight="1" x14ac:dyDescent="0.35">
      <c r="A1265" s="15" t="s">
        <v>25314</v>
      </c>
      <c r="B1265" s="15" t="s">
        <v>25315</v>
      </c>
      <c r="C1265" s="15" t="s">
        <v>25316</v>
      </c>
      <c r="D1265" s="31">
        <v>41655</v>
      </c>
      <c r="E1265" s="15" t="s">
        <v>25317</v>
      </c>
      <c r="F1265" s="87" t="s">
        <v>23710</v>
      </c>
      <c r="G1265" s="45" t="s">
        <v>8983</v>
      </c>
      <c r="H1265" s="55" t="s">
        <v>8984</v>
      </c>
      <c r="I1265" s="15" t="s">
        <v>178</v>
      </c>
    </row>
    <row r="1266" spans="1:9" ht="51.75" customHeight="1" x14ac:dyDescent="0.35">
      <c r="A1266" s="15" t="s">
        <v>25314</v>
      </c>
      <c r="B1266" s="15" t="s">
        <v>25318</v>
      </c>
      <c r="C1266" s="15" t="s">
        <v>25316</v>
      </c>
      <c r="D1266" s="31">
        <v>41655</v>
      </c>
      <c r="E1266" s="15" t="s">
        <v>25319</v>
      </c>
      <c r="F1266" s="87" t="s">
        <v>21871</v>
      </c>
      <c r="G1266" s="45" t="s">
        <v>8983</v>
      </c>
      <c r="H1266" s="55" t="s">
        <v>8984</v>
      </c>
      <c r="I1266" s="15" t="s">
        <v>178</v>
      </c>
    </row>
    <row r="1267" spans="1:9" ht="51.75" customHeight="1" x14ac:dyDescent="0.35">
      <c r="A1267" s="15" t="s">
        <v>25320</v>
      </c>
      <c r="B1267" s="15" t="s">
        <v>25321</v>
      </c>
      <c r="C1267" s="15" t="s">
        <v>24838</v>
      </c>
      <c r="D1267" s="31">
        <v>41655</v>
      </c>
      <c r="E1267" s="15" t="s">
        <v>25322</v>
      </c>
      <c r="F1267" s="87" t="s">
        <v>23710</v>
      </c>
      <c r="G1267" s="45" t="s">
        <v>8983</v>
      </c>
      <c r="H1267" s="55" t="s">
        <v>8984</v>
      </c>
      <c r="I1267" s="15" t="s">
        <v>178</v>
      </c>
    </row>
    <row r="1268" spans="1:9" ht="51.75" customHeight="1" x14ac:dyDescent="0.35">
      <c r="A1268" s="15" t="s">
        <v>25320</v>
      </c>
      <c r="B1268" s="15" t="s">
        <v>25323</v>
      </c>
      <c r="C1268" s="15" t="s">
        <v>24838</v>
      </c>
      <c r="D1268" s="31">
        <v>41655</v>
      </c>
      <c r="E1268" s="15" t="s">
        <v>25324</v>
      </c>
      <c r="F1268" s="87" t="s">
        <v>21871</v>
      </c>
      <c r="G1268" s="45" t="s">
        <v>8983</v>
      </c>
      <c r="H1268" s="55" t="s">
        <v>8984</v>
      </c>
      <c r="I1268" s="15" t="s">
        <v>178</v>
      </c>
    </row>
    <row r="1269" spans="1:9" ht="51.75" customHeight="1" x14ac:dyDescent="0.35">
      <c r="A1269" s="15" t="s">
        <v>25325</v>
      </c>
      <c r="B1269" s="15" t="s">
        <v>25326</v>
      </c>
      <c r="C1269" s="15" t="s">
        <v>25327</v>
      </c>
      <c r="D1269" s="31">
        <v>41655</v>
      </c>
      <c r="E1269" s="15" t="s">
        <v>25328</v>
      </c>
      <c r="F1269" s="87" t="s">
        <v>23710</v>
      </c>
      <c r="G1269" s="45" t="s">
        <v>8983</v>
      </c>
      <c r="H1269" s="55" t="s">
        <v>8984</v>
      </c>
      <c r="I1269" s="15" t="s">
        <v>178</v>
      </c>
    </row>
    <row r="1270" spans="1:9" ht="51.75" customHeight="1" x14ac:dyDescent="0.35">
      <c r="A1270" s="15" t="s">
        <v>25325</v>
      </c>
      <c r="B1270" s="15" t="s">
        <v>25329</v>
      </c>
      <c r="C1270" s="15" t="s">
        <v>25327</v>
      </c>
      <c r="D1270" s="31">
        <v>41655</v>
      </c>
      <c r="E1270" s="15" t="s">
        <v>25330</v>
      </c>
      <c r="F1270" s="87" t="s">
        <v>21871</v>
      </c>
      <c r="G1270" s="45" t="s">
        <v>8983</v>
      </c>
      <c r="H1270" s="55" t="s">
        <v>8984</v>
      </c>
      <c r="I1270" s="15" t="s">
        <v>178</v>
      </c>
    </row>
    <row r="1271" spans="1:9" ht="51.75" customHeight="1" x14ac:dyDescent="0.35">
      <c r="A1271" s="15" t="s">
        <v>25331</v>
      </c>
      <c r="B1271" s="15" t="s">
        <v>25332</v>
      </c>
      <c r="C1271" s="15" t="s">
        <v>25333</v>
      </c>
      <c r="D1271" s="31">
        <v>41655</v>
      </c>
      <c r="E1271" s="15" t="s">
        <v>25334</v>
      </c>
      <c r="F1271" s="87" t="s">
        <v>23710</v>
      </c>
      <c r="G1271" s="45" t="s">
        <v>8983</v>
      </c>
      <c r="H1271" s="55" t="s">
        <v>8984</v>
      </c>
      <c r="I1271" s="15" t="s">
        <v>178</v>
      </c>
    </row>
    <row r="1272" spans="1:9" ht="51.75" customHeight="1" x14ac:dyDescent="0.35">
      <c r="A1272" s="15" t="s">
        <v>25331</v>
      </c>
      <c r="B1272" s="15" t="s">
        <v>25335</v>
      </c>
      <c r="C1272" s="15" t="s">
        <v>25333</v>
      </c>
      <c r="D1272" s="31">
        <v>41655</v>
      </c>
      <c r="E1272" s="15" t="s">
        <v>25336</v>
      </c>
      <c r="F1272" s="87" t="s">
        <v>21871</v>
      </c>
      <c r="G1272" s="45" t="s">
        <v>8983</v>
      </c>
      <c r="H1272" s="55" t="s">
        <v>8984</v>
      </c>
      <c r="I1272" s="15" t="s">
        <v>178</v>
      </c>
    </row>
    <row r="1273" spans="1:9" ht="51.75" customHeight="1" x14ac:dyDescent="0.35">
      <c r="A1273" s="15" t="s">
        <v>25337</v>
      </c>
      <c r="B1273" s="15" t="s">
        <v>25338</v>
      </c>
      <c r="C1273" s="15" t="s">
        <v>25339</v>
      </c>
      <c r="D1273" s="31">
        <v>41655</v>
      </c>
      <c r="E1273" s="15" t="s">
        <v>25340</v>
      </c>
      <c r="F1273" s="87" t="s">
        <v>23710</v>
      </c>
      <c r="G1273" s="45" t="s">
        <v>8983</v>
      </c>
      <c r="H1273" s="55" t="s">
        <v>8984</v>
      </c>
      <c r="I1273" s="15" t="s">
        <v>178</v>
      </c>
    </row>
    <row r="1274" spans="1:9" ht="51.75" customHeight="1" x14ac:dyDescent="0.35">
      <c r="A1274" s="15" t="s">
        <v>25337</v>
      </c>
      <c r="B1274" s="15" t="s">
        <v>25341</v>
      </c>
      <c r="C1274" s="15" t="s">
        <v>25339</v>
      </c>
      <c r="D1274" s="31">
        <v>41655</v>
      </c>
      <c r="E1274" s="15" t="s">
        <v>25342</v>
      </c>
      <c r="F1274" s="87" t="s">
        <v>21871</v>
      </c>
      <c r="G1274" s="45" t="s">
        <v>8983</v>
      </c>
      <c r="H1274" s="55" t="s">
        <v>8984</v>
      </c>
      <c r="I1274" s="15" t="s">
        <v>178</v>
      </c>
    </row>
    <row r="1275" spans="1:9" ht="51.75" customHeight="1" x14ac:dyDescent="0.35">
      <c r="A1275" s="15" t="s">
        <v>25343</v>
      </c>
      <c r="B1275" s="15" t="s">
        <v>25344</v>
      </c>
      <c r="C1275" s="15" t="s">
        <v>25345</v>
      </c>
      <c r="D1275" s="31">
        <v>41655</v>
      </c>
      <c r="E1275" s="15" t="s">
        <v>25346</v>
      </c>
      <c r="F1275" s="87" t="s">
        <v>23710</v>
      </c>
      <c r="G1275" s="45" t="s">
        <v>8983</v>
      </c>
      <c r="H1275" s="55" t="s">
        <v>8984</v>
      </c>
      <c r="I1275" s="15" t="s">
        <v>178</v>
      </c>
    </row>
    <row r="1276" spans="1:9" ht="51.75" customHeight="1" x14ac:dyDescent="0.35">
      <c r="A1276" s="15" t="s">
        <v>25343</v>
      </c>
      <c r="B1276" s="15" t="s">
        <v>25347</v>
      </c>
      <c r="C1276" s="15" t="s">
        <v>25345</v>
      </c>
      <c r="D1276" s="31">
        <v>41655</v>
      </c>
      <c r="E1276" s="15" t="s">
        <v>25348</v>
      </c>
      <c r="F1276" s="87" t="s">
        <v>21871</v>
      </c>
      <c r="G1276" s="45" t="s">
        <v>8983</v>
      </c>
      <c r="H1276" s="55" t="s">
        <v>8984</v>
      </c>
      <c r="I1276" s="15" t="s">
        <v>178</v>
      </c>
    </row>
    <row r="1277" spans="1:9" ht="51.75" customHeight="1" x14ac:dyDescent="0.35">
      <c r="A1277" s="15" t="s">
        <v>25349</v>
      </c>
      <c r="B1277" s="15" t="s">
        <v>25350</v>
      </c>
      <c r="C1277" s="15" t="s">
        <v>25351</v>
      </c>
      <c r="D1277" s="31">
        <v>41655</v>
      </c>
      <c r="E1277" s="15" t="s">
        <v>25352</v>
      </c>
      <c r="F1277" s="87" t="s">
        <v>23710</v>
      </c>
      <c r="G1277" s="45" t="s">
        <v>8983</v>
      </c>
      <c r="H1277" s="55" t="s">
        <v>8984</v>
      </c>
      <c r="I1277" s="15" t="s">
        <v>178</v>
      </c>
    </row>
    <row r="1278" spans="1:9" ht="51.75" customHeight="1" x14ac:dyDescent="0.35">
      <c r="A1278" s="15" t="s">
        <v>25349</v>
      </c>
      <c r="B1278" s="15" t="s">
        <v>25353</v>
      </c>
      <c r="C1278" s="15" t="s">
        <v>25351</v>
      </c>
      <c r="D1278" s="31">
        <v>41655</v>
      </c>
      <c r="E1278" s="15" t="s">
        <v>25354</v>
      </c>
      <c r="F1278" s="87" t="s">
        <v>21871</v>
      </c>
      <c r="G1278" s="45" t="s">
        <v>8983</v>
      </c>
      <c r="H1278" s="55" t="s">
        <v>8984</v>
      </c>
      <c r="I1278" s="15" t="s">
        <v>178</v>
      </c>
    </row>
    <row r="1279" spans="1:9" ht="51.75" customHeight="1" x14ac:dyDescent="0.35">
      <c r="A1279" s="15" t="s">
        <v>23581</v>
      </c>
      <c r="B1279" s="15" t="s">
        <v>25355</v>
      </c>
      <c r="C1279" s="15" t="s">
        <v>25356</v>
      </c>
      <c r="D1279" s="31">
        <v>41655</v>
      </c>
      <c r="E1279" s="15" t="s">
        <v>25357</v>
      </c>
      <c r="F1279" s="87" t="s">
        <v>23710</v>
      </c>
      <c r="G1279" s="45" t="s">
        <v>8983</v>
      </c>
      <c r="H1279" s="55" t="s">
        <v>8984</v>
      </c>
      <c r="I1279" s="15" t="s">
        <v>178</v>
      </c>
    </row>
    <row r="1280" spans="1:9" ht="51.75" customHeight="1" x14ac:dyDescent="0.35">
      <c r="A1280" s="15" t="s">
        <v>23581</v>
      </c>
      <c r="B1280" s="15" t="s">
        <v>25358</v>
      </c>
      <c r="C1280" s="15" t="s">
        <v>25356</v>
      </c>
      <c r="D1280" s="31">
        <v>41655</v>
      </c>
      <c r="E1280" s="15" t="s">
        <v>25359</v>
      </c>
      <c r="F1280" s="87" t="s">
        <v>21871</v>
      </c>
      <c r="G1280" s="45" t="s">
        <v>8983</v>
      </c>
      <c r="H1280" s="55" t="s">
        <v>8984</v>
      </c>
      <c r="I1280" s="15" t="s">
        <v>178</v>
      </c>
    </row>
    <row r="1281" spans="1:9" ht="51.75" customHeight="1" x14ac:dyDescent="0.35">
      <c r="A1281" s="15" t="s">
        <v>23584</v>
      </c>
      <c r="B1281" s="15" t="s">
        <v>25360</v>
      </c>
      <c r="C1281" s="15" t="s">
        <v>25361</v>
      </c>
      <c r="D1281" s="31">
        <v>41655</v>
      </c>
      <c r="E1281" s="15" t="s">
        <v>25362</v>
      </c>
      <c r="F1281" s="87" t="s">
        <v>23710</v>
      </c>
      <c r="G1281" s="45" t="s">
        <v>8983</v>
      </c>
      <c r="H1281" s="55" t="s">
        <v>8984</v>
      </c>
      <c r="I1281" s="15" t="s">
        <v>178</v>
      </c>
    </row>
    <row r="1282" spans="1:9" ht="51.75" customHeight="1" x14ac:dyDescent="0.35">
      <c r="A1282" s="15" t="s">
        <v>23584</v>
      </c>
      <c r="B1282" s="15" t="s">
        <v>25363</v>
      </c>
      <c r="C1282" s="15" t="s">
        <v>25361</v>
      </c>
      <c r="D1282" s="31">
        <v>41655</v>
      </c>
      <c r="E1282" s="15" t="s">
        <v>25364</v>
      </c>
      <c r="F1282" s="87" t="s">
        <v>21871</v>
      </c>
      <c r="G1282" s="45" t="s">
        <v>8983</v>
      </c>
      <c r="H1282" s="55" t="s">
        <v>8984</v>
      </c>
      <c r="I1282" s="15" t="s">
        <v>178</v>
      </c>
    </row>
    <row r="1283" spans="1:9" ht="51.75" customHeight="1" x14ac:dyDescent="0.35">
      <c r="A1283" s="15" t="s">
        <v>25365</v>
      </c>
      <c r="B1283" s="15" t="s">
        <v>25366</v>
      </c>
      <c r="C1283" s="15" t="s">
        <v>25367</v>
      </c>
      <c r="D1283" s="31">
        <v>41655</v>
      </c>
      <c r="E1283" s="15" t="s">
        <v>25368</v>
      </c>
      <c r="F1283" s="87" t="s">
        <v>23710</v>
      </c>
      <c r="G1283" s="45" t="s">
        <v>8983</v>
      </c>
      <c r="H1283" s="55" t="s">
        <v>8984</v>
      </c>
      <c r="I1283" s="15" t="s">
        <v>178</v>
      </c>
    </row>
    <row r="1284" spans="1:9" ht="51.75" customHeight="1" x14ac:dyDescent="0.35">
      <c r="A1284" s="15" t="s">
        <v>25365</v>
      </c>
      <c r="B1284" s="15" t="s">
        <v>25369</v>
      </c>
      <c r="C1284" s="15" t="s">
        <v>25367</v>
      </c>
      <c r="D1284" s="31">
        <v>41655</v>
      </c>
      <c r="E1284" s="15" t="s">
        <v>25370</v>
      </c>
      <c r="F1284" s="87" t="s">
        <v>21871</v>
      </c>
      <c r="G1284" s="45" t="s">
        <v>8983</v>
      </c>
      <c r="H1284" s="55" t="s">
        <v>8984</v>
      </c>
      <c r="I1284" s="15" t="s">
        <v>178</v>
      </c>
    </row>
    <row r="1285" spans="1:9" ht="51.75" customHeight="1" x14ac:dyDescent="0.35">
      <c r="A1285" s="15" t="s">
        <v>25371</v>
      </c>
      <c r="B1285" s="15" t="s">
        <v>25372</v>
      </c>
      <c r="C1285" s="15" t="s">
        <v>25373</v>
      </c>
      <c r="D1285" s="31">
        <v>41655</v>
      </c>
      <c r="E1285" s="15" t="s">
        <v>25374</v>
      </c>
      <c r="F1285" s="87" t="s">
        <v>23710</v>
      </c>
      <c r="G1285" s="45" t="s">
        <v>8983</v>
      </c>
      <c r="H1285" s="55" t="s">
        <v>8984</v>
      </c>
      <c r="I1285" s="15" t="s">
        <v>178</v>
      </c>
    </row>
    <row r="1286" spans="1:9" ht="51.75" customHeight="1" x14ac:dyDescent="0.35">
      <c r="A1286" s="15" t="s">
        <v>25371</v>
      </c>
      <c r="B1286" s="15" t="s">
        <v>25375</v>
      </c>
      <c r="C1286" s="15" t="s">
        <v>25373</v>
      </c>
      <c r="D1286" s="31">
        <v>41655</v>
      </c>
      <c r="E1286" s="15" t="s">
        <v>25376</v>
      </c>
      <c r="F1286" s="87" t="s">
        <v>21871</v>
      </c>
      <c r="G1286" s="45" t="s">
        <v>8983</v>
      </c>
      <c r="H1286" s="55" t="s">
        <v>8984</v>
      </c>
      <c r="I1286" s="15" t="s">
        <v>178</v>
      </c>
    </row>
    <row r="1287" spans="1:9" ht="51.75" customHeight="1" x14ac:dyDescent="0.35">
      <c r="A1287" s="15" t="s">
        <v>25377</v>
      </c>
      <c r="B1287" s="15" t="s">
        <v>25378</v>
      </c>
      <c r="C1287" s="15" t="s">
        <v>25379</v>
      </c>
      <c r="D1287" s="31">
        <v>41610</v>
      </c>
      <c r="E1287" s="15" t="s">
        <v>25379</v>
      </c>
      <c r="F1287" s="87" t="s">
        <v>23710</v>
      </c>
      <c r="G1287" s="45" t="s">
        <v>8917</v>
      </c>
      <c r="H1287" s="55" t="s">
        <v>8918</v>
      </c>
      <c r="I1287" s="15" t="s">
        <v>178</v>
      </c>
    </row>
    <row r="1288" spans="1:9" ht="51.75" customHeight="1" x14ac:dyDescent="0.35">
      <c r="A1288" s="15" t="s">
        <v>25380</v>
      </c>
      <c r="B1288" s="15" t="s">
        <v>25381</v>
      </c>
      <c r="C1288" s="15" t="s">
        <v>25382</v>
      </c>
      <c r="D1288" s="31">
        <v>41610</v>
      </c>
      <c r="E1288" s="15" t="s">
        <v>25383</v>
      </c>
      <c r="F1288" s="87" t="s">
        <v>23710</v>
      </c>
      <c r="G1288" s="45" t="s">
        <v>8917</v>
      </c>
      <c r="H1288" s="55" t="s">
        <v>8918</v>
      </c>
      <c r="I1288" s="15" t="s">
        <v>178</v>
      </c>
    </row>
    <row r="1289" spans="1:9" ht="51.75" customHeight="1" x14ac:dyDescent="0.35">
      <c r="A1289" s="15" t="s">
        <v>24323</v>
      </c>
      <c r="B1289" s="15" t="s">
        <v>25384</v>
      </c>
      <c r="C1289" s="15" t="s">
        <v>25385</v>
      </c>
      <c r="D1289" s="31">
        <v>41610</v>
      </c>
      <c r="E1289" s="15" t="s">
        <v>25386</v>
      </c>
      <c r="F1289" s="87" t="s">
        <v>23710</v>
      </c>
      <c r="G1289" s="45" t="s">
        <v>8917</v>
      </c>
      <c r="H1289" s="55" t="s">
        <v>8918</v>
      </c>
      <c r="I1289" s="15" t="s">
        <v>178</v>
      </c>
    </row>
    <row r="1290" spans="1:9" ht="51.75" customHeight="1" x14ac:dyDescent="0.35">
      <c r="A1290" s="15" t="s">
        <v>23587</v>
      </c>
      <c r="B1290" s="15" t="s">
        <v>25387</v>
      </c>
      <c r="C1290" s="15" t="s">
        <v>25388</v>
      </c>
      <c r="D1290" s="31">
        <v>41610</v>
      </c>
      <c r="E1290" s="15" t="s">
        <v>25389</v>
      </c>
      <c r="F1290" s="87" t="s">
        <v>23710</v>
      </c>
      <c r="G1290" s="45" t="s">
        <v>8266</v>
      </c>
      <c r="H1290" s="55" t="s">
        <v>8267</v>
      </c>
      <c r="I1290" s="15" t="s">
        <v>178</v>
      </c>
    </row>
    <row r="1291" spans="1:9" ht="51.75" customHeight="1" x14ac:dyDescent="0.35">
      <c r="A1291" s="15" t="s">
        <v>25390</v>
      </c>
      <c r="B1291" s="15" t="s">
        <v>25391</v>
      </c>
      <c r="C1291" s="15" t="s">
        <v>25392</v>
      </c>
      <c r="D1291" s="31">
        <v>41610</v>
      </c>
      <c r="E1291" s="15" t="s">
        <v>25393</v>
      </c>
      <c r="F1291" s="87" t="s">
        <v>23710</v>
      </c>
      <c r="G1291" s="45" t="s">
        <v>8266</v>
      </c>
      <c r="H1291" s="55" t="s">
        <v>8267</v>
      </c>
      <c r="I1291" s="15" t="s">
        <v>178</v>
      </c>
    </row>
    <row r="1292" spans="1:9" ht="51.75" customHeight="1" x14ac:dyDescent="0.35">
      <c r="A1292" s="15" t="s">
        <v>22770</v>
      </c>
      <c r="B1292" s="15" t="s">
        <v>25394</v>
      </c>
      <c r="C1292" s="15" t="s">
        <v>25395</v>
      </c>
      <c r="D1292" s="31">
        <v>41859</v>
      </c>
      <c r="E1292" s="15" t="s">
        <v>25396</v>
      </c>
      <c r="F1292" s="87" t="s">
        <v>23710</v>
      </c>
      <c r="G1292" s="45" t="s">
        <v>8470</v>
      </c>
      <c r="H1292" s="55" t="s">
        <v>8471</v>
      </c>
      <c r="I1292" s="15" t="s">
        <v>178</v>
      </c>
    </row>
    <row r="1293" spans="1:9" ht="51.75" customHeight="1" x14ac:dyDescent="0.35">
      <c r="A1293" s="15" t="s">
        <v>22770</v>
      </c>
      <c r="B1293" s="15" t="s">
        <v>25397</v>
      </c>
      <c r="C1293" s="15" t="s">
        <v>25395</v>
      </c>
      <c r="D1293" s="31">
        <v>41859</v>
      </c>
      <c r="E1293" s="15" t="s">
        <v>25398</v>
      </c>
      <c r="F1293" s="87" t="s">
        <v>21871</v>
      </c>
      <c r="G1293" s="45" t="s">
        <v>8470</v>
      </c>
      <c r="H1293" s="55" t="s">
        <v>8471</v>
      </c>
      <c r="I1293" s="15" t="s">
        <v>178</v>
      </c>
    </row>
    <row r="1294" spans="1:9" ht="51.75" customHeight="1" x14ac:dyDescent="0.35">
      <c r="A1294" s="15" t="s">
        <v>22774</v>
      </c>
      <c r="B1294" s="15" t="s">
        <v>25399</v>
      </c>
      <c r="C1294" s="15" t="s">
        <v>25400</v>
      </c>
      <c r="D1294" s="31">
        <v>41859</v>
      </c>
      <c r="E1294" s="15" t="s">
        <v>25401</v>
      </c>
      <c r="F1294" s="87" t="s">
        <v>23710</v>
      </c>
      <c r="G1294" s="45" t="s">
        <v>8470</v>
      </c>
      <c r="H1294" s="55" t="s">
        <v>8471</v>
      </c>
      <c r="I1294" s="15" t="s">
        <v>178</v>
      </c>
    </row>
    <row r="1295" spans="1:9" ht="51.75" customHeight="1" x14ac:dyDescent="0.35">
      <c r="A1295" s="15" t="s">
        <v>22774</v>
      </c>
      <c r="B1295" s="15" t="s">
        <v>25402</v>
      </c>
      <c r="C1295" s="15" t="s">
        <v>25400</v>
      </c>
      <c r="D1295" s="31">
        <v>41859</v>
      </c>
      <c r="E1295" s="15" t="s">
        <v>25403</v>
      </c>
      <c r="F1295" s="87" t="s">
        <v>21871</v>
      </c>
      <c r="G1295" s="45" t="s">
        <v>8470</v>
      </c>
      <c r="H1295" s="55" t="s">
        <v>8471</v>
      </c>
      <c r="I1295" s="15" t="s">
        <v>178</v>
      </c>
    </row>
    <row r="1296" spans="1:9" ht="51.75" customHeight="1" x14ac:dyDescent="0.35">
      <c r="A1296" s="15" t="s">
        <v>25404</v>
      </c>
      <c r="B1296" s="15" t="s">
        <v>25405</v>
      </c>
      <c r="C1296" s="15" t="s">
        <v>25406</v>
      </c>
      <c r="D1296" s="31">
        <v>41859</v>
      </c>
      <c r="E1296" s="15" t="s">
        <v>25407</v>
      </c>
      <c r="F1296" s="87" t="s">
        <v>23710</v>
      </c>
      <c r="G1296" s="45" t="s">
        <v>8470</v>
      </c>
      <c r="H1296" s="55" t="s">
        <v>8471</v>
      </c>
      <c r="I1296" s="15" t="s">
        <v>178</v>
      </c>
    </row>
    <row r="1297" spans="1:9" ht="51.75" customHeight="1" x14ac:dyDescent="0.35">
      <c r="A1297" s="15" t="s">
        <v>25404</v>
      </c>
      <c r="B1297" s="15" t="s">
        <v>25408</v>
      </c>
      <c r="C1297" s="15" t="s">
        <v>25406</v>
      </c>
      <c r="D1297" s="31">
        <v>41859</v>
      </c>
      <c r="E1297" s="15" t="s">
        <v>25409</v>
      </c>
      <c r="F1297" s="87" t="s">
        <v>21871</v>
      </c>
      <c r="G1297" s="45" t="s">
        <v>8470</v>
      </c>
      <c r="H1297" s="55" t="s">
        <v>8471</v>
      </c>
      <c r="I1297" s="15" t="s">
        <v>178</v>
      </c>
    </row>
    <row r="1298" spans="1:9" ht="51.75" customHeight="1" x14ac:dyDescent="0.35">
      <c r="A1298" s="15" t="s">
        <v>25410</v>
      </c>
      <c r="B1298" s="15" t="s">
        <v>25411</v>
      </c>
      <c r="C1298" s="15" t="s">
        <v>25406</v>
      </c>
      <c r="D1298" s="31">
        <v>41859</v>
      </c>
      <c r="E1298" s="15" t="s">
        <v>25407</v>
      </c>
      <c r="F1298" s="87" t="s">
        <v>23710</v>
      </c>
      <c r="G1298" s="45" t="s">
        <v>8470</v>
      </c>
      <c r="H1298" s="55" t="s">
        <v>8471</v>
      </c>
      <c r="I1298" s="15" t="s">
        <v>178</v>
      </c>
    </row>
    <row r="1299" spans="1:9" ht="51.75" customHeight="1" x14ac:dyDescent="0.35">
      <c r="A1299" s="15" t="s">
        <v>25410</v>
      </c>
      <c r="B1299" s="15" t="s">
        <v>25412</v>
      </c>
      <c r="C1299" s="15" t="s">
        <v>25406</v>
      </c>
      <c r="D1299" s="31">
        <v>41859</v>
      </c>
      <c r="E1299" s="15" t="s">
        <v>25409</v>
      </c>
      <c r="F1299" s="87" t="s">
        <v>21871</v>
      </c>
      <c r="G1299" s="45" t="s">
        <v>8470</v>
      </c>
      <c r="H1299" s="55" t="s">
        <v>8471</v>
      </c>
      <c r="I1299" s="15" t="s">
        <v>178</v>
      </c>
    </row>
    <row r="1300" spans="1:9" ht="51.75" customHeight="1" x14ac:dyDescent="0.35">
      <c r="A1300" s="15" t="s">
        <v>25413</v>
      </c>
      <c r="B1300" s="15" t="s">
        <v>25414</v>
      </c>
      <c r="C1300" s="15" t="s">
        <v>25415</v>
      </c>
      <c r="D1300" s="31">
        <v>41859</v>
      </c>
      <c r="E1300" s="15" t="s">
        <v>25416</v>
      </c>
      <c r="F1300" s="87" t="s">
        <v>23710</v>
      </c>
      <c r="G1300" s="45" t="s">
        <v>8470</v>
      </c>
      <c r="H1300" s="55" t="s">
        <v>8471</v>
      </c>
      <c r="I1300" s="15" t="s">
        <v>178</v>
      </c>
    </row>
    <row r="1301" spans="1:9" ht="51.75" customHeight="1" x14ac:dyDescent="0.35">
      <c r="A1301" s="15" t="s">
        <v>25413</v>
      </c>
      <c r="B1301" s="15" t="s">
        <v>25417</v>
      </c>
      <c r="C1301" s="15" t="s">
        <v>25415</v>
      </c>
      <c r="D1301" s="31">
        <v>41859</v>
      </c>
      <c r="E1301" s="15" t="s">
        <v>25418</v>
      </c>
      <c r="F1301" s="87" t="s">
        <v>21871</v>
      </c>
      <c r="G1301" s="45" t="s">
        <v>8470</v>
      </c>
      <c r="H1301" s="55" t="s">
        <v>8471</v>
      </c>
      <c r="I1301" s="15" t="s">
        <v>178</v>
      </c>
    </row>
    <row r="1302" spans="1:9" ht="51.75" customHeight="1" x14ac:dyDescent="0.35">
      <c r="A1302" s="15" t="s">
        <v>22231</v>
      </c>
      <c r="B1302" s="15" t="s">
        <v>25419</v>
      </c>
      <c r="C1302" s="15" t="s">
        <v>25420</v>
      </c>
      <c r="D1302" s="31">
        <v>41859</v>
      </c>
      <c r="E1302" s="15" t="s">
        <v>25421</v>
      </c>
      <c r="F1302" s="87" t="s">
        <v>23710</v>
      </c>
      <c r="G1302" s="45" t="s">
        <v>8470</v>
      </c>
      <c r="H1302" s="55" t="s">
        <v>8471</v>
      </c>
      <c r="I1302" s="15" t="s">
        <v>178</v>
      </c>
    </row>
    <row r="1303" spans="1:9" ht="51.75" customHeight="1" x14ac:dyDescent="0.35">
      <c r="A1303" s="15" t="s">
        <v>22231</v>
      </c>
      <c r="B1303" s="15" t="s">
        <v>25422</v>
      </c>
      <c r="C1303" s="15" t="s">
        <v>25420</v>
      </c>
      <c r="D1303" s="31">
        <v>41859</v>
      </c>
      <c r="E1303" s="15" t="s">
        <v>25423</v>
      </c>
      <c r="F1303" s="87" t="s">
        <v>21871</v>
      </c>
      <c r="G1303" s="45" t="s">
        <v>8470</v>
      </c>
      <c r="H1303" s="55" t="s">
        <v>8471</v>
      </c>
      <c r="I1303" s="15" t="s">
        <v>178</v>
      </c>
    </row>
    <row r="1304" spans="1:9" ht="51.75" customHeight="1" x14ac:dyDescent="0.35">
      <c r="A1304" s="15" t="s">
        <v>25424</v>
      </c>
      <c r="B1304" s="15" t="s">
        <v>25425</v>
      </c>
      <c r="C1304" s="15" t="s">
        <v>25426</v>
      </c>
      <c r="D1304" s="31">
        <v>41859</v>
      </c>
      <c r="E1304" s="15" t="s">
        <v>25427</v>
      </c>
      <c r="F1304" s="87" t="s">
        <v>23710</v>
      </c>
      <c r="G1304" s="45" t="s">
        <v>8470</v>
      </c>
      <c r="H1304" s="55" t="s">
        <v>8471</v>
      </c>
      <c r="I1304" s="15" t="s">
        <v>178</v>
      </c>
    </row>
    <row r="1305" spans="1:9" ht="51.75" customHeight="1" x14ac:dyDescent="0.35">
      <c r="A1305" s="15" t="s">
        <v>25424</v>
      </c>
      <c r="B1305" s="15" t="s">
        <v>25428</v>
      </c>
      <c r="C1305" s="15" t="s">
        <v>25426</v>
      </c>
      <c r="D1305" s="31">
        <v>41859</v>
      </c>
      <c r="E1305" s="15" t="s">
        <v>25429</v>
      </c>
      <c r="F1305" s="87" t="s">
        <v>21871</v>
      </c>
      <c r="G1305" s="45" t="s">
        <v>8470</v>
      </c>
      <c r="H1305" s="55" t="s">
        <v>8471</v>
      </c>
      <c r="I1305" s="15" t="s">
        <v>178</v>
      </c>
    </row>
    <row r="1306" spans="1:9" ht="51.75" customHeight="1" x14ac:dyDescent="0.35">
      <c r="A1306" s="15" t="s">
        <v>22209</v>
      </c>
      <c r="B1306" s="15" t="s">
        <v>25430</v>
      </c>
      <c r="C1306" s="15" t="s">
        <v>25431</v>
      </c>
      <c r="D1306" s="31">
        <v>41859</v>
      </c>
      <c r="E1306" s="15" t="s">
        <v>25432</v>
      </c>
      <c r="F1306" s="87" t="s">
        <v>23710</v>
      </c>
      <c r="G1306" s="45" t="s">
        <v>8470</v>
      </c>
      <c r="H1306" s="55" t="s">
        <v>8471</v>
      </c>
      <c r="I1306" s="15" t="s">
        <v>178</v>
      </c>
    </row>
    <row r="1307" spans="1:9" ht="51.75" customHeight="1" x14ac:dyDescent="0.35">
      <c r="A1307" s="15" t="s">
        <v>22209</v>
      </c>
      <c r="B1307" s="15" t="s">
        <v>25433</v>
      </c>
      <c r="C1307" s="15" t="s">
        <v>25431</v>
      </c>
      <c r="D1307" s="31">
        <v>41859</v>
      </c>
      <c r="E1307" s="15" t="s">
        <v>25434</v>
      </c>
      <c r="F1307" s="87" t="s">
        <v>21871</v>
      </c>
      <c r="G1307" s="45" t="s">
        <v>8470</v>
      </c>
      <c r="H1307" s="55" t="s">
        <v>8471</v>
      </c>
      <c r="I1307" s="15" t="s">
        <v>178</v>
      </c>
    </row>
    <row r="1308" spans="1:9" ht="51.75" customHeight="1" x14ac:dyDescent="0.35">
      <c r="A1308" s="15" t="s">
        <v>25435</v>
      </c>
      <c r="B1308" s="15" t="s">
        <v>25436</v>
      </c>
      <c r="C1308" s="15" t="s">
        <v>24931</v>
      </c>
      <c r="D1308" s="31">
        <v>41918</v>
      </c>
      <c r="E1308" s="15" t="s">
        <v>24932</v>
      </c>
      <c r="F1308" s="87" t="s">
        <v>23710</v>
      </c>
      <c r="G1308" s="45" t="s">
        <v>8777</v>
      </c>
      <c r="H1308" s="55" t="s">
        <v>8778</v>
      </c>
      <c r="I1308" s="15" t="s">
        <v>178</v>
      </c>
    </row>
    <row r="1309" spans="1:9" ht="51.75" customHeight="1" x14ac:dyDescent="0.35">
      <c r="A1309" s="15" t="s">
        <v>25435</v>
      </c>
      <c r="B1309" s="15" t="s">
        <v>25437</v>
      </c>
      <c r="C1309" s="15" t="s">
        <v>24931</v>
      </c>
      <c r="D1309" s="31">
        <v>41918</v>
      </c>
      <c r="E1309" s="15" t="s">
        <v>25438</v>
      </c>
      <c r="F1309" s="87" t="s">
        <v>21871</v>
      </c>
      <c r="G1309" s="45" t="s">
        <v>8777</v>
      </c>
      <c r="H1309" s="55" t="s">
        <v>8778</v>
      </c>
      <c r="I1309" s="15" t="s">
        <v>178</v>
      </c>
    </row>
    <row r="1310" spans="1:9" ht="51.75" customHeight="1" x14ac:dyDescent="0.35">
      <c r="A1310" s="15" t="s">
        <v>25439</v>
      </c>
      <c r="B1310" s="15" t="s">
        <v>25440</v>
      </c>
      <c r="C1310" s="15" t="s">
        <v>25163</v>
      </c>
      <c r="D1310" s="31">
        <v>41918</v>
      </c>
      <c r="E1310" s="15" t="s">
        <v>24937</v>
      </c>
      <c r="F1310" s="87" t="s">
        <v>23710</v>
      </c>
      <c r="G1310" s="45" t="s">
        <v>8777</v>
      </c>
      <c r="H1310" s="55" t="s">
        <v>8778</v>
      </c>
      <c r="I1310" s="15" t="s">
        <v>178</v>
      </c>
    </row>
    <row r="1311" spans="1:9" ht="51.75" customHeight="1" x14ac:dyDescent="0.35">
      <c r="A1311" s="15" t="s">
        <v>25439</v>
      </c>
      <c r="B1311" s="15" t="s">
        <v>25441</v>
      </c>
      <c r="C1311" s="15" t="s">
        <v>25163</v>
      </c>
      <c r="D1311" s="31">
        <v>41918</v>
      </c>
      <c r="E1311" s="15" t="s">
        <v>24939</v>
      </c>
      <c r="F1311" s="87" t="s">
        <v>21871</v>
      </c>
      <c r="G1311" s="45" t="s">
        <v>8777</v>
      </c>
      <c r="H1311" s="55" t="s">
        <v>8778</v>
      </c>
      <c r="I1311" s="15" t="s">
        <v>178</v>
      </c>
    </row>
    <row r="1312" spans="1:9" ht="51.75" customHeight="1" x14ac:dyDescent="0.35">
      <c r="A1312" s="15" t="s">
        <v>25442</v>
      </c>
      <c r="B1312" s="15" t="s">
        <v>25443</v>
      </c>
      <c r="C1312" s="15" t="s">
        <v>25163</v>
      </c>
      <c r="D1312" s="31">
        <v>41918</v>
      </c>
      <c r="E1312" s="15" t="s">
        <v>25444</v>
      </c>
      <c r="F1312" s="87" t="s">
        <v>23710</v>
      </c>
      <c r="G1312" s="45" t="s">
        <v>8777</v>
      </c>
      <c r="H1312" s="55" t="s">
        <v>8778</v>
      </c>
      <c r="I1312" s="15" t="s">
        <v>178</v>
      </c>
    </row>
    <row r="1313" spans="1:9" ht="51.75" customHeight="1" x14ac:dyDescent="0.35">
      <c r="A1313" s="15" t="s">
        <v>25442</v>
      </c>
      <c r="B1313" s="15" t="s">
        <v>25445</v>
      </c>
      <c r="C1313" s="15" t="s">
        <v>25163</v>
      </c>
      <c r="D1313" s="31">
        <v>41918</v>
      </c>
      <c r="E1313" s="15" t="s">
        <v>24943</v>
      </c>
      <c r="F1313" s="87" t="s">
        <v>21871</v>
      </c>
      <c r="G1313" s="45" t="s">
        <v>8777</v>
      </c>
      <c r="H1313" s="55" t="s">
        <v>8778</v>
      </c>
      <c r="I1313" s="15" t="s">
        <v>178</v>
      </c>
    </row>
    <row r="1314" spans="1:9" ht="51.75" customHeight="1" x14ac:dyDescent="0.35">
      <c r="A1314" s="15" t="s">
        <v>22175</v>
      </c>
      <c r="B1314" s="15" t="s">
        <v>25446</v>
      </c>
      <c r="C1314" s="15" t="s">
        <v>25163</v>
      </c>
      <c r="D1314" s="31">
        <v>41918</v>
      </c>
      <c r="E1314" s="15" t="s">
        <v>24945</v>
      </c>
      <c r="F1314" s="87" t="s">
        <v>23710</v>
      </c>
      <c r="G1314" s="45" t="s">
        <v>8777</v>
      </c>
      <c r="H1314" s="55" t="s">
        <v>8778</v>
      </c>
      <c r="I1314" s="15" t="s">
        <v>178</v>
      </c>
    </row>
    <row r="1315" spans="1:9" ht="51.75" customHeight="1" x14ac:dyDescent="0.35">
      <c r="A1315" s="15" t="s">
        <v>22175</v>
      </c>
      <c r="B1315" s="15" t="s">
        <v>25447</v>
      </c>
      <c r="C1315" s="15" t="s">
        <v>25163</v>
      </c>
      <c r="D1315" s="31">
        <v>41918</v>
      </c>
      <c r="E1315" s="15" t="s">
        <v>25448</v>
      </c>
      <c r="F1315" s="87" t="s">
        <v>21871</v>
      </c>
      <c r="G1315" s="45" t="s">
        <v>8777</v>
      </c>
      <c r="H1315" s="55" t="s">
        <v>8778</v>
      </c>
      <c r="I1315" s="15" t="s">
        <v>178</v>
      </c>
    </row>
    <row r="1316" spans="1:9" ht="51.75" customHeight="1" x14ac:dyDescent="0.35">
      <c r="A1316" s="15" t="s">
        <v>22179</v>
      </c>
      <c r="B1316" s="15" t="s">
        <v>25449</v>
      </c>
      <c r="C1316" s="15" t="s">
        <v>25163</v>
      </c>
      <c r="D1316" s="31">
        <v>41918</v>
      </c>
      <c r="E1316" s="15" t="s">
        <v>24949</v>
      </c>
      <c r="F1316" s="87" t="s">
        <v>23710</v>
      </c>
      <c r="G1316" s="45" t="s">
        <v>8777</v>
      </c>
      <c r="H1316" s="55" t="s">
        <v>8778</v>
      </c>
      <c r="I1316" s="15" t="s">
        <v>178</v>
      </c>
    </row>
    <row r="1317" spans="1:9" ht="51.75" customHeight="1" x14ac:dyDescent="0.35">
      <c r="A1317" s="15" t="s">
        <v>22179</v>
      </c>
      <c r="B1317" s="15" t="s">
        <v>25450</v>
      </c>
      <c r="C1317" s="15" t="s">
        <v>25163</v>
      </c>
      <c r="D1317" s="31">
        <v>41918</v>
      </c>
      <c r="E1317" s="15" t="s">
        <v>24951</v>
      </c>
      <c r="F1317" s="87" t="s">
        <v>21871</v>
      </c>
      <c r="G1317" s="45" t="s">
        <v>8777</v>
      </c>
      <c r="H1317" s="55" t="s">
        <v>8778</v>
      </c>
      <c r="I1317" s="15" t="s">
        <v>178</v>
      </c>
    </row>
    <row r="1318" spans="1:9" ht="51.75" customHeight="1" x14ac:dyDescent="0.35">
      <c r="A1318" s="15" t="s">
        <v>25451</v>
      </c>
      <c r="B1318" s="15" t="s">
        <v>25452</v>
      </c>
      <c r="C1318" s="15" t="s">
        <v>24953</v>
      </c>
      <c r="D1318" s="31">
        <v>41918</v>
      </c>
      <c r="E1318" s="15" t="s">
        <v>25170</v>
      </c>
      <c r="F1318" s="87" t="s">
        <v>23710</v>
      </c>
      <c r="G1318" s="45" t="s">
        <v>8777</v>
      </c>
      <c r="H1318" s="55" t="s">
        <v>8778</v>
      </c>
      <c r="I1318" s="15" t="s">
        <v>178</v>
      </c>
    </row>
    <row r="1319" spans="1:9" ht="51.75" customHeight="1" x14ac:dyDescent="0.35">
      <c r="A1319" s="15" t="s">
        <v>25451</v>
      </c>
      <c r="B1319" s="15" t="s">
        <v>25453</v>
      </c>
      <c r="C1319" s="15" t="s">
        <v>24953</v>
      </c>
      <c r="D1319" s="31">
        <v>41918</v>
      </c>
      <c r="E1319" s="15" t="s">
        <v>25172</v>
      </c>
      <c r="F1319" s="87" t="s">
        <v>21871</v>
      </c>
      <c r="G1319" s="45" t="s">
        <v>8777</v>
      </c>
      <c r="H1319" s="55" t="s">
        <v>8778</v>
      </c>
      <c r="I1319" s="15" t="s">
        <v>178</v>
      </c>
    </row>
    <row r="1320" spans="1:9" ht="51.75" customHeight="1" x14ac:dyDescent="0.35">
      <c r="A1320" s="15" t="s">
        <v>25454</v>
      </c>
      <c r="B1320" s="15" t="s">
        <v>25455</v>
      </c>
      <c r="C1320" s="15" t="s">
        <v>25175</v>
      </c>
      <c r="D1320" s="31">
        <v>41918</v>
      </c>
      <c r="E1320" s="15" t="s">
        <v>25456</v>
      </c>
      <c r="F1320" s="87" t="s">
        <v>23710</v>
      </c>
      <c r="G1320" s="45" t="s">
        <v>8777</v>
      </c>
      <c r="H1320" s="55" t="s">
        <v>8778</v>
      </c>
      <c r="I1320" s="15" t="s">
        <v>178</v>
      </c>
    </row>
    <row r="1321" spans="1:9" ht="51.75" customHeight="1" x14ac:dyDescent="0.35">
      <c r="A1321" s="15" t="s">
        <v>25454</v>
      </c>
      <c r="B1321" s="15" t="s">
        <v>25457</v>
      </c>
      <c r="C1321" s="15" t="s">
        <v>25175</v>
      </c>
      <c r="D1321" s="31">
        <v>41918</v>
      </c>
      <c r="E1321" s="15" t="s">
        <v>25178</v>
      </c>
      <c r="F1321" s="87" t="s">
        <v>21871</v>
      </c>
      <c r="G1321" s="45" t="s">
        <v>8777</v>
      </c>
      <c r="H1321" s="55" t="s">
        <v>8778</v>
      </c>
      <c r="I1321" s="15" t="s">
        <v>178</v>
      </c>
    </row>
    <row r="1322" spans="1:9" ht="51.75" customHeight="1" x14ac:dyDescent="0.35">
      <c r="A1322" s="15" t="s">
        <v>25458</v>
      </c>
      <c r="B1322" s="15" t="s">
        <v>25459</v>
      </c>
      <c r="C1322" s="15" t="s">
        <v>25395</v>
      </c>
      <c r="D1322" s="31">
        <v>41851</v>
      </c>
      <c r="E1322" s="15" t="s">
        <v>25396</v>
      </c>
      <c r="F1322" s="87" t="s">
        <v>23710</v>
      </c>
      <c r="G1322" s="45" t="s">
        <v>8895</v>
      </c>
      <c r="H1322" s="55" t="s">
        <v>8896</v>
      </c>
      <c r="I1322" s="15" t="s">
        <v>178</v>
      </c>
    </row>
    <row r="1323" spans="1:9" ht="51.75" customHeight="1" x14ac:dyDescent="0.35">
      <c r="A1323" s="15" t="s">
        <v>25458</v>
      </c>
      <c r="B1323" s="15" t="s">
        <v>25460</v>
      </c>
      <c r="C1323" s="15" t="s">
        <v>25395</v>
      </c>
      <c r="D1323" s="31">
        <v>41851</v>
      </c>
      <c r="E1323" s="15" t="s">
        <v>25461</v>
      </c>
      <c r="F1323" s="87" t="s">
        <v>21871</v>
      </c>
      <c r="G1323" s="45" t="s">
        <v>8895</v>
      </c>
      <c r="H1323" s="55" t="s">
        <v>8896</v>
      </c>
      <c r="I1323" s="15" t="s">
        <v>178</v>
      </c>
    </row>
    <row r="1324" spans="1:9" ht="51.75" customHeight="1" x14ac:dyDescent="0.35">
      <c r="A1324" s="15" t="s">
        <v>25462</v>
      </c>
      <c r="B1324" s="15" t="s">
        <v>25463</v>
      </c>
      <c r="C1324" s="15" t="s">
        <v>25464</v>
      </c>
      <c r="D1324" s="31">
        <v>41851</v>
      </c>
      <c r="E1324" s="15" t="s">
        <v>25465</v>
      </c>
      <c r="F1324" s="87" t="s">
        <v>23710</v>
      </c>
      <c r="G1324" s="45" t="s">
        <v>8895</v>
      </c>
      <c r="H1324" s="55" t="s">
        <v>8896</v>
      </c>
      <c r="I1324" s="15" t="s">
        <v>178</v>
      </c>
    </row>
    <row r="1325" spans="1:9" ht="51.75" customHeight="1" x14ac:dyDescent="0.35">
      <c r="A1325" s="15" t="s">
        <v>25462</v>
      </c>
      <c r="B1325" s="15" t="s">
        <v>25466</v>
      </c>
      <c r="C1325" s="15" t="s">
        <v>25464</v>
      </c>
      <c r="D1325" s="31">
        <v>41851</v>
      </c>
      <c r="E1325" s="15" t="s">
        <v>25467</v>
      </c>
      <c r="F1325" s="87" t="s">
        <v>21871</v>
      </c>
      <c r="G1325" s="45" t="s">
        <v>8895</v>
      </c>
      <c r="H1325" s="55" t="s">
        <v>8896</v>
      </c>
      <c r="I1325" s="15" t="s">
        <v>178</v>
      </c>
    </row>
    <row r="1326" spans="1:9" ht="51.75" customHeight="1" x14ac:dyDescent="0.35">
      <c r="A1326" s="15" t="s">
        <v>22099</v>
      </c>
      <c r="B1326" s="15" t="s">
        <v>25468</v>
      </c>
      <c r="C1326" s="15" t="s">
        <v>25469</v>
      </c>
      <c r="D1326" s="31">
        <v>41851</v>
      </c>
      <c r="E1326" s="15" t="s">
        <v>25470</v>
      </c>
      <c r="F1326" s="87" t="s">
        <v>23710</v>
      </c>
      <c r="G1326" s="45" t="s">
        <v>8895</v>
      </c>
      <c r="H1326" s="55" t="s">
        <v>8896</v>
      </c>
      <c r="I1326" s="15" t="s">
        <v>178</v>
      </c>
    </row>
    <row r="1327" spans="1:9" ht="51.75" customHeight="1" x14ac:dyDescent="0.35">
      <c r="A1327" s="15" t="s">
        <v>22099</v>
      </c>
      <c r="B1327" s="15" t="s">
        <v>25471</v>
      </c>
      <c r="C1327" s="15" t="s">
        <v>25469</v>
      </c>
      <c r="D1327" s="31">
        <v>41851</v>
      </c>
      <c r="E1327" s="15" t="s">
        <v>25472</v>
      </c>
      <c r="F1327" s="87" t="s">
        <v>21871</v>
      </c>
      <c r="G1327" s="45" t="s">
        <v>8895</v>
      </c>
      <c r="H1327" s="55" t="s">
        <v>8896</v>
      </c>
      <c r="I1327" s="15" t="s">
        <v>178</v>
      </c>
    </row>
    <row r="1328" spans="1:9" ht="51.75" customHeight="1" x14ac:dyDescent="0.35">
      <c r="A1328" s="15" t="s">
        <v>21967</v>
      </c>
      <c r="B1328" s="15" t="s">
        <v>25473</v>
      </c>
      <c r="C1328" s="15" t="s">
        <v>24732</v>
      </c>
      <c r="D1328" s="31">
        <v>41844</v>
      </c>
      <c r="E1328" s="15" t="s">
        <v>25474</v>
      </c>
      <c r="F1328" s="87" t="s">
        <v>23710</v>
      </c>
      <c r="G1328" s="45" t="s">
        <v>8827</v>
      </c>
      <c r="H1328" s="55" t="s">
        <v>8828</v>
      </c>
      <c r="I1328" s="15" t="s">
        <v>178</v>
      </c>
    </row>
    <row r="1329" spans="1:9" ht="51.75" customHeight="1" x14ac:dyDescent="0.35">
      <c r="A1329" s="15" t="s">
        <v>21967</v>
      </c>
      <c r="B1329" s="15" t="s">
        <v>25475</v>
      </c>
      <c r="C1329" s="15" t="s">
        <v>24732</v>
      </c>
      <c r="D1329" s="31">
        <v>41844</v>
      </c>
      <c r="E1329" s="15" t="s">
        <v>25476</v>
      </c>
      <c r="F1329" s="87" t="s">
        <v>21871</v>
      </c>
      <c r="G1329" s="45" t="s">
        <v>8827</v>
      </c>
      <c r="H1329" s="55" t="s">
        <v>8828</v>
      </c>
      <c r="I1329" s="15" t="s">
        <v>178</v>
      </c>
    </row>
    <row r="1330" spans="1:9" ht="51.75" customHeight="1" x14ac:dyDescent="0.35">
      <c r="A1330" s="15" t="s">
        <v>21879</v>
      </c>
      <c r="B1330" s="15" t="s">
        <v>25477</v>
      </c>
      <c r="C1330" s="15" t="s">
        <v>25478</v>
      </c>
      <c r="D1330" s="31">
        <v>42096</v>
      </c>
      <c r="E1330" s="15" t="s">
        <v>25479</v>
      </c>
      <c r="F1330" s="87" t="s">
        <v>23710</v>
      </c>
      <c r="G1330" s="45" t="s">
        <v>9833</v>
      </c>
      <c r="H1330" s="55" t="s">
        <v>9834</v>
      </c>
      <c r="I1330" s="15" t="s">
        <v>178</v>
      </c>
    </row>
    <row r="1331" spans="1:9" ht="51.75" customHeight="1" x14ac:dyDescent="0.35">
      <c r="A1331" s="15" t="s">
        <v>21879</v>
      </c>
      <c r="B1331" s="15" t="s">
        <v>25480</v>
      </c>
      <c r="C1331" s="15" t="s">
        <v>25478</v>
      </c>
      <c r="D1331" s="31">
        <v>42096</v>
      </c>
      <c r="E1331" s="15" t="s">
        <v>25481</v>
      </c>
      <c r="F1331" s="87" t="s">
        <v>21871</v>
      </c>
      <c r="G1331" s="45" t="s">
        <v>9833</v>
      </c>
      <c r="H1331" s="55" t="s">
        <v>9834</v>
      </c>
      <c r="I1331" s="15" t="s">
        <v>178</v>
      </c>
    </row>
    <row r="1332" spans="1:9" ht="51.75" customHeight="1" x14ac:dyDescent="0.35">
      <c r="A1332" s="15" t="s">
        <v>25482</v>
      </c>
      <c r="B1332" s="15" t="s">
        <v>25483</v>
      </c>
      <c r="C1332" s="15" t="s">
        <v>25484</v>
      </c>
      <c r="D1332" s="31">
        <v>42096</v>
      </c>
      <c r="E1332" s="15" t="s">
        <v>25485</v>
      </c>
      <c r="F1332" s="87" t="s">
        <v>23710</v>
      </c>
      <c r="G1332" s="45" t="s">
        <v>9833</v>
      </c>
      <c r="H1332" s="55" t="s">
        <v>9834</v>
      </c>
      <c r="I1332" s="15" t="s">
        <v>178</v>
      </c>
    </row>
    <row r="1333" spans="1:9" ht="51.75" customHeight="1" x14ac:dyDescent="0.35">
      <c r="A1333" s="15" t="s">
        <v>25482</v>
      </c>
      <c r="B1333" s="15" t="s">
        <v>25486</v>
      </c>
      <c r="C1333" s="15" t="s">
        <v>25484</v>
      </c>
      <c r="D1333" s="31">
        <v>42096</v>
      </c>
      <c r="E1333" s="15" t="s">
        <v>25487</v>
      </c>
      <c r="F1333" s="87" t="s">
        <v>21871</v>
      </c>
      <c r="G1333" s="45" t="s">
        <v>9833</v>
      </c>
      <c r="H1333" s="55" t="s">
        <v>9834</v>
      </c>
      <c r="I1333" s="15" t="s">
        <v>178</v>
      </c>
    </row>
    <row r="1334" spans="1:9" ht="51.75" customHeight="1" x14ac:dyDescent="0.35">
      <c r="A1334" s="15" t="s">
        <v>25488</v>
      </c>
      <c r="B1334" s="15" t="s">
        <v>25489</v>
      </c>
      <c r="C1334" s="15" t="s">
        <v>25490</v>
      </c>
      <c r="D1334" s="31">
        <v>42096</v>
      </c>
      <c r="E1334" s="15" t="s">
        <v>25491</v>
      </c>
      <c r="F1334" s="87" t="s">
        <v>23710</v>
      </c>
      <c r="G1334" s="45" t="s">
        <v>9833</v>
      </c>
      <c r="H1334" s="55" t="s">
        <v>9834</v>
      </c>
      <c r="I1334" s="15" t="s">
        <v>178</v>
      </c>
    </row>
    <row r="1335" spans="1:9" ht="51.75" customHeight="1" x14ac:dyDescent="0.35">
      <c r="A1335" s="15" t="s">
        <v>25488</v>
      </c>
      <c r="B1335" s="15" t="s">
        <v>25492</v>
      </c>
      <c r="C1335" s="15" t="s">
        <v>25490</v>
      </c>
      <c r="D1335" s="31">
        <v>42096</v>
      </c>
      <c r="E1335" s="15" t="s">
        <v>25493</v>
      </c>
      <c r="F1335" s="87" t="s">
        <v>21871</v>
      </c>
      <c r="G1335" s="45" t="s">
        <v>9833</v>
      </c>
      <c r="H1335" s="55" t="s">
        <v>9834</v>
      </c>
      <c r="I1335" s="15" t="s">
        <v>178</v>
      </c>
    </row>
    <row r="1336" spans="1:9" ht="51.75" customHeight="1" x14ac:dyDescent="0.35">
      <c r="A1336" s="15" t="s">
        <v>25494</v>
      </c>
      <c r="B1336" s="15" t="s">
        <v>25495</v>
      </c>
      <c r="C1336" s="15" t="s">
        <v>24931</v>
      </c>
      <c r="D1336" s="31">
        <v>41922</v>
      </c>
      <c r="E1336" s="15" t="s">
        <v>24932</v>
      </c>
      <c r="F1336" s="87" t="s">
        <v>23710</v>
      </c>
      <c r="G1336" s="45" t="s">
        <v>9499</v>
      </c>
      <c r="H1336" s="55" t="s">
        <v>9500</v>
      </c>
      <c r="I1336" s="15" t="s">
        <v>178</v>
      </c>
    </row>
    <row r="1337" spans="1:9" ht="51.75" customHeight="1" x14ac:dyDescent="0.35">
      <c r="A1337" s="15" t="s">
        <v>25494</v>
      </c>
      <c r="B1337" s="15" t="s">
        <v>25496</v>
      </c>
      <c r="C1337" s="15" t="s">
        <v>24931</v>
      </c>
      <c r="D1337" s="31">
        <v>41922</v>
      </c>
      <c r="E1337" s="15" t="s">
        <v>25497</v>
      </c>
      <c r="F1337" s="87" t="s">
        <v>21871</v>
      </c>
      <c r="G1337" s="45" t="s">
        <v>9499</v>
      </c>
      <c r="H1337" s="55" t="s">
        <v>9500</v>
      </c>
      <c r="I1337" s="15" t="s">
        <v>178</v>
      </c>
    </row>
    <row r="1338" spans="1:9" ht="51.75" customHeight="1" x14ac:dyDescent="0.35">
      <c r="A1338" s="15" t="s">
        <v>25498</v>
      </c>
      <c r="B1338" s="15" t="s">
        <v>25499</v>
      </c>
      <c r="C1338" s="15" t="s">
        <v>25163</v>
      </c>
      <c r="D1338" s="31">
        <v>41922</v>
      </c>
      <c r="E1338" s="15" t="s">
        <v>24937</v>
      </c>
      <c r="F1338" s="87" t="s">
        <v>23710</v>
      </c>
      <c r="G1338" s="45" t="s">
        <v>9499</v>
      </c>
      <c r="H1338" s="55" t="s">
        <v>9500</v>
      </c>
      <c r="I1338" s="15" t="s">
        <v>178</v>
      </c>
    </row>
    <row r="1339" spans="1:9" ht="51.75" customHeight="1" x14ac:dyDescent="0.35">
      <c r="A1339" s="15" t="s">
        <v>25498</v>
      </c>
      <c r="B1339" s="15" t="s">
        <v>25500</v>
      </c>
      <c r="C1339" s="15" t="s">
        <v>25163</v>
      </c>
      <c r="D1339" s="31">
        <v>41922</v>
      </c>
      <c r="E1339" s="15" t="s">
        <v>24939</v>
      </c>
      <c r="F1339" s="87" t="s">
        <v>21871</v>
      </c>
      <c r="G1339" s="45" t="s">
        <v>9499</v>
      </c>
      <c r="H1339" s="55" t="s">
        <v>9500</v>
      </c>
      <c r="I1339" s="15" t="s">
        <v>178</v>
      </c>
    </row>
    <row r="1340" spans="1:9" ht="51.75" customHeight="1" x14ac:dyDescent="0.35">
      <c r="A1340" s="15" t="s">
        <v>23309</v>
      </c>
      <c r="B1340" s="15" t="s">
        <v>25501</v>
      </c>
      <c r="C1340" s="15" t="s">
        <v>25163</v>
      </c>
      <c r="D1340" s="31">
        <v>41922</v>
      </c>
      <c r="E1340" s="15" t="s">
        <v>25444</v>
      </c>
      <c r="F1340" s="87" t="s">
        <v>23710</v>
      </c>
      <c r="G1340" s="45" t="s">
        <v>9499</v>
      </c>
      <c r="H1340" s="55" t="s">
        <v>9500</v>
      </c>
      <c r="I1340" s="15" t="s">
        <v>178</v>
      </c>
    </row>
    <row r="1341" spans="1:9" ht="51.75" customHeight="1" x14ac:dyDescent="0.35">
      <c r="A1341" s="15" t="s">
        <v>23309</v>
      </c>
      <c r="B1341" s="15" t="s">
        <v>25502</v>
      </c>
      <c r="C1341" s="15" t="s">
        <v>25163</v>
      </c>
      <c r="D1341" s="31">
        <v>41922</v>
      </c>
      <c r="E1341" s="15" t="s">
        <v>24943</v>
      </c>
      <c r="F1341" s="87" t="s">
        <v>21871</v>
      </c>
      <c r="G1341" s="45" t="s">
        <v>9499</v>
      </c>
      <c r="H1341" s="55" t="s">
        <v>9500</v>
      </c>
      <c r="I1341" s="15" t="s">
        <v>178</v>
      </c>
    </row>
    <row r="1342" spans="1:9" ht="51.75" customHeight="1" x14ac:dyDescent="0.35">
      <c r="A1342" s="15" t="s">
        <v>23314</v>
      </c>
      <c r="B1342" s="15" t="s">
        <v>25503</v>
      </c>
      <c r="C1342" s="15" t="s">
        <v>25163</v>
      </c>
      <c r="D1342" s="31">
        <v>41922</v>
      </c>
      <c r="E1342" s="15" t="s">
        <v>24945</v>
      </c>
      <c r="F1342" s="87" t="s">
        <v>23710</v>
      </c>
      <c r="G1342" s="45" t="s">
        <v>9499</v>
      </c>
      <c r="H1342" s="55" t="s">
        <v>9500</v>
      </c>
      <c r="I1342" s="15" t="s">
        <v>178</v>
      </c>
    </row>
    <row r="1343" spans="1:9" ht="51.75" customHeight="1" x14ac:dyDescent="0.35">
      <c r="A1343" s="15" t="s">
        <v>23314</v>
      </c>
      <c r="B1343" s="15" t="s">
        <v>25504</v>
      </c>
      <c r="C1343" s="15" t="s">
        <v>25163</v>
      </c>
      <c r="D1343" s="31">
        <v>41922</v>
      </c>
      <c r="E1343" s="15" t="s">
        <v>25448</v>
      </c>
      <c r="F1343" s="87" t="s">
        <v>21871</v>
      </c>
      <c r="G1343" s="45" t="s">
        <v>9499</v>
      </c>
      <c r="H1343" s="55" t="s">
        <v>9500</v>
      </c>
      <c r="I1343" s="15" t="s">
        <v>178</v>
      </c>
    </row>
    <row r="1344" spans="1:9" ht="51.75" customHeight="1" x14ac:dyDescent="0.35">
      <c r="A1344" s="15" t="s">
        <v>23319</v>
      </c>
      <c r="B1344" s="15" t="s">
        <v>25505</v>
      </c>
      <c r="C1344" s="15" t="s">
        <v>25163</v>
      </c>
      <c r="D1344" s="31">
        <v>41922</v>
      </c>
      <c r="E1344" s="15" t="s">
        <v>24949</v>
      </c>
      <c r="F1344" s="87" t="s">
        <v>23710</v>
      </c>
      <c r="G1344" s="45" t="s">
        <v>9499</v>
      </c>
      <c r="H1344" s="55" t="s">
        <v>9500</v>
      </c>
      <c r="I1344" s="15" t="s">
        <v>178</v>
      </c>
    </row>
    <row r="1345" spans="1:9" ht="51.75" customHeight="1" x14ac:dyDescent="0.35">
      <c r="A1345" s="15" t="s">
        <v>23319</v>
      </c>
      <c r="B1345" s="15" t="s">
        <v>25506</v>
      </c>
      <c r="C1345" s="15" t="s">
        <v>25163</v>
      </c>
      <c r="D1345" s="31">
        <v>41922</v>
      </c>
      <c r="E1345" s="15" t="s">
        <v>24951</v>
      </c>
      <c r="F1345" s="87" t="s">
        <v>21871</v>
      </c>
      <c r="G1345" s="45" t="s">
        <v>9499</v>
      </c>
      <c r="H1345" s="55" t="s">
        <v>9500</v>
      </c>
      <c r="I1345" s="15" t="s">
        <v>178</v>
      </c>
    </row>
    <row r="1346" spans="1:9" ht="51.75" customHeight="1" x14ac:dyDescent="0.35">
      <c r="A1346" s="15" t="s">
        <v>25507</v>
      </c>
      <c r="B1346" s="15" t="s">
        <v>25508</v>
      </c>
      <c r="C1346" s="15" t="s">
        <v>25509</v>
      </c>
      <c r="D1346" s="31">
        <v>41922</v>
      </c>
      <c r="E1346" s="15" t="s">
        <v>25510</v>
      </c>
      <c r="F1346" s="87" t="s">
        <v>23710</v>
      </c>
      <c r="G1346" s="45" t="s">
        <v>9499</v>
      </c>
      <c r="H1346" s="55" t="s">
        <v>9500</v>
      </c>
      <c r="I1346" s="15" t="s">
        <v>178</v>
      </c>
    </row>
    <row r="1347" spans="1:9" ht="51.75" customHeight="1" x14ac:dyDescent="0.35">
      <c r="A1347" s="15" t="s">
        <v>25507</v>
      </c>
      <c r="B1347" s="15" t="s">
        <v>25511</v>
      </c>
      <c r="C1347" s="15" t="s">
        <v>25509</v>
      </c>
      <c r="D1347" s="31">
        <v>41922</v>
      </c>
      <c r="E1347" s="15" t="s">
        <v>24951</v>
      </c>
      <c r="F1347" s="87" t="s">
        <v>21871</v>
      </c>
      <c r="G1347" s="45" t="s">
        <v>9499</v>
      </c>
      <c r="H1347" s="55" t="s">
        <v>9500</v>
      </c>
      <c r="I1347" s="15" t="s">
        <v>178</v>
      </c>
    </row>
    <row r="1348" spans="1:9" ht="51.75" customHeight="1" x14ac:dyDescent="0.35">
      <c r="A1348" s="15" t="s">
        <v>25413</v>
      </c>
      <c r="B1348" s="15" t="s">
        <v>25512</v>
      </c>
      <c r="C1348" s="15" t="s">
        <v>25513</v>
      </c>
      <c r="D1348" s="31">
        <v>42017</v>
      </c>
      <c r="E1348" s="15" t="s">
        <v>25514</v>
      </c>
      <c r="F1348" s="87" t="s">
        <v>21871</v>
      </c>
      <c r="G1348" s="45" t="s">
        <v>10657</v>
      </c>
      <c r="H1348" s="55" t="s">
        <v>10658</v>
      </c>
      <c r="I1348" s="15" t="s">
        <v>178</v>
      </c>
    </row>
    <row r="1349" spans="1:9" ht="51.75" customHeight="1" x14ac:dyDescent="0.35">
      <c r="A1349" s="15" t="s">
        <v>25413</v>
      </c>
      <c r="B1349" s="15" t="s">
        <v>25515</v>
      </c>
      <c r="C1349" s="15" t="s">
        <v>25513</v>
      </c>
      <c r="D1349" s="31">
        <v>42017</v>
      </c>
      <c r="E1349" s="15" t="s">
        <v>25516</v>
      </c>
      <c r="F1349" s="87" t="s">
        <v>23710</v>
      </c>
      <c r="G1349" s="45" t="s">
        <v>10657</v>
      </c>
      <c r="H1349" s="55" t="s">
        <v>10658</v>
      </c>
      <c r="I1349" s="15" t="s">
        <v>178</v>
      </c>
    </row>
    <row r="1350" spans="1:9" ht="51.75" customHeight="1" x14ac:dyDescent="0.35">
      <c r="A1350" s="15" t="s">
        <v>22231</v>
      </c>
      <c r="B1350" s="15" t="s">
        <v>25517</v>
      </c>
      <c r="C1350" s="15" t="s">
        <v>25518</v>
      </c>
      <c r="D1350" s="31">
        <v>42306</v>
      </c>
      <c r="E1350" s="15" t="s">
        <v>25519</v>
      </c>
      <c r="F1350" s="87" t="s">
        <v>23710</v>
      </c>
      <c r="G1350" s="45" t="s">
        <v>10657</v>
      </c>
      <c r="H1350" s="55" t="s">
        <v>10658</v>
      </c>
      <c r="I1350" s="15" t="s">
        <v>178</v>
      </c>
    </row>
    <row r="1351" spans="1:9" ht="51.75" customHeight="1" x14ac:dyDescent="0.35">
      <c r="A1351" s="15" t="s">
        <v>22231</v>
      </c>
      <c r="B1351" s="15" t="s">
        <v>25520</v>
      </c>
      <c r="C1351" s="15" t="s">
        <v>25518</v>
      </c>
      <c r="D1351" s="31">
        <v>42306</v>
      </c>
      <c r="E1351" s="15" t="s">
        <v>25521</v>
      </c>
      <c r="F1351" s="87" t="s">
        <v>21871</v>
      </c>
      <c r="G1351" s="45" t="s">
        <v>10657</v>
      </c>
      <c r="H1351" s="55" t="s">
        <v>10658</v>
      </c>
      <c r="I1351" s="15" t="s">
        <v>178</v>
      </c>
    </row>
    <row r="1352" spans="1:9" ht="51.75" customHeight="1" x14ac:dyDescent="0.35">
      <c r="A1352" s="15" t="s">
        <v>22790</v>
      </c>
      <c r="B1352" s="15" t="s">
        <v>25522</v>
      </c>
      <c r="C1352" s="15" t="s">
        <v>25523</v>
      </c>
      <c r="D1352" s="31">
        <v>42306</v>
      </c>
      <c r="E1352" s="15" t="s">
        <v>25524</v>
      </c>
      <c r="F1352" s="87" t="s">
        <v>23710</v>
      </c>
      <c r="G1352" s="45" t="s">
        <v>10657</v>
      </c>
      <c r="H1352" s="55" t="s">
        <v>10658</v>
      </c>
      <c r="I1352" s="15" t="s">
        <v>178</v>
      </c>
    </row>
    <row r="1353" spans="1:9" ht="51.75" customHeight="1" x14ac:dyDescent="0.35">
      <c r="A1353" s="15" t="s">
        <v>22790</v>
      </c>
      <c r="B1353" s="15" t="s">
        <v>25525</v>
      </c>
      <c r="C1353" s="15" t="s">
        <v>25523</v>
      </c>
      <c r="D1353" s="31">
        <v>42306</v>
      </c>
      <c r="E1353" s="15" t="s">
        <v>25526</v>
      </c>
      <c r="F1353" s="87" t="s">
        <v>21871</v>
      </c>
      <c r="G1353" s="45" t="s">
        <v>10657</v>
      </c>
      <c r="H1353" s="55" t="s">
        <v>10658</v>
      </c>
      <c r="I1353" s="15" t="s">
        <v>178</v>
      </c>
    </row>
    <row r="1354" spans="1:9" ht="51.75" customHeight="1" x14ac:dyDescent="0.35">
      <c r="A1354" s="15" t="s">
        <v>24736</v>
      </c>
      <c r="B1354" s="15" t="s">
        <v>25527</v>
      </c>
      <c r="C1354" s="15" t="s">
        <v>25528</v>
      </c>
      <c r="D1354" s="31">
        <v>42306</v>
      </c>
      <c r="E1354" s="15" t="s">
        <v>25529</v>
      </c>
      <c r="F1354" s="87" t="s">
        <v>23710</v>
      </c>
      <c r="G1354" s="45" t="s">
        <v>10657</v>
      </c>
      <c r="H1354" s="55" t="s">
        <v>10658</v>
      </c>
      <c r="I1354" s="15" t="s">
        <v>178</v>
      </c>
    </row>
    <row r="1355" spans="1:9" ht="51.75" customHeight="1" x14ac:dyDescent="0.35">
      <c r="A1355" s="15" t="s">
        <v>24736</v>
      </c>
      <c r="B1355" s="15" t="s">
        <v>25530</v>
      </c>
      <c r="C1355" s="15" t="s">
        <v>25528</v>
      </c>
      <c r="D1355" s="31">
        <v>42306</v>
      </c>
      <c r="E1355" s="15" t="s">
        <v>25531</v>
      </c>
      <c r="F1355" s="87" t="s">
        <v>21871</v>
      </c>
      <c r="G1355" s="45" t="s">
        <v>10657</v>
      </c>
      <c r="H1355" s="55" t="s">
        <v>10658</v>
      </c>
      <c r="I1355" s="15" t="s">
        <v>178</v>
      </c>
    </row>
    <row r="1356" spans="1:9" ht="51.75" customHeight="1" x14ac:dyDescent="0.35">
      <c r="A1356" s="15" t="s">
        <v>25532</v>
      </c>
      <c r="B1356" s="15" t="s">
        <v>25533</v>
      </c>
      <c r="C1356" s="15" t="s">
        <v>25534</v>
      </c>
      <c r="D1356" s="31">
        <v>42296</v>
      </c>
      <c r="E1356" s="15" t="s">
        <v>25535</v>
      </c>
      <c r="F1356" s="87" t="s">
        <v>23710</v>
      </c>
      <c r="G1356" s="45" t="s">
        <v>11050</v>
      </c>
      <c r="H1356" s="55" t="s">
        <v>11051</v>
      </c>
      <c r="I1356" s="15" t="s">
        <v>178</v>
      </c>
    </row>
    <row r="1357" spans="1:9" ht="51.75" customHeight="1" x14ac:dyDescent="0.35">
      <c r="A1357" s="15" t="s">
        <v>25532</v>
      </c>
      <c r="B1357" s="15" t="s">
        <v>25536</v>
      </c>
      <c r="C1357" s="15" t="s">
        <v>25534</v>
      </c>
      <c r="D1357" s="31">
        <v>42296</v>
      </c>
      <c r="E1357" s="15" t="s">
        <v>25537</v>
      </c>
      <c r="F1357" s="87" t="s">
        <v>21871</v>
      </c>
      <c r="G1357" s="45" t="s">
        <v>11050</v>
      </c>
      <c r="H1357" s="55" t="s">
        <v>11051</v>
      </c>
      <c r="I1357" s="15" t="s">
        <v>178</v>
      </c>
    </row>
    <row r="1358" spans="1:9" ht="51.75" customHeight="1" x14ac:dyDescent="0.35">
      <c r="A1358" s="15" t="s">
        <v>23636</v>
      </c>
      <c r="B1358" s="15" t="s">
        <v>25538</v>
      </c>
      <c r="C1358" s="15" t="s">
        <v>25539</v>
      </c>
      <c r="D1358" s="31">
        <v>42524</v>
      </c>
      <c r="E1358" s="15" t="s">
        <v>25540</v>
      </c>
      <c r="F1358" s="87" t="s">
        <v>23710</v>
      </c>
      <c r="G1358" s="45" t="s">
        <v>11146</v>
      </c>
      <c r="H1358" s="55" t="s">
        <v>11147</v>
      </c>
      <c r="I1358" s="15" t="s">
        <v>178</v>
      </c>
    </row>
    <row r="1359" spans="1:9" ht="51.75" customHeight="1" x14ac:dyDescent="0.35">
      <c r="A1359" s="15" t="s">
        <v>23636</v>
      </c>
      <c r="B1359" s="15" t="s">
        <v>25541</v>
      </c>
      <c r="C1359" s="15" t="s">
        <v>25539</v>
      </c>
      <c r="D1359" s="31">
        <v>42524</v>
      </c>
      <c r="E1359" s="15" t="s">
        <v>25542</v>
      </c>
      <c r="F1359" s="87" t="s">
        <v>21871</v>
      </c>
      <c r="G1359" s="45" t="s">
        <v>11146</v>
      </c>
      <c r="H1359" s="55" t="s">
        <v>11147</v>
      </c>
      <c r="I1359" s="15" t="s">
        <v>178</v>
      </c>
    </row>
    <row r="1360" spans="1:9" ht="51.75" customHeight="1" x14ac:dyDescent="0.35">
      <c r="A1360" s="15" t="s">
        <v>25543</v>
      </c>
      <c r="B1360" s="15" t="s">
        <v>25544</v>
      </c>
      <c r="C1360" s="15" t="s">
        <v>25545</v>
      </c>
      <c r="D1360" s="31">
        <v>42524</v>
      </c>
      <c r="E1360" s="15" t="s">
        <v>25546</v>
      </c>
      <c r="F1360" s="87" t="s">
        <v>23710</v>
      </c>
      <c r="G1360" s="45" t="s">
        <v>11146</v>
      </c>
      <c r="H1360" s="55" t="s">
        <v>11147</v>
      </c>
      <c r="I1360" s="15" t="s">
        <v>178</v>
      </c>
    </row>
    <row r="1361" spans="1:9" ht="51.75" customHeight="1" x14ac:dyDescent="0.35">
      <c r="A1361" s="15" t="s">
        <v>25543</v>
      </c>
      <c r="B1361" s="15" t="s">
        <v>25547</v>
      </c>
      <c r="C1361" s="15" t="s">
        <v>25545</v>
      </c>
      <c r="D1361" s="31">
        <v>42524</v>
      </c>
      <c r="E1361" s="15" t="s">
        <v>25548</v>
      </c>
      <c r="F1361" s="87" t="s">
        <v>21871</v>
      </c>
      <c r="G1361" s="45" t="s">
        <v>11146</v>
      </c>
      <c r="H1361" s="55" t="s">
        <v>11147</v>
      </c>
      <c r="I1361" s="15" t="s">
        <v>178</v>
      </c>
    </row>
    <row r="1362" spans="1:9" ht="51.75" customHeight="1" x14ac:dyDescent="0.35">
      <c r="A1362" s="15" t="s">
        <v>25549</v>
      </c>
      <c r="B1362" s="15" t="s">
        <v>25550</v>
      </c>
      <c r="C1362" s="15" t="s">
        <v>25551</v>
      </c>
      <c r="D1362" s="31">
        <v>42524</v>
      </c>
      <c r="E1362" s="15" t="s">
        <v>25552</v>
      </c>
      <c r="F1362" s="87" t="s">
        <v>23710</v>
      </c>
      <c r="G1362" s="45" t="s">
        <v>11146</v>
      </c>
      <c r="H1362" s="55" t="s">
        <v>11147</v>
      </c>
      <c r="I1362" s="15" t="s">
        <v>178</v>
      </c>
    </row>
    <row r="1363" spans="1:9" ht="51.75" customHeight="1" x14ac:dyDescent="0.35">
      <c r="A1363" s="15" t="s">
        <v>25549</v>
      </c>
      <c r="B1363" s="15" t="s">
        <v>25553</v>
      </c>
      <c r="C1363" s="15" t="s">
        <v>25551</v>
      </c>
      <c r="D1363" s="31">
        <v>42524</v>
      </c>
      <c r="E1363" s="15" t="s">
        <v>25554</v>
      </c>
      <c r="F1363" s="87" t="s">
        <v>21871</v>
      </c>
      <c r="G1363" s="45" t="s">
        <v>11146</v>
      </c>
      <c r="H1363" s="55" t="s">
        <v>11147</v>
      </c>
      <c r="I1363" s="15" t="s">
        <v>178</v>
      </c>
    </row>
    <row r="1364" spans="1:9" ht="51.75" customHeight="1" x14ac:dyDescent="0.35">
      <c r="A1364" s="15" t="s">
        <v>25555</v>
      </c>
      <c r="B1364" s="15" t="s">
        <v>25556</v>
      </c>
      <c r="C1364" s="15" t="s">
        <v>25557</v>
      </c>
      <c r="D1364" s="31">
        <v>42524</v>
      </c>
      <c r="E1364" s="15" t="s">
        <v>25558</v>
      </c>
      <c r="F1364" s="87" t="s">
        <v>23710</v>
      </c>
      <c r="G1364" s="45" t="s">
        <v>11146</v>
      </c>
      <c r="H1364" s="55" t="s">
        <v>11147</v>
      </c>
      <c r="I1364" s="15" t="s">
        <v>178</v>
      </c>
    </row>
    <row r="1365" spans="1:9" ht="51.75" customHeight="1" x14ac:dyDescent="0.35">
      <c r="A1365" s="15" t="s">
        <v>25555</v>
      </c>
      <c r="B1365" s="15" t="s">
        <v>25559</v>
      </c>
      <c r="C1365" s="15" t="s">
        <v>25557</v>
      </c>
      <c r="D1365" s="31">
        <v>42524</v>
      </c>
      <c r="E1365" s="15" t="s">
        <v>25560</v>
      </c>
      <c r="F1365" s="87" t="s">
        <v>21871</v>
      </c>
      <c r="G1365" s="45" t="s">
        <v>11146</v>
      </c>
      <c r="H1365" s="55" t="s">
        <v>11147</v>
      </c>
      <c r="I1365" s="15" t="s">
        <v>178</v>
      </c>
    </row>
    <row r="1366" spans="1:9" ht="51.75" customHeight="1" x14ac:dyDescent="0.35">
      <c r="A1366" s="15" t="s">
        <v>25561</v>
      </c>
      <c r="B1366" s="15" t="s">
        <v>25562</v>
      </c>
      <c r="C1366" s="15" t="s">
        <v>25563</v>
      </c>
      <c r="D1366" s="31">
        <v>42152</v>
      </c>
      <c r="E1366" s="15" t="s">
        <v>25564</v>
      </c>
      <c r="F1366" s="87" t="s">
        <v>23710</v>
      </c>
      <c r="G1366" s="45" t="s">
        <v>11209</v>
      </c>
      <c r="H1366" s="55" t="s">
        <v>11210</v>
      </c>
      <c r="I1366" s="15" t="s">
        <v>178</v>
      </c>
    </row>
    <row r="1367" spans="1:9" ht="51.75" customHeight="1" x14ac:dyDescent="0.35">
      <c r="A1367" s="15" t="s">
        <v>25561</v>
      </c>
      <c r="B1367" s="15" t="s">
        <v>25565</v>
      </c>
      <c r="C1367" s="15" t="s">
        <v>25563</v>
      </c>
      <c r="D1367" s="31">
        <v>42152</v>
      </c>
      <c r="E1367" s="15" t="s">
        <v>25566</v>
      </c>
      <c r="F1367" s="87" t="s">
        <v>21871</v>
      </c>
      <c r="G1367" s="45" t="s">
        <v>11209</v>
      </c>
      <c r="H1367" s="55" t="s">
        <v>11210</v>
      </c>
      <c r="I1367" s="15" t="s">
        <v>178</v>
      </c>
    </row>
    <row r="1368" spans="1:9" ht="51.75" customHeight="1" x14ac:dyDescent="0.35">
      <c r="A1368" s="15" t="s">
        <v>25567</v>
      </c>
      <c r="B1368" s="15" t="s">
        <v>25568</v>
      </c>
      <c r="C1368" s="15" t="s">
        <v>25569</v>
      </c>
      <c r="D1368" s="31">
        <v>42152</v>
      </c>
      <c r="E1368" s="15" t="s">
        <v>25570</v>
      </c>
      <c r="F1368" s="87" t="s">
        <v>23710</v>
      </c>
      <c r="G1368" s="45" t="s">
        <v>11209</v>
      </c>
      <c r="H1368" s="55" t="s">
        <v>11210</v>
      </c>
      <c r="I1368" s="15" t="s">
        <v>178</v>
      </c>
    </row>
    <row r="1369" spans="1:9" ht="51.75" customHeight="1" x14ac:dyDescent="0.35">
      <c r="A1369" s="15" t="s">
        <v>25567</v>
      </c>
      <c r="B1369" s="15" t="s">
        <v>25571</v>
      </c>
      <c r="C1369" s="15" t="s">
        <v>25569</v>
      </c>
      <c r="D1369" s="31">
        <v>42152</v>
      </c>
      <c r="E1369" s="15" t="s">
        <v>25572</v>
      </c>
      <c r="F1369" s="87" t="s">
        <v>21871</v>
      </c>
      <c r="G1369" s="45" t="s">
        <v>11209</v>
      </c>
      <c r="H1369" s="55" t="s">
        <v>11210</v>
      </c>
      <c r="I1369" s="15" t="s">
        <v>178</v>
      </c>
    </row>
    <row r="1370" spans="1:9" ht="51.75" customHeight="1" x14ac:dyDescent="0.35">
      <c r="A1370" s="15" t="s">
        <v>25573</v>
      </c>
      <c r="B1370" s="15" t="s">
        <v>25574</v>
      </c>
      <c r="C1370" s="15" t="s">
        <v>25575</v>
      </c>
      <c r="D1370" s="31">
        <v>42643</v>
      </c>
      <c r="E1370" s="15" t="s">
        <v>25576</v>
      </c>
      <c r="F1370" s="87" t="s">
        <v>23710</v>
      </c>
      <c r="G1370" s="45" t="s">
        <v>11209</v>
      </c>
      <c r="H1370" s="55" t="s">
        <v>11210</v>
      </c>
      <c r="I1370" s="15" t="s">
        <v>178</v>
      </c>
    </row>
    <row r="1371" spans="1:9" ht="51.75" customHeight="1" x14ac:dyDescent="0.35">
      <c r="A1371" s="15" t="s">
        <v>25573</v>
      </c>
      <c r="B1371" s="15" t="s">
        <v>25577</v>
      </c>
      <c r="C1371" s="15" t="s">
        <v>25575</v>
      </c>
      <c r="D1371" s="31">
        <v>42643</v>
      </c>
      <c r="E1371" s="15" t="s">
        <v>25578</v>
      </c>
      <c r="F1371" s="87" t="s">
        <v>21871</v>
      </c>
      <c r="G1371" s="45" t="s">
        <v>11209</v>
      </c>
      <c r="H1371" s="55" t="s">
        <v>11210</v>
      </c>
      <c r="I1371" s="15" t="s">
        <v>178</v>
      </c>
    </row>
    <row r="1372" spans="1:9" ht="51.75" customHeight="1" x14ac:dyDescent="0.35">
      <c r="A1372" s="15" t="s">
        <v>22139</v>
      </c>
      <c r="B1372" s="15" t="s">
        <v>25579</v>
      </c>
      <c r="C1372" s="15" t="s">
        <v>25580</v>
      </c>
      <c r="D1372" s="31">
        <v>42643</v>
      </c>
      <c r="E1372" s="15" t="s">
        <v>25581</v>
      </c>
      <c r="F1372" s="87" t="s">
        <v>23710</v>
      </c>
      <c r="G1372" s="45" t="s">
        <v>11209</v>
      </c>
      <c r="H1372" s="55" t="s">
        <v>11210</v>
      </c>
      <c r="I1372" s="15" t="s">
        <v>178</v>
      </c>
    </row>
    <row r="1373" spans="1:9" ht="51.75" customHeight="1" x14ac:dyDescent="0.35">
      <c r="A1373" s="15" t="s">
        <v>22139</v>
      </c>
      <c r="B1373" s="15" t="s">
        <v>25582</v>
      </c>
      <c r="C1373" s="15" t="s">
        <v>25580</v>
      </c>
      <c r="D1373" s="31">
        <v>42643</v>
      </c>
      <c r="E1373" s="15" t="s">
        <v>25583</v>
      </c>
      <c r="F1373" s="87" t="s">
        <v>21871</v>
      </c>
      <c r="G1373" s="45" t="s">
        <v>11209</v>
      </c>
      <c r="H1373" s="55" t="s">
        <v>11210</v>
      </c>
      <c r="I1373" s="15" t="s">
        <v>178</v>
      </c>
    </row>
    <row r="1374" spans="1:9" ht="51.75" customHeight="1" x14ac:dyDescent="0.35">
      <c r="A1374" s="15" t="s">
        <v>25584</v>
      </c>
      <c r="B1374" s="15" t="s">
        <v>25585</v>
      </c>
      <c r="C1374" s="15" t="s">
        <v>25586</v>
      </c>
      <c r="D1374" s="31">
        <v>42643</v>
      </c>
      <c r="E1374" s="15" t="s">
        <v>25587</v>
      </c>
      <c r="F1374" s="87" t="s">
        <v>23710</v>
      </c>
      <c r="G1374" s="45" t="s">
        <v>11209</v>
      </c>
      <c r="H1374" s="55" t="s">
        <v>11210</v>
      </c>
      <c r="I1374" s="15" t="s">
        <v>178</v>
      </c>
    </row>
    <row r="1375" spans="1:9" ht="51.75" customHeight="1" x14ac:dyDescent="0.35">
      <c r="A1375" s="15" t="s">
        <v>25584</v>
      </c>
      <c r="B1375" s="15" t="s">
        <v>25588</v>
      </c>
      <c r="C1375" s="15" t="s">
        <v>25586</v>
      </c>
      <c r="D1375" s="31">
        <v>42643</v>
      </c>
      <c r="E1375" s="15" t="s">
        <v>25589</v>
      </c>
      <c r="F1375" s="87" t="s">
        <v>21871</v>
      </c>
      <c r="G1375" s="45" t="s">
        <v>11209</v>
      </c>
      <c r="H1375" s="55" t="s">
        <v>11210</v>
      </c>
      <c r="I1375" s="15" t="s">
        <v>178</v>
      </c>
    </row>
    <row r="1376" spans="1:9" ht="51.75" customHeight="1" x14ac:dyDescent="0.35">
      <c r="A1376" s="15" t="s">
        <v>25590</v>
      </c>
      <c r="B1376" s="15" t="s">
        <v>25591</v>
      </c>
      <c r="C1376" s="15" t="s">
        <v>25592</v>
      </c>
      <c r="D1376" s="31">
        <v>42643</v>
      </c>
      <c r="E1376" s="15" t="s">
        <v>25102</v>
      </c>
      <c r="F1376" s="87" t="s">
        <v>23710</v>
      </c>
      <c r="G1376" s="45" t="s">
        <v>11209</v>
      </c>
      <c r="H1376" s="55" t="s">
        <v>11210</v>
      </c>
      <c r="I1376" s="15" t="s">
        <v>178</v>
      </c>
    </row>
    <row r="1377" spans="1:9" ht="51.75" customHeight="1" x14ac:dyDescent="0.35">
      <c r="A1377" s="15" t="s">
        <v>25590</v>
      </c>
      <c r="B1377" s="15" t="s">
        <v>25593</v>
      </c>
      <c r="C1377" s="15" t="s">
        <v>25592</v>
      </c>
      <c r="D1377" s="31">
        <v>42643</v>
      </c>
      <c r="E1377" s="15" t="s">
        <v>25594</v>
      </c>
      <c r="F1377" s="87" t="s">
        <v>21871</v>
      </c>
      <c r="G1377" s="45" t="s">
        <v>11209</v>
      </c>
      <c r="H1377" s="55" t="s">
        <v>11210</v>
      </c>
      <c r="I1377" s="15" t="s">
        <v>178</v>
      </c>
    </row>
    <row r="1378" spans="1:9" ht="51.75" customHeight="1" x14ac:dyDescent="0.35">
      <c r="A1378" s="15" t="s">
        <v>25595</v>
      </c>
      <c r="B1378" s="15" t="s">
        <v>25596</v>
      </c>
      <c r="C1378" s="15" t="s">
        <v>25597</v>
      </c>
      <c r="D1378" s="31">
        <v>42643</v>
      </c>
      <c r="E1378" s="15" t="s">
        <v>25598</v>
      </c>
      <c r="F1378" s="87" t="s">
        <v>23710</v>
      </c>
      <c r="G1378" s="45" t="s">
        <v>11209</v>
      </c>
      <c r="H1378" s="55" t="s">
        <v>11210</v>
      </c>
      <c r="I1378" s="15" t="s">
        <v>178</v>
      </c>
    </row>
    <row r="1379" spans="1:9" ht="51.75" customHeight="1" x14ac:dyDescent="0.35">
      <c r="A1379" s="15" t="s">
        <v>25595</v>
      </c>
      <c r="B1379" s="15" t="s">
        <v>25599</v>
      </c>
      <c r="C1379" s="15" t="s">
        <v>25597</v>
      </c>
      <c r="D1379" s="31">
        <v>42643</v>
      </c>
      <c r="E1379" s="15" t="s">
        <v>25600</v>
      </c>
      <c r="F1379" s="87" t="s">
        <v>21871</v>
      </c>
      <c r="G1379" s="45" t="s">
        <v>11209</v>
      </c>
      <c r="H1379" s="55" t="s">
        <v>11210</v>
      </c>
      <c r="I1379" s="15" t="s">
        <v>178</v>
      </c>
    </row>
    <row r="1380" spans="1:9" ht="51.75" customHeight="1" x14ac:dyDescent="0.35">
      <c r="A1380" s="15" t="s">
        <v>25601</v>
      </c>
      <c r="B1380" s="15" t="s">
        <v>25602</v>
      </c>
      <c r="C1380" s="15" t="s">
        <v>25603</v>
      </c>
      <c r="D1380" s="31">
        <v>42643</v>
      </c>
      <c r="E1380" s="15" t="s">
        <v>25604</v>
      </c>
      <c r="F1380" s="87" t="s">
        <v>23710</v>
      </c>
      <c r="G1380" s="45" t="s">
        <v>11209</v>
      </c>
      <c r="H1380" s="55" t="s">
        <v>11210</v>
      </c>
      <c r="I1380" s="15" t="s">
        <v>178</v>
      </c>
    </row>
    <row r="1381" spans="1:9" ht="51.75" customHeight="1" x14ac:dyDescent="0.35">
      <c r="A1381" s="15" t="s">
        <v>25601</v>
      </c>
      <c r="B1381" s="15" t="s">
        <v>25605</v>
      </c>
      <c r="C1381" s="15" t="s">
        <v>25603</v>
      </c>
      <c r="D1381" s="31">
        <v>42643</v>
      </c>
      <c r="E1381" s="15" t="s">
        <v>25606</v>
      </c>
      <c r="F1381" s="87" t="s">
        <v>21871</v>
      </c>
      <c r="G1381" s="45" t="s">
        <v>11209</v>
      </c>
      <c r="H1381" s="55" t="s">
        <v>11210</v>
      </c>
      <c r="I1381" s="15" t="s">
        <v>178</v>
      </c>
    </row>
    <row r="1382" spans="1:9" ht="51.75" customHeight="1" x14ac:dyDescent="0.35">
      <c r="A1382" s="15" t="s">
        <v>25607</v>
      </c>
      <c r="B1382" s="15" t="s">
        <v>25608</v>
      </c>
      <c r="C1382" s="15" t="s">
        <v>25609</v>
      </c>
      <c r="D1382" s="31">
        <v>42643</v>
      </c>
      <c r="E1382" s="15" t="s">
        <v>25610</v>
      </c>
      <c r="F1382" s="87" t="s">
        <v>23710</v>
      </c>
      <c r="G1382" s="45" t="s">
        <v>11209</v>
      </c>
      <c r="H1382" s="55" t="s">
        <v>11210</v>
      </c>
      <c r="I1382" s="15" t="s">
        <v>178</v>
      </c>
    </row>
    <row r="1383" spans="1:9" ht="51.75" customHeight="1" x14ac:dyDescent="0.35">
      <c r="A1383" s="15" t="s">
        <v>25607</v>
      </c>
      <c r="B1383" s="15" t="s">
        <v>25611</v>
      </c>
      <c r="C1383" s="15" t="s">
        <v>25609</v>
      </c>
      <c r="D1383" s="31">
        <v>42643</v>
      </c>
      <c r="E1383" s="15" t="s">
        <v>25612</v>
      </c>
      <c r="F1383" s="87" t="s">
        <v>21871</v>
      </c>
      <c r="G1383" s="45" t="s">
        <v>11209</v>
      </c>
      <c r="H1383" s="55" t="s">
        <v>11210</v>
      </c>
      <c r="I1383" s="15" t="s">
        <v>178</v>
      </c>
    </row>
    <row r="1384" spans="1:9" ht="51.75" customHeight="1" x14ac:dyDescent="0.35">
      <c r="A1384" s="15" t="s">
        <v>25613</v>
      </c>
      <c r="B1384" s="15" t="s">
        <v>25614</v>
      </c>
      <c r="C1384" s="15" t="s">
        <v>25615</v>
      </c>
      <c r="D1384" s="31">
        <v>42598</v>
      </c>
      <c r="E1384" s="15" t="s">
        <v>25616</v>
      </c>
      <c r="F1384" s="87" t="s">
        <v>23710</v>
      </c>
      <c r="G1384" s="45" t="s">
        <v>11398</v>
      </c>
      <c r="H1384" s="55" t="s">
        <v>11399</v>
      </c>
      <c r="I1384" s="15" t="s">
        <v>178</v>
      </c>
    </row>
    <row r="1385" spans="1:9" ht="51.75" customHeight="1" x14ac:dyDescent="0.35">
      <c r="A1385" s="15" t="s">
        <v>25613</v>
      </c>
      <c r="B1385" s="15" t="s">
        <v>25617</v>
      </c>
      <c r="C1385" s="15" t="s">
        <v>25615</v>
      </c>
      <c r="D1385" s="31">
        <v>42598</v>
      </c>
      <c r="E1385" s="15" t="s">
        <v>25618</v>
      </c>
      <c r="F1385" s="87" t="s">
        <v>21871</v>
      </c>
      <c r="G1385" s="45" t="s">
        <v>11398</v>
      </c>
      <c r="H1385" s="55" t="s">
        <v>11399</v>
      </c>
      <c r="I1385" s="15" t="s">
        <v>178</v>
      </c>
    </row>
    <row r="1386" spans="1:9" ht="51.75" customHeight="1" x14ac:dyDescent="0.35">
      <c r="A1386" s="15" t="s">
        <v>25619</v>
      </c>
      <c r="B1386" s="15" t="s">
        <v>25620</v>
      </c>
      <c r="C1386" s="15" t="s">
        <v>25621</v>
      </c>
      <c r="D1386" s="31">
        <v>42598</v>
      </c>
      <c r="E1386" s="15" t="s">
        <v>25622</v>
      </c>
      <c r="F1386" s="87" t="s">
        <v>23710</v>
      </c>
      <c r="G1386" s="45" t="s">
        <v>11398</v>
      </c>
      <c r="H1386" s="55" t="s">
        <v>11399</v>
      </c>
      <c r="I1386" s="15" t="s">
        <v>178</v>
      </c>
    </row>
    <row r="1387" spans="1:9" ht="51.75" customHeight="1" x14ac:dyDescent="0.35">
      <c r="A1387" s="15" t="s">
        <v>25619</v>
      </c>
      <c r="B1387" s="15" t="s">
        <v>25623</v>
      </c>
      <c r="C1387" s="15" t="s">
        <v>25621</v>
      </c>
      <c r="D1387" s="31">
        <v>42598</v>
      </c>
      <c r="E1387" s="15" t="s">
        <v>25624</v>
      </c>
      <c r="F1387" s="87" t="s">
        <v>21871</v>
      </c>
      <c r="G1387" s="45" t="s">
        <v>11398</v>
      </c>
      <c r="H1387" s="55" t="s">
        <v>11399</v>
      </c>
      <c r="I1387" s="15" t="s">
        <v>178</v>
      </c>
    </row>
    <row r="1388" spans="1:9" ht="51.75" customHeight="1" x14ac:dyDescent="0.35">
      <c r="A1388" s="15" t="s">
        <v>22715</v>
      </c>
      <c r="B1388" s="15" t="s">
        <v>25625</v>
      </c>
      <c r="C1388" s="15" t="s">
        <v>25626</v>
      </c>
      <c r="D1388" s="31">
        <v>42997</v>
      </c>
      <c r="E1388" s="15" t="s">
        <v>25627</v>
      </c>
      <c r="F1388" s="87" t="s">
        <v>23710</v>
      </c>
      <c r="G1388" s="45" t="s">
        <v>12772</v>
      </c>
      <c r="H1388" s="55" t="s">
        <v>12773</v>
      </c>
      <c r="I1388" s="15" t="s">
        <v>178</v>
      </c>
    </row>
    <row r="1389" spans="1:9" ht="51.75" customHeight="1" x14ac:dyDescent="0.35">
      <c r="A1389" s="15" t="s">
        <v>22715</v>
      </c>
      <c r="B1389" s="15" t="s">
        <v>25628</v>
      </c>
      <c r="C1389" s="15" t="s">
        <v>25626</v>
      </c>
      <c r="D1389" s="31">
        <v>42997</v>
      </c>
      <c r="E1389" s="15" t="s">
        <v>25629</v>
      </c>
      <c r="F1389" s="87" t="s">
        <v>21871</v>
      </c>
      <c r="G1389" s="45" t="s">
        <v>12772</v>
      </c>
      <c r="H1389" s="55" t="s">
        <v>12773</v>
      </c>
      <c r="I1389" s="15" t="s">
        <v>178</v>
      </c>
    </row>
    <row r="1390" spans="1:9" ht="51.75" customHeight="1" x14ac:dyDescent="0.35">
      <c r="A1390" s="15" t="s">
        <v>23408</v>
      </c>
      <c r="B1390" s="15" t="s">
        <v>25630</v>
      </c>
      <c r="C1390" s="15" t="s">
        <v>25631</v>
      </c>
      <c r="D1390" s="31">
        <v>42997</v>
      </c>
      <c r="E1390" s="15" t="s">
        <v>25632</v>
      </c>
      <c r="F1390" s="87" t="s">
        <v>23710</v>
      </c>
      <c r="G1390" s="45" t="s">
        <v>12772</v>
      </c>
      <c r="H1390" s="55" t="s">
        <v>12773</v>
      </c>
      <c r="I1390" s="15" t="s">
        <v>178</v>
      </c>
    </row>
    <row r="1391" spans="1:9" ht="51.75" customHeight="1" x14ac:dyDescent="0.35">
      <c r="A1391" s="15" t="s">
        <v>23408</v>
      </c>
      <c r="B1391" s="15" t="s">
        <v>25633</v>
      </c>
      <c r="C1391" s="15" t="s">
        <v>25631</v>
      </c>
      <c r="D1391" s="31">
        <v>42997</v>
      </c>
      <c r="E1391" s="15" t="s">
        <v>25634</v>
      </c>
      <c r="F1391" s="87" t="s">
        <v>21871</v>
      </c>
      <c r="G1391" s="45" t="s">
        <v>12772</v>
      </c>
      <c r="H1391" s="55" t="s">
        <v>12773</v>
      </c>
      <c r="I1391" s="15" t="s">
        <v>178</v>
      </c>
    </row>
    <row r="1392" spans="1:9" ht="51.75" customHeight="1" x14ac:dyDescent="0.35">
      <c r="A1392" s="15" t="s">
        <v>23337</v>
      </c>
      <c r="B1392" s="15" t="s">
        <v>25635</v>
      </c>
      <c r="C1392" s="15" t="s">
        <v>25636</v>
      </c>
      <c r="D1392" s="31">
        <v>42997</v>
      </c>
      <c r="E1392" s="15" t="s">
        <v>25637</v>
      </c>
      <c r="F1392" s="87" t="s">
        <v>23710</v>
      </c>
      <c r="G1392" s="45" t="s">
        <v>12772</v>
      </c>
      <c r="H1392" s="55" t="s">
        <v>12773</v>
      </c>
      <c r="I1392" s="15" t="s">
        <v>178</v>
      </c>
    </row>
    <row r="1393" spans="1:9" ht="51.75" customHeight="1" x14ac:dyDescent="0.35">
      <c r="A1393" s="15" t="s">
        <v>23337</v>
      </c>
      <c r="B1393" s="15" t="s">
        <v>25638</v>
      </c>
      <c r="C1393" s="15" t="s">
        <v>25636</v>
      </c>
      <c r="D1393" s="31">
        <v>42997</v>
      </c>
      <c r="E1393" s="15" t="s">
        <v>25639</v>
      </c>
      <c r="F1393" s="87" t="s">
        <v>21871</v>
      </c>
      <c r="G1393" s="45" t="s">
        <v>12772</v>
      </c>
      <c r="H1393" s="55" t="s">
        <v>12773</v>
      </c>
      <c r="I1393" s="15" t="s">
        <v>178</v>
      </c>
    </row>
    <row r="1394" spans="1:9" ht="51.75" customHeight="1" x14ac:dyDescent="0.35">
      <c r="A1394" s="15" t="s">
        <v>25640</v>
      </c>
      <c r="B1394" s="15" t="s">
        <v>25641</v>
      </c>
      <c r="C1394" s="15" t="s">
        <v>25642</v>
      </c>
      <c r="D1394" s="31">
        <v>42997</v>
      </c>
      <c r="E1394" s="15" t="s">
        <v>25643</v>
      </c>
      <c r="F1394" s="87" t="s">
        <v>23710</v>
      </c>
      <c r="G1394" s="45" t="s">
        <v>12772</v>
      </c>
      <c r="H1394" s="55" t="s">
        <v>12773</v>
      </c>
      <c r="I1394" s="15" t="s">
        <v>178</v>
      </c>
    </row>
    <row r="1395" spans="1:9" ht="51.75" customHeight="1" x14ac:dyDescent="0.35">
      <c r="A1395" s="15" t="s">
        <v>25640</v>
      </c>
      <c r="B1395" s="15" t="s">
        <v>25644</v>
      </c>
      <c r="C1395" s="15" t="s">
        <v>25642</v>
      </c>
      <c r="D1395" s="31">
        <v>42997</v>
      </c>
      <c r="E1395" s="15" t="s">
        <v>25645</v>
      </c>
      <c r="F1395" s="87" t="s">
        <v>21871</v>
      </c>
      <c r="G1395" s="45" t="s">
        <v>12772</v>
      </c>
      <c r="H1395" s="55" t="s">
        <v>12773</v>
      </c>
      <c r="I1395" s="15" t="s">
        <v>178</v>
      </c>
    </row>
    <row r="1396" spans="1:9" ht="51.75" customHeight="1" x14ac:dyDescent="0.35">
      <c r="A1396" s="15" t="s">
        <v>24917</v>
      </c>
      <c r="B1396" s="15" t="s">
        <v>25646</v>
      </c>
      <c r="C1396" s="15" t="s">
        <v>25647</v>
      </c>
      <c r="D1396" s="31">
        <v>42997</v>
      </c>
      <c r="E1396" s="15" t="s">
        <v>25648</v>
      </c>
      <c r="F1396" s="87" t="s">
        <v>23710</v>
      </c>
      <c r="G1396" s="45" t="s">
        <v>12772</v>
      </c>
      <c r="H1396" s="55" t="s">
        <v>12773</v>
      </c>
      <c r="I1396" s="15" t="s">
        <v>178</v>
      </c>
    </row>
    <row r="1397" spans="1:9" ht="51.75" customHeight="1" x14ac:dyDescent="0.35">
      <c r="A1397" s="15" t="s">
        <v>24917</v>
      </c>
      <c r="B1397" s="15" t="s">
        <v>25649</v>
      </c>
      <c r="C1397" s="15" t="s">
        <v>25647</v>
      </c>
      <c r="D1397" s="31">
        <v>42997</v>
      </c>
      <c r="E1397" s="15" t="s">
        <v>25650</v>
      </c>
      <c r="F1397" s="87" t="s">
        <v>21871</v>
      </c>
      <c r="G1397" s="45" t="s">
        <v>12772</v>
      </c>
      <c r="H1397" s="55" t="s">
        <v>12773</v>
      </c>
      <c r="I1397" s="15" t="s">
        <v>178</v>
      </c>
    </row>
    <row r="1398" spans="1:9" ht="51.75" customHeight="1" x14ac:dyDescent="0.35">
      <c r="A1398" s="15" t="s">
        <v>25651</v>
      </c>
      <c r="B1398" s="15" t="s">
        <v>25652</v>
      </c>
      <c r="C1398" s="15" t="s">
        <v>25653</v>
      </c>
      <c r="D1398" s="31">
        <v>43025</v>
      </c>
      <c r="E1398" s="15" t="s">
        <v>25654</v>
      </c>
      <c r="F1398" s="87" t="s">
        <v>23710</v>
      </c>
      <c r="G1398" s="45" t="s">
        <v>12863</v>
      </c>
      <c r="H1398" s="55" t="s">
        <v>12864</v>
      </c>
      <c r="I1398" s="15" t="s">
        <v>178</v>
      </c>
    </row>
    <row r="1399" spans="1:9" ht="51.75" customHeight="1" x14ac:dyDescent="0.35">
      <c r="A1399" s="15" t="s">
        <v>25651</v>
      </c>
      <c r="B1399" s="15" t="s">
        <v>25655</v>
      </c>
      <c r="C1399" s="15" t="s">
        <v>25653</v>
      </c>
      <c r="D1399" s="31">
        <v>43025</v>
      </c>
      <c r="E1399" s="15" t="s">
        <v>25656</v>
      </c>
      <c r="F1399" s="87" t="s">
        <v>21871</v>
      </c>
      <c r="G1399" s="45" t="s">
        <v>12863</v>
      </c>
      <c r="H1399" s="55" t="s">
        <v>12864</v>
      </c>
      <c r="I1399" s="15" t="s">
        <v>178</v>
      </c>
    </row>
    <row r="1400" spans="1:9" ht="51.75" customHeight="1" x14ac:dyDescent="0.35">
      <c r="A1400" s="15" t="s">
        <v>25657</v>
      </c>
      <c r="B1400" s="15" t="s">
        <v>25658</v>
      </c>
      <c r="C1400" s="15" t="s">
        <v>25659</v>
      </c>
      <c r="D1400" s="31">
        <v>43025</v>
      </c>
      <c r="E1400" s="15" t="s">
        <v>25660</v>
      </c>
      <c r="F1400" s="87" t="s">
        <v>23710</v>
      </c>
      <c r="G1400" s="45" t="s">
        <v>12863</v>
      </c>
      <c r="H1400" s="55" t="s">
        <v>12864</v>
      </c>
      <c r="I1400" s="15" t="s">
        <v>178</v>
      </c>
    </row>
    <row r="1401" spans="1:9" ht="51.75" customHeight="1" x14ac:dyDescent="0.35">
      <c r="A1401" s="15" t="s">
        <v>25657</v>
      </c>
      <c r="B1401" s="15" t="s">
        <v>25661</v>
      </c>
      <c r="C1401" s="15" t="s">
        <v>25659</v>
      </c>
      <c r="D1401" s="31">
        <v>43025</v>
      </c>
      <c r="E1401" s="15" t="s">
        <v>25662</v>
      </c>
      <c r="F1401" s="87" t="s">
        <v>21871</v>
      </c>
      <c r="G1401" s="45" t="s">
        <v>12863</v>
      </c>
      <c r="H1401" s="55" t="s">
        <v>12864</v>
      </c>
      <c r="I1401" s="15" t="s">
        <v>178</v>
      </c>
    </row>
    <row r="1402" spans="1:9" ht="51.75" customHeight="1" x14ac:dyDescent="0.35">
      <c r="A1402" s="15" t="s">
        <v>25663</v>
      </c>
      <c r="B1402" s="15" t="s">
        <v>25664</v>
      </c>
      <c r="C1402" s="15" t="s">
        <v>25665</v>
      </c>
      <c r="D1402" s="31">
        <v>43048</v>
      </c>
      <c r="E1402" s="15" t="s">
        <v>25666</v>
      </c>
      <c r="F1402" s="87" t="s">
        <v>23710</v>
      </c>
      <c r="G1402" s="45" t="s">
        <v>13057</v>
      </c>
      <c r="H1402" s="55" t="s">
        <v>13058</v>
      </c>
      <c r="I1402" s="15" t="s">
        <v>178</v>
      </c>
    </row>
    <row r="1403" spans="1:9" ht="51.75" customHeight="1" x14ac:dyDescent="0.35">
      <c r="A1403" s="15" t="s">
        <v>25663</v>
      </c>
      <c r="B1403" s="15" t="s">
        <v>25667</v>
      </c>
      <c r="C1403" s="15" t="s">
        <v>25665</v>
      </c>
      <c r="D1403" s="31">
        <v>43048</v>
      </c>
      <c r="E1403" s="15" t="s">
        <v>25668</v>
      </c>
      <c r="F1403" s="87" t="s">
        <v>21871</v>
      </c>
      <c r="G1403" s="45" t="s">
        <v>13057</v>
      </c>
      <c r="H1403" s="55" t="s">
        <v>13058</v>
      </c>
      <c r="I1403" s="15" t="s">
        <v>178</v>
      </c>
    </row>
    <row r="1404" spans="1:9" ht="51.75" customHeight="1" x14ac:dyDescent="0.35">
      <c r="A1404" s="15" t="s">
        <v>22983</v>
      </c>
      <c r="B1404" s="15" t="s">
        <v>25669</v>
      </c>
      <c r="C1404" s="15" t="s">
        <v>25670</v>
      </c>
      <c r="D1404" s="31">
        <v>43048</v>
      </c>
      <c r="E1404" s="15" t="s">
        <v>25671</v>
      </c>
      <c r="F1404" s="87" t="s">
        <v>23710</v>
      </c>
      <c r="G1404" s="45" t="s">
        <v>13057</v>
      </c>
      <c r="H1404" s="55" t="s">
        <v>13058</v>
      </c>
      <c r="I1404" s="15" t="s">
        <v>178</v>
      </c>
    </row>
    <row r="1405" spans="1:9" ht="51.75" customHeight="1" x14ac:dyDescent="0.35">
      <c r="A1405" s="15" t="s">
        <v>22983</v>
      </c>
      <c r="B1405" s="15" t="s">
        <v>25672</v>
      </c>
      <c r="C1405" s="15" t="s">
        <v>25670</v>
      </c>
      <c r="D1405" s="31">
        <v>43048</v>
      </c>
      <c r="E1405" s="15" t="s">
        <v>25673</v>
      </c>
      <c r="F1405" s="87" t="s">
        <v>21871</v>
      </c>
      <c r="G1405" s="45" t="s">
        <v>13057</v>
      </c>
      <c r="H1405" s="55" t="s">
        <v>13058</v>
      </c>
      <c r="I1405" s="15" t="s">
        <v>178</v>
      </c>
    </row>
    <row r="1406" spans="1:9" ht="51.75" customHeight="1" x14ac:dyDescent="0.35">
      <c r="A1406" s="15" t="s">
        <v>23706</v>
      </c>
      <c r="B1406" s="15" t="s">
        <v>25674</v>
      </c>
      <c r="C1406" s="15" t="s">
        <v>25675</v>
      </c>
      <c r="D1406" s="31">
        <v>43486</v>
      </c>
      <c r="E1406" s="15" t="s">
        <v>25676</v>
      </c>
      <c r="F1406" s="87" t="s">
        <v>23710</v>
      </c>
      <c r="G1406" s="45" t="s">
        <v>13533</v>
      </c>
      <c r="H1406" s="55" t="s">
        <v>13534</v>
      </c>
      <c r="I1406" s="15" t="s">
        <v>178</v>
      </c>
    </row>
    <row r="1407" spans="1:9" ht="51.75" customHeight="1" x14ac:dyDescent="0.35">
      <c r="A1407" s="15" t="s">
        <v>23706</v>
      </c>
      <c r="B1407" s="15" t="s">
        <v>25677</v>
      </c>
      <c r="C1407" s="15" t="s">
        <v>25675</v>
      </c>
      <c r="D1407" s="31">
        <v>43486</v>
      </c>
      <c r="E1407" s="15" t="s">
        <v>25678</v>
      </c>
      <c r="F1407" s="87" t="s">
        <v>21871</v>
      </c>
      <c r="G1407" s="45" t="s">
        <v>13533</v>
      </c>
      <c r="H1407" s="55" t="s">
        <v>13534</v>
      </c>
      <c r="I1407" s="15" t="s">
        <v>178</v>
      </c>
    </row>
    <row r="1408" spans="1:9" ht="51.75" customHeight="1" x14ac:dyDescent="0.35">
      <c r="A1408" s="15" t="s">
        <v>23713</v>
      </c>
      <c r="B1408" s="15" t="s">
        <v>25679</v>
      </c>
      <c r="C1408" s="15" t="s">
        <v>25680</v>
      </c>
      <c r="D1408" s="31">
        <v>43486</v>
      </c>
      <c r="E1408" s="15" t="s">
        <v>25681</v>
      </c>
      <c r="F1408" s="87" t="s">
        <v>23710</v>
      </c>
      <c r="G1408" s="45" t="s">
        <v>13533</v>
      </c>
      <c r="H1408" s="55" t="s">
        <v>13534</v>
      </c>
      <c r="I1408" s="15" t="s">
        <v>178</v>
      </c>
    </row>
    <row r="1409" spans="1:9" ht="51.75" customHeight="1" x14ac:dyDescent="0.35">
      <c r="A1409" s="15" t="s">
        <v>23713</v>
      </c>
      <c r="B1409" s="15" t="s">
        <v>25682</v>
      </c>
      <c r="C1409" s="15" t="s">
        <v>25680</v>
      </c>
      <c r="D1409" s="31">
        <v>43486</v>
      </c>
      <c r="E1409" s="15" t="s">
        <v>25683</v>
      </c>
      <c r="F1409" s="87" t="s">
        <v>21871</v>
      </c>
      <c r="G1409" s="45" t="s">
        <v>13533</v>
      </c>
      <c r="H1409" s="55" t="s">
        <v>13534</v>
      </c>
      <c r="I1409" s="15" t="s">
        <v>178</v>
      </c>
    </row>
    <row r="1410" spans="1:9" ht="51.75" customHeight="1" x14ac:dyDescent="0.35">
      <c r="A1410" s="15" t="s">
        <v>22091</v>
      </c>
      <c r="B1410" s="15" t="s">
        <v>25684</v>
      </c>
      <c r="C1410" s="15" t="s">
        <v>25685</v>
      </c>
      <c r="D1410" s="31">
        <v>43486</v>
      </c>
      <c r="E1410" s="15" t="s">
        <v>25686</v>
      </c>
      <c r="F1410" s="87" t="s">
        <v>23710</v>
      </c>
      <c r="G1410" s="45" t="s">
        <v>13533</v>
      </c>
      <c r="H1410" s="55" t="s">
        <v>13534</v>
      </c>
      <c r="I1410" s="15" t="s">
        <v>178</v>
      </c>
    </row>
    <row r="1411" spans="1:9" ht="51.75" customHeight="1" x14ac:dyDescent="0.35">
      <c r="A1411" s="15" t="s">
        <v>22091</v>
      </c>
      <c r="B1411" s="15" t="s">
        <v>25687</v>
      </c>
      <c r="C1411" s="15" t="s">
        <v>25685</v>
      </c>
      <c r="D1411" s="31">
        <v>43486</v>
      </c>
      <c r="E1411" s="15" t="s">
        <v>25688</v>
      </c>
      <c r="F1411" s="87" t="s">
        <v>21871</v>
      </c>
      <c r="G1411" s="45" t="s">
        <v>13533</v>
      </c>
      <c r="H1411" s="55" t="s">
        <v>13534</v>
      </c>
      <c r="I1411" s="15" t="s">
        <v>178</v>
      </c>
    </row>
    <row r="1412" spans="1:9" ht="51.75" customHeight="1" x14ac:dyDescent="0.35">
      <c r="A1412" s="15" t="s">
        <v>25689</v>
      </c>
      <c r="B1412" s="15" t="s">
        <v>25690</v>
      </c>
      <c r="C1412" s="15" t="s">
        <v>25691</v>
      </c>
      <c r="D1412" s="31">
        <v>43486</v>
      </c>
      <c r="E1412" s="15" t="s">
        <v>25692</v>
      </c>
      <c r="F1412" s="87" t="s">
        <v>23710</v>
      </c>
      <c r="G1412" s="45" t="s">
        <v>13533</v>
      </c>
      <c r="H1412" s="55" t="s">
        <v>13534</v>
      </c>
      <c r="I1412" s="15" t="s">
        <v>178</v>
      </c>
    </row>
    <row r="1413" spans="1:9" ht="51.75" customHeight="1" x14ac:dyDescent="0.35">
      <c r="A1413" s="15" t="s">
        <v>25689</v>
      </c>
      <c r="B1413" s="15" t="s">
        <v>25693</v>
      </c>
      <c r="C1413" s="15" t="s">
        <v>25691</v>
      </c>
      <c r="D1413" s="31">
        <v>43486</v>
      </c>
      <c r="E1413" s="15" t="s">
        <v>25694</v>
      </c>
      <c r="F1413" s="87" t="s">
        <v>21871</v>
      </c>
      <c r="G1413" s="45" t="s">
        <v>13533</v>
      </c>
      <c r="H1413" s="55" t="s">
        <v>13534</v>
      </c>
      <c r="I1413" s="15" t="s">
        <v>178</v>
      </c>
    </row>
    <row r="1414" spans="1:9" ht="51.75" customHeight="1" x14ac:dyDescent="0.35">
      <c r="A1414" s="15" t="s">
        <v>25695</v>
      </c>
      <c r="B1414" s="15" t="s">
        <v>25696</v>
      </c>
      <c r="C1414" s="15" t="s">
        <v>25697</v>
      </c>
      <c r="D1414" s="31">
        <v>43486</v>
      </c>
      <c r="E1414" s="15" t="s">
        <v>25698</v>
      </c>
      <c r="F1414" s="87" t="s">
        <v>23710</v>
      </c>
      <c r="G1414" s="45" t="s">
        <v>13533</v>
      </c>
      <c r="H1414" s="55" t="s">
        <v>13534</v>
      </c>
      <c r="I1414" s="15" t="s">
        <v>178</v>
      </c>
    </row>
    <row r="1415" spans="1:9" ht="51.75" customHeight="1" x14ac:dyDescent="0.35">
      <c r="A1415" s="15" t="s">
        <v>25695</v>
      </c>
      <c r="B1415" s="15" t="s">
        <v>25699</v>
      </c>
      <c r="C1415" s="15" t="s">
        <v>25697</v>
      </c>
      <c r="D1415" s="31">
        <v>43486</v>
      </c>
      <c r="E1415" s="15" t="s">
        <v>25700</v>
      </c>
      <c r="F1415" s="87" t="s">
        <v>21871</v>
      </c>
      <c r="G1415" s="45" t="s">
        <v>13533</v>
      </c>
      <c r="H1415" s="55" t="s">
        <v>13534</v>
      </c>
      <c r="I1415" s="15" t="s">
        <v>178</v>
      </c>
    </row>
    <row r="1416" spans="1:9" ht="51.75" customHeight="1" x14ac:dyDescent="0.35">
      <c r="A1416" s="15" t="s">
        <v>24340</v>
      </c>
      <c r="B1416" s="15" t="s">
        <v>25701</v>
      </c>
      <c r="C1416" s="15" t="s">
        <v>25702</v>
      </c>
      <c r="D1416" s="31">
        <v>43740</v>
      </c>
      <c r="E1416" s="15" t="s">
        <v>25703</v>
      </c>
      <c r="F1416" s="87" t="s">
        <v>23710</v>
      </c>
      <c r="G1416" s="45" t="s">
        <v>14139</v>
      </c>
      <c r="H1416" s="55" t="s">
        <v>14140</v>
      </c>
      <c r="I1416" s="15" t="s">
        <v>178</v>
      </c>
    </row>
    <row r="1417" spans="1:9" ht="51.75" customHeight="1" x14ac:dyDescent="0.35">
      <c r="A1417" s="15" t="s">
        <v>24340</v>
      </c>
      <c r="B1417" s="15" t="s">
        <v>25704</v>
      </c>
      <c r="C1417" s="15" t="s">
        <v>25702</v>
      </c>
      <c r="D1417" s="31">
        <v>43740</v>
      </c>
      <c r="E1417" s="15" t="s">
        <v>25705</v>
      </c>
      <c r="F1417" s="87" t="s">
        <v>21871</v>
      </c>
      <c r="G1417" s="45" t="s">
        <v>14139</v>
      </c>
      <c r="H1417" s="55" t="s">
        <v>14140</v>
      </c>
      <c r="I1417" s="15" t="s">
        <v>178</v>
      </c>
    </row>
    <row r="1418" spans="1:9" ht="51.75" customHeight="1" x14ac:dyDescent="0.35">
      <c r="A1418" s="15" t="s">
        <v>24345</v>
      </c>
      <c r="B1418" s="15" t="s">
        <v>25706</v>
      </c>
      <c r="C1418" s="15" t="s">
        <v>25707</v>
      </c>
      <c r="D1418" s="31">
        <v>43740</v>
      </c>
      <c r="E1418" s="15" t="s">
        <v>25708</v>
      </c>
      <c r="F1418" s="87" t="s">
        <v>23710</v>
      </c>
      <c r="G1418" s="45" t="s">
        <v>14139</v>
      </c>
      <c r="H1418" s="55" t="s">
        <v>14140</v>
      </c>
      <c r="I1418" s="15" t="s">
        <v>178</v>
      </c>
    </row>
    <row r="1419" spans="1:9" ht="51.75" customHeight="1" x14ac:dyDescent="0.35">
      <c r="A1419" s="15" t="s">
        <v>24345</v>
      </c>
      <c r="B1419" s="15" t="s">
        <v>25709</v>
      </c>
      <c r="C1419" s="15" t="s">
        <v>25707</v>
      </c>
      <c r="D1419" s="31">
        <v>43740</v>
      </c>
      <c r="E1419" s="15" t="s">
        <v>25710</v>
      </c>
      <c r="F1419" s="87" t="s">
        <v>21871</v>
      </c>
      <c r="G1419" s="45" t="s">
        <v>14139</v>
      </c>
      <c r="H1419" s="55" t="s">
        <v>14140</v>
      </c>
      <c r="I1419" s="15" t="s">
        <v>178</v>
      </c>
    </row>
    <row r="1420" spans="1:9" ht="51.75" customHeight="1" x14ac:dyDescent="0.35">
      <c r="A1420" s="15" t="s">
        <v>25711</v>
      </c>
      <c r="B1420" s="15" t="s">
        <v>25712</v>
      </c>
      <c r="C1420" s="15" t="s">
        <v>25713</v>
      </c>
      <c r="D1420" s="31">
        <v>42864</v>
      </c>
      <c r="E1420" s="15" t="s">
        <v>25714</v>
      </c>
      <c r="F1420" s="87" t="s">
        <v>23710</v>
      </c>
      <c r="G1420" s="45" t="s">
        <v>12258</v>
      </c>
      <c r="H1420" s="55" t="s">
        <v>12259</v>
      </c>
      <c r="I1420" s="15" t="s">
        <v>178</v>
      </c>
    </row>
    <row r="1421" spans="1:9" ht="51.75" customHeight="1" x14ac:dyDescent="0.35">
      <c r="A1421" s="15" t="s">
        <v>25711</v>
      </c>
      <c r="B1421" s="15" t="s">
        <v>25715</v>
      </c>
      <c r="C1421" s="15" t="s">
        <v>25713</v>
      </c>
      <c r="D1421" s="31">
        <v>42864</v>
      </c>
      <c r="E1421" s="15" t="s">
        <v>25716</v>
      </c>
      <c r="F1421" s="87" t="s">
        <v>21871</v>
      </c>
      <c r="G1421" s="45" t="s">
        <v>12258</v>
      </c>
      <c r="H1421" s="55" t="s">
        <v>12259</v>
      </c>
      <c r="I1421" s="15" t="s">
        <v>178</v>
      </c>
    </row>
    <row r="1422" spans="1:9" ht="51.75" customHeight="1" x14ac:dyDescent="0.35">
      <c r="A1422" s="15" t="s">
        <v>25717</v>
      </c>
      <c r="B1422" s="15" t="s">
        <v>25718</v>
      </c>
      <c r="C1422" s="15" t="s">
        <v>25719</v>
      </c>
      <c r="D1422" s="31">
        <v>43798</v>
      </c>
      <c r="E1422" s="15" t="s">
        <v>25720</v>
      </c>
      <c r="F1422" s="87" t="s">
        <v>23710</v>
      </c>
      <c r="G1422" s="45" t="s">
        <v>12984</v>
      </c>
      <c r="H1422" s="55" t="s">
        <v>12985</v>
      </c>
      <c r="I1422" s="15" t="s">
        <v>178</v>
      </c>
    </row>
    <row r="1423" spans="1:9" ht="51.75" customHeight="1" x14ac:dyDescent="0.35">
      <c r="A1423" s="15" t="s">
        <v>25717</v>
      </c>
      <c r="B1423" s="15" t="s">
        <v>25721</v>
      </c>
      <c r="C1423" s="15" t="s">
        <v>25719</v>
      </c>
      <c r="D1423" s="31">
        <v>43798</v>
      </c>
      <c r="E1423" s="15" t="s">
        <v>25722</v>
      </c>
      <c r="F1423" s="87" t="s">
        <v>21871</v>
      </c>
      <c r="G1423" s="45" t="s">
        <v>12984</v>
      </c>
      <c r="H1423" s="55" t="s">
        <v>12985</v>
      </c>
      <c r="I1423" s="15" t="s">
        <v>178</v>
      </c>
    </row>
    <row r="1424" spans="1:9" ht="51.75" customHeight="1" x14ac:dyDescent="0.35">
      <c r="A1424" s="15" t="s">
        <v>25723</v>
      </c>
      <c r="B1424" s="15" t="s">
        <v>25724</v>
      </c>
      <c r="C1424" s="15" t="s">
        <v>25725</v>
      </c>
      <c r="D1424" s="31">
        <v>43798</v>
      </c>
      <c r="E1424" s="15" t="s">
        <v>25726</v>
      </c>
      <c r="F1424" s="87" t="s">
        <v>23710</v>
      </c>
      <c r="G1424" s="45" t="s">
        <v>12984</v>
      </c>
      <c r="H1424" s="55" t="s">
        <v>12985</v>
      </c>
      <c r="I1424" s="15" t="s">
        <v>178</v>
      </c>
    </row>
    <row r="1425" spans="1:9" ht="51.75" customHeight="1" x14ac:dyDescent="0.35">
      <c r="A1425" s="15" t="s">
        <v>25723</v>
      </c>
      <c r="B1425" s="15" t="s">
        <v>25727</v>
      </c>
      <c r="C1425" s="15" t="s">
        <v>25725</v>
      </c>
      <c r="D1425" s="31">
        <v>43798</v>
      </c>
      <c r="E1425" s="15" t="s">
        <v>25728</v>
      </c>
      <c r="F1425" s="87" t="s">
        <v>21871</v>
      </c>
      <c r="G1425" s="45" t="s">
        <v>12984</v>
      </c>
      <c r="H1425" s="55" t="s">
        <v>12985</v>
      </c>
      <c r="I1425" s="15" t="s">
        <v>178</v>
      </c>
    </row>
    <row r="1426" spans="1:9" ht="51.75" customHeight="1" x14ac:dyDescent="0.35">
      <c r="A1426" s="15" t="s">
        <v>22801</v>
      </c>
      <c r="B1426" s="15" t="s">
        <v>25729</v>
      </c>
      <c r="C1426" s="15" t="s">
        <v>25730</v>
      </c>
      <c r="D1426" s="31">
        <v>43574</v>
      </c>
      <c r="E1426" s="15" t="s">
        <v>25731</v>
      </c>
      <c r="F1426" s="87" t="s">
        <v>23710</v>
      </c>
      <c r="G1426" s="45" t="s">
        <v>13553</v>
      </c>
      <c r="H1426" s="55" t="s">
        <v>13554</v>
      </c>
      <c r="I1426" s="15" t="s">
        <v>178</v>
      </c>
    </row>
    <row r="1427" spans="1:9" ht="51.75" customHeight="1" x14ac:dyDescent="0.35">
      <c r="A1427" s="15" t="s">
        <v>22801</v>
      </c>
      <c r="B1427" s="15" t="s">
        <v>25732</v>
      </c>
      <c r="C1427" s="15" t="s">
        <v>25730</v>
      </c>
      <c r="D1427" s="31">
        <v>43574</v>
      </c>
      <c r="E1427" s="15" t="s">
        <v>25733</v>
      </c>
      <c r="F1427" s="87" t="s">
        <v>21871</v>
      </c>
      <c r="G1427" s="45" t="s">
        <v>13553</v>
      </c>
      <c r="H1427" s="55" t="s">
        <v>13554</v>
      </c>
      <c r="I1427" s="15" t="s">
        <v>178</v>
      </c>
    </row>
    <row r="1428" spans="1:9" ht="51.75" customHeight="1" x14ac:dyDescent="0.35">
      <c r="A1428" s="15" t="s">
        <v>22813</v>
      </c>
      <c r="B1428" s="15" t="s">
        <v>25734</v>
      </c>
      <c r="C1428" s="15" t="s">
        <v>25735</v>
      </c>
      <c r="D1428" s="31">
        <v>43574</v>
      </c>
      <c r="E1428" s="15" t="s">
        <v>25736</v>
      </c>
      <c r="F1428" s="87" t="s">
        <v>23710</v>
      </c>
      <c r="G1428" s="45" t="s">
        <v>13553</v>
      </c>
      <c r="H1428" s="55" t="s">
        <v>13554</v>
      </c>
      <c r="I1428" s="15" t="s">
        <v>178</v>
      </c>
    </row>
    <row r="1429" spans="1:9" ht="51.75" customHeight="1" x14ac:dyDescent="0.35">
      <c r="A1429" s="15" t="s">
        <v>22813</v>
      </c>
      <c r="B1429" s="15" t="s">
        <v>25737</v>
      </c>
      <c r="C1429" s="15" t="s">
        <v>25735</v>
      </c>
      <c r="D1429" s="31">
        <v>43574</v>
      </c>
      <c r="E1429" s="15" t="s">
        <v>25738</v>
      </c>
      <c r="F1429" s="87" t="s">
        <v>21871</v>
      </c>
      <c r="G1429" s="45" t="s">
        <v>13553</v>
      </c>
      <c r="H1429" s="55" t="s">
        <v>13554</v>
      </c>
      <c r="I1429" s="15" t="s">
        <v>178</v>
      </c>
    </row>
    <row r="1430" spans="1:9" ht="51.75" customHeight="1" x14ac:dyDescent="0.35">
      <c r="A1430" s="15" t="s">
        <v>22782</v>
      </c>
      <c r="B1430" s="15" t="s">
        <v>25739</v>
      </c>
      <c r="C1430" s="15" t="s">
        <v>25740</v>
      </c>
      <c r="D1430" s="31">
        <v>43574</v>
      </c>
      <c r="E1430" s="15" t="s">
        <v>25741</v>
      </c>
      <c r="F1430" s="87" t="s">
        <v>23710</v>
      </c>
      <c r="G1430" s="45" t="s">
        <v>13553</v>
      </c>
      <c r="H1430" s="55" t="s">
        <v>13554</v>
      </c>
      <c r="I1430" s="15" t="s">
        <v>178</v>
      </c>
    </row>
    <row r="1431" spans="1:9" ht="51.75" customHeight="1" x14ac:dyDescent="0.35">
      <c r="A1431" s="15" t="s">
        <v>22782</v>
      </c>
      <c r="B1431" s="15" t="s">
        <v>25742</v>
      </c>
      <c r="C1431" s="15" t="s">
        <v>25740</v>
      </c>
      <c r="D1431" s="31">
        <v>43574</v>
      </c>
      <c r="E1431" s="15" t="s">
        <v>25743</v>
      </c>
      <c r="F1431" s="87" t="s">
        <v>21871</v>
      </c>
      <c r="G1431" s="45" t="s">
        <v>13553</v>
      </c>
      <c r="H1431" s="55" t="s">
        <v>13554</v>
      </c>
      <c r="I1431" s="15" t="s">
        <v>178</v>
      </c>
    </row>
    <row r="1432" spans="1:9" ht="51.75" customHeight="1" x14ac:dyDescent="0.35">
      <c r="A1432" s="15" t="s">
        <v>23511</v>
      </c>
      <c r="B1432" s="15" t="s">
        <v>25744</v>
      </c>
      <c r="C1432" s="15" t="s">
        <v>25745</v>
      </c>
      <c r="D1432" s="31">
        <v>43532</v>
      </c>
      <c r="E1432" s="15" t="s">
        <v>25746</v>
      </c>
      <c r="F1432" s="87" t="s">
        <v>23710</v>
      </c>
      <c r="G1432" s="45" t="s">
        <v>13344</v>
      </c>
      <c r="H1432" s="55" t="s">
        <v>13345</v>
      </c>
      <c r="I1432" s="15" t="s">
        <v>178</v>
      </c>
    </row>
    <row r="1433" spans="1:9" ht="51.75" customHeight="1" x14ac:dyDescent="0.35">
      <c r="A1433" s="15" t="s">
        <v>23511</v>
      </c>
      <c r="B1433" s="15" t="s">
        <v>25747</v>
      </c>
      <c r="C1433" s="15" t="s">
        <v>25745</v>
      </c>
      <c r="D1433" s="31">
        <v>43532</v>
      </c>
      <c r="E1433" s="15" t="s">
        <v>25748</v>
      </c>
      <c r="F1433" s="87" t="s">
        <v>21871</v>
      </c>
      <c r="G1433" s="45" t="s">
        <v>13344</v>
      </c>
      <c r="H1433" s="55" t="s">
        <v>13345</v>
      </c>
      <c r="I1433" s="15" t="s">
        <v>178</v>
      </c>
    </row>
    <row r="1434" spans="1:9" ht="51.75" customHeight="1" x14ac:dyDescent="0.35">
      <c r="A1434" s="15" t="s">
        <v>23759</v>
      </c>
      <c r="B1434" s="15" t="s">
        <v>25749</v>
      </c>
      <c r="C1434" s="15" t="s">
        <v>25750</v>
      </c>
      <c r="D1434" s="31">
        <v>43873</v>
      </c>
      <c r="E1434" s="15" t="s">
        <v>25751</v>
      </c>
      <c r="F1434" s="87" t="s">
        <v>23710</v>
      </c>
      <c r="G1434" s="45" t="s">
        <v>14732</v>
      </c>
      <c r="H1434" s="55" t="s">
        <v>14733</v>
      </c>
      <c r="I1434" s="15" t="s">
        <v>178</v>
      </c>
    </row>
    <row r="1435" spans="1:9" ht="51.75" customHeight="1" x14ac:dyDescent="0.35">
      <c r="A1435" s="15" t="s">
        <v>23759</v>
      </c>
      <c r="B1435" s="15" t="s">
        <v>25752</v>
      </c>
      <c r="C1435" s="15" t="s">
        <v>25750</v>
      </c>
      <c r="D1435" s="31">
        <v>43873</v>
      </c>
      <c r="E1435" s="15" t="s">
        <v>25753</v>
      </c>
      <c r="F1435" s="87" t="s">
        <v>21871</v>
      </c>
      <c r="G1435" s="45" t="s">
        <v>14732</v>
      </c>
      <c r="H1435" s="55" t="s">
        <v>14733</v>
      </c>
      <c r="I1435" s="15" t="s">
        <v>178</v>
      </c>
    </row>
    <row r="1436" spans="1:9" ht="51.75" customHeight="1" x14ac:dyDescent="0.35">
      <c r="A1436" s="15" t="s">
        <v>22085</v>
      </c>
      <c r="B1436" s="15" t="s">
        <v>25754</v>
      </c>
      <c r="C1436" s="15" t="s">
        <v>25755</v>
      </c>
      <c r="D1436" s="31">
        <v>43873</v>
      </c>
      <c r="E1436" s="15" t="s">
        <v>25756</v>
      </c>
      <c r="F1436" s="87" t="s">
        <v>23710</v>
      </c>
      <c r="G1436" s="45" t="s">
        <v>14732</v>
      </c>
      <c r="H1436" s="55" t="s">
        <v>14733</v>
      </c>
      <c r="I1436" s="15" t="s">
        <v>178</v>
      </c>
    </row>
    <row r="1437" spans="1:9" ht="51.75" customHeight="1" x14ac:dyDescent="0.35">
      <c r="A1437" s="15" t="s">
        <v>22085</v>
      </c>
      <c r="B1437" s="15" t="s">
        <v>25757</v>
      </c>
      <c r="C1437" s="15" t="s">
        <v>25755</v>
      </c>
      <c r="D1437" s="31">
        <v>43873</v>
      </c>
      <c r="E1437" s="15" t="s">
        <v>25758</v>
      </c>
      <c r="F1437" s="87" t="s">
        <v>21871</v>
      </c>
      <c r="G1437" s="45" t="s">
        <v>14732</v>
      </c>
      <c r="H1437" s="55" t="s">
        <v>14733</v>
      </c>
      <c r="I1437" s="15" t="s">
        <v>178</v>
      </c>
    </row>
    <row r="1438" spans="1:9" ht="51.75" customHeight="1" x14ac:dyDescent="0.35">
      <c r="A1438" s="15" t="s">
        <v>25759</v>
      </c>
      <c r="B1438" s="15" t="s">
        <v>25760</v>
      </c>
      <c r="C1438" s="15" t="s">
        <v>25761</v>
      </c>
      <c r="D1438" s="31">
        <v>43570</v>
      </c>
      <c r="E1438" s="15" t="s">
        <v>25762</v>
      </c>
      <c r="F1438" s="87" t="s">
        <v>23710</v>
      </c>
      <c r="G1438" s="45" t="s">
        <v>14980</v>
      </c>
      <c r="H1438" s="55" t="s">
        <v>14981</v>
      </c>
      <c r="I1438" s="15" t="s">
        <v>178</v>
      </c>
    </row>
    <row r="1439" spans="1:9" ht="51.75" customHeight="1" x14ac:dyDescent="0.35">
      <c r="A1439" s="15" t="s">
        <v>25759</v>
      </c>
      <c r="B1439" s="15" t="s">
        <v>25763</v>
      </c>
      <c r="C1439" s="15" t="s">
        <v>25761</v>
      </c>
      <c r="D1439" s="31">
        <v>43570</v>
      </c>
      <c r="E1439" s="15" t="s">
        <v>25764</v>
      </c>
      <c r="F1439" s="87" t="s">
        <v>21871</v>
      </c>
      <c r="G1439" s="45" t="s">
        <v>14980</v>
      </c>
      <c r="H1439" s="55" t="s">
        <v>14981</v>
      </c>
      <c r="I1439" s="15" t="s">
        <v>178</v>
      </c>
    </row>
    <row r="1440" spans="1:9" ht="51.75" customHeight="1" x14ac:dyDescent="0.35">
      <c r="A1440" s="15" t="s">
        <v>22817</v>
      </c>
      <c r="B1440" s="15" t="s">
        <v>25765</v>
      </c>
      <c r="C1440" s="15" t="s">
        <v>25766</v>
      </c>
      <c r="D1440" s="31">
        <v>43643</v>
      </c>
      <c r="E1440" s="15" t="s">
        <v>25767</v>
      </c>
      <c r="F1440" s="87" t="s">
        <v>23710</v>
      </c>
      <c r="G1440" s="45" t="s">
        <v>15245</v>
      </c>
      <c r="H1440" s="55" t="s">
        <v>15246</v>
      </c>
      <c r="I1440" s="15" t="s">
        <v>178</v>
      </c>
    </row>
    <row r="1441" spans="1:9" ht="51.75" customHeight="1" x14ac:dyDescent="0.35">
      <c r="A1441" s="15" t="s">
        <v>22817</v>
      </c>
      <c r="B1441" s="15" t="s">
        <v>25768</v>
      </c>
      <c r="C1441" s="15" t="s">
        <v>25766</v>
      </c>
      <c r="D1441" s="31">
        <v>43643</v>
      </c>
      <c r="E1441" s="15" t="s">
        <v>25769</v>
      </c>
      <c r="F1441" s="87" t="s">
        <v>21871</v>
      </c>
      <c r="G1441" s="45" t="s">
        <v>15245</v>
      </c>
      <c r="H1441" s="55" t="s">
        <v>15246</v>
      </c>
      <c r="I1441" s="15" t="s">
        <v>178</v>
      </c>
    </row>
    <row r="1442" spans="1:9" ht="51.75" customHeight="1" x14ac:dyDescent="0.35">
      <c r="A1442" s="15" t="s">
        <v>22821</v>
      </c>
      <c r="B1442" s="15" t="s">
        <v>25770</v>
      </c>
      <c r="C1442" s="15" t="s">
        <v>25771</v>
      </c>
      <c r="D1442" s="31">
        <v>43643</v>
      </c>
      <c r="E1442" s="15" t="s">
        <v>25772</v>
      </c>
      <c r="F1442" s="87" t="s">
        <v>23710</v>
      </c>
      <c r="G1442" s="45" t="s">
        <v>15245</v>
      </c>
      <c r="H1442" s="55" t="s">
        <v>15246</v>
      </c>
      <c r="I1442" s="15" t="s">
        <v>178</v>
      </c>
    </row>
    <row r="1443" spans="1:9" ht="51.75" customHeight="1" x14ac:dyDescent="0.35">
      <c r="A1443" s="15" t="s">
        <v>22821</v>
      </c>
      <c r="B1443" s="15" t="s">
        <v>25773</v>
      </c>
      <c r="C1443" s="15" t="s">
        <v>25771</v>
      </c>
      <c r="D1443" s="31">
        <v>43643</v>
      </c>
      <c r="E1443" s="15" t="s">
        <v>25774</v>
      </c>
      <c r="F1443" s="87" t="s">
        <v>21871</v>
      </c>
      <c r="G1443" s="45" t="s">
        <v>15245</v>
      </c>
      <c r="H1443" s="55" t="s">
        <v>15246</v>
      </c>
      <c r="I1443" s="15" t="s">
        <v>178</v>
      </c>
    </row>
    <row r="1444" spans="1:9" ht="51.75" customHeight="1" x14ac:dyDescent="0.35">
      <c r="A1444" s="15"/>
      <c r="B1444" s="15" t="s">
        <v>25775</v>
      </c>
      <c r="C1444" s="15" t="s">
        <v>25776</v>
      </c>
      <c r="D1444" s="28">
        <v>42754</v>
      </c>
      <c r="E1444" s="15" t="s">
        <v>25777</v>
      </c>
      <c r="F1444" s="87" t="s">
        <v>23710</v>
      </c>
      <c r="G1444" s="45" t="s">
        <v>13139</v>
      </c>
      <c r="H1444" s="55" t="s">
        <v>13140</v>
      </c>
      <c r="I1444" s="15" t="s">
        <v>178</v>
      </c>
    </row>
    <row r="1445" spans="1:9" ht="51.75" customHeight="1" x14ac:dyDescent="0.35">
      <c r="A1445" s="15"/>
      <c r="B1445" s="15" t="s">
        <v>25778</v>
      </c>
      <c r="C1445" s="15" t="s">
        <v>25779</v>
      </c>
      <c r="D1445" s="28">
        <v>42754</v>
      </c>
      <c r="E1445" s="15" t="s">
        <v>25780</v>
      </c>
      <c r="F1445" s="87" t="s">
        <v>23710</v>
      </c>
      <c r="G1445" s="45" t="s">
        <v>13139</v>
      </c>
      <c r="H1445" s="55" t="s">
        <v>13140</v>
      </c>
      <c r="I1445" s="15" t="s">
        <v>178</v>
      </c>
    </row>
    <row r="1446" spans="1:9" ht="51.75" customHeight="1" x14ac:dyDescent="0.35">
      <c r="A1446" s="15"/>
      <c r="B1446" s="15" t="s">
        <v>25781</v>
      </c>
      <c r="C1446" s="15" t="s">
        <v>25782</v>
      </c>
      <c r="D1446" s="28">
        <v>44355</v>
      </c>
      <c r="E1446" s="15" t="s">
        <v>25783</v>
      </c>
      <c r="F1446" s="87" t="s">
        <v>23710</v>
      </c>
      <c r="G1446" s="49" t="s">
        <v>13397</v>
      </c>
      <c r="H1446" s="55" t="s">
        <v>13140</v>
      </c>
      <c r="I1446" s="18" t="s">
        <v>25784</v>
      </c>
    </row>
    <row r="1447" spans="1:9" ht="51.75" customHeight="1" x14ac:dyDescent="0.35">
      <c r="A1447" s="15"/>
      <c r="B1447" s="15" t="s">
        <v>25785</v>
      </c>
      <c r="C1447" s="15" t="s">
        <v>25786</v>
      </c>
      <c r="D1447" s="28">
        <v>44355</v>
      </c>
      <c r="E1447" s="15" t="s">
        <v>25787</v>
      </c>
      <c r="F1447" s="87" t="s">
        <v>23710</v>
      </c>
      <c r="G1447" s="49" t="s">
        <v>13397</v>
      </c>
      <c r="H1447" s="54" t="s">
        <v>13398</v>
      </c>
      <c r="I1447" s="18" t="s">
        <v>25784</v>
      </c>
    </row>
    <row r="1448" spans="1:9" ht="51.75" customHeight="1" x14ac:dyDescent="0.35">
      <c r="A1448" s="15"/>
      <c r="B1448" s="15" t="str">
        <f>CONCATENATE(G1448,"/",COUNTIF($G$2:G1448,G1448))</f>
        <v>ES-10002/1</v>
      </c>
      <c r="C1448" s="15" t="s">
        <v>25788</v>
      </c>
      <c r="D1448" s="28">
        <v>44455</v>
      </c>
      <c r="E1448" s="15" t="s">
        <v>25789</v>
      </c>
      <c r="F1448" s="87" t="s">
        <v>21871</v>
      </c>
      <c r="G1448" s="16" t="s">
        <v>17489</v>
      </c>
      <c r="H1448" s="55" t="s">
        <v>17490</v>
      </c>
      <c r="I1448" s="15" t="s">
        <v>17491</v>
      </c>
    </row>
    <row r="1449" spans="1:9" ht="51.75" customHeight="1" x14ac:dyDescent="0.35">
      <c r="A1449" s="15"/>
      <c r="B1449" s="15" t="str">
        <f>CONCATENATE(G1449,"/",COUNTIF($G$2:G1449,G1449))</f>
        <v>ES-10002/2</v>
      </c>
      <c r="C1449" s="15" t="s">
        <v>25790</v>
      </c>
      <c r="D1449" s="28">
        <v>44455</v>
      </c>
      <c r="E1449" s="15" t="s">
        <v>25791</v>
      </c>
      <c r="F1449" s="87" t="s">
        <v>21871</v>
      </c>
      <c r="G1449" s="16" t="s">
        <v>17489</v>
      </c>
      <c r="H1449" s="55" t="s">
        <v>17490</v>
      </c>
      <c r="I1449" s="15" t="s">
        <v>17491</v>
      </c>
    </row>
    <row r="1450" spans="1:9" ht="51.75" customHeight="1" x14ac:dyDescent="0.35">
      <c r="A1450" s="15"/>
      <c r="B1450" s="15" t="str">
        <f>CONCATENATE(G1450,"/",COUNTIF($G$2:G1450,G1450))</f>
        <v>ES-10002/3</v>
      </c>
      <c r="C1450" s="15" t="s">
        <v>25792</v>
      </c>
      <c r="D1450" s="28">
        <v>44455</v>
      </c>
      <c r="E1450" s="15" t="s">
        <v>25793</v>
      </c>
      <c r="F1450" s="87" t="s">
        <v>21871</v>
      </c>
      <c r="G1450" s="16" t="s">
        <v>17489</v>
      </c>
      <c r="H1450" s="55" t="s">
        <v>17490</v>
      </c>
      <c r="I1450" s="15" t="s">
        <v>17491</v>
      </c>
    </row>
    <row r="1451" spans="1:9" ht="51.75" customHeight="1" x14ac:dyDescent="0.35">
      <c r="A1451" s="15"/>
      <c r="B1451" s="15" t="str">
        <f>CONCATENATE(G1451,"/",COUNTIF($G$2:G1451,G1451))</f>
        <v>ES-10002/4</v>
      </c>
      <c r="C1451" s="15" t="s">
        <v>25794</v>
      </c>
      <c r="D1451" s="28">
        <v>44455</v>
      </c>
      <c r="E1451" s="15" t="s">
        <v>25795</v>
      </c>
      <c r="F1451" s="87" t="s">
        <v>21871</v>
      </c>
      <c r="G1451" s="16" t="s">
        <v>17489</v>
      </c>
      <c r="H1451" s="55" t="s">
        <v>17490</v>
      </c>
      <c r="I1451" s="15" t="s">
        <v>17491</v>
      </c>
    </row>
    <row r="1452" spans="1:9" ht="51.75" customHeight="1" x14ac:dyDescent="0.35">
      <c r="A1452" s="15"/>
      <c r="B1452" s="15" t="str">
        <f>CONCATENATE(G1452,"/",COUNTIF($G$2:G1452,G1452))</f>
        <v>ES-10002/5</v>
      </c>
      <c r="C1452" s="15" t="s">
        <v>25796</v>
      </c>
      <c r="D1452" s="28">
        <v>44455</v>
      </c>
      <c r="E1452" s="15" t="s">
        <v>25797</v>
      </c>
      <c r="F1452" s="87" t="s">
        <v>21871</v>
      </c>
      <c r="G1452" s="16" t="s">
        <v>17489</v>
      </c>
      <c r="H1452" s="55" t="s">
        <v>17490</v>
      </c>
      <c r="I1452" s="15" t="s">
        <v>17491</v>
      </c>
    </row>
    <row r="1453" spans="1:9" ht="51.75" customHeight="1" x14ac:dyDescent="0.35">
      <c r="A1453" s="15">
        <v>1</v>
      </c>
      <c r="B1453" s="15" t="s">
        <v>25798</v>
      </c>
      <c r="C1453" s="15" t="s">
        <v>25799</v>
      </c>
      <c r="D1453" s="31">
        <v>40297</v>
      </c>
      <c r="E1453" s="15" t="s">
        <v>25800</v>
      </c>
      <c r="F1453" s="87"/>
      <c r="G1453" s="45" t="s">
        <v>4056</v>
      </c>
      <c r="H1453" s="55" t="s">
        <v>4057</v>
      </c>
      <c r="I1453" s="15" t="s">
        <v>575</v>
      </c>
    </row>
    <row r="1454" spans="1:9" ht="51.75" customHeight="1" x14ac:dyDescent="0.35">
      <c r="A1454" s="15">
        <v>2</v>
      </c>
      <c r="B1454" s="15" t="s">
        <v>25801</v>
      </c>
      <c r="C1454" s="15" t="s">
        <v>25802</v>
      </c>
      <c r="D1454" s="31">
        <v>40297</v>
      </c>
      <c r="E1454" s="15" t="s">
        <v>25803</v>
      </c>
      <c r="F1454" s="87"/>
      <c r="G1454" s="45" t="s">
        <v>4056</v>
      </c>
      <c r="H1454" s="55" t="s">
        <v>4057</v>
      </c>
      <c r="I1454" s="15" t="s">
        <v>575</v>
      </c>
    </row>
    <row r="1455" spans="1:9" ht="51.75" customHeight="1" x14ac:dyDescent="0.35">
      <c r="A1455" s="15">
        <v>3</v>
      </c>
      <c r="B1455" s="15" t="s">
        <v>25804</v>
      </c>
      <c r="C1455" s="15" t="s">
        <v>25805</v>
      </c>
      <c r="D1455" s="31">
        <v>40297</v>
      </c>
      <c r="E1455" s="15" t="s">
        <v>25805</v>
      </c>
      <c r="F1455" s="87"/>
      <c r="G1455" s="45" t="s">
        <v>4056</v>
      </c>
      <c r="H1455" s="55" t="s">
        <v>4057</v>
      </c>
      <c r="I1455" s="15" t="s">
        <v>575</v>
      </c>
    </row>
    <row r="1456" spans="1:9" ht="51.75" customHeight="1" x14ac:dyDescent="0.35">
      <c r="A1456" s="15">
        <v>1</v>
      </c>
      <c r="B1456" s="15" t="s">
        <v>25806</v>
      </c>
      <c r="C1456" s="15" t="s">
        <v>25807</v>
      </c>
      <c r="D1456" s="31">
        <v>40326</v>
      </c>
      <c r="E1456" s="15" t="s">
        <v>25808</v>
      </c>
      <c r="F1456" s="87"/>
      <c r="G1456" s="45" t="s">
        <v>3936</v>
      </c>
      <c r="H1456" s="55" t="s">
        <v>3937</v>
      </c>
      <c r="I1456" s="15" t="s">
        <v>575</v>
      </c>
    </row>
    <row r="1457" spans="1:9" ht="51.75" customHeight="1" x14ac:dyDescent="0.35">
      <c r="A1457" s="15">
        <v>2</v>
      </c>
      <c r="B1457" s="15" t="s">
        <v>25809</v>
      </c>
      <c r="C1457" s="15" t="s">
        <v>25810</v>
      </c>
      <c r="D1457" s="31">
        <v>40326</v>
      </c>
      <c r="E1457" s="15" t="s">
        <v>25811</v>
      </c>
      <c r="F1457" s="87"/>
      <c r="G1457" s="45" t="s">
        <v>3936</v>
      </c>
      <c r="H1457" s="55" t="s">
        <v>3937</v>
      </c>
      <c r="I1457" s="15" t="s">
        <v>575</v>
      </c>
    </row>
    <row r="1458" spans="1:9" ht="51.75" customHeight="1" x14ac:dyDescent="0.35">
      <c r="A1458" s="15">
        <v>3</v>
      </c>
      <c r="B1458" s="15" t="s">
        <v>25812</v>
      </c>
      <c r="C1458" s="15" t="s">
        <v>25813</v>
      </c>
      <c r="D1458" s="31">
        <v>40326</v>
      </c>
      <c r="E1458" s="15" t="s">
        <v>25814</v>
      </c>
      <c r="F1458" s="87"/>
      <c r="G1458" s="45" t="s">
        <v>3936</v>
      </c>
      <c r="H1458" s="55" t="s">
        <v>3937</v>
      </c>
      <c r="I1458" s="15" t="s">
        <v>575</v>
      </c>
    </row>
    <row r="1459" spans="1:9" ht="51.75" customHeight="1" x14ac:dyDescent="0.35">
      <c r="A1459" s="15">
        <v>4</v>
      </c>
      <c r="B1459" s="15" t="s">
        <v>25815</v>
      </c>
      <c r="C1459" s="15" t="s">
        <v>25816</v>
      </c>
      <c r="D1459" s="31">
        <v>40326</v>
      </c>
      <c r="E1459" s="15" t="s">
        <v>25817</v>
      </c>
      <c r="F1459" s="87"/>
      <c r="G1459" s="45" t="s">
        <v>3936</v>
      </c>
      <c r="H1459" s="55" t="s">
        <v>3937</v>
      </c>
      <c r="I1459" s="15" t="s">
        <v>575</v>
      </c>
    </row>
    <row r="1460" spans="1:9" ht="51.75" customHeight="1" x14ac:dyDescent="0.35">
      <c r="A1460" s="15">
        <v>5</v>
      </c>
      <c r="B1460" s="15" t="s">
        <v>25818</v>
      </c>
      <c r="C1460" s="15" t="s">
        <v>25819</v>
      </c>
      <c r="D1460" s="31">
        <v>40326</v>
      </c>
      <c r="E1460" s="15" t="s">
        <v>25820</v>
      </c>
      <c r="F1460" s="87"/>
      <c r="G1460" s="45" t="s">
        <v>3936</v>
      </c>
      <c r="H1460" s="55" t="s">
        <v>3937</v>
      </c>
      <c r="I1460" s="15" t="s">
        <v>575</v>
      </c>
    </row>
    <row r="1461" spans="1:9" ht="51.75" customHeight="1" x14ac:dyDescent="0.35">
      <c r="A1461" s="15">
        <v>6</v>
      </c>
      <c r="B1461" s="15" t="s">
        <v>25821</v>
      </c>
      <c r="C1461" s="15" t="s">
        <v>25822</v>
      </c>
      <c r="D1461" s="31">
        <v>40326</v>
      </c>
      <c r="E1461" s="15" t="s">
        <v>25823</v>
      </c>
      <c r="F1461" s="87"/>
      <c r="G1461" s="45" t="s">
        <v>3936</v>
      </c>
      <c r="H1461" s="55" t="s">
        <v>3937</v>
      </c>
      <c r="I1461" s="15" t="s">
        <v>575</v>
      </c>
    </row>
    <row r="1462" spans="1:9" ht="51.75" customHeight="1" x14ac:dyDescent="0.35">
      <c r="A1462" s="15">
        <v>7</v>
      </c>
      <c r="B1462" s="15" t="s">
        <v>25824</v>
      </c>
      <c r="C1462" s="15" t="s">
        <v>25825</v>
      </c>
      <c r="D1462" s="31">
        <v>40326</v>
      </c>
      <c r="E1462" s="15" t="s">
        <v>25826</v>
      </c>
      <c r="F1462" s="87"/>
      <c r="G1462" s="45" t="s">
        <v>3936</v>
      </c>
      <c r="H1462" s="55" t="s">
        <v>3937</v>
      </c>
      <c r="I1462" s="15" t="s">
        <v>575</v>
      </c>
    </row>
    <row r="1463" spans="1:9" ht="51.75" customHeight="1" x14ac:dyDescent="0.35">
      <c r="A1463" s="15">
        <v>1</v>
      </c>
      <c r="B1463" s="15" t="s">
        <v>25827</v>
      </c>
      <c r="C1463" s="15" t="s">
        <v>25828</v>
      </c>
      <c r="D1463" s="31">
        <v>39966</v>
      </c>
      <c r="E1463" s="15" t="s">
        <v>25829</v>
      </c>
      <c r="F1463" s="87"/>
      <c r="G1463" s="45" t="s">
        <v>1525</v>
      </c>
      <c r="H1463" s="55" t="s">
        <v>1526</v>
      </c>
      <c r="I1463" s="15" t="s">
        <v>575</v>
      </c>
    </row>
    <row r="1464" spans="1:9" ht="51.75" customHeight="1" x14ac:dyDescent="0.35">
      <c r="A1464" s="15">
        <v>2</v>
      </c>
      <c r="B1464" s="15" t="s">
        <v>25830</v>
      </c>
      <c r="C1464" s="15" t="s">
        <v>25831</v>
      </c>
      <c r="D1464" s="31">
        <v>39966</v>
      </c>
      <c r="E1464" s="15" t="s">
        <v>25832</v>
      </c>
      <c r="F1464" s="87"/>
      <c r="G1464" s="45" t="s">
        <v>1525</v>
      </c>
      <c r="H1464" s="55" t="s">
        <v>1526</v>
      </c>
      <c r="I1464" s="15" t="s">
        <v>575</v>
      </c>
    </row>
    <row r="1465" spans="1:9" ht="51.75" customHeight="1" x14ac:dyDescent="0.35">
      <c r="A1465" s="15">
        <v>3</v>
      </c>
      <c r="B1465" s="15" t="s">
        <v>25833</v>
      </c>
      <c r="C1465" s="15" t="s">
        <v>25834</v>
      </c>
      <c r="D1465" s="31">
        <v>39966</v>
      </c>
      <c r="E1465" s="15" t="s">
        <v>25835</v>
      </c>
      <c r="F1465" s="87"/>
      <c r="G1465" s="45" t="s">
        <v>1525</v>
      </c>
      <c r="H1465" s="55" t="s">
        <v>1526</v>
      </c>
      <c r="I1465" s="15" t="s">
        <v>575</v>
      </c>
    </row>
    <row r="1466" spans="1:9" ht="51.75" customHeight="1" x14ac:dyDescent="0.35">
      <c r="A1466" s="15">
        <v>1</v>
      </c>
      <c r="B1466" s="15" t="s">
        <v>25836</v>
      </c>
      <c r="C1466" s="15" t="s">
        <v>25837</v>
      </c>
      <c r="D1466" s="31">
        <v>39786</v>
      </c>
      <c r="E1466" s="15" t="s">
        <v>25838</v>
      </c>
      <c r="F1466" s="87"/>
      <c r="G1466" s="45" t="s">
        <v>3136</v>
      </c>
      <c r="H1466" s="55" t="s">
        <v>3137</v>
      </c>
      <c r="I1466" s="15" t="s">
        <v>575</v>
      </c>
    </row>
    <row r="1467" spans="1:9" ht="51.75" customHeight="1" x14ac:dyDescent="0.35">
      <c r="A1467" s="15">
        <v>2</v>
      </c>
      <c r="B1467" s="15" t="s">
        <v>25839</v>
      </c>
      <c r="C1467" s="15" t="s">
        <v>25840</v>
      </c>
      <c r="D1467" s="31">
        <v>39786</v>
      </c>
      <c r="E1467" s="15" t="s">
        <v>25841</v>
      </c>
      <c r="F1467" s="87"/>
      <c r="G1467" s="45" t="s">
        <v>3136</v>
      </c>
      <c r="H1467" s="55" t="s">
        <v>3137</v>
      </c>
      <c r="I1467" s="15" t="s">
        <v>575</v>
      </c>
    </row>
    <row r="1468" spans="1:9" ht="51.75" customHeight="1" x14ac:dyDescent="0.35">
      <c r="A1468" s="15">
        <v>3</v>
      </c>
      <c r="B1468" s="15" t="s">
        <v>25842</v>
      </c>
      <c r="C1468" s="15" t="s">
        <v>25843</v>
      </c>
      <c r="D1468" s="31">
        <v>39786</v>
      </c>
      <c r="E1468" s="15" t="s">
        <v>25844</v>
      </c>
      <c r="F1468" s="87"/>
      <c r="G1468" s="45" t="s">
        <v>3136</v>
      </c>
      <c r="H1468" s="55" t="s">
        <v>3137</v>
      </c>
      <c r="I1468" s="15" t="s">
        <v>575</v>
      </c>
    </row>
    <row r="1469" spans="1:9" ht="51.75" customHeight="1" x14ac:dyDescent="0.35">
      <c r="A1469" s="15">
        <v>4</v>
      </c>
      <c r="B1469" s="15" t="s">
        <v>25845</v>
      </c>
      <c r="C1469" s="15" t="s">
        <v>25846</v>
      </c>
      <c r="D1469" s="31">
        <v>39786</v>
      </c>
      <c r="E1469" s="15" t="s">
        <v>25847</v>
      </c>
      <c r="F1469" s="87"/>
      <c r="G1469" s="45" t="s">
        <v>3136</v>
      </c>
      <c r="H1469" s="55" t="s">
        <v>3137</v>
      </c>
      <c r="I1469" s="15" t="s">
        <v>575</v>
      </c>
    </row>
    <row r="1470" spans="1:9" ht="51.75" customHeight="1" x14ac:dyDescent="0.35">
      <c r="A1470" s="15">
        <v>1</v>
      </c>
      <c r="B1470" s="15" t="s">
        <v>25848</v>
      </c>
      <c r="C1470" s="15" t="s">
        <v>25849</v>
      </c>
      <c r="D1470" s="31">
        <v>39785</v>
      </c>
      <c r="E1470" s="15" t="s">
        <v>25850</v>
      </c>
      <c r="F1470" s="87"/>
      <c r="G1470" s="45" t="s">
        <v>2897</v>
      </c>
      <c r="H1470" s="55" t="s">
        <v>2898</v>
      </c>
      <c r="I1470" s="15" t="s">
        <v>575</v>
      </c>
    </row>
    <row r="1471" spans="1:9" ht="51.75" customHeight="1" x14ac:dyDescent="0.35">
      <c r="A1471" s="15">
        <v>2</v>
      </c>
      <c r="B1471" s="15" t="s">
        <v>25851</v>
      </c>
      <c r="C1471" s="15" t="s">
        <v>25852</v>
      </c>
      <c r="D1471" s="31">
        <v>39785</v>
      </c>
      <c r="E1471" s="15" t="s">
        <v>25853</v>
      </c>
      <c r="F1471" s="87"/>
      <c r="G1471" s="45" t="s">
        <v>2897</v>
      </c>
      <c r="H1471" s="55" t="s">
        <v>2898</v>
      </c>
      <c r="I1471" s="15" t="s">
        <v>575</v>
      </c>
    </row>
    <row r="1472" spans="1:9" ht="51.75" customHeight="1" x14ac:dyDescent="0.35">
      <c r="A1472" s="15">
        <v>1</v>
      </c>
      <c r="B1472" s="15" t="s">
        <v>25854</v>
      </c>
      <c r="C1472" s="15" t="s">
        <v>25855</v>
      </c>
      <c r="D1472" s="31">
        <v>40192</v>
      </c>
      <c r="E1472" s="15" t="s">
        <v>25856</v>
      </c>
      <c r="F1472" s="87"/>
      <c r="G1472" s="45" t="s">
        <v>1484</v>
      </c>
      <c r="H1472" s="55" t="s">
        <v>1485</v>
      </c>
      <c r="I1472" s="15" t="s">
        <v>575</v>
      </c>
    </row>
    <row r="1473" spans="1:9" ht="51.75" customHeight="1" x14ac:dyDescent="0.35">
      <c r="A1473" s="15">
        <v>2</v>
      </c>
      <c r="B1473" s="15" t="s">
        <v>25857</v>
      </c>
      <c r="C1473" s="15" t="s">
        <v>25858</v>
      </c>
      <c r="D1473" s="31">
        <v>40192</v>
      </c>
      <c r="E1473" s="15" t="s">
        <v>25858</v>
      </c>
      <c r="F1473" s="87"/>
      <c r="G1473" s="45" t="s">
        <v>1484</v>
      </c>
      <c r="H1473" s="55" t="s">
        <v>1485</v>
      </c>
      <c r="I1473" s="15" t="s">
        <v>575</v>
      </c>
    </row>
    <row r="1474" spans="1:9" ht="51.75" customHeight="1" x14ac:dyDescent="0.35">
      <c r="A1474" s="15">
        <v>3</v>
      </c>
      <c r="B1474" s="15" t="s">
        <v>25859</v>
      </c>
      <c r="C1474" s="15" t="s">
        <v>25860</v>
      </c>
      <c r="D1474" s="31">
        <v>40192</v>
      </c>
      <c r="E1474" s="15" t="s">
        <v>25861</v>
      </c>
      <c r="F1474" s="87"/>
      <c r="G1474" s="45" t="s">
        <v>1484</v>
      </c>
      <c r="H1474" s="55" t="s">
        <v>1485</v>
      </c>
      <c r="I1474" s="15" t="s">
        <v>575</v>
      </c>
    </row>
    <row r="1475" spans="1:9" ht="51.75" customHeight="1" x14ac:dyDescent="0.35">
      <c r="A1475" s="15">
        <v>4</v>
      </c>
      <c r="B1475" s="15" t="s">
        <v>25862</v>
      </c>
      <c r="C1475" s="15" t="s">
        <v>25863</v>
      </c>
      <c r="D1475" s="31">
        <v>40192</v>
      </c>
      <c r="E1475" s="15" t="s">
        <v>25863</v>
      </c>
      <c r="F1475" s="87"/>
      <c r="G1475" s="45" t="s">
        <v>1484</v>
      </c>
      <c r="H1475" s="55" t="s">
        <v>1485</v>
      </c>
      <c r="I1475" s="15" t="s">
        <v>575</v>
      </c>
    </row>
    <row r="1476" spans="1:9" ht="51.75" customHeight="1" x14ac:dyDescent="0.35">
      <c r="A1476" s="15">
        <v>5</v>
      </c>
      <c r="B1476" s="15" t="s">
        <v>25864</v>
      </c>
      <c r="C1476" s="15" t="s">
        <v>25865</v>
      </c>
      <c r="D1476" s="31">
        <v>40192</v>
      </c>
      <c r="E1476" s="15" t="s">
        <v>25866</v>
      </c>
      <c r="F1476" s="87"/>
      <c r="G1476" s="45" t="s">
        <v>1484</v>
      </c>
      <c r="H1476" s="55" t="s">
        <v>1485</v>
      </c>
      <c r="I1476" s="15" t="s">
        <v>575</v>
      </c>
    </row>
    <row r="1477" spans="1:9" ht="51.75" customHeight="1" x14ac:dyDescent="0.35">
      <c r="A1477" s="15">
        <v>1</v>
      </c>
      <c r="B1477" s="15" t="s">
        <v>25867</v>
      </c>
      <c r="C1477" s="15" t="s">
        <v>25868</v>
      </c>
      <c r="D1477" s="31">
        <v>40200</v>
      </c>
      <c r="E1477" s="15" t="s">
        <v>25869</v>
      </c>
      <c r="F1477" s="87"/>
      <c r="G1477" s="45" t="s">
        <v>1175</v>
      </c>
      <c r="H1477" s="55" t="s">
        <v>1176</v>
      </c>
      <c r="I1477" s="15" t="s">
        <v>575</v>
      </c>
    </row>
    <row r="1478" spans="1:9" ht="51.75" customHeight="1" x14ac:dyDescent="0.35">
      <c r="A1478" s="15" t="s">
        <v>22077</v>
      </c>
      <c r="B1478" s="15" t="s">
        <v>25870</v>
      </c>
      <c r="C1478" s="15" t="s">
        <v>25871</v>
      </c>
      <c r="D1478" s="31">
        <v>42460</v>
      </c>
      <c r="E1478" s="15" t="s">
        <v>25872</v>
      </c>
      <c r="F1478" s="87" t="s">
        <v>21871</v>
      </c>
      <c r="G1478" s="45" t="s">
        <v>10503</v>
      </c>
      <c r="H1478" s="55" t="s">
        <v>10504</v>
      </c>
      <c r="I1478" s="15" t="s">
        <v>575</v>
      </c>
    </row>
    <row r="1479" spans="1:9" ht="51.75" customHeight="1" x14ac:dyDescent="0.35">
      <c r="A1479" s="15" t="s">
        <v>22463</v>
      </c>
      <c r="B1479" s="15" t="s">
        <v>25873</v>
      </c>
      <c r="C1479" s="15" t="s">
        <v>25871</v>
      </c>
      <c r="D1479" s="31">
        <v>42460</v>
      </c>
      <c r="E1479" s="15" t="s">
        <v>25874</v>
      </c>
      <c r="F1479" s="87" t="s">
        <v>21871</v>
      </c>
      <c r="G1479" s="45" t="s">
        <v>10503</v>
      </c>
      <c r="H1479" s="55" t="s">
        <v>10504</v>
      </c>
      <c r="I1479" s="15" t="s">
        <v>575</v>
      </c>
    </row>
    <row r="1480" spans="1:9" ht="51.75" customHeight="1" x14ac:dyDescent="0.35">
      <c r="A1480" s="15" t="s">
        <v>22467</v>
      </c>
      <c r="B1480" s="15" t="s">
        <v>25875</v>
      </c>
      <c r="C1480" s="15" t="s">
        <v>25871</v>
      </c>
      <c r="D1480" s="31">
        <v>42460</v>
      </c>
      <c r="E1480" s="15" t="s">
        <v>25876</v>
      </c>
      <c r="F1480" s="87" t="s">
        <v>21871</v>
      </c>
      <c r="G1480" s="45" t="s">
        <v>10503</v>
      </c>
      <c r="H1480" s="55" t="s">
        <v>10504</v>
      </c>
      <c r="I1480" s="15" t="s">
        <v>575</v>
      </c>
    </row>
    <row r="1481" spans="1:9" ht="51.75" customHeight="1" x14ac:dyDescent="0.35">
      <c r="A1481" s="15" t="s">
        <v>24386</v>
      </c>
      <c r="B1481" s="15" t="s">
        <v>25877</v>
      </c>
      <c r="C1481" s="15" t="s">
        <v>25878</v>
      </c>
      <c r="D1481" s="31">
        <v>42460</v>
      </c>
      <c r="E1481" s="15" t="s">
        <v>25879</v>
      </c>
      <c r="F1481" s="87" t="s">
        <v>21871</v>
      </c>
      <c r="G1481" s="45" t="s">
        <v>10503</v>
      </c>
      <c r="H1481" s="55" t="s">
        <v>10504</v>
      </c>
      <c r="I1481" s="15" t="s">
        <v>575</v>
      </c>
    </row>
    <row r="1482" spans="1:9" ht="51.75" customHeight="1" x14ac:dyDescent="0.35">
      <c r="A1482" s="15" t="s">
        <v>24391</v>
      </c>
      <c r="B1482" s="15" t="s">
        <v>25880</v>
      </c>
      <c r="C1482" s="15" t="s">
        <v>25881</v>
      </c>
      <c r="D1482" s="31">
        <v>42460</v>
      </c>
      <c r="E1482" s="15" t="s">
        <v>25882</v>
      </c>
      <c r="F1482" s="87" t="s">
        <v>21871</v>
      </c>
      <c r="G1482" s="45" t="s">
        <v>10503</v>
      </c>
      <c r="H1482" s="55" t="s">
        <v>10504</v>
      </c>
      <c r="I1482" s="15" t="s">
        <v>575</v>
      </c>
    </row>
    <row r="1483" spans="1:9" ht="51.75" customHeight="1" x14ac:dyDescent="0.35">
      <c r="A1483" s="15" t="s">
        <v>24802</v>
      </c>
      <c r="B1483" s="15" t="s">
        <v>25883</v>
      </c>
      <c r="C1483" s="15" t="s">
        <v>25884</v>
      </c>
      <c r="D1483" s="31">
        <v>42460</v>
      </c>
      <c r="E1483" s="15" t="s">
        <v>25885</v>
      </c>
      <c r="F1483" s="87" t="s">
        <v>21871</v>
      </c>
      <c r="G1483" s="45" t="s">
        <v>10503</v>
      </c>
      <c r="H1483" s="55" t="s">
        <v>10504</v>
      </c>
      <c r="I1483" s="15" t="s">
        <v>575</v>
      </c>
    </row>
    <row r="1484" spans="1:9" ht="51.75" customHeight="1" x14ac:dyDescent="0.35">
      <c r="A1484" s="15" t="s">
        <v>24808</v>
      </c>
      <c r="B1484" s="15" t="s">
        <v>25886</v>
      </c>
      <c r="C1484" s="15" t="s">
        <v>25887</v>
      </c>
      <c r="D1484" s="31">
        <v>42460</v>
      </c>
      <c r="E1484" s="15" t="s">
        <v>25888</v>
      </c>
      <c r="F1484" s="87" t="s">
        <v>21871</v>
      </c>
      <c r="G1484" s="45" t="s">
        <v>10503</v>
      </c>
      <c r="H1484" s="55" t="s">
        <v>10504</v>
      </c>
      <c r="I1484" s="15" t="s">
        <v>575</v>
      </c>
    </row>
    <row r="1485" spans="1:9" ht="51.75" customHeight="1" x14ac:dyDescent="0.35">
      <c r="A1485" s="15" t="s">
        <v>25889</v>
      </c>
      <c r="B1485" s="15" t="s">
        <v>25890</v>
      </c>
      <c r="C1485" s="15" t="s">
        <v>25891</v>
      </c>
      <c r="D1485" s="31">
        <v>42683</v>
      </c>
      <c r="E1485" s="15" t="s">
        <v>25892</v>
      </c>
      <c r="F1485" s="87" t="s">
        <v>21871</v>
      </c>
      <c r="G1485" s="45" t="s">
        <v>10815</v>
      </c>
      <c r="H1485" s="55" t="s">
        <v>10816</v>
      </c>
      <c r="I1485" s="15" t="s">
        <v>575</v>
      </c>
    </row>
    <row r="1486" spans="1:9" ht="51.75" customHeight="1" x14ac:dyDescent="0.35">
      <c r="A1486" s="15" t="s">
        <v>25893</v>
      </c>
      <c r="B1486" s="15" t="s">
        <v>25894</v>
      </c>
      <c r="C1486" s="15" t="s">
        <v>25895</v>
      </c>
      <c r="D1486" s="31">
        <v>42683</v>
      </c>
      <c r="E1486" s="15" t="s">
        <v>25896</v>
      </c>
      <c r="F1486" s="87" t="s">
        <v>21871</v>
      </c>
      <c r="G1486" s="45" t="s">
        <v>10815</v>
      </c>
      <c r="H1486" s="55" t="s">
        <v>10816</v>
      </c>
      <c r="I1486" s="15" t="s">
        <v>575</v>
      </c>
    </row>
    <row r="1487" spans="1:9" ht="51.75" customHeight="1" x14ac:dyDescent="0.35">
      <c r="A1487" s="15" t="s">
        <v>25897</v>
      </c>
      <c r="B1487" s="15" t="s">
        <v>25898</v>
      </c>
      <c r="C1487" s="15" t="s">
        <v>25899</v>
      </c>
      <c r="D1487" s="31">
        <v>42683</v>
      </c>
      <c r="E1487" s="15" t="s">
        <v>25900</v>
      </c>
      <c r="F1487" s="87" t="s">
        <v>21871</v>
      </c>
      <c r="G1487" s="45" t="s">
        <v>10815</v>
      </c>
      <c r="H1487" s="55" t="s">
        <v>10816</v>
      </c>
      <c r="I1487" s="15" t="s">
        <v>575</v>
      </c>
    </row>
    <row r="1488" spans="1:9" ht="51.75" customHeight="1" x14ac:dyDescent="0.35">
      <c r="A1488" s="15" t="s">
        <v>25901</v>
      </c>
      <c r="B1488" s="15" t="s">
        <v>25902</v>
      </c>
      <c r="C1488" s="15" t="s">
        <v>25903</v>
      </c>
      <c r="D1488" s="31">
        <v>42683</v>
      </c>
      <c r="E1488" s="15" t="s">
        <v>25904</v>
      </c>
      <c r="F1488" s="87" t="s">
        <v>21871</v>
      </c>
      <c r="G1488" s="45" t="s">
        <v>10815</v>
      </c>
      <c r="H1488" s="55" t="s">
        <v>10816</v>
      </c>
      <c r="I1488" s="15" t="s">
        <v>575</v>
      </c>
    </row>
    <row r="1489" spans="1:9" ht="51.75" customHeight="1" x14ac:dyDescent="0.35">
      <c r="A1489" s="15" t="s">
        <v>25905</v>
      </c>
      <c r="B1489" s="15" t="s">
        <v>25906</v>
      </c>
      <c r="C1489" s="15" t="s">
        <v>25907</v>
      </c>
      <c r="D1489" s="31">
        <v>42683</v>
      </c>
      <c r="E1489" s="15" t="s">
        <v>25908</v>
      </c>
      <c r="F1489" s="87" t="s">
        <v>21871</v>
      </c>
      <c r="G1489" s="45" t="s">
        <v>10815</v>
      </c>
      <c r="H1489" s="55" t="s">
        <v>10816</v>
      </c>
      <c r="I1489" s="15" t="s">
        <v>575</v>
      </c>
    </row>
    <row r="1490" spans="1:9" ht="51.75" customHeight="1" x14ac:dyDescent="0.35">
      <c r="A1490" s="15" t="s">
        <v>25909</v>
      </c>
      <c r="B1490" s="15" t="s">
        <v>25910</v>
      </c>
      <c r="C1490" s="15" t="s">
        <v>25911</v>
      </c>
      <c r="D1490" s="31">
        <v>42683</v>
      </c>
      <c r="E1490" s="15" t="s">
        <v>25912</v>
      </c>
      <c r="F1490" s="87" t="s">
        <v>21871</v>
      </c>
      <c r="G1490" s="45" t="s">
        <v>10815</v>
      </c>
      <c r="H1490" s="55" t="s">
        <v>10816</v>
      </c>
      <c r="I1490" s="15" t="s">
        <v>575</v>
      </c>
    </row>
    <row r="1491" spans="1:9" ht="51.75" customHeight="1" x14ac:dyDescent="0.35">
      <c r="A1491" s="15" t="s">
        <v>25913</v>
      </c>
      <c r="B1491" s="15" t="s">
        <v>25914</v>
      </c>
      <c r="C1491" s="15" t="s">
        <v>25915</v>
      </c>
      <c r="D1491" s="31">
        <v>42683</v>
      </c>
      <c r="E1491" s="15" t="s">
        <v>25916</v>
      </c>
      <c r="F1491" s="87" t="s">
        <v>21871</v>
      </c>
      <c r="G1491" s="45" t="s">
        <v>10815</v>
      </c>
      <c r="H1491" s="55" t="s">
        <v>10816</v>
      </c>
      <c r="I1491" s="15" t="s">
        <v>575</v>
      </c>
    </row>
    <row r="1492" spans="1:9" ht="51.75" customHeight="1" x14ac:dyDescent="0.35">
      <c r="A1492" s="15" t="s">
        <v>25917</v>
      </c>
      <c r="B1492" s="15" t="s">
        <v>25918</v>
      </c>
      <c r="C1492" s="15" t="s">
        <v>25919</v>
      </c>
      <c r="D1492" s="31">
        <v>42683</v>
      </c>
      <c r="E1492" s="15" t="s">
        <v>25920</v>
      </c>
      <c r="F1492" s="87" t="s">
        <v>21871</v>
      </c>
      <c r="G1492" s="45" t="s">
        <v>10815</v>
      </c>
      <c r="H1492" s="55" t="s">
        <v>10816</v>
      </c>
      <c r="I1492" s="15" t="s">
        <v>575</v>
      </c>
    </row>
    <row r="1493" spans="1:9" ht="51.75" customHeight="1" x14ac:dyDescent="0.35">
      <c r="A1493" s="15" t="s">
        <v>25921</v>
      </c>
      <c r="B1493" s="15" t="s">
        <v>25922</v>
      </c>
      <c r="C1493" s="15" t="s">
        <v>25923</v>
      </c>
      <c r="D1493" s="31">
        <v>42683</v>
      </c>
      <c r="E1493" s="15" t="s">
        <v>25924</v>
      </c>
      <c r="F1493" s="87" t="s">
        <v>21871</v>
      </c>
      <c r="G1493" s="45" t="s">
        <v>10815</v>
      </c>
      <c r="H1493" s="55" t="s">
        <v>10816</v>
      </c>
      <c r="I1493" s="15" t="s">
        <v>575</v>
      </c>
    </row>
    <row r="1494" spans="1:9" ht="51.75" customHeight="1" x14ac:dyDescent="0.35">
      <c r="A1494" s="15" t="s">
        <v>25925</v>
      </c>
      <c r="B1494" s="15" t="s">
        <v>25926</v>
      </c>
      <c r="C1494" s="15" t="s">
        <v>25927</v>
      </c>
      <c r="D1494" s="31">
        <v>42683</v>
      </c>
      <c r="E1494" s="15" t="s">
        <v>25928</v>
      </c>
      <c r="F1494" s="87" t="s">
        <v>21871</v>
      </c>
      <c r="G1494" s="45" t="s">
        <v>10815</v>
      </c>
      <c r="H1494" s="55" t="s">
        <v>10816</v>
      </c>
      <c r="I1494" s="15" t="s">
        <v>575</v>
      </c>
    </row>
    <row r="1495" spans="1:9" ht="51.75" customHeight="1" x14ac:dyDescent="0.35">
      <c r="A1495" s="15" t="s">
        <v>25929</v>
      </c>
      <c r="B1495" s="15" t="s">
        <v>25930</v>
      </c>
      <c r="C1495" s="15" t="s">
        <v>25931</v>
      </c>
      <c r="D1495" s="31">
        <v>42683</v>
      </c>
      <c r="E1495" s="15" t="s">
        <v>25932</v>
      </c>
      <c r="F1495" s="87" t="s">
        <v>21871</v>
      </c>
      <c r="G1495" s="45" t="s">
        <v>10815</v>
      </c>
      <c r="H1495" s="55" t="s">
        <v>10816</v>
      </c>
      <c r="I1495" s="15" t="s">
        <v>575</v>
      </c>
    </row>
    <row r="1496" spans="1:9" ht="51.75" customHeight="1" x14ac:dyDescent="0.35">
      <c r="A1496" s="15" t="s">
        <v>25933</v>
      </c>
      <c r="B1496" s="15" t="s">
        <v>25934</v>
      </c>
      <c r="C1496" s="15" t="s">
        <v>25935</v>
      </c>
      <c r="D1496" s="31">
        <v>42683</v>
      </c>
      <c r="E1496" s="15" t="s">
        <v>25936</v>
      </c>
      <c r="F1496" s="87" t="s">
        <v>21871</v>
      </c>
      <c r="G1496" s="45" t="s">
        <v>10815</v>
      </c>
      <c r="H1496" s="55" t="s">
        <v>10816</v>
      </c>
      <c r="I1496" s="15" t="s">
        <v>575</v>
      </c>
    </row>
    <row r="1497" spans="1:9" ht="51.75" customHeight="1" x14ac:dyDescent="0.35">
      <c r="A1497" s="15" t="s">
        <v>25937</v>
      </c>
      <c r="B1497" s="15" t="s">
        <v>25938</v>
      </c>
      <c r="C1497" s="15" t="s">
        <v>25939</v>
      </c>
      <c r="D1497" s="31">
        <v>42683</v>
      </c>
      <c r="E1497" s="15" t="s">
        <v>25940</v>
      </c>
      <c r="F1497" s="87" t="s">
        <v>21871</v>
      </c>
      <c r="G1497" s="45" t="s">
        <v>10815</v>
      </c>
      <c r="H1497" s="55" t="s">
        <v>10816</v>
      </c>
      <c r="I1497" s="15" t="s">
        <v>575</v>
      </c>
    </row>
    <row r="1498" spans="1:9" ht="51.75" customHeight="1" x14ac:dyDescent="0.35">
      <c r="A1498" s="15" t="s">
        <v>25941</v>
      </c>
      <c r="B1498" s="15" t="s">
        <v>25942</v>
      </c>
      <c r="C1498" s="15" t="s">
        <v>25943</v>
      </c>
      <c r="D1498" s="31">
        <v>42683</v>
      </c>
      <c r="E1498" s="15" t="s">
        <v>25944</v>
      </c>
      <c r="F1498" s="87" t="s">
        <v>21871</v>
      </c>
      <c r="G1498" s="45" t="s">
        <v>10815</v>
      </c>
      <c r="H1498" s="55" t="s">
        <v>10816</v>
      </c>
      <c r="I1498" s="15" t="s">
        <v>575</v>
      </c>
    </row>
    <row r="1499" spans="1:9" ht="51.75" customHeight="1" x14ac:dyDescent="0.35">
      <c r="A1499" s="15" t="s">
        <v>25945</v>
      </c>
      <c r="B1499" s="15" t="s">
        <v>25946</v>
      </c>
      <c r="C1499" s="15" t="s">
        <v>25947</v>
      </c>
      <c r="D1499" s="31">
        <v>42683</v>
      </c>
      <c r="E1499" s="15" t="s">
        <v>25948</v>
      </c>
      <c r="F1499" s="87" t="s">
        <v>21871</v>
      </c>
      <c r="G1499" s="45" t="s">
        <v>10815</v>
      </c>
      <c r="H1499" s="55" t="s">
        <v>10816</v>
      </c>
      <c r="I1499" s="15" t="s">
        <v>575</v>
      </c>
    </row>
    <row r="1500" spans="1:9" ht="51.75" customHeight="1" x14ac:dyDescent="0.35">
      <c r="A1500" s="15" t="s">
        <v>25949</v>
      </c>
      <c r="B1500" s="15" t="s">
        <v>25950</v>
      </c>
      <c r="C1500" s="15" t="s">
        <v>25951</v>
      </c>
      <c r="D1500" s="31">
        <v>42683</v>
      </c>
      <c r="E1500" s="15" t="s">
        <v>25952</v>
      </c>
      <c r="F1500" s="87" t="s">
        <v>21871</v>
      </c>
      <c r="G1500" s="45" t="s">
        <v>10815</v>
      </c>
      <c r="H1500" s="55" t="s">
        <v>10816</v>
      </c>
      <c r="I1500" s="15" t="s">
        <v>575</v>
      </c>
    </row>
    <row r="1501" spans="1:9" ht="51.75" customHeight="1" x14ac:dyDescent="0.35">
      <c r="A1501" s="15" t="s">
        <v>25454</v>
      </c>
      <c r="B1501" s="15" t="s">
        <v>25953</v>
      </c>
      <c r="C1501" s="15" t="s">
        <v>25954</v>
      </c>
      <c r="D1501" s="31">
        <v>43262</v>
      </c>
      <c r="E1501" s="15" t="s">
        <v>25955</v>
      </c>
      <c r="F1501" s="87" t="s">
        <v>25956</v>
      </c>
      <c r="G1501" s="45" t="s">
        <v>11079</v>
      </c>
      <c r="H1501" s="55" t="s">
        <v>11080</v>
      </c>
      <c r="I1501" s="15" t="s">
        <v>575</v>
      </c>
    </row>
    <row r="1502" spans="1:9" ht="51.75" customHeight="1" x14ac:dyDescent="0.35">
      <c r="A1502" s="15" t="s">
        <v>25454</v>
      </c>
      <c r="B1502" s="15" t="s">
        <v>25957</v>
      </c>
      <c r="C1502" s="15" t="s">
        <v>25954</v>
      </c>
      <c r="D1502" s="31">
        <v>43262</v>
      </c>
      <c r="E1502" s="15" t="s">
        <v>25958</v>
      </c>
      <c r="F1502" s="87" t="s">
        <v>21871</v>
      </c>
      <c r="G1502" s="45" t="s">
        <v>11079</v>
      </c>
      <c r="H1502" s="55" t="s">
        <v>11080</v>
      </c>
      <c r="I1502" s="15" t="s">
        <v>575</v>
      </c>
    </row>
    <row r="1503" spans="1:9" ht="51.75" customHeight="1" x14ac:dyDescent="0.35">
      <c r="A1503" s="15" t="s">
        <v>23309</v>
      </c>
      <c r="B1503" s="15" t="s">
        <v>25959</v>
      </c>
      <c r="C1503" s="15" t="s">
        <v>25960</v>
      </c>
      <c r="D1503" s="31">
        <v>43262</v>
      </c>
      <c r="E1503" s="15" t="s">
        <v>25961</v>
      </c>
      <c r="F1503" s="87" t="s">
        <v>25956</v>
      </c>
      <c r="G1503" s="45" t="s">
        <v>11079</v>
      </c>
      <c r="H1503" s="55" t="s">
        <v>11080</v>
      </c>
      <c r="I1503" s="15" t="s">
        <v>575</v>
      </c>
    </row>
    <row r="1504" spans="1:9" ht="51.75" customHeight="1" x14ac:dyDescent="0.35">
      <c r="A1504" s="15" t="s">
        <v>23309</v>
      </c>
      <c r="B1504" s="15" t="s">
        <v>25962</v>
      </c>
      <c r="C1504" s="15" t="s">
        <v>25960</v>
      </c>
      <c r="D1504" s="31">
        <v>43262</v>
      </c>
      <c r="E1504" s="15" t="s">
        <v>25963</v>
      </c>
      <c r="F1504" s="87" t="s">
        <v>21871</v>
      </c>
      <c r="G1504" s="45" t="s">
        <v>11079</v>
      </c>
      <c r="H1504" s="55" t="s">
        <v>11080</v>
      </c>
      <c r="I1504" s="15" t="s">
        <v>575</v>
      </c>
    </row>
    <row r="1505" spans="1:9" ht="51.75" customHeight="1" x14ac:dyDescent="0.35">
      <c r="A1505" s="15" t="s">
        <v>23319</v>
      </c>
      <c r="B1505" s="15" t="s">
        <v>25964</v>
      </c>
      <c r="C1505" s="15" t="s">
        <v>25965</v>
      </c>
      <c r="D1505" s="31">
        <v>43262</v>
      </c>
      <c r="E1505" s="15" t="s">
        <v>25966</v>
      </c>
      <c r="F1505" s="87" t="s">
        <v>25956</v>
      </c>
      <c r="G1505" s="45" t="s">
        <v>11079</v>
      </c>
      <c r="H1505" s="55" t="s">
        <v>11080</v>
      </c>
      <c r="I1505" s="15" t="s">
        <v>575</v>
      </c>
    </row>
    <row r="1506" spans="1:9" ht="51.75" customHeight="1" x14ac:dyDescent="0.35">
      <c r="A1506" s="15" t="s">
        <v>23319</v>
      </c>
      <c r="B1506" s="15" t="s">
        <v>25967</v>
      </c>
      <c r="C1506" s="15" t="s">
        <v>25965</v>
      </c>
      <c r="D1506" s="31">
        <v>43262</v>
      </c>
      <c r="E1506" s="15" t="s">
        <v>25968</v>
      </c>
      <c r="F1506" s="87" t="s">
        <v>21871</v>
      </c>
      <c r="G1506" s="45" t="s">
        <v>11079</v>
      </c>
      <c r="H1506" s="55" t="s">
        <v>11080</v>
      </c>
      <c r="I1506" s="15" t="s">
        <v>575</v>
      </c>
    </row>
    <row r="1507" spans="1:9" ht="51.75" customHeight="1" x14ac:dyDescent="0.35">
      <c r="A1507" s="15" t="s">
        <v>25507</v>
      </c>
      <c r="B1507" s="15" t="s">
        <v>25969</v>
      </c>
      <c r="C1507" s="15" t="s">
        <v>25970</v>
      </c>
      <c r="D1507" s="31">
        <v>43262</v>
      </c>
      <c r="E1507" s="15" t="s">
        <v>25971</v>
      </c>
      <c r="F1507" s="87" t="s">
        <v>25956</v>
      </c>
      <c r="G1507" s="45" t="s">
        <v>11079</v>
      </c>
      <c r="H1507" s="55" t="s">
        <v>11080</v>
      </c>
      <c r="I1507" s="15" t="s">
        <v>575</v>
      </c>
    </row>
    <row r="1508" spans="1:9" ht="51.75" customHeight="1" x14ac:dyDescent="0.35">
      <c r="A1508" s="15" t="s">
        <v>25507</v>
      </c>
      <c r="B1508" s="15" t="s">
        <v>25972</v>
      </c>
      <c r="C1508" s="15" t="s">
        <v>25970</v>
      </c>
      <c r="D1508" s="31">
        <v>43262</v>
      </c>
      <c r="E1508" s="15" t="s">
        <v>25973</v>
      </c>
      <c r="F1508" s="87" t="s">
        <v>21871</v>
      </c>
      <c r="G1508" s="45" t="s">
        <v>11079</v>
      </c>
      <c r="H1508" s="55" t="s">
        <v>11080</v>
      </c>
      <c r="I1508" s="15" t="s">
        <v>575</v>
      </c>
    </row>
    <row r="1509" spans="1:9" ht="51.75" customHeight="1" x14ac:dyDescent="0.35">
      <c r="A1509" s="15" t="s">
        <v>25974</v>
      </c>
      <c r="B1509" s="15" t="s">
        <v>25975</v>
      </c>
      <c r="C1509" s="15" t="s">
        <v>25976</v>
      </c>
      <c r="D1509" s="31">
        <v>43262</v>
      </c>
      <c r="E1509" s="15" t="s">
        <v>25977</v>
      </c>
      <c r="F1509" s="87" t="s">
        <v>25956</v>
      </c>
      <c r="G1509" s="45" t="s">
        <v>11079</v>
      </c>
      <c r="H1509" s="55" t="s">
        <v>11080</v>
      </c>
      <c r="I1509" s="15" t="s">
        <v>575</v>
      </c>
    </row>
    <row r="1510" spans="1:9" ht="51.75" customHeight="1" x14ac:dyDescent="0.35">
      <c r="A1510" s="15" t="s">
        <v>25974</v>
      </c>
      <c r="B1510" s="15" t="s">
        <v>25978</v>
      </c>
      <c r="C1510" s="15" t="s">
        <v>25976</v>
      </c>
      <c r="D1510" s="31">
        <v>43262</v>
      </c>
      <c r="E1510" s="15" t="s">
        <v>25979</v>
      </c>
      <c r="F1510" s="87" t="s">
        <v>21871</v>
      </c>
      <c r="G1510" s="45" t="s">
        <v>11079</v>
      </c>
      <c r="H1510" s="55" t="s">
        <v>11080</v>
      </c>
      <c r="I1510" s="15" t="s">
        <v>575</v>
      </c>
    </row>
    <row r="1511" spans="1:9" ht="51.75" customHeight="1" x14ac:dyDescent="0.35">
      <c r="A1511" s="15" t="s">
        <v>25980</v>
      </c>
      <c r="B1511" s="15" t="s">
        <v>25981</v>
      </c>
      <c r="C1511" s="15" t="s">
        <v>25982</v>
      </c>
      <c r="D1511" s="31">
        <v>43262</v>
      </c>
      <c r="E1511" s="15" t="s">
        <v>25983</v>
      </c>
      <c r="F1511" s="87" t="s">
        <v>25956</v>
      </c>
      <c r="G1511" s="45" t="s">
        <v>11079</v>
      </c>
      <c r="H1511" s="55" t="s">
        <v>11080</v>
      </c>
      <c r="I1511" s="15" t="s">
        <v>575</v>
      </c>
    </row>
    <row r="1512" spans="1:9" ht="51.75" customHeight="1" x14ac:dyDescent="0.35">
      <c r="A1512" s="15" t="s">
        <v>25980</v>
      </c>
      <c r="B1512" s="15" t="s">
        <v>25984</v>
      </c>
      <c r="C1512" s="15" t="s">
        <v>25982</v>
      </c>
      <c r="D1512" s="31">
        <v>43262</v>
      </c>
      <c r="E1512" s="15" t="s">
        <v>25985</v>
      </c>
      <c r="F1512" s="87" t="s">
        <v>21871</v>
      </c>
      <c r="G1512" s="45" t="s">
        <v>11079</v>
      </c>
      <c r="H1512" s="55" t="s">
        <v>11080</v>
      </c>
      <c r="I1512" s="15" t="s">
        <v>575</v>
      </c>
    </row>
    <row r="1513" spans="1:9" ht="51.75" customHeight="1" x14ac:dyDescent="0.35">
      <c r="A1513" s="15" t="s">
        <v>25986</v>
      </c>
      <c r="B1513" s="15" t="s">
        <v>25987</v>
      </c>
      <c r="C1513" s="15" t="s">
        <v>25988</v>
      </c>
      <c r="D1513" s="31">
        <v>43262</v>
      </c>
      <c r="E1513" s="15" t="s">
        <v>25989</v>
      </c>
      <c r="F1513" s="87" t="s">
        <v>25956</v>
      </c>
      <c r="G1513" s="45" t="s">
        <v>11079</v>
      </c>
      <c r="H1513" s="55" t="s">
        <v>11080</v>
      </c>
      <c r="I1513" s="15" t="s">
        <v>575</v>
      </c>
    </row>
    <row r="1514" spans="1:9" ht="51.75" customHeight="1" x14ac:dyDescent="0.35">
      <c r="A1514" s="15" t="s">
        <v>25986</v>
      </c>
      <c r="B1514" s="15" t="s">
        <v>25990</v>
      </c>
      <c r="C1514" s="15" t="s">
        <v>25988</v>
      </c>
      <c r="D1514" s="31">
        <v>43262</v>
      </c>
      <c r="E1514" s="15" t="s">
        <v>25991</v>
      </c>
      <c r="F1514" s="87" t="s">
        <v>21871</v>
      </c>
      <c r="G1514" s="45" t="s">
        <v>11079</v>
      </c>
      <c r="H1514" s="55" t="s">
        <v>11080</v>
      </c>
      <c r="I1514" s="15" t="s">
        <v>575</v>
      </c>
    </row>
    <row r="1515" spans="1:9" ht="51.75" customHeight="1" x14ac:dyDescent="0.35">
      <c r="A1515" s="15" t="s">
        <v>25992</v>
      </c>
      <c r="B1515" s="15" t="s">
        <v>25993</v>
      </c>
      <c r="C1515" s="15" t="s">
        <v>25994</v>
      </c>
      <c r="D1515" s="31">
        <v>43262</v>
      </c>
      <c r="E1515" s="15" t="s">
        <v>25995</v>
      </c>
      <c r="F1515" s="87" t="s">
        <v>25956</v>
      </c>
      <c r="G1515" s="45" t="s">
        <v>11079</v>
      </c>
      <c r="H1515" s="55" t="s">
        <v>11080</v>
      </c>
      <c r="I1515" s="15" t="s">
        <v>575</v>
      </c>
    </row>
    <row r="1516" spans="1:9" ht="51.75" customHeight="1" x14ac:dyDescent="0.35">
      <c r="A1516" s="15" t="s">
        <v>25992</v>
      </c>
      <c r="B1516" s="15" t="s">
        <v>25996</v>
      </c>
      <c r="C1516" s="15" t="s">
        <v>25994</v>
      </c>
      <c r="D1516" s="31">
        <v>43262</v>
      </c>
      <c r="E1516" s="15" t="s">
        <v>25997</v>
      </c>
      <c r="F1516" s="87" t="s">
        <v>21871</v>
      </c>
      <c r="G1516" s="45" t="s">
        <v>11079</v>
      </c>
      <c r="H1516" s="55" t="s">
        <v>11080</v>
      </c>
      <c r="I1516" s="15" t="s">
        <v>575</v>
      </c>
    </row>
    <row r="1517" spans="1:9" ht="51.75" customHeight="1" x14ac:dyDescent="0.35">
      <c r="A1517" s="15" t="s">
        <v>22825</v>
      </c>
      <c r="B1517" s="15" t="s">
        <v>25998</v>
      </c>
      <c r="C1517" s="15" t="s">
        <v>25999</v>
      </c>
      <c r="D1517" s="31">
        <v>43262</v>
      </c>
      <c r="E1517" s="15" t="s">
        <v>26000</v>
      </c>
      <c r="F1517" s="87" t="s">
        <v>25956</v>
      </c>
      <c r="G1517" s="45" t="s">
        <v>11278</v>
      </c>
      <c r="H1517" s="55" t="s">
        <v>11279</v>
      </c>
      <c r="I1517" s="15" t="s">
        <v>575</v>
      </c>
    </row>
    <row r="1518" spans="1:9" ht="51.75" customHeight="1" x14ac:dyDescent="0.35">
      <c r="A1518" s="15" t="s">
        <v>22825</v>
      </c>
      <c r="B1518" s="15" t="s">
        <v>26001</v>
      </c>
      <c r="C1518" s="15" t="s">
        <v>25999</v>
      </c>
      <c r="D1518" s="31">
        <v>43262</v>
      </c>
      <c r="E1518" s="15" t="s">
        <v>26002</v>
      </c>
      <c r="F1518" s="87" t="s">
        <v>21871</v>
      </c>
      <c r="G1518" s="45" t="s">
        <v>11278</v>
      </c>
      <c r="H1518" s="55" t="s">
        <v>11279</v>
      </c>
      <c r="I1518" s="15" t="s">
        <v>575</v>
      </c>
    </row>
    <row r="1519" spans="1:9" ht="51.75" customHeight="1" x14ac:dyDescent="0.35">
      <c r="A1519" s="15" t="s">
        <v>22829</v>
      </c>
      <c r="B1519" s="15" t="s">
        <v>26003</v>
      </c>
      <c r="C1519" s="15" t="s">
        <v>26004</v>
      </c>
      <c r="D1519" s="31">
        <v>43262</v>
      </c>
      <c r="E1519" s="15" t="s">
        <v>26005</v>
      </c>
      <c r="F1519" s="87" t="s">
        <v>25956</v>
      </c>
      <c r="G1519" s="45" t="s">
        <v>11278</v>
      </c>
      <c r="H1519" s="55" t="s">
        <v>11279</v>
      </c>
      <c r="I1519" s="15" t="s">
        <v>575</v>
      </c>
    </row>
    <row r="1520" spans="1:9" ht="51.75" customHeight="1" x14ac:dyDescent="0.35">
      <c r="A1520" s="15" t="s">
        <v>22829</v>
      </c>
      <c r="B1520" s="15" t="s">
        <v>26006</v>
      </c>
      <c r="C1520" s="15" t="s">
        <v>26004</v>
      </c>
      <c r="D1520" s="31">
        <v>43262</v>
      </c>
      <c r="E1520" s="15" t="s">
        <v>26007</v>
      </c>
      <c r="F1520" s="87" t="s">
        <v>21871</v>
      </c>
      <c r="G1520" s="45" t="s">
        <v>11278</v>
      </c>
      <c r="H1520" s="55" t="s">
        <v>11279</v>
      </c>
      <c r="I1520" s="15" t="s">
        <v>575</v>
      </c>
    </row>
    <row r="1521" spans="1:9" ht="51.75" customHeight="1" x14ac:dyDescent="0.35">
      <c r="A1521" s="15" t="s">
        <v>24968</v>
      </c>
      <c r="B1521" s="15" t="s">
        <v>26008</v>
      </c>
      <c r="C1521" s="15" t="s">
        <v>26009</v>
      </c>
      <c r="D1521" s="31">
        <v>43262</v>
      </c>
      <c r="E1521" s="15" t="s">
        <v>26010</v>
      </c>
      <c r="F1521" s="87" t="s">
        <v>25956</v>
      </c>
      <c r="G1521" s="45" t="s">
        <v>11278</v>
      </c>
      <c r="H1521" s="55" t="s">
        <v>11279</v>
      </c>
      <c r="I1521" s="15" t="s">
        <v>575</v>
      </c>
    </row>
    <row r="1522" spans="1:9" ht="51.75" customHeight="1" x14ac:dyDescent="0.35">
      <c r="A1522" s="15" t="s">
        <v>24968</v>
      </c>
      <c r="B1522" s="15" t="s">
        <v>26011</v>
      </c>
      <c r="C1522" s="15" t="s">
        <v>26009</v>
      </c>
      <c r="D1522" s="31">
        <v>43262</v>
      </c>
      <c r="E1522" s="15" t="s">
        <v>26012</v>
      </c>
      <c r="F1522" s="87" t="s">
        <v>21871</v>
      </c>
      <c r="G1522" s="45" t="s">
        <v>11278</v>
      </c>
      <c r="H1522" s="55" t="s">
        <v>11279</v>
      </c>
      <c r="I1522" s="15" t="s">
        <v>575</v>
      </c>
    </row>
    <row r="1523" spans="1:9" ht="51.75" customHeight="1" x14ac:dyDescent="0.35">
      <c r="A1523" s="15" t="s">
        <v>24526</v>
      </c>
      <c r="B1523" s="15" t="s">
        <v>26013</v>
      </c>
      <c r="C1523" s="15" t="s">
        <v>26014</v>
      </c>
      <c r="D1523" s="31">
        <v>43871</v>
      </c>
      <c r="E1523" s="15" t="s">
        <v>26015</v>
      </c>
      <c r="F1523" s="87" t="s">
        <v>21871</v>
      </c>
      <c r="G1523" s="45" t="s">
        <v>11796</v>
      </c>
      <c r="H1523" s="55" t="s">
        <v>11797</v>
      </c>
      <c r="I1523" s="15" t="s">
        <v>575</v>
      </c>
    </row>
    <row r="1524" spans="1:9" ht="51.75" customHeight="1" x14ac:dyDescent="0.35">
      <c r="A1524" s="15" t="s">
        <v>24209</v>
      </c>
      <c r="B1524" s="15" t="s">
        <v>26016</v>
      </c>
      <c r="C1524" s="15" t="s">
        <v>26017</v>
      </c>
      <c r="D1524" s="31">
        <v>43871</v>
      </c>
      <c r="E1524" s="15" t="s">
        <v>26018</v>
      </c>
      <c r="F1524" s="87" t="s">
        <v>21871</v>
      </c>
      <c r="G1524" s="45" t="s">
        <v>11796</v>
      </c>
      <c r="H1524" s="55" t="s">
        <v>11797</v>
      </c>
      <c r="I1524" s="15" t="s">
        <v>575</v>
      </c>
    </row>
    <row r="1525" spans="1:9" ht="51.75" customHeight="1" x14ac:dyDescent="0.35">
      <c r="A1525" s="15" t="s">
        <v>24271</v>
      </c>
      <c r="B1525" s="15" t="s">
        <v>26019</v>
      </c>
      <c r="C1525" s="15" t="s">
        <v>26020</v>
      </c>
      <c r="D1525" s="31">
        <v>43871</v>
      </c>
      <c r="E1525" s="15" t="s">
        <v>26021</v>
      </c>
      <c r="F1525" s="87" t="s">
        <v>21871</v>
      </c>
      <c r="G1525" s="45" t="s">
        <v>11796</v>
      </c>
      <c r="H1525" s="55" t="s">
        <v>11797</v>
      </c>
      <c r="I1525" s="15" t="s">
        <v>575</v>
      </c>
    </row>
    <row r="1526" spans="1:9" ht="51.75" customHeight="1" x14ac:dyDescent="0.35">
      <c r="A1526" s="15" t="s">
        <v>24276</v>
      </c>
      <c r="B1526" s="15" t="s">
        <v>26022</v>
      </c>
      <c r="C1526" s="15" t="s">
        <v>26023</v>
      </c>
      <c r="D1526" s="31">
        <v>43871</v>
      </c>
      <c r="E1526" s="15" t="s">
        <v>26024</v>
      </c>
      <c r="F1526" s="87" t="s">
        <v>21871</v>
      </c>
      <c r="G1526" s="45" t="s">
        <v>11796</v>
      </c>
      <c r="H1526" s="55" t="s">
        <v>11797</v>
      </c>
      <c r="I1526" s="15" t="s">
        <v>575</v>
      </c>
    </row>
    <row r="1527" spans="1:9" ht="51.75" customHeight="1" x14ac:dyDescent="0.35">
      <c r="A1527" s="15" t="s">
        <v>24281</v>
      </c>
      <c r="B1527" s="15" t="s">
        <v>26025</v>
      </c>
      <c r="C1527" s="15" t="s">
        <v>26026</v>
      </c>
      <c r="D1527" s="31">
        <v>43871</v>
      </c>
      <c r="E1527" s="15" t="s">
        <v>26027</v>
      </c>
      <c r="F1527" s="87" t="s">
        <v>21871</v>
      </c>
      <c r="G1527" s="45" t="s">
        <v>11796</v>
      </c>
      <c r="H1527" s="55" t="s">
        <v>11797</v>
      </c>
      <c r="I1527" s="15" t="s">
        <v>575</v>
      </c>
    </row>
    <row r="1528" spans="1:9" ht="51.75" customHeight="1" x14ac:dyDescent="0.35">
      <c r="A1528" s="15" t="s">
        <v>26028</v>
      </c>
      <c r="B1528" s="15" t="s">
        <v>26029</v>
      </c>
      <c r="C1528" s="15" t="s">
        <v>26030</v>
      </c>
      <c r="D1528" s="31">
        <v>43970</v>
      </c>
      <c r="E1528" s="15" t="s">
        <v>26031</v>
      </c>
      <c r="F1528" s="87" t="s">
        <v>21871</v>
      </c>
      <c r="G1528" s="45" t="s">
        <v>12831</v>
      </c>
      <c r="H1528" s="55" t="s">
        <v>12832</v>
      </c>
      <c r="I1528" s="15" t="s">
        <v>575</v>
      </c>
    </row>
    <row r="1529" spans="1:9" ht="51.75" customHeight="1" x14ac:dyDescent="0.35">
      <c r="A1529" s="15" t="s">
        <v>24957</v>
      </c>
      <c r="B1529" s="15" t="s">
        <v>26032</v>
      </c>
      <c r="C1529" s="15" t="s">
        <v>26033</v>
      </c>
      <c r="D1529" s="31">
        <v>43970</v>
      </c>
      <c r="E1529" s="15" t="s">
        <v>26034</v>
      </c>
      <c r="F1529" s="87" t="s">
        <v>21871</v>
      </c>
      <c r="G1529" s="45" t="s">
        <v>12831</v>
      </c>
      <c r="H1529" s="55" t="s">
        <v>12832</v>
      </c>
      <c r="I1529" s="15" t="s">
        <v>575</v>
      </c>
    </row>
    <row r="1530" spans="1:9" ht="51.75" customHeight="1" x14ac:dyDescent="0.35">
      <c r="A1530" s="15" t="s">
        <v>22582</v>
      </c>
      <c r="B1530" s="15" t="s">
        <v>26035</v>
      </c>
      <c r="C1530" s="15" t="s">
        <v>26036</v>
      </c>
      <c r="D1530" s="31">
        <v>43598</v>
      </c>
      <c r="E1530" s="15" t="s">
        <v>26037</v>
      </c>
      <c r="F1530" s="87" t="s">
        <v>21871</v>
      </c>
      <c r="G1530" s="45" t="s">
        <v>13149</v>
      </c>
      <c r="H1530" s="55" t="s">
        <v>13150</v>
      </c>
      <c r="I1530" s="15" t="s">
        <v>575</v>
      </c>
    </row>
    <row r="1531" spans="1:9" ht="51.75" customHeight="1" x14ac:dyDescent="0.35">
      <c r="A1531" s="15" t="s">
        <v>26038</v>
      </c>
      <c r="B1531" s="15" t="s">
        <v>26039</v>
      </c>
      <c r="C1531" s="15" t="s">
        <v>26040</v>
      </c>
      <c r="D1531" s="31">
        <v>43598</v>
      </c>
      <c r="E1531" s="15" t="s">
        <v>26041</v>
      </c>
      <c r="F1531" s="87" t="s">
        <v>21871</v>
      </c>
      <c r="G1531" s="45" t="s">
        <v>13149</v>
      </c>
      <c r="H1531" s="55" t="s">
        <v>13150</v>
      </c>
      <c r="I1531" s="15" t="s">
        <v>575</v>
      </c>
    </row>
    <row r="1532" spans="1:9" ht="51.75" customHeight="1" x14ac:dyDescent="0.35">
      <c r="A1532" s="15" t="s">
        <v>26042</v>
      </c>
      <c r="B1532" s="15" t="s">
        <v>26043</v>
      </c>
      <c r="C1532" s="15" t="s">
        <v>26044</v>
      </c>
      <c r="D1532" s="31">
        <v>43598</v>
      </c>
      <c r="E1532" s="15" t="s">
        <v>26045</v>
      </c>
      <c r="F1532" s="87" t="s">
        <v>21871</v>
      </c>
      <c r="G1532" s="45" t="s">
        <v>13149</v>
      </c>
      <c r="H1532" s="55" t="s">
        <v>13150</v>
      </c>
      <c r="I1532" s="15" t="s">
        <v>575</v>
      </c>
    </row>
    <row r="1533" spans="1:9" ht="51.75" customHeight="1" x14ac:dyDescent="0.35">
      <c r="A1533" s="15" t="s">
        <v>23770</v>
      </c>
      <c r="B1533" s="15" t="s">
        <v>26046</v>
      </c>
      <c r="C1533" s="15" t="s">
        <v>26047</v>
      </c>
      <c r="D1533" s="31">
        <v>43598</v>
      </c>
      <c r="E1533" s="15" t="s">
        <v>26048</v>
      </c>
      <c r="F1533" s="87" t="s">
        <v>21871</v>
      </c>
      <c r="G1533" s="45" t="s">
        <v>13149</v>
      </c>
      <c r="H1533" s="55" t="s">
        <v>13150</v>
      </c>
      <c r="I1533" s="15" t="s">
        <v>575</v>
      </c>
    </row>
    <row r="1534" spans="1:9" ht="51.75" customHeight="1" x14ac:dyDescent="0.35">
      <c r="A1534" s="15" t="s">
        <v>23213</v>
      </c>
      <c r="B1534" s="15" t="s">
        <v>26049</v>
      </c>
      <c r="C1534" s="15" t="s">
        <v>26050</v>
      </c>
      <c r="D1534" s="31">
        <v>43480</v>
      </c>
      <c r="E1534" s="15" t="s">
        <v>26051</v>
      </c>
      <c r="F1534" s="87" t="s">
        <v>21871</v>
      </c>
      <c r="G1534" s="45" t="s">
        <v>13464</v>
      </c>
      <c r="H1534" s="55" t="s">
        <v>13465</v>
      </c>
      <c r="I1534" s="15" t="s">
        <v>575</v>
      </c>
    </row>
    <row r="1535" spans="1:9" ht="51.75" customHeight="1" x14ac:dyDescent="0.35">
      <c r="A1535" s="15" t="s">
        <v>23219</v>
      </c>
      <c r="B1535" s="15" t="s">
        <v>26052</v>
      </c>
      <c r="C1535" s="15" t="s">
        <v>26053</v>
      </c>
      <c r="D1535" s="31">
        <v>43480</v>
      </c>
      <c r="E1535" s="15" t="s">
        <v>26054</v>
      </c>
      <c r="F1535" s="87" t="s">
        <v>21871</v>
      </c>
      <c r="G1535" s="45" t="s">
        <v>13464</v>
      </c>
      <c r="H1535" s="55" t="s">
        <v>13465</v>
      </c>
      <c r="I1535" s="15" t="s">
        <v>575</v>
      </c>
    </row>
    <row r="1536" spans="1:9" ht="51.75" customHeight="1" x14ac:dyDescent="0.35">
      <c r="A1536" s="15" t="s">
        <v>23197</v>
      </c>
      <c r="B1536" s="15" t="s">
        <v>26055</v>
      </c>
      <c r="C1536" s="15" t="s">
        <v>26056</v>
      </c>
      <c r="D1536" s="31">
        <v>43480</v>
      </c>
      <c r="E1536" s="15" t="s">
        <v>26057</v>
      </c>
      <c r="F1536" s="87" t="s">
        <v>21871</v>
      </c>
      <c r="G1536" s="45" t="s">
        <v>13464</v>
      </c>
      <c r="H1536" s="55" t="s">
        <v>13465</v>
      </c>
      <c r="I1536" s="15" t="s">
        <v>575</v>
      </c>
    </row>
    <row r="1537" spans="1:9" ht="51.75" customHeight="1" x14ac:dyDescent="0.35">
      <c r="A1537" s="15" t="s">
        <v>23200</v>
      </c>
      <c r="B1537" s="15" t="s">
        <v>26058</v>
      </c>
      <c r="C1537" s="15" t="s">
        <v>26059</v>
      </c>
      <c r="D1537" s="31">
        <v>43480</v>
      </c>
      <c r="E1537" s="15" t="s">
        <v>26060</v>
      </c>
      <c r="F1537" s="87" t="s">
        <v>21871</v>
      </c>
      <c r="G1537" s="45" t="s">
        <v>13464</v>
      </c>
      <c r="H1537" s="55" t="s">
        <v>13465</v>
      </c>
      <c r="I1537" s="15" t="s">
        <v>575</v>
      </c>
    </row>
    <row r="1538" spans="1:9" ht="51.75" customHeight="1" x14ac:dyDescent="0.35">
      <c r="A1538" s="15" t="s">
        <v>23341</v>
      </c>
      <c r="B1538" s="15" t="s">
        <v>26061</v>
      </c>
      <c r="C1538" s="15" t="s">
        <v>26062</v>
      </c>
      <c r="D1538" s="31">
        <v>43480</v>
      </c>
      <c r="E1538" s="15" t="s">
        <v>26063</v>
      </c>
      <c r="F1538" s="87" t="s">
        <v>21871</v>
      </c>
      <c r="G1538" s="45" t="s">
        <v>13464</v>
      </c>
      <c r="H1538" s="55" t="s">
        <v>13465</v>
      </c>
      <c r="I1538" s="15" t="s">
        <v>575</v>
      </c>
    </row>
    <row r="1539" spans="1:9" ht="51.75" customHeight="1" x14ac:dyDescent="0.35">
      <c r="A1539" s="15" t="s">
        <v>25173</v>
      </c>
      <c r="B1539" s="15" t="s">
        <v>26064</v>
      </c>
      <c r="C1539" s="15" t="s">
        <v>26065</v>
      </c>
      <c r="D1539" s="31">
        <v>43480</v>
      </c>
      <c r="E1539" s="15" t="s">
        <v>26066</v>
      </c>
      <c r="F1539" s="87" t="s">
        <v>21871</v>
      </c>
      <c r="G1539" s="45" t="s">
        <v>13464</v>
      </c>
      <c r="H1539" s="55" t="s">
        <v>13465</v>
      </c>
      <c r="I1539" s="15" t="s">
        <v>575</v>
      </c>
    </row>
    <row r="1540" spans="1:9" ht="51.75" customHeight="1" x14ac:dyDescent="0.35">
      <c r="A1540" s="15" t="s">
        <v>24780</v>
      </c>
      <c r="B1540" s="15" t="s">
        <v>26067</v>
      </c>
      <c r="C1540" s="15" t="s">
        <v>26068</v>
      </c>
      <c r="D1540" s="31">
        <v>43480</v>
      </c>
      <c r="E1540" s="15" t="s">
        <v>26069</v>
      </c>
      <c r="F1540" s="87" t="s">
        <v>21871</v>
      </c>
      <c r="G1540" s="45" t="s">
        <v>13464</v>
      </c>
      <c r="H1540" s="55" t="s">
        <v>13465</v>
      </c>
      <c r="I1540" s="15" t="s">
        <v>575</v>
      </c>
    </row>
    <row r="1541" spans="1:9" ht="51.75" customHeight="1" x14ac:dyDescent="0.35">
      <c r="A1541" s="15" t="s">
        <v>22750</v>
      </c>
      <c r="B1541" s="15" t="s">
        <v>26070</v>
      </c>
      <c r="C1541" s="15" t="s">
        <v>26071</v>
      </c>
      <c r="D1541" s="31">
        <v>43312</v>
      </c>
      <c r="E1541" s="15" t="s">
        <v>26072</v>
      </c>
      <c r="F1541" s="87" t="s">
        <v>21871</v>
      </c>
      <c r="G1541" s="45" t="s">
        <v>12048</v>
      </c>
      <c r="H1541" s="55" t="s">
        <v>12049</v>
      </c>
      <c r="I1541" s="15" t="s">
        <v>5406</v>
      </c>
    </row>
    <row r="1542" spans="1:9" ht="51.75" customHeight="1" x14ac:dyDescent="0.35">
      <c r="A1542" s="15" t="s">
        <v>22750</v>
      </c>
      <c r="B1542" s="15" t="s">
        <v>26073</v>
      </c>
      <c r="C1542" s="15" t="s">
        <v>26071</v>
      </c>
      <c r="D1542" s="31">
        <v>43312</v>
      </c>
      <c r="E1542" s="15" t="s">
        <v>26074</v>
      </c>
      <c r="F1542" s="87" t="s">
        <v>25956</v>
      </c>
      <c r="G1542" s="45" t="s">
        <v>12048</v>
      </c>
      <c r="H1542" s="55" t="s">
        <v>12049</v>
      </c>
      <c r="I1542" s="15" t="s">
        <v>5406</v>
      </c>
    </row>
    <row r="1543" spans="1:9" ht="51.75" customHeight="1" x14ac:dyDescent="0.35">
      <c r="A1543" s="15" t="s">
        <v>22007</v>
      </c>
      <c r="B1543" s="15" t="s">
        <v>26075</v>
      </c>
      <c r="C1543" s="15" t="s">
        <v>26076</v>
      </c>
      <c r="D1543" s="31">
        <v>43312</v>
      </c>
      <c r="E1543" s="15" t="s">
        <v>26077</v>
      </c>
      <c r="F1543" s="87" t="s">
        <v>21871</v>
      </c>
      <c r="G1543" s="45" t="s">
        <v>12048</v>
      </c>
      <c r="H1543" s="55" t="s">
        <v>12049</v>
      </c>
      <c r="I1543" s="15" t="s">
        <v>5406</v>
      </c>
    </row>
    <row r="1544" spans="1:9" ht="51.75" customHeight="1" x14ac:dyDescent="0.35">
      <c r="A1544" s="15" t="s">
        <v>22007</v>
      </c>
      <c r="B1544" s="15" t="s">
        <v>26078</v>
      </c>
      <c r="C1544" s="15" t="s">
        <v>26076</v>
      </c>
      <c r="D1544" s="31">
        <v>43312</v>
      </c>
      <c r="E1544" s="15" t="s">
        <v>26079</v>
      </c>
      <c r="F1544" s="87" t="s">
        <v>25956</v>
      </c>
      <c r="G1544" s="45" t="s">
        <v>12048</v>
      </c>
      <c r="H1544" s="55" t="s">
        <v>12049</v>
      </c>
      <c r="I1544" s="15" t="s">
        <v>5406</v>
      </c>
    </row>
    <row r="1545" spans="1:9" ht="51.75" customHeight="1" x14ac:dyDescent="0.35">
      <c r="A1545" s="15" t="s">
        <v>23420</v>
      </c>
      <c r="B1545" s="15" t="s">
        <v>26080</v>
      </c>
      <c r="C1545" s="15" t="s">
        <v>26081</v>
      </c>
      <c r="D1545" s="31">
        <v>43312</v>
      </c>
      <c r="E1545" s="15" t="s">
        <v>26082</v>
      </c>
      <c r="F1545" s="87" t="s">
        <v>21871</v>
      </c>
      <c r="G1545" s="45" t="s">
        <v>12048</v>
      </c>
      <c r="H1545" s="55" t="s">
        <v>12049</v>
      </c>
      <c r="I1545" s="15" t="s">
        <v>5406</v>
      </c>
    </row>
    <row r="1546" spans="1:9" ht="51.75" customHeight="1" x14ac:dyDescent="0.35">
      <c r="A1546" s="15" t="s">
        <v>23420</v>
      </c>
      <c r="B1546" s="15" t="s">
        <v>26083</v>
      </c>
      <c r="C1546" s="15" t="s">
        <v>26081</v>
      </c>
      <c r="D1546" s="31">
        <v>43312</v>
      </c>
      <c r="E1546" s="15" t="s">
        <v>26084</v>
      </c>
      <c r="F1546" s="87" t="s">
        <v>25956</v>
      </c>
      <c r="G1546" s="45" t="s">
        <v>12048</v>
      </c>
      <c r="H1546" s="55" t="s">
        <v>12049</v>
      </c>
      <c r="I1546" s="15" t="s">
        <v>5406</v>
      </c>
    </row>
    <row r="1547" spans="1:9" ht="51.75" customHeight="1" x14ac:dyDescent="0.35">
      <c r="A1547" s="15" t="s">
        <v>23424</v>
      </c>
      <c r="B1547" s="15" t="s">
        <v>26085</v>
      </c>
      <c r="C1547" s="15" t="s">
        <v>26086</v>
      </c>
      <c r="D1547" s="31">
        <v>43312</v>
      </c>
      <c r="E1547" s="15" t="s">
        <v>26087</v>
      </c>
      <c r="F1547" s="87" t="s">
        <v>21871</v>
      </c>
      <c r="G1547" s="45" t="s">
        <v>12048</v>
      </c>
      <c r="H1547" s="55" t="s">
        <v>12049</v>
      </c>
      <c r="I1547" s="15" t="s">
        <v>5406</v>
      </c>
    </row>
    <row r="1548" spans="1:9" ht="51.75" customHeight="1" x14ac:dyDescent="0.35">
      <c r="A1548" s="15" t="s">
        <v>23424</v>
      </c>
      <c r="B1548" s="15" t="s">
        <v>26088</v>
      </c>
      <c r="C1548" s="15" t="s">
        <v>26086</v>
      </c>
      <c r="D1548" s="31">
        <v>43312</v>
      </c>
      <c r="E1548" s="15" t="s">
        <v>26089</v>
      </c>
      <c r="F1548" s="87" t="s">
        <v>25956</v>
      </c>
      <c r="G1548" s="45" t="s">
        <v>12048</v>
      </c>
      <c r="H1548" s="55" t="s">
        <v>12049</v>
      </c>
      <c r="I1548" s="15" t="s">
        <v>5406</v>
      </c>
    </row>
    <row r="1549" spans="1:9" ht="51.75" customHeight="1" x14ac:dyDescent="0.35">
      <c r="A1549" s="15" t="s">
        <v>23428</v>
      </c>
      <c r="B1549" s="15" t="s">
        <v>26090</v>
      </c>
      <c r="C1549" s="15" t="s">
        <v>26091</v>
      </c>
      <c r="D1549" s="31">
        <v>43312</v>
      </c>
      <c r="E1549" s="15" t="s">
        <v>26092</v>
      </c>
      <c r="F1549" s="87" t="s">
        <v>21871</v>
      </c>
      <c r="G1549" s="45" t="s">
        <v>12048</v>
      </c>
      <c r="H1549" s="55" t="s">
        <v>12049</v>
      </c>
      <c r="I1549" s="15" t="s">
        <v>5406</v>
      </c>
    </row>
    <row r="1550" spans="1:9" ht="51.75" customHeight="1" x14ac:dyDescent="0.35">
      <c r="A1550" s="15" t="s">
        <v>23428</v>
      </c>
      <c r="B1550" s="15" t="s">
        <v>26093</v>
      </c>
      <c r="C1550" s="15" t="s">
        <v>26091</v>
      </c>
      <c r="D1550" s="31">
        <v>43312</v>
      </c>
      <c r="E1550" s="15" t="s">
        <v>26094</v>
      </c>
      <c r="F1550" s="87" t="s">
        <v>25956</v>
      </c>
      <c r="G1550" s="45" t="s">
        <v>12048</v>
      </c>
      <c r="H1550" s="55" t="s">
        <v>12049</v>
      </c>
      <c r="I1550" s="15" t="s">
        <v>5406</v>
      </c>
    </row>
    <row r="1551" spans="1:9" ht="51.75" customHeight="1" x14ac:dyDescent="0.35">
      <c r="A1551" s="15" t="s">
        <v>26095</v>
      </c>
      <c r="B1551" s="15" t="s">
        <v>26096</v>
      </c>
      <c r="C1551" s="15" t="s">
        <v>26097</v>
      </c>
      <c r="D1551" s="31">
        <v>43312</v>
      </c>
      <c r="E1551" s="15" t="s">
        <v>26098</v>
      </c>
      <c r="F1551" s="87" t="s">
        <v>21871</v>
      </c>
      <c r="G1551" s="45" t="s">
        <v>12048</v>
      </c>
      <c r="H1551" s="55" t="s">
        <v>12049</v>
      </c>
      <c r="I1551" s="15" t="s">
        <v>5406</v>
      </c>
    </row>
    <row r="1552" spans="1:9" ht="51.75" customHeight="1" x14ac:dyDescent="0.35">
      <c r="A1552" s="15" t="s">
        <v>26095</v>
      </c>
      <c r="B1552" s="15" t="s">
        <v>26099</v>
      </c>
      <c r="C1552" s="15" t="s">
        <v>26097</v>
      </c>
      <c r="D1552" s="31">
        <v>43312</v>
      </c>
      <c r="E1552" s="15" t="s">
        <v>26100</v>
      </c>
      <c r="F1552" s="87" t="s">
        <v>25956</v>
      </c>
      <c r="G1552" s="45" t="s">
        <v>12048</v>
      </c>
      <c r="H1552" s="55" t="s">
        <v>12049</v>
      </c>
      <c r="I1552" s="15" t="s">
        <v>5406</v>
      </c>
    </row>
    <row r="1553" spans="1:9" ht="51.75" customHeight="1" x14ac:dyDescent="0.35">
      <c r="A1553" s="15" t="s">
        <v>26101</v>
      </c>
      <c r="B1553" s="15" t="s">
        <v>26102</v>
      </c>
      <c r="C1553" s="15" t="s">
        <v>26103</v>
      </c>
      <c r="D1553" s="31">
        <v>43312</v>
      </c>
      <c r="E1553" s="15" t="s">
        <v>26104</v>
      </c>
      <c r="F1553" s="87" t="s">
        <v>21871</v>
      </c>
      <c r="G1553" s="45" t="s">
        <v>12048</v>
      </c>
      <c r="H1553" s="55" t="s">
        <v>12049</v>
      </c>
      <c r="I1553" s="15" t="s">
        <v>5406</v>
      </c>
    </row>
    <row r="1554" spans="1:9" ht="51.75" customHeight="1" x14ac:dyDescent="0.35">
      <c r="A1554" s="15" t="s">
        <v>26101</v>
      </c>
      <c r="B1554" s="15" t="s">
        <v>26105</v>
      </c>
      <c r="C1554" s="15" t="s">
        <v>26103</v>
      </c>
      <c r="D1554" s="31">
        <v>43312</v>
      </c>
      <c r="E1554" s="15" t="s">
        <v>26106</v>
      </c>
      <c r="F1554" s="87" t="s">
        <v>25956</v>
      </c>
      <c r="G1554" s="45" t="s">
        <v>12048</v>
      </c>
      <c r="H1554" s="55" t="s">
        <v>12049</v>
      </c>
      <c r="I1554" s="15" t="s">
        <v>5406</v>
      </c>
    </row>
    <row r="1555" spans="1:9" ht="51.75" customHeight="1" x14ac:dyDescent="0.35">
      <c r="A1555" s="15" t="s">
        <v>26107</v>
      </c>
      <c r="B1555" s="15" t="s">
        <v>26108</v>
      </c>
      <c r="C1555" s="15" t="s">
        <v>26109</v>
      </c>
      <c r="D1555" s="31">
        <v>43312</v>
      </c>
      <c r="E1555" s="15" t="s">
        <v>26110</v>
      </c>
      <c r="F1555" s="87" t="s">
        <v>21871</v>
      </c>
      <c r="G1555" s="45" t="s">
        <v>12048</v>
      </c>
      <c r="H1555" s="55" t="s">
        <v>12049</v>
      </c>
      <c r="I1555" s="15" t="s">
        <v>5406</v>
      </c>
    </row>
    <row r="1556" spans="1:9" ht="51.75" customHeight="1" x14ac:dyDescent="0.35">
      <c r="A1556" s="15" t="s">
        <v>26107</v>
      </c>
      <c r="B1556" s="15" t="s">
        <v>26111</v>
      </c>
      <c r="C1556" s="15" t="s">
        <v>26109</v>
      </c>
      <c r="D1556" s="31">
        <v>43312</v>
      </c>
      <c r="E1556" s="15" t="s">
        <v>26112</v>
      </c>
      <c r="F1556" s="87" t="s">
        <v>25956</v>
      </c>
      <c r="G1556" s="45" t="s">
        <v>12048</v>
      </c>
      <c r="H1556" s="55" t="s">
        <v>12049</v>
      </c>
      <c r="I1556" s="15" t="s">
        <v>5406</v>
      </c>
    </row>
    <row r="1557" spans="1:9" ht="51.75" customHeight="1" x14ac:dyDescent="0.35">
      <c r="A1557" s="15" t="s">
        <v>22147</v>
      </c>
      <c r="B1557" s="15" t="s">
        <v>26113</v>
      </c>
      <c r="C1557" s="15" t="s">
        <v>26114</v>
      </c>
      <c r="D1557" s="31">
        <v>43380</v>
      </c>
      <c r="E1557" s="15" t="s">
        <v>26115</v>
      </c>
      <c r="F1557" s="87" t="s">
        <v>21871</v>
      </c>
      <c r="G1557" s="45" t="s">
        <v>12932</v>
      </c>
      <c r="H1557" s="55" t="s">
        <v>12933</v>
      </c>
      <c r="I1557" s="15" t="s">
        <v>5406</v>
      </c>
    </row>
    <row r="1558" spans="1:9" ht="51.75" customHeight="1" x14ac:dyDescent="0.35">
      <c r="A1558" s="15" t="s">
        <v>22043</v>
      </c>
      <c r="B1558" s="15" t="s">
        <v>26116</v>
      </c>
      <c r="C1558" s="15" t="s">
        <v>26117</v>
      </c>
      <c r="D1558" s="31">
        <v>43380</v>
      </c>
      <c r="E1558" s="15" t="s">
        <v>26118</v>
      </c>
      <c r="F1558" s="87" t="s">
        <v>21871</v>
      </c>
      <c r="G1558" s="45" t="s">
        <v>12932</v>
      </c>
      <c r="H1558" s="55" t="s">
        <v>12933</v>
      </c>
      <c r="I1558" s="15" t="s">
        <v>5406</v>
      </c>
    </row>
    <row r="1559" spans="1:9" ht="51.75" customHeight="1" x14ac:dyDescent="0.35">
      <c r="A1559" s="15" t="s">
        <v>22110</v>
      </c>
      <c r="B1559" s="15" t="s">
        <v>26119</v>
      </c>
      <c r="C1559" s="15" t="s">
        <v>26120</v>
      </c>
      <c r="D1559" s="31">
        <v>43380</v>
      </c>
      <c r="E1559" s="15" t="s">
        <v>26121</v>
      </c>
      <c r="F1559" s="87" t="s">
        <v>21871</v>
      </c>
      <c r="G1559" s="45" t="s">
        <v>12932</v>
      </c>
      <c r="H1559" s="55" t="s">
        <v>12933</v>
      </c>
      <c r="I1559" s="15" t="s">
        <v>5406</v>
      </c>
    </row>
    <row r="1560" spans="1:9" ht="51.75" customHeight="1" x14ac:dyDescent="0.35">
      <c r="A1560" s="15" t="s">
        <v>22114</v>
      </c>
      <c r="B1560" s="15" t="s">
        <v>26122</v>
      </c>
      <c r="C1560" s="15" t="s">
        <v>26123</v>
      </c>
      <c r="D1560" s="31">
        <v>43380</v>
      </c>
      <c r="E1560" s="15" t="s">
        <v>26124</v>
      </c>
      <c r="F1560" s="87" t="s">
        <v>21871</v>
      </c>
      <c r="G1560" s="45" t="s">
        <v>12932</v>
      </c>
      <c r="H1560" s="55" t="s">
        <v>12933</v>
      </c>
      <c r="I1560" s="15" t="s">
        <v>5406</v>
      </c>
    </row>
    <row r="1561" spans="1:9" ht="51.75" customHeight="1" x14ac:dyDescent="0.35">
      <c r="A1561" s="15" t="s">
        <v>22186</v>
      </c>
      <c r="B1561" s="15" t="s">
        <v>26125</v>
      </c>
      <c r="C1561" s="15" t="s">
        <v>26126</v>
      </c>
      <c r="D1561" s="31">
        <v>43380</v>
      </c>
      <c r="E1561" s="15" t="s">
        <v>26127</v>
      </c>
      <c r="F1561" s="87" t="s">
        <v>21871</v>
      </c>
      <c r="G1561" s="45" t="s">
        <v>12932</v>
      </c>
      <c r="H1561" s="55" t="s">
        <v>12933</v>
      </c>
      <c r="I1561" s="15" t="s">
        <v>5406</v>
      </c>
    </row>
    <row r="1562" spans="1:9" ht="51.75" customHeight="1" x14ac:dyDescent="0.35">
      <c r="A1562" s="15" t="s">
        <v>26128</v>
      </c>
      <c r="B1562" s="15" t="s">
        <v>26129</v>
      </c>
      <c r="C1562" s="15" t="s">
        <v>26130</v>
      </c>
      <c r="D1562" s="31">
        <v>43380</v>
      </c>
      <c r="E1562" s="15" t="s">
        <v>26131</v>
      </c>
      <c r="F1562" s="87" t="s">
        <v>21871</v>
      </c>
      <c r="G1562" s="45" t="s">
        <v>12932</v>
      </c>
      <c r="H1562" s="55" t="s">
        <v>12933</v>
      </c>
      <c r="I1562" s="15" t="s">
        <v>5406</v>
      </c>
    </row>
    <row r="1563" spans="1:9" ht="51.75" customHeight="1" x14ac:dyDescent="0.35">
      <c r="A1563" s="15" t="s">
        <v>26132</v>
      </c>
      <c r="B1563" s="15" t="s">
        <v>26133</v>
      </c>
      <c r="C1563" s="15" t="s">
        <v>26134</v>
      </c>
      <c r="D1563" s="31">
        <v>43380</v>
      </c>
      <c r="E1563" s="15" t="s">
        <v>26135</v>
      </c>
      <c r="F1563" s="87" t="s">
        <v>21871</v>
      </c>
      <c r="G1563" s="45" t="s">
        <v>12932</v>
      </c>
      <c r="H1563" s="55" t="s">
        <v>12933</v>
      </c>
      <c r="I1563" s="15" t="s">
        <v>5406</v>
      </c>
    </row>
    <row r="1564" spans="1:9" ht="51.75" customHeight="1" x14ac:dyDescent="0.35">
      <c r="A1564" s="15" t="s">
        <v>23598</v>
      </c>
      <c r="B1564" s="15" t="s">
        <v>26136</v>
      </c>
      <c r="C1564" s="15" t="s">
        <v>26137</v>
      </c>
      <c r="D1564" s="31">
        <v>43380</v>
      </c>
      <c r="E1564" s="15" t="s">
        <v>26138</v>
      </c>
      <c r="F1564" s="87" t="s">
        <v>21871</v>
      </c>
      <c r="G1564" s="45" t="s">
        <v>12932</v>
      </c>
      <c r="H1564" s="55" t="s">
        <v>12933</v>
      </c>
      <c r="I1564" s="15" t="s">
        <v>5406</v>
      </c>
    </row>
    <row r="1565" spans="1:9" ht="51.75" customHeight="1" x14ac:dyDescent="0.35">
      <c r="A1565" s="15" t="s">
        <v>26139</v>
      </c>
      <c r="B1565" s="15" t="s">
        <v>26140</v>
      </c>
      <c r="C1565" s="15" t="s">
        <v>26141</v>
      </c>
      <c r="D1565" s="31">
        <v>43556</v>
      </c>
      <c r="E1565" s="15" t="s">
        <v>26142</v>
      </c>
      <c r="F1565" s="87" t="s">
        <v>21871</v>
      </c>
      <c r="G1565" s="45" t="s">
        <v>15168</v>
      </c>
      <c r="H1565" s="55" t="s">
        <v>15169</v>
      </c>
      <c r="I1565" s="15" t="s">
        <v>5406</v>
      </c>
    </row>
    <row r="1566" spans="1:9" ht="51.75" customHeight="1" x14ac:dyDescent="0.35">
      <c r="A1566" s="15" t="s">
        <v>26143</v>
      </c>
      <c r="B1566" s="15" t="s">
        <v>26144</v>
      </c>
      <c r="C1566" s="15" t="s">
        <v>26145</v>
      </c>
      <c r="D1566" s="31">
        <v>43556</v>
      </c>
      <c r="E1566" s="15" t="s">
        <v>26146</v>
      </c>
      <c r="F1566" s="87" t="s">
        <v>21871</v>
      </c>
      <c r="G1566" s="45" t="s">
        <v>15168</v>
      </c>
      <c r="H1566" s="55" t="s">
        <v>15169</v>
      </c>
      <c r="I1566" s="15" t="s">
        <v>5406</v>
      </c>
    </row>
    <row r="1567" spans="1:9" ht="51.75" customHeight="1" x14ac:dyDescent="0.35">
      <c r="A1567" s="15" t="s">
        <v>23020</v>
      </c>
      <c r="B1567" s="15" t="s">
        <v>26147</v>
      </c>
      <c r="C1567" s="15" t="s">
        <v>26148</v>
      </c>
      <c r="D1567" s="31">
        <v>43556</v>
      </c>
      <c r="E1567" s="15" t="s">
        <v>26149</v>
      </c>
      <c r="F1567" s="87" t="s">
        <v>21871</v>
      </c>
      <c r="G1567" s="45" t="s">
        <v>15168</v>
      </c>
      <c r="H1567" s="55" t="s">
        <v>15169</v>
      </c>
      <c r="I1567" s="15" t="s">
        <v>5406</v>
      </c>
    </row>
    <row r="1568" spans="1:9" ht="51.75" customHeight="1" x14ac:dyDescent="0.35">
      <c r="A1568" s="15" t="s">
        <v>23024</v>
      </c>
      <c r="B1568" s="15" t="s">
        <v>26150</v>
      </c>
      <c r="C1568" s="15" t="s">
        <v>26151</v>
      </c>
      <c r="D1568" s="31">
        <v>43556</v>
      </c>
      <c r="E1568" s="15" t="s">
        <v>26152</v>
      </c>
      <c r="F1568" s="87" t="s">
        <v>21871</v>
      </c>
      <c r="G1568" s="45" t="s">
        <v>15168</v>
      </c>
      <c r="H1568" s="55" t="s">
        <v>15169</v>
      </c>
      <c r="I1568" s="15" t="s">
        <v>5406</v>
      </c>
    </row>
    <row r="1569" spans="1:9" ht="51.75" customHeight="1" x14ac:dyDescent="0.35">
      <c r="A1569" s="15" t="s">
        <v>23028</v>
      </c>
      <c r="B1569" s="15" t="s">
        <v>26153</v>
      </c>
      <c r="C1569" s="15" t="s">
        <v>26154</v>
      </c>
      <c r="D1569" s="31">
        <v>43556</v>
      </c>
      <c r="E1569" s="15" t="s">
        <v>26155</v>
      </c>
      <c r="F1569" s="87" t="s">
        <v>21871</v>
      </c>
      <c r="G1569" s="45" t="s">
        <v>15168</v>
      </c>
      <c r="H1569" s="55" t="s">
        <v>15169</v>
      </c>
      <c r="I1569" s="15" t="s">
        <v>5406</v>
      </c>
    </row>
    <row r="1570" spans="1:9" ht="51.75" customHeight="1" x14ac:dyDescent="0.35">
      <c r="A1570" s="15" t="s">
        <v>25410</v>
      </c>
      <c r="B1570" s="15" t="s">
        <v>26156</v>
      </c>
      <c r="C1570" s="15" t="s">
        <v>26157</v>
      </c>
      <c r="D1570" s="31">
        <v>43410</v>
      </c>
      <c r="E1570" s="15" t="s">
        <v>26158</v>
      </c>
      <c r="F1570" s="87" t="s">
        <v>21871</v>
      </c>
      <c r="G1570" s="45" t="s">
        <v>14121</v>
      </c>
      <c r="H1570" s="55" t="s">
        <v>14122</v>
      </c>
      <c r="I1570" s="15" t="s">
        <v>5406</v>
      </c>
    </row>
    <row r="1571" spans="1:9" ht="51.75" customHeight="1" x14ac:dyDescent="0.35">
      <c r="A1571" s="15" t="s">
        <v>25413</v>
      </c>
      <c r="B1571" s="15" t="s">
        <v>26159</v>
      </c>
      <c r="C1571" s="15" t="s">
        <v>26160</v>
      </c>
      <c r="D1571" s="31">
        <v>43410</v>
      </c>
      <c r="E1571" s="15" t="s">
        <v>26161</v>
      </c>
      <c r="F1571" s="87" t="s">
        <v>21871</v>
      </c>
      <c r="G1571" s="45" t="s">
        <v>14121</v>
      </c>
      <c r="H1571" s="55" t="s">
        <v>14122</v>
      </c>
      <c r="I1571" s="15" t="s">
        <v>5406</v>
      </c>
    </row>
    <row r="1572" spans="1:9" ht="51.75" customHeight="1" x14ac:dyDescent="0.35">
      <c r="A1572" s="15" t="s">
        <v>22231</v>
      </c>
      <c r="B1572" s="15" t="s">
        <v>26162</v>
      </c>
      <c r="C1572" s="15" t="s">
        <v>26163</v>
      </c>
      <c r="D1572" s="31">
        <v>43410</v>
      </c>
      <c r="E1572" s="15" t="s">
        <v>26164</v>
      </c>
      <c r="F1572" s="87" t="s">
        <v>21871</v>
      </c>
      <c r="G1572" s="45" t="s">
        <v>14121</v>
      </c>
      <c r="H1572" s="55" t="s">
        <v>14122</v>
      </c>
      <c r="I1572" s="15" t="s">
        <v>5406</v>
      </c>
    </row>
    <row r="1573" spans="1:9" ht="51.75" customHeight="1" x14ac:dyDescent="0.35">
      <c r="A1573" s="15" t="s">
        <v>26165</v>
      </c>
      <c r="B1573" s="15" t="s">
        <v>26166</v>
      </c>
      <c r="C1573" s="15" t="s">
        <v>26167</v>
      </c>
      <c r="D1573" s="31">
        <v>44127</v>
      </c>
      <c r="E1573" s="15" t="s">
        <v>26168</v>
      </c>
      <c r="F1573" s="87" t="s">
        <v>21871</v>
      </c>
      <c r="G1573" s="45" t="s">
        <v>16611</v>
      </c>
      <c r="H1573" s="55" t="s">
        <v>16612</v>
      </c>
      <c r="I1573" s="15" t="s">
        <v>5406</v>
      </c>
    </row>
    <row r="1574" spans="1:9" ht="51.75" customHeight="1" x14ac:dyDescent="0.35">
      <c r="A1574" s="15" t="s">
        <v>26169</v>
      </c>
      <c r="B1574" s="15" t="s">
        <v>26170</v>
      </c>
      <c r="C1574" s="15" t="s">
        <v>26171</v>
      </c>
      <c r="D1574" s="31">
        <v>44127</v>
      </c>
      <c r="E1574" s="15" t="s">
        <v>26172</v>
      </c>
      <c r="F1574" s="87" t="s">
        <v>21871</v>
      </c>
      <c r="G1574" s="45" t="s">
        <v>16611</v>
      </c>
      <c r="H1574" s="55" t="s">
        <v>16612</v>
      </c>
      <c r="I1574" s="15" t="s">
        <v>5406</v>
      </c>
    </row>
    <row r="1575" spans="1:9" ht="51.75" customHeight="1" x14ac:dyDescent="0.35">
      <c r="A1575" s="15" t="s">
        <v>26173</v>
      </c>
      <c r="B1575" s="15" t="s">
        <v>26174</v>
      </c>
      <c r="C1575" s="15" t="s">
        <v>26175</v>
      </c>
      <c r="D1575" s="31">
        <v>44127</v>
      </c>
      <c r="E1575" s="15" t="s">
        <v>26176</v>
      </c>
      <c r="F1575" s="87" t="s">
        <v>21871</v>
      </c>
      <c r="G1575" s="45" t="s">
        <v>16611</v>
      </c>
      <c r="H1575" s="55" t="s">
        <v>16612</v>
      </c>
      <c r="I1575" s="15" t="s">
        <v>5406</v>
      </c>
    </row>
    <row r="1576" spans="1:9" ht="51.75" customHeight="1" x14ac:dyDescent="0.35">
      <c r="A1576" s="15"/>
      <c r="B1576" s="15" t="str">
        <f>CONCATENATE(G1576,"/",COUNTIF($G$2:G1576,G1576))</f>
        <v>PT-6313/1</v>
      </c>
      <c r="C1576" s="15" t="s">
        <v>26177</v>
      </c>
      <c r="D1576" s="28">
        <v>44470</v>
      </c>
      <c r="E1576" s="15" t="s">
        <v>26178</v>
      </c>
      <c r="F1576" s="87" t="s">
        <v>21871</v>
      </c>
      <c r="G1576" s="45" t="s">
        <v>17994</v>
      </c>
      <c r="H1576" s="54" t="s">
        <v>17995</v>
      </c>
      <c r="I1576" s="5" t="s">
        <v>5406</v>
      </c>
    </row>
    <row r="1577" spans="1:9" ht="51.75" customHeight="1" x14ac:dyDescent="0.35">
      <c r="A1577" s="15"/>
      <c r="B1577" s="15" t="str">
        <f>CONCATENATE(G1577,"/",COUNTIF($G$2:G1577,G1577))</f>
        <v>PT-6313/2</v>
      </c>
      <c r="C1577" s="15" t="s">
        <v>26179</v>
      </c>
      <c r="D1577" s="28">
        <v>44470</v>
      </c>
      <c r="E1577" s="15" t="s">
        <v>26180</v>
      </c>
      <c r="F1577" s="87" t="s">
        <v>21871</v>
      </c>
      <c r="G1577" s="45" t="s">
        <v>17994</v>
      </c>
      <c r="H1577" s="54" t="s">
        <v>17995</v>
      </c>
      <c r="I1577" s="5" t="s">
        <v>5406</v>
      </c>
    </row>
    <row r="1578" spans="1:9" ht="51.75" customHeight="1" x14ac:dyDescent="0.35">
      <c r="A1578" s="15"/>
      <c r="B1578" s="15" t="str">
        <f>CONCATENATE(G1578,"/",COUNTIF($G$2:G1578,G1578))</f>
        <v>PT-6313/3</v>
      </c>
      <c r="C1578" s="15" t="s">
        <v>26181</v>
      </c>
      <c r="D1578" s="28">
        <v>44470</v>
      </c>
      <c r="E1578" s="15" t="s">
        <v>26182</v>
      </c>
      <c r="F1578" s="87" t="s">
        <v>21871</v>
      </c>
      <c r="G1578" s="45" t="s">
        <v>17994</v>
      </c>
      <c r="H1578" s="54" t="s">
        <v>17995</v>
      </c>
      <c r="I1578" s="5" t="s">
        <v>5406</v>
      </c>
    </row>
    <row r="1579" spans="1:9" ht="51.75" customHeight="1" x14ac:dyDescent="0.35">
      <c r="A1579" s="15"/>
      <c r="B1579" s="15" t="str">
        <f>CONCATENATE(G1579,"/",COUNTIF($G$2:G1579,G1579))</f>
        <v>PT-6313/4</v>
      </c>
      <c r="C1579" s="15" t="s">
        <v>26183</v>
      </c>
      <c r="D1579" s="28">
        <v>44470</v>
      </c>
      <c r="E1579" s="15" t="s">
        <v>26184</v>
      </c>
      <c r="F1579" s="87" t="s">
        <v>21871</v>
      </c>
      <c r="G1579" s="45" t="s">
        <v>17994</v>
      </c>
      <c r="H1579" s="54" t="s">
        <v>17995</v>
      </c>
      <c r="I1579" s="5" t="s">
        <v>5406</v>
      </c>
    </row>
    <row r="1580" spans="1:9" ht="51.75" customHeight="1" x14ac:dyDescent="0.35">
      <c r="A1580" s="15"/>
      <c r="B1580" s="15" t="str">
        <f>CONCATENATE(G1580,"/",COUNTIF($G$2:G1580,G1580))</f>
        <v>PT-6313/5</v>
      </c>
      <c r="C1580" s="15" t="s">
        <v>26185</v>
      </c>
      <c r="D1580" s="28">
        <v>44470</v>
      </c>
      <c r="E1580" s="15" t="s">
        <v>26186</v>
      </c>
      <c r="F1580" s="87" t="s">
        <v>21871</v>
      </c>
      <c r="G1580" s="45" t="s">
        <v>17994</v>
      </c>
      <c r="H1580" s="54" t="s">
        <v>17995</v>
      </c>
      <c r="I1580" s="5" t="s">
        <v>5406</v>
      </c>
    </row>
    <row r="1581" spans="1:9" ht="51.75" customHeight="1" x14ac:dyDescent="0.35">
      <c r="A1581" s="15"/>
      <c r="B1581" s="15" t="str">
        <f>CONCATENATE(G1581,"/",COUNTIF($G$2:G1581,G1581))</f>
        <v>PT-6313/6</v>
      </c>
      <c r="C1581" s="15" t="s">
        <v>26187</v>
      </c>
      <c r="D1581" s="28">
        <v>44470</v>
      </c>
      <c r="E1581" s="15" t="s">
        <v>26188</v>
      </c>
      <c r="F1581" s="87" t="s">
        <v>21871</v>
      </c>
      <c r="G1581" s="45" t="s">
        <v>17994</v>
      </c>
      <c r="H1581" s="54" t="s">
        <v>17995</v>
      </c>
      <c r="I1581" s="5" t="s">
        <v>5406</v>
      </c>
    </row>
    <row r="1582" spans="1:9" ht="51.75" customHeight="1" x14ac:dyDescent="0.35">
      <c r="A1582" s="15"/>
      <c r="B1582" s="15" t="str">
        <f>CONCATENATE(G1582,"/",COUNTIF($G$2:G1582,G1582))</f>
        <v>PT-6313/7</v>
      </c>
      <c r="C1582" s="15" t="s">
        <v>26189</v>
      </c>
      <c r="D1582" s="28">
        <v>44470</v>
      </c>
      <c r="E1582" s="15" t="s">
        <v>26190</v>
      </c>
      <c r="F1582" s="87" t="s">
        <v>21871</v>
      </c>
      <c r="G1582" s="45" t="s">
        <v>17994</v>
      </c>
      <c r="H1582" s="54" t="s">
        <v>17995</v>
      </c>
      <c r="I1582" s="5" t="s">
        <v>5406</v>
      </c>
    </row>
    <row r="1583" spans="1:9" ht="51.75" customHeight="1" x14ac:dyDescent="0.35">
      <c r="A1583" s="15"/>
      <c r="B1583" s="15" t="str">
        <f>CONCATENATE(G1583,"/",COUNTIF($G$2:G1583,G1583))</f>
        <v>PT-6313/8</v>
      </c>
      <c r="C1583" s="15" t="s">
        <v>26191</v>
      </c>
      <c r="D1583" s="28">
        <v>44470</v>
      </c>
      <c r="E1583" s="15" t="s">
        <v>26192</v>
      </c>
      <c r="F1583" s="87" t="s">
        <v>21871</v>
      </c>
      <c r="G1583" s="45" t="s">
        <v>17994</v>
      </c>
      <c r="H1583" s="54" t="s">
        <v>17995</v>
      </c>
      <c r="I1583" s="5" t="s">
        <v>5406</v>
      </c>
    </row>
    <row r="1584" spans="1:9" ht="51.75" customHeight="1" x14ac:dyDescent="0.35">
      <c r="A1584" s="15"/>
      <c r="B1584" s="15" t="str">
        <f>CONCATENATE(G1584,"/",COUNTIF($G$2:G1584,G1584))</f>
        <v>PT-6313/9</v>
      </c>
      <c r="C1584" s="15" t="s">
        <v>26193</v>
      </c>
      <c r="D1584" s="28">
        <v>44470</v>
      </c>
      <c r="E1584" s="15" t="s">
        <v>26194</v>
      </c>
      <c r="F1584" s="87" t="s">
        <v>21871</v>
      </c>
      <c r="G1584" s="45" t="s">
        <v>17994</v>
      </c>
      <c r="H1584" s="54" t="s">
        <v>17995</v>
      </c>
      <c r="I1584" s="5" t="s">
        <v>5406</v>
      </c>
    </row>
    <row r="1585" spans="1:9" ht="51.75" customHeight="1" x14ac:dyDescent="0.35">
      <c r="A1585" s="15"/>
      <c r="B1585" s="15" t="str">
        <f>CONCATENATE(G1585,"/",COUNTIF($G$2:G1585,G1585))</f>
        <v>PT-6313/10</v>
      </c>
      <c r="C1585" s="15" t="s">
        <v>26195</v>
      </c>
      <c r="D1585" s="28">
        <v>44470</v>
      </c>
      <c r="E1585" s="15" t="s">
        <v>26196</v>
      </c>
      <c r="F1585" s="87" t="s">
        <v>21871</v>
      </c>
      <c r="G1585" s="45" t="s">
        <v>17994</v>
      </c>
      <c r="H1585" s="54" t="s">
        <v>17995</v>
      </c>
      <c r="I1585" s="5" t="s">
        <v>5406</v>
      </c>
    </row>
    <row r="1586" spans="1:9" ht="51.75" customHeight="1" x14ac:dyDescent="0.35">
      <c r="A1586" s="15" t="s">
        <v>25454</v>
      </c>
      <c r="B1586" s="15" t="s">
        <v>26197</v>
      </c>
      <c r="C1586" s="15" t="s">
        <v>26198</v>
      </c>
      <c r="D1586" s="31">
        <v>41516</v>
      </c>
      <c r="E1586" s="15" t="s">
        <v>26199</v>
      </c>
      <c r="F1586" s="87" t="s">
        <v>21871</v>
      </c>
      <c r="G1586" s="45" t="s">
        <v>6765</v>
      </c>
      <c r="H1586" s="55" t="s">
        <v>6766</v>
      </c>
      <c r="I1586" s="15" t="s">
        <v>432</v>
      </c>
    </row>
    <row r="1587" spans="1:9" ht="51.75" customHeight="1" x14ac:dyDescent="0.35">
      <c r="A1587" s="15" t="s">
        <v>25494</v>
      </c>
      <c r="B1587" s="15" t="s">
        <v>26200</v>
      </c>
      <c r="C1587" s="15" t="s">
        <v>26201</v>
      </c>
      <c r="D1587" s="31" t="s">
        <v>50</v>
      </c>
      <c r="E1587" s="15" t="s">
        <v>26202</v>
      </c>
      <c r="F1587" s="87" t="s">
        <v>21871</v>
      </c>
      <c r="G1587" s="45" t="s">
        <v>6765</v>
      </c>
      <c r="H1587" s="55" t="s">
        <v>6766</v>
      </c>
      <c r="I1587" s="15" t="s">
        <v>432</v>
      </c>
    </row>
    <row r="1588" spans="1:9" ht="51.75" customHeight="1" x14ac:dyDescent="0.35">
      <c r="A1588" s="15" t="s">
        <v>25498</v>
      </c>
      <c r="B1588" s="15" t="s">
        <v>26203</v>
      </c>
      <c r="C1588" s="15" t="s">
        <v>26204</v>
      </c>
      <c r="D1588" s="31" t="s">
        <v>50</v>
      </c>
      <c r="E1588" s="15" t="s">
        <v>26205</v>
      </c>
      <c r="F1588" s="87" t="s">
        <v>21871</v>
      </c>
      <c r="G1588" s="45" t="s">
        <v>6765</v>
      </c>
      <c r="H1588" s="55" t="s">
        <v>6766</v>
      </c>
      <c r="I1588" s="15" t="s">
        <v>432</v>
      </c>
    </row>
    <row r="1589" spans="1:9" ht="51.75" customHeight="1" x14ac:dyDescent="0.35">
      <c r="A1589" s="15">
        <v>1</v>
      </c>
      <c r="B1589" s="15" t="s">
        <v>26206</v>
      </c>
      <c r="C1589" s="15" t="s">
        <v>26207</v>
      </c>
      <c r="D1589" s="31">
        <v>40666</v>
      </c>
      <c r="E1589" s="15" t="s">
        <v>26208</v>
      </c>
      <c r="F1589" s="87" t="s">
        <v>21871</v>
      </c>
      <c r="G1589" s="45" t="s">
        <v>2288</v>
      </c>
      <c r="H1589" s="55" t="s">
        <v>2289</v>
      </c>
      <c r="I1589" s="15" t="s">
        <v>432</v>
      </c>
    </row>
    <row r="1590" spans="1:9" ht="51.75" customHeight="1" x14ac:dyDescent="0.35">
      <c r="A1590" s="15">
        <v>2</v>
      </c>
      <c r="B1590" s="15" t="s">
        <v>26209</v>
      </c>
      <c r="C1590" s="15" t="s">
        <v>26210</v>
      </c>
      <c r="D1590" s="31">
        <v>40666</v>
      </c>
      <c r="E1590" s="15" t="s">
        <v>26211</v>
      </c>
      <c r="F1590" s="87" t="s">
        <v>21871</v>
      </c>
      <c r="G1590" s="45" t="s">
        <v>2288</v>
      </c>
      <c r="H1590" s="55" t="s">
        <v>2289</v>
      </c>
      <c r="I1590" s="15" t="s">
        <v>432</v>
      </c>
    </row>
    <row r="1591" spans="1:9" ht="51.75" customHeight="1" x14ac:dyDescent="0.35">
      <c r="A1591" s="15">
        <v>1</v>
      </c>
      <c r="B1591" s="15" t="s">
        <v>26212</v>
      </c>
      <c r="C1591" s="15" t="s">
        <v>26213</v>
      </c>
      <c r="D1591" s="31">
        <v>40676</v>
      </c>
      <c r="E1591" s="15" t="s">
        <v>26214</v>
      </c>
      <c r="F1591" s="87" t="s">
        <v>21871</v>
      </c>
      <c r="G1591" s="45" t="s">
        <v>3067</v>
      </c>
      <c r="H1591" s="55" t="s">
        <v>3068</v>
      </c>
      <c r="I1591" s="15" t="s">
        <v>432</v>
      </c>
    </row>
    <row r="1592" spans="1:9" ht="51.75" customHeight="1" x14ac:dyDescent="0.35">
      <c r="A1592" s="15">
        <v>2</v>
      </c>
      <c r="B1592" s="15" t="s">
        <v>26215</v>
      </c>
      <c r="C1592" s="15" t="s">
        <v>26216</v>
      </c>
      <c r="D1592" s="31">
        <v>40676</v>
      </c>
      <c r="E1592" s="15" t="s">
        <v>26217</v>
      </c>
      <c r="F1592" s="87" t="s">
        <v>21871</v>
      </c>
      <c r="G1592" s="45" t="s">
        <v>3067</v>
      </c>
      <c r="H1592" s="55" t="s">
        <v>3068</v>
      </c>
      <c r="I1592" s="15" t="s">
        <v>432</v>
      </c>
    </row>
    <row r="1593" spans="1:9" ht="51.75" customHeight="1" x14ac:dyDescent="0.35">
      <c r="A1593" s="15" t="s">
        <v>24802</v>
      </c>
      <c r="B1593" s="15" t="s">
        <v>26218</v>
      </c>
      <c r="C1593" s="15" t="s">
        <v>26219</v>
      </c>
      <c r="D1593" s="31">
        <v>41830</v>
      </c>
      <c r="E1593" s="15" t="s">
        <v>26220</v>
      </c>
      <c r="F1593" s="87" t="s">
        <v>26221</v>
      </c>
      <c r="G1593" s="45" t="s">
        <v>8698</v>
      </c>
      <c r="H1593" s="55" t="s">
        <v>8699</v>
      </c>
      <c r="I1593" s="15" t="s">
        <v>432</v>
      </c>
    </row>
    <row r="1594" spans="1:9" ht="51.75" customHeight="1" x14ac:dyDescent="0.35">
      <c r="A1594" s="15" t="s">
        <v>24802</v>
      </c>
      <c r="B1594" s="15" t="s">
        <v>26222</v>
      </c>
      <c r="C1594" s="15" t="s">
        <v>26219</v>
      </c>
      <c r="D1594" s="31">
        <v>41830</v>
      </c>
      <c r="E1594" s="15" t="s">
        <v>26223</v>
      </c>
      <c r="F1594" s="87" t="s">
        <v>21871</v>
      </c>
      <c r="G1594" s="45" t="s">
        <v>8698</v>
      </c>
      <c r="H1594" s="55" t="s">
        <v>8699</v>
      </c>
      <c r="I1594" s="15" t="s">
        <v>432</v>
      </c>
    </row>
    <row r="1595" spans="1:9" ht="51.75" customHeight="1" x14ac:dyDescent="0.35">
      <c r="A1595" s="15">
        <v>1</v>
      </c>
      <c r="B1595" s="15" t="s">
        <v>26224</v>
      </c>
      <c r="C1595" s="15" t="s">
        <v>26225</v>
      </c>
      <c r="D1595" s="31">
        <v>40666</v>
      </c>
      <c r="E1595" s="15" t="s">
        <v>26225</v>
      </c>
      <c r="F1595" s="87" t="s">
        <v>21871</v>
      </c>
      <c r="G1595" s="45" t="s">
        <v>4195</v>
      </c>
      <c r="H1595" s="55" t="s">
        <v>4196</v>
      </c>
      <c r="I1595" s="15" t="s">
        <v>432</v>
      </c>
    </row>
    <row r="1596" spans="1:9" ht="51.75" customHeight="1" x14ac:dyDescent="0.35">
      <c r="A1596" s="15">
        <v>1</v>
      </c>
      <c r="B1596" s="15" t="s">
        <v>26226</v>
      </c>
      <c r="C1596" s="15" t="s">
        <v>26227</v>
      </c>
      <c r="D1596" s="31">
        <v>40445</v>
      </c>
      <c r="E1596" s="15" t="s">
        <v>26228</v>
      </c>
      <c r="F1596" s="87" t="s">
        <v>21871</v>
      </c>
      <c r="G1596" s="45" t="s">
        <v>4125</v>
      </c>
      <c r="H1596" s="55" t="s">
        <v>4126</v>
      </c>
      <c r="I1596" s="15" t="s">
        <v>432</v>
      </c>
    </row>
    <row r="1597" spans="1:9" ht="51.75" customHeight="1" x14ac:dyDescent="0.35">
      <c r="A1597" s="15">
        <v>2</v>
      </c>
      <c r="B1597" s="15" t="s">
        <v>26229</v>
      </c>
      <c r="C1597" s="15" t="s">
        <v>26230</v>
      </c>
      <c r="D1597" s="31">
        <v>40445</v>
      </c>
      <c r="E1597" s="15" t="s">
        <v>26231</v>
      </c>
      <c r="F1597" s="87" t="s">
        <v>21871</v>
      </c>
      <c r="G1597" s="45" t="s">
        <v>4125</v>
      </c>
      <c r="H1597" s="55" t="s">
        <v>4126</v>
      </c>
      <c r="I1597" s="15" t="s">
        <v>432</v>
      </c>
    </row>
    <row r="1598" spans="1:9" ht="51.75" customHeight="1" x14ac:dyDescent="0.35">
      <c r="A1598" s="15">
        <v>1</v>
      </c>
      <c r="B1598" s="15" t="s">
        <v>26232</v>
      </c>
      <c r="C1598" s="15" t="s">
        <v>26233</v>
      </c>
      <c r="D1598" s="31">
        <v>40667</v>
      </c>
      <c r="E1598" s="15" t="s">
        <v>26234</v>
      </c>
      <c r="F1598" s="87"/>
      <c r="G1598" s="45" t="s">
        <v>1945</v>
      </c>
      <c r="H1598" s="55" t="s">
        <v>1946</v>
      </c>
      <c r="I1598" s="15" t="s">
        <v>432</v>
      </c>
    </row>
    <row r="1599" spans="1:9" ht="51.75" customHeight="1" x14ac:dyDescent="0.35">
      <c r="A1599" s="15">
        <v>1</v>
      </c>
      <c r="B1599" s="15" t="s">
        <v>26235</v>
      </c>
      <c r="C1599" s="15" t="s">
        <v>26236</v>
      </c>
      <c r="D1599" s="31">
        <v>38805</v>
      </c>
      <c r="E1599" s="15" t="s">
        <v>26237</v>
      </c>
      <c r="F1599" s="87" t="s">
        <v>21871</v>
      </c>
      <c r="G1599" s="45" t="s">
        <v>548</v>
      </c>
      <c r="H1599" s="55" t="s">
        <v>549</v>
      </c>
      <c r="I1599" s="15" t="s">
        <v>432</v>
      </c>
    </row>
    <row r="1600" spans="1:9" ht="51.75" customHeight="1" x14ac:dyDescent="0.35">
      <c r="A1600" s="15">
        <v>2</v>
      </c>
      <c r="B1600" s="15" t="s">
        <v>26238</v>
      </c>
      <c r="C1600" s="15" t="s">
        <v>26239</v>
      </c>
      <c r="D1600" s="31">
        <v>38805</v>
      </c>
      <c r="E1600" s="15" t="s">
        <v>26240</v>
      </c>
      <c r="F1600" s="87" t="s">
        <v>21871</v>
      </c>
      <c r="G1600" s="45" t="s">
        <v>548</v>
      </c>
      <c r="H1600" s="55" t="s">
        <v>549</v>
      </c>
      <c r="I1600" s="15" t="s">
        <v>432</v>
      </c>
    </row>
    <row r="1601" spans="1:9" ht="51.75" customHeight="1" x14ac:dyDescent="0.35">
      <c r="A1601" s="15">
        <v>1</v>
      </c>
      <c r="B1601" s="15" t="s">
        <v>26241</v>
      </c>
      <c r="C1601" s="15" t="s">
        <v>26242</v>
      </c>
      <c r="D1601" s="31">
        <v>40445</v>
      </c>
      <c r="E1601" s="15" t="s">
        <v>26243</v>
      </c>
      <c r="F1601" s="87"/>
      <c r="G1601" s="45" t="s">
        <v>758</v>
      </c>
      <c r="H1601" s="55" t="s">
        <v>759</v>
      </c>
      <c r="I1601" s="15" t="s">
        <v>432</v>
      </c>
    </row>
    <row r="1602" spans="1:9" ht="51.75" customHeight="1" x14ac:dyDescent="0.35">
      <c r="A1602" s="15">
        <v>2</v>
      </c>
      <c r="B1602" s="15" t="s">
        <v>26244</v>
      </c>
      <c r="C1602" s="15" t="s">
        <v>26245</v>
      </c>
      <c r="D1602" s="31">
        <v>40445</v>
      </c>
      <c r="E1602" s="15" t="s">
        <v>26246</v>
      </c>
      <c r="F1602" s="87"/>
      <c r="G1602" s="45" t="s">
        <v>758</v>
      </c>
      <c r="H1602" s="55" t="s">
        <v>759</v>
      </c>
      <c r="I1602" s="15" t="s">
        <v>432</v>
      </c>
    </row>
    <row r="1603" spans="1:9" ht="51.75" customHeight="1" x14ac:dyDescent="0.35">
      <c r="A1603" s="15">
        <v>3</v>
      </c>
      <c r="B1603" s="15" t="s">
        <v>26247</v>
      </c>
      <c r="C1603" s="15" t="s">
        <v>26248</v>
      </c>
      <c r="D1603" s="31">
        <v>40445</v>
      </c>
      <c r="E1603" s="15" t="s">
        <v>26249</v>
      </c>
      <c r="F1603" s="87"/>
      <c r="G1603" s="45" t="s">
        <v>758</v>
      </c>
      <c r="H1603" s="55" t="s">
        <v>759</v>
      </c>
      <c r="I1603" s="15" t="s">
        <v>432</v>
      </c>
    </row>
    <row r="1604" spans="1:9" ht="51.75" customHeight="1" x14ac:dyDescent="0.35">
      <c r="A1604" s="15">
        <v>4</v>
      </c>
      <c r="B1604" s="15" t="s">
        <v>26250</v>
      </c>
      <c r="C1604" s="15" t="s">
        <v>26251</v>
      </c>
      <c r="D1604" s="31">
        <v>40445</v>
      </c>
      <c r="E1604" s="15" t="s">
        <v>26252</v>
      </c>
      <c r="F1604" s="87"/>
      <c r="G1604" s="45" t="s">
        <v>758</v>
      </c>
      <c r="H1604" s="55" t="s">
        <v>759</v>
      </c>
      <c r="I1604" s="15" t="s">
        <v>432</v>
      </c>
    </row>
    <row r="1605" spans="1:9" ht="51.75" customHeight="1" x14ac:dyDescent="0.35">
      <c r="A1605" s="15">
        <v>5</v>
      </c>
      <c r="B1605" s="15" t="s">
        <v>26253</v>
      </c>
      <c r="C1605" s="15" t="s">
        <v>26254</v>
      </c>
      <c r="D1605" s="31">
        <v>40445</v>
      </c>
      <c r="E1605" s="15" t="s">
        <v>26255</v>
      </c>
      <c r="F1605" s="87"/>
      <c r="G1605" s="45" t="s">
        <v>758</v>
      </c>
      <c r="H1605" s="55" t="s">
        <v>759</v>
      </c>
      <c r="I1605" s="15" t="s">
        <v>432</v>
      </c>
    </row>
    <row r="1606" spans="1:9" ht="51.75" customHeight="1" x14ac:dyDescent="0.35">
      <c r="A1606" s="15">
        <v>6</v>
      </c>
      <c r="B1606" s="15" t="s">
        <v>26256</v>
      </c>
      <c r="C1606" s="15" t="s">
        <v>26257</v>
      </c>
      <c r="D1606" s="31">
        <v>40445</v>
      </c>
      <c r="E1606" s="15" t="s">
        <v>26258</v>
      </c>
      <c r="F1606" s="87"/>
      <c r="G1606" s="45" t="s">
        <v>758</v>
      </c>
      <c r="H1606" s="55" t="s">
        <v>759</v>
      </c>
      <c r="I1606" s="15" t="s">
        <v>432</v>
      </c>
    </row>
    <row r="1607" spans="1:9" ht="51.75" customHeight="1" x14ac:dyDescent="0.35">
      <c r="A1607" s="15">
        <v>7</v>
      </c>
      <c r="B1607" s="15" t="s">
        <v>26259</v>
      </c>
      <c r="C1607" s="15" t="s">
        <v>26260</v>
      </c>
      <c r="D1607" s="31">
        <v>40445</v>
      </c>
      <c r="E1607" s="15" t="s">
        <v>26261</v>
      </c>
      <c r="F1607" s="87"/>
      <c r="G1607" s="45" t="s">
        <v>758</v>
      </c>
      <c r="H1607" s="55" t="s">
        <v>759</v>
      </c>
      <c r="I1607" s="15" t="s">
        <v>432</v>
      </c>
    </row>
    <row r="1608" spans="1:9" ht="51.75" customHeight="1" x14ac:dyDescent="0.35">
      <c r="A1608" s="15">
        <v>8</v>
      </c>
      <c r="B1608" s="15" t="s">
        <v>26262</v>
      </c>
      <c r="C1608" s="15" t="s">
        <v>26263</v>
      </c>
      <c r="D1608" s="31">
        <v>40445</v>
      </c>
      <c r="E1608" s="15" t="s">
        <v>26264</v>
      </c>
      <c r="F1608" s="87"/>
      <c r="G1608" s="45" t="s">
        <v>758</v>
      </c>
      <c r="H1608" s="55" t="s">
        <v>759</v>
      </c>
      <c r="I1608" s="15" t="s">
        <v>432</v>
      </c>
    </row>
    <row r="1609" spans="1:9" ht="51.75" customHeight="1" x14ac:dyDescent="0.35">
      <c r="A1609" s="15">
        <v>9</v>
      </c>
      <c r="B1609" s="15" t="s">
        <v>26265</v>
      </c>
      <c r="C1609" s="15" t="s">
        <v>26266</v>
      </c>
      <c r="D1609" s="31">
        <v>40445</v>
      </c>
      <c r="E1609" s="15" t="s">
        <v>26267</v>
      </c>
      <c r="F1609" s="87"/>
      <c r="G1609" s="45" t="s">
        <v>758</v>
      </c>
      <c r="H1609" s="55" t="s">
        <v>759</v>
      </c>
      <c r="I1609" s="15" t="s">
        <v>432</v>
      </c>
    </row>
    <row r="1610" spans="1:9" ht="51.75" customHeight="1" x14ac:dyDescent="0.35">
      <c r="A1610" s="15">
        <v>1</v>
      </c>
      <c r="B1610" s="15" t="s">
        <v>26268</v>
      </c>
      <c r="C1610" s="15" t="s">
        <v>26269</v>
      </c>
      <c r="D1610" s="31">
        <v>40445</v>
      </c>
      <c r="E1610" s="15" t="s">
        <v>26269</v>
      </c>
      <c r="F1610" s="87"/>
      <c r="G1610" s="45" t="s">
        <v>642</v>
      </c>
      <c r="H1610" s="55" t="s">
        <v>643</v>
      </c>
      <c r="I1610" s="15" t="s">
        <v>432</v>
      </c>
    </row>
    <row r="1611" spans="1:9" ht="51.75" customHeight="1" x14ac:dyDescent="0.35">
      <c r="A1611" s="15">
        <v>2</v>
      </c>
      <c r="B1611" s="15" t="s">
        <v>26270</v>
      </c>
      <c r="C1611" s="15" t="s">
        <v>26271</v>
      </c>
      <c r="D1611" s="31">
        <v>40445</v>
      </c>
      <c r="E1611" s="15" t="s">
        <v>26272</v>
      </c>
      <c r="F1611" s="87"/>
      <c r="G1611" s="45" t="s">
        <v>642</v>
      </c>
      <c r="H1611" s="55" t="s">
        <v>643</v>
      </c>
      <c r="I1611" s="15" t="s">
        <v>432</v>
      </c>
    </row>
    <row r="1612" spans="1:9" ht="51.75" customHeight="1" x14ac:dyDescent="0.35">
      <c r="A1612" s="15">
        <v>3</v>
      </c>
      <c r="B1612" s="15" t="s">
        <v>26273</v>
      </c>
      <c r="C1612" s="15" t="s">
        <v>26271</v>
      </c>
      <c r="D1612" s="31">
        <v>40445</v>
      </c>
      <c r="E1612" s="15" t="s">
        <v>26274</v>
      </c>
      <c r="F1612" s="87"/>
      <c r="G1612" s="45" t="s">
        <v>642</v>
      </c>
      <c r="H1612" s="55" t="s">
        <v>643</v>
      </c>
      <c r="I1612" s="15" t="s">
        <v>432</v>
      </c>
    </row>
    <row r="1613" spans="1:9" ht="51.75" customHeight="1" x14ac:dyDescent="0.35">
      <c r="A1613" s="15">
        <v>1</v>
      </c>
      <c r="B1613" s="15" t="s">
        <v>26275</v>
      </c>
      <c r="C1613" s="15" t="s">
        <v>26276</v>
      </c>
      <c r="D1613" s="31">
        <v>38877</v>
      </c>
      <c r="E1613" s="15" t="s">
        <v>26277</v>
      </c>
      <c r="F1613" s="87" t="s">
        <v>21871</v>
      </c>
      <c r="G1613" s="45" t="s">
        <v>474</v>
      </c>
      <c r="H1613" s="55" t="s">
        <v>475</v>
      </c>
      <c r="I1613" s="15" t="s">
        <v>432</v>
      </c>
    </row>
    <row r="1614" spans="1:9" ht="51.75" customHeight="1" x14ac:dyDescent="0.35">
      <c r="A1614" s="15">
        <v>1</v>
      </c>
      <c r="B1614" s="15" t="s">
        <v>26278</v>
      </c>
      <c r="C1614" s="15" t="s">
        <v>26279</v>
      </c>
      <c r="D1614" s="31">
        <v>40662</v>
      </c>
      <c r="E1614" s="15" t="s">
        <v>26279</v>
      </c>
      <c r="F1614" s="87" t="s">
        <v>21871</v>
      </c>
      <c r="G1614" s="45" t="s">
        <v>1066</v>
      </c>
      <c r="H1614" s="55" t="s">
        <v>1067</v>
      </c>
      <c r="I1614" s="15" t="s">
        <v>432</v>
      </c>
    </row>
    <row r="1615" spans="1:9" ht="51.75" customHeight="1" x14ac:dyDescent="0.35">
      <c r="A1615" s="15">
        <v>2</v>
      </c>
      <c r="B1615" s="15" t="s">
        <v>26280</v>
      </c>
      <c r="C1615" s="15" t="s">
        <v>26281</v>
      </c>
      <c r="D1615" s="31">
        <v>40662</v>
      </c>
      <c r="E1615" s="15" t="s">
        <v>26282</v>
      </c>
      <c r="F1615" s="87" t="s">
        <v>21871</v>
      </c>
      <c r="G1615" s="45" t="s">
        <v>1066</v>
      </c>
      <c r="H1615" s="55" t="s">
        <v>1067</v>
      </c>
      <c r="I1615" s="15" t="s">
        <v>432</v>
      </c>
    </row>
    <row r="1616" spans="1:9" ht="51.75" customHeight="1" x14ac:dyDescent="0.35">
      <c r="A1616" s="15">
        <v>1</v>
      </c>
      <c r="B1616" s="15" t="s">
        <v>26283</v>
      </c>
      <c r="C1616" s="15" t="s">
        <v>26284</v>
      </c>
      <c r="D1616" s="31">
        <v>40662</v>
      </c>
      <c r="E1616" s="15" t="s">
        <v>26285</v>
      </c>
      <c r="F1616" s="87"/>
      <c r="G1616" s="45" t="s">
        <v>933</v>
      </c>
      <c r="H1616" s="55" t="s">
        <v>934</v>
      </c>
      <c r="I1616" s="15" t="s">
        <v>432</v>
      </c>
    </row>
    <row r="1617" spans="1:9" ht="51.75" customHeight="1" x14ac:dyDescent="0.35">
      <c r="A1617" s="15">
        <v>2</v>
      </c>
      <c r="B1617" s="15" t="s">
        <v>26286</v>
      </c>
      <c r="C1617" s="15" t="s">
        <v>26287</v>
      </c>
      <c r="D1617" s="31">
        <v>40662</v>
      </c>
      <c r="E1617" s="15" t="s">
        <v>26288</v>
      </c>
      <c r="F1617" s="87"/>
      <c r="G1617" s="45" t="s">
        <v>933</v>
      </c>
      <c r="H1617" s="55" t="s">
        <v>934</v>
      </c>
      <c r="I1617" s="15" t="s">
        <v>432</v>
      </c>
    </row>
    <row r="1618" spans="1:9" ht="51.75" customHeight="1" x14ac:dyDescent="0.35">
      <c r="A1618" s="15">
        <v>3</v>
      </c>
      <c r="B1618" s="15" t="s">
        <v>26289</v>
      </c>
      <c r="C1618" s="15" t="s">
        <v>26290</v>
      </c>
      <c r="D1618" s="31">
        <v>40662</v>
      </c>
      <c r="E1618" s="15" t="s">
        <v>26291</v>
      </c>
      <c r="F1618" s="87"/>
      <c r="G1618" s="45" t="s">
        <v>933</v>
      </c>
      <c r="H1618" s="55" t="s">
        <v>934</v>
      </c>
      <c r="I1618" s="15" t="s">
        <v>432</v>
      </c>
    </row>
    <row r="1619" spans="1:9" ht="51.75" customHeight="1" x14ac:dyDescent="0.35">
      <c r="A1619" s="15">
        <v>4</v>
      </c>
      <c r="B1619" s="15" t="s">
        <v>26292</v>
      </c>
      <c r="C1619" s="15" t="s">
        <v>26293</v>
      </c>
      <c r="D1619" s="31">
        <v>40662</v>
      </c>
      <c r="E1619" s="15" t="s">
        <v>26293</v>
      </c>
      <c r="F1619" s="87"/>
      <c r="G1619" s="45" t="s">
        <v>933</v>
      </c>
      <c r="H1619" s="55" t="s">
        <v>934</v>
      </c>
      <c r="I1619" s="15" t="s">
        <v>432</v>
      </c>
    </row>
    <row r="1620" spans="1:9" ht="51.75" customHeight="1" x14ac:dyDescent="0.35">
      <c r="A1620" s="15">
        <v>1</v>
      </c>
      <c r="B1620" s="15" t="s">
        <v>26294</v>
      </c>
      <c r="C1620" s="15" t="s">
        <v>26295</v>
      </c>
      <c r="D1620" s="31">
        <v>39224</v>
      </c>
      <c r="E1620" s="15" t="s">
        <v>26295</v>
      </c>
      <c r="F1620" s="87"/>
      <c r="G1620" s="45" t="s">
        <v>430</v>
      </c>
      <c r="H1620" s="55" t="s">
        <v>431</v>
      </c>
      <c r="I1620" s="15" t="s">
        <v>432</v>
      </c>
    </row>
    <row r="1621" spans="1:9" ht="51.75" customHeight="1" x14ac:dyDescent="0.35">
      <c r="A1621" s="15" t="s">
        <v>26296</v>
      </c>
      <c r="B1621" s="15" t="s">
        <v>26297</v>
      </c>
      <c r="C1621" s="15" t="s">
        <v>26298</v>
      </c>
      <c r="D1621" s="31" t="s">
        <v>50</v>
      </c>
      <c r="E1621" s="15" t="s">
        <v>26299</v>
      </c>
      <c r="F1621" s="87" t="s">
        <v>26221</v>
      </c>
      <c r="G1621" s="45" t="s">
        <v>3926</v>
      </c>
      <c r="H1621" s="55" t="s">
        <v>3927</v>
      </c>
      <c r="I1621" s="15" t="s">
        <v>432</v>
      </c>
    </row>
    <row r="1622" spans="1:9" ht="51.75" customHeight="1" x14ac:dyDescent="0.35">
      <c r="A1622" s="15" t="s">
        <v>26296</v>
      </c>
      <c r="B1622" s="15" t="s">
        <v>26300</v>
      </c>
      <c r="C1622" s="15" t="s">
        <v>26298</v>
      </c>
      <c r="D1622" s="31" t="s">
        <v>50</v>
      </c>
      <c r="E1622" s="15" t="s">
        <v>26301</v>
      </c>
      <c r="F1622" s="87" t="s">
        <v>21871</v>
      </c>
      <c r="G1622" s="45" t="s">
        <v>3926</v>
      </c>
      <c r="H1622" s="55" t="s">
        <v>3927</v>
      </c>
      <c r="I1622" s="15" t="s">
        <v>432</v>
      </c>
    </row>
    <row r="1623" spans="1:9" ht="51.75" customHeight="1" x14ac:dyDescent="0.35">
      <c r="A1623" s="15" t="s">
        <v>23477</v>
      </c>
      <c r="B1623" s="15" t="s">
        <v>26302</v>
      </c>
      <c r="C1623" s="15" t="s">
        <v>26303</v>
      </c>
      <c r="D1623" s="31" t="s">
        <v>50</v>
      </c>
      <c r="E1623" s="15" t="s">
        <v>26304</v>
      </c>
      <c r="F1623" s="87" t="s">
        <v>21871</v>
      </c>
      <c r="G1623" s="45" t="s">
        <v>7117</v>
      </c>
      <c r="H1623" s="55" t="s">
        <v>7118</v>
      </c>
      <c r="I1623" s="15" t="s">
        <v>432</v>
      </c>
    </row>
    <row r="1624" spans="1:9" ht="51.75" customHeight="1" x14ac:dyDescent="0.35">
      <c r="A1624" s="15" t="s">
        <v>24686</v>
      </c>
      <c r="B1624" s="15" t="s">
        <v>26305</v>
      </c>
      <c r="C1624" s="15" t="s">
        <v>26306</v>
      </c>
      <c r="D1624" s="31" t="s">
        <v>50</v>
      </c>
      <c r="E1624" s="15" t="s">
        <v>26307</v>
      </c>
      <c r="F1624" s="87" t="s">
        <v>21871</v>
      </c>
      <c r="G1624" s="45" t="s">
        <v>7117</v>
      </c>
      <c r="H1624" s="55" t="s">
        <v>7118</v>
      </c>
      <c r="I1624" s="15" t="s">
        <v>432</v>
      </c>
    </row>
    <row r="1625" spans="1:9" ht="51.75" customHeight="1" x14ac:dyDescent="0.35">
      <c r="A1625" s="15" t="s">
        <v>26308</v>
      </c>
      <c r="B1625" s="15" t="s">
        <v>26309</v>
      </c>
      <c r="C1625" s="15" t="s">
        <v>26310</v>
      </c>
      <c r="D1625" s="31">
        <v>42877</v>
      </c>
      <c r="E1625" s="15" t="s">
        <v>26311</v>
      </c>
      <c r="F1625" s="87" t="s">
        <v>26221</v>
      </c>
      <c r="G1625" s="45" t="s">
        <v>12401</v>
      </c>
      <c r="H1625" s="55" t="s">
        <v>12402</v>
      </c>
      <c r="I1625" s="15" t="s">
        <v>432</v>
      </c>
    </row>
    <row r="1626" spans="1:9" ht="51.75" customHeight="1" x14ac:dyDescent="0.35">
      <c r="A1626" s="15" t="s">
        <v>26312</v>
      </c>
      <c r="B1626" s="15" t="s">
        <v>26313</v>
      </c>
      <c r="C1626" s="15" t="s">
        <v>26314</v>
      </c>
      <c r="D1626" s="31">
        <v>42877</v>
      </c>
      <c r="E1626" s="15" t="s">
        <v>26315</v>
      </c>
      <c r="F1626" s="87" t="s">
        <v>26221</v>
      </c>
      <c r="G1626" s="45" t="s">
        <v>12401</v>
      </c>
      <c r="H1626" s="55" t="s">
        <v>12402</v>
      </c>
      <c r="I1626" s="15" t="s">
        <v>432</v>
      </c>
    </row>
    <row r="1627" spans="1:9" ht="51.75" customHeight="1" x14ac:dyDescent="0.35">
      <c r="A1627" s="15" t="s">
        <v>25889</v>
      </c>
      <c r="B1627" s="15" t="s">
        <v>26316</v>
      </c>
      <c r="C1627" s="15" t="s">
        <v>26317</v>
      </c>
      <c r="D1627" s="31">
        <v>42877</v>
      </c>
      <c r="E1627" s="15" t="s">
        <v>26318</v>
      </c>
      <c r="F1627" s="87" t="s">
        <v>26221</v>
      </c>
      <c r="G1627" s="45" t="s">
        <v>12401</v>
      </c>
      <c r="H1627" s="55" t="s">
        <v>12402</v>
      </c>
      <c r="I1627" s="15" t="s">
        <v>432</v>
      </c>
    </row>
    <row r="1628" spans="1:9" ht="51.75" customHeight="1" x14ac:dyDescent="0.35">
      <c r="A1628" s="15" t="s">
        <v>24703</v>
      </c>
      <c r="B1628" s="15" t="s">
        <v>26319</v>
      </c>
      <c r="C1628" s="15" t="s">
        <v>26320</v>
      </c>
      <c r="D1628" s="31" t="s">
        <v>50</v>
      </c>
      <c r="E1628" s="15" t="s">
        <v>26321</v>
      </c>
      <c r="F1628" s="87" t="s">
        <v>21871</v>
      </c>
      <c r="G1628" s="45" t="s">
        <v>10254</v>
      </c>
      <c r="H1628" s="55" t="s">
        <v>10255</v>
      </c>
      <c r="I1628" s="15" t="s">
        <v>432</v>
      </c>
    </row>
    <row r="1629" spans="1:9" ht="51.75" customHeight="1" x14ac:dyDescent="0.35">
      <c r="A1629" s="15" t="s">
        <v>21971</v>
      </c>
      <c r="B1629" s="15" t="s">
        <v>26322</v>
      </c>
      <c r="C1629" s="15" t="s">
        <v>26323</v>
      </c>
      <c r="D1629" s="31" t="s">
        <v>50</v>
      </c>
      <c r="E1629" s="15" t="s">
        <v>26324</v>
      </c>
      <c r="F1629" s="87" t="s">
        <v>21871</v>
      </c>
      <c r="G1629" s="45" t="s">
        <v>13029</v>
      </c>
      <c r="H1629" s="55" t="s">
        <v>13030</v>
      </c>
      <c r="I1629" s="15" t="s">
        <v>432</v>
      </c>
    </row>
    <row r="1630" spans="1:9" ht="51.75" customHeight="1" x14ac:dyDescent="0.35">
      <c r="A1630" s="15" t="s">
        <v>21975</v>
      </c>
      <c r="B1630" s="15" t="s">
        <v>26325</v>
      </c>
      <c r="C1630" s="15" t="s">
        <v>26326</v>
      </c>
      <c r="D1630" s="31" t="s">
        <v>50</v>
      </c>
      <c r="E1630" s="15" t="s">
        <v>26327</v>
      </c>
      <c r="F1630" s="87" t="s">
        <v>21871</v>
      </c>
      <c r="G1630" s="45" t="s">
        <v>13029</v>
      </c>
      <c r="H1630" s="55" t="s">
        <v>13030</v>
      </c>
      <c r="I1630" s="15" t="s">
        <v>432</v>
      </c>
    </row>
    <row r="1631" spans="1:9" ht="51.75" customHeight="1" x14ac:dyDescent="0.35">
      <c r="A1631" s="15" t="s">
        <v>23533</v>
      </c>
      <c r="B1631" s="15" t="s">
        <v>26328</v>
      </c>
      <c r="C1631" s="15" t="s">
        <v>26329</v>
      </c>
      <c r="D1631" s="31" t="s">
        <v>50</v>
      </c>
      <c r="E1631" s="15" t="s">
        <v>26330</v>
      </c>
      <c r="F1631" s="87" t="s">
        <v>21871</v>
      </c>
      <c r="G1631" s="45" t="s">
        <v>13029</v>
      </c>
      <c r="H1631" s="55" t="s">
        <v>13030</v>
      </c>
      <c r="I1631" s="15" t="s">
        <v>432</v>
      </c>
    </row>
    <row r="1632" spans="1:9" ht="51.75" customHeight="1" x14ac:dyDescent="0.35">
      <c r="A1632" s="15" t="s">
        <v>23473</v>
      </c>
      <c r="B1632" s="15" t="s">
        <v>26331</v>
      </c>
      <c r="C1632" s="15" t="s">
        <v>26332</v>
      </c>
      <c r="D1632" s="31" t="s">
        <v>50</v>
      </c>
      <c r="E1632" s="15" t="s">
        <v>26333</v>
      </c>
      <c r="F1632" s="87" t="s">
        <v>21871</v>
      </c>
      <c r="G1632" s="45" t="s">
        <v>7703</v>
      </c>
      <c r="H1632" s="55" t="s">
        <v>7704</v>
      </c>
      <c r="I1632" s="15" t="s">
        <v>432</v>
      </c>
    </row>
    <row r="1633" spans="1:9" ht="51.75" customHeight="1" x14ac:dyDescent="0.35">
      <c r="A1633" s="15" t="s">
        <v>23529</v>
      </c>
      <c r="B1633" s="15" t="s">
        <v>26334</v>
      </c>
      <c r="C1633" s="15" t="s">
        <v>26335</v>
      </c>
      <c r="D1633" s="31">
        <v>41995</v>
      </c>
      <c r="E1633" s="15" t="s">
        <v>26336</v>
      </c>
      <c r="F1633" s="87" t="s">
        <v>26221</v>
      </c>
      <c r="G1633" s="45" t="s">
        <v>9402</v>
      </c>
      <c r="H1633" s="55" t="s">
        <v>9403</v>
      </c>
      <c r="I1633" s="15" t="s">
        <v>432</v>
      </c>
    </row>
    <row r="1634" spans="1:9" ht="51.75" customHeight="1" x14ac:dyDescent="0.35">
      <c r="A1634" s="15" t="s">
        <v>23503</v>
      </c>
      <c r="B1634" s="15" t="s">
        <v>26337</v>
      </c>
      <c r="C1634" s="15" t="s">
        <v>26338</v>
      </c>
      <c r="D1634" s="31">
        <v>41995</v>
      </c>
      <c r="E1634" s="15" t="s">
        <v>26339</v>
      </c>
      <c r="F1634" s="87" t="s">
        <v>26221</v>
      </c>
      <c r="G1634" s="45" t="s">
        <v>9402</v>
      </c>
      <c r="H1634" s="55" t="s">
        <v>9403</v>
      </c>
      <c r="I1634" s="15" t="s">
        <v>432</v>
      </c>
    </row>
    <row r="1635" spans="1:9" ht="51.75" customHeight="1" x14ac:dyDescent="0.35">
      <c r="A1635" s="15" t="s">
        <v>26340</v>
      </c>
      <c r="B1635" s="15" t="s">
        <v>26341</v>
      </c>
      <c r="C1635" s="15" t="s">
        <v>26342</v>
      </c>
      <c r="D1635" s="31">
        <v>43294</v>
      </c>
      <c r="E1635" s="15" t="s">
        <v>26343</v>
      </c>
      <c r="F1635" s="87" t="s">
        <v>26221</v>
      </c>
      <c r="G1635" s="45" t="s">
        <v>13875</v>
      </c>
      <c r="H1635" s="55" t="s">
        <v>13876</v>
      </c>
      <c r="I1635" s="15" t="s">
        <v>432</v>
      </c>
    </row>
    <row r="1636" spans="1:9" ht="51.75" customHeight="1" x14ac:dyDescent="0.35">
      <c r="A1636" s="15" t="s">
        <v>26344</v>
      </c>
      <c r="B1636" s="15" t="s">
        <v>26345</v>
      </c>
      <c r="C1636" s="15" t="s">
        <v>26346</v>
      </c>
      <c r="D1636" s="31">
        <v>43294</v>
      </c>
      <c r="E1636" s="15" t="s">
        <v>26347</v>
      </c>
      <c r="F1636" s="87" t="s">
        <v>26221</v>
      </c>
      <c r="G1636" s="45" t="s">
        <v>13875</v>
      </c>
      <c r="H1636" s="55" t="s">
        <v>13876</v>
      </c>
      <c r="I1636" s="15" t="s">
        <v>432</v>
      </c>
    </row>
    <row r="1637" spans="1:9" ht="51.75" customHeight="1" x14ac:dyDescent="0.35">
      <c r="A1637" s="15" t="s">
        <v>26348</v>
      </c>
      <c r="B1637" s="15" t="s">
        <v>26349</v>
      </c>
      <c r="C1637" s="15" t="s">
        <v>26350</v>
      </c>
      <c r="D1637" s="31">
        <v>43321</v>
      </c>
      <c r="E1637" s="15" t="s">
        <v>26351</v>
      </c>
      <c r="F1637" s="87" t="s">
        <v>26221</v>
      </c>
      <c r="G1637" s="45" t="s">
        <v>13922</v>
      </c>
      <c r="H1637" s="55" t="s">
        <v>13923</v>
      </c>
      <c r="I1637" s="15" t="s">
        <v>432</v>
      </c>
    </row>
    <row r="1638" spans="1:9" ht="51.75" customHeight="1" x14ac:dyDescent="0.35">
      <c r="A1638" s="15" t="s">
        <v>26352</v>
      </c>
      <c r="B1638" s="15" t="s">
        <v>26353</v>
      </c>
      <c r="C1638" s="15" t="s">
        <v>26354</v>
      </c>
      <c r="D1638" s="31">
        <v>43321</v>
      </c>
      <c r="E1638" s="15" t="s">
        <v>26355</v>
      </c>
      <c r="F1638" s="87" t="s">
        <v>26221</v>
      </c>
      <c r="G1638" s="45" t="s">
        <v>13922</v>
      </c>
      <c r="H1638" s="55" t="s">
        <v>13923</v>
      </c>
      <c r="I1638" s="15" t="s">
        <v>432</v>
      </c>
    </row>
    <row r="1639" spans="1:9" ht="51.75" customHeight="1" x14ac:dyDescent="0.35">
      <c r="A1639" s="15" t="s">
        <v>26356</v>
      </c>
      <c r="B1639" s="15" t="s">
        <v>26357</v>
      </c>
      <c r="C1639" s="15" t="s">
        <v>26358</v>
      </c>
      <c r="D1639" s="31">
        <v>43817</v>
      </c>
      <c r="E1639" s="15" t="s">
        <v>26359</v>
      </c>
      <c r="F1639" s="87" t="s">
        <v>26221</v>
      </c>
      <c r="G1639" s="45" t="s">
        <v>15888</v>
      </c>
      <c r="H1639" s="55" t="s">
        <v>15889</v>
      </c>
      <c r="I1639" s="15" t="s">
        <v>432</v>
      </c>
    </row>
    <row r="1640" spans="1:9" ht="51.75" customHeight="1" x14ac:dyDescent="0.35">
      <c r="A1640" s="15" t="s">
        <v>26356</v>
      </c>
      <c r="B1640" s="15" t="s">
        <v>26360</v>
      </c>
      <c r="C1640" s="15" t="s">
        <v>26358</v>
      </c>
      <c r="D1640" s="31">
        <v>43817</v>
      </c>
      <c r="E1640" s="15" t="s">
        <v>26361</v>
      </c>
      <c r="F1640" s="87" t="s">
        <v>21871</v>
      </c>
      <c r="G1640" s="45" t="s">
        <v>15888</v>
      </c>
      <c r="H1640" s="55" t="s">
        <v>15889</v>
      </c>
      <c r="I1640" s="15" t="s">
        <v>432</v>
      </c>
    </row>
    <row r="1641" spans="1:9" ht="51.75" customHeight="1" x14ac:dyDescent="0.35">
      <c r="A1641" s="15" t="s">
        <v>26362</v>
      </c>
      <c r="B1641" s="15" t="s">
        <v>26363</v>
      </c>
      <c r="C1641" s="15" t="s">
        <v>26364</v>
      </c>
      <c r="D1641" s="31">
        <v>43817</v>
      </c>
      <c r="E1641" s="15" t="s">
        <v>26364</v>
      </c>
      <c r="F1641" s="87" t="s">
        <v>26221</v>
      </c>
      <c r="G1641" s="45" t="s">
        <v>15888</v>
      </c>
      <c r="H1641" s="55" t="s">
        <v>15889</v>
      </c>
      <c r="I1641" s="15" t="s">
        <v>432</v>
      </c>
    </row>
    <row r="1642" spans="1:9" ht="51.75" customHeight="1" x14ac:dyDescent="0.35">
      <c r="A1642" s="15" t="s">
        <v>26362</v>
      </c>
      <c r="B1642" s="15" t="s">
        <v>26365</v>
      </c>
      <c r="C1642" s="15" t="s">
        <v>26364</v>
      </c>
      <c r="D1642" s="31">
        <v>43817</v>
      </c>
      <c r="E1642" s="15" t="s">
        <v>26366</v>
      </c>
      <c r="F1642" s="87" t="s">
        <v>21871</v>
      </c>
      <c r="G1642" s="45" t="s">
        <v>15888</v>
      </c>
      <c r="H1642" s="55" t="s">
        <v>15889</v>
      </c>
      <c r="I1642" s="15" t="s">
        <v>432</v>
      </c>
    </row>
    <row r="1643" spans="1:9" ht="51.75" customHeight="1" x14ac:dyDescent="0.35">
      <c r="A1643" s="15" t="s">
        <v>26367</v>
      </c>
      <c r="B1643" s="15" t="s">
        <v>26368</v>
      </c>
      <c r="C1643" s="15" t="s">
        <v>26369</v>
      </c>
      <c r="D1643" s="31">
        <v>43817</v>
      </c>
      <c r="E1643" s="15" t="s">
        <v>26370</v>
      </c>
      <c r="F1643" s="87" t="s">
        <v>26221</v>
      </c>
      <c r="G1643" s="45" t="s">
        <v>15888</v>
      </c>
      <c r="H1643" s="55" t="s">
        <v>15889</v>
      </c>
      <c r="I1643" s="15" t="s">
        <v>432</v>
      </c>
    </row>
    <row r="1644" spans="1:9" ht="51.75" customHeight="1" x14ac:dyDescent="0.35">
      <c r="A1644" s="15" t="s">
        <v>26367</v>
      </c>
      <c r="B1644" s="15" t="s">
        <v>26371</v>
      </c>
      <c r="C1644" s="15" t="s">
        <v>26369</v>
      </c>
      <c r="D1644" s="31">
        <v>43817</v>
      </c>
      <c r="E1644" s="15" t="s">
        <v>26372</v>
      </c>
      <c r="F1644" s="87" t="s">
        <v>21871</v>
      </c>
      <c r="G1644" s="45" t="s">
        <v>15888</v>
      </c>
      <c r="H1644" s="55" t="s">
        <v>15889</v>
      </c>
      <c r="I1644" s="15" t="s">
        <v>432</v>
      </c>
    </row>
    <row r="1645" spans="1:9" ht="51.75" customHeight="1" x14ac:dyDescent="0.35">
      <c r="A1645" s="15" t="s">
        <v>26373</v>
      </c>
      <c r="B1645" s="15" t="s">
        <v>26374</v>
      </c>
      <c r="C1645" s="15" t="s">
        <v>26370</v>
      </c>
      <c r="D1645" s="31">
        <v>43817</v>
      </c>
      <c r="E1645" s="15" t="s">
        <v>26375</v>
      </c>
      <c r="F1645" s="87" t="s">
        <v>26221</v>
      </c>
      <c r="G1645" s="45" t="s">
        <v>15888</v>
      </c>
      <c r="H1645" s="55" t="s">
        <v>15889</v>
      </c>
      <c r="I1645" s="15" t="s">
        <v>432</v>
      </c>
    </row>
    <row r="1646" spans="1:9" ht="51.75" customHeight="1" x14ac:dyDescent="0.35">
      <c r="A1646" s="15" t="s">
        <v>26373</v>
      </c>
      <c r="B1646" s="15" t="s">
        <v>26376</v>
      </c>
      <c r="C1646" s="15" t="s">
        <v>26370</v>
      </c>
      <c r="D1646" s="31">
        <v>43817</v>
      </c>
      <c r="E1646" s="15" t="s">
        <v>26377</v>
      </c>
      <c r="F1646" s="87" t="s">
        <v>21871</v>
      </c>
      <c r="G1646" s="45" t="s">
        <v>15888</v>
      </c>
      <c r="H1646" s="55" t="s">
        <v>15889</v>
      </c>
      <c r="I1646" s="15" t="s">
        <v>432</v>
      </c>
    </row>
    <row r="1647" spans="1:9" ht="51.75" customHeight="1" x14ac:dyDescent="0.35">
      <c r="A1647" s="15" t="s">
        <v>24820</v>
      </c>
      <c r="B1647" s="15" t="s">
        <v>26378</v>
      </c>
      <c r="C1647" s="15" t="s">
        <v>26379</v>
      </c>
      <c r="D1647" s="31" t="s">
        <v>50</v>
      </c>
      <c r="E1647" s="15" t="s">
        <v>26380</v>
      </c>
      <c r="F1647" s="87" t="s">
        <v>21871</v>
      </c>
      <c r="G1647" s="45" t="s">
        <v>13274</v>
      </c>
      <c r="H1647" s="55" t="s">
        <v>13275</v>
      </c>
      <c r="I1647" s="15" t="s">
        <v>8759</v>
      </c>
    </row>
    <row r="1648" spans="1:9" ht="51.75" customHeight="1" x14ac:dyDescent="0.35">
      <c r="A1648" s="15" t="s">
        <v>25285</v>
      </c>
      <c r="B1648" s="15" t="s">
        <v>26381</v>
      </c>
      <c r="C1648" s="15" t="s">
        <v>26382</v>
      </c>
      <c r="D1648" s="31" t="s">
        <v>50</v>
      </c>
      <c r="E1648" s="15" t="s">
        <v>26383</v>
      </c>
      <c r="F1648" s="87" t="s">
        <v>21871</v>
      </c>
      <c r="G1648" s="45" t="s">
        <v>13274</v>
      </c>
      <c r="H1648" s="55" t="s">
        <v>13275</v>
      </c>
      <c r="I1648" s="15" t="s">
        <v>8759</v>
      </c>
    </row>
    <row r="1649" spans="1:9" ht="51.75" customHeight="1" x14ac:dyDescent="0.35">
      <c r="A1649" s="15" t="s">
        <v>25291</v>
      </c>
      <c r="B1649" s="15" t="s">
        <v>26384</v>
      </c>
      <c r="C1649" s="15" t="s">
        <v>26385</v>
      </c>
      <c r="D1649" s="31" t="s">
        <v>50</v>
      </c>
      <c r="E1649" s="15" t="s">
        <v>26386</v>
      </c>
      <c r="F1649" s="87" t="s">
        <v>21871</v>
      </c>
      <c r="G1649" s="45" t="s">
        <v>13274</v>
      </c>
      <c r="H1649" s="55" t="s">
        <v>13275</v>
      </c>
      <c r="I1649" s="15" t="s">
        <v>8759</v>
      </c>
    </row>
    <row r="1650" spans="1:9" ht="51.75" customHeight="1" x14ac:dyDescent="0.35">
      <c r="A1650" s="15" t="s">
        <v>25297</v>
      </c>
      <c r="B1650" s="15" t="s">
        <v>26387</v>
      </c>
      <c r="C1650" s="15" t="s">
        <v>26388</v>
      </c>
      <c r="D1650" s="31" t="s">
        <v>50</v>
      </c>
      <c r="E1650" s="15" t="s">
        <v>26389</v>
      </c>
      <c r="F1650" s="87" t="s">
        <v>21871</v>
      </c>
      <c r="G1650" s="45" t="s">
        <v>13274</v>
      </c>
      <c r="H1650" s="55" t="s">
        <v>13275</v>
      </c>
      <c r="I1650" s="15" t="s">
        <v>8759</v>
      </c>
    </row>
    <row r="1651" spans="1:9" ht="51.75" customHeight="1" x14ac:dyDescent="0.35">
      <c r="A1651" s="15" t="s">
        <v>26390</v>
      </c>
      <c r="B1651" s="15" t="s">
        <v>26391</v>
      </c>
      <c r="C1651" s="15" t="s">
        <v>26392</v>
      </c>
      <c r="D1651" s="31" t="s">
        <v>50</v>
      </c>
      <c r="E1651" s="15" t="s">
        <v>26393</v>
      </c>
      <c r="F1651" s="87" t="s">
        <v>21871</v>
      </c>
      <c r="G1651" s="45" t="s">
        <v>13274</v>
      </c>
      <c r="H1651" s="55" t="s">
        <v>13275</v>
      </c>
      <c r="I1651" s="15" t="s">
        <v>8759</v>
      </c>
    </row>
    <row r="1652" spans="1:9" ht="51.75" customHeight="1" x14ac:dyDescent="0.35">
      <c r="A1652" s="15" t="s">
        <v>26394</v>
      </c>
      <c r="B1652" s="15" t="s">
        <v>26395</v>
      </c>
      <c r="C1652" s="15" t="s">
        <v>26396</v>
      </c>
      <c r="D1652" s="31" t="s">
        <v>50</v>
      </c>
      <c r="E1652" s="15" t="s">
        <v>26397</v>
      </c>
      <c r="F1652" s="87" t="s">
        <v>21871</v>
      </c>
      <c r="G1652" s="45" t="s">
        <v>13274</v>
      </c>
      <c r="H1652" s="55" t="s">
        <v>13275</v>
      </c>
      <c r="I1652" s="15" t="s">
        <v>8759</v>
      </c>
    </row>
    <row r="1653" spans="1:9" ht="51.75" customHeight="1" x14ac:dyDescent="0.35">
      <c r="A1653" s="15" t="s">
        <v>26398</v>
      </c>
      <c r="B1653" s="15" t="s">
        <v>26399</v>
      </c>
      <c r="C1653" s="15" t="s">
        <v>26400</v>
      </c>
      <c r="D1653" s="31" t="s">
        <v>50</v>
      </c>
      <c r="E1653" s="15" t="s">
        <v>26401</v>
      </c>
      <c r="F1653" s="87" t="s">
        <v>21871</v>
      </c>
      <c r="G1653" s="45" t="s">
        <v>13274</v>
      </c>
      <c r="H1653" s="55" t="s">
        <v>13275</v>
      </c>
      <c r="I1653" s="15" t="s">
        <v>8759</v>
      </c>
    </row>
    <row r="1654" spans="1:9" ht="51.75" customHeight="1" x14ac:dyDescent="0.35">
      <c r="A1654" s="15" t="s">
        <v>23329</v>
      </c>
      <c r="B1654" s="15" t="s">
        <v>26402</v>
      </c>
      <c r="C1654" s="15" t="s">
        <v>26403</v>
      </c>
      <c r="D1654" s="31" t="s">
        <v>50</v>
      </c>
      <c r="E1654" s="15" t="s">
        <v>26404</v>
      </c>
      <c r="F1654" s="87" t="s">
        <v>21871</v>
      </c>
      <c r="G1654" s="45" t="s">
        <v>13274</v>
      </c>
      <c r="H1654" s="55" t="s">
        <v>13275</v>
      </c>
      <c r="I1654" s="15" t="s">
        <v>8759</v>
      </c>
    </row>
    <row r="1655" spans="1:9" ht="51.75" customHeight="1" x14ac:dyDescent="0.35">
      <c r="A1655" s="15" t="s">
        <v>23333</v>
      </c>
      <c r="B1655" s="15" t="s">
        <v>26405</v>
      </c>
      <c r="C1655" s="15" t="s">
        <v>26406</v>
      </c>
      <c r="D1655" s="31" t="s">
        <v>50</v>
      </c>
      <c r="E1655" s="15" t="s">
        <v>26407</v>
      </c>
      <c r="F1655" s="87" t="s">
        <v>21871</v>
      </c>
      <c r="G1655" s="45" t="s">
        <v>13274</v>
      </c>
      <c r="H1655" s="55" t="s">
        <v>13275</v>
      </c>
      <c r="I1655" s="15" t="s">
        <v>8759</v>
      </c>
    </row>
    <row r="1656" spans="1:9" ht="51.75" customHeight="1" x14ac:dyDescent="0.35">
      <c r="A1656" s="15" t="s">
        <v>24623</v>
      </c>
      <c r="B1656" s="15" t="s">
        <v>26408</v>
      </c>
      <c r="C1656" s="15" t="s">
        <v>26409</v>
      </c>
      <c r="D1656" s="31" t="s">
        <v>50</v>
      </c>
      <c r="E1656" s="15" t="s">
        <v>26410</v>
      </c>
      <c r="F1656" s="87" t="s">
        <v>21871</v>
      </c>
      <c r="G1656" s="45" t="s">
        <v>13274</v>
      </c>
      <c r="H1656" s="55" t="s">
        <v>13275</v>
      </c>
      <c r="I1656" s="15" t="s">
        <v>8759</v>
      </c>
    </row>
    <row r="1657" spans="1:9" ht="51.75" customHeight="1" x14ac:dyDescent="0.35">
      <c r="A1657" s="15" t="s">
        <v>24629</v>
      </c>
      <c r="B1657" s="15" t="s">
        <v>26411</v>
      </c>
      <c r="C1657" s="15" t="s">
        <v>26412</v>
      </c>
      <c r="D1657" s="31" t="s">
        <v>50</v>
      </c>
      <c r="E1657" s="15" t="s">
        <v>26413</v>
      </c>
      <c r="F1657" s="87" t="s">
        <v>21871</v>
      </c>
      <c r="G1657" s="45" t="s">
        <v>13274</v>
      </c>
      <c r="H1657" s="55" t="s">
        <v>13275</v>
      </c>
      <c r="I1657" s="15" t="s">
        <v>8759</v>
      </c>
    </row>
    <row r="1658" spans="1:9" ht="51.75" customHeight="1" x14ac:dyDescent="0.35">
      <c r="A1658" s="15">
        <v>1</v>
      </c>
      <c r="B1658" s="15" t="s">
        <v>26414</v>
      </c>
      <c r="C1658" s="15" t="s">
        <v>26415</v>
      </c>
      <c r="D1658" s="31">
        <v>40714</v>
      </c>
      <c r="E1658" s="15" t="s">
        <v>26416</v>
      </c>
      <c r="F1658" s="87"/>
      <c r="G1658" s="45" t="s">
        <v>4971</v>
      </c>
      <c r="H1658" s="55" t="s">
        <v>4972</v>
      </c>
      <c r="I1658" s="15" t="s">
        <v>358</v>
      </c>
    </row>
    <row r="1659" spans="1:9" ht="51.75" customHeight="1" x14ac:dyDescent="0.35">
      <c r="A1659" s="15">
        <v>2</v>
      </c>
      <c r="B1659" s="15" t="s">
        <v>26417</v>
      </c>
      <c r="C1659" s="15" t="s">
        <v>26418</v>
      </c>
      <c r="D1659" s="31">
        <v>40714</v>
      </c>
      <c r="E1659" s="15" t="s">
        <v>26419</v>
      </c>
      <c r="F1659" s="87"/>
      <c r="G1659" s="45" t="s">
        <v>4971</v>
      </c>
      <c r="H1659" s="55" t="s">
        <v>4972</v>
      </c>
      <c r="I1659" s="15" t="s">
        <v>358</v>
      </c>
    </row>
    <row r="1660" spans="1:9" ht="51.75" customHeight="1" x14ac:dyDescent="0.35">
      <c r="A1660" s="15" t="s">
        <v>23461</v>
      </c>
      <c r="B1660" s="15" t="s">
        <v>26420</v>
      </c>
      <c r="C1660" s="15" t="s">
        <v>26421</v>
      </c>
      <c r="D1660" s="31">
        <v>41001</v>
      </c>
      <c r="E1660" s="15" t="s">
        <v>26422</v>
      </c>
      <c r="F1660" s="87" t="s">
        <v>21871</v>
      </c>
      <c r="G1660" s="45" t="s">
        <v>3885</v>
      </c>
      <c r="H1660" s="55" t="s">
        <v>3886</v>
      </c>
      <c r="I1660" s="15" t="s">
        <v>358</v>
      </c>
    </row>
    <row r="1661" spans="1:9" ht="51.75" customHeight="1" x14ac:dyDescent="0.35">
      <c r="A1661" s="15" t="s">
        <v>23465</v>
      </c>
      <c r="B1661" s="15" t="s">
        <v>26423</v>
      </c>
      <c r="C1661" s="15" t="s">
        <v>26424</v>
      </c>
      <c r="D1661" s="31">
        <v>41001</v>
      </c>
      <c r="E1661" s="15" t="s">
        <v>26425</v>
      </c>
      <c r="F1661" s="87" t="s">
        <v>21871</v>
      </c>
      <c r="G1661" s="45" t="s">
        <v>3885</v>
      </c>
      <c r="H1661" s="55" t="s">
        <v>3886</v>
      </c>
      <c r="I1661" s="15" t="s">
        <v>358</v>
      </c>
    </row>
    <row r="1662" spans="1:9" ht="51.75" customHeight="1" x14ac:dyDescent="0.35">
      <c r="A1662" s="15" t="s">
        <v>23469</v>
      </c>
      <c r="B1662" s="15" t="s">
        <v>26426</v>
      </c>
      <c r="C1662" s="15" t="s">
        <v>26427</v>
      </c>
      <c r="D1662" s="31">
        <v>41001</v>
      </c>
      <c r="E1662" s="15" t="s">
        <v>26428</v>
      </c>
      <c r="F1662" s="87" t="s">
        <v>21871</v>
      </c>
      <c r="G1662" s="45" t="s">
        <v>3885</v>
      </c>
      <c r="H1662" s="55" t="s">
        <v>3886</v>
      </c>
      <c r="I1662" s="15" t="s">
        <v>358</v>
      </c>
    </row>
    <row r="1663" spans="1:9" ht="51.75" customHeight="1" x14ac:dyDescent="0.35">
      <c r="A1663" s="15" t="s">
        <v>26429</v>
      </c>
      <c r="B1663" s="15" t="s">
        <v>26430</v>
      </c>
      <c r="C1663" s="15" t="s">
        <v>26431</v>
      </c>
      <c r="D1663" s="31">
        <v>41001</v>
      </c>
      <c r="E1663" s="15" t="s">
        <v>26432</v>
      </c>
      <c r="F1663" s="87" t="s">
        <v>21871</v>
      </c>
      <c r="G1663" s="45" t="s">
        <v>3885</v>
      </c>
      <c r="H1663" s="55" t="s">
        <v>3886</v>
      </c>
      <c r="I1663" s="15" t="s">
        <v>358</v>
      </c>
    </row>
    <row r="1664" spans="1:9" ht="51.75" customHeight="1" x14ac:dyDescent="0.35">
      <c r="A1664" s="15" t="s">
        <v>21983</v>
      </c>
      <c r="B1664" s="15" t="s">
        <v>26433</v>
      </c>
      <c r="C1664" s="15" t="s">
        <v>26434</v>
      </c>
      <c r="D1664" s="31">
        <v>41001</v>
      </c>
      <c r="E1664" s="15" t="s">
        <v>26435</v>
      </c>
      <c r="F1664" s="87" t="s">
        <v>21871</v>
      </c>
      <c r="G1664" s="45" t="s">
        <v>3885</v>
      </c>
      <c r="H1664" s="55" t="s">
        <v>3886</v>
      </c>
      <c r="I1664" s="15" t="s">
        <v>358</v>
      </c>
    </row>
    <row r="1665" spans="1:9" ht="51.75" customHeight="1" x14ac:dyDescent="0.35">
      <c r="A1665" s="15" t="s">
        <v>26436</v>
      </c>
      <c r="B1665" s="15" t="s">
        <v>26437</v>
      </c>
      <c r="C1665" s="15" t="s">
        <v>26438</v>
      </c>
      <c r="D1665" s="31">
        <v>41001</v>
      </c>
      <c r="E1665" s="15" t="s">
        <v>26439</v>
      </c>
      <c r="F1665" s="87" t="s">
        <v>21871</v>
      </c>
      <c r="G1665" s="45" t="s">
        <v>3885</v>
      </c>
      <c r="H1665" s="55" t="s">
        <v>3886</v>
      </c>
      <c r="I1665" s="15" t="s">
        <v>358</v>
      </c>
    </row>
    <row r="1666" spans="1:9" ht="51.75" customHeight="1" x14ac:dyDescent="0.35">
      <c r="A1666" s="15" t="s">
        <v>21979</v>
      </c>
      <c r="B1666" s="15" t="s">
        <v>26440</v>
      </c>
      <c r="C1666" s="15" t="s">
        <v>26441</v>
      </c>
      <c r="D1666" s="31">
        <v>41001</v>
      </c>
      <c r="E1666" s="15" t="s">
        <v>26442</v>
      </c>
      <c r="F1666" s="87" t="s">
        <v>21871</v>
      </c>
      <c r="G1666" s="45" t="s">
        <v>3885</v>
      </c>
      <c r="H1666" s="55" t="s">
        <v>3886</v>
      </c>
      <c r="I1666" s="15" t="s">
        <v>358</v>
      </c>
    </row>
    <row r="1667" spans="1:9" ht="51.75" customHeight="1" x14ac:dyDescent="0.35">
      <c r="A1667" s="15" t="s">
        <v>21971</v>
      </c>
      <c r="B1667" s="15" t="s">
        <v>26443</v>
      </c>
      <c r="C1667" s="15" t="s">
        <v>26444</v>
      </c>
      <c r="D1667" s="31">
        <v>41001</v>
      </c>
      <c r="E1667" s="15" t="s">
        <v>26445</v>
      </c>
      <c r="F1667" s="87" t="s">
        <v>21871</v>
      </c>
      <c r="G1667" s="45" t="s">
        <v>3885</v>
      </c>
      <c r="H1667" s="55" t="s">
        <v>3886</v>
      </c>
      <c r="I1667" s="15" t="s">
        <v>358</v>
      </c>
    </row>
    <row r="1668" spans="1:9" ht="51.75" customHeight="1" x14ac:dyDescent="0.35">
      <c r="A1668" s="15" t="s">
        <v>21975</v>
      </c>
      <c r="B1668" s="15" t="s">
        <v>26446</v>
      </c>
      <c r="C1668" s="15" t="s">
        <v>26447</v>
      </c>
      <c r="D1668" s="31">
        <v>41001</v>
      </c>
      <c r="E1668" s="15" t="s">
        <v>26448</v>
      </c>
      <c r="F1668" s="87" t="s">
        <v>21871</v>
      </c>
      <c r="G1668" s="45" t="s">
        <v>3885</v>
      </c>
      <c r="H1668" s="55" t="s">
        <v>3886</v>
      </c>
      <c r="I1668" s="15" t="s">
        <v>358</v>
      </c>
    </row>
    <row r="1669" spans="1:9" ht="51.75" customHeight="1" x14ac:dyDescent="0.35">
      <c r="A1669" s="15" t="s">
        <v>26449</v>
      </c>
      <c r="B1669" s="15" t="s">
        <v>26450</v>
      </c>
      <c r="C1669" s="15" t="s">
        <v>26451</v>
      </c>
      <c r="D1669" s="31">
        <v>41001</v>
      </c>
      <c r="E1669" s="15" t="s">
        <v>26452</v>
      </c>
      <c r="F1669" s="87" t="s">
        <v>21871</v>
      </c>
      <c r="G1669" s="45" t="s">
        <v>3885</v>
      </c>
      <c r="H1669" s="55" t="s">
        <v>3886</v>
      </c>
      <c r="I1669" s="15" t="s">
        <v>358</v>
      </c>
    </row>
    <row r="1670" spans="1:9" ht="51.75" customHeight="1" x14ac:dyDescent="0.35">
      <c r="A1670" s="15" t="s">
        <v>26453</v>
      </c>
      <c r="B1670" s="15" t="s">
        <v>26454</v>
      </c>
      <c r="C1670" s="15" t="s">
        <v>26455</v>
      </c>
      <c r="D1670" s="31">
        <v>41001</v>
      </c>
      <c r="E1670" s="15" t="s">
        <v>26456</v>
      </c>
      <c r="F1670" s="87" t="s">
        <v>21871</v>
      </c>
      <c r="G1670" s="45" t="s">
        <v>3885</v>
      </c>
      <c r="H1670" s="55" t="s">
        <v>3886</v>
      </c>
      <c r="I1670" s="15" t="s">
        <v>358</v>
      </c>
    </row>
    <row r="1671" spans="1:9" ht="51.75" customHeight="1" x14ac:dyDescent="0.35">
      <c r="A1671" s="15" t="s">
        <v>23533</v>
      </c>
      <c r="B1671" s="15" t="s">
        <v>26457</v>
      </c>
      <c r="C1671" s="15" t="s">
        <v>26458</v>
      </c>
      <c r="D1671" s="31">
        <v>41425</v>
      </c>
      <c r="E1671" s="15" t="s">
        <v>26459</v>
      </c>
      <c r="F1671" s="87" t="s">
        <v>21871</v>
      </c>
      <c r="G1671" s="45" t="s">
        <v>3885</v>
      </c>
      <c r="H1671" s="55" t="s">
        <v>3886</v>
      </c>
      <c r="I1671" s="15" t="s">
        <v>358</v>
      </c>
    </row>
    <row r="1672" spans="1:9" ht="51.75" customHeight="1" x14ac:dyDescent="0.35">
      <c r="A1672" s="15" t="s">
        <v>23536</v>
      </c>
      <c r="B1672" s="15" t="s">
        <v>26460</v>
      </c>
      <c r="C1672" s="15" t="s">
        <v>26461</v>
      </c>
      <c r="D1672" s="31">
        <v>41425</v>
      </c>
      <c r="E1672" s="15" t="s">
        <v>26462</v>
      </c>
      <c r="F1672" s="87" t="s">
        <v>21871</v>
      </c>
      <c r="G1672" s="45" t="s">
        <v>3885</v>
      </c>
      <c r="H1672" s="55" t="s">
        <v>3886</v>
      </c>
      <c r="I1672" s="15" t="s">
        <v>358</v>
      </c>
    </row>
    <row r="1673" spans="1:9" ht="51.75" customHeight="1" x14ac:dyDescent="0.35">
      <c r="A1673" s="15">
        <v>1</v>
      </c>
      <c r="B1673" s="15" t="s">
        <v>26463</v>
      </c>
      <c r="C1673" s="15" t="s">
        <v>26464</v>
      </c>
      <c r="D1673" s="31">
        <v>40375</v>
      </c>
      <c r="E1673" s="15" t="s">
        <v>26465</v>
      </c>
      <c r="F1673" s="87"/>
      <c r="G1673" s="45" t="s">
        <v>3530</v>
      </c>
      <c r="H1673" s="55" t="s">
        <v>3531</v>
      </c>
      <c r="I1673" s="15" t="s">
        <v>358</v>
      </c>
    </row>
    <row r="1674" spans="1:9" ht="51.75" customHeight="1" x14ac:dyDescent="0.35">
      <c r="A1674" s="15">
        <v>2</v>
      </c>
      <c r="B1674" s="15" t="s">
        <v>26466</v>
      </c>
      <c r="C1674" s="15" t="s">
        <v>26467</v>
      </c>
      <c r="D1674" s="31">
        <v>40375</v>
      </c>
      <c r="E1674" s="15" t="s">
        <v>26468</v>
      </c>
      <c r="F1674" s="87"/>
      <c r="G1674" s="45" t="s">
        <v>3530</v>
      </c>
      <c r="H1674" s="55" t="s">
        <v>3531</v>
      </c>
      <c r="I1674" s="15" t="s">
        <v>358</v>
      </c>
    </row>
    <row r="1675" spans="1:9" ht="51.75" customHeight="1" x14ac:dyDescent="0.35">
      <c r="A1675" s="15">
        <v>3</v>
      </c>
      <c r="B1675" s="15" t="s">
        <v>26469</v>
      </c>
      <c r="C1675" s="15" t="s">
        <v>26470</v>
      </c>
      <c r="D1675" s="31">
        <v>40375</v>
      </c>
      <c r="E1675" s="15" t="s">
        <v>26471</v>
      </c>
      <c r="F1675" s="87"/>
      <c r="G1675" s="45" t="s">
        <v>3530</v>
      </c>
      <c r="H1675" s="55" t="s">
        <v>3531</v>
      </c>
      <c r="I1675" s="15" t="s">
        <v>358</v>
      </c>
    </row>
    <row r="1676" spans="1:9" ht="51.75" customHeight="1" x14ac:dyDescent="0.35">
      <c r="A1676" s="15">
        <v>4</v>
      </c>
      <c r="B1676" s="15" t="s">
        <v>26472</v>
      </c>
      <c r="C1676" s="15" t="s">
        <v>26473</v>
      </c>
      <c r="D1676" s="31">
        <v>40375</v>
      </c>
      <c r="E1676" s="15" t="s">
        <v>26473</v>
      </c>
      <c r="F1676" s="87"/>
      <c r="G1676" s="45" t="s">
        <v>3530</v>
      </c>
      <c r="H1676" s="55" t="s">
        <v>3531</v>
      </c>
      <c r="I1676" s="15" t="s">
        <v>358</v>
      </c>
    </row>
    <row r="1677" spans="1:9" ht="51.75" customHeight="1" x14ac:dyDescent="0.35">
      <c r="A1677" s="15">
        <v>5</v>
      </c>
      <c r="B1677" s="15" t="s">
        <v>26474</v>
      </c>
      <c r="C1677" s="15" t="s">
        <v>26475</v>
      </c>
      <c r="D1677" s="31">
        <v>40375</v>
      </c>
      <c r="E1677" s="15" t="s">
        <v>26475</v>
      </c>
      <c r="F1677" s="87"/>
      <c r="G1677" s="45" t="s">
        <v>3530</v>
      </c>
      <c r="H1677" s="55" t="s">
        <v>3531</v>
      </c>
      <c r="I1677" s="15" t="s">
        <v>358</v>
      </c>
    </row>
    <row r="1678" spans="1:9" ht="51.75" customHeight="1" x14ac:dyDescent="0.35">
      <c r="A1678" s="15">
        <v>6</v>
      </c>
      <c r="B1678" s="15" t="s">
        <v>26476</v>
      </c>
      <c r="C1678" s="15" t="s">
        <v>26477</v>
      </c>
      <c r="D1678" s="31">
        <v>40375</v>
      </c>
      <c r="E1678" s="15" t="s">
        <v>26478</v>
      </c>
      <c r="F1678" s="87"/>
      <c r="G1678" s="45" t="s">
        <v>3530</v>
      </c>
      <c r="H1678" s="55" t="s">
        <v>3531</v>
      </c>
      <c r="I1678" s="15" t="s">
        <v>358</v>
      </c>
    </row>
    <row r="1679" spans="1:9" ht="51.75" customHeight="1" x14ac:dyDescent="0.35">
      <c r="A1679" s="15">
        <v>1</v>
      </c>
      <c r="B1679" s="15" t="s">
        <v>26479</v>
      </c>
      <c r="C1679" s="15" t="s">
        <v>26480</v>
      </c>
      <c r="D1679" s="31">
        <v>40667</v>
      </c>
      <c r="E1679" s="15" t="s">
        <v>26481</v>
      </c>
      <c r="F1679" s="87"/>
      <c r="G1679" s="45" t="s">
        <v>2882</v>
      </c>
      <c r="H1679" s="55" t="s">
        <v>2883</v>
      </c>
      <c r="I1679" s="15" t="s">
        <v>358</v>
      </c>
    </row>
    <row r="1680" spans="1:9" ht="51.75" customHeight="1" x14ac:dyDescent="0.35">
      <c r="A1680" s="15">
        <v>2</v>
      </c>
      <c r="B1680" s="15" t="s">
        <v>26482</v>
      </c>
      <c r="C1680" s="15" t="s">
        <v>26483</v>
      </c>
      <c r="D1680" s="31">
        <v>40667</v>
      </c>
      <c r="E1680" s="15" t="s">
        <v>26484</v>
      </c>
      <c r="F1680" s="87"/>
      <c r="G1680" s="45" t="s">
        <v>2882</v>
      </c>
      <c r="H1680" s="55" t="s">
        <v>2883</v>
      </c>
      <c r="I1680" s="15" t="s">
        <v>358</v>
      </c>
    </row>
    <row r="1681" spans="1:9" ht="51.75" customHeight="1" x14ac:dyDescent="0.35">
      <c r="A1681" s="15">
        <v>3</v>
      </c>
      <c r="B1681" s="15" t="s">
        <v>26485</v>
      </c>
      <c r="C1681" s="15" t="s">
        <v>26486</v>
      </c>
      <c r="D1681" s="31">
        <v>40667</v>
      </c>
      <c r="E1681" s="15" t="s">
        <v>26487</v>
      </c>
      <c r="F1681" s="87"/>
      <c r="G1681" s="45" t="s">
        <v>2882</v>
      </c>
      <c r="H1681" s="55" t="s">
        <v>2883</v>
      </c>
      <c r="I1681" s="15" t="s">
        <v>358</v>
      </c>
    </row>
    <row r="1682" spans="1:9" ht="51.75" customHeight="1" x14ac:dyDescent="0.35">
      <c r="A1682" s="15">
        <v>4</v>
      </c>
      <c r="B1682" s="15" t="s">
        <v>26488</v>
      </c>
      <c r="C1682" s="15" t="s">
        <v>26489</v>
      </c>
      <c r="D1682" s="31">
        <v>40667</v>
      </c>
      <c r="E1682" s="15" t="s">
        <v>26490</v>
      </c>
      <c r="F1682" s="87"/>
      <c r="G1682" s="45" t="s">
        <v>2882</v>
      </c>
      <c r="H1682" s="55" t="s">
        <v>2883</v>
      </c>
      <c r="I1682" s="15" t="s">
        <v>358</v>
      </c>
    </row>
    <row r="1683" spans="1:9" ht="51.75" customHeight="1" x14ac:dyDescent="0.35">
      <c r="A1683" s="15">
        <v>5</v>
      </c>
      <c r="B1683" s="15" t="s">
        <v>26491</v>
      </c>
      <c r="C1683" s="15" t="s">
        <v>26492</v>
      </c>
      <c r="D1683" s="31">
        <v>40667</v>
      </c>
      <c r="E1683" s="15" t="s">
        <v>26493</v>
      </c>
      <c r="F1683" s="87"/>
      <c r="G1683" s="45" t="s">
        <v>2882</v>
      </c>
      <c r="H1683" s="55" t="s">
        <v>2883</v>
      </c>
      <c r="I1683" s="15" t="s">
        <v>358</v>
      </c>
    </row>
    <row r="1684" spans="1:9" ht="51.75" customHeight="1" x14ac:dyDescent="0.35">
      <c r="A1684" s="15">
        <v>1</v>
      </c>
      <c r="B1684" s="15" t="s">
        <v>26494</v>
      </c>
      <c r="C1684" s="15" t="s">
        <v>26495</v>
      </c>
      <c r="D1684" s="31">
        <v>40466</v>
      </c>
      <c r="E1684" s="15" t="s">
        <v>26495</v>
      </c>
      <c r="F1684" s="87"/>
      <c r="G1684" s="45" t="s">
        <v>3169</v>
      </c>
      <c r="H1684" s="55" t="s">
        <v>3170</v>
      </c>
      <c r="I1684" s="15" t="s">
        <v>358</v>
      </c>
    </row>
    <row r="1685" spans="1:9" ht="51.75" customHeight="1" x14ac:dyDescent="0.35">
      <c r="A1685" s="15">
        <v>2</v>
      </c>
      <c r="B1685" s="15" t="s">
        <v>26496</v>
      </c>
      <c r="C1685" s="15" t="s">
        <v>26497</v>
      </c>
      <c r="D1685" s="31">
        <v>40466</v>
      </c>
      <c r="E1685" s="15" t="s">
        <v>26498</v>
      </c>
      <c r="F1685" s="87"/>
      <c r="G1685" s="45" t="s">
        <v>3169</v>
      </c>
      <c r="H1685" s="55" t="s">
        <v>3170</v>
      </c>
      <c r="I1685" s="15" t="s">
        <v>358</v>
      </c>
    </row>
    <row r="1686" spans="1:9" ht="51.75" customHeight="1" x14ac:dyDescent="0.35">
      <c r="A1686" s="15">
        <v>1</v>
      </c>
      <c r="B1686" s="15" t="s">
        <v>26499</v>
      </c>
      <c r="C1686" s="15" t="s">
        <v>26500</v>
      </c>
      <c r="D1686" s="31">
        <v>39864</v>
      </c>
      <c r="E1686" s="15" t="s">
        <v>26501</v>
      </c>
      <c r="F1686" s="87"/>
      <c r="G1686" s="45" t="s">
        <v>3110</v>
      </c>
      <c r="H1686" s="55" t="s">
        <v>3111</v>
      </c>
      <c r="I1686" s="15" t="s">
        <v>358</v>
      </c>
    </row>
    <row r="1687" spans="1:9" ht="51.75" customHeight="1" x14ac:dyDescent="0.35">
      <c r="A1687" s="15">
        <v>2</v>
      </c>
      <c r="B1687" s="15" t="s">
        <v>26502</v>
      </c>
      <c r="C1687" s="15" t="s">
        <v>26503</v>
      </c>
      <c r="D1687" s="31">
        <v>39864</v>
      </c>
      <c r="E1687" s="15" t="s">
        <v>26504</v>
      </c>
      <c r="F1687" s="87"/>
      <c r="G1687" s="45" t="s">
        <v>3110</v>
      </c>
      <c r="H1687" s="55" t="s">
        <v>3111</v>
      </c>
      <c r="I1687" s="15" t="s">
        <v>358</v>
      </c>
    </row>
    <row r="1688" spans="1:9" ht="51.75" customHeight="1" x14ac:dyDescent="0.35">
      <c r="A1688" s="15">
        <v>3</v>
      </c>
      <c r="B1688" s="15" t="s">
        <v>26505</v>
      </c>
      <c r="C1688" s="15" t="s">
        <v>26506</v>
      </c>
      <c r="D1688" s="31">
        <v>39864</v>
      </c>
      <c r="E1688" s="15" t="s">
        <v>26507</v>
      </c>
      <c r="F1688" s="87"/>
      <c r="G1688" s="45" t="s">
        <v>3110</v>
      </c>
      <c r="H1688" s="55" t="s">
        <v>3111</v>
      </c>
      <c r="I1688" s="15" t="s">
        <v>358</v>
      </c>
    </row>
    <row r="1689" spans="1:9" ht="51.75" customHeight="1" x14ac:dyDescent="0.35">
      <c r="A1689" s="15" t="s">
        <v>26508</v>
      </c>
      <c r="B1689" s="15" t="s">
        <v>26509</v>
      </c>
      <c r="C1689" s="15">
        <v>1</v>
      </c>
      <c r="D1689" s="31">
        <v>41834</v>
      </c>
      <c r="E1689" s="15" t="s">
        <v>26510</v>
      </c>
      <c r="F1689" s="87" t="s">
        <v>21871</v>
      </c>
      <c r="G1689" s="45" t="s">
        <v>7607</v>
      </c>
      <c r="H1689" s="55" t="s">
        <v>7608</v>
      </c>
      <c r="I1689" s="15" t="s">
        <v>358</v>
      </c>
    </row>
    <row r="1690" spans="1:9" ht="51.75" customHeight="1" x14ac:dyDescent="0.35">
      <c r="A1690" s="15" t="s">
        <v>26511</v>
      </c>
      <c r="B1690" s="15" t="s">
        <v>26512</v>
      </c>
      <c r="C1690" s="15">
        <v>2</v>
      </c>
      <c r="D1690" s="31">
        <v>41834</v>
      </c>
      <c r="E1690" s="15" t="s">
        <v>26513</v>
      </c>
      <c r="F1690" s="87" t="s">
        <v>21871</v>
      </c>
      <c r="G1690" s="45" t="s">
        <v>7607</v>
      </c>
      <c r="H1690" s="55" t="s">
        <v>7608</v>
      </c>
      <c r="I1690" s="15" t="s">
        <v>358</v>
      </c>
    </row>
    <row r="1691" spans="1:9" ht="51.75" customHeight="1" x14ac:dyDescent="0.35">
      <c r="A1691" s="15" t="s">
        <v>26514</v>
      </c>
      <c r="B1691" s="15" t="s">
        <v>26515</v>
      </c>
      <c r="C1691" s="15">
        <v>3</v>
      </c>
      <c r="D1691" s="31">
        <v>41834</v>
      </c>
      <c r="E1691" s="15" t="s">
        <v>26516</v>
      </c>
      <c r="F1691" s="87" t="s">
        <v>21871</v>
      </c>
      <c r="G1691" s="45" t="s">
        <v>7607</v>
      </c>
      <c r="H1691" s="55" t="s">
        <v>7608</v>
      </c>
      <c r="I1691" s="15" t="s">
        <v>358</v>
      </c>
    </row>
    <row r="1692" spans="1:9" ht="51.75" customHeight="1" x14ac:dyDescent="0.35">
      <c r="A1692" s="15" t="s">
        <v>22971</v>
      </c>
      <c r="B1692" s="15" t="s">
        <v>26517</v>
      </c>
      <c r="C1692" s="15">
        <v>4</v>
      </c>
      <c r="D1692" s="31">
        <v>41834</v>
      </c>
      <c r="E1692" s="15" t="s">
        <v>26518</v>
      </c>
      <c r="F1692" s="87" t="s">
        <v>21871</v>
      </c>
      <c r="G1692" s="45" t="s">
        <v>7607</v>
      </c>
      <c r="H1692" s="55" t="s">
        <v>7608</v>
      </c>
      <c r="I1692" s="15" t="s">
        <v>358</v>
      </c>
    </row>
    <row r="1693" spans="1:9" ht="51.75" customHeight="1" x14ac:dyDescent="0.35">
      <c r="A1693" s="15" t="s">
        <v>26128</v>
      </c>
      <c r="B1693" s="15" t="s">
        <v>26519</v>
      </c>
      <c r="C1693" s="15" t="s">
        <v>26520</v>
      </c>
      <c r="D1693" s="31">
        <v>41029</v>
      </c>
      <c r="E1693" s="15" t="s">
        <v>26521</v>
      </c>
      <c r="F1693" s="87" t="s">
        <v>21871</v>
      </c>
      <c r="G1693" s="45" t="s">
        <v>7442</v>
      </c>
      <c r="H1693" s="55" t="s">
        <v>7443</v>
      </c>
      <c r="I1693" s="15" t="s">
        <v>358</v>
      </c>
    </row>
    <row r="1694" spans="1:9" ht="51.75" customHeight="1" x14ac:dyDescent="0.35">
      <c r="A1694" s="15" t="s">
        <v>26132</v>
      </c>
      <c r="B1694" s="15" t="s">
        <v>26522</v>
      </c>
      <c r="C1694" s="15" t="s">
        <v>26523</v>
      </c>
      <c r="D1694" s="31">
        <v>41484</v>
      </c>
      <c r="E1694" s="15" t="s">
        <v>26524</v>
      </c>
      <c r="F1694" s="87" t="s">
        <v>21871</v>
      </c>
      <c r="G1694" s="45" t="s">
        <v>7442</v>
      </c>
      <c r="H1694" s="55" t="s">
        <v>7443</v>
      </c>
      <c r="I1694" s="15" t="s">
        <v>358</v>
      </c>
    </row>
    <row r="1695" spans="1:9" ht="51.75" customHeight="1" x14ac:dyDescent="0.35">
      <c r="A1695" s="15" t="s">
        <v>23598</v>
      </c>
      <c r="B1695" s="15" t="s">
        <v>26525</v>
      </c>
      <c r="C1695" s="15" t="s">
        <v>26526</v>
      </c>
      <c r="D1695" s="31">
        <v>41484</v>
      </c>
      <c r="E1695" s="15" t="s">
        <v>26527</v>
      </c>
      <c r="F1695" s="87" t="s">
        <v>21871</v>
      </c>
      <c r="G1695" s="45" t="s">
        <v>7442</v>
      </c>
      <c r="H1695" s="55" t="s">
        <v>7443</v>
      </c>
      <c r="I1695" s="15" t="s">
        <v>358</v>
      </c>
    </row>
    <row r="1696" spans="1:9" ht="51.75" customHeight="1" x14ac:dyDescent="0.35">
      <c r="A1696" s="15" t="s">
        <v>26528</v>
      </c>
      <c r="B1696" s="15" t="s">
        <v>26529</v>
      </c>
      <c r="C1696" s="15" t="s">
        <v>26530</v>
      </c>
      <c r="D1696" s="31">
        <v>41484</v>
      </c>
      <c r="E1696" s="15" t="s">
        <v>26531</v>
      </c>
      <c r="F1696" s="87" t="s">
        <v>21871</v>
      </c>
      <c r="G1696" s="45" t="s">
        <v>7442</v>
      </c>
      <c r="H1696" s="55" t="s">
        <v>7443</v>
      </c>
      <c r="I1696" s="15" t="s">
        <v>358</v>
      </c>
    </row>
    <row r="1697" spans="1:9" ht="51.75" customHeight="1" x14ac:dyDescent="0.35">
      <c r="A1697" s="15" t="s">
        <v>22077</v>
      </c>
      <c r="B1697" s="15" t="s">
        <v>26532</v>
      </c>
      <c r="C1697" s="15">
        <v>1</v>
      </c>
      <c r="D1697" s="31">
        <v>41369</v>
      </c>
      <c r="E1697" s="15" t="s">
        <v>26533</v>
      </c>
      <c r="F1697" s="87" t="s">
        <v>21871</v>
      </c>
      <c r="G1697" s="45" t="s">
        <v>7344</v>
      </c>
      <c r="H1697" s="55" t="s">
        <v>7345</v>
      </c>
      <c r="I1697" s="15" t="s">
        <v>358</v>
      </c>
    </row>
    <row r="1698" spans="1:9" ht="51.75" customHeight="1" x14ac:dyDescent="0.35">
      <c r="A1698" s="15" t="s">
        <v>22463</v>
      </c>
      <c r="B1698" s="15" t="s">
        <v>26534</v>
      </c>
      <c r="C1698" s="15"/>
      <c r="D1698" s="31">
        <v>41369</v>
      </c>
      <c r="E1698" s="15" t="s">
        <v>26535</v>
      </c>
      <c r="F1698" s="87" t="s">
        <v>21871</v>
      </c>
      <c r="G1698" s="45" t="s">
        <v>7344</v>
      </c>
      <c r="H1698" s="55" t="s">
        <v>7345</v>
      </c>
      <c r="I1698" s="15" t="s">
        <v>358</v>
      </c>
    </row>
    <row r="1699" spans="1:9" ht="51.75" customHeight="1" x14ac:dyDescent="0.35">
      <c r="A1699" s="15" t="s">
        <v>22467</v>
      </c>
      <c r="B1699" s="15" t="s">
        <v>26536</v>
      </c>
      <c r="C1699" s="15">
        <v>3</v>
      </c>
      <c r="D1699" s="31">
        <v>41369</v>
      </c>
      <c r="E1699" s="15" t="s">
        <v>26537</v>
      </c>
      <c r="F1699" s="87" t="s">
        <v>21871</v>
      </c>
      <c r="G1699" s="45" t="s">
        <v>7344</v>
      </c>
      <c r="H1699" s="55" t="s">
        <v>7345</v>
      </c>
      <c r="I1699" s="15" t="s">
        <v>358</v>
      </c>
    </row>
    <row r="1700" spans="1:9" ht="51.75" customHeight="1" x14ac:dyDescent="0.35">
      <c r="A1700" s="15" t="s">
        <v>24386</v>
      </c>
      <c r="B1700" s="15" t="s">
        <v>26538</v>
      </c>
      <c r="C1700" s="15">
        <v>4</v>
      </c>
      <c r="D1700" s="31">
        <v>41369</v>
      </c>
      <c r="E1700" s="15" t="s">
        <v>26539</v>
      </c>
      <c r="F1700" s="87" t="s">
        <v>21871</v>
      </c>
      <c r="G1700" s="45" t="s">
        <v>7344</v>
      </c>
      <c r="H1700" s="55" t="s">
        <v>7345</v>
      </c>
      <c r="I1700" s="15" t="s">
        <v>358</v>
      </c>
    </row>
    <row r="1701" spans="1:9" ht="51.75" customHeight="1" x14ac:dyDescent="0.35">
      <c r="A1701" s="15" t="s">
        <v>24391</v>
      </c>
      <c r="B1701" s="15" t="s">
        <v>26540</v>
      </c>
      <c r="C1701" s="15">
        <v>5</v>
      </c>
      <c r="D1701" s="31">
        <v>41369</v>
      </c>
      <c r="E1701" s="15" t="s">
        <v>26541</v>
      </c>
      <c r="F1701" s="87" t="s">
        <v>21871</v>
      </c>
      <c r="G1701" s="45" t="s">
        <v>7344</v>
      </c>
      <c r="H1701" s="55" t="s">
        <v>7345</v>
      </c>
      <c r="I1701" s="15" t="s">
        <v>358</v>
      </c>
    </row>
    <row r="1702" spans="1:9" ht="51.75" customHeight="1" x14ac:dyDescent="0.35">
      <c r="A1702" s="15" t="s">
        <v>25488</v>
      </c>
      <c r="B1702" s="15" t="s">
        <v>26542</v>
      </c>
      <c r="C1702" s="15">
        <v>1</v>
      </c>
      <c r="D1702" s="31">
        <v>41333</v>
      </c>
      <c r="E1702" s="15" t="s">
        <v>26543</v>
      </c>
      <c r="F1702" s="87" t="s">
        <v>21871</v>
      </c>
      <c r="G1702" s="45" t="s">
        <v>7194</v>
      </c>
      <c r="H1702" s="55" t="s">
        <v>7195</v>
      </c>
      <c r="I1702" s="15" t="s">
        <v>358</v>
      </c>
    </row>
    <row r="1703" spans="1:9" ht="51.75" customHeight="1" x14ac:dyDescent="0.35">
      <c r="A1703" s="15" t="s">
        <v>22019</v>
      </c>
      <c r="B1703" s="15" t="s">
        <v>26544</v>
      </c>
      <c r="C1703" s="15">
        <v>2</v>
      </c>
      <c r="D1703" s="31">
        <v>41333</v>
      </c>
      <c r="E1703" s="15" t="s">
        <v>26545</v>
      </c>
      <c r="F1703" s="87" t="s">
        <v>21871</v>
      </c>
      <c r="G1703" s="45" t="s">
        <v>7194</v>
      </c>
      <c r="H1703" s="55" t="s">
        <v>7195</v>
      </c>
      <c r="I1703" s="15" t="s">
        <v>358</v>
      </c>
    </row>
    <row r="1704" spans="1:9" ht="51.75" customHeight="1" x14ac:dyDescent="0.35">
      <c r="A1704" s="15" t="s">
        <v>21987</v>
      </c>
      <c r="B1704" s="15" t="s">
        <v>26546</v>
      </c>
      <c r="C1704" s="15">
        <v>3</v>
      </c>
      <c r="D1704" s="31">
        <v>41333</v>
      </c>
      <c r="E1704" s="15" t="s">
        <v>26547</v>
      </c>
      <c r="F1704" s="87" t="s">
        <v>21871</v>
      </c>
      <c r="G1704" s="45" t="s">
        <v>7194</v>
      </c>
      <c r="H1704" s="55" t="s">
        <v>7195</v>
      </c>
      <c r="I1704" s="15" t="s">
        <v>358</v>
      </c>
    </row>
    <row r="1705" spans="1:9" ht="51.75" customHeight="1" x14ac:dyDescent="0.35">
      <c r="A1705" s="15" t="s">
        <v>21991</v>
      </c>
      <c r="B1705" s="15" t="s">
        <v>26548</v>
      </c>
      <c r="C1705" s="15">
        <v>4</v>
      </c>
      <c r="D1705" s="31">
        <v>41333</v>
      </c>
      <c r="E1705" s="15" t="s">
        <v>26549</v>
      </c>
      <c r="F1705" s="87" t="s">
        <v>21871</v>
      </c>
      <c r="G1705" s="45" t="s">
        <v>7194</v>
      </c>
      <c r="H1705" s="55" t="s">
        <v>7195</v>
      </c>
      <c r="I1705" s="15" t="s">
        <v>358</v>
      </c>
    </row>
    <row r="1706" spans="1:9" ht="51.75" customHeight="1" x14ac:dyDescent="0.35">
      <c r="A1706" s="15" t="s">
        <v>21999</v>
      </c>
      <c r="B1706" s="15" t="s">
        <v>26550</v>
      </c>
      <c r="C1706" s="15">
        <v>5</v>
      </c>
      <c r="D1706" s="31">
        <v>41333</v>
      </c>
      <c r="E1706" s="15" t="s">
        <v>26551</v>
      </c>
      <c r="F1706" s="87" t="s">
        <v>21871</v>
      </c>
      <c r="G1706" s="45" t="s">
        <v>7194</v>
      </c>
      <c r="H1706" s="55" t="s">
        <v>7195</v>
      </c>
      <c r="I1706" s="15" t="s">
        <v>358</v>
      </c>
    </row>
    <row r="1707" spans="1:9" ht="51.75" customHeight="1" x14ac:dyDescent="0.35">
      <c r="A1707" s="15" t="s">
        <v>22011</v>
      </c>
      <c r="B1707" s="15" t="s">
        <v>26552</v>
      </c>
      <c r="C1707" s="15">
        <v>6</v>
      </c>
      <c r="D1707" s="31">
        <v>41333</v>
      </c>
      <c r="E1707" s="15" t="s">
        <v>26553</v>
      </c>
      <c r="F1707" s="87" t="s">
        <v>21871</v>
      </c>
      <c r="G1707" s="45" t="s">
        <v>7194</v>
      </c>
      <c r="H1707" s="55" t="s">
        <v>7195</v>
      </c>
      <c r="I1707" s="15" t="s">
        <v>358</v>
      </c>
    </row>
    <row r="1708" spans="1:9" ht="51.75" customHeight="1" x14ac:dyDescent="0.35">
      <c r="A1708" s="15" t="s">
        <v>24176</v>
      </c>
      <c r="B1708" s="15" t="s">
        <v>26554</v>
      </c>
      <c r="C1708" s="15">
        <v>7</v>
      </c>
      <c r="D1708" s="31">
        <v>41333</v>
      </c>
      <c r="E1708" s="15" t="s">
        <v>26555</v>
      </c>
      <c r="F1708" s="87" t="s">
        <v>21871</v>
      </c>
      <c r="G1708" s="45" t="s">
        <v>7194</v>
      </c>
      <c r="H1708" s="55" t="s">
        <v>7195</v>
      </c>
      <c r="I1708" s="15" t="s">
        <v>358</v>
      </c>
    </row>
    <row r="1709" spans="1:9" ht="51.75" customHeight="1" x14ac:dyDescent="0.35">
      <c r="A1709" s="15" t="s">
        <v>22453</v>
      </c>
      <c r="B1709" s="15" t="s">
        <v>26556</v>
      </c>
      <c r="C1709" s="15">
        <v>1</v>
      </c>
      <c r="D1709" s="31">
        <v>41379</v>
      </c>
      <c r="E1709" s="15" t="s">
        <v>26557</v>
      </c>
      <c r="F1709" s="87" t="s">
        <v>21871</v>
      </c>
      <c r="G1709" s="45" t="s">
        <v>7205</v>
      </c>
      <c r="H1709" s="55" t="s">
        <v>7206</v>
      </c>
      <c r="I1709" s="15" t="s">
        <v>358</v>
      </c>
    </row>
    <row r="1710" spans="1:9" ht="51.75" customHeight="1" x14ac:dyDescent="0.35">
      <c r="A1710" s="15" t="s">
        <v>22059</v>
      </c>
      <c r="B1710" s="15" t="s">
        <v>26558</v>
      </c>
      <c r="C1710" s="15">
        <v>2</v>
      </c>
      <c r="D1710" s="31">
        <v>41379</v>
      </c>
      <c r="E1710" s="15" t="s">
        <v>26559</v>
      </c>
      <c r="F1710" s="87" t="s">
        <v>21871</v>
      </c>
      <c r="G1710" s="45" t="s">
        <v>7205</v>
      </c>
      <c r="H1710" s="55" t="s">
        <v>7206</v>
      </c>
      <c r="I1710" s="15" t="s">
        <v>358</v>
      </c>
    </row>
    <row r="1711" spans="1:9" ht="51.75" customHeight="1" x14ac:dyDescent="0.35">
      <c r="A1711" s="15" t="s">
        <v>22085</v>
      </c>
      <c r="B1711" s="15" t="s">
        <v>26560</v>
      </c>
      <c r="C1711" s="15"/>
      <c r="D1711" s="31">
        <v>41234</v>
      </c>
      <c r="E1711" s="15" t="s">
        <v>26561</v>
      </c>
      <c r="F1711" s="87" t="s">
        <v>21871</v>
      </c>
      <c r="G1711" s="45" t="s">
        <v>6803</v>
      </c>
      <c r="H1711" s="55" t="s">
        <v>6804</v>
      </c>
      <c r="I1711" s="15" t="s">
        <v>358</v>
      </c>
    </row>
    <row r="1712" spans="1:9" ht="51.75" customHeight="1" x14ac:dyDescent="0.35">
      <c r="A1712" s="15" t="s">
        <v>26562</v>
      </c>
      <c r="B1712" s="15" t="s">
        <v>26563</v>
      </c>
      <c r="C1712" s="15"/>
      <c r="D1712" s="31">
        <v>41234</v>
      </c>
      <c r="E1712" s="15" t="s">
        <v>26564</v>
      </c>
      <c r="F1712" s="87" t="s">
        <v>21871</v>
      </c>
      <c r="G1712" s="45" t="s">
        <v>6803</v>
      </c>
      <c r="H1712" s="55" t="s">
        <v>6804</v>
      </c>
      <c r="I1712" s="15" t="s">
        <v>358</v>
      </c>
    </row>
    <row r="1713" spans="1:9" ht="51.75" customHeight="1" x14ac:dyDescent="0.35">
      <c r="A1713" s="15" t="s">
        <v>24515</v>
      </c>
      <c r="B1713" s="15" t="s">
        <v>26565</v>
      </c>
      <c r="C1713" s="15"/>
      <c r="D1713" s="31">
        <v>41219</v>
      </c>
      <c r="E1713" s="15" t="s">
        <v>26566</v>
      </c>
      <c r="F1713" s="87" t="s">
        <v>26567</v>
      </c>
      <c r="G1713" s="45" t="s">
        <v>6577</v>
      </c>
      <c r="H1713" s="55" t="s">
        <v>6578</v>
      </c>
      <c r="I1713" s="15" t="s">
        <v>358</v>
      </c>
    </row>
    <row r="1714" spans="1:9" ht="51.75" customHeight="1" x14ac:dyDescent="0.35">
      <c r="A1714" s="15" t="s">
        <v>24515</v>
      </c>
      <c r="B1714" s="15" t="s">
        <v>26568</v>
      </c>
      <c r="C1714" s="15"/>
      <c r="D1714" s="31">
        <v>41219</v>
      </c>
      <c r="E1714" s="15" t="s">
        <v>26569</v>
      </c>
      <c r="F1714" s="87" t="s">
        <v>21871</v>
      </c>
      <c r="G1714" s="45" t="s">
        <v>6577</v>
      </c>
      <c r="H1714" s="55" t="s">
        <v>6578</v>
      </c>
      <c r="I1714" s="15" t="s">
        <v>358</v>
      </c>
    </row>
    <row r="1715" spans="1:9" ht="51.75" customHeight="1" x14ac:dyDescent="0.35">
      <c r="A1715" s="15">
        <v>1</v>
      </c>
      <c r="B1715" s="15" t="s">
        <v>26570</v>
      </c>
      <c r="C1715" s="15" t="s">
        <v>26571</v>
      </c>
      <c r="D1715" s="31">
        <v>41033</v>
      </c>
      <c r="E1715" s="15" t="s">
        <v>26572</v>
      </c>
      <c r="F1715" s="87"/>
      <c r="G1715" s="45" t="s">
        <v>6388</v>
      </c>
      <c r="H1715" s="55" t="s">
        <v>6389</v>
      </c>
      <c r="I1715" s="15" t="s">
        <v>358</v>
      </c>
    </row>
    <row r="1716" spans="1:9" ht="51.75" customHeight="1" x14ac:dyDescent="0.35">
      <c r="A1716" s="15">
        <v>2</v>
      </c>
      <c r="B1716" s="15" t="s">
        <v>26573</v>
      </c>
      <c r="C1716" s="15" t="s">
        <v>26574</v>
      </c>
      <c r="D1716" s="31">
        <v>41033</v>
      </c>
      <c r="E1716" s="15" t="s">
        <v>26575</v>
      </c>
      <c r="F1716" s="87"/>
      <c r="G1716" s="45" t="s">
        <v>6388</v>
      </c>
      <c r="H1716" s="55" t="s">
        <v>6389</v>
      </c>
      <c r="I1716" s="15" t="s">
        <v>358</v>
      </c>
    </row>
    <row r="1717" spans="1:9" ht="51.75" customHeight="1" x14ac:dyDescent="0.35">
      <c r="A1717" s="15">
        <v>3</v>
      </c>
      <c r="B1717" s="15" t="s">
        <v>26576</v>
      </c>
      <c r="C1717" s="15" t="s">
        <v>26577</v>
      </c>
      <c r="D1717" s="31">
        <v>41033</v>
      </c>
      <c r="E1717" s="15" t="s">
        <v>26578</v>
      </c>
      <c r="F1717" s="87"/>
      <c r="G1717" s="45" t="s">
        <v>6388</v>
      </c>
      <c r="H1717" s="55" t="s">
        <v>6389</v>
      </c>
      <c r="I1717" s="15" t="s">
        <v>358</v>
      </c>
    </row>
    <row r="1718" spans="1:9" ht="51.75" customHeight="1" x14ac:dyDescent="0.35">
      <c r="A1718" s="15">
        <v>4</v>
      </c>
      <c r="B1718" s="15" t="s">
        <v>26579</v>
      </c>
      <c r="C1718" s="15" t="s">
        <v>26580</v>
      </c>
      <c r="D1718" s="31">
        <v>41033</v>
      </c>
      <c r="E1718" s="15" t="s">
        <v>26581</v>
      </c>
      <c r="F1718" s="87"/>
      <c r="G1718" s="45" t="s">
        <v>6388</v>
      </c>
      <c r="H1718" s="55" t="s">
        <v>6389</v>
      </c>
      <c r="I1718" s="15" t="s">
        <v>358</v>
      </c>
    </row>
    <row r="1719" spans="1:9" ht="51.75" customHeight="1" x14ac:dyDescent="0.35">
      <c r="A1719" s="15" t="s">
        <v>24623</v>
      </c>
      <c r="B1719" s="15" t="s">
        <v>26582</v>
      </c>
      <c r="C1719" s="15" t="s">
        <v>26583</v>
      </c>
      <c r="D1719" s="31">
        <v>40805</v>
      </c>
      <c r="E1719" s="15" t="s">
        <v>26584</v>
      </c>
      <c r="F1719" s="87" t="s">
        <v>21871</v>
      </c>
      <c r="G1719" s="45" t="s">
        <v>6343</v>
      </c>
      <c r="H1719" s="55" t="s">
        <v>6344</v>
      </c>
      <c r="I1719" s="15" t="s">
        <v>358</v>
      </c>
    </row>
    <row r="1720" spans="1:9" ht="51.75" customHeight="1" x14ac:dyDescent="0.35">
      <c r="A1720" s="15" t="s">
        <v>24629</v>
      </c>
      <c r="B1720" s="15" t="s">
        <v>26585</v>
      </c>
      <c r="C1720" s="15"/>
      <c r="D1720" s="31">
        <v>41396</v>
      </c>
      <c r="E1720" s="15" t="s">
        <v>26586</v>
      </c>
      <c r="F1720" s="87" t="s">
        <v>21871</v>
      </c>
      <c r="G1720" s="45" t="s">
        <v>6343</v>
      </c>
      <c r="H1720" s="55" t="s">
        <v>6344</v>
      </c>
      <c r="I1720" s="15" t="s">
        <v>358</v>
      </c>
    </row>
    <row r="1721" spans="1:9" ht="51.75" customHeight="1" x14ac:dyDescent="0.35">
      <c r="A1721" s="15" t="s">
        <v>24635</v>
      </c>
      <c r="B1721" s="15" t="s">
        <v>26587</v>
      </c>
      <c r="C1721" s="15"/>
      <c r="D1721" s="31">
        <v>41396</v>
      </c>
      <c r="E1721" s="15" t="s">
        <v>26588</v>
      </c>
      <c r="F1721" s="87" t="s">
        <v>21871</v>
      </c>
      <c r="G1721" s="45" t="s">
        <v>6343</v>
      </c>
      <c r="H1721" s="55" t="s">
        <v>6344</v>
      </c>
      <c r="I1721" s="15" t="s">
        <v>358</v>
      </c>
    </row>
    <row r="1722" spans="1:9" ht="51.75" customHeight="1" x14ac:dyDescent="0.35">
      <c r="A1722" s="15" t="s">
        <v>24641</v>
      </c>
      <c r="B1722" s="15" t="s">
        <v>26589</v>
      </c>
      <c r="C1722" s="15"/>
      <c r="D1722" s="31">
        <v>41396</v>
      </c>
      <c r="E1722" s="15" t="s">
        <v>26590</v>
      </c>
      <c r="F1722" s="87" t="s">
        <v>21871</v>
      </c>
      <c r="G1722" s="45" t="s">
        <v>6343</v>
      </c>
      <c r="H1722" s="55" t="s">
        <v>6344</v>
      </c>
      <c r="I1722" s="15" t="s">
        <v>358</v>
      </c>
    </row>
    <row r="1723" spans="1:9" ht="51.75" customHeight="1" x14ac:dyDescent="0.35">
      <c r="A1723" s="15" t="s">
        <v>26591</v>
      </c>
      <c r="B1723" s="15" t="s">
        <v>26592</v>
      </c>
      <c r="C1723" s="15"/>
      <c r="D1723" s="31">
        <v>41396</v>
      </c>
      <c r="E1723" s="15" t="s">
        <v>26593</v>
      </c>
      <c r="F1723" s="87" t="s">
        <v>21871</v>
      </c>
      <c r="G1723" s="45" t="s">
        <v>6343</v>
      </c>
      <c r="H1723" s="55" t="s">
        <v>6344</v>
      </c>
      <c r="I1723" s="15" t="s">
        <v>358</v>
      </c>
    </row>
    <row r="1724" spans="1:9" ht="51.75" customHeight="1" x14ac:dyDescent="0.35">
      <c r="A1724" s="15" t="s">
        <v>26594</v>
      </c>
      <c r="B1724" s="15" t="s">
        <v>26595</v>
      </c>
      <c r="C1724" s="15"/>
      <c r="D1724" s="31">
        <v>41396</v>
      </c>
      <c r="E1724" s="15" t="s">
        <v>26596</v>
      </c>
      <c r="F1724" s="87" t="s">
        <v>21871</v>
      </c>
      <c r="G1724" s="45" t="s">
        <v>6343</v>
      </c>
      <c r="H1724" s="55" t="s">
        <v>6344</v>
      </c>
      <c r="I1724" s="15" t="s">
        <v>358</v>
      </c>
    </row>
    <row r="1725" spans="1:9" ht="51.75" customHeight="1" x14ac:dyDescent="0.35">
      <c r="A1725" s="15" t="s">
        <v>26597</v>
      </c>
      <c r="B1725" s="15" t="s">
        <v>26598</v>
      </c>
      <c r="C1725" s="15"/>
      <c r="D1725" s="31">
        <v>41396</v>
      </c>
      <c r="E1725" s="15" t="s">
        <v>26599</v>
      </c>
      <c r="F1725" s="87" t="s">
        <v>21871</v>
      </c>
      <c r="G1725" s="45" t="s">
        <v>6343</v>
      </c>
      <c r="H1725" s="55" t="s">
        <v>6344</v>
      </c>
      <c r="I1725" s="15" t="s">
        <v>358</v>
      </c>
    </row>
    <row r="1726" spans="1:9" ht="51.75" customHeight="1" x14ac:dyDescent="0.35">
      <c r="A1726" s="15" t="s">
        <v>26600</v>
      </c>
      <c r="B1726" s="15" t="s">
        <v>26601</v>
      </c>
      <c r="C1726" s="15"/>
      <c r="D1726" s="31">
        <v>41396</v>
      </c>
      <c r="E1726" s="15" t="s">
        <v>26602</v>
      </c>
      <c r="F1726" s="87" t="s">
        <v>21871</v>
      </c>
      <c r="G1726" s="45" t="s">
        <v>6343</v>
      </c>
      <c r="H1726" s="55" t="s">
        <v>6344</v>
      </c>
      <c r="I1726" s="15" t="s">
        <v>358</v>
      </c>
    </row>
    <row r="1727" spans="1:9" ht="51.75" customHeight="1" x14ac:dyDescent="0.35">
      <c r="A1727" s="15" t="s">
        <v>26603</v>
      </c>
      <c r="B1727" s="15" t="s">
        <v>26604</v>
      </c>
      <c r="C1727" s="15"/>
      <c r="D1727" s="31">
        <v>41396</v>
      </c>
      <c r="E1727" s="15" t="s">
        <v>26605</v>
      </c>
      <c r="F1727" s="87" t="s">
        <v>21871</v>
      </c>
      <c r="G1727" s="45" t="s">
        <v>6343</v>
      </c>
      <c r="H1727" s="55" t="s">
        <v>6344</v>
      </c>
      <c r="I1727" s="15" t="s">
        <v>358</v>
      </c>
    </row>
    <row r="1728" spans="1:9" ht="51.75" customHeight="1" x14ac:dyDescent="0.35">
      <c r="A1728" s="15" t="s">
        <v>26606</v>
      </c>
      <c r="B1728" s="15" t="s">
        <v>26607</v>
      </c>
      <c r="C1728" s="15"/>
      <c r="D1728" s="31">
        <v>41396</v>
      </c>
      <c r="E1728" s="15" t="s">
        <v>26608</v>
      </c>
      <c r="F1728" s="87" t="s">
        <v>21871</v>
      </c>
      <c r="G1728" s="45" t="s">
        <v>6343</v>
      </c>
      <c r="H1728" s="55" t="s">
        <v>6344</v>
      </c>
      <c r="I1728" s="15" t="s">
        <v>358</v>
      </c>
    </row>
    <row r="1729" spans="1:9" ht="51.75" customHeight="1" x14ac:dyDescent="0.35">
      <c r="A1729" s="15" t="s">
        <v>22081</v>
      </c>
      <c r="B1729" s="15" t="s">
        <v>26609</v>
      </c>
      <c r="C1729" s="15"/>
      <c r="D1729" s="31">
        <v>40805</v>
      </c>
      <c r="E1729" s="15" t="s">
        <v>26610</v>
      </c>
      <c r="F1729" s="87" t="s">
        <v>21871</v>
      </c>
      <c r="G1729" s="45" t="s">
        <v>6296</v>
      </c>
      <c r="H1729" s="55" t="s">
        <v>6297</v>
      </c>
      <c r="I1729" s="15" t="s">
        <v>358</v>
      </c>
    </row>
    <row r="1730" spans="1:9" ht="51.75" customHeight="1" x14ac:dyDescent="0.35">
      <c r="A1730" s="15" t="s">
        <v>22870</v>
      </c>
      <c r="B1730" s="15" t="s">
        <v>26611</v>
      </c>
      <c r="C1730" s="15"/>
      <c r="D1730" s="31">
        <v>41396</v>
      </c>
      <c r="E1730" s="15" t="s">
        <v>26586</v>
      </c>
      <c r="F1730" s="87" t="s">
        <v>21871</v>
      </c>
      <c r="G1730" s="45" t="s">
        <v>6296</v>
      </c>
      <c r="H1730" s="55" t="s">
        <v>6297</v>
      </c>
      <c r="I1730" s="15" t="s">
        <v>358</v>
      </c>
    </row>
    <row r="1731" spans="1:9" ht="51.75" customHeight="1" x14ac:dyDescent="0.35">
      <c r="A1731" s="15" t="s">
        <v>22023</v>
      </c>
      <c r="B1731" s="15" t="s">
        <v>26612</v>
      </c>
      <c r="C1731" s="15"/>
      <c r="D1731" s="31">
        <v>41396</v>
      </c>
      <c r="E1731" s="15" t="s">
        <v>26588</v>
      </c>
      <c r="F1731" s="87" t="s">
        <v>21871</v>
      </c>
      <c r="G1731" s="45" t="s">
        <v>6296</v>
      </c>
      <c r="H1731" s="55" t="s">
        <v>6297</v>
      </c>
      <c r="I1731" s="15" t="s">
        <v>358</v>
      </c>
    </row>
    <row r="1732" spans="1:9" ht="51.75" customHeight="1" x14ac:dyDescent="0.35">
      <c r="A1732" s="15" t="s">
        <v>22877</v>
      </c>
      <c r="B1732" s="15" t="s">
        <v>26613</v>
      </c>
      <c r="C1732" s="15"/>
      <c r="D1732" s="31">
        <v>41396</v>
      </c>
      <c r="E1732" s="15" t="s">
        <v>26590</v>
      </c>
      <c r="F1732" s="87" t="s">
        <v>21871</v>
      </c>
      <c r="G1732" s="45" t="s">
        <v>6296</v>
      </c>
      <c r="H1732" s="55" t="s">
        <v>6297</v>
      </c>
      <c r="I1732" s="15" t="s">
        <v>358</v>
      </c>
    </row>
    <row r="1733" spans="1:9" ht="51.75" customHeight="1" x14ac:dyDescent="0.35">
      <c r="A1733" s="15" t="s">
        <v>22881</v>
      </c>
      <c r="B1733" s="15" t="s">
        <v>26614</v>
      </c>
      <c r="C1733" s="15"/>
      <c r="D1733" s="31">
        <v>41396</v>
      </c>
      <c r="E1733" s="15" t="s">
        <v>26593</v>
      </c>
      <c r="F1733" s="87" t="s">
        <v>21871</v>
      </c>
      <c r="G1733" s="45" t="s">
        <v>6296</v>
      </c>
      <c r="H1733" s="55" t="s">
        <v>6297</v>
      </c>
      <c r="I1733" s="15" t="s">
        <v>358</v>
      </c>
    </row>
    <row r="1734" spans="1:9" ht="51.75" customHeight="1" x14ac:dyDescent="0.35">
      <c r="A1734" s="15" t="s">
        <v>26615</v>
      </c>
      <c r="B1734" s="15" t="s">
        <v>26616</v>
      </c>
      <c r="C1734" s="15"/>
      <c r="D1734" s="31">
        <v>41396</v>
      </c>
      <c r="E1734" s="15" t="s">
        <v>26596</v>
      </c>
      <c r="F1734" s="87" t="s">
        <v>21871</v>
      </c>
      <c r="G1734" s="45" t="s">
        <v>6296</v>
      </c>
      <c r="H1734" s="55" t="s">
        <v>6297</v>
      </c>
      <c r="I1734" s="15" t="s">
        <v>358</v>
      </c>
    </row>
    <row r="1735" spans="1:9" ht="51.75" customHeight="1" x14ac:dyDescent="0.35">
      <c r="A1735" s="15" t="s">
        <v>25717</v>
      </c>
      <c r="B1735" s="15" t="s">
        <v>26617</v>
      </c>
      <c r="C1735" s="15"/>
      <c r="D1735" s="31">
        <v>41396</v>
      </c>
      <c r="E1735" s="15" t="s">
        <v>26599</v>
      </c>
      <c r="F1735" s="87" t="s">
        <v>21871</v>
      </c>
      <c r="G1735" s="45" t="s">
        <v>6296</v>
      </c>
      <c r="H1735" s="55" t="s">
        <v>6297</v>
      </c>
      <c r="I1735" s="15" t="s">
        <v>358</v>
      </c>
    </row>
    <row r="1736" spans="1:9" ht="51.75" customHeight="1" x14ac:dyDescent="0.35">
      <c r="A1736" s="15" t="s">
        <v>26618</v>
      </c>
      <c r="B1736" s="15" t="s">
        <v>26619</v>
      </c>
      <c r="C1736" s="15"/>
      <c r="D1736" s="31">
        <v>41396</v>
      </c>
      <c r="E1736" s="15" t="s">
        <v>26602</v>
      </c>
      <c r="F1736" s="87" t="s">
        <v>21871</v>
      </c>
      <c r="G1736" s="45" t="s">
        <v>6296</v>
      </c>
      <c r="H1736" s="55" t="s">
        <v>6297</v>
      </c>
      <c r="I1736" s="15" t="s">
        <v>358</v>
      </c>
    </row>
    <row r="1737" spans="1:9" ht="51.75" customHeight="1" x14ac:dyDescent="0.35">
      <c r="A1737" s="15" t="s">
        <v>25723</v>
      </c>
      <c r="B1737" s="15" t="s">
        <v>26620</v>
      </c>
      <c r="C1737" s="15"/>
      <c r="D1737" s="31">
        <v>41396</v>
      </c>
      <c r="E1737" s="15" t="s">
        <v>26605</v>
      </c>
      <c r="F1737" s="87" t="s">
        <v>21871</v>
      </c>
      <c r="G1737" s="45" t="s">
        <v>6296</v>
      </c>
      <c r="H1737" s="55" t="s">
        <v>6297</v>
      </c>
      <c r="I1737" s="15" t="s">
        <v>358</v>
      </c>
    </row>
    <row r="1738" spans="1:9" ht="51.75" customHeight="1" x14ac:dyDescent="0.35">
      <c r="A1738" s="15" t="s">
        <v>26621</v>
      </c>
      <c r="B1738" s="15" t="s">
        <v>26622</v>
      </c>
      <c r="C1738" s="15"/>
      <c r="D1738" s="31">
        <v>41396</v>
      </c>
      <c r="E1738" s="15" t="s">
        <v>26608</v>
      </c>
      <c r="F1738" s="87" t="s">
        <v>21871</v>
      </c>
      <c r="G1738" s="45" t="s">
        <v>6296</v>
      </c>
      <c r="H1738" s="55" t="s">
        <v>6297</v>
      </c>
      <c r="I1738" s="15" t="s">
        <v>358</v>
      </c>
    </row>
    <row r="1739" spans="1:9" ht="51.75" customHeight="1" x14ac:dyDescent="0.35">
      <c r="A1739" s="15" t="s">
        <v>25482</v>
      </c>
      <c r="B1739" s="15" t="s">
        <v>26623</v>
      </c>
      <c r="C1739" s="15" t="s">
        <v>26624</v>
      </c>
      <c r="D1739" s="31">
        <v>41124</v>
      </c>
      <c r="E1739" s="15" t="s">
        <v>26625</v>
      </c>
      <c r="F1739" s="87" t="s">
        <v>21871</v>
      </c>
      <c r="G1739" s="45" t="s">
        <v>6142</v>
      </c>
      <c r="H1739" s="55" t="s">
        <v>6143</v>
      </c>
      <c r="I1739" s="15" t="s">
        <v>358</v>
      </c>
    </row>
    <row r="1740" spans="1:9" ht="51.75" customHeight="1" x14ac:dyDescent="0.35">
      <c r="A1740" s="15" t="s">
        <v>25488</v>
      </c>
      <c r="B1740" s="15" t="s">
        <v>26626</v>
      </c>
      <c r="C1740" s="15" t="s">
        <v>26627</v>
      </c>
      <c r="D1740" s="31">
        <v>41124</v>
      </c>
      <c r="E1740" s="15" t="s">
        <v>26628</v>
      </c>
      <c r="F1740" s="87" t="s">
        <v>21871</v>
      </c>
      <c r="G1740" s="45" t="s">
        <v>6142</v>
      </c>
      <c r="H1740" s="55" t="s">
        <v>6143</v>
      </c>
      <c r="I1740" s="15" t="s">
        <v>358</v>
      </c>
    </row>
    <row r="1741" spans="1:9" ht="51.75" customHeight="1" x14ac:dyDescent="0.35">
      <c r="A1741" s="15" t="s">
        <v>22019</v>
      </c>
      <c r="B1741" s="15" t="s">
        <v>26629</v>
      </c>
      <c r="C1741" s="15" t="s">
        <v>26630</v>
      </c>
      <c r="D1741" s="31">
        <v>41124</v>
      </c>
      <c r="E1741" s="15" t="s">
        <v>26631</v>
      </c>
      <c r="F1741" s="87" t="s">
        <v>21871</v>
      </c>
      <c r="G1741" s="45" t="s">
        <v>6142</v>
      </c>
      <c r="H1741" s="55" t="s">
        <v>6143</v>
      </c>
      <c r="I1741" s="15" t="s">
        <v>358</v>
      </c>
    </row>
    <row r="1742" spans="1:9" ht="51.75" customHeight="1" x14ac:dyDescent="0.35">
      <c r="A1742" s="15" t="s">
        <v>21987</v>
      </c>
      <c r="B1742" s="15" t="s">
        <v>26632</v>
      </c>
      <c r="C1742" s="15" t="s">
        <v>26633</v>
      </c>
      <c r="D1742" s="31">
        <v>41124</v>
      </c>
      <c r="E1742" s="15" t="s">
        <v>26634</v>
      </c>
      <c r="F1742" s="87" t="s">
        <v>21871</v>
      </c>
      <c r="G1742" s="45" t="s">
        <v>6142</v>
      </c>
      <c r="H1742" s="55" t="s">
        <v>6143</v>
      </c>
      <c r="I1742" s="15" t="s">
        <v>358</v>
      </c>
    </row>
    <row r="1743" spans="1:9" ht="51.75" customHeight="1" x14ac:dyDescent="0.35">
      <c r="A1743" s="15" t="s">
        <v>21991</v>
      </c>
      <c r="B1743" s="15" t="s">
        <v>26635</v>
      </c>
      <c r="C1743" s="15" t="s">
        <v>26636</v>
      </c>
      <c r="D1743" s="31">
        <v>41124</v>
      </c>
      <c r="E1743" s="15" t="s">
        <v>26637</v>
      </c>
      <c r="F1743" s="87" t="s">
        <v>21871</v>
      </c>
      <c r="G1743" s="45" t="s">
        <v>6142</v>
      </c>
      <c r="H1743" s="55" t="s">
        <v>6143</v>
      </c>
      <c r="I1743" s="15" t="s">
        <v>358</v>
      </c>
    </row>
    <row r="1744" spans="1:9" ht="51.75" customHeight="1" x14ac:dyDescent="0.35">
      <c r="A1744" s="15" t="s">
        <v>23416</v>
      </c>
      <c r="B1744" s="15" t="s">
        <v>26638</v>
      </c>
      <c r="C1744" s="15" t="s">
        <v>26639</v>
      </c>
      <c r="D1744" s="31">
        <v>41124</v>
      </c>
      <c r="E1744" s="15" t="s">
        <v>26640</v>
      </c>
      <c r="F1744" s="87" t="s">
        <v>21871</v>
      </c>
      <c r="G1744" s="45" t="s">
        <v>6132</v>
      </c>
      <c r="H1744" s="55" t="s">
        <v>6133</v>
      </c>
      <c r="I1744" s="15" t="s">
        <v>358</v>
      </c>
    </row>
    <row r="1745" spans="1:9" ht="51.75" customHeight="1" x14ac:dyDescent="0.35">
      <c r="A1745" s="15" t="s">
        <v>25223</v>
      </c>
      <c r="B1745" s="15" t="s">
        <v>26641</v>
      </c>
      <c r="C1745" s="15" t="s">
        <v>26642</v>
      </c>
      <c r="D1745" s="31">
        <v>41124</v>
      </c>
      <c r="E1745" s="15" t="s">
        <v>26643</v>
      </c>
      <c r="F1745" s="87" t="s">
        <v>21871</v>
      </c>
      <c r="G1745" s="45" t="s">
        <v>6132</v>
      </c>
      <c r="H1745" s="55" t="s">
        <v>6133</v>
      </c>
      <c r="I1745" s="15" t="s">
        <v>358</v>
      </c>
    </row>
    <row r="1746" spans="1:9" ht="51.75" customHeight="1" x14ac:dyDescent="0.35">
      <c r="A1746" s="15" t="s">
        <v>25229</v>
      </c>
      <c r="B1746" s="15" t="s">
        <v>26644</v>
      </c>
      <c r="C1746" s="15" t="s">
        <v>26645</v>
      </c>
      <c r="D1746" s="31">
        <v>41124</v>
      </c>
      <c r="E1746" s="15" t="s">
        <v>26646</v>
      </c>
      <c r="F1746" s="87" t="s">
        <v>21871</v>
      </c>
      <c r="G1746" s="45" t="s">
        <v>6132</v>
      </c>
      <c r="H1746" s="55" t="s">
        <v>6133</v>
      </c>
      <c r="I1746" s="15" t="s">
        <v>358</v>
      </c>
    </row>
    <row r="1747" spans="1:9" ht="51.75" customHeight="1" x14ac:dyDescent="0.35">
      <c r="A1747" s="15" t="s">
        <v>21879</v>
      </c>
      <c r="B1747" s="15" t="s">
        <v>26647</v>
      </c>
      <c r="C1747" s="15" t="s">
        <v>26648</v>
      </c>
      <c r="D1747" s="31">
        <v>41124</v>
      </c>
      <c r="E1747" s="15" t="s">
        <v>26649</v>
      </c>
      <c r="F1747" s="87" t="s">
        <v>21871</v>
      </c>
      <c r="G1747" s="45" t="s">
        <v>6132</v>
      </c>
      <c r="H1747" s="55" t="s">
        <v>6133</v>
      </c>
      <c r="I1747" s="15" t="s">
        <v>358</v>
      </c>
    </row>
    <row r="1748" spans="1:9" ht="51.75" customHeight="1" x14ac:dyDescent="0.35">
      <c r="A1748" s="15" t="s">
        <v>25264</v>
      </c>
      <c r="B1748" s="15" t="s">
        <v>26650</v>
      </c>
      <c r="C1748" s="15">
        <v>1</v>
      </c>
      <c r="D1748" s="31">
        <v>41239</v>
      </c>
      <c r="E1748" s="15" t="s">
        <v>26651</v>
      </c>
      <c r="F1748" s="87" t="s">
        <v>21871</v>
      </c>
      <c r="G1748" s="45" t="s">
        <v>5980</v>
      </c>
      <c r="H1748" s="55" t="s">
        <v>5981</v>
      </c>
      <c r="I1748" s="15" t="s">
        <v>358</v>
      </c>
    </row>
    <row r="1749" spans="1:9" ht="51.75" customHeight="1" x14ac:dyDescent="0.35">
      <c r="A1749" s="15" t="s">
        <v>24509</v>
      </c>
      <c r="B1749" s="15" t="s">
        <v>26652</v>
      </c>
      <c r="C1749" s="15">
        <v>2</v>
      </c>
      <c r="D1749" s="31">
        <v>41239</v>
      </c>
      <c r="E1749" s="15" t="s">
        <v>26653</v>
      </c>
      <c r="F1749" s="87" t="s">
        <v>21871</v>
      </c>
      <c r="G1749" s="45" t="s">
        <v>5980</v>
      </c>
      <c r="H1749" s="55" t="s">
        <v>5981</v>
      </c>
      <c r="I1749" s="15" t="s">
        <v>358</v>
      </c>
    </row>
    <row r="1750" spans="1:9" ht="51.75" customHeight="1" x14ac:dyDescent="0.35">
      <c r="A1750" s="15">
        <v>1</v>
      </c>
      <c r="B1750" s="15" t="s">
        <v>26654</v>
      </c>
      <c r="C1750" s="15" t="s">
        <v>26655</v>
      </c>
      <c r="D1750" s="31">
        <v>41025</v>
      </c>
      <c r="E1750" s="15" t="s">
        <v>26656</v>
      </c>
      <c r="F1750" s="87"/>
      <c r="G1750" s="45" t="s">
        <v>5674</v>
      </c>
      <c r="H1750" s="55" t="s">
        <v>5675</v>
      </c>
      <c r="I1750" s="15" t="s">
        <v>358</v>
      </c>
    </row>
    <row r="1751" spans="1:9" ht="51.75" customHeight="1" x14ac:dyDescent="0.35">
      <c r="A1751" s="15">
        <v>2</v>
      </c>
      <c r="B1751" s="15" t="s">
        <v>26657</v>
      </c>
      <c r="C1751" s="15" t="s">
        <v>26658</v>
      </c>
      <c r="D1751" s="31">
        <v>41025</v>
      </c>
      <c r="E1751" s="15" t="s">
        <v>26659</v>
      </c>
      <c r="F1751" s="87"/>
      <c r="G1751" s="45" t="s">
        <v>5674</v>
      </c>
      <c r="H1751" s="55" t="s">
        <v>5675</v>
      </c>
      <c r="I1751" s="15" t="s">
        <v>358</v>
      </c>
    </row>
    <row r="1752" spans="1:9" ht="51.75" customHeight="1" x14ac:dyDescent="0.35">
      <c r="A1752" s="15">
        <v>3</v>
      </c>
      <c r="B1752" s="15" t="s">
        <v>26660</v>
      </c>
      <c r="C1752" s="15" t="s">
        <v>26661</v>
      </c>
      <c r="D1752" s="31">
        <v>41025</v>
      </c>
      <c r="E1752" s="15" t="s">
        <v>26662</v>
      </c>
      <c r="F1752" s="87"/>
      <c r="G1752" s="45" t="s">
        <v>5674</v>
      </c>
      <c r="H1752" s="55" t="s">
        <v>5675</v>
      </c>
      <c r="I1752" s="15" t="s">
        <v>358</v>
      </c>
    </row>
    <row r="1753" spans="1:9" ht="51.75" customHeight="1" x14ac:dyDescent="0.35">
      <c r="A1753" s="15">
        <v>1</v>
      </c>
      <c r="B1753" s="15" t="s">
        <v>26663</v>
      </c>
      <c r="C1753" s="15" t="s">
        <v>26664</v>
      </c>
      <c r="D1753" s="31">
        <v>41033</v>
      </c>
      <c r="E1753" s="15" t="s">
        <v>26665</v>
      </c>
      <c r="F1753" s="87"/>
      <c r="G1753" s="45" t="s">
        <v>5641</v>
      </c>
      <c r="H1753" s="55" t="s">
        <v>5642</v>
      </c>
      <c r="I1753" s="15" t="s">
        <v>358</v>
      </c>
    </row>
    <row r="1754" spans="1:9" ht="51.75" customHeight="1" x14ac:dyDescent="0.35">
      <c r="A1754" s="15">
        <v>2</v>
      </c>
      <c r="B1754" s="15" t="s">
        <v>26666</v>
      </c>
      <c r="C1754" s="15" t="s">
        <v>26667</v>
      </c>
      <c r="D1754" s="31">
        <v>41033</v>
      </c>
      <c r="E1754" s="15" t="s">
        <v>26668</v>
      </c>
      <c r="F1754" s="87"/>
      <c r="G1754" s="45" t="s">
        <v>5641</v>
      </c>
      <c r="H1754" s="55" t="s">
        <v>5642</v>
      </c>
      <c r="I1754" s="15" t="s">
        <v>358</v>
      </c>
    </row>
    <row r="1755" spans="1:9" ht="51.75" customHeight="1" x14ac:dyDescent="0.35">
      <c r="A1755" s="15">
        <v>3</v>
      </c>
      <c r="B1755" s="15" t="s">
        <v>26669</v>
      </c>
      <c r="C1755" s="15" t="s">
        <v>26670</v>
      </c>
      <c r="D1755" s="31">
        <v>41033</v>
      </c>
      <c r="E1755" s="15" t="s">
        <v>26671</v>
      </c>
      <c r="F1755" s="87"/>
      <c r="G1755" s="45" t="s">
        <v>5641</v>
      </c>
      <c r="H1755" s="55" t="s">
        <v>5642</v>
      </c>
      <c r="I1755" s="15" t="s">
        <v>358</v>
      </c>
    </row>
    <row r="1756" spans="1:9" ht="51.75" customHeight="1" x14ac:dyDescent="0.35">
      <c r="A1756" s="15">
        <v>1</v>
      </c>
      <c r="B1756" s="15" t="s">
        <v>26672</v>
      </c>
      <c r="C1756" s="15" t="s">
        <v>26673</v>
      </c>
      <c r="D1756" s="31">
        <v>40627</v>
      </c>
      <c r="E1756" s="15" t="s">
        <v>26673</v>
      </c>
      <c r="F1756" s="87" t="s">
        <v>21871</v>
      </c>
      <c r="G1756" s="45" t="s">
        <v>5420</v>
      </c>
      <c r="H1756" s="55" t="s">
        <v>5421</v>
      </c>
      <c r="I1756" s="15" t="s">
        <v>358</v>
      </c>
    </row>
    <row r="1757" spans="1:9" ht="51.75" customHeight="1" x14ac:dyDescent="0.35">
      <c r="A1757" s="15">
        <v>2</v>
      </c>
      <c r="B1757" s="15" t="s">
        <v>26674</v>
      </c>
      <c r="C1757" s="15" t="s">
        <v>26675</v>
      </c>
      <c r="D1757" s="31">
        <v>40627</v>
      </c>
      <c r="E1757" s="15" t="s">
        <v>26676</v>
      </c>
      <c r="F1757" s="87" t="s">
        <v>21871</v>
      </c>
      <c r="G1757" s="45" t="s">
        <v>5420</v>
      </c>
      <c r="H1757" s="55" t="s">
        <v>5421</v>
      </c>
      <c r="I1757" s="15" t="s">
        <v>358</v>
      </c>
    </row>
    <row r="1758" spans="1:9" ht="51.75" customHeight="1" x14ac:dyDescent="0.35">
      <c r="A1758" s="15" t="s">
        <v>22719</v>
      </c>
      <c r="B1758" s="15" t="s">
        <v>26677</v>
      </c>
      <c r="C1758" s="15">
        <v>1</v>
      </c>
      <c r="D1758" s="31">
        <v>41333</v>
      </c>
      <c r="E1758" s="15" t="s">
        <v>26678</v>
      </c>
      <c r="F1758" s="87" t="s">
        <v>21871</v>
      </c>
      <c r="G1758" s="45" t="s">
        <v>7759</v>
      </c>
      <c r="H1758" s="55" t="s">
        <v>7760</v>
      </c>
      <c r="I1758" s="15" t="s">
        <v>358</v>
      </c>
    </row>
    <row r="1759" spans="1:9" ht="51.75" customHeight="1" x14ac:dyDescent="0.35">
      <c r="A1759" s="15" t="s">
        <v>22723</v>
      </c>
      <c r="B1759" s="15" t="s">
        <v>26679</v>
      </c>
      <c r="C1759" s="15">
        <v>2</v>
      </c>
      <c r="D1759" s="31">
        <v>41333</v>
      </c>
      <c r="E1759" s="15" t="s">
        <v>26680</v>
      </c>
      <c r="F1759" s="87" t="s">
        <v>21871</v>
      </c>
      <c r="G1759" s="45" t="s">
        <v>7759</v>
      </c>
      <c r="H1759" s="55" t="s">
        <v>7760</v>
      </c>
      <c r="I1759" s="15" t="s">
        <v>358</v>
      </c>
    </row>
    <row r="1760" spans="1:9" ht="51.75" customHeight="1" x14ac:dyDescent="0.35">
      <c r="A1760" s="15" t="s">
        <v>23602</v>
      </c>
      <c r="B1760" s="15" t="s">
        <v>26681</v>
      </c>
      <c r="C1760" s="15" t="s">
        <v>26682</v>
      </c>
      <c r="D1760" s="31">
        <v>41239</v>
      </c>
      <c r="E1760" s="15" t="s">
        <v>26683</v>
      </c>
      <c r="F1760" s="87" t="s">
        <v>21871</v>
      </c>
      <c r="G1760" s="45" t="s">
        <v>7994</v>
      </c>
      <c r="H1760" s="55" t="s">
        <v>7995</v>
      </c>
      <c r="I1760" s="15" t="s">
        <v>358</v>
      </c>
    </row>
    <row r="1761" spans="1:9" ht="51.75" customHeight="1" x14ac:dyDescent="0.35">
      <c r="A1761" s="15" t="s">
        <v>23606</v>
      </c>
      <c r="B1761" s="15" t="s">
        <v>26684</v>
      </c>
      <c r="C1761" s="15" t="s">
        <v>26523</v>
      </c>
      <c r="D1761" s="31">
        <v>41484</v>
      </c>
      <c r="E1761" s="15" t="s">
        <v>26685</v>
      </c>
      <c r="F1761" s="87" t="s">
        <v>21871</v>
      </c>
      <c r="G1761" s="45" t="s">
        <v>7994</v>
      </c>
      <c r="H1761" s="55" t="s">
        <v>7995</v>
      </c>
      <c r="I1761" s="15" t="s">
        <v>358</v>
      </c>
    </row>
    <row r="1762" spans="1:9" ht="51.75" customHeight="1" x14ac:dyDescent="0.35">
      <c r="A1762" s="15" t="s">
        <v>23610</v>
      </c>
      <c r="B1762" s="15" t="s">
        <v>26686</v>
      </c>
      <c r="C1762" s="15" t="s">
        <v>26526</v>
      </c>
      <c r="D1762" s="31">
        <v>41484</v>
      </c>
      <c r="E1762" s="15" t="s">
        <v>26687</v>
      </c>
      <c r="F1762" s="87" t="s">
        <v>21871</v>
      </c>
      <c r="G1762" s="45" t="s">
        <v>7994</v>
      </c>
      <c r="H1762" s="55" t="s">
        <v>7995</v>
      </c>
      <c r="I1762" s="15" t="s">
        <v>358</v>
      </c>
    </row>
    <row r="1763" spans="1:9" ht="51.75" customHeight="1" x14ac:dyDescent="0.35">
      <c r="A1763" s="15" t="s">
        <v>26688</v>
      </c>
      <c r="B1763" s="15" t="s">
        <v>26689</v>
      </c>
      <c r="C1763" s="15" t="s">
        <v>26690</v>
      </c>
      <c r="D1763" s="31">
        <v>41239</v>
      </c>
      <c r="E1763" s="15" t="s">
        <v>26683</v>
      </c>
      <c r="F1763" s="87" t="s">
        <v>21871</v>
      </c>
      <c r="G1763" s="45" t="s">
        <v>7983</v>
      </c>
      <c r="H1763" s="55" t="s">
        <v>7984</v>
      </c>
      <c r="I1763" s="15" t="s">
        <v>358</v>
      </c>
    </row>
    <row r="1764" spans="1:9" ht="51.75" customHeight="1" x14ac:dyDescent="0.35">
      <c r="A1764" s="15" t="s">
        <v>26691</v>
      </c>
      <c r="B1764" s="15" t="s">
        <v>26692</v>
      </c>
      <c r="C1764" s="15" t="s">
        <v>26523</v>
      </c>
      <c r="D1764" s="31">
        <v>41484</v>
      </c>
      <c r="E1764" s="15" t="s">
        <v>26685</v>
      </c>
      <c r="F1764" s="87" t="s">
        <v>21871</v>
      </c>
      <c r="G1764" s="45" t="s">
        <v>7983</v>
      </c>
      <c r="H1764" s="55" t="s">
        <v>7984</v>
      </c>
      <c r="I1764" s="15" t="s">
        <v>358</v>
      </c>
    </row>
    <row r="1765" spans="1:9" ht="51.75" customHeight="1" x14ac:dyDescent="0.35">
      <c r="A1765" s="15" t="s">
        <v>23376</v>
      </c>
      <c r="B1765" s="15" t="s">
        <v>26693</v>
      </c>
      <c r="C1765" s="15" t="s">
        <v>26526</v>
      </c>
      <c r="D1765" s="31">
        <v>41484</v>
      </c>
      <c r="E1765" s="15" t="s">
        <v>26687</v>
      </c>
      <c r="F1765" s="87" t="s">
        <v>21871</v>
      </c>
      <c r="G1765" s="45" t="s">
        <v>7983</v>
      </c>
      <c r="H1765" s="55" t="s">
        <v>7984</v>
      </c>
      <c r="I1765" s="15" t="s">
        <v>358</v>
      </c>
    </row>
    <row r="1766" spans="1:9" ht="51.75" customHeight="1" x14ac:dyDescent="0.35">
      <c r="A1766" s="15" t="s">
        <v>23380</v>
      </c>
      <c r="B1766" s="15" t="s">
        <v>26694</v>
      </c>
      <c r="C1766" s="15" t="s">
        <v>26695</v>
      </c>
      <c r="D1766" s="31">
        <v>41484</v>
      </c>
      <c r="E1766" s="15" t="s">
        <v>26696</v>
      </c>
      <c r="F1766" s="87" t="s">
        <v>21871</v>
      </c>
      <c r="G1766" s="45" t="s">
        <v>8149</v>
      </c>
      <c r="H1766" s="55" t="s">
        <v>8150</v>
      </c>
      <c r="I1766" s="15" t="s">
        <v>358</v>
      </c>
    </row>
    <row r="1767" spans="1:9" ht="51.75" customHeight="1" x14ac:dyDescent="0.35">
      <c r="A1767" s="15" t="s">
        <v>23384</v>
      </c>
      <c r="B1767" s="15" t="s">
        <v>26697</v>
      </c>
      <c r="C1767" s="15" t="s">
        <v>26523</v>
      </c>
      <c r="D1767" s="31">
        <v>41484</v>
      </c>
      <c r="E1767" s="15" t="s">
        <v>26698</v>
      </c>
      <c r="F1767" s="87" t="s">
        <v>21871</v>
      </c>
      <c r="G1767" s="45" t="s">
        <v>8149</v>
      </c>
      <c r="H1767" s="55" t="s">
        <v>8150</v>
      </c>
      <c r="I1767" s="15" t="s">
        <v>358</v>
      </c>
    </row>
    <row r="1768" spans="1:9" ht="51.75" customHeight="1" x14ac:dyDescent="0.35">
      <c r="A1768" s="15" t="s">
        <v>26699</v>
      </c>
      <c r="B1768" s="15" t="s">
        <v>26700</v>
      </c>
      <c r="C1768" s="15" t="s">
        <v>26421</v>
      </c>
      <c r="D1768" s="31">
        <v>42163</v>
      </c>
      <c r="E1768" s="15" t="s">
        <v>26701</v>
      </c>
      <c r="F1768" s="87" t="s">
        <v>21871</v>
      </c>
      <c r="G1768" s="45" t="s">
        <v>8270</v>
      </c>
      <c r="H1768" s="55" t="s">
        <v>8271</v>
      </c>
      <c r="I1768" s="15" t="s">
        <v>358</v>
      </c>
    </row>
    <row r="1769" spans="1:9" ht="51.75" customHeight="1" x14ac:dyDescent="0.35">
      <c r="A1769" s="15" t="s">
        <v>26702</v>
      </c>
      <c r="B1769" s="15" t="s">
        <v>26703</v>
      </c>
      <c r="C1769" s="15" t="s">
        <v>26424</v>
      </c>
      <c r="D1769" s="31">
        <v>42163</v>
      </c>
      <c r="E1769" s="15" t="s">
        <v>26704</v>
      </c>
      <c r="F1769" s="87" t="s">
        <v>21871</v>
      </c>
      <c r="G1769" s="45" t="s">
        <v>8270</v>
      </c>
      <c r="H1769" s="55" t="s">
        <v>8271</v>
      </c>
      <c r="I1769" s="15" t="s">
        <v>358</v>
      </c>
    </row>
    <row r="1770" spans="1:9" ht="51.75" customHeight="1" x14ac:dyDescent="0.35">
      <c r="A1770" s="15" t="s">
        <v>26705</v>
      </c>
      <c r="B1770" s="15" t="s">
        <v>26706</v>
      </c>
      <c r="C1770" s="15" t="s">
        <v>26427</v>
      </c>
      <c r="D1770" s="31">
        <v>42163</v>
      </c>
      <c r="E1770" s="15" t="s">
        <v>26707</v>
      </c>
      <c r="F1770" s="87" t="s">
        <v>21871</v>
      </c>
      <c r="G1770" s="45" t="s">
        <v>8270</v>
      </c>
      <c r="H1770" s="55" t="s">
        <v>8271</v>
      </c>
      <c r="I1770" s="15" t="s">
        <v>358</v>
      </c>
    </row>
    <row r="1771" spans="1:9" ht="51.75" customHeight="1" x14ac:dyDescent="0.35">
      <c r="A1771" s="15" t="s">
        <v>26708</v>
      </c>
      <c r="B1771" s="15" t="s">
        <v>26709</v>
      </c>
      <c r="C1771" s="15" t="s">
        <v>26431</v>
      </c>
      <c r="D1771" s="31">
        <v>42163</v>
      </c>
      <c r="E1771" s="15" t="s">
        <v>26710</v>
      </c>
      <c r="F1771" s="87" t="s">
        <v>21871</v>
      </c>
      <c r="G1771" s="45" t="s">
        <v>8270</v>
      </c>
      <c r="H1771" s="55" t="s">
        <v>8271</v>
      </c>
      <c r="I1771" s="15" t="s">
        <v>358</v>
      </c>
    </row>
    <row r="1772" spans="1:9" ht="51.75" customHeight="1" x14ac:dyDescent="0.35">
      <c r="A1772" s="15" t="s">
        <v>26711</v>
      </c>
      <c r="B1772" s="15" t="s">
        <v>26712</v>
      </c>
      <c r="C1772" s="15" t="s">
        <v>26434</v>
      </c>
      <c r="D1772" s="31">
        <v>42163</v>
      </c>
      <c r="E1772" s="15" t="s">
        <v>26713</v>
      </c>
      <c r="F1772" s="87" t="s">
        <v>21871</v>
      </c>
      <c r="G1772" s="45" t="s">
        <v>8270</v>
      </c>
      <c r="H1772" s="55" t="s">
        <v>8271</v>
      </c>
      <c r="I1772" s="15" t="s">
        <v>358</v>
      </c>
    </row>
    <row r="1773" spans="1:9" ht="51.75" customHeight="1" x14ac:dyDescent="0.35">
      <c r="A1773" s="15" t="s">
        <v>23289</v>
      </c>
      <c r="B1773" s="15" t="s">
        <v>26714</v>
      </c>
      <c r="C1773" s="15" t="s">
        <v>26715</v>
      </c>
      <c r="D1773" s="31">
        <v>41591</v>
      </c>
      <c r="E1773" s="15" t="s">
        <v>26716</v>
      </c>
      <c r="F1773" s="87" t="s">
        <v>21871</v>
      </c>
      <c r="G1773" s="45" t="s">
        <v>8580</v>
      </c>
      <c r="H1773" s="55" t="s">
        <v>8581</v>
      </c>
      <c r="I1773" s="15" t="s">
        <v>358</v>
      </c>
    </row>
    <row r="1774" spans="1:9" ht="51.75" customHeight="1" x14ac:dyDescent="0.35">
      <c r="A1774" s="15" t="s">
        <v>22015</v>
      </c>
      <c r="B1774" s="15" t="s">
        <v>26717</v>
      </c>
      <c r="C1774" s="15" t="s">
        <v>26718</v>
      </c>
      <c r="D1774" s="31">
        <v>41591</v>
      </c>
      <c r="E1774" s="15" t="s">
        <v>26719</v>
      </c>
      <c r="F1774" s="87" t="s">
        <v>21871</v>
      </c>
      <c r="G1774" s="45" t="s">
        <v>8580</v>
      </c>
      <c r="H1774" s="55" t="s">
        <v>8581</v>
      </c>
      <c r="I1774" s="15" t="s">
        <v>358</v>
      </c>
    </row>
    <row r="1775" spans="1:9" ht="51.75" customHeight="1" x14ac:dyDescent="0.35">
      <c r="A1775" s="15" t="s">
        <v>22213</v>
      </c>
      <c r="B1775" s="15" t="s">
        <v>26720</v>
      </c>
      <c r="C1775" s="15" t="s">
        <v>26721</v>
      </c>
      <c r="D1775" s="31">
        <v>41591</v>
      </c>
      <c r="E1775" s="15" t="s">
        <v>26722</v>
      </c>
      <c r="F1775" s="87" t="s">
        <v>21871</v>
      </c>
      <c r="G1775" s="45" t="s">
        <v>8580</v>
      </c>
      <c r="H1775" s="55" t="s">
        <v>8581</v>
      </c>
      <c r="I1775" s="15" t="s">
        <v>358</v>
      </c>
    </row>
    <row r="1776" spans="1:9" ht="51.75" customHeight="1" x14ac:dyDescent="0.35">
      <c r="A1776" s="15" t="s">
        <v>24255</v>
      </c>
      <c r="B1776" s="15" t="s">
        <v>26723</v>
      </c>
      <c r="C1776" s="15" t="s">
        <v>26724</v>
      </c>
      <c r="D1776" s="31">
        <v>41591</v>
      </c>
      <c r="E1776" s="15" t="s">
        <v>26725</v>
      </c>
      <c r="F1776" s="87" t="s">
        <v>21871</v>
      </c>
      <c r="G1776" s="45" t="s">
        <v>8580</v>
      </c>
      <c r="H1776" s="55" t="s">
        <v>8581</v>
      </c>
      <c r="I1776" s="15" t="s">
        <v>358</v>
      </c>
    </row>
    <row r="1777" spans="1:9" ht="51.75" customHeight="1" x14ac:dyDescent="0.35">
      <c r="A1777" s="15" t="s">
        <v>25320</v>
      </c>
      <c r="B1777" s="15" t="s">
        <v>26726</v>
      </c>
      <c r="C1777" s="15" t="s">
        <v>26727</v>
      </c>
      <c r="D1777" s="31">
        <v>42110</v>
      </c>
      <c r="E1777" s="15" t="s">
        <v>26728</v>
      </c>
      <c r="F1777" s="87" t="s">
        <v>21871</v>
      </c>
      <c r="G1777" s="45" t="s">
        <v>8865</v>
      </c>
      <c r="H1777" s="55" t="s">
        <v>8866</v>
      </c>
      <c r="I1777" s="15" t="s">
        <v>358</v>
      </c>
    </row>
    <row r="1778" spans="1:9" ht="51.75" customHeight="1" x14ac:dyDescent="0.35">
      <c r="A1778" s="15" t="s">
        <v>25325</v>
      </c>
      <c r="B1778" s="15" t="s">
        <v>26729</v>
      </c>
      <c r="C1778" s="15" t="s">
        <v>26730</v>
      </c>
      <c r="D1778" s="31">
        <v>42110</v>
      </c>
      <c r="E1778" s="15" t="s">
        <v>26731</v>
      </c>
      <c r="F1778" s="87" t="s">
        <v>21871</v>
      </c>
      <c r="G1778" s="45" t="s">
        <v>8865</v>
      </c>
      <c r="H1778" s="55" t="s">
        <v>8866</v>
      </c>
      <c r="I1778" s="15" t="s">
        <v>358</v>
      </c>
    </row>
    <row r="1779" spans="1:9" ht="51.75" customHeight="1" x14ac:dyDescent="0.35">
      <c r="A1779" s="15" t="s">
        <v>25331</v>
      </c>
      <c r="B1779" s="15" t="s">
        <v>26732</v>
      </c>
      <c r="C1779" s="15" t="s">
        <v>26733</v>
      </c>
      <c r="D1779" s="31">
        <v>42110</v>
      </c>
      <c r="E1779" s="15" t="s">
        <v>26734</v>
      </c>
      <c r="F1779" s="87" t="s">
        <v>21871</v>
      </c>
      <c r="G1779" s="45" t="s">
        <v>8865</v>
      </c>
      <c r="H1779" s="55" t="s">
        <v>8866</v>
      </c>
      <c r="I1779" s="15" t="s">
        <v>358</v>
      </c>
    </row>
    <row r="1780" spans="1:9" ht="51.75" customHeight="1" x14ac:dyDescent="0.35">
      <c r="A1780" s="15" t="s">
        <v>25337</v>
      </c>
      <c r="B1780" s="15" t="s">
        <v>26735</v>
      </c>
      <c r="C1780" s="15" t="s">
        <v>26736</v>
      </c>
      <c r="D1780" s="31">
        <v>42110</v>
      </c>
      <c r="E1780" s="15" t="s">
        <v>26737</v>
      </c>
      <c r="F1780" s="87" t="s">
        <v>21871</v>
      </c>
      <c r="G1780" s="45" t="s">
        <v>8865</v>
      </c>
      <c r="H1780" s="55" t="s">
        <v>8866</v>
      </c>
      <c r="I1780" s="15" t="s">
        <v>358</v>
      </c>
    </row>
    <row r="1781" spans="1:9" ht="51.75" customHeight="1" x14ac:dyDescent="0.35">
      <c r="A1781" s="15" t="s">
        <v>22778</v>
      </c>
      <c r="B1781" s="15" t="s">
        <v>26738</v>
      </c>
      <c r="C1781" s="15">
        <v>1</v>
      </c>
      <c r="D1781" s="31">
        <v>41801</v>
      </c>
      <c r="E1781" s="15" t="s">
        <v>26739</v>
      </c>
      <c r="F1781" s="87" t="s">
        <v>21871</v>
      </c>
      <c r="G1781" s="45" t="s">
        <v>8718</v>
      </c>
      <c r="H1781" s="55" t="s">
        <v>8719</v>
      </c>
      <c r="I1781" s="15" t="s">
        <v>358</v>
      </c>
    </row>
    <row r="1782" spans="1:9" ht="51.75" customHeight="1" x14ac:dyDescent="0.35">
      <c r="A1782" s="15" t="s">
        <v>22782</v>
      </c>
      <c r="B1782" s="15" t="s">
        <v>26740</v>
      </c>
      <c r="C1782" s="15" t="s">
        <v>26715</v>
      </c>
      <c r="D1782" s="31">
        <v>41654</v>
      </c>
      <c r="E1782" s="15" t="s">
        <v>26741</v>
      </c>
      <c r="F1782" s="87" t="s">
        <v>21871</v>
      </c>
      <c r="G1782" s="45" t="s">
        <v>8782</v>
      </c>
      <c r="H1782" s="55" t="s">
        <v>8783</v>
      </c>
      <c r="I1782" s="15" t="s">
        <v>358</v>
      </c>
    </row>
    <row r="1783" spans="1:9" ht="51.75" customHeight="1" x14ac:dyDescent="0.35">
      <c r="A1783" s="15" t="s">
        <v>25377</v>
      </c>
      <c r="B1783" s="15" t="s">
        <v>26742</v>
      </c>
      <c r="C1783" s="15" t="s">
        <v>26727</v>
      </c>
      <c r="D1783" s="31">
        <v>41815</v>
      </c>
      <c r="E1783" s="15" t="s">
        <v>26743</v>
      </c>
      <c r="F1783" s="87" t="s">
        <v>21871</v>
      </c>
      <c r="G1783" s="45" t="s">
        <v>9297</v>
      </c>
      <c r="H1783" s="55" t="s">
        <v>9298</v>
      </c>
      <c r="I1783" s="15" t="s">
        <v>358</v>
      </c>
    </row>
    <row r="1784" spans="1:9" ht="51.75" customHeight="1" x14ac:dyDescent="0.35">
      <c r="A1784" s="15" t="s">
        <v>25380</v>
      </c>
      <c r="B1784" s="15" t="s">
        <v>26744</v>
      </c>
      <c r="C1784" s="15" t="s">
        <v>26730</v>
      </c>
      <c r="D1784" s="31">
        <v>41815</v>
      </c>
      <c r="E1784" s="15" t="s">
        <v>26745</v>
      </c>
      <c r="F1784" s="87" t="s">
        <v>21871</v>
      </c>
      <c r="G1784" s="45" t="s">
        <v>9297</v>
      </c>
      <c r="H1784" s="55" t="s">
        <v>9298</v>
      </c>
      <c r="I1784" s="15" t="s">
        <v>358</v>
      </c>
    </row>
    <row r="1785" spans="1:9" ht="51.75" customHeight="1" x14ac:dyDescent="0.35">
      <c r="A1785" s="15" t="s">
        <v>24323</v>
      </c>
      <c r="B1785" s="15" t="s">
        <v>26746</v>
      </c>
      <c r="C1785" s="15" t="s">
        <v>26747</v>
      </c>
      <c r="D1785" s="31">
        <v>41815</v>
      </c>
      <c r="E1785" s="15" t="s">
        <v>26748</v>
      </c>
      <c r="F1785" s="87" t="s">
        <v>21871</v>
      </c>
      <c r="G1785" s="45" t="s">
        <v>9297</v>
      </c>
      <c r="H1785" s="55" t="s">
        <v>9298</v>
      </c>
      <c r="I1785" s="15" t="s">
        <v>358</v>
      </c>
    </row>
    <row r="1786" spans="1:9" ht="51.75" customHeight="1" x14ac:dyDescent="0.35">
      <c r="A1786" s="15" t="s">
        <v>24329</v>
      </c>
      <c r="B1786" s="15" t="s">
        <v>26749</v>
      </c>
      <c r="C1786" s="15" t="s">
        <v>26736</v>
      </c>
      <c r="D1786" s="31">
        <v>41815</v>
      </c>
      <c r="E1786" s="15" t="s">
        <v>26750</v>
      </c>
      <c r="F1786" s="87" t="s">
        <v>21871</v>
      </c>
      <c r="G1786" s="45" t="s">
        <v>9297</v>
      </c>
      <c r="H1786" s="55" t="s">
        <v>9298</v>
      </c>
      <c r="I1786" s="15" t="s">
        <v>358</v>
      </c>
    </row>
    <row r="1787" spans="1:9" ht="51.75" customHeight="1" x14ac:dyDescent="0.35">
      <c r="A1787" s="15" t="s">
        <v>24335</v>
      </c>
      <c r="B1787" s="15" t="s">
        <v>26751</v>
      </c>
      <c r="C1787" s="15" t="s">
        <v>26752</v>
      </c>
      <c r="D1787" s="31">
        <v>41815</v>
      </c>
      <c r="E1787" s="15" t="s">
        <v>26753</v>
      </c>
      <c r="F1787" s="87" t="s">
        <v>21871</v>
      </c>
      <c r="G1787" s="45" t="s">
        <v>9297</v>
      </c>
      <c r="H1787" s="55" t="s">
        <v>9298</v>
      </c>
      <c r="I1787" s="15" t="s">
        <v>358</v>
      </c>
    </row>
    <row r="1788" spans="1:9" ht="51.75" customHeight="1" x14ac:dyDescent="0.35">
      <c r="A1788" s="15" t="s">
        <v>24340</v>
      </c>
      <c r="B1788" s="15" t="s">
        <v>26754</v>
      </c>
      <c r="C1788" s="15" t="s">
        <v>26755</v>
      </c>
      <c r="D1788" s="31">
        <v>41815</v>
      </c>
      <c r="E1788" s="15" t="s">
        <v>26756</v>
      </c>
      <c r="F1788" s="87" t="s">
        <v>21871</v>
      </c>
      <c r="G1788" s="45" t="s">
        <v>9297</v>
      </c>
      <c r="H1788" s="55" t="s">
        <v>9298</v>
      </c>
      <c r="I1788" s="15" t="s">
        <v>358</v>
      </c>
    </row>
    <row r="1789" spans="1:9" ht="51.75" customHeight="1" x14ac:dyDescent="0.35">
      <c r="A1789" s="15" t="s">
        <v>24345</v>
      </c>
      <c r="B1789" s="15" t="s">
        <v>26757</v>
      </c>
      <c r="C1789" s="15" t="s">
        <v>26758</v>
      </c>
      <c r="D1789" s="31">
        <v>41815</v>
      </c>
      <c r="E1789" s="15" t="s">
        <v>26759</v>
      </c>
      <c r="F1789" s="87" t="s">
        <v>21871</v>
      </c>
      <c r="G1789" s="45" t="s">
        <v>9297</v>
      </c>
      <c r="H1789" s="55" t="s">
        <v>9298</v>
      </c>
      <c r="I1789" s="15" t="s">
        <v>358</v>
      </c>
    </row>
    <row r="1790" spans="1:9" ht="51.75" customHeight="1" x14ac:dyDescent="0.35">
      <c r="A1790" s="15" t="s">
        <v>25343</v>
      </c>
      <c r="B1790" s="15" t="s">
        <v>26760</v>
      </c>
      <c r="C1790" s="15" t="s">
        <v>26727</v>
      </c>
      <c r="D1790" s="31">
        <v>42114</v>
      </c>
      <c r="E1790" s="15" t="s">
        <v>26761</v>
      </c>
      <c r="F1790" s="87" t="s">
        <v>21871</v>
      </c>
      <c r="G1790" s="45" t="s">
        <v>9352</v>
      </c>
      <c r="H1790" s="55" t="s">
        <v>9353</v>
      </c>
      <c r="I1790" s="15" t="s">
        <v>358</v>
      </c>
    </row>
    <row r="1791" spans="1:9" ht="51.75" customHeight="1" x14ac:dyDescent="0.35">
      <c r="A1791" s="15" t="s">
        <v>25349</v>
      </c>
      <c r="B1791" s="15" t="s">
        <v>26762</v>
      </c>
      <c r="C1791" s="15" t="s">
        <v>26763</v>
      </c>
      <c r="D1791" s="31">
        <v>42114</v>
      </c>
      <c r="E1791" s="15" t="s">
        <v>26764</v>
      </c>
      <c r="F1791" s="87" t="s">
        <v>21871</v>
      </c>
      <c r="G1791" s="45" t="s">
        <v>9352</v>
      </c>
      <c r="H1791" s="55" t="s">
        <v>9353</v>
      </c>
      <c r="I1791" s="15" t="s">
        <v>358</v>
      </c>
    </row>
    <row r="1792" spans="1:9" ht="51.75" customHeight="1" x14ac:dyDescent="0.35">
      <c r="A1792" s="15" t="s">
        <v>23581</v>
      </c>
      <c r="B1792" s="15" t="s">
        <v>26765</v>
      </c>
      <c r="C1792" s="15" t="s">
        <v>26733</v>
      </c>
      <c r="D1792" s="31">
        <v>42114</v>
      </c>
      <c r="E1792" s="15" t="s">
        <v>26766</v>
      </c>
      <c r="F1792" s="87" t="s">
        <v>21871</v>
      </c>
      <c r="G1792" s="45" t="s">
        <v>9352</v>
      </c>
      <c r="H1792" s="55" t="s">
        <v>9353</v>
      </c>
      <c r="I1792" s="15" t="s">
        <v>358</v>
      </c>
    </row>
    <row r="1793" spans="1:9" ht="51.75" customHeight="1" x14ac:dyDescent="0.35">
      <c r="A1793" s="15" t="s">
        <v>21890</v>
      </c>
      <c r="B1793" s="15" t="s">
        <v>26767</v>
      </c>
      <c r="C1793" s="15" t="s">
        <v>26768</v>
      </c>
      <c r="D1793" s="31">
        <v>41921</v>
      </c>
      <c r="E1793" s="15" t="s">
        <v>26769</v>
      </c>
      <c r="F1793" s="87" t="s">
        <v>21871</v>
      </c>
      <c r="G1793" s="45" t="s">
        <v>9409</v>
      </c>
      <c r="H1793" s="55" t="s">
        <v>9410</v>
      </c>
      <c r="I1793" s="15" t="s">
        <v>358</v>
      </c>
    </row>
    <row r="1794" spans="1:9" ht="51.75" customHeight="1" x14ac:dyDescent="0.35">
      <c r="A1794" s="15" t="s">
        <v>21894</v>
      </c>
      <c r="B1794" s="15" t="s">
        <v>26770</v>
      </c>
      <c r="C1794" s="15" t="s">
        <v>26730</v>
      </c>
      <c r="D1794" s="31">
        <v>41921</v>
      </c>
      <c r="E1794" s="15" t="s">
        <v>26771</v>
      </c>
      <c r="F1794" s="87" t="s">
        <v>21871</v>
      </c>
      <c r="G1794" s="45" t="s">
        <v>9409</v>
      </c>
      <c r="H1794" s="55" t="s">
        <v>9410</v>
      </c>
      <c r="I1794" s="15" t="s">
        <v>358</v>
      </c>
    </row>
    <row r="1795" spans="1:9" ht="51.75" customHeight="1" x14ac:dyDescent="0.35">
      <c r="A1795" s="15" t="s">
        <v>25314</v>
      </c>
      <c r="B1795" s="15" t="s">
        <v>26772</v>
      </c>
      <c r="C1795" s="15" t="s">
        <v>26747</v>
      </c>
      <c r="D1795" s="31">
        <v>41921</v>
      </c>
      <c r="E1795" s="15" t="s">
        <v>26773</v>
      </c>
      <c r="F1795" s="87" t="s">
        <v>21871</v>
      </c>
      <c r="G1795" s="45" t="s">
        <v>9409</v>
      </c>
      <c r="H1795" s="55" t="s">
        <v>9410</v>
      </c>
      <c r="I1795" s="15" t="s">
        <v>358</v>
      </c>
    </row>
    <row r="1796" spans="1:9" ht="51.75" customHeight="1" x14ac:dyDescent="0.35">
      <c r="A1796" s="15" t="s">
        <v>25365</v>
      </c>
      <c r="B1796" s="15" t="s">
        <v>26774</v>
      </c>
      <c r="C1796" s="15" t="s">
        <v>26768</v>
      </c>
      <c r="D1796" s="31">
        <v>42110</v>
      </c>
      <c r="E1796" s="15" t="s">
        <v>26775</v>
      </c>
      <c r="F1796" s="87" t="s">
        <v>21871</v>
      </c>
      <c r="G1796" s="45" t="s">
        <v>9521</v>
      </c>
      <c r="H1796" s="55" t="s">
        <v>9522</v>
      </c>
      <c r="I1796" s="15" t="s">
        <v>358</v>
      </c>
    </row>
    <row r="1797" spans="1:9" ht="51.75" customHeight="1" x14ac:dyDescent="0.35">
      <c r="A1797" s="15" t="s">
        <v>25371</v>
      </c>
      <c r="B1797" s="15" t="s">
        <v>26776</v>
      </c>
      <c r="C1797" s="15" t="s">
        <v>26730</v>
      </c>
      <c r="D1797" s="31">
        <v>42110</v>
      </c>
      <c r="E1797" s="15" t="s">
        <v>26777</v>
      </c>
      <c r="F1797" s="87" t="s">
        <v>21871</v>
      </c>
      <c r="G1797" s="45" t="s">
        <v>9521</v>
      </c>
      <c r="H1797" s="55" t="s">
        <v>9522</v>
      </c>
      <c r="I1797" s="15" t="s">
        <v>358</v>
      </c>
    </row>
    <row r="1798" spans="1:9" ht="51.75" customHeight="1" x14ac:dyDescent="0.35">
      <c r="A1798" s="15" t="s">
        <v>23587</v>
      </c>
      <c r="B1798" s="15" t="s">
        <v>26778</v>
      </c>
      <c r="C1798" s="15" t="s">
        <v>26747</v>
      </c>
      <c r="D1798" s="31">
        <v>42110</v>
      </c>
      <c r="E1798" s="15" t="s">
        <v>26779</v>
      </c>
      <c r="F1798" s="87" t="s">
        <v>21871</v>
      </c>
      <c r="G1798" s="45" t="s">
        <v>9521</v>
      </c>
      <c r="H1798" s="55" t="s">
        <v>9522</v>
      </c>
      <c r="I1798" s="15" t="s">
        <v>358</v>
      </c>
    </row>
    <row r="1799" spans="1:9" ht="51.75" customHeight="1" x14ac:dyDescent="0.35">
      <c r="A1799" s="15" t="s">
        <v>25390</v>
      </c>
      <c r="B1799" s="15" t="s">
        <v>26780</v>
      </c>
      <c r="C1799" s="15" t="s">
        <v>26736</v>
      </c>
      <c r="D1799" s="31">
        <v>42110</v>
      </c>
      <c r="E1799" s="15" t="s">
        <v>26781</v>
      </c>
      <c r="F1799" s="87" t="s">
        <v>21871</v>
      </c>
      <c r="G1799" s="45" t="s">
        <v>9521</v>
      </c>
      <c r="H1799" s="55" t="s">
        <v>9522</v>
      </c>
      <c r="I1799" s="15" t="s">
        <v>358</v>
      </c>
    </row>
    <row r="1800" spans="1:9" ht="51.75" customHeight="1" x14ac:dyDescent="0.35">
      <c r="A1800" s="15" t="s">
        <v>23584</v>
      </c>
      <c r="B1800" s="15" t="s">
        <v>26782</v>
      </c>
      <c r="C1800" s="15" t="s">
        <v>26727</v>
      </c>
      <c r="D1800" s="31">
        <v>41921</v>
      </c>
      <c r="E1800" s="15" t="s">
        <v>26783</v>
      </c>
      <c r="F1800" s="87" t="s">
        <v>21871</v>
      </c>
      <c r="G1800" s="45" t="s">
        <v>9539</v>
      </c>
      <c r="H1800" s="55" t="s">
        <v>9540</v>
      </c>
      <c r="I1800" s="15" t="s">
        <v>358</v>
      </c>
    </row>
    <row r="1801" spans="1:9" ht="51.75" customHeight="1" x14ac:dyDescent="0.35">
      <c r="A1801" s="15" t="s">
        <v>23240</v>
      </c>
      <c r="B1801" s="15" t="s">
        <v>26784</v>
      </c>
      <c r="C1801" s="15">
        <v>1</v>
      </c>
      <c r="D1801" s="31">
        <v>41933</v>
      </c>
      <c r="E1801" s="15" t="s">
        <v>26785</v>
      </c>
      <c r="F1801" s="87" t="s">
        <v>21871</v>
      </c>
      <c r="G1801" s="45" t="s">
        <v>9643</v>
      </c>
      <c r="H1801" s="55" t="s">
        <v>9644</v>
      </c>
      <c r="I1801" s="15" t="s">
        <v>358</v>
      </c>
    </row>
    <row r="1802" spans="1:9" ht="51.75" customHeight="1" x14ac:dyDescent="0.35">
      <c r="A1802" s="15" t="s">
        <v>23271</v>
      </c>
      <c r="B1802" s="15" t="s">
        <v>26786</v>
      </c>
      <c r="C1802" s="15">
        <v>1</v>
      </c>
      <c r="D1802" s="31">
        <v>41946</v>
      </c>
      <c r="E1802" s="15" t="s">
        <v>26787</v>
      </c>
      <c r="F1802" s="87" t="s">
        <v>21871</v>
      </c>
      <c r="G1802" s="45" t="s">
        <v>9759</v>
      </c>
      <c r="H1802" s="55" t="s">
        <v>9760</v>
      </c>
      <c r="I1802" s="15" t="s">
        <v>358</v>
      </c>
    </row>
    <row r="1803" spans="1:9" ht="51.75" customHeight="1" x14ac:dyDescent="0.35">
      <c r="A1803" s="15" t="s">
        <v>23277</v>
      </c>
      <c r="B1803" s="15" t="s">
        <v>26788</v>
      </c>
      <c r="C1803" s="15">
        <v>2</v>
      </c>
      <c r="D1803" s="31">
        <v>41946</v>
      </c>
      <c r="E1803" s="15" t="s">
        <v>26789</v>
      </c>
      <c r="F1803" s="87" t="s">
        <v>21871</v>
      </c>
      <c r="G1803" s="45" t="s">
        <v>9759</v>
      </c>
      <c r="H1803" s="55" t="s">
        <v>9760</v>
      </c>
      <c r="I1803" s="15" t="s">
        <v>358</v>
      </c>
    </row>
    <row r="1804" spans="1:9" ht="51.75" customHeight="1" x14ac:dyDescent="0.35">
      <c r="A1804" s="15" t="s">
        <v>23283</v>
      </c>
      <c r="B1804" s="15" t="s">
        <v>26790</v>
      </c>
      <c r="C1804" s="15">
        <v>3</v>
      </c>
      <c r="D1804" s="31">
        <v>41946</v>
      </c>
      <c r="E1804" s="15" t="s">
        <v>26791</v>
      </c>
      <c r="F1804" s="87" t="s">
        <v>21871</v>
      </c>
      <c r="G1804" s="45" t="s">
        <v>9759</v>
      </c>
      <c r="H1804" s="55" t="s">
        <v>9760</v>
      </c>
      <c r="I1804" s="15" t="s">
        <v>358</v>
      </c>
    </row>
    <row r="1805" spans="1:9" ht="51.75" customHeight="1" x14ac:dyDescent="0.35">
      <c r="A1805" s="15" t="s">
        <v>24358</v>
      </c>
      <c r="B1805" s="15" t="s">
        <v>26792</v>
      </c>
      <c r="C1805" s="15" t="s">
        <v>26727</v>
      </c>
      <c r="D1805" s="31">
        <v>42138</v>
      </c>
      <c r="E1805" s="15" t="s">
        <v>26793</v>
      </c>
      <c r="F1805" s="87" t="s">
        <v>21871</v>
      </c>
      <c r="G1805" s="45" t="s">
        <v>10089</v>
      </c>
      <c r="H1805" s="55" t="s">
        <v>10090</v>
      </c>
      <c r="I1805" s="15" t="s">
        <v>358</v>
      </c>
    </row>
    <row r="1806" spans="1:9" ht="51.75" customHeight="1" x14ac:dyDescent="0.35">
      <c r="A1806" s="15" t="s">
        <v>24363</v>
      </c>
      <c r="B1806" s="15" t="s">
        <v>26794</v>
      </c>
      <c r="C1806" s="15" t="s">
        <v>26730</v>
      </c>
      <c r="D1806" s="31">
        <v>42138</v>
      </c>
      <c r="E1806" s="15" t="s">
        <v>26795</v>
      </c>
      <c r="F1806" s="87" t="s">
        <v>21871</v>
      </c>
      <c r="G1806" s="45" t="s">
        <v>10089</v>
      </c>
      <c r="H1806" s="55" t="s">
        <v>10090</v>
      </c>
      <c r="I1806" s="15" t="s">
        <v>358</v>
      </c>
    </row>
    <row r="1807" spans="1:9" ht="51.75" customHeight="1" x14ac:dyDescent="0.35">
      <c r="A1807" s="15" t="s">
        <v>23572</v>
      </c>
      <c r="B1807" s="15" t="s">
        <v>26796</v>
      </c>
      <c r="C1807" s="15" t="s">
        <v>26727</v>
      </c>
      <c r="D1807" s="31">
        <v>42150</v>
      </c>
      <c r="E1807" s="15" t="s">
        <v>26797</v>
      </c>
      <c r="F1807" s="87" t="s">
        <v>21871</v>
      </c>
      <c r="G1807" s="45" t="s">
        <v>10692</v>
      </c>
      <c r="H1807" s="55" t="s">
        <v>10693</v>
      </c>
      <c r="I1807" s="15" t="s">
        <v>358</v>
      </c>
    </row>
    <row r="1808" spans="1:9" ht="51.75" customHeight="1" x14ac:dyDescent="0.35">
      <c r="A1808" s="15" t="s">
        <v>23575</v>
      </c>
      <c r="B1808" s="15" t="s">
        <v>26798</v>
      </c>
      <c r="C1808" s="15" t="s">
        <v>26730</v>
      </c>
      <c r="D1808" s="31">
        <v>42150</v>
      </c>
      <c r="E1808" s="15" t="s">
        <v>26799</v>
      </c>
      <c r="F1808" s="87" t="s">
        <v>21871</v>
      </c>
      <c r="G1808" s="45" t="s">
        <v>10692</v>
      </c>
      <c r="H1808" s="55" t="s">
        <v>10693</v>
      </c>
      <c r="I1808" s="15" t="s">
        <v>358</v>
      </c>
    </row>
    <row r="1809" spans="1:9" ht="51.75" customHeight="1" x14ac:dyDescent="0.35">
      <c r="A1809" s="15" t="s">
        <v>25044</v>
      </c>
      <c r="B1809" s="15" t="s">
        <v>26800</v>
      </c>
      <c r="C1809" s="15" t="s">
        <v>26421</v>
      </c>
      <c r="D1809" s="31">
        <v>42514</v>
      </c>
      <c r="E1809" s="15" t="s">
        <v>26801</v>
      </c>
      <c r="F1809" s="87" t="s">
        <v>26567</v>
      </c>
      <c r="G1809" s="45" t="s">
        <v>10014</v>
      </c>
      <c r="H1809" s="55" t="s">
        <v>10015</v>
      </c>
      <c r="I1809" s="15" t="s">
        <v>358</v>
      </c>
    </row>
    <row r="1810" spans="1:9" ht="51.75" customHeight="1" x14ac:dyDescent="0.35">
      <c r="A1810" s="15" t="s">
        <v>25044</v>
      </c>
      <c r="B1810" s="15" t="s">
        <v>26802</v>
      </c>
      <c r="C1810" s="15" t="s">
        <v>26421</v>
      </c>
      <c r="D1810" s="31">
        <v>42514</v>
      </c>
      <c r="E1810" s="15" t="s">
        <v>26803</v>
      </c>
      <c r="F1810" s="87" t="s">
        <v>21871</v>
      </c>
      <c r="G1810" s="45" t="s">
        <v>10014</v>
      </c>
      <c r="H1810" s="55" t="s">
        <v>10015</v>
      </c>
      <c r="I1810" s="15" t="s">
        <v>358</v>
      </c>
    </row>
    <row r="1811" spans="1:9" ht="51.75" customHeight="1" x14ac:dyDescent="0.35">
      <c r="A1811" s="15" t="s">
        <v>25050</v>
      </c>
      <c r="B1811" s="15" t="s">
        <v>26804</v>
      </c>
      <c r="C1811" s="15" t="s">
        <v>26424</v>
      </c>
      <c r="D1811" s="31">
        <v>42514</v>
      </c>
      <c r="E1811" s="15" t="s">
        <v>26805</v>
      </c>
      <c r="F1811" s="87" t="s">
        <v>26567</v>
      </c>
      <c r="G1811" s="45" t="s">
        <v>10014</v>
      </c>
      <c r="H1811" s="55" t="s">
        <v>10015</v>
      </c>
      <c r="I1811" s="15" t="s">
        <v>358</v>
      </c>
    </row>
    <row r="1812" spans="1:9" ht="51.75" customHeight="1" x14ac:dyDescent="0.35">
      <c r="A1812" s="15" t="s">
        <v>25050</v>
      </c>
      <c r="B1812" s="15" t="s">
        <v>26806</v>
      </c>
      <c r="C1812" s="15" t="s">
        <v>26424</v>
      </c>
      <c r="D1812" s="31">
        <v>42514</v>
      </c>
      <c r="E1812" s="15" t="s">
        <v>26807</v>
      </c>
      <c r="F1812" s="87" t="s">
        <v>21871</v>
      </c>
      <c r="G1812" s="45" t="s">
        <v>10014</v>
      </c>
      <c r="H1812" s="55" t="s">
        <v>10015</v>
      </c>
      <c r="I1812" s="15" t="s">
        <v>358</v>
      </c>
    </row>
    <row r="1813" spans="1:9" ht="51.75" customHeight="1" x14ac:dyDescent="0.35">
      <c r="A1813" s="15" t="s">
        <v>25089</v>
      </c>
      <c r="B1813" s="15" t="s">
        <v>26808</v>
      </c>
      <c r="C1813" s="15" t="s">
        <v>26427</v>
      </c>
      <c r="D1813" s="31">
        <v>42514</v>
      </c>
      <c r="E1813" s="15" t="s">
        <v>26809</v>
      </c>
      <c r="F1813" s="87" t="s">
        <v>26567</v>
      </c>
      <c r="G1813" s="45" t="s">
        <v>10014</v>
      </c>
      <c r="H1813" s="55" t="s">
        <v>10015</v>
      </c>
      <c r="I1813" s="15" t="s">
        <v>358</v>
      </c>
    </row>
    <row r="1814" spans="1:9" ht="51.75" customHeight="1" x14ac:dyDescent="0.35">
      <c r="A1814" s="15" t="s">
        <v>25089</v>
      </c>
      <c r="B1814" s="15" t="s">
        <v>26810</v>
      </c>
      <c r="C1814" s="15" t="s">
        <v>26427</v>
      </c>
      <c r="D1814" s="31">
        <v>42514</v>
      </c>
      <c r="E1814" s="15" t="s">
        <v>26811</v>
      </c>
      <c r="F1814" s="87" t="s">
        <v>21871</v>
      </c>
      <c r="G1814" s="45" t="s">
        <v>10014</v>
      </c>
      <c r="H1814" s="55" t="s">
        <v>10015</v>
      </c>
      <c r="I1814" s="15" t="s">
        <v>358</v>
      </c>
    </row>
    <row r="1815" spans="1:9" ht="51.75" customHeight="1" x14ac:dyDescent="0.35">
      <c r="A1815" s="15" t="s">
        <v>22899</v>
      </c>
      <c r="B1815" s="15" t="s">
        <v>26812</v>
      </c>
      <c r="C1815" s="15" t="s">
        <v>26813</v>
      </c>
      <c r="D1815" s="31">
        <v>42514</v>
      </c>
      <c r="E1815" s="15" t="s">
        <v>26814</v>
      </c>
      <c r="F1815" s="87" t="s">
        <v>26567</v>
      </c>
      <c r="G1815" s="45" t="s">
        <v>10014</v>
      </c>
      <c r="H1815" s="55" t="s">
        <v>10015</v>
      </c>
      <c r="I1815" s="15" t="s">
        <v>358</v>
      </c>
    </row>
    <row r="1816" spans="1:9" ht="51.75" customHeight="1" x14ac:dyDescent="0.35">
      <c r="A1816" s="15" t="s">
        <v>22899</v>
      </c>
      <c r="B1816" s="15" t="s">
        <v>26815</v>
      </c>
      <c r="C1816" s="15" t="s">
        <v>26813</v>
      </c>
      <c r="D1816" s="31">
        <v>42514</v>
      </c>
      <c r="E1816" s="15" t="s">
        <v>26816</v>
      </c>
      <c r="F1816" s="87" t="s">
        <v>21871</v>
      </c>
      <c r="G1816" s="45" t="s">
        <v>10014</v>
      </c>
      <c r="H1816" s="55" t="s">
        <v>10015</v>
      </c>
      <c r="I1816" s="15" t="s">
        <v>358</v>
      </c>
    </row>
    <row r="1817" spans="1:9" ht="51.75" customHeight="1" x14ac:dyDescent="0.35">
      <c r="A1817" s="15" t="s">
        <v>22918</v>
      </c>
      <c r="B1817" s="15" t="s">
        <v>26817</v>
      </c>
      <c r="C1817" s="15" t="s">
        <v>26818</v>
      </c>
      <c r="D1817" s="31">
        <v>42514</v>
      </c>
      <c r="E1817" s="15" t="s">
        <v>26819</v>
      </c>
      <c r="F1817" s="87" t="s">
        <v>26567</v>
      </c>
      <c r="G1817" s="45" t="s">
        <v>10014</v>
      </c>
      <c r="H1817" s="55" t="s">
        <v>10015</v>
      </c>
      <c r="I1817" s="15" t="s">
        <v>358</v>
      </c>
    </row>
    <row r="1818" spans="1:9" ht="51.75" customHeight="1" x14ac:dyDescent="0.35">
      <c r="A1818" s="15" t="s">
        <v>22918</v>
      </c>
      <c r="B1818" s="15" t="s">
        <v>26820</v>
      </c>
      <c r="C1818" s="15" t="s">
        <v>26818</v>
      </c>
      <c r="D1818" s="31">
        <v>42514</v>
      </c>
      <c r="E1818" s="15" t="s">
        <v>26821</v>
      </c>
      <c r="F1818" s="87" t="s">
        <v>21871</v>
      </c>
      <c r="G1818" s="45" t="s">
        <v>10014</v>
      </c>
      <c r="H1818" s="55" t="s">
        <v>10015</v>
      </c>
      <c r="I1818" s="15" t="s">
        <v>358</v>
      </c>
    </row>
    <row r="1819" spans="1:9" ht="51.75" customHeight="1" x14ac:dyDescent="0.35">
      <c r="A1819" s="15" t="s">
        <v>26822</v>
      </c>
      <c r="B1819" s="15" t="s">
        <v>26823</v>
      </c>
      <c r="C1819" s="15" t="s">
        <v>26824</v>
      </c>
      <c r="D1819" s="31">
        <v>42514</v>
      </c>
      <c r="E1819" s="15" t="s">
        <v>26825</v>
      </c>
      <c r="F1819" s="87" t="s">
        <v>26567</v>
      </c>
      <c r="G1819" s="45" t="s">
        <v>10014</v>
      </c>
      <c r="H1819" s="55" t="s">
        <v>10015</v>
      </c>
      <c r="I1819" s="15" t="s">
        <v>358</v>
      </c>
    </row>
    <row r="1820" spans="1:9" ht="51.75" customHeight="1" x14ac:dyDescent="0.35">
      <c r="A1820" s="15" t="s">
        <v>26822</v>
      </c>
      <c r="B1820" s="15" t="s">
        <v>26826</v>
      </c>
      <c r="C1820" s="15" t="s">
        <v>26824</v>
      </c>
      <c r="D1820" s="31">
        <v>42514</v>
      </c>
      <c r="E1820" s="15" t="s">
        <v>26827</v>
      </c>
      <c r="F1820" s="87" t="s">
        <v>21871</v>
      </c>
      <c r="G1820" s="45" t="s">
        <v>10014</v>
      </c>
      <c r="H1820" s="55" t="s">
        <v>10015</v>
      </c>
      <c r="I1820" s="15" t="s">
        <v>358</v>
      </c>
    </row>
    <row r="1821" spans="1:9" ht="51.75" customHeight="1" x14ac:dyDescent="0.35">
      <c r="A1821" s="15" t="s">
        <v>26828</v>
      </c>
      <c r="B1821" s="15" t="s">
        <v>26829</v>
      </c>
      <c r="C1821" s="15" t="s">
        <v>26830</v>
      </c>
      <c r="D1821" s="31">
        <v>42514</v>
      </c>
      <c r="E1821" s="15" t="s">
        <v>26831</v>
      </c>
      <c r="F1821" s="87" t="s">
        <v>26567</v>
      </c>
      <c r="G1821" s="45" t="s">
        <v>10014</v>
      </c>
      <c r="H1821" s="55" t="s">
        <v>10015</v>
      </c>
      <c r="I1821" s="15" t="s">
        <v>358</v>
      </c>
    </row>
    <row r="1822" spans="1:9" ht="51.75" customHeight="1" x14ac:dyDescent="0.35">
      <c r="A1822" s="15" t="s">
        <v>26828</v>
      </c>
      <c r="B1822" s="15" t="s">
        <v>26832</v>
      </c>
      <c r="C1822" s="15" t="s">
        <v>26830</v>
      </c>
      <c r="D1822" s="31">
        <v>42514</v>
      </c>
      <c r="E1822" s="15" t="s">
        <v>26833</v>
      </c>
      <c r="F1822" s="87" t="s">
        <v>21871</v>
      </c>
      <c r="G1822" s="45" t="s">
        <v>10014</v>
      </c>
      <c r="H1822" s="55" t="s">
        <v>10015</v>
      </c>
      <c r="I1822" s="15" t="s">
        <v>358</v>
      </c>
    </row>
    <row r="1823" spans="1:9" ht="51.75" customHeight="1" x14ac:dyDescent="0.35">
      <c r="A1823" s="15" t="s">
        <v>22922</v>
      </c>
      <c r="B1823" s="15" t="s">
        <v>26834</v>
      </c>
      <c r="C1823" s="15" t="s">
        <v>26835</v>
      </c>
      <c r="D1823" s="31">
        <v>42514</v>
      </c>
      <c r="E1823" s="15" t="s">
        <v>26836</v>
      </c>
      <c r="F1823" s="87" t="s">
        <v>26567</v>
      </c>
      <c r="G1823" s="45" t="s">
        <v>10014</v>
      </c>
      <c r="H1823" s="55" t="s">
        <v>10015</v>
      </c>
      <c r="I1823" s="15" t="s">
        <v>358</v>
      </c>
    </row>
    <row r="1824" spans="1:9" ht="51.75" customHeight="1" x14ac:dyDescent="0.35">
      <c r="A1824" s="15" t="s">
        <v>22922</v>
      </c>
      <c r="B1824" s="15" t="s">
        <v>26837</v>
      </c>
      <c r="C1824" s="15" t="s">
        <v>26835</v>
      </c>
      <c r="D1824" s="31">
        <v>42514</v>
      </c>
      <c r="E1824" s="15" t="s">
        <v>26838</v>
      </c>
      <c r="F1824" s="87" t="s">
        <v>21871</v>
      </c>
      <c r="G1824" s="45" t="s">
        <v>10014</v>
      </c>
      <c r="H1824" s="55" t="s">
        <v>10015</v>
      </c>
      <c r="I1824" s="15" t="s">
        <v>358</v>
      </c>
    </row>
    <row r="1825" spans="1:9" ht="51.75" customHeight="1" x14ac:dyDescent="0.35">
      <c r="A1825" s="15" t="s">
        <v>26839</v>
      </c>
      <c r="B1825" s="15" t="s">
        <v>26840</v>
      </c>
      <c r="C1825" s="15" t="s">
        <v>26841</v>
      </c>
      <c r="D1825" s="31">
        <v>42514</v>
      </c>
      <c r="E1825" s="15" t="s">
        <v>26842</v>
      </c>
      <c r="F1825" s="87" t="s">
        <v>26567</v>
      </c>
      <c r="G1825" s="45" t="s">
        <v>10014</v>
      </c>
      <c r="H1825" s="55" t="s">
        <v>10015</v>
      </c>
      <c r="I1825" s="15" t="s">
        <v>358</v>
      </c>
    </row>
    <row r="1826" spans="1:9" ht="51.75" customHeight="1" x14ac:dyDescent="0.35">
      <c r="A1826" s="15" t="s">
        <v>26839</v>
      </c>
      <c r="B1826" s="15" t="s">
        <v>26843</v>
      </c>
      <c r="C1826" s="15" t="s">
        <v>26841</v>
      </c>
      <c r="D1826" s="31">
        <v>42514</v>
      </c>
      <c r="E1826" s="15" t="s">
        <v>26844</v>
      </c>
      <c r="F1826" s="87" t="s">
        <v>21871</v>
      </c>
      <c r="G1826" s="45" t="s">
        <v>10014</v>
      </c>
      <c r="H1826" s="55" t="s">
        <v>10015</v>
      </c>
      <c r="I1826" s="15" t="s">
        <v>358</v>
      </c>
    </row>
    <row r="1827" spans="1:9" ht="51.75" customHeight="1" x14ac:dyDescent="0.35">
      <c r="A1827" s="15" t="s">
        <v>26845</v>
      </c>
      <c r="B1827" s="15" t="s">
        <v>26846</v>
      </c>
      <c r="C1827" s="15" t="s">
        <v>26847</v>
      </c>
      <c r="D1827" s="31">
        <v>42514</v>
      </c>
      <c r="E1827" s="15" t="s">
        <v>26848</v>
      </c>
      <c r="F1827" s="87" t="s">
        <v>26567</v>
      </c>
      <c r="G1827" s="45" t="s">
        <v>10014</v>
      </c>
      <c r="H1827" s="55" t="s">
        <v>10015</v>
      </c>
      <c r="I1827" s="15" t="s">
        <v>358</v>
      </c>
    </row>
    <row r="1828" spans="1:9" ht="51.75" customHeight="1" x14ac:dyDescent="0.35">
      <c r="A1828" s="15" t="s">
        <v>26845</v>
      </c>
      <c r="B1828" s="15" t="s">
        <v>26849</v>
      </c>
      <c r="C1828" s="15" t="s">
        <v>26847</v>
      </c>
      <c r="D1828" s="31">
        <v>42514</v>
      </c>
      <c r="E1828" s="15" t="s">
        <v>26850</v>
      </c>
      <c r="F1828" s="87" t="s">
        <v>21871</v>
      </c>
      <c r="G1828" s="45" t="s">
        <v>10014</v>
      </c>
      <c r="H1828" s="55" t="s">
        <v>10015</v>
      </c>
      <c r="I1828" s="15" t="s">
        <v>358</v>
      </c>
    </row>
    <row r="1829" spans="1:9" ht="51.75" customHeight="1" x14ac:dyDescent="0.35">
      <c r="A1829" s="15" t="s">
        <v>22926</v>
      </c>
      <c r="B1829" s="15" t="s">
        <v>26851</v>
      </c>
      <c r="C1829" s="15" t="s">
        <v>26852</v>
      </c>
      <c r="D1829" s="31">
        <v>42514</v>
      </c>
      <c r="E1829" s="15" t="s">
        <v>26853</v>
      </c>
      <c r="F1829" s="87" t="s">
        <v>26567</v>
      </c>
      <c r="G1829" s="45" t="s">
        <v>10014</v>
      </c>
      <c r="H1829" s="55" t="s">
        <v>10015</v>
      </c>
      <c r="I1829" s="15" t="s">
        <v>358</v>
      </c>
    </row>
    <row r="1830" spans="1:9" ht="51.75" customHeight="1" x14ac:dyDescent="0.35">
      <c r="A1830" s="15" t="s">
        <v>22926</v>
      </c>
      <c r="B1830" s="15" t="s">
        <v>26854</v>
      </c>
      <c r="C1830" s="15" t="s">
        <v>26852</v>
      </c>
      <c r="D1830" s="31">
        <v>42514</v>
      </c>
      <c r="E1830" s="15" t="s">
        <v>26855</v>
      </c>
      <c r="F1830" s="87" t="s">
        <v>21871</v>
      </c>
      <c r="G1830" s="45" t="s">
        <v>10014</v>
      </c>
      <c r="H1830" s="55" t="s">
        <v>10015</v>
      </c>
      <c r="I1830" s="15" t="s">
        <v>358</v>
      </c>
    </row>
    <row r="1831" spans="1:9" ht="51.75" customHeight="1" x14ac:dyDescent="0.35">
      <c r="A1831" s="15" t="s">
        <v>22930</v>
      </c>
      <c r="B1831" s="15" t="s">
        <v>26856</v>
      </c>
      <c r="C1831" s="15" t="s">
        <v>26857</v>
      </c>
      <c r="D1831" s="31">
        <v>42514</v>
      </c>
      <c r="E1831" s="15" t="s">
        <v>26858</v>
      </c>
      <c r="F1831" s="87" t="s">
        <v>26567</v>
      </c>
      <c r="G1831" s="45" t="s">
        <v>10014</v>
      </c>
      <c r="H1831" s="55" t="s">
        <v>10015</v>
      </c>
      <c r="I1831" s="15" t="s">
        <v>358</v>
      </c>
    </row>
    <row r="1832" spans="1:9" ht="51.75" customHeight="1" x14ac:dyDescent="0.35">
      <c r="A1832" s="15" t="s">
        <v>22930</v>
      </c>
      <c r="B1832" s="15" t="s">
        <v>26859</v>
      </c>
      <c r="C1832" s="15" t="s">
        <v>26857</v>
      </c>
      <c r="D1832" s="31">
        <v>42514</v>
      </c>
      <c r="E1832" s="15" t="s">
        <v>26860</v>
      </c>
      <c r="F1832" s="87" t="s">
        <v>21871</v>
      </c>
      <c r="G1832" s="45" t="s">
        <v>10014</v>
      </c>
      <c r="H1832" s="55" t="s">
        <v>10015</v>
      </c>
      <c r="I1832" s="15" t="s">
        <v>358</v>
      </c>
    </row>
    <row r="1833" spans="1:9" ht="51.75" customHeight="1" x14ac:dyDescent="0.35">
      <c r="A1833" s="15" t="s">
        <v>23277</v>
      </c>
      <c r="B1833" s="15" t="s">
        <v>26861</v>
      </c>
      <c r="C1833" s="15" t="s">
        <v>26421</v>
      </c>
      <c r="D1833" s="31">
        <v>42726</v>
      </c>
      <c r="E1833" s="15" t="s">
        <v>26862</v>
      </c>
      <c r="F1833" s="87" t="s">
        <v>26567</v>
      </c>
      <c r="G1833" s="45" t="s">
        <v>11404</v>
      </c>
      <c r="H1833" s="55" t="s">
        <v>11405</v>
      </c>
      <c r="I1833" s="15" t="s">
        <v>358</v>
      </c>
    </row>
    <row r="1834" spans="1:9" ht="51.75" customHeight="1" x14ac:dyDescent="0.35">
      <c r="A1834" s="15" t="s">
        <v>23277</v>
      </c>
      <c r="B1834" s="15" t="s">
        <v>26863</v>
      </c>
      <c r="C1834" s="15" t="s">
        <v>26421</v>
      </c>
      <c r="D1834" s="31">
        <v>42726</v>
      </c>
      <c r="E1834" s="15" t="s">
        <v>26864</v>
      </c>
      <c r="F1834" s="87" t="s">
        <v>21871</v>
      </c>
      <c r="G1834" s="45" t="s">
        <v>11404</v>
      </c>
      <c r="H1834" s="55" t="s">
        <v>11405</v>
      </c>
      <c r="I1834" s="15" t="s">
        <v>358</v>
      </c>
    </row>
    <row r="1835" spans="1:9" ht="51.75" customHeight="1" x14ac:dyDescent="0.35">
      <c r="A1835" s="15" t="s">
        <v>23283</v>
      </c>
      <c r="B1835" s="15" t="s">
        <v>26865</v>
      </c>
      <c r="C1835" s="15" t="s">
        <v>26424</v>
      </c>
      <c r="D1835" s="31">
        <v>42726</v>
      </c>
      <c r="E1835" s="15" t="s">
        <v>26866</v>
      </c>
      <c r="F1835" s="87" t="s">
        <v>26567</v>
      </c>
      <c r="G1835" s="45" t="s">
        <v>11404</v>
      </c>
      <c r="H1835" s="55" t="s">
        <v>11405</v>
      </c>
      <c r="I1835" s="15" t="s">
        <v>358</v>
      </c>
    </row>
    <row r="1836" spans="1:9" ht="51.75" customHeight="1" x14ac:dyDescent="0.35">
      <c r="A1836" s="15" t="s">
        <v>23283</v>
      </c>
      <c r="B1836" s="15" t="s">
        <v>26867</v>
      </c>
      <c r="C1836" s="15" t="s">
        <v>26424</v>
      </c>
      <c r="D1836" s="31">
        <v>42726</v>
      </c>
      <c r="E1836" s="15" t="s">
        <v>26868</v>
      </c>
      <c r="F1836" s="87" t="s">
        <v>21871</v>
      </c>
      <c r="G1836" s="45" t="s">
        <v>11404</v>
      </c>
      <c r="H1836" s="55" t="s">
        <v>11405</v>
      </c>
      <c r="I1836" s="15" t="s">
        <v>358</v>
      </c>
    </row>
    <row r="1837" spans="1:9" ht="51.75" customHeight="1" x14ac:dyDescent="0.35">
      <c r="A1837" s="15" t="s">
        <v>23240</v>
      </c>
      <c r="B1837" s="15" t="s">
        <v>26869</v>
      </c>
      <c r="C1837" s="15" t="s">
        <v>26427</v>
      </c>
      <c r="D1837" s="31">
        <v>42726</v>
      </c>
      <c r="E1837" s="15" t="s">
        <v>26870</v>
      </c>
      <c r="F1837" s="87" t="s">
        <v>26567</v>
      </c>
      <c r="G1837" s="45" t="s">
        <v>11404</v>
      </c>
      <c r="H1837" s="55" t="s">
        <v>11405</v>
      </c>
      <c r="I1837" s="15" t="s">
        <v>358</v>
      </c>
    </row>
    <row r="1838" spans="1:9" ht="51.75" customHeight="1" x14ac:dyDescent="0.35">
      <c r="A1838" s="15" t="s">
        <v>23240</v>
      </c>
      <c r="B1838" s="15" t="s">
        <v>26871</v>
      </c>
      <c r="C1838" s="15" t="s">
        <v>26427</v>
      </c>
      <c r="D1838" s="31">
        <v>42726</v>
      </c>
      <c r="E1838" s="15" t="s">
        <v>26872</v>
      </c>
      <c r="F1838" s="87" t="s">
        <v>21871</v>
      </c>
      <c r="G1838" s="45" t="s">
        <v>11404</v>
      </c>
      <c r="H1838" s="55" t="s">
        <v>11405</v>
      </c>
      <c r="I1838" s="15" t="s">
        <v>358</v>
      </c>
    </row>
    <row r="1839" spans="1:9" ht="51.75" customHeight="1" x14ac:dyDescent="0.35">
      <c r="A1839" s="15" t="s">
        <v>25451</v>
      </c>
      <c r="B1839" s="15" t="s">
        <v>26873</v>
      </c>
      <c r="C1839" s="15" t="s">
        <v>26727</v>
      </c>
      <c r="D1839" s="31">
        <v>42352</v>
      </c>
      <c r="E1839" s="15" t="s">
        <v>26874</v>
      </c>
      <c r="F1839" s="87" t="s">
        <v>21871</v>
      </c>
      <c r="G1839" s="45" t="s">
        <v>10889</v>
      </c>
      <c r="H1839" s="55" t="s">
        <v>10890</v>
      </c>
      <c r="I1839" s="15" t="s">
        <v>358</v>
      </c>
    </row>
    <row r="1840" spans="1:9" ht="51.75" customHeight="1" x14ac:dyDescent="0.35">
      <c r="A1840" s="15" t="s">
        <v>25454</v>
      </c>
      <c r="B1840" s="15" t="s">
        <v>26875</v>
      </c>
      <c r="C1840" s="15" t="s">
        <v>26730</v>
      </c>
      <c r="D1840" s="31">
        <v>42352</v>
      </c>
      <c r="E1840" s="15" t="s">
        <v>26876</v>
      </c>
      <c r="F1840" s="87" t="s">
        <v>21871</v>
      </c>
      <c r="G1840" s="45" t="s">
        <v>10889</v>
      </c>
      <c r="H1840" s="55" t="s">
        <v>10890</v>
      </c>
      <c r="I1840" s="15" t="s">
        <v>358</v>
      </c>
    </row>
    <row r="1841" spans="1:9" ht="51.75" customHeight="1" x14ac:dyDescent="0.35">
      <c r="A1841" s="15" t="s">
        <v>25494</v>
      </c>
      <c r="B1841" s="15" t="s">
        <v>26877</v>
      </c>
      <c r="C1841" s="15" t="s">
        <v>26747</v>
      </c>
      <c r="D1841" s="31">
        <v>42352</v>
      </c>
      <c r="E1841" s="15" t="s">
        <v>26878</v>
      </c>
      <c r="F1841" s="87" t="s">
        <v>21871</v>
      </c>
      <c r="G1841" s="45" t="s">
        <v>10889</v>
      </c>
      <c r="H1841" s="55" t="s">
        <v>10890</v>
      </c>
      <c r="I1841" s="15" t="s">
        <v>358</v>
      </c>
    </row>
    <row r="1842" spans="1:9" ht="51.75" customHeight="1" x14ac:dyDescent="0.35">
      <c r="A1842" s="15" t="s">
        <v>23309</v>
      </c>
      <c r="B1842" s="15" t="s">
        <v>26879</v>
      </c>
      <c r="C1842" s="15" t="s">
        <v>26736</v>
      </c>
      <c r="D1842" s="31">
        <v>42352</v>
      </c>
      <c r="E1842" s="15" t="s">
        <v>26880</v>
      </c>
      <c r="F1842" s="87" t="s">
        <v>21871</v>
      </c>
      <c r="G1842" s="45" t="s">
        <v>10889</v>
      </c>
      <c r="H1842" s="55" t="s">
        <v>10890</v>
      </c>
      <c r="I1842" s="15" t="s">
        <v>358</v>
      </c>
    </row>
    <row r="1843" spans="1:9" ht="51.75" customHeight="1" x14ac:dyDescent="0.35">
      <c r="A1843" s="15" t="s">
        <v>23314</v>
      </c>
      <c r="B1843" s="15" t="s">
        <v>26881</v>
      </c>
      <c r="C1843" s="15" t="s">
        <v>26752</v>
      </c>
      <c r="D1843" s="31">
        <v>42352</v>
      </c>
      <c r="E1843" s="15" t="s">
        <v>26882</v>
      </c>
      <c r="F1843" s="87" t="s">
        <v>21871</v>
      </c>
      <c r="G1843" s="45" t="s">
        <v>10889</v>
      </c>
      <c r="H1843" s="55" t="s">
        <v>10890</v>
      </c>
      <c r="I1843" s="15" t="s">
        <v>358</v>
      </c>
    </row>
    <row r="1844" spans="1:9" ht="51.75" customHeight="1" x14ac:dyDescent="0.35">
      <c r="A1844" s="15" t="s">
        <v>25507</v>
      </c>
      <c r="B1844" s="15" t="s">
        <v>26883</v>
      </c>
      <c r="C1844" s="15" t="s">
        <v>26755</v>
      </c>
      <c r="D1844" s="31">
        <v>42352</v>
      </c>
      <c r="E1844" s="15" t="s">
        <v>26884</v>
      </c>
      <c r="F1844" s="87" t="s">
        <v>21871</v>
      </c>
      <c r="G1844" s="45" t="s">
        <v>10889</v>
      </c>
      <c r="H1844" s="55" t="s">
        <v>10890</v>
      </c>
      <c r="I1844" s="15" t="s">
        <v>358</v>
      </c>
    </row>
    <row r="1845" spans="1:9" ht="51.75" customHeight="1" x14ac:dyDescent="0.35">
      <c r="A1845" s="15" t="s">
        <v>26885</v>
      </c>
      <c r="B1845" s="15" t="s">
        <v>26886</v>
      </c>
      <c r="C1845" s="15" t="s">
        <v>26421</v>
      </c>
      <c r="D1845" s="31">
        <v>42576</v>
      </c>
      <c r="E1845" s="15" t="s">
        <v>26887</v>
      </c>
      <c r="F1845" s="87" t="s">
        <v>21871</v>
      </c>
      <c r="G1845" s="45" t="s">
        <v>11323</v>
      </c>
      <c r="H1845" s="55" t="s">
        <v>11324</v>
      </c>
      <c r="I1845" s="15" t="s">
        <v>358</v>
      </c>
    </row>
    <row r="1846" spans="1:9" ht="51.75" customHeight="1" x14ac:dyDescent="0.35">
      <c r="A1846" s="15" t="s">
        <v>24957</v>
      </c>
      <c r="B1846" s="15" t="s">
        <v>26888</v>
      </c>
      <c r="C1846" s="15" t="s">
        <v>26424</v>
      </c>
      <c r="D1846" s="31">
        <v>42576</v>
      </c>
      <c r="E1846" s="15" t="s">
        <v>26889</v>
      </c>
      <c r="F1846" s="87" t="s">
        <v>21871</v>
      </c>
      <c r="G1846" s="45" t="s">
        <v>11323</v>
      </c>
      <c r="H1846" s="55" t="s">
        <v>11324</v>
      </c>
      <c r="I1846" s="15" t="s">
        <v>358</v>
      </c>
    </row>
    <row r="1847" spans="1:9" ht="51.75" customHeight="1" x14ac:dyDescent="0.35">
      <c r="A1847" s="15" t="s">
        <v>26890</v>
      </c>
      <c r="B1847" s="15" t="s">
        <v>26891</v>
      </c>
      <c r="C1847" s="15" t="s">
        <v>26427</v>
      </c>
      <c r="D1847" s="31">
        <v>42576</v>
      </c>
      <c r="E1847" s="15" t="s">
        <v>26892</v>
      </c>
      <c r="F1847" s="87" t="s">
        <v>21871</v>
      </c>
      <c r="G1847" s="45" t="s">
        <v>11323</v>
      </c>
      <c r="H1847" s="55" t="s">
        <v>11324</v>
      </c>
      <c r="I1847" s="15" t="s">
        <v>358</v>
      </c>
    </row>
    <row r="1848" spans="1:9" ht="51.75" customHeight="1" x14ac:dyDescent="0.35">
      <c r="A1848" s="15" t="s">
        <v>26893</v>
      </c>
      <c r="B1848" s="15" t="s">
        <v>26894</v>
      </c>
      <c r="C1848" s="15" t="s">
        <v>26431</v>
      </c>
      <c r="D1848" s="31">
        <v>42576</v>
      </c>
      <c r="E1848" s="15" t="s">
        <v>26895</v>
      </c>
      <c r="F1848" s="87" t="s">
        <v>21871</v>
      </c>
      <c r="G1848" s="45" t="s">
        <v>11323</v>
      </c>
      <c r="H1848" s="55" t="s">
        <v>11324</v>
      </c>
      <c r="I1848" s="15" t="s">
        <v>358</v>
      </c>
    </row>
    <row r="1849" spans="1:9" ht="51.75" customHeight="1" x14ac:dyDescent="0.35">
      <c r="A1849" s="15" t="s">
        <v>26896</v>
      </c>
      <c r="B1849" s="15" t="s">
        <v>26897</v>
      </c>
      <c r="C1849" s="15" t="s">
        <v>26434</v>
      </c>
      <c r="D1849" s="31">
        <v>42576</v>
      </c>
      <c r="E1849" s="15" t="s">
        <v>26898</v>
      </c>
      <c r="F1849" s="87" t="s">
        <v>21871</v>
      </c>
      <c r="G1849" s="45" t="s">
        <v>11323</v>
      </c>
      <c r="H1849" s="55" t="s">
        <v>11324</v>
      </c>
      <c r="I1849" s="15" t="s">
        <v>358</v>
      </c>
    </row>
    <row r="1850" spans="1:9" ht="51.75" customHeight="1" x14ac:dyDescent="0.35">
      <c r="A1850" s="15" t="s">
        <v>26899</v>
      </c>
      <c r="B1850" s="15" t="s">
        <v>26900</v>
      </c>
      <c r="C1850" s="15" t="s">
        <v>26438</v>
      </c>
      <c r="D1850" s="31">
        <v>42576</v>
      </c>
      <c r="E1850" s="15" t="s">
        <v>26901</v>
      </c>
      <c r="F1850" s="87" t="s">
        <v>21871</v>
      </c>
      <c r="G1850" s="45" t="s">
        <v>11323</v>
      </c>
      <c r="H1850" s="55" t="s">
        <v>11324</v>
      </c>
      <c r="I1850" s="15" t="s">
        <v>358</v>
      </c>
    </row>
    <row r="1851" spans="1:9" ht="51.75" customHeight="1" x14ac:dyDescent="0.35">
      <c r="A1851" s="15" t="s">
        <v>26902</v>
      </c>
      <c r="B1851" s="15" t="s">
        <v>26903</v>
      </c>
      <c r="C1851" s="15" t="s">
        <v>26441</v>
      </c>
      <c r="D1851" s="31">
        <v>42576</v>
      </c>
      <c r="E1851" s="15" t="s">
        <v>26904</v>
      </c>
      <c r="F1851" s="87" t="s">
        <v>21871</v>
      </c>
      <c r="G1851" s="45" t="s">
        <v>11323</v>
      </c>
      <c r="H1851" s="55" t="s">
        <v>11324</v>
      </c>
      <c r="I1851" s="15" t="s">
        <v>358</v>
      </c>
    </row>
    <row r="1852" spans="1:9" ht="51.75" customHeight="1" x14ac:dyDescent="0.35">
      <c r="A1852" s="15" t="s">
        <v>26905</v>
      </c>
      <c r="B1852" s="15" t="s">
        <v>26906</v>
      </c>
      <c r="C1852" s="15" t="s">
        <v>26444</v>
      </c>
      <c r="D1852" s="31">
        <v>42576</v>
      </c>
      <c r="E1852" s="15" t="s">
        <v>26907</v>
      </c>
      <c r="F1852" s="87" t="s">
        <v>21871</v>
      </c>
      <c r="G1852" s="45" t="s">
        <v>11323</v>
      </c>
      <c r="H1852" s="55" t="s">
        <v>11324</v>
      </c>
      <c r="I1852" s="15" t="s">
        <v>358</v>
      </c>
    </row>
    <row r="1853" spans="1:9" ht="51.75" customHeight="1" x14ac:dyDescent="0.35">
      <c r="A1853" s="15" t="s">
        <v>26908</v>
      </c>
      <c r="B1853" s="15" t="s">
        <v>26909</v>
      </c>
      <c r="C1853" s="15" t="s">
        <v>26447</v>
      </c>
      <c r="D1853" s="31">
        <v>42576</v>
      </c>
      <c r="E1853" s="15" t="s">
        <v>26910</v>
      </c>
      <c r="F1853" s="87" t="s">
        <v>21871</v>
      </c>
      <c r="G1853" s="45" t="s">
        <v>11323</v>
      </c>
      <c r="H1853" s="55" t="s">
        <v>11324</v>
      </c>
      <c r="I1853" s="15" t="s">
        <v>358</v>
      </c>
    </row>
    <row r="1854" spans="1:9" ht="51.75" customHeight="1" x14ac:dyDescent="0.35">
      <c r="A1854" s="15" t="s">
        <v>26911</v>
      </c>
      <c r="B1854" s="15" t="s">
        <v>26912</v>
      </c>
      <c r="C1854" s="15" t="s">
        <v>26451</v>
      </c>
      <c r="D1854" s="31">
        <v>42576</v>
      </c>
      <c r="E1854" s="15" t="s">
        <v>26913</v>
      </c>
      <c r="F1854" s="87" t="s">
        <v>21871</v>
      </c>
      <c r="G1854" s="45" t="s">
        <v>11323</v>
      </c>
      <c r="H1854" s="55" t="s">
        <v>11324</v>
      </c>
      <c r="I1854" s="15" t="s">
        <v>358</v>
      </c>
    </row>
    <row r="1855" spans="1:9" ht="51.75" customHeight="1" x14ac:dyDescent="0.35">
      <c r="A1855" s="15" t="s">
        <v>22103</v>
      </c>
      <c r="B1855" s="15" t="s">
        <v>26914</v>
      </c>
      <c r="C1855" s="15" t="s">
        <v>26455</v>
      </c>
      <c r="D1855" s="31">
        <v>42576</v>
      </c>
      <c r="E1855" s="15" t="s">
        <v>26915</v>
      </c>
      <c r="F1855" s="87" t="s">
        <v>21871</v>
      </c>
      <c r="G1855" s="45" t="s">
        <v>11323</v>
      </c>
      <c r="H1855" s="55" t="s">
        <v>11324</v>
      </c>
      <c r="I1855" s="15" t="s">
        <v>358</v>
      </c>
    </row>
    <row r="1856" spans="1:9" ht="51.75" customHeight="1" x14ac:dyDescent="0.35">
      <c r="A1856" s="15" t="s">
        <v>22906</v>
      </c>
      <c r="B1856" s="15" t="s">
        <v>26916</v>
      </c>
      <c r="C1856" s="15" t="s">
        <v>26917</v>
      </c>
      <c r="D1856" s="31">
        <v>43089</v>
      </c>
      <c r="E1856" s="15" t="s">
        <v>26918</v>
      </c>
      <c r="F1856" s="87" t="s">
        <v>26567</v>
      </c>
      <c r="G1856" s="45" t="s">
        <v>12569</v>
      </c>
      <c r="H1856" s="55" t="s">
        <v>12570</v>
      </c>
      <c r="I1856" s="15" t="s">
        <v>358</v>
      </c>
    </row>
    <row r="1857" spans="1:9" ht="51.75" customHeight="1" x14ac:dyDescent="0.35">
      <c r="A1857" s="15" t="s">
        <v>22906</v>
      </c>
      <c r="B1857" s="15" t="s">
        <v>26919</v>
      </c>
      <c r="C1857" s="15" t="s">
        <v>26917</v>
      </c>
      <c r="D1857" s="31">
        <v>43089</v>
      </c>
      <c r="E1857" s="15" t="s">
        <v>26920</v>
      </c>
      <c r="F1857" s="87" t="s">
        <v>21871</v>
      </c>
      <c r="G1857" s="45" t="s">
        <v>12569</v>
      </c>
      <c r="H1857" s="55" t="s">
        <v>12570</v>
      </c>
      <c r="I1857" s="15" t="s">
        <v>358</v>
      </c>
    </row>
    <row r="1858" spans="1:9" ht="51.75" customHeight="1" x14ac:dyDescent="0.35">
      <c r="A1858" s="15" t="s">
        <v>22910</v>
      </c>
      <c r="B1858" s="15" t="s">
        <v>26921</v>
      </c>
      <c r="C1858" s="15" t="s">
        <v>26922</v>
      </c>
      <c r="D1858" s="31">
        <v>43089</v>
      </c>
      <c r="E1858" s="15" t="s">
        <v>26923</v>
      </c>
      <c r="F1858" s="87" t="s">
        <v>26567</v>
      </c>
      <c r="G1858" s="45" t="s">
        <v>12569</v>
      </c>
      <c r="H1858" s="55" t="s">
        <v>12570</v>
      </c>
      <c r="I1858" s="15" t="s">
        <v>358</v>
      </c>
    </row>
    <row r="1859" spans="1:9" ht="51.75" customHeight="1" x14ac:dyDescent="0.35">
      <c r="A1859" s="15" t="s">
        <v>22910</v>
      </c>
      <c r="B1859" s="15" t="s">
        <v>26924</v>
      </c>
      <c r="C1859" s="15" t="s">
        <v>26922</v>
      </c>
      <c r="D1859" s="31">
        <v>43089</v>
      </c>
      <c r="E1859" s="15" t="s">
        <v>26925</v>
      </c>
      <c r="F1859" s="87" t="s">
        <v>21871</v>
      </c>
      <c r="G1859" s="45" t="s">
        <v>12569</v>
      </c>
      <c r="H1859" s="55" t="s">
        <v>12570</v>
      </c>
      <c r="I1859" s="15" t="s">
        <v>358</v>
      </c>
    </row>
    <row r="1860" spans="1:9" ht="51.75" customHeight="1" x14ac:dyDescent="0.35">
      <c r="A1860" s="15" t="s">
        <v>22914</v>
      </c>
      <c r="B1860" s="15" t="s">
        <v>26926</v>
      </c>
      <c r="C1860" s="15" t="s">
        <v>26927</v>
      </c>
      <c r="D1860" s="31">
        <v>43089</v>
      </c>
      <c r="E1860" s="15" t="s">
        <v>26928</v>
      </c>
      <c r="F1860" s="87" t="s">
        <v>26567</v>
      </c>
      <c r="G1860" s="45" t="s">
        <v>12569</v>
      </c>
      <c r="H1860" s="55" t="s">
        <v>12570</v>
      </c>
      <c r="I1860" s="15" t="s">
        <v>358</v>
      </c>
    </row>
    <row r="1861" spans="1:9" ht="51.75" customHeight="1" x14ac:dyDescent="0.35">
      <c r="A1861" s="15" t="s">
        <v>22914</v>
      </c>
      <c r="B1861" s="15" t="s">
        <v>26929</v>
      </c>
      <c r="C1861" s="15" t="s">
        <v>26927</v>
      </c>
      <c r="D1861" s="31">
        <v>43089</v>
      </c>
      <c r="E1861" s="15" t="s">
        <v>26930</v>
      </c>
      <c r="F1861" s="87" t="s">
        <v>21871</v>
      </c>
      <c r="G1861" s="45" t="s">
        <v>12569</v>
      </c>
      <c r="H1861" s="55" t="s">
        <v>12570</v>
      </c>
      <c r="I1861" s="15" t="s">
        <v>358</v>
      </c>
    </row>
    <row r="1862" spans="1:9" ht="51.75" customHeight="1" x14ac:dyDescent="0.35">
      <c r="A1862" s="15" t="s">
        <v>26931</v>
      </c>
      <c r="B1862" s="15" t="s">
        <v>26932</v>
      </c>
      <c r="C1862" s="15" t="s">
        <v>26933</v>
      </c>
      <c r="D1862" s="31">
        <v>43089</v>
      </c>
      <c r="E1862" s="15" t="s">
        <v>26934</v>
      </c>
      <c r="F1862" s="87" t="s">
        <v>26567</v>
      </c>
      <c r="G1862" s="45" t="s">
        <v>12569</v>
      </c>
      <c r="H1862" s="55" t="s">
        <v>12570</v>
      </c>
      <c r="I1862" s="15" t="s">
        <v>358</v>
      </c>
    </row>
    <row r="1863" spans="1:9" ht="51.75" customHeight="1" x14ac:dyDescent="0.35">
      <c r="A1863" s="15" t="s">
        <v>26931</v>
      </c>
      <c r="B1863" s="15" t="s">
        <v>26935</v>
      </c>
      <c r="C1863" s="15" t="s">
        <v>26933</v>
      </c>
      <c r="D1863" s="31">
        <v>43089</v>
      </c>
      <c r="E1863" s="15" t="s">
        <v>26936</v>
      </c>
      <c r="F1863" s="87" t="s">
        <v>21871</v>
      </c>
      <c r="G1863" s="45" t="s">
        <v>12569</v>
      </c>
      <c r="H1863" s="55" t="s">
        <v>12570</v>
      </c>
      <c r="I1863" s="15" t="s">
        <v>358</v>
      </c>
    </row>
    <row r="1864" spans="1:9" ht="51.75" customHeight="1" x14ac:dyDescent="0.35">
      <c r="A1864" s="15" t="s">
        <v>26937</v>
      </c>
      <c r="B1864" s="15" t="s">
        <v>26938</v>
      </c>
      <c r="C1864" s="15" t="s">
        <v>26939</v>
      </c>
      <c r="D1864" s="31">
        <v>43089</v>
      </c>
      <c r="E1864" s="15" t="s">
        <v>26940</v>
      </c>
      <c r="F1864" s="87" t="s">
        <v>26567</v>
      </c>
      <c r="G1864" s="45" t="s">
        <v>12569</v>
      </c>
      <c r="H1864" s="55" t="s">
        <v>12570</v>
      </c>
      <c r="I1864" s="15" t="s">
        <v>358</v>
      </c>
    </row>
    <row r="1865" spans="1:9" ht="51.75" customHeight="1" x14ac:dyDescent="0.35">
      <c r="A1865" s="15" t="s">
        <v>26937</v>
      </c>
      <c r="B1865" s="15" t="s">
        <v>26941</v>
      </c>
      <c r="C1865" s="15" t="s">
        <v>26939</v>
      </c>
      <c r="D1865" s="31">
        <v>43089</v>
      </c>
      <c r="E1865" s="15" t="s">
        <v>26942</v>
      </c>
      <c r="F1865" s="87" t="s">
        <v>21871</v>
      </c>
      <c r="G1865" s="45" t="s">
        <v>12569</v>
      </c>
      <c r="H1865" s="55" t="s">
        <v>12570</v>
      </c>
      <c r="I1865" s="15" t="s">
        <v>358</v>
      </c>
    </row>
    <row r="1866" spans="1:9" ht="51.75" customHeight="1" x14ac:dyDescent="0.35">
      <c r="A1866" s="15" t="s">
        <v>25435</v>
      </c>
      <c r="B1866" s="15" t="s">
        <v>26943</v>
      </c>
      <c r="C1866" s="15" t="s">
        <v>26944</v>
      </c>
      <c r="D1866" s="31">
        <v>43089</v>
      </c>
      <c r="E1866" s="15" t="s">
        <v>26945</v>
      </c>
      <c r="F1866" s="87" t="s">
        <v>26567</v>
      </c>
      <c r="G1866" s="45" t="s">
        <v>12569</v>
      </c>
      <c r="H1866" s="55" t="s">
        <v>12570</v>
      </c>
      <c r="I1866" s="15" t="s">
        <v>358</v>
      </c>
    </row>
    <row r="1867" spans="1:9" ht="51.75" customHeight="1" x14ac:dyDescent="0.35">
      <c r="A1867" s="15" t="s">
        <v>25435</v>
      </c>
      <c r="B1867" s="15" t="s">
        <v>26946</v>
      </c>
      <c r="C1867" s="15" t="s">
        <v>26944</v>
      </c>
      <c r="D1867" s="31">
        <v>43089</v>
      </c>
      <c r="E1867" s="15" t="s">
        <v>26947</v>
      </c>
      <c r="F1867" s="87" t="s">
        <v>21871</v>
      </c>
      <c r="G1867" s="45" t="s">
        <v>12569</v>
      </c>
      <c r="H1867" s="55" t="s">
        <v>12570</v>
      </c>
      <c r="I1867" s="15" t="s">
        <v>358</v>
      </c>
    </row>
    <row r="1868" spans="1:9" ht="51.75" customHeight="1" x14ac:dyDescent="0.35">
      <c r="A1868" s="15" t="s">
        <v>25442</v>
      </c>
      <c r="B1868" s="15" t="s">
        <v>26948</v>
      </c>
      <c r="C1868" s="15" t="s">
        <v>26939</v>
      </c>
      <c r="D1868" s="31">
        <v>43089</v>
      </c>
      <c r="E1868" s="15" t="s">
        <v>26949</v>
      </c>
      <c r="F1868" s="87" t="s">
        <v>26567</v>
      </c>
      <c r="G1868" s="45" t="s">
        <v>12569</v>
      </c>
      <c r="H1868" s="55" t="s">
        <v>12570</v>
      </c>
      <c r="I1868" s="15" t="s">
        <v>358</v>
      </c>
    </row>
    <row r="1869" spans="1:9" ht="51.75" customHeight="1" x14ac:dyDescent="0.35">
      <c r="A1869" s="15" t="s">
        <v>25442</v>
      </c>
      <c r="B1869" s="15" t="s">
        <v>26950</v>
      </c>
      <c r="C1869" s="15" t="s">
        <v>26939</v>
      </c>
      <c r="D1869" s="31">
        <v>43089</v>
      </c>
      <c r="E1869" s="15" t="s">
        <v>26951</v>
      </c>
      <c r="F1869" s="87" t="s">
        <v>21871</v>
      </c>
      <c r="G1869" s="45" t="s">
        <v>12569</v>
      </c>
      <c r="H1869" s="55" t="s">
        <v>12570</v>
      </c>
      <c r="I1869" s="15" t="s">
        <v>358</v>
      </c>
    </row>
    <row r="1870" spans="1:9" ht="51.75" customHeight="1" x14ac:dyDescent="0.35">
      <c r="A1870" s="15" t="s">
        <v>25074</v>
      </c>
      <c r="B1870" s="15" t="s">
        <v>26952</v>
      </c>
      <c r="C1870" s="15" t="s">
        <v>26939</v>
      </c>
      <c r="D1870" s="31">
        <v>43129</v>
      </c>
      <c r="E1870" s="15" t="s">
        <v>26953</v>
      </c>
      <c r="F1870" s="87" t="s">
        <v>26567</v>
      </c>
      <c r="G1870" s="45" t="s">
        <v>13327</v>
      </c>
      <c r="H1870" s="55" t="s">
        <v>13328</v>
      </c>
      <c r="I1870" s="15" t="s">
        <v>358</v>
      </c>
    </row>
    <row r="1871" spans="1:9" ht="51.75" customHeight="1" x14ac:dyDescent="0.35">
      <c r="A1871" s="15" t="s">
        <v>25074</v>
      </c>
      <c r="B1871" s="15" t="s">
        <v>26954</v>
      </c>
      <c r="C1871" s="15" t="s">
        <v>26939</v>
      </c>
      <c r="D1871" s="31">
        <v>43129</v>
      </c>
      <c r="E1871" s="15" t="s">
        <v>26955</v>
      </c>
      <c r="F1871" s="87" t="s">
        <v>21871</v>
      </c>
      <c r="G1871" s="45" t="s">
        <v>13327</v>
      </c>
      <c r="H1871" s="55" t="s">
        <v>13328</v>
      </c>
      <c r="I1871" s="15" t="s">
        <v>358</v>
      </c>
    </row>
    <row r="1872" spans="1:9" ht="51.75" customHeight="1" x14ac:dyDescent="0.35">
      <c r="A1872" s="15" t="s">
        <v>24647</v>
      </c>
      <c r="B1872" s="15" t="s">
        <v>26956</v>
      </c>
      <c r="C1872" s="15" t="s">
        <v>26939</v>
      </c>
      <c r="D1872" s="31">
        <v>43129</v>
      </c>
      <c r="E1872" s="15" t="s">
        <v>26957</v>
      </c>
      <c r="F1872" s="87" t="s">
        <v>26567</v>
      </c>
      <c r="G1872" s="45" t="s">
        <v>13327</v>
      </c>
      <c r="H1872" s="55" t="s">
        <v>13328</v>
      </c>
      <c r="I1872" s="15" t="s">
        <v>358</v>
      </c>
    </row>
    <row r="1873" spans="1:9" ht="51.75" customHeight="1" x14ac:dyDescent="0.35">
      <c r="A1873" s="15" t="s">
        <v>24647</v>
      </c>
      <c r="B1873" s="15" t="s">
        <v>26958</v>
      </c>
      <c r="C1873" s="15" t="s">
        <v>26939</v>
      </c>
      <c r="D1873" s="31">
        <v>43129</v>
      </c>
      <c r="E1873" s="15" t="s">
        <v>26959</v>
      </c>
      <c r="F1873" s="87" t="s">
        <v>21871</v>
      </c>
      <c r="G1873" s="45" t="s">
        <v>13327</v>
      </c>
      <c r="H1873" s="55" t="s">
        <v>13328</v>
      </c>
      <c r="I1873" s="15" t="s">
        <v>358</v>
      </c>
    </row>
    <row r="1874" spans="1:9" ht="51.75" customHeight="1" x14ac:dyDescent="0.35">
      <c r="A1874" s="15" t="s">
        <v>24659</v>
      </c>
      <c r="B1874" s="15" t="s">
        <v>26960</v>
      </c>
      <c r="C1874" s="15" t="s">
        <v>26939</v>
      </c>
      <c r="D1874" s="31">
        <v>43129</v>
      </c>
      <c r="E1874" s="15" t="s">
        <v>26961</v>
      </c>
      <c r="F1874" s="87" t="s">
        <v>26567</v>
      </c>
      <c r="G1874" s="45" t="s">
        <v>13327</v>
      </c>
      <c r="H1874" s="55" t="s">
        <v>13328</v>
      </c>
      <c r="I1874" s="15" t="s">
        <v>358</v>
      </c>
    </row>
    <row r="1875" spans="1:9" ht="51.75" customHeight="1" x14ac:dyDescent="0.35">
      <c r="A1875" s="15" t="s">
        <v>24659</v>
      </c>
      <c r="B1875" s="15" t="s">
        <v>26962</v>
      </c>
      <c r="C1875" s="15" t="s">
        <v>26939</v>
      </c>
      <c r="D1875" s="31">
        <v>43129</v>
      </c>
      <c r="E1875" s="15" t="s">
        <v>26963</v>
      </c>
      <c r="F1875" s="87" t="s">
        <v>21871</v>
      </c>
      <c r="G1875" s="45" t="s">
        <v>13327</v>
      </c>
      <c r="H1875" s="55" t="s">
        <v>13328</v>
      </c>
      <c r="I1875" s="15" t="s">
        <v>358</v>
      </c>
    </row>
    <row r="1876" spans="1:9" ht="51.75" customHeight="1" x14ac:dyDescent="0.35">
      <c r="A1876" s="15" t="s">
        <v>24665</v>
      </c>
      <c r="B1876" s="15" t="s">
        <v>26964</v>
      </c>
      <c r="C1876" s="15" t="s">
        <v>26965</v>
      </c>
      <c r="D1876" s="31">
        <v>43129</v>
      </c>
      <c r="E1876" s="15" t="s">
        <v>26966</v>
      </c>
      <c r="F1876" s="87" t="s">
        <v>26567</v>
      </c>
      <c r="G1876" s="45" t="s">
        <v>13327</v>
      </c>
      <c r="H1876" s="55" t="s">
        <v>13328</v>
      </c>
      <c r="I1876" s="15" t="s">
        <v>358</v>
      </c>
    </row>
    <row r="1877" spans="1:9" ht="51.75" customHeight="1" x14ac:dyDescent="0.35">
      <c r="A1877" s="15" t="s">
        <v>24665</v>
      </c>
      <c r="B1877" s="15" t="s">
        <v>26967</v>
      </c>
      <c r="C1877" s="15" t="s">
        <v>26965</v>
      </c>
      <c r="D1877" s="31">
        <v>43129</v>
      </c>
      <c r="E1877" s="15" t="s">
        <v>26968</v>
      </c>
      <c r="F1877" s="87" t="s">
        <v>21871</v>
      </c>
      <c r="G1877" s="45" t="s">
        <v>13327</v>
      </c>
      <c r="H1877" s="55" t="s">
        <v>13328</v>
      </c>
      <c r="I1877" s="15" t="s">
        <v>358</v>
      </c>
    </row>
    <row r="1878" spans="1:9" ht="51.75" customHeight="1" x14ac:dyDescent="0.35">
      <c r="A1878" s="15" t="s">
        <v>22175</v>
      </c>
      <c r="B1878" s="15" t="s">
        <v>26969</v>
      </c>
      <c r="C1878" s="15" t="s">
        <v>26939</v>
      </c>
      <c r="D1878" s="31">
        <v>43083</v>
      </c>
      <c r="E1878" s="15" t="s">
        <v>26970</v>
      </c>
      <c r="F1878" s="87" t="s">
        <v>26567</v>
      </c>
      <c r="G1878" s="45" t="s">
        <v>13564</v>
      </c>
      <c r="H1878" s="55" t="s">
        <v>13565</v>
      </c>
      <c r="I1878" s="15" t="s">
        <v>358</v>
      </c>
    </row>
    <row r="1879" spans="1:9" ht="51.75" customHeight="1" x14ac:dyDescent="0.35">
      <c r="A1879" s="15" t="s">
        <v>22175</v>
      </c>
      <c r="B1879" s="15" t="s">
        <v>26971</v>
      </c>
      <c r="C1879" s="15" t="s">
        <v>26939</v>
      </c>
      <c r="D1879" s="31">
        <v>43083</v>
      </c>
      <c r="E1879" s="15" t="s">
        <v>26972</v>
      </c>
      <c r="F1879" s="87" t="s">
        <v>21871</v>
      </c>
      <c r="G1879" s="45" t="s">
        <v>13564</v>
      </c>
      <c r="H1879" s="55" t="s">
        <v>13565</v>
      </c>
      <c r="I1879" s="15" t="s">
        <v>358</v>
      </c>
    </row>
    <row r="1880" spans="1:9" ht="51.75" customHeight="1" x14ac:dyDescent="0.35">
      <c r="A1880" s="15" t="s">
        <v>22179</v>
      </c>
      <c r="B1880" s="15" t="s">
        <v>26973</v>
      </c>
      <c r="C1880" s="15" t="s">
        <v>26939</v>
      </c>
      <c r="D1880" s="31">
        <v>43083</v>
      </c>
      <c r="E1880" s="15" t="s">
        <v>26974</v>
      </c>
      <c r="F1880" s="87" t="s">
        <v>26567</v>
      </c>
      <c r="G1880" s="45" t="s">
        <v>13564</v>
      </c>
      <c r="H1880" s="55" t="s">
        <v>13565</v>
      </c>
      <c r="I1880" s="15" t="s">
        <v>358</v>
      </c>
    </row>
    <row r="1881" spans="1:9" ht="51.75" customHeight="1" x14ac:dyDescent="0.35">
      <c r="A1881" s="15" t="s">
        <v>22179</v>
      </c>
      <c r="B1881" s="15" t="s">
        <v>26975</v>
      </c>
      <c r="C1881" s="15" t="s">
        <v>26939</v>
      </c>
      <c r="D1881" s="31">
        <v>43083</v>
      </c>
      <c r="E1881" s="15" t="s">
        <v>26976</v>
      </c>
      <c r="F1881" s="87" t="s">
        <v>21871</v>
      </c>
      <c r="G1881" s="45" t="s">
        <v>13564</v>
      </c>
      <c r="H1881" s="55" t="s">
        <v>13565</v>
      </c>
      <c r="I1881" s="15" t="s">
        <v>358</v>
      </c>
    </row>
    <row r="1882" spans="1:9" ht="51.75" customHeight="1" x14ac:dyDescent="0.35">
      <c r="A1882" s="15" t="s">
        <v>25451</v>
      </c>
      <c r="B1882" s="15" t="s">
        <v>26977</v>
      </c>
      <c r="C1882" s="15" t="s">
        <v>26939</v>
      </c>
      <c r="D1882" s="31">
        <v>43083</v>
      </c>
      <c r="E1882" s="15" t="s">
        <v>26978</v>
      </c>
      <c r="F1882" s="87" t="s">
        <v>26567</v>
      </c>
      <c r="G1882" s="45" t="s">
        <v>13564</v>
      </c>
      <c r="H1882" s="55" t="s">
        <v>13565</v>
      </c>
      <c r="I1882" s="15" t="s">
        <v>358</v>
      </c>
    </row>
    <row r="1883" spans="1:9" ht="51.75" customHeight="1" x14ac:dyDescent="0.35">
      <c r="A1883" s="15" t="s">
        <v>25451</v>
      </c>
      <c r="B1883" s="15" t="s">
        <v>26979</v>
      </c>
      <c r="C1883" s="15" t="s">
        <v>26939</v>
      </c>
      <c r="D1883" s="31">
        <v>43083</v>
      </c>
      <c r="E1883" s="15" t="s">
        <v>26980</v>
      </c>
      <c r="F1883" s="87" t="s">
        <v>21871</v>
      </c>
      <c r="G1883" s="45" t="s">
        <v>13564</v>
      </c>
      <c r="H1883" s="55" t="s">
        <v>13565</v>
      </c>
      <c r="I1883" s="15" t="s">
        <v>358</v>
      </c>
    </row>
    <row r="1884" spans="1:9" ht="51.75" customHeight="1" x14ac:dyDescent="0.35">
      <c r="A1884" s="15" t="s">
        <v>25454</v>
      </c>
      <c r="B1884" s="15" t="s">
        <v>26981</v>
      </c>
      <c r="C1884" s="15" t="s">
        <v>26939</v>
      </c>
      <c r="D1884" s="31">
        <v>43083</v>
      </c>
      <c r="E1884" s="15" t="s">
        <v>26982</v>
      </c>
      <c r="F1884" s="87" t="s">
        <v>26567</v>
      </c>
      <c r="G1884" s="45" t="s">
        <v>13564</v>
      </c>
      <c r="H1884" s="55" t="s">
        <v>13565</v>
      </c>
      <c r="I1884" s="15" t="s">
        <v>358</v>
      </c>
    </row>
    <row r="1885" spans="1:9" ht="51.75" customHeight="1" x14ac:dyDescent="0.35">
      <c r="A1885" s="15" t="s">
        <v>25454</v>
      </c>
      <c r="B1885" s="15" t="s">
        <v>26983</v>
      </c>
      <c r="C1885" s="15" t="s">
        <v>26939</v>
      </c>
      <c r="D1885" s="31">
        <v>43083</v>
      </c>
      <c r="E1885" s="15" t="s">
        <v>26984</v>
      </c>
      <c r="F1885" s="87" t="s">
        <v>21871</v>
      </c>
      <c r="G1885" s="45" t="s">
        <v>13564</v>
      </c>
      <c r="H1885" s="55" t="s">
        <v>13565</v>
      </c>
      <c r="I1885" s="15" t="s">
        <v>358</v>
      </c>
    </row>
    <row r="1886" spans="1:9" ht="51.75" customHeight="1" x14ac:dyDescent="0.35">
      <c r="A1886" s="15" t="s">
        <v>24197</v>
      </c>
      <c r="B1886" s="15" t="s">
        <v>26985</v>
      </c>
      <c r="C1886" s="15" t="s">
        <v>26986</v>
      </c>
      <c r="D1886" s="31">
        <v>43262</v>
      </c>
      <c r="E1886" s="15" t="s">
        <v>26987</v>
      </c>
      <c r="F1886" s="87" t="s">
        <v>26567</v>
      </c>
      <c r="G1886" s="45" t="s">
        <v>13722</v>
      </c>
      <c r="H1886" s="55" t="s">
        <v>13723</v>
      </c>
      <c r="I1886" s="15" t="s">
        <v>358</v>
      </c>
    </row>
    <row r="1887" spans="1:9" ht="51.75" customHeight="1" x14ac:dyDescent="0.35">
      <c r="A1887" s="15" t="s">
        <v>24197</v>
      </c>
      <c r="B1887" s="15" t="s">
        <v>26988</v>
      </c>
      <c r="C1887" s="15" t="s">
        <v>26986</v>
      </c>
      <c r="D1887" s="31">
        <v>43262</v>
      </c>
      <c r="E1887" s="15" t="s">
        <v>26989</v>
      </c>
      <c r="F1887" s="87" t="s">
        <v>21871</v>
      </c>
      <c r="G1887" s="45" t="s">
        <v>13722</v>
      </c>
      <c r="H1887" s="55" t="s">
        <v>13723</v>
      </c>
      <c r="I1887" s="15" t="s">
        <v>358</v>
      </c>
    </row>
    <row r="1888" spans="1:9" ht="51.75" customHeight="1" x14ac:dyDescent="0.35">
      <c r="A1888" s="15" t="s">
        <v>24546</v>
      </c>
      <c r="B1888" s="15" t="s">
        <v>26990</v>
      </c>
      <c r="C1888" s="15" t="s">
        <v>26986</v>
      </c>
      <c r="D1888" s="31">
        <v>43262</v>
      </c>
      <c r="E1888" s="15" t="s">
        <v>26991</v>
      </c>
      <c r="F1888" s="87" t="s">
        <v>26567</v>
      </c>
      <c r="G1888" s="45" t="s">
        <v>13722</v>
      </c>
      <c r="H1888" s="55" t="s">
        <v>13723</v>
      </c>
      <c r="I1888" s="15" t="s">
        <v>358</v>
      </c>
    </row>
    <row r="1889" spans="1:9" ht="51.75" customHeight="1" x14ac:dyDescent="0.35">
      <c r="A1889" s="15" t="s">
        <v>24546</v>
      </c>
      <c r="B1889" s="15" t="s">
        <v>26992</v>
      </c>
      <c r="C1889" s="15" t="s">
        <v>26986</v>
      </c>
      <c r="D1889" s="31">
        <v>43262</v>
      </c>
      <c r="E1889" s="15" t="s">
        <v>26993</v>
      </c>
      <c r="F1889" s="87" t="s">
        <v>21871</v>
      </c>
      <c r="G1889" s="45" t="s">
        <v>13722</v>
      </c>
      <c r="H1889" s="55" t="s">
        <v>13723</v>
      </c>
      <c r="I1889" s="15" t="s">
        <v>358</v>
      </c>
    </row>
    <row r="1890" spans="1:9" ht="51.75" customHeight="1" x14ac:dyDescent="0.35">
      <c r="A1890" s="15" t="s">
        <v>24551</v>
      </c>
      <c r="B1890" s="15" t="s">
        <v>26994</v>
      </c>
      <c r="C1890" s="15" t="s">
        <v>26986</v>
      </c>
      <c r="D1890" s="31">
        <v>43262</v>
      </c>
      <c r="E1890" s="15" t="s">
        <v>26995</v>
      </c>
      <c r="F1890" s="87" t="s">
        <v>26567</v>
      </c>
      <c r="G1890" s="45" t="s">
        <v>13722</v>
      </c>
      <c r="H1890" s="55" t="s">
        <v>13723</v>
      </c>
      <c r="I1890" s="15" t="s">
        <v>358</v>
      </c>
    </row>
    <row r="1891" spans="1:9" ht="51.75" customHeight="1" x14ac:dyDescent="0.35">
      <c r="A1891" s="15" t="s">
        <v>24551</v>
      </c>
      <c r="B1891" s="15" t="s">
        <v>26996</v>
      </c>
      <c r="C1891" s="15" t="s">
        <v>26986</v>
      </c>
      <c r="D1891" s="31">
        <v>43262</v>
      </c>
      <c r="E1891" s="15" t="s">
        <v>26997</v>
      </c>
      <c r="F1891" s="87" t="s">
        <v>21871</v>
      </c>
      <c r="G1891" s="45" t="s">
        <v>13722</v>
      </c>
      <c r="H1891" s="55" t="s">
        <v>13723</v>
      </c>
      <c r="I1891" s="15" t="s">
        <v>358</v>
      </c>
    </row>
    <row r="1892" spans="1:9" ht="51.75" customHeight="1" x14ac:dyDescent="0.35">
      <c r="A1892" s="15" t="s">
        <v>24556</v>
      </c>
      <c r="B1892" s="15" t="s">
        <v>26998</v>
      </c>
      <c r="C1892" s="15" t="s">
        <v>26986</v>
      </c>
      <c r="D1892" s="31">
        <v>43262</v>
      </c>
      <c r="E1892" s="15" t="s">
        <v>26999</v>
      </c>
      <c r="F1892" s="87" t="s">
        <v>26567</v>
      </c>
      <c r="G1892" s="45" t="s">
        <v>13722</v>
      </c>
      <c r="H1892" s="55" t="s">
        <v>13723</v>
      </c>
      <c r="I1892" s="15" t="s">
        <v>358</v>
      </c>
    </row>
    <row r="1893" spans="1:9" ht="51.75" customHeight="1" x14ac:dyDescent="0.35">
      <c r="A1893" s="15" t="s">
        <v>24556</v>
      </c>
      <c r="B1893" s="15" t="s">
        <v>27000</v>
      </c>
      <c r="C1893" s="15" t="s">
        <v>26986</v>
      </c>
      <c r="D1893" s="31">
        <v>43262</v>
      </c>
      <c r="E1893" s="15" t="s">
        <v>27001</v>
      </c>
      <c r="F1893" s="87" t="s">
        <v>21871</v>
      </c>
      <c r="G1893" s="45" t="s">
        <v>13722</v>
      </c>
      <c r="H1893" s="55" t="s">
        <v>13723</v>
      </c>
      <c r="I1893" s="15" t="s">
        <v>358</v>
      </c>
    </row>
    <row r="1894" spans="1:9" ht="51.75" customHeight="1" x14ac:dyDescent="0.35">
      <c r="A1894" s="15" t="s">
        <v>27002</v>
      </c>
      <c r="B1894" s="15" t="s">
        <v>27003</v>
      </c>
      <c r="C1894" s="15" t="s">
        <v>27004</v>
      </c>
      <c r="D1894" s="31" t="s">
        <v>50</v>
      </c>
      <c r="E1894" s="15" t="s">
        <v>27005</v>
      </c>
      <c r="F1894" s="87" t="s">
        <v>26567</v>
      </c>
      <c r="G1894" s="45" t="s">
        <v>13786</v>
      </c>
      <c r="H1894" s="55" t="s">
        <v>13787</v>
      </c>
      <c r="I1894" s="15" t="s">
        <v>358</v>
      </c>
    </row>
    <row r="1895" spans="1:9" ht="51.75" customHeight="1" x14ac:dyDescent="0.35">
      <c r="A1895" s="15" t="s">
        <v>27002</v>
      </c>
      <c r="B1895" s="15" t="s">
        <v>27006</v>
      </c>
      <c r="C1895" s="15" t="s">
        <v>27004</v>
      </c>
      <c r="D1895" s="31" t="s">
        <v>50</v>
      </c>
      <c r="E1895" s="15" t="s">
        <v>27007</v>
      </c>
      <c r="F1895" s="87" t="s">
        <v>21871</v>
      </c>
      <c r="G1895" s="45" t="s">
        <v>13786</v>
      </c>
      <c r="H1895" s="55" t="s">
        <v>13787</v>
      </c>
      <c r="I1895" s="15" t="s">
        <v>358</v>
      </c>
    </row>
    <row r="1896" spans="1:9" ht="51.75" customHeight="1" x14ac:dyDescent="0.35">
      <c r="A1896" s="15" t="s">
        <v>27008</v>
      </c>
      <c r="B1896" s="15" t="s">
        <v>27009</v>
      </c>
      <c r="C1896" s="15" t="s">
        <v>27004</v>
      </c>
      <c r="D1896" s="31" t="s">
        <v>50</v>
      </c>
      <c r="E1896" s="15" t="s">
        <v>27010</v>
      </c>
      <c r="F1896" s="87" t="s">
        <v>26567</v>
      </c>
      <c r="G1896" s="45" t="s">
        <v>13786</v>
      </c>
      <c r="H1896" s="55" t="s">
        <v>13787</v>
      </c>
      <c r="I1896" s="15" t="s">
        <v>358</v>
      </c>
    </row>
    <row r="1897" spans="1:9" ht="51.75" customHeight="1" x14ac:dyDescent="0.35">
      <c r="A1897" s="15" t="s">
        <v>27008</v>
      </c>
      <c r="B1897" s="15" t="s">
        <v>27011</v>
      </c>
      <c r="C1897" s="15" t="s">
        <v>27004</v>
      </c>
      <c r="D1897" s="31" t="s">
        <v>50</v>
      </c>
      <c r="E1897" s="15" t="s">
        <v>27012</v>
      </c>
      <c r="F1897" s="87" t="s">
        <v>21871</v>
      </c>
      <c r="G1897" s="45" t="s">
        <v>13786</v>
      </c>
      <c r="H1897" s="55" t="s">
        <v>13787</v>
      </c>
      <c r="I1897" s="15" t="s">
        <v>358</v>
      </c>
    </row>
    <row r="1898" spans="1:9" ht="51.75" customHeight="1" x14ac:dyDescent="0.35">
      <c r="A1898" s="15" t="s">
        <v>27013</v>
      </c>
      <c r="B1898" s="15" t="s">
        <v>27014</v>
      </c>
      <c r="C1898" s="15" t="s">
        <v>27015</v>
      </c>
      <c r="D1898" s="31" t="s">
        <v>50</v>
      </c>
      <c r="E1898" s="15" t="s">
        <v>27016</v>
      </c>
      <c r="F1898" s="87" t="s">
        <v>26567</v>
      </c>
      <c r="G1898" s="45" t="s">
        <v>13786</v>
      </c>
      <c r="H1898" s="55" t="s">
        <v>13787</v>
      </c>
      <c r="I1898" s="15" t="s">
        <v>358</v>
      </c>
    </row>
    <row r="1899" spans="1:9" ht="51.75" customHeight="1" x14ac:dyDescent="0.35">
      <c r="A1899" s="15" t="s">
        <v>27013</v>
      </c>
      <c r="B1899" s="15" t="s">
        <v>27017</v>
      </c>
      <c r="C1899" s="15" t="s">
        <v>27015</v>
      </c>
      <c r="D1899" s="31" t="s">
        <v>50</v>
      </c>
      <c r="E1899" s="15" t="s">
        <v>27018</v>
      </c>
      <c r="F1899" s="87" t="s">
        <v>21871</v>
      </c>
      <c r="G1899" s="45" t="s">
        <v>13786</v>
      </c>
      <c r="H1899" s="55" t="s">
        <v>13787</v>
      </c>
      <c r="I1899" s="15" t="s">
        <v>358</v>
      </c>
    </row>
    <row r="1900" spans="1:9" ht="51.75" customHeight="1" x14ac:dyDescent="0.35">
      <c r="A1900" s="15" t="s">
        <v>24567</v>
      </c>
      <c r="B1900" s="15" t="s">
        <v>27019</v>
      </c>
      <c r="C1900" s="15" t="s">
        <v>27020</v>
      </c>
      <c r="D1900" s="31">
        <v>43067</v>
      </c>
      <c r="E1900" s="15" t="s">
        <v>27021</v>
      </c>
      <c r="F1900" s="87" t="s">
        <v>26567</v>
      </c>
      <c r="G1900" s="45" t="s">
        <v>14056</v>
      </c>
      <c r="H1900" s="55" t="s">
        <v>14057</v>
      </c>
      <c r="I1900" s="15" t="s">
        <v>358</v>
      </c>
    </row>
    <row r="1901" spans="1:9" ht="51.75" customHeight="1" x14ac:dyDescent="0.35">
      <c r="A1901" s="15" t="s">
        <v>24567</v>
      </c>
      <c r="B1901" s="15" t="s">
        <v>27022</v>
      </c>
      <c r="C1901" s="15" t="s">
        <v>27020</v>
      </c>
      <c r="D1901" s="31">
        <v>43067</v>
      </c>
      <c r="E1901" s="15" t="s">
        <v>27023</v>
      </c>
      <c r="F1901" s="87" t="s">
        <v>21871</v>
      </c>
      <c r="G1901" s="45" t="s">
        <v>14056</v>
      </c>
      <c r="H1901" s="55" t="s">
        <v>14057</v>
      </c>
      <c r="I1901" s="15" t="s">
        <v>358</v>
      </c>
    </row>
    <row r="1902" spans="1:9" ht="51.75" customHeight="1" x14ac:dyDescent="0.35">
      <c r="A1902" s="15" t="s">
        <v>23810</v>
      </c>
      <c r="B1902" s="15" t="s">
        <v>27024</v>
      </c>
      <c r="C1902" s="15" t="s">
        <v>26986</v>
      </c>
      <c r="D1902" s="31">
        <v>43291</v>
      </c>
      <c r="E1902" s="15" t="s">
        <v>27025</v>
      </c>
      <c r="F1902" s="87" t="s">
        <v>26567</v>
      </c>
      <c r="G1902" s="45" t="s">
        <v>14056</v>
      </c>
      <c r="H1902" s="55" t="s">
        <v>14057</v>
      </c>
      <c r="I1902" s="15" t="s">
        <v>358</v>
      </c>
    </row>
    <row r="1903" spans="1:9" ht="51.75" customHeight="1" x14ac:dyDescent="0.35">
      <c r="A1903" s="15" t="s">
        <v>23810</v>
      </c>
      <c r="B1903" s="15" t="s">
        <v>27026</v>
      </c>
      <c r="C1903" s="15" t="s">
        <v>26986</v>
      </c>
      <c r="D1903" s="31">
        <v>43291</v>
      </c>
      <c r="E1903" s="15" t="s">
        <v>27027</v>
      </c>
      <c r="F1903" s="87" t="s">
        <v>21871</v>
      </c>
      <c r="G1903" s="45" t="s">
        <v>14056</v>
      </c>
      <c r="H1903" s="55" t="s">
        <v>14057</v>
      </c>
      <c r="I1903" s="15" t="s">
        <v>358</v>
      </c>
    </row>
    <row r="1904" spans="1:9" ht="51.75" customHeight="1" x14ac:dyDescent="0.35">
      <c r="A1904" s="15" t="s">
        <v>24215</v>
      </c>
      <c r="B1904" s="15" t="s">
        <v>27028</v>
      </c>
      <c r="C1904" s="15" t="s">
        <v>26986</v>
      </c>
      <c r="D1904" s="31">
        <v>43291</v>
      </c>
      <c r="E1904" s="15" t="s">
        <v>27029</v>
      </c>
      <c r="F1904" s="87" t="s">
        <v>26567</v>
      </c>
      <c r="G1904" s="45" t="s">
        <v>14056</v>
      </c>
      <c r="H1904" s="55" t="s">
        <v>14057</v>
      </c>
      <c r="I1904" s="15" t="s">
        <v>358</v>
      </c>
    </row>
    <row r="1905" spans="1:9" ht="51.75" customHeight="1" x14ac:dyDescent="0.35">
      <c r="A1905" s="15" t="s">
        <v>24215</v>
      </c>
      <c r="B1905" s="15" t="s">
        <v>27030</v>
      </c>
      <c r="C1905" s="15" t="s">
        <v>26986</v>
      </c>
      <c r="D1905" s="31">
        <v>43291</v>
      </c>
      <c r="E1905" s="15" t="s">
        <v>27031</v>
      </c>
      <c r="F1905" s="87" t="s">
        <v>21871</v>
      </c>
      <c r="G1905" s="45" t="s">
        <v>14056</v>
      </c>
      <c r="H1905" s="55" t="s">
        <v>14057</v>
      </c>
      <c r="I1905" s="15" t="s">
        <v>358</v>
      </c>
    </row>
    <row r="1906" spans="1:9" ht="51.75" customHeight="1" x14ac:dyDescent="0.35">
      <c r="A1906" s="15" t="s">
        <v>23277</v>
      </c>
      <c r="B1906" s="15" t="s">
        <v>27032</v>
      </c>
      <c r="C1906" s="15" t="s">
        <v>26986</v>
      </c>
      <c r="D1906" s="31">
        <v>43291</v>
      </c>
      <c r="E1906" s="15" t="s">
        <v>27033</v>
      </c>
      <c r="F1906" s="87" t="s">
        <v>26567</v>
      </c>
      <c r="G1906" s="45" t="s">
        <v>14056</v>
      </c>
      <c r="H1906" s="55" t="s">
        <v>14057</v>
      </c>
      <c r="I1906" s="15" t="s">
        <v>358</v>
      </c>
    </row>
    <row r="1907" spans="1:9" ht="51.75" customHeight="1" x14ac:dyDescent="0.35">
      <c r="A1907" s="15" t="s">
        <v>23277</v>
      </c>
      <c r="B1907" s="15" t="s">
        <v>27034</v>
      </c>
      <c r="C1907" s="15" t="s">
        <v>26986</v>
      </c>
      <c r="D1907" s="31">
        <v>43291</v>
      </c>
      <c r="E1907" s="15" t="s">
        <v>27035</v>
      </c>
      <c r="F1907" s="87" t="s">
        <v>21871</v>
      </c>
      <c r="G1907" s="45" t="s">
        <v>14056</v>
      </c>
      <c r="H1907" s="55" t="s">
        <v>14057</v>
      </c>
      <c r="I1907" s="15" t="s">
        <v>358</v>
      </c>
    </row>
    <row r="1908" spans="1:9" ht="51.75" customHeight="1" x14ac:dyDescent="0.35">
      <c r="A1908" s="15" t="s">
        <v>23283</v>
      </c>
      <c r="B1908" s="15" t="s">
        <v>27036</v>
      </c>
      <c r="C1908" s="15" t="s">
        <v>26986</v>
      </c>
      <c r="D1908" s="31">
        <v>43291</v>
      </c>
      <c r="E1908" s="15" t="s">
        <v>27037</v>
      </c>
      <c r="F1908" s="87" t="s">
        <v>26567</v>
      </c>
      <c r="G1908" s="45" t="s">
        <v>14056</v>
      </c>
      <c r="H1908" s="55" t="s">
        <v>14057</v>
      </c>
      <c r="I1908" s="15" t="s">
        <v>358</v>
      </c>
    </row>
    <row r="1909" spans="1:9" ht="51.75" customHeight="1" x14ac:dyDescent="0.35">
      <c r="A1909" s="15" t="s">
        <v>23283</v>
      </c>
      <c r="B1909" s="15" t="s">
        <v>27038</v>
      </c>
      <c r="C1909" s="15" t="s">
        <v>26986</v>
      </c>
      <c r="D1909" s="31">
        <v>43291</v>
      </c>
      <c r="E1909" s="15" t="s">
        <v>27039</v>
      </c>
      <c r="F1909" s="87" t="s">
        <v>21871</v>
      </c>
      <c r="G1909" s="45" t="s">
        <v>14056</v>
      </c>
      <c r="H1909" s="55" t="s">
        <v>14057</v>
      </c>
      <c r="I1909" s="15" t="s">
        <v>358</v>
      </c>
    </row>
    <row r="1910" spans="1:9" ht="51.75" customHeight="1" x14ac:dyDescent="0.35">
      <c r="A1910" s="15" t="s">
        <v>27040</v>
      </c>
      <c r="B1910" s="15" t="s">
        <v>27041</v>
      </c>
      <c r="C1910" s="15" t="s">
        <v>26939</v>
      </c>
      <c r="D1910" s="31">
        <v>43272</v>
      </c>
      <c r="E1910" s="15" t="s">
        <v>27042</v>
      </c>
      <c r="F1910" s="87" t="s">
        <v>26567</v>
      </c>
      <c r="G1910" s="45" t="s">
        <v>13683</v>
      </c>
      <c r="H1910" s="55" t="s">
        <v>13684</v>
      </c>
      <c r="I1910" s="15" t="s">
        <v>358</v>
      </c>
    </row>
    <row r="1911" spans="1:9" ht="51.75" customHeight="1" x14ac:dyDescent="0.35">
      <c r="A1911" s="15" t="s">
        <v>27040</v>
      </c>
      <c r="B1911" s="15" t="s">
        <v>27043</v>
      </c>
      <c r="C1911" s="15" t="s">
        <v>26939</v>
      </c>
      <c r="D1911" s="31">
        <v>43272</v>
      </c>
      <c r="E1911" s="15" t="s">
        <v>27044</v>
      </c>
      <c r="F1911" s="87" t="s">
        <v>21871</v>
      </c>
      <c r="G1911" s="45" t="s">
        <v>13683</v>
      </c>
      <c r="H1911" s="55" t="s">
        <v>13684</v>
      </c>
      <c r="I1911" s="15" t="s">
        <v>358</v>
      </c>
    </row>
    <row r="1912" spans="1:9" ht="51.75" customHeight="1" x14ac:dyDescent="0.35">
      <c r="A1912" s="15" t="s">
        <v>22251</v>
      </c>
      <c r="B1912" s="15" t="s">
        <v>27045</v>
      </c>
      <c r="C1912" s="15" t="s">
        <v>26939</v>
      </c>
      <c r="D1912" s="31">
        <v>43272</v>
      </c>
      <c r="E1912" s="15" t="s">
        <v>27046</v>
      </c>
      <c r="F1912" s="87" t="s">
        <v>26567</v>
      </c>
      <c r="G1912" s="45" t="s">
        <v>13683</v>
      </c>
      <c r="H1912" s="55" t="s">
        <v>13684</v>
      </c>
      <c r="I1912" s="15" t="s">
        <v>358</v>
      </c>
    </row>
    <row r="1913" spans="1:9" ht="51.75" customHeight="1" x14ac:dyDescent="0.35">
      <c r="A1913" s="15" t="s">
        <v>22251</v>
      </c>
      <c r="B1913" s="15" t="s">
        <v>27047</v>
      </c>
      <c r="C1913" s="15" t="s">
        <v>26939</v>
      </c>
      <c r="D1913" s="31">
        <v>43272</v>
      </c>
      <c r="E1913" s="15" t="s">
        <v>27048</v>
      </c>
      <c r="F1913" s="87" t="s">
        <v>21871</v>
      </c>
      <c r="G1913" s="45" t="s">
        <v>13683</v>
      </c>
      <c r="H1913" s="55" t="s">
        <v>13684</v>
      </c>
      <c r="I1913" s="15" t="s">
        <v>358</v>
      </c>
    </row>
    <row r="1914" spans="1:9" ht="51.75" customHeight="1" x14ac:dyDescent="0.35">
      <c r="A1914" s="15" t="s">
        <v>27049</v>
      </c>
      <c r="B1914" s="15" t="s">
        <v>27050</v>
      </c>
      <c r="C1914" s="15" t="s">
        <v>27051</v>
      </c>
      <c r="D1914" s="31">
        <v>43272</v>
      </c>
      <c r="E1914" s="15" t="s">
        <v>27052</v>
      </c>
      <c r="F1914" s="87" t="s">
        <v>26567</v>
      </c>
      <c r="G1914" s="45" t="s">
        <v>13683</v>
      </c>
      <c r="H1914" s="55" t="s">
        <v>13684</v>
      </c>
      <c r="I1914" s="15" t="s">
        <v>358</v>
      </c>
    </row>
    <row r="1915" spans="1:9" ht="51.75" customHeight="1" x14ac:dyDescent="0.35">
      <c r="A1915" s="15" t="s">
        <v>27049</v>
      </c>
      <c r="B1915" s="15" t="s">
        <v>27053</v>
      </c>
      <c r="C1915" s="15" t="s">
        <v>27051</v>
      </c>
      <c r="D1915" s="31">
        <v>43272</v>
      </c>
      <c r="E1915" s="15" t="s">
        <v>27054</v>
      </c>
      <c r="F1915" s="87" t="s">
        <v>21871</v>
      </c>
      <c r="G1915" s="45" t="s">
        <v>13683</v>
      </c>
      <c r="H1915" s="55" t="s">
        <v>13684</v>
      </c>
      <c r="I1915" s="15" t="s">
        <v>358</v>
      </c>
    </row>
    <row r="1916" spans="1:9" ht="51.75" customHeight="1" x14ac:dyDescent="0.35">
      <c r="A1916" s="15" t="s">
        <v>27055</v>
      </c>
      <c r="B1916" s="15" t="s">
        <v>27056</v>
      </c>
      <c r="C1916" s="15" t="s">
        <v>27057</v>
      </c>
      <c r="D1916" s="31">
        <v>43272</v>
      </c>
      <c r="E1916" s="15" t="s">
        <v>27058</v>
      </c>
      <c r="F1916" s="87" t="s">
        <v>26567</v>
      </c>
      <c r="G1916" s="45" t="s">
        <v>13683</v>
      </c>
      <c r="H1916" s="55" t="s">
        <v>13684</v>
      </c>
      <c r="I1916" s="15" t="s">
        <v>358</v>
      </c>
    </row>
    <row r="1917" spans="1:9" ht="51.75" customHeight="1" x14ac:dyDescent="0.35">
      <c r="A1917" s="15" t="s">
        <v>27055</v>
      </c>
      <c r="B1917" s="15" t="s">
        <v>27059</v>
      </c>
      <c r="C1917" s="15" t="s">
        <v>27057</v>
      </c>
      <c r="D1917" s="31">
        <v>43272</v>
      </c>
      <c r="E1917" s="15" t="s">
        <v>27060</v>
      </c>
      <c r="F1917" s="87" t="s">
        <v>21871</v>
      </c>
      <c r="G1917" s="45" t="s">
        <v>13683</v>
      </c>
      <c r="H1917" s="55" t="s">
        <v>13684</v>
      </c>
      <c r="I1917" s="15" t="s">
        <v>358</v>
      </c>
    </row>
    <row r="1918" spans="1:9" ht="51.75" customHeight="1" x14ac:dyDescent="0.35">
      <c r="A1918" s="15" t="s">
        <v>27061</v>
      </c>
      <c r="B1918" s="15" t="s">
        <v>27062</v>
      </c>
      <c r="C1918" s="15" t="s">
        <v>27063</v>
      </c>
      <c r="D1918" s="31">
        <v>43272</v>
      </c>
      <c r="E1918" s="15" t="s">
        <v>27064</v>
      </c>
      <c r="F1918" s="87" t="s">
        <v>26567</v>
      </c>
      <c r="G1918" s="45" t="s">
        <v>13683</v>
      </c>
      <c r="H1918" s="55" t="s">
        <v>13684</v>
      </c>
      <c r="I1918" s="15" t="s">
        <v>358</v>
      </c>
    </row>
    <row r="1919" spans="1:9" ht="51.75" customHeight="1" x14ac:dyDescent="0.35">
      <c r="A1919" s="15" t="s">
        <v>27061</v>
      </c>
      <c r="B1919" s="15" t="s">
        <v>27065</v>
      </c>
      <c r="C1919" s="15" t="s">
        <v>27063</v>
      </c>
      <c r="D1919" s="31">
        <v>43272</v>
      </c>
      <c r="E1919" s="15" t="s">
        <v>27066</v>
      </c>
      <c r="F1919" s="87" t="s">
        <v>21871</v>
      </c>
      <c r="G1919" s="45" t="s">
        <v>13683</v>
      </c>
      <c r="H1919" s="55" t="s">
        <v>13684</v>
      </c>
      <c r="I1919" s="15" t="s">
        <v>358</v>
      </c>
    </row>
    <row r="1920" spans="1:9" ht="51.75" customHeight="1" x14ac:dyDescent="0.35">
      <c r="A1920" s="15" t="s">
        <v>23578</v>
      </c>
      <c r="B1920" s="15" t="s">
        <v>27067</v>
      </c>
      <c r="C1920" s="15" t="s">
        <v>27068</v>
      </c>
      <c r="D1920" s="31">
        <v>43641</v>
      </c>
      <c r="E1920" s="15" t="s">
        <v>27069</v>
      </c>
      <c r="F1920" s="87" t="s">
        <v>26567</v>
      </c>
      <c r="G1920" s="45" t="s">
        <v>14182</v>
      </c>
      <c r="H1920" s="55" t="s">
        <v>14183</v>
      </c>
      <c r="I1920" s="15" t="s">
        <v>358</v>
      </c>
    </row>
    <row r="1921" spans="1:9" ht="51.75" customHeight="1" x14ac:dyDescent="0.35">
      <c r="A1921" s="15" t="s">
        <v>23578</v>
      </c>
      <c r="B1921" s="15" t="s">
        <v>27070</v>
      </c>
      <c r="C1921" s="15" t="s">
        <v>27068</v>
      </c>
      <c r="D1921" s="31">
        <v>43641</v>
      </c>
      <c r="E1921" s="15" t="s">
        <v>27071</v>
      </c>
      <c r="F1921" s="87" t="s">
        <v>21871</v>
      </c>
      <c r="G1921" s="45" t="s">
        <v>14182</v>
      </c>
      <c r="H1921" s="55" t="s">
        <v>14183</v>
      </c>
      <c r="I1921" s="15" t="s">
        <v>358</v>
      </c>
    </row>
    <row r="1922" spans="1:9" ht="51.75" customHeight="1" x14ac:dyDescent="0.35">
      <c r="A1922" s="15" t="s">
        <v>22622</v>
      </c>
      <c r="B1922" s="15" t="s">
        <v>27072</v>
      </c>
      <c r="C1922" s="15" t="s">
        <v>27073</v>
      </c>
      <c r="D1922" s="31">
        <v>43641</v>
      </c>
      <c r="E1922" s="15" t="s">
        <v>27074</v>
      </c>
      <c r="F1922" s="87" t="s">
        <v>26567</v>
      </c>
      <c r="G1922" s="45" t="s">
        <v>14182</v>
      </c>
      <c r="H1922" s="55" t="s">
        <v>14183</v>
      </c>
      <c r="I1922" s="15" t="s">
        <v>358</v>
      </c>
    </row>
    <row r="1923" spans="1:9" ht="51.75" customHeight="1" x14ac:dyDescent="0.35">
      <c r="A1923" s="15" t="s">
        <v>22622</v>
      </c>
      <c r="B1923" s="15" t="s">
        <v>27075</v>
      </c>
      <c r="C1923" s="15" t="s">
        <v>27073</v>
      </c>
      <c r="D1923" s="31">
        <v>43641</v>
      </c>
      <c r="E1923" s="15" t="s">
        <v>27076</v>
      </c>
      <c r="F1923" s="87" t="s">
        <v>21871</v>
      </c>
      <c r="G1923" s="45" t="s">
        <v>14182</v>
      </c>
      <c r="H1923" s="55" t="s">
        <v>14183</v>
      </c>
      <c r="I1923" s="15" t="s">
        <v>358</v>
      </c>
    </row>
    <row r="1924" spans="1:9" ht="51.75" customHeight="1" x14ac:dyDescent="0.35">
      <c r="A1924" s="15" t="s">
        <v>22437</v>
      </c>
      <c r="B1924" s="15" t="s">
        <v>27077</v>
      </c>
      <c r="C1924" s="15" t="s">
        <v>27078</v>
      </c>
      <c r="D1924" s="31">
        <v>43641</v>
      </c>
      <c r="E1924" s="15" t="s">
        <v>27079</v>
      </c>
      <c r="F1924" s="87" t="s">
        <v>26567</v>
      </c>
      <c r="G1924" s="45" t="s">
        <v>14182</v>
      </c>
      <c r="H1924" s="55" t="s">
        <v>14183</v>
      </c>
      <c r="I1924" s="15" t="s">
        <v>358</v>
      </c>
    </row>
    <row r="1925" spans="1:9" ht="51.75" customHeight="1" x14ac:dyDescent="0.35">
      <c r="A1925" s="15" t="s">
        <v>22437</v>
      </c>
      <c r="B1925" s="15" t="s">
        <v>27080</v>
      </c>
      <c r="C1925" s="15" t="s">
        <v>27078</v>
      </c>
      <c r="D1925" s="31">
        <v>43641</v>
      </c>
      <c r="E1925" s="15" t="s">
        <v>27081</v>
      </c>
      <c r="F1925" s="87" t="s">
        <v>21871</v>
      </c>
      <c r="G1925" s="45" t="s">
        <v>14182</v>
      </c>
      <c r="H1925" s="55" t="s">
        <v>14183</v>
      </c>
      <c r="I1925" s="15" t="s">
        <v>358</v>
      </c>
    </row>
    <row r="1926" spans="1:9" ht="51.75" customHeight="1" x14ac:dyDescent="0.35">
      <c r="A1926" s="15" t="s">
        <v>22445</v>
      </c>
      <c r="B1926" s="15" t="s">
        <v>27082</v>
      </c>
      <c r="C1926" s="15" t="s">
        <v>27078</v>
      </c>
      <c r="D1926" s="31">
        <v>43641</v>
      </c>
      <c r="E1926" s="15" t="s">
        <v>27083</v>
      </c>
      <c r="F1926" s="87" t="s">
        <v>26567</v>
      </c>
      <c r="G1926" s="45" t="s">
        <v>14182</v>
      </c>
      <c r="H1926" s="55" t="s">
        <v>14183</v>
      </c>
      <c r="I1926" s="15" t="s">
        <v>358</v>
      </c>
    </row>
    <row r="1927" spans="1:9" ht="51.75" customHeight="1" x14ac:dyDescent="0.35">
      <c r="A1927" s="15" t="s">
        <v>22445</v>
      </c>
      <c r="B1927" s="15" t="s">
        <v>27084</v>
      </c>
      <c r="C1927" s="15" t="s">
        <v>27078</v>
      </c>
      <c r="D1927" s="31">
        <v>43641</v>
      </c>
      <c r="E1927" s="15" t="s">
        <v>27085</v>
      </c>
      <c r="F1927" s="87" t="s">
        <v>21871</v>
      </c>
      <c r="G1927" s="45" t="s">
        <v>14182</v>
      </c>
      <c r="H1927" s="55" t="s">
        <v>14183</v>
      </c>
      <c r="I1927" s="15" t="s">
        <v>358</v>
      </c>
    </row>
    <row r="1928" spans="1:9" ht="51.75" customHeight="1" x14ac:dyDescent="0.35">
      <c r="A1928" s="15" t="s">
        <v>22453</v>
      </c>
      <c r="B1928" s="15" t="s">
        <v>27086</v>
      </c>
      <c r="C1928" s="15" t="s">
        <v>27087</v>
      </c>
      <c r="D1928" s="31">
        <v>43641</v>
      </c>
      <c r="E1928" s="15" t="s">
        <v>27088</v>
      </c>
      <c r="F1928" s="87" t="s">
        <v>26567</v>
      </c>
      <c r="G1928" s="45" t="s">
        <v>14182</v>
      </c>
      <c r="H1928" s="55" t="s">
        <v>14183</v>
      </c>
      <c r="I1928" s="15" t="s">
        <v>358</v>
      </c>
    </row>
    <row r="1929" spans="1:9" ht="51.75" customHeight="1" x14ac:dyDescent="0.35">
      <c r="A1929" s="15" t="s">
        <v>22453</v>
      </c>
      <c r="B1929" s="15" t="s">
        <v>27089</v>
      </c>
      <c r="C1929" s="15" t="s">
        <v>27087</v>
      </c>
      <c r="D1929" s="31">
        <v>43641</v>
      </c>
      <c r="E1929" s="15" t="s">
        <v>27090</v>
      </c>
      <c r="F1929" s="87" t="s">
        <v>21871</v>
      </c>
      <c r="G1929" s="45" t="s">
        <v>14182</v>
      </c>
      <c r="H1929" s="55" t="s">
        <v>14183</v>
      </c>
      <c r="I1929" s="15" t="s">
        <v>358</v>
      </c>
    </row>
    <row r="1930" spans="1:9" ht="51.75" customHeight="1" x14ac:dyDescent="0.35">
      <c r="A1930" s="15" t="s">
        <v>22077</v>
      </c>
      <c r="B1930" s="15" t="s">
        <v>27091</v>
      </c>
      <c r="C1930" s="15" t="s">
        <v>27078</v>
      </c>
      <c r="D1930" s="31">
        <v>43641</v>
      </c>
      <c r="E1930" s="15" t="s">
        <v>27092</v>
      </c>
      <c r="F1930" s="87" t="s">
        <v>26567</v>
      </c>
      <c r="G1930" s="45" t="s">
        <v>14182</v>
      </c>
      <c r="H1930" s="55" t="s">
        <v>14183</v>
      </c>
      <c r="I1930" s="15" t="s">
        <v>358</v>
      </c>
    </row>
    <row r="1931" spans="1:9" ht="51.75" customHeight="1" x14ac:dyDescent="0.35">
      <c r="A1931" s="15" t="s">
        <v>22077</v>
      </c>
      <c r="B1931" s="15" t="s">
        <v>27093</v>
      </c>
      <c r="C1931" s="15" t="s">
        <v>27078</v>
      </c>
      <c r="D1931" s="31">
        <v>43641</v>
      </c>
      <c r="E1931" s="15" t="s">
        <v>27094</v>
      </c>
      <c r="F1931" s="87" t="s">
        <v>21871</v>
      </c>
      <c r="G1931" s="45" t="s">
        <v>14182</v>
      </c>
      <c r="H1931" s="55" t="s">
        <v>14183</v>
      </c>
      <c r="I1931" s="15" t="s">
        <v>358</v>
      </c>
    </row>
    <row r="1932" spans="1:9" ht="51.75" customHeight="1" x14ac:dyDescent="0.35">
      <c r="A1932" s="15" t="s">
        <v>22467</v>
      </c>
      <c r="B1932" s="15" t="s">
        <v>27095</v>
      </c>
      <c r="C1932" s="15" t="s">
        <v>27096</v>
      </c>
      <c r="D1932" s="31">
        <v>43641</v>
      </c>
      <c r="E1932" s="15" t="s">
        <v>27097</v>
      </c>
      <c r="F1932" s="87" t="s">
        <v>26567</v>
      </c>
      <c r="G1932" s="45" t="s">
        <v>14182</v>
      </c>
      <c r="H1932" s="55" t="s">
        <v>14183</v>
      </c>
      <c r="I1932" s="15" t="s">
        <v>358</v>
      </c>
    </row>
    <row r="1933" spans="1:9" ht="51.75" customHeight="1" x14ac:dyDescent="0.35">
      <c r="A1933" s="15" t="s">
        <v>22467</v>
      </c>
      <c r="B1933" s="15" t="s">
        <v>27098</v>
      </c>
      <c r="C1933" s="15" t="s">
        <v>27096</v>
      </c>
      <c r="D1933" s="31">
        <v>43641</v>
      </c>
      <c r="E1933" s="15" t="s">
        <v>27099</v>
      </c>
      <c r="F1933" s="87" t="s">
        <v>21871</v>
      </c>
      <c r="G1933" s="45" t="s">
        <v>14182</v>
      </c>
      <c r="H1933" s="55" t="s">
        <v>14183</v>
      </c>
      <c r="I1933" s="15" t="s">
        <v>358</v>
      </c>
    </row>
    <row r="1934" spans="1:9" ht="51.75" customHeight="1" x14ac:dyDescent="0.35">
      <c r="A1934" s="15" t="s">
        <v>24391</v>
      </c>
      <c r="B1934" s="15" t="s">
        <v>27100</v>
      </c>
      <c r="C1934" s="15" t="s">
        <v>27078</v>
      </c>
      <c r="D1934" s="31">
        <v>43641</v>
      </c>
      <c r="E1934" s="15" t="s">
        <v>27101</v>
      </c>
      <c r="F1934" s="87" t="s">
        <v>26567</v>
      </c>
      <c r="G1934" s="45" t="s">
        <v>14182</v>
      </c>
      <c r="H1934" s="55" t="s">
        <v>14183</v>
      </c>
      <c r="I1934" s="15" t="s">
        <v>358</v>
      </c>
    </row>
    <row r="1935" spans="1:9" ht="51.75" customHeight="1" x14ac:dyDescent="0.35">
      <c r="A1935" s="15" t="s">
        <v>24391</v>
      </c>
      <c r="B1935" s="15" t="s">
        <v>27102</v>
      </c>
      <c r="C1935" s="15" t="s">
        <v>27078</v>
      </c>
      <c r="D1935" s="31">
        <v>43641</v>
      </c>
      <c r="E1935" s="15" t="s">
        <v>27103</v>
      </c>
      <c r="F1935" s="87" t="s">
        <v>21871</v>
      </c>
      <c r="G1935" s="45" t="s">
        <v>14182</v>
      </c>
      <c r="H1935" s="55" t="s">
        <v>14183</v>
      </c>
      <c r="I1935" s="15" t="s">
        <v>358</v>
      </c>
    </row>
    <row r="1936" spans="1:9" ht="51.75" customHeight="1" x14ac:dyDescent="0.35">
      <c r="A1936" s="15" t="s">
        <v>24808</v>
      </c>
      <c r="B1936" s="15" t="s">
        <v>27104</v>
      </c>
      <c r="C1936" s="15" t="s">
        <v>27105</v>
      </c>
      <c r="D1936" s="31">
        <v>43641</v>
      </c>
      <c r="E1936" s="15" t="s">
        <v>27106</v>
      </c>
      <c r="F1936" s="87" t="s">
        <v>26567</v>
      </c>
      <c r="G1936" s="45" t="s">
        <v>14182</v>
      </c>
      <c r="H1936" s="55" t="s">
        <v>14183</v>
      </c>
      <c r="I1936" s="15" t="s">
        <v>358</v>
      </c>
    </row>
    <row r="1937" spans="1:9" ht="51.75" customHeight="1" x14ac:dyDescent="0.35">
      <c r="A1937" s="15" t="s">
        <v>24808</v>
      </c>
      <c r="B1937" s="15" t="s">
        <v>27107</v>
      </c>
      <c r="C1937" s="15" t="s">
        <v>27105</v>
      </c>
      <c r="D1937" s="31">
        <v>43641</v>
      </c>
      <c r="E1937" s="15" t="s">
        <v>27108</v>
      </c>
      <c r="F1937" s="87" t="s">
        <v>21871</v>
      </c>
      <c r="G1937" s="45" t="s">
        <v>14182</v>
      </c>
      <c r="H1937" s="55" t="s">
        <v>14183</v>
      </c>
      <c r="I1937" s="15" t="s">
        <v>358</v>
      </c>
    </row>
    <row r="1938" spans="1:9" ht="51.75" customHeight="1" x14ac:dyDescent="0.35">
      <c r="A1938" s="15" t="s">
        <v>23252</v>
      </c>
      <c r="B1938" s="15" t="s">
        <v>27109</v>
      </c>
      <c r="C1938" s="15" t="s">
        <v>27110</v>
      </c>
      <c r="D1938" s="31">
        <v>43369</v>
      </c>
      <c r="E1938" s="15" t="s">
        <v>27111</v>
      </c>
      <c r="F1938" s="87" t="s">
        <v>26567</v>
      </c>
      <c r="G1938" s="45" t="s">
        <v>14114</v>
      </c>
      <c r="H1938" s="55" t="s">
        <v>14115</v>
      </c>
      <c r="I1938" s="15" t="s">
        <v>358</v>
      </c>
    </row>
    <row r="1939" spans="1:9" ht="51.75" customHeight="1" x14ac:dyDescent="0.35">
      <c r="A1939" s="15" t="s">
        <v>23252</v>
      </c>
      <c r="B1939" s="15" t="s">
        <v>27112</v>
      </c>
      <c r="C1939" s="15" t="s">
        <v>27110</v>
      </c>
      <c r="D1939" s="31">
        <v>43369</v>
      </c>
      <c r="E1939" s="15" t="s">
        <v>27113</v>
      </c>
      <c r="F1939" s="87" t="s">
        <v>21871</v>
      </c>
      <c r="G1939" s="45" t="s">
        <v>14114</v>
      </c>
      <c r="H1939" s="55" t="s">
        <v>14115</v>
      </c>
      <c r="I1939" s="15" t="s">
        <v>358</v>
      </c>
    </row>
    <row r="1940" spans="1:9" ht="51.75" customHeight="1" x14ac:dyDescent="0.35">
      <c r="A1940" s="15" t="s">
        <v>23258</v>
      </c>
      <c r="B1940" s="15" t="s">
        <v>27114</v>
      </c>
      <c r="C1940" s="15" t="s">
        <v>27115</v>
      </c>
      <c r="D1940" s="31">
        <v>43369</v>
      </c>
      <c r="E1940" s="15" t="s">
        <v>27116</v>
      </c>
      <c r="F1940" s="87" t="s">
        <v>26567</v>
      </c>
      <c r="G1940" s="45" t="s">
        <v>14114</v>
      </c>
      <c r="H1940" s="55" t="s">
        <v>14115</v>
      </c>
      <c r="I1940" s="15" t="s">
        <v>358</v>
      </c>
    </row>
    <row r="1941" spans="1:9" ht="51.75" customHeight="1" x14ac:dyDescent="0.35">
      <c r="A1941" s="15" t="s">
        <v>23258</v>
      </c>
      <c r="B1941" s="15" t="s">
        <v>27117</v>
      </c>
      <c r="C1941" s="15" t="s">
        <v>27115</v>
      </c>
      <c r="D1941" s="31">
        <v>43369</v>
      </c>
      <c r="E1941" s="15" t="s">
        <v>27118</v>
      </c>
      <c r="F1941" s="87" t="s">
        <v>21871</v>
      </c>
      <c r="G1941" s="45" t="s">
        <v>14114</v>
      </c>
      <c r="H1941" s="55" t="s">
        <v>14115</v>
      </c>
      <c r="I1941" s="15" t="s">
        <v>358</v>
      </c>
    </row>
    <row r="1942" spans="1:9" ht="51.75" customHeight="1" x14ac:dyDescent="0.35">
      <c r="A1942" s="15" t="s">
        <v>23539</v>
      </c>
      <c r="B1942" s="15" t="s">
        <v>27119</v>
      </c>
      <c r="C1942" s="15" t="s">
        <v>27120</v>
      </c>
      <c r="D1942" s="31">
        <v>43455</v>
      </c>
      <c r="E1942" s="15" t="s">
        <v>27121</v>
      </c>
      <c r="F1942" s="87" t="s">
        <v>26567</v>
      </c>
      <c r="G1942" s="45" t="s">
        <v>14314</v>
      </c>
      <c r="H1942" s="55" t="s">
        <v>14315</v>
      </c>
      <c r="I1942" s="15" t="s">
        <v>358</v>
      </c>
    </row>
    <row r="1943" spans="1:9" ht="51.75" customHeight="1" x14ac:dyDescent="0.35">
      <c r="A1943" s="15" t="s">
        <v>23539</v>
      </c>
      <c r="B1943" s="15" t="s">
        <v>27122</v>
      </c>
      <c r="C1943" s="15" t="s">
        <v>27120</v>
      </c>
      <c r="D1943" s="31">
        <v>43455</v>
      </c>
      <c r="E1943" s="15" t="s">
        <v>27123</v>
      </c>
      <c r="F1943" s="87" t="s">
        <v>21871</v>
      </c>
      <c r="G1943" s="45" t="s">
        <v>14314</v>
      </c>
      <c r="H1943" s="55" t="s">
        <v>14315</v>
      </c>
      <c r="I1943" s="15" t="s">
        <v>358</v>
      </c>
    </row>
    <row r="1944" spans="1:9" ht="51.75" customHeight="1" x14ac:dyDescent="0.35">
      <c r="A1944" s="15" t="s">
        <v>23477</v>
      </c>
      <c r="B1944" s="15" t="s">
        <v>27124</v>
      </c>
      <c r="C1944" s="15" t="s">
        <v>27125</v>
      </c>
      <c r="D1944" s="31">
        <v>43455</v>
      </c>
      <c r="E1944" s="15" t="s">
        <v>27126</v>
      </c>
      <c r="F1944" s="87" t="s">
        <v>26567</v>
      </c>
      <c r="G1944" s="45" t="s">
        <v>14314</v>
      </c>
      <c r="H1944" s="55" t="s">
        <v>14315</v>
      </c>
      <c r="I1944" s="15" t="s">
        <v>358</v>
      </c>
    </row>
    <row r="1945" spans="1:9" ht="51.75" customHeight="1" x14ac:dyDescent="0.35">
      <c r="A1945" s="15" t="s">
        <v>23477</v>
      </c>
      <c r="B1945" s="15" t="s">
        <v>27127</v>
      </c>
      <c r="C1945" s="15" t="s">
        <v>27125</v>
      </c>
      <c r="D1945" s="31">
        <v>43455</v>
      </c>
      <c r="E1945" s="15" t="s">
        <v>27128</v>
      </c>
      <c r="F1945" s="87" t="s">
        <v>21871</v>
      </c>
      <c r="G1945" s="45" t="s">
        <v>14314</v>
      </c>
      <c r="H1945" s="55" t="s">
        <v>14315</v>
      </c>
      <c r="I1945" s="15" t="s">
        <v>358</v>
      </c>
    </row>
    <row r="1946" spans="1:9" ht="51.75" customHeight="1" x14ac:dyDescent="0.35">
      <c r="A1946" s="15" t="s">
        <v>22047</v>
      </c>
      <c r="B1946" s="15" t="s">
        <v>27129</v>
      </c>
      <c r="C1946" s="15" t="s">
        <v>27120</v>
      </c>
      <c r="D1946" s="31">
        <v>43455</v>
      </c>
      <c r="E1946" s="15" t="s">
        <v>27130</v>
      </c>
      <c r="F1946" s="87" t="s">
        <v>26567</v>
      </c>
      <c r="G1946" s="45" t="s">
        <v>14314</v>
      </c>
      <c r="H1946" s="55" t="s">
        <v>14315</v>
      </c>
      <c r="I1946" s="15" t="s">
        <v>358</v>
      </c>
    </row>
    <row r="1947" spans="1:9" ht="51.75" customHeight="1" x14ac:dyDescent="0.35">
      <c r="A1947" s="15" t="s">
        <v>22047</v>
      </c>
      <c r="B1947" s="15" t="s">
        <v>27131</v>
      </c>
      <c r="C1947" s="15" t="s">
        <v>27120</v>
      </c>
      <c r="D1947" s="31">
        <v>43455</v>
      </c>
      <c r="E1947" s="15" t="s">
        <v>27132</v>
      </c>
      <c r="F1947" s="87" t="s">
        <v>21871</v>
      </c>
      <c r="G1947" s="45" t="s">
        <v>14314</v>
      </c>
      <c r="H1947" s="55" t="s">
        <v>14315</v>
      </c>
      <c r="I1947" s="15" t="s">
        <v>358</v>
      </c>
    </row>
    <row r="1948" spans="1:9" ht="51.75" customHeight="1" x14ac:dyDescent="0.35">
      <c r="A1948" s="15" t="s">
        <v>24692</v>
      </c>
      <c r="B1948" s="15" t="s">
        <v>27133</v>
      </c>
      <c r="C1948" s="15" t="s">
        <v>27134</v>
      </c>
      <c r="D1948" s="31">
        <v>43455</v>
      </c>
      <c r="E1948" s="15" t="s">
        <v>27135</v>
      </c>
      <c r="F1948" s="87" t="s">
        <v>26567</v>
      </c>
      <c r="G1948" s="45" t="s">
        <v>14314</v>
      </c>
      <c r="H1948" s="55" t="s">
        <v>14315</v>
      </c>
      <c r="I1948" s="15" t="s">
        <v>358</v>
      </c>
    </row>
    <row r="1949" spans="1:9" ht="51.75" customHeight="1" x14ac:dyDescent="0.35">
      <c r="A1949" s="15" t="s">
        <v>24692</v>
      </c>
      <c r="B1949" s="15" t="s">
        <v>27136</v>
      </c>
      <c r="C1949" s="15" t="s">
        <v>27134</v>
      </c>
      <c r="D1949" s="31">
        <v>43455</v>
      </c>
      <c r="E1949" s="15" t="s">
        <v>27137</v>
      </c>
      <c r="F1949" s="87" t="s">
        <v>21871</v>
      </c>
      <c r="G1949" s="45" t="s">
        <v>14314</v>
      </c>
      <c r="H1949" s="55" t="s">
        <v>14315</v>
      </c>
      <c r="I1949" s="15" t="s">
        <v>358</v>
      </c>
    </row>
    <row r="1950" spans="1:9" ht="51.75" customHeight="1" x14ac:dyDescent="0.35">
      <c r="A1950" s="15" t="s">
        <v>24703</v>
      </c>
      <c r="B1950" s="15" t="s">
        <v>27138</v>
      </c>
      <c r="C1950" s="15" t="s">
        <v>27139</v>
      </c>
      <c r="D1950" s="31">
        <v>43455</v>
      </c>
      <c r="E1950" s="15" t="s">
        <v>27140</v>
      </c>
      <c r="F1950" s="87" t="s">
        <v>26567</v>
      </c>
      <c r="G1950" s="45" t="s">
        <v>14314</v>
      </c>
      <c r="H1950" s="55" t="s">
        <v>14315</v>
      </c>
      <c r="I1950" s="15" t="s">
        <v>358</v>
      </c>
    </row>
    <row r="1951" spans="1:9" ht="51.75" customHeight="1" x14ac:dyDescent="0.35">
      <c r="A1951" s="15" t="s">
        <v>24703</v>
      </c>
      <c r="B1951" s="15" t="s">
        <v>27141</v>
      </c>
      <c r="C1951" s="15" t="s">
        <v>27139</v>
      </c>
      <c r="D1951" s="31">
        <v>43455</v>
      </c>
      <c r="E1951" s="15" t="s">
        <v>27142</v>
      </c>
      <c r="F1951" s="87" t="s">
        <v>21871</v>
      </c>
      <c r="G1951" s="45" t="s">
        <v>14314</v>
      </c>
      <c r="H1951" s="55" t="s">
        <v>14315</v>
      </c>
      <c r="I1951" s="15" t="s">
        <v>358</v>
      </c>
    </row>
    <row r="1952" spans="1:9" ht="51.75" customHeight="1" x14ac:dyDescent="0.35">
      <c r="A1952" s="15" t="s">
        <v>23345</v>
      </c>
      <c r="B1952" s="15" t="s">
        <v>27143</v>
      </c>
      <c r="C1952" s="15" t="s">
        <v>27144</v>
      </c>
      <c r="D1952" s="31">
        <v>43389</v>
      </c>
      <c r="E1952" s="15" t="s">
        <v>27145</v>
      </c>
      <c r="F1952" s="87" t="s">
        <v>26567</v>
      </c>
      <c r="G1952" s="45" t="s">
        <v>14460</v>
      </c>
      <c r="H1952" s="55" t="s">
        <v>14461</v>
      </c>
      <c r="I1952" s="15" t="s">
        <v>358</v>
      </c>
    </row>
    <row r="1953" spans="1:9" ht="51.75" customHeight="1" x14ac:dyDescent="0.35">
      <c r="A1953" s="15" t="s">
        <v>23345</v>
      </c>
      <c r="B1953" s="15" t="s">
        <v>27146</v>
      </c>
      <c r="C1953" s="15" t="s">
        <v>27144</v>
      </c>
      <c r="D1953" s="31">
        <v>43389</v>
      </c>
      <c r="E1953" s="15" t="s">
        <v>27147</v>
      </c>
      <c r="F1953" s="87" t="s">
        <v>21871</v>
      </c>
      <c r="G1953" s="45" t="s">
        <v>14460</v>
      </c>
      <c r="H1953" s="55" t="s">
        <v>14461</v>
      </c>
      <c r="I1953" s="15" t="s">
        <v>358</v>
      </c>
    </row>
    <row r="1954" spans="1:9" ht="51.75" customHeight="1" x14ac:dyDescent="0.35">
      <c r="A1954" s="15" t="s">
        <v>24503</v>
      </c>
      <c r="B1954" s="15" t="s">
        <v>27148</v>
      </c>
      <c r="C1954" s="15" t="s">
        <v>27149</v>
      </c>
      <c r="D1954" s="31">
        <v>43389</v>
      </c>
      <c r="E1954" s="15" t="s">
        <v>27150</v>
      </c>
      <c r="F1954" s="87" t="s">
        <v>26567</v>
      </c>
      <c r="G1954" s="45" t="s">
        <v>14460</v>
      </c>
      <c r="H1954" s="55" t="s">
        <v>14461</v>
      </c>
      <c r="I1954" s="15" t="s">
        <v>358</v>
      </c>
    </row>
    <row r="1955" spans="1:9" ht="51.75" customHeight="1" x14ac:dyDescent="0.35">
      <c r="A1955" s="15" t="s">
        <v>24503</v>
      </c>
      <c r="B1955" s="15" t="s">
        <v>27151</v>
      </c>
      <c r="C1955" s="15" t="s">
        <v>27149</v>
      </c>
      <c r="D1955" s="31">
        <v>43389</v>
      </c>
      <c r="E1955" s="15" t="s">
        <v>27152</v>
      </c>
      <c r="F1955" s="87" t="s">
        <v>21871</v>
      </c>
      <c r="G1955" s="45" t="s">
        <v>14460</v>
      </c>
      <c r="H1955" s="55" t="s">
        <v>14461</v>
      </c>
      <c r="I1955" s="15" t="s">
        <v>358</v>
      </c>
    </row>
    <row r="1956" spans="1:9" ht="51.75" customHeight="1" x14ac:dyDescent="0.35">
      <c r="A1956" s="15" t="s">
        <v>26296</v>
      </c>
      <c r="B1956" s="15" t="s">
        <v>27153</v>
      </c>
      <c r="C1956" s="15" t="s">
        <v>27154</v>
      </c>
      <c r="D1956" s="31">
        <v>43389</v>
      </c>
      <c r="E1956" s="15" t="s">
        <v>27155</v>
      </c>
      <c r="F1956" s="87" t="s">
        <v>26567</v>
      </c>
      <c r="G1956" s="45" t="s">
        <v>14460</v>
      </c>
      <c r="H1956" s="55" t="s">
        <v>14461</v>
      </c>
      <c r="I1956" s="15" t="s">
        <v>358</v>
      </c>
    </row>
    <row r="1957" spans="1:9" ht="51.75" customHeight="1" x14ac:dyDescent="0.35">
      <c r="A1957" s="15" t="s">
        <v>26296</v>
      </c>
      <c r="B1957" s="15" t="s">
        <v>27156</v>
      </c>
      <c r="C1957" s="15" t="s">
        <v>27154</v>
      </c>
      <c r="D1957" s="31">
        <v>43389</v>
      </c>
      <c r="E1957" s="15" t="s">
        <v>27157</v>
      </c>
      <c r="F1957" s="87" t="s">
        <v>21871</v>
      </c>
      <c r="G1957" s="45" t="s">
        <v>14460</v>
      </c>
      <c r="H1957" s="55" t="s">
        <v>14461</v>
      </c>
      <c r="I1957" s="15" t="s">
        <v>358</v>
      </c>
    </row>
    <row r="1958" spans="1:9" ht="51.75" customHeight="1" x14ac:dyDescent="0.35">
      <c r="A1958" s="15" t="s">
        <v>24774</v>
      </c>
      <c r="B1958" s="15" t="s">
        <v>27158</v>
      </c>
      <c r="C1958" s="15" t="s">
        <v>27154</v>
      </c>
      <c r="D1958" s="31">
        <v>43389</v>
      </c>
      <c r="E1958" s="15" t="s">
        <v>27159</v>
      </c>
      <c r="F1958" s="87" t="s">
        <v>26567</v>
      </c>
      <c r="G1958" s="45" t="s">
        <v>14460</v>
      </c>
      <c r="H1958" s="55" t="s">
        <v>14461</v>
      </c>
      <c r="I1958" s="15" t="s">
        <v>358</v>
      </c>
    </row>
    <row r="1959" spans="1:9" ht="51.75" customHeight="1" x14ac:dyDescent="0.35">
      <c r="A1959" s="15" t="s">
        <v>24774</v>
      </c>
      <c r="B1959" s="15" t="s">
        <v>27160</v>
      </c>
      <c r="C1959" s="15" t="s">
        <v>27154</v>
      </c>
      <c r="D1959" s="31">
        <v>43389</v>
      </c>
      <c r="E1959" s="15" t="s">
        <v>27161</v>
      </c>
      <c r="F1959" s="87" t="s">
        <v>21871</v>
      </c>
      <c r="G1959" s="45" t="s">
        <v>14460</v>
      </c>
      <c r="H1959" s="55" t="s">
        <v>14461</v>
      </c>
      <c r="I1959" s="15" t="s">
        <v>358</v>
      </c>
    </row>
    <row r="1960" spans="1:9" ht="51.75" customHeight="1" x14ac:dyDescent="0.35">
      <c r="A1960" s="15" t="s">
        <v>23203</v>
      </c>
      <c r="B1960" s="15" t="s">
        <v>27162</v>
      </c>
      <c r="C1960" s="15" t="s">
        <v>27154</v>
      </c>
      <c r="D1960" s="31">
        <v>43389</v>
      </c>
      <c r="E1960" s="15" t="s">
        <v>27163</v>
      </c>
      <c r="F1960" s="87" t="s">
        <v>26567</v>
      </c>
      <c r="G1960" s="45" t="s">
        <v>14460</v>
      </c>
      <c r="H1960" s="55" t="s">
        <v>14461</v>
      </c>
      <c r="I1960" s="15" t="s">
        <v>358</v>
      </c>
    </row>
    <row r="1961" spans="1:9" ht="51.75" customHeight="1" x14ac:dyDescent="0.35">
      <c r="A1961" s="15" t="s">
        <v>23203</v>
      </c>
      <c r="B1961" s="15" t="s">
        <v>27164</v>
      </c>
      <c r="C1961" s="15" t="s">
        <v>27154</v>
      </c>
      <c r="D1961" s="31">
        <v>43389</v>
      </c>
      <c r="E1961" s="15" t="s">
        <v>27165</v>
      </c>
      <c r="F1961" s="87" t="s">
        <v>21871</v>
      </c>
      <c r="G1961" s="45" t="s">
        <v>14460</v>
      </c>
      <c r="H1961" s="55" t="s">
        <v>14461</v>
      </c>
      <c r="I1961" s="15" t="s">
        <v>358</v>
      </c>
    </row>
    <row r="1962" spans="1:9" ht="51.75" customHeight="1" x14ac:dyDescent="0.35">
      <c r="A1962" s="15" t="s">
        <v>23584</v>
      </c>
      <c r="B1962" s="15" t="s">
        <v>27166</v>
      </c>
      <c r="C1962" s="15" t="s">
        <v>27144</v>
      </c>
      <c r="D1962" s="31">
        <v>43810</v>
      </c>
      <c r="E1962" s="15" t="s">
        <v>27167</v>
      </c>
      <c r="F1962" s="87" t="s">
        <v>26567</v>
      </c>
      <c r="G1962" s="45" t="s">
        <v>14657</v>
      </c>
      <c r="H1962" s="55" t="s">
        <v>14658</v>
      </c>
      <c r="I1962" s="15" t="s">
        <v>358</v>
      </c>
    </row>
    <row r="1963" spans="1:9" ht="51.75" customHeight="1" x14ac:dyDescent="0.35">
      <c r="A1963" s="15" t="s">
        <v>23584</v>
      </c>
      <c r="B1963" s="15" t="s">
        <v>27168</v>
      </c>
      <c r="C1963" s="15" t="s">
        <v>27144</v>
      </c>
      <c r="D1963" s="31">
        <v>43810</v>
      </c>
      <c r="E1963" s="15" t="s">
        <v>27169</v>
      </c>
      <c r="F1963" s="87" t="s">
        <v>21871</v>
      </c>
      <c r="G1963" s="45" t="s">
        <v>14657</v>
      </c>
      <c r="H1963" s="55" t="s">
        <v>14658</v>
      </c>
      <c r="I1963" s="15" t="s">
        <v>358</v>
      </c>
    </row>
    <row r="1964" spans="1:9" ht="51.75" customHeight="1" x14ac:dyDescent="0.35">
      <c r="A1964" s="15" t="s">
        <v>22660</v>
      </c>
      <c r="B1964" s="15" t="s">
        <v>27170</v>
      </c>
      <c r="C1964" s="15" t="s">
        <v>27171</v>
      </c>
      <c r="D1964" s="31">
        <v>43810</v>
      </c>
      <c r="E1964" s="15" t="s">
        <v>27172</v>
      </c>
      <c r="F1964" s="87" t="s">
        <v>26567</v>
      </c>
      <c r="G1964" s="45" t="s">
        <v>14657</v>
      </c>
      <c r="H1964" s="55" t="s">
        <v>14658</v>
      </c>
      <c r="I1964" s="15" t="s">
        <v>358</v>
      </c>
    </row>
    <row r="1965" spans="1:9" ht="51.75" customHeight="1" x14ac:dyDescent="0.35">
      <c r="A1965" s="15" t="s">
        <v>22660</v>
      </c>
      <c r="B1965" s="15" t="s">
        <v>27173</v>
      </c>
      <c r="C1965" s="15" t="s">
        <v>27171</v>
      </c>
      <c r="D1965" s="31">
        <v>43810</v>
      </c>
      <c r="E1965" s="15" t="s">
        <v>27174</v>
      </c>
      <c r="F1965" s="87" t="s">
        <v>21871</v>
      </c>
      <c r="G1965" s="45" t="s">
        <v>14657</v>
      </c>
      <c r="H1965" s="55" t="s">
        <v>14658</v>
      </c>
      <c r="I1965" s="15" t="s">
        <v>358</v>
      </c>
    </row>
    <row r="1966" spans="1:9" ht="51.75" customHeight="1" x14ac:dyDescent="0.35">
      <c r="A1966" s="15" t="s">
        <v>24358</v>
      </c>
      <c r="B1966" s="15" t="s">
        <v>27175</v>
      </c>
      <c r="C1966" s="15" t="s">
        <v>27176</v>
      </c>
      <c r="D1966" s="31">
        <v>43810</v>
      </c>
      <c r="E1966" s="15" t="s">
        <v>27177</v>
      </c>
      <c r="F1966" s="87" t="s">
        <v>26567</v>
      </c>
      <c r="G1966" s="45" t="s">
        <v>14657</v>
      </c>
      <c r="H1966" s="55" t="s">
        <v>14658</v>
      </c>
      <c r="I1966" s="15" t="s">
        <v>358</v>
      </c>
    </row>
    <row r="1967" spans="1:9" ht="51.75" customHeight="1" x14ac:dyDescent="0.35">
      <c r="A1967" s="15" t="s">
        <v>24358</v>
      </c>
      <c r="B1967" s="15" t="s">
        <v>27178</v>
      </c>
      <c r="C1967" s="15" t="s">
        <v>27176</v>
      </c>
      <c r="D1967" s="31">
        <v>43810</v>
      </c>
      <c r="E1967" s="15" t="s">
        <v>27179</v>
      </c>
      <c r="F1967" s="87" t="s">
        <v>21871</v>
      </c>
      <c r="G1967" s="45" t="s">
        <v>14657</v>
      </c>
      <c r="H1967" s="55" t="s">
        <v>14658</v>
      </c>
      <c r="I1967" s="15" t="s">
        <v>358</v>
      </c>
    </row>
    <row r="1968" spans="1:9" ht="51.75" customHeight="1" x14ac:dyDescent="0.35">
      <c r="A1968" s="15" t="s">
        <v>24363</v>
      </c>
      <c r="B1968" s="15" t="s">
        <v>27180</v>
      </c>
      <c r="C1968" s="15" t="s">
        <v>27181</v>
      </c>
      <c r="D1968" s="31">
        <v>43810</v>
      </c>
      <c r="E1968" s="15" t="s">
        <v>27182</v>
      </c>
      <c r="F1968" s="87" t="s">
        <v>26567</v>
      </c>
      <c r="G1968" s="45" t="s">
        <v>14657</v>
      </c>
      <c r="H1968" s="55" t="s">
        <v>14658</v>
      </c>
      <c r="I1968" s="15" t="s">
        <v>358</v>
      </c>
    </row>
    <row r="1969" spans="1:9" ht="51.75" customHeight="1" x14ac:dyDescent="0.35">
      <c r="A1969" s="15" t="s">
        <v>24363</v>
      </c>
      <c r="B1969" s="15" t="s">
        <v>27183</v>
      </c>
      <c r="C1969" s="15" t="s">
        <v>27181</v>
      </c>
      <c r="D1969" s="31">
        <v>43810</v>
      </c>
      <c r="E1969" s="15" t="s">
        <v>27184</v>
      </c>
      <c r="F1969" s="87" t="s">
        <v>21871</v>
      </c>
      <c r="G1969" s="45" t="s">
        <v>14657</v>
      </c>
      <c r="H1969" s="55" t="s">
        <v>14658</v>
      </c>
      <c r="I1969" s="15" t="s">
        <v>358</v>
      </c>
    </row>
    <row r="1970" spans="1:9" ht="51.75" customHeight="1" x14ac:dyDescent="0.35">
      <c r="A1970" s="15" t="s">
        <v>27185</v>
      </c>
      <c r="B1970" s="15" t="s">
        <v>27186</v>
      </c>
      <c r="C1970" s="15" t="s">
        <v>27187</v>
      </c>
      <c r="D1970" s="31">
        <v>43810</v>
      </c>
      <c r="E1970" s="15" t="s">
        <v>27188</v>
      </c>
      <c r="F1970" s="87" t="s">
        <v>26567</v>
      </c>
      <c r="G1970" s="45" t="s">
        <v>14657</v>
      </c>
      <c r="H1970" s="55" t="s">
        <v>14658</v>
      </c>
      <c r="I1970" s="15" t="s">
        <v>358</v>
      </c>
    </row>
    <row r="1971" spans="1:9" ht="51.75" customHeight="1" x14ac:dyDescent="0.35">
      <c r="A1971" s="15" t="s">
        <v>27185</v>
      </c>
      <c r="B1971" s="15" t="s">
        <v>27189</v>
      </c>
      <c r="C1971" s="15" t="s">
        <v>27187</v>
      </c>
      <c r="D1971" s="31">
        <v>43810</v>
      </c>
      <c r="E1971" s="15" t="s">
        <v>27190</v>
      </c>
      <c r="F1971" s="87" t="s">
        <v>21871</v>
      </c>
      <c r="G1971" s="45" t="s">
        <v>14657</v>
      </c>
      <c r="H1971" s="55" t="s">
        <v>14658</v>
      </c>
      <c r="I1971" s="15" t="s">
        <v>358</v>
      </c>
    </row>
    <row r="1972" spans="1:9" ht="51.75" customHeight="1" x14ac:dyDescent="0.35">
      <c r="A1972" s="15" t="s">
        <v>22906</v>
      </c>
      <c r="B1972" s="15" t="s">
        <v>27191</v>
      </c>
      <c r="C1972" s="15" t="s">
        <v>27192</v>
      </c>
      <c r="D1972" s="31">
        <v>43600</v>
      </c>
      <c r="E1972" s="15" t="s">
        <v>27193</v>
      </c>
      <c r="F1972" s="87" t="s">
        <v>26567</v>
      </c>
      <c r="G1972" s="45" t="s">
        <v>15089</v>
      </c>
      <c r="H1972" s="55" t="s">
        <v>15090</v>
      </c>
      <c r="I1972" s="15" t="s">
        <v>358</v>
      </c>
    </row>
    <row r="1973" spans="1:9" ht="51.75" customHeight="1" x14ac:dyDescent="0.35">
      <c r="A1973" s="15" t="s">
        <v>22906</v>
      </c>
      <c r="B1973" s="15" t="s">
        <v>27194</v>
      </c>
      <c r="C1973" s="15" t="s">
        <v>27192</v>
      </c>
      <c r="D1973" s="31">
        <v>43600</v>
      </c>
      <c r="E1973" s="15" t="s">
        <v>27195</v>
      </c>
      <c r="F1973" s="87" t="s">
        <v>21871</v>
      </c>
      <c r="G1973" s="45" t="s">
        <v>15089</v>
      </c>
      <c r="H1973" s="55" t="s">
        <v>15090</v>
      </c>
      <c r="I1973" s="15" t="s">
        <v>358</v>
      </c>
    </row>
    <row r="1974" spans="1:9" ht="51.75" customHeight="1" x14ac:dyDescent="0.35">
      <c r="A1974" s="15" t="s">
        <v>22914</v>
      </c>
      <c r="B1974" s="15" t="s">
        <v>27196</v>
      </c>
      <c r="C1974" s="15" t="s">
        <v>27197</v>
      </c>
      <c r="D1974" s="31" t="s">
        <v>50</v>
      </c>
      <c r="E1974" s="15" t="s">
        <v>27198</v>
      </c>
      <c r="F1974" s="87" t="s">
        <v>26567</v>
      </c>
      <c r="G1974" s="45" t="s">
        <v>15089</v>
      </c>
      <c r="H1974" s="55" t="s">
        <v>15090</v>
      </c>
      <c r="I1974" s="15" t="s">
        <v>358</v>
      </c>
    </row>
    <row r="1975" spans="1:9" ht="51.75" customHeight="1" x14ac:dyDescent="0.35">
      <c r="A1975" s="15" t="s">
        <v>22914</v>
      </c>
      <c r="B1975" s="15" t="s">
        <v>27199</v>
      </c>
      <c r="C1975" s="15" t="s">
        <v>27197</v>
      </c>
      <c r="D1975" s="31" t="s">
        <v>50</v>
      </c>
      <c r="E1975" s="15" t="s">
        <v>27200</v>
      </c>
      <c r="F1975" s="87" t="s">
        <v>21871</v>
      </c>
      <c r="G1975" s="45" t="s">
        <v>15089</v>
      </c>
      <c r="H1975" s="55" t="s">
        <v>15090</v>
      </c>
      <c r="I1975" s="15" t="s">
        <v>358</v>
      </c>
    </row>
    <row r="1976" spans="1:9" ht="51.75" customHeight="1" x14ac:dyDescent="0.35">
      <c r="A1976" s="15" t="s">
        <v>26937</v>
      </c>
      <c r="B1976" s="15" t="s">
        <v>27201</v>
      </c>
      <c r="C1976" s="15" t="s">
        <v>27202</v>
      </c>
      <c r="D1976" s="31" t="s">
        <v>50</v>
      </c>
      <c r="E1976" s="15" t="s">
        <v>27203</v>
      </c>
      <c r="F1976" s="87" t="s">
        <v>26567</v>
      </c>
      <c r="G1976" s="45" t="s">
        <v>15089</v>
      </c>
      <c r="H1976" s="55" t="s">
        <v>15090</v>
      </c>
      <c r="I1976" s="15" t="s">
        <v>358</v>
      </c>
    </row>
    <row r="1977" spans="1:9" ht="51.75" customHeight="1" x14ac:dyDescent="0.35">
      <c r="A1977" s="15" t="s">
        <v>26937</v>
      </c>
      <c r="B1977" s="15" t="s">
        <v>27204</v>
      </c>
      <c r="C1977" s="15" t="s">
        <v>27202</v>
      </c>
      <c r="D1977" s="31" t="s">
        <v>50</v>
      </c>
      <c r="E1977" s="15" t="s">
        <v>27205</v>
      </c>
      <c r="F1977" s="87" t="s">
        <v>21871</v>
      </c>
      <c r="G1977" s="45" t="s">
        <v>15089</v>
      </c>
      <c r="H1977" s="55" t="s">
        <v>15090</v>
      </c>
      <c r="I1977" s="15" t="s">
        <v>358</v>
      </c>
    </row>
    <row r="1978" spans="1:9" ht="51.75" customHeight="1" x14ac:dyDescent="0.35">
      <c r="A1978" s="15" t="s">
        <v>25435</v>
      </c>
      <c r="B1978" s="15" t="s">
        <v>27206</v>
      </c>
      <c r="C1978" s="15" t="s">
        <v>27207</v>
      </c>
      <c r="D1978" s="31" t="s">
        <v>50</v>
      </c>
      <c r="E1978" s="15" t="s">
        <v>27208</v>
      </c>
      <c r="F1978" s="87" t="s">
        <v>26567</v>
      </c>
      <c r="G1978" s="45" t="s">
        <v>15089</v>
      </c>
      <c r="H1978" s="55" t="s">
        <v>15090</v>
      </c>
      <c r="I1978" s="15" t="s">
        <v>358</v>
      </c>
    </row>
    <row r="1979" spans="1:9" ht="51.75" customHeight="1" x14ac:dyDescent="0.35">
      <c r="A1979" s="15" t="s">
        <v>25435</v>
      </c>
      <c r="B1979" s="15" t="s">
        <v>27209</v>
      </c>
      <c r="C1979" s="15" t="s">
        <v>27207</v>
      </c>
      <c r="D1979" s="31" t="s">
        <v>50</v>
      </c>
      <c r="E1979" s="15" t="s">
        <v>27210</v>
      </c>
      <c r="F1979" s="87" t="s">
        <v>21871</v>
      </c>
      <c r="G1979" s="45" t="s">
        <v>15089</v>
      </c>
      <c r="H1979" s="55" t="s">
        <v>15090</v>
      </c>
      <c r="I1979" s="15" t="s">
        <v>358</v>
      </c>
    </row>
    <row r="1980" spans="1:9" ht="51.75" customHeight="1" x14ac:dyDescent="0.35">
      <c r="A1980" s="15" t="s">
        <v>25442</v>
      </c>
      <c r="B1980" s="15" t="s">
        <v>27211</v>
      </c>
      <c r="C1980" s="15" t="s">
        <v>27212</v>
      </c>
      <c r="D1980" s="31" t="s">
        <v>50</v>
      </c>
      <c r="E1980" s="15" t="s">
        <v>27213</v>
      </c>
      <c r="F1980" s="87" t="s">
        <v>26567</v>
      </c>
      <c r="G1980" s="45" t="s">
        <v>15089</v>
      </c>
      <c r="H1980" s="55" t="s">
        <v>15090</v>
      </c>
      <c r="I1980" s="15" t="s">
        <v>358</v>
      </c>
    </row>
    <row r="1981" spans="1:9" ht="51.75" customHeight="1" x14ac:dyDescent="0.35">
      <c r="A1981" s="15" t="s">
        <v>25442</v>
      </c>
      <c r="B1981" s="15" t="s">
        <v>27214</v>
      </c>
      <c r="C1981" s="15" t="s">
        <v>27212</v>
      </c>
      <c r="D1981" s="31" t="s">
        <v>50</v>
      </c>
      <c r="E1981" s="15" t="s">
        <v>27215</v>
      </c>
      <c r="F1981" s="87" t="s">
        <v>21871</v>
      </c>
      <c r="G1981" s="45" t="s">
        <v>15089</v>
      </c>
      <c r="H1981" s="55" t="s">
        <v>15090</v>
      </c>
      <c r="I1981" s="15" t="s">
        <v>358</v>
      </c>
    </row>
    <row r="1982" spans="1:9" ht="51.75" customHeight="1" x14ac:dyDescent="0.35">
      <c r="A1982" s="15" t="s">
        <v>22175</v>
      </c>
      <c r="B1982" s="15" t="s">
        <v>27216</v>
      </c>
      <c r="C1982" s="15" t="s">
        <v>27217</v>
      </c>
      <c r="D1982" s="31" t="s">
        <v>50</v>
      </c>
      <c r="E1982" s="15" t="s">
        <v>27218</v>
      </c>
      <c r="F1982" s="87" t="s">
        <v>26567</v>
      </c>
      <c r="G1982" s="45" t="s">
        <v>15089</v>
      </c>
      <c r="H1982" s="55" t="s">
        <v>15090</v>
      </c>
      <c r="I1982" s="15" t="s">
        <v>358</v>
      </c>
    </row>
    <row r="1983" spans="1:9" ht="51.75" customHeight="1" x14ac:dyDescent="0.35">
      <c r="A1983" s="15" t="s">
        <v>22175</v>
      </c>
      <c r="B1983" s="15" t="s">
        <v>27219</v>
      </c>
      <c r="C1983" s="15" t="s">
        <v>27217</v>
      </c>
      <c r="D1983" s="31" t="s">
        <v>50</v>
      </c>
      <c r="E1983" s="15" t="s">
        <v>27220</v>
      </c>
      <c r="F1983" s="87" t="s">
        <v>21871</v>
      </c>
      <c r="G1983" s="45" t="s">
        <v>15089</v>
      </c>
      <c r="H1983" s="55" t="s">
        <v>15090</v>
      </c>
      <c r="I1983" s="15" t="s">
        <v>358</v>
      </c>
    </row>
    <row r="1984" spans="1:9" ht="51.75" customHeight="1" x14ac:dyDescent="0.35">
      <c r="A1984" s="15" t="s">
        <v>22179</v>
      </c>
      <c r="B1984" s="15" t="s">
        <v>27221</v>
      </c>
      <c r="C1984" s="15" t="s">
        <v>27217</v>
      </c>
      <c r="D1984" s="31" t="s">
        <v>50</v>
      </c>
      <c r="E1984" s="15" t="s">
        <v>27222</v>
      </c>
      <c r="F1984" s="87" t="s">
        <v>26567</v>
      </c>
      <c r="G1984" s="45" t="s">
        <v>15089</v>
      </c>
      <c r="H1984" s="55" t="s">
        <v>15090</v>
      </c>
      <c r="I1984" s="15" t="s">
        <v>358</v>
      </c>
    </row>
    <row r="1985" spans="1:9" ht="51.75" customHeight="1" x14ac:dyDescent="0.35">
      <c r="A1985" s="15" t="s">
        <v>22179</v>
      </c>
      <c r="B1985" s="15" t="s">
        <v>27223</v>
      </c>
      <c r="C1985" s="15" t="s">
        <v>27217</v>
      </c>
      <c r="D1985" s="31" t="s">
        <v>50</v>
      </c>
      <c r="E1985" s="15" t="s">
        <v>27224</v>
      </c>
      <c r="F1985" s="87" t="s">
        <v>21871</v>
      </c>
      <c r="G1985" s="45" t="s">
        <v>15089</v>
      </c>
      <c r="H1985" s="55" t="s">
        <v>15090</v>
      </c>
      <c r="I1985" s="15" t="s">
        <v>358</v>
      </c>
    </row>
    <row r="1986" spans="1:9" ht="51.75" customHeight="1" x14ac:dyDescent="0.35">
      <c r="A1986" s="15" t="s">
        <v>25454</v>
      </c>
      <c r="B1986" s="15" t="s">
        <v>27225</v>
      </c>
      <c r="C1986" s="15" t="s">
        <v>27226</v>
      </c>
      <c r="D1986" s="31" t="s">
        <v>50</v>
      </c>
      <c r="E1986" s="15" t="s">
        <v>27227</v>
      </c>
      <c r="F1986" s="87" t="s">
        <v>26567</v>
      </c>
      <c r="G1986" s="45" t="s">
        <v>15089</v>
      </c>
      <c r="H1986" s="55" t="s">
        <v>15090</v>
      </c>
      <c r="I1986" s="15" t="s">
        <v>358</v>
      </c>
    </row>
    <row r="1987" spans="1:9" ht="51.75" customHeight="1" x14ac:dyDescent="0.35">
      <c r="A1987" s="15" t="s">
        <v>25454</v>
      </c>
      <c r="B1987" s="15" t="s">
        <v>27228</v>
      </c>
      <c r="C1987" s="15" t="s">
        <v>27226</v>
      </c>
      <c r="D1987" s="31" t="s">
        <v>50</v>
      </c>
      <c r="E1987" s="15" t="s">
        <v>27229</v>
      </c>
      <c r="F1987" s="87" t="s">
        <v>21871</v>
      </c>
      <c r="G1987" s="45" t="s">
        <v>15089</v>
      </c>
      <c r="H1987" s="55" t="s">
        <v>15090</v>
      </c>
      <c r="I1987" s="15" t="s">
        <v>358</v>
      </c>
    </row>
    <row r="1988" spans="1:9" ht="51.75" customHeight="1" x14ac:dyDescent="0.35">
      <c r="A1988" s="15" t="s">
        <v>25498</v>
      </c>
      <c r="B1988" s="15" t="s">
        <v>27230</v>
      </c>
      <c r="C1988" s="15" t="s">
        <v>27231</v>
      </c>
      <c r="D1988" s="31" t="s">
        <v>50</v>
      </c>
      <c r="E1988" s="15" t="s">
        <v>27232</v>
      </c>
      <c r="F1988" s="87" t="s">
        <v>26567</v>
      </c>
      <c r="G1988" s="45" t="s">
        <v>15089</v>
      </c>
      <c r="H1988" s="55" t="s">
        <v>15090</v>
      </c>
      <c r="I1988" s="15" t="s">
        <v>358</v>
      </c>
    </row>
    <row r="1989" spans="1:9" ht="51.75" customHeight="1" x14ac:dyDescent="0.35">
      <c r="A1989" s="15" t="s">
        <v>25498</v>
      </c>
      <c r="B1989" s="15" t="s">
        <v>27233</v>
      </c>
      <c r="C1989" s="15" t="s">
        <v>27231</v>
      </c>
      <c r="D1989" s="31" t="s">
        <v>50</v>
      </c>
      <c r="E1989" s="15" t="s">
        <v>27234</v>
      </c>
      <c r="F1989" s="87" t="s">
        <v>21871</v>
      </c>
      <c r="G1989" s="45" t="s">
        <v>15089</v>
      </c>
      <c r="H1989" s="55" t="s">
        <v>15090</v>
      </c>
      <c r="I1989" s="15" t="s">
        <v>358</v>
      </c>
    </row>
    <row r="1990" spans="1:9" ht="51.75" customHeight="1" x14ac:dyDescent="0.35">
      <c r="A1990" s="15" t="s">
        <v>23309</v>
      </c>
      <c r="B1990" s="15" t="s">
        <v>27235</v>
      </c>
      <c r="C1990" s="15" t="s">
        <v>27236</v>
      </c>
      <c r="D1990" s="31" t="s">
        <v>50</v>
      </c>
      <c r="E1990" s="15" t="s">
        <v>27237</v>
      </c>
      <c r="F1990" s="87" t="s">
        <v>26567</v>
      </c>
      <c r="G1990" s="45" t="s">
        <v>15089</v>
      </c>
      <c r="H1990" s="55" t="s">
        <v>15090</v>
      </c>
      <c r="I1990" s="15" t="s">
        <v>358</v>
      </c>
    </row>
    <row r="1991" spans="1:9" ht="51.75" customHeight="1" x14ac:dyDescent="0.35">
      <c r="A1991" s="15" t="s">
        <v>23309</v>
      </c>
      <c r="B1991" s="15" t="s">
        <v>27238</v>
      </c>
      <c r="C1991" s="15" t="s">
        <v>27236</v>
      </c>
      <c r="D1991" s="31" t="s">
        <v>50</v>
      </c>
      <c r="E1991" s="15" t="s">
        <v>27239</v>
      </c>
      <c r="F1991" s="87" t="s">
        <v>21871</v>
      </c>
      <c r="G1991" s="45" t="s">
        <v>15089</v>
      </c>
      <c r="H1991" s="55" t="s">
        <v>15090</v>
      </c>
      <c r="I1991" s="15" t="s">
        <v>358</v>
      </c>
    </row>
    <row r="1992" spans="1:9" ht="51.75" customHeight="1" x14ac:dyDescent="0.35">
      <c r="A1992" s="15" t="s">
        <v>23319</v>
      </c>
      <c r="B1992" s="15" t="s">
        <v>27240</v>
      </c>
      <c r="C1992" s="15" t="s">
        <v>27241</v>
      </c>
      <c r="D1992" s="31" t="s">
        <v>50</v>
      </c>
      <c r="E1992" s="15" t="s">
        <v>27242</v>
      </c>
      <c r="F1992" s="87" t="s">
        <v>26567</v>
      </c>
      <c r="G1992" s="45" t="s">
        <v>15089</v>
      </c>
      <c r="H1992" s="55" t="s">
        <v>15090</v>
      </c>
      <c r="I1992" s="15" t="s">
        <v>358</v>
      </c>
    </row>
    <row r="1993" spans="1:9" ht="51.75" customHeight="1" x14ac:dyDescent="0.35">
      <c r="A1993" s="15" t="s">
        <v>23319</v>
      </c>
      <c r="B1993" s="15" t="s">
        <v>27243</v>
      </c>
      <c r="C1993" s="15" t="s">
        <v>27241</v>
      </c>
      <c r="D1993" s="31" t="s">
        <v>50</v>
      </c>
      <c r="E1993" s="15" t="s">
        <v>27244</v>
      </c>
      <c r="F1993" s="87" t="s">
        <v>21871</v>
      </c>
      <c r="G1993" s="45" t="s">
        <v>15089</v>
      </c>
      <c r="H1993" s="55" t="s">
        <v>15090</v>
      </c>
      <c r="I1993" s="15" t="s">
        <v>358</v>
      </c>
    </row>
    <row r="1994" spans="1:9" ht="51.75" customHeight="1" x14ac:dyDescent="0.35">
      <c r="A1994" s="15" t="s">
        <v>25507</v>
      </c>
      <c r="B1994" s="15" t="s">
        <v>27245</v>
      </c>
      <c r="C1994" s="15" t="s">
        <v>27246</v>
      </c>
      <c r="D1994" s="31" t="s">
        <v>50</v>
      </c>
      <c r="E1994" s="15" t="s">
        <v>27247</v>
      </c>
      <c r="F1994" s="87" t="s">
        <v>26567</v>
      </c>
      <c r="G1994" s="45" t="s">
        <v>15089</v>
      </c>
      <c r="H1994" s="55" t="s">
        <v>15090</v>
      </c>
      <c r="I1994" s="15" t="s">
        <v>358</v>
      </c>
    </row>
    <row r="1995" spans="1:9" ht="51.75" customHeight="1" x14ac:dyDescent="0.35">
      <c r="A1995" s="15" t="s">
        <v>25507</v>
      </c>
      <c r="B1995" s="15" t="s">
        <v>27248</v>
      </c>
      <c r="C1995" s="15" t="s">
        <v>27246</v>
      </c>
      <c r="D1995" s="31" t="s">
        <v>50</v>
      </c>
      <c r="E1995" s="15" t="s">
        <v>27249</v>
      </c>
      <c r="F1995" s="87" t="s">
        <v>21871</v>
      </c>
      <c r="G1995" s="45" t="s">
        <v>15089</v>
      </c>
      <c r="H1995" s="55" t="s">
        <v>15090</v>
      </c>
      <c r="I1995" s="15" t="s">
        <v>358</v>
      </c>
    </row>
    <row r="1996" spans="1:9" ht="51.75" customHeight="1" x14ac:dyDescent="0.35">
      <c r="A1996" s="15" t="s">
        <v>25974</v>
      </c>
      <c r="B1996" s="15" t="s">
        <v>27250</v>
      </c>
      <c r="C1996" s="15" t="s">
        <v>27251</v>
      </c>
      <c r="D1996" s="31" t="s">
        <v>50</v>
      </c>
      <c r="E1996" s="15" t="s">
        <v>27252</v>
      </c>
      <c r="F1996" s="87" t="s">
        <v>26567</v>
      </c>
      <c r="G1996" s="45" t="s">
        <v>15089</v>
      </c>
      <c r="H1996" s="55" t="s">
        <v>15090</v>
      </c>
      <c r="I1996" s="15" t="s">
        <v>358</v>
      </c>
    </row>
    <row r="1997" spans="1:9" ht="51.75" customHeight="1" x14ac:dyDescent="0.35">
      <c r="A1997" s="15" t="s">
        <v>25974</v>
      </c>
      <c r="B1997" s="15" t="s">
        <v>27253</v>
      </c>
      <c r="C1997" s="15" t="s">
        <v>27251</v>
      </c>
      <c r="D1997" s="31" t="s">
        <v>50</v>
      </c>
      <c r="E1997" s="15" t="s">
        <v>27254</v>
      </c>
      <c r="F1997" s="87" t="s">
        <v>21871</v>
      </c>
      <c r="G1997" s="45" t="s">
        <v>15089</v>
      </c>
      <c r="H1997" s="55" t="s">
        <v>15090</v>
      </c>
      <c r="I1997" s="15" t="s">
        <v>358</v>
      </c>
    </row>
    <row r="1998" spans="1:9" ht="51.75" customHeight="1" x14ac:dyDescent="0.35">
      <c r="A1998" s="15" t="s">
        <v>25980</v>
      </c>
      <c r="B1998" s="15" t="s">
        <v>27255</v>
      </c>
      <c r="C1998" s="15" t="s">
        <v>27256</v>
      </c>
      <c r="D1998" s="31" t="s">
        <v>50</v>
      </c>
      <c r="E1998" s="15" t="s">
        <v>27257</v>
      </c>
      <c r="F1998" s="87" t="s">
        <v>26567</v>
      </c>
      <c r="G1998" s="45" t="s">
        <v>15089</v>
      </c>
      <c r="H1998" s="55" t="s">
        <v>15090</v>
      </c>
      <c r="I1998" s="15" t="s">
        <v>358</v>
      </c>
    </row>
    <row r="1999" spans="1:9" ht="51.75" customHeight="1" x14ac:dyDescent="0.35">
      <c r="A1999" s="15" t="s">
        <v>25980</v>
      </c>
      <c r="B1999" s="15" t="s">
        <v>27258</v>
      </c>
      <c r="C1999" s="15" t="s">
        <v>27256</v>
      </c>
      <c r="D1999" s="31" t="s">
        <v>50</v>
      </c>
      <c r="E1999" s="15" t="s">
        <v>27259</v>
      </c>
      <c r="F1999" s="87" t="s">
        <v>21871</v>
      </c>
      <c r="G1999" s="45" t="s">
        <v>15089</v>
      </c>
      <c r="H1999" s="55" t="s">
        <v>15090</v>
      </c>
      <c r="I1999" s="15" t="s">
        <v>358</v>
      </c>
    </row>
    <row r="2000" spans="1:9" ht="51.75" customHeight="1" x14ac:dyDescent="0.35">
      <c r="A2000" s="15" t="s">
        <v>24229</v>
      </c>
      <c r="B2000" s="15" t="s">
        <v>27260</v>
      </c>
      <c r="C2000" s="15" t="s">
        <v>27261</v>
      </c>
      <c r="D2000" s="31">
        <v>43887</v>
      </c>
      <c r="E2000" s="15" t="s">
        <v>27262</v>
      </c>
      <c r="F2000" s="87" t="s">
        <v>26567</v>
      </c>
      <c r="G2000" s="45" t="s">
        <v>15286</v>
      </c>
      <c r="H2000" s="55" t="s">
        <v>15287</v>
      </c>
      <c r="I2000" s="15" t="s">
        <v>358</v>
      </c>
    </row>
    <row r="2001" spans="1:9" ht="51.75" customHeight="1" x14ac:dyDescent="0.35">
      <c r="A2001" s="15" t="s">
        <v>24229</v>
      </c>
      <c r="B2001" s="15" t="s">
        <v>27263</v>
      </c>
      <c r="C2001" s="15" t="s">
        <v>27261</v>
      </c>
      <c r="D2001" s="31">
        <v>43887</v>
      </c>
      <c r="E2001" s="15" t="s">
        <v>27264</v>
      </c>
      <c r="F2001" s="87" t="s">
        <v>21871</v>
      </c>
      <c r="G2001" s="45" t="s">
        <v>15286</v>
      </c>
      <c r="H2001" s="55" t="s">
        <v>15287</v>
      </c>
      <c r="I2001" s="15" t="s">
        <v>358</v>
      </c>
    </row>
    <row r="2002" spans="1:9" ht="51.75" customHeight="1" x14ac:dyDescent="0.35">
      <c r="A2002" s="15" t="s">
        <v>24380</v>
      </c>
      <c r="B2002" s="15" t="s">
        <v>27265</v>
      </c>
      <c r="C2002" s="15" t="s">
        <v>27266</v>
      </c>
      <c r="D2002" s="31">
        <v>43887</v>
      </c>
      <c r="E2002" s="15" t="s">
        <v>27267</v>
      </c>
      <c r="F2002" s="87" t="s">
        <v>26567</v>
      </c>
      <c r="G2002" s="45" t="s">
        <v>15286</v>
      </c>
      <c r="H2002" s="55" t="s">
        <v>15287</v>
      </c>
      <c r="I2002" s="15" t="s">
        <v>358</v>
      </c>
    </row>
    <row r="2003" spans="1:9" ht="51.75" customHeight="1" x14ac:dyDescent="0.35">
      <c r="A2003" s="15" t="s">
        <v>24380</v>
      </c>
      <c r="B2003" s="15" t="s">
        <v>27268</v>
      </c>
      <c r="C2003" s="15" t="s">
        <v>27266</v>
      </c>
      <c r="D2003" s="31">
        <v>43887</v>
      </c>
      <c r="E2003" s="15" t="s">
        <v>27269</v>
      </c>
      <c r="F2003" s="87" t="s">
        <v>21871</v>
      </c>
      <c r="G2003" s="45" t="s">
        <v>15286</v>
      </c>
      <c r="H2003" s="55" t="s">
        <v>15287</v>
      </c>
      <c r="I2003" s="15" t="s">
        <v>358</v>
      </c>
    </row>
    <row r="2004" spans="1:9" ht="51.75" customHeight="1" x14ac:dyDescent="0.35">
      <c r="A2004" s="15" t="s">
        <v>27270</v>
      </c>
      <c r="B2004" s="15" t="s">
        <v>27271</v>
      </c>
      <c r="C2004" s="15" t="s">
        <v>27144</v>
      </c>
      <c r="D2004" s="31">
        <v>43887</v>
      </c>
      <c r="E2004" s="15" t="s">
        <v>27272</v>
      </c>
      <c r="F2004" s="87" t="s">
        <v>26567</v>
      </c>
      <c r="G2004" s="45" t="s">
        <v>15286</v>
      </c>
      <c r="H2004" s="55" t="s">
        <v>15287</v>
      </c>
      <c r="I2004" s="15" t="s">
        <v>358</v>
      </c>
    </row>
    <row r="2005" spans="1:9" ht="51.75" customHeight="1" x14ac:dyDescent="0.35">
      <c r="A2005" s="15" t="s">
        <v>27270</v>
      </c>
      <c r="B2005" s="15" t="s">
        <v>27273</v>
      </c>
      <c r="C2005" s="15" t="s">
        <v>27144</v>
      </c>
      <c r="D2005" s="31">
        <v>43887</v>
      </c>
      <c r="E2005" s="15" t="s">
        <v>27274</v>
      </c>
      <c r="F2005" s="87" t="s">
        <v>21871</v>
      </c>
      <c r="G2005" s="45" t="s">
        <v>15286</v>
      </c>
      <c r="H2005" s="55" t="s">
        <v>15287</v>
      </c>
      <c r="I2005" s="15" t="s">
        <v>358</v>
      </c>
    </row>
    <row r="2006" spans="1:9" ht="51.75" customHeight="1" x14ac:dyDescent="0.35">
      <c r="A2006" s="15" t="s">
        <v>22846</v>
      </c>
      <c r="B2006" s="15" t="s">
        <v>27275</v>
      </c>
      <c r="C2006" s="15" t="s">
        <v>27149</v>
      </c>
      <c r="D2006" s="31">
        <v>43887</v>
      </c>
      <c r="E2006" s="15" t="s">
        <v>27276</v>
      </c>
      <c r="F2006" s="87" t="s">
        <v>26567</v>
      </c>
      <c r="G2006" s="45" t="s">
        <v>15286</v>
      </c>
      <c r="H2006" s="55" t="s">
        <v>15287</v>
      </c>
      <c r="I2006" s="15" t="s">
        <v>358</v>
      </c>
    </row>
    <row r="2007" spans="1:9" ht="51.75" customHeight="1" x14ac:dyDescent="0.35">
      <c r="A2007" s="15" t="s">
        <v>22846</v>
      </c>
      <c r="B2007" s="15" t="s">
        <v>27277</v>
      </c>
      <c r="C2007" s="15" t="s">
        <v>27149</v>
      </c>
      <c r="D2007" s="31">
        <v>43887</v>
      </c>
      <c r="E2007" s="15" t="s">
        <v>27278</v>
      </c>
      <c r="F2007" s="87" t="s">
        <v>21871</v>
      </c>
      <c r="G2007" s="45" t="s">
        <v>15286</v>
      </c>
      <c r="H2007" s="55" t="s">
        <v>15287</v>
      </c>
      <c r="I2007" s="15" t="s">
        <v>358</v>
      </c>
    </row>
    <row r="2008" spans="1:9" ht="51.75" customHeight="1" x14ac:dyDescent="0.35">
      <c r="A2008" s="15" t="s">
        <v>22854</v>
      </c>
      <c r="B2008" s="15" t="s">
        <v>27279</v>
      </c>
      <c r="C2008" s="15" t="s">
        <v>27280</v>
      </c>
      <c r="D2008" s="31">
        <v>43887</v>
      </c>
      <c r="E2008" s="15" t="s">
        <v>27281</v>
      </c>
      <c r="F2008" s="87" t="s">
        <v>26567</v>
      </c>
      <c r="G2008" s="45" t="s">
        <v>15286</v>
      </c>
      <c r="H2008" s="55" t="s">
        <v>15287</v>
      </c>
      <c r="I2008" s="15" t="s">
        <v>358</v>
      </c>
    </row>
    <row r="2009" spans="1:9" ht="51.75" customHeight="1" x14ac:dyDescent="0.35">
      <c r="A2009" s="15" t="s">
        <v>22854</v>
      </c>
      <c r="B2009" s="15" t="s">
        <v>27282</v>
      </c>
      <c r="C2009" s="15" t="s">
        <v>27280</v>
      </c>
      <c r="D2009" s="31">
        <v>43887</v>
      </c>
      <c r="E2009" s="15" t="s">
        <v>27283</v>
      </c>
      <c r="F2009" s="87" t="s">
        <v>21871</v>
      </c>
      <c r="G2009" s="45" t="s">
        <v>15286</v>
      </c>
      <c r="H2009" s="55" t="s">
        <v>15287</v>
      </c>
      <c r="I2009" s="15" t="s">
        <v>358</v>
      </c>
    </row>
    <row r="2010" spans="1:9" ht="51.75" customHeight="1" x14ac:dyDescent="0.35">
      <c r="A2010" s="15" t="s">
        <v>24714</v>
      </c>
      <c r="B2010" s="15" t="s">
        <v>27284</v>
      </c>
      <c r="C2010" s="15" t="s">
        <v>27285</v>
      </c>
      <c r="D2010" s="31">
        <v>43817</v>
      </c>
      <c r="E2010" s="15" t="s">
        <v>27286</v>
      </c>
      <c r="F2010" s="87" t="s">
        <v>26567</v>
      </c>
      <c r="G2010" s="45" t="s">
        <v>15654</v>
      </c>
      <c r="H2010" s="55" t="s">
        <v>15655</v>
      </c>
      <c r="I2010" s="15" t="s">
        <v>358</v>
      </c>
    </row>
    <row r="2011" spans="1:9" ht="51.75" customHeight="1" x14ac:dyDescent="0.35">
      <c r="A2011" s="15" t="s">
        <v>24714</v>
      </c>
      <c r="B2011" s="15" t="s">
        <v>27287</v>
      </c>
      <c r="C2011" s="15" t="s">
        <v>27285</v>
      </c>
      <c r="D2011" s="31">
        <v>43817</v>
      </c>
      <c r="E2011" s="15" t="s">
        <v>27288</v>
      </c>
      <c r="F2011" s="87" t="s">
        <v>21871</v>
      </c>
      <c r="G2011" s="45" t="s">
        <v>15654</v>
      </c>
      <c r="H2011" s="55" t="s">
        <v>15655</v>
      </c>
      <c r="I2011" s="15" t="s">
        <v>358</v>
      </c>
    </row>
    <row r="2012" spans="1:9" ht="51.75" customHeight="1" x14ac:dyDescent="0.35">
      <c r="A2012" s="15" t="s">
        <v>23902</v>
      </c>
      <c r="B2012" s="15" t="s">
        <v>27289</v>
      </c>
      <c r="C2012" s="15" t="s">
        <v>27078</v>
      </c>
      <c r="D2012" s="31">
        <v>43817</v>
      </c>
      <c r="E2012" s="15" t="s">
        <v>27290</v>
      </c>
      <c r="F2012" s="87" t="s">
        <v>26567</v>
      </c>
      <c r="G2012" s="45" t="s">
        <v>15654</v>
      </c>
      <c r="H2012" s="55" t="s">
        <v>15655</v>
      </c>
      <c r="I2012" s="15" t="s">
        <v>358</v>
      </c>
    </row>
    <row r="2013" spans="1:9" ht="51.75" customHeight="1" x14ac:dyDescent="0.35">
      <c r="A2013" s="15" t="s">
        <v>23902</v>
      </c>
      <c r="B2013" s="15" t="s">
        <v>27291</v>
      </c>
      <c r="C2013" s="15" t="s">
        <v>27078</v>
      </c>
      <c r="D2013" s="31">
        <v>43817</v>
      </c>
      <c r="E2013" s="15" t="s">
        <v>27292</v>
      </c>
      <c r="F2013" s="87" t="s">
        <v>21871</v>
      </c>
      <c r="G2013" s="45" t="s">
        <v>15654</v>
      </c>
      <c r="H2013" s="55" t="s">
        <v>15655</v>
      </c>
      <c r="I2013" s="15" t="s">
        <v>358</v>
      </c>
    </row>
    <row r="2014" spans="1:9" ht="51.75" customHeight="1" x14ac:dyDescent="0.35">
      <c r="A2014" s="15" t="s">
        <v>27293</v>
      </c>
      <c r="B2014" s="15" t="s">
        <v>27294</v>
      </c>
      <c r="C2014" s="15" t="s">
        <v>27105</v>
      </c>
      <c r="D2014" s="31">
        <v>43817</v>
      </c>
      <c r="E2014" s="15" t="s">
        <v>27295</v>
      </c>
      <c r="F2014" s="87" t="s">
        <v>26567</v>
      </c>
      <c r="G2014" s="45" t="s">
        <v>15654</v>
      </c>
      <c r="H2014" s="55" t="s">
        <v>15655</v>
      </c>
      <c r="I2014" s="15" t="s">
        <v>358</v>
      </c>
    </row>
    <row r="2015" spans="1:9" ht="51.75" customHeight="1" x14ac:dyDescent="0.35">
      <c r="A2015" s="15" t="s">
        <v>27293</v>
      </c>
      <c r="B2015" s="15" t="s">
        <v>27296</v>
      </c>
      <c r="C2015" s="15" t="s">
        <v>27105</v>
      </c>
      <c r="D2015" s="31">
        <v>43817</v>
      </c>
      <c r="E2015" s="15" t="s">
        <v>27297</v>
      </c>
      <c r="F2015" s="87" t="s">
        <v>21871</v>
      </c>
      <c r="G2015" s="45" t="s">
        <v>15654</v>
      </c>
      <c r="H2015" s="55" t="s">
        <v>15655</v>
      </c>
      <c r="I2015" s="15" t="s">
        <v>358</v>
      </c>
    </row>
    <row r="2016" spans="1:9" ht="51.75" customHeight="1" x14ac:dyDescent="0.35">
      <c r="A2016" s="15" t="s">
        <v>27298</v>
      </c>
      <c r="B2016" s="15" t="s">
        <v>27299</v>
      </c>
      <c r="C2016" s="15" t="s">
        <v>27087</v>
      </c>
      <c r="D2016" s="31">
        <v>43817</v>
      </c>
      <c r="E2016" s="15" t="s">
        <v>27300</v>
      </c>
      <c r="F2016" s="87" t="s">
        <v>26567</v>
      </c>
      <c r="G2016" s="45" t="s">
        <v>15654</v>
      </c>
      <c r="H2016" s="55" t="s">
        <v>15655</v>
      </c>
      <c r="I2016" s="15" t="s">
        <v>358</v>
      </c>
    </row>
    <row r="2017" spans="1:9" ht="51.75" customHeight="1" x14ac:dyDescent="0.35">
      <c r="A2017" s="15" t="s">
        <v>27298</v>
      </c>
      <c r="B2017" s="15" t="s">
        <v>27301</v>
      </c>
      <c r="C2017" s="15" t="s">
        <v>27087</v>
      </c>
      <c r="D2017" s="31">
        <v>43817</v>
      </c>
      <c r="E2017" s="15" t="s">
        <v>27302</v>
      </c>
      <c r="F2017" s="87" t="s">
        <v>21871</v>
      </c>
      <c r="G2017" s="45" t="s">
        <v>15654</v>
      </c>
      <c r="H2017" s="55" t="s">
        <v>15655</v>
      </c>
      <c r="I2017" s="15" t="s">
        <v>358</v>
      </c>
    </row>
    <row r="2018" spans="1:9" ht="51.75" customHeight="1" x14ac:dyDescent="0.35">
      <c r="A2018" s="15" t="s">
        <v>23893</v>
      </c>
      <c r="B2018" s="15" t="s">
        <v>27303</v>
      </c>
      <c r="C2018" s="15" t="s">
        <v>27078</v>
      </c>
      <c r="D2018" s="31">
        <v>43817</v>
      </c>
      <c r="E2018" s="15" t="s">
        <v>27304</v>
      </c>
      <c r="F2018" s="87" t="s">
        <v>26567</v>
      </c>
      <c r="G2018" s="45" t="s">
        <v>15654</v>
      </c>
      <c r="H2018" s="55" t="s">
        <v>15655</v>
      </c>
      <c r="I2018" s="15" t="s">
        <v>358</v>
      </c>
    </row>
    <row r="2019" spans="1:9" ht="51.75" customHeight="1" x14ac:dyDescent="0.35">
      <c r="A2019" s="15" t="s">
        <v>23893</v>
      </c>
      <c r="B2019" s="15" t="s">
        <v>27305</v>
      </c>
      <c r="C2019" s="15" t="s">
        <v>27078</v>
      </c>
      <c r="D2019" s="31">
        <v>43817</v>
      </c>
      <c r="E2019" s="15" t="s">
        <v>27306</v>
      </c>
      <c r="F2019" s="87" t="s">
        <v>21871</v>
      </c>
      <c r="G2019" s="45" t="s">
        <v>15654</v>
      </c>
      <c r="H2019" s="55" t="s">
        <v>15655</v>
      </c>
      <c r="I2019" s="15" t="s">
        <v>358</v>
      </c>
    </row>
    <row r="2020" spans="1:9" ht="51.75" customHeight="1" x14ac:dyDescent="0.35">
      <c r="A2020" s="15" t="s">
        <v>25015</v>
      </c>
      <c r="B2020" s="15" t="s">
        <v>27307</v>
      </c>
      <c r="C2020" s="15" t="s">
        <v>27308</v>
      </c>
      <c r="D2020" s="31">
        <v>43888</v>
      </c>
      <c r="E2020" s="15" t="s">
        <v>27309</v>
      </c>
      <c r="F2020" s="87" t="s">
        <v>21871</v>
      </c>
      <c r="G2020" s="45" t="s">
        <v>16220</v>
      </c>
      <c r="H2020" s="55" t="s">
        <v>16221</v>
      </c>
      <c r="I2020" s="15" t="s">
        <v>358</v>
      </c>
    </row>
    <row r="2021" spans="1:9" ht="51.75" customHeight="1" x14ac:dyDescent="0.35">
      <c r="A2021" s="15" t="s">
        <v>25021</v>
      </c>
      <c r="B2021" s="15" t="s">
        <v>27310</v>
      </c>
      <c r="C2021" s="15" t="s">
        <v>27308</v>
      </c>
      <c r="D2021" s="31">
        <v>43888</v>
      </c>
      <c r="E2021" s="15" t="s">
        <v>27311</v>
      </c>
      <c r="F2021" s="87" t="s">
        <v>21871</v>
      </c>
      <c r="G2021" s="45" t="s">
        <v>16220</v>
      </c>
      <c r="H2021" s="55" t="s">
        <v>16221</v>
      </c>
      <c r="I2021" s="15" t="s">
        <v>358</v>
      </c>
    </row>
    <row r="2022" spans="1:9" ht="51.75" customHeight="1" x14ac:dyDescent="0.35">
      <c r="A2022" s="15" t="s">
        <v>25062</v>
      </c>
      <c r="B2022" s="15" t="s">
        <v>27312</v>
      </c>
      <c r="C2022" s="15" t="s">
        <v>27313</v>
      </c>
      <c r="D2022" s="31">
        <v>43888</v>
      </c>
      <c r="E2022" s="15" t="s">
        <v>27314</v>
      </c>
      <c r="F2022" s="87" t="s">
        <v>21871</v>
      </c>
      <c r="G2022" s="45" t="s">
        <v>16220</v>
      </c>
      <c r="H2022" s="55" t="s">
        <v>16221</v>
      </c>
      <c r="I2022" s="15" t="s">
        <v>358</v>
      </c>
    </row>
    <row r="2023" spans="1:9" ht="51.75" customHeight="1" x14ac:dyDescent="0.35">
      <c r="A2023" s="15" t="s">
        <v>24653</v>
      </c>
      <c r="B2023" s="15" t="s">
        <v>27315</v>
      </c>
      <c r="C2023" s="15" t="s">
        <v>27316</v>
      </c>
      <c r="D2023" s="31">
        <v>43888</v>
      </c>
      <c r="E2023" s="15" t="s">
        <v>27317</v>
      </c>
      <c r="F2023" s="87" t="s">
        <v>21871</v>
      </c>
      <c r="G2023" s="45" t="s">
        <v>16220</v>
      </c>
      <c r="H2023" s="55" t="s">
        <v>16221</v>
      </c>
      <c r="I2023" s="15" t="s">
        <v>358</v>
      </c>
    </row>
    <row r="2024" spans="1:9" ht="51.75" customHeight="1" x14ac:dyDescent="0.35">
      <c r="A2024" s="15" t="s">
        <v>24980</v>
      </c>
      <c r="B2024" s="15" t="s">
        <v>27318</v>
      </c>
      <c r="C2024" s="15" t="s">
        <v>27319</v>
      </c>
      <c r="D2024" s="31">
        <v>43888</v>
      </c>
      <c r="E2024" s="15" t="s">
        <v>27320</v>
      </c>
      <c r="F2024" s="87" t="s">
        <v>21871</v>
      </c>
      <c r="G2024" s="45" t="s">
        <v>16220</v>
      </c>
      <c r="H2024" s="55" t="s">
        <v>16221</v>
      </c>
      <c r="I2024" s="15" t="s">
        <v>358</v>
      </c>
    </row>
    <row r="2025" spans="1:9" ht="51.75" customHeight="1" x14ac:dyDescent="0.35">
      <c r="A2025" s="15" t="s">
        <v>24998</v>
      </c>
      <c r="B2025" s="15" t="s">
        <v>27321</v>
      </c>
      <c r="C2025" s="15" t="s">
        <v>27322</v>
      </c>
      <c r="D2025" s="31">
        <v>43888</v>
      </c>
      <c r="E2025" s="15" t="s">
        <v>27323</v>
      </c>
      <c r="F2025" s="87" t="s">
        <v>21871</v>
      </c>
      <c r="G2025" s="45" t="s">
        <v>16220</v>
      </c>
      <c r="H2025" s="55" t="s">
        <v>16221</v>
      </c>
      <c r="I2025" s="15" t="s">
        <v>358</v>
      </c>
    </row>
    <row r="2026" spans="1:9" ht="51.75" customHeight="1" x14ac:dyDescent="0.35">
      <c r="A2026" s="15" t="s">
        <v>24747</v>
      </c>
      <c r="B2026" s="15" t="s">
        <v>27324</v>
      </c>
      <c r="C2026" s="15" t="s">
        <v>27325</v>
      </c>
      <c r="D2026" s="31">
        <v>43955</v>
      </c>
      <c r="E2026" s="15" t="s">
        <v>27326</v>
      </c>
      <c r="F2026" s="87" t="s">
        <v>21871</v>
      </c>
      <c r="G2026" s="45" t="s">
        <v>16445</v>
      </c>
      <c r="H2026" s="55" t="s">
        <v>16446</v>
      </c>
      <c r="I2026" s="15" t="s">
        <v>358</v>
      </c>
    </row>
    <row r="2027" spans="1:9" ht="51.75" customHeight="1" x14ac:dyDescent="0.35">
      <c r="A2027" s="15" t="s">
        <v>27327</v>
      </c>
      <c r="B2027" s="15" t="s">
        <v>27328</v>
      </c>
      <c r="C2027" s="15" t="s">
        <v>27329</v>
      </c>
      <c r="D2027" s="31">
        <v>43955</v>
      </c>
      <c r="E2027" s="15" t="s">
        <v>27330</v>
      </c>
      <c r="F2027" s="87" t="s">
        <v>21871</v>
      </c>
      <c r="G2027" s="45" t="s">
        <v>16445</v>
      </c>
      <c r="H2027" s="55" t="s">
        <v>16446</v>
      </c>
      <c r="I2027" s="15" t="s">
        <v>358</v>
      </c>
    </row>
    <row r="2028" spans="1:9" ht="51.75" customHeight="1" x14ac:dyDescent="0.35">
      <c r="A2028" s="15" t="s">
        <v>26702</v>
      </c>
      <c r="B2028" s="15" t="s">
        <v>27331</v>
      </c>
      <c r="C2028" s="15" t="s">
        <v>27332</v>
      </c>
      <c r="D2028" s="31">
        <v>43955</v>
      </c>
      <c r="E2028" s="15" t="s">
        <v>27333</v>
      </c>
      <c r="F2028" s="87" t="s">
        <v>21871</v>
      </c>
      <c r="G2028" s="45" t="s">
        <v>16445</v>
      </c>
      <c r="H2028" s="55" t="s">
        <v>16446</v>
      </c>
      <c r="I2028" s="15" t="s">
        <v>358</v>
      </c>
    </row>
    <row r="2029" spans="1:9" ht="51.75" customHeight="1" x14ac:dyDescent="0.35">
      <c r="A2029" s="15" t="s">
        <v>26708</v>
      </c>
      <c r="B2029" s="15" t="s">
        <v>27334</v>
      </c>
      <c r="C2029" s="15" t="s">
        <v>27335</v>
      </c>
      <c r="D2029" s="31">
        <v>43955</v>
      </c>
      <c r="E2029" s="15" t="s">
        <v>27336</v>
      </c>
      <c r="F2029" s="87" t="s">
        <v>21871</v>
      </c>
      <c r="G2029" s="45" t="s">
        <v>16445</v>
      </c>
      <c r="H2029" s="55" t="s">
        <v>16446</v>
      </c>
      <c r="I2029" s="15" t="s">
        <v>358</v>
      </c>
    </row>
    <row r="2030" spans="1:9" ht="51.75" customHeight="1" x14ac:dyDescent="0.35">
      <c r="A2030" s="15" t="s">
        <v>27337</v>
      </c>
      <c r="B2030" s="15" t="s">
        <v>27338</v>
      </c>
      <c r="C2030" s="15" t="s">
        <v>27339</v>
      </c>
      <c r="D2030" s="31">
        <v>43955</v>
      </c>
      <c r="E2030" s="15" t="s">
        <v>27340</v>
      </c>
      <c r="F2030" s="87" t="s">
        <v>21871</v>
      </c>
      <c r="G2030" s="45" t="s">
        <v>16445</v>
      </c>
      <c r="H2030" s="55" t="s">
        <v>16446</v>
      </c>
      <c r="I2030" s="15" t="s">
        <v>358</v>
      </c>
    </row>
    <row r="2031" spans="1:9" ht="51.75" customHeight="1" x14ac:dyDescent="0.35">
      <c r="A2031" s="15" t="s">
        <v>25494</v>
      </c>
      <c r="B2031" s="15" t="s">
        <v>27341</v>
      </c>
      <c r="C2031" s="15" t="s">
        <v>27342</v>
      </c>
      <c r="D2031" s="31">
        <v>43973</v>
      </c>
      <c r="E2031" s="15" t="s">
        <v>27343</v>
      </c>
      <c r="F2031" s="87" t="s">
        <v>21871</v>
      </c>
      <c r="G2031" s="45" t="s">
        <v>16418</v>
      </c>
      <c r="H2031" s="55" t="s">
        <v>16419</v>
      </c>
      <c r="I2031" s="15" t="s">
        <v>358</v>
      </c>
    </row>
    <row r="2032" spans="1:9" ht="51.75" customHeight="1" x14ac:dyDescent="0.35">
      <c r="A2032" s="15"/>
      <c r="B2032" s="15" t="s">
        <v>27344</v>
      </c>
      <c r="C2032" s="15" t="s">
        <v>27345</v>
      </c>
      <c r="D2032" s="28">
        <v>44298</v>
      </c>
      <c r="E2032" s="15" t="s">
        <v>27346</v>
      </c>
      <c r="F2032" s="87" t="s">
        <v>26567</v>
      </c>
      <c r="G2032" s="45" t="s">
        <v>15809</v>
      </c>
      <c r="H2032" s="54" t="s">
        <v>15810</v>
      </c>
      <c r="I2032" s="15" t="s">
        <v>358</v>
      </c>
    </row>
    <row r="2033" spans="1:9" ht="51.75" customHeight="1" x14ac:dyDescent="0.35">
      <c r="A2033" s="15"/>
      <c r="B2033" s="15" t="str">
        <f>CONCATENATE(G2033,"/",COUNTIF($G$2:G2033,G2033))</f>
        <v>IT-5977/2</v>
      </c>
      <c r="C2033" s="15" t="s">
        <v>27347</v>
      </c>
      <c r="D2033" s="28">
        <v>44298</v>
      </c>
      <c r="E2033" s="15" t="s">
        <v>27348</v>
      </c>
      <c r="F2033" s="87" t="s">
        <v>26567</v>
      </c>
      <c r="G2033" s="45" t="s">
        <v>15809</v>
      </c>
      <c r="H2033" s="54" t="s">
        <v>15810</v>
      </c>
      <c r="I2033" s="15" t="s">
        <v>358</v>
      </c>
    </row>
    <row r="2034" spans="1:9" ht="51.75" customHeight="1" x14ac:dyDescent="0.35">
      <c r="A2034" s="15">
        <v>1</v>
      </c>
      <c r="B2034" s="15" t="s">
        <v>27349</v>
      </c>
      <c r="C2034" s="15" t="s">
        <v>27350</v>
      </c>
      <c r="D2034" s="31">
        <v>40657</v>
      </c>
      <c r="E2034" s="15" t="s">
        <v>27351</v>
      </c>
      <c r="F2034" s="87"/>
      <c r="G2034" s="45" t="s">
        <v>5070</v>
      </c>
      <c r="H2034" s="55" t="s">
        <v>5071</v>
      </c>
      <c r="I2034" s="15" t="s">
        <v>619</v>
      </c>
    </row>
    <row r="2035" spans="1:9" ht="51.75" customHeight="1" x14ac:dyDescent="0.35">
      <c r="A2035" s="15">
        <v>2</v>
      </c>
      <c r="B2035" s="15" t="s">
        <v>27352</v>
      </c>
      <c r="C2035" s="15" t="s">
        <v>27353</v>
      </c>
      <c r="D2035" s="31">
        <v>40657</v>
      </c>
      <c r="E2035" s="15" t="s">
        <v>27354</v>
      </c>
      <c r="F2035" s="87"/>
      <c r="G2035" s="45" t="s">
        <v>5070</v>
      </c>
      <c r="H2035" s="55" t="s">
        <v>5071</v>
      </c>
      <c r="I2035" s="15" t="s">
        <v>619</v>
      </c>
    </row>
    <row r="2036" spans="1:9" ht="51.75" customHeight="1" x14ac:dyDescent="0.35">
      <c r="A2036" s="15">
        <v>1</v>
      </c>
      <c r="B2036" s="15" t="s">
        <v>27355</v>
      </c>
      <c r="C2036" s="15" t="s">
        <v>27356</v>
      </c>
      <c r="D2036" s="31">
        <v>40711</v>
      </c>
      <c r="E2036" s="15" t="s">
        <v>27357</v>
      </c>
      <c r="F2036" s="87"/>
      <c r="G2036" s="45" t="s">
        <v>5049</v>
      </c>
      <c r="H2036" s="55" t="s">
        <v>5050</v>
      </c>
      <c r="I2036" s="15" t="s">
        <v>619</v>
      </c>
    </row>
    <row r="2037" spans="1:9" ht="51.75" customHeight="1" x14ac:dyDescent="0.35">
      <c r="A2037" s="15">
        <v>2</v>
      </c>
      <c r="B2037" s="15" t="s">
        <v>27358</v>
      </c>
      <c r="C2037" s="15" t="s">
        <v>27359</v>
      </c>
      <c r="D2037" s="31">
        <v>40711</v>
      </c>
      <c r="E2037" s="15" t="s">
        <v>27360</v>
      </c>
      <c r="F2037" s="87"/>
      <c r="G2037" s="45" t="s">
        <v>5049</v>
      </c>
      <c r="H2037" s="55" t="s">
        <v>5050</v>
      </c>
      <c r="I2037" s="15" t="s">
        <v>619</v>
      </c>
    </row>
    <row r="2038" spans="1:9" ht="51.75" customHeight="1" x14ac:dyDescent="0.35">
      <c r="A2038" s="15">
        <v>3</v>
      </c>
      <c r="B2038" s="15" t="s">
        <v>27361</v>
      </c>
      <c r="C2038" s="15" t="s">
        <v>27362</v>
      </c>
      <c r="D2038" s="31">
        <v>40711</v>
      </c>
      <c r="E2038" s="15" t="s">
        <v>27363</v>
      </c>
      <c r="F2038" s="87"/>
      <c r="G2038" s="45" t="s">
        <v>5049</v>
      </c>
      <c r="H2038" s="55" t="s">
        <v>5050</v>
      </c>
      <c r="I2038" s="15" t="s">
        <v>619</v>
      </c>
    </row>
    <row r="2039" spans="1:9" ht="51.75" customHeight="1" x14ac:dyDescent="0.35">
      <c r="A2039" s="15">
        <v>1</v>
      </c>
      <c r="B2039" s="15" t="s">
        <v>27364</v>
      </c>
      <c r="C2039" s="15" t="s">
        <v>27365</v>
      </c>
      <c r="D2039" s="31">
        <v>40626</v>
      </c>
      <c r="E2039" s="15" t="s">
        <v>27365</v>
      </c>
      <c r="F2039" s="87"/>
      <c r="G2039" s="45" t="s">
        <v>4988</v>
      </c>
      <c r="H2039" s="55" t="s">
        <v>4989</v>
      </c>
      <c r="I2039" s="15" t="s">
        <v>619</v>
      </c>
    </row>
    <row r="2040" spans="1:9" ht="51.75" customHeight="1" x14ac:dyDescent="0.35">
      <c r="A2040" s="15">
        <v>2</v>
      </c>
      <c r="B2040" s="15" t="s">
        <v>27366</v>
      </c>
      <c r="C2040" s="15" t="s">
        <v>27367</v>
      </c>
      <c r="D2040" s="31">
        <v>40626</v>
      </c>
      <c r="E2040" s="15" t="s">
        <v>27367</v>
      </c>
      <c r="F2040" s="87"/>
      <c r="G2040" s="45" t="s">
        <v>4988</v>
      </c>
      <c r="H2040" s="55" t="s">
        <v>4989</v>
      </c>
      <c r="I2040" s="15" t="s">
        <v>619</v>
      </c>
    </row>
    <row r="2041" spans="1:9" ht="51.75" customHeight="1" x14ac:dyDescent="0.35">
      <c r="A2041" s="15">
        <v>1</v>
      </c>
      <c r="B2041" s="15" t="s">
        <v>27368</v>
      </c>
      <c r="C2041" s="15" t="s">
        <v>27369</v>
      </c>
      <c r="D2041" s="31">
        <v>40626</v>
      </c>
      <c r="E2041" s="15" t="s">
        <v>27370</v>
      </c>
      <c r="F2041" s="87"/>
      <c r="G2041" s="45" t="s">
        <v>4947</v>
      </c>
      <c r="H2041" s="55" t="s">
        <v>4948</v>
      </c>
      <c r="I2041" s="15" t="s">
        <v>619</v>
      </c>
    </row>
    <row r="2042" spans="1:9" ht="51.75" customHeight="1" x14ac:dyDescent="0.35">
      <c r="A2042" s="15">
        <v>1</v>
      </c>
      <c r="B2042" s="15" t="s">
        <v>27371</v>
      </c>
      <c r="C2042" s="15" t="s">
        <v>27372</v>
      </c>
      <c r="D2042" s="31">
        <v>40728</v>
      </c>
      <c r="E2042" s="15" t="s">
        <v>27373</v>
      </c>
      <c r="F2042" s="87"/>
      <c r="G2042" s="45" t="s">
        <v>4880</v>
      </c>
      <c r="H2042" s="55" t="s">
        <v>4881</v>
      </c>
      <c r="I2042" s="15" t="s">
        <v>619</v>
      </c>
    </row>
    <row r="2043" spans="1:9" ht="51.75" customHeight="1" x14ac:dyDescent="0.35">
      <c r="A2043" s="15">
        <v>1</v>
      </c>
      <c r="B2043" s="15" t="s">
        <v>27374</v>
      </c>
      <c r="C2043" s="15" t="s">
        <v>27375</v>
      </c>
      <c r="D2043" s="31">
        <v>40657</v>
      </c>
      <c r="E2043" s="15" t="s">
        <v>27376</v>
      </c>
      <c r="F2043" s="87"/>
      <c r="G2043" s="45" t="s">
        <v>4769</v>
      </c>
      <c r="H2043" s="55" t="s">
        <v>4770</v>
      </c>
      <c r="I2043" s="15" t="s">
        <v>619</v>
      </c>
    </row>
    <row r="2044" spans="1:9" ht="51.75" customHeight="1" x14ac:dyDescent="0.35">
      <c r="A2044" s="15">
        <v>1</v>
      </c>
      <c r="B2044" s="15" t="s">
        <v>27377</v>
      </c>
      <c r="C2044" s="15" t="s">
        <v>27378</v>
      </c>
      <c r="D2044" s="31">
        <v>39105</v>
      </c>
      <c r="E2044" s="15" t="s">
        <v>27378</v>
      </c>
      <c r="F2044" s="87"/>
      <c r="G2044" s="45" t="s">
        <v>617</v>
      </c>
      <c r="H2044" s="55" t="s">
        <v>618</v>
      </c>
      <c r="I2044" s="15" t="s">
        <v>619</v>
      </c>
    </row>
    <row r="2045" spans="1:9" ht="51.75" customHeight="1" x14ac:dyDescent="0.35">
      <c r="A2045" s="15">
        <v>2</v>
      </c>
      <c r="B2045" s="15" t="s">
        <v>27379</v>
      </c>
      <c r="C2045" s="15" t="s">
        <v>27380</v>
      </c>
      <c r="D2045" s="31">
        <v>39105</v>
      </c>
      <c r="E2045" s="15" t="s">
        <v>27380</v>
      </c>
      <c r="F2045" s="87"/>
      <c r="G2045" s="45" t="s">
        <v>617</v>
      </c>
      <c r="H2045" s="55" t="s">
        <v>618</v>
      </c>
      <c r="I2045" s="15" t="s">
        <v>619</v>
      </c>
    </row>
    <row r="2046" spans="1:9" ht="51.75" customHeight="1" x14ac:dyDescent="0.35">
      <c r="A2046" s="15">
        <v>1</v>
      </c>
      <c r="B2046" s="15" t="s">
        <v>27381</v>
      </c>
      <c r="C2046" s="15" t="s">
        <v>27382</v>
      </c>
      <c r="D2046" s="31">
        <v>40534</v>
      </c>
      <c r="E2046" s="15" t="s">
        <v>27383</v>
      </c>
      <c r="F2046" s="87"/>
      <c r="G2046" s="45" t="s">
        <v>4669</v>
      </c>
      <c r="H2046" s="55" t="s">
        <v>4670</v>
      </c>
      <c r="I2046" s="15" t="s">
        <v>619</v>
      </c>
    </row>
    <row r="2047" spans="1:9" ht="51.75" customHeight="1" x14ac:dyDescent="0.35">
      <c r="A2047" s="15">
        <v>2</v>
      </c>
      <c r="B2047" s="15" t="s">
        <v>27384</v>
      </c>
      <c r="C2047" s="15" t="s">
        <v>27385</v>
      </c>
      <c r="D2047" s="31">
        <v>40534</v>
      </c>
      <c r="E2047" s="15" t="s">
        <v>27386</v>
      </c>
      <c r="F2047" s="87"/>
      <c r="G2047" s="45" t="s">
        <v>4669</v>
      </c>
      <c r="H2047" s="55" t="s">
        <v>4670</v>
      </c>
      <c r="I2047" s="15" t="s">
        <v>619</v>
      </c>
    </row>
    <row r="2048" spans="1:9" ht="51.75" customHeight="1" x14ac:dyDescent="0.35">
      <c r="A2048" s="15">
        <v>1</v>
      </c>
      <c r="B2048" s="15" t="s">
        <v>27387</v>
      </c>
      <c r="C2048" s="15" t="s">
        <v>27388</v>
      </c>
      <c r="D2048" s="31">
        <v>40657</v>
      </c>
      <c r="E2048" s="15" t="s">
        <v>27389</v>
      </c>
      <c r="F2048" s="87"/>
      <c r="G2048" s="45" t="s">
        <v>4630</v>
      </c>
      <c r="H2048" s="55" t="s">
        <v>4631</v>
      </c>
      <c r="I2048" s="15" t="s">
        <v>619</v>
      </c>
    </row>
    <row r="2049" spans="1:9" ht="51.75" customHeight="1" x14ac:dyDescent="0.35">
      <c r="A2049" s="15">
        <v>2</v>
      </c>
      <c r="B2049" s="15" t="s">
        <v>27390</v>
      </c>
      <c r="C2049" s="15" t="s">
        <v>27391</v>
      </c>
      <c r="D2049" s="31">
        <v>40657</v>
      </c>
      <c r="E2049" s="15" t="s">
        <v>27392</v>
      </c>
      <c r="F2049" s="87"/>
      <c r="G2049" s="45" t="s">
        <v>4630</v>
      </c>
      <c r="H2049" s="55" t="s">
        <v>4631</v>
      </c>
      <c r="I2049" s="15" t="s">
        <v>619</v>
      </c>
    </row>
    <row r="2050" spans="1:9" ht="51.75" customHeight="1" x14ac:dyDescent="0.35">
      <c r="A2050" s="15">
        <v>1</v>
      </c>
      <c r="B2050" s="15" t="s">
        <v>27393</v>
      </c>
      <c r="C2050" s="15" t="s">
        <v>27394</v>
      </c>
      <c r="D2050" s="31">
        <v>40672</v>
      </c>
      <c r="E2050" s="15" t="s">
        <v>27395</v>
      </c>
      <c r="F2050" s="87"/>
      <c r="G2050" s="45" t="s">
        <v>4721</v>
      </c>
      <c r="H2050" s="55" t="s">
        <v>4722</v>
      </c>
      <c r="I2050" s="15" t="s">
        <v>619</v>
      </c>
    </row>
    <row r="2051" spans="1:9" ht="51.75" customHeight="1" x14ac:dyDescent="0.35">
      <c r="A2051" s="15">
        <v>2</v>
      </c>
      <c r="B2051" s="15" t="s">
        <v>27396</v>
      </c>
      <c r="C2051" s="15" t="s">
        <v>27397</v>
      </c>
      <c r="D2051" s="31">
        <v>40672</v>
      </c>
      <c r="E2051" s="15" t="s">
        <v>27398</v>
      </c>
      <c r="F2051" s="87"/>
      <c r="G2051" s="45" t="s">
        <v>4721</v>
      </c>
      <c r="H2051" s="55" t="s">
        <v>4722</v>
      </c>
      <c r="I2051" s="15" t="s">
        <v>619</v>
      </c>
    </row>
    <row r="2052" spans="1:9" ht="51.75" customHeight="1" x14ac:dyDescent="0.35">
      <c r="A2052" s="15">
        <v>3</v>
      </c>
      <c r="B2052" s="15" t="s">
        <v>27399</v>
      </c>
      <c r="C2052" s="15" t="s">
        <v>27400</v>
      </c>
      <c r="D2052" s="31">
        <v>40672</v>
      </c>
      <c r="E2052" s="15" t="s">
        <v>27401</v>
      </c>
      <c r="F2052" s="87"/>
      <c r="G2052" s="45" t="s">
        <v>4721</v>
      </c>
      <c r="H2052" s="55" t="s">
        <v>4722</v>
      </c>
      <c r="I2052" s="15" t="s">
        <v>619</v>
      </c>
    </row>
    <row r="2053" spans="1:9" ht="51.75" customHeight="1" x14ac:dyDescent="0.35">
      <c r="A2053" s="15">
        <v>1</v>
      </c>
      <c r="B2053" s="15" t="s">
        <v>27402</v>
      </c>
      <c r="C2053" s="15" t="s">
        <v>27403</v>
      </c>
      <c r="D2053" s="31">
        <v>40535</v>
      </c>
      <c r="E2053" s="15" t="s">
        <v>27404</v>
      </c>
      <c r="F2053" s="87"/>
      <c r="G2053" s="45" t="s">
        <v>4571</v>
      </c>
      <c r="H2053" s="55" t="s">
        <v>4572</v>
      </c>
      <c r="I2053" s="15" t="s">
        <v>619</v>
      </c>
    </row>
    <row r="2054" spans="1:9" ht="51.75" customHeight="1" x14ac:dyDescent="0.35">
      <c r="A2054" s="15">
        <v>2</v>
      </c>
      <c r="B2054" s="15" t="s">
        <v>27405</v>
      </c>
      <c r="C2054" s="15" t="s">
        <v>27406</v>
      </c>
      <c r="D2054" s="31">
        <v>40535</v>
      </c>
      <c r="E2054" s="15" t="s">
        <v>27407</v>
      </c>
      <c r="F2054" s="87"/>
      <c r="G2054" s="45" t="s">
        <v>4571</v>
      </c>
      <c r="H2054" s="55" t="s">
        <v>4572</v>
      </c>
      <c r="I2054" s="15" t="s">
        <v>619</v>
      </c>
    </row>
    <row r="2055" spans="1:9" ht="51.75" customHeight="1" x14ac:dyDescent="0.35">
      <c r="A2055" s="15">
        <v>1</v>
      </c>
      <c r="B2055" s="15" t="s">
        <v>27408</v>
      </c>
      <c r="C2055" s="15" t="s">
        <v>27409</v>
      </c>
      <c r="D2055" s="31">
        <v>40676</v>
      </c>
      <c r="E2055" s="15" t="s">
        <v>27410</v>
      </c>
      <c r="F2055" s="87"/>
      <c r="G2055" s="45" t="s">
        <v>4443</v>
      </c>
      <c r="H2055" s="55" t="s">
        <v>4444</v>
      </c>
      <c r="I2055" s="15" t="s">
        <v>619</v>
      </c>
    </row>
    <row r="2056" spans="1:9" ht="51.75" customHeight="1" x14ac:dyDescent="0.35">
      <c r="A2056" s="15">
        <v>2</v>
      </c>
      <c r="B2056" s="15" t="s">
        <v>27411</v>
      </c>
      <c r="C2056" s="15" t="s">
        <v>27412</v>
      </c>
      <c r="D2056" s="31">
        <v>40676</v>
      </c>
      <c r="E2056" s="15" t="s">
        <v>27413</v>
      </c>
      <c r="F2056" s="87"/>
      <c r="G2056" s="45" t="s">
        <v>4443</v>
      </c>
      <c r="H2056" s="55" t="s">
        <v>4444</v>
      </c>
      <c r="I2056" s="15" t="s">
        <v>619</v>
      </c>
    </row>
    <row r="2057" spans="1:9" ht="51.75" customHeight="1" x14ac:dyDescent="0.35">
      <c r="A2057" s="15">
        <v>3</v>
      </c>
      <c r="B2057" s="15" t="s">
        <v>27414</v>
      </c>
      <c r="C2057" s="15" t="s">
        <v>27415</v>
      </c>
      <c r="D2057" s="31">
        <v>40676</v>
      </c>
      <c r="E2057" s="15" t="s">
        <v>27416</v>
      </c>
      <c r="F2057" s="87"/>
      <c r="G2057" s="45" t="s">
        <v>4443</v>
      </c>
      <c r="H2057" s="55" t="s">
        <v>4444</v>
      </c>
      <c r="I2057" s="15" t="s">
        <v>619</v>
      </c>
    </row>
    <row r="2058" spans="1:9" ht="51.75" customHeight="1" x14ac:dyDescent="0.35">
      <c r="A2058" s="15">
        <v>4</v>
      </c>
      <c r="B2058" s="15" t="s">
        <v>27417</v>
      </c>
      <c r="C2058" s="15" t="s">
        <v>27418</v>
      </c>
      <c r="D2058" s="31">
        <v>40676</v>
      </c>
      <c r="E2058" s="15" t="s">
        <v>27419</v>
      </c>
      <c r="F2058" s="87"/>
      <c r="G2058" s="45" t="s">
        <v>4443</v>
      </c>
      <c r="H2058" s="55" t="s">
        <v>4444</v>
      </c>
      <c r="I2058" s="15" t="s">
        <v>619</v>
      </c>
    </row>
    <row r="2059" spans="1:9" ht="51.75" customHeight="1" x14ac:dyDescent="0.35">
      <c r="A2059" s="15">
        <v>5</v>
      </c>
      <c r="B2059" s="15" t="s">
        <v>27420</v>
      </c>
      <c r="C2059" s="15" t="s">
        <v>27421</v>
      </c>
      <c r="D2059" s="31">
        <v>40676</v>
      </c>
      <c r="E2059" s="15" t="s">
        <v>27422</v>
      </c>
      <c r="F2059" s="87"/>
      <c r="G2059" s="45" t="s">
        <v>4443</v>
      </c>
      <c r="H2059" s="55" t="s">
        <v>4444</v>
      </c>
      <c r="I2059" s="15" t="s">
        <v>619</v>
      </c>
    </row>
    <row r="2060" spans="1:9" ht="51.75" customHeight="1" x14ac:dyDescent="0.35">
      <c r="A2060" s="15">
        <v>1</v>
      </c>
      <c r="B2060" s="15" t="s">
        <v>27423</v>
      </c>
      <c r="C2060" s="15" t="s">
        <v>27424</v>
      </c>
      <c r="D2060" s="31">
        <v>40522</v>
      </c>
      <c r="E2060" s="15" t="s">
        <v>27424</v>
      </c>
      <c r="F2060" s="87"/>
      <c r="G2060" s="45" t="s">
        <v>4413</v>
      </c>
      <c r="H2060" s="55" t="s">
        <v>4414</v>
      </c>
      <c r="I2060" s="15" t="s">
        <v>619</v>
      </c>
    </row>
    <row r="2061" spans="1:9" ht="51.75" customHeight="1" x14ac:dyDescent="0.35">
      <c r="A2061" s="15">
        <v>1</v>
      </c>
      <c r="B2061" s="15" t="s">
        <v>27425</v>
      </c>
      <c r="C2061" s="15" t="s">
        <v>27426</v>
      </c>
      <c r="D2061" s="31">
        <v>40522</v>
      </c>
      <c r="E2061" s="15" t="s">
        <v>27427</v>
      </c>
      <c r="F2061" s="87"/>
      <c r="G2061" s="45" t="s">
        <v>4408</v>
      </c>
      <c r="H2061" s="55" t="s">
        <v>4409</v>
      </c>
      <c r="I2061" s="15" t="s">
        <v>619</v>
      </c>
    </row>
    <row r="2062" spans="1:9" ht="51.75" customHeight="1" x14ac:dyDescent="0.35">
      <c r="A2062" s="15">
        <v>1</v>
      </c>
      <c r="B2062" s="15" t="s">
        <v>27428</v>
      </c>
      <c r="C2062" s="15" t="s">
        <v>27429</v>
      </c>
      <c r="D2062" s="31">
        <v>40522</v>
      </c>
      <c r="E2062" s="15" t="s">
        <v>27430</v>
      </c>
      <c r="F2062" s="87"/>
      <c r="G2062" s="45" t="s">
        <v>4356</v>
      </c>
      <c r="H2062" s="55" t="s">
        <v>4357</v>
      </c>
      <c r="I2062" s="15" t="s">
        <v>619</v>
      </c>
    </row>
    <row r="2063" spans="1:9" ht="51.75" customHeight="1" x14ac:dyDescent="0.35">
      <c r="A2063" s="15">
        <v>1</v>
      </c>
      <c r="B2063" s="15" t="s">
        <v>27431</v>
      </c>
      <c r="C2063" s="15" t="s">
        <v>27432</v>
      </c>
      <c r="D2063" s="31">
        <v>40522</v>
      </c>
      <c r="E2063" s="15" t="s">
        <v>27433</v>
      </c>
      <c r="F2063" s="87"/>
      <c r="G2063" s="45" t="s">
        <v>4341</v>
      </c>
      <c r="H2063" s="55" t="s">
        <v>4342</v>
      </c>
      <c r="I2063" s="15" t="s">
        <v>619</v>
      </c>
    </row>
    <row r="2064" spans="1:9" ht="51.75" customHeight="1" x14ac:dyDescent="0.35">
      <c r="A2064" s="15">
        <v>2</v>
      </c>
      <c r="B2064" s="15" t="s">
        <v>27434</v>
      </c>
      <c r="C2064" s="15" t="s">
        <v>27435</v>
      </c>
      <c r="D2064" s="31">
        <v>40522</v>
      </c>
      <c r="E2064" s="15" t="s">
        <v>27436</v>
      </c>
      <c r="F2064" s="87"/>
      <c r="G2064" s="45" t="s">
        <v>4341</v>
      </c>
      <c r="H2064" s="55" t="s">
        <v>4342</v>
      </c>
      <c r="I2064" s="15" t="s">
        <v>619</v>
      </c>
    </row>
    <row r="2065" spans="1:9" ht="51.75" customHeight="1" x14ac:dyDescent="0.35">
      <c r="A2065" s="15">
        <v>3</v>
      </c>
      <c r="B2065" s="15" t="s">
        <v>27437</v>
      </c>
      <c r="C2065" s="15" t="s">
        <v>27438</v>
      </c>
      <c r="D2065" s="31">
        <v>40522</v>
      </c>
      <c r="E2065" s="15" t="s">
        <v>27439</v>
      </c>
      <c r="F2065" s="87"/>
      <c r="G2065" s="45" t="s">
        <v>4341</v>
      </c>
      <c r="H2065" s="55" t="s">
        <v>4342</v>
      </c>
      <c r="I2065" s="15" t="s">
        <v>619</v>
      </c>
    </row>
    <row r="2066" spans="1:9" ht="51.75" customHeight="1" x14ac:dyDescent="0.35">
      <c r="A2066" s="15">
        <v>4</v>
      </c>
      <c r="B2066" s="15" t="s">
        <v>27440</v>
      </c>
      <c r="C2066" s="15" t="s">
        <v>27441</v>
      </c>
      <c r="D2066" s="31">
        <v>40522</v>
      </c>
      <c r="E2066" s="15" t="s">
        <v>27442</v>
      </c>
      <c r="F2066" s="87"/>
      <c r="G2066" s="45" t="s">
        <v>4341</v>
      </c>
      <c r="H2066" s="55" t="s">
        <v>4342</v>
      </c>
      <c r="I2066" s="15" t="s">
        <v>619</v>
      </c>
    </row>
    <row r="2067" spans="1:9" ht="51.75" customHeight="1" x14ac:dyDescent="0.35">
      <c r="A2067" s="15">
        <v>5</v>
      </c>
      <c r="B2067" s="15" t="s">
        <v>27443</v>
      </c>
      <c r="C2067" s="15" t="s">
        <v>27444</v>
      </c>
      <c r="D2067" s="31">
        <v>40522</v>
      </c>
      <c r="E2067" s="15" t="s">
        <v>27445</v>
      </c>
      <c r="F2067" s="87"/>
      <c r="G2067" s="45" t="s">
        <v>4341</v>
      </c>
      <c r="H2067" s="55" t="s">
        <v>4342</v>
      </c>
      <c r="I2067" s="15" t="s">
        <v>619</v>
      </c>
    </row>
    <row r="2068" spans="1:9" ht="51.75" customHeight="1" x14ac:dyDescent="0.35">
      <c r="A2068" s="15">
        <v>6</v>
      </c>
      <c r="B2068" s="15" t="s">
        <v>27446</v>
      </c>
      <c r="C2068" s="15" t="s">
        <v>27447</v>
      </c>
      <c r="D2068" s="31">
        <v>40522</v>
      </c>
      <c r="E2068" s="15" t="s">
        <v>27448</v>
      </c>
      <c r="F2068" s="87"/>
      <c r="G2068" s="45" t="s">
        <v>4341</v>
      </c>
      <c r="H2068" s="55" t="s">
        <v>4342</v>
      </c>
      <c r="I2068" s="15" t="s">
        <v>619</v>
      </c>
    </row>
    <row r="2069" spans="1:9" ht="51.75" customHeight="1" x14ac:dyDescent="0.35">
      <c r="A2069" s="15">
        <v>1</v>
      </c>
      <c r="B2069" s="15" t="s">
        <v>27449</v>
      </c>
      <c r="C2069" s="15" t="s">
        <v>27450</v>
      </c>
      <c r="D2069" s="31">
        <v>40338</v>
      </c>
      <c r="E2069" s="15" t="s">
        <v>27451</v>
      </c>
      <c r="F2069" s="87"/>
      <c r="G2069" s="45" t="s">
        <v>4346</v>
      </c>
      <c r="H2069" s="55" t="s">
        <v>4347</v>
      </c>
      <c r="I2069" s="15" t="s">
        <v>619</v>
      </c>
    </row>
    <row r="2070" spans="1:9" ht="51.75" customHeight="1" x14ac:dyDescent="0.35">
      <c r="A2070" s="15">
        <v>1</v>
      </c>
      <c r="B2070" s="15" t="s">
        <v>27452</v>
      </c>
      <c r="C2070" s="15" t="s">
        <v>27453</v>
      </c>
      <c r="D2070" s="31">
        <v>40450</v>
      </c>
      <c r="E2070" s="15" t="s">
        <v>27453</v>
      </c>
      <c r="F2070" s="87"/>
      <c r="G2070" s="45" t="s">
        <v>4351</v>
      </c>
      <c r="H2070" s="55" t="s">
        <v>4352</v>
      </c>
      <c r="I2070" s="15" t="s">
        <v>619</v>
      </c>
    </row>
    <row r="2071" spans="1:9" ht="51.75" customHeight="1" x14ac:dyDescent="0.35">
      <c r="A2071" s="15">
        <v>1</v>
      </c>
      <c r="B2071" s="15" t="s">
        <v>27454</v>
      </c>
      <c r="C2071" s="15" t="s">
        <v>27455</v>
      </c>
      <c r="D2071" s="31">
        <v>40450</v>
      </c>
      <c r="E2071" s="15" t="s">
        <v>27455</v>
      </c>
      <c r="F2071" s="87"/>
      <c r="G2071" s="45" t="s">
        <v>4231</v>
      </c>
      <c r="H2071" s="55" t="s">
        <v>4232</v>
      </c>
      <c r="I2071" s="15" t="s">
        <v>619</v>
      </c>
    </row>
    <row r="2072" spans="1:9" ht="51.75" customHeight="1" x14ac:dyDescent="0.35">
      <c r="A2072" s="15">
        <v>1</v>
      </c>
      <c r="B2072" s="15" t="s">
        <v>27456</v>
      </c>
      <c r="C2072" s="15" t="s">
        <v>27457</v>
      </c>
      <c r="D2072" s="31">
        <v>40338</v>
      </c>
      <c r="E2072" s="15" t="s">
        <v>27457</v>
      </c>
      <c r="F2072" s="87"/>
      <c r="G2072" s="45" t="s">
        <v>4191</v>
      </c>
      <c r="H2072" s="55" t="s">
        <v>4192</v>
      </c>
      <c r="I2072" s="15" t="s">
        <v>619</v>
      </c>
    </row>
    <row r="2073" spans="1:9" ht="51.75" customHeight="1" x14ac:dyDescent="0.35">
      <c r="A2073" s="15">
        <v>1</v>
      </c>
      <c r="B2073" s="15" t="s">
        <v>27458</v>
      </c>
      <c r="C2073" s="15" t="s">
        <v>27459</v>
      </c>
      <c r="D2073" s="31">
        <v>40452</v>
      </c>
      <c r="E2073" s="15" t="s">
        <v>27460</v>
      </c>
      <c r="F2073" s="87"/>
      <c r="G2073" s="45" t="s">
        <v>4108</v>
      </c>
      <c r="H2073" s="55" t="s">
        <v>4109</v>
      </c>
      <c r="I2073" s="15" t="s">
        <v>619</v>
      </c>
    </row>
    <row r="2074" spans="1:9" ht="51.75" customHeight="1" x14ac:dyDescent="0.35">
      <c r="A2074" s="15">
        <v>1</v>
      </c>
      <c r="B2074" s="15" t="s">
        <v>27461</v>
      </c>
      <c r="C2074" s="15" t="s">
        <v>27462</v>
      </c>
      <c r="D2074" s="31">
        <v>40452</v>
      </c>
      <c r="E2074" s="15" t="s">
        <v>27463</v>
      </c>
      <c r="F2074" s="87"/>
      <c r="G2074" s="45" t="s">
        <v>4144</v>
      </c>
      <c r="H2074" s="55" t="s">
        <v>4145</v>
      </c>
      <c r="I2074" s="15" t="s">
        <v>619</v>
      </c>
    </row>
    <row r="2075" spans="1:9" ht="51.75" customHeight="1" x14ac:dyDescent="0.35">
      <c r="A2075" s="15">
        <v>2</v>
      </c>
      <c r="B2075" s="15" t="s">
        <v>27464</v>
      </c>
      <c r="C2075" s="15" t="s">
        <v>27465</v>
      </c>
      <c r="D2075" s="31">
        <v>40452</v>
      </c>
      <c r="E2075" s="15" t="s">
        <v>27465</v>
      </c>
      <c r="F2075" s="87"/>
      <c r="G2075" s="45" t="s">
        <v>4144</v>
      </c>
      <c r="H2075" s="55" t="s">
        <v>4145</v>
      </c>
      <c r="I2075" s="15" t="s">
        <v>619</v>
      </c>
    </row>
    <row r="2076" spans="1:9" ht="51.75" customHeight="1" x14ac:dyDescent="0.35">
      <c r="A2076" s="15">
        <v>3</v>
      </c>
      <c r="B2076" s="15" t="s">
        <v>27466</v>
      </c>
      <c r="C2076" s="15" t="s">
        <v>27467</v>
      </c>
      <c r="D2076" s="31">
        <v>40452</v>
      </c>
      <c r="E2076" s="15" t="s">
        <v>27467</v>
      </c>
      <c r="F2076" s="87"/>
      <c r="G2076" s="45" t="s">
        <v>4144</v>
      </c>
      <c r="H2076" s="55" t="s">
        <v>4145</v>
      </c>
      <c r="I2076" s="15" t="s">
        <v>619</v>
      </c>
    </row>
    <row r="2077" spans="1:9" ht="51.75" customHeight="1" x14ac:dyDescent="0.35">
      <c r="A2077" s="15">
        <v>1</v>
      </c>
      <c r="B2077" s="15" t="s">
        <v>27468</v>
      </c>
      <c r="C2077" s="15" t="s">
        <v>27450</v>
      </c>
      <c r="D2077" s="31">
        <v>40338</v>
      </c>
      <c r="E2077" s="15" t="s">
        <v>27451</v>
      </c>
      <c r="F2077" s="87"/>
      <c r="G2077" s="45" t="s">
        <v>4041</v>
      </c>
      <c r="H2077" s="55" t="s">
        <v>4042</v>
      </c>
      <c r="I2077" s="15" t="s">
        <v>619</v>
      </c>
    </row>
    <row r="2078" spans="1:9" ht="51.75" customHeight="1" x14ac:dyDescent="0.35">
      <c r="A2078" s="15">
        <v>1</v>
      </c>
      <c r="B2078" s="15" t="s">
        <v>27469</v>
      </c>
      <c r="C2078" s="15" t="s">
        <v>27470</v>
      </c>
      <c r="D2078" s="31">
        <v>40338</v>
      </c>
      <c r="E2078" s="15" t="s">
        <v>27471</v>
      </c>
      <c r="F2078" s="87"/>
      <c r="G2078" s="45" t="s">
        <v>4030</v>
      </c>
      <c r="H2078" s="55" t="s">
        <v>4031</v>
      </c>
      <c r="I2078" s="15" t="s">
        <v>619</v>
      </c>
    </row>
    <row r="2079" spans="1:9" ht="51.75" customHeight="1" x14ac:dyDescent="0.35">
      <c r="A2079" s="15">
        <v>1</v>
      </c>
      <c r="B2079" s="15" t="s">
        <v>27472</v>
      </c>
      <c r="C2079" s="15" t="s">
        <v>27473</v>
      </c>
      <c r="D2079" s="31">
        <v>40450</v>
      </c>
      <c r="E2079" s="15" t="s">
        <v>27474</v>
      </c>
      <c r="F2079" s="87"/>
      <c r="G2079" s="45" t="s">
        <v>4012</v>
      </c>
      <c r="H2079" s="55" t="s">
        <v>4013</v>
      </c>
      <c r="I2079" s="15" t="s">
        <v>619</v>
      </c>
    </row>
    <row r="2080" spans="1:9" ht="51.75" customHeight="1" x14ac:dyDescent="0.35">
      <c r="A2080" s="15">
        <v>1</v>
      </c>
      <c r="B2080" s="15" t="s">
        <v>27475</v>
      </c>
      <c r="C2080" s="15" t="s">
        <v>27450</v>
      </c>
      <c r="D2080" s="31">
        <v>40338</v>
      </c>
      <c r="E2080" s="15" t="s">
        <v>27451</v>
      </c>
      <c r="F2080" s="87"/>
      <c r="G2080" s="45" t="s">
        <v>3966</v>
      </c>
      <c r="H2080" s="55" t="s">
        <v>3967</v>
      </c>
      <c r="I2080" s="15" t="s">
        <v>619</v>
      </c>
    </row>
    <row r="2081" spans="1:9" ht="51.75" customHeight="1" x14ac:dyDescent="0.35">
      <c r="A2081" s="15">
        <v>1</v>
      </c>
      <c r="B2081" s="15" t="s">
        <v>27476</v>
      </c>
      <c r="C2081" s="15" t="s">
        <v>27477</v>
      </c>
      <c r="D2081" s="31">
        <v>39105</v>
      </c>
      <c r="E2081" s="15" t="s">
        <v>27477</v>
      </c>
      <c r="F2081" s="87"/>
      <c r="G2081" s="45" t="s">
        <v>638</v>
      </c>
      <c r="H2081" s="55" t="s">
        <v>639</v>
      </c>
      <c r="I2081" s="15" t="s">
        <v>619</v>
      </c>
    </row>
    <row r="2082" spans="1:9" ht="51.75" customHeight="1" x14ac:dyDescent="0.35">
      <c r="A2082" s="15">
        <v>1</v>
      </c>
      <c r="B2082" s="15" t="s">
        <v>27478</v>
      </c>
      <c r="C2082" s="15" t="s">
        <v>27479</v>
      </c>
      <c r="D2082" s="31">
        <v>40111</v>
      </c>
      <c r="E2082" s="15" t="s">
        <v>27480</v>
      </c>
      <c r="F2082" s="87"/>
      <c r="G2082" s="45" t="s">
        <v>3305</v>
      </c>
      <c r="H2082" s="55" t="s">
        <v>3306</v>
      </c>
      <c r="I2082" s="15" t="s">
        <v>619</v>
      </c>
    </row>
    <row r="2083" spans="1:9" ht="51.75" customHeight="1" x14ac:dyDescent="0.35">
      <c r="A2083" s="15">
        <v>2</v>
      </c>
      <c r="B2083" s="15" t="s">
        <v>27481</v>
      </c>
      <c r="C2083" s="15" t="s">
        <v>27482</v>
      </c>
      <c r="D2083" s="31">
        <v>40111</v>
      </c>
      <c r="E2083" s="15" t="s">
        <v>27483</v>
      </c>
      <c r="F2083" s="87"/>
      <c r="G2083" s="45" t="s">
        <v>3305</v>
      </c>
      <c r="H2083" s="55" t="s">
        <v>3306</v>
      </c>
      <c r="I2083" s="15" t="s">
        <v>619</v>
      </c>
    </row>
    <row r="2084" spans="1:9" ht="51.75" customHeight="1" x14ac:dyDescent="0.35">
      <c r="A2084" s="15">
        <v>3</v>
      </c>
      <c r="B2084" s="15" t="s">
        <v>27484</v>
      </c>
      <c r="C2084" s="15" t="s">
        <v>27485</v>
      </c>
      <c r="D2084" s="31">
        <v>40111</v>
      </c>
      <c r="E2084" s="15" t="s">
        <v>27486</v>
      </c>
      <c r="F2084" s="87"/>
      <c r="G2084" s="45" t="s">
        <v>3305</v>
      </c>
      <c r="H2084" s="55" t="s">
        <v>3306</v>
      </c>
      <c r="I2084" s="15" t="s">
        <v>619</v>
      </c>
    </row>
    <row r="2085" spans="1:9" ht="51.75" customHeight="1" x14ac:dyDescent="0.35">
      <c r="A2085" s="15">
        <v>4</v>
      </c>
      <c r="B2085" s="15" t="s">
        <v>27487</v>
      </c>
      <c r="C2085" s="15" t="s">
        <v>27488</v>
      </c>
      <c r="D2085" s="31">
        <v>40111</v>
      </c>
      <c r="E2085" s="15" t="s">
        <v>27489</v>
      </c>
      <c r="F2085" s="87"/>
      <c r="G2085" s="45" t="s">
        <v>3305</v>
      </c>
      <c r="H2085" s="55" t="s">
        <v>3306</v>
      </c>
      <c r="I2085" s="15" t="s">
        <v>619</v>
      </c>
    </row>
    <row r="2086" spans="1:9" ht="51.75" customHeight="1" x14ac:dyDescent="0.35">
      <c r="A2086" s="15">
        <v>5</v>
      </c>
      <c r="B2086" s="15" t="s">
        <v>27490</v>
      </c>
      <c r="C2086" s="15" t="s">
        <v>27491</v>
      </c>
      <c r="D2086" s="31">
        <v>40111</v>
      </c>
      <c r="E2086" s="15" t="s">
        <v>27492</v>
      </c>
      <c r="F2086" s="87"/>
      <c r="G2086" s="45" t="s">
        <v>3305</v>
      </c>
      <c r="H2086" s="55" t="s">
        <v>3306</v>
      </c>
      <c r="I2086" s="15" t="s">
        <v>619</v>
      </c>
    </row>
    <row r="2087" spans="1:9" ht="51.75" customHeight="1" x14ac:dyDescent="0.35">
      <c r="A2087" s="15">
        <v>1</v>
      </c>
      <c r="B2087" s="15" t="s">
        <v>27493</v>
      </c>
      <c r="C2087" s="15" t="s">
        <v>27494</v>
      </c>
      <c r="D2087" s="31">
        <v>40337</v>
      </c>
      <c r="E2087" s="15" t="s">
        <v>27495</v>
      </c>
      <c r="F2087" s="87"/>
      <c r="G2087" s="45" t="s">
        <v>3869</v>
      </c>
      <c r="H2087" s="55" t="s">
        <v>3870</v>
      </c>
      <c r="I2087" s="15" t="s">
        <v>619</v>
      </c>
    </row>
    <row r="2088" spans="1:9" ht="51.75" customHeight="1" x14ac:dyDescent="0.35">
      <c r="A2088" s="15">
        <v>1</v>
      </c>
      <c r="B2088" s="15" t="s">
        <v>27496</v>
      </c>
      <c r="C2088" s="15" t="s">
        <v>27497</v>
      </c>
      <c r="D2088" s="31">
        <v>40213</v>
      </c>
      <c r="E2088" s="15" t="s">
        <v>27498</v>
      </c>
      <c r="F2088" s="87"/>
      <c r="G2088" s="45" t="s">
        <v>3839</v>
      </c>
      <c r="H2088" s="55" t="s">
        <v>3840</v>
      </c>
      <c r="I2088" s="15" t="s">
        <v>619</v>
      </c>
    </row>
    <row r="2089" spans="1:9" ht="51.75" customHeight="1" x14ac:dyDescent="0.35">
      <c r="A2089" s="15">
        <v>1</v>
      </c>
      <c r="B2089" s="15" t="s">
        <v>27499</v>
      </c>
      <c r="C2089" s="15" t="s">
        <v>27457</v>
      </c>
      <c r="D2089" s="31">
        <v>40338</v>
      </c>
      <c r="E2089" s="15" t="s">
        <v>27457</v>
      </c>
      <c r="F2089" s="87"/>
      <c r="G2089" s="45" t="s">
        <v>3931</v>
      </c>
      <c r="H2089" s="55" t="s">
        <v>3932</v>
      </c>
      <c r="I2089" s="15" t="s">
        <v>619</v>
      </c>
    </row>
    <row r="2090" spans="1:9" ht="51.75" customHeight="1" x14ac:dyDescent="0.35">
      <c r="A2090" s="15">
        <v>1</v>
      </c>
      <c r="B2090" s="15" t="s">
        <v>27500</v>
      </c>
      <c r="C2090" s="15" t="s">
        <v>27457</v>
      </c>
      <c r="D2090" s="31">
        <v>40206</v>
      </c>
      <c r="E2090" s="15" t="s">
        <v>27457</v>
      </c>
      <c r="F2090" s="87"/>
      <c r="G2090" s="45" t="s">
        <v>3922</v>
      </c>
      <c r="H2090" s="55" t="s">
        <v>3923</v>
      </c>
      <c r="I2090" s="15" t="s">
        <v>619</v>
      </c>
    </row>
    <row r="2091" spans="1:9" ht="51.75" customHeight="1" x14ac:dyDescent="0.35">
      <c r="A2091" s="15">
        <v>1</v>
      </c>
      <c r="B2091" s="15" t="s">
        <v>27501</v>
      </c>
      <c r="C2091" s="15" t="s">
        <v>27497</v>
      </c>
      <c r="D2091" s="31">
        <v>40204</v>
      </c>
      <c r="E2091" s="15" t="s">
        <v>27498</v>
      </c>
      <c r="F2091" s="87"/>
      <c r="G2091" s="45" t="s">
        <v>3864</v>
      </c>
      <c r="H2091" s="55" t="s">
        <v>3865</v>
      </c>
      <c r="I2091" s="15" t="s">
        <v>619</v>
      </c>
    </row>
    <row r="2092" spans="1:9" ht="51.75" customHeight="1" x14ac:dyDescent="0.35">
      <c r="A2092" s="15">
        <v>1</v>
      </c>
      <c r="B2092" s="15" t="s">
        <v>27502</v>
      </c>
      <c r="C2092" s="15" t="s">
        <v>27457</v>
      </c>
      <c r="D2092" s="31">
        <v>40206</v>
      </c>
      <c r="E2092" s="15" t="s">
        <v>27457</v>
      </c>
      <c r="F2092" s="87"/>
      <c r="G2092" s="45" t="s">
        <v>3854</v>
      </c>
      <c r="H2092" s="55" t="s">
        <v>3855</v>
      </c>
      <c r="I2092" s="15" t="s">
        <v>619</v>
      </c>
    </row>
    <row r="2093" spans="1:9" ht="51.75" customHeight="1" x14ac:dyDescent="0.35">
      <c r="A2093" s="15">
        <v>1</v>
      </c>
      <c r="B2093" s="15" t="s">
        <v>27503</v>
      </c>
      <c r="C2093" s="15" t="s">
        <v>27457</v>
      </c>
      <c r="D2093" s="31">
        <v>40204</v>
      </c>
      <c r="E2093" s="15" t="s">
        <v>27457</v>
      </c>
      <c r="F2093" s="87"/>
      <c r="G2093" s="45" t="s">
        <v>3824</v>
      </c>
      <c r="H2093" s="55" t="s">
        <v>3825</v>
      </c>
      <c r="I2093" s="15" t="s">
        <v>619</v>
      </c>
    </row>
    <row r="2094" spans="1:9" ht="51.75" customHeight="1" x14ac:dyDescent="0.35">
      <c r="A2094" s="15">
        <v>1</v>
      </c>
      <c r="B2094" s="15" t="s">
        <v>27504</v>
      </c>
      <c r="C2094" s="15" t="s">
        <v>27457</v>
      </c>
      <c r="D2094" s="31">
        <v>40060</v>
      </c>
      <c r="E2094" s="15" t="s">
        <v>27457</v>
      </c>
      <c r="F2094" s="87"/>
      <c r="G2094" s="45" t="s">
        <v>2425</v>
      </c>
      <c r="H2094" s="55" t="s">
        <v>2426</v>
      </c>
      <c r="I2094" s="15" t="s">
        <v>619</v>
      </c>
    </row>
    <row r="2095" spans="1:9" ht="51.75" customHeight="1" x14ac:dyDescent="0.35">
      <c r="A2095" s="15">
        <v>1</v>
      </c>
      <c r="B2095" s="15" t="s">
        <v>27505</v>
      </c>
      <c r="C2095" s="15" t="s">
        <v>27506</v>
      </c>
      <c r="D2095" s="31">
        <v>39976</v>
      </c>
      <c r="E2095" s="15" t="s">
        <v>27507</v>
      </c>
      <c r="F2095" s="87"/>
      <c r="G2095" s="45" t="s">
        <v>2447</v>
      </c>
      <c r="H2095" s="55" t="s">
        <v>2448</v>
      </c>
      <c r="I2095" s="15" t="s">
        <v>619</v>
      </c>
    </row>
    <row r="2096" spans="1:9" ht="51.75" customHeight="1" x14ac:dyDescent="0.35">
      <c r="A2096" s="15">
        <v>1</v>
      </c>
      <c r="B2096" s="15" t="s">
        <v>27508</v>
      </c>
      <c r="C2096" s="15" t="s">
        <v>27509</v>
      </c>
      <c r="D2096" s="31">
        <v>39976</v>
      </c>
      <c r="E2096" s="15" t="s">
        <v>27509</v>
      </c>
      <c r="F2096" s="87"/>
      <c r="G2096" s="45" t="s">
        <v>2439</v>
      </c>
      <c r="H2096" s="55" t="s">
        <v>2440</v>
      </c>
      <c r="I2096" s="15" t="s">
        <v>619</v>
      </c>
    </row>
    <row r="2097" spans="1:9" ht="51.75" customHeight="1" x14ac:dyDescent="0.35">
      <c r="A2097" s="15">
        <v>1</v>
      </c>
      <c r="B2097" s="15" t="s">
        <v>27510</v>
      </c>
      <c r="C2097" s="15" t="s">
        <v>27497</v>
      </c>
      <c r="D2097" s="31">
        <v>40204</v>
      </c>
      <c r="E2097" s="15" t="s">
        <v>27498</v>
      </c>
      <c r="F2097" s="87"/>
      <c r="G2097" s="45" t="s">
        <v>3748</v>
      </c>
      <c r="H2097" s="55" t="s">
        <v>3749</v>
      </c>
      <c r="I2097" s="15" t="s">
        <v>619</v>
      </c>
    </row>
    <row r="2098" spans="1:9" ht="51.75" customHeight="1" x14ac:dyDescent="0.35">
      <c r="A2098" s="15">
        <v>1</v>
      </c>
      <c r="B2098" s="15" t="s">
        <v>27511</v>
      </c>
      <c r="C2098" s="15" t="s">
        <v>27512</v>
      </c>
      <c r="D2098" s="31">
        <v>40141</v>
      </c>
      <c r="E2098" s="15" t="s">
        <v>27513</v>
      </c>
      <c r="F2098" s="87"/>
      <c r="G2098" s="45" t="s">
        <v>3669</v>
      </c>
      <c r="H2098" s="55" t="s">
        <v>3670</v>
      </c>
      <c r="I2098" s="15" t="s">
        <v>619</v>
      </c>
    </row>
    <row r="2099" spans="1:9" ht="51.75" customHeight="1" x14ac:dyDescent="0.35">
      <c r="A2099" s="15">
        <v>1</v>
      </c>
      <c r="B2099" s="15" t="s">
        <v>27514</v>
      </c>
      <c r="C2099" s="15" t="s">
        <v>27515</v>
      </c>
      <c r="D2099" s="31">
        <v>40058</v>
      </c>
      <c r="E2099" s="15" t="s">
        <v>27515</v>
      </c>
      <c r="F2099" s="87"/>
      <c r="G2099" s="45" t="s">
        <v>3665</v>
      </c>
      <c r="H2099" s="55" t="s">
        <v>3666</v>
      </c>
      <c r="I2099" s="15" t="s">
        <v>619</v>
      </c>
    </row>
    <row r="2100" spans="1:9" ht="51.75" customHeight="1" x14ac:dyDescent="0.35">
      <c r="A2100" s="15">
        <v>1</v>
      </c>
      <c r="B2100" s="15" t="s">
        <v>27516</v>
      </c>
      <c r="C2100" s="15" t="s">
        <v>27517</v>
      </c>
      <c r="D2100" s="31">
        <v>40058</v>
      </c>
      <c r="E2100" s="15" t="s">
        <v>27518</v>
      </c>
      <c r="F2100" s="87"/>
      <c r="G2100" s="45" t="s">
        <v>3622</v>
      </c>
      <c r="H2100" s="55" t="s">
        <v>3623</v>
      </c>
      <c r="I2100" s="15" t="s">
        <v>619</v>
      </c>
    </row>
    <row r="2101" spans="1:9" ht="51.75" customHeight="1" x14ac:dyDescent="0.35">
      <c r="A2101" s="15">
        <v>1</v>
      </c>
      <c r="B2101" s="15" t="s">
        <v>27519</v>
      </c>
      <c r="C2101" s="15" t="s">
        <v>27520</v>
      </c>
      <c r="D2101" s="31">
        <v>40058</v>
      </c>
      <c r="E2101" s="15" t="s">
        <v>27521</v>
      </c>
      <c r="F2101" s="87"/>
      <c r="G2101" s="45" t="s">
        <v>3605</v>
      </c>
      <c r="H2101" s="55" t="s">
        <v>3606</v>
      </c>
      <c r="I2101" s="15" t="s">
        <v>619</v>
      </c>
    </row>
    <row r="2102" spans="1:9" ht="51.75" customHeight="1" x14ac:dyDescent="0.35">
      <c r="A2102" s="15">
        <v>1</v>
      </c>
      <c r="B2102" s="15" t="s">
        <v>27522</v>
      </c>
      <c r="C2102" s="15" t="s">
        <v>27523</v>
      </c>
      <c r="D2102" s="31">
        <v>40058</v>
      </c>
      <c r="E2102" s="15" t="s">
        <v>27523</v>
      </c>
      <c r="F2102" s="87"/>
      <c r="G2102" s="45" t="s">
        <v>3601</v>
      </c>
      <c r="H2102" s="55" t="s">
        <v>3602</v>
      </c>
      <c r="I2102" s="15" t="s">
        <v>619</v>
      </c>
    </row>
    <row r="2103" spans="1:9" ht="51.75" customHeight="1" x14ac:dyDescent="0.35">
      <c r="A2103" s="15">
        <v>1</v>
      </c>
      <c r="B2103" s="15" t="s">
        <v>27524</v>
      </c>
      <c r="C2103" s="15" t="s">
        <v>27525</v>
      </c>
      <c r="D2103" s="31">
        <v>40336</v>
      </c>
      <c r="E2103" s="15" t="s">
        <v>27526</v>
      </c>
      <c r="F2103" s="87"/>
      <c r="G2103" s="45" t="s">
        <v>3568</v>
      </c>
      <c r="H2103" s="55" t="s">
        <v>3569</v>
      </c>
      <c r="I2103" s="15" t="s">
        <v>619</v>
      </c>
    </row>
    <row r="2104" spans="1:9" ht="51.75" customHeight="1" x14ac:dyDescent="0.35">
      <c r="A2104" s="15">
        <v>2</v>
      </c>
      <c r="B2104" s="15" t="s">
        <v>27527</v>
      </c>
      <c r="C2104" s="15" t="s">
        <v>27528</v>
      </c>
      <c r="D2104" s="31">
        <v>40336</v>
      </c>
      <c r="E2104" s="15" t="s">
        <v>27529</v>
      </c>
      <c r="F2104" s="87"/>
      <c r="G2104" s="45" t="s">
        <v>3568</v>
      </c>
      <c r="H2104" s="55" t="s">
        <v>3569</v>
      </c>
      <c r="I2104" s="15" t="s">
        <v>619</v>
      </c>
    </row>
    <row r="2105" spans="1:9" ht="51.75" customHeight="1" x14ac:dyDescent="0.35">
      <c r="A2105" s="15">
        <v>3</v>
      </c>
      <c r="B2105" s="15" t="s">
        <v>27530</v>
      </c>
      <c r="C2105" s="15" t="s">
        <v>27531</v>
      </c>
      <c r="D2105" s="31">
        <v>40336</v>
      </c>
      <c r="E2105" s="15" t="s">
        <v>27532</v>
      </c>
      <c r="F2105" s="87"/>
      <c r="G2105" s="45" t="s">
        <v>3568</v>
      </c>
      <c r="H2105" s="55" t="s">
        <v>3569</v>
      </c>
      <c r="I2105" s="15" t="s">
        <v>619</v>
      </c>
    </row>
    <row r="2106" spans="1:9" ht="51.75" customHeight="1" x14ac:dyDescent="0.35">
      <c r="A2106" s="15">
        <v>1</v>
      </c>
      <c r="B2106" s="15" t="s">
        <v>27533</v>
      </c>
      <c r="C2106" s="15" t="s">
        <v>27534</v>
      </c>
      <c r="D2106" s="31">
        <v>40204</v>
      </c>
      <c r="E2106" s="15" t="s">
        <v>27535</v>
      </c>
      <c r="F2106" s="87"/>
      <c r="G2106" s="45" t="s">
        <v>3548</v>
      </c>
      <c r="H2106" s="55" t="s">
        <v>3549</v>
      </c>
      <c r="I2106" s="15" t="s">
        <v>619</v>
      </c>
    </row>
    <row r="2107" spans="1:9" ht="51.75" customHeight="1" x14ac:dyDescent="0.35">
      <c r="A2107" s="15">
        <v>2</v>
      </c>
      <c r="B2107" s="15" t="s">
        <v>27536</v>
      </c>
      <c r="C2107" s="15" t="s">
        <v>27537</v>
      </c>
      <c r="D2107" s="31">
        <v>40204</v>
      </c>
      <c r="E2107" s="15" t="s">
        <v>27538</v>
      </c>
      <c r="F2107" s="87"/>
      <c r="G2107" s="45" t="s">
        <v>3548</v>
      </c>
      <c r="H2107" s="55" t="s">
        <v>3549</v>
      </c>
      <c r="I2107" s="15" t="s">
        <v>619</v>
      </c>
    </row>
    <row r="2108" spans="1:9" ht="51.75" customHeight="1" x14ac:dyDescent="0.35">
      <c r="A2108" s="15">
        <v>3</v>
      </c>
      <c r="B2108" s="15" t="s">
        <v>27539</v>
      </c>
      <c r="C2108" s="15" t="s">
        <v>27540</v>
      </c>
      <c r="D2108" s="31">
        <v>40204</v>
      </c>
      <c r="E2108" s="15" t="s">
        <v>27541</v>
      </c>
      <c r="F2108" s="87"/>
      <c r="G2108" s="45" t="s">
        <v>3548</v>
      </c>
      <c r="H2108" s="55" t="s">
        <v>3549</v>
      </c>
      <c r="I2108" s="15" t="s">
        <v>619</v>
      </c>
    </row>
    <row r="2109" spans="1:9" ht="51.75" customHeight="1" x14ac:dyDescent="0.35">
      <c r="A2109" s="15">
        <v>1</v>
      </c>
      <c r="B2109" s="15" t="s">
        <v>27542</v>
      </c>
      <c r="C2109" s="15" t="s">
        <v>27543</v>
      </c>
      <c r="D2109" s="31">
        <v>40141</v>
      </c>
      <c r="E2109" s="15" t="s">
        <v>27544</v>
      </c>
      <c r="F2109" s="87"/>
      <c r="G2109" s="45" t="s">
        <v>3584</v>
      </c>
      <c r="H2109" s="55" t="s">
        <v>3585</v>
      </c>
      <c r="I2109" s="15" t="s">
        <v>619</v>
      </c>
    </row>
    <row r="2110" spans="1:9" ht="51.75" customHeight="1" x14ac:dyDescent="0.35">
      <c r="A2110" s="15">
        <v>2</v>
      </c>
      <c r="B2110" s="15" t="s">
        <v>27545</v>
      </c>
      <c r="C2110" s="15" t="s">
        <v>27546</v>
      </c>
      <c r="D2110" s="31">
        <v>40141</v>
      </c>
      <c r="E2110" s="15" t="s">
        <v>27547</v>
      </c>
      <c r="F2110" s="87"/>
      <c r="G2110" s="45" t="s">
        <v>3584</v>
      </c>
      <c r="H2110" s="55" t="s">
        <v>3585</v>
      </c>
      <c r="I2110" s="15" t="s">
        <v>619</v>
      </c>
    </row>
    <row r="2111" spans="1:9" ht="51.75" customHeight="1" x14ac:dyDescent="0.35">
      <c r="A2111" s="15">
        <v>3</v>
      </c>
      <c r="B2111" s="15" t="s">
        <v>27548</v>
      </c>
      <c r="C2111" s="15" t="s">
        <v>27549</v>
      </c>
      <c r="D2111" s="31">
        <v>40141</v>
      </c>
      <c r="E2111" s="15" t="s">
        <v>27550</v>
      </c>
      <c r="F2111" s="87"/>
      <c r="G2111" s="45" t="s">
        <v>3584</v>
      </c>
      <c r="H2111" s="55" t="s">
        <v>3585</v>
      </c>
      <c r="I2111" s="15" t="s">
        <v>619</v>
      </c>
    </row>
    <row r="2112" spans="1:9" ht="51.75" customHeight="1" x14ac:dyDescent="0.35">
      <c r="A2112" s="15">
        <v>1</v>
      </c>
      <c r="B2112" s="15" t="s">
        <v>27551</v>
      </c>
      <c r="C2112" s="15" t="s">
        <v>27552</v>
      </c>
      <c r="D2112" s="31">
        <v>40058</v>
      </c>
      <c r="E2112" s="15" t="s">
        <v>27553</v>
      </c>
      <c r="F2112" s="87"/>
      <c r="G2112" s="45" t="s">
        <v>3544</v>
      </c>
      <c r="H2112" s="55" t="s">
        <v>3545</v>
      </c>
      <c r="I2112" s="15" t="s">
        <v>619</v>
      </c>
    </row>
    <row r="2113" spans="1:9" ht="51.75" customHeight="1" x14ac:dyDescent="0.35">
      <c r="A2113" s="15">
        <v>1</v>
      </c>
      <c r="B2113" s="15" t="s">
        <v>27554</v>
      </c>
      <c r="C2113" s="15" t="s">
        <v>27555</v>
      </c>
      <c r="D2113" s="31">
        <v>40058</v>
      </c>
      <c r="E2113" s="15" t="s">
        <v>27556</v>
      </c>
      <c r="F2113" s="87"/>
      <c r="G2113" s="45" t="s">
        <v>3526</v>
      </c>
      <c r="H2113" s="55" t="s">
        <v>3527</v>
      </c>
      <c r="I2113" s="15" t="s">
        <v>619</v>
      </c>
    </row>
    <row r="2114" spans="1:9" ht="51.75" customHeight="1" x14ac:dyDescent="0.35">
      <c r="A2114" s="15">
        <v>1</v>
      </c>
      <c r="B2114" s="15" t="s">
        <v>27557</v>
      </c>
      <c r="C2114" s="15" t="s">
        <v>27558</v>
      </c>
      <c r="D2114" s="31">
        <v>40057</v>
      </c>
      <c r="E2114" s="15" t="s">
        <v>27559</v>
      </c>
      <c r="F2114" s="87"/>
      <c r="G2114" s="45" t="s">
        <v>3521</v>
      </c>
      <c r="H2114" s="55" t="s">
        <v>3522</v>
      </c>
      <c r="I2114" s="15" t="s">
        <v>619</v>
      </c>
    </row>
    <row r="2115" spans="1:9" ht="51.75" customHeight="1" x14ac:dyDescent="0.35">
      <c r="A2115" s="15">
        <v>1</v>
      </c>
      <c r="B2115" s="15" t="s">
        <v>27560</v>
      </c>
      <c r="C2115" s="15" t="s">
        <v>27520</v>
      </c>
      <c r="D2115" s="31">
        <v>40058</v>
      </c>
      <c r="E2115" s="15" t="s">
        <v>27561</v>
      </c>
      <c r="F2115" s="87"/>
      <c r="G2115" s="45" t="s">
        <v>3515</v>
      </c>
      <c r="H2115" s="55" t="s">
        <v>3516</v>
      </c>
      <c r="I2115" s="15" t="s">
        <v>619</v>
      </c>
    </row>
    <row r="2116" spans="1:9" ht="51.75" customHeight="1" x14ac:dyDescent="0.35">
      <c r="A2116" s="15">
        <v>1</v>
      </c>
      <c r="B2116" s="15" t="s">
        <v>27562</v>
      </c>
      <c r="C2116" s="15" t="s">
        <v>27563</v>
      </c>
      <c r="D2116" s="31">
        <v>40058</v>
      </c>
      <c r="E2116" s="15" t="s">
        <v>27564</v>
      </c>
      <c r="F2116" s="87"/>
      <c r="G2116" s="45" t="s">
        <v>3507</v>
      </c>
      <c r="H2116" s="55" t="s">
        <v>3508</v>
      </c>
      <c r="I2116" s="15" t="s">
        <v>619</v>
      </c>
    </row>
    <row r="2117" spans="1:9" ht="51.75" customHeight="1" x14ac:dyDescent="0.35">
      <c r="A2117" s="15">
        <v>1</v>
      </c>
      <c r="B2117" s="15" t="s">
        <v>27565</v>
      </c>
      <c r="C2117" s="15" t="s">
        <v>27457</v>
      </c>
      <c r="D2117" s="31">
        <v>40057</v>
      </c>
      <c r="E2117" s="15" t="s">
        <v>27457</v>
      </c>
      <c r="F2117" s="87"/>
      <c r="G2117" s="45" t="s">
        <v>3499</v>
      </c>
      <c r="H2117" s="55" t="s">
        <v>3500</v>
      </c>
      <c r="I2117" s="15" t="s">
        <v>619</v>
      </c>
    </row>
    <row r="2118" spans="1:9" ht="51.75" customHeight="1" x14ac:dyDescent="0.35">
      <c r="A2118" s="15">
        <v>1</v>
      </c>
      <c r="B2118" s="15" t="s">
        <v>27566</v>
      </c>
      <c r="C2118" s="15" t="s">
        <v>27567</v>
      </c>
      <c r="D2118" s="31">
        <v>40057</v>
      </c>
      <c r="E2118" s="15" t="s">
        <v>27568</v>
      </c>
      <c r="F2118" s="87"/>
      <c r="G2118" s="45" t="s">
        <v>3476</v>
      </c>
      <c r="H2118" s="55" t="s">
        <v>3477</v>
      </c>
      <c r="I2118" s="15" t="s">
        <v>619</v>
      </c>
    </row>
    <row r="2119" spans="1:9" ht="51.75" customHeight="1" x14ac:dyDescent="0.35">
      <c r="A2119" s="15">
        <v>1</v>
      </c>
      <c r="B2119" s="15" t="s">
        <v>27569</v>
      </c>
      <c r="C2119" s="15" t="s">
        <v>27570</v>
      </c>
      <c r="D2119" s="31">
        <v>40057</v>
      </c>
      <c r="E2119" s="15" t="s">
        <v>27570</v>
      </c>
      <c r="F2119" s="87"/>
      <c r="G2119" s="45" t="s">
        <v>3446</v>
      </c>
      <c r="H2119" s="55" t="s">
        <v>3447</v>
      </c>
      <c r="I2119" s="15" t="s">
        <v>619</v>
      </c>
    </row>
    <row r="2120" spans="1:9" ht="51.75" customHeight="1" x14ac:dyDescent="0.35">
      <c r="A2120" s="15">
        <v>1</v>
      </c>
      <c r="B2120" s="15" t="s">
        <v>27571</v>
      </c>
      <c r="C2120" s="15" t="s">
        <v>27572</v>
      </c>
      <c r="D2120" s="31">
        <v>40057</v>
      </c>
      <c r="E2120" s="15" t="s">
        <v>27573</v>
      </c>
      <c r="F2120" s="87"/>
      <c r="G2120" s="45" t="s">
        <v>3442</v>
      </c>
      <c r="H2120" s="55" t="s">
        <v>3443</v>
      </c>
      <c r="I2120" s="15" t="s">
        <v>619</v>
      </c>
    </row>
    <row r="2121" spans="1:9" ht="51.75" customHeight="1" x14ac:dyDescent="0.35">
      <c r="A2121" s="15">
        <v>1</v>
      </c>
      <c r="B2121" s="15" t="s">
        <v>27574</v>
      </c>
      <c r="C2121" s="15" t="s">
        <v>27575</v>
      </c>
      <c r="D2121" s="31">
        <v>40087</v>
      </c>
      <c r="E2121" s="15" t="s">
        <v>27576</v>
      </c>
      <c r="F2121" s="87"/>
      <c r="G2121" s="45" t="s">
        <v>3301</v>
      </c>
      <c r="H2121" s="55" t="s">
        <v>3302</v>
      </c>
      <c r="I2121" s="15" t="s">
        <v>619</v>
      </c>
    </row>
    <row r="2122" spans="1:9" ht="51.75" customHeight="1" x14ac:dyDescent="0.35">
      <c r="A2122" s="15">
        <v>2</v>
      </c>
      <c r="B2122" s="15" t="s">
        <v>27577</v>
      </c>
      <c r="C2122" s="15" t="s">
        <v>27578</v>
      </c>
      <c r="D2122" s="31">
        <v>40087</v>
      </c>
      <c r="E2122" s="15" t="s">
        <v>27579</v>
      </c>
      <c r="F2122" s="87"/>
      <c r="G2122" s="45" t="s">
        <v>3301</v>
      </c>
      <c r="H2122" s="55" t="s">
        <v>3302</v>
      </c>
      <c r="I2122" s="15" t="s">
        <v>619</v>
      </c>
    </row>
    <row r="2123" spans="1:9" ht="51.75" customHeight="1" x14ac:dyDescent="0.35">
      <c r="A2123" s="15">
        <v>3</v>
      </c>
      <c r="B2123" s="15" t="s">
        <v>27580</v>
      </c>
      <c r="C2123" s="15" t="s">
        <v>27581</v>
      </c>
      <c r="D2123" s="31">
        <v>40087</v>
      </c>
      <c r="E2123" s="15" t="s">
        <v>27582</v>
      </c>
      <c r="F2123" s="87"/>
      <c r="G2123" s="45" t="s">
        <v>3301</v>
      </c>
      <c r="H2123" s="55" t="s">
        <v>3302</v>
      </c>
      <c r="I2123" s="15" t="s">
        <v>619</v>
      </c>
    </row>
    <row r="2124" spans="1:9" ht="51.75" customHeight="1" x14ac:dyDescent="0.35">
      <c r="A2124" s="15">
        <v>4</v>
      </c>
      <c r="B2124" s="15" t="s">
        <v>27583</v>
      </c>
      <c r="C2124" s="15" t="s">
        <v>27584</v>
      </c>
      <c r="D2124" s="31">
        <v>40087</v>
      </c>
      <c r="E2124" s="15" t="s">
        <v>27584</v>
      </c>
      <c r="F2124" s="87"/>
      <c r="G2124" s="45" t="s">
        <v>3301</v>
      </c>
      <c r="H2124" s="55" t="s">
        <v>3302</v>
      </c>
      <c r="I2124" s="15" t="s">
        <v>619</v>
      </c>
    </row>
    <row r="2125" spans="1:9" ht="51.75" customHeight="1" x14ac:dyDescent="0.35">
      <c r="A2125" s="15">
        <v>1</v>
      </c>
      <c r="B2125" s="15" t="s">
        <v>27585</v>
      </c>
      <c r="C2125" s="15" t="s">
        <v>27586</v>
      </c>
      <c r="D2125" s="31">
        <v>39923</v>
      </c>
      <c r="E2125" s="15" t="s">
        <v>27587</v>
      </c>
      <c r="F2125" s="87"/>
      <c r="G2125" s="45" t="s">
        <v>3221</v>
      </c>
      <c r="H2125" s="55" t="s">
        <v>3222</v>
      </c>
      <c r="I2125" s="15" t="s">
        <v>619</v>
      </c>
    </row>
    <row r="2126" spans="1:9" ht="51.75" customHeight="1" x14ac:dyDescent="0.35">
      <c r="A2126" s="15">
        <v>1</v>
      </c>
      <c r="B2126" s="15" t="s">
        <v>27588</v>
      </c>
      <c r="C2126" s="15" t="s">
        <v>27589</v>
      </c>
      <c r="D2126" s="31">
        <v>40087</v>
      </c>
      <c r="E2126" s="15" t="s">
        <v>27590</v>
      </c>
      <c r="F2126" s="87"/>
      <c r="G2126" s="45" t="s">
        <v>3009</v>
      </c>
      <c r="H2126" s="55" t="s">
        <v>3010</v>
      </c>
      <c r="I2126" s="15" t="s">
        <v>619</v>
      </c>
    </row>
    <row r="2127" spans="1:9" ht="51.75" customHeight="1" x14ac:dyDescent="0.35">
      <c r="A2127" s="15">
        <v>2</v>
      </c>
      <c r="B2127" s="15" t="s">
        <v>27591</v>
      </c>
      <c r="C2127" s="15" t="s">
        <v>27592</v>
      </c>
      <c r="D2127" s="31">
        <v>40087</v>
      </c>
      <c r="E2127" s="15" t="s">
        <v>27593</v>
      </c>
      <c r="F2127" s="87"/>
      <c r="G2127" s="45" t="s">
        <v>3009</v>
      </c>
      <c r="H2127" s="55" t="s">
        <v>3010</v>
      </c>
      <c r="I2127" s="15" t="s">
        <v>619</v>
      </c>
    </row>
    <row r="2128" spans="1:9" ht="51.75" customHeight="1" x14ac:dyDescent="0.35">
      <c r="A2128" s="15">
        <v>3</v>
      </c>
      <c r="B2128" s="15" t="s">
        <v>27594</v>
      </c>
      <c r="C2128" s="15" t="s">
        <v>27438</v>
      </c>
      <c r="D2128" s="31">
        <v>40087</v>
      </c>
      <c r="E2128" s="15" t="s">
        <v>27595</v>
      </c>
      <c r="F2128" s="87"/>
      <c r="G2128" s="45" t="s">
        <v>3009</v>
      </c>
      <c r="H2128" s="55" t="s">
        <v>3010</v>
      </c>
      <c r="I2128" s="15" t="s">
        <v>619</v>
      </c>
    </row>
    <row r="2129" spans="1:9" ht="51.75" customHeight="1" x14ac:dyDescent="0.35">
      <c r="A2129" s="15">
        <v>1</v>
      </c>
      <c r="B2129" s="15" t="s">
        <v>27596</v>
      </c>
      <c r="C2129" s="15" t="s">
        <v>27457</v>
      </c>
      <c r="D2129" s="31">
        <v>40057</v>
      </c>
      <c r="E2129" s="15" t="s">
        <v>27457</v>
      </c>
      <c r="F2129" s="87"/>
      <c r="G2129" s="45" t="s">
        <v>3254</v>
      </c>
      <c r="H2129" s="55" t="s">
        <v>3255</v>
      </c>
      <c r="I2129" s="15" t="s">
        <v>619</v>
      </c>
    </row>
    <row r="2130" spans="1:9" ht="51.75" customHeight="1" x14ac:dyDescent="0.35">
      <c r="A2130" s="15">
        <v>1</v>
      </c>
      <c r="B2130" s="15" t="s">
        <v>27597</v>
      </c>
      <c r="C2130" s="15" t="s">
        <v>27598</v>
      </c>
      <c r="D2130" s="31">
        <v>40057</v>
      </c>
      <c r="E2130" s="15" t="s">
        <v>27599</v>
      </c>
      <c r="F2130" s="87"/>
      <c r="G2130" s="45" t="s">
        <v>3415</v>
      </c>
      <c r="H2130" s="55" t="s">
        <v>3416</v>
      </c>
      <c r="I2130" s="15" t="s">
        <v>619</v>
      </c>
    </row>
    <row r="2131" spans="1:9" ht="51.75" customHeight="1" x14ac:dyDescent="0.35">
      <c r="A2131" s="15">
        <v>1</v>
      </c>
      <c r="B2131" s="15" t="s">
        <v>27600</v>
      </c>
      <c r="C2131" s="15" t="s">
        <v>27601</v>
      </c>
      <c r="D2131" s="31">
        <v>40057</v>
      </c>
      <c r="E2131" s="15" t="s">
        <v>27601</v>
      </c>
      <c r="F2131" s="87"/>
      <c r="G2131" s="45" t="s">
        <v>3411</v>
      </c>
      <c r="H2131" s="55" t="s">
        <v>3412</v>
      </c>
      <c r="I2131" s="15" t="s">
        <v>619</v>
      </c>
    </row>
    <row r="2132" spans="1:9" ht="51.75" customHeight="1" x14ac:dyDescent="0.35">
      <c r="A2132" s="15">
        <v>1</v>
      </c>
      <c r="B2132" s="15" t="s">
        <v>27602</v>
      </c>
      <c r="C2132" s="15" t="s">
        <v>27601</v>
      </c>
      <c r="D2132" s="31">
        <v>40057</v>
      </c>
      <c r="E2132" s="15" t="s">
        <v>27601</v>
      </c>
      <c r="F2132" s="87"/>
      <c r="G2132" s="45" t="s">
        <v>3358</v>
      </c>
      <c r="H2132" s="55" t="s">
        <v>3359</v>
      </c>
      <c r="I2132" s="15" t="s">
        <v>619</v>
      </c>
    </row>
    <row r="2133" spans="1:9" ht="51.75" customHeight="1" x14ac:dyDescent="0.35">
      <c r="A2133" s="15">
        <v>1</v>
      </c>
      <c r="B2133" s="15" t="s">
        <v>27603</v>
      </c>
      <c r="C2133" s="15" t="s">
        <v>27604</v>
      </c>
      <c r="D2133" s="31">
        <v>39896</v>
      </c>
      <c r="E2133" s="15" t="s">
        <v>27604</v>
      </c>
      <c r="F2133" s="87"/>
      <c r="G2133" s="45" t="s">
        <v>3246</v>
      </c>
      <c r="H2133" s="55" t="s">
        <v>3247</v>
      </c>
      <c r="I2133" s="15" t="s">
        <v>619</v>
      </c>
    </row>
    <row r="2134" spans="1:9" ht="51.75" customHeight="1" x14ac:dyDescent="0.35">
      <c r="A2134" s="15">
        <v>2</v>
      </c>
      <c r="B2134" s="15" t="s">
        <v>27605</v>
      </c>
      <c r="C2134" s="15" t="s">
        <v>27606</v>
      </c>
      <c r="D2134" s="31">
        <v>39896</v>
      </c>
      <c r="E2134" s="15" t="s">
        <v>27606</v>
      </c>
      <c r="F2134" s="87"/>
      <c r="G2134" s="45" t="s">
        <v>3246</v>
      </c>
      <c r="H2134" s="55" t="s">
        <v>3247</v>
      </c>
      <c r="I2134" s="15" t="s">
        <v>619</v>
      </c>
    </row>
    <row r="2135" spans="1:9" ht="51.75" customHeight="1" x14ac:dyDescent="0.35">
      <c r="A2135" s="15">
        <v>3</v>
      </c>
      <c r="B2135" s="15" t="s">
        <v>27607</v>
      </c>
      <c r="C2135" s="15" t="s">
        <v>27608</v>
      </c>
      <c r="D2135" s="31">
        <v>39896</v>
      </c>
      <c r="E2135" s="15" t="s">
        <v>27609</v>
      </c>
      <c r="F2135" s="87"/>
      <c r="G2135" s="45" t="s">
        <v>3246</v>
      </c>
      <c r="H2135" s="55" t="s">
        <v>3247</v>
      </c>
      <c r="I2135" s="15" t="s">
        <v>619</v>
      </c>
    </row>
    <row r="2136" spans="1:9" ht="51.75" customHeight="1" x14ac:dyDescent="0.35">
      <c r="A2136" s="15">
        <v>1</v>
      </c>
      <c r="B2136" s="15" t="s">
        <v>27610</v>
      </c>
      <c r="C2136" s="15" t="s">
        <v>27611</v>
      </c>
      <c r="D2136" s="31">
        <v>39876</v>
      </c>
      <c r="E2136" s="15" t="s">
        <v>27612</v>
      </c>
      <c r="F2136" s="87"/>
      <c r="G2136" s="45" t="s">
        <v>3237</v>
      </c>
      <c r="H2136" s="55" t="s">
        <v>3238</v>
      </c>
      <c r="I2136" s="15" t="s">
        <v>619</v>
      </c>
    </row>
    <row r="2137" spans="1:9" ht="51.75" customHeight="1" x14ac:dyDescent="0.35">
      <c r="A2137" s="15">
        <v>2</v>
      </c>
      <c r="B2137" s="15" t="s">
        <v>27613</v>
      </c>
      <c r="C2137" s="15" t="s">
        <v>27614</v>
      </c>
      <c r="D2137" s="31">
        <v>39876</v>
      </c>
      <c r="E2137" s="15" t="s">
        <v>27615</v>
      </c>
      <c r="F2137" s="87"/>
      <c r="G2137" s="45" t="s">
        <v>3237</v>
      </c>
      <c r="H2137" s="55" t="s">
        <v>3238</v>
      </c>
      <c r="I2137" s="15" t="s">
        <v>619</v>
      </c>
    </row>
    <row r="2138" spans="1:9" ht="51.75" customHeight="1" x14ac:dyDescent="0.35">
      <c r="A2138" s="15">
        <v>1</v>
      </c>
      <c r="B2138" s="15" t="s">
        <v>27616</v>
      </c>
      <c r="C2138" s="15" t="s">
        <v>27617</v>
      </c>
      <c r="D2138" s="31">
        <v>40057</v>
      </c>
      <c r="E2138" s="15" t="s">
        <v>27618</v>
      </c>
      <c r="F2138" s="87"/>
      <c r="G2138" s="45" t="s">
        <v>3386</v>
      </c>
      <c r="H2138" s="55" t="s">
        <v>3387</v>
      </c>
      <c r="I2138" s="15" t="s">
        <v>619</v>
      </c>
    </row>
    <row r="2139" spans="1:9" ht="51.75" customHeight="1" x14ac:dyDescent="0.35">
      <c r="A2139" s="15">
        <v>1</v>
      </c>
      <c r="B2139" s="15" t="s">
        <v>27619</v>
      </c>
      <c r="C2139" s="15" t="s">
        <v>27601</v>
      </c>
      <c r="D2139" s="31">
        <v>40057</v>
      </c>
      <c r="E2139" s="15" t="s">
        <v>27601</v>
      </c>
      <c r="F2139" s="87"/>
      <c r="G2139" s="45" t="s">
        <v>3382</v>
      </c>
      <c r="H2139" s="55" t="s">
        <v>3383</v>
      </c>
      <c r="I2139" s="15" t="s">
        <v>619</v>
      </c>
    </row>
    <row r="2140" spans="1:9" ht="51.75" customHeight="1" x14ac:dyDescent="0.35">
      <c r="A2140" s="15">
        <v>1</v>
      </c>
      <c r="B2140" s="15" t="s">
        <v>27620</v>
      </c>
      <c r="C2140" s="15" t="s">
        <v>27621</v>
      </c>
      <c r="D2140" s="31">
        <v>40057</v>
      </c>
      <c r="E2140" s="15" t="s">
        <v>27622</v>
      </c>
      <c r="F2140" s="87"/>
      <c r="G2140" s="45" t="s">
        <v>3354</v>
      </c>
      <c r="H2140" s="55" t="s">
        <v>3355</v>
      </c>
      <c r="I2140" s="15" t="s">
        <v>619</v>
      </c>
    </row>
    <row r="2141" spans="1:9" ht="51.75" customHeight="1" x14ac:dyDescent="0.35">
      <c r="A2141" s="15">
        <v>1</v>
      </c>
      <c r="B2141" s="15" t="s">
        <v>27623</v>
      </c>
      <c r="C2141" s="15" t="s">
        <v>27457</v>
      </c>
      <c r="D2141" s="31">
        <v>40057</v>
      </c>
      <c r="E2141" s="15" t="s">
        <v>27457</v>
      </c>
      <c r="F2141" s="87"/>
      <c r="G2141" s="45" t="s">
        <v>3345</v>
      </c>
      <c r="H2141" s="55" t="s">
        <v>3346</v>
      </c>
      <c r="I2141" s="15" t="s">
        <v>619</v>
      </c>
    </row>
    <row r="2142" spans="1:9" ht="51.75" customHeight="1" x14ac:dyDescent="0.35">
      <c r="A2142" s="15">
        <v>1</v>
      </c>
      <c r="B2142" s="15" t="s">
        <v>27624</v>
      </c>
      <c r="C2142" s="15" t="s">
        <v>27601</v>
      </c>
      <c r="D2142" s="31">
        <v>39760</v>
      </c>
      <c r="E2142" s="15" t="s">
        <v>27601</v>
      </c>
      <c r="F2142" s="87"/>
      <c r="G2142" s="45" t="s">
        <v>3341</v>
      </c>
      <c r="H2142" s="55" t="s">
        <v>3342</v>
      </c>
      <c r="I2142" s="15" t="s">
        <v>619</v>
      </c>
    </row>
    <row r="2143" spans="1:9" ht="51.75" customHeight="1" x14ac:dyDescent="0.35">
      <c r="A2143" s="15">
        <v>1</v>
      </c>
      <c r="B2143" s="15" t="s">
        <v>27625</v>
      </c>
      <c r="C2143" s="15" t="s">
        <v>27626</v>
      </c>
      <c r="D2143" s="31">
        <v>39755</v>
      </c>
      <c r="E2143" s="15" t="s">
        <v>27627</v>
      </c>
      <c r="F2143" s="87"/>
      <c r="G2143" s="45" t="s">
        <v>3324</v>
      </c>
      <c r="H2143" s="55" t="s">
        <v>3325</v>
      </c>
      <c r="I2143" s="15" t="s">
        <v>619</v>
      </c>
    </row>
    <row r="2144" spans="1:9" ht="51.75" customHeight="1" x14ac:dyDescent="0.35">
      <c r="A2144" s="15">
        <v>1</v>
      </c>
      <c r="B2144" s="15" t="s">
        <v>27628</v>
      </c>
      <c r="C2144" s="15" t="s">
        <v>27629</v>
      </c>
      <c r="D2144" s="31">
        <v>39754</v>
      </c>
      <c r="E2144" s="15" t="s">
        <v>27630</v>
      </c>
      <c r="F2144" s="87"/>
      <c r="G2144" s="45" t="s">
        <v>3320</v>
      </c>
      <c r="H2144" s="55" t="s">
        <v>3321</v>
      </c>
      <c r="I2144" s="15" t="s">
        <v>619</v>
      </c>
    </row>
    <row r="2145" spans="1:9" ht="51.75" customHeight="1" x14ac:dyDescent="0.35">
      <c r="A2145" s="15">
        <v>1</v>
      </c>
      <c r="B2145" s="15" t="s">
        <v>27631</v>
      </c>
      <c r="C2145" s="15" t="s">
        <v>27632</v>
      </c>
      <c r="D2145" s="31">
        <v>39741</v>
      </c>
      <c r="E2145" s="15" t="s">
        <v>27633</v>
      </c>
      <c r="F2145" s="87"/>
      <c r="G2145" s="45" t="s">
        <v>3272</v>
      </c>
      <c r="H2145" s="55" t="s">
        <v>3273</v>
      </c>
      <c r="I2145" s="15" t="s">
        <v>619</v>
      </c>
    </row>
    <row r="2146" spans="1:9" ht="51.75" customHeight="1" x14ac:dyDescent="0.35">
      <c r="A2146" s="15">
        <v>1</v>
      </c>
      <c r="B2146" s="15" t="s">
        <v>27634</v>
      </c>
      <c r="C2146" s="15" t="s">
        <v>27635</v>
      </c>
      <c r="D2146" s="31">
        <v>39739</v>
      </c>
      <c r="E2146" s="15" t="s">
        <v>27635</v>
      </c>
      <c r="F2146" s="87"/>
      <c r="G2146" s="45" t="s">
        <v>3268</v>
      </c>
      <c r="H2146" s="55" t="s">
        <v>3269</v>
      </c>
      <c r="I2146" s="15" t="s">
        <v>619</v>
      </c>
    </row>
    <row r="2147" spans="1:9" ht="51.75" customHeight="1" x14ac:dyDescent="0.35">
      <c r="A2147" s="15">
        <v>1</v>
      </c>
      <c r="B2147" s="15" t="s">
        <v>27636</v>
      </c>
      <c r="C2147" s="15" t="s">
        <v>27637</v>
      </c>
      <c r="D2147" s="31">
        <v>40037</v>
      </c>
      <c r="E2147" s="15" t="s">
        <v>27638</v>
      </c>
      <c r="F2147" s="87"/>
      <c r="G2147" s="45" t="s">
        <v>3258</v>
      </c>
      <c r="H2147" s="55" t="s">
        <v>3259</v>
      </c>
      <c r="I2147" s="15" t="s">
        <v>619</v>
      </c>
    </row>
    <row r="2148" spans="1:9" ht="51.75" customHeight="1" x14ac:dyDescent="0.35">
      <c r="A2148" s="15">
        <v>1</v>
      </c>
      <c r="B2148" s="15" t="s">
        <v>27639</v>
      </c>
      <c r="C2148" s="15" t="s">
        <v>27604</v>
      </c>
      <c r="D2148" s="31">
        <v>39735</v>
      </c>
      <c r="E2148" s="15" t="s">
        <v>27604</v>
      </c>
      <c r="F2148" s="87"/>
      <c r="G2148" s="45" t="s">
        <v>3250</v>
      </c>
      <c r="H2148" s="55" t="s">
        <v>3251</v>
      </c>
      <c r="I2148" s="15" t="s">
        <v>619</v>
      </c>
    </row>
    <row r="2149" spans="1:9" ht="51.75" customHeight="1" x14ac:dyDescent="0.35">
      <c r="A2149" s="15">
        <v>1</v>
      </c>
      <c r="B2149" s="15" t="s">
        <v>27640</v>
      </c>
      <c r="C2149" s="15" t="s">
        <v>27601</v>
      </c>
      <c r="D2149" s="31">
        <v>39720</v>
      </c>
      <c r="E2149" s="15" t="s">
        <v>27601</v>
      </c>
      <c r="F2149" s="87"/>
      <c r="G2149" s="45" t="s">
        <v>3233</v>
      </c>
      <c r="H2149" s="55" t="s">
        <v>3234</v>
      </c>
      <c r="I2149" s="15" t="s">
        <v>619</v>
      </c>
    </row>
    <row r="2150" spans="1:9" ht="51.75" customHeight="1" x14ac:dyDescent="0.35">
      <c r="A2150" s="15">
        <v>1</v>
      </c>
      <c r="B2150" s="15" t="s">
        <v>27641</v>
      </c>
      <c r="C2150" s="15" t="s">
        <v>27642</v>
      </c>
      <c r="D2150" s="31">
        <v>39717</v>
      </c>
      <c r="E2150" s="15" t="s">
        <v>27643</v>
      </c>
      <c r="F2150" s="87"/>
      <c r="G2150" s="45" t="s">
        <v>3217</v>
      </c>
      <c r="H2150" s="55" t="s">
        <v>3218</v>
      </c>
      <c r="I2150" s="15" t="s">
        <v>619</v>
      </c>
    </row>
    <row r="2151" spans="1:9" ht="51.75" customHeight="1" x14ac:dyDescent="0.35">
      <c r="A2151" s="15">
        <v>1</v>
      </c>
      <c r="B2151" s="15" t="s">
        <v>27644</v>
      </c>
      <c r="C2151" s="15" t="s">
        <v>27645</v>
      </c>
      <c r="D2151" s="31">
        <v>39706</v>
      </c>
      <c r="E2151" s="15" t="s">
        <v>27646</v>
      </c>
      <c r="F2151" s="87"/>
      <c r="G2151" s="45" t="s">
        <v>3203</v>
      </c>
      <c r="H2151" s="55" t="s">
        <v>3204</v>
      </c>
      <c r="I2151" s="15" t="s">
        <v>619</v>
      </c>
    </row>
    <row r="2152" spans="1:9" ht="51.75" customHeight="1" x14ac:dyDescent="0.35">
      <c r="A2152" s="15">
        <v>1</v>
      </c>
      <c r="B2152" s="15" t="s">
        <v>27647</v>
      </c>
      <c r="C2152" s="15" t="s">
        <v>27648</v>
      </c>
      <c r="D2152" s="31">
        <v>39701</v>
      </c>
      <c r="E2152" s="15" t="s">
        <v>27649</v>
      </c>
      <c r="F2152" s="87"/>
      <c r="G2152" s="45" t="s">
        <v>3187</v>
      </c>
      <c r="H2152" s="55" t="s">
        <v>3188</v>
      </c>
      <c r="I2152" s="15" t="s">
        <v>619</v>
      </c>
    </row>
    <row r="2153" spans="1:9" ht="51.75" customHeight="1" x14ac:dyDescent="0.35">
      <c r="A2153" s="15">
        <v>1</v>
      </c>
      <c r="B2153" s="15" t="s">
        <v>27650</v>
      </c>
      <c r="C2153" s="15" t="s">
        <v>27457</v>
      </c>
      <c r="D2153" s="31">
        <v>40086</v>
      </c>
      <c r="E2153" s="15" t="s">
        <v>27457</v>
      </c>
      <c r="F2153" s="87"/>
      <c r="G2153" s="45" t="s">
        <v>3016</v>
      </c>
      <c r="H2153" s="55" t="s">
        <v>3017</v>
      </c>
      <c r="I2153" s="15" t="s">
        <v>619</v>
      </c>
    </row>
    <row r="2154" spans="1:9" ht="51.75" customHeight="1" x14ac:dyDescent="0.35">
      <c r="A2154" s="15">
        <v>1</v>
      </c>
      <c r="B2154" s="15" t="s">
        <v>27651</v>
      </c>
      <c r="C2154" s="15" t="s">
        <v>27457</v>
      </c>
      <c r="D2154" s="31">
        <v>40017</v>
      </c>
      <c r="E2154" s="15" t="s">
        <v>27457</v>
      </c>
      <c r="F2154" s="87"/>
      <c r="G2154" s="45" t="s">
        <v>2788</v>
      </c>
      <c r="H2154" s="55" t="s">
        <v>2789</v>
      </c>
      <c r="I2154" s="15" t="s">
        <v>619</v>
      </c>
    </row>
    <row r="2155" spans="1:9" ht="51.75" customHeight="1" x14ac:dyDescent="0.35">
      <c r="A2155" s="15">
        <v>1</v>
      </c>
      <c r="B2155" s="15" t="s">
        <v>27652</v>
      </c>
      <c r="C2155" s="15" t="s">
        <v>27653</v>
      </c>
      <c r="D2155" s="31">
        <v>40057</v>
      </c>
      <c r="E2155" s="15" t="s">
        <v>27654</v>
      </c>
      <c r="F2155" s="87"/>
      <c r="G2155" s="45" t="s">
        <v>3164</v>
      </c>
      <c r="H2155" s="55" t="s">
        <v>3165</v>
      </c>
      <c r="I2155" s="15" t="s">
        <v>619</v>
      </c>
    </row>
    <row r="2156" spans="1:9" ht="51.75" customHeight="1" x14ac:dyDescent="0.35">
      <c r="A2156" s="15">
        <v>1</v>
      </c>
      <c r="B2156" s="15" t="s">
        <v>27655</v>
      </c>
      <c r="C2156" s="15" t="s">
        <v>27656</v>
      </c>
      <c r="D2156" s="31">
        <v>40017</v>
      </c>
      <c r="E2156" s="15" t="s">
        <v>27657</v>
      </c>
      <c r="F2156" s="87"/>
      <c r="G2156" s="45" t="s">
        <v>3147</v>
      </c>
      <c r="H2156" s="55" t="s">
        <v>3148</v>
      </c>
      <c r="I2156" s="15" t="s">
        <v>619</v>
      </c>
    </row>
    <row r="2157" spans="1:9" ht="51.75" customHeight="1" x14ac:dyDescent="0.35">
      <c r="A2157" s="15">
        <v>1</v>
      </c>
      <c r="B2157" s="15" t="s">
        <v>27658</v>
      </c>
      <c r="C2157" s="15" t="s">
        <v>27601</v>
      </c>
      <c r="D2157" s="31">
        <v>40017</v>
      </c>
      <c r="E2157" s="15" t="s">
        <v>27601</v>
      </c>
      <c r="F2157" s="87"/>
      <c r="G2157" s="45" t="s">
        <v>3089</v>
      </c>
      <c r="H2157" s="55" t="s">
        <v>3090</v>
      </c>
      <c r="I2157" s="15" t="s">
        <v>619</v>
      </c>
    </row>
    <row r="2158" spans="1:9" ht="51.75" customHeight="1" x14ac:dyDescent="0.35">
      <c r="A2158" s="15">
        <v>1</v>
      </c>
      <c r="B2158" s="15" t="s">
        <v>27659</v>
      </c>
      <c r="C2158" s="15" t="s">
        <v>27660</v>
      </c>
      <c r="D2158" s="31">
        <v>40017</v>
      </c>
      <c r="E2158" s="15" t="s">
        <v>27661</v>
      </c>
      <c r="F2158" s="87"/>
      <c r="G2158" s="45" t="s">
        <v>3084</v>
      </c>
      <c r="H2158" s="55" t="s">
        <v>3085</v>
      </c>
      <c r="I2158" s="15" t="s">
        <v>619</v>
      </c>
    </row>
    <row r="2159" spans="1:9" ht="51.75" customHeight="1" x14ac:dyDescent="0.35">
      <c r="A2159" s="15">
        <v>1</v>
      </c>
      <c r="B2159" s="15" t="s">
        <v>27662</v>
      </c>
      <c r="C2159" s="15" t="s">
        <v>27601</v>
      </c>
      <c r="D2159" s="31">
        <v>40017</v>
      </c>
      <c r="E2159" s="15" t="s">
        <v>27601</v>
      </c>
      <c r="F2159" s="87"/>
      <c r="G2159" s="45" t="s">
        <v>3042</v>
      </c>
      <c r="H2159" s="55" t="s">
        <v>3043</v>
      </c>
      <c r="I2159" s="15" t="s">
        <v>619</v>
      </c>
    </row>
    <row r="2160" spans="1:9" ht="51.75" customHeight="1" x14ac:dyDescent="0.35">
      <c r="A2160" s="15">
        <v>1</v>
      </c>
      <c r="B2160" s="15" t="s">
        <v>27663</v>
      </c>
      <c r="C2160" s="15" t="s">
        <v>27601</v>
      </c>
      <c r="D2160" s="31">
        <v>40016</v>
      </c>
      <c r="E2160" s="15" t="s">
        <v>27601</v>
      </c>
      <c r="F2160" s="87"/>
      <c r="G2160" s="45" t="s">
        <v>2993</v>
      </c>
      <c r="H2160" s="55" t="s">
        <v>2994</v>
      </c>
      <c r="I2160" s="15" t="s">
        <v>619</v>
      </c>
    </row>
    <row r="2161" spans="1:9" ht="51.75" customHeight="1" x14ac:dyDescent="0.35">
      <c r="A2161" s="15">
        <v>1</v>
      </c>
      <c r="B2161" s="15" t="s">
        <v>27664</v>
      </c>
      <c r="C2161" s="15" t="s">
        <v>27665</v>
      </c>
      <c r="D2161" s="31">
        <v>40017</v>
      </c>
      <c r="E2161" s="15" t="s">
        <v>27666</v>
      </c>
      <c r="F2161" s="87"/>
      <c r="G2161" s="45" t="s">
        <v>2966</v>
      </c>
      <c r="H2161" s="55" t="s">
        <v>2967</v>
      </c>
      <c r="I2161" s="15" t="s">
        <v>619</v>
      </c>
    </row>
    <row r="2162" spans="1:9" ht="51.75" customHeight="1" x14ac:dyDescent="0.35">
      <c r="A2162" s="15">
        <v>2</v>
      </c>
      <c r="B2162" s="15" t="s">
        <v>27667</v>
      </c>
      <c r="C2162" s="15" t="s">
        <v>27668</v>
      </c>
      <c r="D2162" s="31">
        <v>40017</v>
      </c>
      <c r="E2162" s="15" t="s">
        <v>27668</v>
      </c>
      <c r="F2162" s="87"/>
      <c r="G2162" s="45" t="s">
        <v>2966</v>
      </c>
      <c r="H2162" s="55" t="s">
        <v>2967</v>
      </c>
      <c r="I2162" s="15" t="s">
        <v>619</v>
      </c>
    </row>
    <row r="2163" spans="1:9" ht="51.75" customHeight="1" x14ac:dyDescent="0.35">
      <c r="A2163" s="15">
        <v>1</v>
      </c>
      <c r="B2163" s="15" t="s">
        <v>27669</v>
      </c>
      <c r="C2163" s="15" t="s">
        <v>27601</v>
      </c>
      <c r="D2163" s="31">
        <v>39689</v>
      </c>
      <c r="E2163" s="15" t="s">
        <v>27601</v>
      </c>
      <c r="F2163" s="87"/>
      <c r="G2163" s="45" t="s">
        <v>2962</v>
      </c>
      <c r="H2163" s="55" t="s">
        <v>2963</v>
      </c>
      <c r="I2163" s="15" t="s">
        <v>619</v>
      </c>
    </row>
    <row r="2164" spans="1:9" ht="51.75" customHeight="1" x14ac:dyDescent="0.35">
      <c r="A2164" s="15">
        <v>1</v>
      </c>
      <c r="B2164" s="15" t="s">
        <v>27670</v>
      </c>
      <c r="C2164" s="15" t="s">
        <v>27671</v>
      </c>
      <c r="D2164" s="31">
        <v>39689</v>
      </c>
      <c r="E2164" s="15" t="s">
        <v>27672</v>
      </c>
      <c r="F2164" s="87"/>
      <c r="G2164" s="45" t="s">
        <v>2521</v>
      </c>
      <c r="H2164" s="55" t="s">
        <v>2522</v>
      </c>
      <c r="I2164" s="15" t="s">
        <v>619</v>
      </c>
    </row>
    <row r="2165" spans="1:9" ht="51.75" customHeight="1" x14ac:dyDescent="0.35">
      <c r="A2165" s="15">
        <v>1</v>
      </c>
      <c r="B2165" s="15" t="s">
        <v>27673</v>
      </c>
      <c r="C2165" s="15" t="s">
        <v>27601</v>
      </c>
      <c r="D2165" s="31">
        <v>39689</v>
      </c>
      <c r="E2165" s="15" t="s">
        <v>27601</v>
      </c>
      <c r="F2165" s="87"/>
      <c r="G2165" s="45" t="s">
        <v>2451</v>
      </c>
      <c r="H2165" s="55" t="s">
        <v>2452</v>
      </c>
      <c r="I2165" s="15" t="s">
        <v>619</v>
      </c>
    </row>
    <row r="2166" spans="1:9" ht="51.75" customHeight="1" x14ac:dyDescent="0.35">
      <c r="A2166" s="15">
        <v>1</v>
      </c>
      <c r="B2166" s="15" t="s">
        <v>27674</v>
      </c>
      <c r="C2166" s="15" t="s">
        <v>27675</v>
      </c>
      <c r="D2166" s="31">
        <v>40016</v>
      </c>
      <c r="E2166" s="15" t="s">
        <v>27675</v>
      </c>
      <c r="F2166" s="87"/>
      <c r="G2166" s="45" t="s">
        <v>2838</v>
      </c>
      <c r="H2166" s="55" t="s">
        <v>2839</v>
      </c>
      <c r="I2166" s="15" t="s">
        <v>619</v>
      </c>
    </row>
    <row r="2167" spans="1:9" ht="51.75" customHeight="1" x14ac:dyDescent="0.35">
      <c r="A2167" s="15">
        <v>1</v>
      </c>
      <c r="B2167" s="15" t="s">
        <v>27676</v>
      </c>
      <c r="C2167" s="15" t="s">
        <v>27677</v>
      </c>
      <c r="D2167" s="31">
        <v>39689</v>
      </c>
      <c r="E2167" s="15" t="s">
        <v>27677</v>
      </c>
      <c r="F2167" s="87"/>
      <c r="G2167" s="45" t="s">
        <v>2834</v>
      </c>
      <c r="H2167" s="55" t="s">
        <v>2835</v>
      </c>
      <c r="I2167" s="15" t="s">
        <v>619</v>
      </c>
    </row>
    <row r="2168" spans="1:9" ht="51.75" customHeight="1" x14ac:dyDescent="0.35">
      <c r="A2168" s="15">
        <v>2</v>
      </c>
      <c r="B2168" s="15" t="s">
        <v>27678</v>
      </c>
      <c r="C2168" s="15" t="s">
        <v>27675</v>
      </c>
      <c r="D2168" s="31">
        <v>39689</v>
      </c>
      <c r="E2168" s="15" t="s">
        <v>27675</v>
      </c>
      <c r="F2168" s="87"/>
      <c r="G2168" s="45" t="s">
        <v>2834</v>
      </c>
      <c r="H2168" s="55" t="s">
        <v>2835</v>
      </c>
      <c r="I2168" s="15" t="s">
        <v>619</v>
      </c>
    </row>
    <row r="2169" spans="1:9" ht="51.75" customHeight="1" x14ac:dyDescent="0.35">
      <c r="A2169" s="15">
        <v>1</v>
      </c>
      <c r="B2169" s="15" t="s">
        <v>27679</v>
      </c>
      <c r="C2169" s="15" t="s">
        <v>27680</v>
      </c>
      <c r="D2169" s="31">
        <v>39689</v>
      </c>
      <c r="E2169" s="15" t="s">
        <v>27680</v>
      </c>
      <c r="F2169" s="87"/>
      <c r="G2169" s="45" t="s">
        <v>2796</v>
      </c>
      <c r="H2169" s="55" t="s">
        <v>2797</v>
      </c>
      <c r="I2169" s="15" t="s">
        <v>619</v>
      </c>
    </row>
    <row r="2170" spans="1:9" ht="51.75" customHeight="1" x14ac:dyDescent="0.35">
      <c r="A2170" s="15">
        <v>1</v>
      </c>
      <c r="B2170" s="15" t="s">
        <v>27681</v>
      </c>
      <c r="C2170" s="15" t="s">
        <v>27682</v>
      </c>
      <c r="D2170" s="31">
        <v>40016</v>
      </c>
      <c r="E2170" s="15" t="s">
        <v>27683</v>
      </c>
      <c r="F2170" s="87"/>
      <c r="G2170" s="45" t="s">
        <v>2792</v>
      </c>
      <c r="H2170" s="55" t="s">
        <v>2793</v>
      </c>
      <c r="I2170" s="15" t="s">
        <v>619</v>
      </c>
    </row>
    <row r="2171" spans="1:9" ht="51.75" customHeight="1" x14ac:dyDescent="0.35">
      <c r="A2171" s="15">
        <v>1</v>
      </c>
      <c r="B2171" s="15" t="s">
        <v>27684</v>
      </c>
      <c r="C2171" s="15" t="s">
        <v>27601</v>
      </c>
      <c r="D2171" s="31">
        <v>39688</v>
      </c>
      <c r="E2171" s="15" t="s">
        <v>27601</v>
      </c>
      <c r="F2171" s="87"/>
      <c r="G2171" s="45" t="s">
        <v>2721</v>
      </c>
      <c r="H2171" s="55" t="s">
        <v>2722</v>
      </c>
      <c r="I2171" s="15" t="s">
        <v>619</v>
      </c>
    </row>
    <row r="2172" spans="1:9" ht="51.75" customHeight="1" x14ac:dyDescent="0.35">
      <c r="A2172" s="15">
        <v>1</v>
      </c>
      <c r="B2172" s="15" t="s">
        <v>27685</v>
      </c>
      <c r="C2172" s="15" t="s">
        <v>27686</v>
      </c>
      <c r="D2172" s="31">
        <v>39688</v>
      </c>
      <c r="E2172" s="15" t="s">
        <v>27686</v>
      </c>
      <c r="F2172" s="87"/>
      <c r="G2172" s="45" t="s">
        <v>2643</v>
      </c>
      <c r="H2172" s="55" t="s">
        <v>2644</v>
      </c>
      <c r="I2172" s="15" t="s">
        <v>619</v>
      </c>
    </row>
    <row r="2173" spans="1:9" ht="51.75" customHeight="1" x14ac:dyDescent="0.35">
      <c r="A2173" s="15">
        <v>1</v>
      </c>
      <c r="B2173" s="15" t="s">
        <v>27687</v>
      </c>
      <c r="C2173" s="15" t="s">
        <v>27601</v>
      </c>
      <c r="D2173" s="31">
        <v>39688</v>
      </c>
      <c r="E2173" s="15" t="s">
        <v>27601</v>
      </c>
      <c r="F2173" s="87"/>
      <c r="G2173" s="45" t="s">
        <v>2510</v>
      </c>
      <c r="H2173" s="55" t="s">
        <v>2511</v>
      </c>
      <c r="I2173" s="15" t="s">
        <v>619</v>
      </c>
    </row>
    <row r="2174" spans="1:9" ht="51.75" customHeight="1" x14ac:dyDescent="0.35">
      <c r="A2174" s="15">
        <v>1</v>
      </c>
      <c r="B2174" s="15" t="s">
        <v>27688</v>
      </c>
      <c r="C2174" s="15" t="s">
        <v>27689</v>
      </c>
      <c r="D2174" s="31">
        <v>40016</v>
      </c>
      <c r="E2174" s="15" t="s">
        <v>27690</v>
      </c>
      <c r="F2174" s="87"/>
      <c r="G2174" s="45" t="s">
        <v>2878</v>
      </c>
      <c r="H2174" s="55" t="s">
        <v>2879</v>
      </c>
      <c r="I2174" s="15" t="s">
        <v>619</v>
      </c>
    </row>
    <row r="2175" spans="1:9" ht="51.75" customHeight="1" x14ac:dyDescent="0.35">
      <c r="A2175" s="15">
        <v>1</v>
      </c>
      <c r="B2175" s="15" t="s">
        <v>27691</v>
      </c>
      <c r="C2175" s="15" t="s">
        <v>27692</v>
      </c>
      <c r="D2175" s="31">
        <v>40016</v>
      </c>
      <c r="E2175" s="15" t="s">
        <v>27692</v>
      </c>
      <c r="F2175" s="87"/>
      <c r="G2175" s="45" t="s">
        <v>2874</v>
      </c>
      <c r="H2175" s="55" t="s">
        <v>2875</v>
      </c>
      <c r="I2175" s="15" t="s">
        <v>619</v>
      </c>
    </row>
    <row r="2176" spans="1:9" ht="51.75" customHeight="1" x14ac:dyDescent="0.35">
      <c r="A2176" s="15">
        <v>1</v>
      </c>
      <c r="B2176" s="15" t="s">
        <v>27693</v>
      </c>
      <c r="C2176" s="15" t="s">
        <v>27694</v>
      </c>
      <c r="D2176" s="31">
        <v>40016</v>
      </c>
      <c r="E2176" s="15" t="s">
        <v>27694</v>
      </c>
      <c r="F2176" s="87"/>
      <c r="G2176" s="45" t="s">
        <v>2848</v>
      </c>
      <c r="H2176" s="55" t="s">
        <v>2849</v>
      </c>
      <c r="I2176" s="15" t="s">
        <v>619</v>
      </c>
    </row>
    <row r="2177" spans="1:9" ht="51.75" customHeight="1" x14ac:dyDescent="0.35">
      <c r="A2177" s="15">
        <v>1</v>
      </c>
      <c r="B2177" s="15" t="s">
        <v>27695</v>
      </c>
      <c r="C2177" s="15" t="s">
        <v>27563</v>
      </c>
      <c r="D2177" s="31">
        <v>39584</v>
      </c>
      <c r="E2177" s="15" t="s">
        <v>27696</v>
      </c>
      <c r="F2177" s="87"/>
      <c r="G2177" s="45" t="s">
        <v>2804</v>
      </c>
      <c r="H2177" s="55" t="s">
        <v>2805</v>
      </c>
      <c r="I2177" s="15" t="s">
        <v>619</v>
      </c>
    </row>
    <row r="2178" spans="1:9" ht="51.75" customHeight="1" x14ac:dyDescent="0.35">
      <c r="A2178" s="15">
        <v>1</v>
      </c>
      <c r="B2178" s="15" t="s">
        <v>27697</v>
      </c>
      <c r="C2178" s="15" t="s">
        <v>27698</v>
      </c>
      <c r="D2178" s="31">
        <v>39584</v>
      </c>
      <c r="E2178" s="15" t="s">
        <v>27699</v>
      </c>
      <c r="F2178" s="87"/>
      <c r="G2178" s="45" t="s">
        <v>2778</v>
      </c>
      <c r="H2178" s="55" t="s">
        <v>2779</v>
      </c>
      <c r="I2178" s="15" t="s">
        <v>619</v>
      </c>
    </row>
    <row r="2179" spans="1:9" ht="51.75" customHeight="1" x14ac:dyDescent="0.35">
      <c r="A2179" s="15">
        <v>1</v>
      </c>
      <c r="B2179" s="15" t="s">
        <v>27700</v>
      </c>
      <c r="C2179" s="15" t="s">
        <v>27701</v>
      </c>
      <c r="D2179" s="31">
        <v>39561</v>
      </c>
      <c r="E2179" s="15" t="s">
        <v>27702</v>
      </c>
      <c r="F2179" s="87"/>
      <c r="G2179" s="45" t="s">
        <v>2710</v>
      </c>
      <c r="H2179" s="55" t="s">
        <v>2711</v>
      </c>
      <c r="I2179" s="15" t="s">
        <v>619</v>
      </c>
    </row>
    <row r="2180" spans="1:9" ht="51.75" customHeight="1" x14ac:dyDescent="0.35">
      <c r="A2180" s="15">
        <v>1</v>
      </c>
      <c r="B2180" s="15" t="s">
        <v>27703</v>
      </c>
      <c r="C2180" s="15" t="s">
        <v>27601</v>
      </c>
      <c r="D2180" s="31">
        <v>39517</v>
      </c>
      <c r="E2180" s="15" t="s">
        <v>27601</v>
      </c>
      <c r="F2180" s="87"/>
      <c r="G2180" s="45" t="s">
        <v>2565</v>
      </c>
      <c r="H2180" s="55" t="s">
        <v>2566</v>
      </c>
      <c r="I2180" s="15" t="s">
        <v>619</v>
      </c>
    </row>
    <row r="2181" spans="1:9" ht="51.75" customHeight="1" x14ac:dyDescent="0.35">
      <c r="A2181" s="15">
        <v>1</v>
      </c>
      <c r="B2181" s="15" t="s">
        <v>27704</v>
      </c>
      <c r="C2181" s="15" t="s">
        <v>27705</v>
      </c>
      <c r="D2181" s="31">
        <v>39517</v>
      </c>
      <c r="E2181" s="15" t="s">
        <v>27705</v>
      </c>
      <c r="F2181" s="87"/>
      <c r="G2181" s="45" t="s">
        <v>2464</v>
      </c>
      <c r="H2181" s="55" t="s">
        <v>2465</v>
      </c>
      <c r="I2181" s="15" t="s">
        <v>619</v>
      </c>
    </row>
    <row r="2182" spans="1:9" ht="51.75" customHeight="1" x14ac:dyDescent="0.35">
      <c r="A2182" s="15">
        <v>1</v>
      </c>
      <c r="B2182" s="15" t="s">
        <v>27706</v>
      </c>
      <c r="C2182" s="15" t="s">
        <v>27707</v>
      </c>
      <c r="D2182" s="31">
        <v>39106</v>
      </c>
      <c r="E2182" s="15" t="s">
        <v>27708</v>
      </c>
      <c r="F2182" s="87"/>
      <c r="G2182" s="45" t="s">
        <v>1385</v>
      </c>
      <c r="H2182" s="55" t="s">
        <v>1386</v>
      </c>
      <c r="I2182" s="15" t="s">
        <v>619</v>
      </c>
    </row>
    <row r="2183" spans="1:9" ht="51.75" customHeight="1" x14ac:dyDescent="0.35">
      <c r="A2183" s="15">
        <v>2</v>
      </c>
      <c r="B2183" s="15" t="s">
        <v>27709</v>
      </c>
      <c r="C2183" s="15" t="s">
        <v>27710</v>
      </c>
      <c r="D2183" s="31">
        <v>39106</v>
      </c>
      <c r="E2183" s="15" t="s">
        <v>27710</v>
      </c>
      <c r="F2183" s="87"/>
      <c r="G2183" s="45" t="s">
        <v>1385</v>
      </c>
      <c r="H2183" s="55" t="s">
        <v>1386</v>
      </c>
      <c r="I2183" s="15" t="s">
        <v>619</v>
      </c>
    </row>
    <row r="2184" spans="1:9" ht="51.75" customHeight="1" x14ac:dyDescent="0.35">
      <c r="A2184" s="15">
        <v>1</v>
      </c>
      <c r="B2184" s="15" t="s">
        <v>27711</v>
      </c>
      <c r="C2184" s="15" t="s">
        <v>27712</v>
      </c>
      <c r="D2184" s="31">
        <v>39106</v>
      </c>
      <c r="E2184" s="15" t="s">
        <v>27712</v>
      </c>
      <c r="F2184" s="87"/>
      <c r="G2184" s="45" t="s">
        <v>1371</v>
      </c>
      <c r="H2184" s="55" t="s">
        <v>1372</v>
      </c>
      <c r="I2184" s="15" t="s">
        <v>619</v>
      </c>
    </row>
    <row r="2185" spans="1:9" ht="51.75" customHeight="1" x14ac:dyDescent="0.35">
      <c r="A2185" s="15">
        <v>1</v>
      </c>
      <c r="B2185" s="15" t="s">
        <v>27713</v>
      </c>
      <c r="C2185" s="15" t="s">
        <v>27714</v>
      </c>
      <c r="D2185" s="31">
        <v>39109</v>
      </c>
      <c r="E2185" s="15" t="s">
        <v>27715</v>
      </c>
      <c r="F2185" s="87"/>
      <c r="G2185" s="45" t="s">
        <v>1333</v>
      </c>
      <c r="H2185" s="55" t="s">
        <v>1334</v>
      </c>
      <c r="I2185" s="15" t="s">
        <v>619</v>
      </c>
    </row>
    <row r="2186" spans="1:9" ht="51.75" customHeight="1" x14ac:dyDescent="0.35">
      <c r="A2186" s="15">
        <v>2</v>
      </c>
      <c r="B2186" s="15" t="s">
        <v>27716</v>
      </c>
      <c r="C2186" s="15" t="s">
        <v>27717</v>
      </c>
      <c r="D2186" s="31">
        <v>39109</v>
      </c>
      <c r="E2186" s="15" t="s">
        <v>27717</v>
      </c>
      <c r="F2186" s="87"/>
      <c r="G2186" s="45" t="s">
        <v>1333</v>
      </c>
      <c r="H2186" s="55" t="s">
        <v>1334</v>
      </c>
      <c r="I2186" s="15" t="s">
        <v>619</v>
      </c>
    </row>
    <row r="2187" spans="1:9" ht="51.75" customHeight="1" x14ac:dyDescent="0.35">
      <c r="A2187" s="15">
        <v>1</v>
      </c>
      <c r="B2187" s="15" t="s">
        <v>27718</v>
      </c>
      <c r="C2187" s="15" t="s">
        <v>27719</v>
      </c>
      <c r="D2187" s="31">
        <v>39106</v>
      </c>
      <c r="E2187" s="15" t="s">
        <v>27719</v>
      </c>
      <c r="F2187" s="87"/>
      <c r="G2187" s="45" t="s">
        <v>1313</v>
      </c>
      <c r="H2187" s="55" t="s">
        <v>1314</v>
      </c>
      <c r="I2187" s="15" t="s">
        <v>619</v>
      </c>
    </row>
    <row r="2188" spans="1:9" ht="51.75" customHeight="1" x14ac:dyDescent="0.35">
      <c r="A2188" s="15">
        <v>2</v>
      </c>
      <c r="B2188" s="15" t="s">
        <v>27720</v>
      </c>
      <c r="C2188" s="15" t="s">
        <v>27721</v>
      </c>
      <c r="D2188" s="31">
        <v>39106</v>
      </c>
      <c r="E2188" s="15" t="s">
        <v>27721</v>
      </c>
      <c r="F2188" s="87"/>
      <c r="G2188" s="45" t="s">
        <v>1313</v>
      </c>
      <c r="H2188" s="55" t="s">
        <v>1314</v>
      </c>
      <c r="I2188" s="15" t="s">
        <v>619</v>
      </c>
    </row>
    <row r="2189" spans="1:9" ht="51.75" customHeight="1" x14ac:dyDescent="0.35">
      <c r="A2189" s="15">
        <v>1</v>
      </c>
      <c r="B2189" s="15" t="s">
        <v>27722</v>
      </c>
      <c r="C2189" s="15" t="s">
        <v>27723</v>
      </c>
      <c r="D2189" s="31">
        <v>39106</v>
      </c>
      <c r="E2189" s="15" t="s">
        <v>27723</v>
      </c>
      <c r="F2189" s="87"/>
      <c r="G2189" s="45" t="s">
        <v>1309</v>
      </c>
      <c r="H2189" s="55" t="s">
        <v>1310</v>
      </c>
      <c r="I2189" s="15" t="s">
        <v>619</v>
      </c>
    </row>
    <row r="2190" spans="1:9" ht="51.75" customHeight="1" x14ac:dyDescent="0.35">
      <c r="A2190" s="15">
        <v>1</v>
      </c>
      <c r="B2190" s="15" t="s">
        <v>27724</v>
      </c>
      <c r="C2190" s="15" t="s">
        <v>27723</v>
      </c>
      <c r="D2190" s="31">
        <v>39106</v>
      </c>
      <c r="E2190" s="15" t="s">
        <v>27723</v>
      </c>
      <c r="F2190" s="87"/>
      <c r="G2190" s="45" t="s">
        <v>1300</v>
      </c>
      <c r="H2190" s="55" t="s">
        <v>1301</v>
      </c>
      <c r="I2190" s="15" t="s">
        <v>619</v>
      </c>
    </row>
    <row r="2191" spans="1:9" ht="51.75" customHeight="1" x14ac:dyDescent="0.35">
      <c r="A2191" s="15">
        <v>1</v>
      </c>
      <c r="B2191" s="15" t="s">
        <v>27725</v>
      </c>
      <c r="C2191" s="15" t="s">
        <v>27726</v>
      </c>
      <c r="D2191" s="31">
        <v>39106</v>
      </c>
      <c r="E2191" s="15" t="s">
        <v>27726</v>
      </c>
      <c r="F2191" s="87"/>
      <c r="G2191" s="45" t="s">
        <v>1289</v>
      </c>
      <c r="H2191" s="55" t="s">
        <v>1290</v>
      </c>
      <c r="I2191" s="15" t="s">
        <v>619</v>
      </c>
    </row>
    <row r="2192" spans="1:9" ht="51.75" customHeight="1" x14ac:dyDescent="0.35">
      <c r="A2192" s="15">
        <v>1</v>
      </c>
      <c r="B2192" s="15" t="s">
        <v>27727</v>
      </c>
      <c r="C2192" s="15" t="s">
        <v>27728</v>
      </c>
      <c r="D2192" s="31">
        <v>39106</v>
      </c>
      <c r="E2192" s="15" t="s">
        <v>27729</v>
      </c>
      <c r="F2192" s="87"/>
      <c r="G2192" s="45" t="s">
        <v>1266</v>
      </c>
      <c r="H2192" s="55" t="s">
        <v>1267</v>
      </c>
      <c r="I2192" s="15" t="s">
        <v>619</v>
      </c>
    </row>
    <row r="2193" spans="1:9" ht="51.75" customHeight="1" x14ac:dyDescent="0.35">
      <c r="A2193" s="15">
        <v>1</v>
      </c>
      <c r="B2193" s="15" t="s">
        <v>27730</v>
      </c>
      <c r="C2193" s="15" t="s">
        <v>27457</v>
      </c>
      <c r="D2193" s="31">
        <v>39106</v>
      </c>
      <c r="E2193" s="15" t="s">
        <v>27457</v>
      </c>
      <c r="F2193" s="87"/>
      <c r="G2193" s="45" t="s">
        <v>1255</v>
      </c>
      <c r="H2193" s="55" t="s">
        <v>1256</v>
      </c>
      <c r="I2193" s="15" t="s">
        <v>619</v>
      </c>
    </row>
    <row r="2194" spans="1:9" ht="51.75" customHeight="1" x14ac:dyDescent="0.35">
      <c r="A2194" s="15">
        <v>1</v>
      </c>
      <c r="B2194" s="15" t="s">
        <v>27731</v>
      </c>
      <c r="C2194" s="15" t="s">
        <v>27732</v>
      </c>
      <c r="D2194" s="31">
        <v>39106</v>
      </c>
      <c r="E2194" s="15" t="s">
        <v>27733</v>
      </c>
      <c r="F2194" s="87"/>
      <c r="G2194" s="45" t="s">
        <v>1227</v>
      </c>
      <c r="H2194" s="55" t="s">
        <v>1228</v>
      </c>
      <c r="I2194" s="15" t="s">
        <v>619</v>
      </c>
    </row>
    <row r="2195" spans="1:9" ht="51.75" customHeight="1" x14ac:dyDescent="0.35">
      <c r="A2195" s="15">
        <v>1</v>
      </c>
      <c r="B2195" s="15" t="s">
        <v>27734</v>
      </c>
      <c r="C2195" s="15" t="s">
        <v>27735</v>
      </c>
      <c r="D2195" s="31">
        <v>39105</v>
      </c>
      <c r="E2195" s="15" t="s">
        <v>27735</v>
      </c>
      <c r="F2195" s="87"/>
      <c r="G2195" s="45" t="s">
        <v>1240</v>
      </c>
      <c r="H2195" s="55" t="s">
        <v>1241</v>
      </c>
      <c r="I2195" s="15" t="s">
        <v>619</v>
      </c>
    </row>
    <row r="2196" spans="1:9" ht="51.75" customHeight="1" x14ac:dyDescent="0.35">
      <c r="A2196" s="15">
        <v>1</v>
      </c>
      <c r="B2196" s="15" t="s">
        <v>27736</v>
      </c>
      <c r="C2196" s="15" t="s">
        <v>27675</v>
      </c>
      <c r="D2196" s="31">
        <v>39105</v>
      </c>
      <c r="E2196" s="15" t="s">
        <v>27675</v>
      </c>
      <c r="F2196" s="87"/>
      <c r="G2196" s="45" t="s">
        <v>1113</v>
      </c>
      <c r="H2196" s="55" t="s">
        <v>1114</v>
      </c>
      <c r="I2196" s="15" t="s">
        <v>619</v>
      </c>
    </row>
    <row r="2197" spans="1:9" ht="51.75" customHeight="1" x14ac:dyDescent="0.35">
      <c r="A2197" s="15">
        <v>1</v>
      </c>
      <c r="B2197" s="15" t="s">
        <v>27737</v>
      </c>
      <c r="C2197" s="15" t="s">
        <v>27675</v>
      </c>
      <c r="D2197" s="31">
        <v>39105</v>
      </c>
      <c r="E2197" s="15" t="s">
        <v>27675</v>
      </c>
      <c r="F2197" s="87"/>
      <c r="G2197" s="45" t="s">
        <v>1190</v>
      </c>
      <c r="H2197" s="55" t="s">
        <v>1191</v>
      </c>
      <c r="I2197" s="15" t="s">
        <v>619</v>
      </c>
    </row>
    <row r="2198" spans="1:9" ht="51.75" customHeight="1" x14ac:dyDescent="0.35">
      <c r="A2198" s="15">
        <v>1</v>
      </c>
      <c r="B2198" s="15" t="s">
        <v>27738</v>
      </c>
      <c r="C2198" s="15" t="s">
        <v>27739</v>
      </c>
      <c r="D2198" s="31">
        <v>39105</v>
      </c>
      <c r="E2198" s="15" t="s">
        <v>27739</v>
      </c>
      <c r="F2198" s="87"/>
      <c r="G2198" s="45" t="s">
        <v>1163</v>
      </c>
      <c r="H2198" s="55" t="s">
        <v>1164</v>
      </c>
      <c r="I2198" s="15" t="s">
        <v>619</v>
      </c>
    </row>
    <row r="2199" spans="1:9" ht="51.75" customHeight="1" x14ac:dyDescent="0.35">
      <c r="A2199" s="15">
        <v>2</v>
      </c>
      <c r="B2199" s="15" t="s">
        <v>27740</v>
      </c>
      <c r="C2199" s="15" t="s">
        <v>27741</v>
      </c>
      <c r="D2199" s="31">
        <v>39105</v>
      </c>
      <c r="E2199" s="15" t="s">
        <v>27741</v>
      </c>
      <c r="F2199" s="87"/>
      <c r="G2199" s="45" t="s">
        <v>1163</v>
      </c>
      <c r="H2199" s="55" t="s">
        <v>1164</v>
      </c>
      <c r="I2199" s="15" t="s">
        <v>619</v>
      </c>
    </row>
    <row r="2200" spans="1:9" ht="51.75" customHeight="1" x14ac:dyDescent="0.35">
      <c r="A2200" s="15">
        <v>1</v>
      </c>
      <c r="B2200" s="15" t="s">
        <v>27742</v>
      </c>
      <c r="C2200" s="15" t="s">
        <v>27694</v>
      </c>
      <c r="D2200" s="31">
        <v>39105</v>
      </c>
      <c r="E2200" s="15" t="s">
        <v>27694</v>
      </c>
      <c r="F2200" s="87"/>
      <c r="G2200" s="45" t="s">
        <v>1142</v>
      </c>
      <c r="H2200" s="55" t="s">
        <v>1143</v>
      </c>
      <c r="I2200" s="15" t="s">
        <v>619</v>
      </c>
    </row>
    <row r="2201" spans="1:9" ht="51.75" customHeight="1" x14ac:dyDescent="0.35">
      <c r="A2201" s="15">
        <v>1</v>
      </c>
      <c r="B2201" s="15" t="s">
        <v>27743</v>
      </c>
      <c r="C2201" s="15" t="s">
        <v>27744</v>
      </c>
      <c r="D2201" s="31">
        <v>39105</v>
      </c>
      <c r="E2201" s="15" t="s">
        <v>27744</v>
      </c>
      <c r="F2201" s="87"/>
      <c r="G2201" s="45" t="s">
        <v>1138</v>
      </c>
      <c r="H2201" s="55" t="s">
        <v>1139</v>
      </c>
      <c r="I2201" s="15" t="s">
        <v>619</v>
      </c>
    </row>
    <row r="2202" spans="1:9" ht="51.75" customHeight="1" x14ac:dyDescent="0.35">
      <c r="A2202" s="15">
        <v>1</v>
      </c>
      <c r="B2202" s="15" t="s">
        <v>27745</v>
      </c>
      <c r="C2202" s="15" t="s">
        <v>27746</v>
      </c>
      <c r="D2202" s="31">
        <v>39105</v>
      </c>
      <c r="E2202" s="15" t="s">
        <v>27746</v>
      </c>
      <c r="F2202" s="87"/>
      <c r="G2202" s="45" t="s">
        <v>1134</v>
      </c>
      <c r="H2202" s="55" t="s">
        <v>1135</v>
      </c>
      <c r="I2202" s="15" t="s">
        <v>619</v>
      </c>
    </row>
    <row r="2203" spans="1:9" ht="51.75" customHeight="1" x14ac:dyDescent="0.35">
      <c r="A2203" s="15">
        <v>1</v>
      </c>
      <c r="B2203" s="15" t="s">
        <v>27747</v>
      </c>
      <c r="C2203" s="15" t="s">
        <v>27723</v>
      </c>
      <c r="D2203" s="31">
        <v>39232</v>
      </c>
      <c r="E2203" s="15" t="s">
        <v>27723</v>
      </c>
      <c r="F2203" s="87"/>
      <c r="G2203" s="45" t="s">
        <v>1780</v>
      </c>
      <c r="H2203" s="55" t="s">
        <v>1781</v>
      </c>
      <c r="I2203" s="15" t="s">
        <v>619</v>
      </c>
    </row>
    <row r="2204" spans="1:9" ht="51.75" customHeight="1" x14ac:dyDescent="0.35">
      <c r="A2204" s="15">
        <v>2</v>
      </c>
      <c r="B2204" s="15" t="s">
        <v>27748</v>
      </c>
      <c r="C2204" s="15" t="s">
        <v>27749</v>
      </c>
      <c r="D2204" s="31">
        <v>39232</v>
      </c>
      <c r="E2204" s="15" t="s">
        <v>27749</v>
      </c>
      <c r="F2204" s="87"/>
      <c r="G2204" s="45" t="s">
        <v>1780</v>
      </c>
      <c r="H2204" s="55" t="s">
        <v>1781</v>
      </c>
      <c r="I2204" s="15" t="s">
        <v>619</v>
      </c>
    </row>
    <row r="2205" spans="1:9" ht="51.75" customHeight="1" x14ac:dyDescent="0.35">
      <c r="A2205" s="15">
        <v>1</v>
      </c>
      <c r="B2205" s="15" t="s">
        <v>27750</v>
      </c>
      <c r="C2205" s="15" t="s">
        <v>27751</v>
      </c>
      <c r="D2205" s="31">
        <v>39232</v>
      </c>
      <c r="E2205" s="15" t="s">
        <v>27751</v>
      </c>
      <c r="F2205" s="87"/>
      <c r="G2205" s="45" t="s">
        <v>1770</v>
      </c>
      <c r="H2205" s="55" t="s">
        <v>1771</v>
      </c>
      <c r="I2205" s="15" t="s">
        <v>619</v>
      </c>
    </row>
    <row r="2206" spans="1:9" ht="51.75" customHeight="1" x14ac:dyDescent="0.35">
      <c r="A2206" s="15">
        <v>2</v>
      </c>
      <c r="B2206" s="15" t="s">
        <v>27752</v>
      </c>
      <c r="C2206" s="15" t="s">
        <v>27753</v>
      </c>
      <c r="D2206" s="31">
        <v>39232</v>
      </c>
      <c r="E2206" s="15" t="s">
        <v>27753</v>
      </c>
      <c r="F2206" s="87"/>
      <c r="G2206" s="45" t="s">
        <v>1770</v>
      </c>
      <c r="H2206" s="55" t="s">
        <v>1771</v>
      </c>
      <c r="I2206" s="15" t="s">
        <v>619</v>
      </c>
    </row>
    <row r="2207" spans="1:9" ht="51.75" customHeight="1" x14ac:dyDescent="0.35">
      <c r="A2207" s="15">
        <v>1</v>
      </c>
      <c r="B2207" s="15" t="s">
        <v>27754</v>
      </c>
      <c r="C2207" s="15" t="s">
        <v>27755</v>
      </c>
      <c r="D2207" s="31">
        <v>39232</v>
      </c>
      <c r="E2207" s="15" t="s">
        <v>27756</v>
      </c>
      <c r="F2207" s="87"/>
      <c r="G2207" s="45" t="s">
        <v>1689</v>
      </c>
      <c r="H2207" s="55" t="s">
        <v>1690</v>
      </c>
      <c r="I2207" s="15" t="s">
        <v>619</v>
      </c>
    </row>
    <row r="2208" spans="1:9" ht="51.75" customHeight="1" x14ac:dyDescent="0.35">
      <c r="A2208" s="15">
        <v>2</v>
      </c>
      <c r="B2208" s="15" t="s">
        <v>27757</v>
      </c>
      <c r="C2208" s="15" t="s">
        <v>27758</v>
      </c>
      <c r="D2208" s="31">
        <v>39232</v>
      </c>
      <c r="E2208" s="15" t="s">
        <v>27759</v>
      </c>
      <c r="F2208" s="87"/>
      <c r="G2208" s="45" t="s">
        <v>1689</v>
      </c>
      <c r="H2208" s="55" t="s">
        <v>1690</v>
      </c>
      <c r="I2208" s="15" t="s">
        <v>619</v>
      </c>
    </row>
    <row r="2209" spans="1:9" ht="51.75" customHeight="1" x14ac:dyDescent="0.35">
      <c r="A2209" s="15">
        <v>1</v>
      </c>
      <c r="B2209" s="15" t="s">
        <v>27760</v>
      </c>
      <c r="C2209" s="15" t="s">
        <v>27761</v>
      </c>
      <c r="D2209" s="31">
        <v>39105</v>
      </c>
      <c r="E2209" s="15" t="s">
        <v>27761</v>
      </c>
      <c r="F2209" s="87"/>
      <c r="G2209" s="45" t="s">
        <v>1117</v>
      </c>
      <c r="H2209" s="55" t="s">
        <v>1118</v>
      </c>
      <c r="I2209" s="15" t="s">
        <v>619</v>
      </c>
    </row>
    <row r="2210" spans="1:9" ht="51.75" customHeight="1" x14ac:dyDescent="0.35">
      <c r="A2210" s="15">
        <v>2</v>
      </c>
      <c r="B2210" s="15" t="s">
        <v>27762</v>
      </c>
      <c r="C2210" s="15" t="s">
        <v>27723</v>
      </c>
      <c r="D2210" s="31">
        <v>39105</v>
      </c>
      <c r="E2210" s="15" t="s">
        <v>27723</v>
      </c>
      <c r="F2210" s="87"/>
      <c r="G2210" s="45" t="s">
        <v>1117</v>
      </c>
      <c r="H2210" s="55" t="s">
        <v>1118</v>
      </c>
      <c r="I2210" s="15" t="s">
        <v>619</v>
      </c>
    </row>
    <row r="2211" spans="1:9" ht="51.75" customHeight="1" x14ac:dyDescent="0.35">
      <c r="A2211" s="15">
        <v>1</v>
      </c>
      <c r="B2211" s="15" t="s">
        <v>27763</v>
      </c>
      <c r="C2211" s="15" t="s">
        <v>27764</v>
      </c>
      <c r="D2211" s="31">
        <v>39105</v>
      </c>
      <c r="E2211" s="15" t="s">
        <v>27764</v>
      </c>
      <c r="F2211" s="87"/>
      <c r="G2211" s="45" t="s">
        <v>1109</v>
      </c>
      <c r="H2211" s="55" t="s">
        <v>1110</v>
      </c>
      <c r="I2211" s="15" t="s">
        <v>619</v>
      </c>
    </row>
    <row r="2212" spans="1:9" ht="51.75" customHeight="1" x14ac:dyDescent="0.35">
      <c r="A2212" s="15">
        <v>2</v>
      </c>
      <c r="B2212" s="15" t="s">
        <v>27765</v>
      </c>
      <c r="C2212" s="15" t="s">
        <v>27766</v>
      </c>
      <c r="D2212" s="31">
        <v>39105</v>
      </c>
      <c r="E2212" s="15" t="s">
        <v>27766</v>
      </c>
      <c r="F2212" s="87"/>
      <c r="G2212" s="45" t="s">
        <v>1109</v>
      </c>
      <c r="H2212" s="55" t="s">
        <v>1110</v>
      </c>
      <c r="I2212" s="15" t="s">
        <v>619</v>
      </c>
    </row>
    <row r="2213" spans="1:9" ht="51.75" customHeight="1" x14ac:dyDescent="0.35">
      <c r="A2213" s="15">
        <v>1</v>
      </c>
      <c r="B2213" s="15" t="s">
        <v>27767</v>
      </c>
      <c r="C2213" s="15" t="s">
        <v>27768</v>
      </c>
      <c r="D2213" s="31">
        <v>39220</v>
      </c>
      <c r="E2213" s="15" t="s">
        <v>27768</v>
      </c>
      <c r="F2213" s="87"/>
      <c r="G2213" s="45" t="s">
        <v>1719</v>
      </c>
      <c r="H2213" s="55" t="s">
        <v>1720</v>
      </c>
      <c r="I2213" s="15" t="s">
        <v>619</v>
      </c>
    </row>
    <row r="2214" spans="1:9" ht="51.75" customHeight="1" x14ac:dyDescent="0.35">
      <c r="A2214" s="15">
        <v>1</v>
      </c>
      <c r="B2214" s="15" t="s">
        <v>27769</v>
      </c>
      <c r="C2214" s="15" t="s">
        <v>27770</v>
      </c>
      <c r="D2214" s="31">
        <v>39220</v>
      </c>
      <c r="E2214" s="15" t="s">
        <v>27770</v>
      </c>
      <c r="F2214" s="87"/>
      <c r="G2214" s="45" t="s">
        <v>1616</v>
      </c>
      <c r="H2214" s="55" t="s">
        <v>1617</v>
      </c>
      <c r="I2214" s="15" t="s">
        <v>619</v>
      </c>
    </row>
    <row r="2215" spans="1:9" ht="51.75" customHeight="1" x14ac:dyDescent="0.35">
      <c r="A2215" s="15">
        <v>2</v>
      </c>
      <c r="B2215" s="15" t="s">
        <v>27771</v>
      </c>
      <c r="C2215" s="15" t="s">
        <v>27749</v>
      </c>
      <c r="D2215" s="31">
        <v>39220</v>
      </c>
      <c r="E2215" s="15" t="s">
        <v>27749</v>
      </c>
      <c r="F2215" s="87"/>
      <c r="G2215" s="45" t="s">
        <v>1616</v>
      </c>
      <c r="H2215" s="55" t="s">
        <v>1617</v>
      </c>
      <c r="I2215" s="15" t="s">
        <v>619</v>
      </c>
    </row>
    <row r="2216" spans="1:9" ht="51.75" customHeight="1" x14ac:dyDescent="0.35">
      <c r="A2216" s="15">
        <v>1</v>
      </c>
      <c r="B2216" s="15" t="s">
        <v>27772</v>
      </c>
      <c r="C2216" s="15" t="s">
        <v>27773</v>
      </c>
      <c r="D2216" s="31">
        <v>39220</v>
      </c>
      <c r="E2216" s="15" t="s">
        <v>27774</v>
      </c>
      <c r="F2216" s="87"/>
      <c r="G2216" s="45" t="s">
        <v>1608</v>
      </c>
      <c r="H2216" s="55" t="s">
        <v>1609</v>
      </c>
      <c r="I2216" s="15" t="s">
        <v>619</v>
      </c>
    </row>
    <row r="2217" spans="1:9" ht="51.75" customHeight="1" x14ac:dyDescent="0.35">
      <c r="A2217" s="15">
        <v>1</v>
      </c>
      <c r="B2217" s="15" t="s">
        <v>27775</v>
      </c>
      <c r="C2217" s="15" t="s">
        <v>27776</v>
      </c>
      <c r="D2217" s="31">
        <v>39220</v>
      </c>
      <c r="E2217" s="15" t="s">
        <v>27776</v>
      </c>
      <c r="F2217" s="87"/>
      <c r="G2217" s="45" t="s">
        <v>1648</v>
      </c>
      <c r="H2217" s="55" t="s">
        <v>1649</v>
      </c>
      <c r="I2217" s="15" t="s">
        <v>619</v>
      </c>
    </row>
    <row r="2218" spans="1:9" ht="51.75" customHeight="1" x14ac:dyDescent="0.35">
      <c r="A2218" s="15">
        <v>1</v>
      </c>
      <c r="B2218" s="15" t="s">
        <v>27777</v>
      </c>
      <c r="C2218" s="15" t="s">
        <v>27778</v>
      </c>
      <c r="D2218" s="31">
        <v>39185</v>
      </c>
      <c r="E2218" s="15" t="s">
        <v>27778</v>
      </c>
      <c r="F2218" s="87"/>
      <c r="G2218" s="45" t="s">
        <v>1604</v>
      </c>
      <c r="H2218" s="55" t="s">
        <v>1605</v>
      </c>
      <c r="I2218" s="15" t="s">
        <v>619</v>
      </c>
    </row>
    <row r="2219" spans="1:9" ht="51.75" customHeight="1" x14ac:dyDescent="0.35">
      <c r="A2219" s="15">
        <v>2</v>
      </c>
      <c r="B2219" s="15" t="s">
        <v>27779</v>
      </c>
      <c r="C2219" s="15" t="s">
        <v>27780</v>
      </c>
      <c r="D2219" s="31">
        <v>39185</v>
      </c>
      <c r="E2219" s="15" t="s">
        <v>27780</v>
      </c>
      <c r="F2219" s="87"/>
      <c r="G2219" s="45" t="s">
        <v>1604</v>
      </c>
      <c r="H2219" s="55" t="s">
        <v>1605</v>
      </c>
      <c r="I2219" s="15" t="s">
        <v>619</v>
      </c>
    </row>
    <row r="2220" spans="1:9" ht="51.75" customHeight="1" x14ac:dyDescent="0.35">
      <c r="A2220" s="15">
        <v>1</v>
      </c>
      <c r="B2220" s="15" t="s">
        <v>27781</v>
      </c>
      <c r="C2220" s="15" t="s">
        <v>27782</v>
      </c>
      <c r="D2220" s="31">
        <v>39185</v>
      </c>
      <c r="E2220" s="15" t="s">
        <v>27782</v>
      </c>
      <c r="F2220" s="87"/>
      <c r="G2220" s="45" t="s">
        <v>1589</v>
      </c>
      <c r="H2220" s="55" t="s">
        <v>1590</v>
      </c>
      <c r="I2220" s="15" t="s">
        <v>619</v>
      </c>
    </row>
    <row r="2221" spans="1:9" ht="51.75" customHeight="1" x14ac:dyDescent="0.35">
      <c r="A2221" s="15">
        <v>2</v>
      </c>
      <c r="B2221" s="15" t="s">
        <v>27783</v>
      </c>
      <c r="C2221" s="15" t="s">
        <v>27784</v>
      </c>
      <c r="D2221" s="31">
        <v>39185</v>
      </c>
      <c r="E2221" s="15" t="s">
        <v>27784</v>
      </c>
      <c r="F2221" s="87"/>
      <c r="G2221" s="45" t="s">
        <v>1589</v>
      </c>
      <c r="H2221" s="55" t="s">
        <v>1590</v>
      </c>
      <c r="I2221" s="15" t="s">
        <v>619</v>
      </c>
    </row>
    <row r="2222" spans="1:9" ht="51.75" customHeight="1" x14ac:dyDescent="0.35">
      <c r="A2222" s="15">
        <v>1</v>
      </c>
      <c r="B2222" s="15" t="s">
        <v>27785</v>
      </c>
      <c r="C2222" s="15" t="s">
        <v>27786</v>
      </c>
      <c r="D2222" s="31">
        <v>39185</v>
      </c>
      <c r="E2222" s="15" t="s">
        <v>27786</v>
      </c>
      <c r="F2222" s="87"/>
      <c r="G2222" s="45" t="s">
        <v>1585</v>
      </c>
      <c r="H2222" s="55" t="s">
        <v>1586</v>
      </c>
      <c r="I2222" s="15" t="s">
        <v>619</v>
      </c>
    </row>
    <row r="2223" spans="1:9" ht="51.75" customHeight="1" x14ac:dyDescent="0.35">
      <c r="A2223" s="15">
        <v>2</v>
      </c>
      <c r="B2223" s="15" t="s">
        <v>27787</v>
      </c>
      <c r="C2223" s="15" t="s">
        <v>27788</v>
      </c>
      <c r="D2223" s="31">
        <v>39185</v>
      </c>
      <c r="E2223" s="15" t="s">
        <v>27789</v>
      </c>
      <c r="F2223" s="87"/>
      <c r="G2223" s="45" t="s">
        <v>1585</v>
      </c>
      <c r="H2223" s="55" t="s">
        <v>1586</v>
      </c>
      <c r="I2223" s="15" t="s">
        <v>619</v>
      </c>
    </row>
    <row r="2224" spans="1:9" ht="51.75" customHeight="1" x14ac:dyDescent="0.35">
      <c r="A2224" s="15">
        <v>1</v>
      </c>
      <c r="B2224" s="15" t="s">
        <v>27790</v>
      </c>
      <c r="C2224" s="15" t="s">
        <v>27751</v>
      </c>
      <c r="D2224" s="31">
        <v>39185</v>
      </c>
      <c r="E2224" s="15" t="s">
        <v>27751</v>
      </c>
      <c r="F2224" s="87"/>
      <c r="G2224" s="45" t="s">
        <v>1569</v>
      </c>
      <c r="H2224" s="55" t="s">
        <v>1570</v>
      </c>
      <c r="I2224" s="15" t="s">
        <v>619</v>
      </c>
    </row>
    <row r="2225" spans="1:9" ht="51.75" customHeight="1" x14ac:dyDescent="0.35">
      <c r="A2225" s="15">
        <v>1</v>
      </c>
      <c r="B2225" s="15" t="s">
        <v>27791</v>
      </c>
      <c r="C2225" s="15" t="s">
        <v>27792</v>
      </c>
      <c r="D2225" s="31">
        <v>39105</v>
      </c>
      <c r="E2225" s="15" t="s">
        <v>27792</v>
      </c>
      <c r="F2225" s="87"/>
      <c r="G2225" s="45" t="s">
        <v>1081</v>
      </c>
      <c r="H2225" s="55" t="s">
        <v>1082</v>
      </c>
      <c r="I2225" s="15" t="s">
        <v>619</v>
      </c>
    </row>
    <row r="2226" spans="1:9" ht="51.75" customHeight="1" x14ac:dyDescent="0.35">
      <c r="A2226" s="15">
        <v>1</v>
      </c>
      <c r="B2226" s="15" t="s">
        <v>27793</v>
      </c>
      <c r="C2226" s="15" t="s">
        <v>27794</v>
      </c>
      <c r="D2226" s="31">
        <v>39127</v>
      </c>
      <c r="E2226" s="15" t="s">
        <v>27795</v>
      </c>
      <c r="F2226" s="87"/>
      <c r="G2226" s="45" t="s">
        <v>1530</v>
      </c>
      <c r="H2226" s="55" t="s">
        <v>1531</v>
      </c>
      <c r="I2226" s="15" t="s">
        <v>619</v>
      </c>
    </row>
    <row r="2227" spans="1:9" ht="51.75" customHeight="1" x14ac:dyDescent="0.35">
      <c r="A2227" s="15">
        <v>2</v>
      </c>
      <c r="B2227" s="15" t="s">
        <v>27796</v>
      </c>
      <c r="C2227" s="15" t="s">
        <v>27797</v>
      </c>
      <c r="D2227" s="31">
        <v>39127</v>
      </c>
      <c r="E2227" s="15" t="s">
        <v>27797</v>
      </c>
      <c r="F2227" s="87"/>
      <c r="G2227" s="45" t="s">
        <v>1530</v>
      </c>
      <c r="H2227" s="55" t="s">
        <v>1531</v>
      </c>
      <c r="I2227" s="15" t="s">
        <v>619</v>
      </c>
    </row>
    <row r="2228" spans="1:9" ht="51.75" customHeight="1" x14ac:dyDescent="0.35">
      <c r="A2228" s="15">
        <v>1</v>
      </c>
      <c r="B2228" s="15" t="s">
        <v>27798</v>
      </c>
      <c r="C2228" s="15" t="s">
        <v>27761</v>
      </c>
      <c r="D2228" s="31">
        <v>39185</v>
      </c>
      <c r="E2228" s="15" t="s">
        <v>27761</v>
      </c>
      <c r="F2228" s="87"/>
      <c r="G2228" s="45" t="s">
        <v>1507</v>
      </c>
      <c r="H2228" s="55" t="s">
        <v>1508</v>
      </c>
      <c r="I2228" s="15" t="s">
        <v>619</v>
      </c>
    </row>
    <row r="2229" spans="1:9" ht="51.75" customHeight="1" x14ac:dyDescent="0.35">
      <c r="A2229" s="15">
        <v>2</v>
      </c>
      <c r="B2229" s="15" t="s">
        <v>27799</v>
      </c>
      <c r="C2229" s="15" t="s">
        <v>27723</v>
      </c>
      <c r="D2229" s="31">
        <v>39185</v>
      </c>
      <c r="E2229" s="15" t="s">
        <v>27723</v>
      </c>
      <c r="F2229" s="87"/>
      <c r="G2229" s="45" t="s">
        <v>1507</v>
      </c>
      <c r="H2229" s="55" t="s">
        <v>1508</v>
      </c>
      <c r="I2229" s="15" t="s">
        <v>619</v>
      </c>
    </row>
    <row r="2230" spans="1:9" ht="51.75" customHeight="1" x14ac:dyDescent="0.35">
      <c r="A2230" s="15">
        <v>1</v>
      </c>
      <c r="B2230" s="15" t="s">
        <v>27800</v>
      </c>
      <c r="C2230" s="15" t="s">
        <v>27801</v>
      </c>
      <c r="D2230" s="31">
        <v>39185</v>
      </c>
      <c r="E2230" s="15" t="s">
        <v>27801</v>
      </c>
      <c r="F2230" s="87"/>
      <c r="G2230" s="45" t="s">
        <v>1495</v>
      </c>
      <c r="H2230" s="55" t="s">
        <v>1496</v>
      </c>
      <c r="I2230" s="15" t="s">
        <v>619</v>
      </c>
    </row>
    <row r="2231" spans="1:9" ht="51.75" customHeight="1" x14ac:dyDescent="0.35">
      <c r="A2231" s="15">
        <v>2</v>
      </c>
      <c r="B2231" s="15" t="s">
        <v>27802</v>
      </c>
      <c r="C2231" s="15" t="s">
        <v>27694</v>
      </c>
      <c r="D2231" s="31">
        <v>39185</v>
      </c>
      <c r="E2231" s="15" t="s">
        <v>27694</v>
      </c>
      <c r="F2231" s="87"/>
      <c r="G2231" s="45" t="s">
        <v>1495</v>
      </c>
      <c r="H2231" s="55" t="s">
        <v>1496</v>
      </c>
      <c r="I2231" s="15" t="s">
        <v>619</v>
      </c>
    </row>
    <row r="2232" spans="1:9" ht="51.75" customHeight="1" x14ac:dyDescent="0.35">
      <c r="A2232" s="15">
        <v>1</v>
      </c>
      <c r="B2232" s="15" t="s">
        <v>27803</v>
      </c>
      <c r="C2232" s="15" t="s">
        <v>27804</v>
      </c>
      <c r="D2232" s="31">
        <v>39185</v>
      </c>
      <c r="E2232" s="15" t="s">
        <v>27804</v>
      </c>
      <c r="F2232" s="87"/>
      <c r="G2232" s="45" t="s">
        <v>1480</v>
      </c>
      <c r="H2232" s="55" t="s">
        <v>1481</v>
      </c>
      <c r="I2232" s="15" t="s">
        <v>619</v>
      </c>
    </row>
    <row r="2233" spans="1:9" ht="51.75" customHeight="1" x14ac:dyDescent="0.35">
      <c r="A2233" s="15">
        <v>1</v>
      </c>
      <c r="B2233" s="15" t="s">
        <v>27805</v>
      </c>
      <c r="C2233" s="15" t="s">
        <v>27694</v>
      </c>
      <c r="D2233" s="31">
        <v>39185</v>
      </c>
      <c r="E2233" s="15" t="s">
        <v>27694</v>
      </c>
      <c r="F2233" s="87"/>
      <c r="G2233" s="45" t="s">
        <v>1440</v>
      </c>
      <c r="H2233" s="55" t="s">
        <v>1441</v>
      </c>
      <c r="I2233" s="15" t="s">
        <v>619</v>
      </c>
    </row>
    <row r="2234" spans="1:9" ht="51.75" customHeight="1" x14ac:dyDescent="0.35">
      <c r="A2234" s="15">
        <v>1</v>
      </c>
      <c r="B2234" s="15" t="s">
        <v>27806</v>
      </c>
      <c r="C2234" s="15" t="s">
        <v>27807</v>
      </c>
      <c r="D2234" s="31">
        <v>39105</v>
      </c>
      <c r="E2234" s="15" t="s">
        <v>27807</v>
      </c>
      <c r="F2234" s="87"/>
      <c r="G2234" s="45" t="s">
        <v>1071</v>
      </c>
      <c r="H2234" s="55" t="s">
        <v>1072</v>
      </c>
      <c r="I2234" s="15" t="s">
        <v>619</v>
      </c>
    </row>
    <row r="2235" spans="1:9" ht="51.75" customHeight="1" x14ac:dyDescent="0.35">
      <c r="A2235" s="15">
        <v>1</v>
      </c>
      <c r="B2235" s="15" t="s">
        <v>27808</v>
      </c>
      <c r="C2235" s="15" t="s">
        <v>27751</v>
      </c>
      <c r="D2235" s="31">
        <v>39105</v>
      </c>
      <c r="E2235" s="15" t="s">
        <v>27751</v>
      </c>
      <c r="F2235" s="87"/>
      <c r="G2235" s="45" t="s">
        <v>1016</v>
      </c>
      <c r="H2235" s="55" t="s">
        <v>1017</v>
      </c>
      <c r="I2235" s="15" t="s">
        <v>619</v>
      </c>
    </row>
    <row r="2236" spans="1:9" ht="51.75" customHeight="1" x14ac:dyDescent="0.35">
      <c r="A2236" s="15">
        <v>1</v>
      </c>
      <c r="B2236" s="15" t="s">
        <v>27809</v>
      </c>
      <c r="C2236" s="15" t="s">
        <v>27810</v>
      </c>
      <c r="D2236" s="31">
        <v>39143</v>
      </c>
      <c r="E2236" s="15" t="s">
        <v>27810</v>
      </c>
      <c r="F2236" s="87"/>
      <c r="G2236" s="45" t="s">
        <v>1413</v>
      </c>
      <c r="H2236" s="55" t="s">
        <v>1414</v>
      </c>
      <c r="I2236" s="15" t="s">
        <v>619</v>
      </c>
    </row>
    <row r="2237" spans="1:9" ht="51.75" customHeight="1" x14ac:dyDescent="0.35">
      <c r="A2237" s="15">
        <v>2</v>
      </c>
      <c r="B2237" s="15" t="s">
        <v>27811</v>
      </c>
      <c r="C2237" s="15" t="s">
        <v>27812</v>
      </c>
      <c r="D2237" s="31">
        <v>39143</v>
      </c>
      <c r="E2237" s="15" t="s">
        <v>27813</v>
      </c>
      <c r="F2237" s="87"/>
      <c r="G2237" s="45" t="s">
        <v>1413</v>
      </c>
      <c r="H2237" s="55" t="s">
        <v>1414</v>
      </c>
      <c r="I2237" s="15" t="s">
        <v>619</v>
      </c>
    </row>
    <row r="2238" spans="1:9" ht="51.75" customHeight="1" x14ac:dyDescent="0.35">
      <c r="A2238" s="15">
        <v>3</v>
      </c>
      <c r="B2238" s="15" t="s">
        <v>27814</v>
      </c>
      <c r="C2238" s="15" t="s">
        <v>27815</v>
      </c>
      <c r="D2238" s="31">
        <v>39143</v>
      </c>
      <c r="E2238" s="15" t="s">
        <v>27815</v>
      </c>
      <c r="F2238" s="87"/>
      <c r="G2238" s="45" t="s">
        <v>1413</v>
      </c>
      <c r="H2238" s="55" t="s">
        <v>1414</v>
      </c>
      <c r="I2238" s="15" t="s">
        <v>619</v>
      </c>
    </row>
    <row r="2239" spans="1:9" ht="51.75" customHeight="1" x14ac:dyDescent="0.35">
      <c r="A2239" s="15">
        <v>1</v>
      </c>
      <c r="B2239" s="15" t="s">
        <v>27816</v>
      </c>
      <c r="C2239" s="15" t="s">
        <v>27817</v>
      </c>
      <c r="D2239" s="31">
        <v>39143</v>
      </c>
      <c r="E2239" s="15" t="s">
        <v>27817</v>
      </c>
      <c r="F2239" s="87"/>
      <c r="G2239" s="45" t="s">
        <v>1389</v>
      </c>
      <c r="H2239" s="55" t="s">
        <v>1390</v>
      </c>
      <c r="I2239" s="15" t="s">
        <v>619</v>
      </c>
    </row>
    <row r="2240" spans="1:9" ht="51.75" customHeight="1" x14ac:dyDescent="0.35">
      <c r="A2240" s="15">
        <v>2</v>
      </c>
      <c r="B2240" s="15" t="s">
        <v>27818</v>
      </c>
      <c r="C2240" s="15" t="s">
        <v>27819</v>
      </c>
      <c r="D2240" s="31">
        <v>39143</v>
      </c>
      <c r="E2240" s="15" t="s">
        <v>27819</v>
      </c>
      <c r="F2240" s="87"/>
      <c r="G2240" s="45" t="s">
        <v>1389</v>
      </c>
      <c r="H2240" s="55" t="s">
        <v>1390</v>
      </c>
      <c r="I2240" s="15" t="s">
        <v>619</v>
      </c>
    </row>
    <row r="2241" spans="1:9" ht="51.75" customHeight="1" x14ac:dyDescent="0.35">
      <c r="A2241" s="15">
        <v>3</v>
      </c>
      <c r="B2241" s="15" t="s">
        <v>27820</v>
      </c>
      <c r="C2241" s="15" t="s">
        <v>27821</v>
      </c>
      <c r="D2241" s="31">
        <v>39143</v>
      </c>
      <c r="E2241" s="15" t="s">
        <v>27821</v>
      </c>
      <c r="F2241" s="87"/>
      <c r="G2241" s="45" t="s">
        <v>1389</v>
      </c>
      <c r="H2241" s="55" t="s">
        <v>1390</v>
      </c>
      <c r="I2241" s="15" t="s">
        <v>619</v>
      </c>
    </row>
    <row r="2242" spans="1:9" ht="51.75" customHeight="1" x14ac:dyDescent="0.35">
      <c r="A2242" s="15">
        <v>1</v>
      </c>
      <c r="B2242" s="15" t="s">
        <v>27822</v>
      </c>
      <c r="C2242" s="15" t="s">
        <v>27751</v>
      </c>
      <c r="D2242" s="31">
        <v>39103</v>
      </c>
      <c r="E2242" s="15" t="s">
        <v>27751</v>
      </c>
      <c r="F2242" s="87"/>
      <c r="G2242" s="45" t="s">
        <v>829</v>
      </c>
      <c r="H2242" s="55" t="s">
        <v>830</v>
      </c>
      <c r="I2242" s="15" t="s">
        <v>619</v>
      </c>
    </row>
    <row r="2243" spans="1:9" ht="51.75" customHeight="1" x14ac:dyDescent="0.35">
      <c r="A2243" s="15">
        <v>2</v>
      </c>
      <c r="B2243" s="15" t="s">
        <v>27823</v>
      </c>
      <c r="C2243" s="15" t="s">
        <v>27824</v>
      </c>
      <c r="D2243" s="31">
        <v>39103</v>
      </c>
      <c r="E2243" s="15" t="s">
        <v>27824</v>
      </c>
      <c r="F2243" s="87"/>
      <c r="G2243" s="45" t="s">
        <v>829</v>
      </c>
      <c r="H2243" s="55" t="s">
        <v>830</v>
      </c>
      <c r="I2243" s="15" t="s">
        <v>619</v>
      </c>
    </row>
    <row r="2244" spans="1:9" ht="51.75" customHeight="1" x14ac:dyDescent="0.35">
      <c r="A2244" s="15">
        <v>3</v>
      </c>
      <c r="B2244" s="15" t="s">
        <v>27825</v>
      </c>
      <c r="C2244" s="15" t="s">
        <v>27826</v>
      </c>
      <c r="D2244" s="31">
        <v>39103</v>
      </c>
      <c r="E2244" s="15" t="s">
        <v>27826</v>
      </c>
      <c r="F2244" s="87"/>
      <c r="G2244" s="45" t="s">
        <v>829</v>
      </c>
      <c r="H2244" s="55" t="s">
        <v>830</v>
      </c>
      <c r="I2244" s="15" t="s">
        <v>619</v>
      </c>
    </row>
    <row r="2245" spans="1:9" ht="51.75" customHeight="1" x14ac:dyDescent="0.35">
      <c r="A2245" s="15">
        <v>1</v>
      </c>
      <c r="B2245" s="15" t="s">
        <v>27827</v>
      </c>
      <c r="C2245" s="15" t="s">
        <v>27751</v>
      </c>
      <c r="D2245" s="31">
        <v>39105</v>
      </c>
      <c r="E2245" s="15" t="s">
        <v>27751</v>
      </c>
      <c r="F2245" s="87"/>
      <c r="G2245" s="45" t="s">
        <v>805</v>
      </c>
      <c r="H2245" s="55" t="s">
        <v>806</v>
      </c>
      <c r="I2245" s="15" t="s">
        <v>619</v>
      </c>
    </row>
    <row r="2246" spans="1:9" ht="51.75" customHeight="1" x14ac:dyDescent="0.35">
      <c r="A2246" s="15">
        <v>1</v>
      </c>
      <c r="B2246" s="15" t="s">
        <v>27828</v>
      </c>
      <c r="C2246" s="15" t="s">
        <v>27746</v>
      </c>
      <c r="D2246" s="31">
        <v>39105</v>
      </c>
      <c r="E2246" s="15" t="s">
        <v>27746</v>
      </c>
      <c r="F2246" s="87"/>
      <c r="G2246" s="45" t="s">
        <v>773</v>
      </c>
      <c r="H2246" s="55" t="s">
        <v>774</v>
      </c>
      <c r="I2246" s="15" t="s">
        <v>619</v>
      </c>
    </row>
    <row r="2247" spans="1:9" ht="51.75" customHeight="1" x14ac:dyDescent="0.35">
      <c r="A2247" s="15" t="s">
        <v>23511</v>
      </c>
      <c r="B2247" s="15" t="s">
        <v>27829</v>
      </c>
      <c r="C2247" s="15" t="s">
        <v>27830</v>
      </c>
      <c r="D2247" s="31" t="s">
        <v>50</v>
      </c>
      <c r="E2247" s="15" t="s">
        <v>27831</v>
      </c>
      <c r="F2247" s="87" t="s">
        <v>21871</v>
      </c>
      <c r="G2247" s="45" t="s">
        <v>7592</v>
      </c>
      <c r="H2247" s="55" t="s">
        <v>7593</v>
      </c>
      <c r="I2247" s="15" t="s">
        <v>619</v>
      </c>
    </row>
    <row r="2248" spans="1:9" ht="51.75" customHeight="1" x14ac:dyDescent="0.35">
      <c r="A2248" s="15" t="s">
        <v>24363</v>
      </c>
      <c r="B2248" s="15" t="s">
        <v>27832</v>
      </c>
      <c r="C2248" s="15" t="s">
        <v>27833</v>
      </c>
      <c r="D2248" s="31" t="s">
        <v>50</v>
      </c>
      <c r="E2248" s="15" t="s">
        <v>27834</v>
      </c>
      <c r="F2248" s="87" t="s">
        <v>21871</v>
      </c>
      <c r="G2248" s="45" t="s">
        <v>7553</v>
      </c>
      <c r="H2248" s="55" t="s">
        <v>7554</v>
      </c>
      <c r="I2248" s="15" t="s">
        <v>619</v>
      </c>
    </row>
    <row r="2249" spans="1:9" ht="51.75" customHeight="1" x14ac:dyDescent="0.35">
      <c r="A2249" s="15" t="s">
        <v>24301</v>
      </c>
      <c r="B2249" s="15" t="s">
        <v>27835</v>
      </c>
      <c r="C2249" s="15" t="s">
        <v>27836</v>
      </c>
      <c r="D2249" s="31" t="s">
        <v>50</v>
      </c>
      <c r="E2249" s="15" t="s">
        <v>27837</v>
      </c>
      <c r="F2249" s="87" t="s">
        <v>21871</v>
      </c>
      <c r="G2249" s="45" t="s">
        <v>7487</v>
      </c>
      <c r="H2249" s="55" t="s">
        <v>7488</v>
      </c>
      <c r="I2249" s="15" t="s">
        <v>619</v>
      </c>
    </row>
    <row r="2250" spans="1:9" ht="51.75" customHeight="1" x14ac:dyDescent="0.35">
      <c r="A2250" s="15" t="s">
        <v>22039</v>
      </c>
      <c r="B2250" s="15" t="s">
        <v>27838</v>
      </c>
      <c r="C2250" s="15" t="s">
        <v>27839</v>
      </c>
      <c r="D2250" s="31" t="s">
        <v>50</v>
      </c>
      <c r="E2250" s="15" t="s">
        <v>27840</v>
      </c>
      <c r="F2250" s="87" t="s">
        <v>21871</v>
      </c>
      <c r="G2250" s="45" t="s">
        <v>7487</v>
      </c>
      <c r="H2250" s="55" t="s">
        <v>7488</v>
      </c>
      <c r="I2250" s="15" t="s">
        <v>619</v>
      </c>
    </row>
    <row r="2251" spans="1:9" ht="51.75" customHeight="1" x14ac:dyDescent="0.35">
      <c r="A2251" s="15">
        <v>1</v>
      </c>
      <c r="B2251" s="15" t="s">
        <v>27841</v>
      </c>
      <c r="C2251" s="15" t="s">
        <v>27842</v>
      </c>
      <c r="D2251" s="31">
        <v>39105</v>
      </c>
      <c r="E2251" s="15" t="s">
        <v>27842</v>
      </c>
      <c r="F2251" s="87"/>
      <c r="G2251" s="45" t="s">
        <v>722</v>
      </c>
      <c r="H2251" s="55" t="s">
        <v>723</v>
      </c>
      <c r="I2251" s="15" t="s">
        <v>619</v>
      </c>
    </row>
    <row r="2252" spans="1:9" ht="51.75" customHeight="1" x14ac:dyDescent="0.35">
      <c r="A2252" s="15" t="s">
        <v>25380</v>
      </c>
      <c r="B2252" s="15" t="s">
        <v>27843</v>
      </c>
      <c r="C2252" s="15" t="s">
        <v>27844</v>
      </c>
      <c r="D2252" s="31" t="s">
        <v>50</v>
      </c>
      <c r="E2252" s="15" t="s">
        <v>27845</v>
      </c>
      <c r="F2252" s="87" t="s">
        <v>21871</v>
      </c>
      <c r="G2252" s="45" t="s">
        <v>7410</v>
      </c>
      <c r="H2252" s="55" t="s">
        <v>7411</v>
      </c>
      <c r="I2252" s="15" t="s">
        <v>619</v>
      </c>
    </row>
    <row r="2253" spans="1:9" ht="51.75" customHeight="1" x14ac:dyDescent="0.35">
      <c r="A2253" s="15" t="s">
        <v>24323</v>
      </c>
      <c r="B2253" s="15" t="s">
        <v>27846</v>
      </c>
      <c r="C2253" s="15" t="s">
        <v>27847</v>
      </c>
      <c r="D2253" s="31" t="s">
        <v>50</v>
      </c>
      <c r="E2253" s="15" t="s">
        <v>27848</v>
      </c>
      <c r="F2253" s="87" t="s">
        <v>21871</v>
      </c>
      <c r="G2253" s="45" t="s">
        <v>7253</v>
      </c>
      <c r="H2253" s="55" t="s">
        <v>7254</v>
      </c>
      <c r="I2253" s="15" t="s">
        <v>619</v>
      </c>
    </row>
    <row r="2254" spans="1:9" ht="51.75" customHeight="1" x14ac:dyDescent="0.35">
      <c r="A2254" s="15" t="s">
        <v>24329</v>
      </c>
      <c r="B2254" s="15" t="s">
        <v>27849</v>
      </c>
      <c r="C2254" s="15" t="s">
        <v>27850</v>
      </c>
      <c r="D2254" s="31" t="s">
        <v>50</v>
      </c>
      <c r="E2254" s="15" t="s">
        <v>27851</v>
      </c>
      <c r="F2254" s="87" t="s">
        <v>21871</v>
      </c>
      <c r="G2254" s="45" t="s">
        <v>7253</v>
      </c>
      <c r="H2254" s="55" t="s">
        <v>7254</v>
      </c>
      <c r="I2254" s="15" t="s">
        <v>619</v>
      </c>
    </row>
    <row r="2255" spans="1:9" ht="51.75" customHeight="1" x14ac:dyDescent="0.35">
      <c r="A2255" s="15" t="s">
        <v>22223</v>
      </c>
      <c r="B2255" s="15" t="s">
        <v>27852</v>
      </c>
      <c r="C2255" s="15" t="s">
        <v>27853</v>
      </c>
      <c r="D2255" s="31" t="s">
        <v>50</v>
      </c>
      <c r="E2255" s="15" t="s">
        <v>27854</v>
      </c>
      <c r="F2255" s="87" t="s">
        <v>21871</v>
      </c>
      <c r="G2255" s="45" t="s">
        <v>7099</v>
      </c>
      <c r="H2255" s="55" t="s">
        <v>7100</v>
      </c>
      <c r="I2255" s="15" t="s">
        <v>619</v>
      </c>
    </row>
    <row r="2256" spans="1:9" ht="51.75" customHeight="1" x14ac:dyDescent="0.35">
      <c r="A2256" s="15" t="s">
        <v>22952</v>
      </c>
      <c r="B2256" s="15" t="s">
        <v>27855</v>
      </c>
      <c r="C2256" s="15" t="s">
        <v>27856</v>
      </c>
      <c r="D2256" s="31" t="s">
        <v>50</v>
      </c>
      <c r="E2256" s="15" t="s">
        <v>27857</v>
      </c>
      <c r="F2256" s="87" t="s">
        <v>21871</v>
      </c>
      <c r="G2256" s="45" t="s">
        <v>7099</v>
      </c>
      <c r="H2256" s="55" t="s">
        <v>7100</v>
      </c>
      <c r="I2256" s="15" t="s">
        <v>619</v>
      </c>
    </row>
    <row r="2257" spans="1:9" ht="51.75" customHeight="1" x14ac:dyDescent="0.35">
      <c r="A2257" s="15" t="s">
        <v>24720</v>
      </c>
      <c r="B2257" s="15" t="s">
        <v>27858</v>
      </c>
      <c r="C2257" s="15" t="s">
        <v>27859</v>
      </c>
      <c r="D2257" s="31" t="s">
        <v>50</v>
      </c>
      <c r="E2257" s="15" t="s">
        <v>27860</v>
      </c>
      <c r="F2257" s="87" t="s">
        <v>21871</v>
      </c>
      <c r="G2257" s="45" t="s">
        <v>6906</v>
      </c>
      <c r="H2257" s="55" t="s">
        <v>6907</v>
      </c>
      <c r="I2257" s="15" t="s">
        <v>619</v>
      </c>
    </row>
    <row r="2258" spans="1:9" ht="51.75" customHeight="1" x14ac:dyDescent="0.35">
      <c r="A2258" s="15" t="s">
        <v>22213</v>
      </c>
      <c r="B2258" s="15" t="s">
        <v>27861</v>
      </c>
      <c r="C2258" s="15" t="s">
        <v>27862</v>
      </c>
      <c r="D2258" s="31" t="s">
        <v>50</v>
      </c>
      <c r="E2258" s="15" t="s">
        <v>27863</v>
      </c>
      <c r="F2258" s="87" t="s">
        <v>21871</v>
      </c>
      <c r="G2258" s="45" t="s">
        <v>6987</v>
      </c>
      <c r="H2258" s="55" t="s">
        <v>6988</v>
      </c>
      <c r="I2258" s="15" t="s">
        <v>619</v>
      </c>
    </row>
    <row r="2259" spans="1:9" ht="51.75" customHeight="1" x14ac:dyDescent="0.35">
      <c r="A2259" s="15" t="s">
        <v>24255</v>
      </c>
      <c r="B2259" s="15" t="s">
        <v>27864</v>
      </c>
      <c r="C2259" s="15" t="s">
        <v>27865</v>
      </c>
      <c r="D2259" s="31" t="s">
        <v>50</v>
      </c>
      <c r="E2259" s="15" t="s">
        <v>27866</v>
      </c>
      <c r="F2259" s="87" t="s">
        <v>21871</v>
      </c>
      <c r="G2259" s="45" t="s">
        <v>6987</v>
      </c>
      <c r="H2259" s="55" t="s">
        <v>6988</v>
      </c>
      <c r="I2259" s="15" t="s">
        <v>619</v>
      </c>
    </row>
    <row r="2260" spans="1:9" ht="51.75" customHeight="1" x14ac:dyDescent="0.35">
      <c r="A2260" s="15" t="s">
        <v>23252</v>
      </c>
      <c r="B2260" s="15" t="s">
        <v>27867</v>
      </c>
      <c r="C2260" s="15" t="s">
        <v>27868</v>
      </c>
      <c r="D2260" s="31" t="s">
        <v>50</v>
      </c>
      <c r="E2260" s="15" t="s">
        <v>27869</v>
      </c>
      <c r="F2260" s="87" t="s">
        <v>21871</v>
      </c>
      <c r="G2260" s="45" t="s">
        <v>6971</v>
      </c>
      <c r="H2260" s="55" t="s">
        <v>6972</v>
      </c>
      <c r="I2260" s="15" t="s">
        <v>619</v>
      </c>
    </row>
    <row r="2261" spans="1:9" ht="51.75" customHeight="1" x14ac:dyDescent="0.35">
      <c r="A2261" s="15" t="s">
        <v>23258</v>
      </c>
      <c r="B2261" s="15" t="s">
        <v>27870</v>
      </c>
      <c r="C2261" s="15" t="s">
        <v>27871</v>
      </c>
      <c r="D2261" s="31" t="s">
        <v>50</v>
      </c>
      <c r="E2261" s="15" t="s">
        <v>27872</v>
      </c>
      <c r="F2261" s="87" t="s">
        <v>21871</v>
      </c>
      <c r="G2261" s="45" t="s">
        <v>6971</v>
      </c>
      <c r="H2261" s="55" t="s">
        <v>6972</v>
      </c>
      <c r="I2261" s="15" t="s">
        <v>619</v>
      </c>
    </row>
    <row r="2262" spans="1:9" ht="51.75" customHeight="1" x14ac:dyDescent="0.35">
      <c r="A2262" s="15" t="s">
        <v>22945</v>
      </c>
      <c r="B2262" s="15" t="s">
        <v>27873</v>
      </c>
      <c r="C2262" s="15" t="s">
        <v>27874</v>
      </c>
      <c r="D2262" s="31" t="s">
        <v>50</v>
      </c>
      <c r="E2262" s="15" t="s">
        <v>27875</v>
      </c>
      <c r="F2262" s="87" t="s">
        <v>21871</v>
      </c>
      <c r="G2262" s="45" t="s">
        <v>6971</v>
      </c>
      <c r="H2262" s="55" t="s">
        <v>6972</v>
      </c>
      <c r="I2262" s="15" t="s">
        <v>619</v>
      </c>
    </row>
    <row r="2263" spans="1:9" ht="51.75" customHeight="1" x14ac:dyDescent="0.35">
      <c r="A2263" s="15" t="s">
        <v>22877</v>
      </c>
      <c r="B2263" s="15" t="s">
        <v>27876</v>
      </c>
      <c r="C2263" s="15" t="s">
        <v>27877</v>
      </c>
      <c r="D2263" s="31" t="s">
        <v>50</v>
      </c>
      <c r="E2263" s="15" t="s">
        <v>27878</v>
      </c>
      <c r="F2263" s="87" t="s">
        <v>21871</v>
      </c>
      <c r="G2263" s="45" t="s">
        <v>6948</v>
      </c>
      <c r="H2263" s="55" t="s">
        <v>6949</v>
      </c>
      <c r="I2263" s="15" t="s">
        <v>619</v>
      </c>
    </row>
    <row r="2264" spans="1:9" ht="51.75" customHeight="1" x14ac:dyDescent="0.35">
      <c r="A2264" s="15" t="s">
        <v>25291</v>
      </c>
      <c r="B2264" s="15" t="s">
        <v>27879</v>
      </c>
      <c r="C2264" s="15" t="s">
        <v>27880</v>
      </c>
      <c r="D2264" s="31" t="s">
        <v>50</v>
      </c>
      <c r="E2264" s="15" t="s">
        <v>27881</v>
      </c>
      <c r="F2264" s="87" t="s">
        <v>21871</v>
      </c>
      <c r="G2264" s="45" t="s">
        <v>6894</v>
      </c>
      <c r="H2264" s="55" t="s">
        <v>6895</v>
      </c>
      <c r="I2264" s="15" t="s">
        <v>619</v>
      </c>
    </row>
    <row r="2265" spans="1:9" ht="51.75" customHeight="1" x14ac:dyDescent="0.35">
      <c r="A2265" s="15" t="s">
        <v>24808</v>
      </c>
      <c r="B2265" s="15" t="s">
        <v>27882</v>
      </c>
      <c r="C2265" s="15" t="s">
        <v>27883</v>
      </c>
      <c r="D2265" s="31" t="s">
        <v>50</v>
      </c>
      <c r="E2265" s="15" t="s">
        <v>27884</v>
      </c>
      <c r="F2265" s="87" t="s">
        <v>21871</v>
      </c>
      <c r="G2265" s="45" t="s">
        <v>6725</v>
      </c>
      <c r="H2265" s="55" t="s">
        <v>6726</v>
      </c>
      <c r="I2265" s="15" t="s">
        <v>619</v>
      </c>
    </row>
    <row r="2266" spans="1:9" ht="51.75" customHeight="1" x14ac:dyDescent="0.35">
      <c r="A2266" s="15">
        <v>1</v>
      </c>
      <c r="B2266" s="15" t="s">
        <v>27885</v>
      </c>
      <c r="C2266" s="15" t="s">
        <v>27886</v>
      </c>
      <c r="D2266" s="31">
        <v>39105</v>
      </c>
      <c r="E2266" s="15" t="s">
        <v>27886</v>
      </c>
      <c r="F2266" s="87"/>
      <c r="G2266" s="45" t="s">
        <v>685</v>
      </c>
      <c r="H2266" s="55" t="s">
        <v>686</v>
      </c>
      <c r="I2266" s="15" t="s">
        <v>619</v>
      </c>
    </row>
    <row r="2267" spans="1:9" ht="51.75" customHeight="1" x14ac:dyDescent="0.35">
      <c r="A2267" s="15" t="s">
        <v>24581</v>
      </c>
      <c r="B2267" s="15" t="s">
        <v>27887</v>
      </c>
      <c r="C2267" s="15" t="s">
        <v>27888</v>
      </c>
      <c r="D2267" s="31" t="s">
        <v>50</v>
      </c>
      <c r="E2267" s="15" t="s">
        <v>27889</v>
      </c>
      <c r="F2267" s="87" t="s">
        <v>21871</v>
      </c>
      <c r="G2267" s="45" t="s">
        <v>6662</v>
      </c>
      <c r="H2267" s="55" t="s">
        <v>6663</v>
      </c>
      <c r="I2267" s="15" t="s">
        <v>619</v>
      </c>
    </row>
    <row r="2268" spans="1:9" ht="51.75" customHeight="1" x14ac:dyDescent="0.35">
      <c r="A2268" s="15" t="s">
        <v>24581</v>
      </c>
      <c r="B2268" s="15" t="s">
        <v>27890</v>
      </c>
      <c r="C2268" s="15" t="s">
        <v>27888</v>
      </c>
      <c r="D2268" s="31" t="s">
        <v>50</v>
      </c>
      <c r="E2268" s="15" t="s">
        <v>27891</v>
      </c>
      <c r="F2268" s="87" t="s">
        <v>27892</v>
      </c>
      <c r="G2268" s="45" t="s">
        <v>6662</v>
      </c>
      <c r="H2268" s="55" t="s">
        <v>6663</v>
      </c>
      <c r="I2268" s="15" t="s">
        <v>619</v>
      </c>
    </row>
    <row r="2269" spans="1:9" ht="51.75" customHeight="1" x14ac:dyDescent="0.35">
      <c r="A2269" s="15" t="s">
        <v>24587</v>
      </c>
      <c r="B2269" s="15" t="s">
        <v>27893</v>
      </c>
      <c r="C2269" s="15" t="s">
        <v>27894</v>
      </c>
      <c r="D2269" s="31" t="s">
        <v>50</v>
      </c>
      <c r="E2269" s="15" t="s">
        <v>27895</v>
      </c>
      <c r="F2269" s="87" t="s">
        <v>21871</v>
      </c>
      <c r="G2269" s="45" t="s">
        <v>6662</v>
      </c>
      <c r="H2269" s="55" t="s">
        <v>6663</v>
      </c>
      <c r="I2269" s="15" t="s">
        <v>619</v>
      </c>
    </row>
    <row r="2270" spans="1:9" ht="51.75" customHeight="1" x14ac:dyDescent="0.35">
      <c r="A2270" s="15" t="s">
        <v>24587</v>
      </c>
      <c r="B2270" s="15" t="s">
        <v>27896</v>
      </c>
      <c r="C2270" s="15" t="s">
        <v>27894</v>
      </c>
      <c r="D2270" s="31" t="s">
        <v>50</v>
      </c>
      <c r="E2270" s="15" t="s">
        <v>27897</v>
      </c>
      <c r="F2270" s="87" t="s">
        <v>27892</v>
      </c>
      <c r="G2270" s="45" t="s">
        <v>6662</v>
      </c>
      <c r="H2270" s="55" t="s">
        <v>6663</v>
      </c>
      <c r="I2270" s="15" t="s">
        <v>619</v>
      </c>
    </row>
    <row r="2271" spans="1:9" ht="51.75" customHeight="1" x14ac:dyDescent="0.35">
      <c r="A2271" s="15" t="s">
        <v>25264</v>
      </c>
      <c r="B2271" s="15" t="s">
        <v>27898</v>
      </c>
      <c r="C2271" s="15" t="s">
        <v>27899</v>
      </c>
      <c r="D2271" s="31" t="s">
        <v>50</v>
      </c>
      <c r="E2271" s="15" t="s">
        <v>27900</v>
      </c>
      <c r="F2271" s="87" t="s">
        <v>21871</v>
      </c>
      <c r="G2271" s="45" t="s">
        <v>6662</v>
      </c>
      <c r="H2271" s="55" t="s">
        <v>6663</v>
      </c>
      <c r="I2271" s="15" t="s">
        <v>619</v>
      </c>
    </row>
    <row r="2272" spans="1:9" ht="51.75" customHeight="1" x14ac:dyDescent="0.35">
      <c r="A2272" s="15" t="s">
        <v>25264</v>
      </c>
      <c r="B2272" s="15" t="s">
        <v>27901</v>
      </c>
      <c r="C2272" s="15" t="s">
        <v>27899</v>
      </c>
      <c r="D2272" s="31" t="s">
        <v>50</v>
      </c>
      <c r="E2272" s="15" t="s">
        <v>27902</v>
      </c>
      <c r="F2272" s="87" t="s">
        <v>27892</v>
      </c>
      <c r="G2272" s="45" t="s">
        <v>6662</v>
      </c>
      <c r="H2272" s="55" t="s">
        <v>6663</v>
      </c>
      <c r="I2272" s="15" t="s">
        <v>619</v>
      </c>
    </row>
    <row r="2273" spans="1:9" ht="51.75" customHeight="1" x14ac:dyDescent="0.35">
      <c r="A2273" s="15" t="s">
        <v>24714</v>
      </c>
      <c r="B2273" s="15" t="s">
        <v>27903</v>
      </c>
      <c r="C2273" s="15" t="s">
        <v>27904</v>
      </c>
      <c r="D2273" s="31" t="s">
        <v>50</v>
      </c>
      <c r="E2273" s="15" t="s">
        <v>27905</v>
      </c>
      <c r="F2273" s="87" t="s">
        <v>21871</v>
      </c>
      <c r="G2273" s="45" t="s">
        <v>6302</v>
      </c>
      <c r="H2273" s="55" t="s">
        <v>6303</v>
      </c>
      <c r="I2273" s="15" t="s">
        <v>619</v>
      </c>
    </row>
    <row r="2274" spans="1:9" ht="51.75" customHeight="1" x14ac:dyDescent="0.35">
      <c r="A2274" s="15" t="s">
        <v>24802</v>
      </c>
      <c r="B2274" s="15" t="s">
        <v>27906</v>
      </c>
      <c r="C2274" s="15" t="s">
        <v>27907</v>
      </c>
      <c r="D2274" s="31" t="s">
        <v>50</v>
      </c>
      <c r="E2274" s="15" t="s">
        <v>27908</v>
      </c>
      <c r="F2274" s="87" t="s">
        <v>21871</v>
      </c>
      <c r="G2274" s="45" t="s">
        <v>6462</v>
      </c>
      <c r="H2274" s="55" t="s">
        <v>6463</v>
      </c>
      <c r="I2274" s="15" t="s">
        <v>619</v>
      </c>
    </row>
    <row r="2275" spans="1:9" ht="51.75" customHeight="1" x14ac:dyDescent="0.35">
      <c r="A2275" s="15" t="s">
        <v>24780</v>
      </c>
      <c r="B2275" s="15" t="s">
        <v>27909</v>
      </c>
      <c r="C2275" s="15" t="s">
        <v>27910</v>
      </c>
      <c r="D2275" s="31" t="s">
        <v>50</v>
      </c>
      <c r="E2275" s="15" t="s">
        <v>27911</v>
      </c>
      <c r="F2275" s="87" t="s">
        <v>21871</v>
      </c>
      <c r="G2275" s="45" t="s">
        <v>6322</v>
      </c>
      <c r="H2275" s="55" t="s">
        <v>6323</v>
      </c>
      <c r="I2275" s="15" t="s">
        <v>619</v>
      </c>
    </row>
    <row r="2276" spans="1:9" ht="51.75" customHeight="1" x14ac:dyDescent="0.35">
      <c r="A2276" s="15" t="s">
        <v>24780</v>
      </c>
      <c r="B2276" s="15" t="s">
        <v>27912</v>
      </c>
      <c r="C2276" s="15" t="s">
        <v>27910</v>
      </c>
      <c r="D2276" s="31" t="s">
        <v>50</v>
      </c>
      <c r="E2276" s="15" t="s">
        <v>27913</v>
      </c>
      <c r="F2276" s="87" t="s">
        <v>27892</v>
      </c>
      <c r="G2276" s="45" t="s">
        <v>6322</v>
      </c>
      <c r="H2276" s="55" t="s">
        <v>6323</v>
      </c>
      <c r="I2276" s="15" t="s">
        <v>619</v>
      </c>
    </row>
    <row r="2277" spans="1:9" ht="51.75" customHeight="1" x14ac:dyDescent="0.35">
      <c r="A2277" s="15" t="s">
        <v>24786</v>
      </c>
      <c r="B2277" s="15" t="s">
        <v>27914</v>
      </c>
      <c r="C2277" s="15" t="s">
        <v>27915</v>
      </c>
      <c r="D2277" s="31" t="s">
        <v>50</v>
      </c>
      <c r="E2277" s="15" t="s">
        <v>27916</v>
      </c>
      <c r="F2277" s="87" t="s">
        <v>21871</v>
      </c>
      <c r="G2277" s="45" t="s">
        <v>6322</v>
      </c>
      <c r="H2277" s="55" t="s">
        <v>6323</v>
      </c>
      <c r="I2277" s="15" t="s">
        <v>619</v>
      </c>
    </row>
    <row r="2278" spans="1:9" ht="51.75" customHeight="1" x14ac:dyDescent="0.35">
      <c r="A2278" s="15" t="s">
        <v>24786</v>
      </c>
      <c r="B2278" s="15" t="s">
        <v>27917</v>
      </c>
      <c r="C2278" s="15" t="s">
        <v>27915</v>
      </c>
      <c r="D2278" s="31" t="s">
        <v>50</v>
      </c>
      <c r="E2278" s="15" t="s">
        <v>27918</v>
      </c>
      <c r="F2278" s="87" t="s">
        <v>27892</v>
      </c>
      <c r="G2278" s="45" t="s">
        <v>6322</v>
      </c>
      <c r="H2278" s="55" t="s">
        <v>6323</v>
      </c>
      <c r="I2278" s="15" t="s">
        <v>619</v>
      </c>
    </row>
    <row r="2279" spans="1:9" ht="51.75" customHeight="1" x14ac:dyDescent="0.35">
      <c r="A2279" s="15" t="s">
        <v>23203</v>
      </c>
      <c r="B2279" s="15" t="s">
        <v>27919</v>
      </c>
      <c r="C2279" s="15" t="s">
        <v>27920</v>
      </c>
      <c r="D2279" s="31" t="s">
        <v>50</v>
      </c>
      <c r="E2279" s="15" t="s">
        <v>27921</v>
      </c>
      <c r="F2279" s="87" t="s">
        <v>21871</v>
      </c>
      <c r="G2279" s="45" t="s">
        <v>6322</v>
      </c>
      <c r="H2279" s="55" t="s">
        <v>6323</v>
      </c>
      <c r="I2279" s="15" t="s">
        <v>619</v>
      </c>
    </row>
    <row r="2280" spans="1:9" ht="51.75" customHeight="1" x14ac:dyDescent="0.35">
      <c r="A2280" s="15" t="s">
        <v>23203</v>
      </c>
      <c r="B2280" s="15" t="s">
        <v>27922</v>
      </c>
      <c r="C2280" s="15" t="s">
        <v>27920</v>
      </c>
      <c r="D2280" s="31" t="s">
        <v>50</v>
      </c>
      <c r="E2280" s="15" t="s">
        <v>27923</v>
      </c>
      <c r="F2280" s="87" t="s">
        <v>27892</v>
      </c>
      <c r="G2280" s="45" t="s">
        <v>6322</v>
      </c>
      <c r="H2280" s="55" t="s">
        <v>6323</v>
      </c>
      <c r="I2280" s="15" t="s">
        <v>619</v>
      </c>
    </row>
    <row r="2281" spans="1:9" ht="51.75" customHeight="1" x14ac:dyDescent="0.35">
      <c r="A2281" s="15">
        <v>1</v>
      </c>
      <c r="B2281" s="15" t="s">
        <v>27924</v>
      </c>
      <c r="C2281" s="15" t="s">
        <v>27925</v>
      </c>
      <c r="D2281" s="31">
        <v>41088</v>
      </c>
      <c r="E2281" s="15" t="s">
        <v>27926</v>
      </c>
      <c r="F2281" s="87"/>
      <c r="G2281" s="45" t="s">
        <v>6237</v>
      </c>
      <c r="H2281" s="55" t="s">
        <v>6238</v>
      </c>
      <c r="I2281" s="15" t="s">
        <v>619</v>
      </c>
    </row>
    <row r="2282" spans="1:9" ht="51.75" customHeight="1" x14ac:dyDescent="0.35">
      <c r="A2282" s="15">
        <v>1</v>
      </c>
      <c r="B2282" s="15" t="s">
        <v>27927</v>
      </c>
      <c r="C2282" s="15" t="s">
        <v>27928</v>
      </c>
      <c r="D2282" s="31">
        <v>41065</v>
      </c>
      <c r="E2282" s="15" t="s">
        <v>27929</v>
      </c>
      <c r="F2282" s="87"/>
      <c r="G2282" s="45" t="s">
        <v>6062</v>
      </c>
      <c r="H2282" s="55" t="s">
        <v>6063</v>
      </c>
      <c r="I2282" s="15" t="s">
        <v>619</v>
      </c>
    </row>
    <row r="2283" spans="1:9" ht="51.75" customHeight="1" x14ac:dyDescent="0.35">
      <c r="A2283" s="15">
        <v>1</v>
      </c>
      <c r="B2283" s="15" t="s">
        <v>27930</v>
      </c>
      <c r="C2283" s="15" t="s">
        <v>27931</v>
      </c>
      <c r="D2283" s="31">
        <v>41089</v>
      </c>
      <c r="E2283" s="15" t="s">
        <v>27932</v>
      </c>
      <c r="F2283" s="87"/>
      <c r="G2283" s="45" t="s">
        <v>6165</v>
      </c>
      <c r="H2283" s="55" t="s">
        <v>6166</v>
      </c>
      <c r="I2283" s="15" t="s">
        <v>619</v>
      </c>
    </row>
    <row r="2284" spans="1:9" ht="51.75" customHeight="1" x14ac:dyDescent="0.35">
      <c r="A2284" s="15">
        <v>1</v>
      </c>
      <c r="B2284" s="15" t="s">
        <v>27933</v>
      </c>
      <c r="C2284" s="15" t="s">
        <v>27934</v>
      </c>
      <c r="D2284" s="31">
        <v>41016</v>
      </c>
      <c r="E2284" s="15" t="s">
        <v>27935</v>
      </c>
      <c r="F2284" s="87"/>
      <c r="G2284" s="45" t="s">
        <v>6096</v>
      </c>
      <c r="H2284" s="55" t="s">
        <v>6097</v>
      </c>
      <c r="I2284" s="15" t="s">
        <v>619</v>
      </c>
    </row>
    <row r="2285" spans="1:9" ht="51.75" customHeight="1" x14ac:dyDescent="0.35">
      <c r="A2285" s="15">
        <v>2</v>
      </c>
      <c r="B2285" s="15" t="s">
        <v>27936</v>
      </c>
      <c r="C2285" s="15" t="s">
        <v>27937</v>
      </c>
      <c r="D2285" s="31">
        <v>41016</v>
      </c>
      <c r="E2285" s="15" t="s">
        <v>27938</v>
      </c>
      <c r="F2285" s="87"/>
      <c r="G2285" s="45" t="s">
        <v>6096</v>
      </c>
      <c r="H2285" s="55" t="s">
        <v>6097</v>
      </c>
      <c r="I2285" s="15" t="s">
        <v>619</v>
      </c>
    </row>
    <row r="2286" spans="1:9" ht="51.75" customHeight="1" x14ac:dyDescent="0.35">
      <c r="A2286" s="15">
        <v>3</v>
      </c>
      <c r="B2286" s="15" t="s">
        <v>27939</v>
      </c>
      <c r="C2286" s="15" t="s">
        <v>27940</v>
      </c>
      <c r="D2286" s="31">
        <v>41016</v>
      </c>
      <c r="E2286" s="15" t="s">
        <v>27941</v>
      </c>
      <c r="F2286" s="87"/>
      <c r="G2286" s="45" t="s">
        <v>6096</v>
      </c>
      <c r="H2286" s="55" t="s">
        <v>6097</v>
      </c>
      <c r="I2286" s="15" t="s">
        <v>619</v>
      </c>
    </row>
    <row r="2287" spans="1:9" ht="51.75" customHeight="1" x14ac:dyDescent="0.35">
      <c r="A2287" s="15">
        <v>1</v>
      </c>
      <c r="B2287" s="15" t="s">
        <v>27942</v>
      </c>
      <c r="C2287" s="15" t="s">
        <v>27943</v>
      </c>
      <c r="D2287" s="31">
        <v>41016</v>
      </c>
      <c r="E2287" s="15" t="s">
        <v>27943</v>
      </c>
      <c r="F2287" s="87"/>
      <c r="G2287" s="45" t="s">
        <v>5898</v>
      </c>
      <c r="H2287" s="55" t="s">
        <v>5899</v>
      </c>
      <c r="I2287" s="15" t="s">
        <v>619</v>
      </c>
    </row>
    <row r="2288" spans="1:9" ht="51.75" customHeight="1" x14ac:dyDescent="0.35">
      <c r="A2288" s="15">
        <v>2</v>
      </c>
      <c r="B2288" s="15" t="s">
        <v>27944</v>
      </c>
      <c r="C2288" s="15" t="s">
        <v>27945</v>
      </c>
      <c r="D2288" s="31">
        <v>41016</v>
      </c>
      <c r="E2288" s="15" t="s">
        <v>27946</v>
      </c>
      <c r="F2288" s="87"/>
      <c r="G2288" s="45" t="s">
        <v>5898</v>
      </c>
      <c r="H2288" s="55" t="s">
        <v>5899</v>
      </c>
      <c r="I2288" s="15" t="s">
        <v>619</v>
      </c>
    </row>
    <row r="2289" spans="1:9" ht="51.75" customHeight="1" x14ac:dyDescent="0.35">
      <c r="A2289" s="15">
        <v>1</v>
      </c>
      <c r="B2289" s="15" t="s">
        <v>27947</v>
      </c>
      <c r="C2289" s="15" t="s">
        <v>27948</v>
      </c>
      <c r="D2289" s="31">
        <v>41065</v>
      </c>
      <c r="E2289" s="15" t="s">
        <v>27949</v>
      </c>
      <c r="F2289" s="87"/>
      <c r="G2289" s="45" t="s">
        <v>6085</v>
      </c>
      <c r="H2289" s="55" t="s">
        <v>6086</v>
      </c>
      <c r="I2289" s="15" t="s">
        <v>619</v>
      </c>
    </row>
    <row r="2290" spans="1:9" ht="51.75" customHeight="1" x14ac:dyDescent="0.35">
      <c r="A2290" s="15">
        <v>2</v>
      </c>
      <c r="B2290" s="15" t="s">
        <v>27950</v>
      </c>
      <c r="C2290" s="15" t="s">
        <v>27951</v>
      </c>
      <c r="D2290" s="31">
        <v>41065</v>
      </c>
      <c r="E2290" s="15" t="s">
        <v>27952</v>
      </c>
      <c r="F2290" s="87"/>
      <c r="G2290" s="45" t="s">
        <v>6085</v>
      </c>
      <c r="H2290" s="55" t="s">
        <v>6086</v>
      </c>
      <c r="I2290" s="15" t="s">
        <v>619</v>
      </c>
    </row>
    <row r="2291" spans="1:9" ht="51.75" customHeight="1" x14ac:dyDescent="0.35">
      <c r="A2291" s="15">
        <v>1</v>
      </c>
      <c r="B2291" s="15" t="s">
        <v>27953</v>
      </c>
      <c r="C2291" s="15" t="s">
        <v>27954</v>
      </c>
      <c r="D2291" s="31">
        <v>41016</v>
      </c>
      <c r="E2291" s="15" t="s">
        <v>27955</v>
      </c>
      <c r="F2291" s="87"/>
      <c r="G2291" s="45" t="s">
        <v>6006</v>
      </c>
      <c r="H2291" s="55" t="s">
        <v>6007</v>
      </c>
      <c r="I2291" s="15" t="s">
        <v>619</v>
      </c>
    </row>
    <row r="2292" spans="1:9" ht="51.75" customHeight="1" x14ac:dyDescent="0.35">
      <c r="A2292" s="15">
        <v>1</v>
      </c>
      <c r="B2292" s="15" t="s">
        <v>27956</v>
      </c>
      <c r="C2292" s="15" t="s">
        <v>27957</v>
      </c>
      <c r="D2292" s="31">
        <v>41016</v>
      </c>
      <c r="E2292" s="15" t="s">
        <v>27958</v>
      </c>
      <c r="F2292" s="87"/>
      <c r="G2292" s="45" t="s">
        <v>5960</v>
      </c>
      <c r="H2292" s="55" t="s">
        <v>5961</v>
      </c>
      <c r="I2292" s="15" t="s">
        <v>619</v>
      </c>
    </row>
    <row r="2293" spans="1:9" ht="51.75" customHeight="1" x14ac:dyDescent="0.35">
      <c r="A2293" s="15">
        <v>2</v>
      </c>
      <c r="B2293" s="15" t="s">
        <v>27959</v>
      </c>
      <c r="C2293" s="15" t="s">
        <v>27960</v>
      </c>
      <c r="D2293" s="31">
        <v>41016</v>
      </c>
      <c r="E2293" s="15" t="s">
        <v>27961</v>
      </c>
      <c r="F2293" s="87"/>
      <c r="G2293" s="45" t="s">
        <v>5960</v>
      </c>
      <c r="H2293" s="55" t="s">
        <v>5961</v>
      </c>
      <c r="I2293" s="15" t="s">
        <v>619</v>
      </c>
    </row>
    <row r="2294" spans="1:9" ht="51.75" customHeight="1" x14ac:dyDescent="0.35">
      <c r="A2294" s="15">
        <v>3</v>
      </c>
      <c r="B2294" s="15" t="s">
        <v>27962</v>
      </c>
      <c r="C2294" s="15" t="s">
        <v>27963</v>
      </c>
      <c r="D2294" s="31">
        <v>41016</v>
      </c>
      <c r="E2294" s="15" t="s">
        <v>27964</v>
      </c>
      <c r="F2294" s="87"/>
      <c r="G2294" s="45" t="s">
        <v>5960</v>
      </c>
      <c r="H2294" s="55" t="s">
        <v>5961</v>
      </c>
      <c r="I2294" s="15" t="s">
        <v>619</v>
      </c>
    </row>
    <row r="2295" spans="1:9" ht="51.75" customHeight="1" x14ac:dyDescent="0.35">
      <c r="A2295" s="15" t="s">
        <v>26296</v>
      </c>
      <c r="B2295" s="15" t="s">
        <v>27965</v>
      </c>
      <c r="C2295" s="15" t="s">
        <v>27966</v>
      </c>
      <c r="D2295" s="31" t="s">
        <v>50</v>
      </c>
      <c r="E2295" s="15" t="s">
        <v>27967</v>
      </c>
      <c r="F2295" s="87" t="s">
        <v>21871</v>
      </c>
      <c r="G2295" s="45" t="s">
        <v>5820</v>
      </c>
      <c r="H2295" s="55" t="s">
        <v>5821</v>
      </c>
      <c r="I2295" s="15" t="s">
        <v>619</v>
      </c>
    </row>
    <row r="2296" spans="1:9" ht="51.75" customHeight="1" x14ac:dyDescent="0.35">
      <c r="A2296" s="15" t="s">
        <v>26296</v>
      </c>
      <c r="B2296" s="15" t="s">
        <v>27968</v>
      </c>
      <c r="C2296" s="15" t="s">
        <v>27966</v>
      </c>
      <c r="D2296" s="31" t="s">
        <v>50</v>
      </c>
      <c r="E2296" s="15" t="s">
        <v>27969</v>
      </c>
      <c r="F2296" s="87" t="s">
        <v>27892</v>
      </c>
      <c r="G2296" s="45" t="s">
        <v>5820</v>
      </c>
      <c r="H2296" s="55" t="s">
        <v>5821</v>
      </c>
      <c r="I2296" s="15" t="s">
        <v>619</v>
      </c>
    </row>
    <row r="2297" spans="1:9" ht="51.75" customHeight="1" x14ac:dyDescent="0.35">
      <c r="A2297" s="15" t="s">
        <v>24768</v>
      </c>
      <c r="B2297" s="15" t="s">
        <v>27970</v>
      </c>
      <c r="C2297" s="15" t="s">
        <v>27971</v>
      </c>
      <c r="D2297" s="31" t="s">
        <v>50</v>
      </c>
      <c r="E2297" s="15" t="s">
        <v>27972</v>
      </c>
      <c r="F2297" s="87" t="s">
        <v>21871</v>
      </c>
      <c r="G2297" s="45" t="s">
        <v>5820</v>
      </c>
      <c r="H2297" s="55" t="s">
        <v>5821</v>
      </c>
      <c r="I2297" s="15" t="s">
        <v>619</v>
      </c>
    </row>
    <row r="2298" spans="1:9" ht="51.75" customHeight="1" x14ac:dyDescent="0.35">
      <c r="A2298" s="15" t="s">
        <v>24768</v>
      </c>
      <c r="B2298" s="15" t="s">
        <v>27973</v>
      </c>
      <c r="C2298" s="15" t="s">
        <v>27971</v>
      </c>
      <c r="D2298" s="31" t="s">
        <v>50</v>
      </c>
      <c r="E2298" s="15" t="s">
        <v>27974</v>
      </c>
      <c r="F2298" s="87" t="s">
        <v>27892</v>
      </c>
      <c r="G2298" s="45" t="s">
        <v>5820</v>
      </c>
      <c r="H2298" s="55" t="s">
        <v>5821</v>
      </c>
      <c r="I2298" s="15" t="s">
        <v>619</v>
      </c>
    </row>
    <row r="2299" spans="1:9" ht="51.75" customHeight="1" x14ac:dyDescent="0.35">
      <c r="A2299" s="15">
        <v>1</v>
      </c>
      <c r="B2299" s="15" t="s">
        <v>27975</v>
      </c>
      <c r="C2299" s="15" t="s">
        <v>27976</v>
      </c>
      <c r="D2299" s="31">
        <v>40863</v>
      </c>
      <c r="E2299" s="15" t="s">
        <v>27976</v>
      </c>
      <c r="F2299" s="87" t="s">
        <v>21871</v>
      </c>
      <c r="G2299" s="45" t="s">
        <v>5603</v>
      </c>
      <c r="H2299" s="55" t="s">
        <v>5604</v>
      </c>
      <c r="I2299" s="15" t="s">
        <v>619</v>
      </c>
    </row>
    <row r="2300" spans="1:9" ht="51.75" customHeight="1" x14ac:dyDescent="0.35">
      <c r="A2300" s="15">
        <v>2</v>
      </c>
      <c r="B2300" s="15" t="s">
        <v>27977</v>
      </c>
      <c r="C2300" s="15" t="s">
        <v>27978</v>
      </c>
      <c r="D2300" s="31">
        <v>40863</v>
      </c>
      <c r="E2300" s="15" t="s">
        <v>27978</v>
      </c>
      <c r="F2300" s="87" t="s">
        <v>21871</v>
      </c>
      <c r="G2300" s="45" t="s">
        <v>5603</v>
      </c>
      <c r="H2300" s="55" t="s">
        <v>5604</v>
      </c>
      <c r="I2300" s="15" t="s">
        <v>619</v>
      </c>
    </row>
    <row r="2301" spans="1:9" ht="51.75" customHeight="1" x14ac:dyDescent="0.35">
      <c r="A2301" s="15">
        <v>1</v>
      </c>
      <c r="B2301" s="15" t="s">
        <v>27979</v>
      </c>
      <c r="C2301" s="15" t="s">
        <v>27980</v>
      </c>
      <c r="D2301" s="31">
        <v>39105</v>
      </c>
      <c r="E2301" s="15" t="s">
        <v>27981</v>
      </c>
      <c r="F2301" s="87"/>
      <c r="G2301" s="45" t="s">
        <v>672</v>
      </c>
      <c r="H2301" s="55" t="s">
        <v>673</v>
      </c>
      <c r="I2301" s="15" t="s">
        <v>619</v>
      </c>
    </row>
    <row r="2302" spans="1:9" ht="51.75" customHeight="1" x14ac:dyDescent="0.35">
      <c r="A2302" s="15">
        <v>1</v>
      </c>
      <c r="B2302" s="15" t="s">
        <v>27982</v>
      </c>
      <c r="C2302" s="15" t="s">
        <v>27983</v>
      </c>
      <c r="D2302" s="31">
        <v>40863</v>
      </c>
      <c r="E2302" s="15" t="s">
        <v>27984</v>
      </c>
      <c r="F2302" s="87"/>
      <c r="G2302" s="45" t="s">
        <v>5645</v>
      </c>
      <c r="H2302" s="55" t="s">
        <v>5646</v>
      </c>
      <c r="I2302" s="15" t="s">
        <v>619</v>
      </c>
    </row>
    <row r="2303" spans="1:9" ht="51.75" customHeight="1" x14ac:dyDescent="0.35">
      <c r="A2303" s="15">
        <v>1</v>
      </c>
      <c r="B2303" s="15" t="s">
        <v>27985</v>
      </c>
      <c r="C2303" s="15" t="s">
        <v>27382</v>
      </c>
      <c r="D2303" s="31">
        <v>40711</v>
      </c>
      <c r="E2303" s="15" t="s">
        <v>27986</v>
      </c>
      <c r="F2303" s="87"/>
      <c r="G2303" s="45" t="s">
        <v>5506</v>
      </c>
      <c r="H2303" s="55" t="s">
        <v>5507</v>
      </c>
      <c r="I2303" s="15" t="s">
        <v>619</v>
      </c>
    </row>
    <row r="2304" spans="1:9" ht="51.75" customHeight="1" x14ac:dyDescent="0.35">
      <c r="A2304" s="15">
        <v>1</v>
      </c>
      <c r="B2304" s="15" t="s">
        <v>27987</v>
      </c>
      <c r="C2304" s="15" t="s">
        <v>27988</v>
      </c>
      <c r="D2304" s="31">
        <v>40779</v>
      </c>
      <c r="E2304" s="15" t="s">
        <v>27989</v>
      </c>
      <c r="F2304" s="87"/>
      <c r="G2304" s="45" t="s">
        <v>5450</v>
      </c>
      <c r="H2304" s="55" t="s">
        <v>5451</v>
      </c>
      <c r="I2304" s="15" t="s">
        <v>619</v>
      </c>
    </row>
    <row r="2305" spans="1:9" ht="51.75" customHeight="1" x14ac:dyDescent="0.35">
      <c r="A2305" s="15">
        <v>2</v>
      </c>
      <c r="B2305" s="15" t="s">
        <v>27990</v>
      </c>
      <c r="C2305" s="15" t="s">
        <v>27991</v>
      </c>
      <c r="D2305" s="31">
        <v>40779</v>
      </c>
      <c r="E2305" s="15" t="s">
        <v>27992</v>
      </c>
      <c r="F2305" s="87"/>
      <c r="G2305" s="45" t="s">
        <v>5450</v>
      </c>
      <c r="H2305" s="55" t="s">
        <v>5451</v>
      </c>
      <c r="I2305" s="15" t="s">
        <v>619</v>
      </c>
    </row>
    <row r="2306" spans="1:9" ht="51.75" customHeight="1" x14ac:dyDescent="0.35">
      <c r="A2306" s="15">
        <v>3</v>
      </c>
      <c r="B2306" s="15" t="s">
        <v>27993</v>
      </c>
      <c r="C2306" s="15" t="s">
        <v>27994</v>
      </c>
      <c r="D2306" s="31">
        <v>40779</v>
      </c>
      <c r="E2306" s="15" t="s">
        <v>27995</v>
      </c>
      <c r="F2306" s="87"/>
      <c r="G2306" s="45" t="s">
        <v>5450</v>
      </c>
      <c r="H2306" s="55" t="s">
        <v>5451</v>
      </c>
      <c r="I2306" s="15" t="s">
        <v>619</v>
      </c>
    </row>
    <row r="2307" spans="1:9" ht="51.75" customHeight="1" x14ac:dyDescent="0.35">
      <c r="A2307" s="15">
        <v>4</v>
      </c>
      <c r="B2307" s="15" t="s">
        <v>27996</v>
      </c>
      <c r="C2307" s="15" t="s">
        <v>27997</v>
      </c>
      <c r="D2307" s="31">
        <v>40779</v>
      </c>
      <c r="E2307" s="15" t="s">
        <v>27998</v>
      </c>
      <c r="F2307" s="87"/>
      <c r="G2307" s="45" t="s">
        <v>5450</v>
      </c>
      <c r="H2307" s="55" t="s">
        <v>5451</v>
      </c>
      <c r="I2307" s="15" t="s">
        <v>619</v>
      </c>
    </row>
    <row r="2308" spans="1:9" ht="51.75" customHeight="1" x14ac:dyDescent="0.35">
      <c r="A2308" s="15">
        <v>5</v>
      </c>
      <c r="B2308" s="15" t="s">
        <v>27999</v>
      </c>
      <c r="C2308" s="15" t="s">
        <v>28000</v>
      </c>
      <c r="D2308" s="31">
        <v>40779</v>
      </c>
      <c r="E2308" s="15" t="s">
        <v>28000</v>
      </c>
      <c r="F2308" s="87"/>
      <c r="G2308" s="45" t="s">
        <v>5450</v>
      </c>
      <c r="H2308" s="55" t="s">
        <v>5451</v>
      </c>
      <c r="I2308" s="15" t="s">
        <v>619</v>
      </c>
    </row>
    <row r="2309" spans="1:9" ht="51.75" customHeight="1" x14ac:dyDescent="0.35">
      <c r="A2309" s="15">
        <v>1</v>
      </c>
      <c r="B2309" s="15" t="s">
        <v>28001</v>
      </c>
      <c r="C2309" s="15" t="s">
        <v>28002</v>
      </c>
      <c r="D2309" s="31">
        <v>40728</v>
      </c>
      <c r="E2309" s="15" t="s">
        <v>28002</v>
      </c>
      <c r="F2309" s="87"/>
      <c r="G2309" s="45" t="s">
        <v>5445</v>
      </c>
      <c r="H2309" s="55" t="s">
        <v>5446</v>
      </c>
      <c r="I2309" s="15" t="s">
        <v>619</v>
      </c>
    </row>
    <row r="2310" spans="1:9" ht="51.75" customHeight="1" x14ac:dyDescent="0.35">
      <c r="A2310" s="15">
        <v>2</v>
      </c>
      <c r="B2310" s="15" t="s">
        <v>28003</v>
      </c>
      <c r="C2310" s="15" t="s">
        <v>28004</v>
      </c>
      <c r="D2310" s="31">
        <v>40728</v>
      </c>
      <c r="E2310" s="15" t="s">
        <v>28005</v>
      </c>
      <c r="F2310" s="87"/>
      <c r="G2310" s="45" t="s">
        <v>5445</v>
      </c>
      <c r="H2310" s="55" t="s">
        <v>5446</v>
      </c>
      <c r="I2310" s="15" t="s">
        <v>619</v>
      </c>
    </row>
    <row r="2311" spans="1:9" ht="51.75" customHeight="1" x14ac:dyDescent="0.35">
      <c r="A2311" s="15">
        <v>1</v>
      </c>
      <c r="B2311" s="15" t="s">
        <v>28006</v>
      </c>
      <c r="C2311" s="15" t="s">
        <v>28007</v>
      </c>
      <c r="D2311" s="31">
        <v>40774</v>
      </c>
      <c r="E2311" s="15" t="s">
        <v>28008</v>
      </c>
      <c r="F2311" s="87"/>
      <c r="G2311" s="45" t="s">
        <v>5374</v>
      </c>
      <c r="H2311" s="55" t="s">
        <v>5375</v>
      </c>
      <c r="I2311" s="15" t="s">
        <v>619</v>
      </c>
    </row>
    <row r="2312" spans="1:9" ht="51.75" customHeight="1" x14ac:dyDescent="0.35">
      <c r="A2312" s="15">
        <v>2</v>
      </c>
      <c r="B2312" s="15" t="s">
        <v>28009</v>
      </c>
      <c r="C2312" s="15" t="s">
        <v>28010</v>
      </c>
      <c r="D2312" s="31">
        <v>40774</v>
      </c>
      <c r="E2312" s="15" t="s">
        <v>28011</v>
      </c>
      <c r="F2312" s="87"/>
      <c r="G2312" s="45" t="s">
        <v>5374</v>
      </c>
      <c r="H2312" s="55" t="s">
        <v>5375</v>
      </c>
      <c r="I2312" s="15" t="s">
        <v>619</v>
      </c>
    </row>
    <row r="2313" spans="1:9" ht="51.75" customHeight="1" x14ac:dyDescent="0.35">
      <c r="A2313" s="15">
        <v>1</v>
      </c>
      <c r="B2313" s="15" t="s">
        <v>28012</v>
      </c>
      <c r="C2313" s="15" t="s">
        <v>28013</v>
      </c>
      <c r="D2313" s="31">
        <v>40774</v>
      </c>
      <c r="E2313" s="15" t="s">
        <v>28014</v>
      </c>
      <c r="F2313" s="87"/>
      <c r="G2313" s="45" t="s">
        <v>5328</v>
      </c>
      <c r="H2313" s="55" t="s">
        <v>5329</v>
      </c>
      <c r="I2313" s="15" t="s">
        <v>619</v>
      </c>
    </row>
    <row r="2314" spans="1:9" ht="51.75" customHeight="1" x14ac:dyDescent="0.35">
      <c r="A2314" s="15">
        <v>1</v>
      </c>
      <c r="B2314" s="15" t="s">
        <v>28015</v>
      </c>
      <c r="C2314" s="15" t="s">
        <v>28016</v>
      </c>
      <c r="D2314" s="31">
        <v>40711</v>
      </c>
      <c r="E2314" s="15" t="s">
        <v>28017</v>
      </c>
      <c r="F2314" s="87"/>
      <c r="G2314" s="45" t="s">
        <v>5274</v>
      </c>
      <c r="H2314" s="55" t="s">
        <v>5275</v>
      </c>
      <c r="I2314" s="15" t="s">
        <v>619</v>
      </c>
    </row>
    <row r="2315" spans="1:9" ht="51.75" customHeight="1" x14ac:dyDescent="0.35">
      <c r="A2315" s="15">
        <v>2</v>
      </c>
      <c r="B2315" s="15" t="s">
        <v>28018</v>
      </c>
      <c r="C2315" s="15" t="s">
        <v>28019</v>
      </c>
      <c r="D2315" s="31">
        <v>40711</v>
      </c>
      <c r="E2315" s="15" t="s">
        <v>28019</v>
      </c>
      <c r="F2315" s="87"/>
      <c r="G2315" s="45" t="s">
        <v>5274</v>
      </c>
      <c r="H2315" s="55" t="s">
        <v>5275</v>
      </c>
      <c r="I2315" s="15" t="s">
        <v>619</v>
      </c>
    </row>
    <row r="2316" spans="1:9" ht="51.75" customHeight="1" x14ac:dyDescent="0.35">
      <c r="A2316" s="15">
        <v>3</v>
      </c>
      <c r="B2316" s="15" t="s">
        <v>28020</v>
      </c>
      <c r="C2316" s="15" t="s">
        <v>28021</v>
      </c>
      <c r="D2316" s="31">
        <v>40711</v>
      </c>
      <c r="E2316" s="15" t="s">
        <v>28022</v>
      </c>
      <c r="F2316" s="87"/>
      <c r="G2316" s="45" t="s">
        <v>5274</v>
      </c>
      <c r="H2316" s="55" t="s">
        <v>5275</v>
      </c>
      <c r="I2316" s="15" t="s">
        <v>619</v>
      </c>
    </row>
    <row r="2317" spans="1:9" ht="51.75" customHeight="1" x14ac:dyDescent="0.35">
      <c r="A2317" s="15">
        <v>1</v>
      </c>
      <c r="B2317" s="15" t="s">
        <v>28023</v>
      </c>
      <c r="C2317" s="15" t="s">
        <v>28024</v>
      </c>
      <c r="D2317" s="31">
        <v>40863</v>
      </c>
      <c r="E2317" s="15" t="s">
        <v>28025</v>
      </c>
      <c r="F2317" s="87"/>
      <c r="G2317" s="45" t="s">
        <v>5269</v>
      </c>
      <c r="H2317" s="55" t="s">
        <v>5270</v>
      </c>
      <c r="I2317" s="15" t="s">
        <v>619</v>
      </c>
    </row>
    <row r="2318" spans="1:9" ht="51.75" customHeight="1" x14ac:dyDescent="0.35">
      <c r="A2318" s="15">
        <v>2</v>
      </c>
      <c r="B2318" s="15" t="s">
        <v>28026</v>
      </c>
      <c r="C2318" s="15" t="s">
        <v>28027</v>
      </c>
      <c r="D2318" s="31">
        <v>40863</v>
      </c>
      <c r="E2318" s="15" t="s">
        <v>28028</v>
      </c>
      <c r="F2318" s="87"/>
      <c r="G2318" s="45" t="s">
        <v>5269</v>
      </c>
      <c r="H2318" s="55" t="s">
        <v>5270</v>
      </c>
      <c r="I2318" s="15" t="s">
        <v>619</v>
      </c>
    </row>
    <row r="2319" spans="1:9" ht="51.75" customHeight="1" x14ac:dyDescent="0.35">
      <c r="A2319" s="15">
        <v>3</v>
      </c>
      <c r="B2319" s="15" t="s">
        <v>28029</v>
      </c>
      <c r="C2319" s="15" t="s">
        <v>28030</v>
      </c>
      <c r="D2319" s="31">
        <v>40863</v>
      </c>
      <c r="E2319" s="15" t="s">
        <v>28031</v>
      </c>
      <c r="F2319" s="87"/>
      <c r="G2319" s="45" t="s">
        <v>5269</v>
      </c>
      <c r="H2319" s="55" t="s">
        <v>5270</v>
      </c>
      <c r="I2319" s="15" t="s">
        <v>619</v>
      </c>
    </row>
    <row r="2320" spans="1:9" ht="51.75" customHeight="1" x14ac:dyDescent="0.35">
      <c r="A2320" s="15">
        <v>4</v>
      </c>
      <c r="B2320" s="15" t="s">
        <v>28032</v>
      </c>
      <c r="C2320" s="15" t="s">
        <v>28000</v>
      </c>
      <c r="D2320" s="31">
        <v>40863</v>
      </c>
      <c r="E2320" s="15" t="s">
        <v>28000</v>
      </c>
      <c r="F2320" s="87"/>
      <c r="G2320" s="45" t="s">
        <v>5269</v>
      </c>
      <c r="H2320" s="55" t="s">
        <v>5270</v>
      </c>
      <c r="I2320" s="15" t="s">
        <v>619</v>
      </c>
    </row>
    <row r="2321" spans="1:9" ht="51.75" customHeight="1" x14ac:dyDescent="0.35">
      <c r="A2321" s="15">
        <v>5</v>
      </c>
      <c r="B2321" s="15" t="s">
        <v>28033</v>
      </c>
      <c r="C2321" s="15" t="s">
        <v>28034</v>
      </c>
      <c r="D2321" s="31">
        <v>40863</v>
      </c>
      <c r="E2321" s="15" t="s">
        <v>28035</v>
      </c>
      <c r="F2321" s="87"/>
      <c r="G2321" s="45" t="s">
        <v>5269</v>
      </c>
      <c r="H2321" s="55" t="s">
        <v>5270</v>
      </c>
      <c r="I2321" s="15" t="s">
        <v>619</v>
      </c>
    </row>
    <row r="2322" spans="1:9" ht="51.75" customHeight="1" x14ac:dyDescent="0.35">
      <c r="A2322" s="15">
        <v>1</v>
      </c>
      <c r="B2322" s="15" t="s">
        <v>28036</v>
      </c>
      <c r="C2322" s="15" t="s">
        <v>28037</v>
      </c>
      <c r="D2322" s="31">
        <v>40711</v>
      </c>
      <c r="E2322" s="15" t="s">
        <v>28037</v>
      </c>
      <c r="F2322" s="87"/>
      <c r="G2322" s="45" t="s">
        <v>5212</v>
      </c>
      <c r="H2322" s="55" t="s">
        <v>5213</v>
      </c>
      <c r="I2322" s="15" t="s">
        <v>619</v>
      </c>
    </row>
    <row r="2323" spans="1:9" ht="51.75" customHeight="1" x14ac:dyDescent="0.35">
      <c r="A2323" s="15">
        <v>1</v>
      </c>
      <c r="B2323" s="15" t="s">
        <v>28038</v>
      </c>
      <c r="C2323" s="15" t="s">
        <v>27382</v>
      </c>
      <c r="D2323" s="31">
        <v>40657</v>
      </c>
      <c r="E2323" s="15" t="s">
        <v>27986</v>
      </c>
      <c r="F2323" s="87"/>
      <c r="G2323" s="45" t="s">
        <v>5158</v>
      </c>
      <c r="H2323" s="55" t="s">
        <v>5159</v>
      </c>
      <c r="I2323" s="15" t="s">
        <v>619</v>
      </c>
    </row>
    <row r="2324" spans="1:9" ht="51.75" customHeight="1" x14ac:dyDescent="0.35">
      <c r="A2324" s="15" t="s">
        <v>28039</v>
      </c>
      <c r="B2324" s="15" t="s">
        <v>28040</v>
      </c>
      <c r="C2324" s="15" t="s">
        <v>28041</v>
      </c>
      <c r="D2324" s="31" t="s">
        <v>50</v>
      </c>
      <c r="E2324" s="15" t="s">
        <v>28042</v>
      </c>
      <c r="F2324" s="87" t="s">
        <v>21871</v>
      </c>
      <c r="G2324" s="45" t="s">
        <v>7649</v>
      </c>
      <c r="H2324" s="55" t="s">
        <v>7650</v>
      </c>
      <c r="I2324" s="15" t="s">
        <v>619</v>
      </c>
    </row>
    <row r="2325" spans="1:9" ht="51.75" customHeight="1" x14ac:dyDescent="0.35">
      <c r="A2325" s="15" t="s">
        <v>28043</v>
      </c>
      <c r="B2325" s="15" t="s">
        <v>28044</v>
      </c>
      <c r="C2325" s="15" t="s">
        <v>28045</v>
      </c>
      <c r="D2325" s="31" t="s">
        <v>50</v>
      </c>
      <c r="E2325" s="15" t="s">
        <v>28046</v>
      </c>
      <c r="F2325" s="87" t="s">
        <v>21871</v>
      </c>
      <c r="G2325" s="45" t="s">
        <v>7649</v>
      </c>
      <c r="H2325" s="55" t="s">
        <v>7650</v>
      </c>
      <c r="I2325" s="15" t="s">
        <v>619</v>
      </c>
    </row>
    <row r="2326" spans="1:9" ht="51.75" customHeight="1" x14ac:dyDescent="0.35">
      <c r="A2326" s="15" t="s">
        <v>23514</v>
      </c>
      <c r="B2326" s="15" t="s">
        <v>28047</v>
      </c>
      <c r="C2326" s="15" t="s">
        <v>28048</v>
      </c>
      <c r="D2326" s="31" t="s">
        <v>50</v>
      </c>
      <c r="E2326" s="15" t="s">
        <v>28049</v>
      </c>
      <c r="F2326" s="87" t="s">
        <v>21871</v>
      </c>
      <c r="G2326" s="45" t="s">
        <v>7780</v>
      </c>
      <c r="H2326" s="55" t="s">
        <v>7781</v>
      </c>
      <c r="I2326" s="15" t="s">
        <v>619</v>
      </c>
    </row>
    <row r="2327" spans="1:9" ht="51.75" customHeight="1" x14ac:dyDescent="0.35">
      <c r="A2327" s="15" t="s">
        <v>22801</v>
      </c>
      <c r="B2327" s="15" t="s">
        <v>28050</v>
      </c>
      <c r="C2327" s="15" t="s">
        <v>28051</v>
      </c>
      <c r="D2327" s="31" t="s">
        <v>50</v>
      </c>
      <c r="E2327" s="15" t="s">
        <v>28052</v>
      </c>
      <c r="F2327" s="87" t="s">
        <v>21871</v>
      </c>
      <c r="G2327" s="45" t="s">
        <v>7780</v>
      </c>
      <c r="H2327" s="55" t="s">
        <v>7781</v>
      </c>
      <c r="I2327" s="15" t="s">
        <v>619</v>
      </c>
    </row>
    <row r="2328" spans="1:9" ht="51.75" customHeight="1" x14ac:dyDescent="0.35">
      <c r="A2328" s="15" t="s">
        <v>22805</v>
      </c>
      <c r="B2328" s="15" t="s">
        <v>28053</v>
      </c>
      <c r="C2328" s="15" t="s">
        <v>28054</v>
      </c>
      <c r="D2328" s="31" t="s">
        <v>50</v>
      </c>
      <c r="E2328" s="15" t="s">
        <v>28055</v>
      </c>
      <c r="F2328" s="87" t="s">
        <v>21871</v>
      </c>
      <c r="G2328" s="45" t="s">
        <v>7780</v>
      </c>
      <c r="H2328" s="55" t="s">
        <v>7781</v>
      </c>
      <c r="I2328" s="15" t="s">
        <v>619</v>
      </c>
    </row>
    <row r="2329" spans="1:9" ht="51.75" customHeight="1" x14ac:dyDescent="0.35">
      <c r="A2329" s="15">
        <v>1</v>
      </c>
      <c r="B2329" s="15" t="s">
        <v>28056</v>
      </c>
      <c r="C2329" s="15" t="s">
        <v>28057</v>
      </c>
      <c r="D2329" s="31">
        <v>39363</v>
      </c>
      <c r="E2329" s="15" t="s">
        <v>28058</v>
      </c>
      <c r="F2329" s="87" t="s">
        <v>21871</v>
      </c>
      <c r="G2329" s="45" t="s">
        <v>2128</v>
      </c>
      <c r="H2329" s="55" t="s">
        <v>2129</v>
      </c>
      <c r="I2329" s="15" t="s">
        <v>619</v>
      </c>
    </row>
    <row r="2330" spans="1:9" ht="51.75" customHeight="1" x14ac:dyDescent="0.35">
      <c r="A2330" s="15">
        <v>1</v>
      </c>
      <c r="B2330" s="15" t="s">
        <v>28059</v>
      </c>
      <c r="C2330" s="15" t="s">
        <v>27705</v>
      </c>
      <c r="D2330" s="31">
        <v>39315</v>
      </c>
      <c r="E2330" s="15" t="s">
        <v>27705</v>
      </c>
      <c r="F2330" s="87" t="s">
        <v>21871</v>
      </c>
      <c r="G2330" s="45" t="s">
        <v>2075</v>
      </c>
      <c r="H2330" s="55" t="s">
        <v>2076</v>
      </c>
      <c r="I2330" s="15" t="s">
        <v>619</v>
      </c>
    </row>
    <row r="2331" spans="1:9" ht="51.75" customHeight="1" x14ac:dyDescent="0.35">
      <c r="A2331" s="15">
        <v>2</v>
      </c>
      <c r="B2331" s="15" t="s">
        <v>28060</v>
      </c>
      <c r="C2331" s="15" t="s">
        <v>28061</v>
      </c>
      <c r="D2331" s="31">
        <v>39315</v>
      </c>
      <c r="E2331" s="15" t="s">
        <v>28062</v>
      </c>
      <c r="F2331" s="87" t="s">
        <v>21871</v>
      </c>
      <c r="G2331" s="45" t="s">
        <v>2075</v>
      </c>
      <c r="H2331" s="55" t="s">
        <v>2076</v>
      </c>
      <c r="I2331" s="15" t="s">
        <v>619</v>
      </c>
    </row>
    <row r="2332" spans="1:9" ht="51.75" customHeight="1" x14ac:dyDescent="0.35">
      <c r="A2332" s="15">
        <v>3</v>
      </c>
      <c r="B2332" s="15" t="s">
        <v>28063</v>
      </c>
      <c r="C2332" s="15" t="s">
        <v>28064</v>
      </c>
      <c r="D2332" s="31">
        <v>39315</v>
      </c>
      <c r="E2332" s="15" t="s">
        <v>28065</v>
      </c>
      <c r="F2332" s="87" t="s">
        <v>21871</v>
      </c>
      <c r="G2332" s="45" t="s">
        <v>2075</v>
      </c>
      <c r="H2332" s="55" t="s">
        <v>2076</v>
      </c>
      <c r="I2332" s="15" t="s">
        <v>619</v>
      </c>
    </row>
    <row r="2333" spans="1:9" ht="51.75" customHeight="1" x14ac:dyDescent="0.35">
      <c r="A2333" s="15">
        <v>1</v>
      </c>
      <c r="B2333" s="15" t="s">
        <v>28066</v>
      </c>
      <c r="C2333" s="15" t="s">
        <v>28067</v>
      </c>
      <c r="D2333" s="31">
        <v>39293</v>
      </c>
      <c r="E2333" s="15" t="s">
        <v>28068</v>
      </c>
      <c r="F2333" s="87" t="s">
        <v>21871</v>
      </c>
      <c r="G2333" s="45" t="s">
        <v>1993</v>
      </c>
      <c r="H2333" s="55" t="s">
        <v>1994</v>
      </c>
      <c r="I2333" s="15" t="s">
        <v>619</v>
      </c>
    </row>
    <row r="2334" spans="1:9" ht="51.75" customHeight="1" x14ac:dyDescent="0.35">
      <c r="A2334" s="15">
        <v>1</v>
      </c>
      <c r="B2334" s="15" t="s">
        <v>28069</v>
      </c>
      <c r="C2334" s="15" t="s">
        <v>28070</v>
      </c>
      <c r="D2334" s="31">
        <v>39293</v>
      </c>
      <c r="E2334" s="15" t="s">
        <v>28070</v>
      </c>
      <c r="F2334" s="87" t="s">
        <v>21871</v>
      </c>
      <c r="G2334" s="45" t="s">
        <v>1953</v>
      </c>
      <c r="H2334" s="55" t="s">
        <v>1954</v>
      </c>
      <c r="I2334" s="15" t="s">
        <v>619</v>
      </c>
    </row>
    <row r="2335" spans="1:9" ht="51.75" customHeight="1" x14ac:dyDescent="0.35">
      <c r="A2335" s="15">
        <v>2</v>
      </c>
      <c r="B2335" s="15" t="s">
        <v>28071</v>
      </c>
      <c r="C2335" s="15" t="s">
        <v>28072</v>
      </c>
      <c r="D2335" s="31">
        <v>39293</v>
      </c>
      <c r="E2335" s="15" t="s">
        <v>28072</v>
      </c>
      <c r="F2335" s="87" t="s">
        <v>21871</v>
      </c>
      <c r="G2335" s="45" t="s">
        <v>1953</v>
      </c>
      <c r="H2335" s="55" t="s">
        <v>1954</v>
      </c>
      <c r="I2335" s="15" t="s">
        <v>619</v>
      </c>
    </row>
    <row r="2336" spans="1:9" ht="51.75" customHeight="1" x14ac:dyDescent="0.35">
      <c r="A2336" s="15">
        <v>3</v>
      </c>
      <c r="B2336" s="15" t="s">
        <v>28073</v>
      </c>
      <c r="C2336" s="15" t="s">
        <v>28074</v>
      </c>
      <c r="D2336" s="31">
        <v>39293</v>
      </c>
      <c r="E2336" s="15" t="s">
        <v>28075</v>
      </c>
      <c r="F2336" s="87" t="s">
        <v>21871</v>
      </c>
      <c r="G2336" s="45" t="s">
        <v>1953</v>
      </c>
      <c r="H2336" s="55" t="s">
        <v>1954</v>
      </c>
      <c r="I2336" s="15" t="s">
        <v>619</v>
      </c>
    </row>
    <row r="2337" spans="1:9" ht="51.75" customHeight="1" x14ac:dyDescent="0.35">
      <c r="A2337" s="15">
        <v>1</v>
      </c>
      <c r="B2337" s="15" t="s">
        <v>28076</v>
      </c>
      <c r="C2337" s="15" t="s">
        <v>28077</v>
      </c>
      <c r="D2337" s="31">
        <v>39293</v>
      </c>
      <c r="E2337" s="15" t="s">
        <v>28077</v>
      </c>
      <c r="F2337" s="87" t="s">
        <v>21871</v>
      </c>
      <c r="G2337" s="45" t="s">
        <v>1949</v>
      </c>
      <c r="H2337" s="55" t="s">
        <v>1950</v>
      </c>
      <c r="I2337" s="15" t="s">
        <v>619</v>
      </c>
    </row>
    <row r="2338" spans="1:9" ht="51.75" customHeight="1" x14ac:dyDescent="0.35">
      <c r="A2338" s="15">
        <v>2</v>
      </c>
      <c r="B2338" s="15" t="s">
        <v>28078</v>
      </c>
      <c r="C2338" s="15" t="s">
        <v>28072</v>
      </c>
      <c r="D2338" s="31">
        <v>39293</v>
      </c>
      <c r="E2338" s="15" t="s">
        <v>28072</v>
      </c>
      <c r="F2338" s="87" t="s">
        <v>21871</v>
      </c>
      <c r="G2338" s="45" t="s">
        <v>1949</v>
      </c>
      <c r="H2338" s="55" t="s">
        <v>1950</v>
      </c>
      <c r="I2338" s="15" t="s">
        <v>619</v>
      </c>
    </row>
    <row r="2339" spans="1:9" ht="51.75" customHeight="1" x14ac:dyDescent="0.35">
      <c r="A2339" s="15">
        <v>3</v>
      </c>
      <c r="B2339" s="15" t="s">
        <v>28079</v>
      </c>
      <c r="C2339" s="15" t="s">
        <v>28074</v>
      </c>
      <c r="D2339" s="31">
        <v>39293</v>
      </c>
      <c r="E2339" s="15" t="s">
        <v>28075</v>
      </c>
      <c r="F2339" s="87" t="s">
        <v>21871</v>
      </c>
      <c r="G2339" s="45" t="s">
        <v>1949</v>
      </c>
      <c r="H2339" s="55" t="s">
        <v>1950</v>
      </c>
      <c r="I2339" s="15" t="s">
        <v>619</v>
      </c>
    </row>
    <row r="2340" spans="1:9" ht="51.75" customHeight="1" x14ac:dyDescent="0.35">
      <c r="A2340" s="15">
        <v>1</v>
      </c>
      <c r="B2340" s="15" t="s">
        <v>28080</v>
      </c>
      <c r="C2340" s="15" t="s">
        <v>28081</v>
      </c>
      <c r="D2340" s="31">
        <v>39293</v>
      </c>
      <c r="E2340" s="15" t="s">
        <v>28081</v>
      </c>
      <c r="F2340" s="87" t="s">
        <v>21871</v>
      </c>
      <c r="G2340" s="45" t="s">
        <v>1912</v>
      </c>
      <c r="H2340" s="55" t="s">
        <v>1913</v>
      </c>
      <c r="I2340" s="15" t="s">
        <v>619</v>
      </c>
    </row>
    <row r="2341" spans="1:9" ht="51.75" customHeight="1" x14ac:dyDescent="0.35">
      <c r="A2341" s="15">
        <v>2</v>
      </c>
      <c r="B2341" s="15" t="s">
        <v>28082</v>
      </c>
      <c r="C2341" s="15" t="s">
        <v>28083</v>
      </c>
      <c r="D2341" s="31">
        <v>39293</v>
      </c>
      <c r="E2341" s="15" t="s">
        <v>28083</v>
      </c>
      <c r="F2341" s="87" t="s">
        <v>21871</v>
      </c>
      <c r="G2341" s="45" t="s">
        <v>1912</v>
      </c>
      <c r="H2341" s="55" t="s">
        <v>1913</v>
      </c>
      <c r="I2341" s="15" t="s">
        <v>619</v>
      </c>
    </row>
    <row r="2342" spans="1:9" ht="51.75" customHeight="1" x14ac:dyDescent="0.35">
      <c r="A2342" s="15">
        <v>3</v>
      </c>
      <c r="B2342" s="15" t="s">
        <v>28084</v>
      </c>
      <c r="C2342" s="15" t="s">
        <v>28085</v>
      </c>
      <c r="D2342" s="31">
        <v>39293</v>
      </c>
      <c r="E2342" s="15" t="s">
        <v>28086</v>
      </c>
      <c r="F2342" s="87" t="s">
        <v>21871</v>
      </c>
      <c r="G2342" s="45" t="s">
        <v>1912</v>
      </c>
      <c r="H2342" s="55" t="s">
        <v>1913</v>
      </c>
      <c r="I2342" s="15" t="s">
        <v>619</v>
      </c>
    </row>
    <row r="2343" spans="1:9" ht="51.75" customHeight="1" x14ac:dyDescent="0.35">
      <c r="A2343" s="15">
        <v>1</v>
      </c>
      <c r="B2343" s="15" t="s">
        <v>28087</v>
      </c>
      <c r="C2343" s="15" t="s">
        <v>28088</v>
      </c>
      <c r="D2343" s="31">
        <v>39262</v>
      </c>
      <c r="E2343" s="15" t="s">
        <v>28088</v>
      </c>
      <c r="F2343" s="87" t="s">
        <v>21871</v>
      </c>
      <c r="G2343" s="45" t="s">
        <v>1862</v>
      </c>
      <c r="H2343" s="55" t="s">
        <v>1863</v>
      </c>
      <c r="I2343" s="15" t="s">
        <v>619</v>
      </c>
    </row>
    <row r="2344" spans="1:9" ht="51.75" customHeight="1" x14ac:dyDescent="0.35">
      <c r="A2344" s="15">
        <v>2</v>
      </c>
      <c r="B2344" s="15" t="s">
        <v>28089</v>
      </c>
      <c r="C2344" s="15" t="s">
        <v>28090</v>
      </c>
      <c r="D2344" s="31">
        <v>39262</v>
      </c>
      <c r="E2344" s="15" t="s">
        <v>28090</v>
      </c>
      <c r="F2344" s="87" t="s">
        <v>21871</v>
      </c>
      <c r="G2344" s="45" t="s">
        <v>1862</v>
      </c>
      <c r="H2344" s="55" t="s">
        <v>1863</v>
      </c>
      <c r="I2344" s="15" t="s">
        <v>619</v>
      </c>
    </row>
    <row r="2345" spans="1:9" ht="51.75" customHeight="1" x14ac:dyDescent="0.35">
      <c r="A2345" s="15">
        <v>1</v>
      </c>
      <c r="B2345" s="15" t="s">
        <v>28091</v>
      </c>
      <c r="C2345" s="15" t="s">
        <v>28092</v>
      </c>
      <c r="D2345" s="31">
        <v>39262</v>
      </c>
      <c r="E2345" s="15" t="s">
        <v>28092</v>
      </c>
      <c r="F2345" s="87" t="s">
        <v>21871</v>
      </c>
      <c r="G2345" s="45" t="s">
        <v>1852</v>
      </c>
      <c r="H2345" s="55" t="s">
        <v>1853</v>
      </c>
      <c r="I2345" s="15" t="s">
        <v>619</v>
      </c>
    </row>
    <row r="2346" spans="1:9" ht="51.75" customHeight="1" x14ac:dyDescent="0.35">
      <c r="A2346" s="15">
        <v>2</v>
      </c>
      <c r="B2346" s="15" t="s">
        <v>28093</v>
      </c>
      <c r="C2346" s="15" t="s">
        <v>28072</v>
      </c>
      <c r="D2346" s="31">
        <v>39262</v>
      </c>
      <c r="E2346" s="15" t="s">
        <v>28072</v>
      </c>
      <c r="F2346" s="87" t="s">
        <v>21871</v>
      </c>
      <c r="G2346" s="45" t="s">
        <v>1852</v>
      </c>
      <c r="H2346" s="55" t="s">
        <v>1853</v>
      </c>
      <c r="I2346" s="15" t="s">
        <v>619</v>
      </c>
    </row>
    <row r="2347" spans="1:9" ht="51.75" customHeight="1" x14ac:dyDescent="0.35">
      <c r="A2347" s="15">
        <v>3</v>
      </c>
      <c r="B2347" s="15" t="s">
        <v>28094</v>
      </c>
      <c r="C2347" s="15" t="s">
        <v>28095</v>
      </c>
      <c r="D2347" s="31">
        <v>39262</v>
      </c>
      <c r="E2347" s="15" t="s">
        <v>28095</v>
      </c>
      <c r="F2347" s="87" t="s">
        <v>21871</v>
      </c>
      <c r="G2347" s="45" t="s">
        <v>1852</v>
      </c>
      <c r="H2347" s="55" t="s">
        <v>1853</v>
      </c>
      <c r="I2347" s="15" t="s">
        <v>619</v>
      </c>
    </row>
    <row r="2348" spans="1:9" ht="51.75" customHeight="1" x14ac:dyDescent="0.35">
      <c r="A2348" s="15">
        <v>1</v>
      </c>
      <c r="B2348" s="15" t="s">
        <v>28096</v>
      </c>
      <c r="C2348" s="15" t="s">
        <v>28097</v>
      </c>
      <c r="D2348" s="31">
        <v>39198</v>
      </c>
      <c r="E2348" s="15" t="s">
        <v>28098</v>
      </c>
      <c r="F2348" s="87" t="s">
        <v>21871</v>
      </c>
      <c r="G2348" s="45" t="s">
        <v>1744</v>
      </c>
      <c r="H2348" s="55" t="s">
        <v>1745</v>
      </c>
      <c r="I2348" s="15" t="s">
        <v>619</v>
      </c>
    </row>
    <row r="2349" spans="1:9" ht="51.75" customHeight="1" x14ac:dyDescent="0.35">
      <c r="A2349" s="15">
        <v>2</v>
      </c>
      <c r="B2349" s="15" t="s">
        <v>28099</v>
      </c>
      <c r="C2349" s="15" t="s">
        <v>28100</v>
      </c>
      <c r="D2349" s="31">
        <v>39198</v>
      </c>
      <c r="E2349" s="15" t="s">
        <v>28101</v>
      </c>
      <c r="F2349" s="87" t="s">
        <v>21871</v>
      </c>
      <c r="G2349" s="45" t="s">
        <v>1744</v>
      </c>
      <c r="H2349" s="55" t="s">
        <v>1745</v>
      </c>
      <c r="I2349" s="15" t="s">
        <v>619</v>
      </c>
    </row>
    <row r="2350" spans="1:9" ht="51.75" customHeight="1" x14ac:dyDescent="0.35">
      <c r="A2350" s="15">
        <v>3</v>
      </c>
      <c r="B2350" s="15" t="s">
        <v>28102</v>
      </c>
      <c r="C2350" s="15" t="s">
        <v>28103</v>
      </c>
      <c r="D2350" s="31">
        <v>39198</v>
      </c>
      <c r="E2350" s="15" t="s">
        <v>28104</v>
      </c>
      <c r="F2350" s="87" t="s">
        <v>21871</v>
      </c>
      <c r="G2350" s="45" t="s">
        <v>1744</v>
      </c>
      <c r="H2350" s="55" t="s">
        <v>1745</v>
      </c>
      <c r="I2350" s="15" t="s">
        <v>619</v>
      </c>
    </row>
    <row r="2351" spans="1:9" ht="51.75" customHeight="1" x14ac:dyDescent="0.35">
      <c r="A2351" s="15">
        <v>4</v>
      </c>
      <c r="B2351" s="15" t="s">
        <v>28105</v>
      </c>
      <c r="C2351" s="15" t="s">
        <v>28106</v>
      </c>
      <c r="D2351" s="31">
        <v>39198</v>
      </c>
      <c r="E2351" s="15" t="s">
        <v>28107</v>
      </c>
      <c r="F2351" s="87" t="s">
        <v>21871</v>
      </c>
      <c r="G2351" s="45" t="s">
        <v>1744</v>
      </c>
      <c r="H2351" s="55" t="s">
        <v>1745</v>
      </c>
      <c r="I2351" s="15" t="s">
        <v>619</v>
      </c>
    </row>
    <row r="2352" spans="1:9" ht="51.75" customHeight="1" x14ac:dyDescent="0.35">
      <c r="A2352" s="15">
        <v>5</v>
      </c>
      <c r="B2352" s="15" t="s">
        <v>28108</v>
      </c>
      <c r="C2352" s="15" t="s">
        <v>28109</v>
      </c>
      <c r="D2352" s="31">
        <v>39198</v>
      </c>
      <c r="E2352" s="15" t="s">
        <v>28110</v>
      </c>
      <c r="F2352" s="87" t="s">
        <v>21871</v>
      </c>
      <c r="G2352" s="45" t="s">
        <v>1744</v>
      </c>
      <c r="H2352" s="55" t="s">
        <v>1745</v>
      </c>
      <c r="I2352" s="15" t="s">
        <v>619</v>
      </c>
    </row>
    <row r="2353" spans="1:9" ht="51.75" customHeight="1" x14ac:dyDescent="0.35">
      <c r="A2353" s="15">
        <v>1</v>
      </c>
      <c r="B2353" s="15" t="s">
        <v>28111</v>
      </c>
      <c r="C2353" s="15" t="s">
        <v>28090</v>
      </c>
      <c r="D2353" s="31">
        <v>39232</v>
      </c>
      <c r="E2353" s="15" t="s">
        <v>28090</v>
      </c>
      <c r="F2353" s="87" t="s">
        <v>21871</v>
      </c>
      <c r="G2353" s="45" t="s">
        <v>1832</v>
      </c>
      <c r="H2353" s="55" t="s">
        <v>1833</v>
      </c>
      <c r="I2353" s="15" t="s">
        <v>619</v>
      </c>
    </row>
    <row r="2354" spans="1:9" ht="51.75" customHeight="1" x14ac:dyDescent="0.35">
      <c r="A2354" s="15">
        <v>1</v>
      </c>
      <c r="B2354" s="15" t="s">
        <v>28112</v>
      </c>
      <c r="C2354" s="15" t="s">
        <v>28113</v>
      </c>
      <c r="D2354" s="31">
        <v>39232</v>
      </c>
      <c r="E2354" s="15" t="s">
        <v>28113</v>
      </c>
      <c r="F2354" s="87" t="s">
        <v>21871</v>
      </c>
      <c r="G2354" s="45" t="s">
        <v>1828</v>
      </c>
      <c r="H2354" s="55" t="s">
        <v>1829</v>
      </c>
      <c r="I2354" s="15" t="s">
        <v>619</v>
      </c>
    </row>
    <row r="2355" spans="1:9" ht="51.75" customHeight="1" x14ac:dyDescent="0.35">
      <c r="A2355" s="15">
        <v>2</v>
      </c>
      <c r="B2355" s="15" t="s">
        <v>28114</v>
      </c>
      <c r="C2355" s="15" t="s">
        <v>28090</v>
      </c>
      <c r="D2355" s="31">
        <v>39232</v>
      </c>
      <c r="E2355" s="15" t="s">
        <v>28090</v>
      </c>
      <c r="F2355" s="87" t="s">
        <v>21871</v>
      </c>
      <c r="G2355" s="45" t="s">
        <v>1828</v>
      </c>
      <c r="H2355" s="55" t="s">
        <v>1829</v>
      </c>
      <c r="I2355" s="15" t="s">
        <v>619</v>
      </c>
    </row>
    <row r="2356" spans="1:9" ht="51.75" customHeight="1" x14ac:dyDescent="0.35">
      <c r="A2356" s="15">
        <v>1</v>
      </c>
      <c r="B2356" s="15" t="s">
        <v>28115</v>
      </c>
      <c r="C2356" s="15" t="s">
        <v>28081</v>
      </c>
      <c r="D2356" s="31">
        <v>39232</v>
      </c>
      <c r="E2356" s="15" t="s">
        <v>28081</v>
      </c>
      <c r="F2356" s="87" t="s">
        <v>21871</v>
      </c>
      <c r="G2356" s="45" t="s">
        <v>1823</v>
      </c>
      <c r="H2356" s="55" t="s">
        <v>1824</v>
      </c>
      <c r="I2356" s="15" t="s">
        <v>619</v>
      </c>
    </row>
    <row r="2357" spans="1:9" ht="51.75" customHeight="1" x14ac:dyDescent="0.35">
      <c r="A2357" s="15">
        <v>2</v>
      </c>
      <c r="B2357" s="15" t="s">
        <v>28116</v>
      </c>
      <c r="C2357" s="15" t="s">
        <v>28117</v>
      </c>
      <c r="D2357" s="31">
        <v>39232</v>
      </c>
      <c r="E2357" s="15" t="s">
        <v>28117</v>
      </c>
      <c r="F2357" s="87" t="s">
        <v>21871</v>
      </c>
      <c r="G2357" s="45" t="s">
        <v>1823</v>
      </c>
      <c r="H2357" s="55" t="s">
        <v>1824</v>
      </c>
      <c r="I2357" s="15" t="s">
        <v>619</v>
      </c>
    </row>
    <row r="2358" spans="1:9" ht="51.75" customHeight="1" x14ac:dyDescent="0.35">
      <c r="A2358" s="15">
        <v>1</v>
      </c>
      <c r="B2358" s="15" t="s">
        <v>28118</v>
      </c>
      <c r="C2358" s="15" t="s">
        <v>28119</v>
      </c>
      <c r="D2358" s="31">
        <v>39232</v>
      </c>
      <c r="E2358" s="15" t="s">
        <v>28119</v>
      </c>
      <c r="F2358" s="87" t="s">
        <v>21871</v>
      </c>
      <c r="G2358" s="45" t="s">
        <v>1807</v>
      </c>
      <c r="H2358" s="55" t="s">
        <v>1808</v>
      </c>
      <c r="I2358" s="15" t="s">
        <v>619</v>
      </c>
    </row>
    <row r="2359" spans="1:9" ht="51.75" customHeight="1" x14ac:dyDescent="0.35">
      <c r="A2359" s="15">
        <v>2</v>
      </c>
      <c r="B2359" s="15" t="s">
        <v>28120</v>
      </c>
      <c r="C2359" s="15" t="s">
        <v>28121</v>
      </c>
      <c r="D2359" s="31">
        <v>39232</v>
      </c>
      <c r="E2359" s="15" t="s">
        <v>28122</v>
      </c>
      <c r="F2359" s="87" t="s">
        <v>21871</v>
      </c>
      <c r="G2359" s="45" t="s">
        <v>1807</v>
      </c>
      <c r="H2359" s="55" t="s">
        <v>1808</v>
      </c>
      <c r="I2359" s="15" t="s">
        <v>619</v>
      </c>
    </row>
    <row r="2360" spans="1:9" ht="51.75" customHeight="1" x14ac:dyDescent="0.35">
      <c r="A2360" s="15">
        <v>1</v>
      </c>
      <c r="B2360" s="15" t="s">
        <v>28123</v>
      </c>
      <c r="C2360" s="15" t="s">
        <v>27705</v>
      </c>
      <c r="D2360" s="31">
        <v>39232</v>
      </c>
      <c r="E2360" s="15" t="s">
        <v>27705</v>
      </c>
      <c r="F2360" s="87" t="s">
        <v>21871</v>
      </c>
      <c r="G2360" s="45" t="s">
        <v>1796</v>
      </c>
      <c r="H2360" s="55" t="s">
        <v>1797</v>
      </c>
      <c r="I2360" s="15" t="s">
        <v>619</v>
      </c>
    </row>
    <row r="2361" spans="1:9" ht="51.75" customHeight="1" x14ac:dyDescent="0.35">
      <c r="A2361" s="15">
        <v>2</v>
      </c>
      <c r="B2361" s="15" t="s">
        <v>28124</v>
      </c>
      <c r="C2361" s="15" t="s">
        <v>28125</v>
      </c>
      <c r="D2361" s="31">
        <v>39232</v>
      </c>
      <c r="E2361" s="15" t="s">
        <v>28125</v>
      </c>
      <c r="F2361" s="87" t="s">
        <v>21871</v>
      </c>
      <c r="G2361" s="45" t="s">
        <v>1796</v>
      </c>
      <c r="H2361" s="55" t="s">
        <v>1797</v>
      </c>
      <c r="I2361" s="15" t="s">
        <v>619</v>
      </c>
    </row>
    <row r="2362" spans="1:9" ht="51.75" customHeight="1" x14ac:dyDescent="0.35">
      <c r="A2362" s="15">
        <v>1</v>
      </c>
      <c r="B2362" s="15" t="s">
        <v>28126</v>
      </c>
      <c r="C2362" s="15" t="s">
        <v>28095</v>
      </c>
      <c r="D2362" s="31">
        <v>39232</v>
      </c>
      <c r="E2362" s="15" t="s">
        <v>28095</v>
      </c>
      <c r="F2362" s="87" t="s">
        <v>21871</v>
      </c>
      <c r="G2362" s="45" t="s">
        <v>1765</v>
      </c>
      <c r="H2362" s="55" t="s">
        <v>1766</v>
      </c>
      <c r="I2362" s="15" t="s">
        <v>619</v>
      </c>
    </row>
    <row r="2363" spans="1:9" ht="51.75" customHeight="1" x14ac:dyDescent="0.35">
      <c r="A2363" s="15">
        <v>2</v>
      </c>
      <c r="B2363" s="15" t="s">
        <v>28127</v>
      </c>
      <c r="C2363" s="15" t="s">
        <v>28128</v>
      </c>
      <c r="D2363" s="31">
        <v>39232</v>
      </c>
      <c r="E2363" s="15" t="s">
        <v>28128</v>
      </c>
      <c r="F2363" s="87" t="s">
        <v>21871</v>
      </c>
      <c r="G2363" s="45" t="s">
        <v>1765</v>
      </c>
      <c r="H2363" s="55" t="s">
        <v>1766</v>
      </c>
      <c r="I2363" s="15" t="s">
        <v>619</v>
      </c>
    </row>
    <row r="2364" spans="1:9" ht="51.75" customHeight="1" x14ac:dyDescent="0.35">
      <c r="A2364" s="15">
        <v>3</v>
      </c>
      <c r="B2364" s="15" t="s">
        <v>28129</v>
      </c>
      <c r="C2364" s="15" t="s">
        <v>28130</v>
      </c>
      <c r="D2364" s="31">
        <v>39232</v>
      </c>
      <c r="E2364" s="15" t="s">
        <v>28131</v>
      </c>
      <c r="F2364" s="87" t="s">
        <v>21871</v>
      </c>
      <c r="G2364" s="45" t="s">
        <v>1765</v>
      </c>
      <c r="H2364" s="55" t="s">
        <v>1766</v>
      </c>
      <c r="I2364" s="15" t="s">
        <v>619</v>
      </c>
    </row>
    <row r="2365" spans="1:9" ht="51.75" customHeight="1" x14ac:dyDescent="0.35">
      <c r="A2365" s="15">
        <v>1</v>
      </c>
      <c r="B2365" s="15" t="s">
        <v>28132</v>
      </c>
      <c r="C2365" s="15" t="s">
        <v>28133</v>
      </c>
      <c r="D2365" s="31">
        <v>39220</v>
      </c>
      <c r="E2365" s="15" t="s">
        <v>28133</v>
      </c>
      <c r="F2365" s="87" t="s">
        <v>21871</v>
      </c>
      <c r="G2365" s="45" t="s">
        <v>1709</v>
      </c>
      <c r="H2365" s="55" t="s">
        <v>1710</v>
      </c>
      <c r="I2365" s="15" t="s">
        <v>619</v>
      </c>
    </row>
    <row r="2366" spans="1:9" ht="51.75" customHeight="1" x14ac:dyDescent="0.35">
      <c r="A2366" s="15">
        <v>1</v>
      </c>
      <c r="B2366" s="15" t="s">
        <v>28134</v>
      </c>
      <c r="C2366" s="15" t="s">
        <v>28135</v>
      </c>
      <c r="D2366" s="31">
        <v>39220</v>
      </c>
      <c r="E2366" s="15" t="s">
        <v>28136</v>
      </c>
      <c r="F2366" s="87" t="s">
        <v>21871</v>
      </c>
      <c r="G2366" s="45" t="s">
        <v>1700</v>
      </c>
      <c r="H2366" s="55" t="s">
        <v>1701</v>
      </c>
      <c r="I2366" s="15" t="s">
        <v>619</v>
      </c>
    </row>
    <row r="2367" spans="1:9" ht="51.75" customHeight="1" x14ac:dyDescent="0.35">
      <c r="A2367" s="15" t="s">
        <v>26908</v>
      </c>
      <c r="B2367" s="15" t="s">
        <v>28137</v>
      </c>
      <c r="C2367" s="15" t="s">
        <v>28138</v>
      </c>
      <c r="D2367" s="31" t="s">
        <v>50</v>
      </c>
      <c r="E2367" s="15" t="s">
        <v>28139</v>
      </c>
      <c r="F2367" s="87" t="s">
        <v>21871</v>
      </c>
      <c r="G2367" s="45" t="s">
        <v>7931</v>
      </c>
      <c r="H2367" s="55" t="s">
        <v>7932</v>
      </c>
      <c r="I2367" s="15" t="s">
        <v>619</v>
      </c>
    </row>
    <row r="2368" spans="1:9" ht="51.75" customHeight="1" x14ac:dyDescent="0.35">
      <c r="A2368" s="15" t="s">
        <v>26911</v>
      </c>
      <c r="B2368" s="15" t="s">
        <v>28140</v>
      </c>
      <c r="C2368" s="15" t="s">
        <v>28141</v>
      </c>
      <c r="D2368" s="31" t="s">
        <v>50</v>
      </c>
      <c r="E2368" s="15" t="s">
        <v>28142</v>
      </c>
      <c r="F2368" s="87" t="s">
        <v>21871</v>
      </c>
      <c r="G2368" s="45" t="s">
        <v>7931</v>
      </c>
      <c r="H2368" s="55" t="s">
        <v>7932</v>
      </c>
      <c r="I2368" s="15" t="s">
        <v>619</v>
      </c>
    </row>
    <row r="2369" spans="1:9" ht="51.75" customHeight="1" x14ac:dyDescent="0.35">
      <c r="A2369" s="15" t="s">
        <v>22103</v>
      </c>
      <c r="B2369" s="15" t="s">
        <v>28143</v>
      </c>
      <c r="C2369" s="15" t="s">
        <v>28144</v>
      </c>
      <c r="D2369" s="31" t="s">
        <v>50</v>
      </c>
      <c r="E2369" s="15" t="s">
        <v>28145</v>
      </c>
      <c r="F2369" s="87" t="s">
        <v>21871</v>
      </c>
      <c r="G2369" s="45" t="s">
        <v>7931</v>
      </c>
      <c r="H2369" s="55" t="s">
        <v>7932</v>
      </c>
      <c r="I2369" s="15" t="s">
        <v>619</v>
      </c>
    </row>
    <row r="2370" spans="1:9" ht="51.75" customHeight="1" x14ac:dyDescent="0.35">
      <c r="A2370" s="15" t="s">
        <v>25651</v>
      </c>
      <c r="B2370" s="15" t="s">
        <v>28146</v>
      </c>
      <c r="C2370" s="15" t="s">
        <v>28147</v>
      </c>
      <c r="D2370" s="31" t="s">
        <v>50</v>
      </c>
      <c r="E2370" s="15" t="s">
        <v>28148</v>
      </c>
      <c r="F2370" s="87" t="s">
        <v>21871</v>
      </c>
      <c r="G2370" s="45" t="s">
        <v>7931</v>
      </c>
      <c r="H2370" s="55" t="s">
        <v>7932</v>
      </c>
      <c r="I2370" s="15" t="s">
        <v>619</v>
      </c>
    </row>
    <row r="2371" spans="1:9" ht="51.75" customHeight="1" x14ac:dyDescent="0.35">
      <c r="A2371" s="15" t="s">
        <v>25532</v>
      </c>
      <c r="B2371" s="15" t="s">
        <v>28149</v>
      </c>
      <c r="C2371" s="15" t="s">
        <v>28150</v>
      </c>
      <c r="D2371" s="31" t="s">
        <v>50</v>
      </c>
      <c r="E2371" s="15" t="s">
        <v>28151</v>
      </c>
      <c r="F2371" s="87" t="s">
        <v>21871</v>
      </c>
      <c r="G2371" s="45" t="s">
        <v>7931</v>
      </c>
      <c r="H2371" s="55" t="s">
        <v>7932</v>
      </c>
      <c r="I2371" s="15" t="s">
        <v>619</v>
      </c>
    </row>
    <row r="2372" spans="1:9" ht="51.75" customHeight="1" x14ac:dyDescent="0.35">
      <c r="A2372" s="15" t="s">
        <v>25657</v>
      </c>
      <c r="B2372" s="15" t="s">
        <v>28152</v>
      </c>
      <c r="C2372" s="15" t="s">
        <v>28153</v>
      </c>
      <c r="D2372" s="31" t="s">
        <v>50</v>
      </c>
      <c r="E2372" s="15" t="s">
        <v>28154</v>
      </c>
      <c r="F2372" s="87" t="s">
        <v>21871</v>
      </c>
      <c r="G2372" s="45" t="s">
        <v>7931</v>
      </c>
      <c r="H2372" s="55" t="s">
        <v>7932</v>
      </c>
      <c r="I2372" s="15" t="s">
        <v>619</v>
      </c>
    </row>
    <row r="2373" spans="1:9" ht="51.75" customHeight="1" x14ac:dyDescent="0.35">
      <c r="A2373" s="15" t="s">
        <v>26702</v>
      </c>
      <c r="B2373" s="15" t="s">
        <v>28155</v>
      </c>
      <c r="C2373" s="15" t="s">
        <v>28156</v>
      </c>
      <c r="D2373" s="31" t="s">
        <v>50</v>
      </c>
      <c r="E2373" s="15" t="s">
        <v>28157</v>
      </c>
      <c r="F2373" s="87" t="s">
        <v>21871</v>
      </c>
      <c r="G2373" s="45" t="s">
        <v>8037</v>
      </c>
      <c r="H2373" s="55" t="s">
        <v>8038</v>
      </c>
      <c r="I2373" s="15" t="s">
        <v>619</v>
      </c>
    </row>
    <row r="2374" spans="1:9" ht="51.75" customHeight="1" x14ac:dyDescent="0.35">
      <c r="A2374" s="15" t="s">
        <v>22660</v>
      </c>
      <c r="B2374" s="15" t="s">
        <v>28158</v>
      </c>
      <c r="C2374" s="15" t="s">
        <v>28159</v>
      </c>
      <c r="D2374" s="31" t="s">
        <v>50</v>
      </c>
      <c r="E2374" s="15" t="s">
        <v>28160</v>
      </c>
      <c r="F2374" s="87" t="s">
        <v>21871</v>
      </c>
      <c r="G2374" s="45" t="s">
        <v>8111</v>
      </c>
      <c r="H2374" s="55" t="s">
        <v>8112</v>
      </c>
      <c r="I2374" s="15" t="s">
        <v>619</v>
      </c>
    </row>
    <row r="2375" spans="1:9" ht="51.75" customHeight="1" x14ac:dyDescent="0.35">
      <c r="A2375" s="15" t="s">
        <v>24358</v>
      </c>
      <c r="B2375" s="15" t="s">
        <v>28161</v>
      </c>
      <c r="C2375" s="15" t="s">
        <v>28162</v>
      </c>
      <c r="D2375" s="31" t="s">
        <v>50</v>
      </c>
      <c r="E2375" s="15" t="s">
        <v>28163</v>
      </c>
      <c r="F2375" s="87" t="s">
        <v>21871</v>
      </c>
      <c r="G2375" s="45" t="s">
        <v>8111</v>
      </c>
      <c r="H2375" s="55" t="s">
        <v>8112</v>
      </c>
      <c r="I2375" s="15" t="s">
        <v>619</v>
      </c>
    </row>
    <row r="2376" spans="1:9" ht="51.75" customHeight="1" x14ac:dyDescent="0.35">
      <c r="A2376" s="15" t="s">
        <v>22971</v>
      </c>
      <c r="B2376" s="15" t="s">
        <v>28164</v>
      </c>
      <c r="C2376" s="15" t="s">
        <v>28165</v>
      </c>
      <c r="D2376" s="31" t="s">
        <v>50</v>
      </c>
      <c r="E2376" s="15" t="s">
        <v>28166</v>
      </c>
      <c r="F2376" s="87" t="s">
        <v>21871</v>
      </c>
      <c r="G2376" s="45" t="s">
        <v>8189</v>
      </c>
      <c r="H2376" s="55" t="s">
        <v>8190</v>
      </c>
      <c r="I2376" s="15" t="s">
        <v>619</v>
      </c>
    </row>
    <row r="2377" spans="1:9" ht="51.75" customHeight="1" x14ac:dyDescent="0.35">
      <c r="A2377" s="15" t="s">
        <v>28167</v>
      </c>
      <c r="B2377" s="15" t="s">
        <v>28168</v>
      </c>
      <c r="C2377" s="15" t="s">
        <v>28169</v>
      </c>
      <c r="D2377" s="31" t="s">
        <v>50</v>
      </c>
      <c r="E2377" s="15" t="s">
        <v>28170</v>
      </c>
      <c r="F2377" s="87" t="s">
        <v>21871</v>
      </c>
      <c r="G2377" s="45" t="s">
        <v>8189</v>
      </c>
      <c r="H2377" s="55" t="s">
        <v>8190</v>
      </c>
      <c r="I2377" s="15" t="s">
        <v>619</v>
      </c>
    </row>
    <row r="2378" spans="1:9" ht="51.75" customHeight="1" x14ac:dyDescent="0.35">
      <c r="A2378" s="15" t="s">
        <v>25711</v>
      </c>
      <c r="B2378" s="15" t="s">
        <v>28171</v>
      </c>
      <c r="C2378" s="15" t="s">
        <v>28172</v>
      </c>
      <c r="D2378" s="31" t="s">
        <v>50</v>
      </c>
      <c r="E2378" s="15" t="s">
        <v>28173</v>
      </c>
      <c r="F2378" s="87" t="s">
        <v>21871</v>
      </c>
      <c r="G2378" s="45" t="s">
        <v>8189</v>
      </c>
      <c r="H2378" s="55" t="s">
        <v>8190</v>
      </c>
      <c r="I2378" s="15" t="s">
        <v>619</v>
      </c>
    </row>
    <row r="2379" spans="1:9" ht="51.75" customHeight="1" x14ac:dyDescent="0.35">
      <c r="A2379" s="15" t="s">
        <v>26902</v>
      </c>
      <c r="B2379" s="15" t="s">
        <v>28174</v>
      </c>
      <c r="C2379" s="15" t="s">
        <v>28175</v>
      </c>
      <c r="D2379" s="31" t="s">
        <v>50</v>
      </c>
      <c r="E2379" s="15" t="s">
        <v>28176</v>
      </c>
      <c r="F2379" s="87" t="s">
        <v>21871</v>
      </c>
      <c r="G2379" s="45" t="s">
        <v>8243</v>
      </c>
      <c r="H2379" s="55" t="s">
        <v>8244</v>
      </c>
      <c r="I2379" s="15" t="s">
        <v>619</v>
      </c>
    </row>
    <row r="2380" spans="1:9" ht="51.75" customHeight="1" x14ac:dyDescent="0.35">
      <c r="A2380" s="15" t="s">
        <v>23617</v>
      </c>
      <c r="B2380" s="15" t="s">
        <v>28177</v>
      </c>
      <c r="C2380" s="15" t="s">
        <v>28178</v>
      </c>
      <c r="D2380" s="31" t="s">
        <v>50</v>
      </c>
      <c r="E2380" s="15" t="s">
        <v>28179</v>
      </c>
      <c r="F2380" s="87" t="s">
        <v>21871</v>
      </c>
      <c r="G2380" s="45" t="s">
        <v>8288</v>
      </c>
      <c r="H2380" s="55" t="s">
        <v>8289</v>
      </c>
      <c r="I2380" s="15" t="s">
        <v>619</v>
      </c>
    </row>
    <row r="2381" spans="1:9" ht="51.75" customHeight="1" x14ac:dyDescent="0.35">
      <c r="A2381" s="15" t="s">
        <v>23923</v>
      </c>
      <c r="B2381" s="15" t="s">
        <v>28180</v>
      </c>
      <c r="C2381" s="15" t="s">
        <v>28181</v>
      </c>
      <c r="D2381" s="31" t="s">
        <v>50</v>
      </c>
      <c r="E2381" s="15" t="s">
        <v>27845</v>
      </c>
      <c r="F2381" s="87" t="s">
        <v>21871</v>
      </c>
      <c r="G2381" s="45" t="s">
        <v>8378</v>
      </c>
      <c r="H2381" s="55" t="s">
        <v>8379</v>
      </c>
      <c r="I2381" s="15" t="s">
        <v>619</v>
      </c>
    </row>
    <row r="2382" spans="1:9" ht="51.75" customHeight="1" x14ac:dyDescent="0.35">
      <c r="A2382" s="15" t="s">
        <v>24186</v>
      </c>
      <c r="B2382" s="15" t="s">
        <v>28182</v>
      </c>
      <c r="C2382" s="15" t="s">
        <v>28183</v>
      </c>
      <c r="D2382" s="31" t="s">
        <v>50</v>
      </c>
      <c r="E2382" s="15" t="s">
        <v>28184</v>
      </c>
      <c r="F2382" s="87" t="s">
        <v>21871</v>
      </c>
      <c r="G2382" s="45" t="s">
        <v>8378</v>
      </c>
      <c r="H2382" s="55" t="s">
        <v>8379</v>
      </c>
      <c r="I2382" s="15" t="s">
        <v>619</v>
      </c>
    </row>
    <row r="2383" spans="1:9" ht="51.75" customHeight="1" x14ac:dyDescent="0.35">
      <c r="A2383" s="15" t="s">
        <v>23353</v>
      </c>
      <c r="B2383" s="15" t="s">
        <v>28185</v>
      </c>
      <c r="C2383" s="15" t="s">
        <v>28186</v>
      </c>
      <c r="D2383" s="31" t="s">
        <v>50</v>
      </c>
      <c r="E2383" s="15" t="s">
        <v>28187</v>
      </c>
      <c r="F2383" s="87" t="s">
        <v>21871</v>
      </c>
      <c r="G2383" s="45" t="s">
        <v>8417</v>
      </c>
      <c r="H2383" s="55" t="s">
        <v>8418</v>
      </c>
      <c r="I2383" s="15" t="s">
        <v>619</v>
      </c>
    </row>
    <row r="2384" spans="1:9" ht="51.75" customHeight="1" x14ac:dyDescent="0.35">
      <c r="A2384" s="15" t="s">
        <v>23357</v>
      </c>
      <c r="B2384" s="15" t="s">
        <v>28188</v>
      </c>
      <c r="C2384" s="15" t="s">
        <v>28189</v>
      </c>
      <c r="D2384" s="31" t="s">
        <v>50</v>
      </c>
      <c r="E2384" s="15" t="s">
        <v>28190</v>
      </c>
      <c r="F2384" s="87" t="s">
        <v>21871</v>
      </c>
      <c r="G2384" s="45" t="s">
        <v>8417</v>
      </c>
      <c r="H2384" s="55" t="s">
        <v>8418</v>
      </c>
      <c r="I2384" s="15" t="s">
        <v>619</v>
      </c>
    </row>
    <row r="2385" spans="1:9" ht="51.75" customHeight="1" x14ac:dyDescent="0.35">
      <c r="A2385" s="15" t="s">
        <v>24191</v>
      </c>
      <c r="B2385" s="15" t="s">
        <v>28191</v>
      </c>
      <c r="C2385" s="15" t="s">
        <v>28192</v>
      </c>
      <c r="D2385" s="31" t="s">
        <v>50</v>
      </c>
      <c r="E2385" s="15" t="s">
        <v>28193</v>
      </c>
      <c r="F2385" s="87" t="s">
        <v>21871</v>
      </c>
      <c r="G2385" s="45" t="s">
        <v>8498</v>
      </c>
      <c r="H2385" s="55" t="s">
        <v>8499</v>
      </c>
      <c r="I2385" s="15" t="s">
        <v>619</v>
      </c>
    </row>
    <row r="2386" spans="1:9" ht="51.75" customHeight="1" x14ac:dyDescent="0.35">
      <c r="A2386" s="15" t="s">
        <v>24197</v>
      </c>
      <c r="B2386" s="15" t="s">
        <v>28194</v>
      </c>
      <c r="C2386" s="15" t="s">
        <v>28195</v>
      </c>
      <c r="D2386" s="31" t="s">
        <v>50</v>
      </c>
      <c r="E2386" s="15" t="s">
        <v>28196</v>
      </c>
      <c r="F2386" s="87" t="s">
        <v>21871</v>
      </c>
      <c r="G2386" s="45" t="s">
        <v>8498</v>
      </c>
      <c r="H2386" s="55" t="s">
        <v>8499</v>
      </c>
      <c r="I2386" s="15" t="s">
        <v>619</v>
      </c>
    </row>
    <row r="2387" spans="1:9" ht="51.75" customHeight="1" x14ac:dyDescent="0.35">
      <c r="A2387" s="15" t="s">
        <v>28039</v>
      </c>
      <c r="B2387" s="15" t="s">
        <v>28197</v>
      </c>
      <c r="C2387" s="15" t="s">
        <v>28198</v>
      </c>
      <c r="D2387" s="31" t="s">
        <v>50</v>
      </c>
      <c r="E2387" s="15" t="s">
        <v>28199</v>
      </c>
      <c r="F2387" s="87" t="s">
        <v>21871</v>
      </c>
      <c r="G2387" s="45" t="s">
        <v>8648</v>
      </c>
      <c r="H2387" s="55" t="s">
        <v>8649</v>
      </c>
      <c r="I2387" s="15" t="s">
        <v>619</v>
      </c>
    </row>
    <row r="2388" spans="1:9" ht="51.75" customHeight="1" x14ac:dyDescent="0.35">
      <c r="A2388" s="15" t="s">
        <v>28200</v>
      </c>
      <c r="B2388" s="15" t="s">
        <v>28201</v>
      </c>
      <c r="C2388" s="15" t="s">
        <v>28202</v>
      </c>
      <c r="D2388" s="31" t="s">
        <v>50</v>
      </c>
      <c r="E2388" s="15" t="s">
        <v>28203</v>
      </c>
      <c r="F2388" s="87" t="s">
        <v>21871</v>
      </c>
      <c r="G2388" s="45" t="s">
        <v>8670</v>
      </c>
      <c r="H2388" s="55" t="s">
        <v>8671</v>
      </c>
      <c r="I2388" s="15" t="s">
        <v>619</v>
      </c>
    </row>
    <row r="2389" spans="1:9" ht="51.75" customHeight="1" x14ac:dyDescent="0.35">
      <c r="A2389" s="15" t="s">
        <v>23361</v>
      </c>
      <c r="B2389" s="15" t="s">
        <v>28204</v>
      </c>
      <c r="C2389" s="15" t="s">
        <v>28205</v>
      </c>
      <c r="D2389" s="31" t="s">
        <v>50</v>
      </c>
      <c r="E2389" s="15" t="s">
        <v>28206</v>
      </c>
      <c r="F2389" s="87" t="s">
        <v>21871</v>
      </c>
      <c r="G2389" s="45" t="s">
        <v>8563</v>
      </c>
      <c r="H2389" s="55" t="s">
        <v>8564</v>
      </c>
      <c r="I2389" s="15" t="s">
        <v>619</v>
      </c>
    </row>
    <row r="2390" spans="1:9" ht="51.75" customHeight="1" x14ac:dyDescent="0.35">
      <c r="A2390" s="15" t="s">
        <v>22797</v>
      </c>
      <c r="B2390" s="15" t="s">
        <v>28207</v>
      </c>
      <c r="C2390" s="15" t="s">
        <v>28208</v>
      </c>
      <c r="D2390" s="31" t="s">
        <v>50</v>
      </c>
      <c r="E2390" s="15" t="s">
        <v>28209</v>
      </c>
      <c r="F2390" s="87" t="s">
        <v>21871</v>
      </c>
      <c r="G2390" s="45" t="s">
        <v>8765</v>
      </c>
      <c r="H2390" s="55" t="s">
        <v>8766</v>
      </c>
      <c r="I2390" s="15" t="s">
        <v>619</v>
      </c>
    </row>
    <row r="2391" spans="1:9" ht="51.75" customHeight="1" x14ac:dyDescent="0.35">
      <c r="A2391" s="15" t="s">
        <v>23252</v>
      </c>
      <c r="B2391" s="15" t="s">
        <v>28210</v>
      </c>
      <c r="C2391" s="15" t="s">
        <v>28211</v>
      </c>
      <c r="D2391" s="31" t="s">
        <v>50</v>
      </c>
      <c r="E2391" s="15" t="s">
        <v>28212</v>
      </c>
      <c r="F2391" s="87" t="s">
        <v>21871</v>
      </c>
      <c r="G2391" s="45" t="s">
        <v>8811</v>
      </c>
      <c r="H2391" s="55" t="s">
        <v>8812</v>
      </c>
      <c r="I2391" s="15" t="s">
        <v>619</v>
      </c>
    </row>
    <row r="2392" spans="1:9" ht="51.75" customHeight="1" x14ac:dyDescent="0.35">
      <c r="A2392" s="15" t="s">
        <v>24215</v>
      </c>
      <c r="B2392" s="15" t="s">
        <v>28213</v>
      </c>
      <c r="C2392" s="15" t="s">
        <v>28214</v>
      </c>
      <c r="D2392" s="31" t="s">
        <v>50</v>
      </c>
      <c r="E2392" s="15" t="s">
        <v>28215</v>
      </c>
      <c r="F2392" s="87" t="s">
        <v>21871</v>
      </c>
      <c r="G2392" s="45" t="s">
        <v>8800</v>
      </c>
      <c r="H2392" s="55" t="s">
        <v>8801</v>
      </c>
      <c r="I2392" s="15" t="s">
        <v>619</v>
      </c>
    </row>
    <row r="2393" spans="1:9" ht="51.75" customHeight="1" x14ac:dyDescent="0.35">
      <c r="A2393" s="15" t="s">
        <v>26893</v>
      </c>
      <c r="B2393" s="15" t="s">
        <v>28216</v>
      </c>
      <c r="C2393" s="15" t="s">
        <v>28217</v>
      </c>
      <c r="D2393" s="31" t="s">
        <v>50</v>
      </c>
      <c r="E2393" s="15" t="s">
        <v>28218</v>
      </c>
      <c r="F2393" s="87" t="s">
        <v>21871</v>
      </c>
      <c r="G2393" s="45" t="s">
        <v>8745</v>
      </c>
      <c r="H2393" s="55" t="s">
        <v>8746</v>
      </c>
      <c r="I2393" s="15" t="s">
        <v>619</v>
      </c>
    </row>
    <row r="2394" spans="1:9" ht="51.75" customHeight="1" x14ac:dyDescent="0.35">
      <c r="A2394" s="15" t="s">
        <v>24203</v>
      </c>
      <c r="B2394" s="15" t="s">
        <v>28219</v>
      </c>
      <c r="C2394" s="15" t="s">
        <v>28220</v>
      </c>
      <c r="D2394" s="31" t="s">
        <v>50</v>
      </c>
      <c r="E2394" s="15" t="s">
        <v>28221</v>
      </c>
      <c r="F2394" s="87" t="s">
        <v>21871</v>
      </c>
      <c r="G2394" s="45" t="s">
        <v>8508</v>
      </c>
      <c r="H2394" s="55" t="s">
        <v>8509</v>
      </c>
      <c r="I2394" s="15" t="s">
        <v>619</v>
      </c>
    </row>
    <row r="2395" spans="1:9" ht="51.75" customHeight="1" x14ac:dyDescent="0.35">
      <c r="A2395" s="15" t="s">
        <v>23602</v>
      </c>
      <c r="B2395" s="15" t="s">
        <v>28222</v>
      </c>
      <c r="C2395" s="15" t="s">
        <v>28223</v>
      </c>
      <c r="D2395" s="31" t="s">
        <v>50</v>
      </c>
      <c r="E2395" s="15" t="s">
        <v>28224</v>
      </c>
      <c r="F2395" s="87" t="s">
        <v>21871</v>
      </c>
      <c r="G2395" s="45" t="s">
        <v>8973</v>
      </c>
      <c r="H2395" s="55" t="s">
        <v>8974</v>
      </c>
      <c r="I2395" s="15" t="s">
        <v>619</v>
      </c>
    </row>
    <row r="2396" spans="1:9" ht="51.75" customHeight="1" x14ac:dyDescent="0.35">
      <c r="A2396" s="15" t="s">
        <v>23606</v>
      </c>
      <c r="B2396" s="15" t="s">
        <v>28225</v>
      </c>
      <c r="C2396" s="15" t="s">
        <v>28226</v>
      </c>
      <c r="D2396" s="31" t="s">
        <v>50</v>
      </c>
      <c r="E2396" s="15" t="s">
        <v>28227</v>
      </c>
      <c r="F2396" s="87" t="s">
        <v>21871</v>
      </c>
      <c r="G2396" s="45" t="s">
        <v>8973</v>
      </c>
      <c r="H2396" s="55" t="s">
        <v>8974</v>
      </c>
      <c r="I2396" s="15" t="s">
        <v>619</v>
      </c>
    </row>
    <row r="2397" spans="1:9" ht="51.75" customHeight="1" x14ac:dyDescent="0.35">
      <c r="A2397" s="15" t="s">
        <v>23610</v>
      </c>
      <c r="B2397" s="15" t="s">
        <v>28228</v>
      </c>
      <c r="C2397" s="15" t="s">
        <v>28229</v>
      </c>
      <c r="D2397" s="31" t="s">
        <v>50</v>
      </c>
      <c r="E2397" s="15" t="s">
        <v>28230</v>
      </c>
      <c r="F2397" s="87" t="s">
        <v>21871</v>
      </c>
      <c r="G2397" s="45" t="s">
        <v>8973</v>
      </c>
      <c r="H2397" s="55" t="s">
        <v>8974</v>
      </c>
      <c r="I2397" s="15" t="s">
        <v>619</v>
      </c>
    </row>
    <row r="2398" spans="1:9" ht="51.75" customHeight="1" x14ac:dyDescent="0.35">
      <c r="A2398" s="15" t="s">
        <v>26688</v>
      </c>
      <c r="B2398" s="15" t="s">
        <v>28231</v>
      </c>
      <c r="C2398" s="15" t="s">
        <v>28232</v>
      </c>
      <c r="D2398" s="31" t="s">
        <v>50</v>
      </c>
      <c r="E2398" s="15" t="s">
        <v>28233</v>
      </c>
      <c r="F2398" s="87" t="s">
        <v>21871</v>
      </c>
      <c r="G2398" s="45" t="s">
        <v>8973</v>
      </c>
      <c r="H2398" s="55" t="s">
        <v>8974</v>
      </c>
      <c r="I2398" s="15" t="s">
        <v>619</v>
      </c>
    </row>
    <row r="2399" spans="1:9" ht="51.75" customHeight="1" x14ac:dyDescent="0.35">
      <c r="A2399" s="15" t="s">
        <v>26691</v>
      </c>
      <c r="B2399" s="15" t="s">
        <v>28234</v>
      </c>
      <c r="C2399" s="15" t="s">
        <v>28235</v>
      </c>
      <c r="D2399" s="31" t="s">
        <v>50</v>
      </c>
      <c r="E2399" s="15" t="s">
        <v>28236</v>
      </c>
      <c r="F2399" s="87" t="s">
        <v>21871</v>
      </c>
      <c r="G2399" s="45" t="s">
        <v>8973</v>
      </c>
      <c r="H2399" s="55" t="s">
        <v>8974</v>
      </c>
      <c r="I2399" s="15" t="s">
        <v>619</v>
      </c>
    </row>
    <row r="2400" spans="1:9" ht="51.75" customHeight="1" x14ac:dyDescent="0.35">
      <c r="A2400" s="15" t="s">
        <v>23376</v>
      </c>
      <c r="B2400" s="15" t="s">
        <v>28237</v>
      </c>
      <c r="C2400" s="15" t="s">
        <v>28238</v>
      </c>
      <c r="D2400" s="31" t="s">
        <v>50</v>
      </c>
      <c r="E2400" s="15" t="s">
        <v>28239</v>
      </c>
      <c r="F2400" s="87" t="s">
        <v>21871</v>
      </c>
      <c r="G2400" s="45" t="s">
        <v>8973</v>
      </c>
      <c r="H2400" s="55" t="s">
        <v>8974</v>
      </c>
      <c r="I2400" s="15" t="s">
        <v>619</v>
      </c>
    </row>
    <row r="2401" spans="1:9" ht="51.75" customHeight="1" x14ac:dyDescent="0.35">
      <c r="A2401" s="15" t="s">
        <v>23380</v>
      </c>
      <c r="B2401" s="15" t="s">
        <v>28240</v>
      </c>
      <c r="C2401" s="15" t="s">
        <v>28241</v>
      </c>
      <c r="D2401" s="31" t="s">
        <v>50</v>
      </c>
      <c r="E2401" s="15" t="s">
        <v>28242</v>
      </c>
      <c r="F2401" s="87" t="s">
        <v>21871</v>
      </c>
      <c r="G2401" s="45" t="s">
        <v>8973</v>
      </c>
      <c r="H2401" s="55" t="s">
        <v>8974</v>
      </c>
      <c r="I2401" s="15" t="s">
        <v>619</v>
      </c>
    </row>
    <row r="2402" spans="1:9" ht="51.75" customHeight="1" x14ac:dyDescent="0.35">
      <c r="A2402" s="15" t="s">
        <v>23384</v>
      </c>
      <c r="B2402" s="15" t="s">
        <v>28243</v>
      </c>
      <c r="C2402" s="15" t="s">
        <v>28244</v>
      </c>
      <c r="D2402" s="31" t="s">
        <v>50</v>
      </c>
      <c r="E2402" s="15" t="s">
        <v>28245</v>
      </c>
      <c r="F2402" s="87" t="s">
        <v>21871</v>
      </c>
      <c r="G2402" s="45" t="s">
        <v>8973</v>
      </c>
      <c r="H2402" s="55" t="s">
        <v>8974</v>
      </c>
      <c r="I2402" s="15" t="s">
        <v>619</v>
      </c>
    </row>
    <row r="2403" spans="1:9" ht="51.75" customHeight="1" x14ac:dyDescent="0.35">
      <c r="A2403" s="15" t="s">
        <v>23388</v>
      </c>
      <c r="B2403" s="15" t="s">
        <v>28246</v>
      </c>
      <c r="C2403" s="15" t="s">
        <v>28247</v>
      </c>
      <c r="D2403" s="31" t="s">
        <v>50</v>
      </c>
      <c r="E2403" s="15" t="s">
        <v>28248</v>
      </c>
      <c r="F2403" s="87" t="s">
        <v>21871</v>
      </c>
      <c r="G2403" s="45" t="s">
        <v>8973</v>
      </c>
      <c r="H2403" s="55" t="s">
        <v>8974</v>
      </c>
      <c r="I2403" s="15" t="s">
        <v>619</v>
      </c>
    </row>
    <row r="2404" spans="1:9" ht="51.75" customHeight="1" x14ac:dyDescent="0.35">
      <c r="A2404" s="15" t="s">
        <v>24526</v>
      </c>
      <c r="B2404" s="15" t="s">
        <v>28249</v>
      </c>
      <c r="C2404" s="15" t="s">
        <v>28250</v>
      </c>
      <c r="D2404" s="31" t="s">
        <v>50</v>
      </c>
      <c r="E2404" s="15" t="s">
        <v>28251</v>
      </c>
      <c r="F2404" s="87" t="s">
        <v>21871</v>
      </c>
      <c r="G2404" s="45" t="s">
        <v>9055</v>
      </c>
      <c r="H2404" s="55" t="s">
        <v>9056</v>
      </c>
      <c r="I2404" s="15" t="s">
        <v>619</v>
      </c>
    </row>
    <row r="2405" spans="1:9" ht="51.75" customHeight="1" x14ac:dyDescent="0.35">
      <c r="A2405" s="15" t="s">
        <v>24209</v>
      </c>
      <c r="B2405" s="15" t="s">
        <v>28252</v>
      </c>
      <c r="C2405" s="15" t="s">
        <v>28253</v>
      </c>
      <c r="D2405" s="31" t="s">
        <v>50</v>
      </c>
      <c r="E2405" s="15" t="s">
        <v>28254</v>
      </c>
      <c r="F2405" s="87" t="s">
        <v>21871</v>
      </c>
      <c r="G2405" s="45" t="s">
        <v>9153</v>
      </c>
      <c r="H2405" s="55" t="s">
        <v>9154</v>
      </c>
      <c r="I2405" s="15" t="s">
        <v>619</v>
      </c>
    </row>
    <row r="2406" spans="1:9" ht="51.75" customHeight="1" x14ac:dyDescent="0.35">
      <c r="A2406" s="15" t="s">
        <v>24271</v>
      </c>
      <c r="B2406" s="15" t="s">
        <v>28255</v>
      </c>
      <c r="C2406" s="15" t="s">
        <v>28256</v>
      </c>
      <c r="D2406" s="31" t="s">
        <v>50</v>
      </c>
      <c r="E2406" s="15" t="s">
        <v>28257</v>
      </c>
      <c r="F2406" s="87" t="s">
        <v>21871</v>
      </c>
      <c r="G2406" s="45" t="s">
        <v>9153</v>
      </c>
      <c r="H2406" s="55" t="s">
        <v>9154</v>
      </c>
      <c r="I2406" s="15" t="s">
        <v>619</v>
      </c>
    </row>
    <row r="2407" spans="1:9" ht="51.75" customHeight="1" x14ac:dyDescent="0.35">
      <c r="A2407" s="15" t="s">
        <v>24276</v>
      </c>
      <c r="B2407" s="15" t="s">
        <v>28258</v>
      </c>
      <c r="C2407" s="15" t="s">
        <v>28259</v>
      </c>
      <c r="D2407" s="31" t="s">
        <v>50</v>
      </c>
      <c r="E2407" s="15" t="s">
        <v>28260</v>
      </c>
      <c r="F2407" s="87" t="s">
        <v>21871</v>
      </c>
      <c r="G2407" s="45" t="s">
        <v>9153</v>
      </c>
      <c r="H2407" s="55" t="s">
        <v>9154</v>
      </c>
      <c r="I2407" s="15" t="s">
        <v>619</v>
      </c>
    </row>
    <row r="2408" spans="1:9" ht="51.75" customHeight="1" x14ac:dyDescent="0.35">
      <c r="A2408" s="15" t="s">
        <v>23258</v>
      </c>
      <c r="B2408" s="15" t="s">
        <v>28261</v>
      </c>
      <c r="C2408" s="15" t="s">
        <v>28262</v>
      </c>
      <c r="D2408" s="31" t="s">
        <v>50</v>
      </c>
      <c r="E2408" s="15" t="s">
        <v>28263</v>
      </c>
      <c r="F2408" s="87" t="s">
        <v>21871</v>
      </c>
      <c r="G2408" s="45" t="s">
        <v>9191</v>
      </c>
      <c r="H2408" s="55" t="s">
        <v>9192</v>
      </c>
      <c r="I2408" s="15" t="s">
        <v>619</v>
      </c>
    </row>
    <row r="2409" spans="1:9" ht="51.75" customHeight="1" x14ac:dyDescent="0.35">
      <c r="A2409" s="15" t="s">
        <v>24521</v>
      </c>
      <c r="B2409" s="15" t="s">
        <v>28264</v>
      </c>
      <c r="C2409" s="15" t="s">
        <v>28265</v>
      </c>
      <c r="D2409" s="31" t="s">
        <v>50</v>
      </c>
      <c r="E2409" s="15" t="s">
        <v>28266</v>
      </c>
      <c r="F2409" s="87" t="s">
        <v>21871</v>
      </c>
      <c r="G2409" s="45" t="s">
        <v>9319</v>
      </c>
      <c r="H2409" s="55" t="s">
        <v>9320</v>
      </c>
      <c r="I2409" s="15" t="s">
        <v>619</v>
      </c>
    </row>
    <row r="2410" spans="1:9" ht="51.75" customHeight="1" x14ac:dyDescent="0.35">
      <c r="A2410" s="15" t="s">
        <v>24530</v>
      </c>
      <c r="B2410" s="15" t="s">
        <v>28267</v>
      </c>
      <c r="C2410" s="15" t="s">
        <v>28268</v>
      </c>
      <c r="D2410" s="31" t="s">
        <v>50</v>
      </c>
      <c r="E2410" s="15" t="s">
        <v>28269</v>
      </c>
      <c r="F2410" s="87" t="s">
        <v>21871</v>
      </c>
      <c r="G2410" s="45" t="s">
        <v>9555</v>
      </c>
      <c r="H2410" s="55" t="s">
        <v>9556</v>
      </c>
      <c r="I2410" s="15" t="s">
        <v>619</v>
      </c>
    </row>
    <row r="2411" spans="1:9" ht="51.75" customHeight="1" x14ac:dyDescent="0.35">
      <c r="A2411" s="15" t="s">
        <v>22766</v>
      </c>
      <c r="B2411" s="15" t="s">
        <v>28270</v>
      </c>
      <c r="C2411" s="15" t="s">
        <v>28271</v>
      </c>
      <c r="D2411" s="31" t="s">
        <v>50</v>
      </c>
      <c r="E2411" s="15" t="s">
        <v>28272</v>
      </c>
      <c r="F2411" s="87" t="s">
        <v>21871</v>
      </c>
      <c r="G2411" s="45" t="s">
        <v>9793</v>
      </c>
      <c r="H2411" s="55" t="s">
        <v>9794</v>
      </c>
      <c r="I2411" s="15" t="s">
        <v>619</v>
      </c>
    </row>
    <row r="2412" spans="1:9" ht="51.75" customHeight="1" x14ac:dyDescent="0.35">
      <c r="A2412" s="15" t="s">
        <v>22770</v>
      </c>
      <c r="B2412" s="15" t="s">
        <v>28273</v>
      </c>
      <c r="C2412" s="15" t="s">
        <v>28274</v>
      </c>
      <c r="D2412" s="31" t="s">
        <v>50</v>
      </c>
      <c r="E2412" s="15" t="s">
        <v>28275</v>
      </c>
      <c r="F2412" s="87" t="s">
        <v>21871</v>
      </c>
      <c r="G2412" s="45" t="s">
        <v>10025</v>
      </c>
      <c r="H2412" s="55" t="s">
        <v>10026</v>
      </c>
      <c r="I2412" s="15" t="s">
        <v>619</v>
      </c>
    </row>
    <row r="2413" spans="1:9" ht="51.75" customHeight="1" x14ac:dyDescent="0.35">
      <c r="A2413" s="15" t="s">
        <v>22774</v>
      </c>
      <c r="B2413" s="15" t="s">
        <v>28276</v>
      </c>
      <c r="C2413" s="15" t="s">
        <v>28277</v>
      </c>
      <c r="D2413" s="31" t="s">
        <v>50</v>
      </c>
      <c r="E2413" s="15" t="s">
        <v>28278</v>
      </c>
      <c r="F2413" s="87" t="s">
        <v>21871</v>
      </c>
      <c r="G2413" s="45" t="s">
        <v>10064</v>
      </c>
      <c r="H2413" s="55" t="s">
        <v>10065</v>
      </c>
      <c r="I2413" s="15" t="s">
        <v>619</v>
      </c>
    </row>
    <row r="2414" spans="1:9" ht="51.75" customHeight="1" x14ac:dyDescent="0.35">
      <c r="A2414" s="15" t="s">
        <v>25404</v>
      </c>
      <c r="B2414" s="15" t="s">
        <v>28279</v>
      </c>
      <c r="C2414" s="15" t="s">
        <v>28280</v>
      </c>
      <c r="D2414" s="31" t="s">
        <v>50</v>
      </c>
      <c r="E2414" s="15" t="s">
        <v>28281</v>
      </c>
      <c r="F2414" s="87" t="s">
        <v>21871</v>
      </c>
      <c r="G2414" s="45" t="s">
        <v>10064</v>
      </c>
      <c r="H2414" s="55" t="s">
        <v>10065</v>
      </c>
      <c r="I2414" s="15" t="s">
        <v>619</v>
      </c>
    </row>
    <row r="2415" spans="1:9" ht="51.75" customHeight="1" x14ac:dyDescent="0.35">
      <c r="A2415" s="15" t="s">
        <v>25410</v>
      </c>
      <c r="B2415" s="15" t="s">
        <v>28282</v>
      </c>
      <c r="C2415" s="15" t="s">
        <v>28283</v>
      </c>
      <c r="D2415" s="31" t="s">
        <v>50</v>
      </c>
      <c r="E2415" s="15" t="s">
        <v>28284</v>
      </c>
      <c r="F2415" s="87" t="s">
        <v>21871</v>
      </c>
      <c r="G2415" s="45" t="s">
        <v>10064</v>
      </c>
      <c r="H2415" s="55" t="s">
        <v>10065</v>
      </c>
      <c r="I2415" s="15" t="s">
        <v>619</v>
      </c>
    </row>
    <row r="2416" spans="1:9" ht="51.75" customHeight="1" x14ac:dyDescent="0.35">
      <c r="A2416" s="15" t="s">
        <v>28285</v>
      </c>
      <c r="B2416" s="15" t="s">
        <v>28286</v>
      </c>
      <c r="C2416" s="15" t="s">
        <v>28287</v>
      </c>
      <c r="D2416" s="31" t="s">
        <v>50</v>
      </c>
      <c r="E2416" s="15" t="s">
        <v>28288</v>
      </c>
      <c r="F2416" s="87" t="s">
        <v>21871</v>
      </c>
      <c r="G2416" s="45" t="s">
        <v>10169</v>
      </c>
      <c r="H2416" s="55" t="s">
        <v>10170</v>
      </c>
      <c r="I2416" s="15" t="s">
        <v>619</v>
      </c>
    </row>
    <row r="2417" spans="1:9" ht="51.75" customHeight="1" x14ac:dyDescent="0.35">
      <c r="A2417" s="15" t="s">
        <v>22979</v>
      </c>
      <c r="B2417" s="15" t="s">
        <v>28289</v>
      </c>
      <c r="C2417" s="15" t="s">
        <v>28290</v>
      </c>
      <c r="D2417" s="31" t="s">
        <v>50</v>
      </c>
      <c r="E2417" s="15" t="s">
        <v>28291</v>
      </c>
      <c r="F2417" s="87" t="s">
        <v>21871</v>
      </c>
      <c r="G2417" s="45" t="s">
        <v>10169</v>
      </c>
      <c r="H2417" s="55" t="s">
        <v>10170</v>
      </c>
      <c r="I2417" s="15" t="s">
        <v>619</v>
      </c>
    </row>
    <row r="2418" spans="1:9" ht="51.75" customHeight="1" x14ac:dyDescent="0.35">
      <c r="A2418" s="15" t="s">
        <v>22910</v>
      </c>
      <c r="B2418" s="15" t="s">
        <v>28292</v>
      </c>
      <c r="C2418" s="15" t="s">
        <v>28293</v>
      </c>
      <c r="D2418" s="31" t="s">
        <v>50</v>
      </c>
      <c r="E2418" s="15" t="s">
        <v>28294</v>
      </c>
      <c r="F2418" s="87" t="s">
        <v>21871</v>
      </c>
      <c r="G2418" s="45" t="s">
        <v>10189</v>
      </c>
      <c r="H2418" s="55" t="s">
        <v>10190</v>
      </c>
      <c r="I2418" s="15" t="s">
        <v>619</v>
      </c>
    </row>
    <row r="2419" spans="1:9" ht="51.75" customHeight="1" x14ac:dyDescent="0.35">
      <c r="A2419" s="15" t="s">
        <v>22914</v>
      </c>
      <c r="B2419" s="15" t="s">
        <v>28295</v>
      </c>
      <c r="C2419" s="15" t="s">
        <v>28296</v>
      </c>
      <c r="D2419" s="31" t="s">
        <v>50</v>
      </c>
      <c r="E2419" s="15" t="s">
        <v>28297</v>
      </c>
      <c r="F2419" s="87" t="s">
        <v>21871</v>
      </c>
      <c r="G2419" s="45" t="s">
        <v>10189</v>
      </c>
      <c r="H2419" s="55" t="s">
        <v>10190</v>
      </c>
      <c r="I2419" s="15" t="s">
        <v>619</v>
      </c>
    </row>
    <row r="2420" spans="1:9" ht="51.75" customHeight="1" x14ac:dyDescent="0.35">
      <c r="A2420" s="15" t="s">
        <v>22971</v>
      </c>
      <c r="B2420" s="15" t="s">
        <v>28298</v>
      </c>
      <c r="C2420" s="15" t="s">
        <v>28299</v>
      </c>
      <c r="D2420" s="31" t="s">
        <v>50</v>
      </c>
      <c r="E2420" s="15" t="s">
        <v>28300</v>
      </c>
      <c r="F2420" s="87" t="s">
        <v>21871</v>
      </c>
      <c r="G2420" s="45" t="s">
        <v>10227</v>
      </c>
      <c r="H2420" s="55" t="s">
        <v>10228</v>
      </c>
      <c r="I2420" s="15" t="s">
        <v>619</v>
      </c>
    </row>
    <row r="2421" spans="1:9" ht="51.75" customHeight="1" x14ac:dyDescent="0.35">
      <c r="A2421" s="15" t="s">
        <v>28167</v>
      </c>
      <c r="B2421" s="15" t="s">
        <v>28301</v>
      </c>
      <c r="C2421" s="15" t="s">
        <v>28302</v>
      </c>
      <c r="D2421" s="31" t="s">
        <v>50</v>
      </c>
      <c r="E2421" s="15" t="s">
        <v>28303</v>
      </c>
      <c r="F2421" s="87" t="s">
        <v>21871</v>
      </c>
      <c r="G2421" s="45" t="s">
        <v>10227</v>
      </c>
      <c r="H2421" s="55" t="s">
        <v>10228</v>
      </c>
      <c r="I2421" s="15" t="s">
        <v>619</v>
      </c>
    </row>
    <row r="2422" spans="1:9" ht="51.75" customHeight="1" x14ac:dyDescent="0.35">
      <c r="A2422" s="15" t="s">
        <v>25711</v>
      </c>
      <c r="B2422" s="15" t="s">
        <v>28304</v>
      </c>
      <c r="C2422" s="15" t="s">
        <v>28305</v>
      </c>
      <c r="D2422" s="31" t="s">
        <v>50</v>
      </c>
      <c r="E2422" s="15" t="s">
        <v>28306</v>
      </c>
      <c r="F2422" s="87" t="s">
        <v>21871</v>
      </c>
      <c r="G2422" s="45" t="s">
        <v>10227</v>
      </c>
      <c r="H2422" s="55" t="s">
        <v>10228</v>
      </c>
      <c r="I2422" s="15" t="s">
        <v>619</v>
      </c>
    </row>
    <row r="2423" spans="1:9" ht="51.75" customHeight="1" x14ac:dyDescent="0.35">
      <c r="A2423" s="15" t="s">
        <v>23341</v>
      </c>
      <c r="B2423" s="15" t="s">
        <v>28307</v>
      </c>
      <c r="C2423" s="15" t="s">
        <v>28308</v>
      </c>
      <c r="D2423" s="31" t="s">
        <v>50</v>
      </c>
      <c r="E2423" s="15" t="s">
        <v>28309</v>
      </c>
      <c r="F2423" s="87" t="s">
        <v>21871</v>
      </c>
      <c r="G2423" s="45" t="s">
        <v>10249</v>
      </c>
      <c r="H2423" s="55" t="s">
        <v>10250</v>
      </c>
      <c r="I2423" s="15" t="s">
        <v>619</v>
      </c>
    </row>
    <row r="2424" spans="1:9" ht="51.75" customHeight="1" x14ac:dyDescent="0.35">
      <c r="A2424" s="15" t="s">
        <v>22975</v>
      </c>
      <c r="B2424" s="15" t="s">
        <v>28310</v>
      </c>
      <c r="C2424" s="15" t="s">
        <v>28311</v>
      </c>
      <c r="D2424" s="31" t="s">
        <v>50</v>
      </c>
      <c r="E2424" s="15" t="s">
        <v>28312</v>
      </c>
      <c r="F2424" s="87" t="s">
        <v>21871</v>
      </c>
      <c r="G2424" s="45" t="s">
        <v>10364</v>
      </c>
      <c r="H2424" s="55" t="s">
        <v>10365</v>
      </c>
      <c r="I2424" s="15" t="s">
        <v>619</v>
      </c>
    </row>
    <row r="2425" spans="1:9" ht="51.75" customHeight="1" x14ac:dyDescent="0.35">
      <c r="A2425" s="15" t="s">
        <v>26931</v>
      </c>
      <c r="B2425" s="15" t="s">
        <v>28313</v>
      </c>
      <c r="C2425" s="15" t="s">
        <v>28314</v>
      </c>
      <c r="D2425" s="31" t="s">
        <v>50</v>
      </c>
      <c r="E2425" s="15" t="s">
        <v>28315</v>
      </c>
      <c r="F2425" s="87" t="s">
        <v>21871</v>
      </c>
      <c r="G2425" s="45" t="s">
        <v>10370</v>
      </c>
      <c r="H2425" s="55" t="s">
        <v>10371</v>
      </c>
      <c r="I2425" s="15" t="s">
        <v>619</v>
      </c>
    </row>
    <row r="2426" spans="1:9" ht="51.75" customHeight="1" x14ac:dyDescent="0.35">
      <c r="A2426" s="15" t="s">
        <v>23349</v>
      </c>
      <c r="B2426" s="15" t="s">
        <v>28316</v>
      </c>
      <c r="C2426" s="15" t="s">
        <v>28317</v>
      </c>
      <c r="D2426" s="31" t="s">
        <v>50</v>
      </c>
      <c r="E2426" s="15" t="s">
        <v>28318</v>
      </c>
      <c r="F2426" s="87" t="s">
        <v>21871</v>
      </c>
      <c r="G2426" s="45" t="s">
        <v>10492</v>
      </c>
      <c r="H2426" s="55" t="s">
        <v>10493</v>
      </c>
      <c r="I2426" s="15" t="s">
        <v>619</v>
      </c>
    </row>
    <row r="2427" spans="1:9" ht="51.75" customHeight="1" x14ac:dyDescent="0.35">
      <c r="A2427" s="15" t="s">
        <v>24503</v>
      </c>
      <c r="B2427" s="15" t="s">
        <v>28319</v>
      </c>
      <c r="C2427" s="15" t="s">
        <v>28320</v>
      </c>
      <c r="D2427" s="31" t="s">
        <v>50</v>
      </c>
      <c r="E2427" s="15" t="s">
        <v>28321</v>
      </c>
      <c r="F2427" s="87" t="s">
        <v>21871</v>
      </c>
      <c r="G2427" s="45" t="s">
        <v>10492</v>
      </c>
      <c r="H2427" s="55" t="s">
        <v>10493</v>
      </c>
      <c r="I2427" s="15" t="s">
        <v>619</v>
      </c>
    </row>
    <row r="2428" spans="1:9" ht="51.75" customHeight="1" x14ac:dyDescent="0.35">
      <c r="A2428" s="15" t="s">
        <v>25173</v>
      </c>
      <c r="B2428" s="15" t="s">
        <v>28322</v>
      </c>
      <c r="C2428" s="15" t="s">
        <v>28323</v>
      </c>
      <c r="D2428" s="31" t="s">
        <v>50</v>
      </c>
      <c r="E2428" s="15" t="s">
        <v>28324</v>
      </c>
      <c r="F2428" s="87" t="s">
        <v>21871</v>
      </c>
      <c r="G2428" s="45" t="s">
        <v>10492</v>
      </c>
      <c r="H2428" s="55" t="s">
        <v>10493</v>
      </c>
      <c r="I2428" s="15" t="s">
        <v>619</v>
      </c>
    </row>
    <row r="2429" spans="1:9" ht="51.75" customHeight="1" x14ac:dyDescent="0.35">
      <c r="A2429" s="15" t="s">
        <v>26296</v>
      </c>
      <c r="B2429" s="15" t="s">
        <v>28325</v>
      </c>
      <c r="C2429" s="15" t="s">
        <v>28326</v>
      </c>
      <c r="D2429" s="31" t="s">
        <v>50</v>
      </c>
      <c r="E2429" s="15" t="s">
        <v>28327</v>
      </c>
      <c r="F2429" s="87" t="s">
        <v>21871</v>
      </c>
      <c r="G2429" s="45" t="s">
        <v>10492</v>
      </c>
      <c r="H2429" s="55" t="s">
        <v>10493</v>
      </c>
      <c r="I2429" s="15" t="s">
        <v>619</v>
      </c>
    </row>
    <row r="2430" spans="1:9" ht="51.75" customHeight="1" x14ac:dyDescent="0.35">
      <c r="A2430" s="15" t="s">
        <v>23345</v>
      </c>
      <c r="B2430" s="15" t="s">
        <v>28328</v>
      </c>
      <c r="C2430" s="15" t="s">
        <v>28329</v>
      </c>
      <c r="D2430" s="31" t="s">
        <v>50</v>
      </c>
      <c r="E2430" s="15" t="s">
        <v>28330</v>
      </c>
      <c r="F2430" s="87" t="s">
        <v>21871</v>
      </c>
      <c r="G2430" s="45" t="s">
        <v>10565</v>
      </c>
      <c r="H2430" s="55" t="s">
        <v>10566</v>
      </c>
      <c r="I2430" s="15" t="s">
        <v>619</v>
      </c>
    </row>
    <row r="2431" spans="1:9" ht="51.75" customHeight="1" x14ac:dyDescent="0.35">
      <c r="A2431" s="15" t="s">
        <v>28331</v>
      </c>
      <c r="B2431" s="15" t="s">
        <v>28332</v>
      </c>
      <c r="C2431" s="15" t="s">
        <v>28333</v>
      </c>
      <c r="D2431" s="31" t="s">
        <v>50</v>
      </c>
      <c r="E2431" s="15" t="s">
        <v>28334</v>
      </c>
      <c r="F2431" s="87" t="s">
        <v>21871</v>
      </c>
      <c r="G2431" s="45" t="s">
        <v>10768</v>
      </c>
      <c r="H2431" s="55" t="s">
        <v>10769</v>
      </c>
      <c r="I2431" s="15" t="s">
        <v>619</v>
      </c>
    </row>
    <row r="2432" spans="1:9" ht="51.75" customHeight="1" x14ac:dyDescent="0.35">
      <c r="A2432" s="15" t="s">
        <v>28335</v>
      </c>
      <c r="B2432" s="15" t="s">
        <v>28336</v>
      </c>
      <c r="C2432" s="15" t="s">
        <v>28337</v>
      </c>
      <c r="D2432" s="31" t="s">
        <v>50</v>
      </c>
      <c r="E2432" s="15" t="s">
        <v>28338</v>
      </c>
      <c r="F2432" s="87" t="s">
        <v>21871</v>
      </c>
      <c r="G2432" s="45" t="s">
        <v>10768</v>
      </c>
      <c r="H2432" s="55" t="s">
        <v>10769</v>
      </c>
      <c r="I2432" s="15" t="s">
        <v>619</v>
      </c>
    </row>
    <row r="2433" spans="1:9" ht="51.75" customHeight="1" x14ac:dyDescent="0.35">
      <c r="A2433" s="15" t="s">
        <v>23759</v>
      </c>
      <c r="B2433" s="15" t="s">
        <v>28339</v>
      </c>
      <c r="C2433" s="15" t="s">
        <v>28340</v>
      </c>
      <c r="D2433" s="31" t="s">
        <v>50</v>
      </c>
      <c r="E2433" s="15" t="s">
        <v>28341</v>
      </c>
      <c r="F2433" s="87" t="s">
        <v>21871</v>
      </c>
      <c r="G2433" s="45" t="s">
        <v>10768</v>
      </c>
      <c r="H2433" s="55" t="s">
        <v>10769</v>
      </c>
      <c r="I2433" s="15" t="s">
        <v>619</v>
      </c>
    </row>
    <row r="2434" spans="1:9" ht="51.75" customHeight="1" x14ac:dyDescent="0.35">
      <c r="A2434" s="15" t="s">
        <v>23264</v>
      </c>
      <c r="B2434" s="15" t="s">
        <v>28342</v>
      </c>
      <c r="C2434" s="15" t="s">
        <v>28343</v>
      </c>
      <c r="D2434" s="31">
        <v>42549</v>
      </c>
      <c r="E2434" s="15" t="s">
        <v>28344</v>
      </c>
      <c r="F2434" s="87" t="s">
        <v>21871</v>
      </c>
      <c r="G2434" s="45" t="s">
        <v>10872</v>
      </c>
      <c r="H2434" s="55" t="s">
        <v>10873</v>
      </c>
      <c r="I2434" s="15" t="s">
        <v>619</v>
      </c>
    </row>
    <row r="2435" spans="1:9" ht="51.75" customHeight="1" x14ac:dyDescent="0.35">
      <c r="A2435" s="15" t="s">
        <v>22223</v>
      </c>
      <c r="B2435" s="15" t="s">
        <v>28345</v>
      </c>
      <c r="C2435" s="15" t="s">
        <v>28346</v>
      </c>
      <c r="D2435" s="31">
        <v>42549</v>
      </c>
      <c r="E2435" s="15" t="s">
        <v>28347</v>
      </c>
      <c r="F2435" s="87" t="s">
        <v>21871</v>
      </c>
      <c r="G2435" s="45" t="s">
        <v>10872</v>
      </c>
      <c r="H2435" s="55" t="s">
        <v>10873</v>
      </c>
      <c r="I2435" s="15" t="s">
        <v>619</v>
      </c>
    </row>
    <row r="2436" spans="1:9" ht="51.75" customHeight="1" x14ac:dyDescent="0.35">
      <c r="A2436" s="15" t="s">
        <v>25173</v>
      </c>
      <c r="B2436" s="15" t="s">
        <v>28348</v>
      </c>
      <c r="C2436" s="15" t="s">
        <v>28349</v>
      </c>
      <c r="D2436" s="31">
        <v>42521</v>
      </c>
      <c r="E2436" s="15" t="s">
        <v>28350</v>
      </c>
      <c r="F2436" s="87" t="s">
        <v>21871</v>
      </c>
      <c r="G2436" s="45" t="s">
        <v>10944</v>
      </c>
      <c r="H2436" s="55" t="s">
        <v>10945</v>
      </c>
      <c r="I2436" s="15" t="s">
        <v>619</v>
      </c>
    </row>
    <row r="2437" spans="1:9" ht="51.75" customHeight="1" x14ac:dyDescent="0.35">
      <c r="A2437" s="15" t="s">
        <v>26296</v>
      </c>
      <c r="B2437" s="15" t="s">
        <v>28351</v>
      </c>
      <c r="C2437" s="15" t="s">
        <v>28352</v>
      </c>
      <c r="D2437" s="31">
        <v>42521</v>
      </c>
      <c r="E2437" s="15" t="s">
        <v>28353</v>
      </c>
      <c r="F2437" s="87" t="s">
        <v>21871</v>
      </c>
      <c r="G2437" s="45" t="s">
        <v>10944</v>
      </c>
      <c r="H2437" s="55" t="s">
        <v>10945</v>
      </c>
      <c r="I2437" s="15" t="s">
        <v>619</v>
      </c>
    </row>
    <row r="2438" spans="1:9" ht="51.75" customHeight="1" x14ac:dyDescent="0.35">
      <c r="A2438" s="15" t="s">
        <v>22952</v>
      </c>
      <c r="B2438" s="15" t="s">
        <v>28354</v>
      </c>
      <c r="C2438" s="15" t="s">
        <v>28355</v>
      </c>
      <c r="D2438" s="31">
        <v>42549</v>
      </c>
      <c r="E2438" s="15" t="s">
        <v>28356</v>
      </c>
      <c r="F2438" s="87" t="s">
        <v>21871</v>
      </c>
      <c r="G2438" s="45" t="s">
        <v>10993</v>
      </c>
      <c r="H2438" s="55" t="s">
        <v>10994</v>
      </c>
      <c r="I2438" s="15" t="s">
        <v>619</v>
      </c>
    </row>
    <row r="2439" spans="1:9" ht="51.75" customHeight="1" x14ac:dyDescent="0.35">
      <c r="A2439" s="15" t="s">
        <v>22956</v>
      </c>
      <c r="B2439" s="15" t="s">
        <v>28357</v>
      </c>
      <c r="C2439" s="15" t="s">
        <v>28358</v>
      </c>
      <c r="D2439" s="31">
        <v>42549</v>
      </c>
      <c r="E2439" s="15" t="s">
        <v>28359</v>
      </c>
      <c r="F2439" s="87" t="s">
        <v>21871</v>
      </c>
      <c r="G2439" s="45" t="s">
        <v>10993</v>
      </c>
      <c r="H2439" s="55" t="s">
        <v>10994</v>
      </c>
      <c r="I2439" s="15" t="s">
        <v>619</v>
      </c>
    </row>
    <row r="2440" spans="1:9" ht="51.75" customHeight="1" x14ac:dyDescent="0.35">
      <c r="A2440" s="15" t="s">
        <v>22960</v>
      </c>
      <c r="B2440" s="15" t="s">
        <v>28360</v>
      </c>
      <c r="C2440" s="15" t="s">
        <v>28361</v>
      </c>
      <c r="D2440" s="31">
        <v>42549</v>
      </c>
      <c r="E2440" s="15" t="s">
        <v>28362</v>
      </c>
      <c r="F2440" s="87" t="s">
        <v>21871</v>
      </c>
      <c r="G2440" s="45" t="s">
        <v>10993</v>
      </c>
      <c r="H2440" s="55" t="s">
        <v>10994</v>
      </c>
      <c r="I2440" s="15" t="s">
        <v>619</v>
      </c>
    </row>
    <row r="2441" spans="1:9" ht="51.75" customHeight="1" x14ac:dyDescent="0.35">
      <c r="A2441" s="15" t="s">
        <v>22964</v>
      </c>
      <c r="B2441" s="15" t="s">
        <v>28363</v>
      </c>
      <c r="C2441" s="15" t="s">
        <v>28364</v>
      </c>
      <c r="D2441" s="31">
        <v>42183</v>
      </c>
      <c r="E2441" s="15" t="s">
        <v>28365</v>
      </c>
      <c r="F2441" s="87" t="s">
        <v>21871</v>
      </c>
      <c r="G2441" s="45" t="s">
        <v>10993</v>
      </c>
      <c r="H2441" s="55" t="s">
        <v>10994</v>
      </c>
      <c r="I2441" s="15" t="s">
        <v>619</v>
      </c>
    </row>
    <row r="2442" spans="1:9" ht="51.75" customHeight="1" x14ac:dyDescent="0.35">
      <c r="A2442" s="15" t="s">
        <v>22968</v>
      </c>
      <c r="B2442" s="15" t="s">
        <v>28366</v>
      </c>
      <c r="C2442" s="15" t="s">
        <v>28367</v>
      </c>
      <c r="D2442" s="31">
        <v>42549</v>
      </c>
      <c r="E2442" s="15" t="s">
        <v>28368</v>
      </c>
      <c r="F2442" s="87" t="s">
        <v>21871</v>
      </c>
      <c r="G2442" s="45" t="s">
        <v>10993</v>
      </c>
      <c r="H2442" s="55" t="s">
        <v>10994</v>
      </c>
      <c r="I2442" s="15" t="s">
        <v>619</v>
      </c>
    </row>
    <row r="2443" spans="1:9" ht="51.75" customHeight="1" x14ac:dyDescent="0.35">
      <c r="A2443" s="15" t="s">
        <v>28369</v>
      </c>
      <c r="B2443" s="15" t="s">
        <v>28370</v>
      </c>
      <c r="C2443" s="15" t="s">
        <v>28371</v>
      </c>
      <c r="D2443" s="31">
        <v>42549</v>
      </c>
      <c r="E2443" s="15" t="s">
        <v>28372</v>
      </c>
      <c r="F2443" s="87" t="s">
        <v>21871</v>
      </c>
      <c r="G2443" s="45" t="s">
        <v>10993</v>
      </c>
      <c r="H2443" s="55" t="s">
        <v>10994</v>
      </c>
      <c r="I2443" s="15" t="s">
        <v>619</v>
      </c>
    </row>
    <row r="2444" spans="1:9" ht="51.75" customHeight="1" x14ac:dyDescent="0.35">
      <c r="A2444" s="15" t="s">
        <v>23345</v>
      </c>
      <c r="B2444" s="15" t="s">
        <v>28373</v>
      </c>
      <c r="C2444" s="15" t="s">
        <v>28374</v>
      </c>
      <c r="D2444" s="31">
        <v>42703</v>
      </c>
      <c r="E2444" s="15" t="s">
        <v>28375</v>
      </c>
      <c r="F2444" s="87" t="s">
        <v>21871</v>
      </c>
      <c r="G2444" s="45" t="s">
        <v>11163</v>
      </c>
      <c r="H2444" s="55" t="s">
        <v>11164</v>
      </c>
      <c r="I2444" s="15" t="s">
        <v>619</v>
      </c>
    </row>
    <row r="2445" spans="1:9" ht="51.75" customHeight="1" x14ac:dyDescent="0.35">
      <c r="A2445" s="15" t="s">
        <v>25663</v>
      </c>
      <c r="B2445" s="15" t="s">
        <v>28376</v>
      </c>
      <c r="C2445" s="15" t="s">
        <v>28377</v>
      </c>
      <c r="D2445" s="31" t="s">
        <v>50</v>
      </c>
      <c r="E2445" s="15" t="s">
        <v>28378</v>
      </c>
      <c r="F2445" s="87" t="s">
        <v>21871</v>
      </c>
      <c r="G2445" s="45" t="s">
        <v>11214</v>
      </c>
      <c r="H2445" s="55" t="s">
        <v>11215</v>
      </c>
      <c r="I2445" s="15" t="s">
        <v>619</v>
      </c>
    </row>
    <row r="2446" spans="1:9" ht="51.75" customHeight="1" x14ac:dyDescent="0.35">
      <c r="A2446" s="15" t="s">
        <v>25027</v>
      </c>
      <c r="B2446" s="15" t="s">
        <v>28379</v>
      </c>
      <c r="C2446" s="15" t="s">
        <v>28380</v>
      </c>
      <c r="D2446" s="31" t="s">
        <v>50</v>
      </c>
      <c r="E2446" s="15" t="s">
        <v>28381</v>
      </c>
      <c r="F2446" s="87" t="s">
        <v>21871</v>
      </c>
      <c r="G2446" s="45" t="s">
        <v>11214</v>
      </c>
      <c r="H2446" s="55" t="s">
        <v>11215</v>
      </c>
      <c r="I2446" s="15" t="s">
        <v>619</v>
      </c>
    </row>
    <row r="2447" spans="1:9" ht="51.75" customHeight="1" x14ac:dyDescent="0.35">
      <c r="A2447" s="15" t="s">
        <v>28382</v>
      </c>
      <c r="B2447" s="15" t="s">
        <v>28383</v>
      </c>
      <c r="C2447" s="15" t="s">
        <v>28384</v>
      </c>
      <c r="D2447" s="31" t="s">
        <v>50</v>
      </c>
      <c r="E2447" s="15" t="s">
        <v>28385</v>
      </c>
      <c r="F2447" s="87" t="s">
        <v>21871</v>
      </c>
      <c r="G2447" s="45" t="s">
        <v>11028</v>
      </c>
      <c r="H2447" s="55" t="s">
        <v>11029</v>
      </c>
      <c r="I2447" s="15" t="s">
        <v>619</v>
      </c>
    </row>
    <row r="2448" spans="1:9" ht="51.75" customHeight="1" x14ac:dyDescent="0.35">
      <c r="A2448" s="15" t="s">
        <v>28386</v>
      </c>
      <c r="B2448" s="15" t="s">
        <v>28387</v>
      </c>
      <c r="C2448" s="15" t="s">
        <v>28388</v>
      </c>
      <c r="D2448" s="31" t="s">
        <v>50</v>
      </c>
      <c r="E2448" s="15" t="s">
        <v>28389</v>
      </c>
      <c r="F2448" s="87" t="s">
        <v>21871</v>
      </c>
      <c r="G2448" s="45" t="s">
        <v>11028</v>
      </c>
      <c r="H2448" s="55" t="s">
        <v>11029</v>
      </c>
      <c r="I2448" s="15" t="s">
        <v>619</v>
      </c>
    </row>
    <row r="2449" spans="1:9" ht="51.75" customHeight="1" x14ac:dyDescent="0.35">
      <c r="A2449" s="15" t="s">
        <v>23349</v>
      </c>
      <c r="B2449" s="15" t="s">
        <v>28390</v>
      </c>
      <c r="C2449" s="15" t="s">
        <v>28391</v>
      </c>
      <c r="D2449" s="31">
        <v>42703</v>
      </c>
      <c r="E2449" s="15" t="s">
        <v>28392</v>
      </c>
      <c r="F2449" s="87" t="s">
        <v>21871</v>
      </c>
      <c r="G2449" s="45" t="s">
        <v>11537</v>
      </c>
      <c r="H2449" s="55" t="s">
        <v>11538</v>
      </c>
      <c r="I2449" s="15" t="s">
        <v>619</v>
      </c>
    </row>
    <row r="2450" spans="1:9" ht="51.75" customHeight="1" x14ac:dyDescent="0.35">
      <c r="A2450" s="15" t="s">
        <v>24503</v>
      </c>
      <c r="B2450" s="15" t="s">
        <v>28393</v>
      </c>
      <c r="C2450" s="15" t="s">
        <v>28394</v>
      </c>
      <c r="D2450" s="31">
        <v>42703</v>
      </c>
      <c r="E2450" s="15" t="s">
        <v>28395</v>
      </c>
      <c r="F2450" s="87" t="s">
        <v>21871</v>
      </c>
      <c r="G2450" s="45" t="s">
        <v>11537</v>
      </c>
      <c r="H2450" s="55" t="s">
        <v>11538</v>
      </c>
      <c r="I2450" s="15" t="s">
        <v>619</v>
      </c>
    </row>
    <row r="2451" spans="1:9" ht="51.75" customHeight="1" x14ac:dyDescent="0.35">
      <c r="A2451" s="15" t="s">
        <v>22817</v>
      </c>
      <c r="B2451" s="15" t="s">
        <v>28396</v>
      </c>
      <c r="C2451" s="15" t="s">
        <v>28397</v>
      </c>
      <c r="D2451" s="31">
        <v>42885</v>
      </c>
      <c r="E2451" s="15" t="s">
        <v>28398</v>
      </c>
      <c r="F2451" s="87" t="s">
        <v>21871</v>
      </c>
      <c r="G2451" s="45" t="s">
        <v>11547</v>
      </c>
      <c r="H2451" s="55" t="s">
        <v>11548</v>
      </c>
      <c r="I2451" s="15" t="s">
        <v>619</v>
      </c>
    </row>
    <row r="2452" spans="1:9" ht="51.75" customHeight="1" x14ac:dyDescent="0.35">
      <c r="A2452" s="15" t="s">
        <v>28399</v>
      </c>
      <c r="B2452" s="15" t="s">
        <v>28400</v>
      </c>
      <c r="C2452" s="15" t="s">
        <v>28401</v>
      </c>
      <c r="D2452" s="31">
        <v>42914</v>
      </c>
      <c r="E2452" s="15" t="s">
        <v>28402</v>
      </c>
      <c r="F2452" s="87" t="s">
        <v>21871</v>
      </c>
      <c r="G2452" s="45" t="s">
        <v>11676</v>
      </c>
      <c r="H2452" s="55" t="s">
        <v>11677</v>
      </c>
      <c r="I2452" s="15" t="s">
        <v>619</v>
      </c>
    </row>
    <row r="2453" spans="1:9" ht="51.75" customHeight="1" x14ac:dyDescent="0.35">
      <c r="A2453" s="15" t="s">
        <v>28403</v>
      </c>
      <c r="B2453" s="15" t="s">
        <v>28404</v>
      </c>
      <c r="C2453" s="15" t="s">
        <v>28405</v>
      </c>
      <c r="D2453" s="31">
        <v>42914</v>
      </c>
      <c r="E2453" s="15" t="s">
        <v>28406</v>
      </c>
      <c r="F2453" s="87" t="s">
        <v>21871</v>
      </c>
      <c r="G2453" s="45" t="s">
        <v>11676</v>
      </c>
      <c r="H2453" s="55" t="s">
        <v>11677</v>
      </c>
      <c r="I2453" s="15" t="s">
        <v>619</v>
      </c>
    </row>
    <row r="2454" spans="1:9" ht="51.75" customHeight="1" x14ac:dyDescent="0.35">
      <c r="A2454" s="15" t="s">
        <v>22614</v>
      </c>
      <c r="B2454" s="15" t="s">
        <v>28407</v>
      </c>
      <c r="C2454" s="15" t="s">
        <v>28408</v>
      </c>
      <c r="D2454" s="31">
        <v>42914</v>
      </c>
      <c r="E2454" s="15" t="s">
        <v>28409</v>
      </c>
      <c r="F2454" s="87" t="s">
        <v>21871</v>
      </c>
      <c r="G2454" s="45" t="s">
        <v>11676</v>
      </c>
      <c r="H2454" s="55" t="s">
        <v>11677</v>
      </c>
      <c r="I2454" s="15" t="s">
        <v>619</v>
      </c>
    </row>
    <row r="2455" spans="1:9" ht="51.75" customHeight="1" x14ac:dyDescent="0.35">
      <c r="A2455" s="15" t="s">
        <v>23469</v>
      </c>
      <c r="B2455" s="15" t="s">
        <v>28410</v>
      </c>
      <c r="C2455" s="15" t="s">
        <v>28411</v>
      </c>
      <c r="D2455" s="31">
        <v>42858</v>
      </c>
      <c r="E2455" s="15" t="s">
        <v>28412</v>
      </c>
      <c r="F2455" s="87" t="s">
        <v>21871</v>
      </c>
      <c r="G2455" s="45" t="s">
        <v>11708</v>
      </c>
      <c r="H2455" s="55" t="s">
        <v>11709</v>
      </c>
      <c r="I2455" s="15" t="s">
        <v>619</v>
      </c>
    </row>
    <row r="2456" spans="1:9" ht="51.75" customHeight="1" x14ac:dyDescent="0.35">
      <c r="A2456" s="15" t="s">
        <v>26429</v>
      </c>
      <c r="B2456" s="15" t="s">
        <v>28413</v>
      </c>
      <c r="C2456" s="15" t="s">
        <v>28414</v>
      </c>
      <c r="D2456" s="31">
        <v>42858</v>
      </c>
      <c r="E2456" s="15" t="s">
        <v>28415</v>
      </c>
      <c r="F2456" s="87" t="s">
        <v>21871</v>
      </c>
      <c r="G2456" s="45" t="s">
        <v>11708</v>
      </c>
      <c r="H2456" s="55" t="s">
        <v>11709</v>
      </c>
      <c r="I2456" s="15" t="s">
        <v>619</v>
      </c>
    </row>
    <row r="2457" spans="1:9" ht="51.75" customHeight="1" x14ac:dyDescent="0.35">
      <c r="A2457" s="15" t="s">
        <v>21971</v>
      </c>
      <c r="B2457" s="15" t="s">
        <v>28416</v>
      </c>
      <c r="C2457" s="15" t="s">
        <v>28417</v>
      </c>
      <c r="D2457" s="31">
        <v>42858</v>
      </c>
      <c r="E2457" s="15" t="s">
        <v>28418</v>
      </c>
      <c r="F2457" s="87" t="s">
        <v>21871</v>
      </c>
      <c r="G2457" s="45" t="s">
        <v>11708</v>
      </c>
      <c r="H2457" s="55" t="s">
        <v>11709</v>
      </c>
      <c r="I2457" s="15" t="s">
        <v>619</v>
      </c>
    </row>
    <row r="2458" spans="1:9" ht="51.75" customHeight="1" x14ac:dyDescent="0.35">
      <c r="A2458" s="15" t="s">
        <v>21975</v>
      </c>
      <c r="B2458" s="15" t="s">
        <v>28419</v>
      </c>
      <c r="C2458" s="15" t="s">
        <v>28420</v>
      </c>
      <c r="D2458" s="31">
        <v>42858</v>
      </c>
      <c r="E2458" s="15" t="s">
        <v>28421</v>
      </c>
      <c r="F2458" s="87" t="s">
        <v>21871</v>
      </c>
      <c r="G2458" s="45" t="s">
        <v>11708</v>
      </c>
      <c r="H2458" s="55" t="s">
        <v>11709</v>
      </c>
      <c r="I2458" s="15" t="s">
        <v>619</v>
      </c>
    </row>
    <row r="2459" spans="1:9" ht="51.75" customHeight="1" x14ac:dyDescent="0.35">
      <c r="A2459" s="15" t="s">
        <v>26453</v>
      </c>
      <c r="B2459" s="15" t="s">
        <v>28422</v>
      </c>
      <c r="C2459" s="15" t="s">
        <v>28423</v>
      </c>
      <c r="D2459" s="31">
        <v>42858</v>
      </c>
      <c r="E2459" s="15" t="s">
        <v>28424</v>
      </c>
      <c r="F2459" s="87" t="s">
        <v>21871</v>
      </c>
      <c r="G2459" s="45" t="s">
        <v>11708</v>
      </c>
      <c r="H2459" s="55" t="s">
        <v>11709</v>
      </c>
      <c r="I2459" s="15" t="s">
        <v>619</v>
      </c>
    </row>
    <row r="2460" spans="1:9" ht="51.75" customHeight="1" x14ac:dyDescent="0.35">
      <c r="A2460" s="15" t="s">
        <v>23213</v>
      </c>
      <c r="B2460" s="15" t="s">
        <v>28425</v>
      </c>
      <c r="C2460" s="15" t="s">
        <v>28426</v>
      </c>
      <c r="D2460" s="31">
        <v>42640</v>
      </c>
      <c r="E2460" s="15" t="s">
        <v>28427</v>
      </c>
      <c r="F2460" s="87" t="s">
        <v>21871</v>
      </c>
      <c r="G2460" s="45" t="s">
        <v>11735</v>
      </c>
      <c r="H2460" s="55" t="s">
        <v>11736</v>
      </c>
      <c r="I2460" s="15" t="s">
        <v>619</v>
      </c>
    </row>
    <row r="2461" spans="1:9" ht="51.75" customHeight="1" x14ac:dyDescent="0.35">
      <c r="A2461" s="15" t="s">
        <v>23219</v>
      </c>
      <c r="B2461" s="15" t="s">
        <v>28428</v>
      </c>
      <c r="C2461" s="15" t="s">
        <v>28429</v>
      </c>
      <c r="D2461" s="31">
        <v>42640</v>
      </c>
      <c r="E2461" s="15" t="s">
        <v>28430</v>
      </c>
      <c r="F2461" s="87" t="s">
        <v>21871</v>
      </c>
      <c r="G2461" s="45" t="s">
        <v>11735</v>
      </c>
      <c r="H2461" s="55" t="s">
        <v>11736</v>
      </c>
      <c r="I2461" s="15" t="s">
        <v>619</v>
      </c>
    </row>
    <row r="2462" spans="1:9" ht="51.75" customHeight="1" x14ac:dyDescent="0.35">
      <c r="A2462" s="15" t="s">
        <v>23341</v>
      </c>
      <c r="B2462" s="15" t="s">
        <v>28431</v>
      </c>
      <c r="C2462" s="15" t="s">
        <v>28432</v>
      </c>
      <c r="D2462" s="31">
        <v>42640</v>
      </c>
      <c r="E2462" s="15" t="s">
        <v>28433</v>
      </c>
      <c r="F2462" s="87" t="s">
        <v>21871</v>
      </c>
      <c r="G2462" s="45" t="s">
        <v>11735</v>
      </c>
      <c r="H2462" s="55" t="s">
        <v>11736</v>
      </c>
      <c r="I2462" s="15" t="s">
        <v>619</v>
      </c>
    </row>
    <row r="2463" spans="1:9" ht="51.75" customHeight="1" x14ac:dyDescent="0.35">
      <c r="A2463" s="15" t="s">
        <v>25390</v>
      </c>
      <c r="B2463" s="15" t="s">
        <v>28434</v>
      </c>
      <c r="C2463" s="15" t="s">
        <v>28435</v>
      </c>
      <c r="D2463" s="31">
        <v>42766</v>
      </c>
      <c r="E2463" s="15" t="s">
        <v>28436</v>
      </c>
      <c r="F2463" s="87" t="s">
        <v>21871</v>
      </c>
      <c r="G2463" s="45" t="s">
        <v>11905</v>
      </c>
      <c r="H2463" s="55" t="s">
        <v>11906</v>
      </c>
      <c r="I2463" s="15" t="s">
        <v>619</v>
      </c>
    </row>
    <row r="2464" spans="1:9" ht="51.75" customHeight="1" x14ac:dyDescent="0.35">
      <c r="A2464" s="15" t="s">
        <v>25377</v>
      </c>
      <c r="B2464" s="15" t="s">
        <v>28437</v>
      </c>
      <c r="C2464" s="15" t="s">
        <v>28438</v>
      </c>
      <c r="D2464" s="31">
        <v>42766</v>
      </c>
      <c r="E2464" s="15" t="s">
        <v>28439</v>
      </c>
      <c r="F2464" s="87" t="s">
        <v>21871</v>
      </c>
      <c r="G2464" s="45" t="s">
        <v>11905</v>
      </c>
      <c r="H2464" s="55" t="s">
        <v>11906</v>
      </c>
      <c r="I2464" s="15" t="s">
        <v>619</v>
      </c>
    </row>
    <row r="2465" spans="1:9" ht="51.75" customHeight="1" x14ac:dyDescent="0.35">
      <c r="A2465" s="15" t="s">
        <v>25404</v>
      </c>
      <c r="B2465" s="15" t="s">
        <v>28440</v>
      </c>
      <c r="C2465" s="15" t="s">
        <v>28441</v>
      </c>
      <c r="D2465" s="31">
        <v>42997</v>
      </c>
      <c r="E2465" s="15" t="s">
        <v>28442</v>
      </c>
      <c r="F2465" s="87" t="s">
        <v>21871</v>
      </c>
      <c r="G2465" s="45" t="s">
        <v>12060</v>
      </c>
      <c r="H2465" s="55" t="s">
        <v>12061</v>
      </c>
      <c r="I2465" s="15" t="s">
        <v>619</v>
      </c>
    </row>
    <row r="2466" spans="1:9" ht="51.75" customHeight="1" x14ac:dyDescent="0.35">
      <c r="A2466" s="15" t="s">
        <v>25410</v>
      </c>
      <c r="B2466" s="15" t="s">
        <v>28443</v>
      </c>
      <c r="C2466" s="15" t="s">
        <v>28444</v>
      </c>
      <c r="D2466" s="31">
        <v>42997</v>
      </c>
      <c r="E2466" s="15" t="s">
        <v>28445</v>
      </c>
      <c r="F2466" s="87" t="s">
        <v>21871</v>
      </c>
      <c r="G2466" s="45" t="s">
        <v>12060</v>
      </c>
      <c r="H2466" s="55" t="s">
        <v>12061</v>
      </c>
      <c r="I2466" s="15" t="s">
        <v>619</v>
      </c>
    </row>
    <row r="2467" spans="1:9" ht="51.75" customHeight="1" x14ac:dyDescent="0.35">
      <c r="A2467" s="15" t="s">
        <v>22707</v>
      </c>
      <c r="B2467" s="15" t="s">
        <v>28446</v>
      </c>
      <c r="C2467" s="15" t="s">
        <v>28447</v>
      </c>
      <c r="D2467" s="31">
        <v>42936</v>
      </c>
      <c r="E2467" s="15" t="s">
        <v>28448</v>
      </c>
      <c r="F2467" s="87" t="s">
        <v>21871</v>
      </c>
      <c r="G2467" s="45" t="s">
        <v>12215</v>
      </c>
      <c r="H2467" s="55" t="s">
        <v>12216</v>
      </c>
      <c r="I2467" s="15" t="s">
        <v>619</v>
      </c>
    </row>
    <row r="2468" spans="1:9" ht="51.75" customHeight="1" x14ac:dyDescent="0.35">
      <c r="A2468" s="15" t="s">
        <v>24929</v>
      </c>
      <c r="B2468" s="15" t="s">
        <v>28449</v>
      </c>
      <c r="C2468" s="15" t="s">
        <v>28450</v>
      </c>
      <c r="D2468" s="31">
        <v>42936</v>
      </c>
      <c r="E2468" s="15" t="s">
        <v>28451</v>
      </c>
      <c r="F2468" s="87" t="s">
        <v>21871</v>
      </c>
      <c r="G2468" s="45" t="s">
        <v>12221</v>
      </c>
      <c r="H2468" s="55" t="s">
        <v>12222</v>
      </c>
      <c r="I2468" s="15" t="s">
        <v>619</v>
      </c>
    </row>
    <row r="2469" spans="1:9" ht="51.75" customHeight="1" x14ac:dyDescent="0.35">
      <c r="A2469" s="15" t="s">
        <v>23436</v>
      </c>
      <c r="B2469" s="15" t="s">
        <v>28452</v>
      </c>
      <c r="C2469" s="15" t="s">
        <v>28453</v>
      </c>
      <c r="D2469" s="31">
        <v>42936</v>
      </c>
      <c r="E2469" s="15" t="s">
        <v>28454</v>
      </c>
      <c r="F2469" s="87" t="s">
        <v>21871</v>
      </c>
      <c r="G2469" s="45" t="s">
        <v>12221</v>
      </c>
      <c r="H2469" s="55" t="s">
        <v>12222</v>
      </c>
      <c r="I2469" s="15" t="s">
        <v>619</v>
      </c>
    </row>
    <row r="2470" spans="1:9" ht="51.75" customHeight="1" x14ac:dyDescent="0.35">
      <c r="A2470" s="15" t="s">
        <v>24503</v>
      </c>
      <c r="B2470" s="15" t="s">
        <v>28455</v>
      </c>
      <c r="C2470" s="15" t="s">
        <v>28456</v>
      </c>
      <c r="D2470" s="31">
        <v>43025</v>
      </c>
      <c r="E2470" s="15" t="s">
        <v>28457</v>
      </c>
      <c r="F2470" s="87" t="s">
        <v>21871</v>
      </c>
      <c r="G2470" s="45" t="s">
        <v>12311</v>
      </c>
      <c r="H2470" s="55" t="s">
        <v>12312</v>
      </c>
      <c r="I2470" s="15" t="s">
        <v>619</v>
      </c>
    </row>
    <row r="2471" spans="1:9" ht="51.75" customHeight="1" x14ac:dyDescent="0.35">
      <c r="A2471" s="15" t="s">
        <v>26296</v>
      </c>
      <c r="B2471" s="15" t="s">
        <v>28458</v>
      </c>
      <c r="C2471" s="15" t="s">
        <v>28459</v>
      </c>
      <c r="D2471" s="31">
        <v>43025</v>
      </c>
      <c r="E2471" s="15" t="s">
        <v>28460</v>
      </c>
      <c r="F2471" s="87" t="s">
        <v>21871</v>
      </c>
      <c r="G2471" s="45" t="s">
        <v>12311</v>
      </c>
      <c r="H2471" s="55" t="s">
        <v>12312</v>
      </c>
      <c r="I2471" s="15" t="s">
        <v>619</v>
      </c>
    </row>
    <row r="2472" spans="1:9" ht="51.75" customHeight="1" x14ac:dyDescent="0.35">
      <c r="A2472" s="15" t="s">
        <v>24774</v>
      </c>
      <c r="B2472" s="15" t="s">
        <v>28461</v>
      </c>
      <c r="C2472" s="15" t="s">
        <v>28462</v>
      </c>
      <c r="D2472" s="31">
        <v>43025</v>
      </c>
      <c r="E2472" s="15" t="s">
        <v>28463</v>
      </c>
      <c r="F2472" s="87" t="s">
        <v>21871</v>
      </c>
      <c r="G2472" s="45" t="s">
        <v>12311</v>
      </c>
      <c r="H2472" s="55" t="s">
        <v>12312</v>
      </c>
      <c r="I2472" s="15" t="s">
        <v>619</v>
      </c>
    </row>
    <row r="2473" spans="1:9" ht="51.75" customHeight="1" x14ac:dyDescent="0.35">
      <c r="A2473" s="15" t="s">
        <v>24786</v>
      </c>
      <c r="B2473" s="15" t="s">
        <v>28464</v>
      </c>
      <c r="C2473" s="15" t="s">
        <v>28465</v>
      </c>
      <c r="D2473" s="31">
        <v>43025</v>
      </c>
      <c r="E2473" s="15" t="s">
        <v>28466</v>
      </c>
      <c r="F2473" s="87" t="s">
        <v>21871</v>
      </c>
      <c r="G2473" s="45" t="s">
        <v>12311</v>
      </c>
      <c r="H2473" s="55" t="s">
        <v>12312</v>
      </c>
      <c r="I2473" s="15" t="s">
        <v>619</v>
      </c>
    </row>
    <row r="2474" spans="1:9" ht="51.75" customHeight="1" x14ac:dyDescent="0.35">
      <c r="A2474" s="15" t="s">
        <v>25723</v>
      </c>
      <c r="B2474" s="15" t="s">
        <v>28467</v>
      </c>
      <c r="C2474" s="15" t="s">
        <v>28468</v>
      </c>
      <c r="D2474" s="31">
        <v>43154</v>
      </c>
      <c r="E2474" s="15" t="s">
        <v>28469</v>
      </c>
      <c r="F2474" s="87" t="s">
        <v>21871</v>
      </c>
      <c r="G2474" s="45" t="s">
        <v>12431</v>
      </c>
      <c r="H2474" s="55" t="s">
        <v>12432</v>
      </c>
      <c r="I2474" s="15" t="s">
        <v>619</v>
      </c>
    </row>
    <row r="2475" spans="1:9" ht="51.75" customHeight="1" x14ac:dyDescent="0.35">
      <c r="A2475" s="15" t="s">
        <v>26615</v>
      </c>
      <c r="B2475" s="15" t="s">
        <v>28470</v>
      </c>
      <c r="C2475" s="15" t="s">
        <v>28471</v>
      </c>
      <c r="D2475" s="31">
        <v>43553</v>
      </c>
      <c r="E2475" s="15" t="s">
        <v>28472</v>
      </c>
      <c r="F2475" s="87" t="s">
        <v>21871</v>
      </c>
      <c r="G2475" s="45" t="s">
        <v>12736</v>
      </c>
      <c r="H2475" s="55" t="s">
        <v>12737</v>
      </c>
      <c r="I2475" s="15" t="s">
        <v>619</v>
      </c>
    </row>
    <row r="2476" spans="1:9" ht="51.75" customHeight="1" x14ac:dyDescent="0.35">
      <c r="A2476" s="15" t="s">
        <v>25717</v>
      </c>
      <c r="B2476" s="15" t="s">
        <v>28473</v>
      </c>
      <c r="C2476" s="15" t="s">
        <v>28474</v>
      </c>
      <c r="D2476" s="31">
        <v>43553</v>
      </c>
      <c r="E2476" s="15" t="s">
        <v>28475</v>
      </c>
      <c r="F2476" s="87" t="s">
        <v>21871</v>
      </c>
      <c r="G2476" s="45" t="s">
        <v>12736</v>
      </c>
      <c r="H2476" s="55" t="s">
        <v>12737</v>
      </c>
      <c r="I2476" s="15" t="s">
        <v>619</v>
      </c>
    </row>
    <row r="2477" spans="1:9" ht="51.75" customHeight="1" x14ac:dyDescent="0.35">
      <c r="A2477" s="15" t="s">
        <v>26618</v>
      </c>
      <c r="B2477" s="15" t="s">
        <v>28476</v>
      </c>
      <c r="C2477" s="15" t="s">
        <v>28477</v>
      </c>
      <c r="D2477" s="31">
        <v>43553</v>
      </c>
      <c r="E2477" s="15" t="s">
        <v>28478</v>
      </c>
      <c r="F2477" s="87" t="s">
        <v>21871</v>
      </c>
      <c r="G2477" s="45" t="s">
        <v>12736</v>
      </c>
      <c r="H2477" s="55" t="s">
        <v>12737</v>
      </c>
      <c r="I2477" s="15" t="s">
        <v>619</v>
      </c>
    </row>
    <row r="2478" spans="1:9" ht="51.75" customHeight="1" x14ac:dyDescent="0.35">
      <c r="A2478" s="15" t="s">
        <v>25723</v>
      </c>
      <c r="B2478" s="15" t="s">
        <v>28479</v>
      </c>
      <c r="C2478" s="15" t="s">
        <v>28480</v>
      </c>
      <c r="D2478" s="31">
        <v>43553</v>
      </c>
      <c r="E2478" s="15" t="s">
        <v>28481</v>
      </c>
      <c r="F2478" s="87" t="s">
        <v>21871</v>
      </c>
      <c r="G2478" s="45" t="s">
        <v>12736</v>
      </c>
      <c r="H2478" s="55" t="s">
        <v>12737</v>
      </c>
      <c r="I2478" s="15" t="s">
        <v>619</v>
      </c>
    </row>
    <row r="2479" spans="1:9" ht="51.75" customHeight="1" x14ac:dyDescent="0.35">
      <c r="A2479" s="15" t="s">
        <v>26621</v>
      </c>
      <c r="B2479" s="15" t="s">
        <v>28482</v>
      </c>
      <c r="C2479" s="15" t="s">
        <v>28483</v>
      </c>
      <c r="D2479" s="31">
        <v>43553</v>
      </c>
      <c r="E2479" s="15" t="s">
        <v>28484</v>
      </c>
      <c r="F2479" s="87" t="s">
        <v>21871</v>
      </c>
      <c r="G2479" s="45" t="s">
        <v>12736</v>
      </c>
      <c r="H2479" s="55" t="s">
        <v>12737</v>
      </c>
      <c r="I2479" s="15" t="s">
        <v>619</v>
      </c>
    </row>
    <row r="2480" spans="1:9" ht="51.75" customHeight="1" x14ac:dyDescent="0.35">
      <c r="A2480" s="15" t="s">
        <v>28485</v>
      </c>
      <c r="B2480" s="15" t="s">
        <v>28486</v>
      </c>
      <c r="C2480" s="15" t="s">
        <v>28487</v>
      </c>
      <c r="D2480" s="31">
        <v>43553</v>
      </c>
      <c r="E2480" s="15" t="s">
        <v>28488</v>
      </c>
      <c r="F2480" s="87" t="s">
        <v>21871</v>
      </c>
      <c r="G2480" s="45" t="s">
        <v>12736</v>
      </c>
      <c r="H2480" s="55" t="s">
        <v>12737</v>
      </c>
      <c r="I2480" s="15" t="s">
        <v>619</v>
      </c>
    </row>
    <row r="2481" spans="1:9" ht="51.75" customHeight="1" x14ac:dyDescent="0.35">
      <c r="A2481" s="15" t="s">
        <v>23341</v>
      </c>
      <c r="B2481" s="15" t="s">
        <v>28489</v>
      </c>
      <c r="C2481" s="15" t="s">
        <v>28490</v>
      </c>
      <c r="D2481" s="31">
        <v>43025</v>
      </c>
      <c r="E2481" s="15" t="s">
        <v>28491</v>
      </c>
      <c r="F2481" s="87" t="s">
        <v>21871</v>
      </c>
      <c r="G2481" s="45" t="s">
        <v>12588</v>
      </c>
      <c r="H2481" s="55" t="s">
        <v>12589</v>
      </c>
      <c r="I2481" s="15" t="s">
        <v>619</v>
      </c>
    </row>
    <row r="2482" spans="1:9" ht="51.75" customHeight="1" x14ac:dyDescent="0.35">
      <c r="A2482" s="15" t="s">
        <v>23349</v>
      </c>
      <c r="B2482" s="15" t="s">
        <v>28492</v>
      </c>
      <c r="C2482" s="15" t="s">
        <v>28493</v>
      </c>
      <c r="D2482" s="31">
        <v>43025</v>
      </c>
      <c r="E2482" s="15" t="s">
        <v>28494</v>
      </c>
      <c r="F2482" s="87" t="s">
        <v>21871</v>
      </c>
      <c r="G2482" s="45" t="s">
        <v>12588</v>
      </c>
      <c r="H2482" s="55" t="s">
        <v>12589</v>
      </c>
      <c r="I2482" s="15" t="s">
        <v>619</v>
      </c>
    </row>
    <row r="2483" spans="1:9" ht="51.75" customHeight="1" x14ac:dyDescent="0.35">
      <c r="A2483" s="15" t="s">
        <v>26511</v>
      </c>
      <c r="B2483" s="15" t="s">
        <v>28495</v>
      </c>
      <c r="C2483" s="15" t="s">
        <v>28496</v>
      </c>
      <c r="D2483" s="31">
        <v>43245</v>
      </c>
      <c r="E2483" s="15" t="s">
        <v>28497</v>
      </c>
      <c r="F2483" s="87" t="s">
        <v>21871</v>
      </c>
      <c r="G2483" s="45" t="s">
        <v>12777</v>
      </c>
      <c r="H2483" s="55" t="s">
        <v>12778</v>
      </c>
      <c r="I2483" s="15" t="s">
        <v>619</v>
      </c>
    </row>
    <row r="2484" spans="1:9" ht="51.75" customHeight="1" x14ac:dyDescent="0.35">
      <c r="A2484" s="15" t="s">
        <v>22971</v>
      </c>
      <c r="B2484" s="15" t="s">
        <v>28498</v>
      </c>
      <c r="C2484" s="15" t="s">
        <v>28499</v>
      </c>
      <c r="D2484" s="31">
        <v>43245</v>
      </c>
      <c r="E2484" s="15" t="s">
        <v>28500</v>
      </c>
      <c r="F2484" s="87" t="s">
        <v>21871</v>
      </c>
      <c r="G2484" s="45" t="s">
        <v>12777</v>
      </c>
      <c r="H2484" s="55" t="s">
        <v>12778</v>
      </c>
      <c r="I2484" s="15" t="s">
        <v>619</v>
      </c>
    </row>
    <row r="2485" spans="1:9" ht="51.75" customHeight="1" x14ac:dyDescent="0.35">
      <c r="A2485" s="15" t="s">
        <v>25584</v>
      </c>
      <c r="B2485" s="15" t="s">
        <v>28501</v>
      </c>
      <c r="C2485" s="15" t="s">
        <v>28502</v>
      </c>
      <c r="D2485" s="31">
        <v>43299</v>
      </c>
      <c r="E2485" s="15" t="s">
        <v>28503</v>
      </c>
      <c r="F2485" s="87" t="s">
        <v>21871</v>
      </c>
      <c r="G2485" s="45" t="s">
        <v>12908</v>
      </c>
      <c r="H2485" s="55" t="s">
        <v>12909</v>
      </c>
      <c r="I2485" s="15" t="s">
        <v>619</v>
      </c>
    </row>
    <row r="2486" spans="1:9" ht="51.75" customHeight="1" x14ac:dyDescent="0.35">
      <c r="A2486" s="15" t="s">
        <v>25590</v>
      </c>
      <c r="B2486" s="15" t="s">
        <v>28504</v>
      </c>
      <c r="C2486" s="15" t="s">
        <v>28505</v>
      </c>
      <c r="D2486" s="31">
        <v>43299</v>
      </c>
      <c r="E2486" s="15" t="s">
        <v>28506</v>
      </c>
      <c r="F2486" s="87" t="s">
        <v>21871</v>
      </c>
      <c r="G2486" s="45" t="s">
        <v>12908</v>
      </c>
      <c r="H2486" s="55" t="s">
        <v>12909</v>
      </c>
      <c r="I2486" s="15" t="s">
        <v>619</v>
      </c>
    </row>
    <row r="2487" spans="1:9" ht="51.75" customHeight="1" x14ac:dyDescent="0.35">
      <c r="A2487" s="15" t="s">
        <v>25595</v>
      </c>
      <c r="B2487" s="15" t="s">
        <v>28507</v>
      </c>
      <c r="C2487" s="15" t="s">
        <v>28508</v>
      </c>
      <c r="D2487" s="31">
        <v>43299</v>
      </c>
      <c r="E2487" s="15" t="s">
        <v>28509</v>
      </c>
      <c r="F2487" s="87" t="s">
        <v>21871</v>
      </c>
      <c r="G2487" s="45" t="s">
        <v>12908</v>
      </c>
      <c r="H2487" s="55" t="s">
        <v>12909</v>
      </c>
      <c r="I2487" s="15" t="s">
        <v>619</v>
      </c>
    </row>
    <row r="2488" spans="1:9" ht="51.75" customHeight="1" x14ac:dyDescent="0.35">
      <c r="A2488" s="15" t="s">
        <v>25607</v>
      </c>
      <c r="B2488" s="15" t="s">
        <v>28510</v>
      </c>
      <c r="C2488" s="15" t="s">
        <v>28511</v>
      </c>
      <c r="D2488" s="31">
        <v>43299</v>
      </c>
      <c r="E2488" s="15" t="s">
        <v>28512</v>
      </c>
      <c r="F2488" s="87" t="s">
        <v>21871</v>
      </c>
      <c r="G2488" s="45" t="s">
        <v>12908</v>
      </c>
      <c r="H2488" s="55" t="s">
        <v>12909</v>
      </c>
      <c r="I2488" s="15" t="s">
        <v>619</v>
      </c>
    </row>
    <row r="2489" spans="1:9" ht="51.75" customHeight="1" x14ac:dyDescent="0.35">
      <c r="A2489" s="15" t="s">
        <v>22858</v>
      </c>
      <c r="B2489" s="15" t="s">
        <v>28513</v>
      </c>
      <c r="C2489" s="15" t="s">
        <v>28514</v>
      </c>
      <c r="D2489" s="31">
        <v>43181</v>
      </c>
      <c r="E2489" s="15" t="s">
        <v>28515</v>
      </c>
      <c r="F2489" s="87" t="s">
        <v>21871</v>
      </c>
      <c r="G2489" s="45" t="s">
        <v>12914</v>
      </c>
      <c r="H2489" s="55" t="s">
        <v>12915</v>
      </c>
      <c r="I2489" s="15" t="s">
        <v>619</v>
      </c>
    </row>
    <row r="2490" spans="1:9" ht="51.75" customHeight="1" x14ac:dyDescent="0.35">
      <c r="A2490" s="15" t="s">
        <v>22866</v>
      </c>
      <c r="B2490" s="15" t="s">
        <v>28516</v>
      </c>
      <c r="C2490" s="15" t="s">
        <v>28517</v>
      </c>
      <c r="D2490" s="31">
        <v>43181</v>
      </c>
      <c r="E2490" s="15" t="s">
        <v>28518</v>
      </c>
      <c r="F2490" s="87" t="s">
        <v>21871</v>
      </c>
      <c r="G2490" s="45" t="s">
        <v>12914</v>
      </c>
      <c r="H2490" s="55" t="s">
        <v>12915</v>
      </c>
      <c r="I2490" s="15" t="s">
        <v>619</v>
      </c>
    </row>
    <row r="2491" spans="1:9" ht="51.75" customHeight="1" x14ac:dyDescent="0.35">
      <c r="A2491" s="15" t="s">
        <v>22065</v>
      </c>
      <c r="B2491" s="15" t="s">
        <v>28519</v>
      </c>
      <c r="C2491" s="15" t="s">
        <v>28520</v>
      </c>
      <c r="D2491" s="31">
        <v>43299</v>
      </c>
      <c r="E2491" s="15" t="s">
        <v>28521</v>
      </c>
      <c r="F2491" s="87" t="s">
        <v>21871</v>
      </c>
      <c r="G2491" s="45" t="s">
        <v>13107</v>
      </c>
      <c r="H2491" s="55" t="s">
        <v>13108</v>
      </c>
      <c r="I2491" s="15" t="s">
        <v>619</v>
      </c>
    </row>
    <row r="2492" spans="1:9" ht="51.75" customHeight="1" x14ac:dyDescent="0.35">
      <c r="A2492" s="15" t="s">
        <v>22071</v>
      </c>
      <c r="B2492" s="15" t="s">
        <v>28522</v>
      </c>
      <c r="C2492" s="15" t="s">
        <v>28523</v>
      </c>
      <c r="D2492" s="31">
        <v>43299</v>
      </c>
      <c r="E2492" s="15" t="s">
        <v>28524</v>
      </c>
      <c r="F2492" s="87" t="s">
        <v>21871</v>
      </c>
      <c r="G2492" s="45" t="s">
        <v>13107</v>
      </c>
      <c r="H2492" s="55" t="s">
        <v>13108</v>
      </c>
      <c r="I2492" s="15" t="s">
        <v>619</v>
      </c>
    </row>
    <row r="2493" spans="1:9" ht="51.75" customHeight="1" x14ac:dyDescent="0.35">
      <c r="A2493" s="15" t="s">
        <v>28525</v>
      </c>
      <c r="B2493" s="15" t="s">
        <v>28526</v>
      </c>
      <c r="C2493" s="15" t="s">
        <v>28527</v>
      </c>
      <c r="D2493" s="31">
        <v>43299</v>
      </c>
      <c r="E2493" s="15" t="s">
        <v>28528</v>
      </c>
      <c r="F2493" s="87" t="s">
        <v>21871</v>
      </c>
      <c r="G2493" s="45" t="s">
        <v>13107</v>
      </c>
      <c r="H2493" s="55" t="s">
        <v>13108</v>
      </c>
      <c r="I2493" s="15" t="s">
        <v>619</v>
      </c>
    </row>
    <row r="2494" spans="1:9" ht="51.75" customHeight="1" x14ac:dyDescent="0.35">
      <c r="A2494" s="15" t="s">
        <v>28529</v>
      </c>
      <c r="B2494" s="15" t="s">
        <v>28530</v>
      </c>
      <c r="C2494" s="15" t="s">
        <v>28531</v>
      </c>
      <c r="D2494" s="31">
        <v>43299</v>
      </c>
      <c r="E2494" s="15" t="s">
        <v>28532</v>
      </c>
      <c r="F2494" s="87" t="s">
        <v>21871</v>
      </c>
      <c r="G2494" s="45" t="s">
        <v>13107</v>
      </c>
      <c r="H2494" s="55" t="s">
        <v>13108</v>
      </c>
      <c r="I2494" s="15" t="s">
        <v>619</v>
      </c>
    </row>
    <row r="2495" spans="1:9" ht="51.75" customHeight="1" x14ac:dyDescent="0.35">
      <c r="A2495" s="15" t="s">
        <v>24271</v>
      </c>
      <c r="B2495" s="15" t="s">
        <v>28533</v>
      </c>
      <c r="C2495" s="15" t="s">
        <v>28534</v>
      </c>
      <c r="D2495" s="31">
        <v>43453</v>
      </c>
      <c r="E2495" s="15" t="s">
        <v>28535</v>
      </c>
      <c r="F2495" s="87" t="s">
        <v>21871</v>
      </c>
      <c r="G2495" s="45" t="s">
        <v>13143</v>
      </c>
      <c r="H2495" s="55" t="s">
        <v>13144</v>
      </c>
      <c r="I2495" s="15" t="s">
        <v>619</v>
      </c>
    </row>
    <row r="2496" spans="1:9" ht="51.75" customHeight="1" x14ac:dyDescent="0.35">
      <c r="A2496" s="15" t="s">
        <v>24276</v>
      </c>
      <c r="B2496" s="15" t="s">
        <v>28536</v>
      </c>
      <c r="C2496" s="15" t="s">
        <v>28537</v>
      </c>
      <c r="D2496" s="31">
        <v>43453</v>
      </c>
      <c r="E2496" s="15" t="s">
        <v>28538</v>
      </c>
      <c r="F2496" s="87" t="s">
        <v>21871</v>
      </c>
      <c r="G2496" s="45" t="s">
        <v>13143</v>
      </c>
      <c r="H2496" s="55" t="s">
        <v>13144</v>
      </c>
      <c r="I2496" s="15" t="s">
        <v>619</v>
      </c>
    </row>
    <row r="2497" spans="1:9" ht="51.75" customHeight="1" x14ac:dyDescent="0.35">
      <c r="A2497" s="15" t="s">
        <v>28539</v>
      </c>
      <c r="B2497" s="15" t="s">
        <v>28540</v>
      </c>
      <c r="C2497" s="15" t="s">
        <v>28541</v>
      </c>
      <c r="D2497" s="31">
        <v>43218</v>
      </c>
      <c r="E2497" s="15" t="s">
        <v>28542</v>
      </c>
      <c r="F2497" s="87" t="s">
        <v>21871</v>
      </c>
      <c r="G2497" s="45" t="s">
        <v>13263</v>
      </c>
      <c r="H2497" s="55" t="s">
        <v>13264</v>
      </c>
      <c r="I2497" s="15" t="s">
        <v>619</v>
      </c>
    </row>
    <row r="2498" spans="1:9" ht="51.75" customHeight="1" x14ac:dyDescent="0.35">
      <c r="A2498" s="15" t="s">
        <v>28335</v>
      </c>
      <c r="B2498" s="15" t="s">
        <v>28543</v>
      </c>
      <c r="C2498" s="15" t="s">
        <v>28544</v>
      </c>
      <c r="D2498" s="31">
        <v>43218</v>
      </c>
      <c r="E2498" s="15" t="s">
        <v>28545</v>
      </c>
      <c r="F2498" s="87" t="s">
        <v>21871</v>
      </c>
      <c r="G2498" s="45" t="s">
        <v>13263</v>
      </c>
      <c r="H2498" s="55" t="s">
        <v>13264</v>
      </c>
      <c r="I2498" s="15" t="s">
        <v>619</v>
      </c>
    </row>
    <row r="2499" spans="1:9" ht="51.75" customHeight="1" x14ac:dyDescent="0.35">
      <c r="A2499" s="15" t="s">
        <v>23283</v>
      </c>
      <c r="B2499" s="15" t="s">
        <v>28546</v>
      </c>
      <c r="C2499" s="15" t="s">
        <v>28547</v>
      </c>
      <c r="D2499" s="31">
        <v>43816</v>
      </c>
      <c r="E2499" s="15" t="s">
        <v>28548</v>
      </c>
      <c r="F2499" s="87" t="s">
        <v>21871</v>
      </c>
      <c r="G2499" s="45" t="s">
        <v>13424</v>
      </c>
      <c r="H2499" s="55" t="s">
        <v>13425</v>
      </c>
      <c r="I2499" s="15" t="s">
        <v>619</v>
      </c>
    </row>
    <row r="2500" spans="1:9" ht="51.75" customHeight="1" x14ac:dyDescent="0.35">
      <c r="A2500" s="15" t="s">
        <v>23252</v>
      </c>
      <c r="B2500" s="15" t="s">
        <v>28549</v>
      </c>
      <c r="C2500" s="15" t="s">
        <v>28550</v>
      </c>
      <c r="D2500" s="31">
        <v>43816</v>
      </c>
      <c r="E2500" s="15" t="s">
        <v>28551</v>
      </c>
      <c r="F2500" s="87" t="s">
        <v>21871</v>
      </c>
      <c r="G2500" s="45" t="s">
        <v>13424</v>
      </c>
      <c r="H2500" s="55" t="s">
        <v>13425</v>
      </c>
      <c r="I2500" s="15" t="s">
        <v>619</v>
      </c>
    </row>
    <row r="2501" spans="1:9" ht="51.75" customHeight="1" x14ac:dyDescent="0.35">
      <c r="A2501" s="15" t="s">
        <v>22945</v>
      </c>
      <c r="B2501" s="15" t="s">
        <v>28552</v>
      </c>
      <c r="C2501" s="15" t="s">
        <v>28553</v>
      </c>
      <c r="D2501" s="31">
        <v>43816</v>
      </c>
      <c r="E2501" s="15" t="s">
        <v>28554</v>
      </c>
      <c r="F2501" s="87" t="s">
        <v>21871</v>
      </c>
      <c r="G2501" s="45" t="s">
        <v>13424</v>
      </c>
      <c r="H2501" s="55" t="s">
        <v>13425</v>
      </c>
      <c r="I2501" s="15" t="s">
        <v>619</v>
      </c>
    </row>
    <row r="2502" spans="1:9" ht="51.75" customHeight="1" x14ac:dyDescent="0.35">
      <c r="A2502" s="15" t="s">
        <v>24224</v>
      </c>
      <c r="B2502" s="15" t="s">
        <v>28555</v>
      </c>
      <c r="C2502" s="15" t="s">
        <v>28556</v>
      </c>
      <c r="D2502" s="31">
        <v>43490</v>
      </c>
      <c r="E2502" s="15" t="s">
        <v>28557</v>
      </c>
      <c r="F2502" s="87" t="s">
        <v>21871</v>
      </c>
      <c r="G2502" s="45" t="s">
        <v>13598</v>
      </c>
      <c r="H2502" s="55" t="s">
        <v>13599</v>
      </c>
      <c r="I2502" s="15" t="s">
        <v>619</v>
      </c>
    </row>
    <row r="2503" spans="1:9" ht="51.75" customHeight="1" x14ac:dyDescent="0.35">
      <c r="A2503" s="15" t="s">
        <v>24380</v>
      </c>
      <c r="B2503" s="15" t="s">
        <v>28558</v>
      </c>
      <c r="C2503" s="15" t="s">
        <v>28559</v>
      </c>
      <c r="D2503" s="31">
        <v>43490</v>
      </c>
      <c r="E2503" s="15" t="s">
        <v>28560</v>
      </c>
      <c r="F2503" s="87" t="s">
        <v>21871</v>
      </c>
      <c r="G2503" s="45" t="s">
        <v>13598</v>
      </c>
      <c r="H2503" s="55" t="s">
        <v>13599</v>
      </c>
      <c r="I2503" s="15" t="s">
        <v>619</v>
      </c>
    </row>
    <row r="2504" spans="1:9" ht="51.75" customHeight="1" x14ac:dyDescent="0.35">
      <c r="A2504" s="15" t="s">
        <v>28561</v>
      </c>
      <c r="B2504" s="15" t="s">
        <v>28562</v>
      </c>
      <c r="C2504" s="15" t="s">
        <v>28563</v>
      </c>
      <c r="D2504" s="31">
        <v>43490</v>
      </c>
      <c r="E2504" s="15" t="s">
        <v>28564</v>
      </c>
      <c r="F2504" s="87" t="s">
        <v>21871</v>
      </c>
      <c r="G2504" s="45" t="s">
        <v>13598</v>
      </c>
      <c r="H2504" s="55" t="s">
        <v>13599</v>
      </c>
      <c r="I2504" s="15" t="s">
        <v>619</v>
      </c>
    </row>
    <row r="2505" spans="1:9" ht="51.75" customHeight="1" x14ac:dyDescent="0.35">
      <c r="A2505" s="15" t="s">
        <v>24541</v>
      </c>
      <c r="B2505" s="15" t="s">
        <v>28565</v>
      </c>
      <c r="C2505" s="15" t="s">
        <v>28566</v>
      </c>
      <c r="D2505" s="31">
        <v>43453</v>
      </c>
      <c r="E2505" s="15" t="s">
        <v>28567</v>
      </c>
      <c r="F2505" s="87" t="s">
        <v>21871</v>
      </c>
      <c r="G2505" s="45" t="s">
        <v>13643</v>
      </c>
      <c r="H2505" s="55" t="s">
        <v>13644</v>
      </c>
      <c r="I2505" s="15" t="s">
        <v>619</v>
      </c>
    </row>
    <row r="2506" spans="1:9" ht="51.75" customHeight="1" x14ac:dyDescent="0.35">
      <c r="A2506" s="15" t="s">
        <v>24521</v>
      </c>
      <c r="B2506" s="15" t="s">
        <v>28568</v>
      </c>
      <c r="C2506" s="15" t="s">
        <v>28569</v>
      </c>
      <c r="D2506" s="31">
        <v>43453</v>
      </c>
      <c r="E2506" s="15" t="s">
        <v>28570</v>
      </c>
      <c r="F2506" s="87" t="s">
        <v>21871</v>
      </c>
      <c r="G2506" s="45" t="s">
        <v>13643</v>
      </c>
      <c r="H2506" s="55" t="s">
        <v>13644</v>
      </c>
      <c r="I2506" s="15" t="s">
        <v>619</v>
      </c>
    </row>
    <row r="2507" spans="1:9" ht="51.75" customHeight="1" x14ac:dyDescent="0.35">
      <c r="A2507" s="15" t="s">
        <v>23666</v>
      </c>
      <c r="B2507" s="15" t="s">
        <v>28571</v>
      </c>
      <c r="C2507" s="15" t="s">
        <v>28572</v>
      </c>
      <c r="D2507" s="31">
        <v>43760</v>
      </c>
      <c r="E2507" s="15" t="s">
        <v>28573</v>
      </c>
      <c r="F2507" s="87" t="s">
        <v>21871</v>
      </c>
      <c r="G2507" s="45" t="s">
        <v>13810</v>
      </c>
      <c r="H2507" s="55" t="s">
        <v>13811</v>
      </c>
      <c r="I2507" s="15" t="s">
        <v>619</v>
      </c>
    </row>
    <row r="2508" spans="1:9" ht="51.75" customHeight="1" x14ac:dyDescent="0.35">
      <c r="A2508" s="15" t="s">
        <v>28574</v>
      </c>
      <c r="B2508" s="15" t="s">
        <v>28575</v>
      </c>
      <c r="C2508" s="15" t="s">
        <v>28576</v>
      </c>
      <c r="D2508" s="31">
        <v>43760</v>
      </c>
      <c r="E2508" s="15" t="s">
        <v>28577</v>
      </c>
      <c r="F2508" s="87" t="s">
        <v>21871</v>
      </c>
      <c r="G2508" s="45" t="s">
        <v>13810</v>
      </c>
      <c r="H2508" s="55" t="s">
        <v>13811</v>
      </c>
      <c r="I2508" s="15" t="s">
        <v>619</v>
      </c>
    </row>
    <row r="2509" spans="1:9" ht="51.75" customHeight="1" x14ac:dyDescent="0.35">
      <c r="A2509" s="15" t="s">
        <v>28578</v>
      </c>
      <c r="B2509" s="15" t="s">
        <v>28579</v>
      </c>
      <c r="C2509" s="15" t="s">
        <v>28580</v>
      </c>
      <c r="D2509" s="31">
        <v>43816</v>
      </c>
      <c r="E2509" s="15" t="s">
        <v>28581</v>
      </c>
      <c r="F2509" s="87" t="s">
        <v>21871</v>
      </c>
      <c r="G2509" s="45" t="s">
        <v>13881</v>
      </c>
      <c r="H2509" s="55" t="s">
        <v>13882</v>
      </c>
      <c r="I2509" s="15" t="s">
        <v>619</v>
      </c>
    </row>
    <row r="2510" spans="1:9" ht="51.75" customHeight="1" x14ac:dyDescent="0.35">
      <c r="A2510" s="15" t="s">
        <v>28582</v>
      </c>
      <c r="B2510" s="15" t="s">
        <v>28583</v>
      </c>
      <c r="C2510" s="15" t="s">
        <v>28584</v>
      </c>
      <c r="D2510" s="31">
        <v>43816</v>
      </c>
      <c r="E2510" s="15" t="s">
        <v>28585</v>
      </c>
      <c r="F2510" s="87" t="s">
        <v>21871</v>
      </c>
      <c r="G2510" s="45" t="s">
        <v>13881</v>
      </c>
      <c r="H2510" s="55" t="s">
        <v>13882</v>
      </c>
      <c r="I2510" s="15" t="s">
        <v>619</v>
      </c>
    </row>
    <row r="2511" spans="1:9" ht="51.75" customHeight="1" x14ac:dyDescent="0.35">
      <c r="A2511" s="15" t="s">
        <v>28586</v>
      </c>
      <c r="B2511" s="15" t="s">
        <v>28587</v>
      </c>
      <c r="C2511" s="15" t="s">
        <v>28588</v>
      </c>
      <c r="D2511" s="31">
        <v>43816</v>
      </c>
      <c r="E2511" s="15" t="s">
        <v>28589</v>
      </c>
      <c r="F2511" s="87" t="s">
        <v>21871</v>
      </c>
      <c r="G2511" s="45" t="s">
        <v>13881</v>
      </c>
      <c r="H2511" s="55" t="s">
        <v>13882</v>
      </c>
      <c r="I2511" s="15" t="s">
        <v>619</v>
      </c>
    </row>
    <row r="2512" spans="1:9" ht="51.75" customHeight="1" x14ac:dyDescent="0.35">
      <c r="A2512" s="15" t="s">
        <v>28590</v>
      </c>
      <c r="B2512" s="15" t="s">
        <v>28591</v>
      </c>
      <c r="C2512" s="15" t="s">
        <v>28592</v>
      </c>
      <c r="D2512" s="31">
        <v>43816</v>
      </c>
      <c r="E2512" s="15" t="s">
        <v>28593</v>
      </c>
      <c r="F2512" s="87" t="s">
        <v>21871</v>
      </c>
      <c r="G2512" s="45" t="s">
        <v>13881</v>
      </c>
      <c r="H2512" s="55" t="s">
        <v>13882</v>
      </c>
      <c r="I2512" s="15" t="s">
        <v>619</v>
      </c>
    </row>
    <row r="2513" spans="1:9" ht="51.75" customHeight="1" x14ac:dyDescent="0.35">
      <c r="A2513" s="15" t="s">
        <v>28594</v>
      </c>
      <c r="B2513" s="15" t="s">
        <v>28595</v>
      </c>
      <c r="C2513" s="15" t="s">
        <v>28596</v>
      </c>
      <c r="D2513" s="31">
        <v>43816</v>
      </c>
      <c r="E2513" s="15" t="s">
        <v>28597</v>
      </c>
      <c r="F2513" s="87" t="s">
        <v>21871</v>
      </c>
      <c r="G2513" s="45" t="s">
        <v>13881</v>
      </c>
      <c r="H2513" s="55" t="s">
        <v>13882</v>
      </c>
      <c r="I2513" s="15" t="s">
        <v>619</v>
      </c>
    </row>
    <row r="2514" spans="1:9" ht="51.75" customHeight="1" x14ac:dyDescent="0.35">
      <c r="A2514" s="15" t="s">
        <v>28598</v>
      </c>
      <c r="B2514" s="15" t="s">
        <v>28599</v>
      </c>
      <c r="C2514" s="15" t="s">
        <v>28600</v>
      </c>
      <c r="D2514" s="31">
        <v>43816</v>
      </c>
      <c r="E2514" s="15" t="s">
        <v>28601</v>
      </c>
      <c r="F2514" s="87" t="s">
        <v>21871</v>
      </c>
      <c r="G2514" s="45" t="s">
        <v>13881</v>
      </c>
      <c r="H2514" s="55" t="s">
        <v>13882</v>
      </c>
      <c r="I2514" s="15" t="s">
        <v>619</v>
      </c>
    </row>
    <row r="2515" spans="1:9" ht="51.75" customHeight="1" x14ac:dyDescent="0.35">
      <c r="A2515" s="15" t="s">
        <v>28602</v>
      </c>
      <c r="B2515" s="15" t="s">
        <v>28603</v>
      </c>
      <c r="C2515" s="15" t="s">
        <v>28604</v>
      </c>
      <c r="D2515" s="31">
        <v>43816</v>
      </c>
      <c r="E2515" s="15" t="s">
        <v>28605</v>
      </c>
      <c r="F2515" s="87" t="s">
        <v>21871</v>
      </c>
      <c r="G2515" s="45" t="s">
        <v>13881</v>
      </c>
      <c r="H2515" s="55" t="s">
        <v>13882</v>
      </c>
      <c r="I2515" s="15" t="s">
        <v>619</v>
      </c>
    </row>
    <row r="2516" spans="1:9" ht="51.75" customHeight="1" x14ac:dyDescent="0.35">
      <c r="A2516" s="15" t="s">
        <v>28602</v>
      </c>
      <c r="B2516" s="15" t="s">
        <v>28606</v>
      </c>
      <c r="C2516" s="15" t="s">
        <v>28604</v>
      </c>
      <c r="D2516" s="31">
        <v>43816</v>
      </c>
      <c r="E2516" s="15" t="s">
        <v>28607</v>
      </c>
      <c r="F2516" s="87" t="s">
        <v>21871</v>
      </c>
      <c r="G2516" s="45" t="s">
        <v>13881</v>
      </c>
      <c r="H2516" s="55" t="s">
        <v>13882</v>
      </c>
      <c r="I2516" s="15" t="s">
        <v>619</v>
      </c>
    </row>
    <row r="2517" spans="1:9" ht="51.75" customHeight="1" x14ac:dyDescent="0.35">
      <c r="A2517" s="15" t="s">
        <v>28608</v>
      </c>
      <c r="B2517" s="15" t="s">
        <v>28609</v>
      </c>
      <c r="C2517" s="15" t="s">
        <v>28610</v>
      </c>
      <c r="D2517" s="31">
        <v>43816</v>
      </c>
      <c r="E2517" s="15" t="s">
        <v>28611</v>
      </c>
      <c r="F2517" s="87" t="s">
        <v>21871</v>
      </c>
      <c r="G2517" s="45" t="s">
        <v>13881</v>
      </c>
      <c r="H2517" s="55" t="s">
        <v>13882</v>
      </c>
      <c r="I2517" s="15" t="s">
        <v>619</v>
      </c>
    </row>
    <row r="2518" spans="1:9" ht="51.75" customHeight="1" x14ac:dyDescent="0.35">
      <c r="A2518" s="15" t="s">
        <v>23000</v>
      </c>
      <c r="B2518" s="15" t="s">
        <v>28612</v>
      </c>
      <c r="C2518" s="15" t="s">
        <v>28613</v>
      </c>
      <c r="D2518" s="31">
        <v>43644</v>
      </c>
      <c r="E2518" s="15" t="s">
        <v>28614</v>
      </c>
      <c r="F2518" s="87" t="s">
        <v>21871</v>
      </c>
      <c r="G2518" s="45" t="s">
        <v>13933</v>
      </c>
      <c r="H2518" s="55" t="s">
        <v>13934</v>
      </c>
      <c r="I2518" s="15" t="s">
        <v>619</v>
      </c>
    </row>
    <row r="2519" spans="1:9" ht="51.75" customHeight="1" x14ac:dyDescent="0.35">
      <c r="A2519" s="15" t="s">
        <v>23004</v>
      </c>
      <c r="B2519" s="15" t="s">
        <v>28615</v>
      </c>
      <c r="C2519" s="15" t="s">
        <v>28616</v>
      </c>
      <c r="D2519" s="31">
        <v>43644</v>
      </c>
      <c r="E2519" s="15" t="s">
        <v>28617</v>
      </c>
      <c r="F2519" s="87" t="s">
        <v>21871</v>
      </c>
      <c r="G2519" s="45" t="s">
        <v>13933</v>
      </c>
      <c r="H2519" s="55" t="s">
        <v>13934</v>
      </c>
      <c r="I2519" s="15" t="s">
        <v>619</v>
      </c>
    </row>
    <row r="2520" spans="1:9" ht="51.75" customHeight="1" x14ac:dyDescent="0.35">
      <c r="A2520" s="15" t="s">
        <v>23012</v>
      </c>
      <c r="B2520" s="15" t="s">
        <v>28618</v>
      </c>
      <c r="C2520" s="15" t="s">
        <v>28619</v>
      </c>
      <c r="D2520" s="31">
        <v>43644</v>
      </c>
      <c r="E2520" s="15" t="s">
        <v>28620</v>
      </c>
      <c r="F2520" s="87" t="s">
        <v>21871</v>
      </c>
      <c r="G2520" s="45" t="s">
        <v>13933</v>
      </c>
      <c r="H2520" s="55" t="s">
        <v>13934</v>
      </c>
      <c r="I2520" s="15" t="s">
        <v>619</v>
      </c>
    </row>
    <row r="2521" spans="1:9" ht="51.75" customHeight="1" x14ac:dyDescent="0.35">
      <c r="A2521" s="15" t="s">
        <v>28621</v>
      </c>
      <c r="B2521" s="15" t="s">
        <v>28622</v>
      </c>
      <c r="C2521" s="15" t="s">
        <v>28623</v>
      </c>
      <c r="D2521" s="31">
        <v>43672</v>
      </c>
      <c r="E2521" s="15" t="s">
        <v>28624</v>
      </c>
      <c r="F2521" s="87" t="s">
        <v>21871</v>
      </c>
      <c r="G2521" s="45" t="s">
        <v>13979</v>
      </c>
      <c r="H2521" s="55" t="s">
        <v>13980</v>
      </c>
      <c r="I2521" s="15" t="s">
        <v>619</v>
      </c>
    </row>
    <row r="2522" spans="1:9" ht="51.75" customHeight="1" x14ac:dyDescent="0.35">
      <c r="A2522" s="15" t="s">
        <v>28625</v>
      </c>
      <c r="B2522" s="15" t="s">
        <v>28626</v>
      </c>
      <c r="C2522" s="15" t="s">
        <v>28627</v>
      </c>
      <c r="D2522" s="31">
        <v>43672</v>
      </c>
      <c r="E2522" s="15" t="s">
        <v>28628</v>
      </c>
      <c r="F2522" s="87" t="s">
        <v>21871</v>
      </c>
      <c r="G2522" s="45" t="s">
        <v>13979</v>
      </c>
      <c r="H2522" s="55" t="s">
        <v>13980</v>
      </c>
      <c r="I2522" s="15" t="s">
        <v>619</v>
      </c>
    </row>
    <row r="2523" spans="1:9" ht="51.75" customHeight="1" x14ac:dyDescent="0.35">
      <c r="A2523" s="15" t="s">
        <v>28629</v>
      </c>
      <c r="B2523" s="15" t="s">
        <v>28630</v>
      </c>
      <c r="C2523" s="15" t="s">
        <v>28631</v>
      </c>
      <c r="D2523" s="31">
        <v>43672</v>
      </c>
      <c r="E2523" s="15" t="s">
        <v>28632</v>
      </c>
      <c r="F2523" s="87" t="s">
        <v>21871</v>
      </c>
      <c r="G2523" s="45" t="s">
        <v>13979</v>
      </c>
      <c r="H2523" s="55" t="s">
        <v>13980</v>
      </c>
      <c r="I2523" s="15" t="s">
        <v>619</v>
      </c>
    </row>
    <row r="2524" spans="1:9" ht="51.75" customHeight="1" x14ac:dyDescent="0.35">
      <c r="A2524" s="15" t="s">
        <v>28633</v>
      </c>
      <c r="B2524" s="15" t="s">
        <v>28634</v>
      </c>
      <c r="C2524" s="15" t="s">
        <v>28635</v>
      </c>
      <c r="D2524" s="31">
        <v>43672</v>
      </c>
      <c r="E2524" s="15" t="s">
        <v>28636</v>
      </c>
      <c r="F2524" s="87" t="s">
        <v>21871</v>
      </c>
      <c r="G2524" s="45" t="s">
        <v>13979</v>
      </c>
      <c r="H2524" s="55" t="s">
        <v>13980</v>
      </c>
      <c r="I2524" s="15" t="s">
        <v>619</v>
      </c>
    </row>
    <row r="2525" spans="1:9" ht="51.75" customHeight="1" x14ac:dyDescent="0.35">
      <c r="A2525" s="15" t="s">
        <v>22570</v>
      </c>
      <c r="B2525" s="15" t="s">
        <v>28637</v>
      </c>
      <c r="C2525" s="15" t="s">
        <v>28638</v>
      </c>
      <c r="D2525" s="31">
        <v>43581</v>
      </c>
      <c r="E2525" s="15" t="s">
        <v>28639</v>
      </c>
      <c r="F2525" s="87" t="s">
        <v>21871</v>
      </c>
      <c r="G2525" s="45" t="s">
        <v>13851</v>
      </c>
      <c r="H2525" s="55" t="s">
        <v>13852</v>
      </c>
      <c r="I2525" s="15" t="s">
        <v>619</v>
      </c>
    </row>
    <row r="2526" spans="1:9" ht="51.75" customHeight="1" x14ac:dyDescent="0.35">
      <c r="A2526" s="15" t="s">
        <v>22578</v>
      </c>
      <c r="B2526" s="15" t="s">
        <v>28640</v>
      </c>
      <c r="C2526" s="15" t="s">
        <v>28641</v>
      </c>
      <c r="D2526" s="31">
        <v>43581</v>
      </c>
      <c r="E2526" s="15" t="s">
        <v>28642</v>
      </c>
      <c r="F2526" s="87" t="s">
        <v>21871</v>
      </c>
      <c r="G2526" s="45" t="s">
        <v>13851</v>
      </c>
      <c r="H2526" s="55" t="s">
        <v>13852</v>
      </c>
      <c r="I2526" s="15" t="s">
        <v>619</v>
      </c>
    </row>
    <row r="2527" spans="1:9" ht="51.75" customHeight="1" x14ac:dyDescent="0.35">
      <c r="A2527" s="15" t="s">
        <v>22614</v>
      </c>
      <c r="B2527" s="15" t="s">
        <v>28643</v>
      </c>
      <c r="C2527" s="15" t="s">
        <v>28644</v>
      </c>
      <c r="D2527" s="31">
        <v>43921</v>
      </c>
      <c r="E2527" s="15" t="s">
        <v>28645</v>
      </c>
      <c r="F2527" s="87" t="s">
        <v>21871</v>
      </c>
      <c r="G2527" s="45" t="s">
        <v>15276</v>
      </c>
      <c r="H2527" s="55" t="s">
        <v>15277</v>
      </c>
      <c r="I2527" s="15" t="s">
        <v>619</v>
      </c>
    </row>
    <row r="2528" spans="1:9" ht="51.75" customHeight="1" x14ac:dyDescent="0.35">
      <c r="A2528" s="15" t="s">
        <v>22703</v>
      </c>
      <c r="B2528" s="15" t="s">
        <v>28646</v>
      </c>
      <c r="C2528" s="15" t="s">
        <v>28647</v>
      </c>
      <c r="D2528" s="31">
        <v>43921</v>
      </c>
      <c r="E2528" s="15" t="s">
        <v>28648</v>
      </c>
      <c r="F2528" s="87" t="s">
        <v>21871</v>
      </c>
      <c r="G2528" s="45" t="s">
        <v>15276</v>
      </c>
      <c r="H2528" s="55" t="s">
        <v>15277</v>
      </c>
      <c r="I2528" s="15" t="s">
        <v>619</v>
      </c>
    </row>
    <row r="2529" spans="1:9" ht="51.75" customHeight="1" x14ac:dyDescent="0.35">
      <c r="A2529" s="15" t="s">
        <v>22707</v>
      </c>
      <c r="B2529" s="15" t="s">
        <v>28649</v>
      </c>
      <c r="C2529" s="15" t="s">
        <v>28650</v>
      </c>
      <c r="D2529" s="31">
        <v>43921</v>
      </c>
      <c r="E2529" s="15" t="s">
        <v>28651</v>
      </c>
      <c r="F2529" s="87" t="s">
        <v>21871</v>
      </c>
      <c r="G2529" s="45" t="s">
        <v>15276</v>
      </c>
      <c r="H2529" s="55" t="s">
        <v>15277</v>
      </c>
      <c r="I2529" s="15" t="s">
        <v>619</v>
      </c>
    </row>
    <row r="2530" spans="1:9" ht="51.75" customHeight="1" x14ac:dyDescent="0.35">
      <c r="A2530" s="15" t="s">
        <v>23408</v>
      </c>
      <c r="B2530" s="15" t="s">
        <v>28652</v>
      </c>
      <c r="C2530" s="15" t="s">
        <v>28653</v>
      </c>
      <c r="D2530" s="31">
        <v>43921</v>
      </c>
      <c r="E2530" s="15" t="s">
        <v>28654</v>
      </c>
      <c r="F2530" s="87" t="s">
        <v>21871</v>
      </c>
      <c r="G2530" s="45" t="s">
        <v>15276</v>
      </c>
      <c r="H2530" s="55" t="s">
        <v>15277</v>
      </c>
      <c r="I2530" s="15" t="s">
        <v>619</v>
      </c>
    </row>
    <row r="2531" spans="1:9" ht="51.75" customHeight="1" x14ac:dyDescent="0.35">
      <c r="A2531" s="15" t="s">
        <v>22727</v>
      </c>
      <c r="B2531" s="15" t="s">
        <v>28655</v>
      </c>
      <c r="C2531" s="15" t="s">
        <v>28656</v>
      </c>
      <c r="D2531" s="31">
        <v>43854</v>
      </c>
      <c r="E2531" s="15" t="s">
        <v>28657</v>
      </c>
      <c r="F2531" s="87" t="s">
        <v>21871</v>
      </c>
      <c r="G2531" s="45" t="s">
        <v>14415</v>
      </c>
      <c r="H2531" s="55" t="s">
        <v>14416</v>
      </c>
      <c r="I2531" s="15" t="s">
        <v>619</v>
      </c>
    </row>
    <row r="2532" spans="1:9" ht="51.75" customHeight="1" x14ac:dyDescent="0.35">
      <c r="A2532" s="15" t="s">
        <v>21890</v>
      </c>
      <c r="B2532" s="15" t="s">
        <v>28658</v>
      </c>
      <c r="C2532" s="15" t="s">
        <v>28659</v>
      </c>
      <c r="D2532" s="31">
        <v>43854</v>
      </c>
      <c r="E2532" s="15" t="s">
        <v>28660</v>
      </c>
      <c r="F2532" s="87" t="s">
        <v>21871</v>
      </c>
      <c r="G2532" s="45" t="s">
        <v>14415</v>
      </c>
      <c r="H2532" s="55" t="s">
        <v>14416</v>
      </c>
      <c r="I2532" s="15" t="s">
        <v>619</v>
      </c>
    </row>
    <row r="2533" spans="1:9" ht="51.75" customHeight="1" x14ac:dyDescent="0.35">
      <c r="A2533" s="15" t="s">
        <v>25314</v>
      </c>
      <c r="B2533" s="15" t="s">
        <v>28661</v>
      </c>
      <c r="C2533" s="15" t="s">
        <v>28662</v>
      </c>
      <c r="D2533" s="31">
        <v>43854</v>
      </c>
      <c r="E2533" s="15" t="s">
        <v>28663</v>
      </c>
      <c r="F2533" s="87" t="s">
        <v>21871</v>
      </c>
      <c r="G2533" s="45" t="s">
        <v>14415</v>
      </c>
      <c r="H2533" s="55" t="s">
        <v>14416</v>
      </c>
      <c r="I2533" s="15" t="s">
        <v>619</v>
      </c>
    </row>
    <row r="2534" spans="1:9" ht="51.75" customHeight="1" x14ac:dyDescent="0.35">
      <c r="A2534" s="15" t="s">
        <v>28664</v>
      </c>
      <c r="B2534" s="15" t="s">
        <v>28665</v>
      </c>
      <c r="C2534" s="15" t="s">
        <v>28666</v>
      </c>
      <c r="D2534" s="31">
        <v>44035</v>
      </c>
      <c r="E2534" s="15" t="s">
        <v>28667</v>
      </c>
      <c r="F2534" s="87" t="s">
        <v>21871</v>
      </c>
      <c r="G2534" s="45" t="s">
        <v>15768</v>
      </c>
      <c r="H2534" s="55" t="s">
        <v>15769</v>
      </c>
      <c r="I2534" s="15" t="s">
        <v>619</v>
      </c>
    </row>
    <row r="2535" spans="1:9" ht="51.75" customHeight="1" x14ac:dyDescent="0.35">
      <c r="A2535" s="15" t="s">
        <v>28668</v>
      </c>
      <c r="B2535" s="15" t="s">
        <v>28669</v>
      </c>
      <c r="C2535" s="15" t="s">
        <v>28670</v>
      </c>
      <c r="D2535" s="31">
        <v>44035</v>
      </c>
      <c r="E2535" s="15" t="s">
        <v>28671</v>
      </c>
      <c r="F2535" s="87" t="s">
        <v>21871</v>
      </c>
      <c r="G2535" s="45" t="s">
        <v>15768</v>
      </c>
      <c r="H2535" s="55" t="s">
        <v>15769</v>
      </c>
      <c r="I2535" s="15" t="s">
        <v>619</v>
      </c>
    </row>
    <row r="2536" spans="1:9" ht="51.75" customHeight="1" x14ac:dyDescent="0.35">
      <c r="A2536" s="15" t="s">
        <v>28672</v>
      </c>
      <c r="B2536" s="15" t="s">
        <v>28673</v>
      </c>
      <c r="C2536" s="15" t="s">
        <v>28674</v>
      </c>
      <c r="D2536" s="31">
        <v>44035</v>
      </c>
      <c r="E2536" s="15" t="s">
        <v>28675</v>
      </c>
      <c r="F2536" s="87" t="s">
        <v>21871</v>
      </c>
      <c r="G2536" s="45" t="s">
        <v>15768</v>
      </c>
      <c r="H2536" s="55" t="s">
        <v>15769</v>
      </c>
      <c r="I2536" s="15" t="s">
        <v>619</v>
      </c>
    </row>
    <row r="2537" spans="1:9" ht="51.75" customHeight="1" x14ac:dyDescent="0.35">
      <c r="A2537" s="15" t="s">
        <v>28676</v>
      </c>
      <c r="B2537" s="15" t="s">
        <v>28677</v>
      </c>
      <c r="C2537" s="15" t="s">
        <v>28678</v>
      </c>
      <c r="D2537" s="31">
        <v>44035</v>
      </c>
      <c r="E2537" s="15" t="s">
        <v>28679</v>
      </c>
      <c r="F2537" s="87" t="s">
        <v>21871</v>
      </c>
      <c r="G2537" s="45" t="s">
        <v>15768</v>
      </c>
      <c r="H2537" s="55" t="s">
        <v>15769</v>
      </c>
      <c r="I2537" s="15" t="s">
        <v>619</v>
      </c>
    </row>
    <row r="2538" spans="1:9" ht="51.75" customHeight="1" x14ac:dyDescent="0.35">
      <c r="A2538" s="15" t="s">
        <v>28680</v>
      </c>
      <c r="B2538" s="15" t="s">
        <v>28681</v>
      </c>
      <c r="C2538" s="15" t="s">
        <v>28682</v>
      </c>
      <c r="D2538" s="31">
        <v>44152</v>
      </c>
      <c r="E2538" s="15" t="s">
        <v>28683</v>
      </c>
      <c r="F2538" s="87" t="s">
        <v>21871</v>
      </c>
      <c r="G2538" s="45" t="s">
        <v>17163</v>
      </c>
      <c r="H2538" s="55" t="s">
        <v>17164</v>
      </c>
      <c r="I2538" s="15" t="s">
        <v>619</v>
      </c>
    </row>
    <row r="2539" spans="1:9" ht="51.75" customHeight="1" x14ac:dyDescent="0.35">
      <c r="A2539" s="15" t="s">
        <v>28684</v>
      </c>
      <c r="B2539" s="15" t="s">
        <v>28685</v>
      </c>
      <c r="C2539" s="15" t="s">
        <v>28686</v>
      </c>
      <c r="D2539" s="31">
        <v>44152</v>
      </c>
      <c r="E2539" s="15" t="s">
        <v>28687</v>
      </c>
      <c r="F2539" s="87" t="s">
        <v>21871</v>
      </c>
      <c r="G2539" s="45" t="s">
        <v>17163</v>
      </c>
      <c r="H2539" s="55" t="s">
        <v>17164</v>
      </c>
      <c r="I2539" s="15" t="s">
        <v>619</v>
      </c>
    </row>
    <row r="2540" spans="1:9" ht="51.75" customHeight="1" x14ac:dyDescent="0.35">
      <c r="A2540" s="15" t="s">
        <v>28688</v>
      </c>
      <c r="B2540" s="15" t="s">
        <v>28689</v>
      </c>
      <c r="C2540" s="15" t="s">
        <v>28690</v>
      </c>
      <c r="D2540" s="31">
        <v>44152</v>
      </c>
      <c r="E2540" s="15" t="s">
        <v>28691</v>
      </c>
      <c r="F2540" s="87" t="s">
        <v>21871</v>
      </c>
      <c r="G2540" s="45" t="s">
        <v>17163</v>
      </c>
      <c r="H2540" s="55" t="s">
        <v>17164</v>
      </c>
      <c r="I2540" s="15" t="s">
        <v>619</v>
      </c>
    </row>
    <row r="2541" spans="1:9" ht="51.75" customHeight="1" x14ac:dyDescent="0.35">
      <c r="A2541" s="15"/>
      <c r="B2541" s="15" t="s">
        <v>28692</v>
      </c>
      <c r="C2541" s="15" t="s">
        <v>28693</v>
      </c>
      <c r="D2541" s="28">
        <v>44217</v>
      </c>
      <c r="E2541" s="15" t="s">
        <v>28694</v>
      </c>
      <c r="F2541" s="87" t="s">
        <v>21871</v>
      </c>
      <c r="G2541" s="45" t="s">
        <v>16320</v>
      </c>
      <c r="H2541" s="55" t="s">
        <v>16321</v>
      </c>
      <c r="I2541" s="15" t="s">
        <v>619</v>
      </c>
    </row>
    <row r="2542" spans="1:9" ht="51.75" customHeight="1" x14ac:dyDescent="0.35">
      <c r="A2542" s="15"/>
      <c r="B2542" s="15" t="s">
        <v>28695</v>
      </c>
      <c r="C2542" s="15" t="s">
        <v>28696</v>
      </c>
      <c r="D2542" s="28">
        <v>44217</v>
      </c>
      <c r="E2542" s="15" t="s">
        <v>28697</v>
      </c>
      <c r="F2542" s="87" t="s">
        <v>21871</v>
      </c>
      <c r="G2542" s="27" t="s">
        <v>16320</v>
      </c>
      <c r="H2542" s="55" t="s">
        <v>16321</v>
      </c>
      <c r="I2542" s="15" t="s">
        <v>619</v>
      </c>
    </row>
    <row r="2543" spans="1:9" ht="51.75" customHeight="1" x14ac:dyDescent="0.35">
      <c r="A2543" s="15"/>
      <c r="B2543" s="15" t="s">
        <v>28698</v>
      </c>
      <c r="C2543" s="15" t="s">
        <v>28699</v>
      </c>
      <c r="D2543" s="28">
        <v>44217</v>
      </c>
      <c r="E2543" s="15" t="s">
        <v>28700</v>
      </c>
      <c r="F2543" s="87" t="s">
        <v>21871</v>
      </c>
      <c r="G2543" s="27" t="s">
        <v>16320</v>
      </c>
      <c r="H2543" s="55" t="s">
        <v>16321</v>
      </c>
      <c r="I2543" s="5" t="s">
        <v>619</v>
      </c>
    </row>
    <row r="2544" spans="1:9" ht="51.75" customHeight="1" x14ac:dyDescent="0.35">
      <c r="A2544" s="15"/>
      <c r="B2544" s="15" t="s">
        <v>28701</v>
      </c>
      <c r="C2544" s="15" t="s">
        <v>28702</v>
      </c>
      <c r="D2544" s="28">
        <v>44336</v>
      </c>
      <c r="E2544" s="15" t="s">
        <v>28703</v>
      </c>
      <c r="F2544" s="87" t="s">
        <v>21871</v>
      </c>
      <c r="G2544" s="45" t="s">
        <v>17263</v>
      </c>
      <c r="H2544" s="54" t="s">
        <v>17264</v>
      </c>
      <c r="I2544" s="5" t="s">
        <v>619</v>
      </c>
    </row>
    <row r="2545" spans="1:9" ht="51.75" customHeight="1" x14ac:dyDescent="0.35">
      <c r="A2545" s="15"/>
      <c r="B2545" s="15" t="s">
        <v>28704</v>
      </c>
      <c r="C2545" s="15" t="s">
        <v>28705</v>
      </c>
      <c r="D2545" s="28">
        <v>44336</v>
      </c>
      <c r="E2545" s="15" t="s">
        <v>28706</v>
      </c>
      <c r="F2545" s="87" t="s">
        <v>21871</v>
      </c>
      <c r="G2545" s="45" t="s">
        <v>17263</v>
      </c>
      <c r="H2545" s="54" t="s">
        <v>17264</v>
      </c>
      <c r="I2545" s="5" t="s">
        <v>619</v>
      </c>
    </row>
    <row r="2546" spans="1:9" ht="51.75" customHeight="1" x14ac:dyDescent="0.35">
      <c r="A2546" s="15"/>
      <c r="B2546" s="15" t="s">
        <v>28707</v>
      </c>
      <c r="C2546" s="15" t="s">
        <v>28708</v>
      </c>
      <c r="D2546" s="28">
        <v>44336</v>
      </c>
      <c r="E2546" s="15" t="s">
        <v>28709</v>
      </c>
      <c r="F2546" s="87" t="s">
        <v>21871</v>
      </c>
      <c r="G2546" s="45" t="s">
        <v>17263</v>
      </c>
      <c r="H2546" s="54" t="s">
        <v>17264</v>
      </c>
      <c r="I2546" s="5" t="s">
        <v>619</v>
      </c>
    </row>
    <row r="2547" spans="1:9" ht="51.75" customHeight="1" x14ac:dyDescent="0.35">
      <c r="A2547" s="15"/>
      <c r="B2547" s="15" t="s">
        <v>28710</v>
      </c>
      <c r="C2547" s="15" t="s">
        <v>28711</v>
      </c>
      <c r="D2547" s="28">
        <v>44371</v>
      </c>
      <c r="E2547" s="15" t="s">
        <v>28712</v>
      </c>
      <c r="F2547" s="87" t="s">
        <v>21871</v>
      </c>
      <c r="G2547" s="45" t="s">
        <v>16030</v>
      </c>
      <c r="H2547" s="54" t="s">
        <v>16031</v>
      </c>
      <c r="I2547" s="5" t="s">
        <v>619</v>
      </c>
    </row>
    <row r="2548" spans="1:9" ht="51.75" customHeight="1" x14ac:dyDescent="0.35">
      <c r="A2548" s="15"/>
      <c r="B2548" s="15" t="s">
        <v>28713</v>
      </c>
      <c r="C2548" s="15" t="s">
        <v>28714</v>
      </c>
      <c r="D2548" s="28">
        <v>44371</v>
      </c>
      <c r="E2548" s="15" t="s">
        <v>28715</v>
      </c>
      <c r="F2548" s="87" t="s">
        <v>21871</v>
      </c>
      <c r="G2548" s="45" t="s">
        <v>16030</v>
      </c>
      <c r="H2548" s="54" t="s">
        <v>16031</v>
      </c>
      <c r="I2548" s="5" t="s">
        <v>619</v>
      </c>
    </row>
    <row r="2549" spans="1:9" ht="51.75" customHeight="1" x14ac:dyDescent="0.35">
      <c r="A2549" s="15"/>
      <c r="B2549" s="15" t="s">
        <v>28716</v>
      </c>
      <c r="C2549" s="15" t="s">
        <v>28717</v>
      </c>
      <c r="D2549" s="28">
        <v>44371</v>
      </c>
      <c r="E2549" s="15" t="s">
        <v>28718</v>
      </c>
      <c r="F2549" s="87" t="s">
        <v>21871</v>
      </c>
      <c r="G2549" s="45" t="s">
        <v>16030</v>
      </c>
      <c r="H2549" s="54" t="s">
        <v>16031</v>
      </c>
      <c r="I2549" s="5" t="s">
        <v>619</v>
      </c>
    </row>
    <row r="2550" spans="1:9" ht="51.75" customHeight="1" x14ac:dyDescent="0.35">
      <c r="A2550" s="15"/>
      <c r="B2550" s="15" t="s">
        <v>28719</v>
      </c>
      <c r="C2550" s="15" t="s">
        <v>28720</v>
      </c>
      <c r="D2550" s="28">
        <v>44371</v>
      </c>
      <c r="E2550" s="15" t="s">
        <v>28721</v>
      </c>
      <c r="F2550" s="87" t="s">
        <v>21871</v>
      </c>
      <c r="G2550" s="45" t="s">
        <v>16030</v>
      </c>
      <c r="H2550" s="54" t="s">
        <v>16031</v>
      </c>
      <c r="I2550" s="5" t="s">
        <v>619</v>
      </c>
    </row>
    <row r="2551" spans="1:9" ht="51.75" customHeight="1" x14ac:dyDescent="0.35">
      <c r="A2551" s="15"/>
      <c r="B2551" s="15" t="s">
        <v>28722</v>
      </c>
      <c r="C2551" s="15" t="s">
        <v>28723</v>
      </c>
      <c r="D2551" s="28">
        <v>44371</v>
      </c>
      <c r="E2551" s="15" t="s">
        <v>28724</v>
      </c>
      <c r="F2551" s="87" t="s">
        <v>21871</v>
      </c>
      <c r="G2551" s="45" t="s">
        <v>16030</v>
      </c>
      <c r="H2551" s="54" t="s">
        <v>16031</v>
      </c>
      <c r="I2551" s="5" t="s">
        <v>619</v>
      </c>
    </row>
    <row r="2552" spans="1:9" ht="51.75" customHeight="1" x14ac:dyDescent="0.35">
      <c r="A2552" s="15"/>
      <c r="B2552" s="15" t="s">
        <v>28725</v>
      </c>
      <c r="C2552" s="15" t="s">
        <v>28726</v>
      </c>
      <c r="D2552" s="28">
        <v>44371</v>
      </c>
      <c r="E2552" s="15" t="s">
        <v>28727</v>
      </c>
      <c r="F2552" s="87" t="s">
        <v>21871</v>
      </c>
      <c r="G2552" s="45" t="s">
        <v>16030</v>
      </c>
      <c r="H2552" s="54" t="s">
        <v>16031</v>
      </c>
      <c r="I2552" s="5" t="s">
        <v>619</v>
      </c>
    </row>
    <row r="2553" spans="1:9" ht="51.75" customHeight="1" x14ac:dyDescent="0.35">
      <c r="A2553" s="15"/>
      <c r="B2553" s="15" t="s">
        <v>28728</v>
      </c>
      <c r="C2553" s="15" t="s">
        <v>28729</v>
      </c>
      <c r="D2553" s="28">
        <v>44371</v>
      </c>
      <c r="E2553" s="15" t="s">
        <v>28730</v>
      </c>
      <c r="F2553" s="87" t="s">
        <v>21871</v>
      </c>
      <c r="G2553" s="45" t="s">
        <v>16030</v>
      </c>
      <c r="H2553" s="54" t="s">
        <v>16031</v>
      </c>
      <c r="I2553" s="5" t="s">
        <v>619</v>
      </c>
    </row>
    <row r="2554" spans="1:9" ht="51.75" customHeight="1" x14ac:dyDescent="0.35">
      <c r="A2554" s="15" t="s">
        <v>22738</v>
      </c>
      <c r="B2554" s="15" t="s">
        <v>28731</v>
      </c>
      <c r="C2554" s="15" t="s">
        <v>28732</v>
      </c>
      <c r="D2554" s="31" t="s">
        <v>50</v>
      </c>
      <c r="E2554" s="15" t="s">
        <v>28733</v>
      </c>
      <c r="F2554" s="87" t="s">
        <v>21871</v>
      </c>
      <c r="G2554" s="45" t="s">
        <v>9098</v>
      </c>
      <c r="H2554" s="55" t="s">
        <v>9099</v>
      </c>
      <c r="I2554" s="15" t="s">
        <v>1730</v>
      </c>
    </row>
    <row r="2555" spans="1:9" ht="51.75" customHeight="1" x14ac:dyDescent="0.35">
      <c r="A2555" s="15" t="s">
        <v>22742</v>
      </c>
      <c r="B2555" s="15" t="s">
        <v>28734</v>
      </c>
      <c r="C2555" s="15" t="s">
        <v>28735</v>
      </c>
      <c r="D2555" s="31" t="s">
        <v>50</v>
      </c>
      <c r="E2555" s="15" t="s">
        <v>28736</v>
      </c>
      <c r="F2555" s="87" t="s">
        <v>21871</v>
      </c>
      <c r="G2555" s="45" t="s">
        <v>9098</v>
      </c>
      <c r="H2555" s="55" t="s">
        <v>9099</v>
      </c>
      <c r="I2555" s="15" t="s">
        <v>1730</v>
      </c>
    </row>
    <row r="2556" spans="1:9" ht="51.75" customHeight="1" x14ac:dyDescent="0.35">
      <c r="A2556" s="15" t="s">
        <v>25015</v>
      </c>
      <c r="B2556" s="15" t="s">
        <v>28737</v>
      </c>
      <c r="C2556" s="15" t="s">
        <v>28738</v>
      </c>
      <c r="D2556" s="31" t="s">
        <v>50</v>
      </c>
      <c r="E2556" s="15" t="s">
        <v>28739</v>
      </c>
      <c r="F2556" s="87" t="s">
        <v>21871</v>
      </c>
      <c r="G2556" s="45" t="s">
        <v>9807</v>
      </c>
      <c r="H2556" s="55" t="s">
        <v>9808</v>
      </c>
      <c r="I2556" s="15" t="s">
        <v>1730</v>
      </c>
    </row>
    <row r="2557" spans="1:9" ht="51.75" customHeight="1" x14ac:dyDescent="0.35">
      <c r="A2557" s="15" t="s">
        <v>25021</v>
      </c>
      <c r="B2557" s="15" t="s">
        <v>28740</v>
      </c>
      <c r="C2557" s="15" t="s">
        <v>28741</v>
      </c>
      <c r="D2557" s="31" t="s">
        <v>50</v>
      </c>
      <c r="E2557" s="15" t="s">
        <v>28742</v>
      </c>
      <c r="F2557" s="87" t="s">
        <v>21871</v>
      </c>
      <c r="G2557" s="45" t="s">
        <v>9807</v>
      </c>
      <c r="H2557" s="55" t="s">
        <v>9808</v>
      </c>
      <c r="I2557" s="15" t="s">
        <v>1730</v>
      </c>
    </row>
    <row r="2558" spans="1:9" ht="51.75" customHeight="1" x14ac:dyDescent="0.35">
      <c r="A2558" s="15" t="s">
        <v>25056</v>
      </c>
      <c r="B2558" s="15" t="s">
        <v>28743</v>
      </c>
      <c r="C2558" s="15" t="s">
        <v>28744</v>
      </c>
      <c r="D2558" s="31" t="s">
        <v>50</v>
      </c>
      <c r="E2558" s="15" t="s">
        <v>28745</v>
      </c>
      <c r="F2558" s="87" t="s">
        <v>21871</v>
      </c>
      <c r="G2558" s="45" t="s">
        <v>9807</v>
      </c>
      <c r="H2558" s="55" t="s">
        <v>9808</v>
      </c>
      <c r="I2558" s="15" t="s">
        <v>1730</v>
      </c>
    </row>
    <row r="2559" spans="1:9" ht="51.75" customHeight="1" x14ac:dyDescent="0.35">
      <c r="A2559" s="15" t="s">
        <v>25062</v>
      </c>
      <c r="B2559" s="15" t="s">
        <v>28746</v>
      </c>
      <c r="C2559" s="15" t="s">
        <v>28747</v>
      </c>
      <c r="D2559" s="31" t="s">
        <v>50</v>
      </c>
      <c r="E2559" s="15" t="s">
        <v>28748</v>
      </c>
      <c r="F2559" s="87" t="s">
        <v>21871</v>
      </c>
      <c r="G2559" s="45" t="s">
        <v>9807</v>
      </c>
      <c r="H2559" s="55" t="s">
        <v>9808</v>
      </c>
      <c r="I2559" s="15" t="s">
        <v>1730</v>
      </c>
    </row>
    <row r="2560" spans="1:9" ht="51.75" customHeight="1" x14ac:dyDescent="0.35">
      <c r="A2560" s="15">
        <v>1</v>
      </c>
      <c r="B2560" s="15" t="s">
        <v>28749</v>
      </c>
      <c r="C2560" s="15" t="s">
        <v>28750</v>
      </c>
      <c r="D2560" s="31">
        <v>40497</v>
      </c>
      <c r="E2560" s="15" t="s">
        <v>28751</v>
      </c>
      <c r="F2560" s="87"/>
      <c r="G2560" s="45" t="s">
        <v>4800</v>
      </c>
      <c r="H2560" s="55" t="s">
        <v>4801</v>
      </c>
      <c r="I2560" s="15" t="s">
        <v>1730</v>
      </c>
    </row>
    <row r="2561" spans="1:9" ht="51.75" customHeight="1" x14ac:dyDescent="0.35">
      <c r="A2561" s="15">
        <v>2</v>
      </c>
      <c r="B2561" s="15" t="s">
        <v>28752</v>
      </c>
      <c r="C2561" s="15" t="s">
        <v>28753</v>
      </c>
      <c r="D2561" s="31">
        <v>40497</v>
      </c>
      <c r="E2561" s="15" t="s">
        <v>28754</v>
      </c>
      <c r="F2561" s="87"/>
      <c r="G2561" s="45" t="s">
        <v>4800</v>
      </c>
      <c r="H2561" s="55" t="s">
        <v>4801</v>
      </c>
      <c r="I2561" s="15" t="s">
        <v>1730</v>
      </c>
    </row>
    <row r="2562" spans="1:9" ht="51.75" customHeight="1" x14ac:dyDescent="0.35">
      <c r="A2562" s="15">
        <v>3</v>
      </c>
      <c r="B2562" s="15" t="s">
        <v>28755</v>
      </c>
      <c r="C2562" s="15" t="s">
        <v>28756</v>
      </c>
      <c r="D2562" s="31">
        <v>40497</v>
      </c>
      <c r="E2562" s="15" t="s">
        <v>28757</v>
      </c>
      <c r="F2562" s="87"/>
      <c r="G2562" s="45" t="s">
        <v>4800</v>
      </c>
      <c r="H2562" s="55" t="s">
        <v>4801</v>
      </c>
      <c r="I2562" s="15" t="s">
        <v>1730</v>
      </c>
    </row>
    <row r="2563" spans="1:9" ht="51.75" customHeight="1" x14ac:dyDescent="0.35">
      <c r="A2563" s="15">
        <v>4</v>
      </c>
      <c r="B2563" s="15" t="s">
        <v>28758</v>
      </c>
      <c r="C2563" s="15" t="s">
        <v>28759</v>
      </c>
      <c r="D2563" s="31">
        <v>40497</v>
      </c>
      <c r="E2563" s="15" t="s">
        <v>28760</v>
      </c>
      <c r="F2563" s="87"/>
      <c r="G2563" s="45" t="s">
        <v>4800</v>
      </c>
      <c r="H2563" s="55" t="s">
        <v>4801</v>
      </c>
      <c r="I2563" s="15" t="s">
        <v>1730</v>
      </c>
    </row>
    <row r="2564" spans="1:9" ht="51.75" customHeight="1" x14ac:dyDescent="0.35">
      <c r="A2564" s="15">
        <v>5</v>
      </c>
      <c r="B2564" s="15" t="s">
        <v>28761</v>
      </c>
      <c r="C2564" s="15" t="s">
        <v>28762</v>
      </c>
      <c r="D2564" s="31">
        <v>40497</v>
      </c>
      <c r="E2564" s="15" t="s">
        <v>28763</v>
      </c>
      <c r="F2564" s="87"/>
      <c r="G2564" s="45" t="s">
        <v>4800</v>
      </c>
      <c r="H2564" s="55" t="s">
        <v>4801</v>
      </c>
      <c r="I2564" s="15" t="s">
        <v>1730</v>
      </c>
    </row>
    <row r="2565" spans="1:9" ht="51.75" customHeight="1" x14ac:dyDescent="0.35">
      <c r="A2565" s="15">
        <v>1</v>
      </c>
      <c r="B2565" s="15" t="s">
        <v>28764</v>
      </c>
      <c r="C2565" s="15" t="s">
        <v>28765</v>
      </c>
      <c r="D2565" s="31">
        <v>40330</v>
      </c>
      <c r="E2565" s="15" t="s">
        <v>28766</v>
      </c>
      <c r="F2565" s="87"/>
      <c r="G2565" s="45" t="s">
        <v>4480</v>
      </c>
      <c r="H2565" s="55" t="s">
        <v>4481</v>
      </c>
      <c r="I2565" s="15" t="s">
        <v>1730</v>
      </c>
    </row>
    <row r="2566" spans="1:9" ht="51.75" customHeight="1" x14ac:dyDescent="0.35">
      <c r="A2566" s="15">
        <v>2</v>
      </c>
      <c r="B2566" s="15" t="s">
        <v>28767</v>
      </c>
      <c r="C2566" s="15" t="s">
        <v>28768</v>
      </c>
      <c r="D2566" s="31">
        <v>40330</v>
      </c>
      <c r="E2566" s="15" t="s">
        <v>28769</v>
      </c>
      <c r="F2566" s="87"/>
      <c r="G2566" s="45" t="s">
        <v>4480</v>
      </c>
      <c r="H2566" s="55" t="s">
        <v>4481</v>
      </c>
      <c r="I2566" s="15" t="s">
        <v>1730</v>
      </c>
    </row>
    <row r="2567" spans="1:9" ht="51.75" customHeight="1" x14ac:dyDescent="0.35">
      <c r="A2567" s="15">
        <v>1</v>
      </c>
      <c r="B2567" s="15" t="s">
        <v>28770</v>
      </c>
      <c r="C2567" s="15" t="s">
        <v>28771</v>
      </c>
      <c r="D2567" s="31">
        <v>40315</v>
      </c>
      <c r="E2567" s="15" t="s">
        <v>28772</v>
      </c>
      <c r="F2567" s="87"/>
      <c r="G2567" s="45" t="s">
        <v>4292</v>
      </c>
      <c r="H2567" s="55" t="s">
        <v>4293</v>
      </c>
      <c r="I2567" s="15" t="s">
        <v>1730</v>
      </c>
    </row>
    <row r="2568" spans="1:9" ht="51.75" customHeight="1" x14ac:dyDescent="0.35">
      <c r="A2568" s="15">
        <v>2</v>
      </c>
      <c r="B2568" s="15" t="s">
        <v>28773</v>
      </c>
      <c r="C2568" s="15" t="s">
        <v>28774</v>
      </c>
      <c r="D2568" s="31">
        <v>40315</v>
      </c>
      <c r="E2568" s="15" t="s">
        <v>28775</v>
      </c>
      <c r="F2568" s="87"/>
      <c r="G2568" s="45" t="s">
        <v>4292</v>
      </c>
      <c r="H2568" s="55" t="s">
        <v>4293</v>
      </c>
      <c r="I2568" s="15" t="s">
        <v>1730</v>
      </c>
    </row>
    <row r="2569" spans="1:9" ht="51.75" customHeight="1" x14ac:dyDescent="0.35">
      <c r="A2569" s="15">
        <v>3</v>
      </c>
      <c r="B2569" s="15" t="s">
        <v>28776</v>
      </c>
      <c r="C2569" s="15" t="s">
        <v>28777</v>
      </c>
      <c r="D2569" s="31">
        <v>40315</v>
      </c>
      <c r="E2569" s="15" t="s">
        <v>28777</v>
      </c>
      <c r="F2569" s="87"/>
      <c r="G2569" s="45" t="s">
        <v>4292</v>
      </c>
      <c r="H2569" s="55" t="s">
        <v>4293</v>
      </c>
      <c r="I2569" s="15" t="s">
        <v>1730</v>
      </c>
    </row>
    <row r="2570" spans="1:9" ht="51.75" customHeight="1" x14ac:dyDescent="0.35">
      <c r="A2570" s="15">
        <v>4</v>
      </c>
      <c r="B2570" s="15" t="s">
        <v>28778</v>
      </c>
      <c r="C2570" s="15" t="s">
        <v>28779</v>
      </c>
      <c r="D2570" s="31">
        <v>40315</v>
      </c>
      <c r="E2570" s="15" t="s">
        <v>28780</v>
      </c>
      <c r="F2570" s="87"/>
      <c r="G2570" s="45" t="s">
        <v>4292</v>
      </c>
      <c r="H2570" s="55" t="s">
        <v>4293</v>
      </c>
      <c r="I2570" s="15" t="s">
        <v>1730</v>
      </c>
    </row>
    <row r="2571" spans="1:9" ht="51.75" customHeight="1" x14ac:dyDescent="0.35">
      <c r="A2571" s="15">
        <v>5</v>
      </c>
      <c r="B2571" s="15" t="s">
        <v>28781</v>
      </c>
      <c r="C2571" s="15" t="s">
        <v>28782</v>
      </c>
      <c r="D2571" s="31">
        <v>40315</v>
      </c>
      <c r="E2571" s="15" t="s">
        <v>28783</v>
      </c>
      <c r="F2571" s="87"/>
      <c r="G2571" s="45" t="s">
        <v>4292</v>
      </c>
      <c r="H2571" s="55" t="s">
        <v>4293</v>
      </c>
      <c r="I2571" s="15" t="s">
        <v>1730</v>
      </c>
    </row>
    <row r="2572" spans="1:9" ht="51.75" customHeight="1" x14ac:dyDescent="0.35">
      <c r="A2572" s="15">
        <v>6</v>
      </c>
      <c r="B2572" s="15" t="s">
        <v>28784</v>
      </c>
      <c r="C2572" s="15" t="s">
        <v>28785</v>
      </c>
      <c r="D2572" s="31">
        <v>40315</v>
      </c>
      <c r="E2572" s="15" t="s">
        <v>28786</v>
      </c>
      <c r="F2572" s="87"/>
      <c r="G2572" s="45" t="s">
        <v>4292</v>
      </c>
      <c r="H2572" s="55" t="s">
        <v>4293</v>
      </c>
      <c r="I2572" s="15" t="s">
        <v>1730</v>
      </c>
    </row>
    <row r="2573" spans="1:9" ht="51.75" customHeight="1" x14ac:dyDescent="0.35">
      <c r="A2573" s="15">
        <v>7</v>
      </c>
      <c r="B2573" s="15" t="s">
        <v>28787</v>
      </c>
      <c r="C2573" s="15" t="s">
        <v>28788</v>
      </c>
      <c r="D2573" s="31">
        <v>40315</v>
      </c>
      <c r="E2573" s="15" t="s">
        <v>28789</v>
      </c>
      <c r="F2573" s="87"/>
      <c r="G2573" s="45" t="s">
        <v>4292</v>
      </c>
      <c r="H2573" s="55" t="s">
        <v>4293</v>
      </c>
      <c r="I2573" s="15" t="s">
        <v>1730</v>
      </c>
    </row>
    <row r="2574" spans="1:9" ht="51.75" customHeight="1" x14ac:dyDescent="0.35">
      <c r="A2574" s="15">
        <v>1</v>
      </c>
      <c r="B2574" s="15" t="s">
        <v>28790</v>
      </c>
      <c r="C2574" s="15" t="s">
        <v>28791</v>
      </c>
      <c r="D2574" s="31">
        <v>40163</v>
      </c>
      <c r="E2574" s="15" t="s">
        <v>28792</v>
      </c>
      <c r="F2574" s="87"/>
      <c r="G2574" s="45" t="s">
        <v>4025</v>
      </c>
      <c r="H2574" s="55" t="s">
        <v>4026</v>
      </c>
      <c r="I2574" s="15" t="s">
        <v>1730</v>
      </c>
    </row>
    <row r="2575" spans="1:9" ht="51.75" customHeight="1" x14ac:dyDescent="0.35">
      <c r="A2575" s="15">
        <v>2</v>
      </c>
      <c r="B2575" s="15" t="s">
        <v>28793</v>
      </c>
      <c r="C2575" s="15" t="s">
        <v>28794</v>
      </c>
      <c r="D2575" s="31">
        <v>40163</v>
      </c>
      <c r="E2575" s="15" t="s">
        <v>28795</v>
      </c>
      <c r="F2575" s="87"/>
      <c r="G2575" s="45" t="s">
        <v>4025</v>
      </c>
      <c r="H2575" s="55" t="s">
        <v>4026</v>
      </c>
      <c r="I2575" s="15" t="s">
        <v>1730</v>
      </c>
    </row>
    <row r="2576" spans="1:9" ht="51.75" customHeight="1" x14ac:dyDescent="0.35">
      <c r="A2576" s="15">
        <v>3</v>
      </c>
      <c r="B2576" s="15" t="s">
        <v>28796</v>
      </c>
      <c r="C2576" s="15" t="s">
        <v>28797</v>
      </c>
      <c r="D2576" s="31">
        <v>40163</v>
      </c>
      <c r="E2576" s="15" t="s">
        <v>28798</v>
      </c>
      <c r="F2576" s="87"/>
      <c r="G2576" s="45" t="s">
        <v>4025</v>
      </c>
      <c r="H2576" s="55" t="s">
        <v>4026</v>
      </c>
      <c r="I2576" s="15" t="s">
        <v>1730</v>
      </c>
    </row>
    <row r="2577" spans="1:9" ht="51.75" customHeight="1" x14ac:dyDescent="0.35">
      <c r="A2577" s="15">
        <v>4</v>
      </c>
      <c r="B2577" s="15" t="s">
        <v>28799</v>
      </c>
      <c r="C2577" s="15" t="s">
        <v>28800</v>
      </c>
      <c r="D2577" s="31">
        <v>40163</v>
      </c>
      <c r="E2577" s="15" t="s">
        <v>28801</v>
      </c>
      <c r="F2577" s="87"/>
      <c r="G2577" s="45" t="s">
        <v>4025</v>
      </c>
      <c r="H2577" s="55" t="s">
        <v>4026</v>
      </c>
      <c r="I2577" s="15" t="s">
        <v>1730</v>
      </c>
    </row>
    <row r="2578" spans="1:9" ht="51.75" customHeight="1" x14ac:dyDescent="0.35">
      <c r="A2578" s="15">
        <v>5</v>
      </c>
      <c r="B2578" s="15" t="s">
        <v>28802</v>
      </c>
      <c r="C2578" s="15" t="s">
        <v>28803</v>
      </c>
      <c r="D2578" s="31">
        <v>40163</v>
      </c>
      <c r="E2578" s="15" t="s">
        <v>28804</v>
      </c>
      <c r="F2578" s="87"/>
      <c r="G2578" s="45" t="s">
        <v>4025</v>
      </c>
      <c r="H2578" s="55" t="s">
        <v>4026</v>
      </c>
      <c r="I2578" s="15" t="s">
        <v>1730</v>
      </c>
    </row>
    <row r="2579" spans="1:9" ht="51.75" customHeight="1" x14ac:dyDescent="0.35">
      <c r="A2579" s="15">
        <v>1</v>
      </c>
      <c r="B2579" s="15" t="s">
        <v>28805</v>
      </c>
      <c r="C2579" s="15" t="s">
        <v>28806</v>
      </c>
      <c r="D2579" s="31">
        <v>40114</v>
      </c>
      <c r="E2579" s="15" t="s">
        <v>28807</v>
      </c>
      <c r="F2579" s="87"/>
      <c r="G2579" s="45" t="s">
        <v>3803</v>
      </c>
      <c r="H2579" s="55" t="s">
        <v>3804</v>
      </c>
      <c r="I2579" s="15" t="s">
        <v>1730</v>
      </c>
    </row>
    <row r="2580" spans="1:9" ht="51.75" customHeight="1" x14ac:dyDescent="0.35">
      <c r="A2580" s="15">
        <v>2</v>
      </c>
      <c r="B2580" s="15" t="s">
        <v>28808</v>
      </c>
      <c r="C2580" s="15" t="s">
        <v>28809</v>
      </c>
      <c r="D2580" s="31">
        <v>40114</v>
      </c>
      <c r="E2580" s="15" t="s">
        <v>28810</v>
      </c>
      <c r="F2580" s="87"/>
      <c r="G2580" s="45" t="s">
        <v>3803</v>
      </c>
      <c r="H2580" s="55" t="s">
        <v>3804</v>
      </c>
      <c r="I2580" s="15" t="s">
        <v>1730</v>
      </c>
    </row>
    <row r="2581" spans="1:9" ht="51.75" customHeight="1" x14ac:dyDescent="0.35">
      <c r="A2581" s="15">
        <v>3</v>
      </c>
      <c r="B2581" s="15" t="s">
        <v>28811</v>
      </c>
      <c r="C2581" s="15" t="s">
        <v>28812</v>
      </c>
      <c r="D2581" s="31">
        <v>40114</v>
      </c>
      <c r="E2581" s="15" t="s">
        <v>28813</v>
      </c>
      <c r="F2581" s="87"/>
      <c r="G2581" s="45" t="s">
        <v>3803</v>
      </c>
      <c r="H2581" s="55" t="s">
        <v>3804</v>
      </c>
      <c r="I2581" s="15" t="s">
        <v>1730</v>
      </c>
    </row>
    <row r="2582" spans="1:9" ht="51.75" customHeight="1" x14ac:dyDescent="0.35">
      <c r="A2582" s="15">
        <v>4</v>
      </c>
      <c r="B2582" s="15" t="s">
        <v>28814</v>
      </c>
      <c r="C2582" s="15" t="s">
        <v>28815</v>
      </c>
      <c r="D2582" s="31">
        <v>40114</v>
      </c>
      <c r="E2582" s="15" t="s">
        <v>28816</v>
      </c>
      <c r="F2582" s="87"/>
      <c r="G2582" s="45" t="s">
        <v>3803</v>
      </c>
      <c r="H2582" s="55" t="s">
        <v>3804</v>
      </c>
      <c r="I2582" s="15" t="s">
        <v>1730</v>
      </c>
    </row>
    <row r="2583" spans="1:9" ht="51.75" customHeight="1" x14ac:dyDescent="0.35">
      <c r="A2583" s="15">
        <v>5</v>
      </c>
      <c r="B2583" s="15" t="s">
        <v>28817</v>
      </c>
      <c r="C2583" s="15" t="s">
        <v>28818</v>
      </c>
      <c r="D2583" s="31">
        <v>40114</v>
      </c>
      <c r="E2583" s="15" t="s">
        <v>28819</v>
      </c>
      <c r="F2583" s="87"/>
      <c r="G2583" s="45" t="s">
        <v>3803</v>
      </c>
      <c r="H2583" s="55" t="s">
        <v>3804</v>
      </c>
      <c r="I2583" s="15" t="s">
        <v>1730</v>
      </c>
    </row>
    <row r="2584" spans="1:9" ht="51.75" customHeight="1" x14ac:dyDescent="0.35">
      <c r="A2584" s="15">
        <v>6</v>
      </c>
      <c r="B2584" s="15" t="s">
        <v>28820</v>
      </c>
      <c r="C2584" s="15" t="s">
        <v>28821</v>
      </c>
      <c r="D2584" s="31">
        <v>40114</v>
      </c>
      <c r="E2584" s="15" t="s">
        <v>28822</v>
      </c>
      <c r="F2584" s="87"/>
      <c r="G2584" s="45" t="s">
        <v>3803</v>
      </c>
      <c r="H2584" s="55" t="s">
        <v>3804</v>
      </c>
      <c r="I2584" s="15" t="s">
        <v>1730</v>
      </c>
    </row>
    <row r="2585" spans="1:9" ht="51.75" customHeight="1" x14ac:dyDescent="0.35">
      <c r="A2585" s="15">
        <v>1</v>
      </c>
      <c r="B2585" s="15" t="s">
        <v>28823</v>
      </c>
      <c r="C2585" s="15" t="s">
        <v>28824</v>
      </c>
      <c r="D2585" s="31">
        <v>39958</v>
      </c>
      <c r="E2585" s="15" t="s">
        <v>28825</v>
      </c>
      <c r="F2585" s="87"/>
      <c r="G2585" s="45" t="s">
        <v>3595</v>
      </c>
      <c r="H2585" s="55" t="s">
        <v>3596</v>
      </c>
      <c r="I2585" s="15" t="s">
        <v>1730</v>
      </c>
    </row>
    <row r="2586" spans="1:9" ht="51.75" customHeight="1" x14ac:dyDescent="0.35">
      <c r="A2586" s="15">
        <v>2</v>
      </c>
      <c r="B2586" s="15" t="s">
        <v>28826</v>
      </c>
      <c r="C2586" s="15" t="s">
        <v>28827</v>
      </c>
      <c r="D2586" s="31">
        <v>39958</v>
      </c>
      <c r="E2586" s="15" t="s">
        <v>28828</v>
      </c>
      <c r="F2586" s="87"/>
      <c r="G2586" s="45" t="s">
        <v>3595</v>
      </c>
      <c r="H2586" s="55" t="s">
        <v>3596</v>
      </c>
      <c r="I2586" s="15" t="s">
        <v>1730</v>
      </c>
    </row>
    <row r="2587" spans="1:9" ht="51.75" customHeight="1" x14ac:dyDescent="0.35">
      <c r="A2587" s="15">
        <v>3</v>
      </c>
      <c r="B2587" s="15" t="s">
        <v>28829</v>
      </c>
      <c r="C2587" s="15" t="s">
        <v>28830</v>
      </c>
      <c r="D2587" s="31">
        <v>39958</v>
      </c>
      <c r="E2587" s="15" t="s">
        <v>28831</v>
      </c>
      <c r="F2587" s="87"/>
      <c r="G2587" s="45" t="s">
        <v>3595</v>
      </c>
      <c r="H2587" s="55" t="s">
        <v>3596</v>
      </c>
      <c r="I2587" s="15" t="s">
        <v>1730</v>
      </c>
    </row>
    <row r="2588" spans="1:9" ht="51.75" customHeight="1" x14ac:dyDescent="0.35">
      <c r="A2588" s="15">
        <v>4</v>
      </c>
      <c r="B2588" s="15" t="s">
        <v>28832</v>
      </c>
      <c r="C2588" s="15" t="s">
        <v>28833</v>
      </c>
      <c r="D2588" s="31">
        <v>39958</v>
      </c>
      <c r="E2588" s="15" t="s">
        <v>28834</v>
      </c>
      <c r="F2588" s="87"/>
      <c r="G2588" s="45" t="s">
        <v>3595</v>
      </c>
      <c r="H2588" s="55" t="s">
        <v>3596</v>
      </c>
      <c r="I2588" s="15" t="s">
        <v>1730</v>
      </c>
    </row>
    <row r="2589" spans="1:9" ht="51.75" customHeight="1" x14ac:dyDescent="0.35">
      <c r="A2589" s="15">
        <v>5</v>
      </c>
      <c r="B2589" s="15" t="s">
        <v>28835</v>
      </c>
      <c r="C2589" s="15" t="s">
        <v>28836</v>
      </c>
      <c r="D2589" s="31">
        <v>39958</v>
      </c>
      <c r="E2589" s="15" t="s">
        <v>28837</v>
      </c>
      <c r="F2589" s="87"/>
      <c r="G2589" s="45" t="s">
        <v>3595</v>
      </c>
      <c r="H2589" s="55" t="s">
        <v>3596</v>
      </c>
      <c r="I2589" s="15" t="s">
        <v>1730</v>
      </c>
    </row>
    <row r="2590" spans="1:9" ht="51.75" customHeight="1" x14ac:dyDescent="0.35">
      <c r="A2590" s="15">
        <v>1</v>
      </c>
      <c r="B2590" s="15" t="s">
        <v>28838</v>
      </c>
      <c r="C2590" s="15" t="s">
        <v>28839</v>
      </c>
      <c r="D2590" s="31">
        <v>39911</v>
      </c>
      <c r="E2590" s="15" t="s">
        <v>28840</v>
      </c>
      <c r="F2590" s="87"/>
      <c r="G2590" s="45" t="s">
        <v>3424</v>
      </c>
      <c r="H2590" s="55" t="s">
        <v>3425</v>
      </c>
      <c r="I2590" s="15" t="s">
        <v>1730</v>
      </c>
    </row>
    <row r="2591" spans="1:9" ht="51.75" customHeight="1" x14ac:dyDescent="0.35">
      <c r="A2591" s="15">
        <v>2</v>
      </c>
      <c r="B2591" s="15" t="s">
        <v>28841</v>
      </c>
      <c r="C2591" s="15" t="s">
        <v>28842</v>
      </c>
      <c r="D2591" s="31">
        <v>39911</v>
      </c>
      <c r="E2591" s="15" t="s">
        <v>28843</v>
      </c>
      <c r="F2591" s="87"/>
      <c r="G2591" s="45" t="s">
        <v>3424</v>
      </c>
      <c r="H2591" s="55" t="s">
        <v>3425</v>
      </c>
      <c r="I2591" s="15" t="s">
        <v>1730</v>
      </c>
    </row>
    <row r="2592" spans="1:9" ht="51.75" customHeight="1" x14ac:dyDescent="0.35">
      <c r="A2592" s="15">
        <v>3</v>
      </c>
      <c r="B2592" s="15" t="s">
        <v>28844</v>
      </c>
      <c r="C2592" s="15" t="s">
        <v>28845</v>
      </c>
      <c r="D2592" s="31">
        <v>39911</v>
      </c>
      <c r="E2592" s="15" t="s">
        <v>28846</v>
      </c>
      <c r="F2592" s="87"/>
      <c r="G2592" s="45" t="s">
        <v>3424</v>
      </c>
      <c r="H2592" s="55" t="s">
        <v>3425</v>
      </c>
      <c r="I2592" s="15" t="s">
        <v>1730</v>
      </c>
    </row>
    <row r="2593" spans="1:9" ht="51.75" customHeight="1" x14ac:dyDescent="0.35">
      <c r="A2593" s="15">
        <v>4</v>
      </c>
      <c r="B2593" s="15" t="s">
        <v>28847</v>
      </c>
      <c r="C2593" s="15" t="s">
        <v>28848</v>
      </c>
      <c r="D2593" s="31">
        <v>39911</v>
      </c>
      <c r="E2593" s="15" t="s">
        <v>28849</v>
      </c>
      <c r="F2593" s="87"/>
      <c r="G2593" s="45" t="s">
        <v>3424</v>
      </c>
      <c r="H2593" s="55" t="s">
        <v>3425</v>
      </c>
      <c r="I2593" s="15" t="s">
        <v>1730</v>
      </c>
    </row>
    <row r="2594" spans="1:9" ht="51.75" customHeight="1" x14ac:dyDescent="0.35">
      <c r="A2594" s="15">
        <v>5</v>
      </c>
      <c r="B2594" s="15" t="s">
        <v>28850</v>
      </c>
      <c r="C2594" s="15" t="s">
        <v>28851</v>
      </c>
      <c r="D2594" s="31">
        <v>39911</v>
      </c>
      <c r="E2594" s="15" t="s">
        <v>28851</v>
      </c>
      <c r="F2594" s="87"/>
      <c r="G2594" s="45" t="s">
        <v>3424</v>
      </c>
      <c r="H2594" s="55" t="s">
        <v>3425</v>
      </c>
      <c r="I2594" s="15" t="s">
        <v>1730</v>
      </c>
    </row>
    <row r="2595" spans="1:9" ht="51.75" customHeight="1" x14ac:dyDescent="0.35">
      <c r="A2595" s="15">
        <v>6</v>
      </c>
      <c r="B2595" s="15" t="s">
        <v>28852</v>
      </c>
      <c r="C2595" s="15" t="s">
        <v>28853</v>
      </c>
      <c r="D2595" s="31">
        <v>39911</v>
      </c>
      <c r="E2595" s="15" t="s">
        <v>28854</v>
      </c>
      <c r="F2595" s="87"/>
      <c r="G2595" s="45" t="s">
        <v>3424</v>
      </c>
      <c r="H2595" s="55" t="s">
        <v>3425</v>
      </c>
      <c r="I2595" s="15" t="s">
        <v>1730</v>
      </c>
    </row>
    <row r="2596" spans="1:9" ht="51.75" customHeight="1" x14ac:dyDescent="0.35">
      <c r="A2596" s="15">
        <v>7</v>
      </c>
      <c r="B2596" s="15" t="s">
        <v>28855</v>
      </c>
      <c r="C2596" s="15" t="s">
        <v>28856</v>
      </c>
      <c r="D2596" s="31">
        <v>39911</v>
      </c>
      <c r="E2596" s="15" t="s">
        <v>28857</v>
      </c>
      <c r="F2596" s="87"/>
      <c r="G2596" s="45" t="s">
        <v>3424</v>
      </c>
      <c r="H2596" s="55" t="s">
        <v>3425</v>
      </c>
      <c r="I2596" s="15" t="s">
        <v>1730</v>
      </c>
    </row>
    <row r="2597" spans="1:9" ht="51.75" customHeight="1" x14ac:dyDescent="0.35">
      <c r="A2597" s="15">
        <v>1</v>
      </c>
      <c r="B2597" s="15" t="s">
        <v>28858</v>
      </c>
      <c r="C2597" s="15" t="s">
        <v>28859</v>
      </c>
      <c r="D2597" s="31">
        <v>39731</v>
      </c>
      <c r="E2597" s="15" t="s">
        <v>28860</v>
      </c>
      <c r="F2597" s="87"/>
      <c r="G2597" s="45" t="s">
        <v>2869</v>
      </c>
      <c r="H2597" s="55" t="s">
        <v>2870</v>
      </c>
      <c r="I2597" s="15" t="s">
        <v>1730</v>
      </c>
    </row>
    <row r="2598" spans="1:9" ht="51.75" customHeight="1" x14ac:dyDescent="0.35">
      <c r="A2598" s="15">
        <v>2</v>
      </c>
      <c r="B2598" s="15" t="s">
        <v>28861</v>
      </c>
      <c r="C2598" s="15" t="s">
        <v>28862</v>
      </c>
      <c r="D2598" s="31">
        <v>39731</v>
      </c>
      <c r="E2598" s="15" t="s">
        <v>28863</v>
      </c>
      <c r="F2598" s="87"/>
      <c r="G2598" s="45" t="s">
        <v>2869</v>
      </c>
      <c r="H2598" s="55" t="s">
        <v>2870</v>
      </c>
      <c r="I2598" s="15" t="s">
        <v>1730</v>
      </c>
    </row>
    <row r="2599" spans="1:9" ht="51.75" customHeight="1" x14ac:dyDescent="0.35">
      <c r="A2599" s="15">
        <v>3</v>
      </c>
      <c r="B2599" s="15" t="s">
        <v>28864</v>
      </c>
      <c r="C2599" s="15" t="s">
        <v>28865</v>
      </c>
      <c r="D2599" s="31">
        <v>39731</v>
      </c>
      <c r="E2599" s="15" t="s">
        <v>28866</v>
      </c>
      <c r="F2599" s="87"/>
      <c r="G2599" s="45" t="s">
        <v>2869</v>
      </c>
      <c r="H2599" s="55" t="s">
        <v>2870</v>
      </c>
      <c r="I2599" s="15" t="s">
        <v>1730</v>
      </c>
    </row>
    <row r="2600" spans="1:9" ht="51.75" customHeight="1" x14ac:dyDescent="0.35">
      <c r="A2600" s="15">
        <v>4</v>
      </c>
      <c r="B2600" s="15" t="s">
        <v>28867</v>
      </c>
      <c r="C2600" s="15" t="s">
        <v>28868</v>
      </c>
      <c r="D2600" s="31">
        <v>39731</v>
      </c>
      <c r="E2600" s="15" t="s">
        <v>28869</v>
      </c>
      <c r="F2600" s="87"/>
      <c r="G2600" s="45" t="s">
        <v>2869</v>
      </c>
      <c r="H2600" s="55" t="s">
        <v>2870</v>
      </c>
      <c r="I2600" s="15" t="s">
        <v>1730</v>
      </c>
    </row>
    <row r="2601" spans="1:9" ht="51.75" customHeight="1" x14ac:dyDescent="0.35">
      <c r="A2601" s="15">
        <v>1</v>
      </c>
      <c r="B2601" s="15" t="s">
        <v>28870</v>
      </c>
      <c r="C2601" s="15" t="s">
        <v>28871</v>
      </c>
      <c r="D2601" s="31">
        <v>39433</v>
      </c>
      <c r="E2601" s="15" t="s">
        <v>28872</v>
      </c>
      <c r="F2601" s="87"/>
      <c r="G2601" s="45" t="s">
        <v>2201</v>
      </c>
      <c r="H2601" s="55" t="s">
        <v>2202</v>
      </c>
      <c r="I2601" s="15" t="s">
        <v>1730</v>
      </c>
    </row>
    <row r="2602" spans="1:9" ht="51.75" customHeight="1" x14ac:dyDescent="0.35">
      <c r="A2602" s="15">
        <v>2</v>
      </c>
      <c r="B2602" s="15" t="s">
        <v>28873</v>
      </c>
      <c r="C2602" s="15" t="s">
        <v>28874</v>
      </c>
      <c r="D2602" s="31">
        <v>39433</v>
      </c>
      <c r="E2602" s="15" t="s">
        <v>28875</v>
      </c>
      <c r="F2602" s="87"/>
      <c r="G2602" s="45" t="s">
        <v>2201</v>
      </c>
      <c r="H2602" s="55" t="s">
        <v>2202</v>
      </c>
      <c r="I2602" s="15" t="s">
        <v>1730</v>
      </c>
    </row>
    <row r="2603" spans="1:9" ht="51.75" customHeight="1" x14ac:dyDescent="0.35">
      <c r="A2603" s="15">
        <v>3</v>
      </c>
      <c r="B2603" s="15" t="s">
        <v>28876</v>
      </c>
      <c r="C2603" s="15" t="s">
        <v>28877</v>
      </c>
      <c r="D2603" s="31">
        <v>39433</v>
      </c>
      <c r="E2603" s="15" t="s">
        <v>28878</v>
      </c>
      <c r="F2603" s="87"/>
      <c r="G2603" s="45" t="s">
        <v>2201</v>
      </c>
      <c r="H2603" s="55" t="s">
        <v>2202</v>
      </c>
      <c r="I2603" s="15" t="s">
        <v>1730</v>
      </c>
    </row>
    <row r="2604" spans="1:9" ht="51.75" customHeight="1" x14ac:dyDescent="0.35">
      <c r="A2604" s="15">
        <v>1</v>
      </c>
      <c r="B2604" s="15" t="s">
        <v>28879</v>
      </c>
      <c r="C2604" s="15" t="s">
        <v>28880</v>
      </c>
      <c r="D2604" s="31">
        <v>39294</v>
      </c>
      <c r="E2604" s="15" t="s">
        <v>28881</v>
      </c>
      <c r="F2604" s="87"/>
      <c r="G2604" s="45" t="s">
        <v>1958</v>
      </c>
      <c r="H2604" s="55" t="s">
        <v>1959</v>
      </c>
      <c r="I2604" s="15" t="s">
        <v>1730</v>
      </c>
    </row>
    <row r="2605" spans="1:9" ht="51.75" customHeight="1" x14ac:dyDescent="0.35">
      <c r="A2605" s="15">
        <v>2</v>
      </c>
      <c r="B2605" s="15" t="s">
        <v>28882</v>
      </c>
      <c r="C2605" s="15" t="s">
        <v>28883</v>
      </c>
      <c r="D2605" s="31">
        <v>39294</v>
      </c>
      <c r="E2605" s="15" t="s">
        <v>28884</v>
      </c>
      <c r="F2605" s="87"/>
      <c r="G2605" s="45" t="s">
        <v>1958</v>
      </c>
      <c r="H2605" s="55" t="s">
        <v>1959</v>
      </c>
      <c r="I2605" s="15" t="s">
        <v>1730</v>
      </c>
    </row>
    <row r="2606" spans="1:9" ht="51.75" customHeight="1" x14ac:dyDescent="0.35">
      <c r="A2606" s="15">
        <v>3</v>
      </c>
      <c r="B2606" s="15" t="s">
        <v>28885</v>
      </c>
      <c r="C2606" s="15" t="s">
        <v>28886</v>
      </c>
      <c r="D2606" s="31">
        <v>39294</v>
      </c>
      <c r="E2606" s="15" t="s">
        <v>28886</v>
      </c>
      <c r="F2606" s="87"/>
      <c r="G2606" s="45" t="s">
        <v>1958</v>
      </c>
      <c r="H2606" s="55" t="s">
        <v>1959</v>
      </c>
      <c r="I2606" s="15" t="s">
        <v>1730</v>
      </c>
    </row>
    <row r="2607" spans="1:9" ht="51.75" customHeight="1" x14ac:dyDescent="0.35">
      <c r="A2607" s="15">
        <v>4</v>
      </c>
      <c r="B2607" s="15" t="s">
        <v>28887</v>
      </c>
      <c r="C2607" s="15" t="s">
        <v>28888</v>
      </c>
      <c r="D2607" s="31">
        <v>39294</v>
      </c>
      <c r="E2607" s="15" t="s">
        <v>28889</v>
      </c>
      <c r="F2607" s="87"/>
      <c r="G2607" s="45" t="s">
        <v>1958</v>
      </c>
      <c r="H2607" s="55" t="s">
        <v>1959</v>
      </c>
      <c r="I2607" s="15" t="s">
        <v>1730</v>
      </c>
    </row>
    <row r="2608" spans="1:9" ht="51.75" customHeight="1" x14ac:dyDescent="0.35">
      <c r="A2608" s="15">
        <v>5</v>
      </c>
      <c r="B2608" s="15" t="s">
        <v>28890</v>
      </c>
      <c r="C2608" s="15" t="s">
        <v>28891</v>
      </c>
      <c r="D2608" s="31">
        <v>39294</v>
      </c>
      <c r="E2608" s="15" t="s">
        <v>28892</v>
      </c>
      <c r="F2608" s="87"/>
      <c r="G2608" s="45" t="s">
        <v>1958</v>
      </c>
      <c r="H2608" s="55" t="s">
        <v>1959</v>
      </c>
      <c r="I2608" s="15" t="s">
        <v>1730</v>
      </c>
    </row>
    <row r="2609" spans="1:9" ht="51.75" customHeight="1" x14ac:dyDescent="0.35">
      <c r="A2609" s="15">
        <v>1</v>
      </c>
      <c r="B2609" s="15" t="s">
        <v>28893</v>
      </c>
      <c r="C2609" s="15" t="s">
        <v>28894</v>
      </c>
      <c r="D2609" s="31">
        <v>39372</v>
      </c>
      <c r="E2609" s="15" t="s">
        <v>28894</v>
      </c>
      <c r="F2609" s="87"/>
      <c r="G2609" s="45" t="s">
        <v>1906</v>
      </c>
      <c r="H2609" s="55" t="s">
        <v>1907</v>
      </c>
      <c r="I2609" s="15" t="s">
        <v>1730</v>
      </c>
    </row>
    <row r="2610" spans="1:9" ht="51.75" customHeight="1" x14ac:dyDescent="0.35">
      <c r="A2610" s="15">
        <v>2</v>
      </c>
      <c r="B2610" s="15" t="s">
        <v>28895</v>
      </c>
      <c r="C2610" s="15" t="s">
        <v>28896</v>
      </c>
      <c r="D2610" s="31">
        <v>39372</v>
      </c>
      <c r="E2610" s="15" t="s">
        <v>28896</v>
      </c>
      <c r="F2610" s="87"/>
      <c r="G2610" s="45" t="s">
        <v>1906</v>
      </c>
      <c r="H2610" s="55" t="s">
        <v>1907</v>
      </c>
      <c r="I2610" s="15" t="s">
        <v>1730</v>
      </c>
    </row>
    <row r="2611" spans="1:9" ht="51.75" customHeight="1" x14ac:dyDescent="0.35">
      <c r="A2611" s="15">
        <v>3</v>
      </c>
      <c r="B2611" s="15" t="s">
        <v>28897</v>
      </c>
      <c r="C2611" s="15" t="s">
        <v>28898</v>
      </c>
      <c r="D2611" s="31">
        <v>39372</v>
      </c>
      <c r="E2611" s="15" t="s">
        <v>28898</v>
      </c>
      <c r="F2611" s="87"/>
      <c r="G2611" s="45" t="s">
        <v>1906</v>
      </c>
      <c r="H2611" s="55" t="s">
        <v>1907</v>
      </c>
      <c r="I2611" s="15" t="s">
        <v>1730</v>
      </c>
    </row>
    <row r="2612" spans="1:9" ht="51.75" customHeight="1" x14ac:dyDescent="0.35">
      <c r="A2612" s="15">
        <v>4</v>
      </c>
      <c r="B2612" s="15" t="s">
        <v>28899</v>
      </c>
      <c r="C2612" s="15" t="s">
        <v>28900</v>
      </c>
      <c r="D2612" s="31">
        <v>39372</v>
      </c>
      <c r="E2612" s="15" t="s">
        <v>28901</v>
      </c>
      <c r="F2612" s="87"/>
      <c r="G2612" s="45" t="s">
        <v>1906</v>
      </c>
      <c r="H2612" s="55" t="s">
        <v>1907</v>
      </c>
      <c r="I2612" s="15" t="s">
        <v>1730</v>
      </c>
    </row>
    <row r="2613" spans="1:9" ht="51.75" customHeight="1" x14ac:dyDescent="0.35">
      <c r="A2613" s="15">
        <v>1</v>
      </c>
      <c r="B2613" s="15" t="s">
        <v>28902</v>
      </c>
      <c r="C2613" s="15" t="s">
        <v>28903</v>
      </c>
      <c r="D2613" s="31">
        <v>39409</v>
      </c>
      <c r="E2613" s="15" t="s">
        <v>28904</v>
      </c>
      <c r="F2613" s="87"/>
      <c r="G2613" s="45" t="s">
        <v>1728</v>
      </c>
      <c r="H2613" s="55" t="s">
        <v>1729</v>
      </c>
      <c r="I2613" s="15" t="s">
        <v>1730</v>
      </c>
    </row>
    <row r="2614" spans="1:9" ht="51.75" customHeight="1" x14ac:dyDescent="0.35">
      <c r="A2614" s="15">
        <v>1</v>
      </c>
      <c r="B2614" s="15" t="s">
        <v>28905</v>
      </c>
      <c r="C2614" s="15" t="s">
        <v>28906</v>
      </c>
      <c r="D2614" s="31">
        <v>40862</v>
      </c>
      <c r="E2614" s="15" t="s">
        <v>28907</v>
      </c>
      <c r="F2614" s="87" t="s">
        <v>21871</v>
      </c>
      <c r="G2614" s="45" t="s">
        <v>5574</v>
      </c>
      <c r="H2614" s="55" t="s">
        <v>5575</v>
      </c>
      <c r="I2614" s="15" t="s">
        <v>1730</v>
      </c>
    </row>
    <row r="2615" spans="1:9" ht="51.75" customHeight="1" x14ac:dyDescent="0.35">
      <c r="A2615" s="15">
        <v>2</v>
      </c>
      <c r="B2615" s="15" t="s">
        <v>28908</v>
      </c>
      <c r="C2615" s="15" t="s">
        <v>28909</v>
      </c>
      <c r="D2615" s="31">
        <v>40862</v>
      </c>
      <c r="E2615" s="15" t="s">
        <v>28910</v>
      </c>
      <c r="F2615" s="87" t="s">
        <v>21871</v>
      </c>
      <c r="G2615" s="45" t="s">
        <v>5574</v>
      </c>
      <c r="H2615" s="55" t="s">
        <v>5575</v>
      </c>
      <c r="I2615" s="15" t="s">
        <v>1730</v>
      </c>
    </row>
    <row r="2616" spans="1:9" ht="51.75" customHeight="1" x14ac:dyDescent="0.35">
      <c r="A2616" s="15">
        <v>3</v>
      </c>
      <c r="B2616" s="15" t="s">
        <v>28911</v>
      </c>
      <c r="C2616" s="15" t="s">
        <v>28912</v>
      </c>
      <c r="D2616" s="31">
        <v>40862</v>
      </c>
      <c r="E2616" s="15" t="s">
        <v>28913</v>
      </c>
      <c r="F2616" s="87"/>
      <c r="G2616" s="45" t="s">
        <v>5574</v>
      </c>
      <c r="H2616" s="55" t="s">
        <v>5575</v>
      </c>
      <c r="I2616" s="15" t="s">
        <v>1730</v>
      </c>
    </row>
    <row r="2617" spans="1:9" ht="51.75" customHeight="1" x14ac:dyDescent="0.35">
      <c r="A2617" s="15">
        <v>4</v>
      </c>
      <c r="B2617" s="15" t="s">
        <v>28914</v>
      </c>
      <c r="C2617" s="15" t="s">
        <v>28915</v>
      </c>
      <c r="D2617" s="31">
        <v>40862</v>
      </c>
      <c r="E2617" s="15" t="s">
        <v>28916</v>
      </c>
      <c r="F2617" s="87"/>
      <c r="G2617" s="45" t="s">
        <v>5574</v>
      </c>
      <c r="H2617" s="55" t="s">
        <v>5575</v>
      </c>
      <c r="I2617" s="15" t="s">
        <v>1730</v>
      </c>
    </row>
    <row r="2618" spans="1:9" ht="51.75" customHeight="1" x14ac:dyDescent="0.35">
      <c r="A2618" s="15">
        <v>5</v>
      </c>
      <c r="B2618" s="15" t="s">
        <v>28917</v>
      </c>
      <c r="C2618" s="15" t="s">
        <v>28918</v>
      </c>
      <c r="D2618" s="31">
        <v>40862</v>
      </c>
      <c r="E2618" s="15" t="s">
        <v>28919</v>
      </c>
      <c r="F2618" s="87" t="s">
        <v>21871</v>
      </c>
      <c r="G2618" s="45" t="s">
        <v>5574</v>
      </c>
      <c r="H2618" s="55" t="s">
        <v>5575</v>
      </c>
      <c r="I2618" s="15" t="s">
        <v>1730</v>
      </c>
    </row>
    <row r="2619" spans="1:9" ht="51.75" customHeight="1" x14ac:dyDescent="0.35">
      <c r="A2619" s="15">
        <v>6</v>
      </c>
      <c r="B2619" s="15" t="s">
        <v>28920</v>
      </c>
      <c r="C2619" s="15" t="s">
        <v>28921</v>
      </c>
      <c r="D2619" s="31">
        <v>40862</v>
      </c>
      <c r="E2619" s="15" t="s">
        <v>28922</v>
      </c>
      <c r="F2619" s="87" t="s">
        <v>21871</v>
      </c>
      <c r="G2619" s="45" t="s">
        <v>5574</v>
      </c>
      <c r="H2619" s="55" t="s">
        <v>5575</v>
      </c>
      <c r="I2619" s="15" t="s">
        <v>1730</v>
      </c>
    </row>
    <row r="2620" spans="1:9" ht="51.75" customHeight="1" x14ac:dyDescent="0.35">
      <c r="A2620" s="15">
        <v>7</v>
      </c>
      <c r="B2620" s="15" t="s">
        <v>28923</v>
      </c>
      <c r="C2620" s="15" t="s">
        <v>28924</v>
      </c>
      <c r="D2620" s="31">
        <v>40862</v>
      </c>
      <c r="E2620" s="15" t="s">
        <v>28925</v>
      </c>
      <c r="F2620" s="87" t="s">
        <v>21871</v>
      </c>
      <c r="G2620" s="45" t="s">
        <v>5574</v>
      </c>
      <c r="H2620" s="55" t="s">
        <v>5575</v>
      </c>
      <c r="I2620" s="15" t="s">
        <v>1730</v>
      </c>
    </row>
    <row r="2621" spans="1:9" ht="51.75" customHeight="1" x14ac:dyDescent="0.35">
      <c r="A2621" s="15">
        <v>8</v>
      </c>
      <c r="B2621" s="15" t="s">
        <v>28926</v>
      </c>
      <c r="C2621" s="15" t="s">
        <v>28927</v>
      </c>
      <c r="D2621" s="31">
        <v>40862</v>
      </c>
      <c r="E2621" s="15" t="s">
        <v>28928</v>
      </c>
      <c r="F2621" s="87" t="s">
        <v>21871</v>
      </c>
      <c r="G2621" s="45" t="s">
        <v>5574</v>
      </c>
      <c r="H2621" s="55" t="s">
        <v>5575</v>
      </c>
      <c r="I2621" s="15" t="s">
        <v>1730</v>
      </c>
    </row>
    <row r="2622" spans="1:9" ht="51.75" customHeight="1" x14ac:dyDescent="0.35">
      <c r="A2622" s="15">
        <v>9</v>
      </c>
      <c r="B2622" s="15" t="s">
        <v>28929</v>
      </c>
      <c r="C2622" s="15" t="s">
        <v>28930</v>
      </c>
      <c r="D2622" s="31">
        <v>40862</v>
      </c>
      <c r="E2622" s="15" t="s">
        <v>28930</v>
      </c>
      <c r="F2622" s="87" t="s">
        <v>21871</v>
      </c>
      <c r="G2622" s="45" t="s">
        <v>5574</v>
      </c>
      <c r="H2622" s="55" t="s">
        <v>5575</v>
      </c>
      <c r="I2622" s="15" t="s">
        <v>1730</v>
      </c>
    </row>
    <row r="2623" spans="1:9" ht="51.75" customHeight="1" x14ac:dyDescent="0.35">
      <c r="A2623" s="15">
        <v>10</v>
      </c>
      <c r="B2623" s="15" t="s">
        <v>28931</v>
      </c>
      <c r="C2623" s="15" t="s">
        <v>28932</v>
      </c>
      <c r="D2623" s="31">
        <v>40862</v>
      </c>
      <c r="E2623" s="15" t="s">
        <v>28933</v>
      </c>
      <c r="F2623" s="87" t="s">
        <v>21871</v>
      </c>
      <c r="G2623" s="45" t="s">
        <v>5574</v>
      </c>
      <c r="H2623" s="55" t="s">
        <v>5575</v>
      </c>
      <c r="I2623" s="15" t="s">
        <v>1730</v>
      </c>
    </row>
    <row r="2624" spans="1:9" ht="51.75" customHeight="1" x14ac:dyDescent="0.35">
      <c r="A2624" s="15" t="s">
        <v>25410</v>
      </c>
      <c r="B2624" s="15" t="s">
        <v>28934</v>
      </c>
      <c r="C2624" s="15" t="s">
        <v>28935</v>
      </c>
      <c r="D2624" s="31">
        <v>40862</v>
      </c>
      <c r="E2624" s="15" t="s">
        <v>28936</v>
      </c>
      <c r="F2624" s="87" t="s">
        <v>21871</v>
      </c>
      <c r="G2624" s="45" t="s">
        <v>5574</v>
      </c>
      <c r="H2624" s="55" t="s">
        <v>5575</v>
      </c>
      <c r="I2624" s="15" t="s">
        <v>1730</v>
      </c>
    </row>
    <row r="2625" spans="1:9" ht="51.75" customHeight="1" x14ac:dyDescent="0.35">
      <c r="A2625" s="15" t="s">
        <v>25413</v>
      </c>
      <c r="B2625" s="15" t="s">
        <v>28937</v>
      </c>
      <c r="C2625" s="15" t="s">
        <v>28938</v>
      </c>
      <c r="D2625" s="31">
        <v>40862</v>
      </c>
      <c r="E2625" s="15" t="s">
        <v>28939</v>
      </c>
      <c r="F2625" s="87" t="s">
        <v>21871</v>
      </c>
      <c r="G2625" s="45" t="s">
        <v>5574</v>
      </c>
      <c r="H2625" s="55" t="s">
        <v>5575</v>
      </c>
      <c r="I2625" s="15" t="s">
        <v>1730</v>
      </c>
    </row>
    <row r="2626" spans="1:9" ht="51.75" customHeight="1" x14ac:dyDescent="0.35">
      <c r="A2626" s="15" t="s">
        <v>22231</v>
      </c>
      <c r="B2626" s="15" t="s">
        <v>28940</v>
      </c>
      <c r="C2626" s="15" t="s">
        <v>28941</v>
      </c>
      <c r="D2626" s="31">
        <v>40862</v>
      </c>
      <c r="E2626" s="15" t="s">
        <v>28942</v>
      </c>
      <c r="F2626" s="87" t="s">
        <v>21871</v>
      </c>
      <c r="G2626" s="45" t="s">
        <v>5574</v>
      </c>
      <c r="H2626" s="55" t="s">
        <v>5575</v>
      </c>
      <c r="I2626" s="15" t="s">
        <v>1730</v>
      </c>
    </row>
    <row r="2627" spans="1:9" ht="51.75" customHeight="1" x14ac:dyDescent="0.35">
      <c r="A2627" s="15" t="s">
        <v>25424</v>
      </c>
      <c r="B2627" s="15" t="s">
        <v>28943</v>
      </c>
      <c r="C2627" s="15" t="s">
        <v>28944</v>
      </c>
      <c r="D2627" s="31">
        <v>40862</v>
      </c>
      <c r="E2627" s="15" t="s">
        <v>28945</v>
      </c>
      <c r="F2627" s="87" t="s">
        <v>21871</v>
      </c>
      <c r="G2627" s="45" t="s">
        <v>5574</v>
      </c>
      <c r="H2627" s="55" t="s">
        <v>5575</v>
      </c>
      <c r="I2627" s="15" t="s">
        <v>1730</v>
      </c>
    </row>
    <row r="2628" spans="1:9" ht="51.75" customHeight="1" x14ac:dyDescent="0.35">
      <c r="A2628" s="15" t="s">
        <v>22209</v>
      </c>
      <c r="B2628" s="15" t="s">
        <v>28946</v>
      </c>
      <c r="C2628" s="15" t="s">
        <v>28947</v>
      </c>
      <c r="D2628" s="31">
        <v>40862</v>
      </c>
      <c r="E2628" s="15" t="s">
        <v>28948</v>
      </c>
      <c r="F2628" s="87" t="s">
        <v>21871</v>
      </c>
      <c r="G2628" s="45" t="s">
        <v>5574</v>
      </c>
      <c r="H2628" s="55" t="s">
        <v>5575</v>
      </c>
      <c r="I2628" s="15" t="s">
        <v>1730</v>
      </c>
    </row>
    <row r="2629" spans="1:9" ht="51.75" customHeight="1" x14ac:dyDescent="0.35">
      <c r="A2629" s="15" t="s">
        <v>22790</v>
      </c>
      <c r="B2629" s="15" t="s">
        <v>28949</v>
      </c>
      <c r="C2629" s="15" t="s">
        <v>28950</v>
      </c>
      <c r="D2629" s="31">
        <v>40862</v>
      </c>
      <c r="E2629" s="15" t="s">
        <v>28951</v>
      </c>
      <c r="F2629" s="87" t="s">
        <v>21871</v>
      </c>
      <c r="G2629" s="45" t="s">
        <v>5574</v>
      </c>
      <c r="H2629" s="55" t="s">
        <v>5575</v>
      </c>
      <c r="I2629" s="15" t="s">
        <v>1730</v>
      </c>
    </row>
    <row r="2630" spans="1:9" ht="51.75" customHeight="1" x14ac:dyDescent="0.35">
      <c r="A2630" s="15" t="s">
        <v>24736</v>
      </c>
      <c r="B2630" s="15" t="s">
        <v>28952</v>
      </c>
      <c r="C2630" s="15" t="s">
        <v>28953</v>
      </c>
      <c r="D2630" s="31">
        <v>40862</v>
      </c>
      <c r="E2630" s="15" t="s">
        <v>28954</v>
      </c>
      <c r="F2630" s="87" t="s">
        <v>21871</v>
      </c>
      <c r="G2630" s="45" t="s">
        <v>5574</v>
      </c>
      <c r="H2630" s="55" t="s">
        <v>5575</v>
      </c>
      <c r="I2630" s="15" t="s">
        <v>1730</v>
      </c>
    </row>
    <row r="2631" spans="1:9" ht="51.75" customHeight="1" x14ac:dyDescent="0.35">
      <c r="A2631" s="15" t="s">
        <v>22235</v>
      </c>
      <c r="B2631" s="15" t="s">
        <v>28955</v>
      </c>
      <c r="C2631" s="15" t="s">
        <v>28956</v>
      </c>
      <c r="D2631" s="31">
        <v>40862</v>
      </c>
      <c r="E2631" s="15" t="s">
        <v>28957</v>
      </c>
      <c r="F2631" s="87" t="s">
        <v>21871</v>
      </c>
      <c r="G2631" s="45" t="s">
        <v>5574</v>
      </c>
      <c r="H2631" s="55" t="s">
        <v>5575</v>
      </c>
      <c r="I2631" s="15" t="s">
        <v>1730</v>
      </c>
    </row>
    <row r="2632" spans="1:9" ht="51.75" customHeight="1" x14ac:dyDescent="0.35">
      <c r="A2632" s="15" t="s">
        <v>26890</v>
      </c>
      <c r="B2632" s="15" t="s">
        <v>28958</v>
      </c>
      <c r="C2632" s="15" t="s">
        <v>28959</v>
      </c>
      <c r="D2632" s="31" t="s">
        <v>50</v>
      </c>
      <c r="E2632" s="15" t="s">
        <v>28960</v>
      </c>
      <c r="F2632" s="87" t="s">
        <v>21871</v>
      </c>
      <c r="G2632" s="45" t="s">
        <v>13360</v>
      </c>
      <c r="H2632" s="55" t="s">
        <v>13361</v>
      </c>
      <c r="I2632" s="15" t="s">
        <v>1730</v>
      </c>
    </row>
    <row r="2633" spans="1:9" ht="51.75" customHeight="1" x14ac:dyDescent="0.35">
      <c r="A2633" s="15" t="s">
        <v>26899</v>
      </c>
      <c r="B2633" s="15" t="s">
        <v>28961</v>
      </c>
      <c r="C2633" s="15" t="s">
        <v>28962</v>
      </c>
      <c r="D2633" s="31" t="s">
        <v>50</v>
      </c>
      <c r="E2633" s="15" t="s">
        <v>28963</v>
      </c>
      <c r="F2633" s="87" t="s">
        <v>21871</v>
      </c>
      <c r="G2633" s="45" t="s">
        <v>13360</v>
      </c>
      <c r="H2633" s="55" t="s">
        <v>13361</v>
      </c>
      <c r="I2633" s="15" t="s">
        <v>1730</v>
      </c>
    </row>
    <row r="2634" spans="1:9" ht="51.75" customHeight="1" x14ac:dyDescent="0.35">
      <c r="A2634" s="15" t="s">
        <v>28964</v>
      </c>
      <c r="B2634" s="15" t="s">
        <v>28965</v>
      </c>
      <c r="C2634" s="15" t="s">
        <v>28966</v>
      </c>
      <c r="D2634" s="31" t="s">
        <v>50</v>
      </c>
      <c r="E2634" s="15" t="s">
        <v>28967</v>
      </c>
      <c r="F2634" s="87" t="s">
        <v>21871</v>
      </c>
      <c r="G2634" s="45" t="s">
        <v>14774</v>
      </c>
      <c r="H2634" s="55" t="s">
        <v>14775</v>
      </c>
      <c r="I2634" s="15" t="s">
        <v>1730</v>
      </c>
    </row>
    <row r="2635" spans="1:9" ht="51.75" customHeight="1" x14ac:dyDescent="0.35">
      <c r="A2635" s="15" t="s">
        <v>28968</v>
      </c>
      <c r="B2635" s="15" t="s">
        <v>28969</v>
      </c>
      <c r="C2635" s="15" t="s">
        <v>28966</v>
      </c>
      <c r="D2635" s="31" t="s">
        <v>50</v>
      </c>
      <c r="E2635" s="15" t="s">
        <v>28970</v>
      </c>
      <c r="F2635" s="87" t="s">
        <v>21871</v>
      </c>
      <c r="G2635" s="45" t="s">
        <v>14774</v>
      </c>
      <c r="H2635" s="55" t="s">
        <v>14775</v>
      </c>
      <c r="I2635" s="15" t="s">
        <v>1730</v>
      </c>
    </row>
    <row r="2636" spans="1:9" ht="51.75" customHeight="1" x14ac:dyDescent="0.35">
      <c r="A2636" s="15" t="s">
        <v>28971</v>
      </c>
      <c r="B2636" s="15" t="s">
        <v>28972</v>
      </c>
      <c r="C2636" s="15" t="s">
        <v>28973</v>
      </c>
      <c r="D2636" s="31" t="s">
        <v>50</v>
      </c>
      <c r="E2636" s="15" t="s">
        <v>28974</v>
      </c>
      <c r="F2636" s="87" t="s">
        <v>21871</v>
      </c>
      <c r="G2636" s="45" t="s">
        <v>14774</v>
      </c>
      <c r="H2636" s="55" t="s">
        <v>14775</v>
      </c>
      <c r="I2636" s="15" t="s">
        <v>1730</v>
      </c>
    </row>
    <row r="2637" spans="1:9" ht="51.75" customHeight="1" x14ac:dyDescent="0.35">
      <c r="A2637" s="15" t="s">
        <v>28975</v>
      </c>
      <c r="B2637" s="15" t="s">
        <v>28976</v>
      </c>
      <c r="C2637" s="15" t="s">
        <v>28977</v>
      </c>
      <c r="D2637" s="31" t="s">
        <v>50</v>
      </c>
      <c r="E2637" s="15" t="s">
        <v>28978</v>
      </c>
      <c r="F2637" s="87" t="s">
        <v>21871</v>
      </c>
      <c r="G2637" s="45" t="s">
        <v>14774</v>
      </c>
      <c r="H2637" s="55" t="s">
        <v>14775</v>
      </c>
      <c r="I2637" s="15" t="s">
        <v>1730</v>
      </c>
    </row>
    <row r="2638" spans="1:9" ht="51.75" customHeight="1" x14ac:dyDescent="0.35">
      <c r="A2638" s="15" t="s">
        <v>28979</v>
      </c>
      <c r="B2638" s="15" t="s">
        <v>28980</v>
      </c>
      <c r="C2638" s="15" t="s">
        <v>28981</v>
      </c>
      <c r="D2638" s="31" t="s">
        <v>50</v>
      </c>
      <c r="E2638" s="15" t="s">
        <v>28982</v>
      </c>
      <c r="F2638" s="87" t="s">
        <v>21871</v>
      </c>
      <c r="G2638" s="45" t="s">
        <v>14774</v>
      </c>
      <c r="H2638" s="55" t="s">
        <v>14775</v>
      </c>
      <c r="I2638" s="15" t="s">
        <v>1730</v>
      </c>
    </row>
    <row r="2639" spans="1:9" ht="51.75" customHeight="1" x14ac:dyDescent="0.35">
      <c r="A2639" s="15">
        <v>1</v>
      </c>
      <c r="B2639" s="15" t="s">
        <v>28983</v>
      </c>
      <c r="C2639" s="15" t="s">
        <v>28984</v>
      </c>
      <c r="D2639" s="31">
        <v>41092</v>
      </c>
      <c r="E2639" s="15" t="s">
        <v>28985</v>
      </c>
      <c r="F2639" s="87"/>
      <c r="G2639" s="45" t="s">
        <v>4938</v>
      </c>
      <c r="H2639" s="55" t="s">
        <v>4939</v>
      </c>
      <c r="I2639" s="15" t="s">
        <v>3128</v>
      </c>
    </row>
    <row r="2640" spans="1:9" ht="51.75" customHeight="1" x14ac:dyDescent="0.35">
      <c r="A2640" s="15">
        <v>1</v>
      </c>
      <c r="B2640" s="15" t="s">
        <v>28986</v>
      </c>
      <c r="C2640" s="15" t="s">
        <v>28987</v>
      </c>
      <c r="D2640" s="31">
        <v>41011</v>
      </c>
      <c r="E2640" s="15" t="s">
        <v>28988</v>
      </c>
      <c r="F2640" s="87"/>
      <c r="G2640" s="45" t="s">
        <v>4621</v>
      </c>
      <c r="H2640" s="55" t="s">
        <v>4622</v>
      </c>
      <c r="I2640" s="15" t="s">
        <v>3128</v>
      </c>
    </row>
    <row r="2641" spans="1:9" ht="51.75" customHeight="1" x14ac:dyDescent="0.35">
      <c r="A2641" s="15">
        <v>1</v>
      </c>
      <c r="B2641" s="15" t="s">
        <v>28989</v>
      </c>
      <c r="C2641" s="15" t="s">
        <v>28990</v>
      </c>
      <c r="D2641" s="31">
        <v>40820</v>
      </c>
      <c r="E2641" s="15" t="s">
        <v>28991</v>
      </c>
      <c r="F2641" s="87"/>
      <c r="G2641" s="45" t="s">
        <v>4505</v>
      </c>
      <c r="H2641" s="55" t="s">
        <v>4506</v>
      </c>
      <c r="I2641" s="15" t="s">
        <v>3128</v>
      </c>
    </row>
    <row r="2642" spans="1:9" ht="51.75" customHeight="1" x14ac:dyDescent="0.35">
      <c r="A2642" s="15">
        <v>2</v>
      </c>
      <c r="B2642" s="15" t="s">
        <v>28992</v>
      </c>
      <c r="C2642" s="15" t="s">
        <v>28993</v>
      </c>
      <c r="D2642" s="31">
        <v>40820</v>
      </c>
      <c r="E2642" s="15" t="s">
        <v>28994</v>
      </c>
      <c r="F2642" s="87"/>
      <c r="G2642" s="45" t="s">
        <v>4505</v>
      </c>
      <c r="H2642" s="55" t="s">
        <v>4506</v>
      </c>
      <c r="I2642" s="15" t="s">
        <v>3128</v>
      </c>
    </row>
    <row r="2643" spans="1:9" ht="51.75" customHeight="1" x14ac:dyDescent="0.35">
      <c r="A2643" s="15">
        <v>3</v>
      </c>
      <c r="B2643" s="15" t="s">
        <v>28995</v>
      </c>
      <c r="C2643" s="15" t="s">
        <v>28996</v>
      </c>
      <c r="D2643" s="31">
        <v>40820</v>
      </c>
      <c r="E2643" s="15" t="s">
        <v>28997</v>
      </c>
      <c r="F2643" s="87"/>
      <c r="G2643" s="45" t="s">
        <v>4505</v>
      </c>
      <c r="H2643" s="55" t="s">
        <v>4506</v>
      </c>
      <c r="I2643" s="15" t="s">
        <v>3128</v>
      </c>
    </row>
    <row r="2644" spans="1:9" ht="51.75" customHeight="1" x14ac:dyDescent="0.35">
      <c r="A2644" s="15">
        <v>4</v>
      </c>
      <c r="B2644" s="15" t="s">
        <v>28998</v>
      </c>
      <c r="C2644" s="15" t="s">
        <v>28999</v>
      </c>
      <c r="D2644" s="31">
        <v>40820</v>
      </c>
      <c r="E2644" s="15" t="s">
        <v>29000</v>
      </c>
      <c r="F2644" s="87"/>
      <c r="G2644" s="45" t="s">
        <v>4505</v>
      </c>
      <c r="H2644" s="55" t="s">
        <v>4506</v>
      </c>
      <c r="I2644" s="15" t="s">
        <v>3128</v>
      </c>
    </row>
    <row r="2645" spans="1:9" ht="51.75" customHeight="1" x14ac:dyDescent="0.35">
      <c r="A2645" s="15">
        <v>1</v>
      </c>
      <c r="B2645" s="15" t="s">
        <v>29001</v>
      </c>
      <c r="C2645" s="15" t="s">
        <v>29002</v>
      </c>
      <c r="D2645" s="31">
        <v>40820</v>
      </c>
      <c r="E2645" s="15" t="s">
        <v>29003</v>
      </c>
      <c r="F2645" s="87"/>
      <c r="G2645" s="45" t="s">
        <v>4077</v>
      </c>
      <c r="H2645" s="55" t="s">
        <v>4078</v>
      </c>
      <c r="I2645" s="15" t="s">
        <v>3128</v>
      </c>
    </row>
    <row r="2646" spans="1:9" ht="51.75" customHeight="1" x14ac:dyDescent="0.35">
      <c r="A2646" s="15">
        <v>1</v>
      </c>
      <c r="B2646" s="15" t="s">
        <v>29004</v>
      </c>
      <c r="C2646" s="15" t="s">
        <v>29005</v>
      </c>
      <c r="D2646" s="31">
        <v>40653</v>
      </c>
      <c r="E2646" s="15" t="s">
        <v>29005</v>
      </c>
      <c r="F2646" s="87"/>
      <c r="G2646" s="45" t="s">
        <v>3739</v>
      </c>
      <c r="H2646" s="55" t="s">
        <v>3740</v>
      </c>
      <c r="I2646" s="15" t="s">
        <v>3128</v>
      </c>
    </row>
    <row r="2647" spans="1:9" ht="51.75" customHeight="1" x14ac:dyDescent="0.35">
      <c r="A2647" s="15">
        <v>1</v>
      </c>
      <c r="B2647" s="15" t="s">
        <v>29006</v>
      </c>
      <c r="C2647" s="15" t="s">
        <v>29007</v>
      </c>
      <c r="D2647" s="31">
        <v>40820</v>
      </c>
      <c r="E2647" s="15" t="s">
        <v>29008</v>
      </c>
      <c r="F2647" s="87"/>
      <c r="G2647" s="45" t="s">
        <v>3715</v>
      </c>
      <c r="H2647" s="55" t="s">
        <v>3716</v>
      </c>
      <c r="I2647" s="15" t="s">
        <v>3128</v>
      </c>
    </row>
    <row r="2648" spans="1:9" ht="51.75" customHeight="1" x14ac:dyDescent="0.35">
      <c r="A2648" s="15">
        <v>1</v>
      </c>
      <c r="B2648" s="15" t="s">
        <v>29009</v>
      </c>
      <c r="C2648" s="15" t="s">
        <v>29010</v>
      </c>
      <c r="D2648" s="31">
        <v>40653</v>
      </c>
      <c r="E2648" s="15" t="s">
        <v>29011</v>
      </c>
      <c r="F2648" s="87"/>
      <c r="G2648" s="45" t="s">
        <v>3691</v>
      </c>
      <c r="H2648" s="55" t="s">
        <v>3692</v>
      </c>
      <c r="I2648" s="15" t="s">
        <v>3128</v>
      </c>
    </row>
    <row r="2649" spans="1:9" ht="51.75" customHeight="1" x14ac:dyDescent="0.35">
      <c r="A2649" s="15">
        <v>2</v>
      </c>
      <c r="B2649" s="15" t="s">
        <v>29012</v>
      </c>
      <c r="C2649" s="15" t="s">
        <v>29013</v>
      </c>
      <c r="D2649" s="31">
        <v>40653</v>
      </c>
      <c r="E2649" s="15" t="s">
        <v>29014</v>
      </c>
      <c r="F2649" s="87"/>
      <c r="G2649" s="45" t="s">
        <v>3691</v>
      </c>
      <c r="H2649" s="55" t="s">
        <v>3692</v>
      </c>
      <c r="I2649" s="15" t="s">
        <v>3128</v>
      </c>
    </row>
    <row r="2650" spans="1:9" ht="51.75" customHeight="1" x14ac:dyDescent="0.35">
      <c r="A2650" s="15">
        <v>3</v>
      </c>
      <c r="B2650" s="15" t="s">
        <v>29015</v>
      </c>
      <c r="C2650" s="15" t="s">
        <v>29016</v>
      </c>
      <c r="D2650" s="31">
        <v>40653</v>
      </c>
      <c r="E2650" s="15" t="s">
        <v>29017</v>
      </c>
      <c r="F2650" s="87"/>
      <c r="G2650" s="45" t="s">
        <v>3691</v>
      </c>
      <c r="H2650" s="55" t="s">
        <v>3692</v>
      </c>
      <c r="I2650" s="15" t="s">
        <v>3128</v>
      </c>
    </row>
    <row r="2651" spans="1:9" ht="51.75" customHeight="1" x14ac:dyDescent="0.35">
      <c r="A2651" s="15">
        <v>1</v>
      </c>
      <c r="B2651" s="15" t="s">
        <v>29018</v>
      </c>
      <c r="C2651" s="15" t="s">
        <v>29019</v>
      </c>
      <c r="D2651" s="31">
        <v>40653</v>
      </c>
      <c r="E2651" s="15" t="s">
        <v>29020</v>
      </c>
      <c r="F2651" s="87"/>
      <c r="G2651" s="45" t="s">
        <v>3643</v>
      </c>
      <c r="H2651" s="55" t="s">
        <v>3644</v>
      </c>
      <c r="I2651" s="15" t="s">
        <v>3128</v>
      </c>
    </row>
    <row r="2652" spans="1:9" ht="51.75" customHeight="1" x14ac:dyDescent="0.35">
      <c r="A2652" s="15">
        <v>2</v>
      </c>
      <c r="B2652" s="15" t="s">
        <v>29021</v>
      </c>
      <c r="C2652" s="15" t="s">
        <v>29022</v>
      </c>
      <c r="D2652" s="31">
        <v>40653</v>
      </c>
      <c r="E2652" s="15" t="s">
        <v>29023</v>
      </c>
      <c r="F2652" s="87"/>
      <c r="G2652" s="45" t="s">
        <v>3643</v>
      </c>
      <c r="H2652" s="55" t="s">
        <v>3644</v>
      </c>
      <c r="I2652" s="15" t="s">
        <v>3128</v>
      </c>
    </row>
    <row r="2653" spans="1:9" ht="51.75" customHeight="1" x14ac:dyDescent="0.35">
      <c r="A2653" s="15">
        <v>3</v>
      </c>
      <c r="B2653" s="15" t="s">
        <v>29024</v>
      </c>
      <c r="C2653" s="15" t="s">
        <v>29025</v>
      </c>
      <c r="D2653" s="31">
        <v>40653</v>
      </c>
      <c r="E2653" s="15" t="s">
        <v>29026</v>
      </c>
      <c r="F2653" s="87"/>
      <c r="G2653" s="45" t="s">
        <v>3643</v>
      </c>
      <c r="H2653" s="55" t="s">
        <v>3644</v>
      </c>
      <c r="I2653" s="15" t="s">
        <v>3128</v>
      </c>
    </row>
    <row r="2654" spans="1:9" ht="51.75" customHeight="1" x14ac:dyDescent="0.35">
      <c r="A2654" s="15">
        <v>4</v>
      </c>
      <c r="B2654" s="15" t="s">
        <v>29027</v>
      </c>
      <c r="C2654" s="15" t="s">
        <v>29028</v>
      </c>
      <c r="D2654" s="31">
        <v>40653</v>
      </c>
      <c r="E2654" s="15" t="s">
        <v>29029</v>
      </c>
      <c r="F2654" s="87"/>
      <c r="G2654" s="45" t="s">
        <v>3643</v>
      </c>
      <c r="H2654" s="55" t="s">
        <v>3644</v>
      </c>
      <c r="I2654" s="15" t="s">
        <v>3128</v>
      </c>
    </row>
    <row r="2655" spans="1:9" ht="51.75" customHeight="1" x14ac:dyDescent="0.35">
      <c r="A2655" s="15">
        <v>5</v>
      </c>
      <c r="B2655" s="15" t="s">
        <v>29030</v>
      </c>
      <c r="C2655" s="15" t="s">
        <v>29031</v>
      </c>
      <c r="D2655" s="31">
        <v>40653</v>
      </c>
      <c r="E2655" s="15" t="s">
        <v>29032</v>
      </c>
      <c r="F2655" s="87"/>
      <c r="G2655" s="45" t="s">
        <v>3643</v>
      </c>
      <c r="H2655" s="55" t="s">
        <v>3644</v>
      </c>
      <c r="I2655" s="15" t="s">
        <v>3128</v>
      </c>
    </row>
    <row r="2656" spans="1:9" ht="51.75" customHeight="1" x14ac:dyDescent="0.35">
      <c r="A2656" s="15">
        <v>6</v>
      </c>
      <c r="B2656" s="15" t="s">
        <v>29033</v>
      </c>
      <c r="C2656" s="15" t="s">
        <v>29034</v>
      </c>
      <c r="D2656" s="31">
        <v>40653</v>
      </c>
      <c r="E2656" s="15" t="s">
        <v>29035</v>
      </c>
      <c r="F2656" s="87"/>
      <c r="G2656" s="45" t="s">
        <v>3643</v>
      </c>
      <c r="H2656" s="55" t="s">
        <v>3644</v>
      </c>
      <c r="I2656" s="15" t="s">
        <v>3128</v>
      </c>
    </row>
    <row r="2657" spans="1:9" ht="51.75" customHeight="1" x14ac:dyDescent="0.35">
      <c r="A2657" s="15">
        <v>1</v>
      </c>
      <c r="B2657" s="15" t="s">
        <v>29036</v>
      </c>
      <c r="C2657" s="15" t="s">
        <v>29037</v>
      </c>
      <c r="D2657" s="31">
        <v>40653</v>
      </c>
      <c r="E2657" s="15" t="s">
        <v>29037</v>
      </c>
      <c r="F2657" s="87"/>
      <c r="G2657" s="45" t="s">
        <v>3580</v>
      </c>
      <c r="H2657" s="55" t="s">
        <v>3581</v>
      </c>
      <c r="I2657" s="15" t="s">
        <v>3128</v>
      </c>
    </row>
    <row r="2658" spans="1:9" ht="51.75" customHeight="1" x14ac:dyDescent="0.35">
      <c r="A2658" s="15">
        <v>2</v>
      </c>
      <c r="B2658" s="15" t="s">
        <v>29038</v>
      </c>
      <c r="C2658" s="15" t="s">
        <v>29039</v>
      </c>
      <c r="D2658" s="31">
        <v>40653</v>
      </c>
      <c r="E2658" s="15" t="s">
        <v>29039</v>
      </c>
      <c r="F2658" s="87"/>
      <c r="G2658" s="45" t="s">
        <v>3580</v>
      </c>
      <c r="H2658" s="55" t="s">
        <v>3581</v>
      </c>
      <c r="I2658" s="15" t="s">
        <v>3128</v>
      </c>
    </row>
    <row r="2659" spans="1:9" ht="51.75" customHeight="1" x14ac:dyDescent="0.35">
      <c r="A2659" s="15">
        <v>1</v>
      </c>
      <c r="B2659" s="15" t="s">
        <v>29040</v>
      </c>
      <c r="C2659" s="15" t="s">
        <v>29041</v>
      </c>
      <c r="D2659" s="31">
        <v>39836</v>
      </c>
      <c r="E2659" s="15" t="s">
        <v>29042</v>
      </c>
      <c r="F2659" s="87"/>
      <c r="G2659" s="45" t="s">
        <v>3511</v>
      </c>
      <c r="H2659" s="55" t="s">
        <v>3512</v>
      </c>
      <c r="I2659" s="15" t="s">
        <v>3128</v>
      </c>
    </row>
    <row r="2660" spans="1:9" ht="51.75" customHeight="1" x14ac:dyDescent="0.35">
      <c r="A2660" s="15">
        <v>1</v>
      </c>
      <c r="B2660" s="15" t="s">
        <v>29043</v>
      </c>
      <c r="C2660" s="15" t="s">
        <v>29044</v>
      </c>
      <c r="D2660" s="31">
        <v>40653</v>
      </c>
      <c r="E2660" s="15" t="s">
        <v>29045</v>
      </c>
      <c r="F2660" s="87"/>
      <c r="G2660" s="45" t="s">
        <v>3126</v>
      </c>
      <c r="H2660" s="55" t="s">
        <v>3127</v>
      </c>
      <c r="I2660" s="15" t="s">
        <v>3128</v>
      </c>
    </row>
    <row r="2661" spans="1:9" ht="51.75" customHeight="1" x14ac:dyDescent="0.35">
      <c r="A2661" s="15">
        <v>2</v>
      </c>
      <c r="B2661" s="15" t="s">
        <v>29046</v>
      </c>
      <c r="C2661" s="15" t="s">
        <v>29047</v>
      </c>
      <c r="D2661" s="31">
        <v>40653</v>
      </c>
      <c r="E2661" s="15" t="s">
        <v>29048</v>
      </c>
      <c r="F2661" s="87"/>
      <c r="G2661" s="45" t="s">
        <v>3126</v>
      </c>
      <c r="H2661" s="55" t="s">
        <v>3127</v>
      </c>
      <c r="I2661" s="15" t="s">
        <v>3128</v>
      </c>
    </row>
    <row r="2662" spans="1:9" ht="51.75" customHeight="1" x14ac:dyDescent="0.35">
      <c r="A2662" s="15">
        <v>1</v>
      </c>
      <c r="B2662" s="15" t="s">
        <v>29049</v>
      </c>
      <c r="C2662" s="15" t="s">
        <v>29050</v>
      </c>
      <c r="D2662" s="31">
        <v>41038</v>
      </c>
      <c r="E2662" s="15" t="s">
        <v>29051</v>
      </c>
      <c r="F2662" s="87"/>
      <c r="G2662" s="45" t="s">
        <v>4744</v>
      </c>
      <c r="H2662" s="55" t="s">
        <v>4745</v>
      </c>
      <c r="I2662" s="15" t="s">
        <v>605</v>
      </c>
    </row>
    <row r="2663" spans="1:9" ht="51.75" customHeight="1" x14ac:dyDescent="0.35">
      <c r="A2663" s="15">
        <v>2</v>
      </c>
      <c r="B2663" s="15" t="s">
        <v>29052</v>
      </c>
      <c r="C2663" s="15" t="s">
        <v>29053</v>
      </c>
      <c r="D2663" s="31">
        <v>41038</v>
      </c>
      <c r="E2663" s="15" t="s">
        <v>29054</v>
      </c>
      <c r="F2663" s="87"/>
      <c r="G2663" s="45" t="s">
        <v>4744</v>
      </c>
      <c r="H2663" s="55" t="s">
        <v>4745</v>
      </c>
      <c r="I2663" s="15" t="s">
        <v>605</v>
      </c>
    </row>
    <row r="2664" spans="1:9" ht="51.75" customHeight="1" x14ac:dyDescent="0.35">
      <c r="A2664" s="15">
        <v>1</v>
      </c>
      <c r="B2664" s="15" t="s">
        <v>29055</v>
      </c>
      <c r="C2664" s="15" t="s">
        <v>29056</v>
      </c>
      <c r="D2664" s="31">
        <v>41038</v>
      </c>
      <c r="E2664" s="15" t="s">
        <v>29056</v>
      </c>
      <c r="F2664" s="87"/>
      <c r="G2664" s="45" t="s">
        <v>7157</v>
      </c>
      <c r="H2664" s="55" t="s">
        <v>7158</v>
      </c>
      <c r="I2664" s="15" t="s">
        <v>605</v>
      </c>
    </row>
    <row r="2665" spans="1:9" ht="51.75" customHeight="1" x14ac:dyDescent="0.35">
      <c r="A2665" s="15">
        <v>1</v>
      </c>
      <c r="B2665" s="15" t="s">
        <v>29057</v>
      </c>
      <c r="C2665" s="15" t="s">
        <v>29058</v>
      </c>
      <c r="D2665" s="31">
        <v>41038</v>
      </c>
      <c r="E2665" s="15" t="s">
        <v>29058</v>
      </c>
      <c r="F2665" s="87"/>
      <c r="G2665" s="45" t="s">
        <v>6883</v>
      </c>
      <c r="H2665" s="55" t="s">
        <v>6884</v>
      </c>
      <c r="I2665" s="15" t="s">
        <v>605</v>
      </c>
    </row>
    <row r="2666" spans="1:9" ht="51.75" customHeight="1" x14ac:dyDescent="0.35">
      <c r="A2666" s="15">
        <v>2</v>
      </c>
      <c r="B2666" s="15" t="s">
        <v>29059</v>
      </c>
      <c r="C2666" s="15" t="s">
        <v>29056</v>
      </c>
      <c r="D2666" s="31">
        <v>41038</v>
      </c>
      <c r="E2666" s="15" t="s">
        <v>29056</v>
      </c>
      <c r="F2666" s="87"/>
      <c r="G2666" s="45" t="s">
        <v>6883</v>
      </c>
      <c r="H2666" s="55" t="s">
        <v>6884</v>
      </c>
      <c r="I2666" s="15" t="s">
        <v>605</v>
      </c>
    </row>
    <row r="2667" spans="1:9" ht="51.75" customHeight="1" x14ac:dyDescent="0.35">
      <c r="A2667" s="15" t="s">
        <v>24541</v>
      </c>
      <c r="B2667" s="15" t="s">
        <v>29060</v>
      </c>
      <c r="C2667" s="15" t="s">
        <v>29061</v>
      </c>
      <c r="D2667" s="31" t="s">
        <v>50</v>
      </c>
      <c r="E2667" s="15" t="s">
        <v>29062</v>
      </c>
      <c r="F2667" s="87" t="s">
        <v>21871</v>
      </c>
      <c r="G2667" s="45" t="s">
        <v>7786</v>
      </c>
      <c r="H2667" s="55" t="s">
        <v>7787</v>
      </c>
      <c r="I2667" s="15" t="s">
        <v>605</v>
      </c>
    </row>
    <row r="2668" spans="1:9" ht="51.75" customHeight="1" x14ac:dyDescent="0.35">
      <c r="A2668" s="15" t="s">
        <v>24536</v>
      </c>
      <c r="B2668" s="15" t="s">
        <v>29063</v>
      </c>
      <c r="C2668" s="15" t="s">
        <v>29064</v>
      </c>
      <c r="D2668" s="31" t="s">
        <v>50</v>
      </c>
      <c r="E2668" s="15" t="s">
        <v>29065</v>
      </c>
      <c r="F2668" s="87" t="s">
        <v>21871</v>
      </c>
      <c r="G2668" s="45" t="s">
        <v>7925</v>
      </c>
      <c r="H2668" s="55" t="s">
        <v>7926</v>
      </c>
      <c r="I2668" s="15" t="s">
        <v>605</v>
      </c>
    </row>
    <row r="2669" spans="1:9" ht="51.75" customHeight="1" x14ac:dyDescent="0.35">
      <c r="A2669" s="15" t="s">
        <v>24521</v>
      </c>
      <c r="B2669" s="15" t="s">
        <v>29066</v>
      </c>
      <c r="C2669" s="15" t="s">
        <v>29064</v>
      </c>
      <c r="D2669" s="31" t="s">
        <v>50</v>
      </c>
      <c r="E2669" s="15" t="s">
        <v>29067</v>
      </c>
      <c r="F2669" s="87" t="s">
        <v>21871</v>
      </c>
      <c r="G2669" s="45" t="s">
        <v>7925</v>
      </c>
      <c r="H2669" s="55" t="s">
        <v>7926</v>
      </c>
      <c r="I2669" s="15" t="s">
        <v>605</v>
      </c>
    </row>
    <row r="2670" spans="1:9" ht="51.75" customHeight="1" x14ac:dyDescent="0.35">
      <c r="A2670" s="15" t="s">
        <v>24526</v>
      </c>
      <c r="B2670" s="15" t="s">
        <v>29068</v>
      </c>
      <c r="C2670" s="15" t="s">
        <v>29069</v>
      </c>
      <c r="D2670" s="31" t="s">
        <v>50</v>
      </c>
      <c r="E2670" s="15" t="s">
        <v>29070</v>
      </c>
      <c r="F2670" s="87" t="s">
        <v>21871</v>
      </c>
      <c r="G2670" s="45" t="s">
        <v>7925</v>
      </c>
      <c r="H2670" s="55" t="s">
        <v>7926</v>
      </c>
      <c r="I2670" s="15" t="s">
        <v>605</v>
      </c>
    </row>
    <row r="2671" spans="1:9" ht="51.75" customHeight="1" x14ac:dyDescent="0.35">
      <c r="A2671" s="15" t="s">
        <v>24530</v>
      </c>
      <c r="B2671" s="15" t="s">
        <v>29071</v>
      </c>
      <c r="C2671" s="15" t="s">
        <v>29069</v>
      </c>
      <c r="D2671" s="31" t="s">
        <v>50</v>
      </c>
      <c r="E2671" s="15" t="s">
        <v>29072</v>
      </c>
      <c r="F2671" s="87" t="s">
        <v>21871</v>
      </c>
      <c r="G2671" s="45" t="s">
        <v>8042</v>
      </c>
      <c r="H2671" s="55" t="s">
        <v>8043</v>
      </c>
      <c r="I2671" s="15" t="s">
        <v>605</v>
      </c>
    </row>
    <row r="2672" spans="1:9" ht="51.75" customHeight="1" x14ac:dyDescent="0.35">
      <c r="A2672" s="15" t="s">
        <v>24209</v>
      </c>
      <c r="B2672" s="15" t="s">
        <v>29073</v>
      </c>
      <c r="C2672" s="15" t="s">
        <v>29074</v>
      </c>
      <c r="D2672" s="31" t="s">
        <v>50</v>
      </c>
      <c r="E2672" s="15" t="s">
        <v>29075</v>
      </c>
      <c r="F2672" s="87" t="s">
        <v>21871</v>
      </c>
      <c r="G2672" s="45" t="s">
        <v>8042</v>
      </c>
      <c r="H2672" s="55" t="s">
        <v>8043</v>
      </c>
      <c r="I2672" s="15" t="s">
        <v>605</v>
      </c>
    </row>
    <row r="2673" spans="1:9" ht="51.75" customHeight="1" x14ac:dyDescent="0.35">
      <c r="A2673" s="15" t="s">
        <v>25482</v>
      </c>
      <c r="B2673" s="15" t="s">
        <v>29076</v>
      </c>
      <c r="C2673" s="15" t="s">
        <v>29077</v>
      </c>
      <c r="D2673" s="31" t="s">
        <v>50</v>
      </c>
      <c r="E2673" s="15" t="s">
        <v>29078</v>
      </c>
      <c r="F2673" s="87" t="s">
        <v>21871</v>
      </c>
      <c r="G2673" s="45" t="s">
        <v>8027</v>
      </c>
      <c r="H2673" s="55" t="s">
        <v>8028</v>
      </c>
      <c r="I2673" s="15" t="s">
        <v>605</v>
      </c>
    </row>
    <row r="2674" spans="1:9" ht="51.75" customHeight="1" x14ac:dyDescent="0.35">
      <c r="A2674" s="15" t="s">
        <v>25365</v>
      </c>
      <c r="B2674" s="15" t="s">
        <v>29079</v>
      </c>
      <c r="C2674" s="15"/>
      <c r="D2674" s="31" t="s">
        <v>50</v>
      </c>
      <c r="E2674" s="15" t="s">
        <v>29080</v>
      </c>
      <c r="F2674" s="87" t="s">
        <v>21871</v>
      </c>
      <c r="G2674" s="45" t="s">
        <v>8088</v>
      </c>
      <c r="H2674" s="55" t="s">
        <v>8089</v>
      </c>
      <c r="I2674" s="15" t="s">
        <v>605</v>
      </c>
    </row>
    <row r="2675" spans="1:9" ht="51.75" customHeight="1" x14ac:dyDescent="0.35">
      <c r="A2675" s="15" t="s">
        <v>25371</v>
      </c>
      <c r="B2675" s="15" t="s">
        <v>29081</v>
      </c>
      <c r="C2675" s="15"/>
      <c r="D2675" s="31" t="s">
        <v>50</v>
      </c>
      <c r="E2675" s="15" t="s">
        <v>29082</v>
      </c>
      <c r="F2675" s="87" t="s">
        <v>21871</v>
      </c>
      <c r="G2675" s="45" t="s">
        <v>8088</v>
      </c>
      <c r="H2675" s="55" t="s">
        <v>8089</v>
      </c>
      <c r="I2675" s="15" t="s">
        <v>605</v>
      </c>
    </row>
    <row r="2676" spans="1:9" ht="51.75" customHeight="1" x14ac:dyDescent="0.35">
      <c r="A2676" s="15" t="s">
        <v>23587</v>
      </c>
      <c r="B2676" s="15" t="s">
        <v>29083</v>
      </c>
      <c r="C2676" s="15"/>
      <c r="D2676" s="31" t="s">
        <v>50</v>
      </c>
      <c r="E2676" s="15" t="s">
        <v>29084</v>
      </c>
      <c r="F2676" s="87" t="s">
        <v>21871</v>
      </c>
      <c r="G2676" s="45" t="s">
        <v>8088</v>
      </c>
      <c r="H2676" s="55" t="s">
        <v>8089</v>
      </c>
      <c r="I2676" s="15" t="s">
        <v>605</v>
      </c>
    </row>
    <row r="2677" spans="1:9" ht="51.75" customHeight="1" x14ac:dyDescent="0.35">
      <c r="A2677" s="15" t="s">
        <v>25390</v>
      </c>
      <c r="B2677" s="15" t="s">
        <v>29085</v>
      </c>
      <c r="C2677" s="15"/>
      <c r="D2677" s="31" t="s">
        <v>50</v>
      </c>
      <c r="E2677" s="15" t="s">
        <v>29072</v>
      </c>
      <c r="F2677" s="87" t="s">
        <v>21871</v>
      </c>
      <c r="G2677" s="45" t="s">
        <v>8059</v>
      </c>
      <c r="H2677" s="55" t="s">
        <v>8060</v>
      </c>
      <c r="I2677" s="15" t="s">
        <v>605</v>
      </c>
    </row>
    <row r="2678" spans="1:9" ht="51.75" customHeight="1" x14ac:dyDescent="0.35">
      <c r="A2678" s="15" t="s">
        <v>25377</v>
      </c>
      <c r="B2678" s="15" t="s">
        <v>29086</v>
      </c>
      <c r="C2678" s="15"/>
      <c r="D2678" s="31" t="s">
        <v>50</v>
      </c>
      <c r="E2678" s="15" t="s">
        <v>29075</v>
      </c>
      <c r="F2678" s="87" t="s">
        <v>21871</v>
      </c>
      <c r="G2678" s="45" t="s">
        <v>8059</v>
      </c>
      <c r="H2678" s="55" t="s">
        <v>8060</v>
      </c>
      <c r="I2678" s="15" t="s">
        <v>605</v>
      </c>
    </row>
    <row r="2679" spans="1:9" ht="51.75" customHeight="1" x14ac:dyDescent="0.35">
      <c r="A2679" s="15" t="s">
        <v>24802</v>
      </c>
      <c r="B2679" s="15" t="s">
        <v>29087</v>
      </c>
      <c r="C2679" s="15"/>
      <c r="D2679" s="31" t="s">
        <v>50</v>
      </c>
      <c r="E2679" s="15" t="s">
        <v>29088</v>
      </c>
      <c r="F2679" s="87" t="s">
        <v>21871</v>
      </c>
      <c r="G2679" s="45" t="s">
        <v>8338</v>
      </c>
      <c r="H2679" s="55" t="s">
        <v>8339</v>
      </c>
      <c r="I2679" s="15" t="s">
        <v>605</v>
      </c>
    </row>
    <row r="2680" spans="1:9" ht="51.75" customHeight="1" x14ac:dyDescent="0.35">
      <c r="A2680" s="15" t="s">
        <v>25482</v>
      </c>
      <c r="B2680" s="15" t="s">
        <v>29089</v>
      </c>
      <c r="C2680" s="15" t="s">
        <v>29090</v>
      </c>
      <c r="D2680" s="31" t="s">
        <v>50</v>
      </c>
      <c r="E2680" s="15" t="s">
        <v>29090</v>
      </c>
      <c r="F2680" s="87" t="s">
        <v>21871</v>
      </c>
      <c r="G2680" s="45" t="s">
        <v>9357</v>
      </c>
      <c r="H2680" s="55" t="s">
        <v>9358</v>
      </c>
      <c r="I2680" s="15" t="s">
        <v>605</v>
      </c>
    </row>
    <row r="2681" spans="1:9" ht="51.75" customHeight="1" x14ac:dyDescent="0.35">
      <c r="A2681" s="15" t="s">
        <v>25488</v>
      </c>
      <c r="B2681" s="15" t="s">
        <v>29091</v>
      </c>
      <c r="C2681" s="15" t="s">
        <v>29092</v>
      </c>
      <c r="D2681" s="31" t="s">
        <v>50</v>
      </c>
      <c r="E2681" s="15" t="s">
        <v>29092</v>
      </c>
      <c r="F2681" s="87" t="s">
        <v>21871</v>
      </c>
      <c r="G2681" s="45" t="s">
        <v>9357</v>
      </c>
      <c r="H2681" s="55" t="s">
        <v>9358</v>
      </c>
      <c r="I2681" s="15" t="s">
        <v>605</v>
      </c>
    </row>
    <row r="2682" spans="1:9" ht="51.75" customHeight="1" x14ac:dyDescent="0.35">
      <c r="A2682" s="15" t="s">
        <v>22019</v>
      </c>
      <c r="B2682" s="15" t="s">
        <v>29093</v>
      </c>
      <c r="C2682" s="15" t="s">
        <v>29094</v>
      </c>
      <c r="D2682" s="31" t="s">
        <v>50</v>
      </c>
      <c r="E2682" s="15" t="s">
        <v>29094</v>
      </c>
      <c r="F2682" s="87" t="s">
        <v>21871</v>
      </c>
      <c r="G2682" s="45" t="s">
        <v>9357</v>
      </c>
      <c r="H2682" s="55" t="s">
        <v>9358</v>
      </c>
      <c r="I2682" s="15" t="s">
        <v>605</v>
      </c>
    </row>
    <row r="2683" spans="1:9" ht="51.75" customHeight="1" x14ac:dyDescent="0.35">
      <c r="A2683" s="15" t="s">
        <v>28386</v>
      </c>
      <c r="B2683" s="15" t="s">
        <v>29095</v>
      </c>
      <c r="C2683" s="15" t="s">
        <v>29096</v>
      </c>
      <c r="D2683" s="31" t="s">
        <v>50</v>
      </c>
      <c r="E2683" s="15" t="s">
        <v>29096</v>
      </c>
      <c r="F2683" s="87" t="s">
        <v>21871</v>
      </c>
      <c r="G2683" s="45" t="s">
        <v>9648</v>
      </c>
      <c r="H2683" s="55" t="s">
        <v>9649</v>
      </c>
      <c r="I2683" s="15" t="s">
        <v>605</v>
      </c>
    </row>
    <row r="2684" spans="1:9" ht="51.75" customHeight="1" x14ac:dyDescent="0.35">
      <c r="A2684" s="15" t="s">
        <v>29097</v>
      </c>
      <c r="B2684" s="15" t="s">
        <v>29098</v>
      </c>
      <c r="C2684" s="15" t="s">
        <v>29099</v>
      </c>
      <c r="D2684" s="31" t="s">
        <v>50</v>
      </c>
      <c r="E2684" s="15" t="s">
        <v>29100</v>
      </c>
      <c r="F2684" s="87" t="s">
        <v>21871</v>
      </c>
      <c r="G2684" s="45" t="s">
        <v>9648</v>
      </c>
      <c r="H2684" s="55" t="s">
        <v>9649</v>
      </c>
      <c r="I2684" s="15" t="s">
        <v>605</v>
      </c>
    </row>
    <row r="2685" spans="1:9" ht="51.75" customHeight="1" x14ac:dyDescent="0.35">
      <c r="A2685" s="15" t="s">
        <v>23246</v>
      </c>
      <c r="B2685" s="15" t="s">
        <v>29101</v>
      </c>
      <c r="C2685" s="15" t="s">
        <v>29102</v>
      </c>
      <c r="D2685" s="31" t="s">
        <v>50</v>
      </c>
      <c r="E2685" s="15" t="s">
        <v>29102</v>
      </c>
      <c r="F2685" s="87" t="s">
        <v>21871</v>
      </c>
      <c r="G2685" s="45" t="s">
        <v>10211</v>
      </c>
      <c r="H2685" s="55" t="s">
        <v>10212</v>
      </c>
      <c r="I2685" s="15" t="s">
        <v>605</v>
      </c>
    </row>
    <row r="2686" spans="1:9" ht="51.75" customHeight="1" x14ac:dyDescent="0.35">
      <c r="A2686" s="15" t="s">
        <v>22758</v>
      </c>
      <c r="B2686" s="15" t="s">
        <v>29103</v>
      </c>
      <c r="C2686" s="15" t="s">
        <v>29104</v>
      </c>
      <c r="D2686" s="31" t="s">
        <v>50</v>
      </c>
      <c r="E2686" s="15" t="s">
        <v>29105</v>
      </c>
      <c r="F2686" s="87" t="s">
        <v>21871</v>
      </c>
      <c r="G2686" s="45" t="s">
        <v>11472</v>
      </c>
      <c r="H2686" s="55" t="s">
        <v>11473</v>
      </c>
      <c r="I2686" s="15" t="s">
        <v>605</v>
      </c>
    </row>
    <row r="2687" spans="1:9" ht="51.75" customHeight="1" x14ac:dyDescent="0.35">
      <c r="A2687" s="15" t="s">
        <v>22762</v>
      </c>
      <c r="B2687" s="15" t="s">
        <v>29106</v>
      </c>
      <c r="C2687" s="15" t="s">
        <v>29064</v>
      </c>
      <c r="D2687" s="31" t="s">
        <v>50</v>
      </c>
      <c r="E2687" s="15" t="s">
        <v>29107</v>
      </c>
      <c r="F2687" s="87" t="s">
        <v>21871</v>
      </c>
      <c r="G2687" s="45" t="s">
        <v>11472</v>
      </c>
      <c r="H2687" s="55" t="s">
        <v>11473</v>
      </c>
      <c r="I2687" s="15" t="s">
        <v>605</v>
      </c>
    </row>
    <row r="2688" spans="1:9" ht="51.75" customHeight="1" x14ac:dyDescent="0.35">
      <c r="A2688" s="15" t="s">
        <v>25099</v>
      </c>
      <c r="B2688" s="15" t="s">
        <v>29108</v>
      </c>
      <c r="C2688" s="15" t="s">
        <v>29109</v>
      </c>
      <c r="D2688" s="31" t="s">
        <v>50</v>
      </c>
      <c r="E2688" s="15" t="s">
        <v>29110</v>
      </c>
      <c r="F2688" s="87" t="s">
        <v>21871</v>
      </c>
      <c r="G2688" s="45" t="s">
        <v>11513</v>
      </c>
      <c r="H2688" s="55" t="s">
        <v>11514</v>
      </c>
      <c r="I2688" s="15" t="s">
        <v>605</v>
      </c>
    </row>
    <row r="2689" spans="1:9" ht="51.75" customHeight="1" x14ac:dyDescent="0.35">
      <c r="A2689" s="15" t="s">
        <v>21995</v>
      </c>
      <c r="B2689" s="15" t="s">
        <v>29111</v>
      </c>
      <c r="C2689" s="15" t="s">
        <v>29112</v>
      </c>
      <c r="D2689" s="31" t="s">
        <v>50</v>
      </c>
      <c r="E2689" s="15" t="s">
        <v>29113</v>
      </c>
      <c r="F2689" s="87" t="s">
        <v>21871</v>
      </c>
      <c r="G2689" s="45" t="s">
        <v>11513</v>
      </c>
      <c r="H2689" s="55" t="s">
        <v>11514</v>
      </c>
      <c r="I2689" s="15" t="s">
        <v>605</v>
      </c>
    </row>
    <row r="2690" spans="1:9" ht="51.75" customHeight="1" x14ac:dyDescent="0.35">
      <c r="A2690" s="15" t="s">
        <v>21963</v>
      </c>
      <c r="B2690" s="15" t="s">
        <v>29114</v>
      </c>
      <c r="C2690" s="15" t="s">
        <v>29115</v>
      </c>
      <c r="D2690" s="31" t="s">
        <v>50</v>
      </c>
      <c r="E2690" s="15" t="s">
        <v>29116</v>
      </c>
      <c r="F2690" s="87" t="s">
        <v>21871</v>
      </c>
      <c r="G2690" s="45" t="s">
        <v>11513</v>
      </c>
      <c r="H2690" s="55" t="s">
        <v>11514</v>
      </c>
      <c r="I2690" s="15" t="s">
        <v>605</v>
      </c>
    </row>
    <row r="2691" spans="1:9" ht="51.75" customHeight="1" x14ac:dyDescent="0.35">
      <c r="A2691" s="15" t="s">
        <v>21872</v>
      </c>
      <c r="B2691" s="15" t="s">
        <v>29117</v>
      </c>
      <c r="C2691" s="15" t="s">
        <v>29118</v>
      </c>
      <c r="D2691" s="31" t="s">
        <v>50</v>
      </c>
      <c r="E2691" s="15" t="s">
        <v>29119</v>
      </c>
      <c r="F2691" s="87" t="s">
        <v>21871</v>
      </c>
      <c r="G2691" s="45" t="s">
        <v>11513</v>
      </c>
      <c r="H2691" s="55" t="s">
        <v>11514</v>
      </c>
      <c r="I2691" s="15" t="s">
        <v>605</v>
      </c>
    </row>
    <row r="2692" spans="1:9" ht="51.75" customHeight="1" x14ac:dyDescent="0.35">
      <c r="A2692" s="15" t="s">
        <v>25119</v>
      </c>
      <c r="B2692" s="15" t="s">
        <v>29120</v>
      </c>
      <c r="C2692" s="15" t="s">
        <v>29121</v>
      </c>
      <c r="D2692" s="31" t="s">
        <v>50</v>
      </c>
      <c r="E2692" s="15" t="s">
        <v>29122</v>
      </c>
      <c r="F2692" s="87" t="s">
        <v>21871</v>
      </c>
      <c r="G2692" s="45" t="s">
        <v>11653</v>
      </c>
      <c r="H2692" s="55" t="s">
        <v>11654</v>
      </c>
      <c r="I2692" s="15" t="s">
        <v>605</v>
      </c>
    </row>
    <row r="2693" spans="1:9" ht="51.75" customHeight="1" x14ac:dyDescent="0.35">
      <c r="A2693" s="15" t="s">
        <v>22996</v>
      </c>
      <c r="B2693" s="15" t="s">
        <v>29123</v>
      </c>
      <c r="C2693" s="15" t="s">
        <v>29124</v>
      </c>
      <c r="D2693" s="31" t="s">
        <v>50</v>
      </c>
      <c r="E2693" s="15" t="s">
        <v>29125</v>
      </c>
      <c r="F2693" s="87" t="s">
        <v>21871</v>
      </c>
      <c r="G2693" s="45" t="s">
        <v>11657</v>
      </c>
      <c r="H2693" s="55" t="s">
        <v>11658</v>
      </c>
      <c r="I2693" s="15" t="s">
        <v>605</v>
      </c>
    </row>
    <row r="2694" spans="1:9" ht="51.75" customHeight="1" x14ac:dyDescent="0.35">
      <c r="A2694" s="15" t="s">
        <v>22895</v>
      </c>
      <c r="B2694" s="15" t="s">
        <v>29126</v>
      </c>
      <c r="C2694" s="15" t="s">
        <v>29121</v>
      </c>
      <c r="D2694" s="31" t="s">
        <v>50</v>
      </c>
      <c r="E2694" s="15" t="s">
        <v>29122</v>
      </c>
      <c r="F2694" s="87" t="s">
        <v>21871</v>
      </c>
      <c r="G2694" s="45" t="s">
        <v>11672</v>
      </c>
      <c r="H2694" s="55" t="s">
        <v>11673</v>
      </c>
      <c r="I2694" s="15" t="s">
        <v>605</v>
      </c>
    </row>
    <row r="2695" spans="1:9" ht="51.75" customHeight="1" x14ac:dyDescent="0.35">
      <c r="A2695" s="15" t="s">
        <v>25349</v>
      </c>
      <c r="B2695" s="15" t="s">
        <v>29127</v>
      </c>
      <c r="C2695" s="15" t="s">
        <v>29128</v>
      </c>
      <c r="D2695" s="31" t="s">
        <v>50</v>
      </c>
      <c r="E2695" s="15" t="s">
        <v>29129</v>
      </c>
      <c r="F2695" s="87" t="s">
        <v>21871</v>
      </c>
      <c r="G2695" s="45" t="s">
        <v>11807</v>
      </c>
      <c r="H2695" s="55" t="s">
        <v>11808</v>
      </c>
      <c r="I2695" s="15" t="s">
        <v>605</v>
      </c>
    </row>
    <row r="2696" spans="1:9" ht="51.75" customHeight="1" x14ac:dyDescent="0.35">
      <c r="A2696" s="15" t="s">
        <v>25390</v>
      </c>
      <c r="B2696" s="15" t="s">
        <v>29130</v>
      </c>
      <c r="C2696" s="15" t="s">
        <v>29131</v>
      </c>
      <c r="D2696" s="31" t="s">
        <v>50</v>
      </c>
      <c r="E2696" s="15" t="s">
        <v>29132</v>
      </c>
      <c r="F2696" s="87" t="s">
        <v>21871</v>
      </c>
      <c r="G2696" s="45" t="s">
        <v>11807</v>
      </c>
      <c r="H2696" s="55" t="s">
        <v>11808</v>
      </c>
      <c r="I2696" s="15" t="s">
        <v>605</v>
      </c>
    </row>
    <row r="2697" spans="1:9" ht="51.75" customHeight="1" x14ac:dyDescent="0.35">
      <c r="A2697" s="15" t="s">
        <v>25377</v>
      </c>
      <c r="B2697" s="15" t="s">
        <v>29133</v>
      </c>
      <c r="C2697" s="15" t="s">
        <v>29134</v>
      </c>
      <c r="D2697" s="31" t="s">
        <v>50</v>
      </c>
      <c r="E2697" s="15" t="s">
        <v>29135</v>
      </c>
      <c r="F2697" s="87" t="s">
        <v>21871</v>
      </c>
      <c r="G2697" s="45" t="s">
        <v>11807</v>
      </c>
      <c r="H2697" s="55" t="s">
        <v>11808</v>
      </c>
      <c r="I2697" s="15" t="s">
        <v>605</v>
      </c>
    </row>
    <row r="2698" spans="1:9" ht="51.75" customHeight="1" x14ac:dyDescent="0.35">
      <c r="A2698" s="15" t="s">
        <v>25380</v>
      </c>
      <c r="B2698" s="15" t="s">
        <v>29136</v>
      </c>
      <c r="C2698" s="15" t="s">
        <v>29137</v>
      </c>
      <c r="D2698" s="31" t="s">
        <v>50</v>
      </c>
      <c r="E2698" s="15" t="s">
        <v>29138</v>
      </c>
      <c r="F2698" s="87" t="s">
        <v>21871</v>
      </c>
      <c r="G2698" s="45" t="s">
        <v>11807</v>
      </c>
      <c r="H2698" s="55" t="s">
        <v>11808</v>
      </c>
      <c r="I2698" s="15" t="s">
        <v>605</v>
      </c>
    </row>
    <row r="2699" spans="1:9" ht="51.75" customHeight="1" x14ac:dyDescent="0.35">
      <c r="A2699" s="15" t="s">
        <v>22159</v>
      </c>
      <c r="B2699" s="15" t="s">
        <v>29139</v>
      </c>
      <c r="C2699" s="15" t="s">
        <v>29140</v>
      </c>
      <c r="D2699" s="31" t="s">
        <v>50</v>
      </c>
      <c r="E2699" s="15" t="s">
        <v>29141</v>
      </c>
      <c r="F2699" s="87" t="s">
        <v>21871</v>
      </c>
      <c r="G2699" s="45" t="s">
        <v>11807</v>
      </c>
      <c r="H2699" s="55" t="s">
        <v>11808</v>
      </c>
      <c r="I2699" s="15" t="s">
        <v>605</v>
      </c>
    </row>
    <row r="2700" spans="1:9" ht="51.75" customHeight="1" x14ac:dyDescent="0.35">
      <c r="A2700" s="15" t="s">
        <v>22660</v>
      </c>
      <c r="B2700" s="15" t="s">
        <v>29142</v>
      </c>
      <c r="C2700" s="15" t="s">
        <v>29143</v>
      </c>
      <c r="D2700" s="31" t="s">
        <v>50</v>
      </c>
      <c r="E2700" s="15" t="s">
        <v>29144</v>
      </c>
      <c r="F2700" s="87" t="s">
        <v>21871</v>
      </c>
      <c r="G2700" s="45" t="s">
        <v>11807</v>
      </c>
      <c r="H2700" s="55" t="s">
        <v>11808</v>
      </c>
      <c r="I2700" s="15" t="s">
        <v>605</v>
      </c>
    </row>
    <row r="2701" spans="1:9" ht="51.75" customHeight="1" x14ac:dyDescent="0.35">
      <c r="A2701" s="15" t="s">
        <v>24358</v>
      </c>
      <c r="B2701" s="15" t="s">
        <v>29145</v>
      </c>
      <c r="C2701" s="15" t="s">
        <v>29146</v>
      </c>
      <c r="D2701" s="31" t="s">
        <v>50</v>
      </c>
      <c r="E2701" s="15" t="s">
        <v>29147</v>
      </c>
      <c r="F2701" s="87" t="s">
        <v>21871</v>
      </c>
      <c r="G2701" s="45" t="s">
        <v>11807</v>
      </c>
      <c r="H2701" s="55" t="s">
        <v>11808</v>
      </c>
      <c r="I2701" s="15" t="s">
        <v>605</v>
      </c>
    </row>
    <row r="2702" spans="1:9" ht="51.75" customHeight="1" x14ac:dyDescent="0.35">
      <c r="A2702" s="15" t="s">
        <v>24363</v>
      </c>
      <c r="B2702" s="15" t="s">
        <v>29148</v>
      </c>
      <c r="C2702" s="15" t="s">
        <v>29149</v>
      </c>
      <c r="D2702" s="31" t="s">
        <v>50</v>
      </c>
      <c r="E2702" s="15" t="s">
        <v>29150</v>
      </c>
      <c r="F2702" s="87" t="s">
        <v>21871</v>
      </c>
      <c r="G2702" s="45" t="s">
        <v>11807</v>
      </c>
      <c r="H2702" s="55" t="s">
        <v>11808</v>
      </c>
      <c r="I2702" s="15" t="s">
        <v>605</v>
      </c>
    </row>
    <row r="2703" spans="1:9" ht="51.75" customHeight="1" x14ac:dyDescent="0.35">
      <c r="A2703" s="15" t="s">
        <v>24335</v>
      </c>
      <c r="B2703" s="15" t="s">
        <v>29151</v>
      </c>
      <c r="C2703" s="15" t="s">
        <v>29152</v>
      </c>
      <c r="D2703" s="31" t="s">
        <v>50</v>
      </c>
      <c r="E2703" s="15" t="s">
        <v>29153</v>
      </c>
      <c r="F2703" s="87" t="s">
        <v>21871</v>
      </c>
      <c r="G2703" s="45" t="s">
        <v>13009</v>
      </c>
      <c r="H2703" s="55" t="s">
        <v>13010</v>
      </c>
      <c r="I2703" s="15" t="s">
        <v>605</v>
      </c>
    </row>
    <row r="2704" spans="1:9" ht="51.75" customHeight="1" x14ac:dyDescent="0.35">
      <c r="A2704" s="15" t="s">
        <v>24345</v>
      </c>
      <c r="B2704" s="15" t="s">
        <v>29154</v>
      </c>
      <c r="C2704" s="15" t="s">
        <v>29155</v>
      </c>
      <c r="D2704" s="31" t="s">
        <v>50</v>
      </c>
      <c r="E2704" s="15" t="s">
        <v>29156</v>
      </c>
      <c r="F2704" s="87" t="s">
        <v>21871</v>
      </c>
      <c r="G2704" s="45" t="s">
        <v>13118</v>
      </c>
      <c r="H2704" s="55" t="s">
        <v>13119</v>
      </c>
      <c r="I2704" s="15" t="s">
        <v>605</v>
      </c>
    </row>
    <row r="2705" spans="1:9" ht="51.75" customHeight="1" x14ac:dyDescent="0.35">
      <c r="A2705" s="15" t="s">
        <v>22159</v>
      </c>
      <c r="B2705" s="15" t="s">
        <v>29157</v>
      </c>
      <c r="C2705" s="15" t="s">
        <v>29158</v>
      </c>
      <c r="D2705" s="31" t="s">
        <v>50</v>
      </c>
      <c r="E2705" s="15" t="s">
        <v>29159</v>
      </c>
      <c r="F2705" s="87" t="s">
        <v>21871</v>
      </c>
      <c r="G2705" s="45" t="s">
        <v>13118</v>
      </c>
      <c r="H2705" s="55" t="s">
        <v>13119</v>
      </c>
      <c r="I2705" s="15" t="s">
        <v>605</v>
      </c>
    </row>
    <row r="2706" spans="1:9" ht="51.75" customHeight="1" x14ac:dyDescent="0.35">
      <c r="A2706" s="15" t="s">
        <v>22656</v>
      </c>
      <c r="B2706" s="15" t="s">
        <v>29160</v>
      </c>
      <c r="C2706" s="15" t="s">
        <v>29161</v>
      </c>
      <c r="D2706" s="31" t="s">
        <v>50</v>
      </c>
      <c r="E2706" s="15" t="s">
        <v>29162</v>
      </c>
      <c r="F2706" s="87" t="s">
        <v>21871</v>
      </c>
      <c r="G2706" s="45" t="s">
        <v>13118</v>
      </c>
      <c r="H2706" s="55" t="s">
        <v>13119</v>
      </c>
      <c r="I2706" s="15" t="s">
        <v>605</v>
      </c>
    </row>
    <row r="2707" spans="1:9" ht="51.75" customHeight="1" x14ac:dyDescent="0.35">
      <c r="A2707" s="15" t="s">
        <v>22660</v>
      </c>
      <c r="B2707" s="15" t="s">
        <v>29163</v>
      </c>
      <c r="C2707" s="15" t="s">
        <v>29164</v>
      </c>
      <c r="D2707" s="31" t="s">
        <v>50</v>
      </c>
      <c r="E2707" s="15" t="s">
        <v>29165</v>
      </c>
      <c r="F2707" s="87" t="s">
        <v>21871</v>
      </c>
      <c r="G2707" s="45" t="s">
        <v>13118</v>
      </c>
      <c r="H2707" s="55" t="s">
        <v>13119</v>
      </c>
      <c r="I2707" s="15" t="s">
        <v>605</v>
      </c>
    </row>
    <row r="2708" spans="1:9" ht="51.75" customHeight="1" x14ac:dyDescent="0.35">
      <c r="A2708" s="15" t="s">
        <v>24224</v>
      </c>
      <c r="B2708" s="15" t="s">
        <v>29166</v>
      </c>
      <c r="C2708" s="15" t="s">
        <v>29167</v>
      </c>
      <c r="D2708" s="31" t="s">
        <v>50</v>
      </c>
      <c r="E2708" s="15" t="s">
        <v>29168</v>
      </c>
      <c r="F2708" s="87" t="s">
        <v>21871</v>
      </c>
      <c r="G2708" s="45" t="s">
        <v>12976</v>
      </c>
      <c r="H2708" s="55" t="s">
        <v>12977</v>
      </c>
      <c r="I2708" s="15" t="s">
        <v>605</v>
      </c>
    </row>
    <row r="2709" spans="1:9" ht="51.75" customHeight="1" x14ac:dyDescent="0.35">
      <c r="A2709" s="15" t="s">
        <v>27185</v>
      </c>
      <c r="B2709" s="15" t="s">
        <v>29169</v>
      </c>
      <c r="C2709" s="15" t="s">
        <v>29170</v>
      </c>
      <c r="D2709" s="31" t="s">
        <v>50</v>
      </c>
      <c r="E2709" s="15" t="s">
        <v>29171</v>
      </c>
      <c r="F2709" s="87" t="s">
        <v>21871</v>
      </c>
      <c r="G2709" s="45" t="s">
        <v>12976</v>
      </c>
      <c r="H2709" s="55" t="s">
        <v>12977</v>
      </c>
      <c r="I2709" s="15" t="s">
        <v>605</v>
      </c>
    </row>
    <row r="2710" spans="1:9" ht="51.75" customHeight="1" x14ac:dyDescent="0.35">
      <c r="A2710" s="15" t="s">
        <v>24229</v>
      </c>
      <c r="B2710" s="15" t="s">
        <v>29172</v>
      </c>
      <c r="C2710" s="15" t="s">
        <v>29173</v>
      </c>
      <c r="D2710" s="31" t="s">
        <v>50</v>
      </c>
      <c r="E2710" s="15" t="s">
        <v>29174</v>
      </c>
      <c r="F2710" s="87" t="s">
        <v>21871</v>
      </c>
      <c r="G2710" s="45" t="s">
        <v>12976</v>
      </c>
      <c r="H2710" s="55" t="s">
        <v>12977</v>
      </c>
      <c r="I2710" s="15" t="s">
        <v>605</v>
      </c>
    </row>
    <row r="2711" spans="1:9" ht="51.75" customHeight="1" x14ac:dyDescent="0.35">
      <c r="A2711" s="15" t="s">
        <v>29175</v>
      </c>
      <c r="B2711" s="15" t="s">
        <v>29176</v>
      </c>
      <c r="C2711" s="15" t="s">
        <v>29177</v>
      </c>
      <c r="D2711" s="31" t="s">
        <v>50</v>
      </c>
      <c r="E2711" s="15" t="s">
        <v>29178</v>
      </c>
      <c r="F2711" s="87" t="s">
        <v>21871</v>
      </c>
      <c r="G2711" s="45" t="s">
        <v>13340</v>
      </c>
      <c r="H2711" s="55" t="s">
        <v>13341</v>
      </c>
      <c r="I2711" s="15" t="s">
        <v>605</v>
      </c>
    </row>
    <row r="2712" spans="1:9" ht="51.75" customHeight="1" x14ac:dyDescent="0.35">
      <c r="A2712" s="15" t="s">
        <v>24808</v>
      </c>
      <c r="B2712" s="15" t="s">
        <v>29179</v>
      </c>
      <c r="C2712" s="15" t="s">
        <v>29180</v>
      </c>
      <c r="D2712" s="31" t="s">
        <v>50</v>
      </c>
      <c r="E2712" s="15" t="s">
        <v>29181</v>
      </c>
      <c r="F2712" s="87" t="s">
        <v>21871</v>
      </c>
      <c r="G2712" s="45" t="s">
        <v>14585</v>
      </c>
      <c r="H2712" s="55" t="s">
        <v>14586</v>
      </c>
      <c r="I2712" s="15" t="s">
        <v>605</v>
      </c>
    </row>
    <row r="2713" spans="1:9" ht="51.75" customHeight="1" x14ac:dyDescent="0.35">
      <c r="A2713" s="15" t="s">
        <v>22081</v>
      </c>
      <c r="B2713" s="15" t="s">
        <v>29182</v>
      </c>
      <c r="C2713" s="15" t="s">
        <v>29183</v>
      </c>
      <c r="D2713" s="31" t="s">
        <v>50</v>
      </c>
      <c r="E2713" s="15" t="s">
        <v>29184</v>
      </c>
      <c r="F2713" s="87" t="s">
        <v>21871</v>
      </c>
      <c r="G2713" s="45" t="s">
        <v>14512</v>
      </c>
      <c r="H2713" s="55" t="s">
        <v>14513</v>
      </c>
      <c r="I2713" s="15" t="s">
        <v>605</v>
      </c>
    </row>
    <row r="2714" spans="1:9" ht="51.75" customHeight="1" x14ac:dyDescent="0.35">
      <c r="A2714" s="15" t="s">
        <v>22870</v>
      </c>
      <c r="B2714" s="15" t="s">
        <v>29185</v>
      </c>
      <c r="C2714" s="15" t="s">
        <v>29186</v>
      </c>
      <c r="D2714" s="31" t="s">
        <v>50</v>
      </c>
      <c r="E2714" s="15" t="s">
        <v>29187</v>
      </c>
      <c r="F2714" s="87" t="s">
        <v>21871</v>
      </c>
      <c r="G2714" s="45" t="s">
        <v>14512</v>
      </c>
      <c r="H2714" s="55" t="s">
        <v>14513</v>
      </c>
      <c r="I2714" s="15" t="s">
        <v>605</v>
      </c>
    </row>
    <row r="2715" spans="1:9" ht="51.75" customHeight="1" x14ac:dyDescent="0.35">
      <c r="A2715" s="15" t="s">
        <v>28167</v>
      </c>
      <c r="B2715" s="15" t="s">
        <v>29188</v>
      </c>
      <c r="C2715" s="15" t="s">
        <v>29189</v>
      </c>
      <c r="D2715" s="31" t="s">
        <v>50</v>
      </c>
      <c r="E2715" s="15" t="s">
        <v>29190</v>
      </c>
      <c r="F2715" s="87" t="s">
        <v>21871</v>
      </c>
      <c r="G2715" s="45" t="s">
        <v>14766</v>
      </c>
      <c r="H2715" s="55" t="s">
        <v>14767</v>
      </c>
      <c r="I2715" s="15" t="s">
        <v>605</v>
      </c>
    </row>
    <row r="2716" spans="1:9" ht="51.75" customHeight="1" x14ac:dyDescent="0.35">
      <c r="A2716" s="15" t="s">
        <v>25711</v>
      </c>
      <c r="B2716" s="15" t="s">
        <v>29191</v>
      </c>
      <c r="C2716" s="15" t="s">
        <v>29192</v>
      </c>
      <c r="D2716" s="31" t="s">
        <v>50</v>
      </c>
      <c r="E2716" s="15" t="s">
        <v>29193</v>
      </c>
      <c r="F2716" s="87" t="s">
        <v>21871</v>
      </c>
      <c r="G2716" s="45" t="s">
        <v>14766</v>
      </c>
      <c r="H2716" s="55" t="s">
        <v>14767</v>
      </c>
      <c r="I2716" s="15" t="s">
        <v>605</v>
      </c>
    </row>
    <row r="2717" spans="1:9" ht="51.75" customHeight="1" x14ac:dyDescent="0.35">
      <c r="A2717" s="15" t="s">
        <v>22622</v>
      </c>
      <c r="B2717" s="15" t="s">
        <v>29194</v>
      </c>
      <c r="C2717" s="15" t="s">
        <v>29195</v>
      </c>
      <c r="D2717" s="31" t="s">
        <v>50</v>
      </c>
      <c r="E2717" s="15" t="s">
        <v>29196</v>
      </c>
      <c r="F2717" s="87" t="s">
        <v>21871</v>
      </c>
      <c r="G2717" s="45" t="s">
        <v>15727</v>
      </c>
      <c r="H2717" s="55" t="s">
        <v>15728</v>
      </c>
      <c r="I2717" s="15" t="s">
        <v>605</v>
      </c>
    </row>
    <row r="2718" spans="1:9" ht="51.75" customHeight="1" x14ac:dyDescent="0.35">
      <c r="A2718" s="15" t="s">
        <v>29197</v>
      </c>
      <c r="B2718" s="15" t="s">
        <v>29198</v>
      </c>
      <c r="C2718" s="15" t="s">
        <v>29199</v>
      </c>
      <c r="D2718" s="31" t="s">
        <v>50</v>
      </c>
      <c r="E2718" s="15" t="s">
        <v>29200</v>
      </c>
      <c r="F2718" s="87" t="s">
        <v>21871</v>
      </c>
      <c r="G2718" s="45" t="s">
        <v>16957</v>
      </c>
      <c r="H2718" s="55" t="s">
        <v>16958</v>
      </c>
      <c r="I2718" s="15" t="s">
        <v>605</v>
      </c>
    </row>
    <row r="2719" spans="1:9" ht="51.75" customHeight="1" x14ac:dyDescent="0.35">
      <c r="A2719" s="15" t="s">
        <v>29201</v>
      </c>
      <c r="B2719" s="15" t="s">
        <v>29202</v>
      </c>
      <c r="C2719" s="15" t="s">
        <v>29203</v>
      </c>
      <c r="D2719" s="31" t="s">
        <v>50</v>
      </c>
      <c r="E2719" s="15" t="s">
        <v>29204</v>
      </c>
      <c r="F2719" s="87" t="s">
        <v>21871</v>
      </c>
      <c r="G2719" s="45" t="s">
        <v>16865</v>
      </c>
      <c r="H2719" s="55" t="s">
        <v>16866</v>
      </c>
      <c r="I2719" s="15" t="s">
        <v>605</v>
      </c>
    </row>
    <row r="2720" spans="1:9" ht="51.75" customHeight="1" x14ac:dyDescent="0.35">
      <c r="A2720" s="15" t="s">
        <v>24957</v>
      </c>
      <c r="B2720" s="15" t="s">
        <v>29205</v>
      </c>
      <c r="C2720" s="15" t="s">
        <v>29206</v>
      </c>
      <c r="D2720" s="31">
        <v>42300</v>
      </c>
      <c r="E2720" s="15" t="s">
        <v>29207</v>
      </c>
      <c r="F2720" s="87" t="s">
        <v>29208</v>
      </c>
      <c r="G2720" s="45" t="s">
        <v>9991</v>
      </c>
      <c r="H2720" s="55" t="s">
        <v>9992</v>
      </c>
      <c r="I2720" s="15" t="s">
        <v>29209</v>
      </c>
    </row>
    <row r="2721" spans="1:9" ht="51.75" customHeight="1" x14ac:dyDescent="0.35">
      <c r="A2721" s="15" t="s">
        <v>24957</v>
      </c>
      <c r="B2721" s="15" t="s">
        <v>29210</v>
      </c>
      <c r="C2721" s="15" t="s">
        <v>29206</v>
      </c>
      <c r="D2721" s="31">
        <v>42300</v>
      </c>
      <c r="E2721" s="15" t="s">
        <v>29211</v>
      </c>
      <c r="F2721" s="87" t="s">
        <v>21871</v>
      </c>
      <c r="G2721" s="45" t="s">
        <v>9991</v>
      </c>
      <c r="H2721" s="55" t="s">
        <v>9992</v>
      </c>
      <c r="I2721" s="15" t="s">
        <v>29209</v>
      </c>
    </row>
    <row r="2722" spans="1:9" ht="51.75" customHeight="1" x14ac:dyDescent="0.35">
      <c r="A2722" s="15" t="s">
        <v>22015</v>
      </c>
      <c r="B2722" s="15" t="s">
        <v>29212</v>
      </c>
      <c r="C2722" s="15" t="s">
        <v>29213</v>
      </c>
      <c r="D2722" s="31">
        <v>41995</v>
      </c>
      <c r="E2722" s="15" t="s">
        <v>29214</v>
      </c>
      <c r="F2722" s="87" t="s">
        <v>29208</v>
      </c>
      <c r="G2722" s="45" t="s">
        <v>10069</v>
      </c>
      <c r="H2722" s="55" t="s">
        <v>10070</v>
      </c>
      <c r="I2722" s="15" t="s">
        <v>29209</v>
      </c>
    </row>
    <row r="2723" spans="1:9" ht="51.75" customHeight="1" x14ac:dyDescent="0.35">
      <c r="A2723" s="15" t="s">
        <v>22015</v>
      </c>
      <c r="B2723" s="15" t="s">
        <v>29215</v>
      </c>
      <c r="C2723" s="15" t="s">
        <v>29213</v>
      </c>
      <c r="D2723" s="31">
        <v>41995</v>
      </c>
      <c r="E2723" s="15" t="s">
        <v>29216</v>
      </c>
      <c r="F2723" s="87" t="s">
        <v>21871</v>
      </c>
      <c r="G2723" s="45" t="s">
        <v>10069</v>
      </c>
      <c r="H2723" s="55" t="s">
        <v>10070</v>
      </c>
      <c r="I2723" s="15" t="s">
        <v>29209</v>
      </c>
    </row>
    <row r="2724" spans="1:9" ht="51.75" customHeight="1" x14ac:dyDescent="0.35">
      <c r="A2724" s="15" t="s">
        <v>28561</v>
      </c>
      <c r="B2724" s="15" t="s">
        <v>29217</v>
      </c>
      <c r="C2724" s="15" t="s">
        <v>29218</v>
      </c>
      <c r="D2724" s="31">
        <v>42142</v>
      </c>
      <c r="E2724" s="15" t="s">
        <v>29219</v>
      </c>
      <c r="F2724" s="87" t="s">
        <v>21871</v>
      </c>
      <c r="G2724" s="45" t="s">
        <v>10267</v>
      </c>
      <c r="H2724" s="55" t="s">
        <v>10268</v>
      </c>
      <c r="I2724" s="15" t="s">
        <v>29209</v>
      </c>
    </row>
    <row r="2725" spans="1:9" ht="51.75" customHeight="1" x14ac:dyDescent="0.35">
      <c r="A2725" s="15" t="s">
        <v>24345</v>
      </c>
      <c r="B2725" s="15" t="s">
        <v>29220</v>
      </c>
      <c r="C2725" s="15" t="s">
        <v>29221</v>
      </c>
      <c r="D2725" s="31">
        <v>42438</v>
      </c>
      <c r="E2725" s="15" t="s">
        <v>29222</v>
      </c>
      <c r="F2725" s="87" t="s">
        <v>21871</v>
      </c>
      <c r="G2725" s="45" t="s">
        <v>10303</v>
      </c>
      <c r="H2725" s="55" t="s">
        <v>10304</v>
      </c>
      <c r="I2725" s="15" t="s">
        <v>29209</v>
      </c>
    </row>
    <row r="2726" spans="1:9" ht="51.75" customHeight="1" x14ac:dyDescent="0.35">
      <c r="A2726" s="15" t="s">
        <v>24345</v>
      </c>
      <c r="B2726" s="15" t="s">
        <v>29223</v>
      </c>
      <c r="C2726" s="15" t="s">
        <v>29221</v>
      </c>
      <c r="D2726" s="31">
        <v>42438</v>
      </c>
      <c r="E2726" s="15" t="s">
        <v>29224</v>
      </c>
      <c r="F2726" s="87" t="s">
        <v>29208</v>
      </c>
      <c r="G2726" s="45" t="s">
        <v>10303</v>
      </c>
      <c r="H2726" s="55" t="s">
        <v>10304</v>
      </c>
      <c r="I2726" s="15" t="s">
        <v>29209</v>
      </c>
    </row>
    <row r="2727" spans="1:9" ht="51.75" customHeight="1" x14ac:dyDescent="0.35">
      <c r="A2727" s="15" t="s">
        <v>23412</v>
      </c>
      <c r="B2727" s="15" t="s">
        <v>29225</v>
      </c>
      <c r="C2727" s="15" t="s">
        <v>29226</v>
      </c>
      <c r="D2727" s="31">
        <v>42101</v>
      </c>
      <c r="E2727" s="15" t="s">
        <v>29227</v>
      </c>
      <c r="F2727" s="87" t="s">
        <v>21871</v>
      </c>
      <c r="G2727" s="45" t="s">
        <v>10333</v>
      </c>
      <c r="H2727" s="55" t="s">
        <v>10334</v>
      </c>
      <c r="I2727" s="15" t="s">
        <v>29209</v>
      </c>
    </row>
    <row r="2728" spans="1:9" ht="51.75" customHeight="1" x14ac:dyDescent="0.35">
      <c r="A2728" s="15" t="s">
        <v>23416</v>
      </c>
      <c r="B2728" s="15" t="s">
        <v>29228</v>
      </c>
      <c r="C2728" s="15" t="s">
        <v>29229</v>
      </c>
      <c r="D2728" s="31">
        <v>42101</v>
      </c>
      <c r="E2728" s="15" t="s">
        <v>29230</v>
      </c>
      <c r="F2728" s="87" t="s">
        <v>21871</v>
      </c>
      <c r="G2728" s="45" t="s">
        <v>10333</v>
      </c>
      <c r="H2728" s="55" t="s">
        <v>10334</v>
      </c>
      <c r="I2728" s="15" t="s">
        <v>29209</v>
      </c>
    </row>
    <row r="2729" spans="1:9" ht="51.75" customHeight="1" x14ac:dyDescent="0.35">
      <c r="A2729" s="15" t="s">
        <v>25223</v>
      </c>
      <c r="B2729" s="15" t="s">
        <v>29231</v>
      </c>
      <c r="C2729" s="15" t="s">
        <v>29232</v>
      </c>
      <c r="D2729" s="31">
        <v>42101</v>
      </c>
      <c r="E2729" s="15" t="s">
        <v>29233</v>
      </c>
      <c r="F2729" s="87" t="s">
        <v>21871</v>
      </c>
      <c r="G2729" s="45" t="s">
        <v>10333</v>
      </c>
      <c r="H2729" s="55" t="s">
        <v>10334</v>
      </c>
      <c r="I2729" s="15" t="s">
        <v>29209</v>
      </c>
    </row>
    <row r="2730" spans="1:9" ht="51.75" customHeight="1" x14ac:dyDescent="0.35">
      <c r="A2730" s="15" t="s">
        <v>25229</v>
      </c>
      <c r="B2730" s="15" t="s">
        <v>29234</v>
      </c>
      <c r="C2730" s="15" t="s">
        <v>29235</v>
      </c>
      <c r="D2730" s="31">
        <v>42101</v>
      </c>
      <c r="E2730" s="15" t="s">
        <v>29236</v>
      </c>
      <c r="F2730" s="87" t="s">
        <v>21871</v>
      </c>
      <c r="G2730" s="45" t="s">
        <v>10333</v>
      </c>
      <c r="H2730" s="55" t="s">
        <v>10334</v>
      </c>
      <c r="I2730" s="15" t="s">
        <v>29209</v>
      </c>
    </row>
    <row r="2731" spans="1:9" ht="51.75" customHeight="1" x14ac:dyDescent="0.35">
      <c r="A2731" s="15" t="s">
        <v>24877</v>
      </c>
      <c r="B2731" s="15" t="s">
        <v>29237</v>
      </c>
      <c r="C2731" s="15" t="s">
        <v>29238</v>
      </c>
      <c r="D2731" s="31">
        <v>42377</v>
      </c>
      <c r="E2731" s="15" t="s">
        <v>29239</v>
      </c>
      <c r="F2731" s="87" t="s">
        <v>29208</v>
      </c>
      <c r="G2731" s="45" t="s">
        <v>10517</v>
      </c>
      <c r="H2731" s="55" t="s">
        <v>10518</v>
      </c>
      <c r="I2731" s="15" t="s">
        <v>29209</v>
      </c>
    </row>
    <row r="2732" spans="1:9" ht="51.75" customHeight="1" x14ac:dyDescent="0.35">
      <c r="A2732" s="15" t="s">
        <v>24877</v>
      </c>
      <c r="B2732" s="15" t="s">
        <v>29240</v>
      </c>
      <c r="C2732" s="15" t="s">
        <v>29238</v>
      </c>
      <c r="D2732" s="31">
        <v>42377</v>
      </c>
      <c r="E2732" s="15" t="s">
        <v>29241</v>
      </c>
      <c r="F2732" s="87" t="s">
        <v>21871</v>
      </c>
      <c r="G2732" s="45" t="s">
        <v>10517</v>
      </c>
      <c r="H2732" s="55" t="s">
        <v>10518</v>
      </c>
      <c r="I2732" s="15" t="s">
        <v>29209</v>
      </c>
    </row>
    <row r="2733" spans="1:9" ht="51.75" customHeight="1" x14ac:dyDescent="0.35">
      <c r="A2733" s="15" t="s">
        <v>22217</v>
      </c>
      <c r="B2733" s="15" t="s">
        <v>29242</v>
      </c>
      <c r="C2733" s="15" t="s">
        <v>29243</v>
      </c>
      <c r="D2733" s="31">
        <v>42368</v>
      </c>
      <c r="E2733" s="15" t="s">
        <v>29244</v>
      </c>
      <c r="F2733" s="87" t="s">
        <v>29208</v>
      </c>
      <c r="G2733" s="45" t="s">
        <v>10773</v>
      </c>
      <c r="H2733" s="55" t="s">
        <v>10774</v>
      </c>
      <c r="I2733" s="15" t="s">
        <v>29209</v>
      </c>
    </row>
    <row r="2734" spans="1:9" ht="51.75" customHeight="1" x14ac:dyDescent="0.35">
      <c r="A2734" s="15" t="s">
        <v>22217</v>
      </c>
      <c r="B2734" s="15" t="s">
        <v>29245</v>
      </c>
      <c r="C2734" s="15" t="s">
        <v>29243</v>
      </c>
      <c r="D2734" s="31">
        <v>42368</v>
      </c>
      <c r="E2734" s="15" t="s">
        <v>29246</v>
      </c>
      <c r="F2734" s="87" t="s">
        <v>21871</v>
      </c>
      <c r="G2734" s="45" t="s">
        <v>10773</v>
      </c>
      <c r="H2734" s="55" t="s">
        <v>10774</v>
      </c>
      <c r="I2734" s="15" t="s">
        <v>29209</v>
      </c>
    </row>
    <row r="2735" spans="1:9" ht="51.75" customHeight="1" x14ac:dyDescent="0.35">
      <c r="A2735" s="15" t="s">
        <v>21894</v>
      </c>
      <c r="B2735" s="15" t="s">
        <v>29247</v>
      </c>
      <c r="C2735" s="15" t="s">
        <v>29248</v>
      </c>
      <c r="D2735" s="31">
        <v>42426</v>
      </c>
      <c r="E2735" s="15" t="s">
        <v>29249</v>
      </c>
      <c r="F2735" s="87" t="s">
        <v>21871</v>
      </c>
      <c r="G2735" s="45" t="s">
        <v>10497</v>
      </c>
      <c r="H2735" s="55" t="s">
        <v>10498</v>
      </c>
      <c r="I2735" s="15" t="s">
        <v>29209</v>
      </c>
    </row>
    <row r="2736" spans="1:9" ht="51.75" customHeight="1" x14ac:dyDescent="0.35">
      <c r="A2736" s="15" t="s">
        <v>21894</v>
      </c>
      <c r="B2736" s="15" t="s">
        <v>29250</v>
      </c>
      <c r="C2736" s="15" t="s">
        <v>29248</v>
      </c>
      <c r="D2736" s="31">
        <v>42426</v>
      </c>
      <c r="E2736" s="15" t="s">
        <v>29251</v>
      </c>
      <c r="F2736" s="87" t="s">
        <v>29208</v>
      </c>
      <c r="G2736" s="45" t="s">
        <v>10497</v>
      </c>
      <c r="H2736" s="55" t="s">
        <v>10498</v>
      </c>
      <c r="I2736" s="15" t="s">
        <v>29209</v>
      </c>
    </row>
    <row r="2737" spans="1:9" ht="51.75" customHeight="1" x14ac:dyDescent="0.35">
      <c r="A2737" s="15" t="s">
        <v>26618</v>
      </c>
      <c r="B2737" s="15" t="s">
        <v>29252</v>
      </c>
      <c r="C2737" s="15" t="s">
        <v>29253</v>
      </c>
      <c r="D2737" s="31">
        <v>42480</v>
      </c>
      <c r="E2737" s="15" t="s">
        <v>29254</v>
      </c>
      <c r="F2737" s="87" t="s">
        <v>29208</v>
      </c>
      <c r="G2737" s="45" t="s">
        <v>10930</v>
      </c>
      <c r="H2737" s="55" t="s">
        <v>10931</v>
      </c>
      <c r="I2737" s="15" t="s">
        <v>29209</v>
      </c>
    </row>
    <row r="2738" spans="1:9" ht="51.75" customHeight="1" x14ac:dyDescent="0.35">
      <c r="A2738" s="15" t="s">
        <v>26618</v>
      </c>
      <c r="B2738" s="15" t="s">
        <v>29255</v>
      </c>
      <c r="C2738" s="15" t="s">
        <v>29253</v>
      </c>
      <c r="D2738" s="31">
        <v>42480</v>
      </c>
      <c r="E2738" s="15" t="s">
        <v>29256</v>
      </c>
      <c r="F2738" s="87" t="s">
        <v>21871</v>
      </c>
      <c r="G2738" s="45" t="s">
        <v>10930</v>
      </c>
      <c r="H2738" s="55" t="s">
        <v>10931</v>
      </c>
      <c r="I2738" s="15" t="s">
        <v>29209</v>
      </c>
    </row>
    <row r="2739" spans="1:9" ht="51.75" customHeight="1" x14ac:dyDescent="0.35">
      <c r="A2739" s="15" t="s">
        <v>26621</v>
      </c>
      <c r="B2739" s="15" t="s">
        <v>29257</v>
      </c>
      <c r="C2739" s="15" t="s">
        <v>29258</v>
      </c>
      <c r="D2739" s="31">
        <v>42480</v>
      </c>
      <c r="E2739" s="15" t="s">
        <v>29259</v>
      </c>
      <c r="F2739" s="87" t="s">
        <v>29208</v>
      </c>
      <c r="G2739" s="45" t="s">
        <v>10930</v>
      </c>
      <c r="H2739" s="55" t="s">
        <v>10931</v>
      </c>
      <c r="I2739" s="15" t="s">
        <v>29209</v>
      </c>
    </row>
    <row r="2740" spans="1:9" ht="51.75" customHeight="1" x14ac:dyDescent="0.35">
      <c r="A2740" s="15" t="s">
        <v>26621</v>
      </c>
      <c r="B2740" s="15" t="s">
        <v>29260</v>
      </c>
      <c r="C2740" s="15" t="s">
        <v>29258</v>
      </c>
      <c r="D2740" s="31">
        <v>42480</v>
      </c>
      <c r="E2740" s="15" t="s">
        <v>29261</v>
      </c>
      <c r="F2740" s="87" t="s">
        <v>21871</v>
      </c>
      <c r="G2740" s="45" t="s">
        <v>10930</v>
      </c>
      <c r="H2740" s="55" t="s">
        <v>10931</v>
      </c>
      <c r="I2740" s="15" t="s">
        <v>29209</v>
      </c>
    </row>
    <row r="2741" spans="1:9" ht="51.75" customHeight="1" x14ac:dyDescent="0.35">
      <c r="A2741" s="15" t="s">
        <v>21867</v>
      </c>
      <c r="B2741" s="15" t="s">
        <v>29262</v>
      </c>
      <c r="C2741" s="15" t="s">
        <v>29263</v>
      </c>
      <c r="D2741" s="31">
        <v>42480</v>
      </c>
      <c r="E2741" s="15" t="s">
        <v>29264</v>
      </c>
      <c r="F2741" s="87" t="s">
        <v>29208</v>
      </c>
      <c r="G2741" s="45" t="s">
        <v>10930</v>
      </c>
      <c r="H2741" s="55" t="s">
        <v>10931</v>
      </c>
      <c r="I2741" s="15" t="s">
        <v>29209</v>
      </c>
    </row>
    <row r="2742" spans="1:9" ht="51.75" customHeight="1" x14ac:dyDescent="0.35">
      <c r="A2742" s="15" t="s">
        <v>21867</v>
      </c>
      <c r="B2742" s="15" t="s">
        <v>29265</v>
      </c>
      <c r="C2742" s="15" t="s">
        <v>29263</v>
      </c>
      <c r="D2742" s="31">
        <v>42480</v>
      </c>
      <c r="E2742" s="15" t="s">
        <v>29266</v>
      </c>
      <c r="F2742" s="87" t="s">
        <v>21871</v>
      </c>
      <c r="G2742" s="45" t="s">
        <v>10930</v>
      </c>
      <c r="H2742" s="55" t="s">
        <v>10931</v>
      </c>
      <c r="I2742" s="15" t="s">
        <v>29209</v>
      </c>
    </row>
    <row r="2743" spans="1:9" ht="51.75" customHeight="1" x14ac:dyDescent="0.35">
      <c r="A2743" s="15" t="s">
        <v>24561</v>
      </c>
      <c r="B2743" s="15" t="s">
        <v>29267</v>
      </c>
      <c r="C2743" s="15" t="s">
        <v>29268</v>
      </c>
      <c r="D2743" s="31">
        <v>42480</v>
      </c>
      <c r="E2743" s="15" t="s">
        <v>29269</v>
      </c>
      <c r="F2743" s="87" t="s">
        <v>29208</v>
      </c>
      <c r="G2743" s="45" t="s">
        <v>10930</v>
      </c>
      <c r="H2743" s="55" t="s">
        <v>10931</v>
      </c>
      <c r="I2743" s="15" t="s">
        <v>29209</v>
      </c>
    </row>
    <row r="2744" spans="1:9" ht="51.75" customHeight="1" x14ac:dyDescent="0.35">
      <c r="A2744" s="15" t="s">
        <v>24561</v>
      </c>
      <c r="B2744" s="15" t="s">
        <v>29270</v>
      </c>
      <c r="C2744" s="15" t="s">
        <v>29268</v>
      </c>
      <c r="D2744" s="31">
        <v>42480</v>
      </c>
      <c r="E2744" s="15" t="s">
        <v>29271</v>
      </c>
      <c r="F2744" s="87" t="s">
        <v>21871</v>
      </c>
      <c r="G2744" s="45" t="s">
        <v>10930</v>
      </c>
      <c r="H2744" s="55" t="s">
        <v>10931</v>
      </c>
      <c r="I2744" s="15" t="s">
        <v>29209</v>
      </c>
    </row>
    <row r="2745" spans="1:9" ht="51.75" customHeight="1" x14ac:dyDescent="0.35">
      <c r="A2745" s="15" t="s">
        <v>28485</v>
      </c>
      <c r="B2745" s="15" t="s">
        <v>29272</v>
      </c>
      <c r="C2745" s="15" t="s">
        <v>29273</v>
      </c>
      <c r="D2745" s="31">
        <v>42480</v>
      </c>
      <c r="E2745" s="15" t="s">
        <v>29274</v>
      </c>
      <c r="F2745" s="87" t="s">
        <v>29208</v>
      </c>
      <c r="G2745" s="45" t="s">
        <v>10930</v>
      </c>
      <c r="H2745" s="55" t="s">
        <v>10931</v>
      </c>
      <c r="I2745" s="15" t="s">
        <v>29209</v>
      </c>
    </row>
    <row r="2746" spans="1:9" ht="51.75" customHeight="1" x14ac:dyDescent="0.35">
      <c r="A2746" s="15" t="s">
        <v>28485</v>
      </c>
      <c r="B2746" s="15" t="s">
        <v>29275</v>
      </c>
      <c r="C2746" s="15" t="s">
        <v>29273</v>
      </c>
      <c r="D2746" s="31">
        <v>42480</v>
      </c>
      <c r="E2746" s="15" t="s">
        <v>29276</v>
      </c>
      <c r="F2746" s="87" t="s">
        <v>21871</v>
      </c>
      <c r="G2746" s="45" t="s">
        <v>10930</v>
      </c>
      <c r="H2746" s="55" t="s">
        <v>10931</v>
      </c>
      <c r="I2746" s="15" t="s">
        <v>29209</v>
      </c>
    </row>
    <row r="2747" spans="1:9" ht="51.75" customHeight="1" x14ac:dyDescent="0.35">
      <c r="A2747" s="15" t="s">
        <v>23258</v>
      </c>
      <c r="B2747" s="15" t="s">
        <v>29277</v>
      </c>
      <c r="C2747" s="15" t="s">
        <v>29278</v>
      </c>
      <c r="D2747" s="31">
        <v>42753</v>
      </c>
      <c r="E2747" s="15" t="s">
        <v>29279</v>
      </c>
      <c r="F2747" s="87" t="s">
        <v>29208</v>
      </c>
      <c r="G2747" s="45" t="s">
        <v>11317</v>
      </c>
      <c r="H2747" s="55" t="s">
        <v>11318</v>
      </c>
      <c r="I2747" s="15" t="s">
        <v>29209</v>
      </c>
    </row>
    <row r="2748" spans="1:9" ht="51.75" customHeight="1" x14ac:dyDescent="0.35">
      <c r="A2748" s="15" t="s">
        <v>23258</v>
      </c>
      <c r="B2748" s="15" t="s">
        <v>29280</v>
      </c>
      <c r="C2748" s="15" t="s">
        <v>29278</v>
      </c>
      <c r="D2748" s="31">
        <v>42753</v>
      </c>
      <c r="E2748" s="15" t="s">
        <v>29281</v>
      </c>
      <c r="F2748" s="87" t="s">
        <v>21871</v>
      </c>
      <c r="G2748" s="45" t="s">
        <v>11317</v>
      </c>
      <c r="H2748" s="55" t="s">
        <v>11318</v>
      </c>
      <c r="I2748" s="15" t="s">
        <v>29209</v>
      </c>
    </row>
    <row r="2749" spans="1:9" ht="51.75" customHeight="1" x14ac:dyDescent="0.35">
      <c r="A2749" s="15" t="s">
        <v>28167</v>
      </c>
      <c r="B2749" s="15" t="s">
        <v>29282</v>
      </c>
      <c r="C2749" s="15" t="s">
        <v>29283</v>
      </c>
      <c r="D2749" s="31">
        <v>42625</v>
      </c>
      <c r="E2749" s="15" t="s">
        <v>29284</v>
      </c>
      <c r="F2749" s="87" t="s">
        <v>21871</v>
      </c>
      <c r="G2749" s="45" t="s">
        <v>11380</v>
      </c>
      <c r="H2749" s="55" t="s">
        <v>11381</v>
      </c>
      <c r="I2749" s="15" t="s">
        <v>29209</v>
      </c>
    </row>
    <row r="2750" spans="1:9" ht="51.75" customHeight="1" x14ac:dyDescent="0.35">
      <c r="A2750" s="15" t="s">
        <v>28167</v>
      </c>
      <c r="B2750" s="15" t="s">
        <v>29285</v>
      </c>
      <c r="C2750" s="15" t="s">
        <v>29283</v>
      </c>
      <c r="D2750" s="31">
        <v>42625</v>
      </c>
      <c r="E2750" s="15" t="s">
        <v>29286</v>
      </c>
      <c r="F2750" s="87" t="s">
        <v>29208</v>
      </c>
      <c r="G2750" s="45" t="s">
        <v>11380</v>
      </c>
      <c r="H2750" s="55" t="s">
        <v>11381</v>
      </c>
      <c r="I2750" s="15" t="s">
        <v>29209</v>
      </c>
    </row>
    <row r="2751" spans="1:9" ht="51.75" customHeight="1" x14ac:dyDescent="0.35">
      <c r="A2751" s="15" t="s">
        <v>25711</v>
      </c>
      <c r="B2751" s="15" t="s">
        <v>29287</v>
      </c>
      <c r="C2751" s="15" t="s">
        <v>29288</v>
      </c>
      <c r="D2751" s="31">
        <v>42625</v>
      </c>
      <c r="E2751" s="15" t="s">
        <v>29289</v>
      </c>
      <c r="F2751" s="87" t="s">
        <v>21871</v>
      </c>
      <c r="G2751" s="45" t="s">
        <v>11380</v>
      </c>
      <c r="H2751" s="55" t="s">
        <v>11381</v>
      </c>
      <c r="I2751" s="15" t="s">
        <v>29209</v>
      </c>
    </row>
    <row r="2752" spans="1:9" ht="51.75" customHeight="1" x14ac:dyDescent="0.35">
      <c r="A2752" s="15" t="s">
        <v>25711</v>
      </c>
      <c r="B2752" s="15" t="s">
        <v>29290</v>
      </c>
      <c r="C2752" s="15" t="s">
        <v>29288</v>
      </c>
      <c r="D2752" s="31">
        <v>42625</v>
      </c>
      <c r="E2752" s="15" t="s">
        <v>29291</v>
      </c>
      <c r="F2752" s="87" t="s">
        <v>29208</v>
      </c>
      <c r="G2752" s="45" t="s">
        <v>11380</v>
      </c>
      <c r="H2752" s="55" t="s">
        <v>11381</v>
      </c>
      <c r="I2752" s="15" t="s">
        <v>29209</v>
      </c>
    </row>
    <row r="2753" spans="1:9" ht="51.75" customHeight="1" x14ac:dyDescent="0.35">
      <c r="A2753" s="15" t="s">
        <v>22975</v>
      </c>
      <c r="B2753" s="15" t="s">
        <v>29292</v>
      </c>
      <c r="C2753" s="15" t="s">
        <v>29293</v>
      </c>
      <c r="D2753" s="31">
        <v>42625</v>
      </c>
      <c r="E2753" s="15" t="s">
        <v>29294</v>
      </c>
      <c r="F2753" s="87" t="s">
        <v>29208</v>
      </c>
      <c r="G2753" s="45" t="s">
        <v>11380</v>
      </c>
      <c r="H2753" s="55" t="s">
        <v>11381</v>
      </c>
      <c r="I2753" s="15" t="s">
        <v>29209</v>
      </c>
    </row>
    <row r="2754" spans="1:9" ht="51.75" customHeight="1" x14ac:dyDescent="0.35">
      <c r="A2754" s="15" t="s">
        <v>22975</v>
      </c>
      <c r="B2754" s="15" t="s">
        <v>29295</v>
      </c>
      <c r="C2754" s="15" t="s">
        <v>29293</v>
      </c>
      <c r="D2754" s="31">
        <v>42625</v>
      </c>
      <c r="E2754" s="15" t="s">
        <v>29296</v>
      </c>
      <c r="F2754" s="87" t="s">
        <v>21871</v>
      </c>
      <c r="G2754" s="45" t="s">
        <v>11380</v>
      </c>
      <c r="H2754" s="55" t="s">
        <v>11381</v>
      </c>
      <c r="I2754" s="15" t="s">
        <v>29209</v>
      </c>
    </row>
    <row r="2755" spans="1:9" ht="51.75" customHeight="1" x14ac:dyDescent="0.35">
      <c r="A2755" s="15" t="s">
        <v>28285</v>
      </c>
      <c r="B2755" s="15" t="s">
        <v>29297</v>
      </c>
      <c r="C2755" s="15" t="s">
        <v>29298</v>
      </c>
      <c r="D2755" s="31">
        <v>42625</v>
      </c>
      <c r="E2755" s="15" t="s">
        <v>29299</v>
      </c>
      <c r="F2755" s="87" t="s">
        <v>29208</v>
      </c>
      <c r="G2755" s="45" t="s">
        <v>11380</v>
      </c>
      <c r="H2755" s="55" t="s">
        <v>11381</v>
      </c>
      <c r="I2755" s="15" t="s">
        <v>29209</v>
      </c>
    </row>
    <row r="2756" spans="1:9" ht="51.75" customHeight="1" x14ac:dyDescent="0.35">
      <c r="A2756" s="15" t="s">
        <v>28285</v>
      </c>
      <c r="B2756" s="15" t="s">
        <v>29300</v>
      </c>
      <c r="C2756" s="15" t="s">
        <v>29298</v>
      </c>
      <c r="D2756" s="31">
        <v>42625</v>
      </c>
      <c r="E2756" s="15" t="s">
        <v>29301</v>
      </c>
      <c r="F2756" s="87" t="s">
        <v>21871</v>
      </c>
      <c r="G2756" s="45" t="s">
        <v>11380</v>
      </c>
      <c r="H2756" s="55" t="s">
        <v>11381</v>
      </c>
      <c r="I2756" s="15" t="s">
        <v>29209</v>
      </c>
    </row>
    <row r="2757" spans="1:9" ht="51.75" customHeight="1" x14ac:dyDescent="0.35">
      <c r="A2757" s="15" t="s">
        <v>22979</v>
      </c>
      <c r="B2757" s="15" t="s">
        <v>29302</v>
      </c>
      <c r="C2757" s="15" t="s">
        <v>29303</v>
      </c>
      <c r="D2757" s="31">
        <v>42625</v>
      </c>
      <c r="E2757" s="15" t="s">
        <v>29304</v>
      </c>
      <c r="F2757" s="87" t="s">
        <v>29208</v>
      </c>
      <c r="G2757" s="45" t="s">
        <v>11380</v>
      </c>
      <c r="H2757" s="55" t="s">
        <v>11381</v>
      </c>
      <c r="I2757" s="15" t="s">
        <v>29209</v>
      </c>
    </row>
    <row r="2758" spans="1:9" ht="51.75" customHeight="1" x14ac:dyDescent="0.35">
      <c r="A2758" s="15" t="s">
        <v>22979</v>
      </c>
      <c r="B2758" s="15" t="s">
        <v>29305</v>
      </c>
      <c r="C2758" s="15" t="s">
        <v>29303</v>
      </c>
      <c r="D2758" s="31">
        <v>42625</v>
      </c>
      <c r="E2758" s="15" t="s">
        <v>29306</v>
      </c>
      <c r="F2758" s="87" t="s">
        <v>21871</v>
      </c>
      <c r="G2758" s="45" t="s">
        <v>11380</v>
      </c>
      <c r="H2758" s="55" t="s">
        <v>11381</v>
      </c>
      <c r="I2758" s="15" t="s">
        <v>29209</v>
      </c>
    </row>
    <row r="2759" spans="1:9" ht="51.75" customHeight="1" x14ac:dyDescent="0.35">
      <c r="A2759" s="15" t="s">
        <v>24820</v>
      </c>
      <c r="B2759" s="15" t="s">
        <v>29307</v>
      </c>
      <c r="C2759" s="15" t="s">
        <v>29308</v>
      </c>
      <c r="D2759" s="31">
        <v>42835</v>
      </c>
      <c r="E2759" s="15" t="s">
        <v>29309</v>
      </c>
      <c r="F2759" s="87" t="s">
        <v>29208</v>
      </c>
      <c r="G2759" s="45" t="s">
        <v>11983</v>
      </c>
      <c r="H2759" s="55" t="s">
        <v>11984</v>
      </c>
      <c r="I2759" s="15" t="s">
        <v>29209</v>
      </c>
    </row>
    <row r="2760" spans="1:9" ht="51.75" customHeight="1" x14ac:dyDescent="0.35">
      <c r="A2760" s="15" t="s">
        <v>24820</v>
      </c>
      <c r="B2760" s="15" t="s">
        <v>29310</v>
      </c>
      <c r="C2760" s="15" t="s">
        <v>29308</v>
      </c>
      <c r="D2760" s="31">
        <v>42835</v>
      </c>
      <c r="E2760" s="15" t="s">
        <v>29311</v>
      </c>
      <c r="F2760" s="87" t="s">
        <v>21871</v>
      </c>
      <c r="G2760" s="45" t="s">
        <v>11983</v>
      </c>
      <c r="H2760" s="55" t="s">
        <v>11984</v>
      </c>
      <c r="I2760" s="15" t="s">
        <v>29209</v>
      </c>
    </row>
    <row r="2761" spans="1:9" ht="51.75" customHeight="1" x14ac:dyDescent="0.35">
      <c r="A2761" s="15" t="s">
        <v>24826</v>
      </c>
      <c r="B2761" s="15" t="s">
        <v>29312</v>
      </c>
      <c r="C2761" s="15" t="s">
        <v>29313</v>
      </c>
      <c r="D2761" s="31">
        <v>42835</v>
      </c>
      <c r="E2761" s="15" t="s">
        <v>29314</v>
      </c>
      <c r="F2761" s="87" t="s">
        <v>29208</v>
      </c>
      <c r="G2761" s="45" t="s">
        <v>11983</v>
      </c>
      <c r="H2761" s="55" t="s">
        <v>11984</v>
      </c>
      <c r="I2761" s="15" t="s">
        <v>29209</v>
      </c>
    </row>
    <row r="2762" spans="1:9" ht="51.75" customHeight="1" x14ac:dyDescent="0.35">
      <c r="A2762" s="15" t="s">
        <v>24826</v>
      </c>
      <c r="B2762" s="15" t="s">
        <v>29315</v>
      </c>
      <c r="C2762" s="15" t="s">
        <v>29313</v>
      </c>
      <c r="D2762" s="31">
        <v>42835</v>
      </c>
      <c r="E2762" s="15" t="s">
        <v>29316</v>
      </c>
      <c r="F2762" s="87" t="s">
        <v>21871</v>
      </c>
      <c r="G2762" s="45" t="s">
        <v>11983</v>
      </c>
      <c r="H2762" s="55" t="s">
        <v>11984</v>
      </c>
      <c r="I2762" s="15" t="s">
        <v>29209</v>
      </c>
    </row>
    <row r="2763" spans="1:9" ht="51.75" customHeight="1" x14ac:dyDescent="0.35">
      <c r="A2763" s="15" t="s">
        <v>29317</v>
      </c>
      <c r="B2763" s="15" t="s">
        <v>29318</v>
      </c>
      <c r="C2763" s="15" t="s">
        <v>29319</v>
      </c>
      <c r="D2763" s="31">
        <v>42906</v>
      </c>
      <c r="E2763" s="15" t="s">
        <v>29320</v>
      </c>
      <c r="F2763" s="87" t="s">
        <v>29208</v>
      </c>
      <c r="G2763" s="45" t="s">
        <v>12372</v>
      </c>
      <c r="H2763" s="55" t="s">
        <v>12373</v>
      </c>
      <c r="I2763" s="15" t="s">
        <v>29209</v>
      </c>
    </row>
    <row r="2764" spans="1:9" ht="51.75" customHeight="1" x14ac:dyDescent="0.35">
      <c r="A2764" s="15" t="s">
        <v>29317</v>
      </c>
      <c r="B2764" s="15" t="s">
        <v>29321</v>
      </c>
      <c r="C2764" s="15" t="s">
        <v>29319</v>
      </c>
      <c r="D2764" s="31">
        <v>42906</v>
      </c>
      <c r="E2764" s="15" t="s">
        <v>29322</v>
      </c>
      <c r="F2764" s="87" t="s">
        <v>21871</v>
      </c>
      <c r="G2764" s="45" t="s">
        <v>12372</v>
      </c>
      <c r="H2764" s="55" t="s">
        <v>12373</v>
      </c>
      <c r="I2764" s="15" t="s">
        <v>29209</v>
      </c>
    </row>
    <row r="2765" spans="1:9" ht="51.75" customHeight="1" x14ac:dyDescent="0.35">
      <c r="A2765" s="15" t="s">
        <v>23621</v>
      </c>
      <c r="B2765" s="15" t="s">
        <v>29323</v>
      </c>
      <c r="C2765" s="15" t="s">
        <v>29324</v>
      </c>
      <c r="D2765" s="31">
        <v>42978</v>
      </c>
      <c r="E2765" s="15" t="s">
        <v>29325</v>
      </c>
      <c r="F2765" s="87" t="s">
        <v>21871</v>
      </c>
      <c r="G2765" s="45" t="s">
        <v>12581</v>
      </c>
      <c r="H2765" s="55" t="s">
        <v>12582</v>
      </c>
      <c r="I2765" s="15" t="s">
        <v>29209</v>
      </c>
    </row>
    <row r="2766" spans="1:9" ht="51.75" customHeight="1" x14ac:dyDescent="0.35">
      <c r="A2766" s="15" t="s">
        <v>23621</v>
      </c>
      <c r="B2766" s="15" t="s">
        <v>29326</v>
      </c>
      <c r="C2766" s="15" t="s">
        <v>29324</v>
      </c>
      <c r="D2766" s="31">
        <v>42978</v>
      </c>
      <c r="E2766" s="15" t="s">
        <v>29327</v>
      </c>
      <c r="F2766" s="87" t="s">
        <v>29208</v>
      </c>
      <c r="G2766" s="45" t="s">
        <v>12581</v>
      </c>
      <c r="H2766" s="55" t="s">
        <v>12582</v>
      </c>
      <c r="I2766" s="15" t="s">
        <v>29209</v>
      </c>
    </row>
    <row r="2767" spans="1:9" ht="51.75" customHeight="1" x14ac:dyDescent="0.35">
      <c r="A2767" s="15" t="s">
        <v>23636</v>
      </c>
      <c r="B2767" s="15" t="s">
        <v>29328</v>
      </c>
      <c r="C2767" s="15" t="s">
        <v>29329</v>
      </c>
      <c r="D2767" s="31">
        <v>43003</v>
      </c>
      <c r="E2767" s="15" t="s">
        <v>29330</v>
      </c>
      <c r="F2767" s="87" t="s">
        <v>29208</v>
      </c>
      <c r="G2767" s="45" t="s">
        <v>12725</v>
      </c>
      <c r="H2767" s="55" t="s">
        <v>12726</v>
      </c>
      <c r="I2767" s="15" t="s">
        <v>29209</v>
      </c>
    </row>
    <row r="2768" spans="1:9" ht="51.75" customHeight="1" x14ac:dyDescent="0.35">
      <c r="A2768" s="15" t="s">
        <v>23636</v>
      </c>
      <c r="B2768" s="15" t="s">
        <v>29331</v>
      </c>
      <c r="C2768" s="15" t="s">
        <v>29329</v>
      </c>
      <c r="D2768" s="31">
        <v>43003</v>
      </c>
      <c r="E2768" s="15" t="s">
        <v>29332</v>
      </c>
      <c r="F2768" s="87" t="s">
        <v>21871</v>
      </c>
      <c r="G2768" s="45" t="s">
        <v>12725</v>
      </c>
      <c r="H2768" s="55" t="s">
        <v>12726</v>
      </c>
      <c r="I2768" s="15" t="s">
        <v>29209</v>
      </c>
    </row>
    <row r="2769" spans="1:9" ht="51.75" customHeight="1" x14ac:dyDescent="0.35">
      <c r="A2769" s="15" t="s">
        <v>22762</v>
      </c>
      <c r="B2769" s="15" t="s">
        <v>29333</v>
      </c>
      <c r="C2769" s="15" t="s">
        <v>29334</v>
      </c>
      <c r="D2769" s="31">
        <v>43019</v>
      </c>
      <c r="E2769" s="15" t="s">
        <v>29335</v>
      </c>
      <c r="F2769" s="87" t="s">
        <v>29208</v>
      </c>
      <c r="G2769" s="45" t="s">
        <v>12848</v>
      </c>
      <c r="H2769" s="55" t="s">
        <v>12849</v>
      </c>
      <c r="I2769" s="15" t="s">
        <v>29209</v>
      </c>
    </row>
    <row r="2770" spans="1:9" ht="51.75" customHeight="1" x14ac:dyDescent="0.35">
      <c r="A2770" s="15" t="s">
        <v>22762</v>
      </c>
      <c r="B2770" s="15" t="s">
        <v>29336</v>
      </c>
      <c r="C2770" s="15" t="s">
        <v>29334</v>
      </c>
      <c r="D2770" s="31">
        <v>43019</v>
      </c>
      <c r="E2770" s="15" t="s">
        <v>29337</v>
      </c>
      <c r="F2770" s="87" t="s">
        <v>21871</v>
      </c>
      <c r="G2770" s="45" t="s">
        <v>12848</v>
      </c>
      <c r="H2770" s="55" t="s">
        <v>12849</v>
      </c>
      <c r="I2770" s="15" t="s">
        <v>29209</v>
      </c>
    </row>
    <row r="2771" spans="1:9" ht="51.75" customHeight="1" x14ac:dyDescent="0.35">
      <c r="A2771" s="15" t="s">
        <v>22766</v>
      </c>
      <c r="B2771" s="15" t="s">
        <v>29338</v>
      </c>
      <c r="C2771" s="15" t="s">
        <v>29339</v>
      </c>
      <c r="D2771" s="31">
        <v>43019</v>
      </c>
      <c r="E2771" s="15" t="s">
        <v>29340</v>
      </c>
      <c r="F2771" s="87" t="s">
        <v>29208</v>
      </c>
      <c r="G2771" s="45" t="s">
        <v>12848</v>
      </c>
      <c r="H2771" s="55" t="s">
        <v>12849</v>
      </c>
      <c r="I2771" s="15" t="s">
        <v>29209</v>
      </c>
    </row>
    <row r="2772" spans="1:9" ht="51.75" customHeight="1" x14ac:dyDescent="0.35">
      <c r="A2772" s="15" t="s">
        <v>22766</v>
      </c>
      <c r="B2772" s="15" t="s">
        <v>29341</v>
      </c>
      <c r="C2772" s="15" t="s">
        <v>29339</v>
      </c>
      <c r="D2772" s="31">
        <v>43019</v>
      </c>
      <c r="E2772" s="15" t="s">
        <v>29342</v>
      </c>
      <c r="F2772" s="87" t="s">
        <v>21871</v>
      </c>
      <c r="G2772" s="45" t="s">
        <v>12848</v>
      </c>
      <c r="H2772" s="55" t="s">
        <v>12849</v>
      </c>
      <c r="I2772" s="15" t="s">
        <v>29209</v>
      </c>
    </row>
    <row r="2773" spans="1:9" ht="51.75" customHeight="1" x14ac:dyDescent="0.35">
      <c r="A2773" s="15" t="s">
        <v>25291</v>
      </c>
      <c r="B2773" s="15" t="s">
        <v>29343</v>
      </c>
      <c r="C2773" s="15" t="s">
        <v>29344</v>
      </c>
      <c r="D2773" s="31">
        <v>43158</v>
      </c>
      <c r="E2773" s="15" t="s">
        <v>29345</v>
      </c>
      <c r="F2773" s="87" t="s">
        <v>29208</v>
      </c>
      <c r="G2773" s="45" t="s">
        <v>12801</v>
      </c>
      <c r="H2773" s="55" t="s">
        <v>12802</v>
      </c>
      <c r="I2773" s="15" t="s">
        <v>29209</v>
      </c>
    </row>
    <row r="2774" spans="1:9" ht="51.75" customHeight="1" x14ac:dyDescent="0.35">
      <c r="A2774" s="15" t="s">
        <v>25291</v>
      </c>
      <c r="B2774" s="15" t="s">
        <v>29346</v>
      </c>
      <c r="C2774" s="15" t="s">
        <v>29344</v>
      </c>
      <c r="D2774" s="31">
        <v>43158</v>
      </c>
      <c r="E2774" s="15" t="s">
        <v>29347</v>
      </c>
      <c r="F2774" s="87" t="s">
        <v>21871</v>
      </c>
      <c r="G2774" s="45" t="s">
        <v>12801</v>
      </c>
      <c r="H2774" s="55" t="s">
        <v>12802</v>
      </c>
      <c r="I2774" s="15" t="s">
        <v>29209</v>
      </c>
    </row>
    <row r="2775" spans="1:9" ht="51.75" customHeight="1" x14ac:dyDescent="0.35">
      <c r="A2775" s="15" t="s">
        <v>25297</v>
      </c>
      <c r="B2775" s="15" t="s">
        <v>29348</v>
      </c>
      <c r="C2775" s="15" t="s">
        <v>29349</v>
      </c>
      <c r="D2775" s="31">
        <v>43158</v>
      </c>
      <c r="E2775" s="15" t="s">
        <v>29350</v>
      </c>
      <c r="F2775" s="87" t="s">
        <v>29208</v>
      </c>
      <c r="G2775" s="45" t="s">
        <v>12801</v>
      </c>
      <c r="H2775" s="55" t="s">
        <v>12802</v>
      </c>
      <c r="I2775" s="15" t="s">
        <v>29209</v>
      </c>
    </row>
    <row r="2776" spans="1:9" ht="51.75" customHeight="1" x14ac:dyDescent="0.35">
      <c r="A2776" s="15" t="s">
        <v>25297</v>
      </c>
      <c r="B2776" s="15" t="s">
        <v>29351</v>
      </c>
      <c r="C2776" s="15" t="s">
        <v>29349</v>
      </c>
      <c r="D2776" s="31">
        <v>43158</v>
      </c>
      <c r="E2776" s="15" t="s">
        <v>29352</v>
      </c>
      <c r="F2776" s="87" t="s">
        <v>21871</v>
      </c>
      <c r="G2776" s="45" t="s">
        <v>12801</v>
      </c>
      <c r="H2776" s="55" t="s">
        <v>12802</v>
      </c>
      <c r="I2776" s="15" t="s">
        <v>29209</v>
      </c>
    </row>
    <row r="2777" spans="1:9" ht="51.75" customHeight="1" x14ac:dyDescent="0.35">
      <c r="A2777" s="15" t="s">
        <v>25303</v>
      </c>
      <c r="B2777" s="15" t="s">
        <v>29353</v>
      </c>
      <c r="C2777" s="15" t="s">
        <v>29354</v>
      </c>
      <c r="D2777" s="31">
        <v>43158</v>
      </c>
      <c r="E2777" s="15" t="s">
        <v>29355</v>
      </c>
      <c r="F2777" s="87" t="s">
        <v>29208</v>
      </c>
      <c r="G2777" s="45" t="s">
        <v>12801</v>
      </c>
      <c r="H2777" s="55" t="s">
        <v>12802</v>
      </c>
      <c r="I2777" s="15" t="s">
        <v>29209</v>
      </c>
    </row>
    <row r="2778" spans="1:9" ht="51.75" customHeight="1" x14ac:dyDescent="0.35">
      <c r="A2778" s="15" t="s">
        <v>25303</v>
      </c>
      <c r="B2778" s="15" t="s">
        <v>29356</v>
      </c>
      <c r="C2778" s="15" t="s">
        <v>29354</v>
      </c>
      <c r="D2778" s="31">
        <v>43158</v>
      </c>
      <c r="E2778" s="15" t="s">
        <v>29357</v>
      </c>
      <c r="F2778" s="87" t="s">
        <v>21871</v>
      </c>
      <c r="G2778" s="45" t="s">
        <v>12801</v>
      </c>
      <c r="H2778" s="55" t="s">
        <v>12802</v>
      </c>
      <c r="I2778" s="15" t="s">
        <v>29209</v>
      </c>
    </row>
    <row r="2779" spans="1:9" ht="51.75" customHeight="1" x14ac:dyDescent="0.35">
      <c r="A2779" s="15" t="s">
        <v>26390</v>
      </c>
      <c r="B2779" s="15" t="s">
        <v>29358</v>
      </c>
      <c r="C2779" s="15" t="s">
        <v>29359</v>
      </c>
      <c r="D2779" s="31">
        <v>43158</v>
      </c>
      <c r="E2779" s="15" t="s">
        <v>29360</v>
      </c>
      <c r="F2779" s="87" t="s">
        <v>29208</v>
      </c>
      <c r="G2779" s="45" t="s">
        <v>12801</v>
      </c>
      <c r="H2779" s="55" t="s">
        <v>12802</v>
      </c>
      <c r="I2779" s="15" t="s">
        <v>29209</v>
      </c>
    </row>
    <row r="2780" spans="1:9" ht="51.75" customHeight="1" x14ac:dyDescent="0.35">
      <c r="A2780" s="15" t="s">
        <v>26390</v>
      </c>
      <c r="B2780" s="15" t="s">
        <v>29361</v>
      </c>
      <c r="C2780" s="15" t="s">
        <v>29359</v>
      </c>
      <c r="D2780" s="31">
        <v>43158</v>
      </c>
      <c r="E2780" s="15" t="s">
        <v>29362</v>
      </c>
      <c r="F2780" s="87" t="s">
        <v>21871</v>
      </c>
      <c r="G2780" s="45" t="s">
        <v>12801</v>
      </c>
      <c r="H2780" s="55" t="s">
        <v>12802</v>
      </c>
      <c r="I2780" s="15" t="s">
        <v>29209</v>
      </c>
    </row>
    <row r="2781" spans="1:9" ht="51.75" customHeight="1" x14ac:dyDescent="0.35">
      <c r="A2781" s="15" t="s">
        <v>24521</v>
      </c>
      <c r="B2781" s="15" t="s">
        <v>29363</v>
      </c>
      <c r="C2781" s="15" t="s">
        <v>29364</v>
      </c>
      <c r="D2781" s="31">
        <v>43143</v>
      </c>
      <c r="E2781" s="15" t="s">
        <v>29365</v>
      </c>
      <c r="F2781" s="87" t="s">
        <v>29208</v>
      </c>
      <c r="G2781" s="45" t="s">
        <v>13430</v>
      </c>
      <c r="H2781" s="55" t="s">
        <v>13431</v>
      </c>
      <c r="I2781" s="15" t="s">
        <v>29209</v>
      </c>
    </row>
    <row r="2782" spans="1:9" ht="51.75" customHeight="1" x14ac:dyDescent="0.35">
      <c r="A2782" s="15" t="s">
        <v>24521</v>
      </c>
      <c r="B2782" s="15" t="s">
        <v>29366</v>
      </c>
      <c r="C2782" s="15" t="s">
        <v>29364</v>
      </c>
      <c r="D2782" s="31">
        <v>43143</v>
      </c>
      <c r="E2782" s="15" t="s">
        <v>29367</v>
      </c>
      <c r="F2782" s="87" t="s">
        <v>21871</v>
      </c>
      <c r="G2782" s="45" t="s">
        <v>13430</v>
      </c>
      <c r="H2782" s="55" t="s">
        <v>13431</v>
      </c>
      <c r="I2782" s="15" t="s">
        <v>29209</v>
      </c>
    </row>
    <row r="2783" spans="1:9" ht="51.75" customHeight="1" x14ac:dyDescent="0.35">
      <c r="A2783" s="15" t="s">
        <v>24526</v>
      </c>
      <c r="B2783" s="15" t="s">
        <v>29368</v>
      </c>
      <c r="C2783" s="15" t="s">
        <v>29369</v>
      </c>
      <c r="D2783" s="31">
        <v>43143</v>
      </c>
      <c r="E2783" s="15" t="s">
        <v>29370</v>
      </c>
      <c r="F2783" s="87" t="s">
        <v>29208</v>
      </c>
      <c r="G2783" s="45" t="s">
        <v>13430</v>
      </c>
      <c r="H2783" s="55" t="s">
        <v>13431</v>
      </c>
      <c r="I2783" s="15" t="s">
        <v>29209</v>
      </c>
    </row>
    <row r="2784" spans="1:9" ht="51.75" customHeight="1" x14ac:dyDescent="0.35">
      <c r="A2784" s="15" t="s">
        <v>24526</v>
      </c>
      <c r="B2784" s="15" t="s">
        <v>29371</v>
      </c>
      <c r="C2784" s="15" t="s">
        <v>29369</v>
      </c>
      <c r="D2784" s="31">
        <v>43143</v>
      </c>
      <c r="E2784" s="15" t="s">
        <v>29372</v>
      </c>
      <c r="F2784" s="87" t="s">
        <v>21871</v>
      </c>
      <c r="G2784" s="45" t="s">
        <v>13430</v>
      </c>
      <c r="H2784" s="55" t="s">
        <v>13431</v>
      </c>
      <c r="I2784" s="15" t="s">
        <v>29209</v>
      </c>
    </row>
    <row r="2785" spans="1:9" ht="51.75" customHeight="1" x14ac:dyDescent="0.35">
      <c r="A2785" s="15" t="s">
        <v>22809</v>
      </c>
      <c r="B2785" s="15" t="s">
        <v>29373</v>
      </c>
      <c r="C2785" s="15" t="s">
        <v>29374</v>
      </c>
      <c r="D2785" s="31">
        <v>43229</v>
      </c>
      <c r="E2785" s="15" t="s">
        <v>29375</v>
      </c>
      <c r="F2785" s="87" t="s">
        <v>29208</v>
      </c>
      <c r="G2785" s="45" t="s">
        <v>13478</v>
      </c>
      <c r="H2785" s="55" t="s">
        <v>13479</v>
      </c>
      <c r="I2785" s="15" t="s">
        <v>29209</v>
      </c>
    </row>
    <row r="2786" spans="1:9" ht="51.75" customHeight="1" x14ac:dyDescent="0.35">
      <c r="A2786" s="15" t="s">
        <v>22809</v>
      </c>
      <c r="B2786" s="15" t="s">
        <v>29376</v>
      </c>
      <c r="C2786" s="15" t="s">
        <v>29374</v>
      </c>
      <c r="D2786" s="31">
        <v>43229</v>
      </c>
      <c r="E2786" s="15" t="s">
        <v>29377</v>
      </c>
      <c r="F2786" s="87" t="s">
        <v>21871</v>
      </c>
      <c r="G2786" s="45" t="s">
        <v>13478</v>
      </c>
      <c r="H2786" s="55" t="s">
        <v>13479</v>
      </c>
      <c r="I2786" s="15" t="s">
        <v>29209</v>
      </c>
    </row>
    <row r="2787" spans="1:9" ht="51.75" customHeight="1" x14ac:dyDescent="0.35">
      <c r="A2787" s="15" t="s">
        <v>23555</v>
      </c>
      <c r="B2787" s="15" t="s">
        <v>29378</v>
      </c>
      <c r="C2787" s="15" t="s">
        <v>29379</v>
      </c>
      <c r="D2787" s="31">
        <v>43696</v>
      </c>
      <c r="E2787" s="15" t="s">
        <v>29380</v>
      </c>
      <c r="F2787" s="87" t="s">
        <v>29208</v>
      </c>
      <c r="G2787" s="45" t="s">
        <v>15152</v>
      </c>
      <c r="H2787" s="55" t="s">
        <v>15153</v>
      </c>
      <c r="I2787" s="15" t="s">
        <v>29209</v>
      </c>
    </row>
    <row r="2788" spans="1:9" ht="51.75" customHeight="1" x14ac:dyDescent="0.35">
      <c r="A2788" s="15" t="s">
        <v>23555</v>
      </c>
      <c r="B2788" s="15" t="s">
        <v>29381</v>
      </c>
      <c r="C2788" s="15" t="s">
        <v>29379</v>
      </c>
      <c r="D2788" s="31">
        <v>43696</v>
      </c>
      <c r="E2788" s="15" t="s">
        <v>29382</v>
      </c>
      <c r="F2788" s="87" t="s">
        <v>21871</v>
      </c>
      <c r="G2788" s="45" t="s">
        <v>15152</v>
      </c>
      <c r="H2788" s="55" t="s">
        <v>15153</v>
      </c>
      <c r="I2788" s="15" t="s">
        <v>29209</v>
      </c>
    </row>
    <row r="2789" spans="1:9" ht="51.75" customHeight="1" x14ac:dyDescent="0.35">
      <c r="A2789" s="15" t="s">
        <v>22239</v>
      </c>
      <c r="B2789" s="15" t="s">
        <v>29383</v>
      </c>
      <c r="C2789" s="15" t="s">
        <v>29384</v>
      </c>
      <c r="D2789" s="31">
        <v>43696</v>
      </c>
      <c r="E2789" s="15" t="s">
        <v>29385</v>
      </c>
      <c r="F2789" s="87" t="s">
        <v>29208</v>
      </c>
      <c r="G2789" s="45" t="s">
        <v>15152</v>
      </c>
      <c r="H2789" s="55" t="s">
        <v>15153</v>
      </c>
      <c r="I2789" s="15" t="s">
        <v>29209</v>
      </c>
    </row>
    <row r="2790" spans="1:9" ht="51.75" customHeight="1" x14ac:dyDescent="0.35">
      <c r="A2790" s="15" t="s">
        <v>22239</v>
      </c>
      <c r="B2790" s="15" t="s">
        <v>29386</v>
      </c>
      <c r="C2790" s="15" t="s">
        <v>29384</v>
      </c>
      <c r="D2790" s="31">
        <v>43696</v>
      </c>
      <c r="E2790" s="15" t="s">
        <v>29387</v>
      </c>
      <c r="F2790" s="87" t="s">
        <v>21871</v>
      </c>
      <c r="G2790" s="45" t="s">
        <v>15152</v>
      </c>
      <c r="H2790" s="55" t="s">
        <v>15153</v>
      </c>
      <c r="I2790" s="15" t="s">
        <v>29209</v>
      </c>
    </row>
    <row r="2791" spans="1:9" ht="51.75" customHeight="1" x14ac:dyDescent="0.35">
      <c r="A2791" s="15" t="s">
        <v>29388</v>
      </c>
      <c r="B2791" s="15" t="s">
        <v>29389</v>
      </c>
      <c r="C2791" s="15" t="s">
        <v>29390</v>
      </c>
      <c r="D2791" s="31">
        <v>43738</v>
      </c>
      <c r="E2791" s="15" t="s">
        <v>29391</v>
      </c>
      <c r="F2791" s="87" t="s">
        <v>29208</v>
      </c>
      <c r="G2791" s="45" t="s">
        <v>15251</v>
      </c>
      <c r="H2791" s="55" t="s">
        <v>15252</v>
      </c>
      <c r="I2791" s="15" t="s">
        <v>29209</v>
      </c>
    </row>
    <row r="2792" spans="1:9" ht="51.75" customHeight="1" x14ac:dyDescent="0.35">
      <c r="A2792" s="15" t="s">
        <v>29388</v>
      </c>
      <c r="B2792" s="15" t="s">
        <v>29392</v>
      </c>
      <c r="C2792" s="15" t="s">
        <v>29390</v>
      </c>
      <c r="D2792" s="31">
        <v>43738</v>
      </c>
      <c r="E2792" s="15" t="s">
        <v>29393</v>
      </c>
      <c r="F2792" s="87" t="s">
        <v>21871</v>
      </c>
      <c r="G2792" s="45" t="s">
        <v>15251</v>
      </c>
      <c r="H2792" s="55" t="s">
        <v>15252</v>
      </c>
      <c r="I2792" s="15" t="s">
        <v>29209</v>
      </c>
    </row>
    <row r="2793" spans="1:9" ht="51.75" customHeight="1" x14ac:dyDescent="0.35">
      <c r="A2793" s="15" t="s">
        <v>26312</v>
      </c>
      <c r="B2793" s="15" t="s">
        <v>29394</v>
      </c>
      <c r="C2793" s="15" t="s">
        <v>29395</v>
      </c>
      <c r="D2793" s="31">
        <v>44026</v>
      </c>
      <c r="E2793" s="15" t="s">
        <v>29396</v>
      </c>
      <c r="F2793" s="87" t="s">
        <v>29208</v>
      </c>
      <c r="G2793" s="45" t="s">
        <v>15648</v>
      </c>
      <c r="H2793" s="55" t="s">
        <v>15649</v>
      </c>
      <c r="I2793" s="15" t="s">
        <v>29209</v>
      </c>
    </row>
    <row r="2794" spans="1:9" ht="51.75" customHeight="1" x14ac:dyDescent="0.35">
      <c r="A2794" s="15" t="s">
        <v>26312</v>
      </c>
      <c r="B2794" s="15" t="s">
        <v>29397</v>
      </c>
      <c r="C2794" s="15" t="s">
        <v>29395</v>
      </c>
      <c r="D2794" s="31">
        <v>44026</v>
      </c>
      <c r="E2794" s="15" t="s">
        <v>29398</v>
      </c>
      <c r="F2794" s="87" t="s">
        <v>21871</v>
      </c>
      <c r="G2794" s="45" t="s">
        <v>15648</v>
      </c>
      <c r="H2794" s="55" t="s">
        <v>15649</v>
      </c>
      <c r="I2794" s="15" t="s">
        <v>29209</v>
      </c>
    </row>
    <row r="2795" spans="1:9" ht="51.75" customHeight="1" x14ac:dyDescent="0.35">
      <c r="A2795" s="15" t="s">
        <v>29399</v>
      </c>
      <c r="B2795" s="15" t="s">
        <v>29400</v>
      </c>
      <c r="C2795" s="15" t="s">
        <v>29401</v>
      </c>
      <c r="D2795" s="31">
        <v>44026</v>
      </c>
      <c r="E2795" s="15" t="s">
        <v>29402</v>
      </c>
      <c r="F2795" s="87" t="s">
        <v>29208</v>
      </c>
      <c r="G2795" s="45" t="s">
        <v>15648</v>
      </c>
      <c r="H2795" s="55" t="s">
        <v>15649</v>
      </c>
      <c r="I2795" s="15" t="s">
        <v>29209</v>
      </c>
    </row>
    <row r="2796" spans="1:9" ht="51.75" customHeight="1" x14ac:dyDescent="0.35">
      <c r="A2796" s="15" t="s">
        <v>29399</v>
      </c>
      <c r="B2796" s="15" t="s">
        <v>29403</v>
      </c>
      <c r="C2796" s="15" t="s">
        <v>29401</v>
      </c>
      <c r="D2796" s="31">
        <v>44026</v>
      </c>
      <c r="E2796" s="15" t="s">
        <v>29404</v>
      </c>
      <c r="F2796" s="87" t="s">
        <v>21871</v>
      </c>
      <c r="G2796" s="45" t="s">
        <v>15648</v>
      </c>
      <c r="H2796" s="55" t="s">
        <v>15649</v>
      </c>
      <c r="I2796" s="15" t="s">
        <v>29209</v>
      </c>
    </row>
    <row r="2797" spans="1:9" ht="51.75" customHeight="1" x14ac:dyDescent="0.35">
      <c r="A2797" s="15" t="s">
        <v>29405</v>
      </c>
      <c r="B2797" s="15" t="s">
        <v>29406</v>
      </c>
      <c r="C2797" s="15" t="s">
        <v>29407</v>
      </c>
      <c r="D2797" s="31">
        <v>44026</v>
      </c>
      <c r="E2797" s="15" t="s">
        <v>29408</v>
      </c>
      <c r="F2797" s="87" t="s">
        <v>29208</v>
      </c>
      <c r="G2797" s="45" t="s">
        <v>15648</v>
      </c>
      <c r="H2797" s="55" t="s">
        <v>15649</v>
      </c>
      <c r="I2797" s="15" t="s">
        <v>29209</v>
      </c>
    </row>
    <row r="2798" spans="1:9" ht="51.75" customHeight="1" x14ac:dyDescent="0.35">
      <c r="A2798" s="15" t="s">
        <v>29405</v>
      </c>
      <c r="B2798" s="15" t="s">
        <v>29409</v>
      </c>
      <c r="C2798" s="15" t="s">
        <v>29407</v>
      </c>
      <c r="D2798" s="31">
        <v>44026</v>
      </c>
      <c r="E2798" s="15" t="s">
        <v>29410</v>
      </c>
      <c r="F2798" s="87" t="s">
        <v>21871</v>
      </c>
      <c r="G2798" s="45" t="s">
        <v>15648</v>
      </c>
      <c r="H2798" s="55" t="s">
        <v>15649</v>
      </c>
      <c r="I2798" s="15" t="s">
        <v>29209</v>
      </c>
    </row>
    <row r="2799" spans="1:9" ht="51.75" customHeight="1" x14ac:dyDescent="0.35">
      <c r="A2799" s="15" t="s">
        <v>25889</v>
      </c>
      <c r="B2799" s="15" t="s">
        <v>29411</v>
      </c>
      <c r="C2799" s="15" t="s">
        <v>29412</v>
      </c>
      <c r="D2799" s="31">
        <v>44026</v>
      </c>
      <c r="E2799" s="15" t="s">
        <v>29413</v>
      </c>
      <c r="F2799" s="87" t="s">
        <v>29208</v>
      </c>
      <c r="G2799" s="45" t="s">
        <v>15648</v>
      </c>
      <c r="H2799" s="55" t="s">
        <v>15649</v>
      </c>
      <c r="I2799" s="15" t="s">
        <v>29209</v>
      </c>
    </row>
    <row r="2800" spans="1:9" ht="51.75" customHeight="1" x14ac:dyDescent="0.35">
      <c r="A2800" s="15" t="s">
        <v>25889</v>
      </c>
      <c r="B2800" s="15" t="s">
        <v>29414</v>
      </c>
      <c r="C2800" s="15" t="s">
        <v>29412</v>
      </c>
      <c r="D2800" s="31">
        <v>44026</v>
      </c>
      <c r="E2800" s="15" t="s">
        <v>29415</v>
      </c>
      <c r="F2800" s="87" t="s">
        <v>21871</v>
      </c>
      <c r="G2800" s="45" t="s">
        <v>15648</v>
      </c>
      <c r="H2800" s="55" t="s">
        <v>15649</v>
      </c>
      <c r="I2800" s="15" t="s">
        <v>29209</v>
      </c>
    </row>
    <row r="2801" spans="1:9" ht="51.75" customHeight="1" x14ac:dyDescent="0.35">
      <c r="A2801" s="15" t="s">
        <v>25893</v>
      </c>
      <c r="B2801" s="15" t="s">
        <v>29416</v>
      </c>
      <c r="C2801" s="15" t="s">
        <v>29417</v>
      </c>
      <c r="D2801" s="31">
        <v>44026</v>
      </c>
      <c r="E2801" s="15" t="s">
        <v>29418</v>
      </c>
      <c r="F2801" s="87" t="s">
        <v>29208</v>
      </c>
      <c r="G2801" s="45" t="s">
        <v>15648</v>
      </c>
      <c r="H2801" s="55" t="s">
        <v>15649</v>
      </c>
      <c r="I2801" s="15" t="s">
        <v>29209</v>
      </c>
    </row>
    <row r="2802" spans="1:9" ht="51.75" customHeight="1" x14ac:dyDescent="0.35">
      <c r="A2802" s="15" t="s">
        <v>25893</v>
      </c>
      <c r="B2802" s="15" t="s">
        <v>29419</v>
      </c>
      <c r="C2802" s="15" t="s">
        <v>29417</v>
      </c>
      <c r="D2802" s="31">
        <v>44026</v>
      </c>
      <c r="E2802" s="15" t="s">
        <v>29420</v>
      </c>
      <c r="F2802" s="87" t="s">
        <v>21871</v>
      </c>
      <c r="G2802" s="45" t="s">
        <v>15648</v>
      </c>
      <c r="H2802" s="55" t="s">
        <v>15649</v>
      </c>
      <c r="I2802" s="15" t="s">
        <v>29209</v>
      </c>
    </row>
    <row r="2803" spans="1:9" ht="51.75" customHeight="1" x14ac:dyDescent="0.35">
      <c r="A2803" s="15" t="s">
        <v>26340</v>
      </c>
      <c r="B2803" s="15" t="s">
        <v>29421</v>
      </c>
      <c r="C2803" s="15" t="s">
        <v>29422</v>
      </c>
      <c r="D2803" s="31">
        <v>44026</v>
      </c>
      <c r="E2803" s="15" t="s">
        <v>29423</v>
      </c>
      <c r="F2803" s="87" t="s">
        <v>29208</v>
      </c>
      <c r="G2803" s="45" t="s">
        <v>15648</v>
      </c>
      <c r="H2803" s="55" t="s">
        <v>15649</v>
      </c>
      <c r="I2803" s="15" t="s">
        <v>29209</v>
      </c>
    </row>
    <row r="2804" spans="1:9" ht="51.75" customHeight="1" x14ac:dyDescent="0.35">
      <c r="A2804" s="15" t="s">
        <v>26340</v>
      </c>
      <c r="B2804" s="15" t="s">
        <v>29424</v>
      </c>
      <c r="C2804" s="15" t="s">
        <v>29422</v>
      </c>
      <c r="D2804" s="31">
        <v>44026</v>
      </c>
      <c r="E2804" s="15" t="s">
        <v>29425</v>
      </c>
      <c r="F2804" s="87" t="s">
        <v>21871</v>
      </c>
      <c r="G2804" s="45" t="s">
        <v>15648</v>
      </c>
      <c r="H2804" s="55" t="s">
        <v>15649</v>
      </c>
      <c r="I2804" s="15" t="s">
        <v>29209</v>
      </c>
    </row>
    <row r="2805" spans="1:9" ht="51.75" customHeight="1" x14ac:dyDescent="0.35">
      <c r="A2805" s="15" t="s">
        <v>25897</v>
      </c>
      <c r="B2805" s="15" t="s">
        <v>29426</v>
      </c>
      <c r="C2805" s="15" t="s">
        <v>29427</v>
      </c>
      <c r="D2805" s="31">
        <v>44026</v>
      </c>
      <c r="E2805" s="15" t="s">
        <v>29428</v>
      </c>
      <c r="F2805" s="87" t="s">
        <v>29208</v>
      </c>
      <c r="G2805" s="45" t="s">
        <v>15648</v>
      </c>
      <c r="H2805" s="55" t="s">
        <v>15649</v>
      </c>
      <c r="I2805" s="15" t="s">
        <v>29209</v>
      </c>
    </row>
    <row r="2806" spans="1:9" ht="51.75" customHeight="1" x14ac:dyDescent="0.35">
      <c r="A2806" s="15" t="s">
        <v>25897</v>
      </c>
      <c r="B2806" s="15" t="s">
        <v>29429</v>
      </c>
      <c r="C2806" s="15" t="s">
        <v>29427</v>
      </c>
      <c r="D2806" s="31">
        <v>44026</v>
      </c>
      <c r="E2806" s="15" t="s">
        <v>29430</v>
      </c>
      <c r="F2806" s="87" t="s">
        <v>21871</v>
      </c>
      <c r="G2806" s="45" t="s">
        <v>15648</v>
      </c>
      <c r="H2806" s="55" t="s">
        <v>15649</v>
      </c>
      <c r="I2806" s="15" t="s">
        <v>29209</v>
      </c>
    </row>
    <row r="2807" spans="1:9" ht="51.75" customHeight="1" x14ac:dyDescent="0.35">
      <c r="A2807" s="15" t="s">
        <v>29431</v>
      </c>
      <c r="B2807" s="15" t="s">
        <v>29432</v>
      </c>
      <c r="C2807" s="15" t="s">
        <v>29433</v>
      </c>
      <c r="D2807" s="31">
        <v>44039</v>
      </c>
      <c r="E2807" s="15" t="s">
        <v>29434</v>
      </c>
      <c r="F2807" s="87" t="s">
        <v>29208</v>
      </c>
      <c r="G2807" s="45" t="s">
        <v>15666</v>
      </c>
      <c r="H2807" s="55" t="s">
        <v>15667</v>
      </c>
      <c r="I2807" s="15" t="s">
        <v>29209</v>
      </c>
    </row>
    <row r="2808" spans="1:9" ht="51.75" customHeight="1" x14ac:dyDescent="0.35">
      <c r="A2808" s="15" t="s">
        <v>29431</v>
      </c>
      <c r="B2808" s="15" t="s">
        <v>29435</v>
      </c>
      <c r="C2808" s="15" t="s">
        <v>29433</v>
      </c>
      <c r="D2808" s="31">
        <v>44039</v>
      </c>
      <c r="E2808" s="15" t="s">
        <v>29436</v>
      </c>
      <c r="F2808" s="87" t="s">
        <v>21871</v>
      </c>
      <c r="G2808" s="45" t="s">
        <v>15666</v>
      </c>
      <c r="H2808" s="55" t="s">
        <v>15667</v>
      </c>
      <c r="I2808" s="15" t="s">
        <v>29209</v>
      </c>
    </row>
    <row r="2809" spans="1:9" ht="51.75" customHeight="1" x14ac:dyDescent="0.35">
      <c r="A2809" s="15" t="s">
        <v>25567</v>
      </c>
      <c r="B2809" s="15" t="s">
        <v>29437</v>
      </c>
      <c r="C2809" s="15" t="s">
        <v>29438</v>
      </c>
      <c r="D2809" s="31">
        <v>44039</v>
      </c>
      <c r="E2809" s="15" t="s">
        <v>29439</v>
      </c>
      <c r="F2809" s="87" t="s">
        <v>29208</v>
      </c>
      <c r="G2809" s="45" t="s">
        <v>15666</v>
      </c>
      <c r="H2809" s="55" t="s">
        <v>15667</v>
      </c>
      <c r="I2809" s="15" t="s">
        <v>29209</v>
      </c>
    </row>
    <row r="2810" spans="1:9" ht="51.75" customHeight="1" x14ac:dyDescent="0.35">
      <c r="A2810" s="15" t="s">
        <v>25567</v>
      </c>
      <c r="B2810" s="15" t="s">
        <v>29440</v>
      </c>
      <c r="C2810" s="15" t="s">
        <v>29438</v>
      </c>
      <c r="D2810" s="31">
        <v>44039</v>
      </c>
      <c r="E2810" s="15" t="s">
        <v>29441</v>
      </c>
      <c r="F2810" s="87" t="s">
        <v>21871</v>
      </c>
      <c r="G2810" s="45" t="s">
        <v>15666</v>
      </c>
      <c r="H2810" s="55" t="s">
        <v>15667</v>
      </c>
      <c r="I2810" s="15" t="s">
        <v>29209</v>
      </c>
    </row>
    <row r="2811" spans="1:9" ht="51.75" customHeight="1" x14ac:dyDescent="0.35">
      <c r="A2811" s="15" t="s">
        <v>29442</v>
      </c>
      <c r="B2811" s="15" t="s">
        <v>29443</v>
      </c>
      <c r="C2811" s="15" t="s">
        <v>29444</v>
      </c>
      <c r="D2811" s="31">
        <v>44067</v>
      </c>
      <c r="E2811" s="15" t="s">
        <v>29445</v>
      </c>
      <c r="F2811" s="87" t="s">
        <v>21871</v>
      </c>
      <c r="G2811" s="45" t="s">
        <v>16342</v>
      </c>
      <c r="H2811" s="55" t="s">
        <v>16343</v>
      </c>
      <c r="I2811" s="15" t="s">
        <v>29209</v>
      </c>
    </row>
    <row r="2812" spans="1:9" ht="51.75" customHeight="1" x14ac:dyDescent="0.35">
      <c r="A2812" s="15" t="s">
        <v>29442</v>
      </c>
      <c r="B2812" s="15" t="s">
        <v>29446</v>
      </c>
      <c r="C2812" s="15" t="s">
        <v>29444</v>
      </c>
      <c r="D2812" s="31">
        <v>44067</v>
      </c>
      <c r="E2812" s="15" t="s">
        <v>29447</v>
      </c>
      <c r="F2812" s="87" t="s">
        <v>29208</v>
      </c>
      <c r="G2812" s="45" t="s">
        <v>16342</v>
      </c>
      <c r="H2812" s="55" t="s">
        <v>16343</v>
      </c>
      <c r="I2812" s="15" t="s">
        <v>29209</v>
      </c>
    </row>
    <row r="2813" spans="1:9" ht="51.75" customHeight="1" x14ac:dyDescent="0.35">
      <c r="A2813" s="15" t="s">
        <v>29448</v>
      </c>
      <c r="B2813" s="15" t="s">
        <v>29449</v>
      </c>
      <c r="C2813" s="15" t="s">
        <v>29450</v>
      </c>
      <c r="D2813" s="31">
        <v>44067</v>
      </c>
      <c r="E2813" s="15" t="s">
        <v>29451</v>
      </c>
      <c r="F2813" s="87" t="s">
        <v>29208</v>
      </c>
      <c r="G2813" s="45" t="s">
        <v>16342</v>
      </c>
      <c r="H2813" s="55" t="s">
        <v>16343</v>
      </c>
      <c r="I2813" s="15" t="s">
        <v>29209</v>
      </c>
    </row>
    <row r="2814" spans="1:9" ht="51.75" customHeight="1" x14ac:dyDescent="0.35">
      <c r="A2814" s="15" t="s">
        <v>29448</v>
      </c>
      <c r="B2814" s="15" t="s">
        <v>29452</v>
      </c>
      <c r="C2814" s="15" t="s">
        <v>29450</v>
      </c>
      <c r="D2814" s="31">
        <v>44067</v>
      </c>
      <c r="E2814" s="15" t="s">
        <v>29453</v>
      </c>
      <c r="F2814" s="87" t="s">
        <v>21871</v>
      </c>
      <c r="G2814" s="45" t="s">
        <v>16342</v>
      </c>
      <c r="H2814" s="55" t="s">
        <v>16343</v>
      </c>
      <c r="I2814" s="15" t="s">
        <v>29209</v>
      </c>
    </row>
    <row r="2815" spans="1:9" ht="51.75" customHeight="1" x14ac:dyDescent="0.35">
      <c r="A2815" s="15" t="s">
        <v>29454</v>
      </c>
      <c r="B2815" s="15" t="s">
        <v>29455</v>
      </c>
      <c r="C2815" s="15" t="s">
        <v>29456</v>
      </c>
      <c r="D2815" s="31">
        <v>44125</v>
      </c>
      <c r="E2815" s="15" t="s">
        <v>29457</v>
      </c>
      <c r="F2815" s="87" t="s">
        <v>29208</v>
      </c>
      <c r="G2815" s="45" t="s">
        <v>16951</v>
      </c>
      <c r="H2815" s="55" t="s">
        <v>16952</v>
      </c>
      <c r="I2815" s="15" t="s">
        <v>29209</v>
      </c>
    </row>
    <row r="2816" spans="1:9" ht="51.75" customHeight="1" x14ac:dyDescent="0.35">
      <c r="A2816" s="15" t="s">
        <v>29454</v>
      </c>
      <c r="B2816" s="15" t="s">
        <v>29458</v>
      </c>
      <c r="C2816" s="15" t="s">
        <v>29456</v>
      </c>
      <c r="D2816" s="31">
        <v>44125</v>
      </c>
      <c r="E2816" s="15" t="s">
        <v>29459</v>
      </c>
      <c r="F2816" s="87" t="s">
        <v>21871</v>
      </c>
      <c r="G2816" s="45" t="s">
        <v>16951</v>
      </c>
      <c r="H2816" s="55" t="s">
        <v>16952</v>
      </c>
      <c r="I2816" s="15" t="s">
        <v>29209</v>
      </c>
    </row>
    <row r="2817" spans="1:9" ht="51.75" customHeight="1" x14ac:dyDescent="0.35">
      <c r="A2817" s="15"/>
      <c r="B2817" s="15" t="s">
        <v>29460</v>
      </c>
      <c r="C2817" s="15" t="s">
        <v>29461</v>
      </c>
      <c r="D2817" s="28">
        <v>44160</v>
      </c>
      <c r="E2817" s="15" t="s">
        <v>29462</v>
      </c>
      <c r="F2817" s="87" t="s">
        <v>21871</v>
      </c>
      <c r="G2817" s="45" t="s">
        <v>16477</v>
      </c>
      <c r="H2817" s="54" t="s">
        <v>16478</v>
      </c>
      <c r="I2817" s="15" t="s">
        <v>29209</v>
      </c>
    </row>
    <row r="2818" spans="1:9" ht="51.75" customHeight="1" x14ac:dyDescent="0.35">
      <c r="A2818" s="15"/>
      <c r="B2818" s="15" t="s">
        <v>29463</v>
      </c>
      <c r="C2818" s="15" t="s">
        <v>29464</v>
      </c>
      <c r="D2818" s="28">
        <v>44222</v>
      </c>
      <c r="E2818" s="15" t="s">
        <v>29465</v>
      </c>
      <c r="F2818" s="87" t="s">
        <v>21871</v>
      </c>
      <c r="G2818" s="45" t="s">
        <v>17552</v>
      </c>
      <c r="H2818" s="54" t="s">
        <v>17553</v>
      </c>
      <c r="I2818" s="15" t="s">
        <v>29209</v>
      </c>
    </row>
    <row r="2819" spans="1:9" ht="51.75" customHeight="1" x14ac:dyDescent="0.35">
      <c r="A2819" s="15"/>
      <c r="B2819" s="15" t="s">
        <v>29466</v>
      </c>
      <c r="C2819" s="45" t="s">
        <v>29467</v>
      </c>
      <c r="D2819" s="28">
        <v>44265</v>
      </c>
      <c r="E2819" s="15" t="s">
        <v>29468</v>
      </c>
      <c r="F2819" s="87" t="s">
        <v>21871</v>
      </c>
      <c r="G2819" s="45" t="s">
        <v>17039</v>
      </c>
      <c r="H2819" s="54" t="s">
        <v>17040</v>
      </c>
      <c r="I2819" s="15" t="s">
        <v>29209</v>
      </c>
    </row>
    <row r="2820" spans="1:9" ht="51.75" customHeight="1" x14ac:dyDescent="0.35">
      <c r="A2820" s="15"/>
      <c r="B2820" s="15" t="s">
        <v>29469</v>
      </c>
      <c r="C2820" s="15" t="s">
        <v>29313</v>
      </c>
      <c r="D2820" s="28">
        <v>44194</v>
      </c>
      <c r="E2820" s="15" t="s">
        <v>29470</v>
      </c>
      <c r="F2820" s="87" t="s">
        <v>21871</v>
      </c>
      <c r="G2820" s="45" t="s">
        <v>17149</v>
      </c>
      <c r="H2820" s="54" t="s">
        <v>29471</v>
      </c>
      <c r="I2820" s="5" t="s">
        <v>29209</v>
      </c>
    </row>
    <row r="2821" spans="1:9" ht="51.75" customHeight="1" x14ac:dyDescent="0.35">
      <c r="A2821" s="15"/>
      <c r="B2821" s="15" t="s">
        <v>29472</v>
      </c>
      <c r="C2821" s="15" t="s">
        <v>29473</v>
      </c>
      <c r="D2821" s="28">
        <v>44358</v>
      </c>
      <c r="E2821" s="15" t="s">
        <v>29474</v>
      </c>
      <c r="F2821" s="87" t="s">
        <v>21871</v>
      </c>
      <c r="G2821" s="45" t="s">
        <v>17829</v>
      </c>
      <c r="H2821" s="54" t="s">
        <v>17830</v>
      </c>
      <c r="I2821" s="5" t="s">
        <v>29209</v>
      </c>
    </row>
    <row r="2822" spans="1:9" ht="51.75" customHeight="1" x14ac:dyDescent="0.35">
      <c r="A2822" s="15"/>
      <c r="B2822" s="15" t="str">
        <f>CONCATENATE(G2822,"/",COUNTIF($G$2:G2822,G2822))</f>
        <v>HR-6340/1</v>
      </c>
      <c r="C2822" s="15" t="s">
        <v>29475</v>
      </c>
      <c r="D2822" s="28">
        <v>44438</v>
      </c>
      <c r="E2822" s="15" t="s">
        <v>29476</v>
      </c>
      <c r="F2822" s="87" t="s">
        <v>21871</v>
      </c>
      <c r="G2822" s="45" t="s">
        <v>18124</v>
      </c>
      <c r="H2822" s="54" t="s">
        <v>18125</v>
      </c>
      <c r="I2822" s="5" t="s">
        <v>29209</v>
      </c>
    </row>
    <row r="2823" spans="1:9" ht="51.75" customHeight="1" x14ac:dyDescent="0.35">
      <c r="A2823" s="15"/>
      <c r="B2823" s="15" t="s">
        <v>29477</v>
      </c>
      <c r="C2823" s="15" t="s">
        <v>29478</v>
      </c>
      <c r="D2823" s="28">
        <v>44224</v>
      </c>
      <c r="E2823" s="15" t="s">
        <v>29479</v>
      </c>
      <c r="F2823" s="87" t="s">
        <v>21871</v>
      </c>
      <c r="G2823" s="45" t="s">
        <v>17476</v>
      </c>
      <c r="H2823" s="54" t="s">
        <v>17477</v>
      </c>
      <c r="I2823" s="5" t="s">
        <v>14722</v>
      </c>
    </row>
    <row r="2824" spans="1:9" ht="51.75" customHeight="1" x14ac:dyDescent="0.35">
      <c r="A2824" s="15"/>
      <c r="B2824" s="15" t="s">
        <v>29480</v>
      </c>
      <c r="C2824" s="15" t="s">
        <v>29481</v>
      </c>
      <c r="D2824" s="28">
        <v>44092</v>
      </c>
      <c r="E2824" s="15" t="s">
        <v>29482</v>
      </c>
      <c r="F2824" s="87" t="s">
        <v>21871</v>
      </c>
      <c r="G2824" s="15" t="s">
        <v>17726</v>
      </c>
      <c r="H2824" s="54" t="s">
        <v>17727</v>
      </c>
      <c r="I2824" s="5" t="s">
        <v>17728</v>
      </c>
    </row>
    <row r="2825" spans="1:9" ht="51.75" customHeight="1" x14ac:dyDescent="0.35">
      <c r="A2825" s="15"/>
      <c r="B2825" s="15" t="s">
        <v>29483</v>
      </c>
      <c r="C2825" s="15" t="s">
        <v>29484</v>
      </c>
      <c r="D2825" s="28">
        <v>44092</v>
      </c>
      <c r="E2825" s="15" t="s">
        <v>29485</v>
      </c>
      <c r="F2825" s="87" t="s">
        <v>21871</v>
      </c>
      <c r="G2825" s="15" t="s">
        <v>17726</v>
      </c>
      <c r="H2825" s="54" t="s">
        <v>17727</v>
      </c>
      <c r="I2825" s="5" t="s">
        <v>17728</v>
      </c>
    </row>
    <row r="2826" spans="1:9" ht="51.75" customHeight="1" x14ac:dyDescent="0.35">
      <c r="A2826" s="15"/>
      <c r="B2826" s="15" t="s">
        <v>29486</v>
      </c>
      <c r="C2826" s="15" t="s">
        <v>29487</v>
      </c>
      <c r="D2826" s="28">
        <v>44092</v>
      </c>
      <c r="E2826" s="15" t="s">
        <v>29488</v>
      </c>
      <c r="F2826" s="87" t="s">
        <v>21871</v>
      </c>
      <c r="G2826" s="15" t="s">
        <v>17726</v>
      </c>
      <c r="H2826" s="54" t="s">
        <v>17727</v>
      </c>
      <c r="I2826" s="5" t="s">
        <v>17728</v>
      </c>
    </row>
    <row r="2827" spans="1:9" ht="51.75" customHeight="1" x14ac:dyDescent="0.35">
      <c r="A2827" s="15"/>
      <c r="B2827" s="15" t="s">
        <v>29489</v>
      </c>
      <c r="C2827" s="15" t="s">
        <v>29490</v>
      </c>
      <c r="D2827" s="28">
        <v>44092</v>
      </c>
      <c r="E2827" s="15" t="s">
        <v>29491</v>
      </c>
      <c r="F2827" s="87" t="s">
        <v>21871</v>
      </c>
      <c r="G2827" s="15" t="s">
        <v>17726</v>
      </c>
      <c r="H2827" s="54" t="s">
        <v>17727</v>
      </c>
      <c r="I2827" s="5" t="s">
        <v>17728</v>
      </c>
    </row>
    <row r="2828" spans="1:9" ht="51.75" customHeight="1" x14ac:dyDescent="0.35">
      <c r="A2828" s="15"/>
      <c r="B2828" s="15" t="s">
        <v>29492</v>
      </c>
      <c r="C2828" s="15" t="s">
        <v>29493</v>
      </c>
      <c r="D2828" s="28">
        <v>44092</v>
      </c>
      <c r="E2828" s="15" t="s">
        <v>29494</v>
      </c>
      <c r="F2828" s="87" t="s">
        <v>21871</v>
      </c>
      <c r="G2828" s="15" t="s">
        <v>17726</v>
      </c>
      <c r="H2828" s="54" t="s">
        <v>17727</v>
      </c>
      <c r="I2828" s="5" t="s">
        <v>17728</v>
      </c>
    </row>
    <row r="2829" spans="1:9" ht="51.75" customHeight="1" x14ac:dyDescent="0.35">
      <c r="A2829" s="15"/>
      <c r="B2829" s="15" t="s">
        <v>29495</v>
      </c>
      <c r="C2829" s="15" t="s">
        <v>29496</v>
      </c>
      <c r="D2829" s="28">
        <v>44092</v>
      </c>
      <c r="E2829" s="15" t="s">
        <v>29497</v>
      </c>
      <c r="F2829" s="87" t="s">
        <v>21871</v>
      </c>
      <c r="G2829" s="15" t="s">
        <v>17726</v>
      </c>
      <c r="H2829" s="54" t="s">
        <v>17727</v>
      </c>
      <c r="I2829" s="5" t="s">
        <v>17728</v>
      </c>
    </row>
    <row r="2830" spans="1:9" ht="51.75" customHeight="1" x14ac:dyDescent="0.35">
      <c r="A2830" s="15"/>
      <c r="B2830" s="15" t="s">
        <v>29498</v>
      </c>
      <c r="C2830" s="15" t="s">
        <v>29499</v>
      </c>
      <c r="D2830" s="28">
        <v>44092</v>
      </c>
      <c r="E2830" s="15" t="s">
        <v>29500</v>
      </c>
      <c r="F2830" s="87" t="s">
        <v>21871</v>
      </c>
      <c r="G2830" s="15" t="s">
        <v>17726</v>
      </c>
      <c r="H2830" s="54" t="s">
        <v>17727</v>
      </c>
      <c r="I2830" s="5" t="s">
        <v>17728</v>
      </c>
    </row>
    <row r="2831" spans="1:9" ht="51.75" customHeight="1" x14ac:dyDescent="0.35">
      <c r="A2831" s="15"/>
      <c r="B2831" s="15" t="s">
        <v>29501</v>
      </c>
      <c r="C2831" s="15" t="s">
        <v>29481</v>
      </c>
      <c r="D2831" s="28">
        <v>44306</v>
      </c>
      <c r="E2831" s="15" t="s">
        <v>29502</v>
      </c>
      <c r="F2831" s="87" t="s">
        <v>21871</v>
      </c>
      <c r="G2831" s="48" t="s">
        <v>18195</v>
      </c>
      <c r="H2831" s="54" t="s">
        <v>18196</v>
      </c>
      <c r="I2831" s="5" t="s">
        <v>17728</v>
      </c>
    </row>
    <row r="2832" spans="1:9" ht="51.75" customHeight="1" x14ac:dyDescent="0.35">
      <c r="A2832" s="15"/>
      <c r="B2832" s="15" t="s">
        <v>29503</v>
      </c>
      <c r="C2832" s="15" t="s">
        <v>29484</v>
      </c>
      <c r="D2832" s="28">
        <v>44306</v>
      </c>
      <c r="E2832" s="15" t="s">
        <v>29504</v>
      </c>
      <c r="F2832" s="87" t="s">
        <v>21871</v>
      </c>
      <c r="G2832" s="48" t="s">
        <v>18195</v>
      </c>
      <c r="H2832" s="54" t="s">
        <v>18196</v>
      </c>
      <c r="I2832" s="5" t="s">
        <v>17728</v>
      </c>
    </row>
    <row r="2833" spans="1:9" ht="51.75" customHeight="1" x14ac:dyDescent="0.35">
      <c r="A2833" s="15"/>
      <c r="B2833" s="15" t="s">
        <v>29505</v>
      </c>
      <c r="C2833" s="15" t="s">
        <v>29487</v>
      </c>
      <c r="D2833" s="28">
        <v>44306</v>
      </c>
      <c r="E2833" s="15" t="s">
        <v>29506</v>
      </c>
      <c r="F2833" s="87" t="s">
        <v>21871</v>
      </c>
      <c r="G2833" s="48" t="s">
        <v>18195</v>
      </c>
      <c r="H2833" s="54" t="s">
        <v>18196</v>
      </c>
      <c r="I2833" s="5" t="s">
        <v>17728</v>
      </c>
    </row>
    <row r="2834" spans="1:9" ht="51.75" customHeight="1" x14ac:dyDescent="0.35">
      <c r="A2834" s="15"/>
      <c r="B2834" s="15" t="s">
        <v>29507</v>
      </c>
      <c r="C2834" s="15" t="s">
        <v>29481</v>
      </c>
      <c r="D2834" s="28">
        <v>44126</v>
      </c>
      <c r="E2834" s="15" t="s">
        <v>29508</v>
      </c>
      <c r="F2834" s="87" t="s">
        <v>21871</v>
      </c>
      <c r="G2834" s="48" t="s">
        <v>17933</v>
      </c>
      <c r="H2834" s="54" t="s">
        <v>17934</v>
      </c>
      <c r="I2834" s="5" t="s">
        <v>17728</v>
      </c>
    </row>
    <row r="2835" spans="1:9" ht="51.75" customHeight="1" x14ac:dyDescent="0.35">
      <c r="A2835" s="15"/>
      <c r="B2835" s="15" t="s">
        <v>29509</v>
      </c>
      <c r="C2835" s="15" t="s">
        <v>29484</v>
      </c>
      <c r="D2835" s="28">
        <v>44126</v>
      </c>
      <c r="E2835" s="15" t="s">
        <v>29510</v>
      </c>
      <c r="F2835" s="87" t="s">
        <v>21871</v>
      </c>
      <c r="G2835" s="48" t="s">
        <v>17933</v>
      </c>
      <c r="H2835" s="54" t="s">
        <v>17934</v>
      </c>
      <c r="I2835" s="5" t="s">
        <v>17728</v>
      </c>
    </row>
    <row r="2836" spans="1:9" ht="51.75" customHeight="1" x14ac:dyDescent="0.35">
      <c r="A2836" s="15"/>
      <c r="B2836" s="15" t="s">
        <v>29511</v>
      </c>
      <c r="C2836" s="15" t="s">
        <v>29487</v>
      </c>
      <c r="D2836" s="28">
        <v>44126</v>
      </c>
      <c r="E2836" s="15" t="s">
        <v>29512</v>
      </c>
      <c r="F2836" s="87" t="s">
        <v>21871</v>
      </c>
      <c r="G2836" s="48" t="s">
        <v>17933</v>
      </c>
      <c r="H2836" s="54" t="s">
        <v>17934</v>
      </c>
      <c r="I2836" s="5" t="s">
        <v>17728</v>
      </c>
    </row>
    <row r="2837" spans="1:9" ht="51.75" customHeight="1" x14ac:dyDescent="0.35">
      <c r="A2837" s="15"/>
      <c r="B2837" s="15" t="s">
        <v>29513</v>
      </c>
      <c r="C2837" s="15" t="s">
        <v>29490</v>
      </c>
      <c r="D2837" s="28">
        <v>44126</v>
      </c>
      <c r="E2837" s="15" t="s">
        <v>29514</v>
      </c>
      <c r="F2837" s="87" t="s">
        <v>21871</v>
      </c>
      <c r="G2837" s="48" t="s">
        <v>17933</v>
      </c>
      <c r="H2837" s="54" t="s">
        <v>17934</v>
      </c>
      <c r="I2837" s="5" t="s">
        <v>17728</v>
      </c>
    </row>
    <row r="2838" spans="1:9" ht="51.75" customHeight="1" x14ac:dyDescent="0.35">
      <c r="A2838" s="15"/>
      <c r="B2838" s="15" t="s">
        <v>29515</v>
      </c>
      <c r="C2838" s="15" t="s">
        <v>29516</v>
      </c>
      <c r="D2838" s="28">
        <v>44333</v>
      </c>
      <c r="E2838" s="15" t="s">
        <v>29517</v>
      </c>
      <c r="F2838" s="87" t="s">
        <v>21871</v>
      </c>
      <c r="G2838" s="47" t="s">
        <v>18388</v>
      </c>
      <c r="H2838" s="54" t="s">
        <v>18389</v>
      </c>
      <c r="I2838" s="5" t="s">
        <v>17728</v>
      </c>
    </row>
    <row r="2839" spans="1:9" ht="51.75" customHeight="1" x14ac:dyDescent="0.35">
      <c r="A2839" s="15"/>
      <c r="B2839" s="15" t="s">
        <v>29518</v>
      </c>
      <c r="C2839" s="15" t="s">
        <v>29519</v>
      </c>
      <c r="D2839" s="28">
        <v>44333</v>
      </c>
      <c r="E2839" s="15" t="s">
        <v>29520</v>
      </c>
      <c r="F2839" s="87" t="s">
        <v>21871</v>
      </c>
      <c r="G2839" s="47" t="s">
        <v>18388</v>
      </c>
      <c r="H2839" s="54" t="s">
        <v>18389</v>
      </c>
      <c r="I2839" s="5" t="s">
        <v>17728</v>
      </c>
    </row>
    <row r="2840" spans="1:9" ht="51.75" customHeight="1" x14ac:dyDescent="0.35">
      <c r="A2840" s="15"/>
      <c r="B2840" s="15" t="s">
        <v>29521</v>
      </c>
      <c r="C2840" s="15" t="s">
        <v>29522</v>
      </c>
      <c r="D2840" s="28">
        <v>44333</v>
      </c>
      <c r="E2840" s="15" t="s">
        <v>29523</v>
      </c>
      <c r="F2840" s="87" t="s">
        <v>21871</v>
      </c>
      <c r="G2840" s="47" t="s">
        <v>18388</v>
      </c>
      <c r="H2840" s="54" t="s">
        <v>18389</v>
      </c>
      <c r="I2840" s="5" t="s">
        <v>17728</v>
      </c>
    </row>
    <row r="2841" spans="1:9" ht="51.75" customHeight="1" x14ac:dyDescent="0.35">
      <c r="A2841" s="15"/>
      <c r="B2841" s="15" t="str">
        <f>CONCATENATE(G2841,"/",COUNTIF($G$2:G2841,G2841))</f>
        <v>BG-10123/1</v>
      </c>
      <c r="C2841" s="15" t="s">
        <v>29524</v>
      </c>
      <c r="D2841" s="28">
        <v>44436</v>
      </c>
      <c r="E2841" s="15" t="s">
        <v>29525</v>
      </c>
      <c r="F2841" s="87" t="s">
        <v>21871</v>
      </c>
      <c r="G2841" s="47" t="s">
        <v>18604</v>
      </c>
      <c r="H2841" s="54" t="s">
        <v>18605</v>
      </c>
      <c r="I2841" s="5" t="s">
        <v>17728</v>
      </c>
    </row>
    <row r="2842" spans="1:9" ht="51.75" customHeight="1" x14ac:dyDescent="0.35">
      <c r="A2842" s="15"/>
      <c r="B2842" s="15" t="str">
        <f>CONCATENATE(G2842,"/",COUNTIF($G$2:G2842,G2842))</f>
        <v>BG-10123/2</v>
      </c>
      <c r="C2842" s="15" t="s">
        <v>29526</v>
      </c>
      <c r="D2842" s="28">
        <v>44448</v>
      </c>
      <c r="E2842" s="15" t="s">
        <v>29527</v>
      </c>
      <c r="F2842" s="87" t="s">
        <v>21871</v>
      </c>
      <c r="G2842" s="47" t="s">
        <v>18604</v>
      </c>
      <c r="H2842" s="54" t="s">
        <v>18605</v>
      </c>
      <c r="I2842" s="5" t="s">
        <v>17728</v>
      </c>
    </row>
    <row r="2843" spans="1:9" ht="51.75" customHeight="1" x14ac:dyDescent="0.35">
      <c r="A2843" s="15"/>
      <c r="B2843" s="15" t="str">
        <f>CONCATENATE(G2843,"/",COUNTIF($G$2:G2843,G2843))</f>
        <v>BG-10123/3</v>
      </c>
      <c r="C2843" s="15" t="s">
        <v>29528</v>
      </c>
      <c r="D2843" s="28">
        <v>44449</v>
      </c>
      <c r="E2843" s="15" t="s">
        <v>29529</v>
      </c>
      <c r="F2843" s="87" t="s">
        <v>21871</v>
      </c>
      <c r="G2843" s="47" t="s">
        <v>18604</v>
      </c>
      <c r="H2843" s="54" t="s">
        <v>18605</v>
      </c>
      <c r="I2843" s="5" t="s">
        <v>17728</v>
      </c>
    </row>
    <row r="2844" spans="1:9" ht="51.75" customHeight="1" x14ac:dyDescent="0.35">
      <c r="A2844" s="15"/>
      <c r="B2844" s="15" t="str">
        <f>CONCATENATE(G2844,"/",COUNTIF($G$2:G2844,G2844))</f>
        <v>BG-10089/1</v>
      </c>
      <c r="C2844" s="15" t="s">
        <v>29530</v>
      </c>
      <c r="D2844" s="28">
        <v>44470</v>
      </c>
      <c r="E2844" s="15" t="s">
        <v>29531</v>
      </c>
      <c r="F2844" s="87" t="s">
        <v>21871</v>
      </c>
      <c r="G2844" s="47" t="s">
        <v>18739</v>
      </c>
      <c r="H2844" s="54" t="s">
        <v>18740</v>
      </c>
      <c r="I2844" s="5" t="s">
        <v>17728</v>
      </c>
    </row>
    <row r="2845" spans="1:9" ht="51.75" customHeight="1" x14ac:dyDescent="0.35">
      <c r="A2845" s="15"/>
      <c r="B2845" s="15" t="str">
        <f>CONCATENATE(G2845,"/",COUNTIF($G$2:G2845,G2845))</f>
        <v>BG-10089/2</v>
      </c>
      <c r="C2845" s="15" t="s">
        <v>29532</v>
      </c>
      <c r="D2845" s="28">
        <v>44470</v>
      </c>
      <c r="E2845" s="15" t="s">
        <v>29533</v>
      </c>
      <c r="F2845" s="87" t="s">
        <v>21871</v>
      </c>
      <c r="G2845" s="47" t="s">
        <v>18739</v>
      </c>
      <c r="H2845" s="54" t="s">
        <v>18740</v>
      </c>
      <c r="I2845" s="5" t="s">
        <v>17728</v>
      </c>
    </row>
    <row r="2846" spans="1:9" ht="51.75" customHeight="1" x14ac:dyDescent="0.35">
      <c r="A2846" s="15"/>
      <c r="B2846" s="15" t="str">
        <f>CONCATENATE(G2846,"/",COUNTIF($G$2:G2846,G2846))</f>
        <v>BG-10089/3</v>
      </c>
      <c r="C2846" s="15" t="s">
        <v>29534</v>
      </c>
      <c r="D2846" s="28">
        <v>44470</v>
      </c>
      <c r="E2846" s="15" t="s">
        <v>29535</v>
      </c>
      <c r="F2846" s="87" t="s">
        <v>21871</v>
      </c>
      <c r="G2846" s="47" t="s">
        <v>18739</v>
      </c>
      <c r="H2846" s="54" t="s">
        <v>18740</v>
      </c>
      <c r="I2846" s="5" t="s">
        <v>17728</v>
      </c>
    </row>
    <row r="2847" spans="1:9" ht="51.75" customHeight="1" x14ac:dyDescent="0.35">
      <c r="A2847" s="15"/>
      <c r="B2847" s="15" t="str">
        <f>CONCATENATE(G2847,"/",COUNTIF($G$2:G2847,G2847))</f>
        <v>BG-10089/4</v>
      </c>
      <c r="C2847" s="15" t="s">
        <v>29536</v>
      </c>
      <c r="D2847" s="28">
        <v>44470</v>
      </c>
      <c r="E2847" s="15" t="s">
        <v>29537</v>
      </c>
      <c r="F2847" s="87" t="s">
        <v>21871</v>
      </c>
      <c r="G2847" s="47" t="s">
        <v>18739</v>
      </c>
      <c r="H2847" s="54" t="s">
        <v>18740</v>
      </c>
      <c r="I2847" s="5" t="s">
        <v>17728</v>
      </c>
    </row>
    <row r="2848" spans="1:9" ht="51.75" customHeight="1" x14ac:dyDescent="0.35">
      <c r="A2848" s="15"/>
      <c r="B2848" s="15" t="str">
        <f>CONCATENATE(G2848,"/",COUNTIF($G$2:G2848,G2848))</f>
        <v>CH-10119/1</v>
      </c>
      <c r="C2848" s="15" t="s">
        <v>29538</v>
      </c>
      <c r="D2848" s="28">
        <v>44439</v>
      </c>
      <c r="E2848" s="15" t="s">
        <v>29539</v>
      </c>
      <c r="F2848" s="87" t="s">
        <v>21871</v>
      </c>
      <c r="G2848" s="15" t="s">
        <v>18268</v>
      </c>
      <c r="H2848" s="55" t="s">
        <v>18269</v>
      </c>
      <c r="I2848" s="15" t="s">
        <v>15039</v>
      </c>
    </row>
    <row r="2849" spans="1:9" ht="51.75" customHeight="1" x14ac:dyDescent="0.35">
      <c r="A2849" s="15"/>
      <c r="B2849" s="15" t="str">
        <f>CONCATENATE(G2849,"/",COUNTIF($G$2:G2849,G2849))</f>
        <v>HR-10001/1</v>
      </c>
      <c r="C2849" s="15" t="s">
        <v>29540</v>
      </c>
      <c r="D2849" s="28">
        <v>44489</v>
      </c>
      <c r="E2849" s="15" t="s">
        <v>29541</v>
      </c>
      <c r="F2849" s="87" t="s">
        <v>21871</v>
      </c>
      <c r="G2849" s="16" t="s">
        <v>18324</v>
      </c>
      <c r="H2849" s="55" t="s">
        <v>18325</v>
      </c>
      <c r="I2849" s="15" t="s">
        <v>29542</v>
      </c>
    </row>
    <row r="2850" spans="1:9" ht="51.75" customHeight="1" x14ac:dyDescent="0.35">
      <c r="A2850" s="15"/>
      <c r="B2850" s="15" t="str">
        <f>CONCATENATE(G2850,"/",COUNTIF($G$2:G2850,G2850))</f>
        <v>HR-10001/2</v>
      </c>
      <c r="C2850" s="15" t="s">
        <v>29543</v>
      </c>
      <c r="D2850" s="28">
        <v>44489</v>
      </c>
      <c r="E2850" s="15" t="s">
        <v>29544</v>
      </c>
      <c r="F2850" s="87" t="s">
        <v>21871</v>
      </c>
      <c r="G2850" s="16" t="s">
        <v>18324</v>
      </c>
      <c r="H2850" s="55" t="s">
        <v>18325</v>
      </c>
      <c r="I2850" s="15" t="s">
        <v>29542</v>
      </c>
    </row>
    <row r="2851" spans="1:9" ht="51.75" customHeight="1" x14ac:dyDescent="0.35">
      <c r="A2851" s="15"/>
      <c r="B2851" s="15" t="s">
        <v>29545</v>
      </c>
      <c r="C2851" s="15" t="s">
        <v>21892</v>
      </c>
      <c r="D2851" s="28">
        <v>44379</v>
      </c>
      <c r="E2851" s="15" t="s">
        <v>29546</v>
      </c>
      <c r="F2851" s="87" t="s">
        <v>21871</v>
      </c>
      <c r="G2851" s="45" t="s">
        <v>17952</v>
      </c>
      <c r="H2851" s="54" t="s">
        <v>17953</v>
      </c>
      <c r="I2851" s="5" t="s">
        <v>16397</v>
      </c>
    </row>
    <row r="2852" spans="1:9" ht="51.75" customHeight="1" x14ac:dyDescent="0.35">
      <c r="A2852" s="15"/>
      <c r="B2852" s="15" t="s">
        <v>29547</v>
      </c>
      <c r="C2852" s="15" t="s">
        <v>21896</v>
      </c>
      <c r="D2852" s="28">
        <v>44379</v>
      </c>
      <c r="E2852" s="15" t="s">
        <v>29548</v>
      </c>
      <c r="F2852" s="87" t="s">
        <v>21871</v>
      </c>
      <c r="G2852" s="45" t="s">
        <v>17952</v>
      </c>
      <c r="H2852" s="54" t="s">
        <v>17953</v>
      </c>
      <c r="I2852" s="5" t="s">
        <v>16397</v>
      </c>
    </row>
    <row r="2853" spans="1:9" ht="51.75" customHeight="1" x14ac:dyDescent="0.35">
      <c r="A2853" s="15"/>
      <c r="B2853" s="15" t="s">
        <v>29549</v>
      </c>
      <c r="C2853" s="15" t="s">
        <v>24243</v>
      </c>
      <c r="D2853" s="28">
        <v>44379</v>
      </c>
      <c r="E2853" s="15" t="s">
        <v>29550</v>
      </c>
      <c r="F2853" s="87" t="s">
        <v>21871</v>
      </c>
      <c r="G2853" s="45" t="s">
        <v>17952</v>
      </c>
      <c r="H2853" s="54" t="s">
        <v>17953</v>
      </c>
      <c r="I2853" s="5" t="s">
        <v>16397</v>
      </c>
    </row>
    <row r="2854" spans="1:9" ht="51.75" customHeight="1" x14ac:dyDescent="0.35">
      <c r="A2854" s="15"/>
      <c r="B2854" s="15" t="str">
        <f>CONCATENATE(G2854,"/",COUNTIF($G$2:G2854,G2854))</f>
        <v>DK-10129/1</v>
      </c>
      <c r="C2854" s="15" t="s">
        <v>29551</v>
      </c>
      <c r="D2854" s="28">
        <v>44493</v>
      </c>
      <c r="E2854" s="15" t="s">
        <v>29552</v>
      </c>
      <c r="F2854" s="87" t="s">
        <v>26221</v>
      </c>
      <c r="G2854" s="47" t="s">
        <v>12885</v>
      </c>
      <c r="H2854" s="55" t="s">
        <v>12886</v>
      </c>
      <c r="I2854" s="15" t="s">
        <v>12887</v>
      </c>
    </row>
    <row r="2855" spans="1:9" ht="51.75" customHeight="1" x14ac:dyDescent="0.35">
      <c r="A2855" s="15"/>
      <c r="B2855" s="15" t="str">
        <f>CONCATENATE(G2855,"/",COUNTIF($G$2:G2855,G2855))</f>
        <v>DK-10130/1</v>
      </c>
      <c r="C2855" s="15" t="s">
        <v>29553</v>
      </c>
      <c r="D2855" s="28">
        <v>43131</v>
      </c>
      <c r="E2855" s="15" t="s">
        <v>29554</v>
      </c>
      <c r="F2855" s="87" t="s">
        <v>26221</v>
      </c>
      <c r="G2855" s="47" t="s">
        <v>14346</v>
      </c>
      <c r="H2855" s="55" t="s">
        <v>14347</v>
      </c>
      <c r="I2855" s="15" t="s">
        <v>12887</v>
      </c>
    </row>
    <row r="2856" spans="1:9" ht="51.75" customHeight="1" x14ac:dyDescent="0.35">
      <c r="A2856" s="15"/>
      <c r="B2856" s="15" t="str">
        <f>CONCATENATE(G2856,"/",COUNTIF($G$2:G2856,G2856))</f>
        <v>DK-10130/2</v>
      </c>
      <c r="C2856" s="15" t="s">
        <v>29555</v>
      </c>
      <c r="D2856" s="28">
        <v>43131</v>
      </c>
      <c r="E2856" s="15" t="s">
        <v>29556</v>
      </c>
      <c r="F2856" s="87" t="s">
        <v>26221</v>
      </c>
      <c r="G2856" s="47" t="s">
        <v>14346</v>
      </c>
      <c r="H2856" s="55" t="s">
        <v>14347</v>
      </c>
      <c r="I2856" s="15" t="s">
        <v>12887</v>
      </c>
    </row>
    <row r="2857" spans="1:9" ht="51.75" customHeight="1" x14ac:dyDescent="0.35">
      <c r="A2857" s="15"/>
      <c r="B2857" s="15" t="str">
        <f>CONCATENATE(G2857,"/",COUNTIF($G$2:G2857,G2857))</f>
        <v>DK-10131/1</v>
      </c>
      <c r="C2857" s="15" t="s">
        <v>29557</v>
      </c>
      <c r="D2857" s="28">
        <v>43417</v>
      </c>
      <c r="E2857" s="15" t="s">
        <v>29558</v>
      </c>
      <c r="F2857" s="87" t="s">
        <v>26221</v>
      </c>
      <c r="G2857" s="47" t="s">
        <v>13256</v>
      </c>
      <c r="H2857" s="55" t="s">
        <v>13257</v>
      </c>
      <c r="I2857" s="15" t="s">
        <v>12887</v>
      </c>
    </row>
    <row r="2858" spans="1:9" ht="51.75" customHeight="1" x14ac:dyDescent="0.35">
      <c r="A2858" s="15"/>
      <c r="B2858" s="15" t="str">
        <f>CONCATENATE(G2858,"/",COUNTIF($G$2:G2858,G2858))</f>
        <v>DK-10131/2</v>
      </c>
      <c r="C2858" s="15" t="s">
        <v>29559</v>
      </c>
      <c r="D2858" s="28">
        <v>43417</v>
      </c>
      <c r="E2858" s="15" t="s">
        <v>29560</v>
      </c>
      <c r="F2858" s="87" t="s">
        <v>26221</v>
      </c>
      <c r="G2858" s="47" t="s">
        <v>13256</v>
      </c>
      <c r="H2858" s="55" t="s">
        <v>13257</v>
      </c>
      <c r="I2858" s="15" t="s">
        <v>12887</v>
      </c>
    </row>
    <row r="2859" spans="1:9" ht="51.75" customHeight="1" x14ac:dyDescent="0.35">
      <c r="A2859" s="15"/>
      <c r="B2859" s="15" t="str">
        <f>CONCATENATE(G2859,"/",COUNTIF($G$2:G2859,G2859))</f>
        <v>DK-10134/1</v>
      </c>
      <c r="C2859" s="15" t="s">
        <v>29561</v>
      </c>
      <c r="D2859" s="28">
        <v>44315</v>
      </c>
      <c r="E2859" s="15" t="s">
        <v>29562</v>
      </c>
      <c r="F2859" s="87" t="s">
        <v>26221</v>
      </c>
      <c r="G2859" s="47" t="s">
        <v>17706</v>
      </c>
      <c r="H2859" s="55" t="s">
        <v>17707</v>
      </c>
      <c r="I2859" s="15" t="s">
        <v>12887</v>
      </c>
    </row>
    <row r="2860" spans="1:9" ht="51.75" customHeight="1" x14ac:dyDescent="0.35">
      <c r="A2860" s="15"/>
      <c r="B2860" s="15" t="str">
        <f>CONCATENATE(G2860,"/",COUNTIF($G$2:G2860,G2860))</f>
        <v>DK-10134/2</v>
      </c>
      <c r="C2860" s="15" t="s">
        <v>29563</v>
      </c>
      <c r="D2860" s="28">
        <v>44315</v>
      </c>
      <c r="E2860" s="15" t="s">
        <v>29564</v>
      </c>
      <c r="F2860" s="87" t="s">
        <v>26221</v>
      </c>
      <c r="G2860" s="47" t="s">
        <v>17706</v>
      </c>
      <c r="H2860" s="55" t="s">
        <v>17707</v>
      </c>
      <c r="I2860" s="15" t="s">
        <v>12887</v>
      </c>
    </row>
    <row r="2861" spans="1:9" ht="51.75" customHeight="1" x14ac:dyDescent="0.35">
      <c r="A2861" s="15"/>
      <c r="B2861" s="15" t="str">
        <f>CONCATENATE(G2861,"/",COUNTIF($G$2:G2861,G2861))</f>
        <v>DK-10136/1</v>
      </c>
      <c r="C2861" s="15" t="s">
        <v>29565</v>
      </c>
      <c r="D2861" s="28">
        <v>44470</v>
      </c>
      <c r="E2861" s="15" t="s">
        <v>29566</v>
      </c>
      <c r="F2861" s="87" t="s">
        <v>26221</v>
      </c>
      <c r="G2861" s="47" t="s">
        <v>18207</v>
      </c>
      <c r="H2861" s="55" t="s">
        <v>18208</v>
      </c>
      <c r="I2861" s="15" t="s">
        <v>12887</v>
      </c>
    </row>
    <row r="2862" spans="1:9" ht="51.75" customHeight="1" x14ac:dyDescent="0.35">
      <c r="A2862" s="15"/>
      <c r="B2862" s="15" t="s">
        <v>29567</v>
      </c>
      <c r="C2862" s="15" t="s">
        <v>29568</v>
      </c>
      <c r="D2862" s="28">
        <v>44337</v>
      </c>
      <c r="E2862" s="5" t="s">
        <v>29569</v>
      </c>
      <c r="F2862" s="87" t="s">
        <v>21871</v>
      </c>
      <c r="G2862" s="45" t="s">
        <v>17750</v>
      </c>
      <c r="H2862" s="54" t="s">
        <v>17751</v>
      </c>
      <c r="I2862" s="5" t="s">
        <v>29570</v>
      </c>
    </row>
    <row r="2863" spans="1:9" ht="51.75" customHeight="1" x14ac:dyDescent="0.35">
      <c r="A2863" s="15"/>
      <c r="B2863" s="15" t="s">
        <v>29571</v>
      </c>
      <c r="C2863" s="15" t="s">
        <v>29572</v>
      </c>
      <c r="D2863" s="28">
        <v>44337</v>
      </c>
      <c r="E2863" s="5" t="s">
        <v>29573</v>
      </c>
      <c r="F2863" s="87" t="s">
        <v>21871</v>
      </c>
      <c r="G2863" s="14" t="s">
        <v>17750</v>
      </c>
      <c r="H2863" s="54" t="s">
        <v>17751</v>
      </c>
      <c r="I2863" s="5" t="s">
        <v>29570</v>
      </c>
    </row>
    <row r="2864" spans="1:9" ht="51.75" customHeight="1" x14ac:dyDescent="0.35">
      <c r="A2864" s="15"/>
      <c r="B2864" s="15" t="s">
        <v>29574</v>
      </c>
      <c r="C2864" s="15" t="s">
        <v>29575</v>
      </c>
      <c r="D2864" s="28">
        <v>44337</v>
      </c>
      <c r="E2864" s="5" t="s">
        <v>29576</v>
      </c>
      <c r="F2864" s="87" t="s">
        <v>21871</v>
      </c>
      <c r="G2864" s="14" t="s">
        <v>17750</v>
      </c>
      <c r="H2864" s="54" t="s">
        <v>17751</v>
      </c>
      <c r="I2864" s="5" t="s">
        <v>29570</v>
      </c>
    </row>
    <row r="2865" spans="1:9" ht="51.75" customHeight="1" x14ac:dyDescent="0.35">
      <c r="A2865" s="15"/>
      <c r="B2865" s="15" t="s">
        <v>29577</v>
      </c>
      <c r="C2865" s="15" t="s">
        <v>29578</v>
      </c>
      <c r="D2865" s="28">
        <v>44337</v>
      </c>
      <c r="E2865" s="5" t="s">
        <v>29579</v>
      </c>
      <c r="F2865" s="87" t="s">
        <v>21871</v>
      </c>
      <c r="G2865" s="14" t="s">
        <v>17750</v>
      </c>
      <c r="H2865" s="54" t="s">
        <v>17751</v>
      </c>
      <c r="I2865" s="5" t="s">
        <v>29570</v>
      </c>
    </row>
    <row r="2866" spans="1:9" ht="51.75" customHeight="1" x14ac:dyDescent="0.35">
      <c r="A2866" s="15"/>
      <c r="B2866" s="15" t="s">
        <v>29580</v>
      </c>
      <c r="C2866" s="15" t="s">
        <v>29581</v>
      </c>
      <c r="D2866" s="28">
        <v>44337</v>
      </c>
      <c r="E2866" s="5" t="s">
        <v>29582</v>
      </c>
      <c r="F2866" s="87" t="s">
        <v>21871</v>
      </c>
      <c r="G2866" s="14" t="s">
        <v>17750</v>
      </c>
      <c r="H2866" s="54" t="s">
        <v>17751</v>
      </c>
      <c r="I2866" s="5" t="s">
        <v>29570</v>
      </c>
    </row>
    <row r="2867" spans="1:9" ht="51.75" customHeight="1" x14ac:dyDescent="0.35">
      <c r="A2867" s="15"/>
      <c r="B2867" s="15" t="s">
        <v>29583</v>
      </c>
      <c r="C2867" s="15" t="s">
        <v>29584</v>
      </c>
      <c r="D2867" s="28">
        <v>44337</v>
      </c>
      <c r="E2867" s="5" t="s">
        <v>29585</v>
      </c>
      <c r="F2867" s="87" t="s">
        <v>21871</v>
      </c>
      <c r="G2867" s="14" t="s">
        <v>17750</v>
      </c>
      <c r="H2867" s="54" t="s">
        <v>17751</v>
      </c>
      <c r="I2867" s="22" t="s">
        <v>29570</v>
      </c>
    </row>
    <row r="2868" spans="1:9" ht="51.75" customHeight="1" x14ac:dyDescent="0.35">
      <c r="A2868" s="15"/>
      <c r="B2868" s="15" t="s">
        <v>29586</v>
      </c>
      <c r="C2868" s="15" t="s">
        <v>29587</v>
      </c>
      <c r="D2868" s="28">
        <v>44370</v>
      </c>
      <c r="E2868" s="15" t="s">
        <v>29588</v>
      </c>
      <c r="F2868" s="87" t="s">
        <v>21871</v>
      </c>
      <c r="G2868" s="45" t="s">
        <v>17862</v>
      </c>
      <c r="H2868" s="54" t="s">
        <v>17863</v>
      </c>
      <c r="I2868" s="5" t="s">
        <v>17638</v>
      </c>
    </row>
    <row r="2869" spans="1:9" ht="51.75" customHeight="1" x14ac:dyDescent="0.35">
      <c r="A2869" s="15"/>
      <c r="B2869" s="15" t="s">
        <v>29589</v>
      </c>
      <c r="C2869" s="15" t="s">
        <v>29590</v>
      </c>
      <c r="D2869" s="28">
        <v>44370</v>
      </c>
      <c r="E2869" s="15" t="s">
        <v>29591</v>
      </c>
      <c r="F2869" s="87" t="s">
        <v>21871</v>
      </c>
      <c r="G2869" s="45" t="s">
        <v>17862</v>
      </c>
      <c r="H2869" s="54" t="s">
        <v>17863</v>
      </c>
      <c r="I2869" s="5" t="s">
        <v>17638</v>
      </c>
    </row>
    <row r="2870" spans="1:9" ht="51.75" customHeight="1" x14ac:dyDescent="0.35">
      <c r="A2870" s="15">
        <v>1</v>
      </c>
      <c r="B2870" s="15" t="s">
        <v>29592</v>
      </c>
      <c r="C2870" s="15" t="s">
        <v>29593</v>
      </c>
      <c r="D2870" s="31">
        <v>40786</v>
      </c>
      <c r="E2870" s="15" t="s">
        <v>29594</v>
      </c>
      <c r="F2870" s="87"/>
      <c r="G2870" s="45" t="s">
        <v>5207</v>
      </c>
      <c r="H2870" s="55" t="s">
        <v>5208</v>
      </c>
      <c r="I2870" s="15" t="s">
        <v>214</v>
      </c>
    </row>
    <row r="2871" spans="1:9" ht="51.75" customHeight="1" x14ac:dyDescent="0.35">
      <c r="A2871" s="15">
        <v>2</v>
      </c>
      <c r="B2871" s="15" t="s">
        <v>29595</v>
      </c>
      <c r="C2871" s="15" t="s">
        <v>29596</v>
      </c>
      <c r="D2871" s="31">
        <v>40786</v>
      </c>
      <c r="E2871" s="15" t="s">
        <v>29597</v>
      </c>
      <c r="F2871" s="87"/>
      <c r="G2871" s="45" t="s">
        <v>5207</v>
      </c>
      <c r="H2871" s="55" t="s">
        <v>5208</v>
      </c>
      <c r="I2871" s="15" t="s">
        <v>214</v>
      </c>
    </row>
    <row r="2872" spans="1:9" ht="51.75" customHeight="1" x14ac:dyDescent="0.35">
      <c r="A2872" s="15">
        <v>3</v>
      </c>
      <c r="B2872" s="15" t="s">
        <v>29598</v>
      </c>
      <c r="C2872" s="15" t="s">
        <v>29599</v>
      </c>
      <c r="D2872" s="31">
        <v>40786</v>
      </c>
      <c r="E2872" s="15" t="s">
        <v>29600</v>
      </c>
      <c r="F2872" s="87"/>
      <c r="G2872" s="45" t="s">
        <v>5207</v>
      </c>
      <c r="H2872" s="55" t="s">
        <v>5208</v>
      </c>
      <c r="I2872" s="15" t="s">
        <v>214</v>
      </c>
    </row>
    <row r="2873" spans="1:9" ht="51.75" customHeight="1" x14ac:dyDescent="0.35">
      <c r="A2873" s="15">
        <v>4</v>
      </c>
      <c r="B2873" s="15" t="s">
        <v>29601</v>
      </c>
      <c r="C2873" s="15" t="s">
        <v>29602</v>
      </c>
      <c r="D2873" s="31">
        <v>40786</v>
      </c>
      <c r="E2873" s="15" t="s">
        <v>29603</v>
      </c>
      <c r="F2873" s="87"/>
      <c r="G2873" s="45" t="s">
        <v>5207</v>
      </c>
      <c r="H2873" s="55" t="s">
        <v>5208</v>
      </c>
      <c r="I2873" s="15" t="s">
        <v>214</v>
      </c>
    </row>
    <row r="2874" spans="1:9" ht="51.75" customHeight="1" x14ac:dyDescent="0.35">
      <c r="A2874" s="15">
        <v>5</v>
      </c>
      <c r="B2874" s="15" t="s">
        <v>29604</v>
      </c>
      <c r="C2874" s="15" t="s">
        <v>29605</v>
      </c>
      <c r="D2874" s="31">
        <v>40786</v>
      </c>
      <c r="E2874" s="15" t="s">
        <v>29606</v>
      </c>
      <c r="F2874" s="87"/>
      <c r="G2874" s="45" t="s">
        <v>5207</v>
      </c>
      <c r="H2874" s="55" t="s">
        <v>5208</v>
      </c>
      <c r="I2874" s="15" t="s">
        <v>214</v>
      </c>
    </row>
    <row r="2875" spans="1:9" ht="51.75" customHeight="1" x14ac:dyDescent="0.35">
      <c r="A2875" s="15">
        <v>6</v>
      </c>
      <c r="B2875" s="15" t="s">
        <v>29607</v>
      </c>
      <c r="C2875" s="15" t="s">
        <v>29608</v>
      </c>
      <c r="D2875" s="31">
        <v>40786</v>
      </c>
      <c r="E2875" s="15" t="s">
        <v>29609</v>
      </c>
      <c r="F2875" s="87"/>
      <c r="G2875" s="45" t="s">
        <v>5207</v>
      </c>
      <c r="H2875" s="55" t="s">
        <v>5208</v>
      </c>
      <c r="I2875" s="15" t="s">
        <v>214</v>
      </c>
    </row>
    <row r="2876" spans="1:9" ht="51.75" customHeight="1" x14ac:dyDescent="0.35">
      <c r="A2876" s="15">
        <v>1</v>
      </c>
      <c r="B2876" s="15" t="s">
        <v>29610</v>
      </c>
      <c r="C2876" s="15" t="s">
        <v>29611</v>
      </c>
      <c r="D2876" s="31">
        <v>40715</v>
      </c>
      <c r="E2876" s="15" t="s">
        <v>29612</v>
      </c>
      <c r="F2876" s="87"/>
      <c r="G2876" s="45" t="s">
        <v>5182</v>
      </c>
      <c r="H2876" s="55" t="s">
        <v>5183</v>
      </c>
      <c r="I2876" s="15" t="s">
        <v>214</v>
      </c>
    </row>
    <row r="2877" spans="1:9" ht="51.75" customHeight="1" x14ac:dyDescent="0.35">
      <c r="A2877" s="15">
        <v>2</v>
      </c>
      <c r="B2877" s="15" t="s">
        <v>29613</v>
      </c>
      <c r="C2877" s="15" t="s">
        <v>29614</v>
      </c>
      <c r="D2877" s="31">
        <v>40715</v>
      </c>
      <c r="E2877" s="15" t="s">
        <v>29615</v>
      </c>
      <c r="F2877" s="87"/>
      <c r="G2877" s="45" t="s">
        <v>5182</v>
      </c>
      <c r="H2877" s="55" t="s">
        <v>5183</v>
      </c>
      <c r="I2877" s="15" t="s">
        <v>214</v>
      </c>
    </row>
    <row r="2878" spans="1:9" ht="51.75" customHeight="1" x14ac:dyDescent="0.35">
      <c r="A2878" s="15">
        <v>3</v>
      </c>
      <c r="B2878" s="15" t="s">
        <v>29616</v>
      </c>
      <c r="C2878" s="15" t="s">
        <v>29617</v>
      </c>
      <c r="D2878" s="31">
        <v>40715</v>
      </c>
      <c r="E2878" s="15" t="s">
        <v>29618</v>
      </c>
      <c r="F2878" s="87"/>
      <c r="G2878" s="45" t="s">
        <v>5182</v>
      </c>
      <c r="H2878" s="55" t="s">
        <v>5183</v>
      </c>
      <c r="I2878" s="15" t="s">
        <v>214</v>
      </c>
    </row>
    <row r="2879" spans="1:9" ht="51.75" customHeight="1" x14ac:dyDescent="0.35">
      <c r="A2879" s="15">
        <v>4</v>
      </c>
      <c r="B2879" s="15" t="s">
        <v>29619</v>
      </c>
      <c r="C2879" s="15" t="s">
        <v>29620</v>
      </c>
      <c r="D2879" s="31">
        <v>40715</v>
      </c>
      <c r="E2879" s="15" t="s">
        <v>29621</v>
      </c>
      <c r="F2879" s="87"/>
      <c r="G2879" s="45" t="s">
        <v>5182</v>
      </c>
      <c r="H2879" s="55" t="s">
        <v>5183</v>
      </c>
      <c r="I2879" s="15" t="s">
        <v>214</v>
      </c>
    </row>
    <row r="2880" spans="1:9" ht="51.75" customHeight="1" x14ac:dyDescent="0.35">
      <c r="A2880" s="15">
        <v>5</v>
      </c>
      <c r="B2880" s="15" t="s">
        <v>29622</v>
      </c>
      <c r="C2880" s="15" t="s">
        <v>29623</v>
      </c>
      <c r="D2880" s="31">
        <v>40715</v>
      </c>
      <c r="E2880" s="15" t="s">
        <v>29624</v>
      </c>
      <c r="F2880" s="87"/>
      <c r="G2880" s="45" t="s">
        <v>5182</v>
      </c>
      <c r="H2880" s="55" t="s">
        <v>5183</v>
      </c>
      <c r="I2880" s="15" t="s">
        <v>214</v>
      </c>
    </row>
    <row r="2881" spans="1:9" ht="51.75" customHeight="1" x14ac:dyDescent="0.35">
      <c r="A2881" s="15">
        <v>6</v>
      </c>
      <c r="B2881" s="15" t="s">
        <v>29625</v>
      </c>
      <c r="C2881" s="15" t="s">
        <v>29626</v>
      </c>
      <c r="D2881" s="31">
        <v>40715</v>
      </c>
      <c r="E2881" s="15" t="s">
        <v>29627</v>
      </c>
      <c r="F2881" s="87"/>
      <c r="G2881" s="45" t="s">
        <v>5182</v>
      </c>
      <c r="H2881" s="55" t="s">
        <v>5183</v>
      </c>
      <c r="I2881" s="15" t="s">
        <v>214</v>
      </c>
    </row>
    <row r="2882" spans="1:9" ht="51.75" customHeight="1" x14ac:dyDescent="0.35">
      <c r="A2882" s="15">
        <v>7</v>
      </c>
      <c r="B2882" s="15" t="s">
        <v>29628</v>
      </c>
      <c r="C2882" s="15" t="s">
        <v>29629</v>
      </c>
      <c r="D2882" s="31">
        <v>40715</v>
      </c>
      <c r="E2882" s="15" t="s">
        <v>29630</v>
      </c>
      <c r="F2882" s="87"/>
      <c r="G2882" s="45" t="s">
        <v>5182</v>
      </c>
      <c r="H2882" s="55" t="s">
        <v>5183</v>
      </c>
      <c r="I2882" s="15" t="s">
        <v>214</v>
      </c>
    </row>
    <row r="2883" spans="1:9" ht="51.75" customHeight="1" x14ac:dyDescent="0.35">
      <c r="A2883" s="15">
        <v>1</v>
      </c>
      <c r="B2883" s="15" t="s">
        <v>29631</v>
      </c>
      <c r="C2883" s="15" t="s">
        <v>29632</v>
      </c>
      <c r="D2883" s="31">
        <v>40645</v>
      </c>
      <c r="E2883" s="15" t="s">
        <v>29633</v>
      </c>
      <c r="F2883" s="87"/>
      <c r="G2883" s="45" t="s">
        <v>5054</v>
      </c>
      <c r="H2883" s="55" t="s">
        <v>5055</v>
      </c>
      <c r="I2883" s="15" t="s">
        <v>214</v>
      </c>
    </row>
    <row r="2884" spans="1:9" ht="51.75" customHeight="1" x14ac:dyDescent="0.35">
      <c r="A2884" s="15">
        <v>2</v>
      </c>
      <c r="B2884" s="15" t="s">
        <v>29634</v>
      </c>
      <c r="C2884" s="15" t="s">
        <v>29635</v>
      </c>
      <c r="D2884" s="31">
        <v>40645</v>
      </c>
      <c r="E2884" s="15" t="s">
        <v>29636</v>
      </c>
      <c r="F2884" s="87"/>
      <c r="G2884" s="45" t="s">
        <v>5054</v>
      </c>
      <c r="H2884" s="55" t="s">
        <v>5055</v>
      </c>
      <c r="I2884" s="15" t="s">
        <v>214</v>
      </c>
    </row>
    <row r="2885" spans="1:9" ht="51.75" customHeight="1" x14ac:dyDescent="0.35">
      <c r="A2885" s="15">
        <v>3</v>
      </c>
      <c r="B2885" s="15" t="s">
        <v>29637</v>
      </c>
      <c r="C2885" s="15" t="s">
        <v>29638</v>
      </c>
      <c r="D2885" s="31">
        <v>40645</v>
      </c>
      <c r="E2885" s="15" t="s">
        <v>29639</v>
      </c>
      <c r="F2885" s="87"/>
      <c r="G2885" s="45" t="s">
        <v>5054</v>
      </c>
      <c r="H2885" s="55" t="s">
        <v>5055</v>
      </c>
      <c r="I2885" s="15" t="s">
        <v>214</v>
      </c>
    </row>
    <row r="2886" spans="1:9" ht="51.75" customHeight="1" x14ac:dyDescent="0.35">
      <c r="A2886" s="15">
        <v>4</v>
      </c>
      <c r="B2886" s="15" t="s">
        <v>29640</v>
      </c>
      <c r="C2886" s="15" t="s">
        <v>29641</v>
      </c>
      <c r="D2886" s="31">
        <v>40645</v>
      </c>
      <c r="E2886" s="15" t="s">
        <v>29642</v>
      </c>
      <c r="F2886" s="87"/>
      <c r="G2886" s="45" t="s">
        <v>5054</v>
      </c>
      <c r="H2886" s="55" t="s">
        <v>5055</v>
      </c>
      <c r="I2886" s="15" t="s">
        <v>214</v>
      </c>
    </row>
    <row r="2887" spans="1:9" ht="51.75" customHeight="1" x14ac:dyDescent="0.35">
      <c r="A2887" s="15">
        <v>1</v>
      </c>
      <c r="B2887" s="15" t="s">
        <v>29643</v>
      </c>
      <c r="C2887" s="15" t="s">
        <v>29644</v>
      </c>
      <c r="D2887" s="31">
        <v>40739</v>
      </c>
      <c r="E2887" s="15" t="s">
        <v>29645</v>
      </c>
      <c r="F2887" s="87"/>
      <c r="G2887" s="45" t="s">
        <v>5115</v>
      </c>
      <c r="H2887" s="55" t="s">
        <v>5116</v>
      </c>
      <c r="I2887" s="15" t="s">
        <v>214</v>
      </c>
    </row>
    <row r="2888" spans="1:9" ht="51.75" customHeight="1" x14ac:dyDescent="0.35">
      <c r="A2888" s="15">
        <v>2</v>
      </c>
      <c r="B2888" s="15" t="s">
        <v>29646</v>
      </c>
      <c r="C2888" s="15" t="s">
        <v>29647</v>
      </c>
      <c r="D2888" s="31">
        <v>40739</v>
      </c>
      <c r="E2888" s="15" t="s">
        <v>29648</v>
      </c>
      <c r="F2888" s="87"/>
      <c r="G2888" s="45" t="s">
        <v>5115</v>
      </c>
      <c r="H2888" s="55" t="s">
        <v>5116</v>
      </c>
      <c r="I2888" s="15" t="s">
        <v>214</v>
      </c>
    </row>
    <row r="2889" spans="1:9" ht="51.75" customHeight="1" x14ac:dyDescent="0.35">
      <c r="A2889" s="15">
        <v>3</v>
      </c>
      <c r="B2889" s="15" t="s">
        <v>29649</v>
      </c>
      <c r="C2889" s="15" t="s">
        <v>29650</v>
      </c>
      <c r="D2889" s="31">
        <v>40739</v>
      </c>
      <c r="E2889" s="15" t="s">
        <v>29651</v>
      </c>
      <c r="F2889" s="87"/>
      <c r="G2889" s="45" t="s">
        <v>5115</v>
      </c>
      <c r="H2889" s="55" t="s">
        <v>5116</v>
      </c>
      <c r="I2889" s="15" t="s">
        <v>214</v>
      </c>
    </row>
    <row r="2890" spans="1:9" ht="51.75" customHeight="1" x14ac:dyDescent="0.35">
      <c r="A2890" s="15">
        <v>4</v>
      </c>
      <c r="B2890" s="15" t="s">
        <v>29652</v>
      </c>
      <c r="C2890" s="15" t="s">
        <v>29653</v>
      </c>
      <c r="D2890" s="31">
        <v>40739</v>
      </c>
      <c r="E2890" s="15" t="s">
        <v>29654</v>
      </c>
      <c r="F2890" s="87"/>
      <c r="G2890" s="45" t="s">
        <v>5115</v>
      </c>
      <c r="H2890" s="55" t="s">
        <v>5116</v>
      </c>
      <c r="I2890" s="15" t="s">
        <v>214</v>
      </c>
    </row>
    <row r="2891" spans="1:9" ht="51.75" customHeight="1" x14ac:dyDescent="0.35">
      <c r="A2891" s="15">
        <v>1</v>
      </c>
      <c r="B2891" s="15" t="s">
        <v>29655</v>
      </c>
      <c r="C2891" s="15" t="s">
        <v>29656</v>
      </c>
      <c r="D2891" s="31">
        <v>40359</v>
      </c>
      <c r="E2891" s="15" t="s">
        <v>29657</v>
      </c>
      <c r="F2891" s="87"/>
      <c r="G2891" s="45" t="s">
        <v>4432</v>
      </c>
      <c r="H2891" s="55" t="s">
        <v>4433</v>
      </c>
      <c r="I2891" s="15" t="s">
        <v>214</v>
      </c>
    </row>
    <row r="2892" spans="1:9" ht="51.75" customHeight="1" x14ac:dyDescent="0.35">
      <c r="A2892" s="15">
        <v>1</v>
      </c>
      <c r="B2892" s="15" t="s">
        <v>29658</v>
      </c>
      <c r="C2892" s="15" t="s">
        <v>29659</v>
      </c>
      <c r="D2892" s="31">
        <v>40739</v>
      </c>
      <c r="E2892" s="15" t="s">
        <v>29660</v>
      </c>
      <c r="F2892" s="87"/>
      <c r="G2892" s="45" t="s">
        <v>4922</v>
      </c>
      <c r="H2892" s="55" t="s">
        <v>4923</v>
      </c>
      <c r="I2892" s="15" t="s">
        <v>214</v>
      </c>
    </row>
    <row r="2893" spans="1:9" ht="51.75" customHeight="1" x14ac:dyDescent="0.35">
      <c r="A2893" s="15">
        <v>2</v>
      </c>
      <c r="B2893" s="15" t="s">
        <v>29661</v>
      </c>
      <c r="C2893" s="15" t="s">
        <v>29662</v>
      </c>
      <c r="D2893" s="31">
        <v>40739</v>
      </c>
      <c r="E2893" s="15" t="s">
        <v>29663</v>
      </c>
      <c r="F2893" s="87"/>
      <c r="G2893" s="45" t="s">
        <v>4922</v>
      </c>
      <c r="H2893" s="55" t="s">
        <v>4923</v>
      </c>
      <c r="I2893" s="15" t="s">
        <v>214</v>
      </c>
    </row>
    <row r="2894" spans="1:9" ht="51.75" customHeight="1" x14ac:dyDescent="0.35">
      <c r="A2894" s="15">
        <v>3</v>
      </c>
      <c r="B2894" s="15" t="s">
        <v>29664</v>
      </c>
      <c r="C2894" s="15" t="s">
        <v>29665</v>
      </c>
      <c r="D2894" s="31">
        <v>40739</v>
      </c>
      <c r="E2894" s="15" t="s">
        <v>29666</v>
      </c>
      <c r="F2894" s="87"/>
      <c r="G2894" s="45" t="s">
        <v>4922</v>
      </c>
      <c r="H2894" s="55" t="s">
        <v>4923</v>
      </c>
      <c r="I2894" s="15" t="s">
        <v>214</v>
      </c>
    </row>
    <row r="2895" spans="1:9" ht="51.75" customHeight="1" x14ac:dyDescent="0.35">
      <c r="A2895" s="15">
        <v>4</v>
      </c>
      <c r="B2895" s="15" t="s">
        <v>29667</v>
      </c>
      <c r="C2895" s="15" t="s">
        <v>29668</v>
      </c>
      <c r="D2895" s="31">
        <v>40739</v>
      </c>
      <c r="E2895" s="15" t="s">
        <v>29669</v>
      </c>
      <c r="F2895" s="87"/>
      <c r="G2895" s="45" t="s">
        <v>4922</v>
      </c>
      <c r="H2895" s="55" t="s">
        <v>4923</v>
      </c>
      <c r="I2895" s="15" t="s">
        <v>214</v>
      </c>
    </row>
    <row r="2896" spans="1:9" ht="51.75" customHeight="1" x14ac:dyDescent="0.35">
      <c r="A2896" s="15">
        <v>5</v>
      </c>
      <c r="B2896" s="15" t="s">
        <v>29670</v>
      </c>
      <c r="C2896" s="15" t="s">
        <v>29671</v>
      </c>
      <c r="D2896" s="31">
        <v>40739</v>
      </c>
      <c r="E2896" s="15" t="s">
        <v>29672</v>
      </c>
      <c r="F2896" s="87"/>
      <c r="G2896" s="45" t="s">
        <v>4922</v>
      </c>
      <c r="H2896" s="55" t="s">
        <v>4923</v>
      </c>
      <c r="I2896" s="15" t="s">
        <v>214</v>
      </c>
    </row>
    <row r="2897" spans="1:9" ht="51.75" customHeight="1" x14ac:dyDescent="0.35">
      <c r="A2897" s="15">
        <v>6</v>
      </c>
      <c r="B2897" s="15" t="s">
        <v>29673</v>
      </c>
      <c r="C2897" s="15" t="s">
        <v>29674</v>
      </c>
      <c r="D2897" s="31">
        <v>40739</v>
      </c>
      <c r="E2897" s="15" t="s">
        <v>29675</v>
      </c>
      <c r="F2897" s="87"/>
      <c r="G2897" s="45" t="s">
        <v>4922</v>
      </c>
      <c r="H2897" s="55" t="s">
        <v>4923</v>
      </c>
      <c r="I2897" s="15" t="s">
        <v>214</v>
      </c>
    </row>
    <row r="2898" spans="1:9" ht="51.75" customHeight="1" x14ac:dyDescent="0.35">
      <c r="A2898" s="15">
        <v>1</v>
      </c>
      <c r="B2898" s="15" t="s">
        <v>29676</v>
      </c>
      <c r="C2898" s="15" t="s">
        <v>29677</v>
      </c>
      <c r="D2898" s="31">
        <v>40631</v>
      </c>
      <c r="E2898" s="15" t="s">
        <v>29678</v>
      </c>
      <c r="F2898" s="87"/>
      <c r="G2898" s="45" t="s">
        <v>4832</v>
      </c>
      <c r="H2898" s="55" t="s">
        <v>4833</v>
      </c>
      <c r="I2898" s="15" t="s">
        <v>214</v>
      </c>
    </row>
    <row r="2899" spans="1:9" ht="51.75" customHeight="1" x14ac:dyDescent="0.35">
      <c r="A2899" s="15">
        <v>2</v>
      </c>
      <c r="B2899" s="15" t="s">
        <v>29679</v>
      </c>
      <c r="C2899" s="15" t="s">
        <v>29680</v>
      </c>
      <c r="D2899" s="31">
        <v>40631</v>
      </c>
      <c r="E2899" s="15" t="s">
        <v>29681</v>
      </c>
      <c r="F2899" s="87"/>
      <c r="G2899" s="45" t="s">
        <v>4832</v>
      </c>
      <c r="H2899" s="55" t="s">
        <v>4833</v>
      </c>
      <c r="I2899" s="15" t="s">
        <v>214</v>
      </c>
    </row>
    <row r="2900" spans="1:9" ht="51.75" customHeight="1" x14ac:dyDescent="0.35">
      <c r="A2900" s="15">
        <v>3</v>
      </c>
      <c r="B2900" s="15" t="s">
        <v>29682</v>
      </c>
      <c r="C2900" s="15" t="s">
        <v>29683</v>
      </c>
      <c r="D2900" s="31">
        <v>40631</v>
      </c>
      <c r="E2900" s="15" t="s">
        <v>29684</v>
      </c>
      <c r="F2900" s="87"/>
      <c r="G2900" s="45" t="s">
        <v>4832</v>
      </c>
      <c r="H2900" s="55" t="s">
        <v>4833</v>
      </c>
      <c r="I2900" s="15" t="s">
        <v>214</v>
      </c>
    </row>
    <row r="2901" spans="1:9" ht="51.75" customHeight="1" x14ac:dyDescent="0.35">
      <c r="A2901" s="15">
        <v>4</v>
      </c>
      <c r="B2901" s="15" t="s">
        <v>29685</v>
      </c>
      <c r="C2901" s="15" t="s">
        <v>29686</v>
      </c>
      <c r="D2901" s="31">
        <v>40631</v>
      </c>
      <c r="E2901" s="15" t="s">
        <v>29687</v>
      </c>
      <c r="F2901" s="87"/>
      <c r="G2901" s="45" t="s">
        <v>4832</v>
      </c>
      <c r="H2901" s="55" t="s">
        <v>4833</v>
      </c>
      <c r="I2901" s="15" t="s">
        <v>214</v>
      </c>
    </row>
    <row r="2902" spans="1:9" ht="51.75" customHeight="1" x14ac:dyDescent="0.35">
      <c r="A2902" s="15">
        <v>5</v>
      </c>
      <c r="B2902" s="15" t="s">
        <v>29688</v>
      </c>
      <c r="C2902" s="15" t="s">
        <v>29689</v>
      </c>
      <c r="D2902" s="31">
        <v>40631</v>
      </c>
      <c r="E2902" s="15" t="s">
        <v>29690</v>
      </c>
      <c r="F2902" s="87"/>
      <c r="G2902" s="45" t="s">
        <v>4832</v>
      </c>
      <c r="H2902" s="55" t="s">
        <v>4833</v>
      </c>
      <c r="I2902" s="15" t="s">
        <v>214</v>
      </c>
    </row>
    <row r="2903" spans="1:9" ht="51.75" customHeight="1" x14ac:dyDescent="0.35">
      <c r="A2903" s="15">
        <v>6</v>
      </c>
      <c r="B2903" s="15" t="s">
        <v>29691</v>
      </c>
      <c r="C2903" s="15" t="s">
        <v>29692</v>
      </c>
      <c r="D2903" s="31">
        <v>40631</v>
      </c>
      <c r="E2903" s="15" t="s">
        <v>29693</v>
      </c>
      <c r="F2903" s="87"/>
      <c r="G2903" s="45" t="s">
        <v>4832</v>
      </c>
      <c r="H2903" s="55" t="s">
        <v>4833</v>
      </c>
      <c r="I2903" s="15" t="s">
        <v>214</v>
      </c>
    </row>
    <row r="2904" spans="1:9" ht="51.75" customHeight="1" x14ac:dyDescent="0.35">
      <c r="A2904" s="15">
        <v>1</v>
      </c>
      <c r="B2904" s="15" t="s">
        <v>29694</v>
      </c>
      <c r="C2904" s="15" t="s">
        <v>29695</v>
      </c>
      <c r="D2904" s="31">
        <v>40631</v>
      </c>
      <c r="E2904" s="15" t="s">
        <v>29696</v>
      </c>
      <c r="F2904" s="87"/>
      <c r="G2904" s="45" t="s">
        <v>4850</v>
      </c>
      <c r="H2904" s="55" t="s">
        <v>4851</v>
      </c>
      <c r="I2904" s="15" t="s">
        <v>214</v>
      </c>
    </row>
    <row r="2905" spans="1:9" ht="51.75" customHeight="1" x14ac:dyDescent="0.35">
      <c r="A2905" s="15">
        <v>2</v>
      </c>
      <c r="B2905" s="15" t="s">
        <v>29697</v>
      </c>
      <c r="C2905" s="15" t="s">
        <v>29698</v>
      </c>
      <c r="D2905" s="31">
        <v>40631</v>
      </c>
      <c r="E2905" s="15" t="s">
        <v>29699</v>
      </c>
      <c r="F2905" s="87"/>
      <c r="G2905" s="45" t="s">
        <v>4850</v>
      </c>
      <c r="H2905" s="55" t="s">
        <v>4851</v>
      </c>
      <c r="I2905" s="15" t="s">
        <v>214</v>
      </c>
    </row>
    <row r="2906" spans="1:9" ht="51.75" customHeight="1" x14ac:dyDescent="0.35">
      <c r="A2906" s="15">
        <v>3</v>
      </c>
      <c r="B2906" s="15" t="s">
        <v>29700</v>
      </c>
      <c r="C2906" s="15" t="s">
        <v>29701</v>
      </c>
      <c r="D2906" s="31">
        <v>40631</v>
      </c>
      <c r="E2906" s="15" t="s">
        <v>29702</v>
      </c>
      <c r="F2906" s="87"/>
      <c r="G2906" s="45" t="s">
        <v>4850</v>
      </c>
      <c r="H2906" s="55" t="s">
        <v>4851</v>
      </c>
      <c r="I2906" s="15" t="s">
        <v>214</v>
      </c>
    </row>
    <row r="2907" spans="1:9" ht="51.75" customHeight="1" x14ac:dyDescent="0.35">
      <c r="A2907" s="15">
        <v>4</v>
      </c>
      <c r="B2907" s="15" t="s">
        <v>29703</v>
      </c>
      <c r="C2907" s="15" t="s">
        <v>29704</v>
      </c>
      <c r="D2907" s="31">
        <v>40631</v>
      </c>
      <c r="E2907" s="15" t="s">
        <v>29705</v>
      </c>
      <c r="F2907" s="87"/>
      <c r="G2907" s="45" t="s">
        <v>4850</v>
      </c>
      <c r="H2907" s="55" t="s">
        <v>4851</v>
      </c>
      <c r="I2907" s="15" t="s">
        <v>214</v>
      </c>
    </row>
    <row r="2908" spans="1:9" ht="51.75" customHeight="1" x14ac:dyDescent="0.35">
      <c r="A2908" s="15">
        <v>5</v>
      </c>
      <c r="B2908" s="15" t="s">
        <v>29706</v>
      </c>
      <c r="C2908" s="15" t="s">
        <v>29707</v>
      </c>
      <c r="D2908" s="31">
        <v>40631</v>
      </c>
      <c r="E2908" s="15" t="s">
        <v>29708</v>
      </c>
      <c r="F2908" s="87"/>
      <c r="G2908" s="45" t="s">
        <v>4850</v>
      </c>
      <c r="H2908" s="55" t="s">
        <v>4851</v>
      </c>
      <c r="I2908" s="15" t="s">
        <v>214</v>
      </c>
    </row>
    <row r="2909" spans="1:9" ht="51.75" customHeight="1" x14ac:dyDescent="0.35">
      <c r="A2909" s="15">
        <v>6</v>
      </c>
      <c r="B2909" s="15" t="s">
        <v>29709</v>
      </c>
      <c r="C2909" s="15" t="s">
        <v>29710</v>
      </c>
      <c r="D2909" s="31">
        <v>40631</v>
      </c>
      <c r="E2909" s="15" t="s">
        <v>29711</v>
      </c>
      <c r="F2909" s="87"/>
      <c r="G2909" s="45" t="s">
        <v>4850</v>
      </c>
      <c r="H2909" s="55" t="s">
        <v>4851</v>
      </c>
      <c r="I2909" s="15" t="s">
        <v>214</v>
      </c>
    </row>
    <row r="2910" spans="1:9" ht="51.75" customHeight="1" x14ac:dyDescent="0.35">
      <c r="A2910" s="15">
        <v>7</v>
      </c>
      <c r="B2910" s="15" t="s">
        <v>29712</v>
      </c>
      <c r="C2910" s="15" t="s">
        <v>29713</v>
      </c>
      <c r="D2910" s="31">
        <v>40631</v>
      </c>
      <c r="E2910" s="15" t="s">
        <v>29714</v>
      </c>
      <c r="F2910" s="87"/>
      <c r="G2910" s="45" t="s">
        <v>4850</v>
      </c>
      <c r="H2910" s="55" t="s">
        <v>4851</v>
      </c>
      <c r="I2910" s="15" t="s">
        <v>214</v>
      </c>
    </row>
    <row r="2911" spans="1:9" ht="51.75" customHeight="1" x14ac:dyDescent="0.35">
      <c r="A2911" s="15">
        <v>8</v>
      </c>
      <c r="B2911" s="15" t="s">
        <v>29715</v>
      </c>
      <c r="C2911" s="15" t="s">
        <v>29716</v>
      </c>
      <c r="D2911" s="31">
        <v>40631</v>
      </c>
      <c r="E2911" s="15" t="s">
        <v>29717</v>
      </c>
      <c r="F2911" s="87"/>
      <c r="G2911" s="45" t="s">
        <v>4850</v>
      </c>
      <c r="H2911" s="55" t="s">
        <v>4851</v>
      </c>
      <c r="I2911" s="15" t="s">
        <v>214</v>
      </c>
    </row>
    <row r="2912" spans="1:9" ht="51.75" customHeight="1" x14ac:dyDescent="0.35">
      <c r="A2912" s="15">
        <v>9</v>
      </c>
      <c r="B2912" s="15" t="s">
        <v>29718</v>
      </c>
      <c r="C2912" s="15" t="s">
        <v>29719</v>
      </c>
      <c r="D2912" s="31">
        <v>40631</v>
      </c>
      <c r="E2912" s="15" t="s">
        <v>29720</v>
      </c>
      <c r="F2912" s="87"/>
      <c r="G2912" s="45" t="s">
        <v>4850</v>
      </c>
      <c r="H2912" s="55" t="s">
        <v>4851</v>
      </c>
      <c r="I2912" s="15" t="s">
        <v>214</v>
      </c>
    </row>
    <row r="2913" spans="1:9" ht="51.75" customHeight="1" x14ac:dyDescent="0.35">
      <c r="A2913" s="15">
        <v>1</v>
      </c>
      <c r="B2913" s="15" t="s">
        <v>29721</v>
      </c>
      <c r="C2913" s="15" t="s">
        <v>29722</v>
      </c>
      <c r="D2913" s="31">
        <v>40631</v>
      </c>
      <c r="E2913" s="15" t="s">
        <v>29723</v>
      </c>
      <c r="F2913" s="87"/>
      <c r="G2913" s="45" t="s">
        <v>4727</v>
      </c>
      <c r="H2913" s="55" t="s">
        <v>4728</v>
      </c>
      <c r="I2913" s="15" t="s">
        <v>214</v>
      </c>
    </row>
    <row r="2914" spans="1:9" ht="51.75" customHeight="1" x14ac:dyDescent="0.35">
      <c r="A2914" s="15">
        <v>2</v>
      </c>
      <c r="B2914" s="15" t="s">
        <v>29724</v>
      </c>
      <c r="C2914" s="15" t="s">
        <v>29725</v>
      </c>
      <c r="D2914" s="31">
        <v>40631</v>
      </c>
      <c r="E2914" s="15" t="s">
        <v>29726</v>
      </c>
      <c r="F2914" s="87"/>
      <c r="G2914" s="45" t="s">
        <v>4727</v>
      </c>
      <c r="H2914" s="55" t="s">
        <v>4728</v>
      </c>
      <c r="I2914" s="15" t="s">
        <v>214</v>
      </c>
    </row>
    <row r="2915" spans="1:9" ht="51.75" customHeight="1" x14ac:dyDescent="0.35">
      <c r="A2915" s="15">
        <v>1</v>
      </c>
      <c r="B2915" s="15" t="s">
        <v>29727</v>
      </c>
      <c r="C2915" s="15" t="s">
        <v>29728</v>
      </c>
      <c r="D2915" s="31">
        <v>40577</v>
      </c>
      <c r="E2915" s="15" t="s">
        <v>29729</v>
      </c>
      <c r="F2915" s="87"/>
      <c r="G2915" s="45" t="s">
        <v>4635</v>
      </c>
      <c r="H2915" s="55" t="s">
        <v>4636</v>
      </c>
      <c r="I2915" s="15" t="s">
        <v>214</v>
      </c>
    </row>
    <row r="2916" spans="1:9" ht="51.75" customHeight="1" x14ac:dyDescent="0.35">
      <c r="A2916" s="15">
        <v>2</v>
      </c>
      <c r="B2916" s="15" t="s">
        <v>29730</v>
      </c>
      <c r="C2916" s="15" t="s">
        <v>29731</v>
      </c>
      <c r="D2916" s="31">
        <v>40577</v>
      </c>
      <c r="E2916" s="15" t="s">
        <v>29732</v>
      </c>
      <c r="F2916" s="87"/>
      <c r="G2916" s="45" t="s">
        <v>4635</v>
      </c>
      <c r="H2916" s="55" t="s">
        <v>4636</v>
      </c>
      <c r="I2916" s="15" t="s">
        <v>214</v>
      </c>
    </row>
    <row r="2917" spans="1:9" ht="51.75" customHeight="1" x14ac:dyDescent="0.35">
      <c r="A2917" s="15">
        <v>3</v>
      </c>
      <c r="B2917" s="15" t="s">
        <v>29733</v>
      </c>
      <c r="C2917" s="15" t="s">
        <v>29734</v>
      </c>
      <c r="D2917" s="31">
        <v>40577</v>
      </c>
      <c r="E2917" s="15" t="s">
        <v>29735</v>
      </c>
      <c r="F2917" s="87"/>
      <c r="G2917" s="45" t="s">
        <v>4635</v>
      </c>
      <c r="H2917" s="55" t="s">
        <v>4636</v>
      </c>
      <c r="I2917" s="15" t="s">
        <v>214</v>
      </c>
    </row>
    <row r="2918" spans="1:9" ht="51.75" customHeight="1" x14ac:dyDescent="0.35">
      <c r="A2918" s="15">
        <v>4</v>
      </c>
      <c r="B2918" s="15" t="s">
        <v>29736</v>
      </c>
      <c r="C2918" s="15" t="s">
        <v>29737</v>
      </c>
      <c r="D2918" s="31">
        <v>40577</v>
      </c>
      <c r="E2918" s="15" t="s">
        <v>29738</v>
      </c>
      <c r="F2918" s="87"/>
      <c r="G2918" s="45" t="s">
        <v>4635</v>
      </c>
      <c r="H2918" s="55" t="s">
        <v>4636</v>
      </c>
      <c r="I2918" s="15" t="s">
        <v>214</v>
      </c>
    </row>
    <row r="2919" spans="1:9" ht="51.75" customHeight="1" x14ac:dyDescent="0.35">
      <c r="A2919" s="15">
        <v>1</v>
      </c>
      <c r="B2919" s="15" t="s">
        <v>29739</v>
      </c>
      <c r="C2919" s="15" t="s">
        <v>29740</v>
      </c>
      <c r="D2919" s="31">
        <v>40945</v>
      </c>
      <c r="E2919" s="15" t="s">
        <v>29741</v>
      </c>
      <c r="F2919" s="87"/>
      <c r="G2919" s="45" t="s">
        <v>4609</v>
      </c>
      <c r="H2919" s="55" t="s">
        <v>4610</v>
      </c>
      <c r="I2919" s="15" t="s">
        <v>214</v>
      </c>
    </row>
    <row r="2920" spans="1:9" ht="51.75" customHeight="1" x14ac:dyDescent="0.35">
      <c r="A2920" s="15">
        <v>2</v>
      </c>
      <c r="B2920" s="15" t="s">
        <v>29742</v>
      </c>
      <c r="C2920" s="15" t="s">
        <v>29743</v>
      </c>
      <c r="D2920" s="31">
        <v>40945</v>
      </c>
      <c r="E2920" s="15" t="s">
        <v>29744</v>
      </c>
      <c r="F2920" s="87"/>
      <c r="G2920" s="45" t="s">
        <v>4609</v>
      </c>
      <c r="H2920" s="55" t="s">
        <v>4610</v>
      </c>
      <c r="I2920" s="15" t="s">
        <v>214</v>
      </c>
    </row>
    <row r="2921" spans="1:9" ht="51.75" customHeight="1" x14ac:dyDescent="0.35">
      <c r="A2921" s="15">
        <v>3</v>
      </c>
      <c r="B2921" s="15" t="s">
        <v>29745</v>
      </c>
      <c r="C2921" s="15" t="s">
        <v>29746</v>
      </c>
      <c r="D2921" s="31">
        <v>40945</v>
      </c>
      <c r="E2921" s="15" t="s">
        <v>29747</v>
      </c>
      <c r="F2921" s="87"/>
      <c r="G2921" s="45" t="s">
        <v>4609</v>
      </c>
      <c r="H2921" s="55" t="s">
        <v>4610</v>
      </c>
      <c r="I2921" s="15" t="s">
        <v>214</v>
      </c>
    </row>
    <row r="2922" spans="1:9" ht="51.75" customHeight="1" x14ac:dyDescent="0.35">
      <c r="A2922" s="15">
        <v>4</v>
      </c>
      <c r="B2922" s="15" t="s">
        <v>29748</v>
      </c>
      <c r="C2922" s="15" t="s">
        <v>29749</v>
      </c>
      <c r="D2922" s="31">
        <v>40945</v>
      </c>
      <c r="E2922" s="15" t="s">
        <v>29750</v>
      </c>
      <c r="F2922" s="87"/>
      <c r="G2922" s="45" t="s">
        <v>4609</v>
      </c>
      <c r="H2922" s="55" t="s">
        <v>4610</v>
      </c>
      <c r="I2922" s="15" t="s">
        <v>214</v>
      </c>
    </row>
    <row r="2923" spans="1:9" ht="51.75" customHeight="1" x14ac:dyDescent="0.35">
      <c r="A2923" s="15">
        <v>1</v>
      </c>
      <c r="B2923" s="15" t="s">
        <v>29751</v>
      </c>
      <c r="C2923" s="15" t="s">
        <v>29752</v>
      </c>
      <c r="D2923" s="31">
        <v>40526</v>
      </c>
      <c r="E2923" s="15" t="s">
        <v>29753</v>
      </c>
      <c r="F2923" s="87"/>
      <c r="G2923" s="45" t="s">
        <v>4551</v>
      </c>
      <c r="H2923" s="55" t="s">
        <v>4552</v>
      </c>
      <c r="I2923" s="15" t="s">
        <v>214</v>
      </c>
    </row>
    <row r="2924" spans="1:9" ht="51.75" customHeight="1" x14ac:dyDescent="0.35">
      <c r="A2924" s="15">
        <v>2</v>
      </c>
      <c r="B2924" s="15" t="s">
        <v>29754</v>
      </c>
      <c r="C2924" s="15" t="s">
        <v>29755</v>
      </c>
      <c r="D2924" s="31">
        <v>40526</v>
      </c>
      <c r="E2924" s="15" t="s">
        <v>29756</v>
      </c>
      <c r="F2924" s="87"/>
      <c r="G2924" s="45" t="s">
        <v>4551</v>
      </c>
      <c r="H2924" s="55" t="s">
        <v>4552</v>
      </c>
      <c r="I2924" s="15" t="s">
        <v>214</v>
      </c>
    </row>
    <row r="2925" spans="1:9" ht="51.75" customHeight="1" x14ac:dyDescent="0.35">
      <c r="A2925" s="15">
        <v>3</v>
      </c>
      <c r="B2925" s="15" t="s">
        <v>29757</v>
      </c>
      <c r="C2925" s="15" t="s">
        <v>29758</v>
      </c>
      <c r="D2925" s="31">
        <v>40526</v>
      </c>
      <c r="E2925" s="15" t="s">
        <v>29759</v>
      </c>
      <c r="F2925" s="87"/>
      <c r="G2925" s="45" t="s">
        <v>4551</v>
      </c>
      <c r="H2925" s="55" t="s">
        <v>4552</v>
      </c>
      <c r="I2925" s="15" t="s">
        <v>214</v>
      </c>
    </row>
    <row r="2926" spans="1:9" ht="51.75" customHeight="1" x14ac:dyDescent="0.35">
      <c r="A2926" s="15">
        <v>4</v>
      </c>
      <c r="B2926" s="15" t="s">
        <v>29760</v>
      </c>
      <c r="C2926" s="15" t="s">
        <v>29761</v>
      </c>
      <c r="D2926" s="31">
        <v>40526</v>
      </c>
      <c r="E2926" s="15" t="s">
        <v>29762</v>
      </c>
      <c r="F2926" s="87"/>
      <c r="G2926" s="45" t="s">
        <v>4551</v>
      </c>
      <c r="H2926" s="55" t="s">
        <v>4552</v>
      </c>
      <c r="I2926" s="15" t="s">
        <v>214</v>
      </c>
    </row>
    <row r="2927" spans="1:9" ht="51.75" customHeight="1" x14ac:dyDescent="0.35">
      <c r="A2927" s="15">
        <v>5</v>
      </c>
      <c r="B2927" s="15" t="s">
        <v>29763</v>
      </c>
      <c r="C2927" s="15" t="s">
        <v>29764</v>
      </c>
      <c r="D2927" s="31">
        <v>40526</v>
      </c>
      <c r="E2927" s="15" t="s">
        <v>29765</v>
      </c>
      <c r="F2927" s="87"/>
      <c r="G2927" s="45" t="s">
        <v>4551</v>
      </c>
      <c r="H2927" s="55" t="s">
        <v>4552</v>
      </c>
      <c r="I2927" s="15" t="s">
        <v>214</v>
      </c>
    </row>
    <row r="2928" spans="1:9" ht="51.75" customHeight="1" x14ac:dyDescent="0.35">
      <c r="A2928" s="15">
        <v>1</v>
      </c>
      <c r="B2928" s="15" t="s">
        <v>29766</v>
      </c>
      <c r="C2928" s="15" t="s">
        <v>29767</v>
      </c>
      <c r="D2928" s="31">
        <v>40603</v>
      </c>
      <c r="E2928" s="15" t="s">
        <v>29768</v>
      </c>
      <c r="F2928" s="87"/>
      <c r="G2928" s="45" t="s">
        <v>4457</v>
      </c>
      <c r="H2928" s="55" t="s">
        <v>4458</v>
      </c>
      <c r="I2928" s="15" t="s">
        <v>214</v>
      </c>
    </row>
    <row r="2929" spans="1:9" ht="51.75" customHeight="1" x14ac:dyDescent="0.35">
      <c r="A2929" s="15">
        <v>2</v>
      </c>
      <c r="B2929" s="15" t="s">
        <v>29769</v>
      </c>
      <c r="C2929" s="15" t="s">
        <v>29770</v>
      </c>
      <c r="D2929" s="31">
        <v>40603</v>
      </c>
      <c r="E2929" s="15" t="s">
        <v>29771</v>
      </c>
      <c r="F2929" s="87"/>
      <c r="G2929" s="45" t="s">
        <v>4457</v>
      </c>
      <c r="H2929" s="55" t="s">
        <v>4458</v>
      </c>
      <c r="I2929" s="15" t="s">
        <v>214</v>
      </c>
    </row>
    <row r="2930" spans="1:9" ht="51.75" customHeight="1" x14ac:dyDescent="0.35">
      <c r="A2930" s="15">
        <v>3</v>
      </c>
      <c r="B2930" s="15" t="s">
        <v>29772</v>
      </c>
      <c r="C2930" s="15" t="s">
        <v>29773</v>
      </c>
      <c r="D2930" s="31">
        <v>40603</v>
      </c>
      <c r="E2930" s="15" t="s">
        <v>29774</v>
      </c>
      <c r="F2930" s="87"/>
      <c r="G2930" s="45" t="s">
        <v>4457</v>
      </c>
      <c r="H2930" s="55" t="s">
        <v>4458</v>
      </c>
      <c r="I2930" s="15" t="s">
        <v>214</v>
      </c>
    </row>
    <row r="2931" spans="1:9" ht="51.75" customHeight="1" x14ac:dyDescent="0.35">
      <c r="A2931" s="15">
        <v>4</v>
      </c>
      <c r="B2931" s="15" t="s">
        <v>29775</v>
      </c>
      <c r="C2931" s="15" t="s">
        <v>29776</v>
      </c>
      <c r="D2931" s="31">
        <v>40603</v>
      </c>
      <c r="E2931" s="15" t="s">
        <v>29777</v>
      </c>
      <c r="F2931" s="87"/>
      <c r="G2931" s="45" t="s">
        <v>4457</v>
      </c>
      <c r="H2931" s="55" t="s">
        <v>4458</v>
      </c>
      <c r="I2931" s="15" t="s">
        <v>214</v>
      </c>
    </row>
    <row r="2932" spans="1:9" ht="51.75" customHeight="1" x14ac:dyDescent="0.35">
      <c r="A2932" s="15">
        <v>1</v>
      </c>
      <c r="B2932" s="15" t="s">
        <v>29778</v>
      </c>
      <c r="C2932" s="15" t="s">
        <v>29779</v>
      </c>
      <c r="D2932" s="31">
        <v>40599</v>
      </c>
      <c r="E2932" s="15" t="s">
        <v>29780</v>
      </c>
      <c r="F2932" s="87"/>
      <c r="G2932" s="45" t="s">
        <v>4426</v>
      </c>
      <c r="H2932" s="55" t="s">
        <v>4427</v>
      </c>
      <c r="I2932" s="15" t="s">
        <v>214</v>
      </c>
    </row>
    <row r="2933" spans="1:9" ht="51.75" customHeight="1" x14ac:dyDescent="0.35">
      <c r="A2933" s="15">
        <v>2</v>
      </c>
      <c r="B2933" s="15" t="s">
        <v>29781</v>
      </c>
      <c r="C2933" s="15" t="s">
        <v>29782</v>
      </c>
      <c r="D2933" s="31">
        <v>40599</v>
      </c>
      <c r="E2933" s="15" t="s">
        <v>29783</v>
      </c>
      <c r="F2933" s="87"/>
      <c r="G2933" s="45" t="s">
        <v>4426</v>
      </c>
      <c r="H2933" s="55" t="s">
        <v>4427</v>
      </c>
      <c r="I2933" s="15" t="s">
        <v>214</v>
      </c>
    </row>
    <row r="2934" spans="1:9" ht="51.75" customHeight="1" x14ac:dyDescent="0.35">
      <c r="A2934" s="15">
        <v>3</v>
      </c>
      <c r="B2934" s="15" t="s">
        <v>29784</v>
      </c>
      <c r="C2934" s="15" t="s">
        <v>29785</v>
      </c>
      <c r="D2934" s="31">
        <v>40599</v>
      </c>
      <c r="E2934" s="15" t="s">
        <v>29786</v>
      </c>
      <c r="F2934" s="87"/>
      <c r="G2934" s="45" t="s">
        <v>4426</v>
      </c>
      <c r="H2934" s="55" t="s">
        <v>4427</v>
      </c>
      <c r="I2934" s="15" t="s">
        <v>214</v>
      </c>
    </row>
    <row r="2935" spans="1:9" ht="51.75" customHeight="1" x14ac:dyDescent="0.35">
      <c r="A2935" s="15">
        <v>4</v>
      </c>
      <c r="B2935" s="15" t="s">
        <v>29787</v>
      </c>
      <c r="C2935" s="15" t="s">
        <v>29788</v>
      </c>
      <c r="D2935" s="31">
        <v>40599</v>
      </c>
      <c r="E2935" s="15" t="s">
        <v>29789</v>
      </c>
      <c r="F2935" s="87"/>
      <c r="G2935" s="45" t="s">
        <v>4426</v>
      </c>
      <c r="H2935" s="55" t="s">
        <v>4427</v>
      </c>
      <c r="I2935" s="15" t="s">
        <v>214</v>
      </c>
    </row>
    <row r="2936" spans="1:9" ht="51.75" customHeight="1" x14ac:dyDescent="0.35">
      <c r="A2936" s="15">
        <v>1</v>
      </c>
      <c r="B2936" s="15" t="s">
        <v>29790</v>
      </c>
      <c r="C2936" s="15" t="s">
        <v>29791</v>
      </c>
      <c r="D2936" s="31">
        <v>40577</v>
      </c>
      <c r="E2936" s="15" t="s">
        <v>29792</v>
      </c>
      <c r="F2936" s="87"/>
      <c r="G2936" s="45" t="s">
        <v>4402</v>
      </c>
      <c r="H2936" s="55" t="s">
        <v>4403</v>
      </c>
      <c r="I2936" s="15" t="s">
        <v>214</v>
      </c>
    </row>
    <row r="2937" spans="1:9" ht="51.75" customHeight="1" x14ac:dyDescent="0.35">
      <c r="A2937" s="15">
        <v>2</v>
      </c>
      <c r="B2937" s="15" t="s">
        <v>29793</v>
      </c>
      <c r="C2937" s="15" t="s">
        <v>29794</v>
      </c>
      <c r="D2937" s="31">
        <v>40577</v>
      </c>
      <c r="E2937" s="15" t="s">
        <v>29795</v>
      </c>
      <c r="F2937" s="87"/>
      <c r="G2937" s="45" t="s">
        <v>4402</v>
      </c>
      <c r="H2937" s="55" t="s">
        <v>4403</v>
      </c>
      <c r="I2937" s="15" t="s">
        <v>214</v>
      </c>
    </row>
    <row r="2938" spans="1:9" ht="51.75" customHeight="1" x14ac:dyDescent="0.35">
      <c r="A2938" s="15">
        <v>3</v>
      </c>
      <c r="B2938" s="15" t="s">
        <v>29796</v>
      </c>
      <c r="C2938" s="15" t="s">
        <v>29791</v>
      </c>
      <c r="D2938" s="31">
        <v>40577</v>
      </c>
      <c r="E2938" s="15" t="s">
        <v>29797</v>
      </c>
      <c r="F2938" s="87"/>
      <c r="G2938" s="45" t="s">
        <v>4402</v>
      </c>
      <c r="H2938" s="55" t="s">
        <v>4403</v>
      </c>
      <c r="I2938" s="15" t="s">
        <v>214</v>
      </c>
    </row>
    <row r="2939" spans="1:9" ht="51.75" customHeight="1" x14ac:dyDescent="0.35">
      <c r="A2939" s="15">
        <v>1</v>
      </c>
      <c r="B2939" s="15" t="s">
        <v>29798</v>
      </c>
      <c r="C2939" s="15" t="s">
        <v>29799</v>
      </c>
      <c r="D2939" s="31">
        <v>40484</v>
      </c>
      <c r="E2939" s="15" t="s">
        <v>29800</v>
      </c>
      <c r="F2939" s="87"/>
      <c r="G2939" s="45" t="s">
        <v>4381</v>
      </c>
      <c r="H2939" s="55" t="s">
        <v>4382</v>
      </c>
      <c r="I2939" s="15" t="s">
        <v>214</v>
      </c>
    </row>
    <row r="2940" spans="1:9" ht="51.75" customHeight="1" x14ac:dyDescent="0.35">
      <c r="A2940" s="15">
        <v>2</v>
      </c>
      <c r="B2940" s="15" t="s">
        <v>29801</v>
      </c>
      <c r="C2940" s="15" t="s">
        <v>29802</v>
      </c>
      <c r="D2940" s="31">
        <v>40484</v>
      </c>
      <c r="E2940" s="15" t="s">
        <v>29803</v>
      </c>
      <c r="F2940" s="87"/>
      <c r="G2940" s="45" t="s">
        <v>4381</v>
      </c>
      <c r="H2940" s="55" t="s">
        <v>4382</v>
      </c>
      <c r="I2940" s="15" t="s">
        <v>214</v>
      </c>
    </row>
    <row r="2941" spans="1:9" ht="51.75" customHeight="1" x14ac:dyDescent="0.35">
      <c r="A2941" s="15">
        <v>3</v>
      </c>
      <c r="B2941" s="15" t="s">
        <v>29804</v>
      </c>
      <c r="C2941" s="15" t="s">
        <v>29805</v>
      </c>
      <c r="D2941" s="31">
        <v>40484</v>
      </c>
      <c r="E2941" s="15" t="s">
        <v>29806</v>
      </c>
      <c r="F2941" s="87"/>
      <c r="G2941" s="45" t="s">
        <v>4381</v>
      </c>
      <c r="H2941" s="55" t="s">
        <v>4382</v>
      </c>
      <c r="I2941" s="15" t="s">
        <v>214</v>
      </c>
    </row>
    <row r="2942" spans="1:9" ht="51.75" customHeight="1" x14ac:dyDescent="0.35">
      <c r="A2942" s="15">
        <v>4</v>
      </c>
      <c r="B2942" s="15" t="s">
        <v>29807</v>
      </c>
      <c r="C2942" s="15" t="s">
        <v>29808</v>
      </c>
      <c r="D2942" s="31">
        <v>40484</v>
      </c>
      <c r="E2942" s="15" t="s">
        <v>29809</v>
      </c>
      <c r="F2942" s="87"/>
      <c r="G2942" s="45" t="s">
        <v>4381</v>
      </c>
      <c r="H2942" s="55" t="s">
        <v>4382</v>
      </c>
      <c r="I2942" s="15" t="s">
        <v>214</v>
      </c>
    </row>
    <row r="2943" spans="1:9" ht="51.75" customHeight="1" x14ac:dyDescent="0.35">
      <c r="A2943" s="15">
        <v>1</v>
      </c>
      <c r="B2943" s="15" t="s">
        <v>29810</v>
      </c>
      <c r="C2943" s="15" t="s">
        <v>29811</v>
      </c>
      <c r="D2943" s="31">
        <v>40485</v>
      </c>
      <c r="E2943" s="15" t="s">
        <v>29812</v>
      </c>
      <c r="F2943" s="87"/>
      <c r="G2943" s="45" t="s">
        <v>4324</v>
      </c>
      <c r="H2943" s="55" t="s">
        <v>4325</v>
      </c>
      <c r="I2943" s="15" t="s">
        <v>214</v>
      </c>
    </row>
    <row r="2944" spans="1:9" ht="51.75" customHeight="1" x14ac:dyDescent="0.35">
      <c r="A2944" s="15">
        <v>2</v>
      </c>
      <c r="B2944" s="15" t="s">
        <v>29813</v>
      </c>
      <c r="C2944" s="15" t="s">
        <v>29814</v>
      </c>
      <c r="D2944" s="31">
        <v>40485</v>
      </c>
      <c r="E2944" s="15" t="s">
        <v>29815</v>
      </c>
      <c r="F2944" s="87"/>
      <c r="G2944" s="45" t="s">
        <v>4324</v>
      </c>
      <c r="H2944" s="55" t="s">
        <v>4325</v>
      </c>
      <c r="I2944" s="15" t="s">
        <v>214</v>
      </c>
    </row>
    <row r="2945" spans="1:9" ht="51.75" customHeight="1" x14ac:dyDescent="0.35">
      <c r="A2945" s="15">
        <v>1</v>
      </c>
      <c r="B2945" s="15" t="s">
        <v>29816</v>
      </c>
      <c r="C2945" s="15" t="s">
        <v>29817</v>
      </c>
      <c r="D2945" s="31">
        <v>40484</v>
      </c>
      <c r="E2945" s="15" t="s">
        <v>29818</v>
      </c>
      <c r="F2945" s="87"/>
      <c r="G2945" s="45" t="s">
        <v>4258</v>
      </c>
      <c r="H2945" s="55" t="s">
        <v>4259</v>
      </c>
      <c r="I2945" s="15" t="s">
        <v>214</v>
      </c>
    </row>
    <row r="2946" spans="1:9" ht="51.75" customHeight="1" x14ac:dyDescent="0.35">
      <c r="A2946" s="15">
        <v>2</v>
      </c>
      <c r="B2946" s="15" t="s">
        <v>29819</v>
      </c>
      <c r="C2946" s="15" t="s">
        <v>29820</v>
      </c>
      <c r="D2946" s="31">
        <v>40484</v>
      </c>
      <c r="E2946" s="15" t="s">
        <v>29821</v>
      </c>
      <c r="F2946" s="87"/>
      <c r="G2946" s="45" t="s">
        <v>4258</v>
      </c>
      <c r="H2946" s="55" t="s">
        <v>4259</v>
      </c>
      <c r="I2946" s="15" t="s">
        <v>214</v>
      </c>
    </row>
    <row r="2947" spans="1:9" ht="51.75" customHeight="1" x14ac:dyDescent="0.35">
      <c r="A2947" s="15">
        <v>3</v>
      </c>
      <c r="B2947" s="15" t="s">
        <v>29822</v>
      </c>
      <c r="C2947" s="15" t="s">
        <v>29823</v>
      </c>
      <c r="D2947" s="31">
        <v>40484</v>
      </c>
      <c r="E2947" s="15" t="s">
        <v>29824</v>
      </c>
      <c r="F2947" s="87"/>
      <c r="G2947" s="45" t="s">
        <v>4258</v>
      </c>
      <c r="H2947" s="55" t="s">
        <v>4259</v>
      </c>
      <c r="I2947" s="15" t="s">
        <v>214</v>
      </c>
    </row>
    <row r="2948" spans="1:9" ht="51.75" customHeight="1" x14ac:dyDescent="0.35">
      <c r="A2948" s="15">
        <v>4</v>
      </c>
      <c r="B2948" s="15" t="s">
        <v>29825</v>
      </c>
      <c r="C2948" s="15" t="s">
        <v>29826</v>
      </c>
      <c r="D2948" s="31">
        <v>40484</v>
      </c>
      <c r="E2948" s="15" t="s">
        <v>29827</v>
      </c>
      <c r="F2948" s="87"/>
      <c r="G2948" s="45" t="s">
        <v>4258</v>
      </c>
      <c r="H2948" s="55" t="s">
        <v>4259</v>
      </c>
      <c r="I2948" s="15" t="s">
        <v>214</v>
      </c>
    </row>
    <row r="2949" spans="1:9" ht="51.75" customHeight="1" x14ac:dyDescent="0.35">
      <c r="A2949" s="15">
        <v>5</v>
      </c>
      <c r="B2949" s="15" t="s">
        <v>29828</v>
      </c>
      <c r="C2949" s="15" t="s">
        <v>29829</v>
      </c>
      <c r="D2949" s="31">
        <v>40484</v>
      </c>
      <c r="E2949" s="15" t="s">
        <v>29830</v>
      </c>
      <c r="F2949" s="87"/>
      <c r="G2949" s="45" t="s">
        <v>4258</v>
      </c>
      <c r="H2949" s="55" t="s">
        <v>4259</v>
      </c>
      <c r="I2949" s="15" t="s">
        <v>214</v>
      </c>
    </row>
    <row r="2950" spans="1:9" ht="51.75" customHeight="1" x14ac:dyDescent="0.35">
      <c r="A2950" s="15">
        <v>6</v>
      </c>
      <c r="B2950" s="15" t="s">
        <v>29831</v>
      </c>
      <c r="C2950" s="15" t="s">
        <v>29832</v>
      </c>
      <c r="D2950" s="31">
        <v>40484</v>
      </c>
      <c r="E2950" s="15" t="s">
        <v>29833</v>
      </c>
      <c r="F2950" s="87"/>
      <c r="G2950" s="45" t="s">
        <v>4258</v>
      </c>
      <c r="H2950" s="55" t="s">
        <v>4259</v>
      </c>
      <c r="I2950" s="15" t="s">
        <v>214</v>
      </c>
    </row>
    <row r="2951" spans="1:9" ht="51.75" customHeight="1" x14ac:dyDescent="0.35">
      <c r="A2951" s="15">
        <v>1</v>
      </c>
      <c r="B2951" s="15" t="s">
        <v>29834</v>
      </c>
      <c r="C2951" s="15" t="s">
        <v>29835</v>
      </c>
      <c r="D2951" s="31">
        <v>40484</v>
      </c>
      <c r="E2951" s="15" t="s">
        <v>29836</v>
      </c>
      <c r="F2951" s="87"/>
      <c r="G2951" s="45" t="s">
        <v>4308</v>
      </c>
      <c r="H2951" s="55" t="s">
        <v>4309</v>
      </c>
      <c r="I2951" s="15" t="s">
        <v>214</v>
      </c>
    </row>
    <row r="2952" spans="1:9" ht="51.75" customHeight="1" x14ac:dyDescent="0.35">
      <c r="A2952" s="15">
        <v>2</v>
      </c>
      <c r="B2952" s="15" t="s">
        <v>29837</v>
      </c>
      <c r="C2952" s="15" t="s">
        <v>29838</v>
      </c>
      <c r="D2952" s="31">
        <v>40484</v>
      </c>
      <c r="E2952" s="15" t="s">
        <v>29839</v>
      </c>
      <c r="F2952" s="87"/>
      <c r="G2952" s="45" t="s">
        <v>4308</v>
      </c>
      <c r="H2952" s="55" t="s">
        <v>4309</v>
      </c>
      <c r="I2952" s="15" t="s">
        <v>214</v>
      </c>
    </row>
    <row r="2953" spans="1:9" ht="51.75" customHeight="1" x14ac:dyDescent="0.35">
      <c r="A2953" s="15">
        <v>3</v>
      </c>
      <c r="B2953" s="15" t="s">
        <v>29840</v>
      </c>
      <c r="C2953" s="15" t="s">
        <v>29841</v>
      </c>
      <c r="D2953" s="31">
        <v>40484</v>
      </c>
      <c r="E2953" s="15" t="s">
        <v>29842</v>
      </c>
      <c r="F2953" s="87"/>
      <c r="G2953" s="45" t="s">
        <v>4308</v>
      </c>
      <c r="H2953" s="55" t="s">
        <v>4309</v>
      </c>
      <c r="I2953" s="15" t="s">
        <v>214</v>
      </c>
    </row>
    <row r="2954" spans="1:9" ht="51.75" customHeight="1" x14ac:dyDescent="0.35">
      <c r="A2954" s="15">
        <v>4</v>
      </c>
      <c r="B2954" s="15" t="s">
        <v>29843</v>
      </c>
      <c r="C2954" s="15" t="s">
        <v>29844</v>
      </c>
      <c r="D2954" s="31">
        <v>40484</v>
      </c>
      <c r="E2954" s="15" t="s">
        <v>29845</v>
      </c>
      <c r="F2954" s="87"/>
      <c r="G2954" s="45" t="s">
        <v>4308</v>
      </c>
      <c r="H2954" s="55" t="s">
        <v>4309</v>
      </c>
      <c r="I2954" s="15" t="s">
        <v>214</v>
      </c>
    </row>
    <row r="2955" spans="1:9" ht="51.75" customHeight="1" x14ac:dyDescent="0.35">
      <c r="A2955" s="15">
        <v>5</v>
      </c>
      <c r="B2955" s="15" t="s">
        <v>29846</v>
      </c>
      <c r="C2955" s="15" t="s">
        <v>29847</v>
      </c>
      <c r="D2955" s="31">
        <v>40484</v>
      </c>
      <c r="E2955" s="15" t="s">
        <v>29848</v>
      </c>
      <c r="F2955" s="87"/>
      <c r="G2955" s="45" t="s">
        <v>4308</v>
      </c>
      <c r="H2955" s="55" t="s">
        <v>4309</v>
      </c>
      <c r="I2955" s="15" t="s">
        <v>214</v>
      </c>
    </row>
    <row r="2956" spans="1:9" ht="51.75" customHeight="1" x14ac:dyDescent="0.35">
      <c r="A2956" s="15">
        <v>1</v>
      </c>
      <c r="B2956" s="15" t="s">
        <v>29849</v>
      </c>
      <c r="C2956" s="15" t="s">
        <v>29850</v>
      </c>
      <c r="D2956" s="31">
        <v>40400</v>
      </c>
      <c r="E2956" s="15" t="s">
        <v>29851</v>
      </c>
      <c r="F2956" s="87"/>
      <c r="G2956" s="45" t="s">
        <v>4201</v>
      </c>
      <c r="H2956" s="55" t="s">
        <v>4202</v>
      </c>
      <c r="I2956" s="15" t="s">
        <v>214</v>
      </c>
    </row>
    <row r="2957" spans="1:9" ht="51.75" customHeight="1" x14ac:dyDescent="0.35">
      <c r="A2957" s="15">
        <v>2</v>
      </c>
      <c r="B2957" s="15" t="s">
        <v>29852</v>
      </c>
      <c r="C2957" s="15" t="s">
        <v>29853</v>
      </c>
      <c r="D2957" s="31">
        <v>40400</v>
      </c>
      <c r="E2957" s="15" t="s">
        <v>29854</v>
      </c>
      <c r="F2957" s="87"/>
      <c r="G2957" s="45" t="s">
        <v>4201</v>
      </c>
      <c r="H2957" s="55" t="s">
        <v>4202</v>
      </c>
      <c r="I2957" s="15" t="s">
        <v>214</v>
      </c>
    </row>
    <row r="2958" spans="1:9" ht="51.75" customHeight="1" x14ac:dyDescent="0.35">
      <c r="A2958" s="15">
        <v>3</v>
      </c>
      <c r="B2958" s="15" t="s">
        <v>29855</v>
      </c>
      <c r="C2958" s="15" t="s">
        <v>29856</v>
      </c>
      <c r="D2958" s="31">
        <v>40400</v>
      </c>
      <c r="E2958" s="15" t="s">
        <v>29857</v>
      </c>
      <c r="F2958" s="87"/>
      <c r="G2958" s="45" t="s">
        <v>4201</v>
      </c>
      <c r="H2958" s="55" t="s">
        <v>4202</v>
      </c>
      <c r="I2958" s="15" t="s">
        <v>214</v>
      </c>
    </row>
    <row r="2959" spans="1:9" ht="51.75" customHeight="1" x14ac:dyDescent="0.35">
      <c r="A2959" s="15">
        <v>1</v>
      </c>
      <c r="B2959" s="15" t="s">
        <v>29858</v>
      </c>
      <c r="C2959" s="15" t="s">
        <v>29859</v>
      </c>
      <c r="D2959" s="31">
        <v>40284</v>
      </c>
      <c r="E2959" s="15" t="s">
        <v>29860</v>
      </c>
      <c r="F2959" s="87"/>
      <c r="G2959" s="45" t="s">
        <v>4165</v>
      </c>
      <c r="H2959" s="55" t="s">
        <v>4166</v>
      </c>
      <c r="I2959" s="15" t="s">
        <v>214</v>
      </c>
    </row>
    <row r="2960" spans="1:9" ht="51.75" customHeight="1" x14ac:dyDescent="0.35">
      <c r="A2960" s="15">
        <v>2</v>
      </c>
      <c r="B2960" s="15" t="s">
        <v>29861</v>
      </c>
      <c r="C2960" s="15" t="s">
        <v>29862</v>
      </c>
      <c r="D2960" s="31">
        <v>40284</v>
      </c>
      <c r="E2960" s="15" t="s">
        <v>29862</v>
      </c>
      <c r="F2960" s="87"/>
      <c r="G2960" s="45" t="s">
        <v>4165</v>
      </c>
      <c r="H2960" s="55" t="s">
        <v>4166</v>
      </c>
      <c r="I2960" s="15" t="s">
        <v>214</v>
      </c>
    </row>
    <row r="2961" spans="1:9" ht="51.75" customHeight="1" x14ac:dyDescent="0.35">
      <c r="A2961" s="15">
        <v>3</v>
      </c>
      <c r="B2961" s="15" t="s">
        <v>29863</v>
      </c>
      <c r="C2961" s="15" t="s">
        <v>29864</v>
      </c>
      <c r="D2961" s="31">
        <v>40284</v>
      </c>
      <c r="E2961" s="15" t="s">
        <v>29864</v>
      </c>
      <c r="F2961" s="87"/>
      <c r="G2961" s="45" t="s">
        <v>4165</v>
      </c>
      <c r="H2961" s="55" t="s">
        <v>4166</v>
      </c>
      <c r="I2961" s="15" t="s">
        <v>214</v>
      </c>
    </row>
    <row r="2962" spans="1:9" ht="51.75" customHeight="1" x14ac:dyDescent="0.35">
      <c r="A2962" s="15">
        <v>4</v>
      </c>
      <c r="B2962" s="15" t="s">
        <v>29865</v>
      </c>
      <c r="C2962" s="15" t="s">
        <v>29866</v>
      </c>
      <c r="D2962" s="31">
        <v>40284</v>
      </c>
      <c r="E2962" s="15" t="s">
        <v>29867</v>
      </c>
      <c r="F2962" s="87"/>
      <c r="G2962" s="45" t="s">
        <v>4165</v>
      </c>
      <c r="H2962" s="55" t="s">
        <v>4166</v>
      </c>
      <c r="I2962" s="15" t="s">
        <v>214</v>
      </c>
    </row>
    <row r="2963" spans="1:9" ht="51.75" customHeight="1" x14ac:dyDescent="0.35">
      <c r="A2963" s="15">
        <v>5</v>
      </c>
      <c r="B2963" s="15" t="s">
        <v>29868</v>
      </c>
      <c r="C2963" s="15" t="s">
        <v>29869</v>
      </c>
      <c r="D2963" s="31">
        <v>40284</v>
      </c>
      <c r="E2963" s="15" t="s">
        <v>29870</v>
      </c>
      <c r="F2963" s="87"/>
      <c r="G2963" s="45" t="s">
        <v>4165</v>
      </c>
      <c r="H2963" s="55" t="s">
        <v>4166</v>
      </c>
      <c r="I2963" s="15" t="s">
        <v>214</v>
      </c>
    </row>
    <row r="2964" spans="1:9" ht="51.75" customHeight="1" x14ac:dyDescent="0.35">
      <c r="A2964" s="15">
        <v>1</v>
      </c>
      <c r="B2964" s="15" t="s">
        <v>29871</v>
      </c>
      <c r="C2964" s="15" t="s">
        <v>29872</v>
      </c>
      <c r="D2964" s="31">
        <v>40401</v>
      </c>
      <c r="E2964" s="15" t="s">
        <v>29873</v>
      </c>
      <c r="F2964" s="87"/>
      <c r="G2964" s="45" t="s">
        <v>4137</v>
      </c>
      <c r="H2964" s="55" t="s">
        <v>4138</v>
      </c>
      <c r="I2964" s="15" t="s">
        <v>214</v>
      </c>
    </row>
    <row r="2965" spans="1:9" ht="51.75" customHeight="1" x14ac:dyDescent="0.35">
      <c r="A2965" s="15">
        <v>2</v>
      </c>
      <c r="B2965" s="15" t="s">
        <v>29874</v>
      </c>
      <c r="C2965" s="15" t="s">
        <v>29875</v>
      </c>
      <c r="D2965" s="31">
        <v>40401</v>
      </c>
      <c r="E2965" s="15" t="s">
        <v>29876</v>
      </c>
      <c r="F2965" s="87"/>
      <c r="G2965" s="45" t="s">
        <v>4137</v>
      </c>
      <c r="H2965" s="55" t="s">
        <v>4138</v>
      </c>
      <c r="I2965" s="15" t="s">
        <v>214</v>
      </c>
    </row>
    <row r="2966" spans="1:9" ht="51.75" customHeight="1" x14ac:dyDescent="0.35">
      <c r="A2966" s="15">
        <v>3</v>
      </c>
      <c r="B2966" s="15" t="s">
        <v>29877</v>
      </c>
      <c r="C2966" s="15" t="s">
        <v>29878</v>
      </c>
      <c r="D2966" s="31">
        <v>40401</v>
      </c>
      <c r="E2966" s="15" t="s">
        <v>29879</v>
      </c>
      <c r="F2966" s="87"/>
      <c r="G2966" s="45" t="s">
        <v>4137</v>
      </c>
      <c r="H2966" s="55" t="s">
        <v>4138</v>
      </c>
      <c r="I2966" s="15" t="s">
        <v>214</v>
      </c>
    </row>
    <row r="2967" spans="1:9" ht="51.75" customHeight="1" x14ac:dyDescent="0.35">
      <c r="A2967" s="15">
        <v>4</v>
      </c>
      <c r="B2967" s="15" t="s">
        <v>29880</v>
      </c>
      <c r="C2967" s="15" t="s">
        <v>29881</v>
      </c>
      <c r="D2967" s="31">
        <v>40401</v>
      </c>
      <c r="E2967" s="15" t="s">
        <v>29882</v>
      </c>
      <c r="F2967" s="87"/>
      <c r="G2967" s="45" t="s">
        <v>4137</v>
      </c>
      <c r="H2967" s="55" t="s">
        <v>4138</v>
      </c>
      <c r="I2967" s="15" t="s">
        <v>214</v>
      </c>
    </row>
    <row r="2968" spans="1:9" ht="51.75" customHeight="1" x14ac:dyDescent="0.35">
      <c r="A2968" s="15">
        <v>5</v>
      </c>
      <c r="B2968" s="15" t="s">
        <v>29883</v>
      </c>
      <c r="C2968" s="15" t="s">
        <v>29884</v>
      </c>
      <c r="D2968" s="31">
        <v>40401</v>
      </c>
      <c r="E2968" s="15" t="s">
        <v>29885</v>
      </c>
      <c r="F2968" s="87"/>
      <c r="G2968" s="45" t="s">
        <v>4137</v>
      </c>
      <c r="H2968" s="55" t="s">
        <v>4138</v>
      </c>
      <c r="I2968" s="15" t="s">
        <v>214</v>
      </c>
    </row>
    <row r="2969" spans="1:9" ht="51.75" customHeight="1" x14ac:dyDescent="0.35">
      <c r="A2969" s="15">
        <v>6</v>
      </c>
      <c r="B2969" s="15" t="s">
        <v>29886</v>
      </c>
      <c r="C2969" s="15" t="s">
        <v>29887</v>
      </c>
      <c r="D2969" s="31">
        <v>40401</v>
      </c>
      <c r="E2969" s="15" t="s">
        <v>29888</v>
      </c>
      <c r="F2969" s="87"/>
      <c r="G2969" s="45" t="s">
        <v>4137</v>
      </c>
      <c r="H2969" s="55" t="s">
        <v>4138</v>
      </c>
      <c r="I2969" s="15" t="s">
        <v>214</v>
      </c>
    </row>
    <row r="2970" spans="1:9" ht="51.75" customHeight="1" x14ac:dyDescent="0.35">
      <c r="A2970" s="15">
        <v>7</v>
      </c>
      <c r="B2970" s="15" t="s">
        <v>29889</v>
      </c>
      <c r="C2970" s="15" t="s">
        <v>29890</v>
      </c>
      <c r="D2970" s="31">
        <v>40401</v>
      </c>
      <c r="E2970" s="15" t="s">
        <v>29891</v>
      </c>
      <c r="F2970" s="87"/>
      <c r="G2970" s="45" t="s">
        <v>4137</v>
      </c>
      <c r="H2970" s="55" t="s">
        <v>4138</v>
      </c>
      <c r="I2970" s="15" t="s">
        <v>214</v>
      </c>
    </row>
    <row r="2971" spans="1:9" ht="51.75" customHeight="1" x14ac:dyDescent="0.35">
      <c r="A2971" s="15">
        <v>1</v>
      </c>
      <c r="B2971" s="15" t="s">
        <v>29892</v>
      </c>
      <c r="C2971" s="15" t="s">
        <v>29893</v>
      </c>
      <c r="D2971" s="31">
        <v>40484</v>
      </c>
      <c r="E2971" s="15" t="s">
        <v>29894</v>
      </c>
      <c r="F2971" s="87"/>
      <c r="G2971" s="45" t="s">
        <v>4172</v>
      </c>
      <c r="H2971" s="55" t="s">
        <v>4173</v>
      </c>
      <c r="I2971" s="15" t="s">
        <v>214</v>
      </c>
    </row>
    <row r="2972" spans="1:9" ht="51.75" customHeight="1" x14ac:dyDescent="0.35">
      <c r="A2972" s="15">
        <v>2</v>
      </c>
      <c r="B2972" s="15" t="s">
        <v>29895</v>
      </c>
      <c r="C2972" s="15" t="s">
        <v>29896</v>
      </c>
      <c r="D2972" s="31">
        <v>40484</v>
      </c>
      <c r="E2972" s="15" t="s">
        <v>29897</v>
      </c>
      <c r="F2972" s="87"/>
      <c r="G2972" s="45" t="s">
        <v>4172</v>
      </c>
      <c r="H2972" s="55" t="s">
        <v>4173</v>
      </c>
      <c r="I2972" s="15" t="s">
        <v>214</v>
      </c>
    </row>
    <row r="2973" spans="1:9" ht="51.75" customHeight="1" x14ac:dyDescent="0.35">
      <c r="A2973" s="15">
        <v>3</v>
      </c>
      <c r="B2973" s="15" t="s">
        <v>29898</v>
      </c>
      <c r="C2973" s="15" t="s">
        <v>29899</v>
      </c>
      <c r="D2973" s="31">
        <v>40484</v>
      </c>
      <c r="E2973" s="15" t="s">
        <v>29900</v>
      </c>
      <c r="F2973" s="87"/>
      <c r="G2973" s="45" t="s">
        <v>4172</v>
      </c>
      <c r="H2973" s="55" t="s">
        <v>4173</v>
      </c>
      <c r="I2973" s="15" t="s">
        <v>214</v>
      </c>
    </row>
    <row r="2974" spans="1:9" ht="51.75" customHeight="1" x14ac:dyDescent="0.35">
      <c r="A2974" s="15">
        <v>4</v>
      </c>
      <c r="B2974" s="15" t="s">
        <v>29901</v>
      </c>
      <c r="C2974" s="15" t="s">
        <v>29902</v>
      </c>
      <c r="D2974" s="31">
        <v>40484</v>
      </c>
      <c r="E2974" s="15" t="s">
        <v>29903</v>
      </c>
      <c r="F2974" s="87"/>
      <c r="G2974" s="45" t="s">
        <v>4172</v>
      </c>
      <c r="H2974" s="55" t="s">
        <v>4173</v>
      </c>
      <c r="I2974" s="15" t="s">
        <v>214</v>
      </c>
    </row>
    <row r="2975" spans="1:9" ht="51.75" customHeight="1" x14ac:dyDescent="0.35">
      <c r="A2975" s="15">
        <v>5</v>
      </c>
      <c r="B2975" s="15" t="s">
        <v>29904</v>
      </c>
      <c r="C2975" s="15" t="s">
        <v>29905</v>
      </c>
      <c r="D2975" s="31">
        <v>40484</v>
      </c>
      <c r="E2975" s="15" t="s">
        <v>29906</v>
      </c>
      <c r="F2975" s="87"/>
      <c r="G2975" s="45" t="s">
        <v>4172</v>
      </c>
      <c r="H2975" s="55" t="s">
        <v>4173</v>
      </c>
      <c r="I2975" s="15" t="s">
        <v>214</v>
      </c>
    </row>
    <row r="2976" spans="1:9" ht="51.75" customHeight="1" x14ac:dyDescent="0.35">
      <c r="A2976" s="15">
        <v>6</v>
      </c>
      <c r="B2976" s="15" t="s">
        <v>29907</v>
      </c>
      <c r="C2976" s="15" t="s">
        <v>29908</v>
      </c>
      <c r="D2976" s="31">
        <v>40484</v>
      </c>
      <c r="E2976" s="15" t="s">
        <v>29909</v>
      </c>
      <c r="F2976" s="87"/>
      <c r="G2976" s="45" t="s">
        <v>4172</v>
      </c>
      <c r="H2976" s="55" t="s">
        <v>4173</v>
      </c>
      <c r="I2976" s="15" t="s">
        <v>214</v>
      </c>
    </row>
    <row r="2977" spans="1:9" ht="51.75" customHeight="1" x14ac:dyDescent="0.35">
      <c r="A2977" s="15">
        <v>1</v>
      </c>
      <c r="B2977" s="15" t="s">
        <v>29910</v>
      </c>
      <c r="C2977" s="15" t="s">
        <v>29911</v>
      </c>
      <c r="D2977" s="31">
        <v>40407</v>
      </c>
      <c r="E2977" s="15" t="s">
        <v>29912</v>
      </c>
      <c r="F2977" s="87"/>
      <c r="G2977" s="45" t="s">
        <v>4101</v>
      </c>
      <c r="H2977" s="55" t="s">
        <v>4102</v>
      </c>
      <c r="I2977" s="15" t="s">
        <v>214</v>
      </c>
    </row>
    <row r="2978" spans="1:9" ht="51.75" customHeight="1" x14ac:dyDescent="0.35">
      <c r="A2978" s="15">
        <v>2</v>
      </c>
      <c r="B2978" s="15" t="s">
        <v>29913</v>
      </c>
      <c r="C2978" s="15" t="s">
        <v>29914</v>
      </c>
      <c r="D2978" s="31">
        <v>40407</v>
      </c>
      <c r="E2978" s="15" t="s">
        <v>29915</v>
      </c>
      <c r="F2978" s="87"/>
      <c r="G2978" s="45" t="s">
        <v>4101</v>
      </c>
      <c r="H2978" s="55" t="s">
        <v>4102</v>
      </c>
      <c r="I2978" s="15" t="s">
        <v>214</v>
      </c>
    </row>
    <row r="2979" spans="1:9" ht="51.75" customHeight="1" x14ac:dyDescent="0.35">
      <c r="A2979" s="15">
        <v>1</v>
      </c>
      <c r="B2979" s="15" t="s">
        <v>29916</v>
      </c>
      <c r="C2979" s="15" t="s">
        <v>29917</v>
      </c>
      <c r="D2979" s="31">
        <v>40408</v>
      </c>
      <c r="E2979" s="15" t="s">
        <v>29918</v>
      </c>
      <c r="F2979" s="87"/>
      <c r="G2979" s="45" t="s">
        <v>4018</v>
      </c>
      <c r="H2979" s="55" t="s">
        <v>4019</v>
      </c>
      <c r="I2979" s="15" t="s">
        <v>214</v>
      </c>
    </row>
    <row r="2980" spans="1:9" ht="51.75" customHeight="1" x14ac:dyDescent="0.35">
      <c r="A2980" s="15">
        <v>2</v>
      </c>
      <c r="B2980" s="15" t="s">
        <v>29919</v>
      </c>
      <c r="C2980" s="15" t="s">
        <v>29920</v>
      </c>
      <c r="D2980" s="31">
        <v>40408</v>
      </c>
      <c r="E2980" s="15" t="s">
        <v>29921</v>
      </c>
      <c r="F2980" s="87"/>
      <c r="G2980" s="45" t="s">
        <v>4018</v>
      </c>
      <c r="H2980" s="55" t="s">
        <v>4019</v>
      </c>
      <c r="I2980" s="15" t="s">
        <v>214</v>
      </c>
    </row>
    <row r="2981" spans="1:9" ht="51.75" customHeight="1" x14ac:dyDescent="0.35">
      <c r="A2981" s="15">
        <v>3</v>
      </c>
      <c r="B2981" s="15" t="s">
        <v>29922</v>
      </c>
      <c r="C2981" s="15" t="s">
        <v>29923</v>
      </c>
      <c r="D2981" s="31">
        <v>40408</v>
      </c>
      <c r="E2981" s="15" t="s">
        <v>29924</v>
      </c>
      <c r="F2981" s="87"/>
      <c r="G2981" s="45" t="s">
        <v>4018</v>
      </c>
      <c r="H2981" s="55" t="s">
        <v>4019</v>
      </c>
      <c r="I2981" s="15" t="s">
        <v>214</v>
      </c>
    </row>
    <row r="2982" spans="1:9" ht="51.75" customHeight="1" x14ac:dyDescent="0.35">
      <c r="A2982" s="15">
        <v>4</v>
      </c>
      <c r="B2982" s="15" t="s">
        <v>29925</v>
      </c>
      <c r="C2982" s="15" t="s">
        <v>29926</v>
      </c>
      <c r="D2982" s="31">
        <v>40408</v>
      </c>
      <c r="E2982" s="15" t="s">
        <v>29927</v>
      </c>
      <c r="F2982" s="87"/>
      <c r="G2982" s="45" t="s">
        <v>4018</v>
      </c>
      <c r="H2982" s="55" t="s">
        <v>4019</v>
      </c>
      <c r="I2982" s="15" t="s">
        <v>214</v>
      </c>
    </row>
    <row r="2983" spans="1:9" ht="51.75" customHeight="1" x14ac:dyDescent="0.35">
      <c r="A2983" s="15">
        <v>1</v>
      </c>
      <c r="B2983" s="15" t="s">
        <v>29928</v>
      </c>
      <c r="C2983" s="15" t="s">
        <v>29929</v>
      </c>
      <c r="D2983" s="31">
        <v>40333</v>
      </c>
      <c r="E2983" s="15" t="s">
        <v>29930</v>
      </c>
      <c r="F2983" s="87"/>
      <c r="G2983" s="45" t="s">
        <v>3977</v>
      </c>
      <c r="H2983" s="55" t="s">
        <v>3978</v>
      </c>
      <c r="I2983" s="15" t="s">
        <v>214</v>
      </c>
    </row>
    <row r="2984" spans="1:9" ht="51.75" customHeight="1" x14ac:dyDescent="0.35">
      <c r="A2984" s="15">
        <v>2</v>
      </c>
      <c r="B2984" s="15" t="s">
        <v>29931</v>
      </c>
      <c r="C2984" s="15" t="s">
        <v>29932</v>
      </c>
      <c r="D2984" s="31">
        <v>40333</v>
      </c>
      <c r="E2984" s="15" t="s">
        <v>29933</v>
      </c>
      <c r="F2984" s="87"/>
      <c r="G2984" s="45" t="s">
        <v>3977</v>
      </c>
      <c r="H2984" s="55" t="s">
        <v>3978</v>
      </c>
      <c r="I2984" s="15" t="s">
        <v>214</v>
      </c>
    </row>
    <row r="2985" spans="1:9" ht="51.75" customHeight="1" x14ac:dyDescent="0.35">
      <c r="A2985" s="15">
        <v>1</v>
      </c>
      <c r="B2985" s="15" t="s">
        <v>29934</v>
      </c>
      <c r="C2985" s="15" t="s">
        <v>29935</v>
      </c>
      <c r="D2985" s="31">
        <v>40263</v>
      </c>
      <c r="E2985" s="15" t="s">
        <v>29936</v>
      </c>
      <c r="F2985" s="87"/>
      <c r="G2985" s="45" t="s">
        <v>3818</v>
      </c>
      <c r="H2985" s="55" t="s">
        <v>3819</v>
      </c>
      <c r="I2985" s="15" t="s">
        <v>214</v>
      </c>
    </row>
    <row r="2986" spans="1:9" ht="51.75" customHeight="1" x14ac:dyDescent="0.35">
      <c r="A2986" s="15">
        <v>2</v>
      </c>
      <c r="B2986" s="15" t="s">
        <v>29937</v>
      </c>
      <c r="C2986" s="15" t="s">
        <v>29938</v>
      </c>
      <c r="D2986" s="31">
        <v>40263</v>
      </c>
      <c r="E2986" s="15" t="s">
        <v>29939</v>
      </c>
      <c r="F2986" s="87"/>
      <c r="G2986" s="45" t="s">
        <v>3818</v>
      </c>
      <c r="H2986" s="55" t="s">
        <v>3819</v>
      </c>
      <c r="I2986" s="15" t="s">
        <v>214</v>
      </c>
    </row>
    <row r="2987" spans="1:9" ht="51.75" customHeight="1" x14ac:dyDescent="0.35">
      <c r="A2987" s="15">
        <v>3</v>
      </c>
      <c r="B2987" s="15" t="s">
        <v>29940</v>
      </c>
      <c r="C2987" s="15" t="s">
        <v>29941</v>
      </c>
      <c r="D2987" s="31">
        <v>40263</v>
      </c>
      <c r="E2987" s="15" t="s">
        <v>29942</v>
      </c>
      <c r="F2987" s="87"/>
      <c r="G2987" s="45" t="s">
        <v>3818</v>
      </c>
      <c r="H2987" s="55" t="s">
        <v>3819</v>
      </c>
      <c r="I2987" s="15" t="s">
        <v>214</v>
      </c>
    </row>
    <row r="2988" spans="1:9" ht="51.75" customHeight="1" x14ac:dyDescent="0.35">
      <c r="A2988" s="15">
        <v>4</v>
      </c>
      <c r="B2988" s="15" t="s">
        <v>29943</v>
      </c>
      <c r="C2988" s="15" t="s">
        <v>29944</v>
      </c>
      <c r="D2988" s="31">
        <v>40263</v>
      </c>
      <c r="E2988" s="15" t="s">
        <v>29945</v>
      </c>
      <c r="F2988" s="87"/>
      <c r="G2988" s="45" t="s">
        <v>3818</v>
      </c>
      <c r="H2988" s="55" t="s">
        <v>3819</v>
      </c>
      <c r="I2988" s="15" t="s">
        <v>214</v>
      </c>
    </row>
    <row r="2989" spans="1:9" ht="51.75" customHeight="1" x14ac:dyDescent="0.35">
      <c r="A2989" s="15">
        <v>5</v>
      </c>
      <c r="B2989" s="15" t="s">
        <v>29946</v>
      </c>
      <c r="C2989" s="15" t="s">
        <v>29947</v>
      </c>
      <c r="D2989" s="31">
        <v>40263</v>
      </c>
      <c r="E2989" s="15" t="s">
        <v>29948</v>
      </c>
      <c r="F2989" s="87"/>
      <c r="G2989" s="45" t="s">
        <v>3818</v>
      </c>
      <c r="H2989" s="55" t="s">
        <v>3819</v>
      </c>
      <c r="I2989" s="15" t="s">
        <v>214</v>
      </c>
    </row>
    <row r="2990" spans="1:9" ht="51.75" customHeight="1" x14ac:dyDescent="0.35">
      <c r="A2990" s="15">
        <v>1</v>
      </c>
      <c r="B2990" s="15" t="s">
        <v>29949</v>
      </c>
      <c r="C2990" s="15" t="s">
        <v>29950</v>
      </c>
      <c r="D2990" s="31">
        <v>40316</v>
      </c>
      <c r="E2990" s="15" t="s">
        <v>29951</v>
      </c>
      <c r="F2990" s="87"/>
      <c r="G2990" s="45" t="s">
        <v>3776</v>
      </c>
      <c r="H2990" s="55" t="s">
        <v>3777</v>
      </c>
      <c r="I2990" s="15" t="s">
        <v>214</v>
      </c>
    </row>
    <row r="2991" spans="1:9" ht="51.75" customHeight="1" x14ac:dyDescent="0.35">
      <c r="A2991" s="15">
        <v>2</v>
      </c>
      <c r="B2991" s="15" t="s">
        <v>29952</v>
      </c>
      <c r="C2991" s="15" t="s">
        <v>29953</v>
      </c>
      <c r="D2991" s="31">
        <v>40316</v>
      </c>
      <c r="E2991" s="15" t="s">
        <v>29954</v>
      </c>
      <c r="F2991" s="87"/>
      <c r="G2991" s="45" t="s">
        <v>3776</v>
      </c>
      <c r="H2991" s="55" t="s">
        <v>3777</v>
      </c>
      <c r="I2991" s="15" t="s">
        <v>214</v>
      </c>
    </row>
    <row r="2992" spans="1:9" ht="51.75" customHeight="1" x14ac:dyDescent="0.35">
      <c r="A2992" s="15">
        <v>3</v>
      </c>
      <c r="B2992" s="15" t="s">
        <v>29955</v>
      </c>
      <c r="C2992" s="15" t="s">
        <v>29956</v>
      </c>
      <c r="D2992" s="31">
        <v>40316</v>
      </c>
      <c r="E2992" s="15" t="s">
        <v>29957</v>
      </c>
      <c r="F2992" s="87"/>
      <c r="G2992" s="45" t="s">
        <v>3776</v>
      </c>
      <c r="H2992" s="55" t="s">
        <v>3777</v>
      </c>
      <c r="I2992" s="15" t="s">
        <v>214</v>
      </c>
    </row>
    <row r="2993" spans="1:9" ht="51.75" customHeight="1" x14ac:dyDescent="0.35">
      <c r="A2993" s="15">
        <v>1</v>
      </c>
      <c r="B2993" s="15" t="s">
        <v>29958</v>
      </c>
      <c r="C2993" s="15" t="s">
        <v>29959</v>
      </c>
      <c r="D2993" s="31">
        <v>38807</v>
      </c>
      <c r="E2993" s="15" t="s">
        <v>29959</v>
      </c>
      <c r="F2993" s="87"/>
      <c r="G2993" s="45" t="s">
        <v>301</v>
      </c>
      <c r="H2993" s="55" t="s">
        <v>302</v>
      </c>
      <c r="I2993" s="15" t="s">
        <v>214</v>
      </c>
    </row>
    <row r="2994" spans="1:9" ht="51.75" customHeight="1" x14ac:dyDescent="0.35">
      <c r="A2994" s="15">
        <v>1</v>
      </c>
      <c r="B2994" s="15" t="s">
        <v>29960</v>
      </c>
      <c r="C2994" s="15" t="s">
        <v>29961</v>
      </c>
      <c r="D2994" s="31">
        <v>38960</v>
      </c>
      <c r="E2994" s="15" t="s">
        <v>29962</v>
      </c>
      <c r="F2994" s="87"/>
      <c r="G2994" s="45" t="s">
        <v>242</v>
      </c>
      <c r="H2994" s="55" t="s">
        <v>243</v>
      </c>
      <c r="I2994" s="15" t="s">
        <v>214</v>
      </c>
    </row>
    <row r="2995" spans="1:9" ht="51.75" customHeight="1" x14ac:dyDescent="0.35">
      <c r="A2995" s="15">
        <v>2</v>
      </c>
      <c r="B2995" s="15" t="s">
        <v>29963</v>
      </c>
      <c r="C2995" s="15" t="s">
        <v>29964</v>
      </c>
      <c r="D2995" s="31">
        <v>38960</v>
      </c>
      <c r="E2995" s="15" t="s">
        <v>29965</v>
      </c>
      <c r="F2995" s="87"/>
      <c r="G2995" s="45" t="s">
        <v>242</v>
      </c>
      <c r="H2995" s="55" t="s">
        <v>243</v>
      </c>
      <c r="I2995" s="15" t="s">
        <v>214</v>
      </c>
    </row>
    <row r="2996" spans="1:9" ht="51.75" customHeight="1" x14ac:dyDescent="0.35">
      <c r="A2996" s="15">
        <v>3</v>
      </c>
      <c r="B2996" s="15" t="s">
        <v>29966</v>
      </c>
      <c r="C2996" s="15" t="s">
        <v>29967</v>
      </c>
      <c r="D2996" s="31">
        <v>38960</v>
      </c>
      <c r="E2996" s="15" t="s">
        <v>29968</v>
      </c>
      <c r="F2996" s="87"/>
      <c r="G2996" s="45" t="s">
        <v>242</v>
      </c>
      <c r="H2996" s="55" t="s">
        <v>243</v>
      </c>
      <c r="I2996" s="15" t="s">
        <v>214</v>
      </c>
    </row>
    <row r="2997" spans="1:9" ht="51.75" customHeight="1" x14ac:dyDescent="0.35">
      <c r="A2997" s="15">
        <v>4</v>
      </c>
      <c r="B2997" s="15" t="s">
        <v>29969</v>
      </c>
      <c r="C2997" s="15" t="s">
        <v>29970</v>
      </c>
      <c r="D2997" s="31">
        <v>38960</v>
      </c>
      <c r="E2997" s="15" t="s">
        <v>29971</v>
      </c>
      <c r="F2997" s="87"/>
      <c r="G2997" s="45" t="s">
        <v>242</v>
      </c>
      <c r="H2997" s="55" t="s">
        <v>243</v>
      </c>
      <c r="I2997" s="15" t="s">
        <v>214</v>
      </c>
    </row>
    <row r="2998" spans="1:9" ht="51.75" customHeight="1" x14ac:dyDescent="0.35">
      <c r="A2998" s="15">
        <v>5</v>
      </c>
      <c r="B2998" s="15" t="s">
        <v>29972</v>
      </c>
      <c r="C2998" s="15" t="s">
        <v>29973</v>
      </c>
      <c r="D2998" s="31">
        <v>38960</v>
      </c>
      <c r="E2998" s="15" t="s">
        <v>29974</v>
      </c>
      <c r="F2998" s="87"/>
      <c r="G2998" s="45" t="s">
        <v>242</v>
      </c>
      <c r="H2998" s="55" t="s">
        <v>243</v>
      </c>
      <c r="I2998" s="15" t="s">
        <v>214</v>
      </c>
    </row>
    <row r="2999" spans="1:9" ht="51.75" customHeight="1" x14ac:dyDescent="0.35">
      <c r="A2999" s="15">
        <v>6</v>
      </c>
      <c r="B2999" s="15" t="s">
        <v>29975</v>
      </c>
      <c r="C2999" s="15" t="s">
        <v>29976</v>
      </c>
      <c r="D2999" s="31">
        <v>38960</v>
      </c>
      <c r="E2999" s="15" t="s">
        <v>29977</v>
      </c>
      <c r="F2999" s="87"/>
      <c r="G2999" s="45" t="s">
        <v>242</v>
      </c>
      <c r="H2999" s="55" t="s">
        <v>243</v>
      </c>
      <c r="I2999" s="15" t="s">
        <v>214</v>
      </c>
    </row>
    <row r="3000" spans="1:9" ht="51.75" customHeight="1" x14ac:dyDescent="0.35">
      <c r="A3000" s="15">
        <v>7</v>
      </c>
      <c r="B3000" s="15" t="s">
        <v>29978</v>
      </c>
      <c r="C3000" s="15" t="s">
        <v>29979</v>
      </c>
      <c r="D3000" s="31">
        <v>38960</v>
      </c>
      <c r="E3000" s="15" t="s">
        <v>29980</v>
      </c>
      <c r="F3000" s="87"/>
      <c r="G3000" s="45" t="s">
        <v>242</v>
      </c>
      <c r="H3000" s="55" t="s">
        <v>243</v>
      </c>
      <c r="I3000" s="15" t="s">
        <v>214</v>
      </c>
    </row>
    <row r="3001" spans="1:9" ht="51.75" customHeight="1" x14ac:dyDescent="0.35">
      <c r="A3001" s="15">
        <v>8</v>
      </c>
      <c r="B3001" s="15" t="s">
        <v>29981</v>
      </c>
      <c r="C3001" s="15" t="s">
        <v>29982</v>
      </c>
      <c r="D3001" s="31">
        <v>38960</v>
      </c>
      <c r="E3001" s="15" t="s">
        <v>29983</v>
      </c>
      <c r="F3001" s="87"/>
      <c r="G3001" s="45" t="s">
        <v>242</v>
      </c>
      <c r="H3001" s="55" t="s">
        <v>243</v>
      </c>
      <c r="I3001" s="15" t="s">
        <v>214</v>
      </c>
    </row>
    <row r="3002" spans="1:9" ht="51.75" customHeight="1" x14ac:dyDescent="0.35">
      <c r="A3002" s="15">
        <v>1</v>
      </c>
      <c r="B3002" s="15" t="s">
        <v>29984</v>
      </c>
      <c r="C3002" s="15" t="s">
        <v>29985</v>
      </c>
      <c r="D3002" s="31">
        <v>40263</v>
      </c>
      <c r="E3002" s="15" t="s">
        <v>29986</v>
      </c>
      <c r="F3002" s="87"/>
      <c r="G3002" s="45" t="s">
        <v>3679</v>
      </c>
      <c r="H3002" s="55" t="s">
        <v>3680</v>
      </c>
      <c r="I3002" s="15" t="s">
        <v>214</v>
      </c>
    </row>
    <row r="3003" spans="1:9" ht="51.75" customHeight="1" x14ac:dyDescent="0.35">
      <c r="A3003" s="15">
        <v>2</v>
      </c>
      <c r="B3003" s="15" t="s">
        <v>29987</v>
      </c>
      <c r="C3003" s="15" t="s">
        <v>29988</v>
      </c>
      <c r="D3003" s="31">
        <v>40263</v>
      </c>
      <c r="E3003" s="15" t="s">
        <v>29989</v>
      </c>
      <c r="F3003" s="87"/>
      <c r="G3003" s="45" t="s">
        <v>3679</v>
      </c>
      <c r="H3003" s="55" t="s">
        <v>3680</v>
      </c>
      <c r="I3003" s="15" t="s">
        <v>214</v>
      </c>
    </row>
    <row r="3004" spans="1:9" ht="51.75" customHeight="1" x14ac:dyDescent="0.35">
      <c r="A3004" s="15">
        <v>3</v>
      </c>
      <c r="B3004" s="15" t="s">
        <v>29990</v>
      </c>
      <c r="C3004" s="15" t="s">
        <v>29991</v>
      </c>
      <c r="D3004" s="31">
        <v>40263</v>
      </c>
      <c r="E3004" s="15" t="s">
        <v>29992</v>
      </c>
      <c r="F3004" s="87"/>
      <c r="G3004" s="45" t="s">
        <v>3679</v>
      </c>
      <c r="H3004" s="55" t="s">
        <v>3680</v>
      </c>
      <c r="I3004" s="15" t="s">
        <v>214</v>
      </c>
    </row>
    <row r="3005" spans="1:9" ht="51.75" customHeight="1" x14ac:dyDescent="0.35">
      <c r="A3005" s="15">
        <v>4</v>
      </c>
      <c r="B3005" s="15" t="s">
        <v>29993</v>
      </c>
      <c r="C3005" s="15" t="s">
        <v>29994</v>
      </c>
      <c r="D3005" s="31">
        <v>40263</v>
      </c>
      <c r="E3005" s="15" t="s">
        <v>29995</v>
      </c>
      <c r="F3005" s="87"/>
      <c r="G3005" s="45" t="s">
        <v>3679</v>
      </c>
      <c r="H3005" s="55" t="s">
        <v>3680</v>
      </c>
      <c r="I3005" s="15" t="s">
        <v>214</v>
      </c>
    </row>
    <row r="3006" spans="1:9" ht="51.75" customHeight="1" x14ac:dyDescent="0.35">
      <c r="A3006" s="15">
        <v>5</v>
      </c>
      <c r="B3006" s="15" t="s">
        <v>29996</v>
      </c>
      <c r="C3006" s="15" t="s">
        <v>29997</v>
      </c>
      <c r="D3006" s="31">
        <v>40263</v>
      </c>
      <c r="E3006" s="15" t="s">
        <v>29998</v>
      </c>
      <c r="F3006" s="87"/>
      <c r="G3006" s="45" t="s">
        <v>3679</v>
      </c>
      <c r="H3006" s="55" t="s">
        <v>3680</v>
      </c>
      <c r="I3006" s="15" t="s">
        <v>214</v>
      </c>
    </row>
    <row r="3007" spans="1:9" ht="51.75" customHeight="1" x14ac:dyDescent="0.35">
      <c r="A3007" s="15">
        <v>6</v>
      </c>
      <c r="B3007" s="15" t="s">
        <v>29999</v>
      </c>
      <c r="C3007" s="15" t="s">
        <v>30000</v>
      </c>
      <c r="D3007" s="31">
        <v>40263</v>
      </c>
      <c r="E3007" s="15" t="s">
        <v>30001</v>
      </c>
      <c r="F3007" s="87"/>
      <c r="G3007" s="45" t="s">
        <v>3679</v>
      </c>
      <c r="H3007" s="55" t="s">
        <v>3680</v>
      </c>
      <c r="I3007" s="15" t="s">
        <v>214</v>
      </c>
    </row>
    <row r="3008" spans="1:9" ht="51.75" customHeight="1" x14ac:dyDescent="0.35">
      <c r="A3008" s="15">
        <v>1</v>
      </c>
      <c r="B3008" s="15" t="s">
        <v>30002</v>
      </c>
      <c r="C3008" s="15" t="s">
        <v>30003</v>
      </c>
      <c r="D3008" s="31">
        <v>40263</v>
      </c>
      <c r="E3008" s="15" t="s">
        <v>30004</v>
      </c>
      <c r="F3008" s="87"/>
      <c r="G3008" s="45" t="s">
        <v>3654</v>
      </c>
      <c r="H3008" s="55" t="s">
        <v>3655</v>
      </c>
      <c r="I3008" s="15" t="s">
        <v>214</v>
      </c>
    </row>
    <row r="3009" spans="1:9" ht="51.75" customHeight="1" x14ac:dyDescent="0.35">
      <c r="A3009" s="15">
        <v>2</v>
      </c>
      <c r="B3009" s="15" t="s">
        <v>30005</v>
      </c>
      <c r="C3009" s="15" t="s">
        <v>30006</v>
      </c>
      <c r="D3009" s="31">
        <v>40263</v>
      </c>
      <c r="E3009" s="15" t="s">
        <v>30007</v>
      </c>
      <c r="F3009" s="87"/>
      <c r="G3009" s="45" t="s">
        <v>3654</v>
      </c>
      <c r="H3009" s="55" t="s">
        <v>3655</v>
      </c>
      <c r="I3009" s="15" t="s">
        <v>214</v>
      </c>
    </row>
    <row r="3010" spans="1:9" ht="51.75" customHeight="1" x14ac:dyDescent="0.35">
      <c r="A3010" s="15">
        <v>3</v>
      </c>
      <c r="B3010" s="15" t="s">
        <v>30008</v>
      </c>
      <c r="C3010" s="15" t="s">
        <v>30009</v>
      </c>
      <c r="D3010" s="31">
        <v>40263</v>
      </c>
      <c r="E3010" s="15" t="s">
        <v>30010</v>
      </c>
      <c r="F3010" s="87"/>
      <c r="G3010" s="45" t="s">
        <v>3654</v>
      </c>
      <c r="H3010" s="55" t="s">
        <v>3655</v>
      </c>
      <c r="I3010" s="15" t="s">
        <v>214</v>
      </c>
    </row>
    <row r="3011" spans="1:9" ht="51.75" customHeight="1" x14ac:dyDescent="0.35">
      <c r="A3011" s="15">
        <v>4</v>
      </c>
      <c r="B3011" s="15" t="s">
        <v>30011</v>
      </c>
      <c r="C3011" s="15" t="s">
        <v>30012</v>
      </c>
      <c r="D3011" s="31">
        <v>40263</v>
      </c>
      <c r="E3011" s="15" t="s">
        <v>30013</v>
      </c>
      <c r="F3011" s="87"/>
      <c r="G3011" s="45" t="s">
        <v>3654</v>
      </c>
      <c r="H3011" s="55" t="s">
        <v>3655</v>
      </c>
      <c r="I3011" s="15" t="s">
        <v>214</v>
      </c>
    </row>
    <row r="3012" spans="1:9" ht="51.75" customHeight="1" x14ac:dyDescent="0.35">
      <c r="A3012" s="15">
        <v>5</v>
      </c>
      <c r="B3012" s="15" t="s">
        <v>30014</v>
      </c>
      <c r="C3012" s="15" t="s">
        <v>30015</v>
      </c>
      <c r="D3012" s="31">
        <v>40263</v>
      </c>
      <c r="E3012" s="15" t="s">
        <v>30016</v>
      </c>
      <c r="F3012" s="87"/>
      <c r="G3012" s="45" t="s">
        <v>3654</v>
      </c>
      <c r="H3012" s="55" t="s">
        <v>3655</v>
      </c>
      <c r="I3012" s="15" t="s">
        <v>214</v>
      </c>
    </row>
    <row r="3013" spans="1:9" ht="51.75" customHeight="1" x14ac:dyDescent="0.35">
      <c r="A3013" s="15">
        <v>6</v>
      </c>
      <c r="B3013" s="15" t="s">
        <v>30017</v>
      </c>
      <c r="C3013" s="15" t="s">
        <v>30018</v>
      </c>
      <c r="D3013" s="31">
        <v>40263</v>
      </c>
      <c r="E3013" s="15" t="s">
        <v>30019</v>
      </c>
      <c r="F3013" s="87"/>
      <c r="G3013" s="45" t="s">
        <v>3654</v>
      </c>
      <c r="H3013" s="55" t="s">
        <v>3655</v>
      </c>
      <c r="I3013" s="15" t="s">
        <v>214</v>
      </c>
    </row>
    <row r="3014" spans="1:9" ht="51.75" customHeight="1" x14ac:dyDescent="0.35">
      <c r="A3014" s="15">
        <v>1</v>
      </c>
      <c r="B3014" s="15" t="s">
        <v>30020</v>
      </c>
      <c r="C3014" s="15" t="s">
        <v>30021</v>
      </c>
      <c r="D3014" s="31">
        <v>40147</v>
      </c>
      <c r="E3014" s="15" t="s">
        <v>30022</v>
      </c>
      <c r="F3014" s="87"/>
      <c r="G3014" s="45" t="s">
        <v>3695</v>
      </c>
      <c r="H3014" s="55" t="s">
        <v>3696</v>
      </c>
      <c r="I3014" s="15" t="s">
        <v>214</v>
      </c>
    </row>
    <row r="3015" spans="1:9" ht="51.75" customHeight="1" x14ac:dyDescent="0.35">
      <c r="A3015" s="15">
        <v>2</v>
      </c>
      <c r="B3015" s="15" t="s">
        <v>30023</v>
      </c>
      <c r="C3015" s="15" t="s">
        <v>30024</v>
      </c>
      <c r="D3015" s="31">
        <v>40147</v>
      </c>
      <c r="E3015" s="15" t="s">
        <v>30025</v>
      </c>
      <c r="F3015" s="87"/>
      <c r="G3015" s="45" t="s">
        <v>3695</v>
      </c>
      <c r="H3015" s="55" t="s">
        <v>3696</v>
      </c>
      <c r="I3015" s="15" t="s">
        <v>214</v>
      </c>
    </row>
    <row r="3016" spans="1:9" ht="51.75" customHeight="1" x14ac:dyDescent="0.35">
      <c r="A3016" s="15">
        <v>3</v>
      </c>
      <c r="B3016" s="15" t="s">
        <v>30026</v>
      </c>
      <c r="C3016" s="15" t="s">
        <v>30027</v>
      </c>
      <c r="D3016" s="31">
        <v>40147</v>
      </c>
      <c r="E3016" s="15" t="s">
        <v>30028</v>
      </c>
      <c r="F3016" s="87"/>
      <c r="G3016" s="45" t="s">
        <v>3695</v>
      </c>
      <c r="H3016" s="55" t="s">
        <v>3696</v>
      </c>
      <c r="I3016" s="15" t="s">
        <v>214</v>
      </c>
    </row>
    <row r="3017" spans="1:9" ht="51.75" customHeight="1" x14ac:dyDescent="0.35">
      <c r="A3017" s="15">
        <v>1</v>
      </c>
      <c r="B3017" s="15" t="s">
        <v>30029</v>
      </c>
      <c r="C3017" s="15" t="s">
        <v>30030</v>
      </c>
      <c r="D3017" s="31">
        <v>40249</v>
      </c>
      <c r="E3017" s="15" t="s">
        <v>30031</v>
      </c>
      <c r="F3017" s="87"/>
      <c r="G3017" s="45" t="s">
        <v>3637</v>
      </c>
      <c r="H3017" s="55" t="s">
        <v>3638</v>
      </c>
      <c r="I3017" s="15" t="s">
        <v>214</v>
      </c>
    </row>
    <row r="3018" spans="1:9" ht="51.75" customHeight="1" x14ac:dyDescent="0.35">
      <c r="A3018" s="15">
        <v>2</v>
      </c>
      <c r="B3018" s="15" t="s">
        <v>30032</v>
      </c>
      <c r="C3018" s="15" t="s">
        <v>30033</v>
      </c>
      <c r="D3018" s="31">
        <v>40249</v>
      </c>
      <c r="E3018" s="15" t="s">
        <v>30034</v>
      </c>
      <c r="F3018" s="87"/>
      <c r="G3018" s="45" t="s">
        <v>3637</v>
      </c>
      <c r="H3018" s="55" t="s">
        <v>3638</v>
      </c>
      <c r="I3018" s="15" t="s">
        <v>214</v>
      </c>
    </row>
    <row r="3019" spans="1:9" ht="51.75" customHeight="1" x14ac:dyDescent="0.35">
      <c r="A3019" s="15">
        <v>3</v>
      </c>
      <c r="B3019" s="15" t="s">
        <v>30035</v>
      </c>
      <c r="C3019" s="15" t="s">
        <v>30036</v>
      </c>
      <c r="D3019" s="31">
        <v>40249</v>
      </c>
      <c r="E3019" s="15" t="s">
        <v>30037</v>
      </c>
      <c r="F3019" s="87"/>
      <c r="G3019" s="45" t="s">
        <v>3637</v>
      </c>
      <c r="H3019" s="55" t="s">
        <v>3638</v>
      </c>
      <c r="I3019" s="15" t="s">
        <v>214</v>
      </c>
    </row>
    <row r="3020" spans="1:9" ht="51.75" customHeight="1" x14ac:dyDescent="0.35">
      <c r="A3020" s="15">
        <v>4</v>
      </c>
      <c r="B3020" s="15" t="s">
        <v>30038</v>
      </c>
      <c r="C3020" s="15" t="s">
        <v>30039</v>
      </c>
      <c r="D3020" s="31">
        <v>40249</v>
      </c>
      <c r="E3020" s="15" t="s">
        <v>30040</v>
      </c>
      <c r="F3020" s="87"/>
      <c r="G3020" s="45" t="s">
        <v>3637</v>
      </c>
      <c r="H3020" s="55" t="s">
        <v>3638</v>
      </c>
      <c r="I3020" s="15" t="s">
        <v>214</v>
      </c>
    </row>
    <row r="3021" spans="1:9" ht="51.75" customHeight="1" x14ac:dyDescent="0.35">
      <c r="A3021" s="15">
        <v>5</v>
      </c>
      <c r="B3021" s="15" t="s">
        <v>30041</v>
      </c>
      <c r="C3021" s="15" t="s">
        <v>30042</v>
      </c>
      <c r="D3021" s="31">
        <v>40249</v>
      </c>
      <c r="E3021" s="15" t="s">
        <v>30043</v>
      </c>
      <c r="F3021" s="87"/>
      <c r="G3021" s="45" t="s">
        <v>3637</v>
      </c>
      <c r="H3021" s="55" t="s">
        <v>3638</v>
      </c>
      <c r="I3021" s="15" t="s">
        <v>214</v>
      </c>
    </row>
    <row r="3022" spans="1:9" ht="51.75" customHeight="1" x14ac:dyDescent="0.35">
      <c r="A3022" s="15">
        <v>6</v>
      </c>
      <c r="B3022" s="15" t="s">
        <v>30044</v>
      </c>
      <c r="C3022" s="15" t="s">
        <v>30045</v>
      </c>
      <c r="D3022" s="31">
        <v>40249</v>
      </c>
      <c r="E3022" s="15" t="s">
        <v>30046</v>
      </c>
      <c r="F3022" s="87"/>
      <c r="G3022" s="45" t="s">
        <v>3637</v>
      </c>
      <c r="H3022" s="55" t="s">
        <v>3638</v>
      </c>
      <c r="I3022" s="15" t="s">
        <v>214</v>
      </c>
    </row>
    <row r="3023" spans="1:9" ht="51.75" customHeight="1" x14ac:dyDescent="0.35">
      <c r="A3023" s="15">
        <v>7</v>
      </c>
      <c r="B3023" s="15" t="s">
        <v>30047</v>
      </c>
      <c r="C3023" s="15" t="s">
        <v>30048</v>
      </c>
      <c r="D3023" s="31">
        <v>40249</v>
      </c>
      <c r="E3023" s="15" t="s">
        <v>30049</v>
      </c>
      <c r="F3023" s="87"/>
      <c r="G3023" s="45" t="s">
        <v>3637</v>
      </c>
      <c r="H3023" s="55" t="s">
        <v>3638</v>
      </c>
      <c r="I3023" s="15" t="s">
        <v>214</v>
      </c>
    </row>
    <row r="3024" spans="1:9" ht="51.75" customHeight="1" x14ac:dyDescent="0.35">
      <c r="A3024" s="15">
        <v>1</v>
      </c>
      <c r="B3024" s="15" t="s">
        <v>30050</v>
      </c>
      <c r="C3024" s="15" t="s">
        <v>30051</v>
      </c>
      <c r="D3024" s="31">
        <v>40163</v>
      </c>
      <c r="E3024" s="15" t="s">
        <v>30052</v>
      </c>
      <c r="F3024" s="87"/>
      <c r="G3024" s="45" t="s">
        <v>3460</v>
      </c>
      <c r="H3024" s="55" t="s">
        <v>3461</v>
      </c>
      <c r="I3024" s="15" t="s">
        <v>214</v>
      </c>
    </row>
    <row r="3025" spans="1:9" ht="51.75" customHeight="1" x14ac:dyDescent="0.35">
      <c r="A3025" s="15">
        <v>2</v>
      </c>
      <c r="B3025" s="15" t="s">
        <v>30053</v>
      </c>
      <c r="C3025" s="15" t="s">
        <v>30054</v>
      </c>
      <c r="D3025" s="31">
        <v>40163</v>
      </c>
      <c r="E3025" s="15" t="s">
        <v>30055</v>
      </c>
      <c r="F3025" s="87"/>
      <c r="G3025" s="45" t="s">
        <v>3460</v>
      </c>
      <c r="H3025" s="55" t="s">
        <v>3461</v>
      </c>
      <c r="I3025" s="15" t="s">
        <v>214</v>
      </c>
    </row>
    <row r="3026" spans="1:9" ht="51.75" customHeight="1" x14ac:dyDescent="0.35">
      <c r="A3026" s="15">
        <v>3</v>
      </c>
      <c r="B3026" s="15" t="s">
        <v>30056</v>
      </c>
      <c r="C3026" s="15" t="s">
        <v>30057</v>
      </c>
      <c r="D3026" s="31">
        <v>40163</v>
      </c>
      <c r="E3026" s="15" t="s">
        <v>30058</v>
      </c>
      <c r="F3026" s="87"/>
      <c r="G3026" s="45" t="s">
        <v>3460</v>
      </c>
      <c r="H3026" s="55" t="s">
        <v>3461</v>
      </c>
      <c r="I3026" s="15" t="s">
        <v>214</v>
      </c>
    </row>
    <row r="3027" spans="1:9" ht="51.75" customHeight="1" x14ac:dyDescent="0.35">
      <c r="A3027" s="15">
        <v>1</v>
      </c>
      <c r="B3027" s="15" t="s">
        <v>30059</v>
      </c>
      <c r="C3027" s="15" t="s">
        <v>30060</v>
      </c>
      <c r="D3027" s="31">
        <v>38929</v>
      </c>
      <c r="E3027" s="15" t="s">
        <v>30061</v>
      </c>
      <c r="F3027" s="87"/>
      <c r="G3027" s="45" t="s">
        <v>212</v>
      </c>
      <c r="H3027" s="55" t="s">
        <v>213</v>
      </c>
      <c r="I3027" s="15" t="s">
        <v>214</v>
      </c>
    </row>
    <row r="3028" spans="1:9" ht="51.75" customHeight="1" x14ac:dyDescent="0.35">
      <c r="A3028" s="15">
        <v>2</v>
      </c>
      <c r="B3028" s="15" t="s">
        <v>30062</v>
      </c>
      <c r="C3028" s="15" t="s">
        <v>30060</v>
      </c>
      <c r="D3028" s="31">
        <v>38929</v>
      </c>
      <c r="E3028" s="15" t="s">
        <v>30063</v>
      </c>
      <c r="F3028" s="87"/>
      <c r="G3028" s="45" t="s">
        <v>212</v>
      </c>
      <c r="H3028" s="55" t="s">
        <v>213</v>
      </c>
      <c r="I3028" s="15" t="s">
        <v>214</v>
      </c>
    </row>
    <row r="3029" spans="1:9" ht="51.75" customHeight="1" x14ac:dyDescent="0.35">
      <c r="A3029" s="15">
        <v>3</v>
      </c>
      <c r="B3029" s="15" t="s">
        <v>30064</v>
      </c>
      <c r="C3029" s="15" t="s">
        <v>30065</v>
      </c>
      <c r="D3029" s="31">
        <v>38929</v>
      </c>
      <c r="E3029" s="15" t="s">
        <v>30066</v>
      </c>
      <c r="F3029" s="87"/>
      <c r="G3029" s="45" t="s">
        <v>212</v>
      </c>
      <c r="H3029" s="55" t="s">
        <v>213</v>
      </c>
      <c r="I3029" s="15" t="s">
        <v>214</v>
      </c>
    </row>
    <row r="3030" spans="1:9" ht="51.75" customHeight="1" x14ac:dyDescent="0.35">
      <c r="A3030" s="15">
        <v>4</v>
      </c>
      <c r="B3030" s="15" t="s">
        <v>30067</v>
      </c>
      <c r="C3030" s="15" t="s">
        <v>30068</v>
      </c>
      <c r="D3030" s="31">
        <v>38929</v>
      </c>
      <c r="E3030" s="15" t="s">
        <v>30069</v>
      </c>
      <c r="F3030" s="87"/>
      <c r="G3030" s="45" t="s">
        <v>212</v>
      </c>
      <c r="H3030" s="55" t="s">
        <v>213</v>
      </c>
      <c r="I3030" s="15" t="s">
        <v>214</v>
      </c>
    </row>
    <row r="3031" spans="1:9" ht="51.75" customHeight="1" x14ac:dyDescent="0.35">
      <c r="A3031" s="15">
        <v>5</v>
      </c>
      <c r="B3031" s="15" t="s">
        <v>30070</v>
      </c>
      <c r="C3031" s="15" t="s">
        <v>30071</v>
      </c>
      <c r="D3031" s="31">
        <v>38929</v>
      </c>
      <c r="E3031" s="15" t="s">
        <v>30072</v>
      </c>
      <c r="F3031" s="87"/>
      <c r="G3031" s="45" t="s">
        <v>212</v>
      </c>
      <c r="H3031" s="55" t="s">
        <v>213</v>
      </c>
      <c r="I3031" s="15" t="s">
        <v>214</v>
      </c>
    </row>
    <row r="3032" spans="1:9" ht="51.75" customHeight="1" x14ac:dyDescent="0.35">
      <c r="A3032" s="15">
        <v>1</v>
      </c>
      <c r="B3032" s="15" t="s">
        <v>30073</v>
      </c>
      <c r="C3032" s="15" t="s">
        <v>30074</v>
      </c>
      <c r="D3032" s="31">
        <v>40221</v>
      </c>
      <c r="E3032" s="15" t="s">
        <v>30075</v>
      </c>
      <c r="F3032" s="87"/>
      <c r="G3032" s="45" t="s">
        <v>3538</v>
      </c>
      <c r="H3032" s="55" t="s">
        <v>3539</v>
      </c>
      <c r="I3032" s="15" t="s">
        <v>214</v>
      </c>
    </row>
    <row r="3033" spans="1:9" ht="51.75" customHeight="1" x14ac:dyDescent="0.35">
      <c r="A3033" s="15">
        <v>2</v>
      </c>
      <c r="B3033" s="15" t="s">
        <v>30076</v>
      </c>
      <c r="C3033" s="15" t="s">
        <v>30077</v>
      </c>
      <c r="D3033" s="31">
        <v>40221</v>
      </c>
      <c r="E3033" s="15" t="s">
        <v>30078</v>
      </c>
      <c r="F3033" s="87"/>
      <c r="G3033" s="45" t="s">
        <v>3538</v>
      </c>
      <c r="H3033" s="55" t="s">
        <v>3539</v>
      </c>
      <c r="I3033" s="15" t="s">
        <v>214</v>
      </c>
    </row>
    <row r="3034" spans="1:9" ht="51.75" customHeight="1" x14ac:dyDescent="0.35">
      <c r="A3034" s="15">
        <v>3</v>
      </c>
      <c r="B3034" s="15" t="s">
        <v>30079</v>
      </c>
      <c r="C3034" s="15" t="s">
        <v>30080</v>
      </c>
      <c r="D3034" s="31">
        <v>40221</v>
      </c>
      <c r="E3034" s="15" t="s">
        <v>30081</v>
      </c>
      <c r="F3034" s="87"/>
      <c r="G3034" s="45" t="s">
        <v>3538</v>
      </c>
      <c r="H3034" s="55" t="s">
        <v>3539</v>
      </c>
      <c r="I3034" s="15" t="s">
        <v>214</v>
      </c>
    </row>
    <row r="3035" spans="1:9" ht="51.75" customHeight="1" x14ac:dyDescent="0.35">
      <c r="A3035" s="15">
        <v>4</v>
      </c>
      <c r="B3035" s="15" t="s">
        <v>30082</v>
      </c>
      <c r="C3035" s="15" t="s">
        <v>30083</v>
      </c>
      <c r="D3035" s="31">
        <v>40221</v>
      </c>
      <c r="E3035" s="15" t="s">
        <v>30084</v>
      </c>
      <c r="F3035" s="87"/>
      <c r="G3035" s="45" t="s">
        <v>3538</v>
      </c>
      <c r="H3035" s="55" t="s">
        <v>3539</v>
      </c>
      <c r="I3035" s="15" t="s">
        <v>214</v>
      </c>
    </row>
    <row r="3036" spans="1:9" ht="51.75" customHeight="1" x14ac:dyDescent="0.35">
      <c r="A3036" s="15">
        <v>5</v>
      </c>
      <c r="B3036" s="15" t="s">
        <v>30085</v>
      </c>
      <c r="C3036" s="15" t="s">
        <v>30086</v>
      </c>
      <c r="D3036" s="31">
        <v>40221</v>
      </c>
      <c r="E3036" s="15" t="s">
        <v>30087</v>
      </c>
      <c r="F3036" s="87"/>
      <c r="G3036" s="45" t="s">
        <v>3538</v>
      </c>
      <c r="H3036" s="55" t="s">
        <v>3539</v>
      </c>
      <c r="I3036" s="15" t="s">
        <v>214</v>
      </c>
    </row>
    <row r="3037" spans="1:9" ht="51.75" customHeight="1" x14ac:dyDescent="0.35">
      <c r="A3037" s="15">
        <v>6</v>
      </c>
      <c r="B3037" s="15" t="s">
        <v>30088</v>
      </c>
      <c r="C3037" s="15" t="s">
        <v>30089</v>
      </c>
      <c r="D3037" s="31">
        <v>40221</v>
      </c>
      <c r="E3037" s="15" t="s">
        <v>30090</v>
      </c>
      <c r="F3037" s="87"/>
      <c r="G3037" s="45" t="s">
        <v>3538</v>
      </c>
      <c r="H3037" s="55" t="s">
        <v>3539</v>
      </c>
      <c r="I3037" s="15" t="s">
        <v>214</v>
      </c>
    </row>
    <row r="3038" spans="1:9" ht="51.75" customHeight="1" x14ac:dyDescent="0.35">
      <c r="A3038" s="15">
        <v>7</v>
      </c>
      <c r="B3038" s="15" t="s">
        <v>30091</v>
      </c>
      <c r="C3038" s="15" t="s">
        <v>30092</v>
      </c>
      <c r="D3038" s="31">
        <v>40221</v>
      </c>
      <c r="E3038" s="15" t="s">
        <v>30093</v>
      </c>
      <c r="F3038" s="87"/>
      <c r="G3038" s="45" t="s">
        <v>3538</v>
      </c>
      <c r="H3038" s="55" t="s">
        <v>3539</v>
      </c>
      <c r="I3038" s="15" t="s">
        <v>214</v>
      </c>
    </row>
    <row r="3039" spans="1:9" ht="51.75" customHeight="1" x14ac:dyDescent="0.35">
      <c r="A3039" s="15">
        <v>8</v>
      </c>
      <c r="B3039" s="15" t="s">
        <v>30094</v>
      </c>
      <c r="C3039" s="15" t="s">
        <v>30095</v>
      </c>
      <c r="D3039" s="31">
        <v>40221</v>
      </c>
      <c r="E3039" s="15" t="s">
        <v>30096</v>
      </c>
      <c r="F3039" s="87"/>
      <c r="G3039" s="45" t="s">
        <v>3538</v>
      </c>
      <c r="H3039" s="55" t="s">
        <v>3539</v>
      </c>
      <c r="I3039" s="15" t="s">
        <v>214</v>
      </c>
    </row>
    <row r="3040" spans="1:9" ht="51.75" customHeight="1" x14ac:dyDescent="0.35">
      <c r="A3040" s="15">
        <v>9</v>
      </c>
      <c r="B3040" s="15" t="s">
        <v>30097</v>
      </c>
      <c r="C3040" s="15" t="s">
        <v>30098</v>
      </c>
      <c r="D3040" s="31">
        <v>40221</v>
      </c>
      <c r="E3040" s="15" t="s">
        <v>30099</v>
      </c>
      <c r="F3040" s="87"/>
      <c r="G3040" s="45" t="s">
        <v>3538</v>
      </c>
      <c r="H3040" s="55" t="s">
        <v>3539</v>
      </c>
      <c r="I3040" s="15" t="s">
        <v>214</v>
      </c>
    </row>
    <row r="3041" spans="1:9" ht="51.75" customHeight="1" x14ac:dyDescent="0.35">
      <c r="A3041" s="15">
        <v>10</v>
      </c>
      <c r="B3041" s="15" t="s">
        <v>30100</v>
      </c>
      <c r="C3041" s="15" t="s">
        <v>30101</v>
      </c>
      <c r="D3041" s="31">
        <v>40221</v>
      </c>
      <c r="E3041" s="15" t="s">
        <v>30102</v>
      </c>
      <c r="F3041" s="87"/>
      <c r="G3041" s="45" t="s">
        <v>3538</v>
      </c>
      <c r="H3041" s="55" t="s">
        <v>3539</v>
      </c>
      <c r="I3041" s="15" t="s">
        <v>214</v>
      </c>
    </row>
    <row r="3042" spans="1:9" ht="51.75" customHeight="1" x14ac:dyDescent="0.35">
      <c r="A3042" s="15">
        <v>1</v>
      </c>
      <c r="B3042" s="15" t="s">
        <v>30103</v>
      </c>
      <c r="C3042" s="15" t="s">
        <v>30104</v>
      </c>
      <c r="D3042" s="31">
        <v>40049</v>
      </c>
      <c r="E3042" s="15" t="s">
        <v>30105</v>
      </c>
      <c r="F3042" s="87"/>
      <c r="G3042" s="45" t="s">
        <v>3466</v>
      </c>
      <c r="H3042" s="55" t="s">
        <v>3467</v>
      </c>
      <c r="I3042" s="15" t="s">
        <v>214</v>
      </c>
    </row>
    <row r="3043" spans="1:9" ht="51.75" customHeight="1" x14ac:dyDescent="0.35">
      <c r="A3043" s="15">
        <v>2</v>
      </c>
      <c r="B3043" s="15" t="s">
        <v>30106</v>
      </c>
      <c r="C3043" s="15" t="s">
        <v>30107</v>
      </c>
      <c r="D3043" s="31">
        <v>40049</v>
      </c>
      <c r="E3043" s="15" t="s">
        <v>30108</v>
      </c>
      <c r="F3043" s="87"/>
      <c r="G3043" s="45" t="s">
        <v>3466</v>
      </c>
      <c r="H3043" s="55" t="s">
        <v>3467</v>
      </c>
      <c r="I3043" s="15" t="s">
        <v>214</v>
      </c>
    </row>
    <row r="3044" spans="1:9" ht="51.75" customHeight="1" x14ac:dyDescent="0.35">
      <c r="A3044" s="15">
        <v>3</v>
      </c>
      <c r="B3044" s="15" t="s">
        <v>30109</v>
      </c>
      <c r="C3044" s="15" t="s">
        <v>30110</v>
      </c>
      <c r="D3044" s="31">
        <v>40049</v>
      </c>
      <c r="E3044" s="15" t="s">
        <v>30111</v>
      </c>
      <c r="F3044" s="87"/>
      <c r="G3044" s="45" t="s">
        <v>3466</v>
      </c>
      <c r="H3044" s="55" t="s">
        <v>3467</v>
      </c>
      <c r="I3044" s="15" t="s">
        <v>214</v>
      </c>
    </row>
    <row r="3045" spans="1:9" ht="51.75" customHeight="1" x14ac:dyDescent="0.35">
      <c r="A3045" s="15">
        <v>1</v>
      </c>
      <c r="B3045" s="15" t="s">
        <v>30112</v>
      </c>
      <c r="C3045" s="15" t="s">
        <v>30113</v>
      </c>
      <c r="D3045" s="31">
        <v>40052</v>
      </c>
      <c r="E3045" s="15" t="s">
        <v>30114</v>
      </c>
      <c r="F3045" s="87"/>
      <c r="G3045" s="45" t="s">
        <v>3431</v>
      </c>
      <c r="H3045" s="55" t="s">
        <v>3432</v>
      </c>
      <c r="I3045" s="15" t="s">
        <v>214</v>
      </c>
    </row>
    <row r="3046" spans="1:9" ht="51.75" customHeight="1" x14ac:dyDescent="0.35">
      <c r="A3046" s="15">
        <v>2</v>
      </c>
      <c r="B3046" s="15" t="s">
        <v>30115</v>
      </c>
      <c r="C3046" s="15" t="s">
        <v>30116</v>
      </c>
      <c r="D3046" s="31">
        <v>40052</v>
      </c>
      <c r="E3046" s="15" t="s">
        <v>30117</v>
      </c>
      <c r="F3046" s="87"/>
      <c r="G3046" s="45" t="s">
        <v>3431</v>
      </c>
      <c r="H3046" s="55" t="s">
        <v>3432</v>
      </c>
      <c r="I3046" s="15" t="s">
        <v>214</v>
      </c>
    </row>
    <row r="3047" spans="1:9" ht="51.75" customHeight="1" x14ac:dyDescent="0.35">
      <c r="A3047" s="15">
        <v>3</v>
      </c>
      <c r="B3047" s="15" t="s">
        <v>30118</v>
      </c>
      <c r="C3047" s="15" t="s">
        <v>30119</v>
      </c>
      <c r="D3047" s="31">
        <v>40052</v>
      </c>
      <c r="E3047" s="15" t="s">
        <v>30120</v>
      </c>
      <c r="F3047" s="87"/>
      <c r="G3047" s="45" t="s">
        <v>3431</v>
      </c>
      <c r="H3047" s="55" t="s">
        <v>3432</v>
      </c>
      <c r="I3047" s="15" t="s">
        <v>214</v>
      </c>
    </row>
    <row r="3048" spans="1:9" ht="51.75" customHeight="1" x14ac:dyDescent="0.35">
      <c r="A3048" s="15">
        <v>4</v>
      </c>
      <c r="B3048" s="15" t="s">
        <v>30121</v>
      </c>
      <c r="C3048" s="15" t="s">
        <v>30122</v>
      </c>
      <c r="D3048" s="31">
        <v>40052</v>
      </c>
      <c r="E3048" s="15" t="s">
        <v>30123</v>
      </c>
      <c r="F3048" s="87"/>
      <c r="G3048" s="45" t="s">
        <v>3431</v>
      </c>
      <c r="H3048" s="55" t="s">
        <v>3432</v>
      </c>
      <c r="I3048" s="15" t="s">
        <v>214</v>
      </c>
    </row>
    <row r="3049" spans="1:9" ht="51.75" customHeight="1" x14ac:dyDescent="0.35">
      <c r="A3049" s="15">
        <v>5</v>
      </c>
      <c r="B3049" s="15" t="s">
        <v>30124</v>
      </c>
      <c r="C3049" s="15" t="s">
        <v>30125</v>
      </c>
      <c r="D3049" s="31">
        <v>40052</v>
      </c>
      <c r="E3049" s="15" t="s">
        <v>30126</v>
      </c>
      <c r="F3049" s="87"/>
      <c r="G3049" s="45" t="s">
        <v>3431</v>
      </c>
      <c r="H3049" s="55" t="s">
        <v>3432</v>
      </c>
      <c r="I3049" s="15" t="s">
        <v>214</v>
      </c>
    </row>
    <row r="3050" spans="1:9" ht="51.75" customHeight="1" x14ac:dyDescent="0.35">
      <c r="A3050" s="15">
        <v>6</v>
      </c>
      <c r="B3050" s="15" t="s">
        <v>30127</v>
      </c>
      <c r="C3050" s="15" t="s">
        <v>30128</v>
      </c>
      <c r="D3050" s="31">
        <v>40052</v>
      </c>
      <c r="E3050" s="15" t="s">
        <v>30129</v>
      </c>
      <c r="F3050" s="87"/>
      <c r="G3050" s="45" t="s">
        <v>3431</v>
      </c>
      <c r="H3050" s="55" t="s">
        <v>3432</v>
      </c>
      <c r="I3050" s="15" t="s">
        <v>214</v>
      </c>
    </row>
    <row r="3051" spans="1:9" ht="51.75" customHeight="1" x14ac:dyDescent="0.35">
      <c r="A3051" s="15">
        <v>1</v>
      </c>
      <c r="B3051" s="15" t="s">
        <v>30130</v>
      </c>
      <c r="C3051" s="15" t="s">
        <v>30131</v>
      </c>
      <c r="D3051" s="31">
        <v>40135</v>
      </c>
      <c r="E3051" s="15" t="s">
        <v>30132</v>
      </c>
      <c r="F3051" s="87"/>
      <c r="G3051" s="45" t="s">
        <v>3363</v>
      </c>
      <c r="H3051" s="55" t="s">
        <v>3364</v>
      </c>
      <c r="I3051" s="15" t="s">
        <v>214</v>
      </c>
    </row>
    <row r="3052" spans="1:9" ht="51.75" customHeight="1" x14ac:dyDescent="0.35">
      <c r="A3052" s="15">
        <v>2</v>
      </c>
      <c r="B3052" s="15" t="s">
        <v>30133</v>
      </c>
      <c r="C3052" s="15" t="s">
        <v>30134</v>
      </c>
      <c r="D3052" s="31">
        <v>40135</v>
      </c>
      <c r="E3052" s="15" t="s">
        <v>30135</v>
      </c>
      <c r="F3052" s="87"/>
      <c r="G3052" s="45" t="s">
        <v>3363</v>
      </c>
      <c r="H3052" s="55" t="s">
        <v>3364</v>
      </c>
      <c r="I3052" s="15" t="s">
        <v>214</v>
      </c>
    </row>
    <row r="3053" spans="1:9" ht="51.75" customHeight="1" x14ac:dyDescent="0.35">
      <c r="A3053" s="15">
        <v>3</v>
      </c>
      <c r="B3053" s="15" t="s">
        <v>30136</v>
      </c>
      <c r="C3053" s="15" t="s">
        <v>30137</v>
      </c>
      <c r="D3053" s="31">
        <v>40135</v>
      </c>
      <c r="E3053" s="15" t="s">
        <v>30138</v>
      </c>
      <c r="F3053" s="87"/>
      <c r="G3053" s="45" t="s">
        <v>3363</v>
      </c>
      <c r="H3053" s="55" t="s">
        <v>3364</v>
      </c>
      <c r="I3053" s="15" t="s">
        <v>214</v>
      </c>
    </row>
    <row r="3054" spans="1:9" ht="51.75" customHeight="1" x14ac:dyDescent="0.35">
      <c r="A3054" s="15">
        <v>4</v>
      </c>
      <c r="B3054" s="15" t="s">
        <v>30139</v>
      </c>
      <c r="C3054" s="15" t="s">
        <v>30140</v>
      </c>
      <c r="D3054" s="31">
        <v>40135</v>
      </c>
      <c r="E3054" s="15" t="s">
        <v>30141</v>
      </c>
      <c r="F3054" s="87"/>
      <c r="G3054" s="45" t="s">
        <v>3363</v>
      </c>
      <c r="H3054" s="55" t="s">
        <v>3364</v>
      </c>
      <c r="I3054" s="15" t="s">
        <v>214</v>
      </c>
    </row>
    <row r="3055" spans="1:9" ht="51.75" customHeight="1" x14ac:dyDescent="0.35">
      <c r="A3055" s="15">
        <v>5</v>
      </c>
      <c r="B3055" s="15" t="s">
        <v>30142</v>
      </c>
      <c r="C3055" s="15" t="s">
        <v>30143</v>
      </c>
      <c r="D3055" s="31">
        <v>40135</v>
      </c>
      <c r="E3055" s="15" t="s">
        <v>30144</v>
      </c>
      <c r="F3055" s="87"/>
      <c r="G3055" s="45" t="s">
        <v>3363</v>
      </c>
      <c r="H3055" s="55" t="s">
        <v>3364</v>
      </c>
      <c r="I3055" s="15" t="s">
        <v>214</v>
      </c>
    </row>
    <row r="3056" spans="1:9" ht="51.75" customHeight="1" x14ac:dyDescent="0.35">
      <c r="A3056" s="15">
        <v>6</v>
      </c>
      <c r="B3056" s="15" t="s">
        <v>30145</v>
      </c>
      <c r="C3056" s="15" t="s">
        <v>30146</v>
      </c>
      <c r="D3056" s="31">
        <v>40135</v>
      </c>
      <c r="E3056" s="15" t="s">
        <v>30147</v>
      </c>
      <c r="F3056" s="87"/>
      <c r="G3056" s="45" t="s">
        <v>3363</v>
      </c>
      <c r="H3056" s="55" t="s">
        <v>3364</v>
      </c>
      <c r="I3056" s="15" t="s">
        <v>214</v>
      </c>
    </row>
    <row r="3057" spans="1:9" ht="51.75" customHeight="1" x14ac:dyDescent="0.35">
      <c r="A3057" s="15">
        <v>7</v>
      </c>
      <c r="B3057" s="15" t="s">
        <v>30148</v>
      </c>
      <c r="C3057" s="15" t="s">
        <v>30149</v>
      </c>
      <c r="D3057" s="31">
        <v>40135</v>
      </c>
      <c r="E3057" s="15" t="s">
        <v>30150</v>
      </c>
      <c r="F3057" s="87"/>
      <c r="G3057" s="45" t="s">
        <v>3363</v>
      </c>
      <c r="H3057" s="55" t="s">
        <v>3364</v>
      </c>
      <c r="I3057" s="15" t="s">
        <v>214</v>
      </c>
    </row>
    <row r="3058" spans="1:9" ht="51.75" customHeight="1" x14ac:dyDescent="0.35">
      <c r="A3058" s="15">
        <v>8</v>
      </c>
      <c r="B3058" s="15" t="s">
        <v>30151</v>
      </c>
      <c r="C3058" s="15" t="s">
        <v>30152</v>
      </c>
      <c r="D3058" s="31">
        <v>40135</v>
      </c>
      <c r="E3058" s="15" t="s">
        <v>30153</v>
      </c>
      <c r="F3058" s="87"/>
      <c r="G3058" s="45" t="s">
        <v>3363</v>
      </c>
      <c r="H3058" s="55" t="s">
        <v>3364</v>
      </c>
      <c r="I3058" s="15" t="s">
        <v>214</v>
      </c>
    </row>
    <row r="3059" spans="1:9" ht="51.75" customHeight="1" x14ac:dyDescent="0.35">
      <c r="A3059" s="15">
        <v>9</v>
      </c>
      <c r="B3059" s="15" t="s">
        <v>30154</v>
      </c>
      <c r="C3059" s="15" t="s">
        <v>30155</v>
      </c>
      <c r="D3059" s="31">
        <v>40135</v>
      </c>
      <c r="E3059" s="15" t="s">
        <v>30156</v>
      </c>
      <c r="F3059" s="87"/>
      <c r="G3059" s="45" t="s">
        <v>3363</v>
      </c>
      <c r="H3059" s="55" t="s">
        <v>3364</v>
      </c>
      <c r="I3059" s="15" t="s">
        <v>214</v>
      </c>
    </row>
    <row r="3060" spans="1:9" ht="51.75" customHeight="1" x14ac:dyDescent="0.35">
      <c r="A3060" s="15">
        <v>10</v>
      </c>
      <c r="B3060" s="15" t="s">
        <v>30157</v>
      </c>
      <c r="C3060" s="15" t="s">
        <v>30158</v>
      </c>
      <c r="D3060" s="31">
        <v>40135</v>
      </c>
      <c r="E3060" s="15" t="s">
        <v>30159</v>
      </c>
      <c r="F3060" s="87"/>
      <c r="G3060" s="45" t="s">
        <v>3363</v>
      </c>
      <c r="H3060" s="55" t="s">
        <v>3364</v>
      </c>
      <c r="I3060" s="15" t="s">
        <v>214</v>
      </c>
    </row>
    <row r="3061" spans="1:9" ht="51.75" customHeight="1" x14ac:dyDescent="0.35">
      <c r="A3061" s="15">
        <v>1</v>
      </c>
      <c r="B3061" s="15" t="s">
        <v>30160</v>
      </c>
      <c r="C3061" s="15" t="s">
        <v>30161</v>
      </c>
      <c r="D3061" s="31">
        <v>40098</v>
      </c>
      <c r="E3061" s="15" t="s">
        <v>30162</v>
      </c>
      <c r="F3061" s="87"/>
      <c r="G3061" s="45" t="s">
        <v>3328</v>
      </c>
      <c r="H3061" s="55" t="s">
        <v>3329</v>
      </c>
      <c r="I3061" s="15" t="s">
        <v>214</v>
      </c>
    </row>
    <row r="3062" spans="1:9" ht="51.75" customHeight="1" x14ac:dyDescent="0.35">
      <c r="A3062" s="15">
        <v>2</v>
      </c>
      <c r="B3062" s="15" t="s">
        <v>30163</v>
      </c>
      <c r="C3062" s="15" t="s">
        <v>30164</v>
      </c>
      <c r="D3062" s="31">
        <v>40098</v>
      </c>
      <c r="E3062" s="15" t="s">
        <v>30165</v>
      </c>
      <c r="F3062" s="87"/>
      <c r="G3062" s="45" t="s">
        <v>3328</v>
      </c>
      <c r="H3062" s="55" t="s">
        <v>3329</v>
      </c>
      <c r="I3062" s="15" t="s">
        <v>214</v>
      </c>
    </row>
    <row r="3063" spans="1:9" ht="51.75" customHeight="1" x14ac:dyDescent="0.35">
      <c r="A3063" s="15">
        <v>3</v>
      </c>
      <c r="B3063" s="15" t="s">
        <v>30166</v>
      </c>
      <c r="C3063" s="15" t="s">
        <v>30167</v>
      </c>
      <c r="D3063" s="31">
        <v>40098</v>
      </c>
      <c r="E3063" s="15" t="s">
        <v>30168</v>
      </c>
      <c r="F3063" s="87"/>
      <c r="G3063" s="45" t="s">
        <v>3328</v>
      </c>
      <c r="H3063" s="55" t="s">
        <v>3329</v>
      </c>
      <c r="I3063" s="15" t="s">
        <v>214</v>
      </c>
    </row>
    <row r="3064" spans="1:9" ht="51.75" customHeight="1" x14ac:dyDescent="0.35">
      <c r="A3064" s="15">
        <v>4</v>
      </c>
      <c r="B3064" s="15" t="s">
        <v>30169</v>
      </c>
      <c r="C3064" s="15" t="s">
        <v>30170</v>
      </c>
      <c r="D3064" s="31">
        <v>40098</v>
      </c>
      <c r="E3064" s="15" t="s">
        <v>30171</v>
      </c>
      <c r="F3064" s="87"/>
      <c r="G3064" s="45" t="s">
        <v>3328</v>
      </c>
      <c r="H3064" s="55" t="s">
        <v>3329</v>
      </c>
      <c r="I3064" s="15" t="s">
        <v>214</v>
      </c>
    </row>
    <row r="3065" spans="1:9" ht="51.75" customHeight="1" x14ac:dyDescent="0.35">
      <c r="A3065" s="15">
        <v>5</v>
      </c>
      <c r="B3065" s="15" t="s">
        <v>30172</v>
      </c>
      <c r="C3065" s="15" t="s">
        <v>30173</v>
      </c>
      <c r="D3065" s="31">
        <v>40098</v>
      </c>
      <c r="E3065" s="15" t="s">
        <v>30174</v>
      </c>
      <c r="F3065" s="87"/>
      <c r="G3065" s="45" t="s">
        <v>3328</v>
      </c>
      <c r="H3065" s="55" t="s">
        <v>3329</v>
      </c>
      <c r="I3065" s="15" t="s">
        <v>214</v>
      </c>
    </row>
    <row r="3066" spans="1:9" ht="51.75" customHeight="1" x14ac:dyDescent="0.35">
      <c r="A3066" s="15">
        <v>1</v>
      </c>
      <c r="B3066" s="15" t="s">
        <v>30175</v>
      </c>
      <c r="C3066" s="15" t="s">
        <v>30176</v>
      </c>
      <c r="D3066" s="31">
        <v>40147</v>
      </c>
      <c r="E3066" s="15" t="s">
        <v>30177</v>
      </c>
      <c r="F3066" s="87"/>
      <c r="G3066" s="45" t="s">
        <v>3396</v>
      </c>
      <c r="H3066" s="55" t="s">
        <v>3397</v>
      </c>
      <c r="I3066" s="15" t="s">
        <v>214</v>
      </c>
    </row>
    <row r="3067" spans="1:9" ht="51.75" customHeight="1" x14ac:dyDescent="0.35">
      <c r="A3067" s="15">
        <v>2</v>
      </c>
      <c r="B3067" s="15" t="s">
        <v>30178</v>
      </c>
      <c r="C3067" s="15" t="s">
        <v>30179</v>
      </c>
      <c r="D3067" s="31">
        <v>40147</v>
      </c>
      <c r="E3067" s="15" t="s">
        <v>30180</v>
      </c>
      <c r="F3067" s="87"/>
      <c r="G3067" s="45" t="s">
        <v>3396</v>
      </c>
      <c r="H3067" s="55" t="s">
        <v>3397</v>
      </c>
      <c r="I3067" s="15" t="s">
        <v>214</v>
      </c>
    </row>
    <row r="3068" spans="1:9" ht="51.75" customHeight="1" x14ac:dyDescent="0.35">
      <c r="A3068" s="15">
        <v>3</v>
      </c>
      <c r="B3068" s="15" t="s">
        <v>30181</v>
      </c>
      <c r="C3068" s="15" t="s">
        <v>30182</v>
      </c>
      <c r="D3068" s="31">
        <v>40147</v>
      </c>
      <c r="E3068" s="15" t="s">
        <v>30183</v>
      </c>
      <c r="F3068" s="87"/>
      <c r="G3068" s="45" t="s">
        <v>3396</v>
      </c>
      <c r="H3068" s="55" t="s">
        <v>3397</v>
      </c>
      <c r="I3068" s="15" t="s">
        <v>214</v>
      </c>
    </row>
    <row r="3069" spans="1:9" ht="51.75" customHeight="1" x14ac:dyDescent="0.35">
      <c r="A3069" s="15">
        <v>4</v>
      </c>
      <c r="B3069" s="15" t="s">
        <v>30184</v>
      </c>
      <c r="C3069" s="15" t="s">
        <v>30185</v>
      </c>
      <c r="D3069" s="31">
        <v>40147</v>
      </c>
      <c r="E3069" s="15" t="s">
        <v>30186</v>
      </c>
      <c r="F3069" s="87"/>
      <c r="G3069" s="45" t="s">
        <v>3396</v>
      </c>
      <c r="H3069" s="55" t="s">
        <v>3397</v>
      </c>
      <c r="I3069" s="15" t="s">
        <v>214</v>
      </c>
    </row>
    <row r="3070" spans="1:9" ht="51.75" customHeight="1" x14ac:dyDescent="0.35">
      <c r="A3070" s="15">
        <v>5</v>
      </c>
      <c r="B3070" s="15" t="s">
        <v>30187</v>
      </c>
      <c r="C3070" s="15" t="s">
        <v>30188</v>
      </c>
      <c r="D3070" s="31">
        <v>40147</v>
      </c>
      <c r="E3070" s="15" t="s">
        <v>30189</v>
      </c>
      <c r="F3070" s="87"/>
      <c r="G3070" s="45" t="s">
        <v>3396</v>
      </c>
      <c r="H3070" s="55" t="s">
        <v>3397</v>
      </c>
      <c r="I3070" s="15" t="s">
        <v>214</v>
      </c>
    </row>
    <row r="3071" spans="1:9" ht="51.75" customHeight="1" x14ac:dyDescent="0.35">
      <c r="A3071" s="15">
        <v>6</v>
      </c>
      <c r="B3071" s="15" t="s">
        <v>30190</v>
      </c>
      <c r="C3071" s="15" t="s">
        <v>30191</v>
      </c>
      <c r="D3071" s="31">
        <v>40147</v>
      </c>
      <c r="E3071" s="15" t="s">
        <v>30192</v>
      </c>
      <c r="F3071" s="87"/>
      <c r="G3071" s="45" t="s">
        <v>3396</v>
      </c>
      <c r="H3071" s="55" t="s">
        <v>3397</v>
      </c>
      <c r="I3071" s="15" t="s">
        <v>214</v>
      </c>
    </row>
    <row r="3072" spans="1:9" ht="51.75" customHeight="1" x14ac:dyDescent="0.35">
      <c r="A3072" s="15">
        <v>7</v>
      </c>
      <c r="B3072" s="15" t="s">
        <v>30193</v>
      </c>
      <c r="C3072" s="15" t="s">
        <v>30194</v>
      </c>
      <c r="D3072" s="31">
        <v>40147</v>
      </c>
      <c r="E3072" s="15" t="s">
        <v>30195</v>
      </c>
      <c r="F3072" s="87"/>
      <c r="G3072" s="45" t="s">
        <v>3396</v>
      </c>
      <c r="H3072" s="55" t="s">
        <v>3397</v>
      </c>
      <c r="I3072" s="15" t="s">
        <v>214</v>
      </c>
    </row>
    <row r="3073" spans="1:9" ht="51.75" customHeight="1" x14ac:dyDescent="0.35">
      <c r="A3073" s="15">
        <v>8</v>
      </c>
      <c r="B3073" s="15" t="s">
        <v>30196</v>
      </c>
      <c r="C3073" s="15" t="s">
        <v>30197</v>
      </c>
      <c r="D3073" s="31">
        <v>40147</v>
      </c>
      <c r="E3073" s="15" t="s">
        <v>30198</v>
      </c>
      <c r="F3073" s="87"/>
      <c r="G3073" s="45" t="s">
        <v>3396</v>
      </c>
      <c r="H3073" s="55" t="s">
        <v>3397</v>
      </c>
      <c r="I3073" s="15" t="s">
        <v>214</v>
      </c>
    </row>
    <row r="3074" spans="1:9" ht="51.75" customHeight="1" x14ac:dyDescent="0.35">
      <c r="A3074" s="15">
        <v>1</v>
      </c>
      <c r="B3074" s="15" t="s">
        <v>30199</v>
      </c>
      <c r="C3074" s="15" t="s">
        <v>30200</v>
      </c>
      <c r="D3074" s="31">
        <v>40029</v>
      </c>
      <c r="E3074" s="15" t="s">
        <v>30201</v>
      </c>
      <c r="F3074" s="87"/>
      <c r="G3074" s="45" t="s">
        <v>3289</v>
      </c>
      <c r="H3074" s="55" t="s">
        <v>3290</v>
      </c>
      <c r="I3074" s="15" t="s">
        <v>214</v>
      </c>
    </row>
    <row r="3075" spans="1:9" ht="51.75" customHeight="1" x14ac:dyDescent="0.35">
      <c r="A3075" s="15">
        <v>2</v>
      </c>
      <c r="B3075" s="15" t="s">
        <v>30202</v>
      </c>
      <c r="C3075" s="15" t="s">
        <v>30203</v>
      </c>
      <c r="D3075" s="31">
        <v>40029</v>
      </c>
      <c r="E3075" s="15" t="s">
        <v>30204</v>
      </c>
      <c r="F3075" s="87"/>
      <c r="G3075" s="45" t="s">
        <v>3289</v>
      </c>
      <c r="H3075" s="55" t="s">
        <v>3290</v>
      </c>
      <c r="I3075" s="15" t="s">
        <v>214</v>
      </c>
    </row>
    <row r="3076" spans="1:9" ht="51.75" customHeight="1" x14ac:dyDescent="0.35">
      <c r="A3076" s="15">
        <v>3</v>
      </c>
      <c r="B3076" s="15" t="s">
        <v>30205</v>
      </c>
      <c r="C3076" s="15" t="s">
        <v>30206</v>
      </c>
      <c r="D3076" s="31">
        <v>40029</v>
      </c>
      <c r="E3076" s="15" t="s">
        <v>30207</v>
      </c>
      <c r="F3076" s="87"/>
      <c r="G3076" s="45" t="s">
        <v>3289</v>
      </c>
      <c r="H3076" s="55" t="s">
        <v>3290</v>
      </c>
      <c r="I3076" s="15" t="s">
        <v>214</v>
      </c>
    </row>
    <row r="3077" spans="1:9" ht="51.75" customHeight="1" x14ac:dyDescent="0.35">
      <c r="A3077" s="15">
        <v>4</v>
      </c>
      <c r="B3077" s="15" t="s">
        <v>30208</v>
      </c>
      <c r="C3077" s="15" t="s">
        <v>30209</v>
      </c>
      <c r="D3077" s="31">
        <v>40029</v>
      </c>
      <c r="E3077" s="15" t="s">
        <v>30210</v>
      </c>
      <c r="F3077" s="87"/>
      <c r="G3077" s="45" t="s">
        <v>3289</v>
      </c>
      <c r="H3077" s="55" t="s">
        <v>3290</v>
      </c>
      <c r="I3077" s="15" t="s">
        <v>214</v>
      </c>
    </row>
    <row r="3078" spans="1:9" ht="51.75" customHeight="1" x14ac:dyDescent="0.35">
      <c r="A3078" s="15">
        <v>5</v>
      </c>
      <c r="B3078" s="15" t="s">
        <v>30211</v>
      </c>
      <c r="C3078" s="15" t="s">
        <v>30212</v>
      </c>
      <c r="D3078" s="31">
        <v>40029</v>
      </c>
      <c r="E3078" s="15" t="s">
        <v>30213</v>
      </c>
      <c r="F3078" s="87"/>
      <c r="G3078" s="45" t="s">
        <v>3289</v>
      </c>
      <c r="H3078" s="55" t="s">
        <v>3290</v>
      </c>
      <c r="I3078" s="15" t="s">
        <v>214</v>
      </c>
    </row>
    <row r="3079" spans="1:9" ht="51.75" customHeight="1" x14ac:dyDescent="0.35">
      <c r="A3079" s="15">
        <v>6</v>
      </c>
      <c r="B3079" s="15" t="s">
        <v>30214</v>
      </c>
      <c r="C3079" s="15" t="s">
        <v>30215</v>
      </c>
      <c r="D3079" s="31">
        <v>40029</v>
      </c>
      <c r="E3079" s="15" t="s">
        <v>30216</v>
      </c>
      <c r="F3079" s="87"/>
      <c r="G3079" s="45" t="s">
        <v>3289</v>
      </c>
      <c r="H3079" s="55" t="s">
        <v>3290</v>
      </c>
      <c r="I3079" s="15" t="s">
        <v>214</v>
      </c>
    </row>
    <row r="3080" spans="1:9" ht="51.75" customHeight="1" x14ac:dyDescent="0.35">
      <c r="A3080" s="15">
        <v>7</v>
      </c>
      <c r="B3080" s="15" t="s">
        <v>30217</v>
      </c>
      <c r="C3080" s="15" t="s">
        <v>30218</v>
      </c>
      <c r="D3080" s="31">
        <v>40029</v>
      </c>
      <c r="E3080" s="15" t="s">
        <v>30219</v>
      </c>
      <c r="F3080" s="87"/>
      <c r="G3080" s="45" t="s">
        <v>3289</v>
      </c>
      <c r="H3080" s="55" t="s">
        <v>3290</v>
      </c>
      <c r="I3080" s="15" t="s">
        <v>214</v>
      </c>
    </row>
    <row r="3081" spans="1:9" ht="51.75" customHeight="1" x14ac:dyDescent="0.35">
      <c r="A3081" s="15">
        <v>8</v>
      </c>
      <c r="B3081" s="15" t="s">
        <v>30220</v>
      </c>
      <c r="C3081" s="15" t="s">
        <v>30221</v>
      </c>
      <c r="D3081" s="31">
        <v>40029</v>
      </c>
      <c r="E3081" s="15" t="s">
        <v>30222</v>
      </c>
      <c r="F3081" s="87"/>
      <c r="G3081" s="45" t="s">
        <v>3289</v>
      </c>
      <c r="H3081" s="55" t="s">
        <v>3290</v>
      </c>
      <c r="I3081" s="15" t="s">
        <v>214</v>
      </c>
    </row>
    <row r="3082" spans="1:9" ht="51.75" customHeight="1" x14ac:dyDescent="0.35">
      <c r="A3082" s="15">
        <v>1</v>
      </c>
      <c r="B3082" s="15" t="s">
        <v>30223</v>
      </c>
      <c r="C3082" s="15" t="s">
        <v>30224</v>
      </c>
      <c r="D3082" s="31">
        <v>39955</v>
      </c>
      <c r="E3082" s="15" t="s">
        <v>30225</v>
      </c>
      <c r="F3082" s="87"/>
      <c r="G3082" s="45" t="s">
        <v>3211</v>
      </c>
      <c r="H3082" s="55" t="s">
        <v>3212</v>
      </c>
      <c r="I3082" s="15" t="s">
        <v>214</v>
      </c>
    </row>
    <row r="3083" spans="1:9" ht="51.75" customHeight="1" x14ac:dyDescent="0.35">
      <c r="A3083" s="15">
        <v>1</v>
      </c>
      <c r="B3083" s="15" t="s">
        <v>30226</v>
      </c>
      <c r="C3083" s="15" t="s">
        <v>30227</v>
      </c>
      <c r="D3083" s="31">
        <v>39694</v>
      </c>
      <c r="E3083" s="15" t="s">
        <v>30228</v>
      </c>
      <c r="F3083" s="87"/>
      <c r="G3083" s="45" t="s">
        <v>517</v>
      </c>
      <c r="H3083" s="55" t="s">
        <v>518</v>
      </c>
      <c r="I3083" s="15" t="s">
        <v>214</v>
      </c>
    </row>
    <row r="3084" spans="1:9" ht="51.75" customHeight="1" x14ac:dyDescent="0.35">
      <c r="A3084" s="15">
        <v>2</v>
      </c>
      <c r="B3084" s="15" t="s">
        <v>30229</v>
      </c>
      <c r="C3084" s="15" t="s">
        <v>30230</v>
      </c>
      <c r="D3084" s="31">
        <v>39694</v>
      </c>
      <c r="E3084" s="15" t="s">
        <v>30231</v>
      </c>
      <c r="F3084" s="87"/>
      <c r="G3084" s="45" t="s">
        <v>517</v>
      </c>
      <c r="H3084" s="55" t="s">
        <v>518</v>
      </c>
      <c r="I3084" s="15" t="s">
        <v>214</v>
      </c>
    </row>
    <row r="3085" spans="1:9" ht="51.75" customHeight="1" x14ac:dyDescent="0.35">
      <c r="A3085" s="15">
        <v>3</v>
      </c>
      <c r="B3085" s="15" t="s">
        <v>30232</v>
      </c>
      <c r="C3085" s="15" t="s">
        <v>30233</v>
      </c>
      <c r="D3085" s="31">
        <v>39694</v>
      </c>
      <c r="E3085" s="15" t="s">
        <v>30234</v>
      </c>
      <c r="F3085" s="87"/>
      <c r="G3085" s="45" t="s">
        <v>517</v>
      </c>
      <c r="H3085" s="55" t="s">
        <v>518</v>
      </c>
      <c r="I3085" s="15" t="s">
        <v>214</v>
      </c>
    </row>
    <row r="3086" spans="1:9" ht="51.75" customHeight="1" x14ac:dyDescent="0.35">
      <c r="A3086" s="15">
        <v>4</v>
      </c>
      <c r="B3086" s="15" t="s">
        <v>30235</v>
      </c>
      <c r="C3086" s="15" t="s">
        <v>30236</v>
      </c>
      <c r="D3086" s="31">
        <v>39694</v>
      </c>
      <c r="E3086" s="15" t="s">
        <v>30237</v>
      </c>
      <c r="F3086" s="87"/>
      <c r="G3086" s="45" t="s">
        <v>517</v>
      </c>
      <c r="H3086" s="55" t="s">
        <v>518</v>
      </c>
      <c r="I3086" s="15" t="s">
        <v>214</v>
      </c>
    </row>
    <row r="3087" spans="1:9" ht="51.75" customHeight="1" x14ac:dyDescent="0.35">
      <c r="A3087" s="15">
        <v>5</v>
      </c>
      <c r="B3087" s="15" t="s">
        <v>30238</v>
      </c>
      <c r="C3087" s="15" t="s">
        <v>30239</v>
      </c>
      <c r="D3087" s="31">
        <v>39694</v>
      </c>
      <c r="E3087" s="15" t="s">
        <v>30240</v>
      </c>
      <c r="F3087" s="87"/>
      <c r="G3087" s="45" t="s">
        <v>517</v>
      </c>
      <c r="H3087" s="55" t="s">
        <v>518</v>
      </c>
      <c r="I3087" s="15" t="s">
        <v>214</v>
      </c>
    </row>
    <row r="3088" spans="1:9" ht="51.75" customHeight="1" x14ac:dyDescent="0.35">
      <c r="A3088" s="15">
        <v>6</v>
      </c>
      <c r="B3088" s="15" t="s">
        <v>30241</v>
      </c>
      <c r="C3088" s="15" t="s">
        <v>30242</v>
      </c>
      <c r="D3088" s="31">
        <v>39694</v>
      </c>
      <c r="E3088" s="15" t="s">
        <v>30243</v>
      </c>
      <c r="F3088" s="87"/>
      <c r="G3088" s="45" t="s">
        <v>517</v>
      </c>
      <c r="H3088" s="55" t="s">
        <v>518</v>
      </c>
      <c r="I3088" s="15" t="s">
        <v>214</v>
      </c>
    </row>
    <row r="3089" spans="1:9" ht="51.75" customHeight="1" x14ac:dyDescent="0.35">
      <c r="A3089" s="15">
        <v>7</v>
      </c>
      <c r="B3089" s="15" t="s">
        <v>30244</v>
      </c>
      <c r="C3089" s="15" t="s">
        <v>30245</v>
      </c>
      <c r="D3089" s="31">
        <v>39694</v>
      </c>
      <c r="E3089" s="15" t="s">
        <v>30246</v>
      </c>
      <c r="F3089" s="87"/>
      <c r="G3089" s="45" t="s">
        <v>517</v>
      </c>
      <c r="H3089" s="55" t="s">
        <v>518</v>
      </c>
      <c r="I3089" s="15" t="s">
        <v>214</v>
      </c>
    </row>
    <row r="3090" spans="1:9" ht="51.75" customHeight="1" x14ac:dyDescent="0.35">
      <c r="A3090" s="15">
        <v>8</v>
      </c>
      <c r="B3090" s="15" t="s">
        <v>30247</v>
      </c>
      <c r="C3090" s="15" t="s">
        <v>30248</v>
      </c>
      <c r="D3090" s="31">
        <v>39694</v>
      </c>
      <c r="E3090" s="15" t="s">
        <v>30249</v>
      </c>
      <c r="F3090" s="87"/>
      <c r="G3090" s="45" t="s">
        <v>517</v>
      </c>
      <c r="H3090" s="55" t="s">
        <v>518</v>
      </c>
      <c r="I3090" s="15" t="s">
        <v>214</v>
      </c>
    </row>
    <row r="3091" spans="1:9" ht="51.75" customHeight="1" x14ac:dyDescent="0.35">
      <c r="A3091" s="15">
        <v>9</v>
      </c>
      <c r="B3091" s="15" t="s">
        <v>30250</v>
      </c>
      <c r="C3091" s="15" t="s">
        <v>30251</v>
      </c>
      <c r="D3091" s="31">
        <v>39694</v>
      </c>
      <c r="E3091" s="15" t="s">
        <v>30252</v>
      </c>
      <c r="F3091" s="87"/>
      <c r="G3091" s="45" t="s">
        <v>517</v>
      </c>
      <c r="H3091" s="55" t="s">
        <v>518</v>
      </c>
      <c r="I3091" s="15" t="s">
        <v>214</v>
      </c>
    </row>
    <row r="3092" spans="1:9" ht="51.75" customHeight="1" x14ac:dyDescent="0.35">
      <c r="A3092" s="15">
        <v>10</v>
      </c>
      <c r="B3092" s="15" t="s">
        <v>30253</v>
      </c>
      <c r="C3092" s="15" t="s">
        <v>30254</v>
      </c>
      <c r="D3092" s="31">
        <v>39694</v>
      </c>
      <c r="E3092" s="15" t="s">
        <v>30255</v>
      </c>
      <c r="F3092" s="87"/>
      <c r="G3092" s="45" t="s">
        <v>517</v>
      </c>
      <c r="H3092" s="55" t="s">
        <v>518</v>
      </c>
      <c r="I3092" s="15" t="s">
        <v>214</v>
      </c>
    </row>
    <row r="3093" spans="1:9" ht="51.75" customHeight="1" x14ac:dyDescent="0.35">
      <c r="A3093" s="15">
        <v>1</v>
      </c>
      <c r="B3093" s="15" t="s">
        <v>30256</v>
      </c>
      <c r="C3093" s="15" t="s">
        <v>30257</v>
      </c>
      <c r="D3093" s="31">
        <v>38840</v>
      </c>
      <c r="E3093" s="15" t="s">
        <v>30258</v>
      </c>
      <c r="F3093" s="87"/>
      <c r="G3093" s="45" t="s">
        <v>710</v>
      </c>
      <c r="H3093" s="55" t="s">
        <v>711</v>
      </c>
      <c r="I3093" s="15" t="s">
        <v>214</v>
      </c>
    </row>
    <row r="3094" spans="1:9" ht="51.75" customHeight="1" x14ac:dyDescent="0.35">
      <c r="A3094" s="15">
        <v>2</v>
      </c>
      <c r="B3094" s="15" t="s">
        <v>30259</v>
      </c>
      <c r="C3094" s="15" t="s">
        <v>30260</v>
      </c>
      <c r="D3094" s="31">
        <v>38840</v>
      </c>
      <c r="E3094" s="15" t="s">
        <v>30261</v>
      </c>
      <c r="F3094" s="87"/>
      <c r="G3094" s="45" t="s">
        <v>710</v>
      </c>
      <c r="H3094" s="55" t="s">
        <v>711</v>
      </c>
      <c r="I3094" s="15" t="s">
        <v>214</v>
      </c>
    </row>
    <row r="3095" spans="1:9" ht="51.75" customHeight="1" x14ac:dyDescent="0.35">
      <c r="A3095" s="15">
        <v>3</v>
      </c>
      <c r="B3095" s="15" t="s">
        <v>30262</v>
      </c>
      <c r="C3095" s="15" t="s">
        <v>30263</v>
      </c>
      <c r="D3095" s="31">
        <v>38840</v>
      </c>
      <c r="E3095" s="15" t="s">
        <v>30264</v>
      </c>
      <c r="F3095" s="87"/>
      <c r="G3095" s="45" t="s">
        <v>710</v>
      </c>
      <c r="H3095" s="55" t="s">
        <v>711</v>
      </c>
      <c r="I3095" s="15" t="s">
        <v>214</v>
      </c>
    </row>
    <row r="3096" spans="1:9" ht="51.75" customHeight="1" x14ac:dyDescent="0.35">
      <c r="A3096" s="15">
        <v>4</v>
      </c>
      <c r="B3096" s="15" t="s">
        <v>30265</v>
      </c>
      <c r="C3096" s="15" t="s">
        <v>30266</v>
      </c>
      <c r="D3096" s="31">
        <v>38840</v>
      </c>
      <c r="E3096" s="15" t="s">
        <v>30267</v>
      </c>
      <c r="F3096" s="87"/>
      <c r="G3096" s="45" t="s">
        <v>710</v>
      </c>
      <c r="H3096" s="55" t="s">
        <v>711</v>
      </c>
      <c r="I3096" s="15" t="s">
        <v>214</v>
      </c>
    </row>
    <row r="3097" spans="1:9" ht="51.75" customHeight="1" x14ac:dyDescent="0.35">
      <c r="A3097" s="15">
        <v>5</v>
      </c>
      <c r="B3097" s="15" t="s">
        <v>30268</v>
      </c>
      <c r="C3097" s="15" t="s">
        <v>30269</v>
      </c>
      <c r="D3097" s="31">
        <v>38840</v>
      </c>
      <c r="E3097" s="15" t="s">
        <v>30270</v>
      </c>
      <c r="F3097" s="87"/>
      <c r="G3097" s="45" t="s">
        <v>710</v>
      </c>
      <c r="H3097" s="55" t="s">
        <v>711</v>
      </c>
      <c r="I3097" s="15" t="s">
        <v>214</v>
      </c>
    </row>
    <row r="3098" spans="1:9" ht="51.75" customHeight="1" x14ac:dyDescent="0.35">
      <c r="A3098" s="15">
        <v>6</v>
      </c>
      <c r="B3098" s="15" t="s">
        <v>30271</v>
      </c>
      <c r="C3098" s="15" t="s">
        <v>30272</v>
      </c>
      <c r="D3098" s="31">
        <v>38840</v>
      </c>
      <c r="E3098" s="15" t="s">
        <v>30273</v>
      </c>
      <c r="F3098" s="87"/>
      <c r="G3098" s="45" t="s">
        <v>710</v>
      </c>
      <c r="H3098" s="55" t="s">
        <v>711</v>
      </c>
      <c r="I3098" s="15" t="s">
        <v>214</v>
      </c>
    </row>
    <row r="3099" spans="1:9" ht="51.75" customHeight="1" x14ac:dyDescent="0.35">
      <c r="A3099" s="15">
        <v>7</v>
      </c>
      <c r="B3099" s="15" t="s">
        <v>30274</v>
      </c>
      <c r="C3099" s="15" t="s">
        <v>30275</v>
      </c>
      <c r="D3099" s="31">
        <v>38840</v>
      </c>
      <c r="E3099" s="15" t="s">
        <v>30276</v>
      </c>
      <c r="F3099" s="87"/>
      <c r="G3099" s="45" t="s">
        <v>710</v>
      </c>
      <c r="H3099" s="55" t="s">
        <v>711</v>
      </c>
      <c r="I3099" s="15" t="s">
        <v>214</v>
      </c>
    </row>
    <row r="3100" spans="1:9" ht="51.75" customHeight="1" x14ac:dyDescent="0.35">
      <c r="A3100" s="15">
        <v>8</v>
      </c>
      <c r="B3100" s="15" t="s">
        <v>30277</v>
      </c>
      <c r="C3100" s="15" t="s">
        <v>30278</v>
      </c>
      <c r="D3100" s="31">
        <v>38840</v>
      </c>
      <c r="E3100" s="15" t="s">
        <v>30279</v>
      </c>
      <c r="F3100" s="87"/>
      <c r="G3100" s="45" t="s">
        <v>710</v>
      </c>
      <c r="H3100" s="55" t="s">
        <v>711</v>
      </c>
      <c r="I3100" s="15" t="s">
        <v>214</v>
      </c>
    </row>
    <row r="3101" spans="1:9" ht="51.75" customHeight="1" x14ac:dyDescent="0.35">
      <c r="A3101" s="15">
        <v>9</v>
      </c>
      <c r="B3101" s="15" t="s">
        <v>30280</v>
      </c>
      <c r="C3101" s="15" t="s">
        <v>30281</v>
      </c>
      <c r="D3101" s="31">
        <v>38840</v>
      </c>
      <c r="E3101" s="15" t="s">
        <v>30282</v>
      </c>
      <c r="F3101" s="87"/>
      <c r="G3101" s="45" t="s">
        <v>710</v>
      </c>
      <c r="H3101" s="55" t="s">
        <v>711</v>
      </c>
      <c r="I3101" s="15" t="s">
        <v>214</v>
      </c>
    </row>
    <row r="3102" spans="1:9" ht="51.75" customHeight="1" x14ac:dyDescent="0.35">
      <c r="A3102" s="15">
        <v>1</v>
      </c>
      <c r="B3102" s="15" t="s">
        <v>30283</v>
      </c>
      <c r="C3102" s="15" t="s">
        <v>30284</v>
      </c>
      <c r="D3102" s="31">
        <v>39682</v>
      </c>
      <c r="E3102" s="15" t="s">
        <v>30285</v>
      </c>
      <c r="F3102" s="87"/>
      <c r="G3102" s="45" t="s">
        <v>1406</v>
      </c>
      <c r="H3102" s="55" t="s">
        <v>1407</v>
      </c>
      <c r="I3102" s="15" t="s">
        <v>214</v>
      </c>
    </row>
    <row r="3103" spans="1:9" ht="51.75" customHeight="1" x14ac:dyDescent="0.35">
      <c r="A3103" s="15">
        <v>2</v>
      </c>
      <c r="B3103" s="15" t="s">
        <v>30286</v>
      </c>
      <c r="C3103" s="15" t="s">
        <v>30287</v>
      </c>
      <c r="D3103" s="31">
        <v>39682</v>
      </c>
      <c r="E3103" s="15" t="s">
        <v>30288</v>
      </c>
      <c r="F3103" s="87"/>
      <c r="G3103" s="45" t="s">
        <v>1406</v>
      </c>
      <c r="H3103" s="55" t="s">
        <v>1407</v>
      </c>
      <c r="I3103" s="15" t="s">
        <v>214</v>
      </c>
    </row>
    <row r="3104" spans="1:9" ht="51.75" customHeight="1" x14ac:dyDescent="0.35">
      <c r="A3104" s="15">
        <v>1</v>
      </c>
      <c r="B3104" s="15" t="s">
        <v>30289</v>
      </c>
      <c r="C3104" s="15" t="s">
        <v>30290</v>
      </c>
      <c r="D3104" s="31">
        <v>40004</v>
      </c>
      <c r="E3104" s="15" t="s">
        <v>30291</v>
      </c>
      <c r="F3104" s="87"/>
      <c r="G3104" s="45" t="s">
        <v>3060</v>
      </c>
      <c r="H3104" s="55" t="s">
        <v>3061</v>
      </c>
      <c r="I3104" s="15" t="s">
        <v>214</v>
      </c>
    </row>
    <row r="3105" spans="1:9" ht="51.75" customHeight="1" x14ac:dyDescent="0.35">
      <c r="A3105" s="15">
        <v>2</v>
      </c>
      <c r="B3105" s="15" t="s">
        <v>30292</v>
      </c>
      <c r="C3105" s="15" t="s">
        <v>30293</v>
      </c>
      <c r="D3105" s="31">
        <v>40004</v>
      </c>
      <c r="E3105" s="15" t="s">
        <v>30294</v>
      </c>
      <c r="F3105" s="87"/>
      <c r="G3105" s="45" t="s">
        <v>3060</v>
      </c>
      <c r="H3105" s="55" t="s">
        <v>3061</v>
      </c>
      <c r="I3105" s="15" t="s">
        <v>214</v>
      </c>
    </row>
    <row r="3106" spans="1:9" ht="51.75" customHeight="1" x14ac:dyDescent="0.35">
      <c r="A3106" s="15">
        <v>3</v>
      </c>
      <c r="B3106" s="15" t="s">
        <v>30295</v>
      </c>
      <c r="C3106" s="15" t="s">
        <v>30296</v>
      </c>
      <c r="D3106" s="31">
        <v>40004</v>
      </c>
      <c r="E3106" s="15" t="s">
        <v>30297</v>
      </c>
      <c r="F3106" s="87"/>
      <c r="G3106" s="45" t="s">
        <v>3060</v>
      </c>
      <c r="H3106" s="55" t="s">
        <v>3061</v>
      </c>
      <c r="I3106" s="15" t="s">
        <v>214</v>
      </c>
    </row>
    <row r="3107" spans="1:9" ht="51.75" customHeight="1" x14ac:dyDescent="0.35">
      <c r="A3107" s="15">
        <v>4</v>
      </c>
      <c r="B3107" s="15" t="s">
        <v>30298</v>
      </c>
      <c r="C3107" s="15" t="s">
        <v>30299</v>
      </c>
      <c r="D3107" s="31">
        <v>40004</v>
      </c>
      <c r="E3107" s="15" t="s">
        <v>30300</v>
      </c>
      <c r="F3107" s="87"/>
      <c r="G3107" s="45" t="s">
        <v>3060</v>
      </c>
      <c r="H3107" s="55" t="s">
        <v>3061</v>
      </c>
      <c r="I3107" s="15" t="s">
        <v>214</v>
      </c>
    </row>
    <row r="3108" spans="1:9" ht="51.75" customHeight="1" x14ac:dyDescent="0.35">
      <c r="A3108" s="15">
        <v>5</v>
      </c>
      <c r="B3108" s="15" t="s">
        <v>30301</v>
      </c>
      <c r="C3108" s="15" t="s">
        <v>30302</v>
      </c>
      <c r="D3108" s="31">
        <v>40004</v>
      </c>
      <c r="E3108" s="15" t="s">
        <v>30303</v>
      </c>
      <c r="F3108" s="87"/>
      <c r="G3108" s="45" t="s">
        <v>3060</v>
      </c>
      <c r="H3108" s="55" t="s">
        <v>3061</v>
      </c>
      <c r="I3108" s="15" t="s">
        <v>214</v>
      </c>
    </row>
    <row r="3109" spans="1:9" ht="51.75" customHeight="1" x14ac:dyDescent="0.35">
      <c r="A3109" s="15">
        <v>1</v>
      </c>
      <c r="B3109" s="15" t="s">
        <v>30304</v>
      </c>
      <c r="C3109" s="15" t="s">
        <v>30305</v>
      </c>
      <c r="D3109" s="31">
        <v>39981</v>
      </c>
      <c r="E3109" s="15" t="s">
        <v>30306</v>
      </c>
      <c r="F3109" s="87"/>
      <c r="G3109" s="45" t="s">
        <v>2997</v>
      </c>
      <c r="H3109" s="55" t="s">
        <v>2998</v>
      </c>
      <c r="I3109" s="15" t="s">
        <v>214</v>
      </c>
    </row>
    <row r="3110" spans="1:9" ht="51.75" customHeight="1" x14ac:dyDescent="0.35">
      <c r="A3110" s="15">
        <v>2</v>
      </c>
      <c r="B3110" s="15" t="s">
        <v>30307</v>
      </c>
      <c r="C3110" s="15" t="s">
        <v>30308</v>
      </c>
      <c r="D3110" s="31">
        <v>39981</v>
      </c>
      <c r="E3110" s="15" t="s">
        <v>30309</v>
      </c>
      <c r="F3110" s="87"/>
      <c r="G3110" s="45" t="s">
        <v>2997</v>
      </c>
      <c r="H3110" s="55" t="s">
        <v>2998</v>
      </c>
      <c r="I3110" s="15" t="s">
        <v>214</v>
      </c>
    </row>
    <row r="3111" spans="1:9" ht="51.75" customHeight="1" x14ac:dyDescent="0.35">
      <c r="A3111" s="15">
        <v>1</v>
      </c>
      <c r="B3111" s="15" t="s">
        <v>30310</v>
      </c>
      <c r="C3111" s="15" t="s">
        <v>30311</v>
      </c>
      <c r="D3111" s="31">
        <v>40074</v>
      </c>
      <c r="E3111" s="15" t="s">
        <v>30312</v>
      </c>
      <c r="F3111" s="87"/>
      <c r="G3111" s="45" t="s">
        <v>2987</v>
      </c>
      <c r="H3111" s="55" t="s">
        <v>2988</v>
      </c>
      <c r="I3111" s="15" t="s">
        <v>214</v>
      </c>
    </row>
    <row r="3112" spans="1:9" ht="51.75" customHeight="1" x14ac:dyDescent="0.35">
      <c r="A3112" s="15">
        <v>2</v>
      </c>
      <c r="B3112" s="15" t="s">
        <v>30313</v>
      </c>
      <c r="C3112" s="15" t="s">
        <v>30314</v>
      </c>
      <c r="D3112" s="31">
        <v>40074</v>
      </c>
      <c r="E3112" s="15" t="s">
        <v>30315</v>
      </c>
      <c r="F3112" s="87"/>
      <c r="G3112" s="45" t="s">
        <v>2987</v>
      </c>
      <c r="H3112" s="55" t="s">
        <v>2988</v>
      </c>
      <c r="I3112" s="15" t="s">
        <v>214</v>
      </c>
    </row>
    <row r="3113" spans="1:9" ht="51.75" customHeight="1" x14ac:dyDescent="0.35">
      <c r="A3113" s="15">
        <v>3</v>
      </c>
      <c r="B3113" s="15" t="s">
        <v>30316</v>
      </c>
      <c r="C3113" s="15" t="s">
        <v>30317</v>
      </c>
      <c r="D3113" s="31">
        <v>40074</v>
      </c>
      <c r="E3113" s="15" t="s">
        <v>30318</v>
      </c>
      <c r="F3113" s="87"/>
      <c r="G3113" s="45" t="s">
        <v>2987</v>
      </c>
      <c r="H3113" s="55" t="s">
        <v>2988</v>
      </c>
      <c r="I3113" s="15" t="s">
        <v>214</v>
      </c>
    </row>
    <row r="3114" spans="1:9" ht="51.75" customHeight="1" x14ac:dyDescent="0.35">
      <c r="A3114" s="15">
        <v>4</v>
      </c>
      <c r="B3114" s="15" t="s">
        <v>30319</v>
      </c>
      <c r="C3114" s="15" t="s">
        <v>30320</v>
      </c>
      <c r="D3114" s="31">
        <v>40074</v>
      </c>
      <c r="E3114" s="15" t="s">
        <v>30321</v>
      </c>
      <c r="F3114" s="87"/>
      <c r="G3114" s="45" t="s">
        <v>2987</v>
      </c>
      <c r="H3114" s="55" t="s">
        <v>2988</v>
      </c>
      <c r="I3114" s="15" t="s">
        <v>214</v>
      </c>
    </row>
    <row r="3115" spans="1:9" ht="51.75" customHeight="1" x14ac:dyDescent="0.35">
      <c r="A3115" s="15">
        <v>5</v>
      </c>
      <c r="B3115" s="15" t="s">
        <v>30322</v>
      </c>
      <c r="C3115" s="15" t="s">
        <v>30323</v>
      </c>
      <c r="D3115" s="31">
        <v>40074</v>
      </c>
      <c r="E3115" s="15" t="s">
        <v>30324</v>
      </c>
      <c r="F3115" s="87"/>
      <c r="G3115" s="45" t="s">
        <v>2987</v>
      </c>
      <c r="H3115" s="55" t="s">
        <v>2988</v>
      </c>
      <c r="I3115" s="15" t="s">
        <v>214</v>
      </c>
    </row>
    <row r="3116" spans="1:9" ht="51.75" customHeight="1" x14ac:dyDescent="0.35">
      <c r="A3116" s="15">
        <v>1</v>
      </c>
      <c r="B3116" s="15" t="s">
        <v>30325</v>
      </c>
      <c r="C3116" s="15" t="s">
        <v>30326</v>
      </c>
      <c r="D3116" s="31">
        <v>39987</v>
      </c>
      <c r="E3116" s="15" t="s">
        <v>30327</v>
      </c>
      <c r="F3116" s="87"/>
      <c r="G3116" s="45" t="s">
        <v>2976</v>
      </c>
      <c r="H3116" s="55" t="s">
        <v>2977</v>
      </c>
      <c r="I3116" s="15" t="s">
        <v>214</v>
      </c>
    </row>
    <row r="3117" spans="1:9" ht="51.75" customHeight="1" x14ac:dyDescent="0.35">
      <c r="A3117" s="15">
        <v>2</v>
      </c>
      <c r="B3117" s="15" t="s">
        <v>30328</v>
      </c>
      <c r="C3117" s="15" t="s">
        <v>30329</v>
      </c>
      <c r="D3117" s="31">
        <v>39987</v>
      </c>
      <c r="E3117" s="15" t="s">
        <v>30330</v>
      </c>
      <c r="F3117" s="87"/>
      <c r="G3117" s="45" t="s">
        <v>2976</v>
      </c>
      <c r="H3117" s="55" t="s">
        <v>2977</v>
      </c>
      <c r="I3117" s="15" t="s">
        <v>214</v>
      </c>
    </row>
    <row r="3118" spans="1:9" ht="51.75" customHeight="1" x14ac:dyDescent="0.35">
      <c r="A3118" s="15">
        <v>3</v>
      </c>
      <c r="B3118" s="15" t="s">
        <v>30331</v>
      </c>
      <c r="C3118" s="15" t="s">
        <v>30332</v>
      </c>
      <c r="D3118" s="31">
        <v>39987</v>
      </c>
      <c r="E3118" s="15" t="s">
        <v>30333</v>
      </c>
      <c r="F3118" s="87"/>
      <c r="G3118" s="45" t="s">
        <v>2976</v>
      </c>
      <c r="H3118" s="55" t="s">
        <v>2977</v>
      </c>
      <c r="I3118" s="15" t="s">
        <v>214</v>
      </c>
    </row>
    <row r="3119" spans="1:9" ht="51.75" customHeight="1" x14ac:dyDescent="0.35">
      <c r="A3119" s="15">
        <v>4</v>
      </c>
      <c r="B3119" s="15" t="s">
        <v>30334</v>
      </c>
      <c r="C3119" s="15" t="s">
        <v>30335</v>
      </c>
      <c r="D3119" s="31">
        <v>39987</v>
      </c>
      <c r="E3119" s="15" t="s">
        <v>30336</v>
      </c>
      <c r="F3119" s="87"/>
      <c r="G3119" s="45" t="s">
        <v>2976</v>
      </c>
      <c r="H3119" s="55" t="s">
        <v>2977</v>
      </c>
      <c r="I3119" s="15" t="s">
        <v>214</v>
      </c>
    </row>
    <row r="3120" spans="1:9" ht="51.75" customHeight="1" x14ac:dyDescent="0.35">
      <c r="A3120" s="15">
        <v>5</v>
      </c>
      <c r="B3120" s="15" t="s">
        <v>30337</v>
      </c>
      <c r="C3120" s="15" t="s">
        <v>30338</v>
      </c>
      <c r="D3120" s="31">
        <v>39987</v>
      </c>
      <c r="E3120" s="15" t="s">
        <v>30339</v>
      </c>
      <c r="F3120" s="87"/>
      <c r="G3120" s="45" t="s">
        <v>2976</v>
      </c>
      <c r="H3120" s="55" t="s">
        <v>2977</v>
      </c>
      <c r="I3120" s="15" t="s">
        <v>214</v>
      </c>
    </row>
    <row r="3121" spans="1:9" ht="51.75" customHeight="1" x14ac:dyDescent="0.35">
      <c r="A3121" s="15">
        <v>6</v>
      </c>
      <c r="B3121" s="15" t="s">
        <v>30340</v>
      </c>
      <c r="C3121" s="15" t="s">
        <v>30341</v>
      </c>
      <c r="D3121" s="31">
        <v>39987</v>
      </c>
      <c r="E3121" s="15" t="s">
        <v>30342</v>
      </c>
      <c r="F3121" s="87"/>
      <c r="G3121" s="45" t="s">
        <v>2976</v>
      </c>
      <c r="H3121" s="55" t="s">
        <v>2977</v>
      </c>
      <c r="I3121" s="15" t="s">
        <v>214</v>
      </c>
    </row>
    <row r="3122" spans="1:9" ht="51.75" customHeight="1" x14ac:dyDescent="0.35">
      <c r="A3122" s="15">
        <v>7</v>
      </c>
      <c r="B3122" s="15" t="s">
        <v>30343</v>
      </c>
      <c r="C3122" s="15" t="s">
        <v>30344</v>
      </c>
      <c r="D3122" s="31">
        <v>39987</v>
      </c>
      <c r="E3122" s="15" t="s">
        <v>30345</v>
      </c>
      <c r="F3122" s="87"/>
      <c r="G3122" s="45" t="s">
        <v>2976</v>
      </c>
      <c r="H3122" s="55" t="s">
        <v>2977</v>
      </c>
      <c r="I3122" s="15" t="s">
        <v>214</v>
      </c>
    </row>
    <row r="3123" spans="1:9" ht="51.75" customHeight="1" x14ac:dyDescent="0.35">
      <c r="A3123" s="15">
        <v>8</v>
      </c>
      <c r="B3123" s="15" t="s">
        <v>30346</v>
      </c>
      <c r="C3123" s="15" t="s">
        <v>30347</v>
      </c>
      <c r="D3123" s="31">
        <v>39987</v>
      </c>
      <c r="E3123" s="15" t="s">
        <v>30348</v>
      </c>
      <c r="F3123" s="87"/>
      <c r="G3123" s="45" t="s">
        <v>2976</v>
      </c>
      <c r="H3123" s="55" t="s">
        <v>2977</v>
      </c>
      <c r="I3123" s="15" t="s">
        <v>214</v>
      </c>
    </row>
    <row r="3124" spans="1:9" ht="51.75" customHeight="1" x14ac:dyDescent="0.35">
      <c r="A3124" s="15">
        <v>1</v>
      </c>
      <c r="B3124" s="15" t="s">
        <v>30349</v>
      </c>
      <c r="C3124" s="15" t="s">
        <v>30350</v>
      </c>
      <c r="D3124" s="31">
        <v>40193</v>
      </c>
      <c r="E3124" s="15" t="s">
        <v>30351</v>
      </c>
      <c r="F3124" s="87"/>
      <c r="G3124" s="45" t="s">
        <v>2931</v>
      </c>
      <c r="H3124" s="55" t="s">
        <v>2932</v>
      </c>
      <c r="I3124" s="15" t="s">
        <v>214</v>
      </c>
    </row>
    <row r="3125" spans="1:9" ht="51.75" customHeight="1" x14ac:dyDescent="0.35">
      <c r="A3125" s="15">
        <v>2</v>
      </c>
      <c r="B3125" s="15" t="s">
        <v>30352</v>
      </c>
      <c r="C3125" s="15" t="s">
        <v>30353</v>
      </c>
      <c r="D3125" s="31">
        <v>40193</v>
      </c>
      <c r="E3125" s="15" t="s">
        <v>30354</v>
      </c>
      <c r="F3125" s="87"/>
      <c r="G3125" s="45" t="s">
        <v>2931</v>
      </c>
      <c r="H3125" s="55" t="s">
        <v>2932</v>
      </c>
      <c r="I3125" s="15" t="s">
        <v>214</v>
      </c>
    </row>
    <row r="3126" spans="1:9" ht="51.75" customHeight="1" x14ac:dyDescent="0.35">
      <c r="A3126" s="15">
        <v>3</v>
      </c>
      <c r="B3126" s="15" t="s">
        <v>30355</v>
      </c>
      <c r="C3126" s="15" t="s">
        <v>30356</v>
      </c>
      <c r="D3126" s="31">
        <v>40193</v>
      </c>
      <c r="E3126" s="15" t="s">
        <v>30357</v>
      </c>
      <c r="F3126" s="87"/>
      <c r="G3126" s="45" t="s">
        <v>2931</v>
      </c>
      <c r="H3126" s="55" t="s">
        <v>2932</v>
      </c>
      <c r="I3126" s="15" t="s">
        <v>214</v>
      </c>
    </row>
    <row r="3127" spans="1:9" ht="51.75" customHeight="1" x14ac:dyDescent="0.35">
      <c r="A3127" s="15">
        <v>4</v>
      </c>
      <c r="B3127" s="15" t="s">
        <v>30358</v>
      </c>
      <c r="C3127" s="15" t="s">
        <v>30359</v>
      </c>
      <c r="D3127" s="31">
        <v>40193</v>
      </c>
      <c r="E3127" s="15" t="s">
        <v>30360</v>
      </c>
      <c r="F3127" s="87"/>
      <c r="G3127" s="45" t="s">
        <v>2931</v>
      </c>
      <c r="H3127" s="55" t="s">
        <v>2932</v>
      </c>
      <c r="I3127" s="15" t="s">
        <v>214</v>
      </c>
    </row>
    <row r="3128" spans="1:9" ht="51.75" customHeight="1" x14ac:dyDescent="0.35">
      <c r="A3128" s="15">
        <v>5</v>
      </c>
      <c r="B3128" s="15" t="s">
        <v>30361</v>
      </c>
      <c r="C3128" s="15" t="s">
        <v>30362</v>
      </c>
      <c r="D3128" s="31">
        <v>40193</v>
      </c>
      <c r="E3128" s="15" t="s">
        <v>30363</v>
      </c>
      <c r="F3128" s="87"/>
      <c r="G3128" s="45" t="s">
        <v>2931</v>
      </c>
      <c r="H3128" s="55" t="s">
        <v>2932</v>
      </c>
      <c r="I3128" s="15" t="s">
        <v>214</v>
      </c>
    </row>
    <row r="3129" spans="1:9" ht="51.75" customHeight="1" x14ac:dyDescent="0.35">
      <c r="A3129" s="15">
        <v>6</v>
      </c>
      <c r="B3129" s="15" t="s">
        <v>30364</v>
      </c>
      <c r="C3129" s="15" t="s">
        <v>30365</v>
      </c>
      <c r="D3129" s="31">
        <v>40193</v>
      </c>
      <c r="E3129" s="15" t="s">
        <v>30366</v>
      </c>
      <c r="F3129" s="87"/>
      <c r="G3129" s="45" t="s">
        <v>2931</v>
      </c>
      <c r="H3129" s="55" t="s">
        <v>2932</v>
      </c>
      <c r="I3129" s="15" t="s">
        <v>214</v>
      </c>
    </row>
    <row r="3130" spans="1:9" ht="51.75" customHeight="1" x14ac:dyDescent="0.35">
      <c r="A3130" s="15">
        <v>7</v>
      </c>
      <c r="B3130" s="15" t="s">
        <v>30367</v>
      </c>
      <c r="C3130" s="15" t="s">
        <v>30368</v>
      </c>
      <c r="D3130" s="31">
        <v>40193</v>
      </c>
      <c r="E3130" s="15" t="s">
        <v>30369</v>
      </c>
      <c r="F3130" s="87"/>
      <c r="G3130" s="45" t="s">
        <v>2931</v>
      </c>
      <c r="H3130" s="55" t="s">
        <v>2932</v>
      </c>
      <c r="I3130" s="15" t="s">
        <v>214</v>
      </c>
    </row>
    <row r="3131" spans="1:9" ht="51.75" customHeight="1" x14ac:dyDescent="0.35">
      <c r="A3131" s="15">
        <v>1</v>
      </c>
      <c r="B3131" s="15" t="s">
        <v>30370</v>
      </c>
      <c r="C3131" s="15" t="s">
        <v>30371</v>
      </c>
      <c r="D3131" s="31">
        <v>40070</v>
      </c>
      <c r="E3131" s="15" t="s">
        <v>30372</v>
      </c>
      <c r="F3131" s="87"/>
      <c r="G3131" s="45" t="s">
        <v>2852</v>
      </c>
      <c r="H3131" s="55" t="s">
        <v>2853</v>
      </c>
      <c r="I3131" s="15" t="s">
        <v>214</v>
      </c>
    </row>
    <row r="3132" spans="1:9" ht="51.75" customHeight="1" x14ac:dyDescent="0.35">
      <c r="A3132" s="15">
        <v>2</v>
      </c>
      <c r="B3132" s="15" t="s">
        <v>30373</v>
      </c>
      <c r="C3132" s="15" t="s">
        <v>30374</v>
      </c>
      <c r="D3132" s="31">
        <v>40070</v>
      </c>
      <c r="E3132" s="15" t="s">
        <v>30375</v>
      </c>
      <c r="F3132" s="87"/>
      <c r="G3132" s="45" t="s">
        <v>2852</v>
      </c>
      <c r="H3132" s="55" t="s">
        <v>2853</v>
      </c>
      <c r="I3132" s="15" t="s">
        <v>214</v>
      </c>
    </row>
    <row r="3133" spans="1:9" ht="51.75" customHeight="1" x14ac:dyDescent="0.35">
      <c r="A3133" s="15">
        <v>3</v>
      </c>
      <c r="B3133" s="15" t="s">
        <v>30376</v>
      </c>
      <c r="C3133" s="15" t="s">
        <v>30377</v>
      </c>
      <c r="D3133" s="31">
        <v>40070</v>
      </c>
      <c r="E3133" s="15" t="s">
        <v>30378</v>
      </c>
      <c r="F3133" s="87"/>
      <c r="G3133" s="45" t="s">
        <v>2852</v>
      </c>
      <c r="H3133" s="55" t="s">
        <v>2853</v>
      </c>
      <c r="I3133" s="15" t="s">
        <v>214</v>
      </c>
    </row>
    <row r="3134" spans="1:9" ht="51.75" customHeight="1" x14ac:dyDescent="0.35">
      <c r="A3134" s="15">
        <v>4</v>
      </c>
      <c r="B3134" s="15" t="s">
        <v>30379</v>
      </c>
      <c r="C3134" s="15" t="s">
        <v>30380</v>
      </c>
      <c r="D3134" s="31">
        <v>40070</v>
      </c>
      <c r="E3134" s="15" t="s">
        <v>30381</v>
      </c>
      <c r="F3134" s="87"/>
      <c r="G3134" s="45" t="s">
        <v>2852</v>
      </c>
      <c r="H3134" s="55" t="s">
        <v>2853</v>
      </c>
      <c r="I3134" s="15" t="s">
        <v>214</v>
      </c>
    </row>
    <row r="3135" spans="1:9" ht="51.75" customHeight="1" x14ac:dyDescent="0.35">
      <c r="A3135" s="15">
        <v>5</v>
      </c>
      <c r="B3135" s="15" t="s">
        <v>30382</v>
      </c>
      <c r="C3135" s="15" t="s">
        <v>30383</v>
      </c>
      <c r="D3135" s="31">
        <v>40070</v>
      </c>
      <c r="E3135" s="15" t="s">
        <v>30384</v>
      </c>
      <c r="F3135" s="87"/>
      <c r="G3135" s="45" t="s">
        <v>2852</v>
      </c>
      <c r="H3135" s="55" t="s">
        <v>2853</v>
      </c>
      <c r="I3135" s="15" t="s">
        <v>214</v>
      </c>
    </row>
    <row r="3136" spans="1:9" ht="51.75" customHeight="1" x14ac:dyDescent="0.35">
      <c r="A3136" s="15">
        <v>6</v>
      </c>
      <c r="B3136" s="15" t="s">
        <v>30385</v>
      </c>
      <c r="C3136" s="15" t="s">
        <v>30386</v>
      </c>
      <c r="D3136" s="31">
        <v>40070</v>
      </c>
      <c r="E3136" s="15" t="s">
        <v>30387</v>
      </c>
      <c r="F3136" s="87"/>
      <c r="G3136" s="45" t="s">
        <v>2852</v>
      </c>
      <c r="H3136" s="55" t="s">
        <v>2853</v>
      </c>
      <c r="I3136" s="15" t="s">
        <v>214</v>
      </c>
    </row>
    <row r="3137" spans="1:9" ht="51.75" customHeight="1" x14ac:dyDescent="0.35">
      <c r="A3137" s="15">
        <v>7</v>
      </c>
      <c r="B3137" s="15" t="s">
        <v>30388</v>
      </c>
      <c r="C3137" s="15" t="s">
        <v>30389</v>
      </c>
      <c r="D3137" s="31">
        <v>40070</v>
      </c>
      <c r="E3137" s="15" t="s">
        <v>30390</v>
      </c>
      <c r="F3137" s="87"/>
      <c r="G3137" s="45" t="s">
        <v>2852</v>
      </c>
      <c r="H3137" s="55" t="s">
        <v>2853</v>
      </c>
      <c r="I3137" s="15" t="s">
        <v>214</v>
      </c>
    </row>
    <row r="3138" spans="1:9" ht="51.75" customHeight="1" x14ac:dyDescent="0.35">
      <c r="A3138" s="15">
        <v>1</v>
      </c>
      <c r="B3138" s="15" t="s">
        <v>30391</v>
      </c>
      <c r="C3138" s="15" t="s">
        <v>30392</v>
      </c>
      <c r="D3138" s="31">
        <v>40141</v>
      </c>
      <c r="E3138" s="15" t="s">
        <v>30393</v>
      </c>
      <c r="F3138" s="87"/>
      <c r="G3138" s="45" t="s">
        <v>2828</v>
      </c>
      <c r="H3138" s="55" t="s">
        <v>2829</v>
      </c>
      <c r="I3138" s="15" t="s">
        <v>214</v>
      </c>
    </row>
    <row r="3139" spans="1:9" ht="51.75" customHeight="1" x14ac:dyDescent="0.35">
      <c r="A3139" s="15">
        <v>2</v>
      </c>
      <c r="B3139" s="15" t="s">
        <v>30394</v>
      </c>
      <c r="C3139" s="15" t="s">
        <v>30395</v>
      </c>
      <c r="D3139" s="31">
        <v>40141</v>
      </c>
      <c r="E3139" s="15" t="s">
        <v>30396</v>
      </c>
      <c r="F3139" s="87"/>
      <c r="G3139" s="45" t="s">
        <v>2828</v>
      </c>
      <c r="H3139" s="55" t="s">
        <v>2829</v>
      </c>
      <c r="I3139" s="15" t="s">
        <v>214</v>
      </c>
    </row>
    <row r="3140" spans="1:9" ht="51.75" customHeight="1" x14ac:dyDescent="0.35">
      <c r="A3140" s="15">
        <v>3</v>
      </c>
      <c r="B3140" s="15" t="s">
        <v>30397</v>
      </c>
      <c r="C3140" s="15" t="s">
        <v>30398</v>
      </c>
      <c r="D3140" s="31">
        <v>40141</v>
      </c>
      <c r="E3140" s="15" t="s">
        <v>30399</v>
      </c>
      <c r="F3140" s="87"/>
      <c r="G3140" s="45" t="s">
        <v>2828</v>
      </c>
      <c r="H3140" s="55" t="s">
        <v>2829</v>
      </c>
      <c r="I3140" s="15" t="s">
        <v>214</v>
      </c>
    </row>
    <row r="3141" spans="1:9" ht="51.75" customHeight="1" x14ac:dyDescent="0.35">
      <c r="A3141" s="15">
        <v>1</v>
      </c>
      <c r="B3141" s="15" t="s">
        <v>30400</v>
      </c>
      <c r="C3141" s="15" t="s">
        <v>30401</v>
      </c>
      <c r="D3141" s="31">
        <v>40004</v>
      </c>
      <c r="E3141" s="15" t="s">
        <v>30402</v>
      </c>
      <c r="F3141" s="87"/>
      <c r="G3141" s="45" t="s">
        <v>2755</v>
      </c>
      <c r="H3141" s="55" t="s">
        <v>2756</v>
      </c>
      <c r="I3141" s="15" t="s">
        <v>214</v>
      </c>
    </row>
    <row r="3142" spans="1:9" ht="51.75" customHeight="1" x14ac:dyDescent="0.35">
      <c r="A3142" s="15">
        <v>2</v>
      </c>
      <c r="B3142" s="15" t="s">
        <v>30403</v>
      </c>
      <c r="C3142" s="15" t="s">
        <v>30404</v>
      </c>
      <c r="D3142" s="31">
        <v>40004</v>
      </c>
      <c r="E3142" s="15" t="s">
        <v>30405</v>
      </c>
      <c r="F3142" s="87"/>
      <c r="G3142" s="45" t="s">
        <v>2755</v>
      </c>
      <c r="H3142" s="55" t="s">
        <v>2756</v>
      </c>
      <c r="I3142" s="15" t="s">
        <v>214</v>
      </c>
    </row>
    <row r="3143" spans="1:9" ht="51.75" customHeight="1" x14ac:dyDescent="0.35">
      <c r="A3143" s="15">
        <v>3</v>
      </c>
      <c r="B3143" s="15" t="s">
        <v>30406</v>
      </c>
      <c r="C3143" s="15" t="s">
        <v>30407</v>
      </c>
      <c r="D3143" s="31">
        <v>40004</v>
      </c>
      <c r="E3143" s="15" t="s">
        <v>30408</v>
      </c>
      <c r="F3143" s="87"/>
      <c r="G3143" s="45" t="s">
        <v>2755</v>
      </c>
      <c r="H3143" s="55" t="s">
        <v>2756</v>
      </c>
      <c r="I3143" s="15" t="s">
        <v>214</v>
      </c>
    </row>
    <row r="3144" spans="1:9" ht="51.75" customHeight="1" x14ac:dyDescent="0.35">
      <c r="A3144" s="15">
        <v>4</v>
      </c>
      <c r="B3144" s="15" t="s">
        <v>30409</v>
      </c>
      <c r="C3144" s="15" t="s">
        <v>30410</v>
      </c>
      <c r="D3144" s="31">
        <v>40004</v>
      </c>
      <c r="E3144" s="15" t="s">
        <v>30411</v>
      </c>
      <c r="F3144" s="87"/>
      <c r="G3144" s="45" t="s">
        <v>2755</v>
      </c>
      <c r="H3144" s="55" t="s">
        <v>2756</v>
      </c>
      <c r="I3144" s="15" t="s">
        <v>214</v>
      </c>
    </row>
    <row r="3145" spans="1:9" ht="51.75" customHeight="1" x14ac:dyDescent="0.35">
      <c r="A3145" s="15">
        <v>5</v>
      </c>
      <c r="B3145" s="15" t="s">
        <v>30412</v>
      </c>
      <c r="C3145" s="15" t="s">
        <v>30413</v>
      </c>
      <c r="D3145" s="31">
        <v>40004</v>
      </c>
      <c r="E3145" s="15" t="s">
        <v>30414</v>
      </c>
      <c r="F3145" s="87"/>
      <c r="G3145" s="45" t="s">
        <v>2755</v>
      </c>
      <c r="H3145" s="55" t="s">
        <v>2756</v>
      </c>
      <c r="I3145" s="15" t="s">
        <v>214</v>
      </c>
    </row>
    <row r="3146" spans="1:9" ht="51.75" customHeight="1" x14ac:dyDescent="0.35">
      <c r="A3146" s="15">
        <v>1</v>
      </c>
      <c r="B3146" s="15" t="s">
        <v>30415</v>
      </c>
      <c r="C3146" s="15" t="s">
        <v>30416</v>
      </c>
      <c r="D3146" s="31">
        <v>40074</v>
      </c>
      <c r="E3146" s="15" t="s">
        <v>30417</v>
      </c>
      <c r="F3146" s="87"/>
      <c r="G3146" s="45" t="s">
        <v>2735</v>
      </c>
      <c r="H3146" s="55" t="s">
        <v>2736</v>
      </c>
      <c r="I3146" s="15" t="s">
        <v>214</v>
      </c>
    </row>
    <row r="3147" spans="1:9" ht="51.75" customHeight="1" x14ac:dyDescent="0.35">
      <c r="A3147" s="15">
        <v>2</v>
      </c>
      <c r="B3147" s="15" t="s">
        <v>30418</v>
      </c>
      <c r="C3147" s="15" t="s">
        <v>30419</v>
      </c>
      <c r="D3147" s="31">
        <v>40074</v>
      </c>
      <c r="E3147" s="15" t="s">
        <v>30420</v>
      </c>
      <c r="F3147" s="87"/>
      <c r="G3147" s="45" t="s">
        <v>2735</v>
      </c>
      <c r="H3147" s="55" t="s">
        <v>2736</v>
      </c>
      <c r="I3147" s="15" t="s">
        <v>214</v>
      </c>
    </row>
    <row r="3148" spans="1:9" ht="51.75" customHeight="1" x14ac:dyDescent="0.35">
      <c r="A3148" s="15">
        <v>3</v>
      </c>
      <c r="B3148" s="15" t="s">
        <v>30421</v>
      </c>
      <c r="C3148" s="15" t="s">
        <v>30422</v>
      </c>
      <c r="D3148" s="31">
        <v>40074</v>
      </c>
      <c r="E3148" s="15" t="s">
        <v>30423</v>
      </c>
      <c r="F3148" s="87"/>
      <c r="G3148" s="45" t="s">
        <v>2735</v>
      </c>
      <c r="H3148" s="55" t="s">
        <v>2736</v>
      </c>
      <c r="I3148" s="15" t="s">
        <v>214</v>
      </c>
    </row>
    <row r="3149" spans="1:9" ht="51.75" customHeight="1" x14ac:dyDescent="0.35">
      <c r="A3149" s="15">
        <v>4</v>
      </c>
      <c r="B3149" s="15" t="s">
        <v>30424</v>
      </c>
      <c r="C3149" s="15" t="s">
        <v>30425</v>
      </c>
      <c r="D3149" s="31">
        <v>40074</v>
      </c>
      <c r="E3149" s="15" t="s">
        <v>30426</v>
      </c>
      <c r="F3149" s="87"/>
      <c r="G3149" s="45" t="s">
        <v>2735</v>
      </c>
      <c r="H3149" s="55" t="s">
        <v>2736</v>
      </c>
      <c r="I3149" s="15" t="s">
        <v>214</v>
      </c>
    </row>
    <row r="3150" spans="1:9" ht="51.75" customHeight="1" x14ac:dyDescent="0.35">
      <c r="A3150" s="15">
        <v>5</v>
      </c>
      <c r="B3150" s="15" t="s">
        <v>30427</v>
      </c>
      <c r="C3150" s="15" t="s">
        <v>30428</v>
      </c>
      <c r="D3150" s="31">
        <v>40074</v>
      </c>
      <c r="E3150" s="15" t="s">
        <v>30429</v>
      </c>
      <c r="F3150" s="87"/>
      <c r="G3150" s="45" t="s">
        <v>2735</v>
      </c>
      <c r="H3150" s="55" t="s">
        <v>2736</v>
      </c>
      <c r="I3150" s="15" t="s">
        <v>214</v>
      </c>
    </row>
    <row r="3151" spans="1:9" ht="51.75" customHeight="1" x14ac:dyDescent="0.35">
      <c r="A3151" s="15">
        <v>6</v>
      </c>
      <c r="B3151" s="15" t="s">
        <v>30430</v>
      </c>
      <c r="C3151" s="15" t="s">
        <v>30431</v>
      </c>
      <c r="D3151" s="31">
        <v>40074</v>
      </c>
      <c r="E3151" s="15" t="s">
        <v>30432</v>
      </c>
      <c r="F3151" s="87"/>
      <c r="G3151" s="45" t="s">
        <v>2735</v>
      </c>
      <c r="H3151" s="55" t="s">
        <v>2736</v>
      </c>
      <c r="I3151" s="15" t="s">
        <v>214</v>
      </c>
    </row>
    <row r="3152" spans="1:9" ht="51.75" customHeight="1" x14ac:dyDescent="0.35">
      <c r="A3152" s="15">
        <v>7</v>
      </c>
      <c r="B3152" s="15" t="s">
        <v>30433</v>
      </c>
      <c r="C3152" s="15" t="s">
        <v>30434</v>
      </c>
      <c r="D3152" s="31">
        <v>40074</v>
      </c>
      <c r="E3152" s="15" t="s">
        <v>30435</v>
      </c>
      <c r="F3152" s="87"/>
      <c r="G3152" s="45" t="s">
        <v>2735</v>
      </c>
      <c r="H3152" s="55" t="s">
        <v>2736</v>
      </c>
      <c r="I3152" s="15" t="s">
        <v>214</v>
      </c>
    </row>
    <row r="3153" spans="1:9" ht="51.75" customHeight="1" x14ac:dyDescent="0.35">
      <c r="A3153" s="15">
        <v>1</v>
      </c>
      <c r="B3153" s="15" t="s">
        <v>30436</v>
      </c>
      <c r="C3153" s="15" t="s">
        <v>30437</v>
      </c>
      <c r="D3153" s="31">
        <v>39909</v>
      </c>
      <c r="E3153" s="15" t="s">
        <v>30438</v>
      </c>
      <c r="F3153" s="87"/>
      <c r="G3153" s="45" t="s">
        <v>2715</v>
      </c>
      <c r="H3153" s="55" t="s">
        <v>2716</v>
      </c>
      <c r="I3153" s="15" t="s">
        <v>214</v>
      </c>
    </row>
    <row r="3154" spans="1:9" ht="51.75" customHeight="1" x14ac:dyDescent="0.35">
      <c r="A3154" s="15">
        <v>2</v>
      </c>
      <c r="B3154" s="15" t="s">
        <v>30439</v>
      </c>
      <c r="C3154" s="15" t="s">
        <v>30440</v>
      </c>
      <c r="D3154" s="31">
        <v>39909</v>
      </c>
      <c r="E3154" s="15" t="s">
        <v>30441</v>
      </c>
      <c r="F3154" s="87"/>
      <c r="G3154" s="45" t="s">
        <v>2715</v>
      </c>
      <c r="H3154" s="55" t="s">
        <v>2716</v>
      </c>
      <c r="I3154" s="15" t="s">
        <v>214</v>
      </c>
    </row>
    <row r="3155" spans="1:9" ht="51.75" customHeight="1" x14ac:dyDescent="0.35">
      <c r="A3155" s="15">
        <v>3</v>
      </c>
      <c r="B3155" s="15" t="s">
        <v>30442</v>
      </c>
      <c r="C3155" s="15" t="s">
        <v>30443</v>
      </c>
      <c r="D3155" s="31">
        <v>39909</v>
      </c>
      <c r="E3155" s="15" t="s">
        <v>30444</v>
      </c>
      <c r="F3155" s="87"/>
      <c r="G3155" s="45" t="s">
        <v>2715</v>
      </c>
      <c r="H3155" s="55" t="s">
        <v>2716</v>
      </c>
      <c r="I3155" s="15" t="s">
        <v>214</v>
      </c>
    </row>
    <row r="3156" spans="1:9" ht="51.75" customHeight="1" x14ac:dyDescent="0.35">
      <c r="A3156" s="15">
        <v>4</v>
      </c>
      <c r="B3156" s="15" t="s">
        <v>30445</v>
      </c>
      <c r="C3156" s="15" t="s">
        <v>30446</v>
      </c>
      <c r="D3156" s="31">
        <v>39909</v>
      </c>
      <c r="E3156" s="15" t="s">
        <v>30447</v>
      </c>
      <c r="F3156" s="87"/>
      <c r="G3156" s="45" t="s">
        <v>2715</v>
      </c>
      <c r="H3156" s="55" t="s">
        <v>2716</v>
      </c>
      <c r="I3156" s="15" t="s">
        <v>214</v>
      </c>
    </row>
    <row r="3157" spans="1:9" ht="51.75" customHeight="1" x14ac:dyDescent="0.35">
      <c r="A3157" s="15">
        <v>1</v>
      </c>
      <c r="B3157" s="15" t="s">
        <v>30448</v>
      </c>
      <c r="C3157" s="15" t="s">
        <v>30449</v>
      </c>
      <c r="D3157" s="31">
        <v>39918</v>
      </c>
      <c r="E3157" s="15" t="s">
        <v>30450</v>
      </c>
      <c r="F3157" s="87"/>
      <c r="G3157" s="45" t="s">
        <v>2680</v>
      </c>
      <c r="H3157" s="55" t="s">
        <v>2681</v>
      </c>
      <c r="I3157" s="15" t="s">
        <v>214</v>
      </c>
    </row>
    <row r="3158" spans="1:9" ht="51.75" customHeight="1" x14ac:dyDescent="0.35">
      <c r="A3158" s="15">
        <v>2</v>
      </c>
      <c r="B3158" s="15" t="s">
        <v>30451</v>
      </c>
      <c r="C3158" s="15" t="s">
        <v>30452</v>
      </c>
      <c r="D3158" s="31">
        <v>39918</v>
      </c>
      <c r="E3158" s="15" t="s">
        <v>30453</v>
      </c>
      <c r="F3158" s="87"/>
      <c r="G3158" s="45" t="s">
        <v>2680</v>
      </c>
      <c r="H3158" s="55" t="s">
        <v>2681</v>
      </c>
      <c r="I3158" s="15" t="s">
        <v>214</v>
      </c>
    </row>
    <row r="3159" spans="1:9" ht="51.75" customHeight="1" x14ac:dyDescent="0.35">
      <c r="A3159" s="15">
        <v>3</v>
      </c>
      <c r="B3159" s="15" t="s">
        <v>30454</v>
      </c>
      <c r="C3159" s="15" t="s">
        <v>30455</v>
      </c>
      <c r="D3159" s="31">
        <v>39918</v>
      </c>
      <c r="E3159" s="15" t="s">
        <v>30456</v>
      </c>
      <c r="F3159" s="87"/>
      <c r="G3159" s="45" t="s">
        <v>2680</v>
      </c>
      <c r="H3159" s="55" t="s">
        <v>2681</v>
      </c>
      <c r="I3159" s="15" t="s">
        <v>214</v>
      </c>
    </row>
    <row r="3160" spans="1:9" ht="51.75" customHeight="1" x14ac:dyDescent="0.35">
      <c r="A3160" s="15">
        <v>1</v>
      </c>
      <c r="B3160" s="15" t="s">
        <v>30457</v>
      </c>
      <c r="C3160" s="15" t="s">
        <v>30458</v>
      </c>
      <c r="D3160" s="31">
        <v>39988</v>
      </c>
      <c r="E3160" s="15" t="s">
        <v>30459</v>
      </c>
      <c r="F3160" s="87"/>
      <c r="G3160" s="45" t="s">
        <v>2673</v>
      </c>
      <c r="H3160" s="55" t="s">
        <v>2674</v>
      </c>
      <c r="I3160" s="15" t="s">
        <v>214</v>
      </c>
    </row>
    <row r="3161" spans="1:9" ht="51.75" customHeight="1" x14ac:dyDescent="0.35">
      <c r="A3161" s="15">
        <v>2</v>
      </c>
      <c r="B3161" s="15" t="s">
        <v>30460</v>
      </c>
      <c r="C3161" s="15" t="s">
        <v>30461</v>
      </c>
      <c r="D3161" s="31">
        <v>39988</v>
      </c>
      <c r="E3161" s="15" t="s">
        <v>30462</v>
      </c>
      <c r="F3161" s="87"/>
      <c r="G3161" s="45" t="s">
        <v>2673</v>
      </c>
      <c r="H3161" s="55" t="s">
        <v>2674</v>
      </c>
      <c r="I3161" s="15" t="s">
        <v>214</v>
      </c>
    </row>
    <row r="3162" spans="1:9" ht="51.75" customHeight="1" x14ac:dyDescent="0.35">
      <c r="A3162" s="15">
        <v>3</v>
      </c>
      <c r="B3162" s="15" t="s">
        <v>30463</v>
      </c>
      <c r="C3162" s="15" t="s">
        <v>30464</v>
      </c>
      <c r="D3162" s="31">
        <v>39988</v>
      </c>
      <c r="E3162" s="15" t="s">
        <v>30465</v>
      </c>
      <c r="F3162" s="87"/>
      <c r="G3162" s="45" t="s">
        <v>2673</v>
      </c>
      <c r="H3162" s="55" t="s">
        <v>2674</v>
      </c>
      <c r="I3162" s="15" t="s">
        <v>214</v>
      </c>
    </row>
    <row r="3163" spans="1:9" ht="51.75" customHeight="1" x14ac:dyDescent="0.35">
      <c r="A3163" s="15">
        <v>4</v>
      </c>
      <c r="B3163" s="15" t="s">
        <v>30466</v>
      </c>
      <c r="C3163" s="15" t="s">
        <v>30467</v>
      </c>
      <c r="D3163" s="31">
        <v>39988</v>
      </c>
      <c r="E3163" s="15" t="s">
        <v>30468</v>
      </c>
      <c r="F3163" s="87"/>
      <c r="G3163" s="45" t="s">
        <v>2673</v>
      </c>
      <c r="H3163" s="55" t="s">
        <v>2674</v>
      </c>
      <c r="I3163" s="15" t="s">
        <v>214</v>
      </c>
    </row>
    <row r="3164" spans="1:9" ht="51.75" customHeight="1" x14ac:dyDescent="0.35">
      <c r="A3164" s="15">
        <v>5</v>
      </c>
      <c r="B3164" s="15" t="s">
        <v>30469</v>
      </c>
      <c r="C3164" s="15" t="s">
        <v>30470</v>
      </c>
      <c r="D3164" s="31">
        <v>39988</v>
      </c>
      <c r="E3164" s="15" t="s">
        <v>30471</v>
      </c>
      <c r="F3164" s="87"/>
      <c r="G3164" s="45" t="s">
        <v>2673</v>
      </c>
      <c r="H3164" s="55" t="s">
        <v>2674</v>
      </c>
      <c r="I3164" s="15" t="s">
        <v>214</v>
      </c>
    </row>
    <row r="3165" spans="1:9" ht="51.75" customHeight="1" x14ac:dyDescent="0.35">
      <c r="A3165" s="15">
        <v>6</v>
      </c>
      <c r="B3165" s="15" t="s">
        <v>30472</v>
      </c>
      <c r="C3165" s="15" t="s">
        <v>30473</v>
      </c>
      <c r="D3165" s="31">
        <v>39988</v>
      </c>
      <c r="E3165" s="15" t="s">
        <v>30474</v>
      </c>
      <c r="F3165" s="87"/>
      <c r="G3165" s="45" t="s">
        <v>2673</v>
      </c>
      <c r="H3165" s="55" t="s">
        <v>2674</v>
      </c>
      <c r="I3165" s="15" t="s">
        <v>214</v>
      </c>
    </row>
    <row r="3166" spans="1:9" ht="51.75" customHeight="1" x14ac:dyDescent="0.35">
      <c r="A3166" s="15">
        <v>7</v>
      </c>
      <c r="B3166" s="15" t="s">
        <v>30475</v>
      </c>
      <c r="C3166" s="15" t="s">
        <v>30476</v>
      </c>
      <c r="D3166" s="31">
        <v>39988</v>
      </c>
      <c r="E3166" s="15" t="s">
        <v>30476</v>
      </c>
      <c r="F3166" s="87"/>
      <c r="G3166" s="45" t="s">
        <v>2673</v>
      </c>
      <c r="H3166" s="55" t="s">
        <v>2674</v>
      </c>
      <c r="I3166" s="15" t="s">
        <v>214</v>
      </c>
    </row>
    <row r="3167" spans="1:9" ht="51.75" customHeight="1" x14ac:dyDescent="0.35">
      <c r="A3167" s="15">
        <v>8</v>
      </c>
      <c r="B3167" s="15" t="s">
        <v>30477</v>
      </c>
      <c r="C3167" s="15" t="s">
        <v>30478</v>
      </c>
      <c r="D3167" s="31">
        <v>39988</v>
      </c>
      <c r="E3167" s="15" t="s">
        <v>30479</v>
      </c>
      <c r="F3167" s="87"/>
      <c r="G3167" s="45" t="s">
        <v>2673</v>
      </c>
      <c r="H3167" s="55" t="s">
        <v>2674</v>
      </c>
      <c r="I3167" s="15" t="s">
        <v>214</v>
      </c>
    </row>
    <row r="3168" spans="1:9" ht="51.75" customHeight="1" x14ac:dyDescent="0.35">
      <c r="A3168" s="15">
        <v>9</v>
      </c>
      <c r="B3168" s="15" t="s">
        <v>30480</v>
      </c>
      <c r="C3168" s="15" t="s">
        <v>30481</v>
      </c>
      <c r="D3168" s="31">
        <v>39988</v>
      </c>
      <c r="E3168" s="15" t="s">
        <v>30482</v>
      </c>
      <c r="F3168" s="87"/>
      <c r="G3168" s="45" t="s">
        <v>2673</v>
      </c>
      <c r="H3168" s="55" t="s">
        <v>2674</v>
      </c>
      <c r="I3168" s="15" t="s">
        <v>214</v>
      </c>
    </row>
    <row r="3169" spans="1:9" ht="51.75" customHeight="1" x14ac:dyDescent="0.35">
      <c r="A3169" s="15">
        <v>10</v>
      </c>
      <c r="B3169" s="15" t="s">
        <v>30483</v>
      </c>
      <c r="C3169" s="15" t="s">
        <v>30484</v>
      </c>
      <c r="D3169" s="31">
        <v>39988</v>
      </c>
      <c r="E3169" s="15" t="s">
        <v>30485</v>
      </c>
      <c r="F3169" s="87"/>
      <c r="G3169" s="45" t="s">
        <v>2673</v>
      </c>
      <c r="H3169" s="55" t="s">
        <v>2674</v>
      </c>
      <c r="I3169" s="15" t="s">
        <v>214</v>
      </c>
    </row>
    <row r="3170" spans="1:9" ht="51.75" customHeight="1" x14ac:dyDescent="0.35">
      <c r="A3170" s="15">
        <v>1</v>
      </c>
      <c r="B3170" s="15" t="s">
        <v>30486</v>
      </c>
      <c r="C3170" s="15" t="s">
        <v>30487</v>
      </c>
      <c r="D3170" s="31">
        <v>39918</v>
      </c>
      <c r="E3170" s="15" t="s">
        <v>30488</v>
      </c>
      <c r="F3170" s="87"/>
      <c r="G3170" s="45" t="s">
        <v>2666</v>
      </c>
      <c r="H3170" s="55" t="s">
        <v>2667</v>
      </c>
      <c r="I3170" s="15" t="s">
        <v>214</v>
      </c>
    </row>
    <row r="3171" spans="1:9" ht="51.75" customHeight="1" x14ac:dyDescent="0.35">
      <c r="A3171" s="15">
        <v>2</v>
      </c>
      <c r="B3171" s="15" t="s">
        <v>30489</v>
      </c>
      <c r="C3171" s="15" t="s">
        <v>30490</v>
      </c>
      <c r="D3171" s="31">
        <v>39918</v>
      </c>
      <c r="E3171" s="15" t="s">
        <v>30491</v>
      </c>
      <c r="F3171" s="87"/>
      <c r="G3171" s="45" t="s">
        <v>2666</v>
      </c>
      <c r="H3171" s="55" t="s">
        <v>2667</v>
      </c>
      <c r="I3171" s="15" t="s">
        <v>214</v>
      </c>
    </row>
    <row r="3172" spans="1:9" ht="51.75" customHeight="1" x14ac:dyDescent="0.35">
      <c r="A3172" s="15">
        <v>3</v>
      </c>
      <c r="B3172" s="15" t="s">
        <v>30492</v>
      </c>
      <c r="C3172" s="15" t="s">
        <v>30493</v>
      </c>
      <c r="D3172" s="31">
        <v>39918</v>
      </c>
      <c r="E3172" s="15" t="s">
        <v>30494</v>
      </c>
      <c r="F3172" s="87"/>
      <c r="G3172" s="45" t="s">
        <v>2666</v>
      </c>
      <c r="H3172" s="55" t="s">
        <v>2667</v>
      </c>
      <c r="I3172" s="15" t="s">
        <v>214</v>
      </c>
    </row>
    <row r="3173" spans="1:9" ht="51.75" customHeight="1" x14ac:dyDescent="0.35">
      <c r="A3173" s="15">
        <v>4</v>
      </c>
      <c r="B3173" s="15" t="s">
        <v>30495</v>
      </c>
      <c r="C3173" s="15" t="s">
        <v>30496</v>
      </c>
      <c r="D3173" s="31">
        <v>39918</v>
      </c>
      <c r="E3173" s="15" t="s">
        <v>30497</v>
      </c>
      <c r="F3173" s="87"/>
      <c r="G3173" s="45" t="s">
        <v>2666</v>
      </c>
      <c r="H3173" s="55" t="s">
        <v>2667</v>
      </c>
      <c r="I3173" s="15" t="s">
        <v>214</v>
      </c>
    </row>
    <row r="3174" spans="1:9" ht="51.75" customHeight="1" x14ac:dyDescent="0.35">
      <c r="A3174" s="15">
        <v>5</v>
      </c>
      <c r="B3174" s="15" t="s">
        <v>30498</v>
      </c>
      <c r="C3174" s="15" t="s">
        <v>30499</v>
      </c>
      <c r="D3174" s="31">
        <v>39918</v>
      </c>
      <c r="E3174" s="15" t="s">
        <v>30500</v>
      </c>
      <c r="F3174" s="87"/>
      <c r="G3174" s="45" t="s">
        <v>2666</v>
      </c>
      <c r="H3174" s="55" t="s">
        <v>2667</v>
      </c>
      <c r="I3174" s="15" t="s">
        <v>214</v>
      </c>
    </row>
    <row r="3175" spans="1:9" ht="51.75" customHeight="1" x14ac:dyDescent="0.35">
      <c r="A3175" s="15">
        <v>6</v>
      </c>
      <c r="B3175" s="15" t="s">
        <v>30501</v>
      </c>
      <c r="C3175" s="15" t="s">
        <v>30502</v>
      </c>
      <c r="D3175" s="31">
        <v>39918</v>
      </c>
      <c r="E3175" s="15" t="s">
        <v>30503</v>
      </c>
      <c r="F3175" s="87"/>
      <c r="G3175" s="45" t="s">
        <v>2666</v>
      </c>
      <c r="H3175" s="55" t="s">
        <v>2667</v>
      </c>
      <c r="I3175" s="15" t="s">
        <v>214</v>
      </c>
    </row>
    <row r="3176" spans="1:9" ht="51.75" customHeight="1" x14ac:dyDescent="0.35">
      <c r="A3176" s="15">
        <v>1</v>
      </c>
      <c r="B3176" s="15" t="s">
        <v>30504</v>
      </c>
      <c r="C3176" s="15" t="s">
        <v>30505</v>
      </c>
      <c r="D3176" s="31">
        <v>39945</v>
      </c>
      <c r="E3176" s="15" t="s">
        <v>30506</v>
      </c>
      <c r="F3176" s="87"/>
      <c r="G3176" s="45" t="s">
        <v>2656</v>
      </c>
      <c r="H3176" s="55" t="s">
        <v>2657</v>
      </c>
      <c r="I3176" s="15" t="s">
        <v>214</v>
      </c>
    </row>
    <row r="3177" spans="1:9" ht="51.75" customHeight="1" x14ac:dyDescent="0.35">
      <c r="A3177" s="15">
        <v>2</v>
      </c>
      <c r="B3177" s="15" t="s">
        <v>30507</v>
      </c>
      <c r="C3177" s="15" t="s">
        <v>30508</v>
      </c>
      <c r="D3177" s="31">
        <v>39945</v>
      </c>
      <c r="E3177" s="15" t="s">
        <v>30509</v>
      </c>
      <c r="F3177" s="87"/>
      <c r="G3177" s="45" t="s">
        <v>2656</v>
      </c>
      <c r="H3177" s="55" t="s">
        <v>2657</v>
      </c>
      <c r="I3177" s="15" t="s">
        <v>214</v>
      </c>
    </row>
    <row r="3178" spans="1:9" ht="51.75" customHeight="1" x14ac:dyDescent="0.35">
      <c r="A3178" s="15">
        <v>3</v>
      </c>
      <c r="B3178" s="15" t="s">
        <v>30510</v>
      </c>
      <c r="C3178" s="15" t="s">
        <v>30511</v>
      </c>
      <c r="D3178" s="31">
        <v>39945</v>
      </c>
      <c r="E3178" s="15" t="s">
        <v>30512</v>
      </c>
      <c r="F3178" s="87"/>
      <c r="G3178" s="45" t="s">
        <v>2656</v>
      </c>
      <c r="H3178" s="55" t="s">
        <v>2657</v>
      </c>
      <c r="I3178" s="15" t="s">
        <v>214</v>
      </c>
    </row>
    <row r="3179" spans="1:9" ht="51.75" customHeight="1" x14ac:dyDescent="0.35">
      <c r="A3179" s="15">
        <v>1</v>
      </c>
      <c r="B3179" s="15" t="s">
        <v>30513</v>
      </c>
      <c r="C3179" s="15" t="s">
        <v>30514</v>
      </c>
      <c r="D3179" s="31">
        <v>39864</v>
      </c>
      <c r="E3179" s="15" t="s">
        <v>30515</v>
      </c>
      <c r="F3179" s="87"/>
      <c r="G3179" s="45" t="s">
        <v>2621</v>
      </c>
      <c r="H3179" s="55" t="s">
        <v>2622</v>
      </c>
      <c r="I3179" s="15" t="s">
        <v>214</v>
      </c>
    </row>
    <row r="3180" spans="1:9" ht="51.75" customHeight="1" x14ac:dyDescent="0.35">
      <c r="A3180" s="15">
        <v>2</v>
      </c>
      <c r="B3180" s="15" t="s">
        <v>30516</v>
      </c>
      <c r="C3180" s="15" t="s">
        <v>30517</v>
      </c>
      <c r="D3180" s="31">
        <v>39864</v>
      </c>
      <c r="E3180" s="15" t="s">
        <v>30518</v>
      </c>
      <c r="F3180" s="87"/>
      <c r="G3180" s="45" t="s">
        <v>2621</v>
      </c>
      <c r="H3180" s="55" t="s">
        <v>2622</v>
      </c>
      <c r="I3180" s="15" t="s">
        <v>214</v>
      </c>
    </row>
    <row r="3181" spans="1:9" ht="51.75" customHeight="1" x14ac:dyDescent="0.35">
      <c r="A3181" s="15">
        <v>3</v>
      </c>
      <c r="B3181" s="15" t="s">
        <v>30519</v>
      </c>
      <c r="C3181" s="15" t="s">
        <v>30520</v>
      </c>
      <c r="D3181" s="31">
        <v>39864</v>
      </c>
      <c r="E3181" s="15" t="s">
        <v>30521</v>
      </c>
      <c r="F3181" s="87"/>
      <c r="G3181" s="45" t="s">
        <v>2621</v>
      </c>
      <c r="H3181" s="55" t="s">
        <v>2622</v>
      </c>
      <c r="I3181" s="15" t="s">
        <v>214</v>
      </c>
    </row>
    <row r="3182" spans="1:9" ht="51.75" customHeight="1" x14ac:dyDescent="0.35">
      <c r="A3182" s="15">
        <v>4</v>
      </c>
      <c r="B3182" s="15" t="s">
        <v>30522</v>
      </c>
      <c r="C3182" s="15" t="s">
        <v>30523</v>
      </c>
      <c r="D3182" s="31">
        <v>39864</v>
      </c>
      <c r="E3182" s="15" t="s">
        <v>30524</v>
      </c>
      <c r="F3182" s="87"/>
      <c r="G3182" s="45" t="s">
        <v>2621</v>
      </c>
      <c r="H3182" s="55" t="s">
        <v>2622</v>
      </c>
      <c r="I3182" s="15" t="s">
        <v>214</v>
      </c>
    </row>
    <row r="3183" spans="1:9" ht="51.75" customHeight="1" x14ac:dyDescent="0.35">
      <c r="A3183" s="15">
        <v>1</v>
      </c>
      <c r="B3183" s="15" t="s">
        <v>30525</v>
      </c>
      <c r="C3183" s="15" t="s">
        <v>30526</v>
      </c>
      <c r="D3183" s="31">
        <v>39961</v>
      </c>
      <c r="E3183" s="15" t="s">
        <v>30527</v>
      </c>
      <c r="F3183" s="87"/>
      <c r="G3183" s="45" t="s">
        <v>2599</v>
      </c>
      <c r="H3183" s="55" t="s">
        <v>2600</v>
      </c>
      <c r="I3183" s="15" t="s">
        <v>214</v>
      </c>
    </row>
    <row r="3184" spans="1:9" ht="51.75" customHeight="1" x14ac:dyDescent="0.35">
      <c r="A3184" s="15">
        <v>2</v>
      </c>
      <c r="B3184" s="15" t="s">
        <v>30528</v>
      </c>
      <c r="C3184" s="15" t="s">
        <v>30529</v>
      </c>
      <c r="D3184" s="31">
        <v>39961</v>
      </c>
      <c r="E3184" s="15" t="s">
        <v>30530</v>
      </c>
      <c r="F3184" s="87"/>
      <c r="G3184" s="45" t="s">
        <v>2599</v>
      </c>
      <c r="H3184" s="55" t="s">
        <v>2600</v>
      </c>
      <c r="I3184" s="15" t="s">
        <v>214</v>
      </c>
    </row>
    <row r="3185" spans="1:9" ht="51.75" customHeight="1" x14ac:dyDescent="0.35">
      <c r="A3185" s="15">
        <v>3</v>
      </c>
      <c r="B3185" s="15" t="s">
        <v>30531</v>
      </c>
      <c r="C3185" s="15" t="s">
        <v>30532</v>
      </c>
      <c r="D3185" s="31">
        <v>39961</v>
      </c>
      <c r="E3185" s="15" t="s">
        <v>30533</v>
      </c>
      <c r="F3185" s="87"/>
      <c r="G3185" s="45" t="s">
        <v>2599</v>
      </c>
      <c r="H3185" s="55" t="s">
        <v>2600</v>
      </c>
      <c r="I3185" s="15" t="s">
        <v>214</v>
      </c>
    </row>
    <row r="3186" spans="1:9" ht="51.75" customHeight="1" x14ac:dyDescent="0.35">
      <c r="A3186" s="15">
        <v>4</v>
      </c>
      <c r="B3186" s="15" t="s">
        <v>30534</v>
      </c>
      <c r="C3186" s="15" t="s">
        <v>30535</v>
      </c>
      <c r="D3186" s="31">
        <v>39961</v>
      </c>
      <c r="E3186" s="15" t="s">
        <v>30536</v>
      </c>
      <c r="F3186" s="87"/>
      <c r="G3186" s="45" t="s">
        <v>2599</v>
      </c>
      <c r="H3186" s="55" t="s">
        <v>2600</v>
      </c>
      <c r="I3186" s="15" t="s">
        <v>214</v>
      </c>
    </row>
    <row r="3187" spans="1:9" ht="51.75" customHeight="1" x14ac:dyDescent="0.35">
      <c r="A3187" s="15">
        <v>5</v>
      </c>
      <c r="B3187" s="15" t="s">
        <v>30537</v>
      </c>
      <c r="C3187" s="15" t="s">
        <v>30538</v>
      </c>
      <c r="D3187" s="31">
        <v>39961</v>
      </c>
      <c r="E3187" s="15" t="s">
        <v>30539</v>
      </c>
      <c r="F3187" s="87"/>
      <c r="G3187" s="45" t="s">
        <v>2599</v>
      </c>
      <c r="H3187" s="55" t="s">
        <v>2600</v>
      </c>
      <c r="I3187" s="15" t="s">
        <v>214</v>
      </c>
    </row>
    <row r="3188" spans="1:9" ht="51.75" customHeight="1" x14ac:dyDescent="0.35">
      <c r="A3188" s="15">
        <v>6</v>
      </c>
      <c r="B3188" s="15" t="s">
        <v>30540</v>
      </c>
      <c r="C3188" s="15" t="s">
        <v>30541</v>
      </c>
      <c r="D3188" s="31">
        <v>39961</v>
      </c>
      <c r="E3188" s="15" t="s">
        <v>30542</v>
      </c>
      <c r="F3188" s="87"/>
      <c r="G3188" s="45" t="s">
        <v>2599</v>
      </c>
      <c r="H3188" s="55" t="s">
        <v>2600</v>
      </c>
      <c r="I3188" s="15" t="s">
        <v>214</v>
      </c>
    </row>
    <row r="3189" spans="1:9" ht="51.75" customHeight="1" x14ac:dyDescent="0.35">
      <c r="A3189" s="15">
        <v>7</v>
      </c>
      <c r="B3189" s="15" t="s">
        <v>30543</v>
      </c>
      <c r="C3189" s="15" t="s">
        <v>30544</v>
      </c>
      <c r="D3189" s="31">
        <v>39961</v>
      </c>
      <c r="E3189" s="15" t="s">
        <v>30545</v>
      </c>
      <c r="F3189" s="87"/>
      <c r="G3189" s="45" t="s">
        <v>2599</v>
      </c>
      <c r="H3189" s="55" t="s">
        <v>2600</v>
      </c>
      <c r="I3189" s="15" t="s">
        <v>214</v>
      </c>
    </row>
    <row r="3190" spans="1:9" ht="51.75" customHeight="1" x14ac:dyDescent="0.35">
      <c r="A3190" s="15">
        <v>8</v>
      </c>
      <c r="B3190" s="15" t="s">
        <v>30546</v>
      </c>
      <c r="C3190" s="15" t="s">
        <v>30547</v>
      </c>
      <c r="D3190" s="31">
        <v>39961</v>
      </c>
      <c r="E3190" s="15" t="s">
        <v>30548</v>
      </c>
      <c r="F3190" s="87"/>
      <c r="G3190" s="45" t="s">
        <v>2599</v>
      </c>
      <c r="H3190" s="55" t="s">
        <v>2600</v>
      </c>
      <c r="I3190" s="15" t="s">
        <v>214</v>
      </c>
    </row>
    <row r="3191" spans="1:9" ht="51.75" customHeight="1" x14ac:dyDescent="0.35">
      <c r="A3191" s="15">
        <v>9</v>
      </c>
      <c r="B3191" s="15" t="s">
        <v>30549</v>
      </c>
      <c r="C3191" s="15" t="s">
        <v>30550</v>
      </c>
      <c r="D3191" s="31">
        <v>39961</v>
      </c>
      <c r="E3191" s="15" t="s">
        <v>30551</v>
      </c>
      <c r="F3191" s="87"/>
      <c r="G3191" s="45" t="s">
        <v>2599</v>
      </c>
      <c r="H3191" s="55" t="s">
        <v>2600</v>
      </c>
      <c r="I3191" s="15" t="s">
        <v>214</v>
      </c>
    </row>
    <row r="3192" spans="1:9" ht="51.75" customHeight="1" x14ac:dyDescent="0.35">
      <c r="A3192" s="15">
        <v>10</v>
      </c>
      <c r="B3192" s="15" t="s">
        <v>30552</v>
      </c>
      <c r="C3192" s="15" t="s">
        <v>30553</v>
      </c>
      <c r="D3192" s="31">
        <v>39961</v>
      </c>
      <c r="E3192" s="15" t="s">
        <v>30554</v>
      </c>
      <c r="F3192" s="87"/>
      <c r="G3192" s="45" t="s">
        <v>2599</v>
      </c>
      <c r="H3192" s="55" t="s">
        <v>2600</v>
      </c>
      <c r="I3192" s="15" t="s">
        <v>214</v>
      </c>
    </row>
    <row r="3193" spans="1:9" ht="51.75" customHeight="1" x14ac:dyDescent="0.35">
      <c r="A3193" s="15">
        <v>1</v>
      </c>
      <c r="B3193" s="15" t="s">
        <v>30555</v>
      </c>
      <c r="C3193" s="15" t="s">
        <v>30556</v>
      </c>
      <c r="D3193" s="31">
        <v>39682</v>
      </c>
      <c r="E3193" s="15" t="s">
        <v>30557</v>
      </c>
      <c r="F3193" s="87"/>
      <c r="G3193" s="45" t="s">
        <v>2553</v>
      </c>
      <c r="H3193" s="55" t="s">
        <v>2554</v>
      </c>
      <c r="I3193" s="15" t="s">
        <v>214</v>
      </c>
    </row>
    <row r="3194" spans="1:9" ht="51.75" customHeight="1" x14ac:dyDescent="0.35">
      <c r="A3194" s="15">
        <v>1</v>
      </c>
      <c r="B3194" s="15" t="s">
        <v>30558</v>
      </c>
      <c r="C3194" s="15" t="s">
        <v>30559</v>
      </c>
      <c r="D3194" s="31">
        <v>39847</v>
      </c>
      <c r="E3194" s="15" t="s">
        <v>30560</v>
      </c>
      <c r="F3194" s="87"/>
      <c r="G3194" s="45" t="s">
        <v>2490</v>
      </c>
      <c r="H3194" s="55" t="s">
        <v>2491</v>
      </c>
      <c r="I3194" s="15" t="s">
        <v>214</v>
      </c>
    </row>
    <row r="3195" spans="1:9" ht="51.75" customHeight="1" x14ac:dyDescent="0.35">
      <c r="A3195" s="15">
        <v>2</v>
      </c>
      <c r="B3195" s="15" t="s">
        <v>30561</v>
      </c>
      <c r="C3195" s="15" t="s">
        <v>30562</v>
      </c>
      <c r="D3195" s="31">
        <v>39847</v>
      </c>
      <c r="E3195" s="15" t="s">
        <v>30563</v>
      </c>
      <c r="F3195" s="87"/>
      <c r="G3195" s="45" t="s">
        <v>2490</v>
      </c>
      <c r="H3195" s="55" t="s">
        <v>2491</v>
      </c>
      <c r="I3195" s="15" t="s">
        <v>214</v>
      </c>
    </row>
    <row r="3196" spans="1:9" ht="51.75" customHeight="1" x14ac:dyDescent="0.35">
      <c r="A3196" s="15">
        <v>3</v>
      </c>
      <c r="B3196" s="15" t="s">
        <v>30564</v>
      </c>
      <c r="C3196" s="15" t="s">
        <v>30565</v>
      </c>
      <c r="D3196" s="31">
        <v>39847</v>
      </c>
      <c r="E3196" s="15" t="s">
        <v>30566</v>
      </c>
      <c r="F3196" s="87"/>
      <c r="G3196" s="45" t="s">
        <v>2490</v>
      </c>
      <c r="H3196" s="55" t="s">
        <v>2491</v>
      </c>
      <c r="I3196" s="15" t="s">
        <v>214</v>
      </c>
    </row>
    <row r="3197" spans="1:9" ht="51.75" customHeight="1" x14ac:dyDescent="0.35">
      <c r="A3197" s="15">
        <v>4</v>
      </c>
      <c r="B3197" s="15" t="s">
        <v>30567</v>
      </c>
      <c r="C3197" s="15" t="s">
        <v>30568</v>
      </c>
      <c r="D3197" s="31">
        <v>39847</v>
      </c>
      <c r="E3197" s="15" t="s">
        <v>30569</v>
      </c>
      <c r="F3197" s="87"/>
      <c r="G3197" s="45" t="s">
        <v>2490</v>
      </c>
      <c r="H3197" s="55" t="s">
        <v>2491</v>
      </c>
      <c r="I3197" s="15" t="s">
        <v>214</v>
      </c>
    </row>
    <row r="3198" spans="1:9" ht="51.75" customHeight="1" x14ac:dyDescent="0.35">
      <c r="A3198" s="15">
        <v>1</v>
      </c>
      <c r="B3198" s="15" t="s">
        <v>30570</v>
      </c>
      <c r="C3198" s="15" t="s">
        <v>30571</v>
      </c>
      <c r="D3198" s="31">
        <v>39832</v>
      </c>
      <c r="E3198" s="15" t="s">
        <v>30572</v>
      </c>
      <c r="F3198" s="87"/>
      <c r="G3198" s="45" t="s">
        <v>2484</v>
      </c>
      <c r="H3198" s="55" t="s">
        <v>2485</v>
      </c>
      <c r="I3198" s="15" t="s">
        <v>214</v>
      </c>
    </row>
    <row r="3199" spans="1:9" ht="51.75" customHeight="1" x14ac:dyDescent="0.35">
      <c r="A3199" s="15">
        <v>2</v>
      </c>
      <c r="B3199" s="15" t="s">
        <v>30573</v>
      </c>
      <c r="C3199" s="15" t="s">
        <v>30574</v>
      </c>
      <c r="D3199" s="31">
        <v>39832</v>
      </c>
      <c r="E3199" s="15" t="s">
        <v>30575</v>
      </c>
      <c r="F3199" s="87"/>
      <c r="G3199" s="45" t="s">
        <v>2484</v>
      </c>
      <c r="H3199" s="55" t="s">
        <v>2485</v>
      </c>
      <c r="I3199" s="15" t="s">
        <v>214</v>
      </c>
    </row>
    <row r="3200" spans="1:9" ht="51.75" customHeight="1" x14ac:dyDescent="0.35">
      <c r="A3200" s="15">
        <v>3</v>
      </c>
      <c r="B3200" s="15" t="s">
        <v>30576</v>
      </c>
      <c r="C3200" s="15" t="s">
        <v>30577</v>
      </c>
      <c r="D3200" s="31">
        <v>39832</v>
      </c>
      <c r="E3200" s="15" t="s">
        <v>30578</v>
      </c>
      <c r="F3200" s="87"/>
      <c r="G3200" s="45" t="s">
        <v>2484</v>
      </c>
      <c r="H3200" s="55" t="s">
        <v>2485</v>
      </c>
      <c r="I3200" s="15" t="s">
        <v>214</v>
      </c>
    </row>
    <row r="3201" spans="1:9" ht="51.75" customHeight="1" x14ac:dyDescent="0.35">
      <c r="A3201" s="15">
        <v>4</v>
      </c>
      <c r="B3201" s="15" t="s">
        <v>30579</v>
      </c>
      <c r="C3201" s="15" t="s">
        <v>30580</v>
      </c>
      <c r="D3201" s="31">
        <v>39832</v>
      </c>
      <c r="E3201" s="15" t="s">
        <v>30581</v>
      </c>
      <c r="F3201" s="87"/>
      <c r="G3201" s="45" t="s">
        <v>2484</v>
      </c>
      <c r="H3201" s="55" t="s">
        <v>2485</v>
      </c>
      <c r="I3201" s="15" t="s">
        <v>214</v>
      </c>
    </row>
    <row r="3202" spans="1:9" ht="51.75" customHeight="1" x14ac:dyDescent="0.35">
      <c r="A3202" s="15">
        <v>5</v>
      </c>
      <c r="B3202" s="15" t="s">
        <v>30582</v>
      </c>
      <c r="C3202" s="15" t="s">
        <v>30583</v>
      </c>
      <c r="D3202" s="31">
        <v>39832</v>
      </c>
      <c r="E3202" s="15" t="s">
        <v>30584</v>
      </c>
      <c r="F3202" s="87"/>
      <c r="G3202" s="45" t="s">
        <v>2484</v>
      </c>
      <c r="H3202" s="55" t="s">
        <v>2485</v>
      </c>
      <c r="I3202" s="15" t="s">
        <v>214</v>
      </c>
    </row>
    <row r="3203" spans="1:9" ht="51.75" customHeight="1" x14ac:dyDescent="0.35">
      <c r="A3203" s="15">
        <v>1</v>
      </c>
      <c r="B3203" s="15" t="s">
        <v>30585</v>
      </c>
      <c r="C3203" s="15" t="s">
        <v>30586</v>
      </c>
      <c r="D3203" s="31">
        <v>39748</v>
      </c>
      <c r="E3203" s="15" t="s">
        <v>30587</v>
      </c>
      <c r="F3203" s="87"/>
      <c r="G3203" s="45" t="s">
        <v>2514</v>
      </c>
      <c r="H3203" s="55" t="s">
        <v>2515</v>
      </c>
      <c r="I3203" s="15" t="s">
        <v>214</v>
      </c>
    </row>
    <row r="3204" spans="1:9" ht="51.75" customHeight="1" x14ac:dyDescent="0.35">
      <c r="A3204" s="15">
        <v>2</v>
      </c>
      <c r="B3204" s="15" t="s">
        <v>30588</v>
      </c>
      <c r="C3204" s="15" t="s">
        <v>30589</v>
      </c>
      <c r="D3204" s="31">
        <v>39748</v>
      </c>
      <c r="E3204" s="15" t="s">
        <v>30590</v>
      </c>
      <c r="F3204" s="87"/>
      <c r="G3204" s="45" t="s">
        <v>2514</v>
      </c>
      <c r="H3204" s="55" t="s">
        <v>2515</v>
      </c>
      <c r="I3204" s="15" t="s">
        <v>214</v>
      </c>
    </row>
    <row r="3205" spans="1:9" ht="51.75" customHeight="1" x14ac:dyDescent="0.35">
      <c r="A3205" s="15">
        <v>3</v>
      </c>
      <c r="B3205" s="15" t="s">
        <v>30591</v>
      </c>
      <c r="C3205" s="15" t="s">
        <v>30592</v>
      </c>
      <c r="D3205" s="31">
        <v>39748</v>
      </c>
      <c r="E3205" s="15" t="s">
        <v>30593</v>
      </c>
      <c r="F3205" s="87"/>
      <c r="G3205" s="45" t="s">
        <v>2514</v>
      </c>
      <c r="H3205" s="55" t="s">
        <v>2515</v>
      </c>
      <c r="I3205" s="15" t="s">
        <v>214</v>
      </c>
    </row>
    <row r="3206" spans="1:9" ht="51.75" customHeight="1" x14ac:dyDescent="0.35">
      <c r="A3206" s="15">
        <v>4</v>
      </c>
      <c r="B3206" s="15" t="s">
        <v>30594</v>
      </c>
      <c r="C3206" s="15" t="s">
        <v>30595</v>
      </c>
      <c r="D3206" s="31">
        <v>39748</v>
      </c>
      <c r="E3206" s="15" t="s">
        <v>30596</v>
      </c>
      <c r="F3206" s="87"/>
      <c r="G3206" s="45" t="s">
        <v>2514</v>
      </c>
      <c r="H3206" s="55" t="s">
        <v>2515</v>
      </c>
      <c r="I3206" s="15" t="s">
        <v>214</v>
      </c>
    </row>
    <row r="3207" spans="1:9" ht="51.75" customHeight="1" x14ac:dyDescent="0.35">
      <c r="A3207" s="15">
        <v>1</v>
      </c>
      <c r="B3207" s="15" t="s">
        <v>30597</v>
      </c>
      <c r="C3207" s="15" t="s">
        <v>30598</v>
      </c>
      <c r="D3207" s="31">
        <v>39947</v>
      </c>
      <c r="E3207" s="15" t="s">
        <v>30599</v>
      </c>
      <c r="F3207" s="87"/>
      <c r="G3207" s="45" t="s">
        <v>2504</v>
      </c>
      <c r="H3207" s="55" t="s">
        <v>2505</v>
      </c>
      <c r="I3207" s="15" t="s">
        <v>214</v>
      </c>
    </row>
    <row r="3208" spans="1:9" ht="51.75" customHeight="1" x14ac:dyDescent="0.35">
      <c r="A3208" s="15">
        <v>2</v>
      </c>
      <c r="B3208" s="15" t="s">
        <v>30600</v>
      </c>
      <c r="C3208" s="15" t="s">
        <v>30601</v>
      </c>
      <c r="D3208" s="31">
        <v>39947</v>
      </c>
      <c r="E3208" s="15" t="s">
        <v>30602</v>
      </c>
      <c r="F3208" s="87"/>
      <c r="G3208" s="45" t="s">
        <v>2504</v>
      </c>
      <c r="H3208" s="55" t="s">
        <v>2505</v>
      </c>
      <c r="I3208" s="15" t="s">
        <v>214</v>
      </c>
    </row>
    <row r="3209" spans="1:9" ht="51.75" customHeight="1" x14ac:dyDescent="0.35">
      <c r="A3209" s="15">
        <v>3</v>
      </c>
      <c r="B3209" s="15" t="s">
        <v>30603</v>
      </c>
      <c r="C3209" s="15" t="s">
        <v>30604</v>
      </c>
      <c r="D3209" s="31">
        <v>39947</v>
      </c>
      <c r="E3209" s="15" t="s">
        <v>30605</v>
      </c>
      <c r="F3209" s="87"/>
      <c r="G3209" s="45" t="s">
        <v>2504</v>
      </c>
      <c r="H3209" s="55" t="s">
        <v>2505</v>
      </c>
      <c r="I3209" s="15" t="s">
        <v>214</v>
      </c>
    </row>
    <row r="3210" spans="1:9" ht="51.75" customHeight="1" x14ac:dyDescent="0.35">
      <c r="A3210" s="15">
        <v>4</v>
      </c>
      <c r="B3210" s="15" t="s">
        <v>30606</v>
      </c>
      <c r="C3210" s="15" t="s">
        <v>30607</v>
      </c>
      <c r="D3210" s="31">
        <v>39947</v>
      </c>
      <c r="E3210" s="15" t="s">
        <v>30608</v>
      </c>
      <c r="F3210" s="87"/>
      <c r="G3210" s="45" t="s">
        <v>2504</v>
      </c>
      <c r="H3210" s="55" t="s">
        <v>2505</v>
      </c>
      <c r="I3210" s="15" t="s">
        <v>214</v>
      </c>
    </row>
    <row r="3211" spans="1:9" ht="51.75" customHeight="1" x14ac:dyDescent="0.35">
      <c r="A3211" s="15">
        <v>5</v>
      </c>
      <c r="B3211" s="15" t="s">
        <v>30609</v>
      </c>
      <c r="C3211" s="15" t="s">
        <v>30610</v>
      </c>
      <c r="D3211" s="31">
        <v>39947</v>
      </c>
      <c r="E3211" s="15" t="s">
        <v>30611</v>
      </c>
      <c r="F3211" s="87"/>
      <c r="G3211" s="45" t="s">
        <v>2504</v>
      </c>
      <c r="H3211" s="55" t="s">
        <v>2505</v>
      </c>
      <c r="I3211" s="15" t="s">
        <v>214</v>
      </c>
    </row>
    <row r="3212" spans="1:9" ht="51.75" customHeight="1" x14ac:dyDescent="0.35">
      <c r="A3212" s="15">
        <v>6</v>
      </c>
      <c r="B3212" s="15" t="s">
        <v>30612</v>
      </c>
      <c r="C3212" s="15" t="s">
        <v>30613</v>
      </c>
      <c r="D3212" s="31">
        <v>39947</v>
      </c>
      <c r="E3212" s="15" t="s">
        <v>30614</v>
      </c>
      <c r="F3212" s="87"/>
      <c r="G3212" s="45" t="s">
        <v>2504</v>
      </c>
      <c r="H3212" s="55" t="s">
        <v>2505</v>
      </c>
      <c r="I3212" s="15" t="s">
        <v>214</v>
      </c>
    </row>
    <row r="3213" spans="1:9" ht="51.75" customHeight="1" x14ac:dyDescent="0.35">
      <c r="A3213" s="15">
        <v>7</v>
      </c>
      <c r="B3213" s="15" t="s">
        <v>30615</v>
      </c>
      <c r="C3213" s="15" t="s">
        <v>30616</v>
      </c>
      <c r="D3213" s="31">
        <v>39947</v>
      </c>
      <c r="E3213" s="15" t="s">
        <v>30617</v>
      </c>
      <c r="F3213" s="87"/>
      <c r="G3213" s="45" t="s">
        <v>2504</v>
      </c>
      <c r="H3213" s="55" t="s">
        <v>2505</v>
      </c>
      <c r="I3213" s="15" t="s">
        <v>214</v>
      </c>
    </row>
    <row r="3214" spans="1:9" ht="51.75" customHeight="1" x14ac:dyDescent="0.35">
      <c r="A3214" s="15">
        <v>8</v>
      </c>
      <c r="B3214" s="15" t="s">
        <v>30618</v>
      </c>
      <c r="C3214" s="15" t="s">
        <v>30619</v>
      </c>
      <c r="D3214" s="31">
        <v>39947</v>
      </c>
      <c r="E3214" s="15" t="s">
        <v>30620</v>
      </c>
      <c r="F3214" s="87"/>
      <c r="G3214" s="45" t="s">
        <v>2504</v>
      </c>
      <c r="H3214" s="55" t="s">
        <v>2505</v>
      </c>
      <c r="I3214" s="15" t="s">
        <v>214</v>
      </c>
    </row>
    <row r="3215" spans="1:9" ht="51.75" customHeight="1" x14ac:dyDescent="0.35">
      <c r="A3215" s="15">
        <v>9</v>
      </c>
      <c r="B3215" s="15" t="s">
        <v>30621</v>
      </c>
      <c r="C3215" s="15" t="s">
        <v>30622</v>
      </c>
      <c r="D3215" s="31">
        <v>39947</v>
      </c>
      <c r="E3215" s="15" t="s">
        <v>30623</v>
      </c>
      <c r="F3215" s="87"/>
      <c r="G3215" s="45" t="s">
        <v>2504</v>
      </c>
      <c r="H3215" s="55" t="s">
        <v>2505</v>
      </c>
      <c r="I3215" s="15" t="s">
        <v>214</v>
      </c>
    </row>
    <row r="3216" spans="1:9" ht="51.75" customHeight="1" x14ac:dyDescent="0.35">
      <c r="A3216" s="15">
        <v>1</v>
      </c>
      <c r="B3216" s="15" t="s">
        <v>30624</v>
      </c>
      <c r="C3216" s="15" t="s">
        <v>30625</v>
      </c>
      <c r="D3216" s="31">
        <v>39891</v>
      </c>
      <c r="E3216" s="15" t="s">
        <v>30626</v>
      </c>
      <c r="F3216" s="87"/>
      <c r="G3216" s="45" t="s">
        <v>2379</v>
      </c>
      <c r="H3216" s="55" t="s">
        <v>2380</v>
      </c>
      <c r="I3216" s="15" t="s">
        <v>214</v>
      </c>
    </row>
    <row r="3217" spans="1:9" ht="51.75" customHeight="1" x14ac:dyDescent="0.35">
      <c r="A3217" s="15">
        <v>2</v>
      </c>
      <c r="B3217" s="15" t="s">
        <v>30627</v>
      </c>
      <c r="C3217" s="15" t="s">
        <v>30628</v>
      </c>
      <c r="D3217" s="31">
        <v>39891</v>
      </c>
      <c r="E3217" s="15" t="s">
        <v>30629</v>
      </c>
      <c r="F3217" s="87"/>
      <c r="G3217" s="45" t="s">
        <v>2379</v>
      </c>
      <c r="H3217" s="55" t="s">
        <v>2380</v>
      </c>
      <c r="I3217" s="15" t="s">
        <v>214</v>
      </c>
    </row>
    <row r="3218" spans="1:9" ht="51.75" customHeight="1" x14ac:dyDescent="0.35">
      <c r="A3218" s="15">
        <v>3</v>
      </c>
      <c r="B3218" s="15" t="s">
        <v>30630</v>
      </c>
      <c r="C3218" s="15" t="s">
        <v>30631</v>
      </c>
      <c r="D3218" s="31">
        <v>39891</v>
      </c>
      <c r="E3218" s="15" t="s">
        <v>30632</v>
      </c>
      <c r="F3218" s="87"/>
      <c r="G3218" s="45" t="s">
        <v>2379</v>
      </c>
      <c r="H3218" s="55" t="s">
        <v>2380</v>
      </c>
      <c r="I3218" s="15" t="s">
        <v>214</v>
      </c>
    </row>
    <row r="3219" spans="1:9" ht="51.75" customHeight="1" x14ac:dyDescent="0.35">
      <c r="A3219" s="15">
        <v>4</v>
      </c>
      <c r="B3219" s="15" t="s">
        <v>30633</v>
      </c>
      <c r="C3219" s="15" t="s">
        <v>30634</v>
      </c>
      <c r="D3219" s="31">
        <v>39891</v>
      </c>
      <c r="E3219" s="15" t="s">
        <v>30635</v>
      </c>
      <c r="F3219" s="87"/>
      <c r="G3219" s="45" t="s">
        <v>2379</v>
      </c>
      <c r="H3219" s="55" t="s">
        <v>2380</v>
      </c>
      <c r="I3219" s="15" t="s">
        <v>214</v>
      </c>
    </row>
    <row r="3220" spans="1:9" ht="51.75" customHeight="1" x14ac:dyDescent="0.35">
      <c r="A3220" s="15">
        <v>5</v>
      </c>
      <c r="B3220" s="15" t="s">
        <v>30636</v>
      </c>
      <c r="C3220" s="15" t="s">
        <v>30637</v>
      </c>
      <c r="D3220" s="31">
        <v>39891</v>
      </c>
      <c r="E3220" s="15" t="s">
        <v>30638</v>
      </c>
      <c r="F3220" s="87"/>
      <c r="G3220" s="45" t="s">
        <v>2379</v>
      </c>
      <c r="H3220" s="55" t="s">
        <v>2380</v>
      </c>
      <c r="I3220" s="15" t="s">
        <v>214</v>
      </c>
    </row>
    <row r="3221" spans="1:9" ht="51.75" customHeight="1" x14ac:dyDescent="0.35">
      <c r="A3221" s="15">
        <v>6</v>
      </c>
      <c r="B3221" s="15" t="s">
        <v>30639</v>
      </c>
      <c r="C3221" s="15" t="s">
        <v>30640</v>
      </c>
      <c r="D3221" s="31">
        <v>39891</v>
      </c>
      <c r="E3221" s="15" t="s">
        <v>30641</v>
      </c>
      <c r="F3221" s="87"/>
      <c r="G3221" s="45" t="s">
        <v>2379</v>
      </c>
      <c r="H3221" s="55" t="s">
        <v>2380</v>
      </c>
      <c r="I3221" s="15" t="s">
        <v>214</v>
      </c>
    </row>
    <row r="3222" spans="1:9" ht="51.75" customHeight="1" x14ac:dyDescent="0.35">
      <c r="A3222" s="15">
        <v>7</v>
      </c>
      <c r="B3222" s="15" t="s">
        <v>30642</v>
      </c>
      <c r="C3222" s="15" t="s">
        <v>30643</v>
      </c>
      <c r="D3222" s="31">
        <v>39891</v>
      </c>
      <c r="E3222" s="15" t="s">
        <v>30644</v>
      </c>
      <c r="F3222" s="87"/>
      <c r="G3222" s="45" t="s">
        <v>2379</v>
      </c>
      <c r="H3222" s="55" t="s">
        <v>2380</v>
      </c>
      <c r="I3222" s="15" t="s">
        <v>214</v>
      </c>
    </row>
    <row r="3223" spans="1:9" ht="51.75" customHeight="1" x14ac:dyDescent="0.35">
      <c r="A3223" s="15">
        <v>1</v>
      </c>
      <c r="B3223" s="15" t="s">
        <v>30645</v>
      </c>
      <c r="C3223" s="15" t="s">
        <v>30646</v>
      </c>
      <c r="D3223" s="31">
        <v>39786</v>
      </c>
      <c r="E3223" s="15" t="s">
        <v>30647</v>
      </c>
      <c r="F3223" s="87"/>
      <c r="G3223" s="45" t="s">
        <v>2365</v>
      </c>
      <c r="H3223" s="55" t="s">
        <v>2366</v>
      </c>
      <c r="I3223" s="15" t="s">
        <v>214</v>
      </c>
    </row>
    <row r="3224" spans="1:9" ht="51.75" customHeight="1" x14ac:dyDescent="0.35">
      <c r="A3224" s="15">
        <v>2</v>
      </c>
      <c r="B3224" s="15" t="s">
        <v>30648</v>
      </c>
      <c r="C3224" s="15" t="s">
        <v>30649</v>
      </c>
      <c r="D3224" s="31">
        <v>39786</v>
      </c>
      <c r="E3224" s="15" t="s">
        <v>30650</v>
      </c>
      <c r="F3224" s="87"/>
      <c r="G3224" s="45" t="s">
        <v>2365</v>
      </c>
      <c r="H3224" s="55" t="s">
        <v>2366</v>
      </c>
      <c r="I3224" s="15" t="s">
        <v>214</v>
      </c>
    </row>
    <row r="3225" spans="1:9" ht="51.75" customHeight="1" x14ac:dyDescent="0.35">
      <c r="A3225" s="15">
        <v>3</v>
      </c>
      <c r="B3225" s="15" t="s">
        <v>30651</v>
      </c>
      <c r="C3225" s="15" t="s">
        <v>30652</v>
      </c>
      <c r="D3225" s="31">
        <v>39786</v>
      </c>
      <c r="E3225" s="15" t="s">
        <v>30653</v>
      </c>
      <c r="F3225" s="87"/>
      <c r="G3225" s="45" t="s">
        <v>2365</v>
      </c>
      <c r="H3225" s="55" t="s">
        <v>2366</v>
      </c>
      <c r="I3225" s="15" t="s">
        <v>214</v>
      </c>
    </row>
    <row r="3226" spans="1:9" ht="51.75" customHeight="1" x14ac:dyDescent="0.35">
      <c r="A3226" s="15">
        <v>4</v>
      </c>
      <c r="B3226" s="15" t="s">
        <v>30654</v>
      </c>
      <c r="C3226" s="15" t="s">
        <v>30655</v>
      </c>
      <c r="D3226" s="31">
        <v>39786</v>
      </c>
      <c r="E3226" s="15" t="s">
        <v>30656</v>
      </c>
      <c r="F3226" s="87"/>
      <c r="G3226" s="45" t="s">
        <v>2365</v>
      </c>
      <c r="H3226" s="55" t="s">
        <v>2366</v>
      </c>
      <c r="I3226" s="15" t="s">
        <v>214</v>
      </c>
    </row>
    <row r="3227" spans="1:9" ht="51.75" customHeight="1" x14ac:dyDescent="0.35">
      <c r="A3227" s="15">
        <v>5</v>
      </c>
      <c r="B3227" s="15" t="s">
        <v>30657</v>
      </c>
      <c r="C3227" s="15" t="s">
        <v>30658</v>
      </c>
      <c r="D3227" s="31">
        <v>39786</v>
      </c>
      <c r="E3227" s="15" t="s">
        <v>30659</v>
      </c>
      <c r="F3227" s="87"/>
      <c r="G3227" s="45" t="s">
        <v>2365</v>
      </c>
      <c r="H3227" s="55" t="s">
        <v>2366</v>
      </c>
      <c r="I3227" s="15" t="s">
        <v>214</v>
      </c>
    </row>
    <row r="3228" spans="1:9" ht="51.75" customHeight="1" x14ac:dyDescent="0.35">
      <c r="A3228" s="15">
        <v>1</v>
      </c>
      <c r="B3228" s="15" t="s">
        <v>30660</v>
      </c>
      <c r="C3228" s="15" t="s">
        <v>30661</v>
      </c>
      <c r="D3228" s="31">
        <v>40029</v>
      </c>
      <c r="E3228" s="15" t="s">
        <v>30662</v>
      </c>
      <c r="F3228" s="87"/>
      <c r="G3228" s="45" t="s">
        <v>2308</v>
      </c>
      <c r="H3228" s="55" t="s">
        <v>2309</v>
      </c>
      <c r="I3228" s="15" t="s">
        <v>214</v>
      </c>
    </row>
    <row r="3229" spans="1:9" ht="51.75" customHeight="1" x14ac:dyDescent="0.35">
      <c r="A3229" s="15">
        <v>2</v>
      </c>
      <c r="B3229" s="15" t="s">
        <v>30663</v>
      </c>
      <c r="C3229" s="15" t="s">
        <v>30664</v>
      </c>
      <c r="D3229" s="31">
        <v>40029</v>
      </c>
      <c r="E3229" s="15" t="s">
        <v>30665</v>
      </c>
      <c r="F3229" s="87"/>
      <c r="G3229" s="45" t="s">
        <v>2308</v>
      </c>
      <c r="H3229" s="55" t="s">
        <v>2309</v>
      </c>
      <c r="I3229" s="15" t="s">
        <v>214</v>
      </c>
    </row>
    <row r="3230" spans="1:9" ht="51.75" customHeight="1" x14ac:dyDescent="0.35">
      <c r="A3230" s="15">
        <v>3</v>
      </c>
      <c r="B3230" s="15" t="s">
        <v>30666</v>
      </c>
      <c r="C3230" s="15" t="s">
        <v>30667</v>
      </c>
      <c r="D3230" s="31">
        <v>40029</v>
      </c>
      <c r="E3230" s="15" t="s">
        <v>30668</v>
      </c>
      <c r="F3230" s="87"/>
      <c r="G3230" s="45" t="s">
        <v>2308</v>
      </c>
      <c r="H3230" s="55" t="s">
        <v>2309</v>
      </c>
      <c r="I3230" s="15" t="s">
        <v>214</v>
      </c>
    </row>
    <row r="3231" spans="1:9" ht="51.75" customHeight="1" x14ac:dyDescent="0.35">
      <c r="A3231" s="15">
        <v>4</v>
      </c>
      <c r="B3231" s="15" t="s">
        <v>30669</v>
      </c>
      <c r="C3231" s="15" t="s">
        <v>30670</v>
      </c>
      <c r="D3231" s="31">
        <v>40029</v>
      </c>
      <c r="E3231" s="15" t="s">
        <v>30671</v>
      </c>
      <c r="F3231" s="87"/>
      <c r="G3231" s="45" t="s">
        <v>2308</v>
      </c>
      <c r="H3231" s="55" t="s">
        <v>2309</v>
      </c>
      <c r="I3231" s="15" t="s">
        <v>214</v>
      </c>
    </row>
    <row r="3232" spans="1:9" ht="51.75" customHeight="1" x14ac:dyDescent="0.35">
      <c r="A3232" s="15">
        <v>5</v>
      </c>
      <c r="B3232" s="15" t="s">
        <v>30672</v>
      </c>
      <c r="C3232" s="15" t="s">
        <v>30673</v>
      </c>
      <c r="D3232" s="31">
        <v>40029</v>
      </c>
      <c r="E3232" s="15" t="s">
        <v>30674</v>
      </c>
      <c r="F3232" s="87"/>
      <c r="G3232" s="45" t="s">
        <v>2308</v>
      </c>
      <c r="H3232" s="55" t="s">
        <v>2309</v>
      </c>
      <c r="I3232" s="15" t="s">
        <v>214</v>
      </c>
    </row>
    <row r="3233" spans="1:9" ht="51.75" customHeight="1" x14ac:dyDescent="0.35">
      <c r="A3233" s="15">
        <v>6</v>
      </c>
      <c r="B3233" s="15" t="s">
        <v>30675</v>
      </c>
      <c r="C3233" s="15" t="s">
        <v>30676</v>
      </c>
      <c r="D3233" s="31">
        <v>40029</v>
      </c>
      <c r="E3233" s="15" t="s">
        <v>30677</v>
      </c>
      <c r="F3233" s="87"/>
      <c r="G3233" s="45" t="s">
        <v>2308</v>
      </c>
      <c r="H3233" s="55" t="s">
        <v>2309</v>
      </c>
      <c r="I3233" s="15" t="s">
        <v>214</v>
      </c>
    </row>
    <row r="3234" spans="1:9" ht="51.75" customHeight="1" x14ac:dyDescent="0.35">
      <c r="A3234" s="15">
        <v>7</v>
      </c>
      <c r="B3234" s="15" t="s">
        <v>30678</v>
      </c>
      <c r="C3234" s="15" t="s">
        <v>30679</v>
      </c>
      <c r="D3234" s="31">
        <v>40029</v>
      </c>
      <c r="E3234" s="15" t="s">
        <v>30680</v>
      </c>
      <c r="F3234" s="87"/>
      <c r="G3234" s="45" t="s">
        <v>2308</v>
      </c>
      <c r="H3234" s="55" t="s">
        <v>2309</v>
      </c>
      <c r="I3234" s="15" t="s">
        <v>214</v>
      </c>
    </row>
    <row r="3235" spans="1:9" ht="51.75" customHeight="1" x14ac:dyDescent="0.35">
      <c r="A3235" s="15">
        <v>8</v>
      </c>
      <c r="B3235" s="15" t="s">
        <v>30681</v>
      </c>
      <c r="C3235" s="15" t="s">
        <v>30682</v>
      </c>
      <c r="D3235" s="31">
        <v>40029</v>
      </c>
      <c r="E3235" s="15" t="s">
        <v>30683</v>
      </c>
      <c r="F3235" s="87"/>
      <c r="G3235" s="45" t="s">
        <v>2308</v>
      </c>
      <c r="H3235" s="55" t="s">
        <v>2309</v>
      </c>
      <c r="I3235" s="15" t="s">
        <v>214</v>
      </c>
    </row>
    <row r="3236" spans="1:9" ht="51.75" customHeight="1" x14ac:dyDescent="0.35">
      <c r="A3236" s="15">
        <v>9</v>
      </c>
      <c r="B3236" s="15" t="s">
        <v>30684</v>
      </c>
      <c r="C3236" s="15" t="s">
        <v>30685</v>
      </c>
      <c r="D3236" s="31">
        <v>40029</v>
      </c>
      <c r="E3236" s="15" t="s">
        <v>30686</v>
      </c>
      <c r="F3236" s="87"/>
      <c r="G3236" s="45" t="s">
        <v>2308</v>
      </c>
      <c r="H3236" s="55" t="s">
        <v>2309</v>
      </c>
      <c r="I3236" s="15" t="s">
        <v>214</v>
      </c>
    </row>
    <row r="3237" spans="1:9" ht="51.75" customHeight="1" x14ac:dyDescent="0.35">
      <c r="A3237" s="15">
        <v>1</v>
      </c>
      <c r="B3237" s="15" t="s">
        <v>30687</v>
      </c>
      <c r="C3237" s="15" t="s">
        <v>30688</v>
      </c>
      <c r="D3237" s="31">
        <v>39961</v>
      </c>
      <c r="E3237" s="15" t="s">
        <v>30689</v>
      </c>
      <c r="F3237" s="87"/>
      <c r="G3237" s="45" t="s">
        <v>2293</v>
      </c>
      <c r="H3237" s="55" t="s">
        <v>2294</v>
      </c>
      <c r="I3237" s="15" t="s">
        <v>214</v>
      </c>
    </row>
    <row r="3238" spans="1:9" ht="51.75" customHeight="1" x14ac:dyDescent="0.35">
      <c r="A3238" s="15">
        <v>2</v>
      </c>
      <c r="B3238" s="15" t="s">
        <v>30690</v>
      </c>
      <c r="C3238" s="15" t="s">
        <v>30688</v>
      </c>
      <c r="D3238" s="31">
        <v>39961</v>
      </c>
      <c r="E3238" s="15" t="s">
        <v>30691</v>
      </c>
      <c r="F3238" s="87"/>
      <c r="G3238" s="45" t="s">
        <v>2293</v>
      </c>
      <c r="H3238" s="55" t="s">
        <v>2294</v>
      </c>
      <c r="I3238" s="15" t="s">
        <v>214</v>
      </c>
    </row>
    <row r="3239" spans="1:9" ht="51.75" customHeight="1" x14ac:dyDescent="0.35">
      <c r="A3239" s="15">
        <v>3</v>
      </c>
      <c r="B3239" s="15" t="s">
        <v>30692</v>
      </c>
      <c r="C3239" s="15" t="s">
        <v>30693</v>
      </c>
      <c r="D3239" s="31">
        <v>39961</v>
      </c>
      <c r="E3239" s="15" t="s">
        <v>30694</v>
      </c>
      <c r="F3239" s="87"/>
      <c r="G3239" s="45" t="s">
        <v>2293</v>
      </c>
      <c r="H3239" s="55" t="s">
        <v>2294</v>
      </c>
      <c r="I3239" s="15" t="s">
        <v>214</v>
      </c>
    </row>
    <row r="3240" spans="1:9" ht="51.75" customHeight="1" x14ac:dyDescent="0.35">
      <c r="A3240" s="15">
        <v>4</v>
      </c>
      <c r="B3240" s="15" t="s">
        <v>30695</v>
      </c>
      <c r="C3240" s="15" t="s">
        <v>30696</v>
      </c>
      <c r="D3240" s="31">
        <v>39961</v>
      </c>
      <c r="E3240" s="15" t="s">
        <v>30697</v>
      </c>
      <c r="F3240" s="87"/>
      <c r="G3240" s="45" t="s">
        <v>2293</v>
      </c>
      <c r="H3240" s="55" t="s">
        <v>2294</v>
      </c>
      <c r="I3240" s="15" t="s">
        <v>214</v>
      </c>
    </row>
    <row r="3241" spans="1:9" ht="51.75" customHeight="1" x14ac:dyDescent="0.35">
      <c r="A3241" s="15">
        <v>5</v>
      </c>
      <c r="B3241" s="15" t="s">
        <v>30698</v>
      </c>
      <c r="C3241" s="15" t="s">
        <v>30699</v>
      </c>
      <c r="D3241" s="31">
        <v>39961</v>
      </c>
      <c r="E3241" s="15" t="s">
        <v>30700</v>
      </c>
      <c r="F3241" s="87"/>
      <c r="G3241" s="45" t="s">
        <v>2293</v>
      </c>
      <c r="H3241" s="55" t="s">
        <v>2294</v>
      </c>
      <c r="I3241" s="15" t="s">
        <v>214</v>
      </c>
    </row>
    <row r="3242" spans="1:9" ht="51.75" customHeight="1" x14ac:dyDescent="0.35">
      <c r="A3242" s="15">
        <v>6</v>
      </c>
      <c r="B3242" s="15" t="s">
        <v>30701</v>
      </c>
      <c r="C3242" s="15" t="s">
        <v>30702</v>
      </c>
      <c r="D3242" s="31">
        <v>39961</v>
      </c>
      <c r="E3242" s="15" t="s">
        <v>30703</v>
      </c>
      <c r="F3242" s="87"/>
      <c r="G3242" s="45" t="s">
        <v>2293</v>
      </c>
      <c r="H3242" s="55" t="s">
        <v>2294</v>
      </c>
      <c r="I3242" s="15" t="s">
        <v>214</v>
      </c>
    </row>
    <row r="3243" spans="1:9" ht="51.75" customHeight="1" x14ac:dyDescent="0.35">
      <c r="A3243" s="15">
        <v>1</v>
      </c>
      <c r="B3243" s="15" t="s">
        <v>30704</v>
      </c>
      <c r="C3243" s="15" t="s">
        <v>30705</v>
      </c>
      <c r="D3243" s="31">
        <v>39749</v>
      </c>
      <c r="E3243" s="15" t="s">
        <v>30706</v>
      </c>
      <c r="F3243" s="87"/>
      <c r="G3243" s="45" t="s">
        <v>2271</v>
      </c>
      <c r="H3243" s="55" t="s">
        <v>2272</v>
      </c>
      <c r="I3243" s="15" t="s">
        <v>214</v>
      </c>
    </row>
    <row r="3244" spans="1:9" ht="51.75" customHeight="1" x14ac:dyDescent="0.35">
      <c r="A3244" s="15">
        <v>1</v>
      </c>
      <c r="B3244" s="15" t="s">
        <v>30707</v>
      </c>
      <c r="C3244" s="15" t="s">
        <v>30708</v>
      </c>
      <c r="D3244" s="31">
        <v>39822</v>
      </c>
      <c r="E3244" s="15" t="s">
        <v>30709</v>
      </c>
      <c r="F3244" s="87"/>
      <c r="G3244" s="45" t="s">
        <v>2250</v>
      </c>
      <c r="H3244" s="55" t="s">
        <v>2251</v>
      </c>
      <c r="I3244" s="15" t="s">
        <v>214</v>
      </c>
    </row>
    <row r="3245" spans="1:9" ht="51.75" customHeight="1" x14ac:dyDescent="0.35">
      <c r="A3245" s="15">
        <v>2</v>
      </c>
      <c r="B3245" s="15" t="s">
        <v>30710</v>
      </c>
      <c r="C3245" s="15" t="s">
        <v>30711</v>
      </c>
      <c r="D3245" s="31">
        <v>39822</v>
      </c>
      <c r="E3245" s="15" t="s">
        <v>30712</v>
      </c>
      <c r="F3245" s="87"/>
      <c r="G3245" s="45" t="s">
        <v>2250</v>
      </c>
      <c r="H3245" s="55" t="s">
        <v>2251</v>
      </c>
      <c r="I3245" s="15" t="s">
        <v>214</v>
      </c>
    </row>
    <row r="3246" spans="1:9" ht="51.75" customHeight="1" x14ac:dyDescent="0.35">
      <c r="A3246" s="15">
        <v>3</v>
      </c>
      <c r="B3246" s="15" t="s">
        <v>30713</v>
      </c>
      <c r="C3246" s="15" t="s">
        <v>30714</v>
      </c>
      <c r="D3246" s="31">
        <v>39822</v>
      </c>
      <c r="E3246" s="15" t="s">
        <v>30715</v>
      </c>
      <c r="F3246" s="87"/>
      <c r="G3246" s="45" t="s">
        <v>2250</v>
      </c>
      <c r="H3246" s="55" t="s">
        <v>2251</v>
      </c>
      <c r="I3246" s="15" t="s">
        <v>214</v>
      </c>
    </row>
    <row r="3247" spans="1:9" ht="51.75" customHeight="1" x14ac:dyDescent="0.35">
      <c r="A3247" s="15">
        <v>4</v>
      </c>
      <c r="B3247" s="15" t="s">
        <v>30716</v>
      </c>
      <c r="C3247" s="15" t="s">
        <v>30717</v>
      </c>
      <c r="D3247" s="31">
        <v>39822</v>
      </c>
      <c r="E3247" s="15" t="s">
        <v>30718</v>
      </c>
      <c r="F3247" s="87"/>
      <c r="G3247" s="45" t="s">
        <v>2250</v>
      </c>
      <c r="H3247" s="55" t="s">
        <v>2251</v>
      </c>
      <c r="I3247" s="15" t="s">
        <v>214</v>
      </c>
    </row>
    <row r="3248" spans="1:9" ht="51.75" customHeight="1" x14ac:dyDescent="0.35">
      <c r="A3248" s="15">
        <v>5</v>
      </c>
      <c r="B3248" s="15" t="s">
        <v>30719</v>
      </c>
      <c r="C3248" s="15" t="s">
        <v>30720</v>
      </c>
      <c r="D3248" s="31">
        <v>39822</v>
      </c>
      <c r="E3248" s="15" t="s">
        <v>30721</v>
      </c>
      <c r="F3248" s="87"/>
      <c r="G3248" s="45" t="s">
        <v>2250</v>
      </c>
      <c r="H3248" s="55" t="s">
        <v>2251</v>
      </c>
      <c r="I3248" s="15" t="s">
        <v>214</v>
      </c>
    </row>
    <row r="3249" spans="1:9" ht="51.75" customHeight="1" x14ac:dyDescent="0.35">
      <c r="A3249" s="15">
        <v>6</v>
      </c>
      <c r="B3249" s="15" t="s">
        <v>30722</v>
      </c>
      <c r="C3249" s="15" t="s">
        <v>30723</v>
      </c>
      <c r="D3249" s="31">
        <v>39822</v>
      </c>
      <c r="E3249" s="15" t="s">
        <v>30724</v>
      </c>
      <c r="F3249" s="87"/>
      <c r="G3249" s="45" t="s">
        <v>2250</v>
      </c>
      <c r="H3249" s="55" t="s">
        <v>2251</v>
      </c>
      <c r="I3249" s="15" t="s">
        <v>214</v>
      </c>
    </row>
    <row r="3250" spans="1:9" ht="51.75" customHeight="1" x14ac:dyDescent="0.35">
      <c r="A3250" s="15">
        <v>7</v>
      </c>
      <c r="B3250" s="15" t="s">
        <v>30725</v>
      </c>
      <c r="C3250" s="15" t="s">
        <v>30726</v>
      </c>
      <c r="D3250" s="31">
        <v>39822</v>
      </c>
      <c r="E3250" s="15" t="s">
        <v>30727</v>
      </c>
      <c r="F3250" s="87"/>
      <c r="G3250" s="45" t="s">
        <v>2250</v>
      </c>
      <c r="H3250" s="55" t="s">
        <v>2251</v>
      </c>
      <c r="I3250" s="15" t="s">
        <v>214</v>
      </c>
    </row>
    <row r="3251" spans="1:9" ht="51.75" customHeight="1" x14ac:dyDescent="0.35">
      <c r="A3251" s="15">
        <v>8</v>
      </c>
      <c r="B3251" s="15" t="s">
        <v>30728</v>
      </c>
      <c r="C3251" s="15" t="s">
        <v>30729</v>
      </c>
      <c r="D3251" s="31">
        <v>39822</v>
      </c>
      <c r="E3251" s="15" t="s">
        <v>30730</v>
      </c>
      <c r="F3251" s="87"/>
      <c r="G3251" s="45" t="s">
        <v>2250</v>
      </c>
      <c r="H3251" s="55" t="s">
        <v>2251</v>
      </c>
      <c r="I3251" s="15" t="s">
        <v>214</v>
      </c>
    </row>
    <row r="3252" spans="1:9" ht="51.75" customHeight="1" x14ac:dyDescent="0.35">
      <c r="A3252" s="15">
        <v>9</v>
      </c>
      <c r="B3252" s="15" t="s">
        <v>30731</v>
      </c>
      <c r="C3252" s="15" t="s">
        <v>30732</v>
      </c>
      <c r="D3252" s="31">
        <v>39822</v>
      </c>
      <c r="E3252" s="15" t="s">
        <v>30733</v>
      </c>
      <c r="F3252" s="87"/>
      <c r="G3252" s="45" t="s">
        <v>2250</v>
      </c>
      <c r="H3252" s="55" t="s">
        <v>2251</v>
      </c>
      <c r="I3252" s="15" t="s">
        <v>214</v>
      </c>
    </row>
    <row r="3253" spans="1:9" ht="51.75" customHeight="1" x14ac:dyDescent="0.35">
      <c r="A3253" s="15">
        <v>10</v>
      </c>
      <c r="B3253" s="15" t="s">
        <v>30734</v>
      </c>
      <c r="C3253" s="15" t="s">
        <v>30735</v>
      </c>
      <c r="D3253" s="31">
        <v>39822</v>
      </c>
      <c r="E3253" s="15" t="s">
        <v>30736</v>
      </c>
      <c r="F3253" s="87"/>
      <c r="G3253" s="45" t="s">
        <v>2250</v>
      </c>
      <c r="H3253" s="55" t="s">
        <v>2251</v>
      </c>
      <c r="I3253" s="15" t="s">
        <v>214</v>
      </c>
    </row>
    <row r="3254" spans="1:9" ht="51.75" customHeight="1" x14ac:dyDescent="0.35">
      <c r="A3254" s="15">
        <v>1</v>
      </c>
      <c r="B3254" s="15" t="s">
        <v>30737</v>
      </c>
      <c r="C3254" s="15" t="s">
        <v>30738</v>
      </c>
      <c r="D3254" s="31">
        <v>39120</v>
      </c>
      <c r="E3254" s="15" t="s">
        <v>30739</v>
      </c>
      <c r="F3254" s="87"/>
      <c r="G3254" s="45" t="s">
        <v>1474</v>
      </c>
      <c r="H3254" s="55" t="s">
        <v>1475</v>
      </c>
      <c r="I3254" s="15" t="s">
        <v>214</v>
      </c>
    </row>
    <row r="3255" spans="1:9" ht="51.75" customHeight="1" x14ac:dyDescent="0.35">
      <c r="A3255" s="15">
        <v>2</v>
      </c>
      <c r="B3255" s="15" t="s">
        <v>30740</v>
      </c>
      <c r="C3255" s="15" t="s">
        <v>30741</v>
      </c>
      <c r="D3255" s="31">
        <v>39120</v>
      </c>
      <c r="E3255" s="15" t="s">
        <v>30742</v>
      </c>
      <c r="F3255" s="87"/>
      <c r="G3255" s="45" t="s">
        <v>1474</v>
      </c>
      <c r="H3255" s="55" t="s">
        <v>1475</v>
      </c>
      <c r="I3255" s="15" t="s">
        <v>214</v>
      </c>
    </row>
    <row r="3256" spans="1:9" ht="51.75" customHeight="1" x14ac:dyDescent="0.35">
      <c r="A3256" s="15">
        <v>3</v>
      </c>
      <c r="B3256" s="15" t="s">
        <v>30743</v>
      </c>
      <c r="C3256" s="15" t="s">
        <v>30744</v>
      </c>
      <c r="D3256" s="31">
        <v>39120</v>
      </c>
      <c r="E3256" s="15" t="s">
        <v>30745</v>
      </c>
      <c r="F3256" s="87"/>
      <c r="G3256" s="45" t="s">
        <v>1474</v>
      </c>
      <c r="H3256" s="55" t="s">
        <v>1475</v>
      </c>
      <c r="I3256" s="15" t="s">
        <v>214</v>
      </c>
    </row>
    <row r="3257" spans="1:9" ht="51.75" customHeight="1" x14ac:dyDescent="0.35">
      <c r="A3257" s="15">
        <v>4</v>
      </c>
      <c r="B3257" s="15" t="s">
        <v>30746</v>
      </c>
      <c r="C3257" s="15" t="s">
        <v>30747</v>
      </c>
      <c r="D3257" s="31">
        <v>39120</v>
      </c>
      <c r="E3257" s="15" t="s">
        <v>30748</v>
      </c>
      <c r="F3257" s="87"/>
      <c r="G3257" s="45" t="s">
        <v>1474</v>
      </c>
      <c r="H3257" s="55" t="s">
        <v>1475</v>
      </c>
      <c r="I3257" s="15" t="s">
        <v>214</v>
      </c>
    </row>
    <row r="3258" spans="1:9" ht="51.75" customHeight="1" x14ac:dyDescent="0.35">
      <c r="A3258" s="15">
        <v>1</v>
      </c>
      <c r="B3258" s="15" t="s">
        <v>30749</v>
      </c>
      <c r="C3258" s="15" t="s">
        <v>30750</v>
      </c>
      <c r="D3258" s="31">
        <v>39587</v>
      </c>
      <c r="E3258" s="15" t="s">
        <v>30751</v>
      </c>
      <c r="F3258" s="87"/>
      <c r="G3258" s="45" t="s">
        <v>1427</v>
      </c>
      <c r="H3258" s="55" t="s">
        <v>1428</v>
      </c>
      <c r="I3258" s="15" t="s">
        <v>214</v>
      </c>
    </row>
    <row r="3259" spans="1:9" ht="51.75" customHeight="1" x14ac:dyDescent="0.35">
      <c r="A3259" s="15">
        <v>2</v>
      </c>
      <c r="B3259" s="15" t="s">
        <v>30752</v>
      </c>
      <c r="C3259" s="15" t="s">
        <v>30753</v>
      </c>
      <c r="D3259" s="31">
        <v>39587</v>
      </c>
      <c r="E3259" s="15" t="s">
        <v>30754</v>
      </c>
      <c r="F3259" s="87"/>
      <c r="G3259" s="45" t="s">
        <v>1427</v>
      </c>
      <c r="H3259" s="55" t="s">
        <v>1428</v>
      </c>
      <c r="I3259" s="15" t="s">
        <v>214</v>
      </c>
    </row>
    <row r="3260" spans="1:9" ht="51.75" customHeight="1" x14ac:dyDescent="0.35">
      <c r="A3260" s="15">
        <v>3</v>
      </c>
      <c r="B3260" s="15" t="s">
        <v>30755</v>
      </c>
      <c r="C3260" s="15" t="s">
        <v>30756</v>
      </c>
      <c r="D3260" s="31">
        <v>39587</v>
      </c>
      <c r="E3260" s="15" t="s">
        <v>30757</v>
      </c>
      <c r="F3260" s="87"/>
      <c r="G3260" s="45" t="s">
        <v>1427</v>
      </c>
      <c r="H3260" s="55" t="s">
        <v>1428</v>
      </c>
      <c r="I3260" s="15" t="s">
        <v>214</v>
      </c>
    </row>
    <row r="3261" spans="1:9" ht="51.75" customHeight="1" x14ac:dyDescent="0.35">
      <c r="A3261" s="15">
        <v>4</v>
      </c>
      <c r="B3261" s="15" t="s">
        <v>30758</v>
      </c>
      <c r="C3261" s="15" t="s">
        <v>30759</v>
      </c>
      <c r="D3261" s="31">
        <v>39587</v>
      </c>
      <c r="E3261" s="15" t="s">
        <v>30760</v>
      </c>
      <c r="F3261" s="87"/>
      <c r="G3261" s="45" t="s">
        <v>1427</v>
      </c>
      <c r="H3261" s="55" t="s">
        <v>1428</v>
      </c>
      <c r="I3261" s="15" t="s">
        <v>214</v>
      </c>
    </row>
    <row r="3262" spans="1:9" ht="51.75" customHeight="1" x14ac:dyDescent="0.35">
      <c r="A3262" s="15">
        <v>5</v>
      </c>
      <c r="B3262" s="15" t="s">
        <v>30761</v>
      </c>
      <c r="C3262" s="15" t="s">
        <v>30762</v>
      </c>
      <c r="D3262" s="31">
        <v>39587</v>
      </c>
      <c r="E3262" s="15" t="s">
        <v>30763</v>
      </c>
      <c r="F3262" s="87"/>
      <c r="G3262" s="45" t="s">
        <v>1427</v>
      </c>
      <c r="H3262" s="55" t="s">
        <v>1428</v>
      </c>
      <c r="I3262" s="15" t="s">
        <v>214</v>
      </c>
    </row>
    <row r="3263" spans="1:9" ht="51.75" customHeight="1" x14ac:dyDescent="0.35">
      <c r="A3263" s="15">
        <v>1</v>
      </c>
      <c r="B3263" s="15" t="s">
        <v>30764</v>
      </c>
      <c r="C3263" s="15" t="s">
        <v>30765</v>
      </c>
      <c r="D3263" s="31">
        <v>39240</v>
      </c>
      <c r="E3263" s="15" t="s">
        <v>30766</v>
      </c>
      <c r="F3263" s="87"/>
      <c r="G3263" s="45" t="s">
        <v>1354</v>
      </c>
      <c r="H3263" s="55" t="s">
        <v>1355</v>
      </c>
      <c r="I3263" s="15" t="s">
        <v>214</v>
      </c>
    </row>
    <row r="3264" spans="1:9" ht="51.75" customHeight="1" x14ac:dyDescent="0.35">
      <c r="A3264" s="15">
        <v>2</v>
      </c>
      <c r="B3264" s="15" t="s">
        <v>30767</v>
      </c>
      <c r="C3264" s="15" t="s">
        <v>30768</v>
      </c>
      <c r="D3264" s="31">
        <v>39240</v>
      </c>
      <c r="E3264" s="15" t="s">
        <v>30769</v>
      </c>
      <c r="F3264" s="87"/>
      <c r="G3264" s="45" t="s">
        <v>1354</v>
      </c>
      <c r="H3264" s="55" t="s">
        <v>1355</v>
      </c>
      <c r="I3264" s="15" t="s">
        <v>214</v>
      </c>
    </row>
    <row r="3265" spans="1:9" ht="51.75" customHeight="1" x14ac:dyDescent="0.35">
      <c r="A3265" s="15">
        <v>3</v>
      </c>
      <c r="B3265" s="15" t="s">
        <v>30770</v>
      </c>
      <c r="C3265" s="15" t="s">
        <v>30771</v>
      </c>
      <c r="D3265" s="31">
        <v>39240</v>
      </c>
      <c r="E3265" s="15" t="s">
        <v>30772</v>
      </c>
      <c r="F3265" s="87"/>
      <c r="G3265" s="45" t="s">
        <v>1354</v>
      </c>
      <c r="H3265" s="55" t="s">
        <v>1355</v>
      </c>
      <c r="I3265" s="15" t="s">
        <v>214</v>
      </c>
    </row>
    <row r="3266" spans="1:9" ht="51.75" customHeight="1" x14ac:dyDescent="0.35">
      <c r="A3266" s="15">
        <v>1</v>
      </c>
      <c r="B3266" s="15" t="s">
        <v>30773</v>
      </c>
      <c r="C3266" s="15" t="s">
        <v>30774</v>
      </c>
      <c r="D3266" s="31">
        <v>39021</v>
      </c>
      <c r="E3266" s="15" t="s">
        <v>30775</v>
      </c>
      <c r="F3266" s="87"/>
      <c r="G3266" s="45" t="s">
        <v>861</v>
      </c>
      <c r="H3266" s="55" t="s">
        <v>862</v>
      </c>
      <c r="I3266" s="15" t="s">
        <v>214</v>
      </c>
    </row>
    <row r="3267" spans="1:9" ht="51.75" customHeight="1" x14ac:dyDescent="0.35">
      <c r="A3267" s="15">
        <v>2</v>
      </c>
      <c r="B3267" s="15" t="s">
        <v>30776</v>
      </c>
      <c r="C3267" s="15" t="s">
        <v>30777</v>
      </c>
      <c r="D3267" s="31">
        <v>39021</v>
      </c>
      <c r="E3267" s="15" t="s">
        <v>30778</v>
      </c>
      <c r="F3267" s="87"/>
      <c r="G3267" s="45" t="s">
        <v>861</v>
      </c>
      <c r="H3267" s="55" t="s">
        <v>862</v>
      </c>
      <c r="I3267" s="15" t="s">
        <v>214</v>
      </c>
    </row>
    <row r="3268" spans="1:9" ht="51.75" customHeight="1" x14ac:dyDescent="0.35">
      <c r="A3268" s="15">
        <v>1</v>
      </c>
      <c r="B3268" s="15" t="s">
        <v>30779</v>
      </c>
      <c r="C3268" s="15" t="s">
        <v>30780</v>
      </c>
      <c r="D3268" s="31">
        <v>39263</v>
      </c>
      <c r="E3268" s="15" t="s">
        <v>30781</v>
      </c>
      <c r="F3268" s="87"/>
      <c r="G3268" s="45" t="s">
        <v>765</v>
      </c>
      <c r="H3268" s="55" t="s">
        <v>766</v>
      </c>
      <c r="I3268" s="15" t="s">
        <v>214</v>
      </c>
    </row>
    <row r="3269" spans="1:9" ht="51.75" customHeight="1" x14ac:dyDescent="0.35">
      <c r="A3269" s="15">
        <v>2</v>
      </c>
      <c r="B3269" s="15" t="s">
        <v>30782</v>
      </c>
      <c r="C3269" s="15" t="s">
        <v>30783</v>
      </c>
      <c r="D3269" s="31">
        <v>39263</v>
      </c>
      <c r="E3269" s="15" t="s">
        <v>30784</v>
      </c>
      <c r="F3269" s="87"/>
      <c r="G3269" s="45" t="s">
        <v>765</v>
      </c>
      <c r="H3269" s="55" t="s">
        <v>766</v>
      </c>
      <c r="I3269" s="15" t="s">
        <v>214</v>
      </c>
    </row>
    <row r="3270" spans="1:9" ht="51.75" customHeight="1" x14ac:dyDescent="0.35">
      <c r="A3270" s="15">
        <v>1</v>
      </c>
      <c r="B3270" s="15" t="s">
        <v>30785</v>
      </c>
      <c r="C3270" s="15" t="s">
        <v>30786</v>
      </c>
      <c r="D3270" s="31">
        <v>39233</v>
      </c>
      <c r="E3270" s="15" t="s">
        <v>30787</v>
      </c>
      <c r="F3270" s="87"/>
      <c r="G3270" s="45" t="s">
        <v>740</v>
      </c>
      <c r="H3270" s="55" t="s">
        <v>741</v>
      </c>
      <c r="I3270" s="15" t="s">
        <v>214</v>
      </c>
    </row>
    <row r="3271" spans="1:9" ht="51.75" customHeight="1" x14ac:dyDescent="0.35">
      <c r="A3271" s="15">
        <v>2</v>
      </c>
      <c r="B3271" s="15" t="s">
        <v>30788</v>
      </c>
      <c r="C3271" s="15" t="s">
        <v>30789</v>
      </c>
      <c r="D3271" s="31">
        <v>39233</v>
      </c>
      <c r="E3271" s="15" t="s">
        <v>30790</v>
      </c>
      <c r="F3271" s="87"/>
      <c r="G3271" s="45" t="s">
        <v>740</v>
      </c>
      <c r="H3271" s="55" t="s">
        <v>741</v>
      </c>
      <c r="I3271" s="15" t="s">
        <v>214</v>
      </c>
    </row>
    <row r="3272" spans="1:9" ht="51.75" customHeight="1" x14ac:dyDescent="0.35">
      <c r="A3272" s="15">
        <v>1</v>
      </c>
      <c r="B3272" s="15" t="s">
        <v>30791</v>
      </c>
      <c r="C3272" s="15" t="s">
        <v>30792</v>
      </c>
      <c r="D3272" s="31">
        <v>39325</v>
      </c>
      <c r="E3272" s="15" t="s">
        <v>30793</v>
      </c>
      <c r="F3272" s="87"/>
      <c r="G3272" s="45" t="s">
        <v>716</v>
      </c>
      <c r="H3272" s="55" t="s">
        <v>717</v>
      </c>
      <c r="I3272" s="15" t="s">
        <v>214</v>
      </c>
    </row>
    <row r="3273" spans="1:9" ht="51.75" customHeight="1" x14ac:dyDescent="0.35">
      <c r="A3273" s="15">
        <v>2</v>
      </c>
      <c r="B3273" s="15" t="s">
        <v>30794</v>
      </c>
      <c r="C3273" s="15" t="s">
        <v>30795</v>
      </c>
      <c r="D3273" s="31">
        <v>39325</v>
      </c>
      <c r="E3273" s="15" t="s">
        <v>30796</v>
      </c>
      <c r="F3273" s="87"/>
      <c r="G3273" s="45" t="s">
        <v>716</v>
      </c>
      <c r="H3273" s="55" t="s">
        <v>717</v>
      </c>
      <c r="I3273" s="15" t="s">
        <v>214</v>
      </c>
    </row>
    <row r="3274" spans="1:9" ht="51.75" customHeight="1" x14ac:dyDescent="0.35">
      <c r="A3274" s="15">
        <v>1</v>
      </c>
      <c r="B3274" s="15" t="s">
        <v>30797</v>
      </c>
      <c r="C3274" s="15" t="s">
        <v>30798</v>
      </c>
      <c r="D3274" s="31">
        <v>39202</v>
      </c>
      <c r="E3274" s="15" t="s">
        <v>30799</v>
      </c>
      <c r="F3274" s="87"/>
      <c r="G3274" s="45" t="s">
        <v>588</v>
      </c>
      <c r="H3274" s="55" t="s">
        <v>589</v>
      </c>
      <c r="I3274" s="15" t="s">
        <v>214</v>
      </c>
    </row>
    <row r="3275" spans="1:9" ht="51.75" customHeight="1" x14ac:dyDescent="0.35">
      <c r="A3275" s="15">
        <v>2</v>
      </c>
      <c r="B3275" s="15" t="s">
        <v>30800</v>
      </c>
      <c r="C3275" s="15" t="s">
        <v>30801</v>
      </c>
      <c r="D3275" s="31">
        <v>39202</v>
      </c>
      <c r="E3275" s="15" t="s">
        <v>30802</v>
      </c>
      <c r="F3275" s="87"/>
      <c r="G3275" s="45" t="s">
        <v>588</v>
      </c>
      <c r="H3275" s="55" t="s">
        <v>589</v>
      </c>
      <c r="I3275" s="15" t="s">
        <v>214</v>
      </c>
    </row>
    <row r="3276" spans="1:9" ht="51.75" customHeight="1" x14ac:dyDescent="0.35">
      <c r="A3276" s="15">
        <v>3</v>
      </c>
      <c r="B3276" s="15" t="s">
        <v>30803</v>
      </c>
      <c r="C3276" s="15" t="s">
        <v>30804</v>
      </c>
      <c r="D3276" s="31">
        <v>39202</v>
      </c>
      <c r="E3276" s="15" t="s">
        <v>30805</v>
      </c>
      <c r="F3276" s="87"/>
      <c r="G3276" s="45" t="s">
        <v>588</v>
      </c>
      <c r="H3276" s="55" t="s">
        <v>589</v>
      </c>
      <c r="I3276" s="15" t="s">
        <v>214</v>
      </c>
    </row>
    <row r="3277" spans="1:9" ht="51.75" customHeight="1" x14ac:dyDescent="0.35">
      <c r="A3277" s="15">
        <v>4</v>
      </c>
      <c r="B3277" s="15" t="s">
        <v>30806</v>
      </c>
      <c r="C3277" s="15" t="s">
        <v>30807</v>
      </c>
      <c r="D3277" s="31">
        <v>39202</v>
      </c>
      <c r="E3277" s="15" t="s">
        <v>30808</v>
      </c>
      <c r="F3277" s="87"/>
      <c r="G3277" s="45" t="s">
        <v>588</v>
      </c>
      <c r="H3277" s="55" t="s">
        <v>589</v>
      </c>
      <c r="I3277" s="15" t="s">
        <v>214</v>
      </c>
    </row>
    <row r="3278" spans="1:9" ht="51.75" customHeight="1" x14ac:dyDescent="0.35">
      <c r="A3278" s="15">
        <v>1</v>
      </c>
      <c r="B3278" s="15" t="s">
        <v>30809</v>
      </c>
      <c r="C3278" s="15" t="s">
        <v>30810</v>
      </c>
      <c r="D3278" s="31">
        <v>38960</v>
      </c>
      <c r="E3278" s="15" t="s">
        <v>30811</v>
      </c>
      <c r="F3278" s="87"/>
      <c r="G3278" s="45" t="s">
        <v>257</v>
      </c>
      <c r="H3278" s="55" t="s">
        <v>30812</v>
      </c>
      <c r="I3278" s="15" t="s">
        <v>214</v>
      </c>
    </row>
    <row r="3279" spans="1:9" ht="51.75" customHeight="1" x14ac:dyDescent="0.35">
      <c r="A3279" s="15">
        <v>2</v>
      </c>
      <c r="B3279" s="15" t="s">
        <v>30813</v>
      </c>
      <c r="C3279" s="15" t="s">
        <v>30814</v>
      </c>
      <c r="D3279" s="31">
        <v>38960</v>
      </c>
      <c r="E3279" s="15" t="s">
        <v>30815</v>
      </c>
      <c r="F3279" s="87"/>
      <c r="G3279" s="45" t="s">
        <v>257</v>
      </c>
      <c r="H3279" s="55" t="s">
        <v>30812</v>
      </c>
      <c r="I3279" s="15" t="s">
        <v>214</v>
      </c>
    </row>
    <row r="3280" spans="1:9" ht="51.75" customHeight="1" x14ac:dyDescent="0.35">
      <c r="A3280" s="15">
        <v>3</v>
      </c>
      <c r="B3280" s="15" t="s">
        <v>30816</v>
      </c>
      <c r="C3280" s="15" t="s">
        <v>30817</v>
      </c>
      <c r="D3280" s="31">
        <v>38960</v>
      </c>
      <c r="E3280" s="15" t="s">
        <v>30818</v>
      </c>
      <c r="F3280" s="87"/>
      <c r="G3280" s="45" t="s">
        <v>257</v>
      </c>
      <c r="H3280" s="55" t="s">
        <v>30812</v>
      </c>
      <c r="I3280" s="15" t="s">
        <v>214</v>
      </c>
    </row>
    <row r="3281" spans="1:9" ht="51.75" customHeight="1" x14ac:dyDescent="0.35">
      <c r="A3281" s="15">
        <v>4</v>
      </c>
      <c r="B3281" s="15" t="s">
        <v>30819</v>
      </c>
      <c r="C3281" s="15" t="s">
        <v>30820</v>
      </c>
      <c r="D3281" s="31">
        <v>38960</v>
      </c>
      <c r="E3281" s="15" t="s">
        <v>30821</v>
      </c>
      <c r="F3281" s="87"/>
      <c r="G3281" s="45" t="s">
        <v>257</v>
      </c>
      <c r="H3281" s="55" t="s">
        <v>30812</v>
      </c>
      <c r="I3281" s="15" t="s">
        <v>214</v>
      </c>
    </row>
    <row r="3282" spans="1:9" ht="51.75" customHeight="1" x14ac:dyDescent="0.35">
      <c r="A3282" s="15">
        <v>5</v>
      </c>
      <c r="B3282" s="15" t="s">
        <v>30822</v>
      </c>
      <c r="C3282" s="15" t="s">
        <v>30823</v>
      </c>
      <c r="D3282" s="31">
        <v>38960</v>
      </c>
      <c r="E3282" s="15" t="s">
        <v>30824</v>
      </c>
      <c r="F3282" s="87"/>
      <c r="G3282" s="45" t="s">
        <v>257</v>
      </c>
      <c r="H3282" s="55" t="s">
        <v>30812</v>
      </c>
      <c r="I3282" s="15" t="s">
        <v>214</v>
      </c>
    </row>
    <row r="3283" spans="1:9" ht="51.75" customHeight="1" x14ac:dyDescent="0.35">
      <c r="A3283" s="15">
        <v>6</v>
      </c>
      <c r="B3283" s="15" t="s">
        <v>30825</v>
      </c>
      <c r="C3283" s="15" t="s">
        <v>30826</v>
      </c>
      <c r="D3283" s="31">
        <v>38960</v>
      </c>
      <c r="E3283" s="15" t="s">
        <v>30827</v>
      </c>
      <c r="F3283" s="87"/>
      <c r="G3283" s="45" t="s">
        <v>257</v>
      </c>
      <c r="H3283" s="55" t="s">
        <v>30812</v>
      </c>
      <c r="I3283" s="15" t="s">
        <v>214</v>
      </c>
    </row>
    <row r="3284" spans="1:9" ht="51.75" customHeight="1" x14ac:dyDescent="0.35">
      <c r="A3284" s="15">
        <v>7</v>
      </c>
      <c r="B3284" s="15" t="s">
        <v>30828</v>
      </c>
      <c r="C3284" s="15" t="s">
        <v>30829</v>
      </c>
      <c r="D3284" s="31">
        <v>38960</v>
      </c>
      <c r="E3284" s="15" t="s">
        <v>30829</v>
      </c>
      <c r="F3284" s="87"/>
      <c r="G3284" s="45" t="s">
        <v>257</v>
      </c>
      <c r="H3284" s="55" t="s">
        <v>30812</v>
      </c>
      <c r="I3284" s="15" t="s">
        <v>214</v>
      </c>
    </row>
    <row r="3285" spans="1:9" ht="51.75" customHeight="1" x14ac:dyDescent="0.35">
      <c r="A3285" s="15">
        <v>8</v>
      </c>
      <c r="B3285" s="15" t="s">
        <v>30830</v>
      </c>
      <c r="C3285" s="15" t="s">
        <v>30831</v>
      </c>
      <c r="D3285" s="31">
        <v>38960</v>
      </c>
      <c r="E3285" s="15" t="s">
        <v>30832</v>
      </c>
      <c r="F3285" s="87"/>
      <c r="G3285" s="45" t="s">
        <v>257</v>
      </c>
      <c r="H3285" s="55" t="s">
        <v>30812</v>
      </c>
      <c r="I3285" s="15" t="s">
        <v>214</v>
      </c>
    </row>
    <row r="3286" spans="1:9" ht="51.75" customHeight="1" x14ac:dyDescent="0.35">
      <c r="A3286" s="15">
        <v>9</v>
      </c>
      <c r="B3286" s="15" t="s">
        <v>30833</v>
      </c>
      <c r="C3286" s="15" t="s">
        <v>30834</v>
      </c>
      <c r="D3286" s="31">
        <v>38960</v>
      </c>
      <c r="E3286" s="15" t="s">
        <v>30835</v>
      </c>
      <c r="F3286" s="87"/>
      <c r="G3286" s="45" t="s">
        <v>257</v>
      </c>
      <c r="H3286" s="55" t="s">
        <v>30812</v>
      </c>
      <c r="I3286" s="15" t="s">
        <v>214</v>
      </c>
    </row>
    <row r="3287" spans="1:9" ht="51.75" customHeight="1" x14ac:dyDescent="0.35">
      <c r="A3287" s="15">
        <v>1</v>
      </c>
      <c r="B3287" s="15" t="s">
        <v>30836</v>
      </c>
      <c r="C3287" s="15" t="s">
        <v>30837</v>
      </c>
      <c r="D3287" s="31">
        <v>38807</v>
      </c>
      <c r="E3287" s="15" t="s">
        <v>30838</v>
      </c>
      <c r="F3287" s="87"/>
      <c r="G3287" s="45" t="s">
        <v>314</v>
      </c>
      <c r="H3287" s="55" t="s">
        <v>315</v>
      </c>
      <c r="I3287" s="15" t="s">
        <v>214</v>
      </c>
    </row>
    <row r="3288" spans="1:9" ht="51.75" customHeight="1" x14ac:dyDescent="0.35">
      <c r="A3288" s="15">
        <v>2</v>
      </c>
      <c r="B3288" s="15" t="s">
        <v>30839</v>
      </c>
      <c r="C3288" s="15" t="s">
        <v>30840</v>
      </c>
      <c r="D3288" s="31">
        <v>38807</v>
      </c>
      <c r="E3288" s="15" t="s">
        <v>30841</v>
      </c>
      <c r="F3288" s="87"/>
      <c r="G3288" s="45" t="s">
        <v>314</v>
      </c>
      <c r="H3288" s="55" t="s">
        <v>315</v>
      </c>
      <c r="I3288" s="15" t="s">
        <v>214</v>
      </c>
    </row>
    <row r="3289" spans="1:9" ht="51.75" customHeight="1" x14ac:dyDescent="0.35">
      <c r="A3289" s="15">
        <v>3</v>
      </c>
      <c r="B3289" s="15" t="s">
        <v>30842</v>
      </c>
      <c r="C3289" s="15" t="s">
        <v>30843</v>
      </c>
      <c r="D3289" s="31">
        <v>38807</v>
      </c>
      <c r="E3289" s="15" t="s">
        <v>30844</v>
      </c>
      <c r="F3289" s="87"/>
      <c r="G3289" s="45" t="s">
        <v>314</v>
      </c>
      <c r="H3289" s="55" t="s">
        <v>315</v>
      </c>
      <c r="I3289" s="15" t="s">
        <v>214</v>
      </c>
    </row>
    <row r="3290" spans="1:9" ht="51.75" customHeight="1" x14ac:dyDescent="0.35">
      <c r="A3290" s="15">
        <v>4</v>
      </c>
      <c r="B3290" s="15" t="s">
        <v>30845</v>
      </c>
      <c r="C3290" s="15" t="s">
        <v>30846</v>
      </c>
      <c r="D3290" s="31">
        <v>38807</v>
      </c>
      <c r="E3290" s="15" t="s">
        <v>30847</v>
      </c>
      <c r="F3290" s="87"/>
      <c r="G3290" s="45" t="s">
        <v>314</v>
      </c>
      <c r="H3290" s="55" t="s">
        <v>315</v>
      </c>
      <c r="I3290" s="15" t="s">
        <v>214</v>
      </c>
    </row>
    <row r="3291" spans="1:9" ht="51.75" customHeight="1" x14ac:dyDescent="0.35">
      <c r="A3291" s="15">
        <v>1</v>
      </c>
      <c r="B3291" s="15" t="s">
        <v>30848</v>
      </c>
      <c r="C3291" s="15" t="s">
        <v>30849</v>
      </c>
      <c r="D3291" s="31">
        <v>39355</v>
      </c>
      <c r="E3291" s="15" t="s">
        <v>30850</v>
      </c>
      <c r="F3291" s="87"/>
      <c r="G3291" s="45" t="s">
        <v>1059</v>
      </c>
      <c r="H3291" s="55" t="s">
        <v>1060</v>
      </c>
      <c r="I3291" s="15" t="s">
        <v>214</v>
      </c>
    </row>
    <row r="3292" spans="1:9" ht="51.75" customHeight="1" x14ac:dyDescent="0.35">
      <c r="A3292" s="15">
        <v>2</v>
      </c>
      <c r="B3292" s="15" t="s">
        <v>30851</v>
      </c>
      <c r="C3292" s="15" t="s">
        <v>30852</v>
      </c>
      <c r="D3292" s="31">
        <v>39355</v>
      </c>
      <c r="E3292" s="15" t="s">
        <v>30853</v>
      </c>
      <c r="F3292" s="87"/>
      <c r="G3292" s="45" t="s">
        <v>1059</v>
      </c>
      <c r="H3292" s="55" t="s">
        <v>1060</v>
      </c>
      <c r="I3292" s="15" t="s">
        <v>214</v>
      </c>
    </row>
    <row r="3293" spans="1:9" ht="51.75" customHeight="1" x14ac:dyDescent="0.35">
      <c r="A3293" s="15">
        <v>3</v>
      </c>
      <c r="B3293" s="15" t="s">
        <v>30854</v>
      </c>
      <c r="C3293" s="15" t="s">
        <v>30855</v>
      </c>
      <c r="D3293" s="31">
        <v>39355</v>
      </c>
      <c r="E3293" s="15" t="s">
        <v>30856</v>
      </c>
      <c r="F3293" s="87"/>
      <c r="G3293" s="45" t="s">
        <v>1059</v>
      </c>
      <c r="H3293" s="55" t="s">
        <v>1060</v>
      </c>
      <c r="I3293" s="15" t="s">
        <v>214</v>
      </c>
    </row>
    <row r="3294" spans="1:9" ht="51.75" customHeight="1" x14ac:dyDescent="0.35">
      <c r="A3294" s="15">
        <v>1</v>
      </c>
      <c r="B3294" s="15" t="s">
        <v>30857</v>
      </c>
      <c r="C3294" s="15" t="s">
        <v>30858</v>
      </c>
      <c r="D3294" s="31">
        <v>39587</v>
      </c>
      <c r="E3294" s="15" t="s">
        <v>30859</v>
      </c>
      <c r="F3294" s="87"/>
      <c r="G3294" s="45" t="s">
        <v>1468</v>
      </c>
      <c r="H3294" s="55" t="s">
        <v>1469</v>
      </c>
      <c r="I3294" s="15" t="s">
        <v>214</v>
      </c>
    </row>
    <row r="3295" spans="1:9" ht="51.75" customHeight="1" x14ac:dyDescent="0.35">
      <c r="A3295" s="15">
        <v>2</v>
      </c>
      <c r="B3295" s="15" t="s">
        <v>30860</v>
      </c>
      <c r="C3295" s="15" t="s">
        <v>30861</v>
      </c>
      <c r="D3295" s="31">
        <v>39587</v>
      </c>
      <c r="E3295" s="15" t="s">
        <v>30862</v>
      </c>
      <c r="F3295" s="87"/>
      <c r="G3295" s="45" t="s">
        <v>1468</v>
      </c>
      <c r="H3295" s="55" t="s">
        <v>1469</v>
      </c>
      <c r="I3295" s="15" t="s">
        <v>214</v>
      </c>
    </row>
    <row r="3296" spans="1:9" ht="51.75" customHeight="1" x14ac:dyDescent="0.35">
      <c r="A3296" s="15">
        <v>3</v>
      </c>
      <c r="B3296" s="15" t="s">
        <v>30863</v>
      </c>
      <c r="C3296" s="15" t="s">
        <v>30864</v>
      </c>
      <c r="D3296" s="31">
        <v>39587</v>
      </c>
      <c r="E3296" s="15" t="s">
        <v>30865</v>
      </c>
      <c r="F3296" s="87"/>
      <c r="G3296" s="45" t="s">
        <v>1468</v>
      </c>
      <c r="H3296" s="55" t="s">
        <v>1469</v>
      </c>
      <c r="I3296" s="15" t="s">
        <v>214</v>
      </c>
    </row>
    <row r="3297" spans="1:9" ht="51.75" customHeight="1" x14ac:dyDescent="0.35">
      <c r="A3297" s="15">
        <v>1</v>
      </c>
      <c r="B3297" s="15" t="s">
        <v>30866</v>
      </c>
      <c r="C3297" s="15" t="s">
        <v>30867</v>
      </c>
      <c r="D3297" s="31">
        <v>39587</v>
      </c>
      <c r="E3297" s="15" t="s">
        <v>30868</v>
      </c>
      <c r="F3297" s="87"/>
      <c r="G3297" s="45" t="s">
        <v>1051</v>
      </c>
      <c r="H3297" s="55" t="s">
        <v>1052</v>
      </c>
      <c r="I3297" s="15" t="s">
        <v>214</v>
      </c>
    </row>
    <row r="3298" spans="1:9" ht="51.75" customHeight="1" x14ac:dyDescent="0.35">
      <c r="A3298" s="15">
        <v>2</v>
      </c>
      <c r="B3298" s="15" t="s">
        <v>30869</v>
      </c>
      <c r="C3298" s="15" t="s">
        <v>30870</v>
      </c>
      <c r="D3298" s="31">
        <v>39587</v>
      </c>
      <c r="E3298" s="15" t="s">
        <v>30871</v>
      </c>
      <c r="F3298" s="87"/>
      <c r="G3298" s="45" t="s">
        <v>1051</v>
      </c>
      <c r="H3298" s="55" t="s">
        <v>1052</v>
      </c>
      <c r="I3298" s="15" t="s">
        <v>214</v>
      </c>
    </row>
    <row r="3299" spans="1:9" ht="51.75" customHeight="1" x14ac:dyDescent="0.35">
      <c r="A3299" s="15">
        <v>3</v>
      </c>
      <c r="B3299" s="15" t="s">
        <v>30872</v>
      </c>
      <c r="C3299" s="15" t="s">
        <v>30873</v>
      </c>
      <c r="D3299" s="31">
        <v>39587</v>
      </c>
      <c r="E3299" s="15" t="s">
        <v>30874</v>
      </c>
      <c r="F3299" s="87"/>
      <c r="G3299" s="45" t="s">
        <v>1051</v>
      </c>
      <c r="H3299" s="55" t="s">
        <v>1052</v>
      </c>
      <c r="I3299" s="15" t="s">
        <v>214</v>
      </c>
    </row>
    <row r="3300" spans="1:9" ht="51.75" customHeight="1" x14ac:dyDescent="0.35">
      <c r="A3300" s="15">
        <v>4</v>
      </c>
      <c r="B3300" s="15" t="s">
        <v>30875</v>
      </c>
      <c r="C3300" s="15" t="s">
        <v>30876</v>
      </c>
      <c r="D3300" s="31">
        <v>39587</v>
      </c>
      <c r="E3300" s="15" t="s">
        <v>30877</v>
      </c>
      <c r="F3300" s="87"/>
      <c r="G3300" s="45" t="s">
        <v>1051</v>
      </c>
      <c r="H3300" s="55" t="s">
        <v>1052</v>
      </c>
      <c r="I3300" s="15" t="s">
        <v>214</v>
      </c>
    </row>
    <row r="3301" spans="1:9" ht="51.75" customHeight="1" x14ac:dyDescent="0.35">
      <c r="A3301" s="15">
        <v>5</v>
      </c>
      <c r="B3301" s="15" t="s">
        <v>30878</v>
      </c>
      <c r="C3301" s="15" t="s">
        <v>30879</v>
      </c>
      <c r="D3301" s="31">
        <v>39587</v>
      </c>
      <c r="E3301" s="15" t="s">
        <v>30880</v>
      </c>
      <c r="F3301" s="87"/>
      <c r="G3301" s="45" t="s">
        <v>1051</v>
      </c>
      <c r="H3301" s="55" t="s">
        <v>1052</v>
      </c>
      <c r="I3301" s="15" t="s">
        <v>214</v>
      </c>
    </row>
    <row r="3302" spans="1:9" ht="51.75" customHeight="1" x14ac:dyDescent="0.35">
      <c r="A3302" s="15">
        <v>6</v>
      </c>
      <c r="B3302" s="15" t="s">
        <v>30881</v>
      </c>
      <c r="C3302" s="15" t="s">
        <v>30882</v>
      </c>
      <c r="D3302" s="31">
        <v>39587</v>
      </c>
      <c r="E3302" s="15" t="s">
        <v>30883</v>
      </c>
      <c r="F3302" s="87"/>
      <c r="G3302" s="45" t="s">
        <v>1051</v>
      </c>
      <c r="H3302" s="55" t="s">
        <v>1052</v>
      </c>
      <c r="I3302" s="15" t="s">
        <v>214</v>
      </c>
    </row>
    <row r="3303" spans="1:9" ht="51.75" customHeight="1" x14ac:dyDescent="0.35">
      <c r="A3303" s="15">
        <v>7</v>
      </c>
      <c r="B3303" s="15" t="s">
        <v>30884</v>
      </c>
      <c r="C3303" s="15" t="s">
        <v>30885</v>
      </c>
      <c r="D3303" s="31">
        <v>39587</v>
      </c>
      <c r="E3303" s="15" t="s">
        <v>30886</v>
      </c>
      <c r="F3303" s="87"/>
      <c r="G3303" s="45" t="s">
        <v>1051</v>
      </c>
      <c r="H3303" s="55" t="s">
        <v>1052</v>
      </c>
      <c r="I3303" s="15" t="s">
        <v>214</v>
      </c>
    </row>
    <row r="3304" spans="1:9" ht="51.75" customHeight="1" x14ac:dyDescent="0.35">
      <c r="A3304" s="15">
        <v>8</v>
      </c>
      <c r="B3304" s="15" t="s">
        <v>30887</v>
      </c>
      <c r="C3304" s="15" t="s">
        <v>30888</v>
      </c>
      <c r="D3304" s="31">
        <v>39587</v>
      </c>
      <c r="E3304" s="15" t="s">
        <v>30889</v>
      </c>
      <c r="F3304" s="87"/>
      <c r="G3304" s="45" t="s">
        <v>1051</v>
      </c>
      <c r="H3304" s="55" t="s">
        <v>1052</v>
      </c>
      <c r="I3304" s="15" t="s">
        <v>214</v>
      </c>
    </row>
    <row r="3305" spans="1:9" ht="51.75" customHeight="1" x14ac:dyDescent="0.35">
      <c r="A3305" s="15">
        <v>9</v>
      </c>
      <c r="B3305" s="15" t="s">
        <v>30890</v>
      </c>
      <c r="C3305" s="15" t="s">
        <v>30891</v>
      </c>
      <c r="D3305" s="31">
        <v>39587</v>
      </c>
      <c r="E3305" s="15" t="s">
        <v>30892</v>
      </c>
      <c r="F3305" s="87"/>
      <c r="G3305" s="45" t="s">
        <v>1051</v>
      </c>
      <c r="H3305" s="55" t="s">
        <v>1052</v>
      </c>
      <c r="I3305" s="15" t="s">
        <v>214</v>
      </c>
    </row>
    <row r="3306" spans="1:9" ht="51.75" customHeight="1" x14ac:dyDescent="0.35">
      <c r="A3306" s="15">
        <v>10</v>
      </c>
      <c r="B3306" s="15" t="s">
        <v>30893</v>
      </c>
      <c r="C3306" s="15" t="s">
        <v>30894</v>
      </c>
      <c r="D3306" s="31">
        <v>39587</v>
      </c>
      <c r="E3306" s="15" t="s">
        <v>30895</v>
      </c>
      <c r="F3306" s="87"/>
      <c r="G3306" s="45" t="s">
        <v>1051</v>
      </c>
      <c r="H3306" s="55" t="s">
        <v>1052</v>
      </c>
      <c r="I3306" s="15" t="s">
        <v>214</v>
      </c>
    </row>
    <row r="3307" spans="1:9" ht="51.75" customHeight="1" x14ac:dyDescent="0.35">
      <c r="A3307" s="15">
        <v>1</v>
      </c>
      <c r="B3307" s="15" t="s">
        <v>30896</v>
      </c>
      <c r="C3307" s="15" t="s">
        <v>30897</v>
      </c>
      <c r="D3307" s="31">
        <v>39416</v>
      </c>
      <c r="E3307" s="15" t="s">
        <v>30898</v>
      </c>
      <c r="F3307" s="87"/>
      <c r="G3307" s="45" t="s">
        <v>1034</v>
      </c>
      <c r="H3307" s="55" t="s">
        <v>1035</v>
      </c>
      <c r="I3307" s="15" t="s">
        <v>214</v>
      </c>
    </row>
    <row r="3308" spans="1:9" ht="51.75" customHeight="1" x14ac:dyDescent="0.35">
      <c r="A3308" s="15">
        <v>2</v>
      </c>
      <c r="B3308" s="15" t="s">
        <v>30899</v>
      </c>
      <c r="C3308" s="15" t="s">
        <v>30900</v>
      </c>
      <c r="D3308" s="31">
        <v>39416</v>
      </c>
      <c r="E3308" s="15" t="s">
        <v>30901</v>
      </c>
      <c r="F3308" s="87"/>
      <c r="G3308" s="45" t="s">
        <v>1034</v>
      </c>
      <c r="H3308" s="55" t="s">
        <v>1035</v>
      </c>
      <c r="I3308" s="15" t="s">
        <v>214</v>
      </c>
    </row>
    <row r="3309" spans="1:9" ht="51.75" customHeight="1" x14ac:dyDescent="0.35">
      <c r="A3309" s="15">
        <v>3</v>
      </c>
      <c r="B3309" s="15" t="s">
        <v>30902</v>
      </c>
      <c r="C3309" s="15" t="s">
        <v>30903</v>
      </c>
      <c r="D3309" s="31">
        <v>39416</v>
      </c>
      <c r="E3309" s="15" t="s">
        <v>30904</v>
      </c>
      <c r="F3309" s="87"/>
      <c r="G3309" s="45" t="s">
        <v>1034</v>
      </c>
      <c r="H3309" s="55" t="s">
        <v>1035</v>
      </c>
      <c r="I3309" s="15" t="s">
        <v>214</v>
      </c>
    </row>
    <row r="3310" spans="1:9" ht="51.75" customHeight="1" x14ac:dyDescent="0.35">
      <c r="A3310" s="15">
        <v>4</v>
      </c>
      <c r="B3310" s="15" t="s">
        <v>30905</v>
      </c>
      <c r="C3310" s="15" t="s">
        <v>30906</v>
      </c>
      <c r="D3310" s="31">
        <v>39416</v>
      </c>
      <c r="E3310" s="15" t="s">
        <v>30907</v>
      </c>
      <c r="F3310" s="87"/>
      <c r="G3310" s="45" t="s">
        <v>1034</v>
      </c>
      <c r="H3310" s="55" t="s">
        <v>1035</v>
      </c>
      <c r="I3310" s="15" t="s">
        <v>214</v>
      </c>
    </row>
    <row r="3311" spans="1:9" ht="51.75" customHeight="1" x14ac:dyDescent="0.35">
      <c r="A3311" s="15">
        <v>1</v>
      </c>
      <c r="B3311" s="15" t="s">
        <v>30908</v>
      </c>
      <c r="C3311" s="15" t="s">
        <v>30909</v>
      </c>
      <c r="D3311" s="31">
        <v>39202</v>
      </c>
      <c r="E3311" s="15" t="s">
        <v>30910</v>
      </c>
      <c r="F3311" s="87"/>
      <c r="G3311" s="45" t="s">
        <v>702</v>
      </c>
      <c r="H3311" s="55" t="s">
        <v>703</v>
      </c>
      <c r="I3311" s="15" t="s">
        <v>214</v>
      </c>
    </row>
    <row r="3312" spans="1:9" ht="51.75" customHeight="1" x14ac:dyDescent="0.35">
      <c r="A3312" s="15">
        <v>2</v>
      </c>
      <c r="B3312" s="15" t="s">
        <v>30911</v>
      </c>
      <c r="C3312" s="15" t="s">
        <v>30912</v>
      </c>
      <c r="D3312" s="31">
        <v>39202</v>
      </c>
      <c r="E3312" s="15" t="s">
        <v>30913</v>
      </c>
      <c r="F3312" s="87"/>
      <c r="G3312" s="45" t="s">
        <v>702</v>
      </c>
      <c r="H3312" s="55" t="s">
        <v>703</v>
      </c>
      <c r="I3312" s="15" t="s">
        <v>214</v>
      </c>
    </row>
    <row r="3313" spans="1:9" ht="51.75" customHeight="1" x14ac:dyDescent="0.35">
      <c r="A3313" s="15">
        <v>3</v>
      </c>
      <c r="B3313" s="15" t="s">
        <v>30914</v>
      </c>
      <c r="C3313" s="15" t="s">
        <v>30915</v>
      </c>
      <c r="D3313" s="31">
        <v>39202</v>
      </c>
      <c r="E3313" s="15" t="s">
        <v>30916</v>
      </c>
      <c r="F3313" s="87"/>
      <c r="G3313" s="45" t="s">
        <v>702</v>
      </c>
      <c r="H3313" s="55" t="s">
        <v>703</v>
      </c>
      <c r="I3313" s="15" t="s">
        <v>214</v>
      </c>
    </row>
    <row r="3314" spans="1:9" ht="51.75" customHeight="1" x14ac:dyDescent="0.35">
      <c r="A3314" s="15">
        <v>4</v>
      </c>
      <c r="B3314" s="15" t="s">
        <v>30917</v>
      </c>
      <c r="C3314" s="15" t="s">
        <v>30918</v>
      </c>
      <c r="D3314" s="31">
        <v>39202</v>
      </c>
      <c r="E3314" s="15" t="s">
        <v>30919</v>
      </c>
      <c r="F3314" s="87"/>
      <c r="G3314" s="45" t="s">
        <v>702</v>
      </c>
      <c r="H3314" s="55" t="s">
        <v>703</v>
      </c>
      <c r="I3314" s="15" t="s">
        <v>214</v>
      </c>
    </row>
    <row r="3315" spans="1:9" ht="51.75" customHeight="1" x14ac:dyDescent="0.35">
      <c r="A3315" s="15">
        <v>5</v>
      </c>
      <c r="B3315" s="15" t="s">
        <v>30920</v>
      </c>
      <c r="C3315" s="15" t="s">
        <v>30921</v>
      </c>
      <c r="D3315" s="31">
        <v>39202</v>
      </c>
      <c r="E3315" s="15" t="s">
        <v>30922</v>
      </c>
      <c r="F3315" s="87"/>
      <c r="G3315" s="45" t="s">
        <v>702</v>
      </c>
      <c r="H3315" s="55" t="s">
        <v>703</v>
      </c>
      <c r="I3315" s="15" t="s">
        <v>214</v>
      </c>
    </row>
    <row r="3316" spans="1:9" ht="51.75" customHeight="1" x14ac:dyDescent="0.35">
      <c r="A3316" s="15">
        <v>6</v>
      </c>
      <c r="B3316" s="15" t="s">
        <v>30923</v>
      </c>
      <c r="C3316" s="15" t="s">
        <v>30924</v>
      </c>
      <c r="D3316" s="31">
        <v>39202</v>
      </c>
      <c r="E3316" s="15" t="s">
        <v>30925</v>
      </c>
      <c r="F3316" s="87"/>
      <c r="G3316" s="45" t="s">
        <v>702</v>
      </c>
      <c r="H3316" s="55" t="s">
        <v>703</v>
      </c>
      <c r="I3316" s="15" t="s">
        <v>214</v>
      </c>
    </row>
    <row r="3317" spans="1:9" ht="51.75" customHeight="1" x14ac:dyDescent="0.35">
      <c r="A3317" s="15">
        <v>7</v>
      </c>
      <c r="B3317" s="15" t="s">
        <v>30926</v>
      </c>
      <c r="C3317" s="15" t="s">
        <v>30927</v>
      </c>
      <c r="D3317" s="31">
        <v>39202</v>
      </c>
      <c r="E3317" s="15" t="s">
        <v>30928</v>
      </c>
      <c r="F3317" s="87"/>
      <c r="G3317" s="45" t="s">
        <v>702</v>
      </c>
      <c r="H3317" s="55" t="s">
        <v>703</v>
      </c>
      <c r="I3317" s="15" t="s">
        <v>214</v>
      </c>
    </row>
    <row r="3318" spans="1:9" ht="51.75" customHeight="1" x14ac:dyDescent="0.35">
      <c r="A3318" s="15">
        <v>8</v>
      </c>
      <c r="B3318" s="15" t="s">
        <v>30929</v>
      </c>
      <c r="C3318" s="15" t="s">
        <v>30930</v>
      </c>
      <c r="D3318" s="31">
        <v>39202</v>
      </c>
      <c r="E3318" s="15" t="s">
        <v>30931</v>
      </c>
      <c r="F3318" s="87"/>
      <c r="G3318" s="45" t="s">
        <v>702</v>
      </c>
      <c r="H3318" s="55" t="s">
        <v>703</v>
      </c>
      <c r="I3318" s="15" t="s">
        <v>214</v>
      </c>
    </row>
    <row r="3319" spans="1:9" ht="51.75" customHeight="1" x14ac:dyDescent="0.35">
      <c r="A3319" s="15">
        <v>1</v>
      </c>
      <c r="B3319" s="15" t="s">
        <v>30932</v>
      </c>
      <c r="C3319" s="15" t="s">
        <v>30933</v>
      </c>
      <c r="D3319" s="31">
        <v>38960</v>
      </c>
      <c r="E3319" s="15" t="s">
        <v>30934</v>
      </c>
      <c r="F3319" s="87"/>
      <c r="G3319" s="45" t="s">
        <v>439</v>
      </c>
      <c r="H3319" s="55" t="s">
        <v>440</v>
      </c>
      <c r="I3319" s="15" t="s">
        <v>214</v>
      </c>
    </row>
    <row r="3320" spans="1:9" ht="51.75" customHeight="1" x14ac:dyDescent="0.35">
      <c r="A3320" s="15">
        <v>2</v>
      </c>
      <c r="B3320" s="15" t="s">
        <v>30935</v>
      </c>
      <c r="C3320" s="15" t="s">
        <v>30936</v>
      </c>
      <c r="D3320" s="31">
        <v>38960</v>
      </c>
      <c r="E3320" s="15" t="s">
        <v>30937</v>
      </c>
      <c r="F3320" s="87"/>
      <c r="G3320" s="45" t="s">
        <v>439</v>
      </c>
      <c r="H3320" s="55" t="s">
        <v>440</v>
      </c>
      <c r="I3320" s="15" t="s">
        <v>214</v>
      </c>
    </row>
    <row r="3321" spans="1:9" ht="51.75" customHeight="1" x14ac:dyDescent="0.35">
      <c r="A3321" s="15">
        <v>3</v>
      </c>
      <c r="B3321" s="15" t="s">
        <v>30938</v>
      </c>
      <c r="C3321" s="15" t="s">
        <v>30939</v>
      </c>
      <c r="D3321" s="31">
        <v>38960</v>
      </c>
      <c r="E3321" s="15" t="s">
        <v>30940</v>
      </c>
      <c r="F3321" s="87"/>
      <c r="G3321" s="45" t="s">
        <v>439</v>
      </c>
      <c r="H3321" s="55" t="s">
        <v>440</v>
      </c>
      <c r="I3321" s="15" t="s">
        <v>214</v>
      </c>
    </row>
    <row r="3322" spans="1:9" ht="51.75" customHeight="1" x14ac:dyDescent="0.35">
      <c r="A3322" s="15">
        <v>4</v>
      </c>
      <c r="B3322" s="15" t="s">
        <v>30941</v>
      </c>
      <c r="C3322" s="15" t="s">
        <v>30942</v>
      </c>
      <c r="D3322" s="31">
        <v>38960</v>
      </c>
      <c r="E3322" s="15" t="s">
        <v>30943</v>
      </c>
      <c r="F3322" s="87"/>
      <c r="G3322" s="45" t="s">
        <v>439</v>
      </c>
      <c r="H3322" s="55" t="s">
        <v>440</v>
      </c>
      <c r="I3322" s="15" t="s">
        <v>214</v>
      </c>
    </row>
    <row r="3323" spans="1:9" ht="51.75" customHeight="1" x14ac:dyDescent="0.35">
      <c r="A3323" s="15">
        <v>5</v>
      </c>
      <c r="B3323" s="15" t="s">
        <v>30944</v>
      </c>
      <c r="C3323" s="15" t="s">
        <v>30945</v>
      </c>
      <c r="D3323" s="31">
        <v>38960</v>
      </c>
      <c r="E3323" s="15" t="s">
        <v>30946</v>
      </c>
      <c r="F3323" s="87"/>
      <c r="G3323" s="45" t="s">
        <v>439</v>
      </c>
      <c r="H3323" s="55" t="s">
        <v>440</v>
      </c>
      <c r="I3323" s="15" t="s">
        <v>214</v>
      </c>
    </row>
    <row r="3324" spans="1:9" ht="51.75" customHeight="1" x14ac:dyDescent="0.35">
      <c r="A3324" s="15">
        <v>6</v>
      </c>
      <c r="B3324" s="15" t="s">
        <v>30947</v>
      </c>
      <c r="C3324" s="15" t="s">
        <v>30948</v>
      </c>
      <c r="D3324" s="31">
        <v>38960</v>
      </c>
      <c r="E3324" s="15" t="s">
        <v>30949</v>
      </c>
      <c r="F3324" s="87"/>
      <c r="G3324" s="45" t="s">
        <v>439</v>
      </c>
      <c r="H3324" s="55" t="s">
        <v>440</v>
      </c>
      <c r="I3324" s="15" t="s">
        <v>214</v>
      </c>
    </row>
    <row r="3325" spans="1:9" ht="51.75" customHeight="1" x14ac:dyDescent="0.35">
      <c r="A3325" s="15">
        <v>7</v>
      </c>
      <c r="B3325" s="15" t="s">
        <v>30950</v>
      </c>
      <c r="C3325" s="15" t="s">
        <v>30951</v>
      </c>
      <c r="D3325" s="31">
        <v>38960</v>
      </c>
      <c r="E3325" s="15" t="s">
        <v>30952</v>
      </c>
      <c r="F3325" s="87"/>
      <c r="G3325" s="45" t="s">
        <v>439</v>
      </c>
      <c r="H3325" s="55" t="s">
        <v>440</v>
      </c>
      <c r="I3325" s="15" t="s">
        <v>214</v>
      </c>
    </row>
    <row r="3326" spans="1:9" ht="51.75" customHeight="1" x14ac:dyDescent="0.35">
      <c r="A3326" s="15">
        <v>8</v>
      </c>
      <c r="B3326" s="15" t="s">
        <v>30953</v>
      </c>
      <c r="C3326" s="15" t="s">
        <v>30954</v>
      </c>
      <c r="D3326" s="31">
        <v>38960</v>
      </c>
      <c r="E3326" s="15" t="s">
        <v>30955</v>
      </c>
      <c r="F3326" s="87"/>
      <c r="G3326" s="45" t="s">
        <v>439</v>
      </c>
      <c r="H3326" s="55" t="s">
        <v>440</v>
      </c>
      <c r="I3326" s="15" t="s">
        <v>214</v>
      </c>
    </row>
    <row r="3327" spans="1:9" ht="51.75" customHeight="1" x14ac:dyDescent="0.35">
      <c r="A3327" s="15">
        <v>1</v>
      </c>
      <c r="B3327" s="15" t="s">
        <v>30956</v>
      </c>
      <c r="C3327" s="15" t="s">
        <v>30957</v>
      </c>
      <c r="D3327" s="31">
        <v>38929</v>
      </c>
      <c r="E3327" s="15" t="s">
        <v>30958</v>
      </c>
      <c r="F3327" s="87"/>
      <c r="G3327" s="45" t="s">
        <v>321</v>
      </c>
      <c r="H3327" s="55" t="s">
        <v>322</v>
      </c>
      <c r="I3327" s="15" t="s">
        <v>214</v>
      </c>
    </row>
    <row r="3328" spans="1:9" ht="51.75" customHeight="1" x14ac:dyDescent="0.35">
      <c r="A3328" s="15">
        <v>2</v>
      </c>
      <c r="B3328" s="15" t="s">
        <v>30959</v>
      </c>
      <c r="C3328" s="15" t="s">
        <v>30960</v>
      </c>
      <c r="D3328" s="31">
        <v>38929</v>
      </c>
      <c r="E3328" s="15" t="s">
        <v>30961</v>
      </c>
      <c r="F3328" s="87"/>
      <c r="G3328" s="45" t="s">
        <v>321</v>
      </c>
      <c r="H3328" s="55" t="s">
        <v>322</v>
      </c>
      <c r="I3328" s="15" t="s">
        <v>214</v>
      </c>
    </row>
    <row r="3329" spans="1:9" ht="51.75" customHeight="1" x14ac:dyDescent="0.35">
      <c r="A3329" s="15">
        <v>3</v>
      </c>
      <c r="B3329" s="15" t="s">
        <v>30962</v>
      </c>
      <c r="C3329" s="15" t="s">
        <v>30963</v>
      </c>
      <c r="D3329" s="31">
        <v>38929</v>
      </c>
      <c r="E3329" s="15" t="s">
        <v>30964</v>
      </c>
      <c r="F3329" s="87"/>
      <c r="G3329" s="45" t="s">
        <v>321</v>
      </c>
      <c r="H3329" s="55" t="s">
        <v>322</v>
      </c>
      <c r="I3329" s="15" t="s">
        <v>214</v>
      </c>
    </row>
    <row r="3330" spans="1:9" ht="51.75" customHeight="1" x14ac:dyDescent="0.35">
      <c r="A3330" s="15">
        <v>4</v>
      </c>
      <c r="B3330" s="15" t="s">
        <v>30965</v>
      </c>
      <c r="C3330" s="15" t="s">
        <v>30966</v>
      </c>
      <c r="D3330" s="31">
        <v>38929</v>
      </c>
      <c r="E3330" s="15" t="s">
        <v>30967</v>
      </c>
      <c r="F3330" s="87"/>
      <c r="G3330" s="45" t="s">
        <v>321</v>
      </c>
      <c r="H3330" s="55" t="s">
        <v>322</v>
      </c>
      <c r="I3330" s="15" t="s">
        <v>214</v>
      </c>
    </row>
    <row r="3331" spans="1:9" ht="51.75" customHeight="1" x14ac:dyDescent="0.35">
      <c r="A3331" s="15">
        <v>5</v>
      </c>
      <c r="B3331" s="15" t="s">
        <v>30968</v>
      </c>
      <c r="C3331" s="15" t="s">
        <v>30969</v>
      </c>
      <c r="D3331" s="31">
        <v>38929</v>
      </c>
      <c r="E3331" s="15" t="s">
        <v>30970</v>
      </c>
      <c r="F3331" s="87"/>
      <c r="G3331" s="45" t="s">
        <v>321</v>
      </c>
      <c r="H3331" s="55" t="s">
        <v>322</v>
      </c>
      <c r="I3331" s="15" t="s">
        <v>214</v>
      </c>
    </row>
    <row r="3332" spans="1:9" ht="51.75" customHeight="1" x14ac:dyDescent="0.35">
      <c r="A3332" s="15">
        <v>1</v>
      </c>
      <c r="B3332" s="15" t="s">
        <v>30971</v>
      </c>
      <c r="C3332" s="15" t="s">
        <v>30972</v>
      </c>
      <c r="D3332" s="31">
        <v>38915</v>
      </c>
      <c r="E3332" s="15" t="s">
        <v>30973</v>
      </c>
      <c r="F3332" s="87"/>
      <c r="G3332" s="45" t="s">
        <v>293</v>
      </c>
      <c r="H3332" s="55" t="s">
        <v>294</v>
      </c>
      <c r="I3332" s="15" t="s">
        <v>214</v>
      </c>
    </row>
    <row r="3333" spans="1:9" ht="51.75" customHeight="1" x14ac:dyDescent="0.35">
      <c r="A3333" s="15">
        <v>2</v>
      </c>
      <c r="B3333" s="15" t="s">
        <v>30974</v>
      </c>
      <c r="C3333" s="15" t="s">
        <v>30975</v>
      </c>
      <c r="D3333" s="31">
        <v>38915</v>
      </c>
      <c r="E3333" s="15" t="s">
        <v>30976</v>
      </c>
      <c r="F3333" s="87"/>
      <c r="G3333" s="45" t="s">
        <v>293</v>
      </c>
      <c r="H3333" s="55" t="s">
        <v>294</v>
      </c>
      <c r="I3333" s="15" t="s">
        <v>214</v>
      </c>
    </row>
    <row r="3334" spans="1:9" ht="51.75" customHeight="1" x14ac:dyDescent="0.35">
      <c r="A3334" s="15">
        <v>3</v>
      </c>
      <c r="B3334" s="15" t="s">
        <v>30977</v>
      </c>
      <c r="C3334" s="15" t="s">
        <v>30978</v>
      </c>
      <c r="D3334" s="31">
        <v>38915</v>
      </c>
      <c r="E3334" s="15" t="s">
        <v>30979</v>
      </c>
      <c r="F3334" s="87"/>
      <c r="G3334" s="45" t="s">
        <v>293</v>
      </c>
      <c r="H3334" s="55" t="s">
        <v>294</v>
      </c>
      <c r="I3334" s="15" t="s">
        <v>214</v>
      </c>
    </row>
    <row r="3335" spans="1:9" ht="51.75" customHeight="1" x14ac:dyDescent="0.35">
      <c r="A3335" s="15">
        <v>4</v>
      </c>
      <c r="B3335" s="15" t="s">
        <v>30980</v>
      </c>
      <c r="C3335" s="15" t="s">
        <v>30981</v>
      </c>
      <c r="D3335" s="31">
        <v>38915</v>
      </c>
      <c r="E3335" s="15" t="s">
        <v>30982</v>
      </c>
      <c r="F3335" s="87"/>
      <c r="G3335" s="45" t="s">
        <v>293</v>
      </c>
      <c r="H3335" s="55" t="s">
        <v>294</v>
      </c>
      <c r="I3335" s="15" t="s">
        <v>214</v>
      </c>
    </row>
    <row r="3336" spans="1:9" ht="51.75" customHeight="1" x14ac:dyDescent="0.35">
      <c r="A3336" s="15">
        <v>5</v>
      </c>
      <c r="B3336" s="15" t="s">
        <v>30983</v>
      </c>
      <c r="C3336" s="15" t="s">
        <v>30984</v>
      </c>
      <c r="D3336" s="31">
        <v>38915</v>
      </c>
      <c r="E3336" s="15" t="s">
        <v>30985</v>
      </c>
      <c r="F3336" s="87"/>
      <c r="G3336" s="45" t="s">
        <v>293</v>
      </c>
      <c r="H3336" s="55" t="s">
        <v>294</v>
      </c>
      <c r="I3336" s="15" t="s">
        <v>214</v>
      </c>
    </row>
    <row r="3337" spans="1:9" ht="51.75" customHeight="1" x14ac:dyDescent="0.35">
      <c r="A3337" s="15">
        <v>6</v>
      </c>
      <c r="B3337" s="15" t="s">
        <v>30986</v>
      </c>
      <c r="C3337" s="15" t="s">
        <v>30987</v>
      </c>
      <c r="D3337" s="31">
        <v>38915</v>
      </c>
      <c r="E3337" s="15" t="s">
        <v>30988</v>
      </c>
      <c r="F3337" s="87"/>
      <c r="G3337" s="45" t="s">
        <v>293</v>
      </c>
      <c r="H3337" s="55" t="s">
        <v>294</v>
      </c>
      <c r="I3337" s="15" t="s">
        <v>214</v>
      </c>
    </row>
    <row r="3338" spans="1:9" ht="51.75" customHeight="1" x14ac:dyDescent="0.35">
      <c r="A3338" s="15">
        <v>7</v>
      </c>
      <c r="B3338" s="15" t="s">
        <v>30989</v>
      </c>
      <c r="C3338" s="15" t="s">
        <v>30990</v>
      </c>
      <c r="D3338" s="31">
        <v>38915</v>
      </c>
      <c r="E3338" s="15" t="s">
        <v>30991</v>
      </c>
      <c r="F3338" s="87"/>
      <c r="G3338" s="45" t="s">
        <v>293</v>
      </c>
      <c r="H3338" s="55" t="s">
        <v>294</v>
      </c>
      <c r="I3338" s="15" t="s">
        <v>214</v>
      </c>
    </row>
    <row r="3339" spans="1:9" ht="51.75" customHeight="1" x14ac:dyDescent="0.35">
      <c r="A3339" s="15">
        <v>8</v>
      </c>
      <c r="B3339" s="15" t="s">
        <v>30992</v>
      </c>
      <c r="C3339" s="15" t="s">
        <v>30993</v>
      </c>
      <c r="D3339" s="31">
        <v>38915</v>
      </c>
      <c r="E3339" s="15" t="s">
        <v>30994</v>
      </c>
      <c r="F3339" s="87"/>
      <c r="G3339" s="45" t="s">
        <v>293</v>
      </c>
      <c r="H3339" s="55" t="s">
        <v>294</v>
      </c>
      <c r="I3339" s="15" t="s">
        <v>214</v>
      </c>
    </row>
    <row r="3340" spans="1:9" ht="51.75" customHeight="1" x14ac:dyDescent="0.35">
      <c r="A3340" s="15">
        <v>9</v>
      </c>
      <c r="B3340" s="15" t="s">
        <v>30995</v>
      </c>
      <c r="C3340" s="15" t="s">
        <v>30996</v>
      </c>
      <c r="D3340" s="31">
        <v>38915</v>
      </c>
      <c r="E3340" s="15" t="s">
        <v>30997</v>
      </c>
      <c r="F3340" s="87"/>
      <c r="G3340" s="45" t="s">
        <v>293</v>
      </c>
      <c r="H3340" s="55" t="s">
        <v>294</v>
      </c>
      <c r="I3340" s="15" t="s">
        <v>214</v>
      </c>
    </row>
    <row r="3341" spans="1:9" ht="51.75" customHeight="1" x14ac:dyDescent="0.35">
      <c r="A3341" s="15">
        <v>1</v>
      </c>
      <c r="B3341" s="15" t="s">
        <v>30998</v>
      </c>
      <c r="C3341" s="15" t="s">
        <v>30999</v>
      </c>
      <c r="D3341" s="31">
        <v>39864</v>
      </c>
      <c r="E3341" s="15" t="s">
        <v>31000</v>
      </c>
      <c r="F3341" s="87"/>
      <c r="G3341" s="45" t="s">
        <v>2181</v>
      </c>
      <c r="H3341" s="55" t="s">
        <v>2182</v>
      </c>
      <c r="I3341" s="15" t="s">
        <v>214</v>
      </c>
    </row>
    <row r="3342" spans="1:9" ht="51.75" customHeight="1" x14ac:dyDescent="0.35">
      <c r="A3342" s="15">
        <v>2</v>
      </c>
      <c r="B3342" s="15" t="s">
        <v>31001</v>
      </c>
      <c r="C3342" s="15" t="s">
        <v>31002</v>
      </c>
      <c r="D3342" s="31">
        <v>39864</v>
      </c>
      <c r="E3342" s="15" t="s">
        <v>31003</v>
      </c>
      <c r="F3342" s="87"/>
      <c r="G3342" s="45" t="s">
        <v>2181</v>
      </c>
      <c r="H3342" s="55" t="s">
        <v>2182</v>
      </c>
      <c r="I3342" s="15" t="s">
        <v>214</v>
      </c>
    </row>
    <row r="3343" spans="1:9" ht="51.75" customHeight="1" x14ac:dyDescent="0.35">
      <c r="A3343" s="15">
        <v>3</v>
      </c>
      <c r="B3343" s="15" t="s">
        <v>31004</v>
      </c>
      <c r="C3343" s="15" t="s">
        <v>31005</v>
      </c>
      <c r="D3343" s="31">
        <v>39864</v>
      </c>
      <c r="E3343" s="15" t="s">
        <v>31006</v>
      </c>
      <c r="F3343" s="87"/>
      <c r="G3343" s="45" t="s">
        <v>2181</v>
      </c>
      <c r="H3343" s="55" t="s">
        <v>2182</v>
      </c>
      <c r="I3343" s="15" t="s">
        <v>214</v>
      </c>
    </row>
    <row r="3344" spans="1:9" ht="51.75" customHeight="1" x14ac:dyDescent="0.35">
      <c r="A3344" s="15">
        <v>4</v>
      </c>
      <c r="B3344" s="15" t="s">
        <v>31007</v>
      </c>
      <c r="C3344" s="15" t="s">
        <v>31008</v>
      </c>
      <c r="D3344" s="31">
        <v>39864</v>
      </c>
      <c r="E3344" s="15" t="s">
        <v>31009</v>
      </c>
      <c r="F3344" s="87"/>
      <c r="G3344" s="45" t="s">
        <v>2181</v>
      </c>
      <c r="H3344" s="55" t="s">
        <v>2182</v>
      </c>
      <c r="I3344" s="15" t="s">
        <v>214</v>
      </c>
    </row>
    <row r="3345" spans="1:9" ht="51.75" customHeight="1" x14ac:dyDescent="0.35">
      <c r="A3345" s="15">
        <v>1</v>
      </c>
      <c r="B3345" s="15" t="s">
        <v>31010</v>
      </c>
      <c r="C3345" s="15" t="s">
        <v>31011</v>
      </c>
      <c r="D3345" s="31">
        <v>39784</v>
      </c>
      <c r="E3345" s="15" t="s">
        <v>31012</v>
      </c>
      <c r="F3345" s="87"/>
      <c r="G3345" s="45" t="s">
        <v>2150</v>
      </c>
      <c r="H3345" s="55" t="s">
        <v>2151</v>
      </c>
      <c r="I3345" s="15" t="s">
        <v>214</v>
      </c>
    </row>
    <row r="3346" spans="1:9" ht="51.75" customHeight="1" x14ac:dyDescent="0.35">
      <c r="A3346" s="15">
        <v>2</v>
      </c>
      <c r="B3346" s="15" t="s">
        <v>31013</v>
      </c>
      <c r="C3346" s="15" t="s">
        <v>31014</v>
      </c>
      <c r="D3346" s="31">
        <v>39784</v>
      </c>
      <c r="E3346" s="15" t="s">
        <v>31015</v>
      </c>
      <c r="F3346" s="87"/>
      <c r="G3346" s="45" t="s">
        <v>2150</v>
      </c>
      <c r="H3346" s="55" t="s">
        <v>2151</v>
      </c>
      <c r="I3346" s="15" t="s">
        <v>214</v>
      </c>
    </row>
    <row r="3347" spans="1:9" ht="51.75" customHeight="1" x14ac:dyDescent="0.35">
      <c r="A3347" s="15">
        <v>3</v>
      </c>
      <c r="B3347" s="15" t="s">
        <v>31016</v>
      </c>
      <c r="C3347" s="15" t="s">
        <v>31017</v>
      </c>
      <c r="D3347" s="31">
        <v>39784</v>
      </c>
      <c r="E3347" s="15" t="s">
        <v>31018</v>
      </c>
      <c r="F3347" s="87"/>
      <c r="G3347" s="45" t="s">
        <v>2150</v>
      </c>
      <c r="H3347" s="55" t="s">
        <v>2151</v>
      </c>
      <c r="I3347" s="15" t="s">
        <v>214</v>
      </c>
    </row>
    <row r="3348" spans="1:9" ht="51.75" customHeight="1" x14ac:dyDescent="0.35">
      <c r="A3348" s="15">
        <v>4</v>
      </c>
      <c r="B3348" s="15" t="s">
        <v>31019</v>
      </c>
      <c r="C3348" s="15" t="s">
        <v>31020</v>
      </c>
      <c r="D3348" s="31">
        <v>39784</v>
      </c>
      <c r="E3348" s="15" t="s">
        <v>31021</v>
      </c>
      <c r="F3348" s="87"/>
      <c r="G3348" s="45" t="s">
        <v>2150</v>
      </c>
      <c r="H3348" s="55" t="s">
        <v>2151</v>
      </c>
      <c r="I3348" s="15" t="s">
        <v>214</v>
      </c>
    </row>
    <row r="3349" spans="1:9" ht="51.75" customHeight="1" x14ac:dyDescent="0.35">
      <c r="A3349" s="15">
        <v>5</v>
      </c>
      <c r="B3349" s="15" t="s">
        <v>31022</v>
      </c>
      <c r="C3349" s="15" t="s">
        <v>31023</v>
      </c>
      <c r="D3349" s="31">
        <v>39784</v>
      </c>
      <c r="E3349" s="15" t="s">
        <v>31024</v>
      </c>
      <c r="F3349" s="87"/>
      <c r="G3349" s="45" t="s">
        <v>2150</v>
      </c>
      <c r="H3349" s="55" t="s">
        <v>2151</v>
      </c>
      <c r="I3349" s="15" t="s">
        <v>214</v>
      </c>
    </row>
    <row r="3350" spans="1:9" ht="51.75" customHeight="1" x14ac:dyDescent="0.35">
      <c r="A3350" s="15">
        <v>6</v>
      </c>
      <c r="B3350" s="15" t="s">
        <v>31025</v>
      </c>
      <c r="C3350" s="15" t="s">
        <v>31026</v>
      </c>
      <c r="D3350" s="31">
        <v>39784</v>
      </c>
      <c r="E3350" s="15" t="s">
        <v>31027</v>
      </c>
      <c r="F3350" s="87"/>
      <c r="G3350" s="45" t="s">
        <v>2150</v>
      </c>
      <c r="H3350" s="55" t="s">
        <v>2151</v>
      </c>
      <c r="I3350" s="15" t="s">
        <v>214</v>
      </c>
    </row>
    <row r="3351" spans="1:9" ht="51.75" customHeight="1" x14ac:dyDescent="0.35">
      <c r="A3351" s="15">
        <v>7</v>
      </c>
      <c r="B3351" s="15" t="s">
        <v>31028</v>
      </c>
      <c r="C3351" s="15" t="s">
        <v>31029</v>
      </c>
      <c r="D3351" s="31">
        <v>39784</v>
      </c>
      <c r="E3351" s="15" t="s">
        <v>31030</v>
      </c>
      <c r="F3351" s="87"/>
      <c r="G3351" s="45" t="s">
        <v>2150</v>
      </c>
      <c r="H3351" s="55" t="s">
        <v>2151</v>
      </c>
      <c r="I3351" s="15" t="s">
        <v>214</v>
      </c>
    </row>
    <row r="3352" spans="1:9" ht="51.75" customHeight="1" x14ac:dyDescent="0.35">
      <c r="A3352" s="15">
        <v>1</v>
      </c>
      <c r="B3352" s="15" t="s">
        <v>31031</v>
      </c>
      <c r="C3352" s="15" t="s">
        <v>31032</v>
      </c>
      <c r="D3352" s="31">
        <v>39609</v>
      </c>
      <c r="E3352" s="15" t="s">
        <v>31033</v>
      </c>
      <c r="F3352" s="87"/>
      <c r="G3352" s="45" t="s">
        <v>2132</v>
      </c>
      <c r="H3352" s="55" t="s">
        <v>2133</v>
      </c>
      <c r="I3352" s="15" t="s">
        <v>214</v>
      </c>
    </row>
    <row r="3353" spans="1:9" ht="51.75" customHeight="1" x14ac:dyDescent="0.35">
      <c r="A3353" s="15">
        <v>2</v>
      </c>
      <c r="B3353" s="15" t="s">
        <v>31034</v>
      </c>
      <c r="C3353" s="15" t="s">
        <v>31035</v>
      </c>
      <c r="D3353" s="31">
        <v>39609</v>
      </c>
      <c r="E3353" s="15" t="s">
        <v>31036</v>
      </c>
      <c r="F3353" s="87"/>
      <c r="G3353" s="45" t="s">
        <v>2132</v>
      </c>
      <c r="H3353" s="55" t="s">
        <v>2133</v>
      </c>
      <c r="I3353" s="15" t="s">
        <v>214</v>
      </c>
    </row>
    <row r="3354" spans="1:9" ht="51.75" customHeight="1" x14ac:dyDescent="0.35">
      <c r="A3354" s="15">
        <v>3</v>
      </c>
      <c r="B3354" s="15" t="s">
        <v>31037</v>
      </c>
      <c r="C3354" s="15" t="s">
        <v>31038</v>
      </c>
      <c r="D3354" s="31">
        <v>39609</v>
      </c>
      <c r="E3354" s="15" t="s">
        <v>31039</v>
      </c>
      <c r="F3354" s="87"/>
      <c r="G3354" s="45" t="s">
        <v>2132</v>
      </c>
      <c r="H3354" s="55" t="s">
        <v>2133</v>
      </c>
      <c r="I3354" s="15" t="s">
        <v>214</v>
      </c>
    </row>
    <row r="3355" spans="1:9" ht="51.75" customHeight="1" x14ac:dyDescent="0.35">
      <c r="A3355" s="15">
        <v>1</v>
      </c>
      <c r="B3355" s="15" t="s">
        <v>31040</v>
      </c>
      <c r="C3355" s="15" t="s">
        <v>31041</v>
      </c>
      <c r="D3355" s="31">
        <v>38807</v>
      </c>
      <c r="E3355" s="15" t="s">
        <v>31042</v>
      </c>
      <c r="F3355" s="87"/>
      <c r="G3355" s="45" t="s">
        <v>250</v>
      </c>
      <c r="H3355" s="55" t="s">
        <v>251</v>
      </c>
      <c r="I3355" s="15" t="s">
        <v>214</v>
      </c>
    </row>
    <row r="3356" spans="1:9" ht="51.75" customHeight="1" x14ac:dyDescent="0.35">
      <c r="A3356" s="15">
        <v>2</v>
      </c>
      <c r="B3356" s="15" t="s">
        <v>31043</v>
      </c>
      <c r="C3356" s="15" t="s">
        <v>31044</v>
      </c>
      <c r="D3356" s="31">
        <v>38807</v>
      </c>
      <c r="E3356" s="15" t="s">
        <v>31045</v>
      </c>
      <c r="F3356" s="87"/>
      <c r="G3356" s="45" t="s">
        <v>250</v>
      </c>
      <c r="H3356" s="55" t="s">
        <v>251</v>
      </c>
      <c r="I3356" s="15" t="s">
        <v>214</v>
      </c>
    </row>
    <row r="3357" spans="1:9" ht="51.75" customHeight="1" x14ac:dyDescent="0.35">
      <c r="A3357" s="15">
        <v>3</v>
      </c>
      <c r="B3357" s="15" t="s">
        <v>31046</v>
      </c>
      <c r="C3357" s="15" t="s">
        <v>31047</v>
      </c>
      <c r="D3357" s="31">
        <v>38807</v>
      </c>
      <c r="E3357" s="15" t="s">
        <v>31048</v>
      </c>
      <c r="F3357" s="87"/>
      <c r="G3357" s="45" t="s">
        <v>250</v>
      </c>
      <c r="H3357" s="55" t="s">
        <v>251</v>
      </c>
      <c r="I3357" s="15" t="s">
        <v>214</v>
      </c>
    </row>
    <row r="3358" spans="1:9" ht="51.75" customHeight="1" x14ac:dyDescent="0.35">
      <c r="A3358" s="15">
        <v>1</v>
      </c>
      <c r="B3358" s="15" t="s">
        <v>31049</v>
      </c>
      <c r="C3358" s="15" t="s">
        <v>31050</v>
      </c>
      <c r="D3358" s="31">
        <v>38807</v>
      </c>
      <c r="E3358" s="15" t="s">
        <v>31051</v>
      </c>
      <c r="F3358" s="87"/>
      <c r="G3358" s="45" t="s">
        <v>232</v>
      </c>
      <c r="H3358" s="55" t="s">
        <v>233</v>
      </c>
      <c r="I3358" s="15" t="s">
        <v>214</v>
      </c>
    </row>
    <row r="3359" spans="1:9" ht="51.75" customHeight="1" x14ac:dyDescent="0.35">
      <c r="A3359" s="15">
        <v>2</v>
      </c>
      <c r="B3359" s="15" t="s">
        <v>31052</v>
      </c>
      <c r="C3359" s="15" t="s">
        <v>31053</v>
      </c>
      <c r="D3359" s="31">
        <v>38807</v>
      </c>
      <c r="E3359" s="15" t="s">
        <v>31054</v>
      </c>
      <c r="F3359" s="87"/>
      <c r="G3359" s="45" t="s">
        <v>232</v>
      </c>
      <c r="H3359" s="55" t="s">
        <v>233</v>
      </c>
      <c r="I3359" s="15" t="s">
        <v>214</v>
      </c>
    </row>
    <row r="3360" spans="1:9" ht="51.75" customHeight="1" x14ac:dyDescent="0.35">
      <c r="A3360" s="15">
        <v>3</v>
      </c>
      <c r="B3360" s="15" t="s">
        <v>31055</v>
      </c>
      <c r="C3360" s="15" t="s">
        <v>31056</v>
      </c>
      <c r="D3360" s="31">
        <v>38807</v>
      </c>
      <c r="E3360" s="15" t="s">
        <v>31057</v>
      </c>
      <c r="F3360" s="87"/>
      <c r="G3360" s="45" t="s">
        <v>232</v>
      </c>
      <c r="H3360" s="55" t="s">
        <v>233</v>
      </c>
      <c r="I3360" s="15" t="s">
        <v>214</v>
      </c>
    </row>
    <row r="3361" spans="1:9" ht="51.75" customHeight="1" x14ac:dyDescent="0.35">
      <c r="A3361" s="15">
        <v>4</v>
      </c>
      <c r="B3361" s="15" t="s">
        <v>31058</v>
      </c>
      <c r="C3361" s="15" t="s">
        <v>31059</v>
      </c>
      <c r="D3361" s="31">
        <v>38807</v>
      </c>
      <c r="E3361" s="15" t="s">
        <v>31060</v>
      </c>
      <c r="F3361" s="87"/>
      <c r="G3361" s="45" t="s">
        <v>232</v>
      </c>
      <c r="H3361" s="55" t="s">
        <v>233</v>
      </c>
      <c r="I3361" s="15" t="s">
        <v>214</v>
      </c>
    </row>
    <row r="3362" spans="1:9" ht="51.75" customHeight="1" x14ac:dyDescent="0.35">
      <c r="A3362" s="15">
        <v>1</v>
      </c>
      <c r="B3362" s="15" t="s">
        <v>31061</v>
      </c>
      <c r="C3362" s="15" t="s">
        <v>31062</v>
      </c>
      <c r="D3362" s="31">
        <v>39465</v>
      </c>
      <c r="E3362" s="15" t="s">
        <v>31063</v>
      </c>
      <c r="F3362" s="87"/>
      <c r="G3362" s="45" t="s">
        <v>2024</v>
      </c>
      <c r="H3362" s="55" t="s">
        <v>2025</v>
      </c>
      <c r="I3362" s="15" t="s">
        <v>214</v>
      </c>
    </row>
    <row r="3363" spans="1:9" ht="51.75" customHeight="1" x14ac:dyDescent="0.35">
      <c r="A3363" s="15">
        <v>2</v>
      </c>
      <c r="B3363" s="15" t="s">
        <v>31064</v>
      </c>
      <c r="C3363" s="15" t="s">
        <v>31065</v>
      </c>
      <c r="D3363" s="31">
        <v>39465</v>
      </c>
      <c r="E3363" s="15" t="s">
        <v>31066</v>
      </c>
      <c r="F3363" s="87"/>
      <c r="G3363" s="45" t="s">
        <v>2024</v>
      </c>
      <c r="H3363" s="55" t="s">
        <v>2025</v>
      </c>
      <c r="I3363" s="15" t="s">
        <v>214</v>
      </c>
    </row>
    <row r="3364" spans="1:9" ht="51.75" customHeight="1" x14ac:dyDescent="0.35">
      <c r="A3364" s="15">
        <v>3</v>
      </c>
      <c r="B3364" s="15" t="s">
        <v>31067</v>
      </c>
      <c r="C3364" s="15" t="s">
        <v>31068</v>
      </c>
      <c r="D3364" s="31">
        <v>39465</v>
      </c>
      <c r="E3364" s="15" t="s">
        <v>31069</v>
      </c>
      <c r="F3364" s="87"/>
      <c r="G3364" s="45" t="s">
        <v>2024</v>
      </c>
      <c r="H3364" s="55" t="s">
        <v>2025</v>
      </c>
      <c r="I3364" s="15" t="s">
        <v>214</v>
      </c>
    </row>
    <row r="3365" spans="1:9" ht="51.75" customHeight="1" x14ac:dyDescent="0.35">
      <c r="A3365" s="15">
        <v>4</v>
      </c>
      <c r="B3365" s="15" t="s">
        <v>31070</v>
      </c>
      <c r="C3365" s="15" t="s">
        <v>31071</v>
      </c>
      <c r="D3365" s="31">
        <v>39465</v>
      </c>
      <c r="E3365" s="15" t="s">
        <v>31072</v>
      </c>
      <c r="F3365" s="87"/>
      <c r="G3365" s="45" t="s">
        <v>2024</v>
      </c>
      <c r="H3365" s="55" t="s">
        <v>2025</v>
      </c>
      <c r="I3365" s="15" t="s">
        <v>214</v>
      </c>
    </row>
    <row r="3366" spans="1:9" ht="51.75" customHeight="1" x14ac:dyDescent="0.35">
      <c r="A3366" s="15">
        <v>1</v>
      </c>
      <c r="B3366" s="15" t="s">
        <v>31073</v>
      </c>
      <c r="C3366" s="15" t="s">
        <v>31074</v>
      </c>
      <c r="D3366" s="31">
        <v>39790</v>
      </c>
      <c r="E3366" s="15" t="s">
        <v>31074</v>
      </c>
      <c r="F3366" s="87"/>
      <c r="G3366" s="45" t="s">
        <v>2144</v>
      </c>
      <c r="H3366" s="55" t="s">
        <v>2145</v>
      </c>
      <c r="I3366" s="15" t="s">
        <v>214</v>
      </c>
    </row>
    <row r="3367" spans="1:9" ht="51.75" customHeight="1" x14ac:dyDescent="0.35">
      <c r="A3367" s="15">
        <v>2</v>
      </c>
      <c r="B3367" s="15" t="s">
        <v>31075</v>
      </c>
      <c r="C3367" s="15" t="s">
        <v>31076</v>
      </c>
      <c r="D3367" s="31">
        <v>39790</v>
      </c>
      <c r="E3367" s="15" t="s">
        <v>31077</v>
      </c>
      <c r="F3367" s="87"/>
      <c r="G3367" s="45" t="s">
        <v>2144</v>
      </c>
      <c r="H3367" s="55" t="s">
        <v>2145</v>
      </c>
      <c r="I3367" s="15" t="s">
        <v>214</v>
      </c>
    </row>
    <row r="3368" spans="1:9" ht="51.75" customHeight="1" x14ac:dyDescent="0.35">
      <c r="A3368" s="15">
        <v>3</v>
      </c>
      <c r="B3368" s="15" t="s">
        <v>31078</v>
      </c>
      <c r="C3368" s="15" t="s">
        <v>31079</v>
      </c>
      <c r="D3368" s="31">
        <v>39790</v>
      </c>
      <c r="E3368" s="15" t="s">
        <v>31080</v>
      </c>
      <c r="F3368" s="87"/>
      <c r="G3368" s="45" t="s">
        <v>2144</v>
      </c>
      <c r="H3368" s="55" t="s">
        <v>2145</v>
      </c>
      <c r="I3368" s="15" t="s">
        <v>214</v>
      </c>
    </row>
    <row r="3369" spans="1:9" ht="51.75" customHeight="1" x14ac:dyDescent="0.35">
      <c r="A3369" s="15">
        <v>4</v>
      </c>
      <c r="B3369" s="15" t="s">
        <v>31081</v>
      </c>
      <c r="C3369" s="15" t="s">
        <v>31082</v>
      </c>
      <c r="D3369" s="31">
        <v>39790</v>
      </c>
      <c r="E3369" s="15" t="s">
        <v>31083</v>
      </c>
      <c r="F3369" s="87"/>
      <c r="G3369" s="45" t="s">
        <v>2144</v>
      </c>
      <c r="H3369" s="55" t="s">
        <v>2145</v>
      </c>
      <c r="I3369" s="15" t="s">
        <v>214</v>
      </c>
    </row>
    <row r="3370" spans="1:9" ht="51.75" customHeight="1" x14ac:dyDescent="0.35">
      <c r="A3370" s="15">
        <v>5</v>
      </c>
      <c r="B3370" s="15" t="s">
        <v>31084</v>
      </c>
      <c r="C3370" s="15" t="s">
        <v>31085</v>
      </c>
      <c r="D3370" s="31">
        <v>39790</v>
      </c>
      <c r="E3370" s="15" t="s">
        <v>31086</v>
      </c>
      <c r="F3370" s="87"/>
      <c r="G3370" s="45" t="s">
        <v>2144</v>
      </c>
      <c r="H3370" s="55" t="s">
        <v>2145</v>
      </c>
      <c r="I3370" s="15" t="s">
        <v>214</v>
      </c>
    </row>
    <row r="3371" spans="1:9" ht="51.75" customHeight="1" x14ac:dyDescent="0.35">
      <c r="A3371" s="15">
        <v>6</v>
      </c>
      <c r="B3371" s="15" t="s">
        <v>31087</v>
      </c>
      <c r="C3371" s="15" t="s">
        <v>31088</v>
      </c>
      <c r="D3371" s="31">
        <v>39790</v>
      </c>
      <c r="E3371" s="15" t="s">
        <v>31089</v>
      </c>
      <c r="F3371" s="87"/>
      <c r="G3371" s="45" t="s">
        <v>2144</v>
      </c>
      <c r="H3371" s="55" t="s">
        <v>2145</v>
      </c>
      <c r="I3371" s="15" t="s">
        <v>214</v>
      </c>
    </row>
    <row r="3372" spans="1:9" ht="51.75" customHeight="1" x14ac:dyDescent="0.35">
      <c r="A3372" s="15">
        <v>1</v>
      </c>
      <c r="B3372" s="15" t="s">
        <v>31090</v>
      </c>
      <c r="C3372" s="15" t="s">
        <v>31091</v>
      </c>
      <c r="D3372" s="31">
        <v>39465</v>
      </c>
      <c r="E3372" s="15" t="s">
        <v>31092</v>
      </c>
      <c r="F3372" s="87"/>
      <c r="G3372" s="45" t="s">
        <v>2120</v>
      </c>
      <c r="H3372" s="55" t="s">
        <v>2121</v>
      </c>
      <c r="I3372" s="15" t="s">
        <v>214</v>
      </c>
    </row>
    <row r="3373" spans="1:9" ht="51.75" customHeight="1" x14ac:dyDescent="0.35">
      <c r="A3373" s="15">
        <v>2</v>
      </c>
      <c r="B3373" s="15" t="s">
        <v>31093</v>
      </c>
      <c r="C3373" s="15" t="s">
        <v>31094</v>
      </c>
      <c r="D3373" s="31">
        <v>39465</v>
      </c>
      <c r="E3373" s="15" t="s">
        <v>31095</v>
      </c>
      <c r="F3373" s="87"/>
      <c r="G3373" s="45" t="s">
        <v>2120</v>
      </c>
      <c r="H3373" s="55" t="s">
        <v>2121</v>
      </c>
      <c r="I3373" s="15" t="s">
        <v>214</v>
      </c>
    </row>
    <row r="3374" spans="1:9" ht="51.75" customHeight="1" x14ac:dyDescent="0.35">
      <c r="A3374" s="15">
        <v>1</v>
      </c>
      <c r="B3374" s="15" t="s">
        <v>31096</v>
      </c>
      <c r="C3374" s="15" t="s">
        <v>31097</v>
      </c>
      <c r="D3374" s="31">
        <v>39825</v>
      </c>
      <c r="E3374" s="15" t="s">
        <v>31098</v>
      </c>
      <c r="F3374" s="87"/>
      <c r="G3374" s="45" t="s">
        <v>2114</v>
      </c>
      <c r="H3374" s="55" t="s">
        <v>2115</v>
      </c>
      <c r="I3374" s="15" t="s">
        <v>214</v>
      </c>
    </row>
    <row r="3375" spans="1:9" ht="51.75" customHeight="1" x14ac:dyDescent="0.35">
      <c r="A3375" s="15">
        <v>2</v>
      </c>
      <c r="B3375" s="15" t="s">
        <v>31099</v>
      </c>
      <c r="C3375" s="15" t="s">
        <v>31100</v>
      </c>
      <c r="D3375" s="31">
        <v>39825</v>
      </c>
      <c r="E3375" s="15" t="s">
        <v>31101</v>
      </c>
      <c r="F3375" s="87"/>
      <c r="G3375" s="45" t="s">
        <v>2114</v>
      </c>
      <c r="H3375" s="55" t="s">
        <v>2115</v>
      </c>
      <c r="I3375" s="15" t="s">
        <v>214</v>
      </c>
    </row>
    <row r="3376" spans="1:9" ht="51.75" customHeight="1" x14ac:dyDescent="0.35">
      <c r="A3376" s="15">
        <v>3</v>
      </c>
      <c r="B3376" s="15" t="s">
        <v>31102</v>
      </c>
      <c r="C3376" s="15" t="s">
        <v>31103</v>
      </c>
      <c r="D3376" s="31">
        <v>39825</v>
      </c>
      <c r="E3376" s="15" t="s">
        <v>31104</v>
      </c>
      <c r="F3376" s="87"/>
      <c r="G3376" s="45" t="s">
        <v>2114</v>
      </c>
      <c r="H3376" s="55" t="s">
        <v>2115</v>
      </c>
      <c r="I3376" s="15" t="s">
        <v>214</v>
      </c>
    </row>
    <row r="3377" spans="1:9" ht="51.75" customHeight="1" x14ac:dyDescent="0.35">
      <c r="A3377" s="15">
        <v>4</v>
      </c>
      <c r="B3377" s="15" t="s">
        <v>31105</v>
      </c>
      <c r="C3377" s="15" t="s">
        <v>31106</v>
      </c>
      <c r="D3377" s="31">
        <v>39825</v>
      </c>
      <c r="E3377" s="15" t="s">
        <v>31107</v>
      </c>
      <c r="F3377" s="87"/>
      <c r="G3377" s="45" t="s">
        <v>2114</v>
      </c>
      <c r="H3377" s="55" t="s">
        <v>2115</v>
      </c>
      <c r="I3377" s="15" t="s">
        <v>214</v>
      </c>
    </row>
    <row r="3378" spans="1:9" ht="51.75" customHeight="1" x14ac:dyDescent="0.35">
      <c r="A3378" s="15">
        <v>5</v>
      </c>
      <c r="B3378" s="15" t="s">
        <v>31108</v>
      </c>
      <c r="C3378" s="15" t="s">
        <v>31109</v>
      </c>
      <c r="D3378" s="31">
        <v>39825</v>
      </c>
      <c r="E3378" s="15" t="s">
        <v>31110</v>
      </c>
      <c r="F3378" s="87"/>
      <c r="G3378" s="45" t="s">
        <v>2114</v>
      </c>
      <c r="H3378" s="55" t="s">
        <v>2115</v>
      </c>
      <c r="I3378" s="15" t="s">
        <v>214</v>
      </c>
    </row>
    <row r="3379" spans="1:9" ht="51.75" customHeight="1" x14ac:dyDescent="0.35">
      <c r="A3379" s="15">
        <v>6</v>
      </c>
      <c r="B3379" s="15" t="s">
        <v>31111</v>
      </c>
      <c r="C3379" s="15" t="s">
        <v>31112</v>
      </c>
      <c r="D3379" s="31">
        <v>39825</v>
      </c>
      <c r="E3379" s="15" t="s">
        <v>31113</v>
      </c>
      <c r="F3379" s="87"/>
      <c r="G3379" s="45" t="s">
        <v>2114</v>
      </c>
      <c r="H3379" s="55" t="s">
        <v>2115</v>
      </c>
      <c r="I3379" s="15" t="s">
        <v>214</v>
      </c>
    </row>
    <row r="3380" spans="1:9" ht="51.75" customHeight="1" x14ac:dyDescent="0.35">
      <c r="A3380" s="15">
        <v>7</v>
      </c>
      <c r="B3380" s="15" t="s">
        <v>31114</v>
      </c>
      <c r="C3380" s="15" t="s">
        <v>31115</v>
      </c>
      <c r="D3380" s="31">
        <v>39825</v>
      </c>
      <c r="E3380" s="15" t="s">
        <v>31116</v>
      </c>
      <c r="F3380" s="87"/>
      <c r="G3380" s="45" t="s">
        <v>2114</v>
      </c>
      <c r="H3380" s="55" t="s">
        <v>2115</v>
      </c>
      <c r="I3380" s="15" t="s">
        <v>214</v>
      </c>
    </row>
    <row r="3381" spans="1:9" ht="51.75" customHeight="1" x14ac:dyDescent="0.35">
      <c r="A3381" s="15">
        <v>8</v>
      </c>
      <c r="B3381" s="15" t="s">
        <v>31117</v>
      </c>
      <c r="C3381" s="15" t="s">
        <v>31118</v>
      </c>
      <c r="D3381" s="31">
        <v>39825</v>
      </c>
      <c r="E3381" s="15" t="s">
        <v>31119</v>
      </c>
      <c r="F3381" s="87"/>
      <c r="G3381" s="45" t="s">
        <v>2114</v>
      </c>
      <c r="H3381" s="55" t="s">
        <v>2115</v>
      </c>
      <c r="I3381" s="15" t="s">
        <v>214</v>
      </c>
    </row>
    <row r="3382" spans="1:9" ht="51.75" customHeight="1" x14ac:dyDescent="0.35">
      <c r="A3382" s="15">
        <v>9</v>
      </c>
      <c r="B3382" s="15" t="s">
        <v>31120</v>
      </c>
      <c r="C3382" s="15" t="s">
        <v>31121</v>
      </c>
      <c r="D3382" s="31">
        <v>39825</v>
      </c>
      <c r="E3382" s="15" t="s">
        <v>31122</v>
      </c>
      <c r="F3382" s="87"/>
      <c r="G3382" s="45" t="s">
        <v>2114</v>
      </c>
      <c r="H3382" s="55" t="s">
        <v>2115</v>
      </c>
      <c r="I3382" s="15" t="s">
        <v>214</v>
      </c>
    </row>
    <row r="3383" spans="1:9" ht="51.75" customHeight="1" x14ac:dyDescent="0.35">
      <c r="A3383" s="15">
        <v>1</v>
      </c>
      <c r="B3383" s="15" t="s">
        <v>31123</v>
      </c>
      <c r="C3383" s="15" t="s">
        <v>31124</v>
      </c>
      <c r="D3383" s="31">
        <v>39632</v>
      </c>
      <c r="E3383" s="15" t="s">
        <v>31125</v>
      </c>
      <c r="F3383" s="87"/>
      <c r="G3383" s="45" t="s">
        <v>2097</v>
      </c>
      <c r="H3383" s="55" t="s">
        <v>2098</v>
      </c>
      <c r="I3383" s="15" t="s">
        <v>214</v>
      </c>
    </row>
    <row r="3384" spans="1:9" ht="51.75" customHeight="1" x14ac:dyDescent="0.35">
      <c r="A3384" s="15">
        <v>2</v>
      </c>
      <c r="B3384" s="15" t="s">
        <v>31126</v>
      </c>
      <c r="C3384" s="15" t="s">
        <v>31127</v>
      </c>
      <c r="D3384" s="31">
        <v>39632</v>
      </c>
      <c r="E3384" s="15" t="s">
        <v>31128</v>
      </c>
      <c r="F3384" s="87"/>
      <c r="G3384" s="45" t="s">
        <v>2097</v>
      </c>
      <c r="H3384" s="55" t="s">
        <v>2098</v>
      </c>
      <c r="I3384" s="15" t="s">
        <v>214</v>
      </c>
    </row>
    <row r="3385" spans="1:9" ht="51.75" customHeight="1" x14ac:dyDescent="0.35">
      <c r="A3385" s="15">
        <v>3</v>
      </c>
      <c r="B3385" s="15" t="s">
        <v>31129</v>
      </c>
      <c r="C3385" s="15" t="s">
        <v>31130</v>
      </c>
      <c r="D3385" s="31">
        <v>39632</v>
      </c>
      <c r="E3385" s="15" t="s">
        <v>31131</v>
      </c>
      <c r="F3385" s="87"/>
      <c r="G3385" s="45" t="s">
        <v>2097</v>
      </c>
      <c r="H3385" s="55" t="s">
        <v>2098</v>
      </c>
      <c r="I3385" s="15" t="s">
        <v>214</v>
      </c>
    </row>
    <row r="3386" spans="1:9" ht="51.75" customHeight="1" x14ac:dyDescent="0.35">
      <c r="A3386" s="15">
        <v>4</v>
      </c>
      <c r="B3386" s="15" t="s">
        <v>31132</v>
      </c>
      <c r="C3386" s="15" t="s">
        <v>31133</v>
      </c>
      <c r="D3386" s="31">
        <v>39632</v>
      </c>
      <c r="E3386" s="15" t="s">
        <v>31134</v>
      </c>
      <c r="F3386" s="87"/>
      <c r="G3386" s="45" t="s">
        <v>2097</v>
      </c>
      <c r="H3386" s="55" t="s">
        <v>2098</v>
      </c>
      <c r="I3386" s="15" t="s">
        <v>214</v>
      </c>
    </row>
    <row r="3387" spans="1:9" ht="51.75" customHeight="1" x14ac:dyDescent="0.35">
      <c r="A3387" s="15">
        <v>5</v>
      </c>
      <c r="B3387" s="15" t="s">
        <v>31135</v>
      </c>
      <c r="C3387" s="15" t="s">
        <v>31136</v>
      </c>
      <c r="D3387" s="31">
        <v>39632</v>
      </c>
      <c r="E3387" s="15" t="s">
        <v>31137</v>
      </c>
      <c r="F3387" s="87"/>
      <c r="G3387" s="45" t="s">
        <v>2097</v>
      </c>
      <c r="H3387" s="55" t="s">
        <v>2098</v>
      </c>
      <c r="I3387" s="15" t="s">
        <v>214</v>
      </c>
    </row>
    <row r="3388" spans="1:9" ht="51.75" customHeight="1" x14ac:dyDescent="0.35">
      <c r="A3388" s="15">
        <v>6</v>
      </c>
      <c r="B3388" s="15" t="s">
        <v>31138</v>
      </c>
      <c r="C3388" s="15" t="s">
        <v>31139</v>
      </c>
      <c r="D3388" s="31">
        <v>39632</v>
      </c>
      <c r="E3388" s="15" t="s">
        <v>31140</v>
      </c>
      <c r="F3388" s="87"/>
      <c r="G3388" s="45" t="s">
        <v>2097</v>
      </c>
      <c r="H3388" s="55" t="s">
        <v>2098</v>
      </c>
      <c r="I3388" s="15" t="s">
        <v>214</v>
      </c>
    </row>
    <row r="3389" spans="1:9" ht="51.75" customHeight="1" x14ac:dyDescent="0.35">
      <c r="A3389" s="15">
        <v>7</v>
      </c>
      <c r="B3389" s="15" t="s">
        <v>31141</v>
      </c>
      <c r="C3389" s="15" t="s">
        <v>31142</v>
      </c>
      <c r="D3389" s="31">
        <v>39632</v>
      </c>
      <c r="E3389" s="15" t="s">
        <v>31143</v>
      </c>
      <c r="F3389" s="87"/>
      <c r="G3389" s="45" t="s">
        <v>2097</v>
      </c>
      <c r="H3389" s="55" t="s">
        <v>2098</v>
      </c>
      <c r="I3389" s="15" t="s">
        <v>214</v>
      </c>
    </row>
    <row r="3390" spans="1:9" ht="51.75" customHeight="1" x14ac:dyDescent="0.35">
      <c r="A3390" s="15">
        <v>8</v>
      </c>
      <c r="B3390" s="15" t="s">
        <v>31144</v>
      </c>
      <c r="C3390" s="15" t="s">
        <v>31145</v>
      </c>
      <c r="D3390" s="31">
        <v>39632</v>
      </c>
      <c r="E3390" s="15" t="s">
        <v>31146</v>
      </c>
      <c r="F3390" s="87"/>
      <c r="G3390" s="45" t="s">
        <v>2097</v>
      </c>
      <c r="H3390" s="55" t="s">
        <v>2098</v>
      </c>
      <c r="I3390" s="15" t="s">
        <v>214</v>
      </c>
    </row>
    <row r="3391" spans="1:9" ht="51.75" customHeight="1" x14ac:dyDescent="0.35">
      <c r="A3391" s="15">
        <v>9</v>
      </c>
      <c r="B3391" s="15" t="s">
        <v>31147</v>
      </c>
      <c r="C3391" s="15" t="s">
        <v>31148</v>
      </c>
      <c r="D3391" s="31">
        <v>39632</v>
      </c>
      <c r="E3391" s="15" t="s">
        <v>31149</v>
      </c>
      <c r="F3391" s="87"/>
      <c r="G3391" s="45" t="s">
        <v>2097</v>
      </c>
      <c r="H3391" s="55" t="s">
        <v>2098</v>
      </c>
      <c r="I3391" s="15" t="s">
        <v>214</v>
      </c>
    </row>
    <row r="3392" spans="1:9" ht="51.75" customHeight="1" x14ac:dyDescent="0.35">
      <c r="A3392" s="15">
        <v>10</v>
      </c>
      <c r="B3392" s="15" t="s">
        <v>31150</v>
      </c>
      <c r="C3392" s="15" t="s">
        <v>31151</v>
      </c>
      <c r="D3392" s="31">
        <v>39632</v>
      </c>
      <c r="E3392" s="15" t="s">
        <v>31152</v>
      </c>
      <c r="F3392" s="87"/>
      <c r="G3392" s="45" t="s">
        <v>2097</v>
      </c>
      <c r="H3392" s="55" t="s">
        <v>2098</v>
      </c>
      <c r="I3392" s="15" t="s">
        <v>214</v>
      </c>
    </row>
    <row r="3393" spans="1:9" ht="51.75" customHeight="1" x14ac:dyDescent="0.35">
      <c r="A3393" s="15">
        <v>1</v>
      </c>
      <c r="B3393" s="15" t="s">
        <v>31153</v>
      </c>
      <c r="C3393" s="15" t="s">
        <v>31154</v>
      </c>
      <c r="D3393" s="31">
        <v>39686</v>
      </c>
      <c r="E3393" s="15" t="s">
        <v>31155</v>
      </c>
      <c r="F3393" s="87"/>
      <c r="G3393" s="45" t="s">
        <v>2079</v>
      </c>
      <c r="H3393" s="55" t="s">
        <v>2080</v>
      </c>
      <c r="I3393" s="15" t="s">
        <v>214</v>
      </c>
    </row>
    <row r="3394" spans="1:9" ht="51.75" customHeight="1" x14ac:dyDescent="0.35">
      <c r="A3394" s="15">
        <v>2</v>
      </c>
      <c r="B3394" s="15" t="s">
        <v>31156</v>
      </c>
      <c r="C3394" s="15" t="s">
        <v>31157</v>
      </c>
      <c r="D3394" s="31">
        <v>39686</v>
      </c>
      <c r="E3394" s="15" t="s">
        <v>31158</v>
      </c>
      <c r="F3394" s="87"/>
      <c r="G3394" s="45" t="s">
        <v>2079</v>
      </c>
      <c r="H3394" s="55" t="s">
        <v>2080</v>
      </c>
      <c r="I3394" s="15" t="s">
        <v>214</v>
      </c>
    </row>
    <row r="3395" spans="1:9" ht="51.75" customHeight="1" x14ac:dyDescent="0.35">
      <c r="A3395" s="15">
        <v>3</v>
      </c>
      <c r="B3395" s="15" t="s">
        <v>31159</v>
      </c>
      <c r="C3395" s="15" t="s">
        <v>31160</v>
      </c>
      <c r="D3395" s="31">
        <v>39686</v>
      </c>
      <c r="E3395" s="15" t="s">
        <v>31161</v>
      </c>
      <c r="F3395" s="87"/>
      <c r="G3395" s="45" t="s">
        <v>2079</v>
      </c>
      <c r="H3395" s="55" t="s">
        <v>2080</v>
      </c>
      <c r="I3395" s="15" t="s">
        <v>214</v>
      </c>
    </row>
    <row r="3396" spans="1:9" ht="51.75" customHeight="1" x14ac:dyDescent="0.35">
      <c r="A3396" s="15">
        <v>4</v>
      </c>
      <c r="B3396" s="15" t="s">
        <v>31162</v>
      </c>
      <c r="C3396" s="15" t="s">
        <v>31163</v>
      </c>
      <c r="D3396" s="31">
        <v>39686</v>
      </c>
      <c r="E3396" s="15" t="s">
        <v>31164</v>
      </c>
      <c r="F3396" s="87"/>
      <c r="G3396" s="45" t="s">
        <v>2079</v>
      </c>
      <c r="H3396" s="55" t="s">
        <v>2080</v>
      </c>
      <c r="I3396" s="15" t="s">
        <v>214</v>
      </c>
    </row>
    <row r="3397" spans="1:9" ht="51.75" customHeight="1" x14ac:dyDescent="0.35">
      <c r="A3397" s="15">
        <v>5</v>
      </c>
      <c r="B3397" s="15" t="s">
        <v>31165</v>
      </c>
      <c r="C3397" s="15" t="s">
        <v>31166</v>
      </c>
      <c r="D3397" s="31">
        <v>39686</v>
      </c>
      <c r="E3397" s="15" t="s">
        <v>31167</v>
      </c>
      <c r="F3397" s="87"/>
      <c r="G3397" s="45" t="s">
        <v>2079</v>
      </c>
      <c r="H3397" s="55" t="s">
        <v>2080</v>
      </c>
      <c r="I3397" s="15" t="s">
        <v>214</v>
      </c>
    </row>
    <row r="3398" spans="1:9" ht="51.75" customHeight="1" x14ac:dyDescent="0.35">
      <c r="A3398" s="15">
        <v>6</v>
      </c>
      <c r="B3398" s="15" t="s">
        <v>31168</v>
      </c>
      <c r="C3398" s="15" t="s">
        <v>31169</v>
      </c>
      <c r="D3398" s="31">
        <v>39686</v>
      </c>
      <c r="E3398" s="15" t="s">
        <v>31170</v>
      </c>
      <c r="F3398" s="87"/>
      <c r="G3398" s="45" t="s">
        <v>2079</v>
      </c>
      <c r="H3398" s="55" t="s">
        <v>2080</v>
      </c>
      <c r="I3398" s="15" t="s">
        <v>214</v>
      </c>
    </row>
    <row r="3399" spans="1:9" ht="51.75" customHeight="1" x14ac:dyDescent="0.35">
      <c r="A3399" s="15">
        <v>7</v>
      </c>
      <c r="B3399" s="15" t="s">
        <v>31171</v>
      </c>
      <c r="C3399" s="15" t="s">
        <v>31172</v>
      </c>
      <c r="D3399" s="31">
        <v>39686</v>
      </c>
      <c r="E3399" s="15" t="s">
        <v>31172</v>
      </c>
      <c r="F3399" s="87"/>
      <c r="G3399" s="45" t="s">
        <v>2079</v>
      </c>
      <c r="H3399" s="55" t="s">
        <v>2080</v>
      </c>
      <c r="I3399" s="15" t="s">
        <v>214</v>
      </c>
    </row>
    <row r="3400" spans="1:9" ht="51.75" customHeight="1" x14ac:dyDescent="0.35">
      <c r="A3400" s="15">
        <v>8</v>
      </c>
      <c r="B3400" s="15" t="s">
        <v>31173</v>
      </c>
      <c r="C3400" s="15" t="s">
        <v>31174</v>
      </c>
      <c r="D3400" s="31">
        <v>39686</v>
      </c>
      <c r="E3400" s="15" t="s">
        <v>31175</v>
      </c>
      <c r="F3400" s="87"/>
      <c r="G3400" s="45" t="s">
        <v>2079</v>
      </c>
      <c r="H3400" s="55" t="s">
        <v>2080</v>
      </c>
      <c r="I3400" s="15" t="s">
        <v>214</v>
      </c>
    </row>
    <row r="3401" spans="1:9" ht="51.75" customHeight="1" x14ac:dyDescent="0.35">
      <c r="A3401" s="15">
        <v>1</v>
      </c>
      <c r="B3401" s="15" t="s">
        <v>31176</v>
      </c>
      <c r="C3401" s="15" t="s">
        <v>31177</v>
      </c>
      <c r="D3401" s="31">
        <v>39587</v>
      </c>
      <c r="E3401" s="15" t="s">
        <v>31178</v>
      </c>
      <c r="F3401" s="87"/>
      <c r="G3401" s="45" t="s">
        <v>2037</v>
      </c>
      <c r="H3401" s="55" t="s">
        <v>2038</v>
      </c>
      <c r="I3401" s="15" t="s">
        <v>214</v>
      </c>
    </row>
    <row r="3402" spans="1:9" ht="51.75" customHeight="1" x14ac:dyDescent="0.35">
      <c r="A3402" s="15">
        <v>2</v>
      </c>
      <c r="B3402" s="15" t="s">
        <v>31179</v>
      </c>
      <c r="C3402" s="15" t="s">
        <v>31180</v>
      </c>
      <c r="D3402" s="31">
        <v>39587</v>
      </c>
      <c r="E3402" s="15" t="s">
        <v>31181</v>
      </c>
      <c r="F3402" s="87"/>
      <c r="G3402" s="45" t="s">
        <v>2037</v>
      </c>
      <c r="H3402" s="55" t="s">
        <v>2038</v>
      </c>
      <c r="I3402" s="15" t="s">
        <v>214</v>
      </c>
    </row>
    <row r="3403" spans="1:9" ht="51.75" customHeight="1" x14ac:dyDescent="0.35">
      <c r="A3403" s="15">
        <v>3</v>
      </c>
      <c r="B3403" s="15" t="s">
        <v>31182</v>
      </c>
      <c r="C3403" s="15" t="s">
        <v>31183</v>
      </c>
      <c r="D3403" s="31">
        <v>39587</v>
      </c>
      <c r="E3403" s="15" t="s">
        <v>31184</v>
      </c>
      <c r="F3403" s="87"/>
      <c r="G3403" s="45" t="s">
        <v>2037</v>
      </c>
      <c r="H3403" s="55" t="s">
        <v>2038</v>
      </c>
      <c r="I3403" s="15" t="s">
        <v>214</v>
      </c>
    </row>
    <row r="3404" spans="1:9" ht="51.75" customHeight="1" x14ac:dyDescent="0.35">
      <c r="A3404" s="15">
        <v>4</v>
      </c>
      <c r="B3404" s="15" t="s">
        <v>31185</v>
      </c>
      <c r="C3404" s="15" t="s">
        <v>31186</v>
      </c>
      <c r="D3404" s="31">
        <v>39587</v>
      </c>
      <c r="E3404" s="15" t="s">
        <v>31187</v>
      </c>
      <c r="F3404" s="87"/>
      <c r="G3404" s="45" t="s">
        <v>2037</v>
      </c>
      <c r="H3404" s="55" t="s">
        <v>2038</v>
      </c>
      <c r="I3404" s="15" t="s">
        <v>214</v>
      </c>
    </row>
    <row r="3405" spans="1:9" ht="51.75" customHeight="1" x14ac:dyDescent="0.35">
      <c r="A3405" s="15">
        <v>5</v>
      </c>
      <c r="B3405" s="15" t="s">
        <v>31188</v>
      </c>
      <c r="C3405" s="15" t="s">
        <v>31189</v>
      </c>
      <c r="D3405" s="31">
        <v>39587</v>
      </c>
      <c r="E3405" s="15" t="s">
        <v>31190</v>
      </c>
      <c r="F3405" s="87"/>
      <c r="G3405" s="45" t="s">
        <v>2037</v>
      </c>
      <c r="H3405" s="55" t="s">
        <v>2038</v>
      </c>
      <c r="I3405" s="15" t="s">
        <v>214</v>
      </c>
    </row>
    <row r="3406" spans="1:9" ht="51.75" customHeight="1" x14ac:dyDescent="0.35">
      <c r="A3406" s="15">
        <v>6</v>
      </c>
      <c r="B3406" s="15" t="s">
        <v>31191</v>
      </c>
      <c r="C3406" s="15" t="s">
        <v>31192</v>
      </c>
      <c r="D3406" s="31">
        <v>39587</v>
      </c>
      <c r="E3406" s="15" t="s">
        <v>31193</v>
      </c>
      <c r="F3406" s="87"/>
      <c r="G3406" s="45" t="s">
        <v>2037</v>
      </c>
      <c r="H3406" s="55" t="s">
        <v>2038</v>
      </c>
      <c r="I3406" s="15" t="s">
        <v>214</v>
      </c>
    </row>
    <row r="3407" spans="1:9" ht="51.75" customHeight="1" x14ac:dyDescent="0.35">
      <c r="A3407" s="15">
        <v>1</v>
      </c>
      <c r="B3407" s="15" t="s">
        <v>31194</v>
      </c>
      <c r="C3407" s="15" t="s">
        <v>31195</v>
      </c>
      <c r="D3407" s="31">
        <v>39601</v>
      </c>
      <c r="E3407" s="15" t="s">
        <v>31196</v>
      </c>
      <c r="F3407" s="87"/>
      <c r="G3407" s="45" t="s">
        <v>1978</v>
      </c>
      <c r="H3407" s="55" t="s">
        <v>1979</v>
      </c>
      <c r="I3407" s="15" t="s">
        <v>214</v>
      </c>
    </row>
    <row r="3408" spans="1:9" ht="51.75" customHeight="1" x14ac:dyDescent="0.35">
      <c r="A3408" s="15">
        <v>2</v>
      </c>
      <c r="B3408" s="15" t="s">
        <v>31197</v>
      </c>
      <c r="C3408" s="15" t="s">
        <v>31198</v>
      </c>
      <c r="D3408" s="31">
        <v>39601</v>
      </c>
      <c r="E3408" s="15" t="s">
        <v>31199</v>
      </c>
      <c r="F3408" s="87"/>
      <c r="G3408" s="45" t="s">
        <v>1978</v>
      </c>
      <c r="H3408" s="55" t="s">
        <v>1979</v>
      </c>
      <c r="I3408" s="15" t="s">
        <v>214</v>
      </c>
    </row>
    <row r="3409" spans="1:9" ht="51.75" customHeight="1" x14ac:dyDescent="0.35">
      <c r="A3409" s="15">
        <v>3</v>
      </c>
      <c r="B3409" s="15" t="s">
        <v>31200</v>
      </c>
      <c r="C3409" s="15" t="s">
        <v>31201</v>
      </c>
      <c r="D3409" s="31">
        <v>39601</v>
      </c>
      <c r="E3409" s="15" t="s">
        <v>31202</v>
      </c>
      <c r="F3409" s="87"/>
      <c r="G3409" s="45" t="s">
        <v>1978</v>
      </c>
      <c r="H3409" s="55" t="s">
        <v>1979</v>
      </c>
      <c r="I3409" s="15" t="s">
        <v>214</v>
      </c>
    </row>
    <row r="3410" spans="1:9" ht="51.75" customHeight="1" x14ac:dyDescent="0.35">
      <c r="A3410" s="15">
        <v>4</v>
      </c>
      <c r="B3410" s="15" t="s">
        <v>31203</v>
      </c>
      <c r="C3410" s="15" t="s">
        <v>31204</v>
      </c>
      <c r="D3410" s="31">
        <v>39601</v>
      </c>
      <c r="E3410" s="15" t="s">
        <v>31205</v>
      </c>
      <c r="F3410" s="87"/>
      <c r="G3410" s="45" t="s">
        <v>1978</v>
      </c>
      <c r="H3410" s="55" t="s">
        <v>1979</v>
      </c>
      <c r="I3410" s="15" t="s">
        <v>214</v>
      </c>
    </row>
    <row r="3411" spans="1:9" ht="51.75" customHeight="1" x14ac:dyDescent="0.35">
      <c r="A3411" s="15">
        <v>5</v>
      </c>
      <c r="B3411" s="15" t="s">
        <v>31206</v>
      </c>
      <c r="C3411" s="15" t="s">
        <v>31207</v>
      </c>
      <c r="D3411" s="31">
        <v>39601</v>
      </c>
      <c r="E3411" s="15" t="s">
        <v>31208</v>
      </c>
      <c r="F3411" s="87"/>
      <c r="G3411" s="45" t="s">
        <v>1978</v>
      </c>
      <c r="H3411" s="55" t="s">
        <v>1979</v>
      </c>
      <c r="I3411" s="15" t="s">
        <v>214</v>
      </c>
    </row>
    <row r="3412" spans="1:9" ht="51.75" customHeight="1" x14ac:dyDescent="0.35">
      <c r="A3412" s="15">
        <v>6</v>
      </c>
      <c r="B3412" s="15" t="s">
        <v>31209</v>
      </c>
      <c r="C3412" s="15" t="s">
        <v>31210</v>
      </c>
      <c r="D3412" s="31">
        <v>39601</v>
      </c>
      <c r="E3412" s="15" t="s">
        <v>31210</v>
      </c>
      <c r="F3412" s="87"/>
      <c r="G3412" s="45" t="s">
        <v>1978</v>
      </c>
      <c r="H3412" s="55" t="s">
        <v>1979</v>
      </c>
      <c r="I3412" s="15" t="s">
        <v>214</v>
      </c>
    </row>
    <row r="3413" spans="1:9" ht="51.75" customHeight="1" x14ac:dyDescent="0.35">
      <c r="A3413" s="15">
        <v>7</v>
      </c>
      <c r="B3413" s="15" t="s">
        <v>31211</v>
      </c>
      <c r="C3413" s="15" t="s">
        <v>31212</v>
      </c>
      <c r="D3413" s="31">
        <v>39601</v>
      </c>
      <c r="E3413" s="15" t="s">
        <v>31213</v>
      </c>
      <c r="F3413" s="87"/>
      <c r="G3413" s="45" t="s">
        <v>1978</v>
      </c>
      <c r="H3413" s="55" t="s">
        <v>1979</v>
      </c>
      <c r="I3413" s="15" t="s">
        <v>214</v>
      </c>
    </row>
    <row r="3414" spans="1:9" ht="51.75" customHeight="1" x14ac:dyDescent="0.35">
      <c r="A3414" s="15">
        <v>8</v>
      </c>
      <c r="B3414" s="15" t="s">
        <v>31214</v>
      </c>
      <c r="C3414" s="15" t="s">
        <v>31215</v>
      </c>
      <c r="D3414" s="31">
        <v>39601</v>
      </c>
      <c r="E3414" s="15" t="s">
        <v>31216</v>
      </c>
      <c r="F3414" s="87"/>
      <c r="G3414" s="45" t="s">
        <v>1978</v>
      </c>
      <c r="H3414" s="55" t="s">
        <v>1979</v>
      </c>
      <c r="I3414" s="15" t="s">
        <v>214</v>
      </c>
    </row>
    <row r="3415" spans="1:9" ht="51.75" customHeight="1" x14ac:dyDescent="0.35">
      <c r="A3415" s="15">
        <v>1</v>
      </c>
      <c r="B3415" s="15" t="s">
        <v>31217</v>
      </c>
      <c r="C3415" s="15" t="s">
        <v>31218</v>
      </c>
      <c r="D3415" s="31">
        <v>39303</v>
      </c>
      <c r="E3415" s="15" t="s">
        <v>31219</v>
      </c>
      <c r="F3415" s="87"/>
      <c r="G3415" s="45" t="s">
        <v>1937</v>
      </c>
      <c r="H3415" s="55" t="s">
        <v>1938</v>
      </c>
      <c r="I3415" s="15" t="s">
        <v>214</v>
      </c>
    </row>
    <row r="3416" spans="1:9" ht="51.75" customHeight="1" x14ac:dyDescent="0.35">
      <c r="A3416" s="15">
        <v>2</v>
      </c>
      <c r="B3416" s="15" t="s">
        <v>31220</v>
      </c>
      <c r="C3416" s="15" t="s">
        <v>31221</v>
      </c>
      <c r="D3416" s="31">
        <v>39303</v>
      </c>
      <c r="E3416" s="15" t="s">
        <v>31222</v>
      </c>
      <c r="F3416" s="87"/>
      <c r="G3416" s="45" t="s">
        <v>1937</v>
      </c>
      <c r="H3416" s="55" t="s">
        <v>1938</v>
      </c>
      <c r="I3416" s="15" t="s">
        <v>214</v>
      </c>
    </row>
    <row r="3417" spans="1:9" ht="51.75" customHeight="1" x14ac:dyDescent="0.35">
      <c r="A3417" s="15">
        <v>3</v>
      </c>
      <c r="B3417" s="15" t="s">
        <v>31223</v>
      </c>
      <c r="C3417" s="15" t="s">
        <v>31224</v>
      </c>
      <c r="D3417" s="31">
        <v>39303</v>
      </c>
      <c r="E3417" s="15" t="s">
        <v>31225</v>
      </c>
      <c r="F3417" s="87"/>
      <c r="G3417" s="45" t="s">
        <v>1937</v>
      </c>
      <c r="H3417" s="55" t="s">
        <v>1938</v>
      </c>
      <c r="I3417" s="15" t="s">
        <v>214</v>
      </c>
    </row>
    <row r="3418" spans="1:9" ht="51.75" customHeight="1" x14ac:dyDescent="0.35">
      <c r="A3418" s="15">
        <v>4</v>
      </c>
      <c r="B3418" s="15" t="s">
        <v>31226</v>
      </c>
      <c r="C3418" s="15" t="s">
        <v>31227</v>
      </c>
      <c r="D3418" s="31">
        <v>39303</v>
      </c>
      <c r="E3418" s="15" t="s">
        <v>31228</v>
      </c>
      <c r="F3418" s="87"/>
      <c r="G3418" s="45" t="s">
        <v>1937</v>
      </c>
      <c r="H3418" s="55" t="s">
        <v>1938</v>
      </c>
      <c r="I3418" s="15" t="s">
        <v>214</v>
      </c>
    </row>
    <row r="3419" spans="1:9" ht="51.75" customHeight="1" x14ac:dyDescent="0.35">
      <c r="A3419" s="15">
        <v>5</v>
      </c>
      <c r="B3419" s="15" t="s">
        <v>31229</v>
      </c>
      <c r="C3419" s="15" t="s">
        <v>31230</v>
      </c>
      <c r="D3419" s="31">
        <v>39303</v>
      </c>
      <c r="E3419" s="15" t="s">
        <v>31231</v>
      </c>
      <c r="F3419" s="87"/>
      <c r="G3419" s="45" t="s">
        <v>1937</v>
      </c>
      <c r="H3419" s="55" t="s">
        <v>1938</v>
      </c>
      <c r="I3419" s="15" t="s">
        <v>214</v>
      </c>
    </row>
    <row r="3420" spans="1:9" ht="51.75" customHeight="1" x14ac:dyDescent="0.35">
      <c r="A3420" s="15">
        <v>1</v>
      </c>
      <c r="B3420" s="15" t="s">
        <v>31232</v>
      </c>
      <c r="C3420" s="15" t="s">
        <v>31233</v>
      </c>
      <c r="D3420" s="31">
        <v>39303</v>
      </c>
      <c r="E3420" s="15" t="s">
        <v>31234</v>
      </c>
      <c r="F3420" s="87"/>
      <c r="G3420" s="45" t="s">
        <v>1856</v>
      </c>
      <c r="H3420" s="55" t="s">
        <v>1857</v>
      </c>
      <c r="I3420" s="15" t="s">
        <v>214</v>
      </c>
    </row>
    <row r="3421" spans="1:9" ht="51.75" customHeight="1" x14ac:dyDescent="0.35">
      <c r="A3421" s="15">
        <v>2</v>
      </c>
      <c r="B3421" s="15" t="s">
        <v>31235</v>
      </c>
      <c r="C3421" s="15" t="s">
        <v>31236</v>
      </c>
      <c r="D3421" s="31">
        <v>39303</v>
      </c>
      <c r="E3421" s="15" t="s">
        <v>31237</v>
      </c>
      <c r="F3421" s="87"/>
      <c r="G3421" s="45" t="s">
        <v>1856</v>
      </c>
      <c r="H3421" s="55" t="s">
        <v>1857</v>
      </c>
      <c r="I3421" s="15" t="s">
        <v>214</v>
      </c>
    </row>
    <row r="3422" spans="1:9" ht="51.75" customHeight="1" x14ac:dyDescent="0.35">
      <c r="A3422" s="15">
        <v>3</v>
      </c>
      <c r="B3422" s="15" t="s">
        <v>31238</v>
      </c>
      <c r="C3422" s="15" t="s">
        <v>31239</v>
      </c>
      <c r="D3422" s="31">
        <v>39303</v>
      </c>
      <c r="E3422" s="15" t="s">
        <v>31240</v>
      </c>
      <c r="F3422" s="87"/>
      <c r="G3422" s="45" t="s">
        <v>1856</v>
      </c>
      <c r="H3422" s="55" t="s">
        <v>1857</v>
      </c>
      <c r="I3422" s="15" t="s">
        <v>214</v>
      </c>
    </row>
    <row r="3423" spans="1:9" ht="51.75" customHeight="1" x14ac:dyDescent="0.35">
      <c r="A3423" s="15">
        <v>4</v>
      </c>
      <c r="B3423" s="15" t="s">
        <v>31241</v>
      </c>
      <c r="C3423" s="15" t="s">
        <v>31242</v>
      </c>
      <c r="D3423" s="31">
        <v>39303</v>
      </c>
      <c r="E3423" s="15" t="s">
        <v>31243</v>
      </c>
      <c r="F3423" s="87"/>
      <c r="G3423" s="45" t="s">
        <v>1856</v>
      </c>
      <c r="H3423" s="55" t="s">
        <v>1857</v>
      </c>
      <c r="I3423" s="15" t="s">
        <v>214</v>
      </c>
    </row>
    <row r="3424" spans="1:9" ht="51.75" customHeight="1" x14ac:dyDescent="0.35">
      <c r="A3424" s="15">
        <v>1</v>
      </c>
      <c r="B3424" s="15" t="s">
        <v>31244</v>
      </c>
      <c r="C3424" s="15" t="s">
        <v>31245</v>
      </c>
      <c r="D3424" s="31">
        <v>39303</v>
      </c>
      <c r="E3424" s="15" t="s">
        <v>31246</v>
      </c>
      <c r="F3424" s="87"/>
      <c r="G3424" s="45" t="s">
        <v>1817</v>
      </c>
      <c r="H3424" s="55" t="s">
        <v>1818</v>
      </c>
      <c r="I3424" s="15" t="s">
        <v>214</v>
      </c>
    </row>
    <row r="3425" spans="1:9" ht="51.75" customHeight="1" x14ac:dyDescent="0.35">
      <c r="A3425" s="15">
        <v>2</v>
      </c>
      <c r="B3425" s="15" t="s">
        <v>31247</v>
      </c>
      <c r="C3425" s="15" t="s">
        <v>31248</v>
      </c>
      <c r="D3425" s="31">
        <v>39303</v>
      </c>
      <c r="E3425" s="15" t="s">
        <v>31249</v>
      </c>
      <c r="F3425" s="87"/>
      <c r="G3425" s="45" t="s">
        <v>1817</v>
      </c>
      <c r="H3425" s="55" t="s">
        <v>1818</v>
      </c>
      <c r="I3425" s="15" t="s">
        <v>214</v>
      </c>
    </row>
    <row r="3426" spans="1:9" ht="51.75" customHeight="1" x14ac:dyDescent="0.35">
      <c r="A3426" s="15">
        <v>1</v>
      </c>
      <c r="B3426" s="15" t="s">
        <v>31250</v>
      </c>
      <c r="C3426" s="15" t="s">
        <v>31251</v>
      </c>
      <c r="D3426" s="31">
        <v>39303</v>
      </c>
      <c r="E3426" s="15" t="s">
        <v>31252</v>
      </c>
      <c r="F3426" s="87"/>
      <c r="G3426" s="45" t="s">
        <v>1774</v>
      </c>
      <c r="H3426" s="55" t="s">
        <v>1775</v>
      </c>
      <c r="I3426" s="15" t="s">
        <v>214</v>
      </c>
    </row>
    <row r="3427" spans="1:9" ht="51.75" customHeight="1" x14ac:dyDescent="0.35">
      <c r="A3427" s="15">
        <v>2</v>
      </c>
      <c r="B3427" s="15" t="s">
        <v>31253</v>
      </c>
      <c r="C3427" s="15" t="s">
        <v>31254</v>
      </c>
      <c r="D3427" s="31">
        <v>39303</v>
      </c>
      <c r="E3427" s="15" t="s">
        <v>31255</v>
      </c>
      <c r="F3427" s="87"/>
      <c r="G3427" s="45" t="s">
        <v>1774</v>
      </c>
      <c r="H3427" s="55" t="s">
        <v>1775</v>
      </c>
      <c r="I3427" s="15" t="s">
        <v>214</v>
      </c>
    </row>
    <row r="3428" spans="1:9" ht="51.75" customHeight="1" x14ac:dyDescent="0.35">
      <c r="A3428" s="15">
        <v>1</v>
      </c>
      <c r="B3428" s="15" t="s">
        <v>31256</v>
      </c>
      <c r="C3428" s="15" t="s">
        <v>31257</v>
      </c>
      <c r="D3428" s="31">
        <v>39303</v>
      </c>
      <c r="E3428" s="15" t="s">
        <v>31258</v>
      </c>
      <c r="F3428" s="87"/>
      <c r="G3428" s="45" t="s">
        <v>1677</v>
      </c>
      <c r="H3428" s="55" t="s">
        <v>1678</v>
      </c>
      <c r="I3428" s="15" t="s">
        <v>214</v>
      </c>
    </row>
    <row r="3429" spans="1:9" ht="51.75" customHeight="1" x14ac:dyDescent="0.35">
      <c r="A3429" s="15">
        <v>2</v>
      </c>
      <c r="B3429" s="15" t="s">
        <v>31259</v>
      </c>
      <c r="C3429" s="15" t="s">
        <v>31260</v>
      </c>
      <c r="D3429" s="31">
        <v>39303</v>
      </c>
      <c r="E3429" s="15" t="s">
        <v>31261</v>
      </c>
      <c r="F3429" s="87"/>
      <c r="G3429" s="45" t="s">
        <v>1677</v>
      </c>
      <c r="H3429" s="55" t="s">
        <v>1678</v>
      </c>
      <c r="I3429" s="15" t="s">
        <v>214</v>
      </c>
    </row>
    <row r="3430" spans="1:9" ht="51.75" customHeight="1" x14ac:dyDescent="0.35">
      <c r="A3430" s="15">
        <v>3</v>
      </c>
      <c r="B3430" s="15" t="s">
        <v>31262</v>
      </c>
      <c r="C3430" s="15" t="s">
        <v>31263</v>
      </c>
      <c r="D3430" s="31">
        <v>39303</v>
      </c>
      <c r="E3430" s="15" t="s">
        <v>31264</v>
      </c>
      <c r="F3430" s="87"/>
      <c r="G3430" s="45" t="s">
        <v>1677</v>
      </c>
      <c r="H3430" s="55" t="s">
        <v>1678</v>
      </c>
      <c r="I3430" s="15" t="s">
        <v>214</v>
      </c>
    </row>
    <row r="3431" spans="1:9" ht="51.75" customHeight="1" x14ac:dyDescent="0.35">
      <c r="A3431" s="15">
        <v>1</v>
      </c>
      <c r="B3431" s="15" t="s">
        <v>31265</v>
      </c>
      <c r="C3431" s="15" t="s">
        <v>31266</v>
      </c>
      <c r="D3431" s="31">
        <v>39303</v>
      </c>
      <c r="E3431" s="15" t="s">
        <v>31267</v>
      </c>
      <c r="F3431" s="87"/>
      <c r="G3431" s="45" t="s">
        <v>1652</v>
      </c>
      <c r="H3431" s="55" t="s">
        <v>1653</v>
      </c>
      <c r="I3431" s="15" t="s">
        <v>214</v>
      </c>
    </row>
    <row r="3432" spans="1:9" ht="51.75" customHeight="1" x14ac:dyDescent="0.35">
      <c r="A3432" s="15">
        <v>2</v>
      </c>
      <c r="B3432" s="15" t="s">
        <v>31268</v>
      </c>
      <c r="C3432" s="15" t="s">
        <v>31269</v>
      </c>
      <c r="D3432" s="31">
        <v>39303</v>
      </c>
      <c r="E3432" s="15" t="s">
        <v>31270</v>
      </c>
      <c r="F3432" s="87"/>
      <c r="G3432" s="45" t="s">
        <v>1652</v>
      </c>
      <c r="H3432" s="55" t="s">
        <v>1653</v>
      </c>
      <c r="I3432" s="15" t="s">
        <v>214</v>
      </c>
    </row>
    <row r="3433" spans="1:9" ht="51.75" customHeight="1" x14ac:dyDescent="0.35">
      <c r="A3433" s="15">
        <v>1</v>
      </c>
      <c r="B3433" s="15" t="s">
        <v>31271</v>
      </c>
      <c r="C3433" s="15" t="s">
        <v>31272</v>
      </c>
      <c r="D3433" s="31">
        <v>39303</v>
      </c>
      <c r="E3433" s="15" t="s">
        <v>31273</v>
      </c>
      <c r="F3433" s="87"/>
      <c r="G3433" s="45" t="s">
        <v>1450</v>
      </c>
      <c r="H3433" s="55" t="s">
        <v>1451</v>
      </c>
      <c r="I3433" s="15" t="s">
        <v>214</v>
      </c>
    </row>
    <row r="3434" spans="1:9" ht="51.75" customHeight="1" x14ac:dyDescent="0.35">
      <c r="A3434" s="15">
        <v>2</v>
      </c>
      <c r="B3434" s="15" t="s">
        <v>31274</v>
      </c>
      <c r="C3434" s="15" t="s">
        <v>31275</v>
      </c>
      <c r="D3434" s="31">
        <v>39303</v>
      </c>
      <c r="E3434" s="15" t="s">
        <v>31276</v>
      </c>
      <c r="F3434" s="87"/>
      <c r="G3434" s="45" t="s">
        <v>1450</v>
      </c>
      <c r="H3434" s="55" t="s">
        <v>1451</v>
      </c>
      <c r="I3434" s="15" t="s">
        <v>214</v>
      </c>
    </row>
    <row r="3435" spans="1:9" ht="51.75" customHeight="1" x14ac:dyDescent="0.35">
      <c r="A3435" s="15">
        <v>1</v>
      </c>
      <c r="B3435" s="15" t="s">
        <v>31277</v>
      </c>
      <c r="C3435" s="15" t="s">
        <v>31278</v>
      </c>
      <c r="D3435" s="31">
        <v>39489</v>
      </c>
      <c r="E3435" s="15" t="s">
        <v>31279</v>
      </c>
      <c r="F3435" s="87"/>
      <c r="G3435" s="45" t="s">
        <v>1800</v>
      </c>
      <c r="H3435" s="55" t="s">
        <v>1801</v>
      </c>
      <c r="I3435" s="15" t="s">
        <v>214</v>
      </c>
    </row>
    <row r="3436" spans="1:9" ht="51.75" customHeight="1" x14ac:dyDescent="0.35">
      <c r="A3436" s="15">
        <v>2</v>
      </c>
      <c r="B3436" s="15" t="s">
        <v>31280</v>
      </c>
      <c r="C3436" s="15" t="s">
        <v>31281</v>
      </c>
      <c r="D3436" s="31">
        <v>39489</v>
      </c>
      <c r="E3436" s="15" t="s">
        <v>31282</v>
      </c>
      <c r="F3436" s="87"/>
      <c r="G3436" s="45" t="s">
        <v>1800</v>
      </c>
      <c r="H3436" s="55" t="s">
        <v>1801</v>
      </c>
      <c r="I3436" s="15" t="s">
        <v>214</v>
      </c>
    </row>
    <row r="3437" spans="1:9" ht="51.75" customHeight="1" x14ac:dyDescent="0.35">
      <c r="A3437" s="15">
        <v>3</v>
      </c>
      <c r="B3437" s="15" t="s">
        <v>31283</v>
      </c>
      <c r="C3437" s="15" t="s">
        <v>31284</v>
      </c>
      <c r="D3437" s="31">
        <v>39489</v>
      </c>
      <c r="E3437" s="15" t="s">
        <v>31285</v>
      </c>
      <c r="F3437" s="87"/>
      <c r="G3437" s="45" t="s">
        <v>1800</v>
      </c>
      <c r="H3437" s="55" t="s">
        <v>1801</v>
      </c>
      <c r="I3437" s="15" t="s">
        <v>214</v>
      </c>
    </row>
    <row r="3438" spans="1:9" ht="51.75" customHeight="1" x14ac:dyDescent="0.35">
      <c r="A3438" s="15">
        <v>4</v>
      </c>
      <c r="B3438" s="15" t="s">
        <v>31286</v>
      </c>
      <c r="C3438" s="15" t="s">
        <v>31287</v>
      </c>
      <c r="D3438" s="31">
        <v>39489</v>
      </c>
      <c r="E3438" s="15" t="s">
        <v>31288</v>
      </c>
      <c r="F3438" s="87"/>
      <c r="G3438" s="45" t="s">
        <v>1800</v>
      </c>
      <c r="H3438" s="55" t="s">
        <v>1801</v>
      </c>
      <c r="I3438" s="15" t="s">
        <v>214</v>
      </c>
    </row>
    <row r="3439" spans="1:9" ht="51.75" customHeight="1" x14ac:dyDescent="0.35">
      <c r="A3439" s="15">
        <v>1</v>
      </c>
      <c r="B3439" s="15" t="s">
        <v>31289</v>
      </c>
      <c r="C3439" s="15" t="s">
        <v>31290</v>
      </c>
      <c r="D3439" s="31">
        <v>39267</v>
      </c>
      <c r="E3439" s="15" t="s">
        <v>31291</v>
      </c>
      <c r="F3439" s="87"/>
      <c r="G3439" s="45" t="s">
        <v>1737</v>
      </c>
      <c r="H3439" s="55" t="s">
        <v>1738</v>
      </c>
      <c r="I3439" s="15" t="s">
        <v>214</v>
      </c>
    </row>
    <row r="3440" spans="1:9" ht="51.75" customHeight="1" x14ac:dyDescent="0.35">
      <c r="A3440" s="15">
        <v>2</v>
      </c>
      <c r="B3440" s="15" t="s">
        <v>31292</v>
      </c>
      <c r="C3440" s="15" t="s">
        <v>31293</v>
      </c>
      <c r="D3440" s="31">
        <v>39267</v>
      </c>
      <c r="E3440" s="15" t="s">
        <v>31294</v>
      </c>
      <c r="F3440" s="87"/>
      <c r="G3440" s="45" t="s">
        <v>1737</v>
      </c>
      <c r="H3440" s="55" t="s">
        <v>1738</v>
      </c>
      <c r="I3440" s="15" t="s">
        <v>214</v>
      </c>
    </row>
    <row r="3441" spans="1:9" ht="51.75" customHeight="1" x14ac:dyDescent="0.35">
      <c r="A3441" s="15">
        <v>3</v>
      </c>
      <c r="B3441" s="15" t="s">
        <v>31295</v>
      </c>
      <c r="C3441" s="15" t="s">
        <v>31296</v>
      </c>
      <c r="D3441" s="31">
        <v>39267</v>
      </c>
      <c r="E3441" s="15" t="s">
        <v>31297</v>
      </c>
      <c r="F3441" s="87"/>
      <c r="G3441" s="45" t="s">
        <v>1737</v>
      </c>
      <c r="H3441" s="55" t="s">
        <v>1738</v>
      </c>
      <c r="I3441" s="15" t="s">
        <v>214</v>
      </c>
    </row>
    <row r="3442" spans="1:9" ht="51.75" customHeight="1" x14ac:dyDescent="0.35">
      <c r="A3442" s="15">
        <v>4</v>
      </c>
      <c r="B3442" s="15" t="s">
        <v>31298</v>
      </c>
      <c r="C3442" s="15" t="s">
        <v>31299</v>
      </c>
      <c r="D3442" s="31">
        <v>39267</v>
      </c>
      <c r="E3442" s="15" t="s">
        <v>31300</v>
      </c>
      <c r="F3442" s="87"/>
      <c r="G3442" s="45" t="s">
        <v>1737</v>
      </c>
      <c r="H3442" s="55" t="s">
        <v>1738</v>
      </c>
      <c r="I3442" s="15" t="s">
        <v>214</v>
      </c>
    </row>
    <row r="3443" spans="1:9" ht="51.75" customHeight="1" x14ac:dyDescent="0.35">
      <c r="A3443" s="15">
        <v>5</v>
      </c>
      <c r="B3443" s="15" t="s">
        <v>31301</v>
      </c>
      <c r="C3443" s="15" t="s">
        <v>31302</v>
      </c>
      <c r="D3443" s="31">
        <v>39267</v>
      </c>
      <c r="E3443" s="15" t="s">
        <v>31303</v>
      </c>
      <c r="F3443" s="87"/>
      <c r="G3443" s="45" t="s">
        <v>1737</v>
      </c>
      <c r="H3443" s="55" t="s">
        <v>1738</v>
      </c>
      <c r="I3443" s="15" t="s">
        <v>214</v>
      </c>
    </row>
    <row r="3444" spans="1:9" ht="51.75" customHeight="1" x14ac:dyDescent="0.35">
      <c r="A3444" s="15">
        <v>6</v>
      </c>
      <c r="B3444" s="15" t="s">
        <v>31304</v>
      </c>
      <c r="C3444" s="15" t="s">
        <v>31305</v>
      </c>
      <c r="D3444" s="31">
        <v>39267</v>
      </c>
      <c r="E3444" s="15" t="s">
        <v>31306</v>
      </c>
      <c r="F3444" s="87"/>
      <c r="G3444" s="45" t="s">
        <v>1737</v>
      </c>
      <c r="H3444" s="55" t="s">
        <v>1738</v>
      </c>
      <c r="I3444" s="15" t="s">
        <v>214</v>
      </c>
    </row>
    <row r="3445" spans="1:9" ht="51.75" customHeight="1" x14ac:dyDescent="0.35">
      <c r="A3445" s="15">
        <v>7</v>
      </c>
      <c r="B3445" s="15" t="s">
        <v>31307</v>
      </c>
      <c r="C3445" s="15" t="s">
        <v>31308</v>
      </c>
      <c r="D3445" s="31">
        <v>39267</v>
      </c>
      <c r="E3445" s="15" t="s">
        <v>31309</v>
      </c>
      <c r="F3445" s="87"/>
      <c r="G3445" s="45" t="s">
        <v>1737</v>
      </c>
      <c r="H3445" s="55" t="s">
        <v>1738</v>
      </c>
      <c r="I3445" s="15" t="s">
        <v>214</v>
      </c>
    </row>
    <row r="3446" spans="1:9" ht="51.75" customHeight="1" x14ac:dyDescent="0.35">
      <c r="A3446" s="15">
        <v>1</v>
      </c>
      <c r="B3446" s="15" t="s">
        <v>31310</v>
      </c>
      <c r="C3446" s="15" t="s">
        <v>31311</v>
      </c>
      <c r="D3446" s="31">
        <v>39267</v>
      </c>
      <c r="E3446" s="15" t="s">
        <v>31312</v>
      </c>
      <c r="F3446" s="87"/>
      <c r="G3446" s="45" t="s">
        <v>1641</v>
      </c>
      <c r="H3446" s="55" t="s">
        <v>1642</v>
      </c>
      <c r="I3446" s="15" t="s">
        <v>214</v>
      </c>
    </row>
    <row r="3447" spans="1:9" ht="51.75" customHeight="1" x14ac:dyDescent="0.35">
      <c r="A3447" s="15">
        <v>2</v>
      </c>
      <c r="B3447" s="15" t="s">
        <v>31313</v>
      </c>
      <c r="C3447" s="15" t="s">
        <v>31314</v>
      </c>
      <c r="D3447" s="31">
        <v>39267</v>
      </c>
      <c r="E3447" s="15" t="s">
        <v>31315</v>
      </c>
      <c r="F3447" s="87"/>
      <c r="G3447" s="45" t="s">
        <v>1641</v>
      </c>
      <c r="H3447" s="55" t="s">
        <v>1642</v>
      </c>
      <c r="I3447" s="15" t="s">
        <v>214</v>
      </c>
    </row>
    <row r="3448" spans="1:9" ht="51.75" customHeight="1" x14ac:dyDescent="0.35">
      <c r="A3448" s="15">
        <v>3</v>
      </c>
      <c r="B3448" s="15" t="s">
        <v>31316</v>
      </c>
      <c r="C3448" s="15" t="s">
        <v>31317</v>
      </c>
      <c r="D3448" s="31">
        <v>39267</v>
      </c>
      <c r="E3448" s="15" t="s">
        <v>31318</v>
      </c>
      <c r="F3448" s="87"/>
      <c r="G3448" s="45" t="s">
        <v>1641</v>
      </c>
      <c r="H3448" s="55" t="s">
        <v>1642</v>
      </c>
      <c r="I3448" s="15" t="s">
        <v>214</v>
      </c>
    </row>
    <row r="3449" spans="1:9" ht="51.75" customHeight="1" x14ac:dyDescent="0.35">
      <c r="A3449" s="15">
        <v>4</v>
      </c>
      <c r="B3449" s="15" t="s">
        <v>31319</v>
      </c>
      <c r="C3449" s="15" t="s">
        <v>31320</v>
      </c>
      <c r="D3449" s="31">
        <v>39267</v>
      </c>
      <c r="E3449" s="15" t="s">
        <v>31321</v>
      </c>
      <c r="F3449" s="87"/>
      <c r="G3449" s="45" t="s">
        <v>1641</v>
      </c>
      <c r="H3449" s="55" t="s">
        <v>1642</v>
      </c>
      <c r="I3449" s="15" t="s">
        <v>214</v>
      </c>
    </row>
    <row r="3450" spans="1:9" ht="51.75" customHeight="1" x14ac:dyDescent="0.35">
      <c r="A3450" s="15">
        <v>5</v>
      </c>
      <c r="B3450" s="15" t="s">
        <v>31322</v>
      </c>
      <c r="C3450" s="15" t="s">
        <v>31323</v>
      </c>
      <c r="D3450" s="31">
        <v>39267</v>
      </c>
      <c r="E3450" s="15" t="s">
        <v>31324</v>
      </c>
      <c r="F3450" s="87"/>
      <c r="G3450" s="45" t="s">
        <v>1641</v>
      </c>
      <c r="H3450" s="55" t="s">
        <v>1642</v>
      </c>
      <c r="I3450" s="15" t="s">
        <v>214</v>
      </c>
    </row>
    <row r="3451" spans="1:9" ht="51.75" customHeight="1" x14ac:dyDescent="0.35">
      <c r="A3451" s="15">
        <v>6</v>
      </c>
      <c r="B3451" s="15" t="s">
        <v>31325</v>
      </c>
      <c r="C3451" s="15" t="s">
        <v>31326</v>
      </c>
      <c r="D3451" s="31">
        <v>39267</v>
      </c>
      <c r="E3451" s="15" t="s">
        <v>31327</v>
      </c>
      <c r="F3451" s="87"/>
      <c r="G3451" s="45" t="s">
        <v>1641</v>
      </c>
      <c r="H3451" s="55" t="s">
        <v>1642</v>
      </c>
      <c r="I3451" s="15" t="s">
        <v>214</v>
      </c>
    </row>
    <row r="3452" spans="1:9" ht="51.75" customHeight="1" x14ac:dyDescent="0.35">
      <c r="A3452" s="15">
        <v>7</v>
      </c>
      <c r="B3452" s="15" t="s">
        <v>31328</v>
      </c>
      <c r="C3452" s="15" t="s">
        <v>31329</v>
      </c>
      <c r="D3452" s="31">
        <v>39267</v>
      </c>
      <c r="E3452" s="15" t="s">
        <v>31330</v>
      </c>
      <c r="F3452" s="87"/>
      <c r="G3452" s="45" t="s">
        <v>1641</v>
      </c>
      <c r="H3452" s="55" t="s">
        <v>1642</v>
      </c>
      <c r="I3452" s="15" t="s">
        <v>214</v>
      </c>
    </row>
    <row r="3453" spans="1:9" ht="51.75" customHeight="1" x14ac:dyDescent="0.35">
      <c r="A3453" s="15">
        <v>8</v>
      </c>
      <c r="B3453" s="15" t="s">
        <v>31331</v>
      </c>
      <c r="C3453" s="15" t="s">
        <v>31332</v>
      </c>
      <c r="D3453" s="31">
        <v>39267</v>
      </c>
      <c r="E3453" s="15" t="s">
        <v>31333</v>
      </c>
      <c r="F3453" s="87"/>
      <c r="G3453" s="45" t="s">
        <v>1641</v>
      </c>
      <c r="H3453" s="55" t="s">
        <v>1642</v>
      </c>
      <c r="I3453" s="15" t="s">
        <v>214</v>
      </c>
    </row>
    <row r="3454" spans="1:9" ht="51.75" customHeight="1" x14ac:dyDescent="0.35">
      <c r="A3454" s="15">
        <v>1</v>
      </c>
      <c r="B3454" s="15" t="s">
        <v>31334</v>
      </c>
      <c r="C3454" s="15" t="s">
        <v>31335</v>
      </c>
      <c r="D3454" s="31">
        <v>39051</v>
      </c>
      <c r="E3454" s="15" t="s">
        <v>31336</v>
      </c>
      <c r="F3454" s="87"/>
      <c r="G3454" s="45" t="s">
        <v>336</v>
      </c>
      <c r="H3454" s="55" t="s">
        <v>337</v>
      </c>
      <c r="I3454" s="15" t="s">
        <v>214</v>
      </c>
    </row>
    <row r="3455" spans="1:9" ht="51.75" customHeight="1" x14ac:dyDescent="0.35">
      <c r="A3455" s="15">
        <v>2</v>
      </c>
      <c r="B3455" s="15" t="s">
        <v>31337</v>
      </c>
      <c r="C3455" s="15" t="s">
        <v>31338</v>
      </c>
      <c r="D3455" s="31">
        <v>39051</v>
      </c>
      <c r="E3455" s="15" t="s">
        <v>31339</v>
      </c>
      <c r="F3455" s="87"/>
      <c r="G3455" s="45" t="s">
        <v>336</v>
      </c>
      <c r="H3455" s="55" t="s">
        <v>337</v>
      </c>
      <c r="I3455" s="15" t="s">
        <v>214</v>
      </c>
    </row>
    <row r="3456" spans="1:9" ht="51.75" customHeight="1" x14ac:dyDescent="0.35">
      <c r="A3456" s="15">
        <v>3</v>
      </c>
      <c r="B3456" s="15" t="s">
        <v>31340</v>
      </c>
      <c r="C3456" s="15" t="s">
        <v>31341</v>
      </c>
      <c r="D3456" s="31">
        <v>39051</v>
      </c>
      <c r="E3456" s="15" t="s">
        <v>31342</v>
      </c>
      <c r="F3456" s="87"/>
      <c r="G3456" s="45" t="s">
        <v>336</v>
      </c>
      <c r="H3456" s="55" t="s">
        <v>337</v>
      </c>
      <c r="I3456" s="15" t="s">
        <v>214</v>
      </c>
    </row>
    <row r="3457" spans="1:9" ht="51.75" customHeight="1" x14ac:dyDescent="0.35">
      <c r="A3457" s="15">
        <v>4</v>
      </c>
      <c r="B3457" s="15" t="s">
        <v>31343</v>
      </c>
      <c r="C3457" s="15" t="s">
        <v>31344</v>
      </c>
      <c r="D3457" s="31">
        <v>39051</v>
      </c>
      <c r="E3457" s="15" t="s">
        <v>31345</v>
      </c>
      <c r="F3457" s="87"/>
      <c r="G3457" s="45" t="s">
        <v>336</v>
      </c>
      <c r="H3457" s="55" t="s">
        <v>337</v>
      </c>
      <c r="I3457" s="15" t="s">
        <v>214</v>
      </c>
    </row>
    <row r="3458" spans="1:9" ht="51.75" customHeight="1" x14ac:dyDescent="0.35">
      <c r="A3458" s="15">
        <v>5</v>
      </c>
      <c r="B3458" s="15" t="s">
        <v>31346</v>
      </c>
      <c r="C3458" s="15" t="s">
        <v>31347</v>
      </c>
      <c r="D3458" s="31">
        <v>39051</v>
      </c>
      <c r="E3458" s="15" t="s">
        <v>31348</v>
      </c>
      <c r="F3458" s="87"/>
      <c r="G3458" s="45" t="s">
        <v>336</v>
      </c>
      <c r="H3458" s="55" t="s">
        <v>337</v>
      </c>
      <c r="I3458" s="15" t="s">
        <v>214</v>
      </c>
    </row>
    <row r="3459" spans="1:9" ht="51.75" customHeight="1" x14ac:dyDescent="0.35">
      <c r="A3459" s="15">
        <v>6</v>
      </c>
      <c r="B3459" s="15" t="s">
        <v>31349</v>
      </c>
      <c r="C3459" s="15" t="s">
        <v>31350</v>
      </c>
      <c r="D3459" s="31">
        <v>39051</v>
      </c>
      <c r="E3459" s="15" t="s">
        <v>31351</v>
      </c>
      <c r="F3459" s="87"/>
      <c r="G3459" s="45" t="s">
        <v>336</v>
      </c>
      <c r="H3459" s="55" t="s">
        <v>337</v>
      </c>
      <c r="I3459" s="15" t="s">
        <v>214</v>
      </c>
    </row>
    <row r="3460" spans="1:9" ht="51.75" customHeight="1" x14ac:dyDescent="0.35">
      <c r="A3460" s="15">
        <v>7</v>
      </c>
      <c r="B3460" s="15" t="s">
        <v>31352</v>
      </c>
      <c r="C3460" s="15" t="s">
        <v>31353</v>
      </c>
      <c r="D3460" s="31">
        <v>39051</v>
      </c>
      <c r="E3460" s="15" t="s">
        <v>31354</v>
      </c>
      <c r="F3460" s="87"/>
      <c r="G3460" s="45" t="s">
        <v>336</v>
      </c>
      <c r="H3460" s="55" t="s">
        <v>337</v>
      </c>
      <c r="I3460" s="15" t="s">
        <v>214</v>
      </c>
    </row>
    <row r="3461" spans="1:9" ht="51.75" customHeight="1" x14ac:dyDescent="0.35">
      <c r="A3461" s="15">
        <v>8</v>
      </c>
      <c r="B3461" s="15" t="s">
        <v>31355</v>
      </c>
      <c r="C3461" s="15" t="s">
        <v>31356</v>
      </c>
      <c r="D3461" s="31">
        <v>39051</v>
      </c>
      <c r="E3461" s="15" t="s">
        <v>31357</v>
      </c>
      <c r="F3461" s="87"/>
      <c r="G3461" s="45" t="s">
        <v>336</v>
      </c>
      <c r="H3461" s="55" t="s">
        <v>337</v>
      </c>
      <c r="I3461" s="15" t="s">
        <v>214</v>
      </c>
    </row>
    <row r="3462" spans="1:9" ht="51.75" customHeight="1" x14ac:dyDescent="0.35">
      <c r="A3462" s="15">
        <v>9</v>
      </c>
      <c r="B3462" s="15" t="s">
        <v>31358</v>
      </c>
      <c r="C3462" s="15" t="s">
        <v>31359</v>
      </c>
      <c r="D3462" s="31">
        <v>39051</v>
      </c>
      <c r="E3462" s="15" t="s">
        <v>31360</v>
      </c>
      <c r="F3462" s="87"/>
      <c r="G3462" s="45" t="s">
        <v>336</v>
      </c>
      <c r="H3462" s="55" t="s">
        <v>337</v>
      </c>
      <c r="I3462" s="15" t="s">
        <v>214</v>
      </c>
    </row>
    <row r="3463" spans="1:9" ht="51.75" customHeight="1" x14ac:dyDescent="0.35">
      <c r="A3463" s="15">
        <v>10</v>
      </c>
      <c r="B3463" s="15" t="s">
        <v>31361</v>
      </c>
      <c r="C3463" s="15" t="s">
        <v>31362</v>
      </c>
      <c r="D3463" s="31">
        <v>39051</v>
      </c>
      <c r="E3463" s="15" t="s">
        <v>31363</v>
      </c>
      <c r="F3463" s="87"/>
      <c r="G3463" s="45" t="s">
        <v>336</v>
      </c>
      <c r="H3463" s="55" t="s">
        <v>337</v>
      </c>
      <c r="I3463" s="15" t="s">
        <v>214</v>
      </c>
    </row>
    <row r="3464" spans="1:9" ht="51.75" customHeight="1" x14ac:dyDescent="0.35">
      <c r="A3464" s="15">
        <v>1</v>
      </c>
      <c r="B3464" s="15" t="s">
        <v>31364</v>
      </c>
      <c r="C3464" s="15" t="s">
        <v>31365</v>
      </c>
      <c r="D3464" s="31">
        <v>39090</v>
      </c>
      <c r="E3464" s="15" t="s">
        <v>31366</v>
      </c>
      <c r="F3464" s="87"/>
      <c r="G3464" s="45" t="s">
        <v>349</v>
      </c>
      <c r="H3464" s="55" t="s">
        <v>350</v>
      </c>
      <c r="I3464" s="15" t="s">
        <v>214</v>
      </c>
    </row>
    <row r="3465" spans="1:9" ht="51.75" customHeight="1" x14ac:dyDescent="0.35">
      <c r="A3465" s="15">
        <v>2</v>
      </c>
      <c r="B3465" s="15" t="s">
        <v>31367</v>
      </c>
      <c r="C3465" s="15" t="s">
        <v>31368</v>
      </c>
      <c r="D3465" s="31">
        <v>39090</v>
      </c>
      <c r="E3465" s="15" t="s">
        <v>31369</v>
      </c>
      <c r="F3465" s="87"/>
      <c r="G3465" s="45" t="s">
        <v>349</v>
      </c>
      <c r="H3465" s="55" t="s">
        <v>350</v>
      </c>
      <c r="I3465" s="15" t="s">
        <v>214</v>
      </c>
    </row>
    <row r="3466" spans="1:9" ht="51.75" customHeight="1" x14ac:dyDescent="0.35">
      <c r="A3466" s="15">
        <v>3</v>
      </c>
      <c r="B3466" s="15" t="s">
        <v>31370</v>
      </c>
      <c r="C3466" s="15" t="s">
        <v>31371</v>
      </c>
      <c r="D3466" s="31">
        <v>39090</v>
      </c>
      <c r="E3466" s="15" t="s">
        <v>31372</v>
      </c>
      <c r="F3466" s="87"/>
      <c r="G3466" s="45" t="s">
        <v>349</v>
      </c>
      <c r="H3466" s="55" t="s">
        <v>350</v>
      </c>
      <c r="I3466" s="15" t="s">
        <v>214</v>
      </c>
    </row>
    <row r="3467" spans="1:9" ht="51.75" customHeight="1" x14ac:dyDescent="0.35">
      <c r="A3467" s="15">
        <v>4</v>
      </c>
      <c r="B3467" s="15" t="s">
        <v>31373</v>
      </c>
      <c r="C3467" s="15" t="s">
        <v>31374</v>
      </c>
      <c r="D3467" s="31">
        <v>39090</v>
      </c>
      <c r="E3467" s="15" t="s">
        <v>31375</v>
      </c>
      <c r="F3467" s="87"/>
      <c r="G3467" s="45" t="s">
        <v>349</v>
      </c>
      <c r="H3467" s="55" t="s">
        <v>350</v>
      </c>
      <c r="I3467" s="15" t="s">
        <v>214</v>
      </c>
    </row>
    <row r="3468" spans="1:9" ht="51.75" customHeight="1" x14ac:dyDescent="0.35">
      <c r="A3468" s="15">
        <v>5</v>
      </c>
      <c r="B3468" s="15" t="s">
        <v>31376</v>
      </c>
      <c r="C3468" s="15" t="s">
        <v>31377</v>
      </c>
      <c r="D3468" s="31">
        <v>39090</v>
      </c>
      <c r="E3468" s="15" t="s">
        <v>31378</v>
      </c>
      <c r="F3468" s="87"/>
      <c r="G3468" s="45" t="s">
        <v>349</v>
      </c>
      <c r="H3468" s="55" t="s">
        <v>350</v>
      </c>
      <c r="I3468" s="15" t="s">
        <v>214</v>
      </c>
    </row>
    <row r="3469" spans="1:9" ht="51.75" customHeight="1" x14ac:dyDescent="0.35">
      <c r="A3469" s="15">
        <v>6</v>
      </c>
      <c r="B3469" s="15" t="s">
        <v>31379</v>
      </c>
      <c r="C3469" s="15" t="s">
        <v>31380</v>
      </c>
      <c r="D3469" s="31">
        <v>39090</v>
      </c>
      <c r="E3469" s="15" t="s">
        <v>31381</v>
      </c>
      <c r="F3469" s="87"/>
      <c r="G3469" s="45" t="s">
        <v>349</v>
      </c>
      <c r="H3469" s="55" t="s">
        <v>350</v>
      </c>
      <c r="I3469" s="15" t="s">
        <v>214</v>
      </c>
    </row>
    <row r="3470" spans="1:9" ht="51.75" customHeight="1" x14ac:dyDescent="0.35">
      <c r="A3470" s="15">
        <v>7</v>
      </c>
      <c r="B3470" s="15" t="s">
        <v>31382</v>
      </c>
      <c r="C3470" s="15" t="s">
        <v>31383</v>
      </c>
      <c r="D3470" s="31">
        <v>39090</v>
      </c>
      <c r="E3470" s="15" t="s">
        <v>31384</v>
      </c>
      <c r="F3470" s="87"/>
      <c r="G3470" s="45" t="s">
        <v>349</v>
      </c>
      <c r="H3470" s="55" t="s">
        <v>350</v>
      </c>
      <c r="I3470" s="15" t="s">
        <v>214</v>
      </c>
    </row>
    <row r="3471" spans="1:9" ht="51.75" customHeight="1" x14ac:dyDescent="0.35">
      <c r="A3471" s="15">
        <v>8</v>
      </c>
      <c r="B3471" s="15" t="s">
        <v>31385</v>
      </c>
      <c r="C3471" s="15" t="s">
        <v>31386</v>
      </c>
      <c r="D3471" s="31">
        <v>39090</v>
      </c>
      <c r="E3471" s="15" t="s">
        <v>31387</v>
      </c>
      <c r="F3471" s="87"/>
      <c r="G3471" s="45" t="s">
        <v>349</v>
      </c>
      <c r="H3471" s="55" t="s">
        <v>350</v>
      </c>
      <c r="I3471" s="15" t="s">
        <v>214</v>
      </c>
    </row>
    <row r="3472" spans="1:9" ht="51.75" customHeight="1" x14ac:dyDescent="0.35">
      <c r="A3472" s="15">
        <v>9</v>
      </c>
      <c r="B3472" s="15" t="s">
        <v>31388</v>
      </c>
      <c r="C3472" s="15" t="s">
        <v>31389</v>
      </c>
      <c r="D3472" s="31">
        <v>39090</v>
      </c>
      <c r="E3472" s="15" t="s">
        <v>31390</v>
      </c>
      <c r="F3472" s="87"/>
      <c r="G3472" s="45" t="s">
        <v>349</v>
      </c>
      <c r="H3472" s="55" t="s">
        <v>350</v>
      </c>
      <c r="I3472" s="15" t="s">
        <v>214</v>
      </c>
    </row>
    <row r="3473" spans="1:9" ht="51.75" customHeight="1" x14ac:dyDescent="0.35">
      <c r="A3473" s="15">
        <v>10</v>
      </c>
      <c r="B3473" s="15" t="s">
        <v>31391</v>
      </c>
      <c r="C3473" s="15" t="s">
        <v>31392</v>
      </c>
      <c r="D3473" s="31">
        <v>39090</v>
      </c>
      <c r="E3473" s="15" t="s">
        <v>31393</v>
      </c>
      <c r="F3473" s="87"/>
      <c r="G3473" s="45" t="s">
        <v>349</v>
      </c>
      <c r="H3473" s="55" t="s">
        <v>350</v>
      </c>
      <c r="I3473" s="15" t="s">
        <v>214</v>
      </c>
    </row>
    <row r="3474" spans="1:9" ht="51.75" customHeight="1" x14ac:dyDescent="0.35">
      <c r="A3474" s="15">
        <v>1</v>
      </c>
      <c r="B3474" s="15" t="s">
        <v>31394</v>
      </c>
      <c r="C3474" s="15" t="s">
        <v>31395</v>
      </c>
      <c r="D3474" s="31">
        <v>39842</v>
      </c>
      <c r="E3474" s="15" t="s">
        <v>31396</v>
      </c>
      <c r="F3474" s="87"/>
      <c r="G3474" s="45" t="s">
        <v>1899</v>
      </c>
      <c r="H3474" s="55" t="s">
        <v>1900</v>
      </c>
      <c r="I3474" s="15" t="s">
        <v>214</v>
      </c>
    </row>
    <row r="3475" spans="1:9" ht="51.75" customHeight="1" x14ac:dyDescent="0.35">
      <c r="A3475" s="15">
        <v>2</v>
      </c>
      <c r="B3475" s="15" t="s">
        <v>31397</v>
      </c>
      <c r="C3475" s="15" t="s">
        <v>31398</v>
      </c>
      <c r="D3475" s="31">
        <v>39842</v>
      </c>
      <c r="E3475" s="15" t="s">
        <v>31399</v>
      </c>
      <c r="F3475" s="87"/>
      <c r="G3475" s="45" t="s">
        <v>1899</v>
      </c>
      <c r="H3475" s="55" t="s">
        <v>1900</v>
      </c>
      <c r="I3475" s="15" t="s">
        <v>214</v>
      </c>
    </row>
    <row r="3476" spans="1:9" ht="51.75" customHeight="1" x14ac:dyDescent="0.35">
      <c r="A3476" s="15">
        <v>3</v>
      </c>
      <c r="B3476" s="15" t="s">
        <v>31400</v>
      </c>
      <c r="C3476" s="15" t="s">
        <v>31401</v>
      </c>
      <c r="D3476" s="31">
        <v>39842</v>
      </c>
      <c r="E3476" s="15" t="s">
        <v>31402</v>
      </c>
      <c r="F3476" s="87"/>
      <c r="G3476" s="45" t="s">
        <v>1899</v>
      </c>
      <c r="H3476" s="55" t="s">
        <v>1900</v>
      </c>
      <c r="I3476" s="15" t="s">
        <v>214</v>
      </c>
    </row>
    <row r="3477" spans="1:9" ht="51.75" customHeight="1" x14ac:dyDescent="0.35">
      <c r="A3477" s="15">
        <v>4</v>
      </c>
      <c r="B3477" s="15" t="s">
        <v>31403</v>
      </c>
      <c r="C3477" s="15" t="s">
        <v>31404</v>
      </c>
      <c r="D3477" s="31">
        <v>39842</v>
      </c>
      <c r="E3477" s="15" t="s">
        <v>31405</v>
      </c>
      <c r="F3477" s="87"/>
      <c r="G3477" s="45" t="s">
        <v>1899</v>
      </c>
      <c r="H3477" s="55" t="s">
        <v>1900</v>
      </c>
      <c r="I3477" s="15" t="s">
        <v>214</v>
      </c>
    </row>
    <row r="3478" spans="1:9" ht="51.75" customHeight="1" x14ac:dyDescent="0.35">
      <c r="A3478" s="15">
        <v>5</v>
      </c>
      <c r="B3478" s="15" t="s">
        <v>31406</v>
      </c>
      <c r="C3478" s="15" t="s">
        <v>31407</v>
      </c>
      <c r="D3478" s="31">
        <v>39842</v>
      </c>
      <c r="E3478" s="15" t="s">
        <v>31408</v>
      </c>
      <c r="F3478" s="87"/>
      <c r="G3478" s="45" t="s">
        <v>1899</v>
      </c>
      <c r="H3478" s="55" t="s">
        <v>1900</v>
      </c>
      <c r="I3478" s="15" t="s">
        <v>214</v>
      </c>
    </row>
    <row r="3479" spans="1:9" ht="51.75" customHeight="1" x14ac:dyDescent="0.35">
      <c r="A3479" s="15">
        <v>6</v>
      </c>
      <c r="B3479" s="15" t="s">
        <v>31409</v>
      </c>
      <c r="C3479" s="15" t="s">
        <v>31410</v>
      </c>
      <c r="D3479" s="31">
        <v>39842</v>
      </c>
      <c r="E3479" s="15" t="s">
        <v>31411</v>
      </c>
      <c r="F3479" s="87"/>
      <c r="G3479" s="45" t="s">
        <v>1899</v>
      </c>
      <c r="H3479" s="55" t="s">
        <v>1900</v>
      </c>
      <c r="I3479" s="15" t="s">
        <v>214</v>
      </c>
    </row>
    <row r="3480" spans="1:9" ht="51.75" customHeight="1" x14ac:dyDescent="0.35">
      <c r="A3480" s="15">
        <v>7</v>
      </c>
      <c r="B3480" s="15" t="s">
        <v>31412</v>
      </c>
      <c r="C3480" s="15" t="s">
        <v>31413</v>
      </c>
      <c r="D3480" s="31">
        <v>39842</v>
      </c>
      <c r="E3480" s="15" t="s">
        <v>31414</v>
      </c>
      <c r="F3480" s="87"/>
      <c r="G3480" s="45" t="s">
        <v>1899</v>
      </c>
      <c r="H3480" s="55" t="s">
        <v>1900</v>
      </c>
      <c r="I3480" s="15" t="s">
        <v>214</v>
      </c>
    </row>
    <row r="3481" spans="1:9" ht="51.75" customHeight="1" x14ac:dyDescent="0.35">
      <c r="A3481" s="15">
        <v>8</v>
      </c>
      <c r="B3481" s="15" t="s">
        <v>31415</v>
      </c>
      <c r="C3481" s="15" t="s">
        <v>31416</v>
      </c>
      <c r="D3481" s="31">
        <v>39842</v>
      </c>
      <c r="E3481" s="15" t="s">
        <v>31417</v>
      </c>
      <c r="F3481" s="87"/>
      <c r="G3481" s="45" t="s">
        <v>1899</v>
      </c>
      <c r="H3481" s="55" t="s">
        <v>1900</v>
      </c>
      <c r="I3481" s="15" t="s">
        <v>214</v>
      </c>
    </row>
    <row r="3482" spans="1:9" ht="51.75" customHeight="1" x14ac:dyDescent="0.35">
      <c r="A3482" s="15">
        <v>9</v>
      </c>
      <c r="B3482" s="15" t="s">
        <v>31418</v>
      </c>
      <c r="C3482" s="15" t="s">
        <v>31419</v>
      </c>
      <c r="D3482" s="31">
        <v>39842</v>
      </c>
      <c r="E3482" s="15" t="s">
        <v>31420</v>
      </c>
      <c r="F3482" s="87"/>
      <c r="G3482" s="45" t="s">
        <v>1899</v>
      </c>
      <c r="H3482" s="55" t="s">
        <v>1900</v>
      </c>
      <c r="I3482" s="15" t="s">
        <v>214</v>
      </c>
    </row>
    <row r="3483" spans="1:9" ht="51.75" customHeight="1" x14ac:dyDescent="0.35">
      <c r="A3483" s="15">
        <v>10</v>
      </c>
      <c r="B3483" s="15" t="s">
        <v>31421</v>
      </c>
      <c r="C3483" s="15" t="s">
        <v>31422</v>
      </c>
      <c r="D3483" s="31">
        <v>39842</v>
      </c>
      <c r="E3483" s="15" t="s">
        <v>31423</v>
      </c>
      <c r="F3483" s="87"/>
      <c r="G3483" s="45" t="s">
        <v>1899</v>
      </c>
      <c r="H3483" s="55" t="s">
        <v>1900</v>
      </c>
      <c r="I3483" s="15" t="s">
        <v>214</v>
      </c>
    </row>
    <row r="3484" spans="1:9" ht="51.75" customHeight="1" x14ac:dyDescent="0.35">
      <c r="A3484" s="15">
        <v>1</v>
      </c>
      <c r="B3484" s="15" t="s">
        <v>31424</v>
      </c>
      <c r="C3484" s="15" t="s">
        <v>31314</v>
      </c>
      <c r="D3484" s="31">
        <v>39260</v>
      </c>
      <c r="E3484" s="15" t="s">
        <v>31425</v>
      </c>
      <c r="F3484" s="87"/>
      <c r="G3484" s="45" t="s">
        <v>1759</v>
      </c>
      <c r="H3484" s="55" t="s">
        <v>1760</v>
      </c>
      <c r="I3484" s="15" t="s">
        <v>214</v>
      </c>
    </row>
    <row r="3485" spans="1:9" ht="51.75" customHeight="1" x14ac:dyDescent="0.35">
      <c r="A3485" s="15">
        <v>2</v>
      </c>
      <c r="B3485" s="15" t="s">
        <v>31426</v>
      </c>
      <c r="C3485" s="15" t="s">
        <v>31427</v>
      </c>
      <c r="D3485" s="31">
        <v>39260</v>
      </c>
      <c r="E3485" s="15" t="s">
        <v>31428</v>
      </c>
      <c r="F3485" s="87"/>
      <c r="G3485" s="45" t="s">
        <v>1759</v>
      </c>
      <c r="H3485" s="55" t="s">
        <v>1760</v>
      </c>
      <c r="I3485" s="15" t="s">
        <v>214</v>
      </c>
    </row>
    <row r="3486" spans="1:9" ht="51.75" customHeight="1" x14ac:dyDescent="0.35">
      <c r="A3486" s="15">
        <v>3</v>
      </c>
      <c r="B3486" s="15" t="s">
        <v>31429</v>
      </c>
      <c r="C3486" s="15" t="s">
        <v>31430</v>
      </c>
      <c r="D3486" s="31">
        <v>39260</v>
      </c>
      <c r="E3486" s="15" t="s">
        <v>31431</v>
      </c>
      <c r="F3486" s="87"/>
      <c r="G3486" s="45" t="s">
        <v>1759</v>
      </c>
      <c r="H3486" s="55" t="s">
        <v>1760</v>
      </c>
      <c r="I3486" s="15" t="s">
        <v>214</v>
      </c>
    </row>
    <row r="3487" spans="1:9" ht="51.75" customHeight="1" x14ac:dyDescent="0.35">
      <c r="A3487" s="15">
        <v>4</v>
      </c>
      <c r="B3487" s="15" t="s">
        <v>31432</v>
      </c>
      <c r="C3487" s="15" t="s">
        <v>31433</v>
      </c>
      <c r="D3487" s="31">
        <v>39260</v>
      </c>
      <c r="E3487" s="15" t="s">
        <v>31434</v>
      </c>
      <c r="F3487" s="87"/>
      <c r="G3487" s="45" t="s">
        <v>1759</v>
      </c>
      <c r="H3487" s="55" t="s">
        <v>1760</v>
      </c>
      <c r="I3487" s="15" t="s">
        <v>214</v>
      </c>
    </row>
    <row r="3488" spans="1:9" ht="51.75" customHeight="1" x14ac:dyDescent="0.35">
      <c r="A3488" s="15">
        <v>5</v>
      </c>
      <c r="B3488" s="15" t="s">
        <v>31435</v>
      </c>
      <c r="C3488" s="15" t="s">
        <v>31436</v>
      </c>
      <c r="D3488" s="31">
        <v>39260</v>
      </c>
      <c r="E3488" s="15" t="s">
        <v>31437</v>
      </c>
      <c r="F3488" s="87"/>
      <c r="G3488" s="45" t="s">
        <v>1759</v>
      </c>
      <c r="H3488" s="55" t="s">
        <v>1760</v>
      </c>
      <c r="I3488" s="15" t="s">
        <v>214</v>
      </c>
    </row>
    <row r="3489" spans="1:9" ht="51.75" customHeight="1" x14ac:dyDescent="0.35">
      <c r="A3489" s="15">
        <v>6</v>
      </c>
      <c r="B3489" s="15" t="s">
        <v>31438</v>
      </c>
      <c r="C3489" s="15" t="s">
        <v>31439</v>
      </c>
      <c r="D3489" s="31">
        <v>39260</v>
      </c>
      <c r="E3489" s="15" t="s">
        <v>31440</v>
      </c>
      <c r="F3489" s="87"/>
      <c r="G3489" s="45" t="s">
        <v>1759</v>
      </c>
      <c r="H3489" s="55" t="s">
        <v>1760</v>
      </c>
      <c r="I3489" s="15" t="s">
        <v>214</v>
      </c>
    </row>
    <row r="3490" spans="1:9" ht="51.75" customHeight="1" x14ac:dyDescent="0.35">
      <c r="A3490" s="15">
        <v>7</v>
      </c>
      <c r="B3490" s="15" t="s">
        <v>31441</v>
      </c>
      <c r="C3490" s="15" t="s">
        <v>31442</v>
      </c>
      <c r="D3490" s="31">
        <v>39260</v>
      </c>
      <c r="E3490" s="15" t="s">
        <v>31443</v>
      </c>
      <c r="F3490" s="87"/>
      <c r="G3490" s="45" t="s">
        <v>1759</v>
      </c>
      <c r="H3490" s="55" t="s">
        <v>1760</v>
      </c>
      <c r="I3490" s="15" t="s">
        <v>214</v>
      </c>
    </row>
    <row r="3491" spans="1:9" ht="51.75" customHeight="1" x14ac:dyDescent="0.35">
      <c r="A3491" s="15">
        <v>1</v>
      </c>
      <c r="B3491" s="15" t="s">
        <v>31444</v>
      </c>
      <c r="C3491" s="15" t="s">
        <v>31445</v>
      </c>
      <c r="D3491" s="31">
        <v>39233</v>
      </c>
      <c r="E3491" s="15" t="s">
        <v>31446</v>
      </c>
      <c r="F3491" s="87"/>
      <c r="G3491" s="45" t="s">
        <v>695</v>
      </c>
      <c r="H3491" s="55" t="s">
        <v>696</v>
      </c>
      <c r="I3491" s="15" t="s">
        <v>214</v>
      </c>
    </row>
    <row r="3492" spans="1:9" ht="51.75" customHeight="1" x14ac:dyDescent="0.35">
      <c r="A3492" s="15">
        <v>2</v>
      </c>
      <c r="B3492" s="15" t="s">
        <v>31447</v>
      </c>
      <c r="C3492" s="15" t="s">
        <v>31448</v>
      </c>
      <c r="D3492" s="31">
        <v>39233</v>
      </c>
      <c r="E3492" s="15" t="s">
        <v>31449</v>
      </c>
      <c r="F3492" s="87"/>
      <c r="G3492" s="45" t="s">
        <v>695</v>
      </c>
      <c r="H3492" s="55" t="s">
        <v>696</v>
      </c>
      <c r="I3492" s="15" t="s">
        <v>214</v>
      </c>
    </row>
    <row r="3493" spans="1:9" ht="51.75" customHeight="1" x14ac:dyDescent="0.35">
      <c r="A3493" s="15">
        <v>3</v>
      </c>
      <c r="B3493" s="15" t="s">
        <v>31450</v>
      </c>
      <c r="C3493" s="15" t="s">
        <v>31451</v>
      </c>
      <c r="D3493" s="31">
        <v>39233</v>
      </c>
      <c r="E3493" s="15" t="s">
        <v>31452</v>
      </c>
      <c r="F3493" s="87"/>
      <c r="G3493" s="45" t="s">
        <v>695</v>
      </c>
      <c r="H3493" s="55" t="s">
        <v>696</v>
      </c>
      <c r="I3493" s="15" t="s">
        <v>214</v>
      </c>
    </row>
    <row r="3494" spans="1:9" ht="51.75" customHeight="1" x14ac:dyDescent="0.35">
      <c r="A3494" s="15">
        <v>4</v>
      </c>
      <c r="B3494" s="15" t="s">
        <v>31453</v>
      </c>
      <c r="C3494" s="15" t="s">
        <v>31454</v>
      </c>
      <c r="D3494" s="31">
        <v>39233</v>
      </c>
      <c r="E3494" s="15" t="s">
        <v>31455</v>
      </c>
      <c r="F3494" s="87"/>
      <c r="G3494" s="45" t="s">
        <v>695</v>
      </c>
      <c r="H3494" s="55" t="s">
        <v>696</v>
      </c>
      <c r="I3494" s="15" t="s">
        <v>214</v>
      </c>
    </row>
    <row r="3495" spans="1:9" ht="51.75" customHeight="1" x14ac:dyDescent="0.35">
      <c r="A3495" s="15">
        <v>5</v>
      </c>
      <c r="B3495" s="15" t="s">
        <v>31456</v>
      </c>
      <c r="C3495" s="15" t="s">
        <v>31457</v>
      </c>
      <c r="D3495" s="31">
        <v>39233</v>
      </c>
      <c r="E3495" s="15" t="s">
        <v>31458</v>
      </c>
      <c r="F3495" s="87"/>
      <c r="G3495" s="45" t="s">
        <v>695</v>
      </c>
      <c r="H3495" s="55" t="s">
        <v>696</v>
      </c>
      <c r="I3495" s="15" t="s">
        <v>214</v>
      </c>
    </row>
    <row r="3496" spans="1:9" ht="51.75" customHeight="1" x14ac:dyDescent="0.35">
      <c r="A3496" s="15">
        <v>6</v>
      </c>
      <c r="B3496" s="15" t="s">
        <v>31459</v>
      </c>
      <c r="C3496" s="15" t="s">
        <v>31460</v>
      </c>
      <c r="D3496" s="31">
        <v>39233</v>
      </c>
      <c r="E3496" s="15" t="s">
        <v>31461</v>
      </c>
      <c r="F3496" s="87"/>
      <c r="G3496" s="45" t="s">
        <v>695</v>
      </c>
      <c r="H3496" s="55" t="s">
        <v>696</v>
      </c>
      <c r="I3496" s="15" t="s">
        <v>214</v>
      </c>
    </row>
    <row r="3497" spans="1:9" ht="51.75" customHeight="1" x14ac:dyDescent="0.35">
      <c r="A3497" s="15">
        <v>1</v>
      </c>
      <c r="B3497" s="15" t="s">
        <v>31462</v>
      </c>
      <c r="C3497" s="15" t="s">
        <v>31463</v>
      </c>
      <c r="D3497" s="31">
        <v>39434</v>
      </c>
      <c r="E3497" s="15" t="s">
        <v>31464</v>
      </c>
      <c r="F3497" s="87"/>
      <c r="G3497" s="45" t="s">
        <v>1169</v>
      </c>
      <c r="H3497" s="55" t="s">
        <v>1170</v>
      </c>
      <c r="I3497" s="15" t="s">
        <v>214</v>
      </c>
    </row>
    <row r="3498" spans="1:9" ht="51.75" customHeight="1" x14ac:dyDescent="0.35">
      <c r="A3498" s="15">
        <v>2</v>
      </c>
      <c r="B3498" s="15" t="s">
        <v>31465</v>
      </c>
      <c r="C3498" s="15" t="s">
        <v>31466</v>
      </c>
      <c r="D3498" s="31">
        <v>39434</v>
      </c>
      <c r="E3498" s="15" t="s">
        <v>31467</v>
      </c>
      <c r="F3498" s="87"/>
      <c r="G3498" s="45" t="s">
        <v>1169</v>
      </c>
      <c r="H3498" s="55" t="s">
        <v>1170</v>
      </c>
      <c r="I3498" s="15" t="s">
        <v>214</v>
      </c>
    </row>
    <row r="3499" spans="1:9" ht="51.75" customHeight="1" x14ac:dyDescent="0.35">
      <c r="A3499" s="15">
        <v>3</v>
      </c>
      <c r="B3499" s="15" t="s">
        <v>31468</v>
      </c>
      <c r="C3499" s="15" t="s">
        <v>31469</v>
      </c>
      <c r="D3499" s="31">
        <v>39434</v>
      </c>
      <c r="E3499" s="15" t="s">
        <v>31470</v>
      </c>
      <c r="F3499" s="87"/>
      <c r="G3499" s="45" t="s">
        <v>1169</v>
      </c>
      <c r="H3499" s="55" t="s">
        <v>1170</v>
      </c>
      <c r="I3499" s="15" t="s">
        <v>214</v>
      </c>
    </row>
    <row r="3500" spans="1:9" ht="51.75" customHeight="1" x14ac:dyDescent="0.35">
      <c r="A3500" s="15">
        <v>4</v>
      </c>
      <c r="B3500" s="15" t="s">
        <v>31471</v>
      </c>
      <c r="C3500" s="15" t="s">
        <v>31472</v>
      </c>
      <c r="D3500" s="31">
        <v>39434</v>
      </c>
      <c r="E3500" s="15" t="s">
        <v>31473</v>
      </c>
      <c r="F3500" s="87"/>
      <c r="G3500" s="45" t="s">
        <v>1169</v>
      </c>
      <c r="H3500" s="55" t="s">
        <v>1170</v>
      </c>
      <c r="I3500" s="15" t="s">
        <v>214</v>
      </c>
    </row>
    <row r="3501" spans="1:9" ht="51.75" customHeight="1" x14ac:dyDescent="0.35">
      <c r="A3501" s="15">
        <v>5</v>
      </c>
      <c r="B3501" s="15" t="s">
        <v>31474</v>
      </c>
      <c r="C3501" s="15" t="s">
        <v>31475</v>
      </c>
      <c r="D3501" s="31">
        <v>39434</v>
      </c>
      <c r="E3501" s="15" t="s">
        <v>31476</v>
      </c>
      <c r="F3501" s="87"/>
      <c r="G3501" s="45" t="s">
        <v>1169</v>
      </c>
      <c r="H3501" s="55" t="s">
        <v>1170</v>
      </c>
      <c r="I3501" s="15" t="s">
        <v>214</v>
      </c>
    </row>
    <row r="3502" spans="1:9" ht="51.75" customHeight="1" x14ac:dyDescent="0.35">
      <c r="A3502" s="15">
        <v>6</v>
      </c>
      <c r="B3502" s="15" t="s">
        <v>31477</v>
      </c>
      <c r="C3502" s="15" t="s">
        <v>31478</v>
      </c>
      <c r="D3502" s="31">
        <v>39434</v>
      </c>
      <c r="E3502" s="15" t="s">
        <v>31479</v>
      </c>
      <c r="F3502" s="87"/>
      <c r="G3502" s="45" t="s">
        <v>1169</v>
      </c>
      <c r="H3502" s="55" t="s">
        <v>1170</v>
      </c>
      <c r="I3502" s="15" t="s">
        <v>214</v>
      </c>
    </row>
    <row r="3503" spans="1:9" ht="51.75" customHeight="1" x14ac:dyDescent="0.35">
      <c r="A3503" s="15">
        <v>7</v>
      </c>
      <c r="B3503" s="15" t="s">
        <v>31480</v>
      </c>
      <c r="C3503" s="15" t="s">
        <v>31481</v>
      </c>
      <c r="D3503" s="31">
        <v>39434</v>
      </c>
      <c r="E3503" s="15" t="s">
        <v>31482</v>
      </c>
      <c r="F3503" s="87"/>
      <c r="G3503" s="45" t="s">
        <v>1169</v>
      </c>
      <c r="H3503" s="55" t="s">
        <v>1170</v>
      </c>
      <c r="I3503" s="15" t="s">
        <v>214</v>
      </c>
    </row>
    <row r="3504" spans="1:9" ht="51.75" customHeight="1" x14ac:dyDescent="0.35">
      <c r="A3504" s="15">
        <v>8</v>
      </c>
      <c r="B3504" s="15" t="s">
        <v>31483</v>
      </c>
      <c r="C3504" s="15" t="s">
        <v>31484</v>
      </c>
      <c r="D3504" s="31">
        <v>39434</v>
      </c>
      <c r="E3504" s="15" t="s">
        <v>31485</v>
      </c>
      <c r="F3504" s="87"/>
      <c r="G3504" s="45" t="s">
        <v>1169</v>
      </c>
      <c r="H3504" s="55" t="s">
        <v>1170</v>
      </c>
      <c r="I3504" s="15" t="s">
        <v>214</v>
      </c>
    </row>
    <row r="3505" spans="1:9" ht="51.75" customHeight="1" x14ac:dyDescent="0.35">
      <c r="A3505" s="15">
        <v>9</v>
      </c>
      <c r="B3505" s="15" t="s">
        <v>31486</v>
      </c>
      <c r="C3505" s="15" t="s">
        <v>31487</v>
      </c>
      <c r="D3505" s="31">
        <v>39434</v>
      </c>
      <c r="E3505" s="15" t="s">
        <v>31488</v>
      </c>
      <c r="F3505" s="87"/>
      <c r="G3505" s="45" t="s">
        <v>1169</v>
      </c>
      <c r="H3505" s="55" t="s">
        <v>1170</v>
      </c>
      <c r="I3505" s="15" t="s">
        <v>214</v>
      </c>
    </row>
    <row r="3506" spans="1:9" ht="51.75" customHeight="1" x14ac:dyDescent="0.35">
      <c r="A3506" s="15">
        <v>10</v>
      </c>
      <c r="B3506" s="15" t="s">
        <v>31489</v>
      </c>
      <c r="C3506" s="15" t="s">
        <v>31490</v>
      </c>
      <c r="D3506" s="31">
        <v>39434</v>
      </c>
      <c r="E3506" s="15" t="s">
        <v>31491</v>
      </c>
      <c r="F3506" s="87"/>
      <c r="G3506" s="45" t="s">
        <v>1169</v>
      </c>
      <c r="H3506" s="55" t="s">
        <v>1170</v>
      </c>
      <c r="I3506" s="15" t="s">
        <v>214</v>
      </c>
    </row>
    <row r="3507" spans="1:9" ht="51.75" customHeight="1" x14ac:dyDescent="0.35">
      <c r="A3507" s="15">
        <v>1</v>
      </c>
      <c r="B3507" s="15" t="s">
        <v>31492</v>
      </c>
      <c r="C3507" s="15" t="s">
        <v>31493</v>
      </c>
      <c r="D3507" s="31">
        <v>39338</v>
      </c>
      <c r="E3507" s="15" t="s">
        <v>31494</v>
      </c>
      <c r="F3507" s="87"/>
      <c r="G3507" s="45" t="s">
        <v>1271</v>
      </c>
      <c r="H3507" s="55" t="s">
        <v>1272</v>
      </c>
      <c r="I3507" s="15" t="s">
        <v>214</v>
      </c>
    </row>
    <row r="3508" spans="1:9" ht="51.75" customHeight="1" x14ac:dyDescent="0.35">
      <c r="A3508" s="15">
        <v>2</v>
      </c>
      <c r="B3508" s="15" t="s">
        <v>31495</v>
      </c>
      <c r="C3508" s="15" t="s">
        <v>31496</v>
      </c>
      <c r="D3508" s="31">
        <v>39338</v>
      </c>
      <c r="E3508" s="15" t="s">
        <v>31497</v>
      </c>
      <c r="F3508" s="87"/>
      <c r="G3508" s="45" t="s">
        <v>1271</v>
      </c>
      <c r="H3508" s="55" t="s">
        <v>1272</v>
      </c>
      <c r="I3508" s="15" t="s">
        <v>214</v>
      </c>
    </row>
    <row r="3509" spans="1:9" ht="51.75" customHeight="1" x14ac:dyDescent="0.35">
      <c r="A3509" s="15">
        <v>3</v>
      </c>
      <c r="B3509" s="15" t="s">
        <v>31498</v>
      </c>
      <c r="C3509" s="15" t="s">
        <v>31499</v>
      </c>
      <c r="D3509" s="31">
        <v>39338</v>
      </c>
      <c r="E3509" s="15" t="s">
        <v>31500</v>
      </c>
      <c r="F3509" s="87"/>
      <c r="G3509" s="45" t="s">
        <v>1271</v>
      </c>
      <c r="H3509" s="55" t="s">
        <v>1272</v>
      </c>
      <c r="I3509" s="15" t="s">
        <v>214</v>
      </c>
    </row>
    <row r="3510" spans="1:9" ht="51.75" customHeight="1" x14ac:dyDescent="0.35">
      <c r="A3510" s="15">
        <v>4</v>
      </c>
      <c r="B3510" s="15" t="s">
        <v>31501</v>
      </c>
      <c r="C3510" s="15" t="s">
        <v>31502</v>
      </c>
      <c r="D3510" s="31">
        <v>39338</v>
      </c>
      <c r="E3510" s="15" t="s">
        <v>31503</v>
      </c>
      <c r="F3510" s="87"/>
      <c r="G3510" s="45" t="s">
        <v>1271</v>
      </c>
      <c r="H3510" s="55" t="s">
        <v>1272</v>
      </c>
      <c r="I3510" s="15" t="s">
        <v>214</v>
      </c>
    </row>
    <row r="3511" spans="1:9" ht="51.75" customHeight="1" x14ac:dyDescent="0.35">
      <c r="A3511" s="15">
        <v>5</v>
      </c>
      <c r="B3511" s="15" t="s">
        <v>31504</v>
      </c>
      <c r="C3511" s="15" t="s">
        <v>31505</v>
      </c>
      <c r="D3511" s="31">
        <v>39338</v>
      </c>
      <c r="E3511" s="15" t="s">
        <v>31506</v>
      </c>
      <c r="F3511" s="87"/>
      <c r="G3511" s="45" t="s">
        <v>1271</v>
      </c>
      <c r="H3511" s="55" t="s">
        <v>1272</v>
      </c>
      <c r="I3511" s="15" t="s">
        <v>214</v>
      </c>
    </row>
    <row r="3512" spans="1:9" ht="51.75" customHeight="1" x14ac:dyDescent="0.35">
      <c r="A3512" s="15">
        <v>1</v>
      </c>
      <c r="B3512" s="15" t="s">
        <v>31507</v>
      </c>
      <c r="C3512" s="15" t="s">
        <v>31508</v>
      </c>
      <c r="D3512" s="31">
        <v>39325</v>
      </c>
      <c r="E3512" s="15" t="s">
        <v>31509</v>
      </c>
      <c r="F3512" s="87"/>
      <c r="G3512" s="45" t="s">
        <v>979</v>
      </c>
      <c r="H3512" s="55" t="s">
        <v>980</v>
      </c>
      <c r="I3512" s="15" t="s">
        <v>214</v>
      </c>
    </row>
    <row r="3513" spans="1:9" ht="51.75" customHeight="1" x14ac:dyDescent="0.35">
      <c r="A3513" s="15">
        <v>2</v>
      </c>
      <c r="B3513" s="15" t="s">
        <v>31510</v>
      </c>
      <c r="C3513" s="15" t="s">
        <v>31511</v>
      </c>
      <c r="D3513" s="31">
        <v>39325</v>
      </c>
      <c r="E3513" s="15" t="s">
        <v>31512</v>
      </c>
      <c r="F3513" s="87"/>
      <c r="G3513" s="45" t="s">
        <v>979</v>
      </c>
      <c r="H3513" s="55" t="s">
        <v>980</v>
      </c>
      <c r="I3513" s="15" t="s">
        <v>214</v>
      </c>
    </row>
    <row r="3514" spans="1:9" ht="51.75" customHeight="1" x14ac:dyDescent="0.35">
      <c r="A3514" s="15">
        <v>3</v>
      </c>
      <c r="B3514" s="15" t="s">
        <v>31513</v>
      </c>
      <c r="C3514" s="15" t="s">
        <v>31514</v>
      </c>
      <c r="D3514" s="31">
        <v>39325</v>
      </c>
      <c r="E3514" s="15" t="s">
        <v>31515</v>
      </c>
      <c r="F3514" s="87"/>
      <c r="G3514" s="45" t="s">
        <v>979</v>
      </c>
      <c r="H3514" s="55" t="s">
        <v>980</v>
      </c>
      <c r="I3514" s="15" t="s">
        <v>214</v>
      </c>
    </row>
    <row r="3515" spans="1:9" ht="51.75" customHeight="1" x14ac:dyDescent="0.35">
      <c r="A3515" s="15">
        <v>4</v>
      </c>
      <c r="B3515" s="15" t="s">
        <v>31516</v>
      </c>
      <c r="C3515" s="15" t="s">
        <v>31517</v>
      </c>
      <c r="D3515" s="31">
        <v>39325</v>
      </c>
      <c r="E3515" s="15" t="s">
        <v>31518</v>
      </c>
      <c r="F3515" s="87"/>
      <c r="G3515" s="45" t="s">
        <v>979</v>
      </c>
      <c r="H3515" s="55" t="s">
        <v>980</v>
      </c>
      <c r="I3515" s="15" t="s">
        <v>214</v>
      </c>
    </row>
    <row r="3516" spans="1:9" ht="51.75" customHeight="1" x14ac:dyDescent="0.35">
      <c r="A3516" s="15">
        <v>5</v>
      </c>
      <c r="B3516" s="15" t="s">
        <v>31519</v>
      </c>
      <c r="C3516" s="15" t="s">
        <v>31520</v>
      </c>
      <c r="D3516" s="31">
        <v>39325</v>
      </c>
      <c r="E3516" s="15" t="s">
        <v>31521</v>
      </c>
      <c r="F3516" s="87"/>
      <c r="G3516" s="45" t="s">
        <v>979</v>
      </c>
      <c r="H3516" s="55" t="s">
        <v>980</v>
      </c>
      <c r="I3516" s="15" t="s">
        <v>214</v>
      </c>
    </row>
    <row r="3517" spans="1:9" ht="51.75" customHeight="1" x14ac:dyDescent="0.35">
      <c r="A3517" s="15">
        <v>1</v>
      </c>
      <c r="B3517" s="15" t="s">
        <v>31522</v>
      </c>
      <c r="C3517" s="15" t="s">
        <v>31523</v>
      </c>
      <c r="D3517" s="31">
        <v>39694</v>
      </c>
      <c r="E3517" s="15" t="s">
        <v>31524</v>
      </c>
      <c r="F3517" s="87"/>
      <c r="G3517" s="45" t="s">
        <v>732</v>
      </c>
      <c r="H3517" s="55" t="s">
        <v>733</v>
      </c>
      <c r="I3517" s="15" t="s">
        <v>214</v>
      </c>
    </row>
    <row r="3518" spans="1:9" ht="51.75" customHeight="1" x14ac:dyDescent="0.35">
      <c r="A3518" s="15">
        <v>2</v>
      </c>
      <c r="B3518" s="15" t="s">
        <v>31525</v>
      </c>
      <c r="C3518" s="15" t="s">
        <v>31526</v>
      </c>
      <c r="D3518" s="31">
        <v>39694</v>
      </c>
      <c r="E3518" s="15" t="s">
        <v>31527</v>
      </c>
      <c r="F3518" s="87"/>
      <c r="G3518" s="45" t="s">
        <v>732</v>
      </c>
      <c r="H3518" s="55" t="s">
        <v>733</v>
      </c>
      <c r="I3518" s="15" t="s">
        <v>214</v>
      </c>
    </row>
    <row r="3519" spans="1:9" ht="51.75" customHeight="1" x14ac:dyDescent="0.35">
      <c r="A3519" s="15">
        <v>3</v>
      </c>
      <c r="B3519" s="15" t="s">
        <v>31528</v>
      </c>
      <c r="C3519" s="15" t="s">
        <v>31529</v>
      </c>
      <c r="D3519" s="31">
        <v>39694</v>
      </c>
      <c r="E3519" s="15" t="s">
        <v>31530</v>
      </c>
      <c r="F3519" s="87"/>
      <c r="G3519" s="45" t="s">
        <v>732</v>
      </c>
      <c r="H3519" s="55" t="s">
        <v>733</v>
      </c>
      <c r="I3519" s="15" t="s">
        <v>214</v>
      </c>
    </row>
    <row r="3520" spans="1:9" ht="51.75" customHeight="1" x14ac:dyDescent="0.35">
      <c r="A3520" s="15">
        <v>4</v>
      </c>
      <c r="B3520" s="15" t="s">
        <v>31531</v>
      </c>
      <c r="C3520" s="15" t="s">
        <v>31532</v>
      </c>
      <c r="D3520" s="31">
        <v>39694</v>
      </c>
      <c r="E3520" s="15" t="s">
        <v>31533</v>
      </c>
      <c r="F3520" s="87"/>
      <c r="G3520" s="45" t="s">
        <v>732</v>
      </c>
      <c r="H3520" s="55" t="s">
        <v>733</v>
      </c>
      <c r="I3520" s="15" t="s">
        <v>214</v>
      </c>
    </row>
    <row r="3521" spans="1:9" ht="51.75" customHeight="1" x14ac:dyDescent="0.35">
      <c r="A3521" s="15">
        <v>5</v>
      </c>
      <c r="B3521" s="15" t="s">
        <v>31534</v>
      </c>
      <c r="C3521" s="15" t="s">
        <v>31535</v>
      </c>
      <c r="D3521" s="31">
        <v>39694</v>
      </c>
      <c r="E3521" s="15" t="s">
        <v>31536</v>
      </c>
      <c r="F3521" s="87"/>
      <c r="G3521" s="45" t="s">
        <v>732</v>
      </c>
      <c r="H3521" s="55" t="s">
        <v>733</v>
      </c>
      <c r="I3521" s="15" t="s">
        <v>214</v>
      </c>
    </row>
    <row r="3522" spans="1:9" ht="51.75" customHeight="1" x14ac:dyDescent="0.35">
      <c r="A3522" s="15">
        <v>6</v>
      </c>
      <c r="B3522" s="15" t="s">
        <v>31537</v>
      </c>
      <c r="C3522" s="15" t="s">
        <v>31538</v>
      </c>
      <c r="D3522" s="31">
        <v>39694</v>
      </c>
      <c r="E3522" s="15" t="s">
        <v>31539</v>
      </c>
      <c r="F3522" s="87"/>
      <c r="G3522" s="45" t="s">
        <v>732</v>
      </c>
      <c r="H3522" s="55" t="s">
        <v>733</v>
      </c>
      <c r="I3522" s="15" t="s">
        <v>214</v>
      </c>
    </row>
    <row r="3523" spans="1:9" ht="51.75" customHeight="1" x14ac:dyDescent="0.35">
      <c r="A3523" s="15">
        <v>7</v>
      </c>
      <c r="B3523" s="15" t="s">
        <v>31540</v>
      </c>
      <c r="C3523" s="15" t="s">
        <v>31541</v>
      </c>
      <c r="D3523" s="31">
        <v>39694</v>
      </c>
      <c r="E3523" s="15" t="s">
        <v>31542</v>
      </c>
      <c r="F3523" s="87"/>
      <c r="G3523" s="45" t="s">
        <v>732</v>
      </c>
      <c r="H3523" s="55" t="s">
        <v>733</v>
      </c>
      <c r="I3523" s="15" t="s">
        <v>214</v>
      </c>
    </row>
    <row r="3524" spans="1:9" ht="51.75" customHeight="1" x14ac:dyDescent="0.35">
      <c r="A3524" s="15">
        <v>8</v>
      </c>
      <c r="B3524" s="15" t="s">
        <v>31543</v>
      </c>
      <c r="C3524" s="15" t="s">
        <v>31544</v>
      </c>
      <c r="D3524" s="31">
        <v>39694</v>
      </c>
      <c r="E3524" s="15" t="s">
        <v>31545</v>
      </c>
      <c r="F3524" s="87"/>
      <c r="G3524" s="45" t="s">
        <v>732</v>
      </c>
      <c r="H3524" s="55" t="s">
        <v>733</v>
      </c>
      <c r="I3524" s="15" t="s">
        <v>214</v>
      </c>
    </row>
    <row r="3525" spans="1:9" ht="51.75" customHeight="1" x14ac:dyDescent="0.35">
      <c r="A3525" s="15">
        <v>1</v>
      </c>
      <c r="B3525" s="15" t="s">
        <v>31546</v>
      </c>
      <c r="C3525" s="15" t="s">
        <v>31547</v>
      </c>
      <c r="D3525" s="31">
        <v>39693</v>
      </c>
      <c r="E3525" s="15" t="s">
        <v>31548</v>
      </c>
      <c r="F3525" s="87"/>
      <c r="G3525" s="45" t="s">
        <v>632</v>
      </c>
      <c r="H3525" s="55" t="s">
        <v>633</v>
      </c>
      <c r="I3525" s="15" t="s">
        <v>214</v>
      </c>
    </row>
    <row r="3526" spans="1:9" ht="51.75" customHeight="1" x14ac:dyDescent="0.35">
      <c r="A3526" s="15">
        <v>2</v>
      </c>
      <c r="B3526" s="15" t="s">
        <v>31549</v>
      </c>
      <c r="C3526" s="15" t="s">
        <v>31550</v>
      </c>
      <c r="D3526" s="31">
        <v>39693</v>
      </c>
      <c r="E3526" s="15" t="s">
        <v>31551</v>
      </c>
      <c r="F3526" s="87"/>
      <c r="G3526" s="45" t="s">
        <v>632</v>
      </c>
      <c r="H3526" s="55" t="s">
        <v>633</v>
      </c>
      <c r="I3526" s="15" t="s">
        <v>214</v>
      </c>
    </row>
    <row r="3527" spans="1:9" ht="51.75" customHeight="1" x14ac:dyDescent="0.35">
      <c r="A3527" s="15">
        <v>3</v>
      </c>
      <c r="B3527" s="15" t="s">
        <v>31552</v>
      </c>
      <c r="C3527" s="15" t="s">
        <v>31553</v>
      </c>
      <c r="D3527" s="31">
        <v>39693</v>
      </c>
      <c r="E3527" s="15" t="s">
        <v>31554</v>
      </c>
      <c r="F3527" s="87"/>
      <c r="G3527" s="45" t="s">
        <v>632</v>
      </c>
      <c r="H3527" s="55" t="s">
        <v>633</v>
      </c>
      <c r="I3527" s="15" t="s">
        <v>214</v>
      </c>
    </row>
    <row r="3528" spans="1:9" ht="51.75" customHeight="1" x14ac:dyDescent="0.35">
      <c r="A3528" s="15">
        <v>4</v>
      </c>
      <c r="B3528" s="15" t="s">
        <v>31555</v>
      </c>
      <c r="C3528" s="15" t="s">
        <v>31556</v>
      </c>
      <c r="D3528" s="31">
        <v>39693</v>
      </c>
      <c r="E3528" s="15" t="s">
        <v>31557</v>
      </c>
      <c r="F3528" s="87"/>
      <c r="G3528" s="45" t="s">
        <v>632</v>
      </c>
      <c r="H3528" s="55" t="s">
        <v>633</v>
      </c>
      <c r="I3528" s="15" t="s">
        <v>214</v>
      </c>
    </row>
    <row r="3529" spans="1:9" ht="51.75" customHeight="1" x14ac:dyDescent="0.35">
      <c r="A3529" s="15">
        <v>5</v>
      </c>
      <c r="B3529" s="15" t="s">
        <v>31558</v>
      </c>
      <c r="C3529" s="15" t="s">
        <v>31559</v>
      </c>
      <c r="D3529" s="31">
        <v>39693</v>
      </c>
      <c r="E3529" s="15" t="s">
        <v>31560</v>
      </c>
      <c r="F3529" s="87"/>
      <c r="G3529" s="45" t="s">
        <v>632</v>
      </c>
      <c r="H3529" s="55" t="s">
        <v>633</v>
      </c>
      <c r="I3529" s="15" t="s">
        <v>214</v>
      </c>
    </row>
    <row r="3530" spans="1:9" ht="51.75" customHeight="1" x14ac:dyDescent="0.35">
      <c r="A3530" s="15">
        <v>6</v>
      </c>
      <c r="B3530" s="15" t="s">
        <v>31561</v>
      </c>
      <c r="C3530" s="15" t="s">
        <v>31562</v>
      </c>
      <c r="D3530" s="31">
        <v>39693</v>
      </c>
      <c r="E3530" s="15" t="s">
        <v>31563</v>
      </c>
      <c r="F3530" s="87"/>
      <c r="G3530" s="45" t="s">
        <v>632</v>
      </c>
      <c r="H3530" s="55" t="s">
        <v>633</v>
      </c>
      <c r="I3530" s="15" t="s">
        <v>214</v>
      </c>
    </row>
    <row r="3531" spans="1:9" ht="51.75" customHeight="1" x14ac:dyDescent="0.35">
      <c r="A3531" s="15">
        <v>7</v>
      </c>
      <c r="B3531" s="15" t="s">
        <v>31564</v>
      </c>
      <c r="C3531" s="15" t="s">
        <v>31565</v>
      </c>
      <c r="D3531" s="31">
        <v>39693</v>
      </c>
      <c r="E3531" s="15" t="s">
        <v>31566</v>
      </c>
      <c r="F3531" s="87"/>
      <c r="G3531" s="45" t="s">
        <v>632</v>
      </c>
      <c r="H3531" s="55" t="s">
        <v>633</v>
      </c>
      <c r="I3531" s="15" t="s">
        <v>214</v>
      </c>
    </row>
    <row r="3532" spans="1:9" ht="51.75" customHeight="1" x14ac:dyDescent="0.35">
      <c r="A3532" s="15">
        <v>8</v>
      </c>
      <c r="B3532" s="15" t="s">
        <v>31567</v>
      </c>
      <c r="C3532" s="15" t="s">
        <v>31568</v>
      </c>
      <c r="D3532" s="31">
        <v>39693</v>
      </c>
      <c r="E3532" s="15" t="s">
        <v>31569</v>
      </c>
      <c r="F3532" s="87"/>
      <c r="G3532" s="45" t="s">
        <v>632</v>
      </c>
      <c r="H3532" s="55" t="s">
        <v>633</v>
      </c>
      <c r="I3532" s="15" t="s">
        <v>214</v>
      </c>
    </row>
    <row r="3533" spans="1:9" ht="51.75" customHeight="1" x14ac:dyDescent="0.35">
      <c r="A3533" s="15">
        <v>9</v>
      </c>
      <c r="B3533" s="15" t="s">
        <v>31570</v>
      </c>
      <c r="C3533" s="15" t="s">
        <v>31571</v>
      </c>
      <c r="D3533" s="31">
        <v>39693</v>
      </c>
      <c r="E3533" s="15" t="s">
        <v>31572</v>
      </c>
      <c r="F3533" s="87"/>
      <c r="G3533" s="45" t="s">
        <v>632</v>
      </c>
      <c r="H3533" s="55" t="s">
        <v>633</v>
      </c>
      <c r="I3533" s="15" t="s">
        <v>214</v>
      </c>
    </row>
    <row r="3534" spans="1:9" ht="51.75" customHeight="1" x14ac:dyDescent="0.35">
      <c r="A3534" s="15">
        <v>1</v>
      </c>
      <c r="B3534" s="15" t="s">
        <v>31573</v>
      </c>
      <c r="C3534" s="15" t="s">
        <v>31574</v>
      </c>
      <c r="D3534" s="31">
        <v>39294</v>
      </c>
      <c r="E3534" s="15" t="s">
        <v>31575</v>
      </c>
      <c r="F3534" s="87"/>
      <c r="G3534" s="45" t="s">
        <v>652</v>
      </c>
      <c r="H3534" s="55" t="s">
        <v>653</v>
      </c>
      <c r="I3534" s="15" t="s">
        <v>214</v>
      </c>
    </row>
    <row r="3535" spans="1:9" ht="51.75" customHeight="1" x14ac:dyDescent="0.35">
      <c r="A3535" s="15">
        <v>2</v>
      </c>
      <c r="B3535" s="15" t="s">
        <v>31576</v>
      </c>
      <c r="C3535" s="15" t="s">
        <v>31577</v>
      </c>
      <c r="D3535" s="31">
        <v>39294</v>
      </c>
      <c r="E3535" s="15" t="s">
        <v>31578</v>
      </c>
      <c r="F3535" s="87"/>
      <c r="G3535" s="45" t="s">
        <v>652</v>
      </c>
      <c r="H3535" s="55" t="s">
        <v>653</v>
      </c>
      <c r="I3535" s="15" t="s">
        <v>214</v>
      </c>
    </row>
    <row r="3536" spans="1:9" ht="51.75" customHeight="1" x14ac:dyDescent="0.35">
      <c r="A3536" s="15">
        <v>3</v>
      </c>
      <c r="B3536" s="15" t="s">
        <v>31579</v>
      </c>
      <c r="C3536" s="15" t="s">
        <v>31580</v>
      </c>
      <c r="D3536" s="31">
        <v>39294</v>
      </c>
      <c r="E3536" s="15" t="s">
        <v>31581</v>
      </c>
      <c r="F3536" s="87"/>
      <c r="G3536" s="45" t="s">
        <v>652</v>
      </c>
      <c r="H3536" s="55" t="s">
        <v>653</v>
      </c>
      <c r="I3536" s="15" t="s">
        <v>214</v>
      </c>
    </row>
    <row r="3537" spans="1:9" ht="51.75" customHeight="1" x14ac:dyDescent="0.35">
      <c r="A3537" s="15">
        <v>4</v>
      </c>
      <c r="B3537" s="15" t="s">
        <v>31582</v>
      </c>
      <c r="C3537" s="15" t="s">
        <v>31583</v>
      </c>
      <c r="D3537" s="31">
        <v>39294</v>
      </c>
      <c r="E3537" s="15" t="s">
        <v>31584</v>
      </c>
      <c r="F3537" s="87"/>
      <c r="G3537" s="45" t="s">
        <v>652</v>
      </c>
      <c r="H3537" s="55" t="s">
        <v>653</v>
      </c>
      <c r="I3537" s="15" t="s">
        <v>214</v>
      </c>
    </row>
    <row r="3538" spans="1:9" ht="51.75" customHeight="1" x14ac:dyDescent="0.35">
      <c r="A3538" s="15">
        <v>5</v>
      </c>
      <c r="B3538" s="15" t="s">
        <v>31585</v>
      </c>
      <c r="C3538" s="15" t="s">
        <v>31586</v>
      </c>
      <c r="D3538" s="31">
        <v>39294</v>
      </c>
      <c r="E3538" s="15" t="s">
        <v>31587</v>
      </c>
      <c r="F3538" s="87"/>
      <c r="G3538" s="45" t="s">
        <v>652</v>
      </c>
      <c r="H3538" s="55" t="s">
        <v>653</v>
      </c>
      <c r="I3538" s="15" t="s">
        <v>214</v>
      </c>
    </row>
    <row r="3539" spans="1:9" ht="51.75" customHeight="1" x14ac:dyDescent="0.35">
      <c r="A3539" s="15">
        <v>6</v>
      </c>
      <c r="B3539" s="15" t="s">
        <v>31588</v>
      </c>
      <c r="C3539" s="15" t="s">
        <v>31589</v>
      </c>
      <c r="D3539" s="31">
        <v>39294</v>
      </c>
      <c r="E3539" s="15" t="s">
        <v>31590</v>
      </c>
      <c r="F3539" s="87"/>
      <c r="G3539" s="45" t="s">
        <v>652</v>
      </c>
      <c r="H3539" s="55" t="s">
        <v>653</v>
      </c>
      <c r="I3539" s="15" t="s">
        <v>214</v>
      </c>
    </row>
    <row r="3540" spans="1:9" ht="51.75" customHeight="1" x14ac:dyDescent="0.35">
      <c r="A3540" s="15">
        <v>7</v>
      </c>
      <c r="B3540" s="15" t="s">
        <v>31591</v>
      </c>
      <c r="C3540" s="15" t="s">
        <v>31592</v>
      </c>
      <c r="D3540" s="31">
        <v>39294</v>
      </c>
      <c r="E3540" s="15" t="s">
        <v>31593</v>
      </c>
      <c r="F3540" s="87"/>
      <c r="G3540" s="45" t="s">
        <v>652</v>
      </c>
      <c r="H3540" s="55" t="s">
        <v>653</v>
      </c>
      <c r="I3540" s="15" t="s">
        <v>214</v>
      </c>
    </row>
    <row r="3541" spans="1:9" ht="51.75" customHeight="1" x14ac:dyDescent="0.35">
      <c r="A3541" s="15">
        <v>8</v>
      </c>
      <c r="B3541" s="15" t="s">
        <v>31594</v>
      </c>
      <c r="C3541" s="15" t="s">
        <v>31595</v>
      </c>
      <c r="D3541" s="31">
        <v>39294</v>
      </c>
      <c r="E3541" s="15" t="s">
        <v>31596</v>
      </c>
      <c r="F3541" s="87"/>
      <c r="G3541" s="45" t="s">
        <v>652</v>
      </c>
      <c r="H3541" s="55" t="s">
        <v>653</v>
      </c>
      <c r="I3541" s="15" t="s">
        <v>214</v>
      </c>
    </row>
    <row r="3542" spans="1:9" ht="51.75" customHeight="1" x14ac:dyDescent="0.35">
      <c r="A3542" s="15">
        <v>1</v>
      </c>
      <c r="B3542" s="15" t="s">
        <v>31597</v>
      </c>
      <c r="C3542" s="15" t="s">
        <v>31598</v>
      </c>
      <c r="D3542" s="31">
        <v>39085</v>
      </c>
      <c r="E3542" s="15" t="s">
        <v>31599</v>
      </c>
      <c r="F3542" s="87"/>
      <c r="G3542" s="45" t="s">
        <v>751</v>
      </c>
      <c r="H3542" s="55" t="s">
        <v>752</v>
      </c>
      <c r="I3542" s="15" t="s">
        <v>214</v>
      </c>
    </row>
    <row r="3543" spans="1:9" ht="51.75" customHeight="1" x14ac:dyDescent="0.35">
      <c r="A3543" s="15">
        <v>2</v>
      </c>
      <c r="B3543" s="15" t="s">
        <v>31600</v>
      </c>
      <c r="C3543" s="15" t="s">
        <v>31601</v>
      </c>
      <c r="D3543" s="31">
        <v>39085</v>
      </c>
      <c r="E3543" s="15" t="s">
        <v>31602</v>
      </c>
      <c r="F3543" s="87"/>
      <c r="G3543" s="45" t="s">
        <v>751</v>
      </c>
      <c r="H3543" s="55" t="s">
        <v>752</v>
      </c>
      <c r="I3543" s="15" t="s">
        <v>214</v>
      </c>
    </row>
    <row r="3544" spans="1:9" ht="51.75" customHeight="1" x14ac:dyDescent="0.35">
      <c r="A3544" s="15">
        <v>3</v>
      </c>
      <c r="B3544" s="15" t="s">
        <v>31603</v>
      </c>
      <c r="C3544" s="15" t="s">
        <v>31604</v>
      </c>
      <c r="D3544" s="31">
        <v>39085</v>
      </c>
      <c r="E3544" s="15" t="s">
        <v>31605</v>
      </c>
      <c r="F3544" s="87"/>
      <c r="G3544" s="45" t="s">
        <v>751</v>
      </c>
      <c r="H3544" s="55" t="s">
        <v>752</v>
      </c>
      <c r="I3544" s="15" t="s">
        <v>214</v>
      </c>
    </row>
    <row r="3545" spans="1:9" ht="51.75" customHeight="1" x14ac:dyDescent="0.35">
      <c r="A3545" s="15">
        <v>1</v>
      </c>
      <c r="B3545" s="15" t="s">
        <v>31606</v>
      </c>
      <c r="C3545" s="15" t="s">
        <v>31607</v>
      </c>
      <c r="D3545" s="31">
        <v>39023</v>
      </c>
      <c r="E3545" s="15" t="s">
        <v>31608</v>
      </c>
      <c r="F3545" s="87"/>
      <c r="G3545" s="45" t="s">
        <v>278</v>
      </c>
      <c r="H3545" s="55" t="s">
        <v>279</v>
      </c>
      <c r="I3545" s="15" t="s">
        <v>214</v>
      </c>
    </row>
    <row r="3546" spans="1:9" ht="51.75" customHeight="1" x14ac:dyDescent="0.35">
      <c r="A3546" s="15">
        <v>2</v>
      </c>
      <c r="B3546" s="15" t="s">
        <v>31609</v>
      </c>
      <c r="C3546" s="15" t="s">
        <v>31610</v>
      </c>
      <c r="D3546" s="31">
        <v>39023</v>
      </c>
      <c r="E3546" s="15" t="s">
        <v>31611</v>
      </c>
      <c r="F3546" s="87"/>
      <c r="G3546" s="45" t="s">
        <v>278</v>
      </c>
      <c r="H3546" s="55" t="s">
        <v>279</v>
      </c>
      <c r="I3546" s="15" t="s">
        <v>214</v>
      </c>
    </row>
    <row r="3547" spans="1:9" ht="51.75" customHeight="1" x14ac:dyDescent="0.35">
      <c r="A3547" s="15">
        <v>3</v>
      </c>
      <c r="B3547" s="15" t="s">
        <v>31612</v>
      </c>
      <c r="C3547" s="15" t="s">
        <v>31613</v>
      </c>
      <c r="D3547" s="31">
        <v>39023</v>
      </c>
      <c r="E3547" s="15" t="s">
        <v>31614</v>
      </c>
      <c r="F3547" s="87"/>
      <c r="G3547" s="45" t="s">
        <v>278</v>
      </c>
      <c r="H3547" s="55" t="s">
        <v>279</v>
      </c>
      <c r="I3547" s="15" t="s">
        <v>214</v>
      </c>
    </row>
    <row r="3548" spans="1:9" ht="51.75" customHeight="1" x14ac:dyDescent="0.35">
      <c r="A3548" s="15">
        <v>4</v>
      </c>
      <c r="B3548" s="15" t="s">
        <v>31615</v>
      </c>
      <c r="C3548" s="15" t="s">
        <v>31616</v>
      </c>
      <c r="D3548" s="31">
        <v>39023</v>
      </c>
      <c r="E3548" s="15" t="s">
        <v>31616</v>
      </c>
      <c r="F3548" s="87"/>
      <c r="G3548" s="45" t="s">
        <v>278</v>
      </c>
      <c r="H3548" s="55" t="s">
        <v>279</v>
      </c>
      <c r="I3548" s="15" t="s">
        <v>214</v>
      </c>
    </row>
    <row r="3549" spans="1:9" ht="51.75" customHeight="1" x14ac:dyDescent="0.35">
      <c r="A3549" s="15">
        <v>5</v>
      </c>
      <c r="B3549" s="15" t="s">
        <v>31617</v>
      </c>
      <c r="C3549" s="15" t="s">
        <v>31618</v>
      </c>
      <c r="D3549" s="31">
        <v>39023</v>
      </c>
      <c r="E3549" s="15" t="s">
        <v>31619</v>
      </c>
      <c r="F3549" s="87"/>
      <c r="G3549" s="45" t="s">
        <v>278</v>
      </c>
      <c r="H3549" s="55" t="s">
        <v>279</v>
      </c>
      <c r="I3549" s="15" t="s">
        <v>214</v>
      </c>
    </row>
    <row r="3550" spans="1:9" ht="51.75" customHeight="1" x14ac:dyDescent="0.35">
      <c r="A3550" s="15">
        <v>6</v>
      </c>
      <c r="B3550" s="15" t="s">
        <v>31620</v>
      </c>
      <c r="C3550" s="15" t="s">
        <v>31621</v>
      </c>
      <c r="D3550" s="31">
        <v>39023</v>
      </c>
      <c r="E3550" s="15" t="s">
        <v>31622</v>
      </c>
      <c r="F3550" s="87"/>
      <c r="G3550" s="45" t="s">
        <v>278</v>
      </c>
      <c r="H3550" s="55" t="s">
        <v>279</v>
      </c>
      <c r="I3550" s="15" t="s">
        <v>214</v>
      </c>
    </row>
    <row r="3551" spans="1:9" ht="51.75" customHeight="1" x14ac:dyDescent="0.35">
      <c r="A3551" s="15">
        <v>7</v>
      </c>
      <c r="B3551" s="15" t="s">
        <v>31623</v>
      </c>
      <c r="C3551" s="15" t="s">
        <v>31624</v>
      </c>
      <c r="D3551" s="31">
        <v>39023</v>
      </c>
      <c r="E3551" s="15" t="s">
        <v>31625</v>
      </c>
      <c r="F3551" s="87"/>
      <c r="G3551" s="45" t="s">
        <v>278</v>
      </c>
      <c r="H3551" s="55" t="s">
        <v>279</v>
      </c>
      <c r="I3551" s="15" t="s">
        <v>214</v>
      </c>
    </row>
    <row r="3552" spans="1:9" ht="51.75" customHeight="1" x14ac:dyDescent="0.35">
      <c r="A3552" s="15">
        <v>8</v>
      </c>
      <c r="B3552" s="15" t="s">
        <v>31626</v>
      </c>
      <c r="C3552" s="15" t="s">
        <v>31627</v>
      </c>
      <c r="D3552" s="31">
        <v>39023</v>
      </c>
      <c r="E3552" s="15" t="s">
        <v>31628</v>
      </c>
      <c r="F3552" s="87"/>
      <c r="G3552" s="45" t="s">
        <v>278</v>
      </c>
      <c r="H3552" s="55" t="s">
        <v>279</v>
      </c>
      <c r="I3552" s="15" t="s">
        <v>214</v>
      </c>
    </row>
    <row r="3553" spans="1:9" ht="51.75" customHeight="1" x14ac:dyDescent="0.35">
      <c r="A3553" s="15">
        <v>9</v>
      </c>
      <c r="B3553" s="15" t="s">
        <v>31629</v>
      </c>
      <c r="C3553" s="15" t="s">
        <v>31630</v>
      </c>
      <c r="D3553" s="31">
        <v>39023</v>
      </c>
      <c r="E3553" s="15" t="s">
        <v>31631</v>
      </c>
      <c r="F3553" s="87"/>
      <c r="G3553" s="45" t="s">
        <v>278</v>
      </c>
      <c r="H3553" s="55" t="s">
        <v>279</v>
      </c>
      <c r="I3553" s="15" t="s">
        <v>214</v>
      </c>
    </row>
    <row r="3554" spans="1:9" ht="51.75" customHeight="1" x14ac:dyDescent="0.35">
      <c r="A3554" s="15">
        <v>10</v>
      </c>
      <c r="B3554" s="15" t="s">
        <v>31632</v>
      </c>
      <c r="C3554" s="15" t="s">
        <v>31633</v>
      </c>
      <c r="D3554" s="31">
        <v>39023</v>
      </c>
      <c r="E3554" s="15" t="s">
        <v>31634</v>
      </c>
      <c r="F3554" s="87"/>
      <c r="G3554" s="45" t="s">
        <v>278</v>
      </c>
      <c r="H3554" s="55" t="s">
        <v>279</v>
      </c>
      <c r="I3554" s="15" t="s">
        <v>214</v>
      </c>
    </row>
    <row r="3555" spans="1:9" ht="51.75" customHeight="1" x14ac:dyDescent="0.35">
      <c r="A3555" s="15">
        <v>1</v>
      </c>
      <c r="B3555" s="15" t="s">
        <v>31635</v>
      </c>
      <c r="C3555" s="15" t="s">
        <v>31636</v>
      </c>
      <c r="D3555" s="31">
        <v>39023</v>
      </c>
      <c r="E3555" s="15" t="s">
        <v>31637</v>
      </c>
      <c r="F3555" s="87"/>
      <c r="G3555" s="45" t="s">
        <v>285</v>
      </c>
      <c r="H3555" s="55" t="s">
        <v>286</v>
      </c>
      <c r="I3555" s="15" t="s">
        <v>214</v>
      </c>
    </row>
    <row r="3556" spans="1:9" ht="51.75" customHeight="1" x14ac:dyDescent="0.35">
      <c r="A3556" s="15">
        <v>2</v>
      </c>
      <c r="B3556" s="15" t="s">
        <v>31638</v>
      </c>
      <c r="C3556" s="15" t="s">
        <v>31639</v>
      </c>
      <c r="D3556" s="31">
        <v>39023</v>
      </c>
      <c r="E3556" s="15" t="s">
        <v>31640</v>
      </c>
      <c r="F3556" s="87"/>
      <c r="G3556" s="45" t="s">
        <v>285</v>
      </c>
      <c r="H3556" s="55" t="s">
        <v>286</v>
      </c>
      <c r="I3556" s="15" t="s">
        <v>214</v>
      </c>
    </row>
    <row r="3557" spans="1:9" ht="51.75" customHeight="1" x14ac:dyDescent="0.35">
      <c r="A3557" s="15">
        <v>3</v>
      </c>
      <c r="B3557" s="15" t="s">
        <v>31641</v>
      </c>
      <c r="C3557" s="15" t="s">
        <v>31642</v>
      </c>
      <c r="D3557" s="31">
        <v>39023</v>
      </c>
      <c r="E3557" s="15" t="s">
        <v>31643</v>
      </c>
      <c r="F3557" s="87"/>
      <c r="G3557" s="45" t="s">
        <v>285</v>
      </c>
      <c r="H3557" s="55" t="s">
        <v>286</v>
      </c>
      <c r="I3557" s="15" t="s">
        <v>214</v>
      </c>
    </row>
    <row r="3558" spans="1:9" ht="51.75" customHeight="1" x14ac:dyDescent="0.35">
      <c r="A3558" s="15">
        <v>4</v>
      </c>
      <c r="B3558" s="15" t="s">
        <v>31644</v>
      </c>
      <c r="C3558" s="15" t="s">
        <v>31645</v>
      </c>
      <c r="D3558" s="31">
        <v>39023</v>
      </c>
      <c r="E3558" s="15" t="s">
        <v>31646</v>
      </c>
      <c r="F3558" s="87"/>
      <c r="G3558" s="45" t="s">
        <v>285</v>
      </c>
      <c r="H3558" s="55" t="s">
        <v>286</v>
      </c>
      <c r="I3558" s="15" t="s">
        <v>214</v>
      </c>
    </row>
    <row r="3559" spans="1:9" ht="51.75" customHeight="1" x14ac:dyDescent="0.35">
      <c r="A3559" s="15">
        <v>5</v>
      </c>
      <c r="B3559" s="15" t="s">
        <v>31647</v>
      </c>
      <c r="C3559" s="15" t="s">
        <v>31648</v>
      </c>
      <c r="D3559" s="31">
        <v>39023</v>
      </c>
      <c r="E3559" s="15" t="s">
        <v>31649</v>
      </c>
      <c r="F3559" s="87"/>
      <c r="G3559" s="45" t="s">
        <v>285</v>
      </c>
      <c r="H3559" s="55" t="s">
        <v>286</v>
      </c>
      <c r="I3559" s="15" t="s">
        <v>214</v>
      </c>
    </row>
    <row r="3560" spans="1:9" ht="51.75" customHeight="1" x14ac:dyDescent="0.35">
      <c r="A3560" s="15">
        <v>6</v>
      </c>
      <c r="B3560" s="15" t="s">
        <v>31650</v>
      </c>
      <c r="C3560" s="15" t="s">
        <v>31651</v>
      </c>
      <c r="D3560" s="31">
        <v>39023</v>
      </c>
      <c r="E3560" s="15" t="s">
        <v>31652</v>
      </c>
      <c r="F3560" s="87"/>
      <c r="G3560" s="45" t="s">
        <v>285</v>
      </c>
      <c r="H3560" s="55" t="s">
        <v>286</v>
      </c>
      <c r="I3560" s="15" t="s">
        <v>214</v>
      </c>
    </row>
    <row r="3561" spans="1:9" ht="51.75" customHeight="1" x14ac:dyDescent="0.35">
      <c r="A3561" s="15">
        <v>1</v>
      </c>
      <c r="B3561" s="15" t="s">
        <v>31653</v>
      </c>
      <c r="C3561" s="15" t="s">
        <v>31654</v>
      </c>
      <c r="D3561" s="31">
        <v>39113</v>
      </c>
      <c r="E3561" s="15" t="s">
        <v>31655</v>
      </c>
      <c r="F3561" s="87"/>
      <c r="G3561" s="45" t="s">
        <v>328</v>
      </c>
      <c r="H3561" s="55" t="s">
        <v>329</v>
      </c>
      <c r="I3561" s="15" t="s">
        <v>214</v>
      </c>
    </row>
    <row r="3562" spans="1:9" ht="51.75" customHeight="1" x14ac:dyDescent="0.35">
      <c r="A3562" s="15">
        <v>2</v>
      </c>
      <c r="B3562" s="15" t="s">
        <v>31656</v>
      </c>
      <c r="C3562" s="15" t="s">
        <v>31657</v>
      </c>
      <c r="D3562" s="31">
        <v>39113</v>
      </c>
      <c r="E3562" s="15" t="s">
        <v>31658</v>
      </c>
      <c r="F3562" s="87"/>
      <c r="G3562" s="45" t="s">
        <v>328</v>
      </c>
      <c r="H3562" s="55" t="s">
        <v>329</v>
      </c>
      <c r="I3562" s="15" t="s">
        <v>214</v>
      </c>
    </row>
    <row r="3563" spans="1:9" ht="51.75" customHeight="1" x14ac:dyDescent="0.35">
      <c r="A3563" s="15">
        <v>3</v>
      </c>
      <c r="B3563" s="15" t="s">
        <v>31659</v>
      </c>
      <c r="C3563" s="15" t="s">
        <v>31660</v>
      </c>
      <c r="D3563" s="31">
        <v>39113</v>
      </c>
      <c r="E3563" s="15" t="s">
        <v>31661</v>
      </c>
      <c r="F3563" s="87"/>
      <c r="G3563" s="45" t="s">
        <v>328</v>
      </c>
      <c r="H3563" s="55" t="s">
        <v>329</v>
      </c>
      <c r="I3563" s="15" t="s">
        <v>214</v>
      </c>
    </row>
    <row r="3564" spans="1:9" ht="51.75" customHeight="1" x14ac:dyDescent="0.35">
      <c r="A3564" s="15">
        <v>1</v>
      </c>
      <c r="B3564" s="15" t="s">
        <v>31662</v>
      </c>
      <c r="C3564" s="15" t="s">
        <v>31663</v>
      </c>
      <c r="D3564" s="31">
        <v>39693</v>
      </c>
      <c r="E3564" s="15" t="s">
        <v>31664</v>
      </c>
      <c r="F3564" s="87"/>
      <c r="G3564" s="45" t="s">
        <v>453</v>
      </c>
      <c r="H3564" s="55" t="s">
        <v>454</v>
      </c>
      <c r="I3564" s="15" t="s">
        <v>214</v>
      </c>
    </row>
    <row r="3565" spans="1:9" ht="51.75" customHeight="1" x14ac:dyDescent="0.35">
      <c r="A3565" s="15">
        <v>2</v>
      </c>
      <c r="B3565" s="15" t="s">
        <v>31665</v>
      </c>
      <c r="C3565" s="15" t="s">
        <v>31666</v>
      </c>
      <c r="D3565" s="31">
        <v>39693</v>
      </c>
      <c r="E3565" s="15" t="s">
        <v>31667</v>
      </c>
      <c r="F3565" s="87"/>
      <c r="G3565" s="45" t="s">
        <v>453</v>
      </c>
      <c r="H3565" s="55" t="s">
        <v>454</v>
      </c>
      <c r="I3565" s="15" t="s">
        <v>214</v>
      </c>
    </row>
    <row r="3566" spans="1:9" ht="51.75" customHeight="1" x14ac:dyDescent="0.35">
      <c r="A3566" s="15">
        <v>3</v>
      </c>
      <c r="B3566" s="15" t="s">
        <v>31668</v>
      </c>
      <c r="C3566" s="15" t="s">
        <v>31669</v>
      </c>
      <c r="D3566" s="31">
        <v>39693</v>
      </c>
      <c r="E3566" s="15" t="s">
        <v>31670</v>
      </c>
      <c r="F3566" s="87"/>
      <c r="G3566" s="45" t="s">
        <v>453</v>
      </c>
      <c r="H3566" s="55" t="s">
        <v>454</v>
      </c>
      <c r="I3566" s="15" t="s">
        <v>214</v>
      </c>
    </row>
    <row r="3567" spans="1:9" ht="51.75" customHeight="1" x14ac:dyDescent="0.35">
      <c r="A3567" s="15">
        <v>1</v>
      </c>
      <c r="B3567" s="15" t="s">
        <v>31671</v>
      </c>
      <c r="C3567" s="15" t="s">
        <v>31672</v>
      </c>
      <c r="D3567" s="31">
        <v>39693</v>
      </c>
      <c r="E3567" s="15" t="s">
        <v>31673</v>
      </c>
      <c r="F3567" s="87"/>
      <c r="G3567" s="45" t="s">
        <v>459</v>
      </c>
      <c r="H3567" s="55" t="s">
        <v>460</v>
      </c>
      <c r="I3567" s="15" t="s">
        <v>214</v>
      </c>
    </row>
    <row r="3568" spans="1:9" ht="51.75" customHeight="1" x14ac:dyDescent="0.35">
      <c r="A3568" s="15">
        <v>2</v>
      </c>
      <c r="B3568" s="15" t="s">
        <v>31674</v>
      </c>
      <c r="C3568" s="15" t="s">
        <v>31675</v>
      </c>
      <c r="D3568" s="31">
        <v>39693</v>
      </c>
      <c r="E3568" s="15" t="s">
        <v>31676</v>
      </c>
      <c r="F3568" s="87"/>
      <c r="G3568" s="45" t="s">
        <v>459</v>
      </c>
      <c r="H3568" s="55" t="s">
        <v>460</v>
      </c>
      <c r="I3568" s="15" t="s">
        <v>214</v>
      </c>
    </row>
    <row r="3569" spans="1:9" ht="51.75" customHeight="1" x14ac:dyDescent="0.35">
      <c r="A3569" s="15">
        <v>3</v>
      </c>
      <c r="B3569" s="15" t="s">
        <v>31677</v>
      </c>
      <c r="C3569" s="15" t="s">
        <v>31678</v>
      </c>
      <c r="D3569" s="31">
        <v>39693</v>
      </c>
      <c r="E3569" s="15" t="s">
        <v>31679</v>
      </c>
      <c r="F3569" s="87"/>
      <c r="G3569" s="45" t="s">
        <v>459</v>
      </c>
      <c r="H3569" s="55" t="s">
        <v>460</v>
      </c>
      <c r="I3569" s="15" t="s">
        <v>214</v>
      </c>
    </row>
    <row r="3570" spans="1:9" ht="51.75" customHeight="1" x14ac:dyDescent="0.35">
      <c r="A3570" s="15">
        <v>4</v>
      </c>
      <c r="B3570" s="15" t="s">
        <v>31680</v>
      </c>
      <c r="C3570" s="15" t="s">
        <v>31681</v>
      </c>
      <c r="D3570" s="31">
        <v>39693</v>
      </c>
      <c r="E3570" s="15" t="s">
        <v>31682</v>
      </c>
      <c r="F3570" s="87"/>
      <c r="G3570" s="45" t="s">
        <v>459</v>
      </c>
      <c r="H3570" s="55" t="s">
        <v>460</v>
      </c>
      <c r="I3570" s="15" t="s">
        <v>214</v>
      </c>
    </row>
    <row r="3571" spans="1:9" ht="51.75" customHeight="1" x14ac:dyDescent="0.35">
      <c r="A3571" s="15">
        <v>1</v>
      </c>
      <c r="B3571" s="15" t="s">
        <v>31683</v>
      </c>
      <c r="C3571" s="15" t="s">
        <v>31684</v>
      </c>
      <c r="D3571" s="31">
        <v>39693</v>
      </c>
      <c r="E3571" s="15" t="s">
        <v>31685</v>
      </c>
      <c r="F3571" s="87"/>
      <c r="G3571" s="45" t="s">
        <v>537</v>
      </c>
      <c r="H3571" s="55" t="s">
        <v>538</v>
      </c>
      <c r="I3571" s="15" t="s">
        <v>214</v>
      </c>
    </row>
    <row r="3572" spans="1:9" ht="51.75" customHeight="1" x14ac:dyDescent="0.35">
      <c r="A3572" s="15">
        <v>2</v>
      </c>
      <c r="B3572" s="15" t="s">
        <v>31686</v>
      </c>
      <c r="C3572" s="15" t="s">
        <v>31687</v>
      </c>
      <c r="D3572" s="31">
        <v>39693</v>
      </c>
      <c r="E3572" s="15" t="s">
        <v>31688</v>
      </c>
      <c r="F3572" s="87"/>
      <c r="G3572" s="45" t="s">
        <v>537</v>
      </c>
      <c r="H3572" s="55" t="s">
        <v>538</v>
      </c>
      <c r="I3572" s="15" t="s">
        <v>214</v>
      </c>
    </row>
    <row r="3573" spans="1:9" ht="51.75" customHeight="1" x14ac:dyDescent="0.35">
      <c r="A3573" s="15">
        <v>3</v>
      </c>
      <c r="B3573" s="15" t="s">
        <v>31689</v>
      </c>
      <c r="C3573" s="15" t="s">
        <v>31690</v>
      </c>
      <c r="D3573" s="31">
        <v>39693</v>
      </c>
      <c r="E3573" s="15" t="s">
        <v>31691</v>
      </c>
      <c r="F3573" s="87"/>
      <c r="G3573" s="45" t="s">
        <v>537</v>
      </c>
      <c r="H3573" s="55" t="s">
        <v>538</v>
      </c>
      <c r="I3573" s="15" t="s">
        <v>214</v>
      </c>
    </row>
    <row r="3574" spans="1:9" ht="51.75" customHeight="1" x14ac:dyDescent="0.35">
      <c r="A3574" s="15">
        <v>4</v>
      </c>
      <c r="B3574" s="15" t="s">
        <v>31692</v>
      </c>
      <c r="C3574" s="15" t="s">
        <v>31693</v>
      </c>
      <c r="D3574" s="31">
        <v>39693</v>
      </c>
      <c r="E3574" s="15" t="s">
        <v>31694</v>
      </c>
      <c r="F3574" s="87"/>
      <c r="G3574" s="45" t="s">
        <v>537</v>
      </c>
      <c r="H3574" s="55" t="s">
        <v>538</v>
      </c>
      <c r="I3574" s="15" t="s">
        <v>214</v>
      </c>
    </row>
    <row r="3575" spans="1:9" ht="51.75" customHeight="1" x14ac:dyDescent="0.35">
      <c r="A3575" s="15">
        <v>5</v>
      </c>
      <c r="B3575" s="15" t="s">
        <v>31695</v>
      </c>
      <c r="C3575" s="15" t="s">
        <v>31696</v>
      </c>
      <c r="D3575" s="31">
        <v>39693</v>
      </c>
      <c r="E3575" s="15" t="s">
        <v>31697</v>
      </c>
      <c r="F3575" s="87"/>
      <c r="G3575" s="45" t="s">
        <v>537</v>
      </c>
      <c r="H3575" s="55" t="s">
        <v>538</v>
      </c>
      <c r="I3575" s="15" t="s">
        <v>214</v>
      </c>
    </row>
    <row r="3576" spans="1:9" ht="51.75" customHeight="1" x14ac:dyDescent="0.35">
      <c r="A3576" s="15">
        <v>1</v>
      </c>
      <c r="B3576" s="15" t="s">
        <v>31698</v>
      </c>
      <c r="C3576" s="15" t="s">
        <v>31699</v>
      </c>
      <c r="D3576" s="31">
        <v>39693</v>
      </c>
      <c r="E3576" s="15" t="s">
        <v>31700</v>
      </c>
      <c r="F3576" s="87"/>
      <c r="G3576" s="45" t="s">
        <v>496</v>
      </c>
      <c r="H3576" s="55" t="s">
        <v>497</v>
      </c>
      <c r="I3576" s="15" t="s">
        <v>214</v>
      </c>
    </row>
    <row r="3577" spans="1:9" ht="51.75" customHeight="1" x14ac:dyDescent="0.35">
      <c r="A3577" s="15">
        <v>2</v>
      </c>
      <c r="B3577" s="15" t="s">
        <v>31701</v>
      </c>
      <c r="C3577" s="15" t="s">
        <v>31702</v>
      </c>
      <c r="D3577" s="31">
        <v>39693</v>
      </c>
      <c r="E3577" s="15" t="s">
        <v>31703</v>
      </c>
      <c r="F3577" s="87"/>
      <c r="G3577" s="45" t="s">
        <v>496</v>
      </c>
      <c r="H3577" s="55" t="s">
        <v>497</v>
      </c>
      <c r="I3577" s="15" t="s">
        <v>214</v>
      </c>
    </row>
    <row r="3578" spans="1:9" ht="51.75" customHeight="1" x14ac:dyDescent="0.35">
      <c r="A3578" s="15">
        <v>3</v>
      </c>
      <c r="B3578" s="15" t="s">
        <v>31704</v>
      </c>
      <c r="C3578" s="15" t="s">
        <v>30601</v>
      </c>
      <c r="D3578" s="31">
        <v>39693</v>
      </c>
      <c r="E3578" s="15" t="s">
        <v>31705</v>
      </c>
      <c r="F3578" s="87"/>
      <c r="G3578" s="45" t="s">
        <v>496</v>
      </c>
      <c r="H3578" s="55" t="s">
        <v>497</v>
      </c>
      <c r="I3578" s="15" t="s">
        <v>214</v>
      </c>
    </row>
    <row r="3579" spans="1:9" ht="51.75" customHeight="1" x14ac:dyDescent="0.35">
      <c r="A3579" s="15">
        <v>4</v>
      </c>
      <c r="B3579" s="15" t="s">
        <v>31706</v>
      </c>
      <c r="C3579" s="15" t="s">
        <v>31707</v>
      </c>
      <c r="D3579" s="31">
        <v>39693</v>
      </c>
      <c r="E3579" s="15" t="s">
        <v>31708</v>
      </c>
      <c r="F3579" s="87"/>
      <c r="G3579" s="45" t="s">
        <v>496</v>
      </c>
      <c r="H3579" s="55" t="s">
        <v>497</v>
      </c>
      <c r="I3579" s="15" t="s">
        <v>214</v>
      </c>
    </row>
    <row r="3580" spans="1:9" ht="51.75" customHeight="1" x14ac:dyDescent="0.35">
      <c r="A3580" s="15">
        <v>5</v>
      </c>
      <c r="B3580" s="15" t="s">
        <v>31709</v>
      </c>
      <c r="C3580" s="15" t="s">
        <v>31710</v>
      </c>
      <c r="D3580" s="31">
        <v>39693</v>
      </c>
      <c r="E3580" s="15" t="s">
        <v>31711</v>
      </c>
      <c r="F3580" s="87"/>
      <c r="G3580" s="45" t="s">
        <v>496</v>
      </c>
      <c r="H3580" s="55" t="s">
        <v>497</v>
      </c>
      <c r="I3580" s="15" t="s">
        <v>214</v>
      </c>
    </row>
    <row r="3581" spans="1:9" ht="51.75" customHeight="1" x14ac:dyDescent="0.35">
      <c r="A3581" s="15">
        <v>6</v>
      </c>
      <c r="B3581" s="15" t="s">
        <v>31712</v>
      </c>
      <c r="C3581" s="15" t="s">
        <v>31713</v>
      </c>
      <c r="D3581" s="31">
        <v>39693</v>
      </c>
      <c r="E3581" s="15" t="s">
        <v>31714</v>
      </c>
      <c r="F3581" s="87"/>
      <c r="G3581" s="45" t="s">
        <v>496</v>
      </c>
      <c r="H3581" s="55" t="s">
        <v>497</v>
      </c>
      <c r="I3581" s="15" t="s">
        <v>214</v>
      </c>
    </row>
    <row r="3582" spans="1:9" ht="51.75" customHeight="1" x14ac:dyDescent="0.35">
      <c r="A3582" s="15">
        <v>1</v>
      </c>
      <c r="B3582" s="15" t="s">
        <v>31715</v>
      </c>
      <c r="C3582" s="15" t="s">
        <v>31716</v>
      </c>
      <c r="D3582" s="31">
        <v>38736</v>
      </c>
      <c r="E3582" s="15" t="s">
        <v>31717</v>
      </c>
      <c r="F3582" s="87"/>
      <c r="G3582" s="45" t="s">
        <v>410</v>
      </c>
      <c r="H3582" s="55" t="s">
        <v>411</v>
      </c>
      <c r="I3582" s="15" t="s">
        <v>214</v>
      </c>
    </row>
    <row r="3583" spans="1:9" ht="51.75" customHeight="1" x14ac:dyDescent="0.35">
      <c r="A3583" s="15">
        <v>2</v>
      </c>
      <c r="B3583" s="15" t="s">
        <v>31718</v>
      </c>
      <c r="C3583" s="15" t="s">
        <v>31719</v>
      </c>
      <c r="D3583" s="31">
        <v>38736</v>
      </c>
      <c r="E3583" s="15" t="s">
        <v>31720</v>
      </c>
      <c r="F3583" s="87"/>
      <c r="G3583" s="45" t="s">
        <v>410</v>
      </c>
      <c r="H3583" s="55" t="s">
        <v>411</v>
      </c>
      <c r="I3583" s="15" t="s">
        <v>214</v>
      </c>
    </row>
    <row r="3584" spans="1:9" ht="51.75" customHeight="1" x14ac:dyDescent="0.35">
      <c r="A3584" s="15">
        <v>3</v>
      </c>
      <c r="B3584" s="15" t="s">
        <v>31721</v>
      </c>
      <c r="C3584" s="15" t="s">
        <v>31722</v>
      </c>
      <c r="D3584" s="31">
        <v>38736</v>
      </c>
      <c r="E3584" s="15" t="s">
        <v>31723</v>
      </c>
      <c r="F3584" s="87"/>
      <c r="G3584" s="45" t="s">
        <v>410</v>
      </c>
      <c r="H3584" s="55" t="s">
        <v>411</v>
      </c>
      <c r="I3584" s="15" t="s">
        <v>214</v>
      </c>
    </row>
    <row r="3585" spans="1:9" ht="51.75" customHeight="1" x14ac:dyDescent="0.35">
      <c r="A3585" s="15">
        <v>4</v>
      </c>
      <c r="B3585" s="15" t="s">
        <v>31724</v>
      </c>
      <c r="C3585" s="15" t="s">
        <v>31725</v>
      </c>
      <c r="D3585" s="31">
        <v>38736</v>
      </c>
      <c r="E3585" s="15" t="s">
        <v>31726</v>
      </c>
      <c r="F3585" s="87"/>
      <c r="G3585" s="45" t="s">
        <v>410</v>
      </c>
      <c r="H3585" s="55" t="s">
        <v>411</v>
      </c>
      <c r="I3585" s="15" t="s">
        <v>214</v>
      </c>
    </row>
    <row r="3586" spans="1:9" ht="51.75" customHeight="1" x14ac:dyDescent="0.35">
      <c r="A3586" s="15">
        <v>5</v>
      </c>
      <c r="B3586" s="15" t="s">
        <v>31727</v>
      </c>
      <c r="C3586" s="15" t="s">
        <v>31728</v>
      </c>
      <c r="D3586" s="31">
        <v>38736</v>
      </c>
      <c r="E3586" s="15" t="s">
        <v>31729</v>
      </c>
      <c r="F3586" s="87"/>
      <c r="G3586" s="45" t="s">
        <v>410</v>
      </c>
      <c r="H3586" s="55" t="s">
        <v>411</v>
      </c>
      <c r="I3586" s="15" t="s">
        <v>214</v>
      </c>
    </row>
    <row r="3587" spans="1:9" ht="51.75" customHeight="1" x14ac:dyDescent="0.35">
      <c r="A3587" s="15">
        <v>6</v>
      </c>
      <c r="B3587" s="15" t="s">
        <v>31730</v>
      </c>
      <c r="C3587" s="15" t="s">
        <v>31731</v>
      </c>
      <c r="D3587" s="31">
        <v>38736</v>
      </c>
      <c r="E3587" s="15" t="s">
        <v>31732</v>
      </c>
      <c r="F3587" s="87"/>
      <c r="G3587" s="45" t="s">
        <v>410</v>
      </c>
      <c r="H3587" s="55" t="s">
        <v>411</v>
      </c>
      <c r="I3587" s="15" t="s">
        <v>214</v>
      </c>
    </row>
    <row r="3588" spans="1:9" ht="51.75" customHeight="1" x14ac:dyDescent="0.35">
      <c r="A3588" s="15">
        <v>1</v>
      </c>
      <c r="B3588" s="15" t="s">
        <v>31733</v>
      </c>
      <c r="C3588" s="15" t="s">
        <v>31734</v>
      </c>
      <c r="D3588" s="31">
        <v>39693</v>
      </c>
      <c r="E3588" s="15" t="s">
        <v>31735</v>
      </c>
      <c r="F3588" s="87"/>
      <c r="G3588" s="45" t="s">
        <v>482</v>
      </c>
      <c r="H3588" s="55" t="s">
        <v>483</v>
      </c>
      <c r="I3588" s="15" t="s">
        <v>214</v>
      </c>
    </row>
    <row r="3589" spans="1:9" ht="51.75" customHeight="1" x14ac:dyDescent="0.35">
      <c r="A3589" s="15">
        <v>2</v>
      </c>
      <c r="B3589" s="15" t="s">
        <v>31736</v>
      </c>
      <c r="C3589" s="15" t="s">
        <v>31737</v>
      </c>
      <c r="D3589" s="31">
        <v>39693</v>
      </c>
      <c r="E3589" s="15" t="s">
        <v>31738</v>
      </c>
      <c r="F3589" s="87"/>
      <c r="G3589" s="45" t="s">
        <v>482</v>
      </c>
      <c r="H3589" s="55" t="s">
        <v>483</v>
      </c>
      <c r="I3589" s="15" t="s">
        <v>214</v>
      </c>
    </row>
    <row r="3590" spans="1:9" ht="51.75" customHeight="1" x14ac:dyDescent="0.35">
      <c r="A3590" s="15">
        <v>3</v>
      </c>
      <c r="B3590" s="15" t="s">
        <v>31739</v>
      </c>
      <c r="C3590" s="15" t="s">
        <v>31740</v>
      </c>
      <c r="D3590" s="31">
        <v>39693</v>
      </c>
      <c r="E3590" s="15" t="s">
        <v>31741</v>
      </c>
      <c r="F3590" s="87"/>
      <c r="G3590" s="45" t="s">
        <v>482</v>
      </c>
      <c r="H3590" s="55" t="s">
        <v>483</v>
      </c>
      <c r="I3590" s="15" t="s">
        <v>214</v>
      </c>
    </row>
    <row r="3591" spans="1:9" ht="51.75" customHeight="1" x14ac:dyDescent="0.35">
      <c r="A3591" s="15">
        <v>4</v>
      </c>
      <c r="B3591" s="15" t="s">
        <v>31742</v>
      </c>
      <c r="C3591" s="15" t="s">
        <v>31743</v>
      </c>
      <c r="D3591" s="31">
        <v>39693</v>
      </c>
      <c r="E3591" s="15" t="s">
        <v>31744</v>
      </c>
      <c r="F3591" s="87"/>
      <c r="G3591" s="45" t="s">
        <v>482</v>
      </c>
      <c r="H3591" s="55" t="s">
        <v>483</v>
      </c>
      <c r="I3591" s="15" t="s">
        <v>214</v>
      </c>
    </row>
    <row r="3592" spans="1:9" ht="51.75" customHeight="1" x14ac:dyDescent="0.35">
      <c r="A3592" s="15">
        <v>5</v>
      </c>
      <c r="B3592" s="15" t="s">
        <v>31745</v>
      </c>
      <c r="C3592" s="15" t="s">
        <v>31746</v>
      </c>
      <c r="D3592" s="31">
        <v>39693</v>
      </c>
      <c r="E3592" s="15" t="s">
        <v>31747</v>
      </c>
      <c r="F3592" s="87"/>
      <c r="G3592" s="45" t="s">
        <v>482</v>
      </c>
      <c r="H3592" s="55" t="s">
        <v>483</v>
      </c>
      <c r="I3592" s="15" t="s">
        <v>214</v>
      </c>
    </row>
    <row r="3593" spans="1:9" ht="51.75" customHeight="1" x14ac:dyDescent="0.35">
      <c r="A3593" s="15">
        <v>6</v>
      </c>
      <c r="B3593" s="15" t="s">
        <v>31748</v>
      </c>
      <c r="C3593" s="15" t="s">
        <v>31749</v>
      </c>
      <c r="D3593" s="31">
        <v>39693</v>
      </c>
      <c r="E3593" s="15" t="s">
        <v>31750</v>
      </c>
      <c r="F3593" s="87"/>
      <c r="G3593" s="45" t="s">
        <v>482</v>
      </c>
      <c r="H3593" s="55" t="s">
        <v>483</v>
      </c>
      <c r="I3593" s="15" t="s">
        <v>214</v>
      </c>
    </row>
    <row r="3594" spans="1:9" ht="51.75" customHeight="1" x14ac:dyDescent="0.35">
      <c r="A3594" s="15">
        <v>7</v>
      </c>
      <c r="B3594" s="15" t="s">
        <v>31751</v>
      </c>
      <c r="C3594" s="15" t="s">
        <v>31752</v>
      </c>
      <c r="D3594" s="31">
        <v>39693</v>
      </c>
      <c r="E3594" s="15" t="s">
        <v>31753</v>
      </c>
      <c r="F3594" s="87"/>
      <c r="G3594" s="45" t="s">
        <v>482</v>
      </c>
      <c r="H3594" s="55" t="s">
        <v>483</v>
      </c>
      <c r="I3594" s="15" t="s">
        <v>214</v>
      </c>
    </row>
    <row r="3595" spans="1:9" ht="51.75" customHeight="1" x14ac:dyDescent="0.35">
      <c r="A3595" s="15">
        <v>1</v>
      </c>
      <c r="B3595" s="15" t="s">
        <v>31754</v>
      </c>
      <c r="C3595" s="15" t="s">
        <v>31755</v>
      </c>
      <c r="D3595" s="31">
        <v>39693</v>
      </c>
      <c r="E3595" s="15" t="s">
        <v>31756</v>
      </c>
      <c r="F3595" s="87"/>
      <c r="G3595" s="45" t="s">
        <v>446</v>
      </c>
      <c r="H3595" s="55" t="s">
        <v>447</v>
      </c>
      <c r="I3595" s="15" t="s">
        <v>214</v>
      </c>
    </row>
    <row r="3596" spans="1:9" ht="51.75" customHeight="1" x14ac:dyDescent="0.35">
      <c r="A3596" s="15">
        <v>2</v>
      </c>
      <c r="B3596" s="15" t="s">
        <v>31757</v>
      </c>
      <c r="C3596" s="15" t="s">
        <v>31758</v>
      </c>
      <c r="D3596" s="31">
        <v>39693</v>
      </c>
      <c r="E3596" s="15" t="s">
        <v>31759</v>
      </c>
      <c r="F3596" s="87"/>
      <c r="G3596" s="45" t="s">
        <v>446</v>
      </c>
      <c r="H3596" s="55" t="s">
        <v>447</v>
      </c>
      <c r="I3596" s="15" t="s">
        <v>214</v>
      </c>
    </row>
    <row r="3597" spans="1:9" ht="51.75" customHeight="1" x14ac:dyDescent="0.35">
      <c r="A3597" s="15">
        <v>1</v>
      </c>
      <c r="B3597" s="15" t="s">
        <v>31760</v>
      </c>
      <c r="C3597" s="15" t="s">
        <v>31761</v>
      </c>
      <c r="D3597" s="31">
        <v>39693</v>
      </c>
      <c r="E3597" s="15" t="s">
        <v>31762</v>
      </c>
      <c r="F3597" s="87"/>
      <c r="G3597" s="45" t="s">
        <v>502</v>
      </c>
      <c r="H3597" s="55" t="s">
        <v>503</v>
      </c>
      <c r="I3597" s="15" t="s">
        <v>214</v>
      </c>
    </row>
    <row r="3598" spans="1:9" ht="51.75" customHeight="1" x14ac:dyDescent="0.35">
      <c r="A3598" s="15">
        <v>2</v>
      </c>
      <c r="B3598" s="15" t="s">
        <v>31763</v>
      </c>
      <c r="C3598" s="15" t="s">
        <v>31764</v>
      </c>
      <c r="D3598" s="31">
        <v>39693</v>
      </c>
      <c r="E3598" s="15" t="s">
        <v>31765</v>
      </c>
      <c r="F3598" s="87"/>
      <c r="G3598" s="45" t="s">
        <v>502</v>
      </c>
      <c r="H3598" s="55" t="s">
        <v>503</v>
      </c>
      <c r="I3598" s="15" t="s">
        <v>214</v>
      </c>
    </row>
    <row r="3599" spans="1:9" ht="51.75" customHeight="1" x14ac:dyDescent="0.35">
      <c r="A3599" s="15">
        <v>3</v>
      </c>
      <c r="B3599" s="15" t="s">
        <v>31766</v>
      </c>
      <c r="C3599" s="15" t="s">
        <v>31767</v>
      </c>
      <c r="D3599" s="31">
        <v>39693</v>
      </c>
      <c r="E3599" s="15" t="s">
        <v>31768</v>
      </c>
      <c r="F3599" s="87"/>
      <c r="G3599" s="45" t="s">
        <v>502</v>
      </c>
      <c r="H3599" s="55" t="s">
        <v>503</v>
      </c>
      <c r="I3599" s="15" t="s">
        <v>214</v>
      </c>
    </row>
    <row r="3600" spans="1:9" ht="51.75" customHeight="1" x14ac:dyDescent="0.35">
      <c r="A3600" s="15">
        <v>4</v>
      </c>
      <c r="B3600" s="15" t="s">
        <v>31769</v>
      </c>
      <c r="C3600" s="15" t="s">
        <v>31770</v>
      </c>
      <c r="D3600" s="31">
        <v>39693</v>
      </c>
      <c r="E3600" s="15" t="s">
        <v>31771</v>
      </c>
      <c r="F3600" s="87"/>
      <c r="G3600" s="45" t="s">
        <v>502</v>
      </c>
      <c r="H3600" s="55" t="s">
        <v>503</v>
      </c>
      <c r="I3600" s="15" t="s">
        <v>214</v>
      </c>
    </row>
    <row r="3601" spans="1:9" ht="51.75" customHeight="1" x14ac:dyDescent="0.35">
      <c r="A3601" s="15">
        <v>1</v>
      </c>
      <c r="B3601" s="15" t="s">
        <v>31772</v>
      </c>
      <c r="C3601" s="15" t="s">
        <v>31773</v>
      </c>
      <c r="D3601" s="31">
        <v>39693</v>
      </c>
      <c r="E3601" s="15" t="s">
        <v>31774</v>
      </c>
      <c r="F3601" s="87"/>
      <c r="G3601" s="45" t="s">
        <v>510</v>
      </c>
      <c r="H3601" s="55" t="s">
        <v>511</v>
      </c>
      <c r="I3601" s="15" t="s">
        <v>214</v>
      </c>
    </row>
    <row r="3602" spans="1:9" ht="51.75" customHeight="1" x14ac:dyDescent="0.35">
      <c r="A3602" s="15">
        <v>2</v>
      </c>
      <c r="B3602" s="15" t="s">
        <v>31775</v>
      </c>
      <c r="C3602" s="15" t="s">
        <v>31776</v>
      </c>
      <c r="D3602" s="31">
        <v>39693</v>
      </c>
      <c r="E3602" s="15" t="s">
        <v>31777</v>
      </c>
      <c r="F3602" s="87"/>
      <c r="G3602" s="45" t="s">
        <v>510</v>
      </c>
      <c r="H3602" s="55" t="s">
        <v>511</v>
      </c>
      <c r="I3602" s="15" t="s">
        <v>214</v>
      </c>
    </row>
    <row r="3603" spans="1:9" ht="51.75" customHeight="1" x14ac:dyDescent="0.35">
      <c r="A3603" s="15">
        <v>3</v>
      </c>
      <c r="B3603" s="15" t="s">
        <v>31778</v>
      </c>
      <c r="C3603" s="15" t="s">
        <v>31779</v>
      </c>
      <c r="D3603" s="31">
        <v>39693</v>
      </c>
      <c r="E3603" s="15" t="s">
        <v>31780</v>
      </c>
      <c r="F3603" s="87"/>
      <c r="G3603" s="45" t="s">
        <v>510</v>
      </c>
      <c r="H3603" s="55" t="s">
        <v>511</v>
      </c>
      <c r="I3603" s="15" t="s">
        <v>214</v>
      </c>
    </row>
    <row r="3604" spans="1:9" ht="51.75" customHeight="1" x14ac:dyDescent="0.35">
      <c r="A3604" s="15">
        <v>4</v>
      </c>
      <c r="B3604" s="15" t="s">
        <v>31781</v>
      </c>
      <c r="C3604" s="15" t="s">
        <v>31782</v>
      </c>
      <c r="D3604" s="31">
        <v>39693</v>
      </c>
      <c r="E3604" s="15" t="s">
        <v>31783</v>
      </c>
      <c r="F3604" s="87"/>
      <c r="G3604" s="45" t="s">
        <v>510</v>
      </c>
      <c r="H3604" s="55" t="s">
        <v>511</v>
      </c>
      <c r="I3604" s="15" t="s">
        <v>214</v>
      </c>
    </row>
    <row r="3605" spans="1:9" ht="51.75" customHeight="1" x14ac:dyDescent="0.35">
      <c r="A3605" s="15">
        <v>5</v>
      </c>
      <c r="B3605" s="15" t="s">
        <v>31784</v>
      </c>
      <c r="C3605" s="15" t="s">
        <v>31785</v>
      </c>
      <c r="D3605" s="31">
        <v>39693</v>
      </c>
      <c r="E3605" s="15" t="s">
        <v>31786</v>
      </c>
      <c r="F3605" s="87"/>
      <c r="G3605" s="45" t="s">
        <v>510</v>
      </c>
      <c r="H3605" s="55" t="s">
        <v>511</v>
      </c>
      <c r="I3605" s="15" t="s">
        <v>214</v>
      </c>
    </row>
    <row r="3606" spans="1:9" ht="51.75" customHeight="1" x14ac:dyDescent="0.35">
      <c r="A3606" s="15">
        <v>6</v>
      </c>
      <c r="B3606" s="15" t="s">
        <v>31787</v>
      </c>
      <c r="C3606" s="15" t="s">
        <v>31788</v>
      </c>
      <c r="D3606" s="31">
        <v>39693</v>
      </c>
      <c r="E3606" s="15" t="s">
        <v>31789</v>
      </c>
      <c r="F3606" s="87"/>
      <c r="G3606" s="45" t="s">
        <v>510</v>
      </c>
      <c r="H3606" s="55" t="s">
        <v>511</v>
      </c>
      <c r="I3606" s="15" t="s">
        <v>214</v>
      </c>
    </row>
    <row r="3607" spans="1:9" ht="51.75" customHeight="1" x14ac:dyDescent="0.35">
      <c r="A3607" s="15">
        <v>1</v>
      </c>
      <c r="B3607" s="15" t="s">
        <v>31790</v>
      </c>
      <c r="C3607" s="15" t="s">
        <v>31791</v>
      </c>
      <c r="D3607" s="31">
        <v>39262</v>
      </c>
      <c r="E3607" s="15" t="s">
        <v>31792</v>
      </c>
      <c r="F3607" s="87"/>
      <c r="G3607" s="45" t="s">
        <v>660</v>
      </c>
      <c r="H3607" s="55" t="s">
        <v>661</v>
      </c>
      <c r="I3607" s="15" t="s">
        <v>214</v>
      </c>
    </row>
    <row r="3608" spans="1:9" ht="51.75" customHeight="1" x14ac:dyDescent="0.35">
      <c r="A3608" s="15">
        <v>2</v>
      </c>
      <c r="B3608" s="15" t="s">
        <v>31793</v>
      </c>
      <c r="C3608" s="15" t="s">
        <v>31794</v>
      </c>
      <c r="D3608" s="31">
        <v>39262</v>
      </c>
      <c r="E3608" s="15" t="s">
        <v>31795</v>
      </c>
      <c r="F3608" s="87"/>
      <c r="G3608" s="45" t="s">
        <v>660</v>
      </c>
      <c r="H3608" s="55" t="s">
        <v>661</v>
      </c>
      <c r="I3608" s="15" t="s">
        <v>214</v>
      </c>
    </row>
    <row r="3609" spans="1:9" ht="51.75" customHeight="1" x14ac:dyDescent="0.35">
      <c r="A3609" s="15">
        <v>3</v>
      </c>
      <c r="B3609" s="15" t="s">
        <v>31796</v>
      </c>
      <c r="C3609" s="15" t="s">
        <v>31797</v>
      </c>
      <c r="D3609" s="31">
        <v>39262</v>
      </c>
      <c r="E3609" s="15" t="s">
        <v>31798</v>
      </c>
      <c r="F3609" s="87"/>
      <c r="G3609" s="45" t="s">
        <v>660</v>
      </c>
      <c r="H3609" s="55" t="s">
        <v>661</v>
      </c>
      <c r="I3609" s="15" t="s">
        <v>214</v>
      </c>
    </row>
    <row r="3610" spans="1:9" ht="51.75" customHeight="1" x14ac:dyDescent="0.35">
      <c r="A3610" s="15">
        <v>4</v>
      </c>
      <c r="B3610" s="15" t="s">
        <v>31799</v>
      </c>
      <c r="C3610" s="15" t="s">
        <v>31800</v>
      </c>
      <c r="D3610" s="31">
        <v>39262</v>
      </c>
      <c r="E3610" s="15" t="s">
        <v>31801</v>
      </c>
      <c r="F3610" s="87"/>
      <c r="G3610" s="45" t="s">
        <v>660</v>
      </c>
      <c r="H3610" s="55" t="s">
        <v>661</v>
      </c>
      <c r="I3610" s="15" t="s">
        <v>214</v>
      </c>
    </row>
    <row r="3611" spans="1:9" ht="51.75" customHeight="1" x14ac:dyDescent="0.35">
      <c r="A3611" s="15">
        <v>5</v>
      </c>
      <c r="B3611" s="15" t="s">
        <v>31802</v>
      </c>
      <c r="C3611" s="15" t="s">
        <v>31803</v>
      </c>
      <c r="D3611" s="31">
        <v>39262</v>
      </c>
      <c r="E3611" s="15" t="s">
        <v>31804</v>
      </c>
      <c r="F3611" s="87"/>
      <c r="G3611" s="45" t="s">
        <v>660</v>
      </c>
      <c r="H3611" s="55" t="s">
        <v>661</v>
      </c>
      <c r="I3611" s="15" t="s">
        <v>214</v>
      </c>
    </row>
    <row r="3612" spans="1:9" ht="51.75" customHeight="1" x14ac:dyDescent="0.35">
      <c r="A3612" s="15">
        <v>6</v>
      </c>
      <c r="B3612" s="15" t="s">
        <v>31805</v>
      </c>
      <c r="C3612" s="15" t="s">
        <v>31806</v>
      </c>
      <c r="D3612" s="31">
        <v>39262</v>
      </c>
      <c r="E3612" s="15" t="s">
        <v>31807</v>
      </c>
      <c r="F3612" s="87"/>
      <c r="G3612" s="45" t="s">
        <v>660</v>
      </c>
      <c r="H3612" s="55" t="s">
        <v>661</v>
      </c>
      <c r="I3612" s="15" t="s">
        <v>214</v>
      </c>
    </row>
    <row r="3613" spans="1:9" ht="51.75" customHeight="1" x14ac:dyDescent="0.35">
      <c r="A3613" s="15">
        <v>7</v>
      </c>
      <c r="B3613" s="15" t="s">
        <v>31808</v>
      </c>
      <c r="C3613" s="15" t="s">
        <v>31809</v>
      </c>
      <c r="D3613" s="31">
        <v>39262</v>
      </c>
      <c r="E3613" s="15" t="s">
        <v>31810</v>
      </c>
      <c r="F3613" s="87"/>
      <c r="G3613" s="45" t="s">
        <v>660</v>
      </c>
      <c r="H3613" s="55" t="s">
        <v>661</v>
      </c>
      <c r="I3613" s="15" t="s">
        <v>214</v>
      </c>
    </row>
    <row r="3614" spans="1:9" ht="51.75" customHeight="1" x14ac:dyDescent="0.35">
      <c r="A3614" s="15">
        <v>8</v>
      </c>
      <c r="B3614" s="15" t="s">
        <v>31811</v>
      </c>
      <c r="C3614" s="15" t="s">
        <v>31812</v>
      </c>
      <c r="D3614" s="31">
        <v>39262</v>
      </c>
      <c r="E3614" s="15" t="s">
        <v>31813</v>
      </c>
      <c r="F3614" s="87"/>
      <c r="G3614" s="45" t="s">
        <v>660</v>
      </c>
      <c r="H3614" s="55" t="s">
        <v>661</v>
      </c>
      <c r="I3614" s="15" t="s">
        <v>214</v>
      </c>
    </row>
    <row r="3615" spans="1:9" ht="51.75" customHeight="1" x14ac:dyDescent="0.35">
      <c r="A3615" s="15">
        <v>9</v>
      </c>
      <c r="B3615" s="15" t="s">
        <v>31814</v>
      </c>
      <c r="C3615" s="15" t="s">
        <v>31815</v>
      </c>
      <c r="D3615" s="31">
        <v>39262</v>
      </c>
      <c r="E3615" s="15" t="s">
        <v>31816</v>
      </c>
      <c r="F3615" s="87"/>
      <c r="G3615" s="45" t="s">
        <v>660</v>
      </c>
      <c r="H3615" s="55" t="s">
        <v>661</v>
      </c>
      <c r="I3615" s="15" t="s">
        <v>214</v>
      </c>
    </row>
    <row r="3616" spans="1:9" ht="51.75" customHeight="1" x14ac:dyDescent="0.35">
      <c r="A3616" s="15">
        <v>10</v>
      </c>
      <c r="B3616" s="15" t="s">
        <v>31817</v>
      </c>
      <c r="C3616" s="15" t="s">
        <v>31818</v>
      </c>
      <c r="D3616" s="31">
        <v>39262</v>
      </c>
      <c r="E3616" s="15" t="s">
        <v>31819</v>
      </c>
      <c r="F3616" s="87"/>
      <c r="G3616" s="45" t="s">
        <v>660</v>
      </c>
      <c r="H3616" s="55" t="s">
        <v>661</v>
      </c>
      <c r="I3616" s="15" t="s">
        <v>214</v>
      </c>
    </row>
    <row r="3617" spans="1:9" ht="51.75" customHeight="1" x14ac:dyDescent="0.35">
      <c r="A3617" s="15">
        <v>1</v>
      </c>
      <c r="B3617" s="15" t="s">
        <v>31820</v>
      </c>
      <c r="C3617" s="15" t="s">
        <v>31821</v>
      </c>
      <c r="D3617" s="31">
        <v>39294</v>
      </c>
      <c r="E3617" s="15" t="s">
        <v>31822</v>
      </c>
      <c r="F3617" s="87"/>
      <c r="G3617" s="45" t="s">
        <v>823</v>
      </c>
      <c r="H3617" s="55" t="s">
        <v>824</v>
      </c>
      <c r="I3617" s="15" t="s">
        <v>214</v>
      </c>
    </row>
    <row r="3618" spans="1:9" ht="51.75" customHeight="1" x14ac:dyDescent="0.35">
      <c r="A3618" s="15">
        <v>2</v>
      </c>
      <c r="B3618" s="15" t="s">
        <v>31823</v>
      </c>
      <c r="C3618" s="15" t="s">
        <v>31824</v>
      </c>
      <c r="D3618" s="31">
        <v>39294</v>
      </c>
      <c r="E3618" s="15" t="s">
        <v>31825</v>
      </c>
      <c r="F3618" s="87"/>
      <c r="G3618" s="45" t="s">
        <v>823</v>
      </c>
      <c r="H3618" s="55" t="s">
        <v>824</v>
      </c>
      <c r="I3618" s="15" t="s">
        <v>214</v>
      </c>
    </row>
    <row r="3619" spans="1:9" ht="51.75" customHeight="1" x14ac:dyDescent="0.35">
      <c r="A3619" s="15">
        <v>3</v>
      </c>
      <c r="B3619" s="15" t="s">
        <v>31826</v>
      </c>
      <c r="C3619" s="15" t="s">
        <v>31827</v>
      </c>
      <c r="D3619" s="31">
        <v>39294</v>
      </c>
      <c r="E3619" s="15" t="s">
        <v>31828</v>
      </c>
      <c r="F3619" s="87"/>
      <c r="G3619" s="45" t="s">
        <v>823</v>
      </c>
      <c r="H3619" s="55" t="s">
        <v>824</v>
      </c>
      <c r="I3619" s="15" t="s">
        <v>214</v>
      </c>
    </row>
    <row r="3620" spans="1:9" ht="51.75" customHeight="1" x14ac:dyDescent="0.35">
      <c r="A3620" s="15">
        <v>4</v>
      </c>
      <c r="B3620" s="15" t="s">
        <v>31829</v>
      </c>
      <c r="C3620" s="15" t="s">
        <v>31830</v>
      </c>
      <c r="D3620" s="31">
        <v>39294</v>
      </c>
      <c r="E3620" s="15" t="s">
        <v>31831</v>
      </c>
      <c r="F3620" s="87"/>
      <c r="G3620" s="45" t="s">
        <v>823</v>
      </c>
      <c r="H3620" s="55" t="s">
        <v>824</v>
      </c>
      <c r="I3620" s="15" t="s">
        <v>214</v>
      </c>
    </row>
    <row r="3621" spans="1:9" ht="51.75" customHeight="1" x14ac:dyDescent="0.35">
      <c r="A3621" s="15">
        <v>1</v>
      </c>
      <c r="B3621" s="15" t="s">
        <v>31832</v>
      </c>
      <c r="C3621" s="15" t="s">
        <v>31833</v>
      </c>
      <c r="D3621" s="31">
        <v>39100</v>
      </c>
      <c r="E3621" s="15" t="s">
        <v>31834</v>
      </c>
      <c r="F3621" s="87"/>
      <c r="G3621" s="45" t="s">
        <v>1400</v>
      </c>
      <c r="H3621" s="55" t="s">
        <v>1401</v>
      </c>
      <c r="I3621" s="15" t="s">
        <v>214</v>
      </c>
    </row>
    <row r="3622" spans="1:9" ht="51.75" customHeight="1" x14ac:dyDescent="0.35">
      <c r="A3622" s="15">
        <v>2</v>
      </c>
      <c r="B3622" s="15" t="s">
        <v>31835</v>
      </c>
      <c r="C3622" s="15" t="s">
        <v>31836</v>
      </c>
      <c r="D3622" s="31">
        <v>39100</v>
      </c>
      <c r="E3622" s="15" t="s">
        <v>31837</v>
      </c>
      <c r="F3622" s="87"/>
      <c r="G3622" s="45" t="s">
        <v>1400</v>
      </c>
      <c r="H3622" s="55" t="s">
        <v>1401</v>
      </c>
      <c r="I3622" s="15" t="s">
        <v>214</v>
      </c>
    </row>
    <row r="3623" spans="1:9" ht="51.75" customHeight="1" x14ac:dyDescent="0.35">
      <c r="A3623" s="15">
        <v>3</v>
      </c>
      <c r="B3623" s="15" t="s">
        <v>31838</v>
      </c>
      <c r="C3623" s="15" t="s">
        <v>31839</v>
      </c>
      <c r="D3623" s="31">
        <v>39100</v>
      </c>
      <c r="E3623" s="15" t="s">
        <v>31840</v>
      </c>
      <c r="F3623" s="87"/>
      <c r="G3623" s="45" t="s">
        <v>1400</v>
      </c>
      <c r="H3623" s="55" t="s">
        <v>1401</v>
      </c>
      <c r="I3623" s="15" t="s">
        <v>214</v>
      </c>
    </row>
    <row r="3624" spans="1:9" ht="51.75" customHeight="1" x14ac:dyDescent="0.35">
      <c r="A3624" s="15">
        <v>4</v>
      </c>
      <c r="B3624" s="15" t="s">
        <v>31841</v>
      </c>
      <c r="C3624" s="15" t="s">
        <v>31842</v>
      </c>
      <c r="D3624" s="31">
        <v>39100</v>
      </c>
      <c r="E3624" s="15" t="s">
        <v>31843</v>
      </c>
      <c r="F3624" s="87"/>
      <c r="G3624" s="45" t="s">
        <v>1400</v>
      </c>
      <c r="H3624" s="55" t="s">
        <v>1401</v>
      </c>
      <c r="I3624" s="15" t="s">
        <v>214</v>
      </c>
    </row>
    <row r="3625" spans="1:9" ht="51.75" customHeight="1" x14ac:dyDescent="0.35">
      <c r="A3625" s="15">
        <v>5</v>
      </c>
      <c r="B3625" s="15" t="s">
        <v>31844</v>
      </c>
      <c r="C3625" s="15" t="s">
        <v>31845</v>
      </c>
      <c r="D3625" s="31">
        <v>39100</v>
      </c>
      <c r="E3625" s="15" t="s">
        <v>31846</v>
      </c>
      <c r="F3625" s="87"/>
      <c r="G3625" s="45" t="s">
        <v>1400</v>
      </c>
      <c r="H3625" s="55" t="s">
        <v>1401</v>
      </c>
      <c r="I3625" s="15" t="s">
        <v>214</v>
      </c>
    </row>
    <row r="3626" spans="1:9" ht="51.75" customHeight="1" x14ac:dyDescent="0.35">
      <c r="A3626" s="15">
        <v>6</v>
      </c>
      <c r="B3626" s="15" t="s">
        <v>31847</v>
      </c>
      <c r="C3626" s="15" t="s">
        <v>31848</v>
      </c>
      <c r="D3626" s="31">
        <v>39100</v>
      </c>
      <c r="E3626" s="15" t="s">
        <v>31849</v>
      </c>
      <c r="F3626" s="87"/>
      <c r="G3626" s="45" t="s">
        <v>1400</v>
      </c>
      <c r="H3626" s="55" t="s">
        <v>1401</v>
      </c>
      <c r="I3626" s="15" t="s">
        <v>214</v>
      </c>
    </row>
    <row r="3627" spans="1:9" ht="51.75" customHeight="1" x14ac:dyDescent="0.35">
      <c r="A3627" s="15">
        <v>7</v>
      </c>
      <c r="B3627" s="15" t="s">
        <v>31850</v>
      </c>
      <c r="C3627" s="15" t="s">
        <v>31851</v>
      </c>
      <c r="D3627" s="31">
        <v>39100</v>
      </c>
      <c r="E3627" s="15" t="s">
        <v>31852</v>
      </c>
      <c r="F3627" s="87"/>
      <c r="G3627" s="45" t="s">
        <v>1400</v>
      </c>
      <c r="H3627" s="55" t="s">
        <v>1401</v>
      </c>
      <c r="I3627" s="15" t="s">
        <v>214</v>
      </c>
    </row>
    <row r="3628" spans="1:9" ht="51.75" customHeight="1" x14ac:dyDescent="0.35">
      <c r="A3628" s="15">
        <v>8</v>
      </c>
      <c r="B3628" s="15" t="s">
        <v>31853</v>
      </c>
      <c r="C3628" s="15" t="s">
        <v>31854</v>
      </c>
      <c r="D3628" s="31">
        <v>39100</v>
      </c>
      <c r="E3628" s="15" t="s">
        <v>31855</v>
      </c>
      <c r="F3628" s="87"/>
      <c r="G3628" s="45" t="s">
        <v>1400</v>
      </c>
      <c r="H3628" s="55" t="s">
        <v>1401</v>
      </c>
      <c r="I3628" s="15" t="s">
        <v>214</v>
      </c>
    </row>
    <row r="3629" spans="1:9" ht="51.75" customHeight="1" x14ac:dyDescent="0.35">
      <c r="A3629" s="15">
        <v>9</v>
      </c>
      <c r="B3629" s="15" t="s">
        <v>31856</v>
      </c>
      <c r="C3629" s="15" t="s">
        <v>31857</v>
      </c>
      <c r="D3629" s="31">
        <v>39100</v>
      </c>
      <c r="E3629" s="15" t="s">
        <v>31858</v>
      </c>
      <c r="F3629" s="87"/>
      <c r="G3629" s="45" t="s">
        <v>1400</v>
      </c>
      <c r="H3629" s="55" t="s">
        <v>1401</v>
      </c>
      <c r="I3629" s="15" t="s">
        <v>214</v>
      </c>
    </row>
    <row r="3630" spans="1:9" ht="51.75" customHeight="1" x14ac:dyDescent="0.35">
      <c r="A3630" s="15">
        <v>1</v>
      </c>
      <c r="B3630" s="15" t="s">
        <v>31859</v>
      </c>
      <c r="C3630" s="15" t="s">
        <v>31860</v>
      </c>
      <c r="D3630" s="31">
        <v>39263</v>
      </c>
      <c r="E3630" s="15" t="s">
        <v>31861</v>
      </c>
      <c r="F3630" s="87"/>
      <c r="G3630" s="45" t="s">
        <v>916</v>
      </c>
      <c r="H3630" s="55" t="s">
        <v>917</v>
      </c>
      <c r="I3630" s="15" t="s">
        <v>214</v>
      </c>
    </row>
    <row r="3631" spans="1:9" ht="51.75" customHeight="1" x14ac:dyDescent="0.35">
      <c r="A3631" s="15">
        <v>2</v>
      </c>
      <c r="B3631" s="15" t="s">
        <v>31862</v>
      </c>
      <c r="C3631" s="15" t="s">
        <v>31863</v>
      </c>
      <c r="D3631" s="31">
        <v>39263</v>
      </c>
      <c r="E3631" s="15" t="s">
        <v>31864</v>
      </c>
      <c r="F3631" s="87"/>
      <c r="G3631" s="45" t="s">
        <v>916</v>
      </c>
      <c r="H3631" s="55" t="s">
        <v>917</v>
      </c>
      <c r="I3631" s="15" t="s">
        <v>214</v>
      </c>
    </row>
    <row r="3632" spans="1:9" ht="51.75" customHeight="1" x14ac:dyDescent="0.35">
      <c r="A3632" s="15">
        <v>3</v>
      </c>
      <c r="B3632" s="15" t="s">
        <v>31865</v>
      </c>
      <c r="C3632" s="15" t="s">
        <v>31866</v>
      </c>
      <c r="D3632" s="31">
        <v>39263</v>
      </c>
      <c r="E3632" s="15" t="s">
        <v>31867</v>
      </c>
      <c r="F3632" s="87"/>
      <c r="G3632" s="45" t="s">
        <v>916</v>
      </c>
      <c r="H3632" s="55" t="s">
        <v>917</v>
      </c>
      <c r="I3632" s="15" t="s">
        <v>214</v>
      </c>
    </row>
    <row r="3633" spans="1:9" ht="51.75" customHeight="1" x14ac:dyDescent="0.35">
      <c r="A3633" s="15">
        <v>4</v>
      </c>
      <c r="B3633" s="15" t="s">
        <v>31868</v>
      </c>
      <c r="C3633" s="15" t="s">
        <v>31869</v>
      </c>
      <c r="D3633" s="31">
        <v>39263</v>
      </c>
      <c r="E3633" s="15" t="s">
        <v>31870</v>
      </c>
      <c r="F3633" s="87"/>
      <c r="G3633" s="45" t="s">
        <v>916</v>
      </c>
      <c r="H3633" s="55" t="s">
        <v>917</v>
      </c>
      <c r="I3633" s="15" t="s">
        <v>214</v>
      </c>
    </row>
    <row r="3634" spans="1:9" ht="51.75" customHeight="1" x14ac:dyDescent="0.35">
      <c r="A3634" s="15">
        <v>5</v>
      </c>
      <c r="B3634" s="15" t="s">
        <v>31871</v>
      </c>
      <c r="C3634" s="15" t="s">
        <v>31869</v>
      </c>
      <c r="D3634" s="31">
        <v>39263</v>
      </c>
      <c r="E3634" s="15" t="s">
        <v>31870</v>
      </c>
      <c r="F3634" s="87"/>
      <c r="G3634" s="45" t="s">
        <v>916</v>
      </c>
      <c r="H3634" s="55" t="s">
        <v>917</v>
      </c>
      <c r="I3634" s="15" t="s">
        <v>214</v>
      </c>
    </row>
    <row r="3635" spans="1:9" ht="51.75" customHeight="1" x14ac:dyDescent="0.35">
      <c r="A3635" s="15">
        <v>6</v>
      </c>
      <c r="B3635" s="15" t="s">
        <v>31872</v>
      </c>
      <c r="C3635" s="15" t="s">
        <v>31873</v>
      </c>
      <c r="D3635" s="31">
        <v>39263</v>
      </c>
      <c r="E3635" s="15" t="s">
        <v>31874</v>
      </c>
      <c r="F3635" s="87"/>
      <c r="G3635" s="45" t="s">
        <v>916</v>
      </c>
      <c r="H3635" s="55" t="s">
        <v>917</v>
      </c>
      <c r="I3635" s="15" t="s">
        <v>214</v>
      </c>
    </row>
    <row r="3636" spans="1:9" ht="51.75" customHeight="1" x14ac:dyDescent="0.35">
      <c r="A3636" s="15">
        <v>1</v>
      </c>
      <c r="B3636" s="15" t="s">
        <v>31875</v>
      </c>
      <c r="C3636" s="15" t="s">
        <v>31876</v>
      </c>
      <c r="D3636" s="31">
        <v>38807</v>
      </c>
      <c r="E3636" s="15" t="s">
        <v>31877</v>
      </c>
      <c r="F3636" s="87"/>
      <c r="G3636" s="45" t="s">
        <v>265</v>
      </c>
      <c r="H3636" s="55" t="s">
        <v>266</v>
      </c>
      <c r="I3636" s="15" t="s">
        <v>214</v>
      </c>
    </row>
    <row r="3637" spans="1:9" ht="51.75" customHeight="1" x14ac:dyDescent="0.35">
      <c r="A3637" s="15">
        <v>2</v>
      </c>
      <c r="B3637" s="15" t="s">
        <v>31878</v>
      </c>
      <c r="C3637" s="15" t="s">
        <v>31879</v>
      </c>
      <c r="D3637" s="31">
        <v>38807</v>
      </c>
      <c r="E3637" s="15" t="s">
        <v>31880</v>
      </c>
      <c r="F3637" s="87"/>
      <c r="G3637" s="45" t="s">
        <v>265</v>
      </c>
      <c r="H3637" s="55" t="s">
        <v>266</v>
      </c>
      <c r="I3637" s="15" t="s">
        <v>214</v>
      </c>
    </row>
    <row r="3638" spans="1:9" ht="51.75" customHeight="1" x14ac:dyDescent="0.35">
      <c r="A3638" s="15">
        <v>3</v>
      </c>
      <c r="B3638" s="15" t="s">
        <v>31881</v>
      </c>
      <c r="C3638" s="15" t="s">
        <v>31882</v>
      </c>
      <c r="D3638" s="31">
        <v>38807</v>
      </c>
      <c r="E3638" s="15" t="s">
        <v>31883</v>
      </c>
      <c r="F3638" s="87"/>
      <c r="G3638" s="45" t="s">
        <v>265</v>
      </c>
      <c r="H3638" s="55" t="s">
        <v>266</v>
      </c>
      <c r="I3638" s="15" t="s">
        <v>214</v>
      </c>
    </row>
    <row r="3639" spans="1:9" ht="51.75" customHeight="1" x14ac:dyDescent="0.35">
      <c r="A3639" s="15">
        <v>4</v>
      </c>
      <c r="B3639" s="15" t="s">
        <v>31884</v>
      </c>
      <c r="C3639" s="15" t="s">
        <v>31885</v>
      </c>
      <c r="D3639" s="31">
        <v>38807</v>
      </c>
      <c r="E3639" s="15" t="s">
        <v>31886</v>
      </c>
      <c r="F3639" s="87"/>
      <c r="G3639" s="45" t="s">
        <v>265</v>
      </c>
      <c r="H3639" s="55" t="s">
        <v>266</v>
      </c>
      <c r="I3639" s="15" t="s">
        <v>214</v>
      </c>
    </row>
    <row r="3640" spans="1:9" ht="51.75" customHeight="1" x14ac:dyDescent="0.35">
      <c r="A3640" s="15" t="s">
        <v>23277</v>
      </c>
      <c r="B3640" s="15" t="s">
        <v>31887</v>
      </c>
      <c r="C3640" s="15" t="s">
        <v>31888</v>
      </c>
      <c r="D3640" s="31">
        <v>41319</v>
      </c>
      <c r="E3640" s="15" t="s">
        <v>31889</v>
      </c>
      <c r="F3640" s="87" t="s">
        <v>21871</v>
      </c>
      <c r="G3640" s="45" t="s">
        <v>7513</v>
      </c>
      <c r="H3640" s="55" t="s">
        <v>7514</v>
      </c>
      <c r="I3640" s="15" t="s">
        <v>214</v>
      </c>
    </row>
    <row r="3641" spans="1:9" ht="51.75" customHeight="1" x14ac:dyDescent="0.35">
      <c r="A3641" s="15" t="s">
        <v>23283</v>
      </c>
      <c r="B3641" s="15" t="s">
        <v>31890</v>
      </c>
      <c r="C3641" s="15" t="s">
        <v>31891</v>
      </c>
      <c r="D3641" s="31">
        <v>41319</v>
      </c>
      <c r="E3641" s="15" t="s">
        <v>31892</v>
      </c>
      <c r="F3641" s="87" t="s">
        <v>21871</v>
      </c>
      <c r="G3641" s="45" t="s">
        <v>7513</v>
      </c>
      <c r="H3641" s="55" t="s">
        <v>7514</v>
      </c>
      <c r="I3641" s="15" t="s">
        <v>214</v>
      </c>
    </row>
    <row r="3642" spans="1:9" ht="51.75" customHeight="1" x14ac:dyDescent="0.35">
      <c r="A3642" s="15" t="s">
        <v>23240</v>
      </c>
      <c r="B3642" s="15" t="s">
        <v>31893</v>
      </c>
      <c r="C3642" s="15" t="s">
        <v>31894</v>
      </c>
      <c r="D3642" s="31">
        <v>41319</v>
      </c>
      <c r="E3642" s="15" t="s">
        <v>31895</v>
      </c>
      <c r="F3642" s="87" t="s">
        <v>21871</v>
      </c>
      <c r="G3642" s="45" t="s">
        <v>7513</v>
      </c>
      <c r="H3642" s="55" t="s">
        <v>7514</v>
      </c>
      <c r="I3642" s="15" t="s">
        <v>214</v>
      </c>
    </row>
    <row r="3643" spans="1:9" ht="51.75" customHeight="1" x14ac:dyDescent="0.35">
      <c r="A3643" s="15" t="s">
        <v>23246</v>
      </c>
      <c r="B3643" s="15" t="s">
        <v>31896</v>
      </c>
      <c r="C3643" s="15" t="s">
        <v>31897</v>
      </c>
      <c r="D3643" s="31">
        <v>41319</v>
      </c>
      <c r="E3643" s="15" t="s">
        <v>31898</v>
      </c>
      <c r="F3643" s="87" t="s">
        <v>21871</v>
      </c>
      <c r="G3643" s="45" t="s">
        <v>7513</v>
      </c>
      <c r="H3643" s="55" t="s">
        <v>7514</v>
      </c>
      <c r="I3643" s="15" t="s">
        <v>214</v>
      </c>
    </row>
    <row r="3644" spans="1:9" ht="51.75" customHeight="1" x14ac:dyDescent="0.35">
      <c r="A3644" s="15" t="s">
        <v>23252</v>
      </c>
      <c r="B3644" s="15" t="s">
        <v>31899</v>
      </c>
      <c r="C3644" s="15" t="s">
        <v>31900</v>
      </c>
      <c r="D3644" s="31">
        <v>41319</v>
      </c>
      <c r="E3644" s="15" t="s">
        <v>31901</v>
      </c>
      <c r="F3644" s="87" t="s">
        <v>21871</v>
      </c>
      <c r="G3644" s="45" t="s">
        <v>7513</v>
      </c>
      <c r="H3644" s="55" t="s">
        <v>7514</v>
      </c>
      <c r="I3644" s="15" t="s">
        <v>214</v>
      </c>
    </row>
    <row r="3645" spans="1:9" ht="51.75" customHeight="1" x14ac:dyDescent="0.35">
      <c r="A3645" s="15" t="s">
        <v>21975</v>
      </c>
      <c r="B3645" s="15" t="s">
        <v>31902</v>
      </c>
      <c r="C3645" s="15" t="s">
        <v>31903</v>
      </c>
      <c r="D3645" s="31">
        <v>41200</v>
      </c>
      <c r="E3645" s="15" t="s">
        <v>31904</v>
      </c>
      <c r="F3645" s="87" t="s">
        <v>21871</v>
      </c>
      <c r="G3645" s="45" t="s">
        <v>7530</v>
      </c>
      <c r="H3645" s="55" t="s">
        <v>7531</v>
      </c>
      <c r="I3645" s="15" t="s">
        <v>214</v>
      </c>
    </row>
    <row r="3646" spans="1:9" ht="51.75" customHeight="1" x14ac:dyDescent="0.35">
      <c r="A3646" s="15">
        <v>1</v>
      </c>
      <c r="B3646" s="15" t="s">
        <v>31905</v>
      </c>
      <c r="C3646" s="15" t="s">
        <v>31906</v>
      </c>
      <c r="D3646" s="31">
        <v>41059</v>
      </c>
      <c r="E3646" s="15" t="s">
        <v>31907</v>
      </c>
      <c r="F3646" s="87"/>
      <c r="G3646" s="45" t="s">
        <v>6656</v>
      </c>
      <c r="H3646" s="55" t="s">
        <v>6657</v>
      </c>
      <c r="I3646" s="15" t="s">
        <v>214</v>
      </c>
    </row>
    <row r="3647" spans="1:9" ht="51.75" customHeight="1" x14ac:dyDescent="0.35">
      <c r="A3647" s="15" t="s">
        <v>24768</v>
      </c>
      <c r="B3647" s="15" t="s">
        <v>31908</v>
      </c>
      <c r="C3647" s="15" t="s">
        <v>31909</v>
      </c>
      <c r="D3647" s="31">
        <v>41288</v>
      </c>
      <c r="E3647" s="15" t="s">
        <v>31910</v>
      </c>
      <c r="F3647" s="87" t="s">
        <v>21871</v>
      </c>
      <c r="G3647" s="45" t="s">
        <v>7464</v>
      </c>
      <c r="H3647" s="55" t="s">
        <v>7465</v>
      </c>
      <c r="I3647" s="15" t="s">
        <v>214</v>
      </c>
    </row>
    <row r="3648" spans="1:9" ht="51.75" customHeight="1" x14ac:dyDescent="0.35">
      <c r="A3648" s="15" t="s">
        <v>24556</v>
      </c>
      <c r="B3648" s="15" t="s">
        <v>31911</v>
      </c>
      <c r="C3648" s="15" t="s">
        <v>31912</v>
      </c>
      <c r="D3648" s="31">
        <v>41246</v>
      </c>
      <c r="E3648" s="15" t="s">
        <v>31913</v>
      </c>
      <c r="F3648" s="87" t="s">
        <v>21871</v>
      </c>
      <c r="G3648" s="45" t="s">
        <v>7374</v>
      </c>
      <c r="H3648" s="55" t="s">
        <v>7375</v>
      </c>
      <c r="I3648" s="15" t="s">
        <v>214</v>
      </c>
    </row>
    <row r="3649" spans="1:9" ht="51.75" customHeight="1" x14ac:dyDescent="0.35">
      <c r="A3649" s="15" t="s">
        <v>24567</v>
      </c>
      <c r="B3649" s="15" t="s">
        <v>31914</v>
      </c>
      <c r="C3649" s="15" t="s">
        <v>31915</v>
      </c>
      <c r="D3649" s="31">
        <v>41246</v>
      </c>
      <c r="E3649" s="15" t="s">
        <v>31916</v>
      </c>
      <c r="F3649" s="87" t="s">
        <v>21871</v>
      </c>
      <c r="G3649" s="45" t="s">
        <v>7374</v>
      </c>
      <c r="H3649" s="55" t="s">
        <v>7375</v>
      </c>
      <c r="I3649" s="15" t="s">
        <v>214</v>
      </c>
    </row>
    <row r="3650" spans="1:9" ht="51.75" customHeight="1" x14ac:dyDescent="0.35">
      <c r="A3650" s="15" t="s">
        <v>24572</v>
      </c>
      <c r="B3650" s="15" t="s">
        <v>31917</v>
      </c>
      <c r="C3650" s="15" t="s">
        <v>31918</v>
      </c>
      <c r="D3650" s="31">
        <v>41246</v>
      </c>
      <c r="E3650" s="15" t="s">
        <v>31919</v>
      </c>
      <c r="F3650" s="87" t="s">
        <v>21871</v>
      </c>
      <c r="G3650" s="45" t="s">
        <v>7374</v>
      </c>
      <c r="H3650" s="55" t="s">
        <v>7375</v>
      </c>
      <c r="I3650" s="15" t="s">
        <v>214</v>
      </c>
    </row>
    <row r="3651" spans="1:9" ht="51.75" customHeight="1" x14ac:dyDescent="0.35">
      <c r="A3651" s="15" t="s">
        <v>23810</v>
      </c>
      <c r="B3651" s="15" t="s">
        <v>31920</v>
      </c>
      <c r="C3651" s="15" t="s">
        <v>31921</v>
      </c>
      <c r="D3651" s="31">
        <v>41246</v>
      </c>
      <c r="E3651" s="15" t="s">
        <v>31922</v>
      </c>
      <c r="F3651" s="87" t="s">
        <v>21871</v>
      </c>
      <c r="G3651" s="45" t="s">
        <v>7374</v>
      </c>
      <c r="H3651" s="55" t="s">
        <v>7375</v>
      </c>
      <c r="I3651" s="15" t="s">
        <v>214</v>
      </c>
    </row>
    <row r="3652" spans="1:9" ht="51.75" customHeight="1" x14ac:dyDescent="0.35">
      <c r="A3652" s="15" t="s">
        <v>24215</v>
      </c>
      <c r="B3652" s="15" t="s">
        <v>31923</v>
      </c>
      <c r="C3652" s="15" t="s">
        <v>31924</v>
      </c>
      <c r="D3652" s="31">
        <v>41246</v>
      </c>
      <c r="E3652" s="15" t="s">
        <v>31925</v>
      </c>
      <c r="F3652" s="87" t="s">
        <v>21871</v>
      </c>
      <c r="G3652" s="45" t="s">
        <v>7374</v>
      </c>
      <c r="H3652" s="55" t="s">
        <v>7375</v>
      </c>
      <c r="I3652" s="15" t="s">
        <v>214</v>
      </c>
    </row>
    <row r="3653" spans="1:9" ht="51.75" customHeight="1" x14ac:dyDescent="0.35">
      <c r="A3653" s="15" t="s">
        <v>31926</v>
      </c>
      <c r="B3653" s="15" t="s">
        <v>31927</v>
      </c>
      <c r="C3653" s="15" t="s">
        <v>31928</v>
      </c>
      <c r="D3653" s="31">
        <v>41529</v>
      </c>
      <c r="E3653" s="15" t="s">
        <v>31929</v>
      </c>
      <c r="F3653" s="87"/>
      <c r="G3653" s="45" t="s">
        <v>7283</v>
      </c>
      <c r="H3653" s="55" t="s">
        <v>7284</v>
      </c>
      <c r="I3653" s="15" t="s">
        <v>214</v>
      </c>
    </row>
    <row r="3654" spans="1:9" ht="51.75" customHeight="1" x14ac:dyDescent="0.35">
      <c r="A3654" s="15" t="s">
        <v>22758</v>
      </c>
      <c r="B3654" s="15" t="s">
        <v>31930</v>
      </c>
      <c r="C3654" s="15" t="s">
        <v>31931</v>
      </c>
      <c r="D3654" s="31">
        <v>41529</v>
      </c>
      <c r="E3654" s="15" t="s">
        <v>31932</v>
      </c>
      <c r="F3654" s="87"/>
      <c r="G3654" s="45" t="s">
        <v>7283</v>
      </c>
      <c r="H3654" s="55" t="s">
        <v>7284</v>
      </c>
      <c r="I3654" s="15" t="s">
        <v>214</v>
      </c>
    </row>
    <row r="3655" spans="1:9" ht="51.75" customHeight="1" x14ac:dyDescent="0.35">
      <c r="A3655" s="15" t="s">
        <v>22762</v>
      </c>
      <c r="B3655" s="15" t="s">
        <v>31933</v>
      </c>
      <c r="C3655" s="15" t="s">
        <v>31934</v>
      </c>
      <c r="D3655" s="31">
        <v>41529</v>
      </c>
      <c r="E3655" s="15" t="s">
        <v>31935</v>
      </c>
      <c r="F3655" s="87"/>
      <c r="G3655" s="45" t="s">
        <v>7283</v>
      </c>
      <c r="H3655" s="55" t="s">
        <v>7284</v>
      </c>
      <c r="I3655" s="15" t="s">
        <v>214</v>
      </c>
    </row>
    <row r="3656" spans="1:9" ht="51.75" customHeight="1" x14ac:dyDescent="0.35">
      <c r="A3656" s="15" t="s">
        <v>22766</v>
      </c>
      <c r="B3656" s="15" t="s">
        <v>31936</v>
      </c>
      <c r="C3656" s="15" t="s">
        <v>31937</v>
      </c>
      <c r="D3656" s="31">
        <v>41529</v>
      </c>
      <c r="E3656" s="15" t="s">
        <v>31938</v>
      </c>
      <c r="F3656" s="87"/>
      <c r="G3656" s="45" t="s">
        <v>7283</v>
      </c>
      <c r="H3656" s="55" t="s">
        <v>7284</v>
      </c>
      <c r="I3656" s="15" t="s">
        <v>214</v>
      </c>
    </row>
    <row r="3657" spans="1:9" ht="51.75" customHeight="1" x14ac:dyDescent="0.35">
      <c r="A3657" s="15" t="s">
        <v>22770</v>
      </c>
      <c r="B3657" s="15" t="s">
        <v>31939</v>
      </c>
      <c r="C3657" s="15" t="s">
        <v>31940</v>
      </c>
      <c r="D3657" s="31">
        <v>41529</v>
      </c>
      <c r="E3657" s="15" t="s">
        <v>31941</v>
      </c>
      <c r="F3657" s="87"/>
      <c r="G3657" s="45" t="s">
        <v>7283</v>
      </c>
      <c r="H3657" s="55" t="s">
        <v>7284</v>
      </c>
      <c r="I3657" s="15" t="s">
        <v>214</v>
      </c>
    </row>
    <row r="3658" spans="1:9" ht="51.75" customHeight="1" x14ac:dyDescent="0.35">
      <c r="A3658" s="15" t="s">
        <v>22774</v>
      </c>
      <c r="B3658" s="15" t="s">
        <v>31942</v>
      </c>
      <c r="C3658" s="15" t="s">
        <v>31943</v>
      </c>
      <c r="D3658" s="31">
        <v>41529</v>
      </c>
      <c r="E3658" s="15" t="s">
        <v>31944</v>
      </c>
      <c r="F3658" s="87"/>
      <c r="G3658" s="45" t="s">
        <v>7283</v>
      </c>
      <c r="H3658" s="55" t="s">
        <v>7284</v>
      </c>
      <c r="I3658" s="15" t="s">
        <v>214</v>
      </c>
    </row>
    <row r="3659" spans="1:9" ht="51.75" customHeight="1" x14ac:dyDescent="0.35">
      <c r="A3659" s="15" t="s">
        <v>25404</v>
      </c>
      <c r="B3659" s="15" t="s">
        <v>31945</v>
      </c>
      <c r="C3659" s="15" t="s">
        <v>31946</v>
      </c>
      <c r="D3659" s="31">
        <v>41529</v>
      </c>
      <c r="E3659" s="15" t="s">
        <v>31947</v>
      </c>
      <c r="F3659" s="87"/>
      <c r="G3659" s="45" t="s">
        <v>7283</v>
      </c>
      <c r="H3659" s="55" t="s">
        <v>7284</v>
      </c>
      <c r="I3659" s="15" t="s">
        <v>214</v>
      </c>
    </row>
    <row r="3660" spans="1:9" ht="51.75" customHeight="1" x14ac:dyDescent="0.35">
      <c r="A3660" s="15" t="s">
        <v>22786</v>
      </c>
      <c r="B3660" s="15" t="s">
        <v>31948</v>
      </c>
      <c r="C3660" s="15" t="s">
        <v>31949</v>
      </c>
      <c r="D3660" s="31">
        <v>41479</v>
      </c>
      <c r="E3660" s="15" t="s">
        <v>31950</v>
      </c>
      <c r="F3660" s="87" t="s">
        <v>21871</v>
      </c>
      <c r="G3660" s="45" t="s">
        <v>7326</v>
      </c>
      <c r="H3660" s="55" t="s">
        <v>7327</v>
      </c>
      <c r="I3660" s="15" t="s">
        <v>214</v>
      </c>
    </row>
    <row r="3661" spans="1:9" ht="51.75" customHeight="1" x14ac:dyDescent="0.35">
      <c r="A3661" s="15" t="s">
        <v>31951</v>
      </c>
      <c r="B3661" s="15" t="s">
        <v>31952</v>
      </c>
      <c r="C3661" s="15" t="s">
        <v>31953</v>
      </c>
      <c r="D3661" s="31">
        <v>41479</v>
      </c>
      <c r="E3661" s="15" t="s">
        <v>31954</v>
      </c>
      <c r="F3661" s="87" t="s">
        <v>21871</v>
      </c>
      <c r="G3661" s="45" t="s">
        <v>7326</v>
      </c>
      <c r="H3661" s="55" t="s">
        <v>7327</v>
      </c>
      <c r="I3661" s="15" t="s">
        <v>214</v>
      </c>
    </row>
    <row r="3662" spans="1:9" ht="51.75" customHeight="1" x14ac:dyDescent="0.35">
      <c r="A3662" s="15" t="s">
        <v>26038</v>
      </c>
      <c r="B3662" s="15" t="s">
        <v>31955</v>
      </c>
      <c r="C3662" s="15" t="s">
        <v>31956</v>
      </c>
      <c r="D3662" s="31">
        <v>41479</v>
      </c>
      <c r="E3662" s="15" t="s">
        <v>31957</v>
      </c>
      <c r="F3662" s="87" t="s">
        <v>21871</v>
      </c>
      <c r="G3662" s="45" t="s">
        <v>7326</v>
      </c>
      <c r="H3662" s="55" t="s">
        <v>7327</v>
      </c>
      <c r="I3662" s="15" t="s">
        <v>214</v>
      </c>
    </row>
    <row r="3663" spans="1:9" ht="51.75" customHeight="1" x14ac:dyDescent="0.35">
      <c r="A3663" s="15" t="s">
        <v>26042</v>
      </c>
      <c r="B3663" s="15" t="s">
        <v>31958</v>
      </c>
      <c r="C3663" s="15" t="s">
        <v>31959</v>
      </c>
      <c r="D3663" s="31">
        <v>41479</v>
      </c>
      <c r="E3663" s="15" t="s">
        <v>31960</v>
      </c>
      <c r="F3663" s="87" t="s">
        <v>21871</v>
      </c>
      <c r="G3663" s="45" t="s">
        <v>7326</v>
      </c>
      <c r="H3663" s="55" t="s">
        <v>7327</v>
      </c>
      <c r="I3663" s="15" t="s">
        <v>214</v>
      </c>
    </row>
    <row r="3664" spans="1:9" ht="51.75" customHeight="1" x14ac:dyDescent="0.35">
      <c r="A3664" s="15" t="s">
        <v>22394</v>
      </c>
      <c r="B3664" s="15" t="s">
        <v>31961</v>
      </c>
      <c r="C3664" s="15" t="s">
        <v>31962</v>
      </c>
      <c r="D3664" s="31">
        <v>41479</v>
      </c>
      <c r="E3664" s="15" t="s">
        <v>31963</v>
      </c>
      <c r="F3664" s="87" t="s">
        <v>21871</v>
      </c>
      <c r="G3664" s="45" t="s">
        <v>7326</v>
      </c>
      <c r="H3664" s="55" t="s">
        <v>7327</v>
      </c>
      <c r="I3664" s="15" t="s">
        <v>214</v>
      </c>
    </row>
    <row r="3665" spans="1:9" ht="51.75" customHeight="1" x14ac:dyDescent="0.35">
      <c r="A3665" s="15" t="s">
        <v>23213</v>
      </c>
      <c r="B3665" s="15" t="s">
        <v>31964</v>
      </c>
      <c r="C3665" s="15" t="s">
        <v>31965</v>
      </c>
      <c r="D3665" s="31">
        <v>41256</v>
      </c>
      <c r="E3665" s="15" t="s">
        <v>31966</v>
      </c>
      <c r="F3665" s="87" t="s">
        <v>21871</v>
      </c>
      <c r="G3665" s="45" t="s">
        <v>7042</v>
      </c>
      <c r="H3665" s="55" t="s">
        <v>7043</v>
      </c>
      <c r="I3665" s="15" t="s">
        <v>214</v>
      </c>
    </row>
    <row r="3666" spans="1:9" ht="51.75" customHeight="1" x14ac:dyDescent="0.35">
      <c r="A3666" s="15" t="s">
        <v>23219</v>
      </c>
      <c r="B3666" s="15" t="s">
        <v>31967</v>
      </c>
      <c r="C3666" s="15" t="s">
        <v>31968</v>
      </c>
      <c r="D3666" s="31">
        <v>41256</v>
      </c>
      <c r="E3666" s="15" t="s">
        <v>31969</v>
      </c>
      <c r="F3666" s="87" t="s">
        <v>21871</v>
      </c>
      <c r="G3666" s="45" t="s">
        <v>7042</v>
      </c>
      <c r="H3666" s="55" t="s">
        <v>7043</v>
      </c>
      <c r="I3666" s="15" t="s">
        <v>214</v>
      </c>
    </row>
    <row r="3667" spans="1:9" ht="51.75" customHeight="1" x14ac:dyDescent="0.35">
      <c r="A3667" s="15" t="s">
        <v>23197</v>
      </c>
      <c r="B3667" s="15" t="s">
        <v>31970</v>
      </c>
      <c r="C3667" s="15" t="s">
        <v>31971</v>
      </c>
      <c r="D3667" s="31">
        <v>41256</v>
      </c>
      <c r="E3667" s="15" t="s">
        <v>31972</v>
      </c>
      <c r="F3667" s="87" t="s">
        <v>21871</v>
      </c>
      <c r="G3667" s="45" t="s">
        <v>7042</v>
      </c>
      <c r="H3667" s="55" t="s">
        <v>7043</v>
      </c>
      <c r="I3667" s="15" t="s">
        <v>214</v>
      </c>
    </row>
    <row r="3668" spans="1:9" ht="51.75" customHeight="1" x14ac:dyDescent="0.35">
      <c r="A3668" s="15" t="s">
        <v>24335</v>
      </c>
      <c r="B3668" s="15" t="s">
        <v>31973</v>
      </c>
      <c r="C3668" s="15" t="s">
        <v>31974</v>
      </c>
      <c r="D3668" s="31">
        <v>41361</v>
      </c>
      <c r="E3668" s="15" t="s">
        <v>31975</v>
      </c>
      <c r="F3668" s="87" t="s">
        <v>21871</v>
      </c>
      <c r="G3668" s="45" t="s">
        <v>7140</v>
      </c>
      <c r="H3668" s="55" t="s">
        <v>7141</v>
      </c>
      <c r="I3668" s="15" t="s">
        <v>214</v>
      </c>
    </row>
    <row r="3669" spans="1:9" ht="51.75" customHeight="1" x14ac:dyDescent="0.35">
      <c r="A3669" s="15" t="s">
        <v>24340</v>
      </c>
      <c r="B3669" s="15" t="s">
        <v>31976</v>
      </c>
      <c r="C3669" s="15" t="s">
        <v>31977</v>
      </c>
      <c r="D3669" s="31">
        <v>41361</v>
      </c>
      <c r="E3669" s="15" t="s">
        <v>31978</v>
      </c>
      <c r="F3669" s="87" t="s">
        <v>21871</v>
      </c>
      <c r="G3669" s="45" t="s">
        <v>7140</v>
      </c>
      <c r="H3669" s="55" t="s">
        <v>7141</v>
      </c>
      <c r="I3669" s="15" t="s">
        <v>214</v>
      </c>
    </row>
    <row r="3670" spans="1:9" ht="51.75" customHeight="1" x14ac:dyDescent="0.35">
      <c r="A3670" s="15" t="s">
        <v>24345</v>
      </c>
      <c r="B3670" s="15" t="s">
        <v>31979</v>
      </c>
      <c r="C3670" s="15" t="s">
        <v>31980</v>
      </c>
      <c r="D3670" s="31">
        <v>41361</v>
      </c>
      <c r="E3670" s="15" t="s">
        <v>31981</v>
      </c>
      <c r="F3670" s="87" t="s">
        <v>21871</v>
      </c>
      <c r="G3670" s="45" t="s">
        <v>7140</v>
      </c>
      <c r="H3670" s="55" t="s">
        <v>7141</v>
      </c>
      <c r="I3670" s="15" t="s">
        <v>214</v>
      </c>
    </row>
    <row r="3671" spans="1:9" ht="51.75" customHeight="1" x14ac:dyDescent="0.35">
      <c r="A3671" s="15" t="s">
        <v>22051</v>
      </c>
      <c r="B3671" s="15" t="s">
        <v>31982</v>
      </c>
      <c r="C3671" s="15" t="s">
        <v>31983</v>
      </c>
      <c r="D3671" s="31">
        <v>41235</v>
      </c>
      <c r="E3671" s="15" t="s">
        <v>31984</v>
      </c>
      <c r="F3671" s="87" t="s">
        <v>21871</v>
      </c>
      <c r="G3671" s="45" t="s">
        <v>7092</v>
      </c>
      <c r="H3671" s="55" t="s">
        <v>7093</v>
      </c>
      <c r="I3671" s="15" t="s">
        <v>214</v>
      </c>
    </row>
    <row r="3672" spans="1:9" ht="51.75" customHeight="1" x14ac:dyDescent="0.35">
      <c r="A3672" s="15" t="s">
        <v>24703</v>
      </c>
      <c r="B3672" s="15" t="s">
        <v>31985</v>
      </c>
      <c r="C3672" s="15" t="s">
        <v>31986</v>
      </c>
      <c r="D3672" s="31">
        <v>41235</v>
      </c>
      <c r="E3672" s="15" t="s">
        <v>31987</v>
      </c>
      <c r="F3672" s="87" t="s">
        <v>21871</v>
      </c>
      <c r="G3672" s="45" t="s">
        <v>7092</v>
      </c>
      <c r="H3672" s="55" t="s">
        <v>7093</v>
      </c>
      <c r="I3672" s="15" t="s">
        <v>214</v>
      </c>
    </row>
    <row r="3673" spans="1:9" ht="51.75" customHeight="1" x14ac:dyDescent="0.35">
      <c r="A3673" s="15" t="s">
        <v>23448</v>
      </c>
      <c r="B3673" s="15" t="s">
        <v>31988</v>
      </c>
      <c r="C3673" s="15" t="s">
        <v>31989</v>
      </c>
      <c r="D3673" s="31">
        <v>41235</v>
      </c>
      <c r="E3673" s="15" t="s">
        <v>31990</v>
      </c>
      <c r="F3673" s="87" t="s">
        <v>21871</v>
      </c>
      <c r="G3673" s="45" t="s">
        <v>7092</v>
      </c>
      <c r="H3673" s="55" t="s">
        <v>7093</v>
      </c>
      <c r="I3673" s="15" t="s">
        <v>214</v>
      </c>
    </row>
    <row r="3674" spans="1:9" ht="51.75" customHeight="1" x14ac:dyDescent="0.35">
      <c r="A3674" s="15" t="s">
        <v>22039</v>
      </c>
      <c r="B3674" s="15" t="s">
        <v>31991</v>
      </c>
      <c r="C3674" s="15" t="s">
        <v>31992</v>
      </c>
      <c r="D3674" s="31">
        <v>41302</v>
      </c>
      <c r="E3674" s="15" t="s">
        <v>31993</v>
      </c>
      <c r="F3674" s="87" t="s">
        <v>21871</v>
      </c>
      <c r="G3674" s="45" t="s">
        <v>7036</v>
      </c>
      <c r="H3674" s="55" t="s">
        <v>7037</v>
      </c>
      <c r="I3674" s="15" t="s">
        <v>214</v>
      </c>
    </row>
    <row r="3675" spans="1:9" ht="51.75" customHeight="1" x14ac:dyDescent="0.35">
      <c r="A3675" s="15" t="s">
        <v>23412</v>
      </c>
      <c r="B3675" s="15" t="s">
        <v>31994</v>
      </c>
      <c r="C3675" s="15" t="s">
        <v>31995</v>
      </c>
      <c r="D3675" s="31">
        <v>41302</v>
      </c>
      <c r="E3675" s="15" t="s">
        <v>31996</v>
      </c>
      <c r="F3675" s="87" t="s">
        <v>21871</v>
      </c>
      <c r="G3675" s="45" t="s">
        <v>7036</v>
      </c>
      <c r="H3675" s="55" t="s">
        <v>7037</v>
      </c>
      <c r="I3675" s="15" t="s">
        <v>214</v>
      </c>
    </row>
    <row r="3676" spans="1:9" ht="51.75" customHeight="1" x14ac:dyDescent="0.35">
      <c r="A3676" s="15" t="s">
        <v>23416</v>
      </c>
      <c r="B3676" s="15" t="s">
        <v>31997</v>
      </c>
      <c r="C3676" s="15" t="s">
        <v>31998</v>
      </c>
      <c r="D3676" s="31">
        <v>41302</v>
      </c>
      <c r="E3676" s="15" t="s">
        <v>31999</v>
      </c>
      <c r="F3676" s="87" t="s">
        <v>21871</v>
      </c>
      <c r="G3676" s="45" t="s">
        <v>7036</v>
      </c>
      <c r="H3676" s="55" t="s">
        <v>7037</v>
      </c>
      <c r="I3676" s="15" t="s">
        <v>214</v>
      </c>
    </row>
    <row r="3677" spans="1:9" ht="51.75" customHeight="1" x14ac:dyDescent="0.35">
      <c r="A3677" s="15" t="s">
        <v>25223</v>
      </c>
      <c r="B3677" s="15" t="s">
        <v>32000</v>
      </c>
      <c r="C3677" s="15" t="s">
        <v>32001</v>
      </c>
      <c r="D3677" s="31">
        <v>41302</v>
      </c>
      <c r="E3677" s="15" t="s">
        <v>32002</v>
      </c>
      <c r="F3677" s="87" t="s">
        <v>21871</v>
      </c>
      <c r="G3677" s="45" t="s">
        <v>7036</v>
      </c>
      <c r="H3677" s="55" t="s">
        <v>7037</v>
      </c>
      <c r="I3677" s="15" t="s">
        <v>214</v>
      </c>
    </row>
    <row r="3678" spans="1:9" ht="51.75" customHeight="1" x14ac:dyDescent="0.35">
      <c r="A3678" s="15" t="s">
        <v>25229</v>
      </c>
      <c r="B3678" s="15" t="s">
        <v>32003</v>
      </c>
      <c r="C3678" s="15" t="s">
        <v>32004</v>
      </c>
      <c r="D3678" s="31">
        <v>41302</v>
      </c>
      <c r="E3678" s="15" t="s">
        <v>32005</v>
      </c>
      <c r="F3678" s="87" t="s">
        <v>21871</v>
      </c>
      <c r="G3678" s="45" t="s">
        <v>7036</v>
      </c>
      <c r="H3678" s="55" t="s">
        <v>7037</v>
      </c>
      <c r="I3678" s="15" t="s">
        <v>214</v>
      </c>
    </row>
    <row r="3679" spans="1:9" ht="51.75" customHeight="1" x14ac:dyDescent="0.35">
      <c r="A3679" s="15" t="s">
        <v>26398</v>
      </c>
      <c r="B3679" s="15" t="s">
        <v>32006</v>
      </c>
      <c r="C3679" s="15" t="s">
        <v>32007</v>
      </c>
      <c r="D3679" s="31">
        <v>41414</v>
      </c>
      <c r="E3679" s="15" t="s">
        <v>32008</v>
      </c>
      <c r="F3679" s="87" t="s">
        <v>21871</v>
      </c>
      <c r="G3679" s="45" t="s">
        <v>6927</v>
      </c>
      <c r="H3679" s="55" t="s">
        <v>6928</v>
      </c>
      <c r="I3679" s="15" t="s">
        <v>214</v>
      </c>
    </row>
    <row r="3680" spans="1:9" ht="51.75" customHeight="1" x14ac:dyDescent="0.35">
      <c r="A3680" s="15" t="s">
        <v>32009</v>
      </c>
      <c r="B3680" s="15" t="s">
        <v>32010</v>
      </c>
      <c r="C3680" s="15" t="s">
        <v>32011</v>
      </c>
      <c r="D3680" s="31">
        <v>41414</v>
      </c>
      <c r="E3680" s="15" t="s">
        <v>32012</v>
      </c>
      <c r="F3680" s="87" t="s">
        <v>21871</v>
      </c>
      <c r="G3680" s="45" t="s">
        <v>6927</v>
      </c>
      <c r="H3680" s="55" t="s">
        <v>6928</v>
      </c>
      <c r="I3680" s="15" t="s">
        <v>214</v>
      </c>
    </row>
    <row r="3681" spans="1:9" ht="51.75" customHeight="1" x14ac:dyDescent="0.35">
      <c r="A3681" s="15">
        <v>1</v>
      </c>
      <c r="B3681" s="15" t="s">
        <v>32013</v>
      </c>
      <c r="C3681" s="15" t="s">
        <v>32014</v>
      </c>
      <c r="D3681" s="31">
        <v>39202</v>
      </c>
      <c r="E3681" s="15" t="s">
        <v>32015</v>
      </c>
      <c r="F3681" s="87"/>
      <c r="G3681" s="45" t="s">
        <v>523</v>
      </c>
      <c r="H3681" s="55" t="s">
        <v>524</v>
      </c>
      <c r="I3681" s="15" t="s">
        <v>214</v>
      </c>
    </row>
    <row r="3682" spans="1:9" ht="51.75" customHeight="1" x14ac:dyDescent="0.35">
      <c r="A3682" s="15">
        <v>2</v>
      </c>
      <c r="B3682" s="15" t="s">
        <v>32016</v>
      </c>
      <c r="C3682" s="15" t="s">
        <v>32017</v>
      </c>
      <c r="D3682" s="31">
        <v>39202</v>
      </c>
      <c r="E3682" s="15" t="s">
        <v>32018</v>
      </c>
      <c r="F3682" s="87"/>
      <c r="G3682" s="45" t="s">
        <v>523</v>
      </c>
      <c r="H3682" s="55" t="s">
        <v>524</v>
      </c>
      <c r="I3682" s="15" t="s">
        <v>214</v>
      </c>
    </row>
    <row r="3683" spans="1:9" ht="51.75" customHeight="1" x14ac:dyDescent="0.35">
      <c r="A3683" s="15">
        <v>3</v>
      </c>
      <c r="B3683" s="15" t="s">
        <v>32019</v>
      </c>
      <c r="C3683" s="15" t="s">
        <v>32020</v>
      </c>
      <c r="D3683" s="31">
        <v>39202</v>
      </c>
      <c r="E3683" s="15" t="s">
        <v>32021</v>
      </c>
      <c r="F3683" s="87"/>
      <c r="G3683" s="45" t="s">
        <v>523</v>
      </c>
      <c r="H3683" s="55" t="s">
        <v>524</v>
      </c>
      <c r="I3683" s="15" t="s">
        <v>214</v>
      </c>
    </row>
    <row r="3684" spans="1:9" ht="51.75" customHeight="1" x14ac:dyDescent="0.35">
      <c r="A3684" s="15">
        <v>4</v>
      </c>
      <c r="B3684" s="15" t="s">
        <v>32022</v>
      </c>
      <c r="C3684" s="15" t="s">
        <v>32023</v>
      </c>
      <c r="D3684" s="31">
        <v>39202</v>
      </c>
      <c r="E3684" s="15" t="s">
        <v>32024</v>
      </c>
      <c r="F3684" s="87"/>
      <c r="G3684" s="45" t="s">
        <v>523</v>
      </c>
      <c r="H3684" s="55" t="s">
        <v>524</v>
      </c>
      <c r="I3684" s="15" t="s">
        <v>214</v>
      </c>
    </row>
    <row r="3685" spans="1:9" ht="51.75" customHeight="1" x14ac:dyDescent="0.35">
      <c r="A3685" s="15">
        <v>5</v>
      </c>
      <c r="B3685" s="15" t="s">
        <v>32025</v>
      </c>
      <c r="C3685" s="15" t="s">
        <v>32026</v>
      </c>
      <c r="D3685" s="31">
        <v>39202</v>
      </c>
      <c r="E3685" s="15" t="s">
        <v>32027</v>
      </c>
      <c r="F3685" s="87"/>
      <c r="G3685" s="45" t="s">
        <v>523</v>
      </c>
      <c r="H3685" s="55" t="s">
        <v>524</v>
      </c>
      <c r="I3685" s="15" t="s">
        <v>214</v>
      </c>
    </row>
    <row r="3686" spans="1:9" ht="51.75" customHeight="1" x14ac:dyDescent="0.35">
      <c r="A3686" s="15">
        <v>6</v>
      </c>
      <c r="B3686" s="15" t="s">
        <v>32028</v>
      </c>
      <c r="C3686" s="15" t="s">
        <v>32029</v>
      </c>
      <c r="D3686" s="31">
        <v>39202</v>
      </c>
      <c r="E3686" s="15" t="s">
        <v>32030</v>
      </c>
      <c r="F3686" s="87"/>
      <c r="G3686" s="45" t="s">
        <v>523</v>
      </c>
      <c r="H3686" s="55" t="s">
        <v>524</v>
      </c>
      <c r="I3686" s="15" t="s">
        <v>214</v>
      </c>
    </row>
    <row r="3687" spans="1:9" ht="51.75" customHeight="1" x14ac:dyDescent="0.35">
      <c r="A3687" s="15" t="s">
        <v>28039</v>
      </c>
      <c r="B3687" s="15" t="s">
        <v>32031</v>
      </c>
      <c r="C3687" s="15" t="s">
        <v>32032</v>
      </c>
      <c r="D3687" s="31">
        <v>41179</v>
      </c>
      <c r="E3687" s="15" t="s">
        <v>32033</v>
      </c>
      <c r="F3687" s="87" t="s">
        <v>21871</v>
      </c>
      <c r="G3687" s="45" t="s">
        <v>6900</v>
      </c>
      <c r="H3687" s="55" t="s">
        <v>6901</v>
      </c>
      <c r="I3687" s="15" t="s">
        <v>214</v>
      </c>
    </row>
    <row r="3688" spans="1:9" ht="51.75" customHeight="1" x14ac:dyDescent="0.35">
      <c r="A3688" s="15" t="s">
        <v>28043</v>
      </c>
      <c r="B3688" s="15" t="s">
        <v>32034</v>
      </c>
      <c r="C3688" s="15" t="s">
        <v>32035</v>
      </c>
      <c r="D3688" s="31">
        <v>41179</v>
      </c>
      <c r="E3688" s="15" t="s">
        <v>32036</v>
      </c>
      <c r="F3688" s="87" t="s">
        <v>21871</v>
      </c>
      <c r="G3688" s="45" t="s">
        <v>6900</v>
      </c>
      <c r="H3688" s="55" t="s">
        <v>6901</v>
      </c>
      <c r="I3688" s="15" t="s">
        <v>214</v>
      </c>
    </row>
    <row r="3689" spans="1:9" ht="51.75" customHeight="1" x14ac:dyDescent="0.35">
      <c r="A3689" s="15" t="s">
        <v>22858</v>
      </c>
      <c r="B3689" s="15" t="s">
        <v>32037</v>
      </c>
      <c r="C3689" s="15" t="s">
        <v>32038</v>
      </c>
      <c r="D3689" s="31">
        <v>41179</v>
      </c>
      <c r="E3689" s="15" t="s">
        <v>32039</v>
      </c>
      <c r="F3689" s="87" t="s">
        <v>21871</v>
      </c>
      <c r="G3689" s="45" t="s">
        <v>6900</v>
      </c>
      <c r="H3689" s="55" t="s">
        <v>6901</v>
      </c>
      <c r="I3689" s="15" t="s">
        <v>214</v>
      </c>
    </row>
    <row r="3690" spans="1:9" ht="51.75" customHeight="1" x14ac:dyDescent="0.35">
      <c r="A3690" s="15" t="s">
        <v>22862</v>
      </c>
      <c r="B3690" s="15" t="s">
        <v>32040</v>
      </c>
      <c r="C3690" s="15" t="s">
        <v>32041</v>
      </c>
      <c r="D3690" s="31">
        <v>41179</v>
      </c>
      <c r="E3690" s="15" t="s">
        <v>32042</v>
      </c>
      <c r="F3690" s="87" t="s">
        <v>21871</v>
      </c>
      <c r="G3690" s="45" t="s">
        <v>6900</v>
      </c>
      <c r="H3690" s="55" t="s">
        <v>6901</v>
      </c>
      <c r="I3690" s="15" t="s">
        <v>214</v>
      </c>
    </row>
    <row r="3691" spans="1:9" ht="51.75" customHeight="1" x14ac:dyDescent="0.35">
      <c r="A3691" s="15" t="s">
        <v>22866</v>
      </c>
      <c r="B3691" s="15" t="s">
        <v>32043</v>
      </c>
      <c r="C3691" s="15" t="s">
        <v>32044</v>
      </c>
      <c r="D3691" s="31">
        <v>41179</v>
      </c>
      <c r="E3691" s="15" t="s">
        <v>32045</v>
      </c>
      <c r="F3691" s="87" t="s">
        <v>21871</v>
      </c>
      <c r="G3691" s="45" t="s">
        <v>6900</v>
      </c>
      <c r="H3691" s="55" t="s">
        <v>6901</v>
      </c>
      <c r="I3691" s="15" t="s">
        <v>214</v>
      </c>
    </row>
    <row r="3692" spans="1:9" ht="51.75" customHeight="1" x14ac:dyDescent="0.35">
      <c r="A3692" s="15" t="s">
        <v>23461</v>
      </c>
      <c r="B3692" s="15" t="s">
        <v>32046</v>
      </c>
      <c r="C3692" s="15" t="s">
        <v>32047</v>
      </c>
      <c r="D3692" s="31">
        <v>41179</v>
      </c>
      <c r="E3692" s="15" t="s">
        <v>32048</v>
      </c>
      <c r="F3692" s="87" t="s">
        <v>21871</v>
      </c>
      <c r="G3692" s="45" t="s">
        <v>6900</v>
      </c>
      <c r="H3692" s="55" t="s">
        <v>6901</v>
      </c>
      <c r="I3692" s="15" t="s">
        <v>214</v>
      </c>
    </row>
    <row r="3693" spans="1:9" ht="51.75" customHeight="1" x14ac:dyDescent="0.35">
      <c r="A3693" s="15" t="s">
        <v>23533</v>
      </c>
      <c r="B3693" s="15" t="s">
        <v>32049</v>
      </c>
      <c r="C3693" s="15" t="s">
        <v>32050</v>
      </c>
      <c r="D3693" s="31">
        <v>41234</v>
      </c>
      <c r="E3693" s="15" t="s">
        <v>32051</v>
      </c>
      <c r="F3693" s="87" t="s">
        <v>21871</v>
      </c>
      <c r="G3693" s="45" t="s">
        <v>6809</v>
      </c>
      <c r="H3693" s="55" t="s">
        <v>6810</v>
      </c>
      <c r="I3693" s="15" t="s">
        <v>214</v>
      </c>
    </row>
    <row r="3694" spans="1:9" ht="51.75" customHeight="1" x14ac:dyDescent="0.35">
      <c r="A3694" s="15" t="s">
        <v>23536</v>
      </c>
      <c r="B3694" s="15" t="s">
        <v>32052</v>
      </c>
      <c r="C3694" s="15" t="s">
        <v>32053</v>
      </c>
      <c r="D3694" s="31">
        <v>41234</v>
      </c>
      <c r="E3694" s="15" t="s">
        <v>32054</v>
      </c>
      <c r="F3694" s="87" t="s">
        <v>21871</v>
      </c>
      <c r="G3694" s="45" t="s">
        <v>6809</v>
      </c>
      <c r="H3694" s="55" t="s">
        <v>6810</v>
      </c>
      <c r="I3694" s="15" t="s">
        <v>214</v>
      </c>
    </row>
    <row r="3695" spans="1:9" ht="51.75" customHeight="1" x14ac:dyDescent="0.35">
      <c r="A3695" s="15" t="s">
        <v>23539</v>
      </c>
      <c r="B3695" s="15" t="s">
        <v>32055</v>
      </c>
      <c r="C3695" s="15" t="s">
        <v>32056</v>
      </c>
      <c r="D3695" s="31">
        <v>41234</v>
      </c>
      <c r="E3695" s="15" t="s">
        <v>32057</v>
      </c>
      <c r="F3695" s="87" t="s">
        <v>21871</v>
      </c>
      <c r="G3695" s="45" t="s">
        <v>6809</v>
      </c>
      <c r="H3695" s="55" t="s">
        <v>6810</v>
      </c>
      <c r="I3695" s="15" t="s">
        <v>214</v>
      </c>
    </row>
    <row r="3696" spans="1:9" ht="51.75" customHeight="1" x14ac:dyDescent="0.35">
      <c r="A3696" s="15" t="s">
        <v>23473</v>
      </c>
      <c r="B3696" s="15" t="s">
        <v>32058</v>
      </c>
      <c r="C3696" s="15" t="s">
        <v>32059</v>
      </c>
      <c r="D3696" s="31">
        <v>41234</v>
      </c>
      <c r="E3696" s="15" t="s">
        <v>32060</v>
      </c>
      <c r="F3696" s="87" t="s">
        <v>21871</v>
      </c>
      <c r="G3696" s="45" t="s">
        <v>6809</v>
      </c>
      <c r="H3696" s="55" t="s">
        <v>6810</v>
      </c>
      <c r="I3696" s="15" t="s">
        <v>214</v>
      </c>
    </row>
    <row r="3697" spans="1:9" ht="51.75" customHeight="1" x14ac:dyDescent="0.35">
      <c r="A3697" s="15" t="s">
        <v>23477</v>
      </c>
      <c r="B3697" s="15" t="s">
        <v>32061</v>
      </c>
      <c r="C3697" s="15" t="s">
        <v>32062</v>
      </c>
      <c r="D3697" s="31">
        <v>41234</v>
      </c>
      <c r="E3697" s="15" t="s">
        <v>32063</v>
      </c>
      <c r="F3697" s="87" t="s">
        <v>21871</v>
      </c>
      <c r="G3697" s="45" t="s">
        <v>6809</v>
      </c>
      <c r="H3697" s="55" t="s">
        <v>6810</v>
      </c>
      <c r="I3697" s="15" t="s">
        <v>214</v>
      </c>
    </row>
    <row r="3698" spans="1:9" ht="51.75" customHeight="1" x14ac:dyDescent="0.35">
      <c r="A3698" s="15" t="s">
        <v>23481</v>
      </c>
      <c r="B3698" s="15" t="s">
        <v>32064</v>
      </c>
      <c r="C3698" s="15" t="s">
        <v>32065</v>
      </c>
      <c r="D3698" s="31">
        <v>41234</v>
      </c>
      <c r="E3698" s="15" t="s">
        <v>32066</v>
      </c>
      <c r="F3698" s="87" t="s">
        <v>21871</v>
      </c>
      <c r="G3698" s="45" t="s">
        <v>6809</v>
      </c>
      <c r="H3698" s="55" t="s">
        <v>6810</v>
      </c>
      <c r="I3698" s="15" t="s">
        <v>214</v>
      </c>
    </row>
    <row r="3699" spans="1:9" ht="51.75" customHeight="1" x14ac:dyDescent="0.35">
      <c r="A3699" s="15" t="s">
        <v>22047</v>
      </c>
      <c r="B3699" s="15" t="s">
        <v>32067</v>
      </c>
      <c r="C3699" s="15" t="s">
        <v>32068</v>
      </c>
      <c r="D3699" s="31">
        <v>41234</v>
      </c>
      <c r="E3699" s="15" t="s">
        <v>32069</v>
      </c>
      <c r="F3699" s="87" t="s">
        <v>21871</v>
      </c>
      <c r="G3699" s="45" t="s">
        <v>6809</v>
      </c>
      <c r="H3699" s="55" t="s">
        <v>6810</v>
      </c>
      <c r="I3699" s="15" t="s">
        <v>214</v>
      </c>
    </row>
    <row r="3700" spans="1:9" ht="51.75" customHeight="1" x14ac:dyDescent="0.35">
      <c r="A3700" s="15" t="s">
        <v>24686</v>
      </c>
      <c r="B3700" s="15" t="s">
        <v>32070</v>
      </c>
      <c r="C3700" s="15" t="s">
        <v>32071</v>
      </c>
      <c r="D3700" s="31">
        <v>41234</v>
      </c>
      <c r="E3700" s="15" t="s">
        <v>32072</v>
      </c>
      <c r="F3700" s="87" t="s">
        <v>21871</v>
      </c>
      <c r="G3700" s="45" t="s">
        <v>6809</v>
      </c>
      <c r="H3700" s="55" t="s">
        <v>6810</v>
      </c>
      <c r="I3700" s="15" t="s">
        <v>214</v>
      </c>
    </row>
    <row r="3701" spans="1:9" ht="51.75" customHeight="1" x14ac:dyDescent="0.35">
      <c r="A3701" s="15" t="s">
        <v>24692</v>
      </c>
      <c r="B3701" s="15" t="s">
        <v>32073</v>
      </c>
      <c r="C3701" s="15" t="s">
        <v>32074</v>
      </c>
      <c r="D3701" s="31">
        <v>41234</v>
      </c>
      <c r="E3701" s="15" t="s">
        <v>32075</v>
      </c>
      <c r="F3701" s="87" t="s">
        <v>21871</v>
      </c>
      <c r="G3701" s="45" t="s">
        <v>6809</v>
      </c>
      <c r="H3701" s="55" t="s">
        <v>6810</v>
      </c>
      <c r="I3701" s="15" t="s">
        <v>214</v>
      </c>
    </row>
    <row r="3702" spans="1:9" ht="51.75" customHeight="1" x14ac:dyDescent="0.35">
      <c r="A3702" s="15">
        <v>1</v>
      </c>
      <c r="B3702" s="15" t="s">
        <v>32076</v>
      </c>
      <c r="C3702" s="15" t="s">
        <v>32077</v>
      </c>
      <c r="D3702" s="31">
        <v>39202</v>
      </c>
      <c r="E3702" s="15" t="s">
        <v>32078</v>
      </c>
      <c r="F3702" s="87"/>
      <c r="G3702" s="45" t="s">
        <v>626</v>
      </c>
      <c r="H3702" s="55" t="s">
        <v>627</v>
      </c>
      <c r="I3702" s="15" t="s">
        <v>214</v>
      </c>
    </row>
    <row r="3703" spans="1:9" ht="51.75" customHeight="1" x14ac:dyDescent="0.35">
      <c r="A3703" s="15">
        <v>2</v>
      </c>
      <c r="B3703" s="15" t="s">
        <v>32079</v>
      </c>
      <c r="C3703" s="15" t="s">
        <v>32080</v>
      </c>
      <c r="D3703" s="31">
        <v>39202</v>
      </c>
      <c r="E3703" s="15" t="s">
        <v>32081</v>
      </c>
      <c r="F3703" s="87"/>
      <c r="G3703" s="45" t="s">
        <v>626</v>
      </c>
      <c r="H3703" s="55" t="s">
        <v>627</v>
      </c>
      <c r="I3703" s="15" t="s">
        <v>214</v>
      </c>
    </row>
    <row r="3704" spans="1:9" ht="51.75" customHeight="1" x14ac:dyDescent="0.35">
      <c r="A3704" s="15">
        <v>3</v>
      </c>
      <c r="B3704" s="15" t="s">
        <v>32082</v>
      </c>
      <c r="C3704" s="15" t="s">
        <v>32083</v>
      </c>
      <c r="D3704" s="31">
        <v>39202</v>
      </c>
      <c r="E3704" s="15" t="s">
        <v>32084</v>
      </c>
      <c r="F3704" s="87"/>
      <c r="G3704" s="45" t="s">
        <v>626</v>
      </c>
      <c r="H3704" s="55" t="s">
        <v>627</v>
      </c>
      <c r="I3704" s="15" t="s">
        <v>214</v>
      </c>
    </row>
    <row r="3705" spans="1:9" ht="51.75" customHeight="1" x14ac:dyDescent="0.35">
      <c r="A3705" s="15">
        <v>4</v>
      </c>
      <c r="B3705" s="15" t="s">
        <v>32085</v>
      </c>
      <c r="C3705" s="15" t="s">
        <v>32086</v>
      </c>
      <c r="D3705" s="31">
        <v>39202</v>
      </c>
      <c r="E3705" s="15" t="s">
        <v>32087</v>
      </c>
      <c r="F3705" s="87"/>
      <c r="G3705" s="45" t="s">
        <v>626</v>
      </c>
      <c r="H3705" s="55" t="s">
        <v>627</v>
      </c>
      <c r="I3705" s="15" t="s">
        <v>214</v>
      </c>
    </row>
    <row r="3706" spans="1:9" ht="51.75" customHeight="1" x14ac:dyDescent="0.35">
      <c r="A3706" s="15">
        <v>5</v>
      </c>
      <c r="B3706" s="15" t="s">
        <v>32088</v>
      </c>
      <c r="C3706" s="15" t="s">
        <v>32089</v>
      </c>
      <c r="D3706" s="31">
        <v>39202</v>
      </c>
      <c r="E3706" s="15" t="s">
        <v>32090</v>
      </c>
      <c r="F3706" s="87"/>
      <c r="G3706" s="45" t="s">
        <v>626</v>
      </c>
      <c r="H3706" s="55" t="s">
        <v>627</v>
      </c>
      <c r="I3706" s="15" t="s">
        <v>214</v>
      </c>
    </row>
    <row r="3707" spans="1:9" ht="51.75" customHeight="1" x14ac:dyDescent="0.35">
      <c r="A3707" s="15">
        <v>6</v>
      </c>
      <c r="B3707" s="15" t="s">
        <v>32091</v>
      </c>
      <c r="C3707" s="15" t="s">
        <v>32092</v>
      </c>
      <c r="D3707" s="31">
        <v>39202</v>
      </c>
      <c r="E3707" s="15" t="s">
        <v>32093</v>
      </c>
      <c r="F3707" s="87"/>
      <c r="G3707" s="45" t="s">
        <v>626</v>
      </c>
      <c r="H3707" s="55" t="s">
        <v>627</v>
      </c>
      <c r="I3707" s="15" t="s">
        <v>214</v>
      </c>
    </row>
    <row r="3708" spans="1:9" ht="51.75" customHeight="1" x14ac:dyDescent="0.35">
      <c r="A3708" s="15">
        <v>7</v>
      </c>
      <c r="B3708" s="15" t="s">
        <v>32094</v>
      </c>
      <c r="C3708" s="15" t="s">
        <v>32095</v>
      </c>
      <c r="D3708" s="31">
        <v>39202</v>
      </c>
      <c r="E3708" s="15" t="s">
        <v>32096</v>
      </c>
      <c r="F3708" s="87"/>
      <c r="G3708" s="45" t="s">
        <v>626</v>
      </c>
      <c r="H3708" s="55" t="s">
        <v>627</v>
      </c>
      <c r="I3708" s="15" t="s">
        <v>214</v>
      </c>
    </row>
    <row r="3709" spans="1:9" ht="51.75" customHeight="1" x14ac:dyDescent="0.35">
      <c r="A3709" s="15">
        <v>8</v>
      </c>
      <c r="B3709" s="15" t="s">
        <v>32097</v>
      </c>
      <c r="C3709" s="15" t="s">
        <v>32098</v>
      </c>
      <c r="D3709" s="31">
        <v>39202</v>
      </c>
      <c r="E3709" s="15" t="s">
        <v>32099</v>
      </c>
      <c r="F3709" s="87"/>
      <c r="G3709" s="45" t="s">
        <v>626</v>
      </c>
      <c r="H3709" s="55" t="s">
        <v>627</v>
      </c>
      <c r="I3709" s="15" t="s">
        <v>214</v>
      </c>
    </row>
    <row r="3710" spans="1:9" ht="51.75" customHeight="1" x14ac:dyDescent="0.35">
      <c r="A3710" s="15">
        <v>9</v>
      </c>
      <c r="B3710" s="15" t="s">
        <v>32100</v>
      </c>
      <c r="C3710" s="15" t="s">
        <v>32101</v>
      </c>
      <c r="D3710" s="31">
        <v>39202</v>
      </c>
      <c r="E3710" s="15" t="s">
        <v>32102</v>
      </c>
      <c r="F3710" s="87"/>
      <c r="G3710" s="45" t="s">
        <v>626</v>
      </c>
      <c r="H3710" s="55" t="s">
        <v>627</v>
      </c>
      <c r="I3710" s="15" t="s">
        <v>214</v>
      </c>
    </row>
    <row r="3711" spans="1:9" ht="51.75" customHeight="1" x14ac:dyDescent="0.35">
      <c r="A3711" s="15">
        <v>1</v>
      </c>
      <c r="B3711" s="15" t="s">
        <v>32103</v>
      </c>
      <c r="C3711" s="15" t="s">
        <v>32104</v>
      </c>
      <c r="D3711" s="31">
        <v>41082</v>
      </c>
      <c r="E3711" s="15" t="s">
        <v>32105</v>
      </c>
      <c r="F3711" s="87"/>
      <c r="G3711" s="45" t="s">
        <v>6625</v>
      </c>
      <c r="H3711" s="55" t="s">
        <v>6626</v>
      </c>
      <c r="I3711" s="15" t="s">
        <v>214</v>
      </c>
    </row>
    <row r="3712" spans="1:9" ht="51.75" customHeight="1" x14ac:dyDescent="0.35">
      <c r="A3712" s="15">
        <v>2</v>
      </c>
      <c r="B3712" s="15" t="s">
        <v>32106</v>
      </c>
      <c r="C3712" s="15" t="s">
        <v>32107</v>
      </c>
      <c r="D3712" s="31">
        <v>41082</v>
      </c>
      <c r="E3712" s="15" t="s">
        <v>32108</v>
      </c>
      <c r="F3712" s="87"/>
      <c r="G3712" s="45" t="s">
        <v>6625</v>
      </c>
      <c r="H3712" s="55" t="s">
        <v>6626</v>
      </c>
      <c r="I3712" s="15" t="s">
        <v>214</v>
      </c>
    </row>
    <row r="3713" spans="1:9" ht="51.75" customHeight="1" x14ac:dyDescent="0.35">
      <c r="A3713" s="15">
        <v>3</v>
      </c>
      <c r="B3713" s="15" t="s">
        <v>32109</v>
      </c>
      <c r="C3713" s="15" t="s">
        <v>32110</v>
      </c>
      <c r="D3713" s="31">
        <v>41082</v>
      </c>
      <c r="E3713" s="15" t="s">
        <v>32111</v>
      </c>
      <c r="F3713" s="87"/>
      <c r="G3713" s="45" t="s">
        <v>6625</v>
      </c>
      <c r="H3713" s="55" t="s">
        <v>6626</v>
      </c>
      <c r="I3713" s="15" t="s">
        <v>214</v>
      </c>
    </row>
    <row r="3714" spans="1:9" ht="51.75" customHeight="1" x14ac:dyDescent="0.35">
      <c r="A3714" s="15">
        <v>4</v>
      </c>
      <c r="B3714" s="15" t="s">
        <v>32112</v>
      </c>
      <c r="C3714" s="15" t="s">
        <v>32113</v>
      </c>
      <c r="D3714" s="31">
        <v>41082</v>
      </c>
      <c r="E3714" s="15" t="s">
        <v>32114</v>
      </c>
      <c r="F3714" s="87"/>
      <c r="G3714" s="45" t="s">
        <v>6625</v>
      </c>
      <c r="H3714" s="55" t="s">
        <v>6626</v>
      </c>
      <c r="I3714" s="15" t="s">
        <v>214</v>
      </c>
    </row>
    <row r="3715" spans="1:9" ht="51.75" customHeight="1" x14ac:dyDescent="0.35">
      <c r="A3715" s="15">
        <v>5</v>
      </c>
      <c r="B3715" s="15" t="s">
        <v>32115</v>
      </c>
      <c r="C3715" s="15" t="s">
        <v>32116</v>
      </c>
      <c r="D3715" s="31">
        <v>41082</v>
      </c>
      <c r="E3715" s="15" t="s">
        <v>32117</v>
      </c>
      <c r="F3715" s="87"/>
      <c r="G3715" s="45" t="s">
        <v>6625</v>
      </c>
      <c r="H3715" s="55" t="s">
        <v>6626</v>
      </c>
      <c r="I3715" s="15" t="s">
        <v>214</v>
      </c>
    </row>
    <row r="3716" spans="1:9" ht="51.75" customHeight="1" x14ac:dyDescent="0.35">
      <c r="A3716" s="15">
        <v>1</v>
      </c>
      <c r="B3716" s="15" t="s">
        <v>32118</v>
      </c>
      <c r="C3716" s="15" t="s">
        <v>32119</v>
      </c>
      <c r="D3716" s="31">
        <v>39082</v>
      </c>
      <c r="E3716" s="15" t="s">
        <v>32120</v>
      </c>
      <c r="F3716" s="87"/>
      <c r="G3716" s="45" t="s">
        <v>490</v>
      </c>
      <c r="H3716" s="55" t="s">
        <v>491</v>
      </c>
      <c r="I3716" s="15" t="s">
        <v>214</v>
      </c>
    </row>
    <row r="3717" spans="1:9" ht="51.75" customHeight="1" x14ac:dyDescent="0.35">
      <c r="A3717" s="15">
        <v>2</v>
      </c>
      <c r="B3717" s="15" t="s">
        <v>32121</v>
      </c>
      <c r="C3717" s="15" t="s">
        <v>32122</v>
      </c>
      <c r="D3717" s="31">
        <v>39082</v>
      </c>
      <c r="E3717" s="15" t="s">
        <v>32123</v>
      </c>
      <c r="F3717" s="87"/>
      <c r="G3717" s="45" t="s">
        <v>490</v>
      </c>
      <c r="H3717" s="55" t="s">
        <v>491</v>
      </c>
      <c r="I3717" s="15" t="s">
        <v>214</v>
      </c>
    </row>
    <row r="3718" spans="1:9" ht="51.75" customHeight="1" x14ac:dyDescent="0.35">
      <c r="A3718" s="15" t="s">
        <v>23902</v>
      </c>
      <c r="B3718" s="15" t="s">
        <v>32124</v>
      </c>
      <c r="C3718" s="15" t="s">
        <v>32125</v>
      </c>
      <c r="D3718" s="31">
        <v>41240</v>
      </c>
      <c r="E3718" s="15" t="s">
        <v>32126</v>
      </c>
      <c r="F3718" s="87" t="s">
        <v>21871</v>
      </c>
      <c r="G3718" s="45" t="s">
        <v>6708</v>
      </c>
      <c r="H3718" s="55" t="s">
        <v>6709</v>
      </c>
      <c r="I3718" s="15" t="s">
        <v>214</v>
      </c>
    </row>
    <row r="3719" spans="1:9" ht="51.75" customHeight="1" x14ac:dyDescent="0.35">
      <c r="A3719" s="15" t="s">
        <v>27293</v>
      </c>
      <c r="B3719" s="15" t="s">
        <v>32127</v>
      </c>
      <c r="C3719" s="15" t="s">
        <v>32128</v>
      </c>
      <c r="D3719" s="31">
        <v>41240</v>
      </c>
      <c r="E3719" s="15" t="s">
        <v>32129</v>
      </c>
      <c r="F3719" s="87" t="s">
        <v>21871</v>
      </c>
      <c r="G3719" s="45" t="s">
        <v>6708</v>
      </c>
      <c r="H3719" s="55" t="s">
        <v>6709</v>
      </c>
      <c r="I3719" s="15" t="s">
        <v>214</v>
      </c>
    </row>
    <row r="3720" spans="1:9" ht="51.75" customHeight="1" x14ac:dyDescent="0.35">
      <c r="A3720" s="15" t="s">
        <v>27298</v>
      </c>
      <c r="B3720" s="15" t="s">
        <v>32130</v>
      </c>
      <c r="C3720" s="15" t="s">
        <v>32131</v>
      </c>
      <c r="D3720" s="31">
        <v>41240</v>
      </c>
      <c r="E3720" s="15" t="s">
        <v>32132</v>
      </c>
      <c r="F3720" s="87" t="s">
        <v>21871</v>
      </c>
      <c r="G3720" s="45" t="s">
        <v>6708</v>
      </c>
      <c r="H3720" s="55" t="s">
        <v>6709</v>
      </c>
      <c r="I3720" s="15" t="s">
        <v>214</v>
      </c>
    </row>
    <row r="3721" spans="1:9" ht="51.75" customHeight="1" x14ac:dyDescent="0.35">
      <c r="A3721" s="15">
        <v>1</v>
      </c>
      <c r="B3721" s="15" t="s">
        <v>32133</v>
      </c>
      <c r="C3721" s="15" t="s">
        <v>32134</v>
      </c>
      <c r="D3721" s="31">
        <v>39325</v>
      </c>
      <c r="E3721" s="15" t="s">
        <v>32134</v>
      </c>
      <c r="F3721" s="87"/>
      <c r="G3721" s="45" t="s">
        <v>777</v>
      </c>
      <c r="H3721" s="55" t="s">
        <v>778</v>
      </c>
      <c r="I3721" s="15" t="s">
        <v>214</v>
      </c>
    </row>
    <row r="3722" spans="1:9" ht="51.75" customHeight="1" x14ac:dyDescent="0.35">
      <c r="A3722" s="15">
        <v>2</v>
      </c>
      <c r="B3722" s="15" t="s">
        <v>32135</v>
      </c>
      <c r="C3722" s="15" t="s">
        <v>32136</v>
      </c>
      <c r="D3722" s="31">
        <v>39325</v>
      </c>
      <c r="E3722" s="15" t="s">
        <v>32137</v>
      </c>
      <c r="F3722" s="87"/>
      <c r="G3722" s="45" t="s">
        <v>777</v>
      </c>
      <c r="H3722" s="55" t="s">
        <v>778</v>
      </c>
      <c r="I3722" s="15" t="s">
        <v>214</v>
      </c>
    </row>
    <row r="3723" spans="1:9" ht="51.75" customHeight="1" x14ac:dyDescent="0.35">
      <c r="A3723" s="15">
        <v>3</v>
      </c>
      <c r="B3723" s="15" t="s">
        <v>32138</v>
      </c>
      <c r="C3723" s="15" t="s">
        <v>32139</v>
      </c>
      <c r="D3723" s="31">
        <v>39325</v>
      </c>
      <c r="E3723" s="15" t="s">
        <v>32140</v>
      </c>
      <c r="F3723" s="87"/>
      <c r="G3723" s="45" t="s">
        <v>777</v>
      </c>
      <c r="H3723" s="55" t="s">
        <v>778</v>
      </c>
      <c r="I3723" s="15" t="s">
        <v>214</v>
      </c>
    </row>
    <row r="3724" spans="1:9" ht="51.75" customHeight="1" x14ac:dyDescent="0.35">
      <c r="A3724" s="15">
        <v>4</v>
      </c>
      <c r="B3724" s="15" t="s">
        <v>32141</v>
      </c>
      <c r="C3724" s="15" t="s">
        <v>32142</v>
      </c>
      <c r="D3724" s="31">
        <v>39325</v>
      </c>
      <c r="E3724" s="15" t="s">
        <v>32143</v>
      </c>
      <c r="F3724" s="87"/>
      <c r="G3724" s="45" t="s">
        <v>777</v>
      </c>
      <c r="H3724" s="55" t="s">
        <v>778</v>
      </c>
      <c r="I3724" s="15" t="s">
        <v>214</v>
      </c>
    </row>
    <row r="3725" spans="1:9" ht="51.75" customHeight="1" x14ac:dyDescent="0.35">
      <c r="A3725" s="15">
        <v>5</v>
      </c>
      <c r="B3725" s="15" t="s">
        <v>32144</v>
      </c>
      <c r="C3725" s="15" t="s">
        <v>32145</v>
      </c>
      <c r="D3725" s="31">
        <v>39325</v>
      </c>
      <c r="E3725" s="15" t="s">
        <v>32146</v>
      </c>
      <c r="F3725" s="87"/>
      <c r="G3725" s="45" t="s">
        <v>777</v>
      </c>
      <c r="H3725" s="55" t="s">
        <v>778</v>
      </c>
      <c r="I3725" s="15" t="s">
        <v>214</v>
      </c>
    </row>
    <row r="3726" spans="1:9" ht="51.75" customHeight="1" x14ac:dyDescent="0.35">
      <c r="A3726" s="15">
        <v>6</v>
      </c>
      <c r="B3726" s="15" t="s">
        <v>32147</v>
      </c>
      <c r="C3726" s="15" t="s">
        <v>32148</v>
      </c>
      <c r="D3726" s="31">
        <v>39325</v>
      </c>
      <c r="E3726" s="15" t="s">
        <v>32149</v>
      </c>
      <c r="F3726" s="87"/>
      <c r="G3726" s="45" t="s">
        <v>777</v>
      </c>
      <c r="H3726" s="55" t="s">
        <v>778</v>
      </c>
      <c r="I3726" s="15" t="s">
        <v>214</v>
      </c>
    </row>
    <row r="3727" spans="1:9" ht="51.75" customHeight="1" x14ac:dyDescent="0.35">
      <c r="A3727" s="15">
        <v>7</v>
      </c>
      <c r="B3727" s="15" t="s">
        <v>32150</v>
      </c>
      <c r="C3727" s="15" t="s">
        <v>32151</v>
      </c>
      <c r="D3727" s="31">
        <v>39325</v>
      </c>
      <c r="E3727" s="15" t="s">
        <v>32152</v>
      </c>
      <c r="F3727" s="87"/>
      <c r="G3727" s="45" t="s">
        <v>777</v>
      </c>
      <c r="H3727" s="55" t="s">
        <v>778</v>
      </c>
      <c r="I3727" s="15" t="s">
        <v>214</v>
      </c>
    </row>
    <row r="3728" spans="1:9" ht="51.75" customHeight="1" x14ac:dyDescent="0.35">
      <c r="A3728" s="15">
        <v>8</v>
      </c>
      <c r="B3728" s="15" t="s">
        <v>32153</v>
      </c>
      <c r="C3728" s="15" t="s">
        <v>32148</v>
      </c>
      <c r="D3728" s="31">
        <v>39325</v>
      </c>
      <c r="E3728" s="15" t="s">
        <v>32154</v>
      </c>
      <c r="F3728" s="87"/>
      <c r="G3728" s="45" t="s">
        <v>777</v>
      </c>
      <c r="H3728" s="55" t="s">
        <v>778</v>
      </c>
      <c r="I3728" s="15" t="s">
        <v>214</v>
      </c>
    </row>
    <row r="3729" spans="1:9" ht="51.75" customHeight="1" x14ac:dyDescent="0.35">
      <c r="A3729" s="15">
        <v>9</v>
      </c>
      <c r="B3729" s="15" t="s">
        <v>32155</v>
      </c>
      <c r="C3729" s="15" t="s">
        <v>32156</v>
      </c>
      <c r="D3729" s="31">
        <v>39325</v>
      </c>
      <c r="E3729" s="15" t="s">
        <v>32157</v>
      </c>
      <c r="F3729" s="87"/>
      <c r="G3729" s="45" t="s">
        <v>777</v>
      </c>
      <c r="H3729" s="55" t="s">
        <v>778</v>
      </c>
      <c r="I3729" s="15" t="s">
        <v>214</v>
      </c>
    </row>
    <row r="3730" spans="1:9" ht="51.75" customHeight="1" x14ac:dyDescent="0.35">
      <c r="A3730" s="15">
        <v>1</v>
      </c>
      <c r="B3730" s="15" t="s">
        <v>32158</v>
      </c>
      <c r="C3730" s="15" t="s">
        <v>32159</v>
      </c>
      <c r="D3730" s="31">
        <v>38965</v>
      </c>
      <c r="E3730" s="15" t="s">
        <v>32160</v>
      </c>
      <c r="F3730" s="87"/>
      <c r="G3730" s="45" t="s">
        <v>1000</v>
      </c>
      <c r="H3730" s="55" t="s">
        <v>1001</v>
      </c>
      <c r="I3730" s="15" t="s">
        <v>214</v>
      </c>
    </row>
    <row r="3731" spans="1:9" ht="51.75" customHeight="1" x14ac:dyDescent="0.35">
      <c r="A3731" s="15">
        <v>2</v>
      </c>
      <c r="B3731" s="15" t="s">
        <v>32161</v>
      </c>
      <c r="C3731" s="15" t="s">
        <v>32162</v>
      </c>
      <c r="D3731" s="31">
        <v>38965</v>
      </c>
      <c r="E3731" s="15" t="s">
        <v>32163</v>
      </c>
      <c r="F3731" s="87"/>
      <c r="G3731" s="45" t="s">
        <v>1000</v>
      </c>
      <c r="H3731" s="55" t="s">
        <v>1001</v>
      </c>
      <c r="I3731" s="15" t="s">
        <v>214</v>
      </c>
    </row>
    <row r="3732" spans="1:9" ht="51.75" customHeight="1" x14ac:dyDescent="0.35">
      <c r="A3732" s="15">
        <v>3</v>
      </c>
      <c r="B3732" s="15" t="s">
        <v>32164</v>
      </c>
      <c r="C3732" s="15" t="s">
        <v>32165</v>
      </c>
      <c r="D3732" s="31">
        <v>38965</v>
      </c>
      <c r="E3732" s="15" t="s">
        <v>32166</v>
      </c>
      <c r="F3732" s="87"/>
      <c r="G3732" s="45" t="s">
        <v>1000</v>
      </c>
      <c r="H3732" s="55" t="s">
        <v>1001</v>
      </c>
      <c r="I3732" s="15" t="s">
        <v>214</v>
      </c>
    </row>
    <row r="3733" spans="1:9" ht="51.75" customHeight="1" x14ac:dyDescent="0.35">
      <c r="A3733" s="15">
        <v>4</v>
      </c>
      <c r="B3733" s="15" t="s">
        <v>32167</v>
      </c>
      <c r="C3733" s="15" t="s">
        <v>32168</v>
      </c>
      <c r="D3733" s="31">
        <v>38965</v>
      </c>
      <c r="E3733" s="15" t="s">
        <v>32169</v>
      </c>
      <c r="F3733" s="87"/>
      <c r="G3733" s="45" t="s">
        <v>1000</v>
      </c>
      <c r="H3733" s="55" t="s">
        <v>1001</v>
      </c>
      <c r="I3733" s="15" t="s">
        <v>214</v>
      </c>
    </row>
    <row r="3734" spans="1:9" ht="51.75" customHeight="1" x14ac:dyDescent="0.35">
      <c r="A3734" s="15">
        <v>5</v>
      </c>
      <c r="B3734" s="15" t="s">
        <v>32170</v>
      </c>
      <c r="C3734" s="15" t="s">
        <v>32171</v>
      </c>
      <c r="D3734" s="31">
        <v>38965</v>
      </c>
      <c r="E3734" s="15" t="s">
        <v>32172</v>
      </c>
      <c r="F3734" s="87"/>
      <c r="G3734" s="45" t="s">
        <v>1000</v>
      </c>
      <c r="H3734" s="55" t="s">
        <v>1001</v>
      </c>
      <c r="I3734" s="15" t="s">
        <v>214</v>
      </c>
    </row>
    <row r="3735" spans="1:9" ht="51.75" customHeight="1" x14ac:dyDescent="0.35">
      <c r="A3735" s="15">
        <v>6</v>
      </c>
      <c r="B3735" s="15" t="s">
        <v>32173</v>
      </c>
      <c r="C3735" s="15" t="s">
        <v>32174</v>
      </c>
      <c r="D3735" s="31">
        <v>38965</v>
      </c>
      <c r="E3735" s="15" t="s">
        <v>32175</v>
      </c>
      <c r="F3735" s="87"/>
      <c r="G3735" s="45" t="s">
        <v>1000</v>
      </c>
      <c r="H3735" s="55" t="s">
        <v>1001</v>
      </c>
      <c r="I3735" s="15" t="s">
        <v>214</v>
      </c>
    </row>
    <row r="3736" spans="1:9" ht="51.75" customHeight="1" x14ac:dyDescent="0.35">
      <c r="A3736" s="15">
        <v>7</v>
      </c>
      <c r="B3736" s="15" t="s">
        <v>32176</v>
      </c>
      <c r="C3736" s="15" t="s">
        <v>32177</v>
      </c>
      <c r="D3736" s="31">
        <v>38965</v>
      </c>
      <c r="E3736" s="15" t="s">
        <v>32178</v>
      </c>
      <c r="F3736" s="87"/>
      <c r="G3736" s="45" t="s">
        <v>1000</v>
      </c>
      <c r="H3736" s="55" t="s">
        <v>1001</v>
      </c>
      <c r="I3736" s="15" t="s">
        <v>214</v>
      </c>
    </row>
    <row r="3737" spans="1:9" ht="51.75" customHeight="1" x14ac:dyDescent="0.35">
      <c r="A3737" s="15">
        <v>8</v>
      </c>
      <c r="B3737" s="15" t="s">
        <v>32179</v>
      </c>
      <c r="C3737" s="15" t="s">
        <v>32180</v>
      </c>
      <c r="D3737" s="31">
        <v>38965</v>
      </c>
      <c r="E3737" s="15" t="s">
        <v>32181</v>
      </c>
      <c r="F3737" s="87"/>
      <c r="G3737" s="45" t="s">
        <v>1000</v>
      </c>
      <c r="H3737" s="55" t="s">
        <v>1001</v>
      </c>
      <c r="I3737" s="15" t="s">
        <v>214</v>
      </c>
    </row>
    <row r="3738" spans="1:9" ht="51.75" customHeight="1" x14ac:dyDescent="0.35">
      <c r="A3738" s="15" t="s">
        <v>24255</v>
      </c>
      <c r="B3738" s="15" t="s">
        <v>32182</v>
      </c>
      <c r="C3738" s="15" t="s">
        <v>29481</v>
      </c>
      <c r="D3738" s="31" t="s">
        <v>50</v>
      </c>
      <c r="E3738" s="15" t="s">
        <v>32183</v>
      </c>
      <c r="F3738" s="87" t="s">
        <v>21871</v>
      </c>
      <c r="G3738" s="45" t="s">
        <v>6500</v>
      </c>
      <c r="H3738" s="55" t="s">
        <v>6501</v>
      </c>
      <c r="I3738" s="15" t="s">
        <v>214</v>
      </c>
    </row>
    <row r="3739" spans="1:9" ht="51.75" customHeight="1" x14ac:dyDescent="0.35">
      <c r="A3739" s="15" t="s">
        <v>22960</v>
      </c>
      <c r="B3739" s="15" t="s">
        <v>32184</v>
      </c>
      <c r="C3739" s="15" t="s">
        <v>29484</v>
      </c>
      <c r="D3739" s="31" t="s">
        <v>50</v>
      </c>
      <c r="E3739" s="15" t="s">
        <v>32185</v>
      </c>
      <c r="F3739" s="87" t="s">
        <v>21871</v>
      </c>
      <c r="G3739" s="45" t="s">
        <v>6500</v>
      </c>
      <c r="H3739" s="55" t="s">
        <v>6501</v>
      </c>
      <c r="I3739" s="15" t="s">
        <v>214</v>
      </c>
    </row>
    <row r="3740" spans="1:9" ht="51.75" customHeight="1" x14ac:dyDescent="0.35">
      <c r="A3740" s="15" t="s">
        <v>22964</v>
      </c>
      <c r="B3740" s="15" t="s">
        <v>32186</v>
      </c>
      <c r="C3740" s="15" t="s">
        <v>29487</v>
      </c>
      <c r="D3740" s="31" t="s">
        <v>50</v>
      </c>
      <c r="E3740" s="15" t="s">
        <v>32187</v>
      </c>
      <c r="F3740" s="87" t="s">
        <v>21871</v>
      </c>
      <c r="G3740" s="45" t="s">
        <v>6500</v>
      </c>
      <c r="H3740" s="55" t="s">
        <v>6501</v>
      </c>
      <c r="I3740" s="15" t="s">
        <v>214</v>
      </c>
    </row>
    <row r="3741" spans="1:9" ht="51.75" customHeight="1" x14ac:dyDescent="0.35">
      <c r="A3741" s="15" t="s">
        <v>22968</v>
      </c>
      <c r="B3741" s="15" t="s">
        <v>32188</v>
      </c>
      <c r="C3741" s="15" t="s">
        <v>29490</v>
      </c>
      <c r="D3741" s="31" t="s">
        <v>50</v>
      </c>
      <c r="E3741" s="15" t="s">
        <v>32189</v>
      </c>
      <c r="F3741" s="87" t="s">
        <v>21871</v>
      </c>
      <c r="G3741" s="45" t="s">
        <v>6500</v>
      </c>
      <c r="H3741" s="55" t="s">
        <v>6501</v>
      </c>
      <c r="I3741" s="15" t="s">
        <v>214</v>
      </c>
    </row>
    <row r="3742" spans="1:9" ht="51.75" customHeight="1" x14ac:dyDescent="0.35">
      <c r="A3742" s="15" t="s">
        <v>28369</v>
      </c>
      <c r="B3742" s="15" t="s">
        <v>32190</v>
      </c>
      <c r="C3742" s="15" t="s">
        <v>29493</v>
      </c>
      <c r="D3742" s="31" t="s">
        <v>50</v>
      </c>
      <c r="E3742" s="15" t="s">
        <v>32191</v>
      </c>
      <c r="F3742" s="87" t="s">
        <v>21871</v>
      </c>
      <c r="G3742" s="45" t="s">
        <v>6500</v>
      </c>
      <c r="H3742" s="55" t="s">
        <v>6501</v>
      </c>
      <c r="I3742" s="15" t="s">
        <v>214</v>
      </c>
    </row>
    <row r="3743" spans="1:9" ht="51.75" customHeight="1" x14ac:dyDescent="0.35">
      <c r="A3743" s="15" t="s">
        <v>23213</v>
      </c>
      <c r="B3743" s="15" t="s">
        <v>32192</v>
      </c>
      <c r="C3743" s="15" t="s">
        <v>29496</v>
      </c>
      <c r="D3743" s="31" t="s">
        <v>50</v>
      </c>
      <c r="E3743" s="15" t="s">
        <v>32193</v>
      </c>
      <c r="F3743" s="87" t="s">
        <v>21871</v>
      </c>
      <c r="G3743" s="45" t="s">
        <v>6500</v>
      </c>
      <c r="H3743" s="55" t="s">
        <v>6501</v>
      </c>
      <c r="I3743" s="15" t="s">
        <v>214</v>
      </c>
    </row>
    <row r="3744" spans="1:9" ht="51.75" customHeight="1" x14ac:dyDescent="0.35">
      <c r="A3744" s="15">
        <v>1</v>
      </c>
      <c r="B3744" s="15" t="s">
        <v>32194</v>
      </c>
      <c r="C3744" s="15" t="s">
        <v>32195</v>
      </c>
      <c r="D3744" s="31">
        <v>39294</v>
      </c>
      <c r="E3744" s="15" t="s">
        <v>32196</v>
      </c>
      <c r="F3744" s="87"/>
      <c r="G3744" s="45" t="s">
        <v>582</v>
      </c>
      <c r="H3744" s="55" t="s">
        <v>583</v>
      </c>
      <c r="I3744" s="15" t="s">
        <v>214</v>
      </c>
    </row>
    <row r="3745" spans="1:9" ht="51.75" customHeight="1" x14ac:dyDescent="0.35">
      <c r="A3745" s="15">
        <v>2</v>
      </c>
      <c r="B3745" s="15" t="s">
        <v>32197</v>
      </c>
      <c r="C3745" s="15" t="s">
        <v>32198</v>
      </c>
      <c r="D3745" s="31">
        <v>39294</v>
      </c>
      <c r="E3745" s="15" t="s">
        <v>32199</v>
      </c>
      <c r="F3745" s="87"/>
      <c r="G3745" s="45" t="s">
        <v>582</v>
      </c>
      <c r="H3745" s="55" t="s">
        <v>583</v>
      </c>
      <c r="I3745" s="15" t="s">
        <v>214</v>
      </c>
    </row>
    <row r="3746" spans="1:9" ht="51.75" customHeight="1" x14ac:dyDescent="0.35">
      <c r="A3746" s="15">
        <v>3</v>
      </c>
      <c r="B3746" s="15" t="s">
        <v>32200</v>
      </c>
      <c r="C3746" s="15" t="s">
        <v>32201</v>
      </c>
      <c r="D3746" s="31">
        <v>39294</v>
      </c>
      <c r="E3746" s="15" t="s">
        <v>32202</v>
      </c>
      <c r="F3746" s="87"/>
      <c r="G3746" s="45" t="s">
        <v>582</v>
      </c>
      <c r="H3746" s="55" t="s">
        <v>583</v>
      </c>
      <c r="I3746" s="15" t="s">
        <v>214</v>
      </c>
    </row>
    <row r="3747" spans="1:9" ht="51.75" customHeight="1" x14ac:dyDescent="0.35">
      <c r="A3747" s="15" t="s">
        <v>21867</v>
      </c>
      <c r="B3747" s="15" t="s">
        <v>32203</v>
      </c>
      <c r="C3747" s="15" t="s">
        <v>32204</v>
      </c>
      <c r="D3747" s="31">
        <v>41171</v>
      </c>
      <c r="E3747" s="15" t="s">
        <v>32205</v>
      </c>
      <c r="F3747" s="87" t="s">
        <v>21871</v>
      </c>
      <c r="G3747" s="45" t="s">
        <v>6456</v>
      </c>
      <c r="H3747" s="55" t="s">
        <v>6457</v>
      </c>
      <c r="I3747" s="15" t="s">
        <v>214</v>
      </c>
    </row>
    <row r="3748" spans="1:9" ht="51.75" customHeight="1" x14ac:dyDescent="0.35">
      <c r="A3748" s="15" t="s">
        <v>24561</v>
      </c>
      <c r="B3748" s="15" t="s">
        <v>32206</v>
      </c>
      <c r="C3748" s="15" t="s">
        <v>32207</v>
      </c>
      <c r="D3748" s="31" t="s">
        <v>50</v>
      </c>
      <c r="E3748" s="15" t="s">
        <v>32208</v>
      </c>
      <c r="F3748" s="87" t="s">
        <v>21871</v>
      </c>
      <c r="G3748" s="45" t="s">
        <v>6456</v>
      </c>
      <c r="H3748" s="55" t="s">
        <v>6457</v>
      </c>
      <c r="I3748" s="15" t="s">
        <v>214</v>
      </c>
    </row>
    <row r="3749" spans="1:9" ht="51.75" customHeight="1" x14ac:dyDescent="0.35">
      <c r="A3749" s="15" t="s">
        <v>28485</v>
      </c>
      <c r="B3749" s="15" t="s">
        <v>32209</v>
      </c>
      <c r="C3749" s="15" t="s">
        <v>32210</v>
      </c>
      <c r="D3749" s="31">
        <v>41171</v>
      </c>
      <c r="E3749" s="15" t="s">
        <v>32211</v>
      </c>
      <c r="F3749" s="87" t="s">
        <v>21871</v>
      </c>
      <c r="G3749" s="45" t="s">
        <v>6456</v>
      </c>
      <c r="H3749" s="55" t="s">
        <v>6457</v>
      </c>
      <c r="I3749" s="15" t="s">
        <v>214</v>
      </c>
    </row>
    <row r="3750" spans="1:9" ht="51.75" customHeight="1" x14ac:dyDescent="0.35">
      <c r="A3750" s="15" t="s">
        <v>32212</v>
      </c>
      <c r="B3750" s="15" t="s">
        <v>32213</v>
      </c>
      <c r="C3750" s="15" t="s">
        <v>32214</v>
      </c>
      <c r="D3750" s="31">
        <v>41171</v>
      </c>
      <c r="E3750" s="15" t="s">
        <v>32215</v>
      </c>
      <c r="F3750" s="87" t="s">
        <v>21871</v>
      </c>
      <c r="G3750" s="45" t="s">
        <v>6456</v>
      </c>
      <c r="H3750" s="55" t="s">
        <v>6457</v>
      </c>
      <c r="I3750" s="15" t="s">
        <v>214</v>
      </c>
    </row>
    <row r="3751" spans="1:9" ht="51.75" customHeight="1" x14ac:dyDescent="0.35">
      <c r="A3751" s="15" t="s">
        <v>23200</v>
      </c>
      <c r="B3751" s="15" t="s">
        <v>32216</v>
      </c>
      <c r="C3751" s="15" t="s">
        <v>32217</v>
      </c>
      <c r="D3751" s="31">
        <v>41263</v>
      </c>
      <c r="E3751" s="15" t="s">
        <v>32218</v>
      </c>
      <c r="F3751" s="87" t="s">
        <v>21871</v>
      </c>
      <c r="G3751" s="45" t="s">
        <v>6483</v>
      </c>
      <c r="H3751" s="55" t="s">
        <v>6484</v>
      </c>
      <c r="I3751" s="15" t="s">
        <v>214</v>
      </c>
    </row>
    <row r="3752" spans="1:9" ht="51.75" customHeight="1" x14ac:dyDescent="0.35">
      <c r="A3752" s="15" t="s">
        <v>23341</v>
      </c>
      <c r="B3752" s="15" t="s">
        <v>32219</v>
      </c>
      <c r="C3752" s="15" t="s">
        <v>32220</v>
      </c>
      <c r="D3752" s="31">
        <v>41263</v>
      </c>
      <c r="E3752" s="15" t="s">
        <v>32221</v>
      </c>
      <c r="F3752" s="87" t="s">
        <v>21871</v>
      </c>
      <c r="G3752" s="45" t="s">
        <v>6483</v>
      </c>
      <c r="H3752" s="55" t="s">
        <v>6484</v>
      </c>
      <c r="I3752" s="15" t="s">
        <v>214</v>
      </c>
    </row>
    <row r="3753" spans="1:9" ht="51.75" customHeight="1" x14ac:dyDescent="0.35">
      <c r="A3753" s="15" t="s">
        <v>23345</v>
      </c>
      <c r="B3753" s="15" t="s">
        <v>32222</v>
      </c>
      <c r="C3753" s="15" t="s">
        <v>32223</v>
      </c>
      <c r="D3753" s="31">
        <v>41263</v>
      </c>
      <c r="E3753" s="15" t="s">
        <v>32224</v>
      </c>
      <c r="F3753" s="87" t="s">
        <v>21871</v>
      </c>
      <c r="G3753" s="45" t="s">
        <v>6483</v>
      </c>
      <c r="H3753" s="55" t="s">
        <v>6484</v>
      </c>
      <c r="I3753" s="15" t="s">
        <v>214</v>
      </c>
    </row>
    <row r="3754" spans="1:9" ht="51.75" customHeight="1" x14ac:dyDescent="0.35">
      <c r="A3754" s="15" t="s">
        <v>23349</v>
      </c>
      <c r="B3754" s="15" t="s">
        <v>32225</v>
      </c>
      <c r="C3754" s="15" t="s">
        <v>32226</v>
      </c>
      <c r="D3754" s="31">
        <v>41263</v>
      </c>
      <c r="E3754" s="15" t="s">
        <v>32227</v>
      </c>
      <c r="F3754" s="87" t="s">
        <v>21871</v>
      </c>
      <c r="G3754" s="45" t="s">
        <v>6483</v>
      </c>
      <c r="H3754" s="55" t="s">
        <v>6484</v>
      </c>
      <c r="I3754" s="15" t="s">
        <v>214</v>
      </c>
    </row>
    <row r="3755" spans="1:9" ht="51.75" customHeight="1" x14ac:dyDescent="0.35">
      <c r="A3755" s="15" t="s">
        <v>24503</v>
      </c>
      <c r="B3755" s="15" t="s">
        <v>32228</v>
      </c>
      <c r="C3755" s="15" t="s">
        <v>32229</v>
      </c>
      <c r="D3755" s="31">
        <v>41263</v>
      </c>
      <c r="E3755" s="15" t="s">
        <v>32230</v>
      </c>
      <c r="F3755" s="87" t="s">
        <v>21871</v>
      </c>
      <c r="G3755" s="45" t="s">
        <v>6483</v>
      </c>
      <c r="H3755" s="55" t="s">
        <v>6484</v>
      </c>
      <c r="I3755" s="15" t="s">
        <v>214</v>
      </c>
    </row>
    <row r="3756" spans="1:9" ht="51.75" customHeight="1" x14ac:dyDescent="0.35">
      <c r="A3756" s="15" t="s">
        <v>25173</v>
      </c>
      <c r="B3756" s="15" t="s">
        <v>32231</v>
      </c>
      <c r="C3756" s="15" t="s">
        <v>32232</v>
      </c>
      <c r="D3756" s="31">
        <v>41263</v>
      </c>
      <c r="E3756" s="15" t="s">
        <v>32233</v>
      </c>
      <c r="F3756" s="87" t="s">
        <v>21871</v>
      </c>
      <c r="G3756" s="45" t="s">
        <v>6483</v>
      </c>
      <c r="H3756" s="55" t="s">
        <v>6484</v>
      </c>
      <c r="I3756" s="15" t="s">
        <v>214</v>
      </c>
    </row>
    <row r="3757" spans="1:9" ht="51.75" customHeight="1" x14ac:dyDescent="0.35">
      <c r="A3757" s="15" t="s">
        <v>26296</v>
      </c>
      <c r="B3757" s="15" t="s">
        <v>32234</v>
      </c>
      <c r="C3757" s="15" t="s">
        <v>32235</v>
      </c>
      <c r="D3757" s="31">
        <v>41263</v>
      </c>
      <c r="E3757" s="15" t="s">
        <v>32236</v>
      </c>
      <c r="F3757" s="87" t="s">
        <v>21871</v>
      </c>
      <c r="G3757" s="45" t="s">
        <v>6483</v>
      </c>
      <c r="H3757" s="55" t="s">
        <v>6484</v>
      </c>
      <c r="I3757" s="15" t="s">
        <v>214</v>
      </c>
    </row>
    <row r="3758" spans="1:9" ht="51.75" customHeight="1" x14ac:dyDescent="0.35">
      <c r="A3758" s="15" t="s">
        <v>25543</v>
      </c>
      <c r="B3758" s="15" t="s">
        <v>32237</v>
      </c>
      <c r="C3758" s="15" t="s">
        <v>32238</v>
      </c>
      <c r="D3758" s="31">
        <v>41501</v>
      </c>
      <c r="E3758" s="15" t="s">
        <v>32239</v>
      </c>
      <c r="F3758" s="87"/>
      <c r="G3758" s="45" t="s">
        <v>6571</v>
      </c>
      <c r="H3758" s="55" t="s">
        <v>6572</v>
      </c>
      <c r="I3758" s="15" t="s">
        <v>214</v>
      </c>
    </row>
    <row r="3759" spans="1:9" ht="51.75" customHeight="1" x14ac:dyDescent="0.35">
      <c r="A3759" s="15" t="s">
        <v>25549</v>
      </c>
      <c r="B3759" s="15" t="s">
        <v>32240</v>
      </c>
      <c r="C3759" s="15" t="s">
        <v>32241</v>
      </c>
      <c r="D3759" s="31">
        <v>41501</v>
      </c>
      <c r="E3759" s="15" t="s">
        <v>32242</v>
      </c>
      <c r="F3759" s="87"/>
      <c r="G3759" s="45" t="s">
        <v>6571</v>
      </c>
      <c r="H3759" s="55" t="s">
        <v>6572</v>
      </c>
      <c r="I3759" s="15" t="s">
        <v>214</v>
      </c>
    </row>
    <row r="3760" spans="1:9" ht="51.75" customHeight="1" x14ac:dyDescent="0.35">
      <c r="A3760" s="15" t="s">
        <v>25555</v>
      </c>
      <c r="B3760" s="15" t="s">
        <v>32243</v>
      </c>
      <c r="C3760" s="15" t="s">
        <v>32244</v>
      </c>
      <c r="D3760" s="31">
        <v>41501</v>
      </c>
      <c r="E3760" s="15" t="s">
        <v>32245</v>
      </c>
      <c r="F3760" s="87"/>
      <c r="G3760" s="45" t="s">
        <v>6571</v>
      </c>
      <c r="H3760" s="55" t="s">
        <v>6572</v>
      </c>
      <c r="I3760" s="15" t="s">
        <v>214</v>
      </c>
    </row>
    <row r="3761" spans="1:9" ht="51.75" customHeight="1" x14ac:dyDescent="0.35">
      <c r="A3761" s="15" t="s">
        <v>23816</v>
      </c>
      <c r="B3761" s="15" t="s">
        <v>32246</v>
      </c>
      <c r="C3761" s="15" t="s">
        <v>32247</v>
      </c>
      <c r="D3761" s="31">
        <v>41501</v>
      </c>
      <c r="E3761" s="15" t="s">
        <v>32248</v>
      </c>
      <c r="F3761" s="87"/>
      <c r="G3761" s="45" t="s">
        <v>6571</v>
      </c>
      <c r="H3761" s="55" t="s">
        <v>6572</v>
      </c>
      <c r="I3761" s="15" t="s">
        <v>214</v>
      </c>
    </row>
    <row r="3762" spans="1:9" ht="51.75" customHeight="1" x14ac:dyDescent="0.35">
      <c r="A3762" s="15" t="s">
        <v>28399</v>
      </c>
      <c r="B3762" s="15" t="s">
        <v>32249</v>
      </c>
      <c r="C3762" s="15" t="s">
        <v>32250</v>
      </c>
      <c r="D3762" s="31">
        <v>41501</v>
      </c>
      <c r="E3762" s="15" t="s">
        <v>32251</v>
      </c>
      <c r="F3762" s="87"/>
      <c r="G3762" s="45" t="s">
        <v>6571</v>
      </c>
      <c r="H3762" s="55" t="s">
        <v>6572</v>
      </c>
      <c r="I3762" s="15" t="s">
        <v>214</v>
      </c>
    </row>
    <row r="3763" spans="1:9" ht="51.75" customHeight="1" x14ac:dyDescent="0.35">
      <c r="A3763" s="15" t="s">
        <v>32252</v>
      </c>
      <c r="B3763" s="15" t="s">
        <v>32253</v>
      </c>
      <c r="C3763" s="15" t="s">
        <v>32254</v>
      </c>
      <c r="D3763" s="31">
        <v>41501</v>
      </c>
      <c r="E3763" s="15" t="s">
        <v>32255</v>
      </c>
      <c r="F3763" s="87"/>
      <c r="G3763" s="45" t="s">
        <v>6571</v>
      </c>
      <c r="H3763" s="55" t="s">
        <v>6572</v>
      </c>
      <c r="I3763" s="15" t="s">
        <v>214</v>
      </c>
    </row>
    <row r="3764" spans="1:9" ht="51.75" customHeight="1" x14ac:dyDescent="0.35">
      <c r="A3764" s="15" t="s">
        <v>32256</v>
      </c>
      <c r="B3764" s="15" t="s">
        <v>32257</v>
      </c>
      <c r="C3764" s="15" t="s">
        <v>32258</v>
      </c>
      <c r="D3764" s="31">
        <v>41501</v>
      </c>
      <c r="E3764" s="15" t="s">
        <v>32259</v>
      </c>
      <c r="F3764" s="87"/>
      <c r="G3764" s="45" t="s">
        <v>6571</v>
      </c>
      <c r="H3764" s="55" t="s">
        <v>6572</v>
      </c>
      <c r="I3764" s="15" t="s">
        <v>214</v>
      </c>
    </row>
    <row r="3765" spans="1:9" ht="51.75" customHeight="1" x14ac:dyDescent="0.35">
      <c r="A3765" s="15" t="s">
        <v>32260</v>
      </c>
      <c r="B3765" s="15" t="s">
        <v>32261</v>
      </c>
      <c r="C3765" s="15" t="s">
        <v>32262</v>
      </c>
      <c r="D3765" s="31">
        <v>41501</v>
      </c>
      <c r="E3765" s="15" t="s">
        <v>32263</v>
      </c>
      <c r="F3765" s="87"/>
      <c r="G3765" s="45" t="s">
        <v>6571</v>
      </c>
      <c r="H3765" s="55" t="s">
        <v>6572</v>
      </c>
      <c r="I3765" s="15" t="s">
        <v>214</v>
      </c>
    </row>
    <row r="3766" spans="1:9" ht="51.75" customHeight="1" x14ac:dyDescent="0.35">
      <c r="A3766" s="15" t="s">
        <v>28403</v>
      </c>
      <c r="B3766" s="15" t="s">
        <v>32264</v>
      </c>
      <c r="C3766" s="15" t="s">
        <v>32265</v>
      </c>
      <c r="D3766" s="31">
        <v>41501</v>
      </c>
      <c r="E3766" s="15" t="s">
        <v>32266</v>
      </c>
      <c r="F3766" s="87"/>
      <c r="G3766" s="45" t="s">
        <v>6571</v>
      </c>
      <c r="H3766" s="55" t="s">
        <v>6572</v>
      </c>
      <c r="I3766" s="15" t="s">
        <v>214</v>
      </c>
    </row>
    <row r="3767" spans="1:9" ht="51.75" customHeight="1" x14ac:dyDescent="0.35">
      <c r="A3767" s="15">
        <v>1</v>
      </c>
      <c r="B3767" s="15" t="s">
        <v>32267</v>
      </c>
      <c r="C3767" s="15" t="s">
        <v>32268</v>
      </c>
      <c r="D3767" s="31">
        <v>39062</v>
      </c>
      <c r="E3767" s="15" t="s">
        <v>32269</v>
      </c>
      <c r="F3767" s="87"/>
      <c r="G3767" s="45" t="s">
        <v>365</v>
      </c>
      <c r="H3767" s="55" t="s">
        <v>366</v>
      </c>
      <c r="I3767" s="15" t="s">
        <v>214</v>
      </c>
    </row>
    <row r="3768" spans="1:9" ht="51.75" customHeight="1" x14ac:dyDescent="0.35">
      <c r="A3768" s="15">
        <v>2</v>
      </c>
      <c r="B3768" s="15" t="s">
        <v>32270</v>
      </c>
      <c r="C3768" s="15" t="s">
        <v>32271</v>
      </c>
      <c r="D3768" s="31">
        <v>39062</v>
      </c>
      <c r="E3768" s="15" t="s">
        <v>32272</v>
      </c>
      <c r="F3768" s="87"/>
      <c r="G3768" s="45" t="s">
        <v>365</v>
      </c>
      <c r="H3768" s="55" t="s">
        <v>366</v>
      </c>
      <c r="I3768" s="15" t="s">
        <v>214</v>
      </c>
    </row>
    <row r="3769" spans="1:9" ht="51.75" customHeight="1" x14ac:dyDescent="0.35">
      <c r="A3769" s="15">
        <v>3</v>
      </c>
      <c r="B3769" s="15" t="s">
        <v>32273</v>
      </c>
      <c r="C3769" s="15" t="s">
        <v>32274</v>
      </c>
      <c r="D3769" s="31">
        <v>39062</v>
      </c>
      <c r="E3769" s="15" t="s">
        <v>32275</v>
      </c>
      <c r="F3769" s="87"/>
      <c r="G3769" s="45" t="s">
        <v>365</v>
      </c>
      <c r="H3769" s="55" t="s">
        <v>366</v>
      </c>
      <c r="I3769" s="15" t="s">
        <v>214</v>
      </c>
    </row>
    <row r="3770" spans="1:9" ht="51.75" customHeight="1" x14ac:dyDescent="0.35">
      <c r="A3770" s="15">
        <v>4</v>
      </c>
      <c r="B3770" s="15" t="s">
        <v>32276</v>
      </c>
      <c r="C3770" s="15" t="s">
        <v>32277</v>
      </c>
      <c r="D3770" s="31">
        <v>39062</v>
      </c>
      <c r="E3770" s="15" t="s">
        <v>32278</v>
      </c>
      <c r="F3770" s="87"/>
      <c r="G3770" s="45" t="s">
        <v>365</v>
      </c>
      <c r="H3770" s="55" t="s">
        <v>366</v>
      </c>
      <c r="I3770" s="15" t="s">
        <v>214</v>
      </c>
    </row>
    <row r="3771" spans="1:9" ht="51.75" customHeight="1" x14ac:dyDescent="0.35">
      <c r="A3771" s="15">
        <v>5</v>
      </c>
      <c r="B3771" s="15" t="s">
        <v>32279</v>
      </c>
      <c r="C3771" s="15" t="s">
        <v>32280</v>
      </c>
      <c r="D3771" s="31">
        <v>39062</v>
      </c>
      <c r="E3771" s="15" t="s">
        <v>32281</v>
      </c>
      <c r="F3771" s="87"/>
      <c r="G3771" s="45" t="s">
        <v>365</v>
      </c>
      <c r="H3771" s="55" t="s">
        <v>366</v>
      </c>
      <c r="I3771" s="15" t="s">
        <v>214</v>
      </c>
    </row>
    <row r="3772" spans="1:9" ht="51.75" customHeight="1" x14ac:dyDescent="0.35">
      <c r="A3772" s="15">
        <v>6</v>
      </c>
      <c r="B3772" s="15" t="s">
        <v>32282</v>
      </c>
      <c r="C3772" s="15" t="s">
        <v>32283</v>
      </c>
      <c r="D3772" s="31">
        <v>39062</v>
      </c>
      <c r="E3772" s="15" t="s">
        <v>32284</v>
      </c>
      <c r="F3772" s="87"/>
      <c r="G3772" s="45" t="s">
        <v>365</v>
      </c>
      <c r="H3772" s="55" t="s">
        <v>366</v>
      </c>
      <c r="I3772" s="15" t="s">
        <v>214</v>
      </c>
    </row>
    <row r="3773" spans="1:9" ht="51.75" customHeight="1" x14ac:dyDescent="0.35">
      <c r="A3773" s="15">
        <v>7</v>
      </c>
      <c r="B3773" s="15" t="s">
        <v>32285</v>
      </c>
      <c r="C3773" s="15" t="s">
        <v>32286</v>
      </c>
      <c r="D3773" s="31">
        <v>39062</v>
      </c>
      <c r="E3773" s="15" t="s">
        <v>32287</v>
      </c>
      <c r="F3773" s="87"/>
      <c r="G3773" s="45" t="s">
        <v>365</v>
      </c>
      <c r="H3773" s="55" t="s">
        <v>366</v>
      </c>
      <c r="I3773" s="15" t="s">
        <v>214</v>
      </c>
    </row>
    <row r="3774" spans="1:9" ht="51.75" customHeight="1" x14ac:dyDescent="0.35">
      <c r="A3774" s="15">
        <v>8</v>
      </c>
      <c r="B3774" s="15" t="s">
        <v>32288</v>
      </c>
      <c r="C3774" s="15" t="s">
        <v>32289</v>
      </c>
      <c r="D3774" s="31">
        <v>39062</v>
      </c>
      <c r="E3774" s="15" t="s">
        <v>32290</v>
      </c>
      <c r="F3774" s="87"/>
      <c r="G3774" s="45" t="s">
        <v>365</v>
      </c>
      <c r="H3774" s="55" t="s">
        <v>366</v>
      </c>
      <c r="I3774" s="15" t="s">
        <v>214</v>
      </c>
    </row>
    <row r="3775" spans="1:9" ht="51.75" customHeight="1" x14ac:dyDescent="0.35">
      <c r="A3775" s="15">
        <v>9</v>
      </c>
      <c r="B3775" s="15" t="s">
        <v>32291</v>
      </c>
      <c r="C3775" s="15" t="s">
        <v>32292</v>
      </c>
      <c r="D3775" s="31">
        <v>39062</v>
      </c>
      <c r="E3775" s="15" t="s">
        <v>32293</v>
      </c>
      <c r="F3775" s="87"/>
      <c r="G3775" s="45" t="s">
        <v>365</v>
      </c>
      <c r="H3775" s="55" t="s">
        <v>366</v>
      </c>
      <c r="I3775" s="15" t="s">
        <v>214</v>
      </c>
    </row>
    <row r="3776" spans="1:9" ht="51.75" customHeight="1" x14ac:dyDescent="0.35">
      <c r="A3776" s="15">
        <v>10</v>
      </c>
      <c r="B3776" s="15" t="s">
        <v>32294</v>
      </c>
      <c r="C3776" s="15" t="s">
        <v>32295</v>
      </c>
      <c r="D3776" s="31">
        <v>39062</v>
      </c>
      <c r="E3776" s="15" t="s">
        <v>32296</v>
      </c>
      <c r="F3776" s="87"/>
      <c r="G3776" s="45" t="s">
        <v>365</v>
      </c>
      <c r="H3776" s="55" t="s">
        <v>366</v>
      </c>
      <c r="I3776" s="15" t="s">
        <v>214</v>
      </c>
    </row>
    <row r="3777" spans="1:9" ht="51.75" customHeight="1" x14ac:dyDescent="0.35">
      <c r="A3777" s="15">
        <v>1</v>
      </c>
      <c r="B3777" s="15" t="s">
        <v>32297</v>
      </c>
      <c r="C3777" s="15" t="s">
        <v>32298</v>
      </c>
      <c r="D3777" s="31">
        <v>41059</v>
      </c>
      <c r="E3777" s="15" t="s">
        <v>32299</v>
      </c>
      <c r="F3777" s="87"/>
      <c r="G3777" s="45" t="s">
        <v>6116</v>
      </c>
      <c r="H3777" s="55" t="s">
        <v>6117</v>
      </c>
      <c r="I3777" s="15" t="s">
        <v>214</v>
      </c>
    </row>
    <row r="3778" spans="1:9" ht="51.75" customHeight="1" x14ac:dyDescent="0.35">
      <c r="A3778" s="15">
        <v>2</v>
      </c>
      <c r="B3778" s="15" t="s">
        <v>32300</v>
      </c>
      <c r="C3778" s="15" t="s">
        <v>32301</v>
      </c>
      <c r="D3778" s="31">
        <v>41059</v>
      </c>
      <c r="E3778" s="15" t="s">
        <v>32302</v>
      </c>
      <c r="F3778" s="87"/>
      <c r="G3778" s="45" t="s">
        <v>6116</v>
      </c>
      <c r="H3778" s="55" t="s">
        <v>6117</v>
      </c>
      <c r="I3778" s="15" t="s">
        <v>214</v>
      </c>
    </row>
    <row r="3779" spans="1:9" ht="51.75" customHeight="1" x14ac:dyDescent="0.35">
      <c r="A3779" s="15" t="s">
        <v>25297</v>
      </c>
      <c r="B3779" s="15" t="s">
        <v>32303</v>
      </c>
      <c r="C3779" s="15" t="s">
        <v>32304</v>
      </c>
      <c r="D3779" s="31">
        <v>41108</v>
      </c>
      <c r="E3779" s="15" t="s">
        <v>32305</v>
      </c>
      <c r="F3779" s="87" t="s">
        <v>21871</v>
      </c>
      <c r="G3779" s="45" t="s">
        <v>6440</v>
      </c>
      <c r="H3779" s="55" t="s">
        <v>6441</v>
      </c>
      <c r="I3779" s="15" t="s">
        <v>214</v>
      </c>
    </row>
    <row r="3780" spans="1:9" ht="51.75" customHeight="1" x14ac:dyDescent="0.35">
      <c r="A3780" s="15" t="s">
        <v>25303</v>
      </c>
      <c r="B3780" s="15" t="s">
        <v>32306</v>
      </c>
      <c r="C3780" s="15" t="s">
        <v>32307</v>
      </c>
      <c r="D3780" s="31">
        <v>41108</v>
      </c>
      <c r="E3780" s="15" t="s">
        <v>32308</v>
      </c>
      <c r="F3780" s="87" t="s">
        <v>21871</v>
      </c>
      <c r="G3780" s="45" t="s">
        <v>6440</v>
      </c>
      <c r="H3780" s="55" t="s">
        <v>6441</v>
      </c>
      <c r="I3780" s="15" t="s">
        <v>214</v>
      </c>
    </row>
    <row r="3781" spans="1:9" ht="51.75" customHeight="1" x14ac:dyDescent="0.35">
      <c r="A3781" s="15" t="s">
        <v>26390</v>
      </c>
      <c r="B3781" s="15" t="s">
        <v>32309</v>
      </c>
      <c r="C3781" s="15" t="s">
        <v>32310</v>
      </c>
      <c r="D3781" s="31">
        <v>41108</v>
      </c>
      <c r="E3781" s="15" t="s">
        <v>32311</v>
      </c>
      <c r="F3781" s="87" t="s">
        <v>21871</v>
      </c>
      <c r="G3781" s="45" t="s">
        <v>6440</v>
      </c>
      <c r="H3781" s="55" t="s">
        <v>6441</v>
      </c>
      <c r="I3781" s="15" t="s">
        <v>214</v>
      </c>
    </row>
    <row r="3782" spans="1:9" ht="51.75" customHeight="1" x14ac:dyDescent="0.35">
      <c r="A3782" s="15" t="s">
        <v>26394</v>
      </c>
      <c r="B3782" s="15" t="s">
        <v>32312</v>
      </c>
      <c r="C3782" s="15" t="s">
        <v>32313</v>
      </c>
      <c r="D3782" s="31">
        <v>41108</v>
      </c>
      <c r="E3782" s="15" t="s">
        <v>32314</v>
      </c>
      <c r="F3782" s="87" t="s">
        <v>21871</v>
      </c>
      <c r="G3782" s="45" t="s">
        <v>6440</v>
      </c>
      <c r="H3782" s="55" t="s">
        <v>6441</v>
      </c>
      <c r="I3782" s="15" t="s">
        <v>214</v>
      </c>
    </row>
    <row r="3783" spans="1:9" ht="51.75" customHeight="1" x14ac:dyDescent="0.35">
      <c r="A3783" s="15">
        <v>1</v>
      </c>
      <c r="B3783" s="15" t="s">
        <v>32315</v>
      </c>
      <c r="C3783" s="15" t="s">
        <v>32316</v>
      </c>
      <c r="D3783" s="31">
        <v>39294</v>
      </c>
      <c r="E3783" s="15" t="s">
        <v>32317</v>
      </c>
      <c r="F3783" s="87"/>
      <c r="G3783" s="45" t="s">
        <v>893</v>
      </c>
      <c r="H3783" s="55" t="s">
        <v>894</v>
      </c>
      <c r="I3783" s="15" t="s">
        <v>214</v>
      </c>
    </row>
    <row r="3784" spans="1:9" ht="51.75" customHeight="1" x14ac:dyDescent="0.35">
      <c r="A3784" s="15">
        <v>2</v>
      </c>
      <c r="B3784" s="15" t="s">
        <v>32318</v>
      </c>
      <c r="C3784" s="15" t="s">
        <v>32319</v>
      </c>
      <c r="D3784" s="31">
        <v>39294</v>
      </c>
      <c r="E3784" s="15" t="s">
        <v>32320</v>
      </c>
      <c r="F3784" s="87"/>
      <c r="G3784" s="45" t="s">
        <v>893</v>
      </c>
      <c r="H3784" s="55" t="s">
        <v>894</v>
      </c>
      <c r="I3784" s="15" t="s">
        <v>214</v>
      </c>
    </row>
    <row r="3785" spans="1:9" ht="51.75" customHeight="1" x14ac:dyDescent="0.35">
      <c r="A3785" s="15">
        <v>3</v>
      </c>
      <c r="B3785" s="15" t="s">
        <v>32321</v>
      </c>
      <c r="C3785" s="15" t="s">
        <v>32322</v>
      </c>
      <c r="D3785" s="31">
        <v>39294</v>
      </c>
      <c r="E3785" s="15" t="s">
        <v>32323</v>
      </c>
      <c r="F3785" s="87"/>
      <c r="G3785" s="45" t="s">
        <v>893</v>
      </c>
      <c r="H3785" s="55" t="s">
        <v>894</v>
      </c>
      <c r="I3785" s="15" t="s">
        <v>214</v>
      </c>
    </row>
    <row r="3786" spans="1:9" ht="51.75" customHeight="1" x14ac:dyDescent="0.35">
      <c r="A3786" s="15">
        <v>4</v>
      </c>
      <c r="B3786" s="15" t="s">
        <v>32324</v>
      </c>
      <c r="C3786" s="15" t="s">
        <v>32325</v>
      </c>
      <c r="D3786" s="31">
        <v>39294</v>
      </c>
      <c r="E3786" s="15" t="s">
        <v>32326</v>
      </c>
      <c r="F3786" s="87"/>
      <c r="G3786" s="45" t="s">
        <v>893</v>
      </c>
      <c r="H3786" s="55" t="s">
        <v>894</v>
      </c>
      <c r="I3786" s="15" t="s">
        <v>214</v>
      </c>
    </row>
    <row r="3787" spans="1:9" ht="51.75" customHeight="1" x14ac:dyDescent="0.35">
      <c r="A3787" s="15">
        <v>5</v>
      </c>
      <c r="B3787" s="15" t="s">
        <v>32327</v>
      </c>
      <c r="C3787" s="15" t="s">
        <v>32328</v>
      </c>
      <c r="D3787" s="31">
        <v>39294</v>
      </c>
      <c r="E3787" s="15" t="s">
        <v>32329</v>
      </c>
      <c r="F3787" s="87"/>
      <c r="G3787" s="45" t="s">
        <v>893</v>
      </c>
      <c r="H3787" s="55" t="s">
        <v>894</v>
      </c>
      <c r="I3787" s="15" t="s">
        <v>214</v>
      </c>
    </row>
    <row r="3788" spans="1:9" ht="51.75" customHeight="1" x14ac:dyDescent="0.35">
      <c r="A3788" s="15">
        <v>6</v>
      </c>
      <c r="B3788" s="15" t="s">
        <v>32330</v>
      </c>
      <c r="C3788" s="15" t="s">
        <v>32331</v>
      </c>
      <c r="D3788" s="31">
        <v>39294</v>
      </c>
      <c r="E3788" s="15" t="s">
        <v>32332</v>
      </c>
      <c r="F3788" s="87"/>
      <c r="G3788" s="45" t="s">
        <v>893</v>
      </c>
      <c r="H3788" s="55" t="s">
        <v>894</v>
      </c>
      <c r="I3788" s="15" t="s">
        <v>214</v>
      </c>
    </row>
    <row r="3789" spans="1:9" ht="51.75" customHeight="1" x14ac:dyDescent="0.35">
      <c r="A3789" s="15">
        <v>7</v>
      </c>
      <c r="B3789" s="15" t="s">
        <v>32333</v>
      </c>
      <c r="C3789" s="15" t="s">
        <v>32334</v>
      </c>
      <c r="D3789" s="31">
        <v>39294</v>
      </c>
      <c r="E3789" s="15" t="s">
        <v>32335</v>
      </c>
      <c r="F3789" s="87"/>
      <c r="G3789" s="45" t="s">
        <v>893</v>
      </c>
      <c r="H3789" s="55" t="s">
        <v>894</v>
      </c>
      <c r="I3789" s="15" t="s">
        <v>214</v>
      </c>
    </row>
    <row r="3790" spans="1:9" ht="51.75" customHeight="1" x14ac:dyDescent="0.35">
      <c r="A3790" s="15">
        <v>1</v>
      </c>
      <c r="B3790" s="15" t="s">
        <v>32336</v>
      </c>
      <c r="C3790" s="15" t="s">
        <v>32337</v>
      </c>
      <c r="D3790" s="31">
        <v>40983</v>
      </c>
      <c r="E3790" s="15" t="s">
        <v>32338</v>
      </c>
      <c r="F3790" s="87"/>
      <c r="G3790" s="45" t="s">
        <v>6242</v>
      </c>
      <c r="H3790" s="55" t="s">
        <v>6243</v>
      </c>
      <c r="I3790" s="15" t="s">
        <v>214</v>
      </c>
    </row>
    <row r="3791" spans="1:9" ht="51.75" customHeight="1" x14ac:dyDescent="0.35">
      <c r="A3791" s="15">
        <v>2</v>
      </c>
      <c r="B3791" s="15" t="s">
        <v>32339</v>
      </c>
      <c r="C3791" s="15" t="s">
        <v>32340</v>
      </c>
      <c r="D3791" s="31">
        <v>40983</v>
      </c>
      <c r="E3791" s="15" t="s">
        <v>32341</v>
      </c>
      <c r="F3791" s="87"/>
      <c r="G3791" s="45" t="s">
        <v>6242</v>
      </c>
      <c r="H3791" s="55" t="s">
        <v>6243</v>
      </c>
      <c r="I3791" s="15" t="s">
        <v>214</v>
      </c>
    </row>
    <row r="3792" spans="1:9" ht="51.75" customHeight="1" x14ac:dyDescent="0.35">
      <c r="A3792" s="15" t="s">
        <v>26398</v>
      </c>
      <c r="B3792" s="15" t="s">
        <v>32342</v>
      </c>
      <c r="C3792" s="15" t="s">
        <v>32343</v>
      </c>
      <c r="D3792" s="31">
        <v>41151</v>
      </c>
      <c r="E3792" s="15" t="s">
        <v>32344</v>
      </c>
      <c r="F3792" s="87" t="s">
        <v>21871</v>
      </c>
      <c r="G3792" s="45" t="s">
        <v>6367</v>
      </c>
      <c r="H3792" s="55" t="s">
        <v>6368</v>
      </c>
      <c r="I3792" s="15" t="s">
        <v>214</v>
      </c>
    </row>
    <row r="3793" spans="1:9" ht="51.75" customHeight="1" x14ac:dyDescent="0.35">
      <c r="A3793" s="15" t="s">
        <v>32009</v>
      </c>
      <c r="B3793" s="15" t="s">
        <v>32345</v>
      </c>
      <c r="C3793" s="15" t="s">
        <v>32346</v>
      </c>
      <c r="D3793" s="31">
        <v>41151</v>
      </c>
      <c r="E3793" s="15" t="s">
        <v>32347</v>
      </c>
      <c r="F3793" s="87" t="s">
        <v>21871</v>
      </c>
      <c r="G3793" s="45" t="s">
        <v>6367</v>
      </c>
      <c r="H3793" s="55" t="s">
        <v>6368</v>
      </c>
      <c r="I3793" s="15" t="s">
        <v>214</v>
      </c>
    </row>
    <row r="3794" spans="1:9" ht="51.75" customHeight="1" x14ac:dyDescent="0.35">
      <c r="A3794" s="15" t="s">
        <v>23325</v>
      </c>
      <c r="B3794" s="15" t="s">
        <v>32348</v>
      </c>
      <c r="C3794" s="15" t="s">
        <v>32349</v>
      </c>
      <c r="D3794" s="31">
        <v>41151</v>
      </c>
      <c r="E3794" s="15" t="s">
        <v>32350</v>
      </c>
      <c r="F3794" s="87" t="s">
        <v>21871</v>
      </c>
      <c r="G3794" s="45" t="s">
        <v>6367</v>
      </c>
      <c r="H3794" s="55" t="s">
        <v>6368</v>
      </c>
      <c r="I3794" s="15" t="s">
        <v>214</v>
      </c>
    </row>
    <row r="3795" spans="1:9" ht="51.75" customHeight="1" x14ac:dyDescent="0.35">
      <c r="A3795" s="15" t="s">
        <v>23329</v>
      </c>
      <c r="B3795" s="15" t="s">
        <v>32351</v>
      </c>
      <c r="C3795" s="15" t="s">
        <v>32352</v>
      </c>
      <c r="D3795" s="31">
        <v>41151</v>
      </c>
      <c r="E3795" s="15" t="s">
        <v>32353</v>
      </c>
      <c r="F3795" s="87" t="s">
        <v>21871</v>
      </c>
      <c r="G3795" s="45" t="s">
        <v>6367</v>
      </c>
      <c r="H3795" s="55" t="s">
        <v>6368</v>
      </c>
      <c r="I3795" s="15" t="s">
        <v>214</v>
      </c>
    </row>
    <row r="3796" spans="1:9" ht="51.75" customHeight="1" x14ac:dyDescent="0.35">
      <c r="A3796" s="15" t="s">
        <v>23333</v>
      </c>
      <c r="B3796" s="15" t="s">
        <v>32354</v>
      </c>
      <c r="C3796" s="15" t="s">
        <v>32355</v>
      </c>
      <c r="D3796" s="31">
        <v>41151</v>
      </c>
      <c r="E3796" s="15" t="s">
        <v>32356</v>
      </c>
      <c r="F3796" s="87" t="s">
        <v>21871</v>
      </c>
      <c r="G3796" s="45" t="s">
        <v>6367</v>
      </c>
      <c r="H3796" s="55" t="s">
        <v>6368</v>
      </c>
      <c r="I3796" s="15" t="s">
        <v>214</v>
      </c>
    </row>
    <row r="3797" spans="1:9" ht="51.75" customHeight="1" x14ac:dyDescent="0.35">
      <c r="A3797" s="15" t="s">
        <v>24261</v>
      </c>
      <c r="B3797" s="15" t="s">
        <v>32357</v>
      </c>
      <c r="C3797" s="15" t="s">
        <v>29481</v>
      </c>
      <c r="D3797" s="31" t="s">
        <v>50</v>
      </c>
      <c r="E3797" s="15" t="s">
        <v>32358</v>
      </c>
      <c r="F3797" s="87" t="s">
        <v>21871</v>
      </c>
      <c r="G3797" s="45" t="s">
        <v>6311</v>
      </c>
      <c r="H3797" s="55" t="s">
        <v>6312</v>
      </c>
      <c r="I3797" s="15" t="s">
        <v>214</v>
      </c>
    </row>
    <row r="3798" spans="1:9" ht="51.75" customHeight="1" x14ac:dyDescent="0.35">
      <c r="A3798" s="15" t="s">
        <v>21883</v>
      </c>
      <c r="B3798" s="15" t="s">
        <v>32359</v>
      </c>
      <c r="C3798" s="15" t="s">
        <v>29484</v>
      </c>
      <c r="D3798" s="31" t="s">
        <v>50</v>
      </c>
      <c r="E3798" s="15" t="s">
        <v>32360</v>
      </c>
      <c r="F3798" s="87" t="s">
        <v>21871</v>
      </c>
      <c r="G3798" s="45" t="s">
        <v>6311</v>
      </c>
      <c r="H3798" s="55" t="s">
        <v>6312</v>
      </c>
      <c r="I3798" s="15" t="s">
        <v>214</v>
      </c>
    </row>
    <row r="3799" spans="1:9" ht="51.75" customHeight="1" x14ac:dyDescent="0.35">
      <c r="A3799" s="15" t="s">
        <v>22217</v>
      </c>
      <c r="B3799" s="15" t="s">
        <v>32361</v>
      </c>
      <c r="C3799" s="15" t="s">
        <v>29487</v>
      </c>
      <c r="D3799" s="31" t="s">
        <v>50</v>
      </c>
      <c r="E3799" s="15" t="s">
        <v>32362</v>
      </c>
      <c r="F3799" s="87" t="s">
        <v>21871</v>
      </c>
      <c r="G3799" s="45" t="s">
        <v>6311</v>
      </c>
      <c r="H3799" s="55" t="s">
        <v>6312</v>
      </c>
      <c r="I3799" s="15" t="s">
        <v>214</v>
      </c>
    </row>
    <row r="3800" spans="1:9" ht="51.75" customHeight="1" x14ac:dyDescent="0.35">
      <c r="A3800" s="15" t="s">
        <v>32363</v>
      </c>
      <c r="B3800" s="15" t="s">
        <v>32364</v>
      </c>
      <c r="C3800" s="15" t="s">
        <v>29490</v>
      </c>
      <c r="D3800" s="31" t="s">
        <v>50</v>
      </c>
      <c r="E3800" s="15" t="s">
        <v>32365</v>
      </c>
      <c r="F3800" s="87" t="s">
        <v>21871</v>
      </c>
      <c r="G3800" s="45" t="s">
        <v>6311</v>
      </c>
      <c r="H3800" s="55" t="s">
        <v>6312</v>
      </c>
      <c r="I3800" s="15" t="s">
        <v>214</v>
      </c>
    </row>
    <row r="3801" spans="1:9" ht="51.75" customHeight="1" x14ac:dyDescent="0.35">
      <c r="A3801" s="15">
        <v>1</v>
      </c>
      <c r="B3801" s="15" t="s">
        <v>32366</v>
      </c>
      <c r="C3801" s="15" t="s">
        <v>32367</v>
      </c>
      <c r="D3801" s="31">
        <v>39233</v>
      </c>
      <c r="E3801" s="15" t="s">
        <v>32368</v>
      </c>
      <c r="F3801" s="87"/>
      <c r="G3801" s="45" t="s">
        <v>939</v>
      </c>
      <c r="H3801" s="55" t="s">
        <v>940</v>
      </c>
      <c r="I3801" s="15" t="s">
        <v>214</v>
      </c>
    </row>
    <row r="3802" spans="1:9" ht="51.75" customHeight="1" x14ac:dyDescent="0.35">
      <c r="A3802" s="15">
        <v>2</v>
      </c>
      <c r="B3802" s="15" t="s">
        <v>32369</v>
      </c>
      <c r="C3802" s="15" t="s">
        <v>32370</v>
      </c>
      <c r="D3802" s="31">
        <v>39233</v>
      </c>
      <c r="E3802" s="15" t="s">
        <v>32371</v>
      </c>
      <c r="F3802" s="87"/>
      <c r="G3802" s="45" t="s">
        <v>939</v>
      </c>
      <c r="H3802" s="55" t="s">
        <v>940</v>
      </c>
      <c r="I3802" s="15" t="s">
        <v>214</v>
      </c>
    </row>
    <row r="3803" spans="1:9" ht="51.75" customHeight="1" x14ac:dyDescent="0.35">
      <c r="A3803" s="15">
        <v>3</v>
      </c>
      <c r="B3803" s="15" t="s">
        <v>32372</v>
      </c>
      <c r="C3803" s="15" t="s">
        <v>32373</v>
      </c>
      <c r="D3803" s="31">
        <v>39233</v>
      </c>
      <c r="E3803" s="15" t="s">
        <v>32374</v>
      </c>
      <c r="F3803" s="87"/>
      <c r="G3803" s="45" t="s">
        <v>939</v>
      </c>
      <c r="H3803" s="55" t="s">
        <v>940</v>
      </c>
      <c r="I3803" s="15" t="s">
        <v>214</v>
      </c>
    </row>
    <row r="3804" spans="1:9" ht="51.75" customHeight="1" x14ac:dyDescent="0.35">
      <c r="A3804" s="15">
        <v>4</v>
      </c>
      <c r="B3804" s="15" t="s">
        <v>32375</v>
      </c>
      <c r="C3804" s="15" t="s">
        <v>32376</v>
      </c>
      <c r="D3804" s="31">
        <v>39233</v>
      </c>
      <c r="E3804" s="15" t="s">
        <v>32377</v>
      </c>
      <c r="F3804" s="87"/>
      <c r="G3804" s="45" t="s">
        <v>939</v>
      </c>
      <c r="H3804" s="55" t="s">
        <v>940</v>
      </c>
      <c r="I3804" s="15" t="s">
        <v>214</v>
      </c>
    </row>
    <row r="3805" spans="1:9" ht="51.75" customHeight="1" x14ac:dyDescent="0.35">
      <c r="A3805" s="15">
        <v>5</v>
      </c>
      <c r="B3805" s="15" t="s">
        <v>32378</v>
      </c>
      <c r="C3805" s="15" t="s">
        <v>32379</v>
      </c>
      <c r="D3805" s="31">
        <v>39233</v>
      </c>
      <c r="E3805" s="15" t="s">
        <v>32380</v>
      </c>
      <c r="F3805" s="87"/>
      <c r="G3805" s="45" t="s">
        <v>939</v>
      </c>
      <c r="H3805" s="55" t="s">
        <v>940</v>
      </c>
      <c r="I3805" s="15" t="s">
        <v>214</v>
      </c>
    </row>
    <row r="3806" spans="1:9" ht="51.75" customHeight="1" x14ac:dyDescent="0.35">
      <c r="A3806" s="15">
        <v>6</v>
      </c>
      <c r="B3806" s="15" t="s">
        <v>32381</v>
      </c>
      <c r="C3806" s="15" t="s">
        <v>32382</v>
      </c>
      <c r="D3806" s="31">
        <v>39233</v>
      </c>
      <c r="E3806" s="15" t="s">
        <v>32383</v>
      </c>
      <c r="F3806" s="87"/>
      <c r="G3806" s="45" t="s">
        <v>939</v>
      </c>
      <c r="H3806" s="55" t="s">
        <v>940</v>
      </c>
      <c r="I3806" s="15" t="s">
        <v>214</v>
      </c>
    </row>
    <row r="3807" spans="1:9" ht="51.75" customHeight="1" x14ac:dyDescent="0.35">
      <c r="A3807" s="15">
        <v>7</v>
      </c>
      <c r="B3807" s="15" t="s">
        <v>32384</v>
      </c>
      <c r="C3807" s="15" t="s">
        <v>32385</v>
      </c>
      <c r="D3807" s="31">
        <v>39233</v>
      </c>
      <c r="E3807" s="15" t="s">
        <v>32386</v>
      </c>
      <c r="F3807" s="87"/>
      <c r="G3807" s="45" t="s">
        <v>939</v>
      </c>
      <c r="H3807" s="55" t="s">
        <v>940</v>
      </c>
      <c r="I3807" s="15" t="s">
        <v>214</v>
      </c>
    </row>
    <row r="3808" spans="1:9" ht="51.75" customHeight="1" x14ac:dyDescent="0.35">
      <c r="A3808" s="15">
        <v>8</v>
      </c>
      <c r="B3808" s="15" t="s">
        <v>32387</v>
      </c>
      <c r="C3808" s="15" t="s">
        <v>32388</v>
      </c>
      <c r="D3808" s="31">
        <v>39233</v>
      </c>
      <c r="E3808" s="15" t="s">
        <v>32389</v>
      </c>
      <c r="F3808" s="87"/>
      <c r="G3808" s="45" t="s">
        <v>939</v>
      </c>
      <c r="H3808" s="55" t="s">
        <v>940</v>
      </c>
      <c r="I3808" s="15" t="s">
        <v>214</v>
      </c>
    </row>
    <row r="3809" spans="1:9" ht="51.75" customHeight="1" x14ac:dyDescent="0.35">
      <c r="A3809" s="15">
        <v>9</v>
      </c>
      <c r="B3809" s="15" t="s">
        <v>32390</v>
      </c>
      <c r="C3809" s="15" t="s">
        <v>32391</v>
      </c>
      <c r="D3809" s="31">
        <v>39233</v>
      </c>
      <c r="E3809" s="15" t="s">
        <v>32392</v>
      </c>
      <c r="F3809" s="87"/>
      <c r="G3809" s="45" t="s">
        <v>939</v>
      </c>
      <c r="H3809" s="55" t="s">
        <v>940</v>
      </c>
      <c r="I3809" s="15" t="s">
        <v>214</v>
      </c>
    </row>
    <row r="3810" spans="1:9" ht="51.75" customHeight="1" x14ac:dyDescent="0.35">
      <c r="A3810" s="15" t="s">
        <v>24814</v>
      </c>
      <c r="B3810" s="15" t="s">
        <v>32393</v>
      </c>
      <c r="C3810" s="15" t="s">
        <v>32394</v>
      </c>
      <c r="D3810" s="31">
        <v>41095</v>
      </c>
      <c r="E3810" s="15" t="s">
        <v>32395</v>
      </c>
      <c r="F3810" s="87" t="s">
        <v>21871</v>
      </c>
      <c r="G3810" s="45" t="s">
        <v>6280</v>
      </c>
      <c r="H3810" s="55" t="s">
        <v>6281</v>
      </c>
      <c r="I3810" s="15" t="s">
        <v>214</v>
      </c>
    </row>
    <row r="3811" spans="1:9" ht="51.75" customHeight="1" x14ac:dyDescent="0.35">
      <c r="A3811" s="15" t="s">
        <v>24820</v>
      </c>
      <c r="B3811" s="15" t="s">
        <v>32396</v>
      </c>
      <c r="C3811" s="15" t="s">
        <v>32397</v>
      </c>
      <c r="D3811" s="31">
        <v>41095</v>
      </c>
      <c r="E3811" s="15" t="s">
        <v>32398</v>
      </c>
      <c r="F3811" s="87" t="s">
        <v>21871</v>
      </c>
      <c r="G3811" s="45" t="s">
        <v>6280</v>
      </c>
      <c r="H3811" s="55" t="s">
        <v>6281</v>
      </c>
      <c r="I3811" s="15" t="s">
        <v>214</v>
      </c>
    </row>
    <row r="3812" spans="1:9" ht="51.75" customHeight="1" x14ac:dyDescent="0.35">
      <c r="A3812" s="15" t="s">
        <v>24826</v>
      </c>
      <c r="B3812" s="15" t="s">
        <v>32399</v>
      </c>
      <c r="C3812" s="15" t="s">
        <v>32400</v>
      </c>
      <c r="D3812" s="31">
        <v>41095</v>
      </c>
      <c r="E3812" s="15" t="s">
        <v>32401</v>
      </c>
      <c r="F3812" s="87" t="s">
        <v>21871</v>
      </c>
      <c r="G3812" s="45" t="s">
        <v>6280</v>
      </c>
      <c r="H3812" s="55" t="s">
        <v>6281</v>
      </c>
      <c r="I3812" s="15" t="s">
        <v>214</v>
      </c>
    </row>
    <row r="3813" spans="1:9" ht="51.75" customHeight="1" x14ac:dyDescent="0.35">
      <c r="A3813" s="15" t="s">
        <v>25285</v>
      </c>
      <c r="B3813" s="15" t="s">
        <v>32402</v>
      </c>
      <c r="C3813" s="15" t="s">
        <v>32403</v>
      </c>
      <c r="D3813" s="31">
        <v>41095</v>
      </c>
      <c r="E3813" s="15" t="s">
        <v>32404</v>
      </c>
      <c r="F3813" s="87" t="s">
        <v>21871</v>
      </c>
      <c r="G3813" s="45" t="s">
        <v>6280</v>
      </c>
      <c r="H3813" s="55" t="s">
        <v>6281</v>
      </c>
      <c r="I3813" s="15" t="s">
        <v>214</v>
      </c>
    </row>
    <row r="3814" spans="1:9" ht="51.75" customHeight="1" x14ac:dyDescent="0.35">
      <c r="A3814" s="15">
        <v>1</v>
      </c>
      <c r="B3814" s="15" t="s">
        <v>32405</v>
      </c>
      <c r="C3814" s="15" t="s">
        <v>32406</v>
      </c>
      <c r="D3814" s="31">
        <v>41089</v>
      </c>
      <c r="E3814" s="15" t="s">
        <v>32407</v>
      </c>
      <c r="F3814" s="87"/>
      <c r="G3814" s="45" t="s">
        <v>6197</v>
      </c>
      <c r="H3814" s="55" t="s">
        <v>6198</v>
      </c>
      <c r="I3814" s="15" t="s">
        <v>214</v>
      </c>
    </row>
    <row r="3815" spans="1:9" ht="51.75" customHeight="1" x14ac:dyDescent="0.35">
      <c r="A3815" s="15">
        <v>2</v>
      </c>
      <c r="B3815" s="15" t="s">
        <v>32408</v>
      </c>
      <c r="C3815" s="15" t="s">
        <v>32409</v>
      </c>
      <c r="D3815" s="31">
        <v>41089</v>
      </c>
      <c r="E3815" s="15" t="s">
        <v>32410</v>
      </c>
      <c r="F3815" s="87"/>
      <c r="G3815" s="45" t="s">
        <v>6197</v>
      </c>
      <c r="H3815" s="55" t="s">
        <v>6198</v>
      </c>
      <c r="I3815" s="15" t="s">
        <v>214</v>
      </c>
    </row>
    <row r="3816" spans="1:9" ht="51.75" customHeight="1" x14ac:dyDescent="0.35">
      <c r="A3816" s="15">
        <v>3</v>
      </c>
      <c r="B3816" s="15" t="s">
        <v>32411</v>
      </c>
      <c r="C3816" s="15" t="s">
        <v>32412</v>
      </c>
      <c r="D3816" s="31">
        <v>41089</v>
      </c>
      <c r="E3816" s="15" t="s">
        <v>32413</v>
      </c>
      <c r="F3816" s="87"/>
      <c r="G3816" s="45" t="s">
        <v>6197</v>
      </c>
      <c r="H3816" s="55" t="s">
        <v>6198</v>
      </c>
      <c r="I3816" s="15" t="s">
        <v>214</v>
      </c>
    </row>
    <row r="3817" spans="1:9" ht="51.75" customHeight="1" x14ac:dyDescent="0.35">
      <c r="A3817" s="15">
        <v>4</v>
      </c>
      <c r="B3817" s="15" t="s">
        <v>32414</v>
      </c>
      <c r="C3817" s="15" t="s">
        <v>32415</v>
      </c>
      <c r="D3817" s="31">
        <v>41089</v>
      </c>
      <c r="E3817" s="15" t="s">
        <v>32416</v>
      </c>
      <c r="F3817" s="87"/>
      <c r="G3817" s="45" t="s">
        <v>6197</v>
      </c>
      <c r="H3817" s="55" t="s">
        <v>6198</v>
      </c>
      <c r="I3817" s="15" t="s">
        <v>214</v>
      </c>
    </row>
    <row r="3818" spans="1:9" ht="51.75" customHeight="1" x14ac:dyDescent="0.35">
      <c r="A3818" s="15">
        <v>5</v>
      </c>
      <c r="B3818" s="15" t="s">
        <v>32417</v>
      </c>
      <c r="C3818" s="15" t="s">
        <v>32418</v>
      </c>
      <c r="D3818" s="31">
        <v>41089</v>
      </c>
      <c r="E3818" s="15" t="s">
        <v>32419</v>
      </c>
      <c r="F3818" s="87"/>
      <c r="G3818" s="45" t="s">
        <v>6197</v>
      </c>
      <c r="H3818" s="55" t="s">
        <v>6198</v>
      </c>
      <c r="I3818" s="15" t="s">
        <v>214</v>
      </c>
    </row>
    <row r="3819" spans="1:9" ht="51.75" customHeight="1" x14ac:dyDescent="0.35">
      <c r="A3819" s="15">
        <v>6</v>
      </c>
      <c r="B3819" s="15" t="s">
        <v>32420</v>
      </c>
      <c r="C3819" s="15" t="s">
        <v>32421</v>
      </c>
      <c r="D3819" s="31">
        <v>41089</v>
      </c>
      <c r="E3819" s="15" t="s">
        <v>32422</v>
      </c>
      <c r="F3819" s="87"/>
      <c r="G3819" s="45" t="s">
        <v>6197</v>
      </c>
      <c r="H3819" s="55" t="s">
        <v>6198</v>
      </c>
      <c r="I3819" s="15" t="s">
        <v>214</v>
      </c>
    </row>
    <row r="3820" spans="1:9" ht="51.75" customHeight="1" x14ac:dyDescent="0.35">
      <c r="A3820" s="15">
        <v>1</v>
      </c>
      <c r="B3820" s="15" t="s">
        <v>32423</v>
      </c>
      <c r="C3820" s="15" t="s">
        <v>32424</v>
      </c>
      <c r="D3820" s="31">
        <v>39355</v>
      </c>
      <c r="E3820" s="15" t="s">
        <v>32425</v>
      </c>
      <c r="F3820" s="87"/>
      <c r="G3820" s="45" t="s">
        <v>1085</v>
      </c>
      <c r="H3820" s="55" t="s">
        <v>1086</v>
      </c>
      <c r="I3820" s="15" t="s">
        <v>214</v>
      </c>
    </row>
    <row r="3821" spans="1:9" ht="51.75" customHeight="1" x14ac:dyDescent="0.35">
      <c r="A3821" s="15">
        <v>2</v>
      </c>
      <c r="B3821" s="15" t="s">
        <v>32426</v>
      </c>
      <c r="C3821" s="15" t="s">
        <v>32427</v>
      </c>
      <c r="D3821" s="31">
        <v>39355</v>
      </c>
      <c r="E3821" s="15" t="s">
        <v>32428</v>
      </c>
      <c r="F3821" s="87"/>
      <c r="G3821" s="45" t="s">
        <v>1085</v>
      </c>
      <c r="H3821" s="55" t="s">
        <v>1086</v>
      </c>
      <c r="I3821" s="15" t="s">
        <v>214</v>
      </c>
    </row>
    <row r="3822" spans="1:9" ht="51.75" customHeight="1" x14ac:dyDescent="0.35">
      <c r="A3822" s="15">
        <v>1</v>
      </c>
      <c r="B3822" s="15" t="s">
        <v>32429</v>
      </c>
      <c r="C3822" s="15" t="s">
        <v>32430</v>
      </c>
      <c r="D3822" s="31">
        <v>39681</v>
      </c>
      <c r="E3822" s="15" t="s">
        <v>32431</v>
      </c>
      <c r="F3822" s="87"/>
      <c r="G3822" s="45" t="s">
        <v>1499</v>
      </c>
      <c r="H3822" s="55" t="s">
        <v>1500</v>
      </c>
      <c r="I3822" s="15" t="s">
        <v>214</v>
      </c>
    </row>
    <row r="3823" spans="1:9" ht="51.75" customHeight="1" x14ac:dyDescent="0.35">
      <c r="A3823" s="15">
        <v>2</v>
      </c>
      <c r="B3823" s="15" t="s">
        <v>32432</v>
      </c>
      <c r="C3823" s="15" t="s">
        <v>32433</v>
      </c>
      <c r="D3823" s="31">
        <v>39681</v>
      </c>
      <c r="E3823" s="15" t="s">
        <v>32433</v>
      </c>
      <c r="F3823" s="87"/>
      <c r="G3823" s="45" t="s">
        <v>1499</v>
      </c>
      <c r="H3823" s="55" t="s">
        <v>1500</v>
      </c>
      <c r="I3823" s="15" t="s">
        <v>214</v>
      </c>
    </row>
    <row r="3824" spans="1:9" ht="51.75" customHeight="1" x14ac:dyDescent="0.35">
      <c r="A3824" s="15">
        <v>3</v>
      </c>
      <c r="B3824" s="15" t="s">
        <v>32434</v>
      </c>
      <c r="C3824" s="15" t="s">
        <v>32435</v>
      </c>
      <c r="D3824" s="31">
        <v>39681</v>
      </c>
      <c r="E3824" s="15" t="s">
        <v>32436</v>
      </c>
      <c r="F3824" s="87"/>
      <c r="G3824" s="45" t="s">
        <v>1499</v>
      </c>
      <c r="H3824" s="55" t="s">
        <v>1500</v>
      </c>
      <c r="I3824" s="15" t="s">
        <v>214</v>
      </c>
    </row>
    <row r="3825" spans="1:9" ht="51.75" customHeight="1" x14ac:dyDescent="0.35">
      <c r="A3825" s="15">
        <v>4</v>
      </c>
      <c r="B3825" s="15" t="s">
        <v>32437</v>
      </c>
      <c r="C3825" s="15" t="s">
        <v>32438</v>
      </c>
      <c r="D3825" s="31">
        <v>39681</v>
      </c>
      <c r="E3825" s="15" t="s">
        <v>32439</v>
      </c>
      <c r="F3825" s="87"/>
      <c r="G3825" s="45" t="s">
        <v>1499</v>
      </c>
      <c r="H3825" s="55" t="s">
        <v>1500</v>
      </c>
      <c r="I3825" s="15" t="s">
        <v>214</v>
      </c>
    </row>
    <row r="3826" spans="1:9" ht="51.75" customHeight="1" x14ac:dyDescent="0.35">
      <c r="A3826" s="15">
        <v>5</v>
      </c>
      <c r="B3826" s="15" t="s">
        <v>32440</v>
      </c>
      <c r="C3826" s="15" t="s">
        <v>32441</v>
      </c>
      <c r="D3826" s="31">
        <v>39681</v>
      </c>
      <c r="E3826" s="15" t="s">
        <v>32442</v>
      </c>
      <c r="F3826" s="87"/>
      <c r="G3826" s="45" t="s">
        <v>1499</v>
      </c>
      <c r="H3826" s="55" t="s">
        <v>1500</v>
      </c>
      <c r="I3826" s="15" t="s">
        <v>214</v>
      </c>
    </row>
    <row r="3827" spans="1:9" ht="51.75" customHeight="1" x14ac:dyDescent="0.35">
      <c r="A3827" s="15">
        <v>6</v>
      </c>
      <c r="B3827" s="15" t="s">
        <v>32443</v>
      </c>
      <c r="C3827" s="15" t="s">
        <v>32444</v>
      </c>
      <c r="D3827" s="31">
        <v>39681</v>
      </c>
      <c r="E3827" s="15" t="s">
        <v>32445</v>
      </c>
      <c r="F3827" s="87"/>
      <c r="G3827" s="45" t="s">
        <v>1499</v>
      </c>
      <c r="H3827" s="55" t="s">
        <v>1500</v>
      </c>
      <c r="I3827" s="15" t="s">
        <v>214</v>
      </c>
    </row>
    <row r="3828" spans="1:9" ht="51.75" customHeight="1" x14ac:dyDescent="0.35">
      <c r="A3828" s="15">
        <v>1</v>
      </c>
      <c r="B3828" s="15" t="s">
        <v>32446</v>
      </c>
      <c r="C3828" s="15" t="s">
        <v>32447</v>
      </c>
      <c r="D3828" s="31">
        <v>39850</v>
      </c>
      <c r="E3828" s="15" t="s">
        <v>32448</v>
      </c>
      <c r="F3828" s="87"/>
      <c r="G3828" s="45" t="s">
        <v>1573</v>
      </c>
      <c r="H3828" s="55" t="s">
        <v>1574</v>
      </c>
      <c r="I3828" s="15" t="s">
        <v>214</v>
      </c>
    </row>
    <row r="3829" spans="1:9" ht="51.75" customHeight="1" x14ac:dyDescent="0.35">
      <c r="A3829" s="15">
        <v>2</v>
      </c>
      <c r="B3829" s="15" t="s">
        <v>32449</v>
      </c>
      <c r="C3829" s="15" t="s">
        <v>32450</v>
      </c>
      <c r="D3829" s="31">
        <v>39850</v>
      </c>
      <c r="E3829" s="15" t="s">
        <v>32451</v>
      </c>
      <c r="F3829" s="87"/>
      <c r="G3829" s="45" t="s">
        <v>1573</v>
      </c>
      <c r="H3829" s="55" t="s">
        <v>1574</v>
      </c>
      <c r="I3829" s="15" t="s">
        <v>214</v>
      </c>
    </row>
    <row r="3830" spans="1:9" ht="51.75" customHeight="1" x14ac:dyDescent="0.35">
      <c r="A3830" s="15">
        <v>3</v>
      </c>
      <c r="B3830" s="15" t="s">
        <v>32452</v>
      </c>
      <c r="C3830" s="15" t="s">
        <v>32453</v>
      </c>
      <c r="D3830" s="31">
        <v>39850</v>
      </c>
      <c r="E3830" s="15" t="s">
        <v>32454</v>
      </c>
      <c r="F3830" s="87"/>
      <c r="G3830" s="45" t="s">
        <v>1573</v>
      </c>
      <c r="H3830" s="55" t="s">
        <v>1574</v>
      </c>
      <c r="I3830" s="15" t="s">
        <v>214</v>
      </c>
    </row>
    <row r="3831" spans="1:9" ht="51.75" customHeight="1" x14ac:dyDescent="0.35">
      <c r="A3831" s="15">
        <v>4</v>
      </c>
      <c r="B3831" s="15" t="s">
        <v>32455</v>
      </c>
      <c r="C3831" s="15" t="s">
        <v>32456</v>
      </c>
      <c r="D3831" s="31">
        <v>39850</v>
      </c>
      <c r="E3831" s="15" t="s">
        <v>32457</v>
      </c>
      <c r="F3831" s="87"/>
      <c r="G3831" s="45" t="s">
        <v>1573</v>
      </c>
      <c r="H3831" s="55" t="s">
        <v>1574</v>
      </c>
      <c r="I3831" s="15" t="s">
        <v>214</v>
      </c>
    </row>
    <row r="3832" spans="1:9" ht="51.75" customHeight="1" x14ac:dyDescent="0.35">
      <c r="A3832" s="15">
        <v>5</v>
      </c>
      <c r="B3832" s="15" t="s">
        <v>32458</v>
      </c>
      <c r="C3832" s="15" t="s">
        <v>32459</v>
      </c>
      <c r="D3832" s="31">
        <v>39850</v>
      </c>
      <c r="E3832" s="15" t="s">
        <v>32460</v>
      </c>
      <c r="F3832" s="87"/>
      <c r="G3832" s="45" t="s">
        <v>1573</v>
      </c>
      <c r="H3832" s="55" t="s">
        <v>1574</v>
      </c>
      <c r="I3832" s="15" t="s">
        <v>214</v>
      </c>
    </row>
    <row r="3833" spans="1:9" ht="51.75" customHeight="1" x14ac:dyDescent="0.35">
      <c r="A3833" s="15">
        <v>6</v>
      </c>
      <c r="B3833" s="15" t="s">
        <v>32461</v>
      </c>
      <c r="C3833" s="15" t="s">
        <v>32462</v>
      </c>
      <c r="D3833" s="31">
        <v>39850</v>
      </c>
      <c r="E3833" s="15" t="s">
        <v>32463</v>
      </c>
      <c r="F3833" s="87"/>
      <c r="G3833" s="45" t="s">
        <v>1573</v>
      </c>
      <c r="H3833" s="55" t="s">
        <v>1574</v>
      </c>
      <c r="I3833" s="15" t="s">
        <v>214</v>
      </c>
    </row>
    <row r="3834" spans="1:9" ht="51.75" customHeight="1" x14ac:dyDescent="0.35">
      <c r="A3834" s="15">
        <v>7</v>
      </c>
      <c r="B3834" s="15" t="s">
        <v>32464</v>
      </c>
      <c r="C3834" s="15" t="s">
        <v>32465</v>
      </c>
      <c r="D3834" s="31">
        <v>39850</v>
      </c>
      <c r="E3834" s="15" t="s">
        <v>32466</v>
      </c>
      <c r="F3834" s="87"/>
      <c r="G3834" s="45" t="s">
        <v>1573</v>
      </c>
      <c r="H3834" s="55" t="s">
        <v>1574</v>
      </c>
      <c r="I3834" s="15" t="s">
        <v>214</v>
      </c>
    </row>
    <row r="3835" spans="1:9" ht="51.75" customHeight="1" x14ac:dyDescent="0.35">
      <c r="A3835" s="15">
        <v>8</v>
      </c>
      <c r="B3835" s="15" t="s">
        <v>32467</v>
      </c>
      <c r="C3835" s="15" t="s">
        <v>32468</v>
      </c>
      <c r="D3835" s="31">
        <v>39850</v>
      </c>
      <c r="E3835" s="15" t="s">
        <v>32469</v>
      </c>
      <c r="F3835" s="87"/>
      <c r="G3835" s="45" t="s">
        <v>1573</v>
      </c>
      <c r="H3835" s="55" t="s">
        <v>1574</v>
      </c>
      <c r="I3835" s="15" t="s">
        <v>214</v>
      </c>
    </row>
    <row r="3836" spans="1:9" ht="51.75" customHeight="1" x14ac:dyDescent="0.35">
      <c r="A3836" s="15">
        <v>9</v>
      </c>
      <c r="B3836" s="15" t="s">
        <v>32470</v>
      </c>
      <c r="C3836" s="15" t="s">
        <v>32471</v>
      </c>
      <c r="D3836" s="31">
        <v>39850</v>
      </c>
      <c r="E3836" s="15" t="s">
        <v>32472</v>
      </c>
      <c r="F3836" s="87"/>
      <c r="G3836" s="45" t="s">
        <v>1573</v>
      </c>
      <c r="H3836" s="55" t="s">
        <v>1574</v>
      </c>
      <c r="I3836" s="15" t="s">
        <v>214</v>
      </c>
    </row>
    <row r="3837" spans="1:9" ht="51.75" customHeight="1" x14ac:dyDescent="0.35">
      <c r="A3837" s="15">
        <v>10</v>
      </c>
      <c r="B3837" s="15" t="s">
        <v>32473</v>
      </c>
      <c r="C3837" s="15" t="s">
        <v>32474</v>
      </c>
      <c r="D3837" s="31">
        <v>39850</v>
      </c>
      <c r="E3837" s="15" t="s">
        <v>32475</v>
      </c>
      <c r="F3837" s="87"/>
      <c r="G3837" s="45" t="s">
        <v>1573</v>
      </c>
      <c r="H3837" s="55" t="s">
        <v>1574</v>
      </c>
      <c r="I3837" s="15" t="s">
        <v>214</v>
      </c>
    </row>
    <row r="3838" spans="1:9" ht="51.75" customHeight="1" x14ac:dyDescent="0.35">
      <c r="A3838" s="15" t="s">
        <v>32476</v>
      </c>
      <c r="B3838" s="15" t="s">
        <v>32477</v>
      </c>
      <c r="C3838" s="15" t="s">
        <v>32478</v>
      </c>
      <c r="D3838" s="31">
        <v>41127</v>
      </c>
      <c r="E3838" s="15" t="s">
        <v>32479</v>
      </c>
      <c r="F3838" s="87" t="s">
        <v>21871</v>
      </c>
      <c r="G3838" s="45" t="s">
        <v>6170</v>
      </c>
      <c r="H3838" s="55" t="s">
        <v>6171</v>
      </c>
      <c r="I3838" s="15" t="s">
        <v>214</v>
      </c>
    </row>
    <row r="3839" spans="1:9" ht="51.75" customHeight="1" x14ac:dyDescent="0.35">
      <c r="A3839" s="15">
        <v>1</v>
      </c>
      <c r="B3839" s="15" t="s">
        <v>32480</v>
      </c>
      <c r="C3839" s="15" t="s">
        <v>32481</v>
      </c>
      <c r="D3839" s="31">
        <v>38924</v>
      </c>
      <c r="E3839" s="15" t="s">
        <v>32482</v>
      </c>
      <c r="F3839" s="87"/>
      <c r="G3839" s="45" t="s">
        <v>899</v>
      </c>
      <c r="H3839" s="55" t="s">
        <v>900</v>
      </c>
      <c r="I3839" s="15" t="s">
        <v>214</v>
      </c>
    </row>
    <row r="3840" spans="1:9" ht="51.75" customHeight="1" x14ac:dyDescent="0.35">
      <c r="A3840" s="15">
        <v>2</v>
      </c>
      <c r="B3840" s="15" t="s">
        <v>32483</v>
      </c>
      <c r="C3840" s="15" t="s">
        <v>32484</v>
      </c>
      <c r="D3840" s="31">
        <v>38924</v>
      </c>
      <c r="E3840" s="15" t="s">
        <v>32485</v>
      </c>
      <c r="F3840" s="87"/>
      <c r="G3840" s="45" t="s">
        <v>899</v>
      </c>
      <c r="H3840" s="55" t="s">
        <v>900</v>
      </c>
      <c r="I3840" s="15" t="s">
        <v>214</v>
      </c>
    </row>
    <row r="3841" spans="1:9" ht="51.75" customHeight="1" x14ac:dyDescent="0.35">
      <c r="A3841" s="15">
        <v>3</v>
      </c>
      <c r="B3841" s="15" t="s">
        <v>32486</v>
      </c>
      <c r="C3841" s="15" t="s">
        <v>32487</v>
      </c>
      <c r="D3841" s="31">
        <v>38924</v>
      </c>
      <c r="E3841" s="15" t="s">
        <v>32488</v>
      </c>
      <c r="F3841" s="87"/>
      <c r="G3841" s="45" t="s">
        <v>899</v>
      </c>
      <c r="H3841" s="55" t="s">
        <v>900</v>
      </c>
      <c r="I3841" s="15" t="s">
        <v>214</v>
      </c>
    </row>
    <row r="3842" spans="1:9" ht="51.75" customHeight="1" x14ac:dyDescent="0.35">
      <c r="A3842" s="15">
        <v>4</v>
      </c>
      <c r="B3842" s="15" t="s">
        <v>32489</v>
      </c>
      <c r="C3842" s="15" t="s">
        <v>32490</v>
      </c>
      <c r="D3842" s="31">
        <v>38924</v>
      </c>
      <c r="E3842" s="15" t="s">
        <v>32491</v>
      </c>
      <c r="F3842" s="87"/>
      <c r="G3842" s="45" t="s">
        <v>899</v>
      </c>
      <c r="H3842" s="55" t="s">
        <v>900</v>
      </c>
      <c r="I3842" s="15" t="s">
        <v>214</v>
      </c>
    </row>
    <row r="3843" spans="1:9" ht="51.75" customHeight="1" x14ac:dyDescent="0.35">
      <c r="A3843" s="15">
        <v>5</v>
      </c>
      <c r="B3843" s="15" t="s">
        <v>32492</v>
      </c>
      <c r="C3843" s="15" t="s">
        <v>32493</v>
      </c>
      <c r="D3843" s="31">
        <v>38924</v>
      </c>
      <c r="E3843" s="15" t="s">
        <v>32494</v>
      </c>
      <c r="F3843" s="87"/>
      <c r="G3843" s="45" t="s">
        <v>899</v>
      </c>
      <c r="H3843" s="55" t="s">
        <v>900</v>
      </c>
      <c r="I3843" s="15" t="s">
        <v>214</v>
      </c>
    </row>
    <row r="3844" spans="1:9" ht="51.75" customHeight="1" x14ac:dyDescent="0.35">
      <c r="A3844" s="15">
        <v>6</v>
      </c>
      <c r="B3844" s="15" t="s">
        <v>32495</v>
      </c>
      <c r="C3844" s="15" t="s">
        <v>32496</v>
      </c>
      <c r="D3844" s="31">
        <v>38924</v>
      </c>
      <c r="E3844" s="15" t="s">
        <v>32497</v>
      </c>
      <c r="F3844" s="87"/>
      <c r="G3844" s="45" t="s">
        <v>899</v>
      </c>
      <c r="H3844" s="55" t="s">
        <v>900</v>
      </c>
      <c r="I3844" s="15" t="s">
        <v>214</v>
      </c>
    </row>
    <row r="3845" spans="1:9" ht="51.75" customHeight="1" x14ac:dyDescent="0.35">
      <c r="A3845" s="15">
        <v>7</v>
      </c>
      <c r="B3845" s="15" t="s">
        <v>32498</v>
      </c>
      <c r="C3845" s="15" t="s">
        <v>32499</v>
      </c>
      <c r="D3845" s="31">
        <v>38924</v>
      </c>
      <c r="E3845" s="15" t="s">
        <v>32500</v>
      </c>
      <c r="F3845" s="87"/>
      <c r="G3845" s="45" t="s">
        <v>899</v>
      </c>
      <c r="H3845" s="55" t="s">
        <v>900</v>
      </c>
      <c r="I3845" s="15" t="s">
        <v>214</v>
      </c>
    </row>
    <row r="3846" spans="1:9" ht="51.75" customHeight="1" x14ac:dyDescent="0.35">
      <c r="A3846" s="15">
        <v>8</v>
      </c>
      <c r="B3846" s="15" t="s">
        <v>32501</v>
      </c>
      <c r="C3846" s="15" t="s">
        <v>32502</v>
      </c>
      <c r="D3846" s="31">
        <v>38924</v>
      </c>
      <c r="E3846" s="15" t="s">
        <v>32503</v>
      </c>
      <c r="F3846" s="87"/>
      <c r="G3846" s="45" t="s">
        <v>899</v>
      </c>
      <c r="H3846" s="55" t="s">
        <v>900</v>
      </c>
      <c r="I3846" s="15" t="s">
        <v>214</v>
      </c>
    </row>
    <row r="3847" spans="1:9" ht="51.75" customHeight="1" x14ac:dyDescent="0.35">
      <c r="A3847" s="15">
        <v>9</v>
      </c>
      <c r="B3847" s="15" t="s">
        <v>32504</v>
      </c>
      <c r="C3847" s="15" t="s">
        <v>32505</v>
      </c>
      <c r="D3847" s="31">
        <v>38924</v>
      </c>
      <c r="E3847" s="15" t="s">
        <v>32506</v>
      </c>
      <c r="F3847" s="87"/>
      <c r="G3847" s="45" t="s">
        <v>899</v>
      </c>
      <c r="H3847" s="55" t="s">
        <v>900</v>
      </c>
      <c r="I3847" s="15" t="s">
        <v>214</v>
      </c>
    </row>
    <row r="3848" spans="1:9" ht="51.75" customHeight="1" x14ac:dyDescent="0.35">
      <c r="A3848" s="15">
        <v>1</v>
      </c>
      <c r="B3848" s="15" t="s">
        <v>32507</v>
      </c>
      <c r="C3848" s="15" t="s">
        <v>32508</v>
      </c>
      <c r="D3848" s="31">
        <v>38919</v>
      </c>
      <c r="E3848" s="15" t="s">
        <v>32509</v>
      </c>
      <c r="F3848" s="87"/>
      <c r="G3848" s="45" t="s">
        <v>223</v>
      </c>
      <c r="H3848" s="55" t="s">
        <v>224</v>
      </c>
      <c r="I3848" s="15" t="s">
        <v>214</v>
      </c>
    </row>
    <row r="3849" spans="1:9" ht="51.75" customHeight="1" x14ac:dyDescent="0.35">
      <c r="A3849" s="15">
        <v>2</v>
      </c>
      <c r="B3849" s="15" t="s">
        <v>32510</v>
      </c>
      <c r="C3849" s="15" t="s">
        <v>32511</v>
      </c>
      <c r="D3849" s="31">
        <v>38919</v>
      </c>
      <c r="E3849" s="15" t="s">
        <v>32512</v>
      </c>
      <c r="F3849" s="87"/>
      <c r="G3849" s="45" t="s">
        <v>223</v>
      </c>
      <c r="H3849" s="55" t="s">
        <v>224</v>
      </c>
      <c r="I3849" s="15" t="s">
        <v>214</v>
      </c>
    </row>
    <row r="3850" spans="1:9" ht="51.75" customHeight="1" x14ac:dyDescent="0.35">
      <c r="A3850" s="15">
        <v>3</v>
      </c>
      <c r="B3850" s="15" t="s">
        <v>32513</v>
      </c>
      <c r="C3850" s="15" t="s">
        <v>32514</v>
      </c>
      <c r="D3850" s="31">
        <v>38919</v>
      </c>
      <c r="E3850" s="15" t="s">
        <v>32515</v>
      </c>
      <c r="F3850" s="87"/>
      <c r="G3850" s="45" t="s">
        <v>223</v>
      </c>
      <c r="H3850" s="55" t="s">
        <v>224</v>
      </c>
      <c r="I3850" s="15" t="s">
        <v>214</v>
      </c>
    </row>
    <row r="3851" spans="1:9" ht="51.75" customHeight="1" x14ac:dyDescent="0.35">
      <c r="A3851" s="15">
        <v>4</v>
      </c>
      <c r="B3851" s="15" t="s">
        <v>32516</v>
      </c>
      <c r="C3851" s="15" t="s">
        <v>32517</v>
      </c>
      <c r="D3851" s="31">
        <v>38919</v>
      </c>
      <c r="E3851" s="15" t="s">
        <v>32518</v>
      </c>
      <c r="F3851" s="87"/>
      <c r="G3851" s="45" t="s">
        <v>223</v>
      </c>
      <c r="H3851" s="55" t="s">
        <v>224</v>
      </c>
      <c r="I3851" s="15" t="s">
        <v>214</v>
      </c>
    </row>
    <row r="3852" spans="1:9" ht="51.75" customHeight="1" x14ac:dyDescent="0.35">
      <c r="A3852" s="15">
        <v>1</v>
      </c>
      <c r="B3852" s="15" t="s">
        <v>32519</v>
      </c>
      <c r="C3852" s="15" t="s">
        <v>32520</v>
      </c>
      <c r="D3852" s="31">
        <v>41053</v>
      </c>
      <c r="E3852" s="15" t="s">
        <v>32521</v>
      </c>
      <c r="F3852" s="87"/>
      <c r="G3852" s="45" t="s">
        <v>6078</v>
      </c>
      <c r="H3852" s="55" t="s">
        <v>6079</v>
      </c>
      <c r="I3852" s="15" t="s">
        <v>214</v>
      </c>
    </row>
    <row r="3853" spans="1:9" ht="51.75" customHeight="1" x14ac:dyDescent="0.35">
      <c r="A3853" s="15">
        <v>2</v>
      </c>
      <c r="B3853" s="15" t="s">
        <v>32522</v>
      </c>
      <c r="C3853" s="15" t="s">
        <v>32523</v>
      </c>
      <c r="D3853" s="31">
        <v>41053</v>
      </c>
      <c r="E3853" s="15" t="s">
        <v>32524</v>
      </c>
      <c r="F3853" s="87"/>
      <c r="G3853" s="45" t="s">
        <v>6078</v>
      </c>
      <c r="H3853" s="55" t="s">
        <v>6079</v>
      </c>
      <c r="I3853" s="15" t="s">
        <v>214</v>
      </c>
    </row>
    <row r="3854" spans="1:9" ht="51.75" customHeight="1" x14ac:dyDescent="0.35">
      <c r="A3854" s="15">
        <v>3</v>
      </c>
      <c r="B3854" s="15" t="s">
        <v>32525</v>
      </c>
      <c r="C3854" s="15" t="s">
        <v>32526</v>
      </c>
      <c r="D3854" s="31">
        <v>41053</v>
      </c>
      <c r="E3854" s="15" t="s">
        <v>32527</v>
      </c>
      <c r="F3854" s="87"/>
      <c r="G3854" s="45" t="s">
        <v>6078</v>
      </c>
      <c r="H3854" s="55" t="s">
        <v>6079</v>
      </c>
      <c r="I3854" s="15" t="s">
        <v>214</v>
      </c>
    </row>
    <row r="3855" spans="1:9" ht="51.75" customHeight="1" x14ac:dyDescent="0.35">
      <c r="A3855" s="15">
        <v>1</v>
      </c>
      <c r="B3855" s="15" t="s">
        <v>32528</v>
      </c>
      <c r="C3855" s="15" t="s">
        <v>32529</v>
      </c>
      <c r="D3855" s="31">
        <v>39386</v>
      </c>
      <c r="E3855" s="15" t="s">
        <v>32530</v>
      </c>
      <c r="F3855" s="87" t="s">
        <v>21871</v>
      </c>
      <c r="G3855" s="45" t="s">
        <v>992</v>
      </c>
      <c r="H3855" s="55" t="s">
        <v>993</v>
      </c>
      <c r="I3855" s="15" t="s">
        <v>214</v>
      </c>
    </row>
    <row r="3856" spans="1:9" ht="51.75" customHeight="1" x14ac:dyDescent="0.35">
      <c r="A3856" s="15">
        <v>2</v>
      </c>
      <c r="B3856" s="15" t="s">
        <v>32531</v>
      </c>
      <c r="C3856" s="15" t="s">
        <v>32532</v>
      </c>
      <c r="D3856" s="31">
        <v>39386</v>
      </c>
      <c r="E3856" s="15" t="s">
        <v>32533</v>
      </c>
      <c r="F3856" s="87" t="s">
        <v>21871</v>
      </c>
      <c r="G3856" s="45" t="s">
        <v>992</v>
      </c>
      <c r="H3856" s="55" t="s">
        <v>993</v>
      </c>
      <c r="I3856" s="15" t="s">
        <v>214</v>
      </c>
    </row>
    <row r="3857" spans="1:9" ht="51.75" customHeight="1" x14ac:dyDescent="0.35">
      <c r="A3857" s="15">
        <v>3</v>
      </c>
      <c r="B3857" s="15" t="s">
        <v>32534</v>
      </c>
      <c r="C3857" s="15" t="s">
        <v>32535</v>
      </c>
      <c r="D3857" s="31">
        <v>39386</v>
      </c>
      <c r="E3857" s="15" t="s">
        <v>32536</v>
      </c>
      <c r="F3857" s="87" t="s">
        <v>21871</v>
      </c>
      <c r="G3857" s="45" t="s">
        <v>992</v>
      </c>
      <c r="H3857" s="55" t="s">
        <v>993</v>
      </c>
      <c r="I3857" s="15" t="s">
        <v>214</v>
      </c>
    </row>
    <row r="3858" spans="1:9" ht="51.75" customHeight="1" x14ac:dyDescent="0.35">
      <c r="A3858" s="15">
        <v>4</v>
      </c>
      <c r="B3858" s="15" t="s">
        <v>32537</v>
      </c>
      <c r="C3858" s="15" t="s">
        <v>32538</v>
      </c>
      <c r="D3858" s="31">
        <v>39386</v>
      </c>
      <c r="E3858" s="15" t="s">
        <v>32539</v>
      </c>
      <c r="F3858" s="87" t="s">
        <v>21871</v>
      </c>
      <c r="G3858" s="45" t="s">
        <v>992</v>
      </c>
      <c r="H3858" s="55" t="s">
        <v>993</v>
      </c>
      <c r="I3858" s="15" t="s">
        <v>214</v>
      </c>
    </row>
    <row r="3859" spans="1:9" ht="51.75" customHeight="1" x14ac:dyDescent="0.35">
      <c r="A3859" s="15">
        <v>5</v>
      </c>
      <c r="B3859" s="15" t="s">
        <v>32540</v>
      </c>
      <c r="C3859" s="15" t="s">
        <v>32541</v>
      </c>
      <c r="D3859" s="31">
        <v>39386</v>
      </c>
      <c r="E3859" s="15" t="s">
        <v>32542</v>
      </c>
      <c r="F3859" s="87" t="s">
        <v>21871</v>
      </c>
      <c r="G3859" s="45" t="s">
        <v>992</v>
      </c>
      <c r="H3859" s="55" t="s">
        <v>993</v>
      </c>
      <c r="I3859" s="15" t="s">
        <v>214</v>
      </c>
    </row>
    <row r="3860" spans="1:9" ht="51.75" customHeight="1" x14ac:dyDescent="0.35">
      <c r="A3860" s="15">
        <v>6</v>
      </c>
      <c r="B3860" s="15" t="s">
        <v>32543</v>
      </c>
      <c r="C3860" s="15" t="s">
        <v>32544</v>
      </c>
      <c r="D3860" s="31">
        <v>39386</v>
      </c>
      <c r="E3860" s="15" t="s">
        <v>32545</v>
      </c>
      <c r="F3860" s="87" t="s">
        <v>21871</v>
      </c>
      <c r="G3860" s="45" t="s">
        <v>992</v>
      </c>
      <c r="H3860" s="55" t="s">
        <v>993</v>
      </c>
      <c r="I3860" s="15" t="s">
        <v>214</v>
      </c>
    </row>
    <row r="3861" spans="1:9" ht="51.75" customHeight="1" x14ac:dyDescent="0.35">
      <c r="A3861" s="15">
        <v>7</v>
      </c>
      <c r="B3861" s="15" t="s">
        <v>32546</v>
      </c>
      <c r="C3861" s="15" t="s">
        <v>32547</v>
      </c>
      <c r="D3861" s="31">
        <v>39386</v>
      </c>
      <c r="E3861" s="15" t="s">
        <v>32548</v>
      </c>
      <c r="F3861" s="87" t="s">
        <v>21871</v>
      </c>
      <c r="G3861" s="45" t="s">
        <v>992</v>
      </c>
      <c r="H3861" s="55" t="s">
        <v>993</v>
      </c>
      <c r="I3861" s="15" t="s">
        <v>214</v>
      </c>
    </row>
    <row r="3862" spans="1:9" ht="51.75" customHeight="1" x14ac:dyDescent="0.35">
      <c r="A3862" s="15">
        <v>8</v>
      </c>
      <c r="B3862" s="15" t="s">
        <v>32549</v>
      </c>
      <c r="C3862" s="15" t="s">
        <v>32550</v>
      </c>
      <c r="D3862" s="31">
        <v>39386</v>
      </c>
      <c r="E3862" s="15" t="s">
        <v>32551</v>
      </c>
      <c r="F3862" s="87" t="s">
        <v>21871</v>
      </c>
      <c r="G3862" s="45" t="s">
        <v>992</v>
      </c>
      <c r="H3862" s="55" t="s">
        <v>993</v>
      </c>
      <c r="I3862" s="15" t="s">
        <v>214</v>
      </c>
    </row>
    <row r="3863" spans="1:9" ht="51.75" customHeight="1" x14ac:dyDescent="0.35">
      <c r="A3863" s="15">
        <v>9</v>
      </c>
      <c r="B3863" s="15" t="s">
        <v>32552</v>
      </c>
      <c r="C3863" s="15" t="s">
        <v>32553</v>
      </c>
      <c r="D3863" s="31">
        <v>39386</v>
      </c>
      <c r="E3863" s="15" t="s">
        <v>32554</v>
      </c>
      <c r="F3863" s="87" t="s">
        <v>21871</v>
      </c>
      <c r="G3863" s="45" t="s">
        <v>992</v>
      </c>
      <c r="H3863" s="55" t="s">
        <v>993</v>
      </c>
      <c r="I3863" s="15" t="s">
        <v>214</v>
      </c>
    </row>
    <row r="3864" spans="1:9" ht="51.75" customHeight="1" x14ac:dyDescent="0.35">
      <c r="A3864" s="15">
        <v>10</v>
      </c>
      <c r="B3864" s="15" t="s">
        <v>32555</v>
      </c>
      <c r="C3864" s="15" t="s">
        <v>32556</v>
      </c>
      <c r="D3864" s="31">
        <v>39386</v>
      </c>
      <c r="E3864" s="15" t="s">
        <v>32557</v>
      </c>
      <c r="F3864" s="87" t="s">
        <v>21871</v>
      </c>
      <c r="G3864" s="45" t="s">
        <v>992</v>
      </c>
      <c r="H3864" s="55" t="s">
        <v>993</v>
      </c>
      <c r="I3864" s="15" t="s">
        <v>214</v>
      </c>
    </row>
    <row r="3865" spans="1:9" ht="51.75" customHeight="1" x14ac:dyDescent="0.35">
      <c r="A3865" s="15" t="s">
        <v>26899</v>
      </c>
      <c r="B3865" s="15" t="s">
        <v>32558</v>
      </c>
      <c r="C3865" s="15" t="s">
        <v>32559</v>
      </c>
      <c r="D3865" s="31">
        <v>39386</v>
      </c>
      <c r="E3865" s="15" t="s">
        <v>32560</v>
      </c>
      <c r="F3865" s="87" t="s">
        <v>21871</v>
      </c>
      <c r="G3865" s="45" t="s">
        <v>992</v>
      </c>
      <c r="H3865" s="55" t="s">
        <v>993</v>
      </c>
      <c r="I3865" s="15" t="s">
        <v>214</v>
      </c>
    </row>
    <row r="3866" spans="1:9" ht="51.75" customHeight="1" x14ac:dyDescent="0.35">
      <c r="A3866" s="15" t="s">
        <v>26902</v>
      </c>
      <c r="B3866" s="15" t="s">
        <v>32561</v>
      </c>
      <c r="C3866" s="15" t="s">
        <v>32562</v>
      </c>
      <c r="D3866" s="31">
        <v>39386</v>
      </c>
      <c r="E3866" s="15" t="s">
        <v>32563</v>
      </c>
      <c r="F3866" s="87" t="s">
        <v>21871</v>
      </c>
      <c r="G3866" s="45" t="s">
        <v>992</v>
      </c>
      <c r="H3866" s="55" t="s">
        <v>993</v>
      </c>
      <c r="I3866" s="15" t="s">
        <v>214</v>
      </c>
    </row>
    <row r="3867" spans="1:9" ht="51.75" customHeight="1" x14ac:dyDescent="0.35">
      <c r="A3867" s="15" t="s">
        <v>26905</v>
      </c>
      <c r="B3867" s="15" t="s">
        <v>32564</v>
      </c>
      <c r="C3867" s="15" t="s">
        <v>32565</v>
      </c>
      <c r="D3867" s="31">
        <v>39386</v>
      </c>
      <c r="E3867" s="15" t="s">
        <v>32566</v>
      </c>
      <c r="F3867" s="87" t="s">
        <v>21871</v>
      </c>
      <c r="G3867" s="45" t="s">
        <v>992</v>
      </c>
      <c r="H3867" s="55" t="s">
        <v>993</v>
      </c>
      <c r="I3867" s="15" t="s">
        <v>214</v>
      </c>
    </row>
    <row r="3868" spans="1:9" ht="51.75" customHeight="1" x14ac:dyDescent="0.35">
      <c r="A3868" s="15" t="s">
        <v>26908</v>
      </c>
      <c r="B3868" s="15" t="s">
        <v>32567</v>
      </c>
      <c r="C3868" s="15" t="s">
        <v>32568</v>
      </c>
      <c r="D3868" s="31">
        <v>39386</v>
      </c>
      <c r="E3868" s="15" t="s">
        <v>32569</v>
      </c>
      <c r="F3868" s="87" t="s">
        <v>21871</v>
      </c>
      <c r="G3868" s="45" t="s">
        <v>992</v>
      </c>
      <c r="H3868" s="55" t="s">
        <v>993</v>
      </c>
      <c r="I3868" s="15" t="s">
        <v>214</v>
      </c>
    </row>
    <row r="3869" spans="1:9" ht="51.75" customHeight="1" x14ac:dyDescent="0.35">
      <c r="A3869" s="15" t="s">
        <v>26911</v>
      </c>
      <c r="B3869" s="15" t="s">
        <v>32570</v>
      </c>
      <c r="C3869" s="15" t="s">
        <v>32571</v>
      </c>
      <c r="D3869" s="31">
        <v>39386</v>
      </c>
      <c r="E3869" s="15" t="s">
        <v>32572</v>
      </c>
      <c r="F3869" s="87" t="s">
        <v>21871</v>
      </c>
      <c r="G3869" s="45" t="s">
        <v>992</v>
      </c>
      <c r="H3869" s="55" t="s">
        <v>993</v>
      </c>
      <c r="I3869" s="15" t="s">
        <v>214</v>
      </c>
    </row>
    <row r="3870" spans="1:9" ht="51.75" customHeight="1" x14ac:dyDescent="0.35">
      <c r="A3870" s="15" t="s">
        <v>22103</v>
      </c>
      <c r="B3870" s="15" t="s">
        <v>32573</v>
      </c>
      <c r="C3870" s="15" t="s">
        <v>32574</v>
      </c>
      <c r="D3870" s="31">
        <v>39386</v>
      </c>
      <c r="E3870" s="15" t="s">
        <v>32575</v>
      </c>
      <c r="F3870" s="87" t="s">
        <v>21871</v>
      </c>
      <c r="G3870" s="45" t="s">
        <v>992</v>
      </c>
      <c r="H3870" s="55" t="s">
        <v>993</v>
      </c>
      <c r="I3870" s="15" t="s">
        <v>214</v>
      </c>
    </row>
    <row r="3871" spans="1:9" ht="51.75" customHeight="1" x14ac:dyDescent="0.35">
      <c r="A3871" s="15">
        <v>1</v>
      </c>
      <c r="B3871" s="15" t="s">
        <v>32576</v>
      </c>
      <c r="C3871" s="15" t="s">
        <v>32577</v>
      </c>
      <c r="D3871" s="31">
        <v>39029</v>
      </c>
      <c r="E3871" s="15" t="s">
        <v>32578</v>
      </c>
      <c r="F3871" s="87"/>
      <c r="G3871" s="45" t="s">
        <v>1200</v>
      </c>
      <c r="H3871" s="55" t="s">
        <v>1201</v>
      </c>
      <c r="I3871" s="15" t="s">
        <v>214</v>
      </c>
    </row>
    <row r="3872" spans="1:9" ht="51.75" customHeight="1" x14ac:dyDescent="0.35">
      <c r="A3872" s="15">
        <v>2</v>
      </c>
      <c r="B3872" s="15" t="s">
        <v>32579</v>
      </c>
      <c r="C3872" s="15" t="s">
        <v>32580</v>
      </c>
      <c r="D3872" s="31">
        <v>39029</v>
      </c>
      <c r="E3872" s="15" t="s">
        <v>32581</v>
      </c>
      <c r="F3872" s="87"/>
      <c r="G3872" s="45" t="s">
        <v>1200</v>
      </c>
      <c r="H3872" s="55" t="s">
        <v>1201</v>
      </c>
      <c r="I3872" s="15" t="s">
        <v>214</v>
      </c>
    </row>
    <row r="3873" spans="1:9" ht="51.75" customHeight="1" x14ac:dyDescent="0.35">
      <c r="A3873" s="15">
        <v>3</v>
      </c>
      <c r="B3873" s="15" t="s">
        <v>32582</v>
      </c>
      <c r="C3873" s="15" t="s">
        <v>32583</v>
      </c>
      <c r="D3873" s="31">
        <v>39029</v>
      </c>
      <c r="E3873" s="15" t="s">
        <v>32584</v>
      </c>
      <c r="F3873" s="87"/>
      <c r="G3873" s="45" t="s">
        <v>1200</v>
      </c>
      <c r="H3873" s="55" t="s">
        <v>1201</v>
      </c>
      <c r="I3873" s="15" t="s">
        <v>214</v>
      </c>
    </row>
    <row r="3874" spans="1:9" ht="51.75" customHeight="1" x14ac:dyDescent="0.35">
      <c r="A3874" s="15">
        <v>4</v>
      </c>
      <c r="B3874" s="15" t="s">
        <v>32585</v>
      </c>
      <c r="C3874" s="15" t="s">
        <v>32586</v>
      </c>
      <c r="D3874" s="31">
        <v>39029</v>
      </c>
      <c r="E3874" s="15" t="s">
        <v>32587</v>
      </c>
      <c r="F3874" s="87"/>
      <c r="G3874" s="45" t="s">
        <v>1200</v>
      </c>
      <c r="H3874" s="55" t="s">
        <v>1201</v>
      </c>
      <c r="I3874" s="15" t="s">
        <v>214</v>
      </c>
    </row>
    <row r="3875" spans="1:9" ht="51.75" customHeight="1" x14ac:dyDescent="0.35">
      <c r="A3875" s="15" t="s">
        <v>23465</v>
      </c>
      <c r="B3875" s="15" t="s">
        <v>32588</v>
      </c>
      <c r="C3875" s="15" t="s">
        <v>32589</v>
      </c>
      <c r="D3875" s="31">
        <v>41179</v>
      </c>
      <c r="E3875" s="15" t="s">
        <v>32590</v>
      </c>
      <c r="F3875" s="87" t="s">
        <v>21871</v>
      </c>
      <c r="G3875" s="45" t="s">
        <v>5946</v>
      </c>
      <c r="H3875" s="55" t="s">
        <v>5947</v>
      </c>
      <c r="I3875" s="15" t="s">
        <v>214</v>
      </c>
    </row>
    <row r="3876" spans="1:9" ht="51.75" customHeight="1" x14ac:dyDescent="0.35">
      <c r="A3876" s="15" t="s">
        <v>23469</v>
      </c>
      <c r="B3876" s="15" t="s">
        <v>32591</v>
      </c>
      <c r="C3876" s="15" t="s">
        <v>32592</v>
      </c>
      <c r="D3876" s="31">
        <v>41179</v>
      </c>
      <c r="E3876" s="15" t="s">
        <v>32593</v>
      </c>
      <c r="F3876" s="87" t="s">
        <v>21871</v>
      </c>
      <c r="G3876" s="45" t="s">
        <v>5946</v>
      </c>
      <c r="H3876" s="55" t="s">
        <v>5947</v>
      </c>
      <c r="I3876" s="15" t="s">
        <v>214</v>
      </c>
    </row>
    <row r="3877" spans="1:9" ht="51.75" customHeight="1" x14ac:dyDescent="0.35">
      <c r="A3877" s="15" t="s">
        <v>26429</v>
      </c>
      <c r="B3877" s="15" t="s">
        <v>32594</v>
      </c>
      <c r="C3877" s="15" t="s">
        <v>32595</v>
      </c>
      <c r="D3877" s="31">
        <v>41179</v>
      </c>
      <c r="E3877" s="15" t="s">
        <v>32596</v>
      </c>
      <c r="F3877" s="87" t="s">
        <v>21871</v>
      </c>
      <c r="G3877" s="45" t="s">
        <v>5946</v>
      </c>
      <c r="H3877" s="55" t="s">
        <v>5947</v>
      </c>
      <c r="I3877" s="15" t="s">
        <v>214</v>
      </c>
    </row>
    <row r="3878" spans="1:9" ht="51.75" customHeight="1" x14ac:dyDescent="0.35">
      <c r="A3878" s="15" t="s">
        <v>21983</v>
      </c>
      <c r="B3878" s="15" t="s">
        <v>32597</v>
      </c>
      <c r="C3878" s="15" t="s">
        <v>32598</v>
      </c>
      <c r="D3878" s="31">
        <v>41179</v>
      </c>
      <c r="E3878" s="15" t="s">
        <v>32599</v>
      </c>
      <c r="F3878" s="87" t="s">
        <v>21871</v>
      </c>
      <c r="G3878" s="45" t="s">
        <v>5946</v>
      </c>
      <c r="H3878" s="55" t="s">
        <v>5947</v>
      </c>
      <c r="I3878" s="15" t="s">
        <v>214</v>
      </c>
    </row>
    <row r="3879" spans="1:9" ht="51.75" customHeight="1" x14ac:dyDescent="0.35">
      <c r="A3879" s="15" t="s">
        <v>26436</v>
      </c>
      <c r="B3879" s="15" t="s">
        <v>32600</v>
      </c>
      <c r="C3879" s="15" t="s">
        <v>32601</v>
      </c>
      <c r="D3879" s="31">
        <v>41179</v>
      </c>
      <c r="E3879" s="15" t="s">
        <v>32602</v>
      </c>
      <c r="F3879" s="87" t="s">
        <v>21871</v>
      </c>
      <c r="G3879" s="45" t="s">
        <v>5946</v>
      </c>
      <c r="H3879" s="55" t="s">
        <v>5947</v>
      </c>
      <c r="I3879" s="15" t="s">
        <v>214</v>
      </c>
    </row>
    <row r="3880" spans="1:9" ht="51.75" customHeight="1" x14ac:dyDescent="0.35">
      <c r="A3880" s="15" t="s">
        <v>21979</v>
      </c>
      <c r="B3880" s="15" t="s">
        <v>32603</v>
      </c>
      <c r="C3880" s="15" t="s">
        <v>32604</v>
      </c>
      <c r="D3880" s="31">
        <v>41179</v>
      </c>
      <c r="E3880" s="15" t="s">
        <v>32605</v>
      </c>
      <c r="F3880" s="87" t="s">
        <v>21871</v>
      </c>
      <c r="G3880" s="45" t="s">
        <v>5946</v>
      </c>
      <c r="H3880" s="55" t="s">
        <v>5947</v>
      </c>
      <c r="I3880" s="15" t="s">
        <v>214</v>
      </c>
    </row>
    <row r="3881" spans="1:9" ht="51.75" customHeight="1" x14ac:dyDescent="0.35">
      <c r="A3881" s="15" t="s">
        <v>21971</v>
      </c>
      <c r="B3881" s="15" t="s">
        <v>32606</v>
      </c>
      <c r="C3881" s="15" t="s">
        <v>32607</v>
      </c>
      <c r="D3881" s="31">
        <v>41179</v>
      </c>
      <c r="E3881" s="15" t="s">
        <v>32608</v>
      </c>
      <c r="F3881" s="87" t="s">
        <v>21871</v>
      </c>
      <c r="G3881" s="45" t="s">
        <v>5946</v>
      </c>
      <c r="H3881" s="55" t="s">
        <v>5947</v>
      </c>
      <c r="I3881" s="15" t="s">
        <v>214</v>
      </c>
    </row>
    <row r="3882" spans="1:9" ht="51.75" customHeight="1" x14ac:dyDescent="0.35">
      <c r="A3882" s="15">
        <v>1</v>
      </c>
      <c r="B3882" s="15" t="s">
        <v>32609</v>
      </c>
      <c r="C3882" s="15" t="s">
        <v>32610</v>
      </c>
      <c r="D3882" s="31">
        <v>40905</v>
      </c>
      <c r="E3882" s="15" t="s">
        <v>32611</v>
      </c>
      <c r="F3882" s="87"/>
      <c r="G3882" s="45" t="s">
        <v>5870</v>
      </c>
      <c r="H3882" s="55" t="s">
        <v>5871</v>
      </c>
      <c r="I3882" s="15" t="s">
        <v>214</v>
      </c>
    </row>
    <row r="3883" spans="1:9" ht="51.75" customHeight="1" x14ac:dyDescent="0.35">
      <c r="A3883" s="15">
        <v>2</v>
      </c>
      <c r="B3883" s="15" t="s">
        <v>32612</v>
      </c>
      <c r="C3883" s="15" t="s">
        <v>32613</v>
      </c>
      <c r="D3883" s="31">
        <v>40905</v>
      </c>
      <c r="E3883" s="15" t="s">
        <v>32614</v>
      </c>
      <c r="F3883" s="87"/>
      <c r="G3883" s="45" t="s">
        <v>5870</v>
      </c>
      <c r="H3883" s="55" t="s">
        <v>5871</v>
      </c>
      <c r="I3883" s="15" t="s">
        <v>214</v>
      </c>
    </row>
    <row r="3884" spans="1:9" ht="51.75" customHeight="1" x14ac:dyDescent="0.35">
      <c r="A3884" s="15">
        <v>3</v>
      </c>
      <c r="B3884" s="15" t="s">
        <v>32615</v>
      </c>
      <c r="C3884" s="15" t="s">
        <v>32616</v>
      </c>
      <c r="D3884" s="31">
        <v>40905</v>
      </c>
      <c r="E3884" s="15" t="s">
        <v>32617</v>
      </c>
      <c r="F3884" s="87"/>
      <c r="G3884" s="45" t="s">
        <v>5870</v>
      </c>
      <c r="H3884" s="55" t="s">
        <v>5871</v>
      </c>
      <c r="I3884" s="15" t="s">
        <v>214</v>
      </c>
    </row>
    <row r="3885" spans="1:9" ht="51.75" customHeight="1" x14ac:dyDescent="0.35">
      <c r="A3885" s="15" t="s">
        <v>24877</v>
      </c>
      <c r="B3885" s="15" t="s">
        <v>32618</v>
      </c>
      <c r="C3885" s="15" t="s">
        <v>29481</v>
      </c>
      <c r="D3885" s="31" t="s">
        <v>50</v>
      </c>
      <c r="E3885" s="15" t="s">
        <v>32619</v>
      </c>
      <c r="F3885" s="87" t="s">
        <v>21871</v>
      </c>
      <c r="G3885" s="45" t="s">
        <v>5925</v>
      </c>
      <c r="H3885" s="55" t="s">
        <v>5926</v>
      </c>
      <c r="I3885" s="15" t="s">
        <v>214</v>
      </c>
    </row>
    <row r="3886" spans="1:9" ht="51.75" customHeight="1" x14ac:dyDescent="0.35">
      <c r="A3886" s="15" t="s">
        <v>22035</v>
      </c>
      <c r="B3886" s="15" t="s">
        <v>32620</v>
      </c>
      <c r="C3886" s="15" t="s">
        <v>29484</v>
      </c>
      <c r="D3886" s="31" t="s">
        <v>50</v>
      </c>
      <c r="E3886" s="15" t="s">
        <v>32621</v>
      </c>
      <c r="F3886" s="87" t="s">
        <v>21871</v>
      </c>
      <c r="G3886" s="45" t="s">
        <v>5925</v>
      </c>
      <c r="H3886" s="55" t="s">
        <v>5926</v>
      </c>
      <c r="I3886" s="15" t="s">
        <v>214</v>
      </c>
    </row>
    <row r="3887" spans="1:9" ht="51.75" customHeight="1" x14ac:dyDescent="0.35">
      <c r="A3887" s="15" t="s">
        <v>23264</v>
      </c>
      <c r="B3887" s="15" t="s">
        <v>32622</v>
      </c>
      <c r="C3887" s="15" t="s">
        <v>29487</v>
      </c>
      <c r="D3887" s="31" t="s">
        <v>50</v>
      </c>
      <c r="E3887" s="15" t="s">
        <v>32623</v>
      </c>
      <c r="F3887" s="87" t="s">
        <v>21871</v>
      </c>
      <c r="G3887" s="45" t="s">
        <v>5925</v>
      </c>
      <c r="H3887" s="55" t="s">
        <v>5926</v>
      </c>
      <c r="I3887" s="15" t="s">
        <v>214</v>
      </c>
    </row>
    <row r="3888" spans="1:9" ht="51.75" customHeight="1" x14ac:dyDescent="0.35">
      <c r="A3888" s="15" t="s">
        <v>22223</v>
      </c>
      <c r="B3888" s="15" t="s">
        <v>32624</v>
      </c>
      <c r="C3888" s="15" t="s">
        <v>29490</v>
      </c>
      <c r="D3888" s="31" t="s">
        <v>50</v>
      </c>
      <c r="E3888" s="15" t="s">
        <v>32625</v>
      </c>
      <c r="F3888" s="87" t="s">
        <v>21871</v>
      </c>
      <c r="G3888" s="45" t="s">
        <v>5925</v>
      </c>
      <c r="H3888" s="55" t="s">
        <v>5926</v>
      </c>
      <c r="I3888" s="15" t="s">
        <v>214</v>
      </c>
    </row>
    <row r="3889" spans="1:9" ht="51.75" customHeight="1" x14ac:dyDescent="0.35">
      <c r="A3889" s="15" t="s">
        <v>22952</v>
      </c>
      <c r="B3889" s="15" t="s">
        <v>32626</v>
      </c>
      <c r="C3889" s="15" t="s">
        <v>29493</v>
      </c>
      <c r="D3889" s="31" t="s">
        <v>50</v>
      </c>
      <c r="E3889" s="15" t="s">
        <v>32627</v>
      </c>
      <c r="F3889" s="87" t="s">
        <v>21871</v>
      </c>
      <c r="G3889" s="45" t="s">
        <v>5925</v>
      </c>
      <c r="H3889" s="55" t="s">
        <v>5926</v>
      </c>
      <c r="I3889" s="15" t="s">
        <v>214</v>
      </c>
    </row>
    <row r="3890" spans="1:9" ht="51.75" customHeight="1" x14ac:dyDescent="0.35">
      <c r="A3890" s="15" t="s">
        <v>22956</v>
      </c>
      <c r="B3890" s="15" t="s">
        <v>32628</v>
      </c>
      <c r="C3890" s="15" t="s">
        <v>29496</v>
      </c>
      <c r="D3890" s="31" t="s">
        <v>50</v>
      </c>
      <c r="E3890" s="15" t="s">
        <v>32629</v>
      </c>
      <c r="F3890" s="87" t="s">
        <v>21871</v>
      </c>
      <c r="G3890" s="45" t="s">
        <v>5925</v>
      </c>
      <c r="H3890" s="55" t="s">
        <v>5926</v>
      </c>
      <c r="I3890" s="15" t="s">
        <v>214</v>
      </c>
    </row>
    <row r="3891" spans="1:9" ht="51.75" customHeight="1" x14ac:dyDescent="0.35">
      <c r="A3891" s="15">
        <v>1</v>
      </c>
      <c r="B3891" s="15" t="s">
        <v>32630</v>
      </c>
      <c r="C3891" s="15" t="s">
        <v>32631</v>
      </c>
      <c r="D3891" s="31">
        <v>40997</v>
      </c>
      <c r="E3891" s="15" t="s">
        <v>32632</v>
      </c>
      <c r="F3891" s="87"/>
      <c r="G3891" s="45" t="s">
        <v>5903</v>
      </c>
      <c r="H3891" s="55" t="s">
        <v>5904</v>
      </c>
      <c r="I3891" s="15" t="s">
        <v>214</v>
      </c>
    </row>
    <row r="3892" spans="1:9" ht="51.75" customHeight="1" x14ac:dyDescent="0.35">
      <c r="A3892" s="15">
        <v>2</v>
      </c>
      <c r="B3892" s="15" t="s">
        <v>32633</v>
      </c>
      <c r="C3892" s="15" t="s">
        <v>32634</v>
      </c>
      <c r="D3892" s="31">
        <v>40997</v>
      </c>
      <c r="E3892" s="15" t="s">
        <v>32635</v>
      </c>
      <c r="F3892" s="87"/>
      <c r="G3892" s="45" t="s">
        <v>5903</v>
      </c>
      <c r="H3892" s="55" t="s">
        <v>5904</v>
      </c>
      <c r="I3892" s="15" t="s">
        <v>214</v>
      </c>
    </row>
    <row r="3893" spans="1:9" ht="51.75" customHeight="1" x14ac:dyDescent="0.35">
      <c r="A3893" s="15">
        <v>3</v>
      </c>
      <c r="B3893" s="15" t="s">
        <v>32636</v>
      </c>
      <c r="C3893" s="15" t="s">
        <v>32637</v>
      </c>
      <c r="D3893" s="31">
        <v>40997</v>
      </c>
      <c r="E3893" s="15" t="s">
        <v>32638</v>
      </c>
      <c r="F3893" s="87"/>
      <c r="G3893" s="45" t="s">
        <v>5903</v>
      </c>
      <c r="H3893" s="55" t="s">
        <v>5904</v>
      </c>
      <c r="I3893" s="15" t="s">
        <v>214</v>
      </c>
    </row>
    <row r="3894" spans="1:9" ht="51.75" customHeight="1" x14ac:dyDescent="0.35">
      <c r="A3894" s="15">
        <v>1</v>
      </c>
      <c r="B3894" s="15" t="s">
        <v>32639</v>
      </c>
      <c r="C3894" s="15" t="s">
        <v>32640</v>
      </c>
      <c r="D3894" s="31">
        <v>40969</v>
      </c>
      <c r="E3894" s="15" t="s">
        <v>32641</v>
      </c>
      <c r="F3894" s="87"/>
      <c r="G3894" s="45" t="s">
        <v>5828</v>
      </c>
      <c r="H3894" s="55" t="s">
        <v>5829</v>
      </c>
      <c r="I3894" s="15" t="s">
        <v>214</v>
      </c>
    </row>
    <row r="3895" spans="1:9" ht="51.75" customHeight="1" x14ac:dyDescent="0.35">
      <c r="A3895" s="15">
        <v>2</v>
      </c>
      <c r="B3895" s="15" t="s">
        <v>32642</v>
      </c>
      <c r="C3895" s="15" t="s">
        <v>32643</v>
      </c>
      <c r="D3895" s="31">
        <v>40969</v>
      </c>
      <c r="E3895" s="15" t="s">
        <v>32644</v>
      </c>
      <c r="F3895" s="87"/>
      <c r="G3895" s="45" t="s">
        <v>5828</v>
      </c>
      <c r="H3895" s="55" t="s">
        <v>5829</v>
      </c>
      <c r="I3895" s="15" t="s">
        <v>214</v>
      </c>
    </row>
    <row r="3896" spans="1:9" ht="51.75" customHeight="1" x14ac:dyDescent="0.35">
      <c r="A3896" s="15">
        <v>3</v>
      </c>
      <c r="B3896" s="15" t="s">
        <v>32645</v>
      </c>
      <c r="C3896" s="15" t="s">
        <v>32646</v>
      </c>
      <c r="D3896" s="31">
        <v>40969</v>
      </c>
      <c r="E3896" s="15" t="s">
        <v>32647</v>
      </c>
      <c r="F3896" s="87"/>
      <c r="G3896" s="45" t="s">
        <v>5828</v>
      </c>
      <c r="H3896" s="55" t="s">
        <v>5829</v>
      </c>
      <c r="I3896" s="15" t="s">
        <v>214</v>
      </c>
    </row>
    <row r="3897" spans="1:9" ht="51.75" customHeight="1" x14ac:dyDescent="0.35">
      <c r="A3897" s="15">
        <v>4</v>
      </c>
      <c r="B3897" s="15" t="s">
        <v>32648</v>
      </c>
      <c r="C3897" s="15" t="s">
        <v>32649</v>
      </c>
      <c r="D3897" s="31">
        <v>40969</v>
      </c>
      <c r="E3897" s="15" t="s">
        <v>32650</v>
      </c>
      <c r="F3897" s="87"/>
      <c r="G3897" s="45" t="s">
        <v>5828</v>
      </c>
      <c r="H3897" s="55" t="s">
        <v>5829</v>
      </c>
      <c r="I3897" s="15" t="s">
        <v>214</v>
      </c>
    </row>
    <row r="3898" spans="1:9" ht="51.75" customHeight="1" x14ac:dyDescent="0.35">
      <c r="A3898" s="15">
        <v>5</v>
      </c>
      <c r="B3898" s="15" t="s">
        <v>32651</v>
      </c>
      <c r="C3898" s="15" t="s">
        <v>32652</v>
      </c>
      <c r="D3898" s="31">
        <v>40969</v>
      </c>
      <c r="E3898" s="15" t="s">
        <v>32653</v>
      </c>
      <c r="F3898" s="87"/>
      <c r="G3898" s="45" t="s">
        <v>5828</v>
      </c>
      <c r="H3898" s="55" t="s">
        <v>5829</v>
      </c>
      <c r="I3898" s="15" t="s">
        <v>214</v>
      </c>
    </row>
    <row r="3899" spans="1:9" ht="51.75" customHeight="1" x14ac:dyDescent="0.35">
      <c r="A3899" s="15">
        <v>1</v>
      </c>
      <c r="B3899" s="15" t="s">
        <v>32654</v>
      </c>
      <c r="C3899" s="15" t="s">
        <v>32655</v>
      </c>
      <c r="D3899" s="31">
        <v>40878</v>
      </c>
      <c r="E3899" s="15" t="s">
        <v>32656</v>
      </c>
      <c r="F3899" s="87"/>
      <c r="G3899" s="45" t="s">
        <v>5700</v>
      </c>
      <c r="H3899" s="55" t="s">
        <v>5701</v>
      </c>
      <c r="I3899" s="15" t="s">
        <v>214</v>
      </c>
    </row>
    <row r="3900" spans="1:9" ht="51.75" customHeight="1" x14ac:dyDescent="0.35">
      <c r="A3900" s="15">
        <v>2</v>
      </c>
      <c r="B3900" s="15" t="s">
        <v>32657</v>
      </c>
      <c r="C3900" s="15" t="s">
        <v>32658</v>
      </c>
      <c r="D3900" s="31">
        <v>40878</v>
      </c>
      <c r="E3900" s="15" t="s">
        <v>32659</v>
      </c>
      <c r="F3900" s="87"/>
      <c r="G3900" s="45" t="s">
        <v>5700</v>
      </c>
      <c r="H3900" s="55" t="s">
        <v>5701</v>
      </c>
      <c r="I3900" s="15" t="s">
        <v>214</v>
      </c>
    </row>
    <row r="3901" spans="1:9" ht="51.75" customHeight="1" x14ac:dyDescent="0.35">
      <c r="A3901" s="15">
        <v>3</v>
      </c>
      <c r="B3901" s="15" t="s">
        <v>32660</v>
      </c>
      <c r="C3901" s="15" t="s">
        <v>32661</v>
      </c>
      <c r="D3901" s="31">
        <v>40878</v>
      </c>
      <c r="E3901" s="15" t="s">
        <v>32662</v>
      </c>
      <c r="F3901" s="87"/>
      <c r="G3901" s="45" t="s">
        <v>5700</v>
      </c>
      <c r="H3901" s="55" t="s">
        <v>5701</v>
      </c>
      <c r="I3901" s="15" t="s">
        <v>214</v>
      </c>
    </row>
    <row r="3902" spans="1:9" ht="51.75" customHeight="1" x14ac:dyDescent="0.35">
      <c r="A3902" s="15">
        <v>4</v>
      </c>
      <c r="B3902" s="15" t="s">
        <v>32663</v>
      </c>
      <c r="C3902" s="15" t="s">
        <v>32664</v>
      </c>
      <c r="D3902" s="31">
        <v>40878</v>
      </c>
      <c r="E3902" s="15" t="s">
        <v>32665</v>
      </c>
      <c r="F3902" s="87"/>
      <c r="G3902" s="45" t="s">
        <v>5700</v>
      </c>
      <c r="H3902" s="55" t="s">
        <v>5701</v>
      </c>
      <c r="I3902" s="15" t="s">
        <v>214</v>
      </c>
    </row>
    <row r="3903" spans="1:9" ht="51.75" customHeight="1" x14ac:dyDescent="0.35">
      <c r="A3903" s="15">
        <v>5</v>
      </c>
      <c r="B3903" s="15" t="s">
        <v>32666</v>
      </c>
      <c r="C3903" s="15" t="s">
        <v>32667</v>
      </c>
      <c r="D3903" s="31">
        <v>40878</v>
      </c>
      <c r="E3903" s="15" t="s">
        <v>32668</v>
      </c>
      <c r="F3903" s="87"/>
      <c r="G3903" s="45" t="s">
        <v>5700</v>
      </c>
      <c r="H3903" s="55" t="s">
        <v>5701</v>
      </c>
      <c r="I3903" s="15" t="s">
        <v>214</v>
      </c>
    </row>
    <row r="3904" spans="1:9" ht="51.75" customHeight="1" x14ac:dyDescent="0.35">
      <c r="A3904" s="15">
        <v>1</v>
      </c>
      <c r="B3904" s="15" t="s">
        <v>32669</v>
      </c>
      <c r="C3904" s="15" t="s">
        <v>32670</v>
      </c>
      <c r="D3904" s="31">
        <v>40841</v>
      </c>
      <c r="E3904" s="15" t="s">
        <v>32671</v>
      </c>
      <c r="F3904" s="87"/>
      <c r="G3904" s="45" t="s">
        <v>5723</v>
      </c>
      <c r="H3904" s="55" t="s">
        <v>5724</v>
      </c>
      <c r="I3904" s="15" t="s">
        <v>214</v>
      </c>
    </row>
    <row r="3905" spans="1:9" ht="51.75" customHeight="1" x14ac:dyDescent="0.35">
      <c r="A3905" s="15">
        <v>2</v>
      </c>
      <c r="B3905" s="15" t="s">
        <v>32672</v>
      </c>
      <c r="C3905" s="15" t="s">
        <v>32673</v>
      </c>
      <c r="D3905" s="31">
        <v>40841</v>
      </c>
      <c r="E3905" s="15" t="s">
        <v>32674</v>
      </c>
      <c r="F3905" s="87"/>
      <c r="G3905" s="45" t="s">
        <v>5723</v>
      </c>
      <c r="H3905" s="55" t="s">
        <v>5724</v>
      </c>
      <c r="I3905" s="15" t="s">
        <v>214</v>
      </c>
    </row>
    <row r="3906" spans="1:9" ht="51.75" customHeight="1" x14ac:dyDescent="0.35">
      <c r="A3906" s="15">
        <v>3</v>
      </c>
      <c r="B3906" s="15" t="s">
        <v>32675</v>
      </c>
      <c r="C3906" s="15" t="s">
        <v>32676</v>
      </c>
      <c r="D3906" s="31">
        <v>40841</v>
      </c>
      <c r="E3906" s="15" t="s">
        <v>32677</v>
      </c>
      <c r="F3906" s="87"/>
      <c r="G3906" s="45" t="s">
        <v>5723</v>
      </c>
      <c r="H3906" s="55" t="s">
        <v>5724</v>
      </c>
      <c r="I3906" s="15" t="s">
        <v>214</v>
      </c>
    </row>
    <row r="3907" spans="1:9" ht="51.75" customHeight="1" x14ac:dyDescent="0.35">
      <c r="A3907" s="15">
        <v>4</v>
      </c>
      <c r="B3907" s="15" t="s">
        <v>32678</v>
      </c>
      <c r="C3907" s="15" t="s">
        <v>32679</v>
      </c>
      <c r="D3907" s="31">
        <v>40841</v>
      </c>
      <c r="E3907" s="15" t="s">
        <v>32680</v>
      </c>
      <c r="F3907" s="87"/>
      <c r="G3907" s="45" t="s">
        <v>5723</v>
      </c>
      <c r="H3907" s="55" t="s">
        <v>5724</v>
      </c>
      <c r="I3907" s="15" t="s">
        <v>214</v>
      </c>
    </row>
    <row r="3908" spans="1:9" ht="51.75" customHeight="1" x14ac:dyDescent="0.35">
      <c r="A3908" s="15">
        <v>5</v>
      </c>
      <c r="B3908" s="15" t="s">
        <v>32681</v>
      </c>
      <c r="C3908" s="15" t="s">
        <v>32682</v>
      </c>
      <c r="D3908" s="31">
        <v>40841</v>
      </c>
      <c r="E3908" s="15" t="s">
        <v>32683</v>
      </c>
      <c r="F3908" s="87"/>
      <c r="G3908" s="45" t="s">
        <v>5723</v>
      </c>
      <c r="H3908" s="55" t="s">
        <v>5724</v>
      </c>
      <c r="I3908" s="15" t="s">
        <v>214</v>
      </c>
    </row>
    <row r="3909" spans="1:9" ht="51.75" customHeight="1" x14ac:dyDescent="0.35">
      <c r="A3909" s="15">
        <v>1</v>
      </c>
      <c r="B3909" s="15" t="s">
        <v>32684</v>
      </c>
      <c r="C3909" s="15" t="s">
        <v>32685</v>
      </c>
      <c r="D3909" s="31">
        <v>40961</v>
      </c>
      <c r="E3909" s="15" t="s">
        <v>32686</v>
      </c>
      <c r="F3909" s="87"/>
      <c r="G3909" s="45" t="s">
        <v>5619</v>
      </c>
      <c r="H3909" s="55" t="s">
        <v>5620</v>
      </c>
      <c r="I3909" s="15" t="s">
        <v>214</v>
      </c>
    </row>
    <row r="3910" spans="1:9" ht="51.75" customHeight="1" x14ac:dyDescent="0.35">
      <c r="A3910" s="15">
        <v>1</v>
      </c>
      <c r="B3910" s="15" t="s">
        <v>32687</v>
      </c>
      <c r="C3910" s="15" t="s">
        <v>32688</v>
      </c>
      <c r="D3910" s="31">
        <v>40829</v>
      </c>
      <c r="E3910" s="15" t="s">
        <v>32689</v>
      </c>
      <c r="F3910" s="87"/>
      <c r="G3910" s="45" t="s">
        <v>5587</v>
      </c>
      <c r="H3910" s="55" t="s">
        <v>5588</v>
      </c>
      <c r="I3910" s="15" t="s">
        <v>214</v>
      </c>
    </row>
    <row r="3911" spans="1:9" ht="51.75" customHeight="1" x14ac:dyDescent="0.35">
      <c r="A3911" s="15">
        <v>2</v>
      </c>
      <c r="B3911" s="15" t="s">
        <v>32690</v>
      </c>
      <c r="C3911" s="15" t="s">
        <v>32691</v>
      </c>
      <c r="D3911" s="31">
        <v>40829</v>
      </c>
      <c r="E3911" s="15" t="s">
        <v>32692</v>
      </c>
      <c r="F3911" s="87"/>
      <c r="G3911" s="45" t="s">
        <v>5587</v>
      </c>
      <c r="H3911" s="55" t="s">
        <v>5588</v>
      </c>
      <c r="I3911" s="15" t="s">
        <v>214</v>
      </c>
    </row>
    <row r="3912" spans="1:9" ht="51.75" customHeight="1" x14ac:dyDescent="0.35">
      <c r="A3912" s="15">
        <v>3</v>
      </c>
      <c r="B3912" s="15" t="s">
        <v>32693</v>
      </c>
      <c r="C3912" s="15" t="s">
        <v>32694</v>
      </c>
      <c r="D3912" s="31">
        <v>40829</v>
      </c>
      <c r="E3912" s="15" t="s">
        <v>32695</v>
      </c>
      <c r="F3912" s="87"/>
      <c r="G3912" s="45" t="s">
        <v>5587</v>
      </c>
      <c r="H3912" s="55" t="s">
        <v>5588</v>
      </c>
      <c r="I3912" s="15" t="s">
        <v>214</v>
      </c>
    </row>
    <row r="3913" spans="1:9" ht="51.75" customHeight="1" x14ac:dyDescent="0.35">
      <c r="A3913" s="15">
        <v>4</v>
      </c>
      <c r="B3913" s="15" t="s">
        <v>32696</v>
      </c>
      <c r="C3913" s="15" t="s">
        <v>32697</v>
      </c>
      <c r="D3913" s="31">
        <v>40829</v>
      </c>
      <c r="E3913" s="15" t="s">
        <v>32698</v>
      </c>
      <c r="F3913" s="87"/>
      <c r="G3913" s="45" t="s">
        <v>5587</v>
      </c>
      <c r="H3913" s="55" t="s">
        <v>5588</v>
      </c>
      <c r="I3913" s="15" t="s">
        <v>214</v>
      </c>
    </row>
    <row r="3914" spans="1:9" ht="51.75" customHeight="1" x14ac:dyDescent="0.35">
      <c r="A3914" s="15">
        <v>5</v>
      </c>
      <c r="B3914" s="15" t="s">
        <v>32699</v>
      </c>
      <c r="C3914" s="15" t="s">
        <v>32700</v>
      </c>
      <c r="D3914" s="31">
        <v>40829</v>
      </c>
      <c r="E3914" s="15" t="s">
        <v>32701</v>
      </c>
      <c r="F3914" s="87"/>
      <c r="G3914" s="45" t="s">
        <v>5587</v>
      </c>
      <c r="H3914" s="55" t="s">
        <v>5588</v>
      </c>
      <c r="I3914" s="15" t="s">
        <v>214</v>
      </c>
    </row>
    <row r="3915" spans="1:9" ht="51.75" customHeight="1" x14ac:dyDescent="0.35">
      <c r="A3915" s="15">
        <v>1</v>
      </c>
      <c r="B3915" s="15" t="s">
        <v>32702</v>
      </c>
      <c r="C3915" s="15" t="s">
        <v>32703</v>
      </c>
      <c r="D3915" s="31">
        <v>40865</v>
      </c>
      <c r="E3915" s="15" t="s">
        <v>32704</v>
      </c>
      <c r="F3915" s="87"/>
      <c r="G3915" s="45" t="s">
        <v>5439</v>
      </c>
      <c r="H3915" s="55" t="s">
        <v>5440</v>
      </c>
      <c r="I3915" s="15" t="s">
        <v>214</v>
      </c>
    </row>
    <row r="3916" spans="1:9" ht="51.75" customHeight="1" x14ac:dyDescent="0.35">
      <c r="A3916" s="15">
        <v>2</v>
      </c>
      <c r="B3916" s="15" t="s">
        <v>32705</v>
      </c>
      <c r="C3916" s="15" t="s">
        <v>32706</v>
      </c>
      <c r="D3916" s="31">
        <v>40865</v>
      </c>
      <c r="E3916" s="15" t="s">
        <v>32707</v>
      </c>
      <c r="F3916" s="87"/>
      <c r="G3916" s="45" t="s">
        <v>5439</v>
      </c>
      <c r="H3916" s="55" t="s">
        <v>5440</v>
      </c>
      <c r="I3916" s="15" t="s">
        <v>214</v>
      </c>
    </row>
    <row r="3917" spans="1:9" ht="51.75" customHeight="1" x14ac:dyDescent="0.35">
      <c r="A3917" s="15">
        <v>3</v>
      </c>
      <c r="B3917" s="15" t="s">
        <v>32708</v>
      </c>
      <c r="C3917" s="15" t="s">
        <v>32709</v>
      </c>
      <c r="D3917" s="31">
        <v>40865</v>
      </c>
      <c r="E3917" s="15" t="s">
        <v>32710</v>
      </c>
      <c r="F3917" s="87"/>
      <c r="G3917" s="45" t="s">
        <v>5439</v>
      </c>
      <c r="H3917" s="55" t="s">
        <v>5440</v>
      </c>
      <c r="I3917" s="15" t="s">
        <v>214</v>
      </c>
    </row>
    <row r="3918" spans="1:9" ht="51.75" customHeight="1" x14ac:dyDescent="0.35">
      <c r="A3918" s="15">
        <v>1</v>
      </c>
      <c r="B3918" s="15" t="s">
        <v>32711</v>
      </c>
      <c r="C3918" s="15" t="s">
        <v>32712</v>
      </c>
      <c r="D3918" s="31">
        <v>40763</v>
      </c>
      <c r="E3918" s="15" t="s">
        <v>32713</v>
      </c>
      <c r="F3918" s="87"/>
      <c r="G3918" s="45" t="s">
        <v>5426</v>
      </c>
      <c r="H3918" s="55" t="s">
        <v>5427</v>
      </c>
      <c r="I3918" s="15" t="s">
        <v>214</v>
      </c>
    </row>
    <row r="3919" spans="1:9" ht="51.75" customHeight="1" x14ac:dyDescent="0.35">
      <c r="A3919" s="15">
        <v>2</v>
      </c>
      <c r="B3919" s="15" t="s">
        <v>32714</v>
      </c>
      <c r="C3919" s="15" t="s">
        <v>32715</v>
      </c>
      <c r="D3919" s="31">
        <v>40763</v>
      </c>
      <c r="E3919" s="15" t="s">
        <v>32716</v>
      </c>
      <c r="F3919" s="87"/>
      <c r="G3919" s="45" t="s">
        <v>5426</v>
      </c>
      <c r="H3919" s="55" t="s">
        <v>5427</v>
      </c>
      <c r="I3919" s="15" t="s">
        <v>214</v>
      </c>
    </row>
    <row r="3920" spans="1:9" ht="51.75" customHeight="1" x14ac:dyDescent="0.35">
      <c r="A3920" s="15">
        <v>3</v>
      </c>
      <c r="B3920" s="15" t="s">
        <v>32717</v>
      </c>
      <c r="C3920" s="15" t="s">
        <v>32718</v>
      </c>
      <c r="D3920" s="31">
        <v>40763</v>
      </c>
      <c r="E3920" s="15" t="s">
        <v>32719</v>
      </c>
      <c r="F3920" s="87"/>
      <c r="G3920" s="45" t="s">
        <v>5426</v>
      </c>
      <c r="H3920" s="55" t="s">
        <v>5427</v>
      </c>
      <c r="I3920" s="15" t="s">
        <v>214</v>
      </c>
    </row>
    <row r="3921" spans="1:9" ht="51.75" customHeight="1" x14ac:dyDescent="0.35">
      <c r="A3921" s="15">
        <v>4</v>
      </c>
      <c r="B3921" s="15" t="s">
        <v>32720</v>
      </c>
      <c r="C3921" s="15" t="s">
        <v>32721</v>
      </c>
      <c r="D3921" s="31">
        <v>40763</v>
      </c>
      <c r="E3921" s="15" t="s">
        <v>32722</v>
      </c>
      <c r="F3921" s="87"/>
      <c r="G3921" s="45" t="s">
        <v>5426</v>
      </c>
      <c r="H3921" s="55" t="s">
        <v>5427</v>
      </c>
      <c r="I3921" s="15" t="s">
        <v>214</v>
      </c>
    </row>
    <row r="3922" spans="1:9" ht="51.75" customHeight="1" x14ac:dyDescent="0.35">
      <c r="A3922" s="15">
        <v>5</v>
      </c>
      <c r="B3922" s="15" t="s">
        <v>32723</v>
      </c>
      <c r="C3922" s="15" t="s">
        <v>32724</v>
      </c>
      <c r="D3922" s="31">
        <v>40763</v>
      </c>
      <c r="E3922" s="15" t="s">
        <v>32725</v>
      </c>
      <c r="F3922" s="87"/>
      <c r="G3922" s="45" t="s">
        <v>5426</v>
      </c>
      <c r="H3922" s="55" t="s">
        <v>5427</v>
      </c>
      <c r="I3922" s="15" t="s">
        <v>214</v>
      </c>
    </row>
    <row r="3923" spans="1:9" ht="51.75" customHeight="1" x14ac:dyDescent="0.35">
      <c r="A3923" s="15">
        <v>1</v>
      </c>
      <c r="B3923" s="15" t="s">
        <v>32726</v>
      </c>
      <c r="C3923" s="15" t="s">
        <v>32727</v>
      </c>
      <c r="D3923" s="31">
        <v>40771</v>
      </c>
      <c r="E3923" s="15" t="s">
        <v>32728</v>
      </c>
      <c r="F3923" s="87"/>
      <c r="G3923" s="45" t="s">
        <v>5202</v>
      </c>
      <c r="H3923" s="55" t="s">
        <v>5203</v>
      </c>
      <c r="I3923" s="15" t="s">
        <v>214</v>
      </c>
    </row>
    <row r="3924" spans="1:9" ht="51.75" customHeight="1" x14ac:dyDescent="0.35">
      <c r="A3924" s="15">
        <v>2</v>
      </c>
      <c r="B3924" s="15" t="s">
        <v>32729</v>
      </c>
      <c r="C3924" s="15" t="s">
        <v>32730</v>
      </c>
      <c r="D3924" s="31">
        <v>40771</v>
      </c>
      <c r="E3924" s="15" t="s">
        <v>32731</v>
      </c>
      <c r="F3924" s="87"/>
      <c r="G3924" s="45" t="s">
        <v>5202</v>
      </c>
      <c r="H3924" s="55" t="s">
        <v>5203</v>
      </c>
      <c r="I3924" s="15" t="s">
        <v>214</v>
      </c>
    </row>
    <row r="3925" spans="1:9" ht="51.75" customHeight="1" x14ac:dyDescent="0.35">
      <c r="A3925" s="15">
        <v>3</v>
      </c>
      <c r="B3925" s="15" t="s">
        <v>32732</v>
      </c>
      <c r="C3925" s="15" t="s">
        <v>32733</v>
      </c>
      <c r="D3925" s="31">
        <v>40771</v>
      </c>
      <c r="E3925" s="15" t="s">
        <v>32734</v>
      </c>
      <c r="F3925" s="87"/>
      <c r="G3925" s="45" t="s">
        <v>5202</v>
      </c>
      <c r="H3925" s="55" t="s">
        <v>5203</v>
      </c>
      <c r="I3925" s="15" t="s">
        <v>214</v>
      </c>
    </row>
    <row r="3926" spans="1:9" ht="51.75" customHeight="1" x14ac:dyDescent="0.35">
      <c r="A3926" s="15">
        <v>4</v>
      </c>
      <c r="B3926" s="15" t="s">
        <v>32735</v>
      </c>
      <c r="C3926" s="15" t="s">
        <v>32736</v>
      </c>
      <c r="D3926" s="31">
        <v>40771</v>
      </c>
      <c r="E3926" s="15" t="s">
        <v>32737</v>
      </c>
      <c r="F3926" s="87"/>
      <c r="G3926" s="45" t="s">
        <v>5202</v>
      </c>
      <c r="H3926" s="55" t="s">
        <v>5203</v>
      </c>
      <c r="I3926" s="15" t="s">
        <v>214</v>
      </c>
    </row>
    <row r="3927" spans="1:9" ht="51.75" customHeight="1" x14ac:dyDescent="0.35">
      <c r="A3927" s="15" t="s">
        <v>29175</v>
      </c>
      <c r="B3927" s="15" t="s">
        <v>32738</v>
      </c>
      <c r="C3927" s="15" t="s">
        <v>32739</v>
      </c>
      <c r="D3927" s="31">
        <v>41477</v>
      </c>
      <c r="E3927" s="15" t="s">
        <v>32740</v>
      </c>
      <c r="F3927" s="87" t="s">
        <v>21871</v>
      </c>
      <c r="G3927" s="45" t="s">
        <v>7753</v>
      </c>
      <c r="H3927" s="55" t="s">
        <v>7754</v>
      </c>
      <c r="I3927" s="15" t="s">
        <v>214</v>
      </c>
    </row>
    <row r="3928" spans="1:9" ht="51.75" customHeight="1" x14ac:dyDescent="0.35">
      <c r="A3928" s="15" t="s">
        <v>22821</v>
      </c>
      <c r="B3928" s="15" t="s">
        <v>32741</v>
      </c>
      <c r="C3928" s="15" t="s">
        <v>32742</v>
      </c>
      <c r="D3928" s="31">
        <v>41477</v>
      </c>
      <c r="E3928" s="15" t="s">
        <v>32743</v>
      </c>
      <c r="F3928" s="87" t="s">
        <v>21871</v>
      </c>
      <c r="G3928" s="45" t="s">
        <v>7753</v>
      </c>
      <c r="H3928" s="55" t="s">
        <v>7754</v>
      </c>
      <c r="I3928" s="15" t="s">
        <v>214</v>
      </c>
    </row>
    <row r="3929" spans="1:9" ht="51.75" customHeight="1" x14ac:dyDescent="0.35">
      <c r="A3929" s="15" t="s">
        <v>22778</v>
      </c>
      <c r="B3929" s="15" t="s">
        <v>32744</v>
      </c>
      <c r="C3929" s="15" t="s">
        <v>32745</v>
      </c>
      <c r="D3929" s="31">
        <v>41477</v>
      </c>
      <c r="E3929" s="15" t="s">
        <v>32746</v>
      </c>
      <c r="F3929" s="87" t="s">
        <v>21871</v>
      </c>
      <c r="G3929" s="45" t="s">
        <v>7753</v>
      </c>
      <c r="H3929" s="55" t="s">
        <v>7754</v>
      </c>
      <c r="I3929" s="15" t="s">
        <v>214</v>
      </c>
    </row>
    <row r="3930" spans="1:9" ht="51.75" customHeight="1" x14ac:dyDescent="0.35">
      <c r="A3930" s="15" t="s">
        <v>22782</v>
      </c>
      <c r="B3930" s="15" t="s">
        <v>32747</v>
      </c>
      <c r="C3930" s="15" t="s">
        <v>32748</v>
      </c>
      <c r="D3930" s="31">
        <v>41477</v>
      </c>
      <c r="E3930" s="15" t="s">
        <v>32749</v>
      </c>
      <c r="F3930" s="87" t="s">
        <v>21871</v>
      </c>
      <c r="G3930" s="45" t="s">
        <v>7753</v>
      </c>
      <c r="H3930" s="55" t="s">
        <v>7754</v>
      </c>
      <c r="I3930" s="15" t="s">
        <v>214</v>
      </c>
    </row>
    <row r="3931" spans="1:9" ht="51.75" customHeight="1" x14ac:dyDescent="0.35">
      <c r="A3931" s="15" t="s">
        <v>23388</v>
      </c>
      <c r="B3931" s="15" t="s">
        <v>32750</v>
      </c>
      <c r="C3931" s="15" t="s">
        <v>32751</v>
      </c>
      <c r="D3931" s="31">
        <v>41494</v>
      </c>
      <c r="E3931" s="15" t="s">
        <v>32752</v>
      </c>
      <c r="F3931" s="87"/>
      <c r="G3931" s="45" t="s">
        <v>7853</v>
      </c>
      <c r="H3931" s="55" t="s">
        <v>7854</v>
      </c>
      <c r="I3931" s="15" t="s">
        <v>214</v>
      </c>
    </row>
    <row r="3932" spans="1:9" ht="51.75" customHeight="1" x14ac:dyDescent="0.35">
      <c r="A3932" s="15" t="s">
        <v>23617</v>
      </c>
      <c r="B3932" s="15" t="s">
        <v>32753</v>
      </c>
      <c r="C3932" s="15" t="s">
        <v>32754</v>
      </c>
      <c r="D3932" s="31">
        <v>41494</v>
      </c>
      <c r="E3932" s="15" t="s">
        <v>32755</v>
      </c>
      <c r="F3932" s="87"/>
      <c r="G3932" s="45" t="s">
        <v>7853</v>
      </c>
      <c r="H3932" s="55" t="s">
        <v>7854</v>
      </c>
      <c r="I3932" s="15" t="s">
        <v>214</v>
      </c>
    </row>
    <row r="3933" spans="1:9" ht="51.75" customHeight="1" x14ac:dyDescent="0.35">
      <c r="A3933" s="15" t="s">
        <v>28200</v>
      </c>
      <c r="B3933" s="15" t="s">
        <v>32756</v>
      </c>
      <c r="C3933" s="15" t="s">
        <v>32757</v>
      </c>
      <c r="D3933" s="31">
        <v>41494</v>
      </c>
      <c r="E3933" s="15" t="s">
        <v>32758</v>
      </c>
      <c r="F3933" s="87"/>
      <c r="G3933" s="45" t="s">
        <v>7853</v>
      </c>
      <c r="H3933" s="55" t="s">
        <v>7854</v>
      </c>
      <c r="I3933" s="15" t="s">
        <v>214</v>
      </c>
    </row>
    <row r="3934" spans="1:9" ht="51.75" customHeight="1" x14ac:dyDescent="0.35">
      <c r="A3934" s="15" t="s">
        <v>26839</v>
      </c>
      <c r="B3934" s="15" t="s">
        <v>32759</v>
      </c>
      <c r="C3934" s="15" t="s">
        <v>32760</v>
      </c>
      <c r="D3934" s="31">
        <v>41550</v>
      </c>
      <c r="E3934" s="15" t="s">
        <v>32761</v>
      </c>
      <c r="F3934" s="87" t="s">
        <v>21871</v>
      </c>
      <c r="G3934" s="45" t="s">
        <v>7841</v>
      </c>
      <c r="H3934" s="55" t="s">
        <v>7842</v>
      </c>
      <c r="I3934" s="15" t="s">
        <v>214</v>
      </c>
    </row>
    <row r="3935" spans="1:9" ht="51.75" customHeight="1" x14ac:dyDescent="0.35">
      <c r="A3935" s="15" t="s">
        <v>26845</v>
      </c>
      <c r="B3935" s="15" t="s">
        <v>32762</v>
      </c>
      <c r="C3935" s="15" t="s">
        <v>32763</v>
      </c>
      <c r="D3935" s="31">
        <v>41550</v>
      </c>
      <c r="E3935" s="15" t="s">
        <v>32764</v>
      </c>
      <c r="F3935" s="87" t="s">
        <v>21871</v>
      </c>
      <c r="G3935" s="45" t="s">
        <v>7841</v>
      </c>
      <c r="H3935" s="55" t="s">
        <v>7842</v>
      </c>
      <c r="I3935" s="15" t="s">
        <v>214</v>
      </c>
    </row>
    <row r="3936" spans="1:9" ht="51.75" customHeight="1" x14ac:dyDescent="0.35">
      <c r="A3936" s="15" t="s">
        <v>22926</v>
      </c>
      <c r="B3936" s="15" t="s">
        <v>32765</v>
      </c>
      <c r="C3936" s="15" t="s">
        <v>32766</v>
      </c>
      <c r="D3936" s="31">
        <v>41550</v>
      </c>
      <c r="E3936" s="15" t="s">
        <v>32767</v>
      </c>
      <c r="F3936" s="87" t="s">
        <v>21871</v>
      </c>
      <c r="G3936" s="45" t="s">
        <v>7841</v>
      </c>
      <c r="H3936" s="55" t="s">
        <v>7842</v>
      </c>
      <c r="I3936" s="15" t="s">
        <v>214</v>
      </c>
    </row>
    <row r="3937" spans="1:9" ht="51.75" customHeight="1" x14ac:dyDescent="0.35">
      <c r="A3937" s="15" t="s">
        <v>22930</v>
      </c>
      <c r="B3937" s="15" t="s">
        <v>32768</v>
      </c>
      <c r="C3937" s="15" t="s">
        <v>32769</v>
      </c>
      <c r="D3937" s="31">
        <v>41550</v>
      </c>
      <c r="E3937" s="15" t="s">
        <v>32770</v>
      </c>
      <c r="F3937" s="87" t="s">
        <v>21871</v>
      </c>
      <c r="G3937" s="45" t="s">
        <v>7841</v>
      </c>
      <c r="H3937" s="55" t="s">
        <v>7842</v>
      </c>
      <c r="I3937" s="15" t="s">
        <v>214</v>
      </c>
    </row>
    <row r="3938" spans="1:9" ht="51.75" customHeight="1" x14ac:dyDescent="0.35">
      <c r="A3938" s="15" t="s">
        <v>22055</v>
      </c>
      <c r="B3938" s="15" t="s">
        <v>32771</v>
      </c>
      <c r="C3938" s="15" t="s">
        <v>32772</v>
      </c>
      <c r="D3938" s="31">
        <v>41550</v>
      </c>
      <c r="E3938" s="15" t="s">
        <v>32773</v>
      </c>
      <c r="F3938" s="87" t="s">
        <v>21871</v>
      </c>
      <c r="G3938" s="45" t="s">
        <v>7841</v>
      </c>
      <c r="H3938" s="55" t="s">
        <v>7842</v>
      </c>
      <c r="I3938" s="15" t="s">
        <v>214</v>
      </c>
    </row>
    <row r="3939" spans="1:9" ht="51.75" customHeight="1" x14ac:dyDescent="0.35">
      <c r="A3939" s="15">
        <v>1</v>
      </c>
      <c r="B3939" s="15" t="s">
        <v>32774</v>
      </c>
      <c r="C3939" s="15" t="s">
        <v>32775</v>
      </c>
      <c r="D3939" s="31">
        <v>40147</v>
      </c>
      <c r="E3939" s="15" t="s">
        <v>32776</v>
      </c>
      <c r="F3939" s="87" t="s">
        <v>21871</v>
      </c>
      <c r="G3939" s="45" t="s">
        <v>3915</v>
      </c>
      <c r="H3939" s="55" t="s">
        <v>3916</v>
      </c>
      <c r="I3939" s="15" t="s">
        <v>214</v>
      </c>
    </row>
    <row r="3940" spans="1:9" ht="51.75" customHeight="1" x14ac:dyDescent="0.35">
      <c r="A3940" s="15">
        <v>2</v>
      </c>
      <c r="B3940" s="15" t="s">
        <v>32777</v>
      </c>
      <c r="C3940" s="15" t="s">
        <v>32778</v>
      </c>
      <c r="D3940" s="31">
        <v>40147</v>
      </c>
      <c r="E3940" s="15" t="s">
        <v>32779</v>
      </c>
      <c r="F3940" s="87" t="s">
        <v>21871</v>
      </c>
      <c r="G3940" s="45" t="s">
        <v>3915</v>
      </c>
      <c r="H3940" s="55" t="s">
        <v>3916</v>
      </c>
      <c r="I3940" s="15" t="s">
        <v>214</v>
      </c>
    </row>
    <row r="3941" spans="1:9" ht="51.75" customHeight="1" x14ac:dyDescent="0.35">
      <c r="A3941" s="15">
        <v>3</v>
      </c>
      <c r="B3941" s="15" t="s">
        <v>32780</v>
      </c>
      <c r="C3941" s="15" t="s">
        <v>32781</v>
      </c>
      <c r="D3941" s="31">
        <v>40147</v>
      </c>
      <c r="E3941" s="15" t="s">
        <v>32782</v>
      </c>
      <c r="F3941" s="87" t="s">
        <v>21871</v>
      </c>
      <c r="G3941" s="45" t="s">
        <v>3915</v>
      </c>
      <c r="H3941" s="55" t="s">
        <v>3916</v>
      </c>
      <c r="I3941" s="15" t="s">
        <v>214</v>
      </c>
    </row>
    <row r="3942" spans="1:9" ht="51.75" customHeight="1" x14ac:dyDescent="0.35">
      <c r="A3942" s="15" t="s">
        <v>24929</v>
      </c>
      <c r="B3942" s="15" t="s">
        <v>32783</v>
      </c>
      <c r="C3942" s="15" t="s">
        <v>32784</v>
      </c>
      <c r="D3942" s="31">
        <v>41519</v>
      </c>
      <c r="E3942" s="15" t="s">
        <v>32785</v>
      </c>
      <c r="F3942" s="87" t="s">
        <v>21871</v>
      </c>
      <c r="G3942" s="45" t="s">
        <v>7692</v>
      </c>
      <c r="H3942" s="55" t="s">
        <v>7693</v>
      </c>
      <c r="I3942" s="15" t="s">
        <v>214</v>
      </c>
    </row>
    <row r="3943" spans="1:9" ht="51.75" customHeight="1" x14ac:dyDescent="0.35">
      <c r="A3943" s="15" t="s">
        <v>23432</v>
      </c>
      <c r="B3943" s="15" t="s">
        <v>32786</v>
      </c>
      <c r="C3943" s="15" t="s">
        <v>32787</v>
      </c>
      <c r="D3943" s="31">
        <v>41519</v>
      </c>
      <c r="E3943" s="15" t="s">
        <v>32788</v>
      </c>
      <c r="F3943" s="87" t="s">
        <v>21871</v>
      </c>
      <c r="G3943" s="45" t="s">
        <v>7692</v>
      </c>
      <c r="H3943" s="55" t="s">
        <v>7693</v>
      </c>
      <c r="I3943" s="15" t="s">
        <v>214</v>
      </c>
    </row>
    <row r="3944" spans="1:9" ht="51.75" customHeight="1" x14ac:dyDescent="0.35">
      <c r="A3944" s="15" t="s">
        <v>23436</v>
      </c>
      <c r="B3944" s="15" t="s">
        <v>32789</v>
      </c>
      <c r="C3944" s="15" t="s">
        <v>32790</v>
      </c>
      <c r="D3944" s="31">
        <v>41519</v>
      </c>
      <c r="E3944" s="15" t="s">
        <v>32791</v>
      </c>
      <c r="F3944" s="87" t="s">
        <v>21871</v>
      </c>
      <c r="G3944" s="45" t="s">
        <v>7692</v>
      </c>
      <c r="H3944" s="55" t="s">
        <v>7693</v>
      </c>
      <c r="I3944" s="15" t="s">
        <v>214</v>
      </c>
    </row>
    <row r="3945" spans="1:9" ht="51.75" customHeight="1" x14ac:dyDescent="0.35">
      <c r="A3945" s="15" t="s">
        <v>23440</v>
      </c>
      <c r="B3945" s="15" t="s">
        <v>32792</v>
      </c>
      <c r="C3945" s="15" t="s">
        <v>32793</v>
      </c>
      <c r="D3945" s="31">
        <v>41519</v>
      </c>
      <c r="E3945" s="15" t="s">
        <v>32794</v>
      </c>
      <c r="F3945" s="87" t="s">
        <v>21871</v>
      </c>
      <c r="G3945" s="45" t="s">
        <v>7692</v>
      </c>
      <c r="H3945" s="55" t="s">
        <v>7693</v>
      </c>
      <c r="I3945" s="15" t="s">
        <v>214</v>
      </c>
    </row>
    <row r="3946" spans="1:9" ht="51.75" customHeight="1" x14ac:dyDescent="0.35">
      <c r="A3946" s="15" t="s">
        <v>23444</v>
      </c>
      <c r="B3946" s="15" t="s">
        <v>32795</v>
      </c>
      <c r="C3946" s="15" t="s">
        <v>32796</v>
      </c>
      <c r="D3946" s="31">
        <v>41519</v>
      </c>
      <c r="E3946" s="15" t="s">
        <v>32797</v>
      </c>
      <c r="F3946" s="87" t="s">
        <v>21871</v>
      </c>
      <c r="G3946" s="45" t="s">
        <v>7692</v>
      </c>
      <c r="H3946" s="55" t="s">
        <v>7693</v>
      </c>
      <c r="I3946" s="15" t="s">
        <v>214</v>
      </c>
    </row>
    <row r="3947" spans="1:9" ht="51.75" customHeight="1" x14ac:dyDescent="0.35">
      <c r="A3947" s="15" t="s">
        <v>24747</v>
      </c>
      <c r="B3947" s="15" t="s">
        <v>32798</v>
      </c>
      <c r="C3947" s="15" t="s">
        <v>32799</v>
      </c>
      <c r="D3947" s="31">
        <v>41533</v>
      </c>
      <c r="E3947" s="15" t="s">
        <v>32800</v>
      </c>
      <c r="F3947" s="87"/>
      <c r="G3947" s="45" t="s">
        <v>7448</v>
      </c>
      <c r="H3947" s="55" t="s">
        <v>7449</v>
      </c>
      <c r="I3947" s="15" t="s">
        <v>214</v>
      </c>
    </row>
    <row r="3948" spans="1:9" ht="51.75" customHeight="1" x14ac:dyDescent="0.35">
      <c r="A3948" s="15" t="s">
        <v>32801</v>
      </c>
      <c r="B3948" s="15" t="s">
        <v>32802</v>
      </c>
      <c r="C3948" s="15" t="s">
        <v>32803</v>
      </c>
      <c r="D3948" s="31">
        <v>41533</v>
      </c>
      <c r="E3948" s="15" t="s">
        <v>32804</v>
      </c>
      <c r="F3948" s="87"/>
      <c r="G3948" s="45" t="s">
        <v>7448</v>
      </c>
      <c r="H3948" s="55" t="s">
        <v>7449</v>
      </c>
      <c r="I3948" s="15" t="s">
        <v>214</v>
      </c>
    </row>
    <row r="3949" spans="1:9" ht="51.75" customHeight="1" x14ac:dyDescent="0.35">
      <c r="A3949" s="15" t="s">
        <v>32805</v>
      </c>
      <c r="B3949" s="15" t="s">
        <v>32806</v>
      </c>
      <c r="C3949" s="15" t="s">
        <v>32807</v>
      </c>
      <c r="D3949" s="31">
        <v>41533</v>
      </c>
      <c r="E3949" s="15" t="s">
        <v>32808</v>
      </c>
      <c r="F3949" s="87"/>
      <c r="G3949" s="45" t="s">
        <v>7448</v>
      </c>
      <c r="H3949" s="55" t="s">
        <v>7449</v>
      </c>
      <c r="I3949" s="15" t="s">
        <v>214</v>
      </c>
    </row>
    <row r="3950" spans="1:9" ht="51.75" customHeight="1" x14ac:dyDescent="0.35">
      <c r="A3950" s="15" t="s">
        <v>27327</v>
      </c>
      <c r="B3950" s="15" t="s">
        <v>32809</v>
      </c>
      <c r="C3950" s="15" t="s">
        <v>32810</v>
      </c>
      <c r="D3950" s="31">
        <v>41533</v>
      </c>
      <c r="E3950" s="15" t="s">
        <v>32811</v>
      </c>
      <c r="F3950" s="87"/>
      <c r="G3950" s="45" t="s">
        <v>7448</v>
      </c>
      <c r="H3950" s="55" t="s">
        <v>7449</v>
      </c>
      <c r="I3950" s="15" t="s">
        <v>214</v>
      </c>
    </row>
    <row r="3951" spans="1:9" ht="51.75" customHeight="1" x14ac:dyDescent="0.35">
      <c r="A3951" s="15" t="s">
        <v>26699</v>
      </c>
      <c r="B3951" s="15" t="s">
        <v>32812</v>
      </c>
      <c r="C3951" s="15" t="s">
        <v>32813</v>
      </c>
      <c r="D3951" s="31">
        <v>41533</v>
      </c>
      <c r="E3951" s="15" t="s">
        <v>32814</v>
      </c>
      <c r="F3951" s="87"/>
      <c r="G3951" s="45" t="s">
        <v>7448</v>
      </c>
      <c r="H3951" s="55" t="s">
        <v>7449</v>
      </c>
      <c r="I3951" s="15" t="s">
        <v>214</v>
      </c>
    </row>
    <row r="3952" spans="1:9" ht="51.75" customHeight="1" x14ac:dyDescent="0.35">
      <c r="A3952" s="15" t="s">
        <v>25377</v>
      </c>
      <c r="B3952" s="15" t="s">
        <v>32815</v>
      </c>
      <c r="C3952" s="15" t="s">
        <v>32816</v>
      </c>
      <c r="D3952" s="31">
        <v>41956</v>
      </c>
      <c r="E3952" s="15" t="s">
        <v>32817</v>
      </c>
      <c r="F3952" s="87" t="s">
        <v>21871</v>
      </c>
      <c r="G3952" s="45" t="s">
        <v>7952</v>
      </c>
      <c r="H3952" s="55" t="s">
        <v>7953</v>
      </c>
      <c r="I3952" s="15" t="s">
        <v>214</v>
      </c>
    </row>
    <row r="3953" spans="1:9" ht="51.75" customHeight="1" x14ac:dyDescent="0.35">
      <c r="A3953" s="15" t="s">
        <v>25380</v>
      </c>
      <c r="B3953" s="15" t="s">
        <v>32818</v>
      </c>
      <c r="C3953" s="15" t="s">
        <v>32819</v>
      </c>
      <c r="D3953" s="31">
        <v>41956</v>
      </c>
      <c r="E3953" s="15" t="s">
        <v>32820</v>
      </c>
      <c r="F3953" s="87" t="s">
        <v>21871</v>
      </c>
      <c r="G3953" s="45" t="s">
        <v>7952</v>
      </c>
      <c r="H3953" s="55" t="s">
        <v>7953</v>
      </c>
      <c r="I3953" s="15" t="s">
        <v>214</v>
      </c>
    </row>
    <row r="3954" spans="1:9" ht="51.75" customHeight="1" x14ac:dyDescent="0.35">
      <c r="A3954" s="15" t="s">
        <v>24323</v>
      </c>
      <c r="B3954" s="15" t="s">
        <v>32821</v>
      </c>
      <c r="C3954" s="15" t="s">
        <v>32822</v>
      </c>
      <c r="D3954" s="31">
        <v>41956</v>
      </c>
      <c r="E3954" s="15" t="s">
        <v>32823</v>
      </c>
      <c r="F3954" s="87" t="s">
        <v>21871</v>
      </c>
      <c r="G3954" s="45" t="s">
        <v>7952</v>
      </c>
      <c r="H3954" s="55" t="s">
        <v>7953</v>
      </c>
      <c r="I3954" s="15" t="s">
        <v>214</v>
      </c>
    </row>
    <row r="3955" spans="1:9" ht="51.75" customHeight="1" x14ac:dyDescent="0.35">
      <c r="A3955" s="15" t="s">
        <v>24329</v>
      </c>
      <c r="B3955" s="15" t="s">
        <v>32824</v>
      </c>
      <c r="C3955" s="15" t="s">
        <v>32825</v>
      </c>
      <c r="D3955" s="31">
        <v>41956</v>
      </c>
      <c r="E3955" s="15" t="s">
        <v>32826</v>
      </c>
      <c r="F3955" s="87" t="s">
        <v>21871</v>
      </c>
      <c r="G3955" s="45" t="s">
        <v>7952</v>
      </c>
      <c r="H3955" s="55" t="s">
        <v>7953</v>
      </c>
      <c r="I3955" s="15" t="s">
        <v>214</v>
      </c>
    </row>
    <row r="3956" spans="1:9" ht="51.75" customHeight="1" x14ac:dyDescent="0.35">
      <c r="A3956" s="15" t="s">
        <v>24335</v>
      </c>
      <c r="B3956" s="15" t="s">
        <v>32827</v>
      </c>
      <c r="C3956" s="15" t="s">
        <v>32828</v>
      </c>
      <c r="D3956" s="31">
        <v>41956</v>
      </c>
      <c r="E3956" s="15" t="s">
        <v>32829</v>
      </c>
      <c r="F3956" s="87" t="s">
        <v>21871</v>
      </c>
      <c r="G3956" s="45" t="s">
        <v>7952</v>
      </c>
      <c r="H3956" s="55" t="s">
        <v>7953</v>
      </c>
      <c r="I3956" s="15" t="s">
        <v>214</v>
      </c>
    </row>
    <row r="3957" spans="1:9" ht="51.75" customHeight="1" x14ac:dyDescent="0.35">
      <c r="A3957" s="15" t="s">
        <v>26890</v>
      </c>
      <c r="B3957" s="15" t="s">
        <v>32830</v>
      </c>
      <c r="C3957" s="15" t="s">
        <v>32831</v>
      </c>
      <c r="D3957" s="31">
        <v>41543</v>
      </c>
      <c r="E3957" s="15" t="s">
        <v>32832</v>
      </c>
      <c r="F3957" s="87" t="s">
        <v>21871</v>
      </c>
      <c r="G3957" s="45" t="s">
        <v>8161</v>
      </c>
      <c r="H3957" s="55" t="s">
        <v>8162</v>
      </c>
      <c r="I3957" s="15" t="s">
        <v>214</v>
      </c>
    </row>
    <row r="3958" spans="1:9" ht="51.75" customHeight="1" x14ac:dyDescent="0.35">
      <c r="A3958" s="15" t="s">
        <v>26893</v>
      </c>
      <c r="B3958" s="15" t="s">
        <v>32833</v>
      </c>
      <c r="C3958" s="15" t="s">
        <v>32834</v>
      </c>
      <c r="D3958" s="31">
        <v>41543</v>
      </c>
      <c r="E3958" s="15" t="s">
        <v>32835</v>
      </c>
      <c r="F3958" s="87"/>
      <c r="G3958" s="45" t="s">
        <v>8161</v>
      </c>
      <c r="H3958" s="55" t="s">
        <v>8162</v>
      </c>
      <c r="I3958" s="15" t="s">
        <v>214</v>
      </c>
    </row>
    <row r="3959" spans="1:9" ht="51.75" customHeight="1" x14ac:dyDescent="0.35">
      <c r="A3959" s="15" t="s">
        <v>26896</v>
      </c>
      <c r="B3959" s="15" t="s">
        <v>32836</v>
      </c>
      <c r="C3959" s="15" t="s">
        <v>32837</v>
      </c>
      <c r="D3959" s="31">
        <v>41543</v>
      </c>
      <c r="E3959" s="15" t="s">
        <v>32838</v>
      </c>
      <c r="F3959" s="87"/>
      <c r="G3959" s="45" t="s">
        <v>8161</v>
      </c>
      <c r="H3959" s="55" t="s">
        <v>8162</v>
      </c>
      <c r="I3959" s="15" t="s">
        <v>214</v>
      </c>
    </row>
    <row r="3960" spans="1:9" ht="51.75" customHeight="1" x14ac:dyDescent="0.35">
      <c r="A3960" s="15" t="s">
        <v>26899</v>
      </c>
      <c r="B3960" s="15" t="s">
        <v>32839</v>
      </c>
      <c r="C3960" s="15" t="s">
        <v>32840</v>
      </c>
      <c r="D3960" s="31">
        <v>41543</v>
      </c>
      <c r="E3960" s="15" t="s">
        <v>32841</v>
      </c>
      <c r="F3960" s="87"/>
      <c r="G3960" s="45" t="s">
        <v>8161</v>
      </c>
      <c r="H3960" s="55" t="s">
        <v>8162</v>
      </c>
      <c r="I3960" s="15" t="s">
        <v>214</v>
      </c>
    </row>
    <row r="3961" spans="1:9" ht="51.75" customHeight="1" x14ac:dyDescent="0.35">
      <c r="A3961" s="15" t="s">
        <v>26705</v>
      </c>
      <c r="B3961" s="15" t="s">
        <v>32842</v>
      </c>
      <c r="C3961" s="15" t="s">
        <v>32843</v>
      </c>
      <c r="D3961" s="31">
        <v>41541</v>
      </c>
      <c r="E3961" s="15" t="s">
        <v>32844</v>
      </c>
      <c r="F3961" s="87"/>
      <c r="G3961" s="45" t="s">
        <v>8177</v>
      </c>
      <c r="H3961" s="55" t="s">
        <v>8178</v>
      </c>
      <c r="I3961" s="15" t="s">
        <v>214</v>
      </c>
    </row>
    <row r="3962" spans="1:9" ht="51.75" customHeight="1" x14ac:dyDescent="0.35">
      <c r="A3962" s="15" t="s">
        <v>26708</v>
      </c>
      <c r="B3962" s="15" t="s">
        <v>32845</v>
      </c>
      <c r="C3962" s="15" t="s">
        <v>32846</v>
      </c>
      <c r="D3962" s="31">
        <v>41541</v>
      </c>
      <c r="E3962" s="15" t="s">
        <v>32847</v>
      </c>
      <c r="F3962" s="87"/>
      <c r="G3962" s="45" t="s">
        <v>8177</v>
      </c>
      <c r="H3962" s="55" t="s">
        <v>8178</v>
      </c>
      <c r="I3962" s="15" t="s">
        <v>214</v>
      </c>
    </row>
    <row r="3963" spans="1:9" ht="51.75" customHeight="1" x14ac:dyDescent="0.35">
      <c r="A3963" s="15" t="s">
        <v>26711</v>
      </c>
      <c r="B3963" s="15" t="s">
        <v>32848</v>
      </c>
      <c r="C3963" s="15" t="s">
        <v>32849</v>
      </c>
      <c r="D3963" s="31">
        <v>41541</v>
      </c>
      <c r="E3963" s="15" t="s">
        <v>32850</v>
      </c>
      <c r="F3963" s="87"/>
      <c r="G3963" s="45" t="s">
        <v>8177</v>
      </c>
      <c r="H3963" s="55" t="s">
        <v>8178</v>
      </c>
      <c r="I3963" s="15" t="s">
        <v>214</v>
      </c>
    </row>
    <row r="3964" spans="1:9" ht="51.75" customHeight="1" x14ac:dyDescent="0.35">
      <c r="A3964" s="15" t="s">
        <v>27337</v>
      </c>
      <c r="B3964" s="15" t="s">
        <v>32851</v>
      </c>
      <c r="C3964" s="15" t="s">
        <v>32852</v>
      </c>
      <c r="D3964" s="31">
        <v>41541</v>
      </c>
      <c r="E3964" s="15" t="s">
        <v>32853</v>
      </c>
      <c r="F3964" s="87"/>
      <c r="G3964" s="45" t="s">
        <v>8177</v>
      </c>
      <c r="H3964" s="55" t="s">
        <v>8178</v>
      </c>
      <c r="I3964" s="15" t="s">
        <v>214</v>
      </c>
    </row>
    <row r="3965" spans="1:9" ht="51.75" customHeight="1" x14ac:dyDescent="0.35">
      <c r="A3965" s="15" t="s">
        <v>22914</v>
      </c>
      <c r="B3965" s="15" t="s">
        <v>32854</v>
      </c>
      <c r="C3965" s="15" t="s">
        <v>32855</v>
      </c>
      <c r="D3965" s="31">
        <v>41576</v>
      </c>
      <c r="E3965" s="15" t="s">
        <v>32856</v>
      </c>
      <c r="F3965" s="87" t="s">
        <v>21871</v>
      </c>
      <c r="G3965" s="45" t="s">
        <v>8183</v>
      </c>
      <c r="H3965" s="55" t="s">
        <v>8184</v>
      </c>
      <c r="I3965" s="15" t="s">
        <v>214</v>
      </c>
    </row>
    <row r="3966" spans="1:9" ht="51.75" customHeight="1" x14ac:dyDescent="0.35">
      <c r="A3966" s="15" t="s">
        <v>26931</v>
      </c>
      <c r="B3966" s="15" t="s">
        <v>32857</v>
      </c>
      <c r="C3966" s="15" t="s">
        <v>32858</v>
      </c>
      <c r="D3966" s="31">
        <v>41576</v>
      </c>
      <c r="E3966" s="15" t="s">
        <v>32859</v>
      </c>
      <c r="F3966" s="87" t="s">
        <v>21871</v>
      </c>
      <c r="G3966" s="45" t="s">
        <v>8183</v>
      </c>
      <c r="H3966" s="55" t="s">
        <v>8184</v>
      </c>
      <c r="I3966" s="15" t="s">
        <v>214</v>
      </c>
    </row>
    <row r="3967" spans="1:9" ht="51.75" customHeight="1" x14ac:dyDescent="0.35">
      <c r="A3967" s="15" t="s">
        <v>26937</v>
      </c>
      <c r="B3967" s="15" t="s">
        <v>32860</v>
      </c>
      <c r="C3967" s="15" t="s">
        <v>32861</v>
      </c>
      <c r="D3967" s="31">
        <v>41576</v>
      </c>
      <c r="E3967" s="15" t="s">
        <v>32862</v>
      </c>
      <c r="F3967" s="87" t="s">
        <v>21871</v>
      </c>
      <c r="G3967" s="45" t="s">
        <v>8183</v>
      </c>
      <c r="H3967" s="55" t="s">
        <v>8184</v>
      </c>
      <c r="I3967" s="15" t="s">
        <v>214</v>
      </c>
    </row>
    <row r="3968" spans="1:9" ht="51.75" customHeight="1" x14ac:dyDescent="0.35">
      <c r="A3968" s="15" t="s">
        <v>25435</v>
      </c>
      <c r="B3968" s="15" t="s">
        <v>32863</v>
      </c>
      <c r="C3968" s="15" t="s">
        <v>32864</v>
      </c>
      <c r="D3968" s="31">
        <v>41576</v>
      </c>
      <c r="E3968" s="15" t="s">
        <v>32865</v>
      </c>
      <c r="F3968" s="87" t="s">
        <v>21871</v>
      </c>
      <c r="G3968" s="45" t="s">
        <v>8183</v>
      </c>
      <c r="H3968" s="55" t="s">
        <v>8184</v>
      </c>
      <c r="I3968" s="15" t="s">
        <v>214</v>
      </c>
    </row>
    <row r="3969" spans="1:9" ht="51.75" customHeight="1" x14ac:dyDescent="0.35">
      <c r="A3969" s="15" t="s">
        <v>27293</v>
      </c>
      <c r="B3969" s="15" t="s">
        <v>32866</v>
      </c>
      <c r="C3969" s="15" t="s">
        <v>32867</v>
      </c>
      <c r="D3969" s="31">
        <v>41452</v>
      </c>
      <c r="E3969" s="15" t="s">
        <v>32868</v>
      </c>
      <c r="F3969" s="87" t="s">
        <v>21871</v>
      </c>
      <c r="G3969" s="45" t="s">
        <v>7765</v>
      </c>
      <c r="H3969" s="55" t="s">
        <v>7766</v>
      </c>
      <c r="I3969" s="15" t="s">
        <v>214</v>
      </c>
    </row>
    <row r="3970" spans="1:9" ht="51.75" customHeight="1" x14ac:dyDescent="0.35">
      <c r="A3970" s="15" t="s">
        <v>27298</v>
      </c>
      <c r="B3970" s="15" t="s">
        <v>32869</v>
      </c>
      <c r="C3970" s="15" t="s">
        <v>32870</v>
      </c>
      <c r="D3970" s="31">
        <v>41452</v>
      </c>
      <c r="E3970" s="15" t="s">
        <v>32871</v>
      </c>
      <c r="F3970" s="87" t="s">
        <v>21871</v>
      </c>
      <c r="G3970" s="45" t="s">
        <v>7765</v>
      </c>
      <c r="H3970" s="55" t="s">
        <v>7766</v>
      </c>
      <c r="I3970" s="15" t="s">
        <v>214</v>
      </c>
    </row>
    <row r="3971" spans="1:9" ht="51.75" customHeight="1" x14ac:dyDescent="0.35">
      <c r="A3971" s="15" t="s">
        <v>26597</v>
      </c>
      <c r="B3971" s="15" t="s">
        <v>32872</v>
      </c>
      <c r="C3971" s="15" t="s">
        <v>32873</v>
      </c>
      <c r="D3971" s="31">
        <v>41731</v>
      </c>
      <c r="E3971" s="15" t="s">
        <v>32874</v>
      </c>
      <c r="F3971" s="87" t="s">
        <v>21871</v>
      </c>
      <c r="G3971" s="45" t="s">
        <v>7698</v>
      </c>
      <c r="H3971" s="55" t="s">
        <v>7699</v>
      </c>
      <c r="I3971" s="15" t="s">
        <v>214</v>
      </c>
    </row>
    <row r="3972" spans="1:9" ht="51.75" customHeight="1" x14ac:dyDescent="0.35">
      <c r="A3972" s="15" t="s">
        <v>26600</v>
      </c>
      <c r="B3972" s="15" t="s">
        <v>32875</v>
      </c>
      <c r="C3972" s="15" t="s">
        <v>32876</v>
      </c>
      <c r="D3972" s="31">
        <v>41731</v>
      </c>
      <c r="E3972" s="15" t="s">
        <v>32877</v>
      </c>
      <c r="F3972" s="87" t="s">
        <v>21871</v>
      </c>
      <c r="G3972" s="45" t="s">
        <v>7698</v>
      </c>
      <c r="H3972" s="55" t="s">
        <v>7699</v>
      </c>
      <c r="I3972" s="15" t="s">
        <v>214</v>
      </c>
    </row>
    <row r="3973" spans="1:9" ht="51.75" customHeight="1" x14ac:dyDescent="0.35">
      <c r="A3973" s="15" t="s">
        <v>26603</v>
      </c>
      <c r="B3973" s="15" t="s">
        <v>32878</v>
      </c>
      <c r="C3973" s="15" t="s">
        <v>32879</v>
      </c>
      <c r="D3973" s="31">
        <v>41731</v>
      </c>
      <c r="E3973" s="15" t="s">
        <v>32880</v>
      </c>
      <c r="F3973" s="87" t="s">
        <v>21871</v>
      </c>
      <c r="G3973" s="45" t="s">
        <v>7698</v>
      </c>
      <c r="H3973" s="55" t="s">
        <v>7699</v>
      </c>
      <c r="I3973" s="15" t="s">
        <v>214</v>
      </c>
    </row>
    <row r="3974" spans="1:9" ht="51.75" customHeight="1" x14ac:dyDescent="0.35">
      <c r="A3974" s="15" t="s">
        <v>26606</v>
      </c>
      <c r="B3974" s="15" t="s">
        <v>32881</v>
      </c>
      <c r="C3974" s="15" t="s">
        <v>32882</v>
      </c>
      <c r="D3974" s="31">
        <v>41731</v>
      </c>
      <c r="E3974" s="15" t="s">
        <v>32883</v>
      </c>
      <c r="F3974" s="87" t="s">
        <v>21871</v>
      </c>
      <c r="G3974" s="45" t="s">
        <v>7698</v>
      </c>
      <c r="H3974" s="55" t="s">
        <v>7699</v>
      </c>
      <c r="I3974" s="15" t="s">
        <v>214</v>
      </c>
    </row>
    <row r="3975" spans="1:9" ht="51.75" customHeight="1" x14ac:dyDescent="0.35">
      <c r="A3975" s="15" t="s">
        <v>22081</v>
      </c>
      <c r="B3975" s="15" t="s">
        <v>32884</v>
      </c>
      <c r="C3975" s="15" t="s">
        <v>32885</v>
      </c>
      <c r="D3975" s="31">
        <v>41731</v>
      </c>
      <c r="E3975" s="15" t="s">
        <v>32886</v>
      </c>
      <c r="F3975" s="87" t="s">
        <v>21871</v>
      </c>
      <c r="G3975" s="45" t="s">
        <v>7698</v>
      </c>
      <c r="H3975" s="55" t="s">
        <v>7699</v>
      </c>
      <c r="I3975" s="15" t="s">
        <v>214</v>
      </c>
    </row>
    <row r="3976" spans="1:9" ht="51.75" customHeight="1" x14ac:dyDescent="0.35">
      <c r="A3976" s="15" t="s">
        <v>23424</v>
      </c>
      <c r="B3976" s="15" t="s">
        <v>32887</v>
      </c>
      <c r="C3976" s="15" t="s">
        <v>32888</v>
      </c>
      <c r="D3976" s="31">
        <v>41619</v>
      </c>
      <c r="E3976" s="15" t="s">
        <v>32889</v>
      </c>
      <c r="F3976" s="87" t="s">
        <v>21871</v>
      </c>
      <c r="G3976" s="45" t="s">
        <v>8249</v>
      </c>
      <c r="H3976" s="55" t="s">
        <v>8250</v>
      </c>
      <c r="I3976" s="15" t="s">
        <v>214</v>
      </c>
    </row>
    <row r="3977" spans="1:9" ht="51.75" customHeight="1" x14ac:dyDescent="0.35">
      <c r="A3977" s="15" t="s">
        <v>23428</v>
      </c>
      <c r="B3977" s="15" t="s">
        <v>32890</v>
      </c>
      <c r="C3977" s="15" t="s">
        <v>32891</v>
      </c>
      <c r="D3977" s="31">
        <v>41619</v>
      </c>
      <c r="E3977" s="15" t="s">
        <v>32892</v>
      </c>
      <c r="F3977" s="87" t="s">
        <v>21871</v>
      </c>
      <c r="G3977" s="45" t="s">
        <v>8249</v>
      </c>
      <c r="H3977" s="55" t="s">
        <v>8250</v>
      </c>
      <c r="I3977" s="15" t="s">
        <v>214</v>
      </c>
    </row>
    <row r="3978" spans="1:9" ht="51.75" customHeight="1" x14ac:dyDescent="0.35">
      <c r="A3978" s="15" t="s">
        <v>26095</v>
      </c>
      <c r="B3978" s="15" t="s">
        <v>32893</v>
      </c>
      <c r="C3978" s="15" t="s">
        <v>32894</v>
      </c>
      <c r="D3978" s="31">
        <v>41619</v>
      </c>
      <c r="E3978" s="15" t="s">
        <v>32895</v>
      </c>
      <c r="F3978" s="87" t="s">
        <v>21871</v>
      </c>
      <c r="G3978" s="45" t="s">
        <v>8249</v>
      </c>
      <c r="H3978" s="55" t="s">
        <v>8250</v>
      </c>
      <c r="I3978" s="15" t="s">
        <v>214</v>
      </c>
    </row>
    <row r="3979" spans="1:9" ht="51.75" customHeight="1" x14ac:dyDescent="0.35">
      <c r="A3979" s="15" t="s">
        <v>22968</v>
      </c>
      <c r="B3979" s="15" t="s">
        <v>32896</v>
      </c>
      <c r="C3979" s="15" t="s">
        <v>32897</v>
      </c>
      <c r="D3979" s="31">
        <v>41655</v>
      </c>
      <c r="E3979" s="15" t="s">
        <v>32898</v>
      </c>
      <c r="F3979" s="87" t="s">
        <v>21871</v>
      </c>
      <c r="G3979" s="45" t="s">
        <v>8325</v>
      </c>
      <c r="H3979" s="55" t="s">
        <v>8326</v>
      </c>
      <c r="I3979" s="15" t="s">
        <v>214</v>
      </c>
    </row>
    <row r="3980" spans="1:9" ht="51.75" customHeight="1" x14ac:dyDescent="0.35">
      <c r="A3980" s="15" t="s">
        <v>28369</v>
      </c>
      <c r="B3980" s="15" t="s">
        <v>32899</v>
      </c>
      <c r="C3980" s="15" t="s">
        <v>32900</v>
      </c>
      <c r="D3980" s="31">
        <v>41655</v>
      </c>
      <c r="E3980" s="15" t="s">
        <v>32901</v>
      </c>
      <c r="F3980" s="87" t="s">
        <v>21871</v>
      </c>
      <c r="G3980" s="45" t="s">
        <v>8325</v>
      </c>
      <c r="H3980" s="55" t="s">
        <v>8326</v>
      </c>
      <c r="I3980" s="15" t="s">
        <v>214</v>
      </c>
    </row>
    <row r="3981" spans="1:9" ht="51.75" customHeight="1" x14ac:dyDescent="0.35">
      <c r="A3981" s="15" t="s">
        <v>24641</v>
      </c>
      <c r="B3981" s="15" t="s">
        <v>32902</v>
      </c>
      <c r="C3981" s="15" t="s">
        <v>32903</v>
      </c>
      <c r="D3981" s="31">
        <v>41729</v>
      </c>
      <c r="E3981" s="15" t="s">
        <v>32904</v>
      </c>
      <c r="F3981" s="87" t="s">
        <v>21871</v>
      </c>
      <c r="G3981" s="45" t="s">
        <v>8342</v>
      </c>
      <c r="H3981" s="55" t="s">
        <v>8343</v>
      </c>
      <c r="I3981" s="15" t="s">
        <v>214</v>
      </c>
    </row>
    <row r="3982" spans="1:9" ht="51.75" customHeight="1" x14ac:dyDescent="0.35">
      <c r="A3982" s="15" t="s">
        <v>26591</v>
      </c>
      <c r="B3982" s="15" t="s">
        <v>32905</v>
      </c>
      <c r="C3982" s="15" t="s">
        <v>32906</v>
      </c>
      <c r="D3982" s="31">
        <v>41729</v>
      </c>
      <c r="E3982" s="15" t="s">
        <v>32907</v>
      </c>
      <c r="F3982" s="87" t="s">
        <v>21871</v>
      </c>
      <c r="G3982" s="45" t="s">
        <v>8342</v>
      </c>
      <c r="H3982" s="55" t="s">
        <v>8343</v>
      </c>
      <c r="I3982" s="15" t="s">
        <v>214</v>
      </c>
    </row>
    <row r="3983" spans="1:9" ht="51.75" customHeight="1" x14ac:dyDescent="0.35">
      <c r="A3983" s="15" t="s">
        <v>26594</v>
      </c>
      <c r="B3983" s="15" t="s">
        <v>32908</v>
      </c>
      <c r="C3983" s="15" t="s">
        <v>32909</v>
      </c>
      <c r="D3983" s="31">
        <v>41729</v>
      </c>
      <c r="E3983" s="15" t="s">
        <v>32910</v>
      </c>
      <c r="F3983" s="87" t="s">
        <v>21871</v>
      </c>
      <c r="G3983" s="45" t="s">
        <v>8342</v>
      </c>
      <c r="H3983" s="55" t="s">
        <v>8343</v>
      </c>
      <c r="I3983" s="15" t="s">
        <v>214</v>
      </c>
    </row>
    <row r="3984" spans="1:9" ht="51.75" customHeight="1" x14ac:dyDescent="0.35">
      <c r="A3984" s="15" t="s">
        <v>23271</v>
      </c>
      <c r="B3984" s="15" t="s">
        <v>32911</v>
      </c>
      <c r="C3984" s="15" t="s">
        <v>32912</v>
      </c>
      <c r="D3984" s="31">
        <v>41984</v>
      </c>
      <c r="E3984" s="15" t="s">
        <v>32913</v>
      </c>
      <c r="F3984" s="87" t="s">
        <v>21871</v>
      </c>
      <c r="G3984" s="45" t="s">
        <v>8349</v>
      </c>
      <c r="H3984" s="55" t="s">
        <v>8350</v>
      </c>
      <c r="I3984" s="15" t="s">
        <v>214</v>
      </c>
    </row>
    <row r="3985" spans="1:9" ht="51.75" customHeight="1" x14ac:dyDescent="0.35">
      <c r="A3985" s="15" t="s">
        <v>23277</v>
      </c>
      <c r="B3985" s="15" t="s">
        <v>32914</v>
      </c>
      <c r="C3985" s="15" t="s">
        <v>32915</v>
      </c>
      <c r="D3985" s="31">
        <v>41984</v>
      </c>
      <c r="E3985" s="15" t="s">
        <v>32916</v>
      </c>
      <c r="F3985" s="87" t="s">
        <v>21871</v>
      </c>
      <c r="G3985" s="45" t="s">
        <v>8349</v>
      </c>
      <c r="H3985" s="55" t="s">
        <v>8350</v>
      </c>
      <c r="I3985" s="15" t="s">
        <v>214</v>
      </c>
    </row>
    <row r="3986" spans="1:9" ht="51.75" customHeight="1" x14ac:dyDescent="0.35">
      <c r="A3986" s="15" t="s">
        <v>23283</v>
      </c>
      <c r="B3986" s="15" t="s">
        <v>32917</v>
      </c>
      <c r="C3986" s="15" t="s">
        <v>32918</v>
      </c>
      <c r="D3986" s="31">
        <v>41984</v>
      </c>
      <c r="E3986" s="15" t="s">
        <v>32919</v>
      </c>
      <c r="F3986" s="87" t="s">
        <v>21871</v>
      </c>
      <c r="G3986" s="45" t="s">
        <v>8349</v>
      </c>
      <c r="H3986" s="55" t="s">
        <v>8350</v>
      </c>
      <c r="I3986" s="15" t="s">
        <v>214</v>
      </c>
    </row>
    <row r="3987" spans="1:9" ht="51.75" customHeight="1" x14ac:dyDescent="0.35">
      <c r="A3987" s="15" t="s">
        <v>22797</v>
      </c>
      <c r="B3987" s="15" t="s">
        <v>32920</v>
      </c>
      <c r="C3987" s="15" t="s">
        <v>32921</v>
      </c>
      <c r="D3987" s="31">
        <v>41542</v>
      </c>
      <c r="E3987" s="15" t="s">
        <v>32922</v>
      </c>
      <c r="F3987" s="87"/>
      <c r="G3987" s="45" t="s">
        <v>8276</v>
      </c>
      <c r="H3987" s="55" t="s">
        <v>8277</v>
      </c>
      <c r="I3987" s="15" t="s">
        <v>214</v>
      </c>
    </row>
    <row r="3988" spans="1:9" ht="51.75" customHeight="1" x14ac:dyDescent="0.35">
      <c r="A3988" s="15" t="s">
        <v>26028</v>
      </c>
      <c r="B3988" s="15" t="s">
        <v>32923</v>
      </c>
      <c r="C3988" s="15" t="s">
        <v>32924</v>
      </c>
      <c r="D3988" s="31">
        <v>41542</v>
      </c>
      <c r="E3988" s="15" t="s">
        <v>32925</v>
      </c>
      <c r="F3988" s="87"/>
      <c r="G3988" s="45" t="s">
        <v>8276</v>
      </c>
      <c r="H3988" s="55" t="s">
        <v>8277</v>
      </c>
      <c r="I3988" s="15" t="s">
        <v>214</v>
      </c>
    </row>
    <row r="3989" spans="1:9" ht="51.75" customHeight="1" x14ac:dyDescent="0.35">
      <c r="A3989" s="15" t="s">
        <v>26885</v>
      </c>
      <c r="B3989" s="15" t="s">
        <v>32926</v>
      </c>
      <c r="C3989" s="15" t="s">
        <v>32927</v>
      </c>
      <c r="D3989" s="31">
        <v>41542</v>
      </c>
      <c r="E3989" s="15" t="s">
        <v>32928</v>
      </c>
      <c r="F3989" s="87"/>
      <c r="G3989" s="45" t="s">
        <v>8276</v>
      </c>
      <c r="H3989" s="55" t="s">
        <v>8277</v>
      </c>
      <c r="I3989" s="15" t="s">
        <v>214</v>
      </c>
    </row>
    <row r="3990" spans="1:9" ht="51.75" customHeight="1" x14ac:dyDescent="0.35">
      <c r="A3990" s="15" t="s">
        <v>21987</v>
      </c>
      <c r="B3990" s="15" t="s">
        <v>32929</v>
      </c>
      <c r="C3990" s="15" t="s">
        <v>32930</v>
      </c>
      <c r="D3990" s="31">
        <v>41683</v>
      </c>
      <c r="E3990" s="15" t="s">
        <v>32931</v>
      </c>
      <c r="F3990" s="87" t="s">
        <v>21871</v>
      </c>
      <c r="G3990" s="45" t="s">
        <v>8522</v>
      </c>
      <c r="H3990" s="55" t="s">
        <v>8523</v>
      </c>
      <c r="I3990" s="15" t="s">
        <v>214</v>
      </c>
    </row>
    <row r="3991" spans="1:9" ht="51.75" customHeight="1" x14ac:dyDescent="0.35">
      <c r="A3991" s="15" t="s">
        <v>21991</v>
      </c>
      <c r="B3991" s="15" t="s">
        <v>32932</v>
      </c>
      <c r="C3991" s="15" t="s">
        <v>32933</v>
      </c>
      <c r="D3991" s="31">
        <v>41683</v>
      </c>
      <c r="E3991" s="15" t="s">
        <v>32934</v>
      </c>
      <c r="F3991" s="87" t="s">
        <v>21871</v>
      </c>
      <c r="G3991" s="45" t="s">
        <v>8522</v>
      </c>
      <c r="H3991" s="55" t="s">
        <v>8523</v>
      </c>
      <c r="I3991" s="15" t="s">
        <v>214</v>
      </c>
    </row>
    <row r="3992" spans="1:9" ht="51.75" customHeight="1" x14ac:dyDescent="0.35">
      <c r="A3992" s="15" t="s">
        <v>21999</v>
      </c>
      <c r="B3992" s="15" t="s">
        <v>32935</v>
      </c>
      <c r="C3992" s="15" t="s">
        <v>32936</v>
      </c>
      <c r="D3992" s="31">
        <v>41683</v>
      </c>
      <c r="E3992" s="15" t="s">
        <v>32937</v>
      </c>
      <c r="F3992" s="87" t="s">
        <v>21871</v>
      </c>
      <c r="G3992" s="45" t="s">
        <v>8522</v>
      </c>
      <c r="H3992" s="55" t="s">
        <v>8523</v>
      </c>
      <c r="I3992" s="15" t="s">
        <v>214</v>
      </c>
    </row>
    <row r="3993" spans="1:9" ht="51.75" customHeight="1" x14ac:dyDescent="0.35">
      <c r="A3993" s="15" t="s">
        <v>22011</v>
      </c>
      <c r="B3993" s="15" t="s">
        <v>32938</v>
      </c>
      <c r="C3993" s="15" t="s">
        <v>32939</v>
      </c>
      <c r="D3993" s="31">
        <v>41683</v>
      </c>
      <c r="E3993" s="15" t="s">
        <v>32940</v>
      </c>
      <c r="F3993" s="87" t="s">
        <v>21871</v>
      </c>
      <c r="G3993" s="45" t="s">
        <v>8522</v>
      </c>
      <c r="H3993" s="55" t="s">
        <v>8523</v>
      </c>
      <c r="I3993" s="15" t="s">
        <v>214</v>
      </c>
    </row>
    <row r="3994" spans="1:9" ht="51.75" customHeight="1" x14ac:dyDescent="0.35">
      <c r="A3994" s="15" t="s">
        <v>24176</v>
      </c>
      <c r="B3994" s="15" t="s">
        <v>32941</v>
      </c>
      <c r="C3994" s="15" t="s">
        <v>32942</v>
      </c>
      <c r="D3994" s="31">
        <v>41683</v>
      </c>
      <c r="E3994" s="15" t="s">
        <v>32943</v>
      </c>
      <c r="F3994" s="87" t="s">
        <v>21871</v>
      </c>
      <c r="G3994" s="45" t="s">
        <v>8522</v>
      </c>
      <c r="H3994" s="55" t="s">
        <v>8523</v>
      </c>
      <c r="I3994" s="15" t="s">
        <v>214</v>
      </c>
    </row>
    <row r="3995" spans="1:9" ht="51.75" customHeight="1" x14ac:dyDescent="0.35">
      <c r="A3995" s="15" t="s">
        <v>24329</v>
      </c>
      <c r="B3995" s="15" t="s">
        <v>32944</v>
      </c>
      <c r="C3995" s="15" t="s">
        <v>32945</v>
      </c>
      <c r="D3995" s="31">
        <v>41694</v>
      </c>
      <c r="E3995" s="15" t="s">
        <v>32946</v>
      </c>
      <c r="F3995" s="87" t="s">
        <v>21871</v>
      </c>
      <c r="G3995" s="45" t="s">
        <v>8546</v>
      </c>
      <c r="H3995" s="55" t="s">
        <v>8547</v>
      </c>
      <c r="I3995" s="15" t="s">
        <v>214</v>
      </c>
    </row>
    <row r="3996" spans="1:9" ht="51.75" customHeight="1" x14ac:dyDescent="0.35">
      <c r="A3996" s="15" t="s">
        <v>24335</v>
      </c>
      <c r="B3996" s="15" t="s">
        <v>32947</v>
      </c>
      <c r="C3996" s="15" t="s">
        <v>32948</v>
      </c>
      <c r="D3996" s="31">
        <v>41694</v>
      </c>
      <c r="E3996" s="15" t="s">
        <v>32949</v>
      </c>
      <c r="F3996" s="87" t="s">
        <v>21871</v>
      </c>
      <c r="G3996" s="45" t="s">
        <v>8546</v>
      </c>
      <c r="H3996" s="55" t="s">
        <v>8547</v>
      </c>
      <c r="I3996" s="15" t="s">
        <v>214</v>
      </c>
    </row>
    <row r="3997" spans="1:9" ht="51.75" customHeight="1" x14ac:dyDescent="0.35">
      <c r="A3997" s="15" t="s">
        <v>24340</v>
      </c>
      <c r="B3997" s="15" t="s">
        <v>32950</v>
      </c>
      <c r="C3997" s="15" t="s">
        <v>32951</v>
      </c>
      <c r="D3997" s="31">
        <v>41694</v>
      </c>
      <c r="E3997" s="15" t="s">
        <v>32952</v>
      </c>
      <c r="F3997" s="87" t="s">
        <v>21871</v>
      </c>
      <c r="G3997" s="45" t="s">
        <v>8546</v>
      </c>
      <c r="H3997" s="55" t="s">
        <v>8547</v>
      </c>
      <c r="I3997" s="15" t="s">
        <v>214</v>
      </c>
    </row>
    <row r="3998" spans="1:9" ht="51.75" customHeight="1" x14ac:dyDescent="0.35">
      <c r="A3998" s="15" t="s">
        <v>24345</v>
      </c>
      <c r="B3998" s="15" t="s">
        <v>32953</v>
      </c>
      <c r="C3998" s="15" t="s">
        <v>32954</v>
      </c>
      <c r="D3998" s="31">
        <v>41694</v>
      </c>
      <c r="E3998" s="15" t="s">
        <v>32955</v>
      </c>
      <c r="F3998" s="87" t="s">
        <v>21871</v>
      </c>
      <c r="G3998" s="45" t="s">
        <v>8546</v>
      </c>
      <c r="H3998" s="55" t="s">
        <v>8547</v>
      </c>
      <c r="I3998" s="15" t="s">
        <v>214</v>
      </c>
    </row>
    <row r="3999" spans="1:9" ht="51.75" customHeight="1" x14ac:dyDescent="0.35">
      <c r="A3999" s="15" t="s">
        <v>24261</v>
      </c>
      <c r="B3999" s="15" t="s">
        <v>32956</v>
      </c>
      <c r="C3999" s="15" t="s">
        <v>32957</v>
      </c>
      <c r="D3999" s="31">
        <v>41653</v>
      </c>
      <c r="E3999" s="15" t="s">
        <v>32958</v>
      </c>
      <c r="F3999" s="87" t="s">
        <v>21871</v>
      </c>
      <c r="G3999" s="45" t="s">
        <v>8361</v>
      </c>
      <c r="H3999" s="55" t="s">
        <v>8362</v>
      </c>
      <c r="I3999" s="15" t="s">
        <v>214</v>
      </c>
    </row>
    <row r="4000" spans="1:9" ht="51.75" customHeight="1" x14ac:dyDescent="0.35">
      <c r="A4000" s="15" t="s">
        <v>21883</v>
      </c>
      <c r="B4000" s="15" t="s">
        <v>32959</v>
      </c>
      <c r="C4000" s="15" t="s">
        <v>32960</v>
      </c>
      <c r="D4000" s="31">
        <v>41653</v>
      </c>
      <c r="E4000" s="15" t="s">
        <v>32961</v>
      </c>
      <c r="F4000" s="87" t="s">
        <v>21871</v>
      </c>
      <c r="G4000" s="45" t="s">
        <v>8361</v>
      </c>
      <c r="H4000" s="55" t="s">
        <v>8362</v>
      </c>
      <c r="I4000" s="15" t="s">
        <v>214</v>
      </c>
    </row>
    <row r="4001" spans="1:9" ht="51.75" customHeight="1" x14ac:dyDescent="0.35">
      <c r="A4001" s="15" t="s">
        <v>22217</v>
      </c>
      <c r="B4001" s="15" t="s">
        <v>32962</v>
      </c>
      <c r="C4001" s="15" t="s">
        <v>32963</v>
      </c>
      <c r="D4001" s="31">
        <v>41653</v>
      </c>
      <c r="E4001" s="15" t="s">
        <v>32964</v>
      </c>
      <c r="F4001" s="87" t="s">
        <v>21871</v>
      </c>
      <c r="G4001" s="45" t="s">
        <v>8361</v>
      </c>
      <c r="H4001" s="55" t="s">
        <v>8362</v>
      </c>
      <c r="I4001" s="15" t="s">
        <v>214</v>
      </c>
    </row>
    <row r="4002" spans="1:9" ht="51.75" customHeight="1" x14ac:dyDescent="0.35">
      <c r="A4002" s="15" t="s">
        <v>32363</v>
      </c>
      <c r="B4002" s="15" t="s">
        <v>32965</v>
      </c>
      <c r="C4002" s="15" t="s">
        <v>32966</v>
      </c>
      <c r="D4002" s="31">
        <v>41653</v>
      </c>
      <c r="E4002" s="15" t="s">
        <v>32967</v>
      </c>
      <c r="F4002" s="87" t="s">
        <v>21871</v>
      </c>
      <c r="G4002" s="45" t="s">
        <v>8361</v>
      </c>
      <c r="H4002" s="55" t="s">
        <v>8362</v>
      </c>
      <c r="I4002" s="15" t="s">
        <v>214</v>
      </c>
    </row>
    <row r="4003" spans="1:9" ht="51.75" customHeight="1" x14ac:dyDescent="0.35">
      <c r="A4003" s="15" t="s">
        <v>22467</v>
      </c>
      <c r="B4003" s="15" t="s">
        <v>32968</v>
      </c>
      <c r="C4003" s="15" t="s">
        <v>32969</v>
      </c>
      <c r="D4003" s="31">
        <v>41704</v>
      </c>
      <c r="E4003" s="15" t="s">
        <v>32970</v>
      </c>
      <c r="F4003" s="87" t="s">
        <v>21871</v>
      </c>
      <c r="G4003" s="45" t="s">
        <v>8624</v>
      </c>
      <c r="H4003" s="55" t="s">
        <v>8625</v>
      </c>
      <c r="I4003" s="15" t="s">
        <v>214</v>
      </c>
    </row>
    <row r="4004" spans="1:9" ht="51.75" customHeight="1" x14ac:dyDescent="0.35">
      <c r="A4004" s="15" t="s">
        <v>24386</v>
      </c>
      <c r="B4004" s="15" t="s">
        <v>32971</v>
      </c>
      <c r="C4004" s="15" t="s">
        <v>32972</v>
      </c>
      <c r="D4004" s="31">
        <v>41704</v>
      </c>
      <c r="E4004" s="15" t="s">
        <v>32973</v>
      </c>
      <c r="F4004" s="87" t="s">
        <v>21871</v>
      </c>
      <c r="G4004" s="45" t="s">
        <v>8624</v>
      </c>
      <c r="H4004" s="55" t="s">
        <v>8625</v>
      </c>
      <c r="I4004" s="15" t="s">
        <v>214</v>
      </c>
    </row>
    <row r="4005" spans="1:9" ht="51.75" customHeight="1" x14ac:dyDescent="0.35">
      <c r="A4005" s="15" t="s">
        <v>24391</v>
      </c>
      <c r="B4005" s="15" t="s">
        <v>32974</v>
      </c>
      <c r="C4005" s="15" t="s">
        <v>32975</v>
      </c>
      <c r="D4005" s="31">
        <v>41704</v>
      </c>
      <c r="E4005" s="15" t="s">
        <v>32976</v>
      </c>
      <c r="F4005" s="87" t="s">
        <v>21871</v>
      </c>
      <c r="G4005" s="45" t="s">
        <v>8624</v>
      </c>
      <c r="H4005" s="55" t="s">
        <v>8625</v>
      </c>
      <c r="I4005" s="15" t="s">
        <v>214</v>
      </c>
    </row>
    <row r="4006" spans="1:9" ht="51.75" customHeight="1" x14ac:dyDescent="0.35">
      <c r="A4006" s="15" t="s">
        <v>24802</v>
      </c>
      <c r="B4006" s="15" t="s">
        <v>32977</v>
      </c>
      <c r="C4006" s="15" t="s">
        <v>32978</v>
      </c>
      <c r="D4006" s="31">
        <v>41704</v>
      </c>
      <c r="E4006" s="15" t="s">
        <v>32979</v>
      </c>
      <c r="F4006" s="87" t="s">
        <v>21871</v>
      </c>
      <c r="G4006" s="45" t="s">
        <v>8624</v>
      </c>
      <c r="H4006" s="55" t="s">
        <v>8625</v>
      </c>
      <c r="I4006" s="15" t="s">
        <v>214</v>
      </c>
    </row>
    <row r="4007" spans="1:9" ht="51.75" customHeight="1" x14ac:dyDescent="0.35">
      <c r="A4007" s="15" t="s">
        <v>24808</v>
      </c>
      <c r="B4007" s="15" t="s">
        <v>32980</v>
      </c>
      <c r="C4007" s="15" t="s">
        <v>32981</v>
      </c>
      <c r="D4007" s="31">
        <v>41704</v>
      </c>
      <c r="E4007" s="15" t="s">
        <v>32982</v>
      </c>
      <c r="F4007" s="87" t="s">
        <v>21871</v>
      </c>
      <c r="G4007" s="45" t="s">
        <v>8624</v>
      </c>
      <c r="H4007" s="55" t="s">
        <v>8625</v>
      </c>
      <c r="I4007" s="15" t="s">
        <v>214</v>
      </c>
    </row>
    <row r="4008" spans="1:9" ht="51.75" customHeight="1" x14ac:dyDescent="0.35">
      <c r="A4008" s="15" t="s">
        <v>24814</v>
      </c>
      <c r="B4008" s="15" t="s">
        <v>32983</v>
      </c>
      <c r="C4008" s="15" t="s">
        <v>32984</v>
      </c>
      <c r="D4008" s="31">
        <v>41704</v>
      </c>
      <c r="E4008" s="15" t="s">
        <v>32985</v>
      </c>
      <c r="F4008" s="87" t="s">
        <v>21871</v>
      </c>
      <c r="G4008" s="45" t="s">
        <v>8624</v>
      </c>
      <c r="H4008" s="55" t="s">
        <v>8625</v>
      </c>
      <c r="I4008" s="15" t="s">
        <v>214</v>
      </c>
    </row>
    <row r="4009" spans="1:9" ht="51.75" customHeight="1" x14ac:dyDescent="0.35">
      <c r="A4009" s="15" t="s">
        <v>24820</v>
      </c>
      <c r="B4009" s="15" t="s">
        <v>32986</v>
      </c>
      <c r="C4009" s="15" t="s">
        <v>32987</v>
      </c>
      <c r="D4009" s="31">
        <v>41704</v>
      </c>
      <c r="E4009" s="15" t="s">
        <v>32988</v>
      </c>
      <c r="F4009" s="87" t="s">
        <v>21871</v>
      </c>
      <c r="G4009" s="45" t="s">
        <v>8624</v>
      </c>
      <c r="H4009" s="55" t="s">
        <v>8625</v>
      </c>
      <c r="I4009" s="15" t="s">
        <v>214</v>
      </c>
    </row>
    <row r="4010" spans="1:9" ht="51.75" customHeight="1" x14ac:dyDescent="0.35">
      <c r="A4010" s="15" t="s">
        <v>24826</v>
      </c>
      <c r="B4010" s="15" t="s">
        <v>32989</v>
      </c>
      <c r="C4010" s="15" t="s">
        <v>32990</v>
      </c>
      <c r="D4010" s="31">
        <v>41704</v>
      </c>
      <c r="E4010" s="15" t="s">
        <v>32991</v>
      </c>
      <c r="F4010" s="87" t="s">
        <v>21871</v>
      </c>
      <c r="G4010" s="45" t="s">
        <v>8624</v>
      </c>
      <c r="H4010" s="55" t="s">
        <v>8625</v>
      </c>
      <c r="I4010" s="15" t="s">
        <v>214</v>
      </c>
    </row>
    <row r="4011" spans="1:9" ht="51.75" customHeight="1" x14ac:dyDescent="0.35">
      <c r="A4011" s="15" t="s">
        <v>23776</v>
      </c>
      <c r="B4011" s="15" t="s">
        <v>32992</v>
      </c>
      <c r="C4011" s="15" t="s">
        <v>32993</v>
      </c>
      <c r="D4011" s="31">
        <v>41837</v>
      </c>
      <c r="E4011" s="15" t="s">
        <v>32994</v>
      </c>
      <c r="F4011" s="87" t="s">
        <v>21871</v>
      </c>
      <c r="G4011" s="45" t="s">
        <v>8653</v>
      </c>
      <c r="H4011" s="55" t="s">
        <v>8654</v>
      </c>
      <c r="I4011" s="15" t="s">
        <v>214</v>
      </c>
    </row>
    <row r="4012" spans="1:9" ht="51.75" customHeight="1" x14ac:dyDescent="0.35">
      <c r="A4012" s="15" t="s">
        <v>23782</v>
      </c>
      <c r="B4012" s="15" t="s">
        <v>32995</v>
      </c>
      <c r="C4012" s="15" t="s">
        <v>32996</v>
      </c>
      <c r="D4012" s="31">
        <v>41837</v>
      </c>
      <c r="E4012" s="15" t="s">
        <v>32997</v>
      </c>
      <c r="F4012" s="87" t="s">
        <v>21871</v>
      </c>
      <c r="G4012" s="45" t="s">
        <v>8653</v>
      </c>
      <c r="H4012" s="55" t="s">
        <v>8654</v>
      </c>
      <c r="I4012" s="15" t="s">
        <v>214</v>
      </c>
    </row>
    <row r="4013" spans="1:9" ht="51.75" customHeight="1" x14ac:dyDescent="0.35">
      <c r="A4013" s="15" t="s">
        <v>23788</v>
      </c>
      <c r="B4013" s="15" t="s">
        <v>32998</v>
      </c>
      <c r="C4013" s="15" t="s">
        <v>32999</v>
      </c>
      <c r="D4013" s="31">
        <v>41837</v>
      </c>
      <c r="E4013" s="15" t="s">
        <v>33000</v>
      </c>
      <c r="F4013" s="87" t="s">
        <v>21871</v>
      </c>
      <c r="G4013" s="45" t="s">
        <v>8653</v>
      </c>
      <c r="H4013" s="55" t="s">
        <v>8654</v>
      </c>
      <c r="I4013" s="15" t="s">
        <v>214</v>
      </c>
    </row>
    <row r="4014" spans="1:9" ht="51.75" customHeight="1" x14ac:dyDescent="0.35">
      <c r="A4014" s="15" t="s">
        <v>22143</v>
      </c>
      <c r="B4014" s="15" t="s">
        <v>33001</v>
      </c>
      <c r="C4014" s="15" t="s">
        <v>33002</v>
      </c>
      <c r="D4014" s="31">
        <v>41837</v>
      </c>
      <c r="E4014" s="15" t="s">
        <v>33003</v>
      </c>
      <c r="F4014" s="87" t="s">
        <v>21871</v>
      </c>
      <c r="G4014" s="45" t="s">
        <v>8653</v>
      </c>
      <c r="H4014" s="55" t="s">
        <v>8654</v>
      </c>
      <c r="I4014" s="15" t="s">
        <v>214</v>
      </c>
    </row>
    <row r="4015" spans="1:9" ht="51.75" customHeight="1" x14ac:dyDescent="0.35">
      <c r="A4015" s="15" t="s">
        <v>22147</v>
      </c>
      <c r="B4015" s="15" t="s">
        <v>33004</v>
      </c>
      <c r="C4015" s="15" t="s">
        <v>33005</v>
      </c>
      <c r="D4015" s="31">
        <v>41484</v>
      </c>
      <c r="E4015" s="15" t="s">
        <v>33006</v>
      </c>
      <c r="F4015" s="87"/>
      <c r="G4015" s="45" t="s">
        <v>7305</v>
      </c>
      <c r="H4015" s="55" t="s">
        <v>7306</v>
      </c>
      <c r="I4015" s="15" t="s">
        <v>214</v>
      </c>
    </row>
    <row r="4016" spans="1:9" ht="51.75" customHeight="1" x14ac:dyDescent="0.35">
      <c r="A4016" s="15" t="s">
        <v>22043</v>
      </c>
      <c r="B4016" s="15" t="s">
        <v>33007</v>
      </c>
      <c r="C4016" s="15" t="s">
        <v>33008</v>
      </c>
      <c r="D4016" s="31">
        <v>41484</v>
      </c>
      <c r="E4016" s="15" t="s">
        <v>33009</v>
      </c>
      <c r="F4016" s="87"/>
      <c r="G4016" s="45" t="s">
        <v>7305</v>
      </c>
      <c r="H4016" s="55" t="s">
        <v>7306</v>
      </c>
      <c r="I4016" s="15" t="s">
        <v>214</v>
      </c>
    </row>
    <row r="4017" spans="1:9" ht="51.75" customHeight="1" x14ac:dyDescent="0.35">
      <c r="A4017" s="15" t="s">
        <v>22110</v>
      </c>
      <c r="B4017" s="15" t="s">
        <v>33010</v>
      </c>
      <c r="C4017" s="15" t="s">
        <v>33011</v>
      </c>
      <c r="D4017" s="31">
        <v>41484</v>
      </c>
      <c r="E4017" s="15" t="s">
        <v>33012</v>
      </c>
      <c r="F4017" s="87"/>
      <c r="G4017" s="45" t="s">
        <v>7305</v>
      </c>
      <c r="H4017" s="55" t="s">
        <v>7306</v>
      </c>
      <c r="I4017" s="15" t="s">
        <v>214</v>
      </c>
    </row>
    <row r="4018" spans="1:9" ht="51.75" customHeight="1" x14ac:dyDescent="0.35">
      <c r="A4018" s="15" t="s">
        <v>22114</v>
      </c>
      <c r="B4018" s="15" t="s">
        <v>33013</v>
      </c>
      <c r="C4018" s="15" t="s">
        <v>33014</v>
      </c>
      <c r="D4018" s="31">
        <v>41484</v>
      </c>
      <c r="E4018" s="15" t="s">
        <v>33015</v>
      </c>
      <c r="F4018" s="87"/>
      <c r="G4018" s="45" t="s">
        <v>7305</v>
      </c>
      <c r="H4018" s="55" t="s">
        <v>7306</v>
      </c>
      <c r="I4018" s="15" t="s">
        <v>214</v>
      </c>
    </row>
    <row r="4019" spans="1:9" ht="51.75" customHeight="1" x14ac:dyDescent="0.35">
      <c r="A4019" s="15" t="s">
        <v>22186</v>
      </c>
      <c r="B4019" s="15" t="s">
        <v>33016</v>
      </c>
      <c r="C4019" s="15" t="s">
        <v>33017</v>
      </c>
      <c r="D4019" s="31">
        <v>41484</v>
      </c>
      <c r="E4019" s="15" t="s">
        <v>33018</v>
      </c>
      <c r="F4019" s="87"/>
      <c r="G4019" s="45" t="s">
        <v>7305</v>
      </c>
      <c r="H4019" s="55" t="s">
        <v>7306</v>
      </c>
      <c r="I4019" s="15" t="s">
        <v>214</v>
      </c>
    </row>
    <row r="4020" spans="1:9" ht="51.75" customHeight="1" x14ac:dyDescent="0.35">
      <c r="A4020" s="15" t="s">
        <v>26449</v>
      </c>
      <c r="B4020" s="15" t="s">
        <v>33019</v>
      </c>
      <c r="C4020" s="15" t="s">
        <v>33020</v>
      </c>
      <c r="D4020" s="31">
        <v>41771</v>
      </c>
      <c r="E4020" s="15" t="s">
        <v>33021</v>
      </c>
      <c r="F4020" s="87" t="s">
        <v>21871</v>
      </c>
      <c r="G4020" s="45" t="s">
        <v>8787</v>
      </c>
      <c r="H4020" s="55" t="s">
        <v>8788</v>
      </c>
      <c r="I4020" s="15" t="s">
        <v>214</v>
      </c>
    </row>
    <row r="4021" spans="1:9" ht="51.75" customHeight="1" x14ac:dyDescent="0.35">
      <c r="A4021" s="15" t="s">
        <v>26453</v>
      </c>
      <c r="B4021" s="15" t="s">
        <v>33022</v>
      </c>
      <c r="C4021" s="15" t="s">
        <v>33023</v>
      </c>
      <c r="D4021" s="31">
        <v>41771</v>
      </c>
      <c r="E4021" s="15" t="s">
        <v>33024</v>
      </c>
      <c r="F4021" s="87" t="s">
        <v>21871</v>
      </c>
      <c r="G4021" s="45" t="s">
        <v>8787</v>
      </c>
      <c r="H4021" s="55" t="s">
        <v>8788</v>
      </c>
      <c r="I4021" s="15" t="s">
        <v>214</v>
      </c>
    </row>
    <row r="4022" spans="1:9" ht="51.75" customHeight="1" x14ac:dyDescent="0.35">
      <c r="A4022" s="15" t="s">
        <v>23533</v>
      </c>
      <c r="B4022" s="15" t="s">
        <v>33025</v>
      </c>
      <c r="C4022" s="15" t="s">
        <v>33026</v>
      </c>
      <c r="D4022" s="31">
        <v>41771</v>
      </c>
      <c r="E4022" s="15" t="s">
        <v>33027</v>
      </c>
      <c r="F4022" s="87" t="s">
        <v>21871</v>
      </c>
      <c r="G4022" s="45" t="s">
        <v>8787</v>
      </c>
      <c r="H4022" s="55" t="s">
        <v>8788</v>
      </c>
      <c r="I4022" s="15" t="s">
        <v>214</v>
      </c>
    </row>
    <row r="4023" spans="1:9" ht="51.75" customHeight="1" x14ac:dyDescent="0.35">
      <c r="A4023" s="15" t="s">
        <v>23536</v>
      </c>
      <c r="B4023" s="15" t="s">
        <v>33028</v>
      </c>
      <c r="C4023" s="15" t="s">
        <v>33029</v>
      </c>
      <c r="D4023" s="31">
        <v>41774</v>
      </c>
      <c r="E4023" s="15" t="s">
        <v>33030</v>
      </c>
      <c r="F4023" s="87" t="s">
        <v>21871</v>
      </c>
      <c r="G4023" s="45" t="s">
        <v>8815</v>
      </c>
      <c r="H4023" s="55" t="s">
        <v>8816</v>
      </c>
      <c r="I4023" s="15" t="s">
        <v>214</v>
      </c>
    </row>
    <row r="4024" spans="1:9" ht="51.75" customHeight="1" x14ac:dyDescent="0.35">
      <c r="A4024" s="15" t="s">
        <v>23539</v>
      </c>
      <c r="B4024" s="15" t="s">
        <v>33031</v>
      </c>
      <c r="C4024" s="15" t="s">
        <v>33032</v>
      </c>
      <c r="D4024" s="31">
        <v>41774</v>
      </c>
      <c r="E4024" s="15" t="s">
        <v>33033</v>
      </c>
      <c r="F4024" s="87" t="s">
        <v>21871</v>
      </c>
      <c r="G4024" s="45" t="s">
        <v>8815</v>
      </c>
      <c r="H4024" s="55" t="s">
        <v>8816</v>
      </c>
      <c r="I4024" s="15" t="s">
        <v>214</v>
      </c>
    </row>
    <row r="4025" spans="1:9" ht="51.75" customHeight="1" x14ac:dyDescent="0.35">
      <c r="A4025" s="15" t="s">
        <v>23473</v>
      </c>
      <c r="B4025" s="15" t="s">
        <v>33034</v>
      </c>
      <c r="C4025" s="15" t="s">
        <v>33035</v>
      </c>
      <c r="D4025" s="31">
        <v>41774</v>
      </c>
      <c r="E4025" s="15" t="s">
        <v>33036</v>
      </c>
      <c r="F4025" s="87" t="s">
        <v>21871</v>
      </c>
      <c r="G4025" s="45" t="s">
        <v>8815</v>
      </c>
      <c r="H4025" s="55" t="s">
        <v>8816</v>
      </c>
      <c r="I4025" s="15" t="s">
        <v>214</v>
      </c>
    </row>
    <row r="4026" spans="1:9" ht="51.75" customHeight="1" x14ac:dyDescent="0.35">
      <c r="A4026" s="15" t="s">
        <v>23477</v>
      </c>
      <c r="B4026" s="15" t="s">
        <v>33037</v>
      </c>
      <c r="C4026" s="15" t="s">
        <v>33038</v>
      </c>
      <c r="D4026" s="31">
        <v>41774</v>
      </c>
      <c r="E4026" s="15" t="s">
        <v>33039</v>
      </c>
      <c r="F4026" s="87" t="s">
        <v>21871</v>
      </c>
      <c r="G4026" s="45" t="s">
        <v>8815</v>
      </c>
      <c r="H4026" s="55" t="s">
        <v>8816</v>
      </c>
      <c r="I4026" s="15" t="s">
        <v>214</v>
      </c>
    </row>
    <row r="4027" spans="1:9" ht="51.75" customHeight="1" x14ac:dyDescent="0.35">
      <c r="A4027" s="15" t="s">
        <v>23481</v>
      </c>
      <c r="B4027" s="15" t="s">
        <v>33040</v>
      </c>
      <c r="C4027" s="15" t="s">
        <v>33041</v>
      </c>
      <c r="D4027" s="31">
        <v>41774</v>
      </c>
      <c r="E4027" s="15" t="s">
        <v>33042</v>
      </c>
      <c r="F4027" s="87" t="s">
        <v>21871</v>
      </c>
      <c r="G4027" s="45" t="s">
        <v>8815</v>
      </c>
      <c r="H4027" s="55" t="s">
        <v>8816</v>
      </c>
      <c r="I4027" s="15" t="s">
        <v>214</v>
      </c>
    </row>
    <row r="4028" spans="1:9" ht="51.75" customHeight="1" x14ac:dyDescent="0.35">
      <c r="A4028" s="15" t="s">
        <v>22047</v>
      </c>
      <c r="B4028" s="15" t="s">
        <v>33043</v>
      </c>
      <c r="C4028" s="15" t="s">
        <v>33044</v>
      </c>
      <c r="D4028" s="31">
        <v>41774</v>
      </c>
      <c r="E4028" s="15" t="s">
        <v>33045</v>
      </c>
      <c r="F4028" s="87" t="s">
        <v>21871</v>
      </c>
      <c r="G4028" s="45" t="s">
        <v>8815</v>
      </c>
      <c r="H4028" s="55" t="s">
        <v>8816</v>
      </c>
      <c r="I4028" s="15" t="s">
        <v>214</v>
      </c>
    </row>
    <row r="4029" spans="1:9" ht="51.75" customHeight="1" x14ac:dyDescent="0.35">
      <c r="A4029" s="15" t="s">
        <v>22786</v>
      </c>
      <c r="B4029" s="15" t="s">
        <v>33046</v>
      </c>
      <c r="C4029" s="15" t="s">
        <v>33047</v>
      </c>
      <c r="D4029" s="31">
        <v>41806</v>
      </c>
      <c r="E4029" s="15" t="s">
        <v>33048</v>
      </c>
      <c r="F4029" s="87"/>
      <c r="G4029" s="45" t="s">
        <v>8871</v>
      </c>
      <c r="H4029" s="55" t="s">
        <v>8872</v>
      </c>
      <c r="I4029" s="15" t="s">
        <v>214</v>
      </c>
    </row>
    <row r="4030" spans="1:9" ht="51.75" customHeight="1" x14ac:dyDescent="0.35">
      <c r="A4030" s="15" t="s">
        <v>31951</v>
      </c>
      <c r="B4030" s="15" t="s">
        <v>33049</v>
      </c>
      <c r="C4030" s="15" t="s">
        <v>33050</v>
      </c>
      <c r="D4030" s="31">
        <v>41806</v>
      </c>
      <c r="E4030" s="15" t="s">
        <v>33051</v>
      </c>
      <c r="F4030" s="87"/>
      <c r="G4030" s="45" t="s">
        <v>8871</v>
      </c>
      <c r="H4030" s="55" t="s">
        <v>8872</v>
      </c>
      <c r="I4030" s="15" t="s">
        <v>214</v>
      </c>
    </row>
    <row r="4031" spans="1:9" ht="51.75" customHeight="1" x14ac:dyDescent="0.35">
      <c r="A4031" s="15" t="s">
        <v>22570</v>
      </c>
      <c r="B4031" s="15" t="s">
        <v>33052</v>
      </c>
      <c r="C4031" s="15" t="s">
        <v>33053</v>
      </c>
      <c r="D4031" s="31">
        <v>41806</v>
      </c>
      <c r="E4031" s="15" t="s">
        <v>33054</v>
      </c>
      <c r="F4031" s="87"/>
      <c r="G4031" s="45" t="s">
        <v>8871</v>
      </c>
      <c r="H4031" s="55" t="s">
        <v>8872</v>
      </c>
      <c r="I4031" s="15" t="s">
        <v>214</v>
      </c>
    </row>
    <row r="4032" spans="1:9" ht="51.75" customHeight="1" x14ac:dyDescent="0.35">
      <c r="A4032" s="15" t="s">
        <v>22574</v>
      </c>
      <c r="B4032" s="15" t="s">
        <v>33055</v>
      </c>
      <c r="C4032" s="15" t="s">
        <v>33056</v>
      </c>
      <c r="D4032" s="31">
        <v>41806</v>
      </c>
      <c r="E4032" s="15" t="s">
        <v>33057</v>
      </c>
      <c r="F4032" s="87"/>
      <c r="G4032" s="45" t="s">
        <v>8871</v>
      </c>
      <c r="H4032" s="55" t="s">
        <v>8872</v>
      </c>
      <c r="I4032" s="15" t="s">
        <v>214</v>
      </c>
    </row>
    <row r="4033" spans="1:9" ht="51.75" customHeight="1" x14ac:dyDescent="0.35">
      <c r="A4033" s="15" t="s">
        <v>25992</v>
      </c>
      <c r="B4033" s="15" t="s">
        <v>33058</v>
      </c>
      <c r="C4033" s="15" t="s">
        <v>33059</v>
      </c>
      <c r="D4033" s="31">
        <v>41912</v>
      </c>
      <c r="E4033" s="15" t="s">
        <v>33060</v>
      </c>
      <c r="F4033" s="87" t="s">
        <v>21871</v>
      </c>
      <c r="G4033" s="45" t="s">
        <v>8805</v>
      </c>
      <c r="H4033" s="55" t="s">
        <v>8806</v>
      </c>
      <c r="I4033" s="15" t="s">
        <v>214</v>
      </c>
    </row>
    <row r="4034" spans="1:9" ht="51.75" customHeight="1" x14ac:dyDescent="0.35">
      <c r="A4034" s="15" t="s">
        <v>22825</v>
      </c>
      <c r="B4034" s="15" t="s">
        <v>33061</v>
      </c>
      <c r="C4034" s="15" t="s">
        <v>33062</v>
      </c>
      <c r="D4034" s="31">
        <v>41912</v>
      </c>
      <c r="E4034" s="15" t="s">
        <v>33063</v>
      </c>
      <c r="F4034" s="87" t="s">
        <v>21871</v>
      </c>
      <c r="G4034" s="45" t="s">
        <v>8805</v>
      </c>
      <c r="H4034" s="55" t="s">
        <v>8806</v>
      </c>
      <c r="I4034" s="15" t="s">
        <v>214</v>
      </c>
    </row>
    <row r="4035" spans="1:9" ht="51.75" customHeight="1" x14ac:dyDescent="0.35">
      <c r="A4035" s="15" t="s">
        <v>22829</v>
      </c>
      <c r="B4035" s="15" t="s">
        <v>33064</v>
      </c>
      <c r="C4035" s="15" t="s">
        <v>33065</v>
      </c>
      <c r="D4035" s="31">
        <v>41912</v>
      </c>
      <c r="E4035" s="15" t="s">
        <v>33066</v>
      </c>
      <c r="F4035" s="87" t="s">
        <v>21871</v>
      </c>
      <c r="G4035" s="45" t="s">
        <v>8805</v>
      </c>
      <c r="H4035" s="55" t="s">
        <v>8806</v>
      </c>
      <c r="I4035" s="15" t="s">
        <v>214</v>
      </c>
    </row>
    <row r="4036" spans="1:9" ht="51.75" customHeight="1" x14ac:dyDescent="0.35">
      <c r="A4036" s="15" t="s">
        <v>24968</v>
      </c>
      <c r="B4036" s="15" t="s">
        <v>33067</v>
      </c>
      <c r="C4036" s="15" t="s">
        <v>33068</v>
      </c>
      <c r="D4036" s="31">
        <v>41912</v>
      </c>
      <c r="E4036" s="15" t="s">
        <v>33069</v>
      </c>
      <c r="F4036" s="87" t="s">
        <v>21871</v>
      </c>
      <c r="G4036" s="45" t="s">
        <v>8805</v>
      </c>
      <c r="H4036" s="55" t="s">
        <v>8806</v>
      </c>
      <c r="I4036" s="15" t="s">
        <v>214</v>
      </c>
    </row>
    <row r="4037" spans="1:9" ht="51.75" customHeight="1" x14ac:dyDescent="0.35">
      <c r="A4037" s="15" t="s">
        <v>24974</v>
      </c>
      <c r="B4037" s="15" t="s">
        <v>33070</v>
      </c>
      <c r="C4037" s="15" t="s">
        <v>33071</v>
      </c>
      <c r="D4037" s="31">
        <v>41912</v>
      </c>
      <c r="E4037" s="15" t="s">
        <v>33072</v>
      </c>
      <c r="F4037" s="87" t="s">
        <v>21871</v>
      </c>
      <c r="G4037" s="45" t="s">
        <v>8805</v>
      </c>
      <c r="H4037" s="55" t="s">
        <v>8806</v>
      </c>
      <c r="I4037" s="15" t="s">
        <v>214</v>
      </c>
    </row>
    <row r="4038" spans="1:9" ht="51.75" customHeight="1" x14ac:dyDescent="0.35">
      <c r="A4038" s="15" t="s">
        <v>23549</v>
      </c>
      <c r="B4038" s="15" t="s">
        <v>33073</v>
      </c>
      <c r="C4038" s="15" t="s">
        <v>33074</v>
      </c>
      <c r="D4038" s="31">
        <v>41912</v>
      </c>
      <c r="E4038" s="15" t="s">
        <v>33075</v>
      </c>
      <c r="F4038" s="87" t="s">
        <v>21871</v>
      </c>
      <c r="G4038" s="45" t="s">
        <v>8805</v>
      </c>
      <c r="H4038" s="55" t="s">
        <v>8806</v>
      </c>
      <c r="I4038" s="15" t="s">
        <v>214</v>
      </c>
    </row>
    <row r="4039" spans="1:9" ht="51.75" customHeight="1" x14ac:dyDescent="0.35">
      <c r="A4039" s="15" t="s">
        <v>22862</v>
      </c>
      <c r="B4039" s="15" t="s">
        <v>33076</v>
      </c>
      <c r="C4039" s="15" t="s">
        <v>33077</v>
      </c>
      <c r="D4039" s="31">
        <v>41760</v>
      </c>
      <c r="E4039" s="15" t="s">
        <v>33078</v>
      </c>
      <c r="F4039" s="87" t="s">
        <v>21871</v>
      </c>
      <c r="G4039" s="45" t="s">
        <v>8967</v>
      </c>
      <c r="H4039" s="55" t="s">
        <v>8968</v>
      </c>
      <c r="I4039" s="15" t="s">
        <v>214</v>
      </c>
    </row>
    <row r="4040" spans="1:9" ht="51.75" customHeight="1" x14ac:dyDescent="0.35">
      <c r="A4040" s="15" t="s">
        <v>22866</v>
      </c>
      <c r="B4040" s="15" t="s">
        <v>33079</v>
      </c>
      <c r="C4040" s="15" t="s">
        <v>33080</v>
      </c>
      <c r="D4040" s="31">
        <v>41760</v>
      </c>
      <c r="E4040" s="15" t="s">
        <v>33081</v>
      </c>
      <c r="F4040" s="87" t="s">
        <v>21871</v>
      </c>
      <c r="G4040" s="45" t="s">
        <v>8967</v>
      </c>
      <c r="H4040" s="55" t="s">
        <v>8968</v>
      </c>
      <c r="I4040" s="15" t="s">
        <v>214</v>
      </c>
    </row>
    <row r="4041" spans="1:9" ht="51.75" customHeight="1" x14ac:dyDescent="0.35">
      <c r="A4041" s="15" t="s">
        <v>23461</v>
      </c>
      <c r="B4041" s="15" t="s">
        <v>33082</v>
      </c>
      <c r="C4041" s="15" t="s">
        <v>33083</v>
      </c>
      <c r="D4041" s="31">
        <v>41760</v>
      </c>
      <c r="E4041" s="15" t="s">
        <v>33084</v>
      </c>
      <c r="F4041" s="87" t="s">
        <v>21871</v>
      </c>
      <c r="G4041" s="45" t="s">
        <v>8967</v>
      </c>
      <c r="H4041" s="55" t="s">
        <v>8968</v>
      </c>
      <c r="I4041" s="15" t="s">
        <v>214</v>
      </c>
    </row>
    <row r="4042" spans="1:9" ht="51.75" customHeight="1" x14ac:dyDescent="0.35">
      <c r="A4042" s="15" t="s">
        <v>23465</v>
      </c>
      <c r="B4042" s="15" t="s">
        <v>33085</v>
      </c>
      <c r="C4042" s="15" t="s">
        <v>33086</v>
      </c>
      <c r="D4042" s="31">
        <v>41760</v>
      </c>
      <c r="E4042" s="15" t="s">
        <v>33087</v>
      </c>
      <c r="F4042" s="87" t="s">
        <v>21871</v>
      </c>
      <c r="G4042" s="45" t="s">
        <v>8967</v>
      </c>
      <c r="H4042" s="55" t="s">
        <v>8968</v>
      </c>
      <c r="I4042" s="15" t="s">
        <v>214</v>
      </c>
    </row>
    <row r="4043" spans="1:9" ht="51.75" customHeight="1" x14ac:dyDescent="0.35">
      <c r="A4043" s="15" t="s">
        <v>23469</v>
      </c>
      <c r="B4043" s="15" t="s">
        <v>33088</v>
      </c>
      <c r="C4043" s="15" t="s">
        <v>33089</v>
      </c>
      <c r="D4043" s="31">
        <v>41760</v>
      </c>
      <c r="E4043" s="15" t="s">
        <v>33090</v>
      </c>
      <c r="F4043" s="87" t="s">
        <v>21871</v>
      </c>
      <c r="G4043" s="45" t="s">
        <v>8967</v>
      </c>
      <c r="H4043" s="55" t="s">
        <v>8968</v>
      </c>
      <c r="I4043" s="15" t="s">
        <v>214</v>
      </c>
    </row>
    <row r="4044" spans="1:9" ht="51.75" customHeight="1" x14ac:dyDescent="0.35">
      <c r="A4044" s="15" t="s">
        <v>24556</v>
      </c>
      <c r="B4044" s="15" t="s">
        <v>33091</v>
      </c>
      <c r="C4044" s="15" t="s">
        <v>33092</v>
      </c>
      <c r="D4044" s="31">
        <v>41988</v>
      </c>
      <c r="E4044" s="15" t="s">
        <v>33093</v>
      </c>
      <c r="F4044" s="87" t="s">
        <v>21871</v>
      </c>
      <c r="G4044" s="45" t="s">
        <v>8943</v>
      </c>
      <c r="H4044" s="55" t="s">
        <v>8944</v>
      </c>
      <c r="I4044" s="15" t="s">
        <v>214</v>
      </c>
    </row>
    <row r="4045" spans="1:9" ht="51.75" customHeight="1" x14ac:dyDescent="0.35">
      <c r="A4045" s="15" t="s">
        <v>24567</v>
      </c>
      <c r="B4045" s="15" t="s">
        <v>33094</v>
      </c>
      <c r="C4045" s="15" t="s">
        <v>33095</v>
      </c>
      <c r="D4045" s="31">
        <v>41988</v>
      </c>
      <c r="E4045" s="15" t="s">
        <v>33096</v>
      </c>
      <c r="F4045" s="87" t="s">
        <v>21871</v>
      </c>
      <c r="G4045" s="45" t="s">
        <v>8943</v>
      </c>
      <c r="H4045" s="55" t="s">
        <v>8944</v>
      </c>
      <c r="I4045" s="15" t="s">
        <v>214</v>
      </c>
    </row>
    <row r="4046" spans="1:9" ht="51.75" customHeight="1" x14ac:dyDescent="0.35">
      <c r="A4046" s="15" t="s">
        <v>24572</v>
      </c>
      <c r="B4046" s="15" t="s">
        <v>33097</v>
      </c>
      <c r="C4046" s="15" t="s">
        <v>33098</v>
      </c>
      <c r="D4046" s="31">
        <v>41988</v>
      </c>
      <c r="E4046" s="15" t="s">
        <v>33099</v>
      </c>
      <c r="F4046" s="87" t="s">
        <v>21871</v>
      </c>
      <c r="G4046" s="45" t="s">
        <v>8943</v>
      </c>
      <c r="H4046" s="55" t="s">
        <v>8944</v>
      </c>
      <c r="I4046" s="15" t="s">
        <v>214</v>
      </c>
    </row>
    <row r="4047" spans="1:9" ht="51.75" customHeight="1" x14ac:dyDescent="0.35">
      <c r="A4047" s="15" t="s">
        <v>23810</v>
      </c>
      <c r="B4047" s="15" t="s">
        <v>33100</v>
      </c>
      <c r="C4047" s="15" t="s">
        <v>33101</v>
      </c>
      <c r="D4047" s="31">
        <v>41988</v>
      </c>
      <c r="E4047" s="15" t="s">
        <v>33102</v>
      </c>
      <c r="F4047" s="87" t="s">
        <v>21871</v>
      </c>
      <c r="G4047" s="45" t="s">
        <v>8943</v>
      </c>
      <c r="H4047" s="55" t="s">
        <v>8944</v>
      </c>
      <c r="I4047" s="15" t="s">
        <v>214</v>
      </c>
    </row>
    <row r="4048" spans="1:9" ht="51.75" customHeight="1" x14ac:dyDescent="0.35">
      <c r="A4048" s="15" t="s">
        <v>24215</v>
      </c>
      <c r="B4048" s="15" t="s">
        <v>33103</v>
      </c>
      <c r="C4048" s="15" t="s">
        <v>33104</v>
      </c>
      <c r="D4048" s="31">
        <v>41988</v>
      </c>
      <c r="E4048" s="15" t="s">
        <v>33105</v>
      </c>
      <c r="F4048" s="87" t="s">
        <v>21871</v>
      </c>
      <c r="G4048" s="45" t="s">
        <v>8943</v>
      </c>
      <c r="H4048" s="55" t="s">
        <v>8944</v>
      </c>
      <c r="I4048" s="15" t="s">
        <v>214</v>
      </c>
    </row>
    <row r="4049" spans="1:9" ht="51.75" customHeight="1" x14ac:dyDescent="0.35">
      <c r="A4049" s="15" t="s">
        <v>23621</v>
      </c>
      <c r="B4049" s="15" t="s">
        <v>33106</v>
      </c>
      <c r="C4049" s="15" t="s">
        <v>33107</v>
      </c>
      <c r="D4049" s="31">
        <v>41848</v>
      </c>
      <c r="E4049" s="15" t="s">
        <v>33108</v>
      </c>
      <c r="F4049" s="87" t="s">
        <v>21871</v>
      </c>
      <c r="G4049" s="45" t="s">
        <v>9105</v>
      </c>
      <c r="H4049" s="55" t="s">
        <v>9106</v>
      </c>
      <c r="I4049" s="15" t="s">
        <v>214</v>
      </c>
    </row>
    <row r="4050" spans="1:9" ht="51.75" customHeight="1" x14ac:dyDescent="0.35">
      <c r="A4050" s="15" t="s">
        <v>33109</v>
      </c>
      <c r="B4050" s="15" t="s">
        <v>33110</v>
      </c>
      <c r="C4050" s="15" t="s">
        <v>33111</v>
      </c>
      <c r="D4050" s="31">
        <v>41848</v>
      </c>
      <c r="E4050" s="15" t="s">
        <v>33112</v>
      </c>
      <c r="F4050" s="87" t="s">
        <v>21871</v>
      </c>
      <c r="G4050" s="45" t="s">
        <v>9105</v>
      </c>
      <c r="H4050" s="55" t="s">
        <v>9106</v>
      </c>
      <c r="I4050" s="15" t="s">
        <v>214</v>
      </c>
    </row>
    <row r="4051" spans="1:9" ht="51.75" customHeight="1" x14ac:dyDescent="0.35">
      <c r="A4051" s="15" t="s">
        <v>23625</v>
      </c>
      <c r="B4051" s="15" t="s">
        <v>33113</v>
      </c>
      <c r="C4051" s="15" t="s">
        <v>33114</v>
      </c>
      <c r="D4051" s="31">
        <v>41848</v>
      </c>
      <c r="E4051" s="15" t="s">
        <v>33115</v>
      </c>
      <c r="F4051" s="87" t="s">
        <v>21871</v>
      </c>
      <c r="G4051" s="45" t="s">
        <v>9105</v>
      </c>
      <c r="H4051" s="55" t="s">
        <v>9106</v>
      </c>
      <c r="I4051" s="15" t="s">
        <v>214</v>
      </c>
    </row>
    <row r="4052" spans="1:9" ht="51.75" customHeight="1" x14ac:dyDescent="0.35">
      <c r="A4052" s="15" t="s">
        <v>22227</v>
      </c>
      <c r="B4052" s="15" t="s">
        <v>33116</v>
      </c>
      <c r="C4052" s="15" t="s">
        <v>33117</v>
      </c>
      <c r="D4052" s="31">
        <v>41848</v>
      </c>
      <c r="E4052" s="15" t="s">
        <v>33118</v>
      </c>
      <c r="F4052" s="87" t="s">
        <v>21871</v>
      </c>
      <c r="G4052" s="45" t="s">
        <v>9105</v>
      </c>
      <c r="H4052" s="55" t="s">
        <v>9106</v>
      </c>
      <c r="I4052" s="15" t="s">
        <v>214</v>
      </c>
    </row>
    <row r="4053" spans="1:9" ht="51.75" customHeight="1" x14ac:dyDescent="0.35">
      <c r="A4053" s="15" t="s">
        <v>23937</v>
      </c>
      <c r="B4053" s="15" t="s">
        <v>33119</v>
      </c>
      <c r="C4053" s="15" t="s">
        <v>33120</v>
      </c>
      <c r="D4053" s="31">
        <v>41848</v>
      </c>
      <c r="E4053" s="15" t="s">
        <v>33121</v>
      </c>
      <c r="F4053" s="87" t="s">
        <v>21871</v>
      </c>
      <c r="G4053" s="45" t="s">
        <v>9105</v>
      </c>
      <c r="H4053" s="55" t="s">
        <v>9106</v>
      </c>
      <c r="I4053" s="15" t="s">
        <v>214</v>
      </c>
    </row>
    <row r="4054" spans="1:9" ht="51.75" customHeight="1" x14ac:dyDescent="0.35">
      <c r="A4054" s="15" t="s">
        <v>23629</v>
      </c>
      <c r="B4054" s="15" t="s">
        <v>33122</v>
      </c>
      <c r="C4054" s="15" t="s">
        <v>33123</v>
      </c>
      <c r="D4054" s="31">
        <v>41848</v>
      </c>
      <c r="E4054" s="15" t="s">
        <v>33124</v>
      </c>
      <c r="F4054" s="87" t="s">
        <v>21871</v>
      </c>
      <c r="G4054" s="45" t="s">
        <v>9105</v>
      </c>
      <c r="H4054" s="55" t="s">
        <v>9106</v>
      </c>
      <c r="I4054" s="15" t="s">
        <v>214</v>
      </c>
    </row>
    <row r="4055" spans="1:9" ht="51.75" customHeight="1" x14ac:dyDescent="0.35">
      <c r="A4055" s="15" t="s">
        <v>24176</v>
      </c>
      <c r="B4055" s="15" t="s">
        <v>33125</v>
      </c>
      <c r="C4055" s="15" t="s">
        <v>33126</v>
      </c>
      <c r="D4055" s="31">
        <v>42096</v>
      </c>
      <c r="E4055" s="15" t="s">
        <v>33127</v>
      </c>
      <c r="F4055" s="87" t="s">
        <v>21871</v>
      </c>
      <c r="G4055" s="45" t="s">
        <v>9111</v>
      </c>
      <c r="H4055" s="55" t="s">
        <v>9112</v>
      </c>
      <c r="I4055" s="15" t="s">
        <v>214</v>
      </c>
    </row>
    <row r="4056" spans="1:9" ht="51.75" customHeight="1" x14ac:dyDescent="0.35">
      <c r="A4056" s="15" t="s">
        <v>22719</v>
      </c>
      <c r="B4056" s="15" t="s">
        <v>33128</v>
      </c>
      <c r="C4056" s="15" t="s">
        <v>33129</v>
      </c>
      <c r="D4056" s="31">
        <v>42096</v>
      </c>
      <c r="E4056" s="15" t="s">
        <v>33130</v>
      </c>
      <c r="F4056" s="87" t="s">
        <v>21871</v>
      </c>
      <c r="G4056" s="45" t="s">
        <v>9111</v>
      </c>
      <c r="H4056" s="55" t="s">
        <v>9112</v>
      </c>
      <c r="I4056" s="15" t="s">
        <v>214</v>
      </c>
    </row>
    <row r="4057" spans="1:9" ht="51.75" customHeight="1" x14ac:dyDescent="0.35">
      <c r="A4057" s="15" t="s">
        <v>22723</v>
      </c>
      <c r="B4057" s="15" t="s">
        <v>33131</v>
      </c>
      <c r="C4057" s="15" t="s">
        <v>33132</v>
      </c>
      <c r="D4057" s="31">
        <v>42096</v>
      </c>
      <c r="E4057" s="15" t="s">
        <v>33133</v>
      </c>
      <c r="F4057" s="87" t="s">
        <v>21871</v>
      </c>
      <c r="G4057" s="45" t="s">
        <v>9111</v>
      </c>
      <c r="H4057" s="55" t="s">
        <v>9112</v>
      </c>
      <c r="I4057" s="15" t="s">
        <v>214</v>
      </c>
    </row>
    <row r="4058" spans="1:9" ht="51.75" customHeight="1" x14ac:dyDescent="0.35">
      <c r="A4058" s="15" t="s">
        <v>22727</v>
      </c>
      <c r="B4058" s="15" t="s">
        <v>33134</v>
      </c>
      <c r="C4058" s="15" t="s">
        <v>33135</v>
      </c>
      <c r="D4058" s="31">
        <v>42096</v>
      </c>
      <c r="E4058" s="15" t="s">
        <v>33136</v>
      </c>
      <c r="F4058" s="87" t="s">
        <v>21871</v>
      </c>
      <c r="G4058" s="45" t="s">
        <v>9111</v>
      </c>
      <c r="H4058" s="55" t="s">
        <v>9112</v>
      </c>
      <c r="I4058" s="15" t="s">
        <v>214</v>
      </c>
    </row>
    <row r="4059" spans="1:9" ht="51.75" customHeight="1" x14ac:dyDescent="0.35">
      <c r="A4059" s="15" t="s">
        <v>26705</v>
      </c>
      <c r="B4059" s="15" t="s">
        <v>33137</v>
      </c>
      <c r="C4059" s="15" t="s">
        <v>33138</v>
      </c>
      <c r="D4059" s="31">
        <v>41865</v>
      </c>
      <c r="E4059" s="15" t="s">
        <v>33139</v>
      </c>
      <c r="F4059" s="87" t="s">
        <v>21871</v>
      </c>
      <c r="G4059" s="45" t="s">
        <v>9117</v>
      </c>
      <c r="H4059" s="55" t="s">
        <v>9118</v>
      </c>
      <c r="I4059" s="15" t="s">
        <v>214</v>
      </c>
    </row>
    <row r="4060" spans="1:9" ht="51.75" customHeight="1" x14ac:dyDescent="0.35">
      <c r="A4060" s="15" t="s">
        <v>26708</v>
      </c>
      <c r="B4060" s="15" t="s">
        <v>33140</v>
      </c>
      <c r="C4060" s="15" t="s">
        <v>33141</v>
      </c>
      <c r="D4060" s="31">
        <v>41865</v>
      </c>
      <c r="E4060" s="15" t="s">
        <v>33142</v>
      </c>
      <c r="F4060" s="87" t="s">
        <v>21871</v>
      </c>
      <c r="G4060" s="45" t="s">
        <v>9117</v>
      </c>
      <c r="H4060" s="55" t="s">
        <v>9118</v>
      </c>
      <c r="I4060" s="15" t="s">
        <v>214</v>
      </c>
    </row>
    <row r="4061" spans="1:9" ht="51.75" customHeight="1" x14ac:dyDescent="0.35">
      <c r="A4061" s="15" t="s">
        <v>26711</v>
      </c>
      <c r="B4061" s="15" t="s">
        <v>33143</v>
      </c>
      <c r="C4061" s="15" t="s">
        <v>33144</v>
      </c>
      <c r="D4061" s="31">
        <v>41865</v>
      </c>
      <c r="E4061" s="15" t="s">
        <v>33145</v>
      </c>
      <c r="F4061" s="87" t="s">
        <v>21871</v>
      </c>
      <c r="G4061" s="45" t="s">
        <v>9117</v>
      </c>
      <c r="H4061" s="55" t="s">
        <v>9118</v>
      </c>
      <c r="I4061" s="15" t="s">
        <v>214</v>
      </c>
    </row>
    <row r="4062" spans="1:9" ht="51.75" customHeight="1" x14ac:dyDescent="0.35">
      <c r="A4062" s="15" t="s">
        <v>27337</v>
      </c>
      <c r="B4062" s="15" t="s">
        <v>33146</v>
      </c>
      <c r="C4062" s="15" t="s">
        <v>33147</v>
      </c>
      <c r="D4062" s="31">
        <v>41865</v>
      </c>
      <c r="E4062" s="15" t="s">
        <v>33148</v>
      </c>
      <c r="F4062" s="87" t="s">
        <v>21871</v>
      </c>
      <c r="G4062" s="45" t="s">
        <v>9117</v>
      </c>
      <c r="H4062" s="55" t="s">
        <v>9118</v>
      </c>
      <c r="I4062" s="15" t="s">
        <v>214</v>
      </c>
    </row>
    <row r="4063" spans="1:9" ht="51.75" customHeight="1" x14ac:dyDescent="0.35">
      <c r="A4063" s="15" t="s">
        <v>24653</v>
      </c>
      <c r="B4063" s="15" t="s">
        <v>33149</v>
      </c>
      <c r="C4063" s="15" t="s">
        <v>33150</v>
      </c>
      <c r="D4063" s="31">
        <v>41926</v>
      </c>
      <c r="E4063" s="15" t="s">
        <v>33151</v>
      </c>
      <c r="F4063" s="87" t="s">
        <v>21871</v>
      </c>
      <c r="G4063" s="45" t="s">
        <v>9254</v>
      </c>
      <c r="H4063" s="55" t="s">
        <v>9255</v>
      </c>
      <c r="I4063" s="15" t="s">
        <v>214</v>
      </c>
    </row>
    <row r="4064" spans="1:9" ht="51.75" customHeight="1" x14ac:dyDescent="0.35">
      <c r="A4064" s="15" t="s">
        <v>24659</v>
      </c>
      <c r="B4064" s="15" t="s">
        <v>33152</v>
      </c>
      <c r="C4064" s="15" t="s">
        <v>33153</v>
      </c>
      <c r="D4064" s="31">
        <v>41926</v>
      </c>
      <c r="E4064" s="15" t="s">
        <v>33154</v>
      </c>
      <c r="F4064" s="87" t="s">
        <v>21871</v>
      </c>
      <c r="G4064" s="45" t="s">
        <v>9254</v>
      </c>
      <c r="H4064" s="55" t="s">
        <v>9255</v>
      </c>
      <c r="I4064" s="15" t="s">
        <v>214</v>
      </c>
    </row>
    <row r="4065" spans="1:9" ht="51.75" customHeight="1" x14ac:dyDescent="0.35">
      <c r="A4065" s="15" t="s">
        <v>24665</v>
      </c>
      <c r="B4065" s="15" t="s">
        <v>33155</v>
      </c>
      <c r="C4065" s="15" t="s">
        <v>33156</v>
      </c>
      <c r="D4065" s="31">
        <v>41926</v>
      </c>
      <c r="E4065" s="15" t="s">
        <v>33157</v>
      </c>
      <c r="F4065" s="87" t="s">
        <v>21871</v>
      </c>
      <c r="G4065" s="45" t="s">
        <v>9254</v>
      </c>
      <c r="H4065" s="55" t="s">
        <v>9255</v>
      </c>
      <c r="I4065" s="15" t="s">
        <v>214</v>
      </c>
    </row>
    <row r="4066" spans="1:9" ht="51.75" customHeight="1" x14ac:dyDescent="0.35">
      <c r="A4066" s="15" t="s">
        <v>23555</v>
      </c>
      <c r="B4066" s="15" t="s">
        <v>33158</v>
      </c>
      <c r="C4066" s="15" t="s">
        <v>33159</v>
      </c>
      <c r="D4066" s="31">
        <v>41921</v>
      </c>
      <c r="E4066" s="15" t="s">
        <v>33160</v>
      </c>
      <c r="F4066" s="87" t="s">
        <v>21871</v>
      </c>
      <c r="G4066" s="45" t="s">
        <v>9260</v>
      </c>
      <c r="H4066" s="55" t="s">
        <v>9261</v>
      </c>
      <c r="I4066" s="15" t="s">
        <v>214</v>
      </c>
    </row>
    <row r="4067" spans="1:9" ht="51.75" customHeight="1" x14ac:dyDescent="0.35">
      <c r="A4067" s="15" t="s">
        <v>22239</v>
      </c>
      <c r="B4067" s="15" t="s">
        <v>33161</v>
      </c>
      <c r="C4067" s="15" t="s">
        <v>33162</v>
      </c>
      <c r="D4067" s="31">
        <v>41921</v>
      </c>
      <c r="E4067" s="15" t="s">
        <v>33163</v>
      </c>
      <c r="F4067" s="87" t="s">
        <v>21871</v>
      </c>
      <c r="G4067" s="45" t="s">
        <v>9260</v>
      </c>
      <c r="H4067" s="55" t="s">
        <v>9261</v>
      </c>
      <c r="I4067" s="15" t="s">
        <v>214</v>
      </c>
    </row>
    <row r="4068" spans="1:9" ht="51.75" customHeight="1" x14ac:dyDescent="0.35">
      <c r="A4068" s="15" t="s">
        <v>23489</v>
      </c>
      <c r="B4068" s="15" t="s">
        <v>33164</v>
      </c>
      <c r="C4068" s="15" t="s">
        <v>33165</v>
      </c>
      <c r="D4068" s="31">
        <v>41921</v>
      </c>
      <c r="E4068" s="15" t="s">
        <v>33166</v>
      </c>
      <c r="F4068" s="87" t="s">
        <v>21871</v>
      </c>
      <c r="G4068" s="45" t="s">
        <v>9260</v>
      </c>
      <c r="H4068" s="55" t="s">
        <v>9261</v>
      </c>
      <c r="I4068" s="15" t="s">
        <v>214</v>
      </c>
    </row>
    <row r="4069" spans="1:9" ht="51.75" customHeight="1" x14ac:dyDescent="0.35">
      <c r="A4069" s="15" t="s">
        <v>23494</v>
      </c>
      <c r="B4069" s="15" t="s">
        <v>33167</v>
      </c>
      <c r="C4069" s="15" t="s">
        <v>33168</v>
      </c>
      <c r="D4069" s="31">
        <v>41921</v>
      </c>
      <c r="E4069" s="15" t="s">
        <v>33169</v>
      </c>
      <c r="F4069" s="87" t="s">
        <v>21871</v>
      </c>
      <c r="G4069" s="45" t="s">
        <v>9260</v>
      </c>
      <c r="H4069" s="55" t="s">
        <v>9261</v>
      </c>
      <c r="I4069" s="15" t="s">
        <v>214</v>
      </c>
    </row>
    <row r="4070" spans="1:9" ht="51.75" customHeight="1" x14ac:dyDescent="0.35">
      <c r="A4070" s="15" t="s">
        <v>25150</v>
      </c>
      <c r="B4070" s="15" t="s">
        <v>33170</v>
      </c>
      <c r="C4070" s="15" t="s">
        <v>33171</v>
      </c>
      <c r="D4070" s="31">
        <v>41921</v>
      </c>
      <c r="E4070" s="15" t="s">
        <v>33172</v>
      </c>
      <c r="F4070" s="87" t="s">
        <v>21871</v>
      </c>
      <c r="G4070" s="45" t="s">
        <v>9260</v>
      </c>
      <c r="H4070" s="55" t="s">
        <v>9261</v>
      </c>
      <c r="I4070" s="15" t="s">
        <v>214</v>
      </c>
    </row>
    <row r="4071" spans="1:9" ht="51.75" customHeight="1" x14ac:dyDescent="0.35">
      <c r="A4071" s="15" t="s">
        <v>25156</v>
      </c>
      <c r="B4071" s="15" t="s">
        <v>33173</v>
      </c>
      <c r="C4071" s="15" t="s">
        <v>33174</v>
      </c>
      <c r="D4071" s="31">
        <v>41921</v>
      </c>
      <c r="E4071" s="15" t="s">
        <v>33175</v>
      </c>
      <c r="F4071" s="87" t="s">
        <v>21871</v>
      </c>
      <c r="G4071" s="45" t="s">
        <v>9260</v>
      </c>
      <c r="H4071" s="55" t="s">
        <v>9261</v>
      </c>
      <c r="I4071" s="15" t="s">
        <v>214</v>
      </c>
    </row>
    <row r="4072" spans="1:9" ht="51.75" customHeight="1" x14ac:dyDescent="0.35">
      <c r="A4072" s="15" t="s">
        <v>22245</v>
      </c>
      <c r="B4072" s="15" t="s">
        <v>33176</v>
      </c>
      <c r="C4072" s="15" t="s">
        <v>33177</v>
      </c>
      <c r="D4072" s="31">
        <v>41921</v>
      </c>
      <c r="E4072" s="15" t="s">
        <v>33178</v>
      </c>
      <c r="F4072" s="87" t="s">
        <v>21871</v>
      </c>
      <c r="G4072" s="45" t="s">
        <v>9260</v>
      </c>
      <c r="H4072" s="55" t="s">
        <v>9261</v>
      </c>
      <c r="I4072" s="15" t="s">
        <v>214</v>
      </c>
    </row>
    <row r="4073" spans="1:9" ht="51.75" customHeight="1" x14ac:dyDescent="0.35">
      <c r="A4073" s="15" t="s">
        <v>26042</v>
      </c>
      <c r="B4073" s="15" t="s">
        <v>33179</v>
      </c>
      <c r="C4073" s="15" t="s">
        <v>32837</v>
      </c>
      <c r="D4073" s="31">
        <v>41816</v>
      </c>
      <c r="E4073" s="15" t="s">
        <v>33180</v>
      </c>
      <c r="F4073" s="87" t="s">
        <v>21871</v>
      </c>
      <c r="G4073" s="45" t="s">
        <v>9308</v>
      </c>
      <c r="H4073" s="55" t="s">
        <v>9309</v>
      </c>
      <c r="I4073" s="15" t="s">
        <v>214</v>
      </c>
    </row>
    <row r="4074" spans="1:9" ht="51.75" customHeight="1" x14ac:dyDescent="0.35">
      <c r="A4074" s="15" t="s">
        <v>22394</v>
      </c>
      <c r="B4074" s="15" t="s">
        <v>33181</v>
      </c>
      <c r="C4074" s="15" t="s">
        <v>33182</v>
      </c>
      <c r="D4074" s="31">
        <v>41816</v>
      </c>
      <c r="E4074" s="15" t="s">
        <v>33183</v>
      </c>
      <c r="F4074" s="87"/>
      <c r="G4074" s="45" t="s">
        <v>9308</v>
      </c>
      <c r="H4074" s="55" t="s">
        <v>9309</v>
      </c>
      <c r="I4074" s="15" t="s">
        <v>214</v>
      </c>
    </row>
    <row r="4075" spans="1:9" ht="51.75" customHeight="1" x14ac:dyDescent="0.35">
      <c r="A4075" s="15" t="s">
        <v>24203</v>
      </c>
      <c r="B4075" s="15" t="s">
        <v>33184</v>
      </c>
      <c r="C4075" s="15" t="s">
        <v>33185</v>
      </c>
      <c r="D4075" s="31">
        <v>41967</v>
      </c>
      <c r="E4075" s="15" t="s">
        <v>33186</v>
      </c>
      <c r="F4075" s="87" t="s">
        <v>21871</v>
      </c>
      <c r="G4075" s="45" t="s">
        <v>9383</v>
      </c>
      <c r="H4075" s="55" t="s">
        <v>9384</v>
      </c>
      <c r="I4075" s="15" t="s">
        <v>214</v>
      </c>
    </row>
    <row r="4076" spans="1:9" ht="51.75" customHeight="1" x14ac:dyDescent="0.35">
      <c r="A4076" s="15" t="s">
        <v>24546</v>
      </c>
      <c r="B4076" s="15" t="s">
        <v>33187</v>
      </c>
      <c r="C4076" s="15" t="s">
        <v>33188</v>
      </c>
      <c r="D4076" s="31">
        <v>41967</v>
      </c>
      <c r="E4076" s="15" t="s">
        <v>33189</v>
      </c>
      <c r="F4076" s="87" t="s">
        <v>21871</v>
      </c>
      <c r="G4076" s="45" t="s">
        <v>9383</v>
      </c>
      <c r="H4076" s="55" t="s">
        <v>9384</v>
      </c>
      <c r="I4076" s="15" t="s">
        <v>214</v>
      </c>
    </row>
    <row r="4077" spans="1:9" ht="51.75" customHeight="1" x14ac:dyDescent="0.35">
      <c r="A4077" s="15" t="s">
        <v>24551</v>
      </c>
      <c r="B4077" s="15" t="s">
        <v>33190</v>
      </c>
      <c r="C4077" s="15" t="s">
        <v>33191</v>
      </c>
      <c r="D4077" s="31">
        <v>41967</v>
      </c>
      <c r="E4077" s="15" t="s">
        <v>33192</v>
      </c>
      <c r="F4077" s="87" t="s">
        <v>21871</v>
      </c>
      <c r="G4077" s="45" t="s">
        <v>9383</v>
      </c>
      <c r="H4077" s="55" t="s">
        <v>9384</v>
      </c>
      <c r="I4077" s="15" t="s">
        <v>214</v>
      </c>
    </row>
    <row r="4078" spans="1:9" ht="51.75" customHeight="1" x14ac:dyDescent="0.35">
      <c r="A4078" s="15" t="s">
        <v>22578</v>
      </c>
      <c r="B4078" s="15" t="s">
        <v>33193</v>
      </c>
      <c r="C4078" s="15" t="s">
        <v>33194</v>
      </c>
      <c r="D4078" s="31">
        <v>41806</v>
      </c>
      <c r="E4078" s="15" t="s">
        <v>33195</v>
      </c>
      <c r="F4078" s="87" t="s">
        <v>21871</v>
      </c>
      <c r="G4078" s="45" t="s">
        <v>9389</v>
      </c>
      <c r="H4078" s="55" t="s">
        <v>9390</v>
      </c>
      <c r="I4078" s="15" t="s">
        <v>214</v>
      </c>
    </row>
    <row r="4079" spans="1:9" ht="51.75" customHeight="1" x14ac:dyDescent="0.35">
      <c r="A4079" s="15" t="s">
        <v>22582</v>
      </c>
      <c r="B4079" s="15" t="s">
        <v>33196</v>
      </c>
      <c r="C4079" s="15" t="s">
        <v>33197</v>
      </c>
      <c r="D4079" s="31">
        <v>41806</v>
      </c>
      <c r="E4079" s="15" t="s">
        <v>33198</v>
      </c>
      <c r="F4079" s="87" t="s">
        <v>21871</v>
      </c>
      <c r="G4079" s="45" t="s">
        <v>9389</v>
      </c>
      <c r="H4079" s="55" t="s">
        <v>9390</v>
      </c>
      <c r="I4079" s="15" t="s">
        <v>214</v>
      </c>
    </row>
    <row r="4080" spans="1:9" ht="51.75" customHeight="1" x14ac:dyDescent="0.35">
      <c r="A4080" s="15" t="s">
        <v>22586</v>
      </c>
      <c r="B4080" s="15" t="s">
        <v>33199</v>
      </c>
      <c r="C4080" s="15" t="s">
        <v>33200</v>
      </c>
      <c r="D4080" s="31">
        <v>41806</v>
      </c>
      <c r="E4080" s="15" t="s">
        <v>33201</v>
      </c>
      <c r="F4080" s="87" t="s">
        <v>21871</v>
      </c>
      <c r="G4080" s="45" t="s">
        <v>9389</v>
      </c>
      <c r="H4080" s="55" t="s">
        <v>9390</v>
      </c>
      <c r="I4080" s="15" t="s">
        <v>214</v>
      </c>
    </row>
    <row r="4081" spans="1:9" ht="51.75" customHeight="1" x14ac:dyDescent="0.35">
      <c r="A4081" s="15" t="s">
        <v>26038</v>
      </c>
      <c r="B4081" s="15" t="s">
        <v>33202</v>
      </c>
      <c r="C4081" s="15" t="s">
        <v>33203</v>
      </c>
      <c r="D4081" s="31">
        <v>41806</v>
      </c>
      <c r="E4081" s="15" t="s">
        <v>33204</v>
      </c>
      <c r="F4081" s="87" t="s">
        <v>21871</v>
      </c>
      <c r="G4081" s="45" t="s">
        <v>9389</v>
      </c>
      <c r="H4081" s="55" t="s">
        <v>9390</v>
      </c>
      <c r="I4081" s="15" t="s">
        <v>214</v>
      </c>
    </row>
    <row r="4082" spans="1:9" ht="51.75" customHeight="1" x14ac:dyDescent="0.35">
      <c r="A4082" s="15" t="s">
        <v>24980</v>
      </c>
      <c r="B4082" s="15" t="s">
        <v>33205</v>
      </c>
      <c r="C4082" s="15" t="s">
        <v>33206</v>
      </c>
      <c r="D4082" s="31">
        <v>41935</v>
      </c>
      <c r="E4082" s="15" t="s">
        <v>33207</v>
      </c>
      <c r="F4082" s="87" t="s">
        <v>21871</v>
      </c>
      <c r="G4082" s="45" t="s">
        <v>9015</v>
      </c>
      <c r="H4082" s="55" t="s">
        <v>9016</v>
      </c>
      <c r="I4082" s="15" t="s">
        <v>214</v>
      </c>
    </row>
    <row r="4083" spans="1:9" ht="51.75" customHeight="1" x14ac:dyDescent="0.35">
      <c r="A4083" s="15" t="s">
        <v>24541</v>
      </c>
      <c r="B4083" s="15" t="s">
        <v>33208</v>
      </c>
      <c r="C4083" s="15" t="s">
        <v>33209</v>
      </c>
      <c r="D4083" s="31">
        <v>42051</v>
      </c>
      <c r="E4083" s="15" t="s">
        <v>33210</v>
      </c>
      <c r="F4083" s="87"/>
      <c r="G4083" s="45" t="s">
        <v>9549</v>
      </c>
      <c r="H4083" s="55" t="s">
        <v>9550</v>
      </c>
      <c r="I4083" s="15" t="s">
        <v>214</v>
      </c>
    </row>
    <row r="4084" spans="1:9" ht="51.75" customHeight="1" x14ac:dyDescent="0.35">
      <c r="A4084" s="15" t="s">
        <v>24536</v>
      </c>
      <c r="B4084" s="15" t="s">
        <v>33211</v>
      </c>
      <c r="C4084" s="15" t="s">
        <v>33212</v>
      </c>
      <c r="D4084" s="31">
        <v>42051</v>
      </c>
      <c r="E4084" s="15" t="s">
        <v>33213</v>
      </c>
      <c r="F4084" s="87"/>
      <c r="G4084" s="45" t="s">
        <v>9549</v>
      </c>
      <c r="H4084" s="55" t="s">
        <v>9550</v>
      </c>
      <c r="I4084" s="15" t="s">
        <v>214</v>
      </c>
    </row>
    <row r="4085" spans="1:9" ht="51.75" customHeight="1" x14ac:dyDescent="0.35">
      <c r="A4085" s="15" t="s">
        <v>24186</v>
      </c>
      <c r="B4085" s="15" t="s">
        <v>33214</v>
      </c>
      <c r="C4085" s="15" t="s">
        <v>33215</v>
      </c>
      <c r="D4085" s="31">
        <v>41655</v>
      </c>
      <c r="E4085" s="15" t="s">
        <v>33216</v>
      </c>
      <c r="F4085" s="87" t="s">
        <v>21871</v>
      </c>
      <c r="G4085" s="45" t="s">
        <v>9533</v>
      </c>
      <c r="H4085" s="55" t="s">
        <v>9534</v>
      </c>
      <c r="I4085" s="15" t="s">
        <v>214</v>
      </c>
    </row>
    <row r="4086" spans="1:9" ht="51.75" customHeight="1" x14ac:dyDescent="0.35">
      <c r="A4086" s="15" t="s">
        <v>24191</v>
      </c>
      <c r="B4086" s="15" t="s">
        <v>33217</v>
      </c>
      <c r="C4086" s="15" t="s">
        <v>33218</v>
      </c>
      <c r="D4086" s="31">
        <v>41963</v>
      </c>
      <c r="E4086" s="15" t="s">
        <v>33219</v>
      </c>
      <c r="F4086" s="87" t="s">
        <v>21871</v>
      </c>
      <c r="G4086" s="45" t="s">
        <v>9533</v>
      </c>
      <c r="H4086" s="55" t="s">
        <v>9534</v>
      </c>
      <c r="I4086" s="15" t="s">
        <v>214</v>
      </c>
    </row>
    <row r="4087" spans="1:9" ht="51.75" customHeight="1" x14ac:dyDescent="0.35">
      <c r="A4087" s="15" t="s">
        <v>24197</v>
      </c>
      <c r="B4087" s="15" t="s">
        <v>33220</v>
      </c>
      <c r="C4087" s="15" t="s">
        <v>33221</v>
      </c>
      <c r="D4087" s="31">
        <v>41963</v>
      </c>
      <c r="E4087" s="15" t="s">
        <v>33222</v>
      </c>
      <c r="F4087" s="87" t="s">
        <v>21871</v>
      </c>
      <c r="G4087" s="45" t="s">
        <v>9533</v>
      </c>
      <c r="H4087" s="55" t="s">
        <v>9534</v>
      </c>
      <c r="I4087" s="15" t="s">
        <v>214</v>
      </c>
    </row>
    <row r="4088" spans="1:9" ht="51.75" customHeight="1" x14ac:dyDescent="0.35">
      <c r="A4088" s="15" t="s">
        <v>23923</v>
      </c>
      <c r="B4088" s="15" t="s">
        <v>33223</v>
      </c>
      <c r="C4088" s="15" t="s">
        <v>33224</v>
      </c>
      <c r="D4088" s="31">
        <v>41935</v>
      </c>
      <c r="E4088" s="15" t="s">
        <v>33225</v>
      </c>
      <c r="F4088" s="87" t="s">
        <v>21871</v>
      </c>
      <c r="G4088" s="45" t="s">
        <v>9593</v>
      </c>
      <c r="H4088" s="55" t="s">
        <v>9594</v>
      </c>
      <c r="I4088" s="15" t="s">
        <v>214</v>
      </c>
    </row>
    <row r="4089" spans="1:9" ht="51.75" customHeight="1" x14ac:dyDescent="0.35">
      <c r="A4089" s="15" t="s">
        <v>24561</v>
      </c>
      <c r="B4089" s="15" t="s">
        <v>33226</v>
      </c>
      <c r="C4089" s="15" t="s">
        <v>33227</v>
      </c>
      <c r="D4089" s="31">
        <v>41725</v>
      </c>
      <c r="E4089" s="15" t="s">
        <v>33228</v>
      </c>
      <c r="F4089" s="87" t="s">
        <v>21871</v>
      </c>
      <c r="G4089" s="45" t="s">
        <v>8949</v>
      </c>
      <c r="H4089" s="55" t="s">
        <v>8950</v>
      </c>
      <c r="I4089" s="15" t="s">
        <v>214</v>
      </c>
    </row>
    <row r="4090" spans="1:9" ht="51.75" customHeight="1" x14ac:dyDescent="0.35">
      <c r="A4090" s="15" t="s">
        <v>28485</v>
      </c>
      <c r="B4090" s="15" t="s">
        <v>33229</v>
      </c>
      <c r="C4090" s="15" t="s">
        <v>33230</v>
      </c>
      <c r="D4090" s="31">
        <v>41725</v>
      </c>
      <c r="E4090" s="15" t="s">
        <v>33231</v>
      </c>
      <c r="F4090" s="87" t="s">
        <v>21871</v>
      </c>
      <c r="G4090" s="45" t="s">
        <v>8949</v>
      </c>
      <c r="H4090" s="55" t="s">
        <v>8950</v>
      </c>
      <c r="I4090" s="15" t="s">
        <v>214</v>
      </c>
    </row>
    <row r="4091" spans="1:9" ht="51.75" customHeight="1" x14ac:dyDescent="0.35">
      <c r="A4091" s="15" t="s">
        <v>32212</v>
      </c>
      <c r="B4091" s="15" t="s">
        <v>33232</v>
      </c>
      <c r="C4091" s="15" t="s">
        <v>33233</v>
      </c>
      <c r="D4091" s="31">
        <v>41725</v>
      </c>
      <c r="E4091" s="15" t="s">
        <v>33234</v>
      </c>
      <c r="F4091" s="87" t="s">
        <v>21871</v>
      </c>
      <c r="G4091" s="45" t="s">
        <v>8949</v>
      </c>
      <c r="H4091" s="55" t="s">
        <v>8950</v>
      </c>
      <c r="I4091" s="15" t="s">
        <v>214</v>
      </c>
    </row>
    <row r="4092" spans="1:9" ht="51.75" customHeight="1" x14ac:dyDescent="0.35">
      <c r="A4092" s="15" t="s">
        <v>28043</v>
      </c>
      <c r="B4092" s="15" t="s">
        <v>33235</v>
      </c>
      <c r="C4092" s="15" t="s">
        <v>33236</v>
      </c>
      <c r="D4092" s="31">
        <v>41995</v>
      </c>
      <c r="E4092" s="15" t="s">
        <v>33237</v>
      </c>
      <c r="F4092" s="87" t="s">
        <v>21871</v>
      </c>
      <c r="G4092" s="45" t="s">
        <v>9718</v>
      </c>
      <c r="H4092" s="55" t="s">
        <v>9719</v>
      </c>
      <c r="I4092" s="15" t="s">
        <v>214</v>
      </c>
    </row>
    <row r="4093" spans="1:9" ht="51.75" customHeight="1" x14ac:dyDescent="0.35">
      <c r="A4093" s="15" t="s">
        <v>22858</v>
      </c>
      <c r="B4093" s="15" t="s">
        <v>33238</v>
      </c>
      <c r="C4093" s="15" t="s">
        <v>33239</v>
      </c>
      <c r="D4093" s="31">
        <v>41995</v>
      </c>
      <c r="E4093" s="15" t="s">
        <v>33240</v>
      </c>
      <c r="F4093" s="87" t="s">
        <v>21871</v>
      </c>
      <c r="G4093" s="45" t="s">
        <v>9718</v>
      </c>
      <c r="H4093" s="55" t="s">
        <v>9719</v>
      </c>
      <c r="I4093" s="15" t="s">
        <v>214</v>
      </c>
    </row>
    <row r="4094" spans="1:9" ht="51.75" customHeight="1" x14ac:dyDescent="0.35">
      <c r="A4094" s="15" t="s">
        <v>22862</v>
      </c>
      <c r="B4094" s="15" t="s">
        <v>33241</v>
      </c>
      <c r="C4094" s="15" t="s">
        <v>33242</v>
      </c>
      <c r="D4094" s="31">
        <v>41995</v>
      </c>
      <c r="E4094" s="15" t="s">
        <v>33243</v>
      </c>
      <c r="F4094" s="87" t="s">
        <v>21871</v>
      </c>
      <c r="G4094" s="45" t="s">
        <v>9718</v>
      </c>
      <c r="H4094" s="55" t="s">
        <v>9719</v>
      </c>
      <c r="I4094" s="15" t="s">
        <v>214</v>
      </c>
    </row>
    <row r="4095" spans="1:9" ht="51.75" customHeight="1" x14ac:dyDescent="0.35">
      <c r="A4095" s="15" t="s">
        <v>26591</v>
      </c>
      <c r="B4095" s="15" t="s">
        <v>33244</v>
      </c>
      <c r="C4095" s="15" t="s">
        <v>33245</v>
      </c>
      <c r="D4095" s="31">
        <v>42145</v>
      </c>
      <c r="E4095" s="15" t="s">
        <v>33246</v>
      </c>
      <c r="F4095" s="87" t="s">
        <v>21871</v>
      </c>
      <c r="G4095" s="45" t="s">
        <v>9894</v>
      </c>
      <c r="H4095" s="55" t="s">
        <v>9895</v>
      </c>
      <c r="I4095" s="15" t="s">
        <v>214</v>
      </c>
    </row>
    <row r="4096" spans="1:9" ht="51.75" customHeight="1" x14ac:dyDescent="0.35">
      <c r="A4096" s="15" t="s">
        <v>26594</v>
      </c>
      <c r="B4096" s="15" t="s">
        <v>33247</v>
      </c>
      <c r="C4096" s="15" t="s">
        <v>33248</v>
      </c>
      <c r="D4096" s="31">
        <v>42145</v>
      </c>
      <c r="E4096" s="15" t="s">
        <v>33249</v>
      </c>
      <c r="F4096" s="87" t="s">
        <v>21871</v>
      </c>
      <c r="G4096" s="45" t="s">
        <v>9894</v>
      </c>
      <c r="H4096" s="55" t="s">
        <v>9895</v>
      </c>
      <c r="I4096" s="15" t="s">
        <v>214</v>
      </c>
    </row>
    <row r="4097" spans="1:9" ht="51.75" customHeight="1" x14ac:dyDescent="0.35">
      <c r="A4097" s="15" t="s">
        <v>26597</v>
      </c>
      <c r="B4097" s="15" t="s">
        <v>33250</v>
      </c>
      <c r="C4097" s="15" t="s">
        <v>33251</v>
      </c>
      <c r="D4097" s="31">
        <v>42145</v>
      </c>
      <c r="E4097" s="15" t="s">
        <v>33252</v>
      </c>
      <c r="F4097" s="87" t="s">
        <v>21871</v>
      </c>
      <c r="G4097" s="45" t="s">
        <v>9894</v>
      </c>
      <c r="H4097" s="55" t="s">
        <v>9895</v>
      </c>
      <c r="I4097" s="15" t="s">
        <v>214</v>
      </c>
    </row>
    <row r="4098" spans="1:9" ht="51.75" customHeight="1" x14ac:dyDescent="0.35">
      <c r="A4098" s="15" t="s">
        <v>26600</v>
      </c>
      <c r="B4098" s="15" t="s">
        <v>33253</v>
      </c>
      <c r="C4098" s="15" t="s">
        <v>33254</v>
      </c>
      <c r="D4098" s="31">
        <v>42145</v>
      </c>
      <c r="E4098" s="15" t="s">
        <v>31771</v>
      </c>
      <c r="F4098" s="87" t="s">
        <v>21871</v>
      </c>
      <c r="G4098" s="45" t="s">
        <v>9894</v>
      </c>
      <c r="H4098" s="55" t="s">
        <v>9895</v>
      </c>
      <c r="I4098" s="15" t="s">
        <v>214</v>
      </c>
    </row>
    <row r="4099" spans="1:9" ht="51.75" customHeight="1" x14ac:dyDescent="0.35">
      <c r="A4099" s="15" t="s">
        <v>22186</v>
      </c>
      <c r="B4099" s="15" t="s">
        <v>33255</v>
      </c>
      <c r="C4099" s="15" t="s">
        <v>33256</v>
      </c>
      <c r="D4099" s="31">
        <v>42228</v>
      </c>
      <c r="E4099" s="15" t="s">
        <v>33257</v>
      </c>
      <c r="F4099" s="87" t="s">
        <v>21871</v>
      </c>
      <c r="G4099" s="45" t="s">
        <v>9748</v>
      </c>
      <c r="H4099" s="55" t="s">
        <v>9749</v>
      </c>
      <c r="I4099" s="15" t="s">
        <v>214</v>
      </c>
    </row>
    <row r="4100" spans="1:9" ht="51.75" customHeight="1" x14ac:dyDescent="0.35">
      <c r="A4100" s="15" t="s">
        <v>26128</v>
      </c>
      <c r="B4100" s="15" t="s">
        <v>33258</v>
      </c>
      <c r="C4100" s="15" t="s">
        <v>33259</v>
      </c>
      <c r="D4100" s="31">
        <v>42228</v>
      </c>
      <c r="E4100" s="15" t="s">
        <v>33260</v>
      </c>
      <c r="F4100" s="87" t="s">
        <v>21871</v>
      </c>
      <c r="G4100" s="45" t="s">
        <v>9748</v>
      </c>
      <c r="H4100" s="55" t="s">
        <v>9749</v>
      </c>
      <c r="I4100" s="15" t="s">
        <v>214</v>
      </c>
    </row>
    <row r="4101" spans="1:9" ht="51.75" customHeight="1" x14ac:dyDescent="0.35">
      <c r="A4101" s="15" t="s">
        <v>26132</v>
      </c>
      <c r="B4101" s="15" t="s">
        <v>33261</v>
      </c>
      <c r="C4101" s="15" t="s">
        <v>33262</v>
      </c>
      <c r="D4101" s="31">
        <v>42228</v>
      </c>
      <c r="E4101" s="15" t="s">
        <v>33263</v>
      </c>
      <c r="F4101" s="87" t="s">
        <v>21871</v>
      </c>
      <c r="G4101" s="45" t="s">
        <v>9748</v>
      </c>
      <c r="H4101" s="55" t="s">
        <v>9749</v>
      </c>
      <c r="I4101" s="15" t="s">
        <v>214</v>
      </c>
    </row>
    <row r="4102" spans="1:9" ht="51.75" customHeight="1" x14ac:dyDescent="0.35">
      <c r="A4102" s="15" t="s">
        <v>23598</v>
      </c>
      <c r="B4102" s="15" t="s">
        <v>33264</v>
      </c>
      <c r="C4102" s="15" t="s">
        <v>33265</v>
      </c>
      <c r="D4102" s="31">
        <v>42228</v>
      </c>
      <c r="E4102" s="15" t="s">
        <v>33266</v>
      </c>
      <c r="F4102" s="87" t="s">
        <v>21871</v>
      </c>
      <c r="G4102" s="45" t="s">
        <v>9748</v>
      </c>
      <c r="H4102" s="55" t="s">
        <v>9749</v>
      </c>
      <c r="I4102" s="15" t="s">
        <v>214</v>
      </c>
    </row>
    <row r="4103" spans="1:9" ht="51.75" customHeight="1" x14ac:dyDescent="0.35">
      <c r="A4103" s="15" t="s">
        <v>23602</v>
      </c>
      <c r="B4103" s="15" t="s">
        <v>33267</v>
      </c>
      <c r="C4103" s="15" t="s">
        <v>33268</v>
      </c>
      <c r="D4103" s="31">
        <v>42228</v>
      </c>
      <c r="E4103" s="15" t="s">
        <v>33269</v>
      </c>
      <c r="F4103" s="87" t="s">
        <v>21871</v>
      </c>
      <c r="G4103" s="45" t="s">
        <v>9748</v>
      </c>
      <c r="H4103" s="55" t="s">
        <v>9749</v>
      </c>
      <c r="I4103" s="15" t="s">
        <v>214</v>
      </c>
    </row>
    <row r="4104" spans="1:9" ht="51.75" customHeight="1" x14ac:dyDescent="0.35">
      <c r="A4104" s="15" t="s">
        <v>23606</v>
      </c>
      <c r="B4104" s="15" t="s">
        <v>33270</v>
      </c>
      <c r="C4104" s="15" t="s">
        <v>33271</v>
      </c>
      <c r="D4104" s="31">
        <v>42228</v>
      </c>
      <c r="E4104" s="15" t="s">
        <v>33272</v>
      </c>
      <c r="F4104" s="87" t="s">
        <v>21871</v>
      </c>
      <c r="G4104" s="45" t="s">
        <v>9748</v>
      </c>
      <c r="H4104" s="55" t="s">
        <v>9749</v>
      </c>
      <c r="I4104" s="15" t="s">
        <v>214</v>
      </c>
    </row>
    <row r="4105" spans="1:9" ht="51.75" customHeight="1" x14ac:dyDescent="0.35">
      <c r="A4105" s="15" t="s">
        <v>22445</v>
      </c>
      <c r="B4105" s="15" t="s">
        <v>33273</v>
      </c>
      <c r="C4105" s="15" t="s">
        <v>33274</v>
      </c>
      <c r="D4105" s="31">
        <v>42124</v>
      </c>
      <c r="E4105" s="15" t="s">
        <v>33275</v>
      </c>
      <c r="F4105" s="87" t="s">
        <v>21871</v>
      </c>
      <c r="G4105" s="45" t="s">
        <v>9922</v>
      </c>
      <c r="H4105" s="55" t="s">
        <v>9923</v>
      </c>
      <c r="I4105" s="15" t="s">
        <v>214</v>
      </c>
    </row>
    <row r="4106" spans="1:9" ht="51.75" customHeight="1" x14ac:dyDescent="0.35">
      <c r="A4106" s="15" t="s">
        <v>22449</v>
      </c>
      <c r="B4106" s="15" t="s">
        <v>33276</v>
      </c>
      <c r="C4106" s="15" t="s">
        <v>33277</v>
      </c>
      <c r="D4106" s="31">
        <v>42124</v>
      </c>
      <c r="E4106" s="15" t="s">
        <v>33278</v>
      </c>
      <c r="F4106" s="87" t="s">
        <v>21871</v>
      </c>
      <c r="G4106" s="45" t="s">
        <v>9922</v>
      </c>
      <c r="H4106" s="55" t="s">
        <v>9923</v>
      </c>
      <c r="I4106" s="15" t="s">
        <v>214</v>
      </c>
    </row>
    <row r="4107" spans="1:9" ht="51.75" customHeight="1" x14ac:dyDescent="0.35">
      <c r="A4107" s="15" t="s">
        <v>22453</v>
      </c>
      <c r="B4107" s="15" t="s">
        <v>33279</v>
      </c>
      <c r="C4107" s="15" t="s">
        <v>33280</v>
      </c>
      <c r="D4107" s="31">
        <v>42124</v>
      </c>
      <c r="E4107" s="15" t="s">
        <v>33281</v>
      </c>
      <c r="F4107" s="87" t="s">
        <v>21871</v>
      </c>
      <c r="G4107" s="45" t="s">
        <v>9922</v>
      </c>
      <c r="H4107" s="55" t="s">
        <v>9923</v>
      </c>
      <c r="I4107" s="15" t="s">
        <v>214</v>
      </c>
    </row>
    <row r="4108" spans="1:9" ht="51.75" customHeight="1" x14ac:dyDescent="0.35">
      <c r="A4108" s="15" t="s">
        <v>22059</v>
      </c>
      <c r="B4108" s="15" t="s">
        <v>33282</v>
      </c>
      <c r="C4108" s="15" t="s">
        <v>33283</v>
      </c>
      <c r="D4108" s="31">
        <v>42124</v>
      </c>
      <c r="E4108" s="15" t="s">
        <v>33284</v>
      </c>
      <c r="F4108" s="87" t="s">
        <v>21871</v>
      </c>
      <c r="G4108" s="45" t="s">
        <v>9922</v>
      </c>
      <c r="H4108" s="55" t="s">
        <v>9923</v>
      </c>
      <c r="I4108" s="15" t="s">
        <v>214</v>
      </c>
    </row>
    <row r="4109" spans="1:9" ht="51.75" customHeight="1" x14ac:dyDescent="0.35">
      <c r="A4109" s="15" t="s">
        <v>22077</v>
      </c>
      <c r="B4109" s="15" t="s">
        <v>33285</v>
      </c>
      <c r="C4109" s="15" t="s">
        <v>33286</v>
      </c>
      <c r="D4109" s="31">
        <v>42124</v>
      </c>
      <c r="E4109" s="15" t="s">
        <v>33287</v>
      </c>
      <c r="F4109" s="87" t="s">
        <v>21871</v>
      </c>
      <c r="G4109" s="45" t="s">
        <v>9922</v>
      </c>
      <c r="H4109" s="55" t="s">
        <v>9923</v>
      </c>
      <c r="I4109" s="15" t="s">
        <v>214</v>
      </c>
    </row>
    <row r="4110" spans="1:9" ht="51.75" customHeight="1" x14ac:dyDescent="0.35">
      <c r="A4110" s="15" t="s">
        <v>26603</v>
      </c>
      <c r="B4110" s="15" t="s">
        <v>33288</v>
      </c>
      <c r="C4110" s="15" t="s">
        <v>33289</v>
      </c>
      <c r="D4110" s="31">
        <v>42152</v>
      </c>
      <c r="E4110" s="15" t="s">
        <v>33290</v>
      </c>
      <c r="F4110" s="87" t="s">
        <v>21871</v>
      </c>
      <c r="G4110" s="45" t="s">
        <v>9882</v>
      </c>
      <c r="H4110" s="55" t="s">
        <v>9883</v>
      </c>
      <c r="I4110" s="15" t="s">
        <v>214</v>
      </c>
    </row>
    <row r="4111" spans="1:9" ht="51.75" customHeight="1" x14ac:dyDescent="0.35">
      <c r="A4111" s="15" t="s">
        <v>26606</v>
      </c>
      <c r="B4111" s="15" t="s">
        <v>33291</v>
      </c>
      <c r="C4111" s="15" t="s">
        <v>33292</v>
      </c>
      <c r="D4111" s="31">
        <v>42152</v>
      </c>
      <c r="E4111" s="15" t="s">
        <v>33293</v>
      </c>
      <c r="F4111" s="87" t="s">
        <v>21871</v>
      </c>
      <c r="G4111" s="45" t="s">
        <v>9882</v>
      </c>
      <c r="H4111" s="55" t="s">
        <v>9883</v>
      </c>
      <c r="I4111" s="15" t="s">
        <v>214</v>
      </c>
    </row>
    <row r="4112" spans="1:9" ht="51.75" customHeight="1" x14ac:dyDescent="0.35">
      <c r="A4112" s="15" t="s">
        <v>22081</v>
      </c>
      <c r="B4112" s="15" t="s">
        <v>33294</v>
      </c>
      <c r="C4112" s="15" t="s">
        <v>33295</v>
      </c>
      <c r="D4112" s="31">
        <v>42152</v>
      </c>
      <c r="E4112" s="15" t="s">
        <v>33296</v>
      </c>
      <c r="F4112" s="87" t="s">
        <v>21871</v>
      </c>
      <c r="G4112" s="45" t="s">
        <v>9882</v>
      </c>
      <c r="H4112" s="55" t="s">
        <v>9883</v>
      </c>
      <c r="I4112" s="15" t="s">
        <v>214</v>
      </c>
    </row>
    <row r="4113" spans="1:9" ht="51.75" customHeight="1" x14ac:dyDescent="0.35">
      <c r="A4113" s="15" t="s">
        <v>22870</v>
      </c>
      <c r="B4113" s="15" t="s">
        <v>33297</v>
      </c>
      <c r="C4113" s="15" t="s">
        <v>33298</v>
      </c>
      <c r="D4113" s="31">
        <v>42152</v>
      </c>
      <c r="E4113" s="15" t="s">
        <v>33299</v>
      </c>
      <c r="F4113" s="87" t="s">
        <v>21871</v>
      </c>
      <c r="G4113" s="45" t="s">
        <v>9882</v>
      </c>
      <c r="H4113" s="55" t="s">
        <v>9883</v>
      </c>
      <c r="I4113" s="15" t="s">
        <v>214</v>
      </c>
    </row>
    <row r="4114" spans="1:9" ht="51.75" customHeight="1" x14ac:dyDescent="0.35">
      <c r="A4114" s="15" t="s">
        <v>22023</v>
      </c>
      <c r="B4114" s="15" t="s">
        <v>33300</v>
      </c>
      <c r="C4114" s="15" t="s">
        <v>33301</v>
      </c>
      <c r="D4114" s="31">
        <v>42152</v>
      </c>
      <c r="E4114" s="15" t="s">
        <v>33302</v>
      </c>
      <c r="F4114" s="87" t="s">
        <v>21871</v>
      </c>
      <c r="G4114" s="45" t="s">
        <v>9882</v>
      </c>
      <c r="H4114" s="55" t="s">
        <v>9883</v>
      </c>
      <c r="I4114" s="15" t="s">
        <v>214</v>
      </c>
    </row>
    <row r="4115" spans="1:9" ht="51.75" customHeight="1" x14ac:dyDescent="0.35">
      <c r="A4115" s="15" t="s">
        <v>22877</v>
      </c>
      <c r="B4115" s="15" t="s">
        <v>33303</v>
      </c>
      <c r="C4115" s="15" t="s">
        <v>33304</v>
      </c>
      <c r="D4115" s="31">
        <v>42152</v>
      </c>
      <c r="E4115" s="15" t="s">
        <v>33305</v>
      </c>
      <c r="F4115" s="87" t="s">
        <v>21871</v>
      </c>
      <c r="G4115" s="45" t="s">
        <v>9882</v>
      </c>
      <c r="H4115" s="55" t="s">
        <v>9883</v>
      </c>
      <c r="I4115" s="15" t="s">
        <v>214</v>
      </c>
    </row>
    <row r="4116" spans="1:9" ht="51.75" customHeight="1" x14ac:dyDescent="0.35">
      <c r="A4116" s="15" t="s">
        <v>26618</v>
      </c>
      <c r="B4116" s="15" t="s">
        <v>33306</v>
      </c>
      <c r="C4116" s="15" t="s">
        <v>33307</v>
      </c>
      <c r="D4116" s="31">
        <v>42170</v>
      </c>
      <c r="E4116" s="15" t="s">
        <v>33308</v>
      </c>
      <c r="F4116" s="87" t="s">
        <v>21871</v>
      </c>
      <c r="G4116" s="45" t="s">
        <v>10003</v>
      </c>
      <c r="H4116" s="55" t="s">
        <v>10004</v>
      </c>
      <c r="I4116" s="15" t="s">
        <v>214</v>
      </c>
    </row>
    <row r="4117" spans="1:9" ht="51.75" customHeight="1" x14ac:dyDescent="0.35">
      <c r="A4117" s="15" t="s">
        <v>25723</v>
      </c>
      <c r="B4117" s="15" t="s">
        <v>33309</v>
      </c>
      <c r="C4117" s="15" t="s">
        <v>33310</v>
      </c>
      <c r="D4117" s="31">
        <v>42170</v>
      </c>
      <c r="E4117" s="15" t="s">
        <v>33311</v>
      </c>
      <c r="F4117" s="87" t="s">
        <v>21871</v>
      </c>
      <c r="G4117" s="45" t="s">
        <v>10003</v>
      </c>
      <c r="H4117" s="55" t="s">
        <v>10004</v>
      </c>
      <c r="I4117" s="15" t="s">
        <v>214</v>
      </c>
    </row>
    <row r="4118" spans="1:9" ht="51.75" customHeight="1" x14ac:dyDescent="0.35">
      <c r="A4118" s="15" t="s">
        <v>24561</v>
      </c>
      <c r="B4118" s="15" t="s">
        <v>33312</v>
      </c>
      <c r="C4118" s="15" t="s">
        <v>33313</v>
      </c>
      <c r="D4118" s="31">
        <v>42170</v>
      </c>
      <c r="E4118" s="15" t="s">
        <v>33314</v>
      </c>
      <c r="F4118" s="87" t="s">
        <v>21871</v>
      </c>
      <c r="G4118" s="45" t="s">
        <v>10003</v>
      </c>
      <c r="H4118" s="55" t="s">
        <v>10004</v>
      </c>
      <c r="I4118" s="15" t="s">
        <v>214</v>
      </c>
    </row>
    <row r="4119" spans="1:9" ht="51.75" customHeight="1" x14ac:dyDescent="0.35">
      <c r="A4119" s="15" t="s">
        <v>25689</v>
      </c>
      <c r="B4119" s="15" t="s">
        <v>33315</v>
      </c>
      <c r="C4119" s="15" t="s">
        <v>26350</v>
      </c>
      <c r="D4119" s="31">
        <v>42215</v>
      </c>
      <c r="E4119" s="15" t="s">
        <v>33316</v>
      </c>
      <c r="F4119" s="87" t="s">
        <v>21871</v>
      </c>
      <c r="G4119" s="45" t="s">
        <v>10194</v>
      </c>
      <c r="H4119" s="55" t="s">
        <v>10195</v>
      </c>
      <c r="I4119" s="15" t="s">
        <v>214</v>
      </c>
    </row>
    <row r="4120" spans="1:9" ht="51.75" customHeight="1" x14ac:dyDescent="0.35">
      <c r="A4120" s="15" t="s">
        <v>25695</v>
      </c>
      <c r="B4120" s="15" t="s">
        <v>33317</v>
      </c>
      <c r="C4120" s="15" t="s">
        <v>33318</v>
      </c>
      <c r="D4120" s="31">
        <v>42215</v>
      </c>
      <c r="E4120" s="15" t="s">
        <v>33319</v>
      </c>
      <c r="F4120" s="87" t="s">
        <v>21871</v>
      </c>
      <c r="G4120" s="45" t="s">
        <v>10194</v>
      </c>
      <c r="H4120" s="55" t="s">
        <v>10195</v>
      </c>
      <c r="I4120" s="15" t="s">
        <v>214</v>
      </c>
    </row>
    <row r="4121" spans="1:9" ht="51.75" customHeight="1" x14ac:dyDescent="0.35">
      <c r="A4121" s="15" t="s">
        <v>33320</v>
      </c>
      <c r="B4121" s="15" t="s">
        <v>33321</v>
      </c>
      <c r="C4121" s="15" t="s">
        <v>33322</v>
      </c>
      <c r="D4121" s="31">
        <v>42215</v>
      </c>
      <c r="E4121" s="15" t="s">
        <v>33323</v>
      </c>
      <c r="F4121" s="87" t="s">
        <v>21871</v>
      </c>
      <c r="G4121" s="45" t="s">
        <v>10194</v>
      </c>
      <c r="H4121" s="55" t="s">
        <v>10195</v>
      </c>
      <c r="I4121" s="15" t="s">
        <v>214</v>
      </c>
    </row>
    <row r="4122" spans="1:9" ht="51.75" customHeight="1" x14ac:dyDescent="0.35">
      <c r="A4122" s="15" t="s">
        <v>23706</v>
      </c>
      <c r="B4122" s="15" t="s">
        <v>33324</v>
      </c>
      <c r="C4122" s="15" t="s">
        <v>33325</v>
      </c>
      <c r="D4122" s="31">
        <v>42201</v>
      </c>
      <c r="E4122" s="15" t="s">
        <v>33326</v>
      </c>
      <c r="F4122" s="87" t="s">
        <v>21871</v>
      </c>
      <c r="G4122" s="45" t="s">
        <v>10345</v>
      </c>
      <c r="H4122" s="55" t="s">
        <v>10346</v>
      </c>
      <c r="I4122" s="15" t="s">
        <v>214</v>
      </c>
    </row>
    <row r="4123" spans="1:9" ht="51.75" customHeight="1" x14ac:dyDescent="0.35">
      <c r="A4123" s="15" t="s">
        <v>22091</v>
      </c>
      <c r="B4123" s="15" t="s">
        <v>33327</v>
      </c>
      <c r="C4123" s="15" t="s">
        <v>33328</v>
      </c>
      <c r="D4123" s="31">
        <v>42201</v>
      </c>
      <c r="E4123" s="15" t="s">
        <v>33329</v>
      </c>
      <c r="F4123" s="87" t="s">
        <v>21871</v>
      </c>
      <c r="G4123" s="45" t="s">
        <v>10345</v>
      </c>
      <c r="H4123" s="55" t="s">
        <v>10346</v>
      </c>
      <c r="I4123" s="15" t="s">
        <v>214</v>
      </c>
    </row>
    <row r="4124" spans="1:9" ht="51.75" customHeight="1" x14ac:dyDescent="0.35">
      <c r="A4124" s="15" t="s">
        <v>28485</v>
      </c>
      <c r="B4124" s="15" t="s">
        <v>33330</v>
      </c>
      <c r="C4124" s="15" t="s">
        <v>33331</v>
      </c>
      <c r="D4124" s="31">
        <v>42179</v>
      </c>
      <c r="E4124" s="15" t="s">
        <v>33332</v>
      </c>
      <c r="F4124" s="87" t="s">
        <v>21871</v>
      </c>
      <c r="G4124" s="45" t="s">
        <v>10351</v>
      </c>
      <c r="H4124" s="55" t="s">
        <v>10352</v>
      </c>
      <c r="I4124" s="15" t="s">
        <v>214</v>
      </c>
    </row>
    <row r="4125" spans="1:9" ht="51.75" customHeight="1" x14ac:dyDescent="0.35">
      <c r="A4125" s="15" t="s">
        <v>32212</v>
      </c>
      <c r="B4125" s="15" t="s">
        <v>33333</v>
      </c>
      <c r="C4125" s="15" t="s">
        <v>33334</v>
      </c>
      <c r="D4125" s="31">
        <v>42179</v>
      </c>
      <c r="E4125" s="15" t="s">
        <v>33335</v>
      </c>
      <c r="F4125" s="87" t="s">
        <v>21871</v>
      </c>
      <c r="G4125" s="45" t="s">
        <v>10351</v>
      </c>
      <c r="H4125" s="55" t="s">
        <v>10352</v>
      </c>
      <c r="I4125" s="15" t="s">
        <v>214</v>
      </c>
    </row>
    <row r="4126" spans="1:9" ht="51.75" customHeight="1" x14ac:dyDescent="0.35">
      <c r="A4126" s="15" t="s">
        <v>29317</v>
      </c>
      <c r="B4126" s="15" t="s">
        <v>33336</v>
      </c>
      <c r="C4126" s="15" t="s">
        <v>33337</v>
      </c>
      <c r="D4126" s="31">
        <v>42222</v>
      </c>
      <c r="E4126" s="15" t="s">
        <v>33338</v>
      </c>
      <c r="F4126" s="87" t="s">
        <v>21871</v>
      </c>
      <c r="G4126" s="45" t="s">
        <v>10381</v>
      </c>
      <c r="H4126" s="55" t="s">
        <v>10382</v>
      </c>
      <c r="I4126" s="15" t="s">
        <v>214</v>
      </c>
    </row>
    <row r="4127" spans="1:9" ht="51.75" customHeight="1" x14ac:dyDescent="0.35">
      <c r="A4127" s="15" t="s">
        <v>23511</v>
      </c>
      <c r="B4127" s="15" t="s">
        <v>33339</v>
      </c>
      <c r="C4127" s="15" t="s">
        <v>33340</v>
      </c>
      <c r="D4127" s="31">
        <v>42222</v>
      </c>
      <c r="E4127" s="15" t="s">
        <v>33341</v>
      </c>
      <c r="F4127" s="87" t="s">
        <v>21871</v>
      </c>
      <c r="G4127" s="45" t="s">
        <v>10381</v>
      </c>
      <c r="H4127" s="55" t="s">
        <v>10382</v>
      </c>
      <c r="I4127" s="15" t="s">
        <v>214</v>
      </c>
    </row>
    <row r="4128" spans="1:9" ht="51.75" customHeight="1" x14ac:dyDescent="0.35">
      <c r="A4128" s="15" t="s">
        <v>23514</v>
      </c>
      <c r="B4128" s="15" t="s">
        <v>33342</v>
      </c>
      <c r="C4128" s="15" t="s">
        <v>33343</v>
      </c>
      <c r="D4128" s="31">
        <v>42222</v>
      </c>
      <c r="E4128" s="15" t="s">
        <v>33344</v>
      </c>
      <c r="F4128" s="87" t="s">
        <v>21871</v>
      </c>
      <c r="G4128" s="45" t="s">
        <v>10381</v>
      </c>
      <c r="H4128" s="55" t="s">
        <v>10382</v>
      </c>
      <c r="I4128" s="15" t="s">
        <v>214</v>
      </c>
    </row>
    <row r="4129" spans="1:9" ht="51.75" customHeight="1" x14ac:dyDescent="0.35">
      <c r="A4129" s="15" t="s">
        <v>33345</v>
      </c>
      <c r="B4129" s="15" t="s">
        <v>33346</v>
      </c>
      <c r="C4129" s="15" t="s">
        <v>33347</v>
      </c>
      <c r="D4129" s="31">
        <v>42229</v>
      </c>
      <c r="E4129" s="15" t="s">
        <v>33348</v>
      </c>
      <c r="F4129" s="87" t="s">
        <v>21871</v>
      </c>
      <c r="G4129" s="45" t="s">
        <v>10432</v>
      </c>
      <c r="H4129" s="55" t="s">
        <v>10433</v>
      </c>
      <c r="I4129" s="15" t="s">
        <v>214</v>
      </c>
    </row>
    <row r="4130" spans="1:9" ht="51.75" customHeight="1" x14ac:dyDescent="0.35">
      <c r="A4130" s="15" t="s">
        <v>33349</v>
      </c>
      <c r="B4130" s="15" t="s">
        <v>33350</v>
      </c>
      <c r="C4130" s="15" t="s">
        <v>33351</v>
      </c>
      <c r="D4130" s="31">
        <v>42229</v>
      </c>
      <c r="E4130" s="15" t="s">
        <v>33352</v>
      </c>
      <c r="F4130" s="87" t="s">
        <v>21871</v>
      </c>
      <c r="G4130" s="45" t="s">
        <v>10432</v>
      </c>
      <c r="H4130" s="55" t="s">
        <v>10433</v>
      </c>
      <c r="I4130" s="15" t="s">
        <v>214</v>
      </c>
    </row>
    <row r="4131" spans="1:9" ht="51.75" customHeight="1" x14ac:dyDescent="0.35">
      <c r="A4131" s="15" t="s">
        <v>23636</v>
      </c>
      <c r="B4131" s="15" t="s">
        <v>33353</v>
      </c>
      <c r="C4131" s="15" t="s">
        <v>33354</v>
      </c>
      <c r="D4131" s="31">
        <v>42229</v>
      </c>
      <c r="E4131" s="15" t="s">
        <v>33355</v>
      </c>
      <c r="F4131" s="87" t="s">
        <v>21871</v>
      </c>
      <c r="G4131" s="45" t="s">
        <v>10432</v>
      </c>
      <c r="H4131" s="55" t="s">
        <v>10433</v>
      </c>
      <c r="I4131" s="15" t="s">
        <v>214</v>
      </c>
    </row>
    <row r="4132" spans="1:9" ht="51.75" customHeight="1" x14ac:dyDescent="0.35">
      <c r="A4132" s="15" t="s">
        <v>25543</v>
      </c>
      <c r="B4132" s="15" t="s">
        <v>33356</v>
      </c>
      <c r="C4132" s="15" t="s">
        <v>33357</v>
      </c>
      <c r="D4132" s="31">
        <v>42229</v>
      </c>
      <c r="E4132" s="15" t="s">
        <v>33358</v>
      </c>
      <c r="F4132" s="87" t="s">
        <v>21871</v>
      </c>
      <c r="G4132" s="45" t="s">
        <v>10432</v>
      </c>
      <c r="H4132" s="55" t="s">
        <v>10433</v>
      </c>
      <c r="I4132" s="15" t="s">
        <v>214</v>
      </c>
    </row>
    <row r="4133" spans="1:9" ht="51.75" customHeight="1" x14ac:dyDescent="0.35">
      <c r="A4133" s="15" t="s">
        <v>25549</v>
      </c>
      <c r="B4133" s="15" t="s">
        <v>33359</v>
      </c>
      <c r="C4133" s="15" t="s">
        <v>33360</v>
      </c>
      <c r="D4133" s="31">
        <v>42229</v>
      </c>
      <c r="E4133" s="15" t="s">
        <v>33361</v>
      </c>
      <c r="F4133" s="87" t="s">
        <v>21871</v>
      </c>
      <c r="G4133" s="45" t="s">
        <v>10432</v>
      </c>
      <c r="H4133" s="55" t="s">
        <v>10433</v>
      </c>
      <c r="I4133" s="15" t="s">
        <v>214</v>
      </c>
    </row>
    <row r="4134" spans="1:9" ht="51.75" customHeight="1" x14ac:dyDescent="0.35">
      <c r="A4134" s="15" t="s">
        <v>25555</v>
      </c>
      <c r="B4134" s="15" t="s">
        <v>33362</v>
      </c>
      <c r="C4134" s="15" t="s">
        <v>33363</v>
      </c>
      <c r="D4134" s="31">
        <v>42229</v>
      </c>
      <c r="E4134" s="15" t="s">
        <v>33364</v>
      </c>
      <c r="F4134" s="87" t="s">
        <v>21871</v>
      </c>
      <c r="G4134" s="45" t="s">
        <v>10432</v>
      </c>
      <c r="H4134" s="55" t="s">
        <v>10433</v>
      </c>
      <c r="I4134" s="15" t="s">
        <v>214</v>
      </c>
    </row>
    <row r="4135" spans="1:9" ht="51.75" customHeight="1" x14ac:dyDescent="0.35">
      <c r="A4135" s="15" t="s">
        <v>25651</v>
      </c>
      <c r="B4135" s="15" t="s">
        <v>33365</v>
      </c>
      <c r="C4135" s="15" t="s">
        <v>33366</v>
      </c>
      <c r="D4135" s="31">
        <v>42233</v>
      </c>
      <c r="E4135" s="15" t="s">
        <v>33367</v>
      </c>
      <c r="F4135" s="87" t="s">
        <v>21871</v>
      </c>
      <c r="G4135" s="45" t="s">
        <v>10455</v>
      </c>
      <c r="H4135" s="55" t="s">
        <v>10456</v>
      </c>
      <c r="I4135" s="15" t="s">
        <v>214</v>
      </c>
    </row>
    <row r="4136" spans="1:9" ht="51.75" customHeight="1" x14ac:dyDescent="0.35">
      <c r="A4136" s="15" t="s">
        <v>25532</v>
      </c>
      <c r="B4136" s="15" t="s">
        <v>33368</v>
      </c>
      <c r="C4136" s="15" t="s">
        <v>33369</v>
      </c>
      <c r="D4136" s="31">
        <v>42233</v>
      </c>
      <c r="E4136" s="15" t="s">
        <v>33370</v>
      </c>
      <c r="F4136" s="87" t="s">
        <v>21871</v>
      </c>
      <c r="G4136" s="45" t="s">
        <v>10455</v>
      </c>
      <c r="H4136" s="55" t="s">
        <v>10456</v>
      </c>
      <c r="I4136" s="15" t="s">
        <v>214</v>
      </c>
    </row>
    <row r="4137" spans="1:9" ht="51.75" customHeight="1" x14ac:dyDescent="0.35">
      <c r="A4137" s="15" t="s">
        <v>25657</v>
      </c>
      <c r="B4137" s="15" t="s">
        <v>33371</v>
      </c>
      <c r="C4137" s="15" t="s">
        <v>33372</v>
      </c>
      <c r="D4137" s="31">
        <v>42233</v>
      </c>
      <c r="E4137" s="15" t="s">
        <v>33373</v>
      </c>
      <c r="F4137" s="87" t="s">
        <v>21871</v>
      </c>
      <c r="G4137" s="45" t="s">
        <v>10455</v>
      </c>
      <c r="H4137" s="55" t="s">
        <v>10456</v>
      </c>
      <c r="I4137" s="15" t="s">
        <v>214</v>
      </c>
    </row>
    <row r="4138" spans="1:9" ht="51.75" customHeight="1" x14ac:dyDescent="0.35">
      <c r="A4138" s="15" t="s">
        <v>33374</v>
      </c>
      <c r="B4138" s="15" t="s">
        <v>33375</v>
      </c>
      <c r="C4138" s="15" t="s">
        <v>33376</v>
      </c>
      <c r="D4138" s="31">
        <v>42233</v>
      </c>
      <c r="E4138" s="15" t="s">
        <v>33377</v>
      </c>
      <c r="F4138" s="87" t="s">
        <v>21871</v>
      </c>
      <c r="G4138" s="45" t="s">
        <v>10455</v>
      </c>
      <c r="H4138" s="55" t="s">
        <v>10456</v>
      </c>
      <c r="I4138" s="15" t="s">
        <v>214</v>
      </c>
    </row>
    <row r="4139" spans="1:9" ht="51.75" customHeight="1" x14ac:dyDescent="0.35">
      <c r="A4139" s="15" t="s">
        <v>33378</v>
      </c>
      <c r="B4139" s="15" t="s">
        <v>33379</v>
      </c>
      <c r="C4139" s="15" t="s">
        <v>33380</v>
      </c>
      <c r="D4139" s="31">
        <v>42233</v>
      </c>
      <c r="E4139" s="15" t="s">
        <v>33381</v>
      </c>
      <c r="F4139" s="87" t="s">
        <v>21871</v>
      </c>
      <c r="G4139" s="45" t="s">
        <v>10455</v>
      </c>
      <c r="H4139" s="55" t="s">
        <v>10456</v>
      </c>
      <c r="I4139" s="15" t="s">
        <v>214</v>
      </c>
    </row>
    <row r="4140" spans="1:9" ht="51.75" customHeight="1" x14ac:dyDescent="0.35">
      <c r="A4140" s="15" t="s">
        <v>26508</v>
      </c>
      <c r="B4140" s="15" t="s">
        <v>33382</v>
      </c>
      <c r="C4140" s="15" t="s">
        <v>33383</v>
      </c>
      <c r="D4140" s="31">
        <v>42233</v>
      </c>
      <c r="E4140" s="15" t="s">
        <v>33384</v>
      </c>
      <c r="F4140" s="87" t="s">
        <v>21871</v>
      </c>
      <c r="G4140" s="45" t="s">
        <v>10455</v>
      </c>
      <c r="H4140" s="55" t="s">
        <v>10456</v>
      </c>
      <c r="I4140" s="15" t="s">
        <v>214</v>
      </c>
    </row>
    <row r="4141" spans="1:9" ht="51.75" customHeight="1" x14ac:dyDescent="0.35">
      <c r="A4141" s="15" t="s">
        <v>21967</v>
      </c>
      <c r="B4141" s="15" t="s">
        <v>33385</v>
      </c>
      <c r="C4141" s="15" t="s">
        <v>33386</v>
      </c>
      <c r="D4141" s="31">
        <v>42271</v>
      </c>
      <c r="E4141" s="15" t="s">
        <v>33387</v>
      </c>
      <c r="F4141" s="87" t="s">
        <v>21871</v>
      </c>
      <c r="G4141" s="45" t="s">
        <v>10426</v>
      </c>
      <c r="H4141" s="55" t="s">
        <v>10427</v>
      </c>
      <c r="I4141" s="15" t="s">
        <v>214</v>
      </c>
    </row>
    <row r="4142" spans="1:9" ht="51.75" customHeight="1" x14ac:dyDescent="0.35">
      <c r="A4142" s="15" t="s">
        <v>25458</v>
      </c>
      <c r="B4142" s="15" t="s">
        <v>33388</v>
      </c>
      <c r="C4142" s="15" t="s">
        <v>33389</v>
      </c>
      <c r="D4142" s="31">
        <v>42271</v>
      </c>
      <c r="E4142" s="15" t="s">
        <v>33390</v>
      </c>
      <c r="F4142" s="87" t="s">
        <v>21871</v>
      </c>
      <c r="G4142" s="45" t="s">
        <v>10426</v>
      </c>
      <c r="H4142" s="55" t="s">
        <v>10427</v>
      </c>
      <c r="I4142" s="15" t="s">
        <v>214</v>
      </c>
    </row>
    <row r="4143" spans="1:9" ht="51.75" customHeight="1" x14ac:dyDescent="0.35">
      <c r="A4143" s="15" t="s">
        <v>25462</v>
      </c>
      <c r="B4143" s="15" t="s">
        <v>33391</v>
      </c>
      <c r="C4143" s="15" t="s">
        <v>33392</v>
      </c>
      <c r="D4143" s="31">
        <v>42271</v>
      </c>
      <c r="E4143" s="15" t="s">
        <v>33393</v>
      </c>
      <c r="F4143" s="87" t="s">
        <v>21871</v>
      </c>
      <c r="G4143" s="45" t="s">
        <v>10426</v>
      </c>
      <c r="H4143" s="55" t="s">
        <v>10427</v>
      </c>
      <c r="I4143" s="15" t="s">
        <v>214</v>
      </c>
    </row>
    <row r="4144" spans="1:9" ht="51.75" customHeight="1" x14ac:dyDescent="0.35">
      <c r="A4144" s="15" t="s">
        <v>22099</v>
      </c>
      <c r="B4144" s="15" t="s">
        <v>33394</v>
      </c>
      <c r="C4144" s="15" t="s">
        <v>33395</v>
      </c>
      <c r="D4144" s="31">
        <v>42271</v>
      </c>
      <c r="E4144" s="15" t="s">
        <v>33393</v>
      </c>
      <c r="F4144" s="87" t="s">
        <v>21871</v>
      </c>
      <c r="G4144" s="45" t="s">
        <v>10426</v>
      </c>
      <c r="H4144" s="55" t="s">
        <v>10427</v>
      </c>
      <c r="I4144" s="15" t="s">
        <v>214</v>
      </c>
    </row>
    <row r="4145" spans="1:9" ht="51.75" customHeight="1" x14ac:dyDescent="0.35">
      <c r="A4145" s="15" t="s">
        <v>31926</v>
      </c>
      <c r="B4145" s="15" t="s">
        <v>33396</v>
      </c>
      <c r="C4145" s="15" t="s">
        <v>33397</v>
      </c>
      <c r="D4145" s="31">
        <v>42271</v>
      </c>
      <c r="E4145" s="15" t="s">
        <v>33398</v>
      </c>
      <c r="F4145" s="87" t="s">
        <v>21871</v>
      </c>
      <c r="G4145" s="45" t="s">
        <v>10426</v>
      </c>
      <c r="H4145" s="55" t="s">
        <v>10427</v>
      </c>
      <c r="I4145" s="15" t="s">
        <v>214</v>
      </c>
    </row>
    <row r="4146" spans="1:9" ht="51.75" customHeight="1" x14ac:dyDescent="0.35">
      <c r="A4146" s="15" t="s">
        <v>23432</v>
      </c>
      <c r="B4146" s="15" t="s">
        <v>33399</v>
      </c>
      <c r="C4146" s="15" t="s">
        <v>33400</v>
      </c>
      <c r="D4146" s="31">
        <v>42270</v>
      </c>
      <c r="E4146" s="15" t="s">
        <v>33401</v>
      </c>
      <c r="F4146" s="87"/>
      <c r="G4146" s="45" t="s">
        <v>10559</v>
      </c>
      <c r="H4146" s="55" t="s">
        <v>10560</v>
      </c>
      <c r="I4146" s="15" t="s">
        <v>214</v>
      </c>
    </row>
    <row r="4147" spans="1:9" ht="51.75" customHeight="1" x14ac:dyDescent="0.35">
      <c r="A4147" s="15" t="s">
        <v>23436</v>
      </c>
      <c r="B4147" s="15" t="s">
        <v>33402</v>
      </c>
      <c r="C4147" s="15" t="s">
        <v>33403</v>
      </c>
      <c r="D4147" s="31">
        <v>42270</v>
      </c>
      <c r="E4147" s="15" t="s">
        <v>33404</v>
      </c>
      <c r="F4147" s="87" t="s">
        <v>21871</v>
      </c>
      <c r="G4147" s="45" t="s">
        <v>10559</v>
      </c>
      <c r="H4147" s="55" t="s">
        <v>10560</v>
      </c>
      <c r="I4147" s="15" t="s">
        <v>214</v>
      </c>
    </row>
    <row r="4148" spans="1:9" ht="51.75" customHeight="1" x14ac:dyDescent="0.35">
      <c r="A4148" s="15" t="s">
        <v>23440</v>
      </c>
      <c r="B4148" s="15" t="s">
        <v>33405</v>
      </c>
      <c r="C4148" s="15" t="s">
        <v>33406</v>
      </c>
      <c r="D4148" s="31">
        <v>42270</v>
      </c>
      <c r="E4148" s="15" t="s">
        <v>33407</v>
      </c>
      <c r="F4148" s="87" t="s">
        <v>21871</v>
      </c>
      <c r="G4148" s="45" t="s">
        <v>10559</v>
      </c>
      <c r="H4148" s="55" t="s">
        <v>10560</v>
      </c>
      <c r="I4148" s="15" t="s">
        <v>214</v>
      </c>
    </row>
    <row r="4149" spans="1:9" ht="51.75" customHeight="1" x14ac:dyDescent="0.35">
      <c r="A4149" s="15" t="s">
        <v>23444</v>
      </c>
      <c r="B4149" s="15" t="s">
        <v>33408</v>
      </c>
      <c r="C4149" s="15" t="s">
        <v>33409</v>
      </c>
      <c r="D4149" s="31" t="s">
        <v>50</v>
      </c>
      <c r="E4149" s="15" t="s">
        <v>33410</v>
      </c>
      <c r="F4149" s="87" t="s">
        <v>21871</v>
      </c>
      <c r="G4149" s="45" t="s">
        <v>10559</v>
      </c>
      <c r="H4149" s="55" t="s">
        <v>10560</v>
      </c>
      <c r="I4149" s="15" t="s">
        <v>214</v>
      </c>
    </row>
    <row r="4150" spans="1:9" ht="51.75" customHeight="1" x14ac:dyDescent="0.35">
      <c r="A4150" s="15" t="s">
        <v>21912</v>
      </c>
      <c r="B4150" s="15" t="s">
        <v>33411</v>
      </c>
      <c r="C4150" s="15" t="s">
        <v>33412</v>
      </c>
      <c r="D4150" s="31">
        <v>42270</v>
      </c>
      <c r="E4150" s="15" t="s">
        <v>33413</v>
      </c>
      <c r="F4150" s="87" t="s">
        <v>21871</v>
      </c>
      <c r="G4150" s="45" t="s">
        <v>10559</v>
      </c>
      <c r="H4150" s="55" t="s">
        <v>10560</v>
      </c>
      <c r="I4150" s="15" t="s">
        <v>214</v>
      </c>
    </row>
    <row r="4151" spans="1:9" ht="51.75" customHeight="1" x14ac:dyDescent="0.35">
      <c r="A4151" s="15" t="s">
        <v>23782</v>
      </c>
      <c r="B4151" s="15" t="s">
        <v>33414</v>
      </c>
      <c r="C4151" s="15" t="s">
        <v>33415</v>
      </c>
      <c r="D4151" s="31">
        <v>42499</v>
      </c>
      <c r="E4151" s="15" t="s">
        <v>33416</v>
      </c>
      <c r="F4151" s="87" t="s">
        <v>21871</v>
      </c>
      <c r="G4151" s="45" t="s">
        <v>10591</v>
      </c>
      <c r="H4151" s="55" t="s">
        <v>10592</v>
      </c>
      <c r="I4151" s="15" t="s">
        <v>214</v>
      </c>
    </row>
    <row r="4152" spans="1:9" ht="51.75" customHeight="1" x14ac:dyDescent="0.35">
      <c r="A4152" s="15" t="s">
        <v>23788</v>
      </c>
      <c r="B4152" s="15" t="s">
        <v>33417</v>
      </c>
      <c r="C4152" s="15" t="s">
        <v>33418</v>
      </c>
      <c r="D4152" s="31">
        <v>42499</v>
      </c>
      <c r="E4152" s="15" t="s">
        <v>33419</v>
      </c>
      <c r="F4152" s="87" t="s">
        <v>21871</v>
      </c>
      <c r="G4152" s="45" t="s">
        <v>10591</v>
      </c>
      <c r="H4152" s="55" t="s">
        <v>10592</v>
      </c>
      <c r="I4152" s="15" t="s">
        <v>214</v>
      </c>
    </row>
    <row r="4153" spans="1:9" ht="51.75" customHeight="1" x14ac:dyDescent="0.35">
      <c r="A4153" s="15" t="s">
        <v>22143</v>
      </c>
      <c r="B4153" s="15" t="s">
        <v>33420</v>
      </c>
      <c r="C4153" s="15" t="s">
        <v>33421</v>
      </c>
      <c r="D4153" s="31">
        <v>42499</v>
      </c>
      <c r="E4153" s="15" t="s">
        <v>33422</v>
      </c>
      <c r="F4153" s="87" t="s">
        <v>21871</v>
      </c>
      <c r="G4153" s="45" t="s">
        <v>10591</v>
      </c>
      <c r="H4153" s="55" t="s">
        <v>10592</v>
      </c>
      <c r="I4153" s="15" t="s">
        <v>214</v>
      </c>
    </row>
    <row r="4154" spans="1:9" ht="51.75" customHeight="1" x14ac:dyDescent="0.35">
      <c r="A4154" s="15" t="s">
        <v>23392</v>
      </c>
      <c r="B4154" s="15" t="s">
        <v>33423</v>
      </c>
      <c r="C4154" s="15" t="s">
        <v>33424</v>
      </c>
      <c r="D4154" s="31">
        <v>42499</v>
      </c>
      <c r="E4154" s="15" t="s">
        <v>33425</v>
      </c>
      <c r="F4154" s="87" t="s">
        <v>21871</v>
      </c>
      <c r="G4154" s="45" t="s">
        <v>10591</v>
      </c>
      <c r="H4154" s="55" t="s">
        <v>10592</v>
      </c>
      <c r="I4154" s="15" t="s">
        <v>214</v>
      </c>
    </row>
    <row r="4155" spans="1:9" ht="51.75" customHeight="1" x14ac:dyDescent="0.35">
      <c r="A4155" s="15" t="s">
        <v>22147</v>
      </c>
      <c r="B4155" s="15" t="s">
        <v>33426</v>
      </c>
      <c r="C4155" s="15" t="s">
        <v>33427</v>
      </c>
      <c r="D4155" s="31">
        <v>42499</v>
      </c>
      <c r="E4155" s="15" t="s">
        <v>33428</v>
      </c>
      <c r="F4155" s="87"/>
      <c r="G4155" s="45" t="s">
        <v>10591</v>
      </c>
      <c r="H4155" s="55" t="s">
        <v>10592</v>
      </c>
      <c r="I4155" s="15" t="s">
        <v>214</v>
      </c>
    </row>
    <row r="4156" spans="1:9" ht="51.75" customHeight="1" x14ac:dyDescent="0.35">
      <c r="A4156" s="15" t="s">
        <v>23203</v>
      </c>
      <c r="B4156" s="15" t="s">
        <v>33429</v>
      </c>
      <c r="C4156" s="15" t="s">
        <v>33430</v>
      </c>
      <c r="D4156" s="31">
        <v>42354</v>
      </c>
      <c r="E4156" s="15" t="s">
        <v>33431</v>
      </c>
      <c r="F4156" s="87" t="s">
        <v>21871</v>
      </c>
      <c r="G4156" s="45" t="s">
        <v>10726</v>
      </c>
      <c r="H4156" s="55" t="s">
        <v>10727</v>
      </c>
      <c r="I4156" s="15" t="s">
        <v>214</v>
      </c>
    </row>
    <row r="4157" spans="1:9" ht="51.75" customHeight="1" x14ac:dyDescent="0.35">
      <c r="A4157" s="15" t="s">
        <v>24581</v>
      </c>
      <c r="B4157" s="15" t="s">
        <v>33432</v>
      </c>
      <c r="C4157" s="15" t="s">
        <v>33433</v>
      </c>
      <c r="D4157" s="31">
        <v>42354</v>
      </c>
      <c r="E4157" s="15" t="s">
        <v>33434</v>
      </c>
      <c r="F4157" s="87" t="s">
        <v>21871</v>
      </c>
      <c r="G4157" s="45" t="s">
        <v>10726</v>
      </c>
      <c r="H4157" s="55" t="s">
        <v>10727</v>
      </c>
      <c r="I4157" s="15" t="s">
        <v>214</v>
      </c>
    </row>
    <row r="4158" spans="1:9" ht="51.75" customHeight="1" x14ac:dyDescent="0.35">
      <c r="A4158" s="15" t="s">
        <v>24587</v>
      </c>
      <c r="B4158" s="15" t="s">
        <v>33435</v>
      </c>
      <c r="C4158" s="15" t="s">
        <v>33436</v>
      </c>
      <c r="D4158" s="31">
        <v>42354</v>
      </c>
      <c r="E4158" s="15" t="s">
        <v>33437</v>
      </c>
      <c r="F4158" s="87" t="s">
        <v>21871</v>
      </c>
      <c r="G4158" s="45" t="s">
        <v>10726</v>
      </c>
      <c r="H4158" s="55" t="s">
        <v>10727</v>
      </c>
      <c r="I4158" s="15" t="s">
        <v>214</v>
      </c>
    </row>
    <row r="4159" spans="1:9" ht="51.75" customHeight="1" x14ac:dyDescent="0.35">
      <c r="A4159" s="15" t="s">
        <v>25264</v>
      </c>
      <c r="B4159" s="15" t="s">
        <v>33438</v>
      </c>
      <c r="C4159" s="15" t="s">
        <v>33439</v>
      </c>
      <c r="D4159" s="31">
        <v>42354</v>
      </c>
      <c r="E4159" s="15" t="s">
        <v>33440</v>
      </c>
      <c r="F4159" s="87" t="s">
        <v>21871</v>
      </c>
      <c r="G4159" s="45" t="s">
        <v>10726</v>
      </c>
      <c r="H4159" s="55" t="s">
        <v>10727</v>
      </c>
      <c r="I4159" s="15" t="s">
        <v>214</v>
      </c>
    </row>
    <row r="4160" spans="1:9" ht="51.75" customHeight="1" x14ac:dyDescent="0.35">
      <c r="A4160" s="15" t="s">
        <v>22918</v>
      </c>
      <c r="B4160" s="15" t="s">
        <v>33441</v>
      </c>
      <c r="C4160" s="15" t="s">
        <v>32993</v>
      </c>
      <c r="D4160" s="31">
        <v>42298</v>
      </c>
      <c r="E4160" s="15" t="s">
        <v>33442</v>
      </c>
      <c r="F4160" s="87" t="s">
        <v>21871</v>
      </c>
      <c r="G4160" s="45" t="s">
        <v>10827</v>
      </c>
      <c r="H4160" s="55" t="s">
        <v>10828</v>
      </c>
      <c r="I4160" s="15" t="s">
        <v>214</v>
      </c>
    </row>
    <row r="4161" spans="1:9" ht="51.75" customHeight="1" x14ac:dyDescent="0.35">
      <c r="A4161" s="15" t="s">
        <v>26822</v>
      </c>
      <c r="B4161" s="15" t="s">
        <v>33443</v>
      </c>
      <c r="C4161" s="15" t="s">
        <v>33444</v>
      </c>
      <c r="D4161" s="31">
        <v>42298</v>
      </c>
      <c r="E4161" s="15" t="s">
        <v>33445</v>
      </c>
      <c r="F4161" s="87" t="s">
        <v>21871</v>
      </c>
      <c r="G4161" s="45" t="s">
        <v>10827</v>
      </c>
      <c r="H4161" s="55" t="s">
        <v>10828</v>
      </c>
      <c r="I4161" s="15" t="s">
        <v>214</v>
      </c>
    </row>
    <row r="4162" spans="1:9" ht="51.75" customHeight="1" x14ac:dyDescent="0.35">
      <c r="A4162" s="15" t="s">
        <v>26828</v>
      </c>
      <c r="B4162" s="15" t="s">
        <v>33446</v>
      </c>
      <c r="C4162" s="15" t="s">
        <v>33447</v>
      </c>
      <c r="D4162" s="31">
        <v>42298</v>
      </c>
      <c r="E4162" s="15" t="s">
        <v>33448</v>
      </c>
      <c r="F4162" s="87" t="s">
        <v>21871</v>
      </c>
      <c r="G4162" s="45" t="s">
        <v>10827</v>
      </c>
      <c r="H4162" s="55" t="s">
        <v>10828</v>
      </c>
      <c r="I4162" s="15" t="s">
        <v>214</v>
      </c>
    </row>
    <row r="4163" spans="1:9" ht="51.75" customHeight="1" x14ac:dyDescent="0.35">
      <c r="A4163" s="15" t="s">
        <v>22922</v>
      </c>
      <c r="B4163" s="15" t="s">
        <v>33449</v>
      </c>
      <c r="C4163" s="15" t="s">
        <v>33450</v>
      </c>
      <c r="D4163" s="31">
        <v>42298</v>
      </c>
      <c r="E4163" s="15" t="s">
        <v>33451</v>
      </c>
      <c r="F4163" s="87" t="s">
        <v>21871</v>
      </c>
      <c r="G4163" s="45" t="s">
        <v>10827</v>
      </c>
      <c r="H4163" s="55" t="s">
        <v>10828</v>
      </c>
      <c r="I4163" s="15" t="s">
        <v>214</v>
      </c>
    </row>
    <row r="4164" spans="1:9" ht="51.75" customHeight="1" x14ac:dyDescent="0.35">
      <c r="A4164" s="15" t="s">
        <v>25759</v>
      </c>
      <c r="B4164" s="15" t="s">
        <v>33452</v>
      </c>
      <c r="C4164" s="15" t="s">
        <v>33453</v>
      </c>
      <c r="D4164" s="31">
        <v>42495</v>
      </c>
      <c r="E4164" s="15" t="s">
        <v>33454</v>
      </c>
      <c r="F4164" s="87" t="s">
        <v>21871</v>
      </c>
      <c r="G4164" s="45" t="s">
        <v>10964</v>
      </c>
      <c r="H4164" s="55" t="s">
        <v>10965</v>
      </c>
      <c r="I4164" s="15" t="s">
        <v>214</v>
      </c>
    </row>
    <row r="4165" spans="1:9" ht="51.75" customHeight="1" x14ac:dyDescent="0.35">
      <c r="A4165" s="15" t="s">
        <v>23706</v>
      </c>
      <c r="B4165" s="15" t="s">
        <v>33455</v>
      </c>
      <c r="C4165" s="15" t="s">
        <v>33456</v>
      </c>
      <c r="D4165" s="31">
        <v>42495</v>
      </c>
      <c r="E4165" s="15" t="s">
        <v>33457</v>
      </c>
      <c r="F4165" s="87" t="s">
        <v>21871</v>
      </c>
      <c r="G4165" s="45" t="s">
        <v>10964</v>
      </c>
      <c r="H4165" s="55" t="s">
        <v>10965</v>
      </c>
      <c r="I4165" s="15" t="s">
        <v>214</v>
      </c>
    </row>
    <row r="4166" spans="1:9" ht="51.75" customHeight="1" x14ac:dyDescent="0.35">
      <c r="A4166" s="15" t="s">
        <v>23713</v>
      </c>
      <c r="B4166" s="15" t="s">
        <v>33458</v>
      </c>
      <c r="C4166" s="15" t="s">
        <v>33459</v>
      </c>
      <c r="D4166" s="31">
        <v>42495</v>
      </c>
      <c r="E4166" s="15" t="s">
        <v>33460</v>
      </c>
      <c r="F4166" s="87" t="s">
        <v>21871</v>
      </c>
      <c r="G4166" s="45" t="s">
        <v>10964</v>
      </c>
      <c r="H4166" s="55" t="s">
        <v>10965</v>
      </c>
      <c r="I4166" s="15" t="s">
        <v>214</v>
      </c>
    </row>
    <row r="4167" spans="1:9" ht="51.75" customHeight="1" x14ac:dyDescent="0.35">
      <c r="A4167" s="15" t="s">
        <v>22091</v>
      </c>
      <c r="B4167" s="15" t="s">
        <v>33461</v>
      </c>
      <c r="C4167" s="15" t="s">
        <v>33462</v>
      </c>
      <c r="D4167" s="31">
        <v>42495</v>
      </c>
      <c r="E4167" s="15" t="s">
        <v>33463</v>
      </c>
      <c r="F4167" s="87" t="s">
        <v>21871</v>
      </c>
      <c r="G4167" s="45" t="s">
        <v>10964</v>
      </c>
      <c r="H4167" s="55" t="s">
        <v>10965</v>
      </c>
      <c r="I4167" s="15" t="s">
        <v>214</v>
      </c>
    </row>
    <row r="4168" spans="1:9" ht="51.75" customHeight="1" x14ac:dyDescent="0.35">
      <c r="A4168" s="15" t="s">
        <v>25689</v>
      </c>
      <c r="B4168" s="15" t="s">
        <v>33464</v>
      </c>
      <c r="C4168" s="15" t="s">
        <v>33465</v>
      </c>
      <c r="D4168" s="31">
        <v>42495</v>
      </c>
      <c r="E4168" s="15" t="s">
        <v>33466</v>
      </c>
      <c r="F4168" s="87" t="s">
        <v>21871</v>
      </c>
      <c r="G4168" s="45" t="s">
        <v>10964</v>
      </c>
      <c r="H4168" s="55" t="s">
        <v>10965</v>
      </c>
      <c r="I4168" s="15" t="s">
        <v>214</v>
      </c>
    </row>
    <row r="4169" spans="1:9" ht="51.75" customHeight="1" x14ac:dyDescent="0.35">
      <c r="A4169" s="15" t="s">
        <v>22854</v>
      </c>
      <c r="B4169" s="15" t="s">
        <v>33467</v>
      </c>
      <c r="C4169" s="15" t="s">
        <v>33468</v>
      </c>
      <c r="D4169" s="31">
        <v>42389</v>
      </c>
      <c r="E4169" s="15" t="s">
        <v>33469</v>
      </c>
      <c r="F4169" s="87" t="s">
        <v>21871</v>
      </c>
      <c r="G4169" s="45" t="s">
        <v>10918</v>
      </c>
      <c r="H4169" s="55" t="s">
        <v>10919</v>
      </c>
      <c r="I4169" s="15" t="s">
        <v>214</v>
      </c>
    </row>
    <row r="4170" spans="1:9" ht="51.75" customHeight="1" x14ac:dyDescent="0.35">
      <c r="A4170" s="15" t="s">
        <v>33470</v>
      </c>
      <c r="B4170" s="15" t="s">
        <v>33471</v>
      </c>
      <c r="C4170" s="15" t="s">
        <v>33472</v>
      </c>
      <c r="D4170" s="31">
        <v>42389</v>
      </c>
      <c r="E4170" s="15" t="s">
        <v>33473</v>
      </c>
      <c r="F4170" s="87" t="s">
        <v>21871</v>
      </c>
      <c r="G4170" s="45" t="s">
        <v>10918</v>
      </c>
      <c r="H4170" s="55" t="s">
        <v>10919</v>
      </c>
      <c r="I4170" s="15" t="s">
        <v>214</v>
      </c>
    </row>
    <row r="4171" spans="1:9" ht="51.75" customHeight="1" x14ac:dyDescent="0.35">
      <c r="A4171" s="15" t="s">
        <v>23572</v>
      </c>
      <c r="B4171" s="15" t="s">
        <v>33474</v>
      </c>
      <c r="C4171" s="15" t="s">
        <v>33475</v>
      </c>
      <c r="D4171" s="31">
        <v>42389</v>
      </c>
      <c r="E4171" s="15" t="s">
        <v>33476</v>
      </c>
      <c r="F4171" s="87" t="s">
        <v>21871</v>
      </c>
      <c r="G4171" s="45" t="s">
        <v>10918</v>
      </c>
      <c r="H4171" s="55" t="s">
        <v>10919</v>
      </c>
      <c r="I4171" s="15" t="s">
        <v>214</v>
      </c>
    </row>
    <row r="4172" spans="1:9" ht="51.75" customHeight="1" x14ac:dyDescent="0.35">
      <c r="A4172" s="15" t="s">
        <v>23575</v>
      </c>
      <c r="B4172" s="15" t="s">
        <v>33477</v>
      </c>
      <c r="C4172" s="15" t="s">
        <v>33478</v>
      </c>
      <c r="D4172" s="31">
        <v>42389</v>
      </c>
      <c r="E4172" s="15" t="s">
        <v>33479</v>
      </c>
      <c r="F4172" s="87" t="s">
        <v>21871</v>
      </c>
      <c r="G4172" s="45" t="s">
        <v>10918</v>
      </c>
      <c r="H4172" s="55" t="s">
        <v>10919</v>
      </c>
      <c r="I4172" s="15" t="s">
        <v>214</v>
      </c>
    </row>
    <row r="4173" spans="1:9" ht="51.75" customHeight="1" x14ac:dyDescent="0.35">
      <c r="A4173" s="15" t="s">
        <v>26615</v>
      </c>
      <c r="B4173" s="15" t="s">
        <v>33480</v>
      </c>
      <c r="C4173" s="15" t="s">
        <v>33481</v>
      </c>
      <c r="D4173" s="31">
        <v>42438</v>
      </c>
      <c r="E4173" s="15" t="s">
        <v>33482</v>
      </c>
      <c r="F4173" s="87" t="s">
        <v>21871</v>
      </c>
      <c r="G4173" s="45" t="s">
        <v>10987</v>
      </c>
      <c r="H4173" s="55" t="s">
        <v>10988</v>
      </c>
      <c r="I4173" s="15" t="s">
        <v>214</v>
      </c>
    </row>
    <row r="4174" spans="1:9" ht="51.75" customHeight="1" x14ac:dyDescent="0.35">
      <c r="A4174" s="15" t="s">
        <v>26511</v>
      </c>
      <c r="B4174" s="15" t="s">
        <v>33483</v>
      </c>
      <c r="C4174" s="15" t="s">
        <v>33484</v>
      </c>
      <c r="D4174" s="31">
        <v>42284</v>
      </c>
      <c r="E4174" s="15" t="s">
        <v>33485</v>
      </c>
      <c r="F4174" s="87" t="s">
        <v>21871</v>
      </c>
      <c r="G4174" s="45" t="s">
        <v>10821</v>
      </c>
      <c r="H4174" s="55" t="s">
        <v>10822</v>
      </c>
      <c r="I4174" s="15" t="s">
        <v>214</v>
      </c>
    </row>
    <row r="4175" spans="1:9" ht="51.75" customHeight="1" x14ac:dyDescent="0.35">
      <c r="A4175" s="15" t="s">
        <v>26514</v>
      </c>
      <c r="B4175" s="15" t="s">
        <v>33486</v>
      </c>
      <c r="C4175" s="15" t="s">
        <v>33487</v>
      </c>
      <c r="D4175" s="31">
        <v>42284</v>
      </c>
      <c r="E4175" s="15" t="s">
        <v>33488</v>
      </c>
      <c r="F4175" s="87" t="s">
        <v>21871</v>
      </c>
      <c r="G4175" s="45" t="s">
        <v>10821</v>
      </c>
      <c r="H4175" s="55" t="s">
        <v>10822</v>
      </c>
      <c r="I4175" s="15" t="s">
        <v>214</v>
      </c>
    </row>
    <row r="4176" spans="1:9" ht="51.75" customHeight="1" x14ac:dyDescent="0.35">
      <c r="A4176" s="15" t="s">
        <v>22877</v>
      </c>
      <c r="B4176" s="15" t="s">
        <v>33489</v>
      </c>
      <c r="C4176" s="15" t="s">
        <v>33490</v>
      </c>
      <c r="D4176" s="31">
        <v>42429</v>
      </c>
      <c r="E4176" s="15" t="s">
        <v>33491</v>
      </c>
      <c r="F4176" s="87" t="s">
        <v>21871</v>
      </c>
      <c r="G4176" s="45" t="s">
        <v>11062</v>
      </c>
      <c r="H4176" s="55" t="s">
        <v>11063</v>
      </c>
      <c r="I4176" s="15" t="s">
        <v>214</v>
      </c>
    </row>
    <row r="4177" spans="1:9" ht="51.75" customHeight="1" x14ac:dyDescent="0.35">
      <c r="A4177" s="15" t="s">
        <v>22881</v>
      </c>
      <c r="B4177" s="15" t="s">
        <v>33492</v>
      </c>
      <c r="C4177" s="15" t="s">
        <v>33493</v>
      </c>
      <c r="D4177" s="31">
        <v>42429</v>
      </c>
      <c r="E4177" s="15" t="s">
        <v>33494</v>
      </c>
      <c r="F4177" s="87" t="s">
        <v>21871</v>
      </c>
      <c r="G4177" s="45" t="s">
        <v>11062</v>
      </c>
      <c r="H4177" s="55" t="s">
        <v>11063</v>
      </c>
      <c r="I4177" s="15" t="s">
        <v>214</v>
      </c>
    </row>
    <row r="4178" spans="1:9" ht="51.75" customHeight="1" x14ac:dyDescent="0.35">
      <c r="A4178" s="15" t="s">
        <v>24509</v>
      </c>
      <c r="B4178" s="15" t="s">
        <v>33495</v>
      </c>
      <c r="C4178" s="15" t="s">
        <v>33496</v>
      </c>
      <c r="D4178" s="31">
        <v>42380</v>
      </c>
      <c r="E4178" s="15" t="s">
        <v>33497</v>
      </c>
      <c r="F4178" s="87" t="s">
        <v>21871</v>
      </c>
      <c r="G4178" s="45" t="s">
        <v>11011</v>
      </c>
      <c r="H4178" s="55" t="s">
        <v>11012</v>
      </c>
      <c r="I4178" s="15" t="s">
        <v>214</v>
      </c>
    </row>
    <row r="4179" spans="1:9" ht="51.75" customHeight="1" x14ac:dyDescent="0.35">
      <c r="A4179" s="15" t="s">
        <v>24515</v>
      </c>
      <c r="B4179" s="15" t="s">
        <v>33498</v>
      </c>
      <c r="C4179" s="15" t="s">
        <v>33499</v>
      </c>
      <c r="D4179" s="31">
        <v>42380</v>
      </c>
      <c r="E4179" s="15" t="s">
        <v>33500</v>
      </c>
      <c r="F4179" s="87" t="s">
        <v>21871</v>
      </c>
      <c r="G4179" s="45" t="s">
        <v>11011</v>
      </c>
      <c r="H4179" s="55" t="s">
        <v>11012</v>
      </c>
      <c r="I4179" s="15" t="s">
        <v>214</v>
      </c>
    </row>
    <row r="4180" spans="1:9" ht="51.75" customHeight="1" x14ac:dyDescent="0.35">
      <c r="A4180" s="15" t="s">
        <v>24541</v>
      </c>
      <c r="B4180" s="15" t="s">
        <v>33501</v>
      </c>
      <c r="C4180" s="15" t="s">
        <v>33502</v>
      </c>
      <c r="D4180" s="31">
        <v>42380</v>
      </c>
      <c r="E4180" s="15" t="s">
        <v>33503</v>
      </c>
      <c r="F4180" s="87" t="s">
        <v>21871</v>
      </c>
      <c r="G4180" s="45" t="s">
        <v>11011</v>
      </c>
      <c r="H4180" s="55" t="s">
        <v>11012</v>
      </c>
      <c r="I4180" s="15" t="s">
        <v>214</v>
      </c>
    </row>
    <row r="4181" spans="1:9" ht="51.75" customHeight="1" x14ac:dyDescent="0.35">
      <c r="A4181" s="15" t="s">
        <v>21975</v>
      </c>
      <c r="B4181" s="15" t="s">
        <v>33504</v>
      </c>
      <c r="C4181" s="15" t="s">
        <v>33505</v>
      </c>
      <c r="D4181" s="31">
        <v>42472</v>
      </c>
      <c r="E4181" s="15" t="s">
        <v>33506</v>
      </c>
      <c r="F4181" s="87" t="s">
        <v>21871</v>
      </c>
      <c r="G4181" s="45" t="s">
        <v>11171</v>
      </c>
      <c r="H4181" s="55" t="s">
        <v>11172</v>
      </c>
      <c r="I4181" s="15" t="s">
        <v>214</v>
      </c>
    </row>
    <row r="4182" spans="1:9" ht="51.75" customHeight="1" x14ac:dyDescent="0.35">
      <c r="A4182" s="15" t="s">
        <v>26449</v>
      </c>
      <c r="B4182" s="15" t="s">
        <v>33507</v>
      </c>
      <c r="C4182" s="15" t="s">
        <v>33508</v>
      </c>
      <c r="D4182" s="31">
        <v>42472</v>
      </c>
      <c r="E4182" s="15" t="s">
        <v>33509</v>
      </c>
      <c r="F4182" s="87" t="s">
        <v>21871</v>
      </c>
      <c r="G4182" s="45" t="s">
        <v>11171</v>
      </c>
      <c r="H4182" s="55" t="s">
        <v>11172</v>
      </c>
      <c r="I4182" s="15" t="s">
        <v>214</v>
      </c>
    </row>
    <row r="4183" spans="1:9" ht="51.75" customHeight="1" x14ac:dyDescent="0.35">
      <c r="A4183" s="15" t="s">
        <v>26453</v>
      </c>
      <c r="B4183" s="15" t="s">
        <v>33510</v>
      </c>
      <c r="C4183" s="15" t="s">
        <v>33511</v>
      </c>
      <c r="D4183" s="31">
        <v>42472</v>
      </c>
      <c r="E4183" s="15" t="s">
        <v>33512</v>
      </c>
      <c r="F4183" s="87" t="s">
        <v>21871</v>
      </c>
      <c r="G4183" s="45" t="s">
        <v>11171</v>
      </c>
      <c r="H4183" s="55" t="s">
        <v>11172</v>
      </c>
      <c r="I4183" s="15" t="s">
        <v>214</v>
      </c>
    </row>
    <row r="4184" spans="1:9" ht="51.75" customHeight="1" x14ac:dyDescent="0.35">
      <c r="A4184" s="15" t="s">
        <v>23816</v>
      </c>
      <c r="B4184" s="15" t="s">
        <v>33513</v>
      </c>
      <c r="C4184" s="15" t="s">
        <v>33514</v>
      </c>
      <c r="D4184" s="31">
        <v>42548</v>
      </c>
      <c r="E4184" s="15" t="s">
        <v>33515</v>
      </c>
      <c r="F4184" s="87" t="s">
        <v>21871</v>
      </c>
      <c r="G4184" s="45" t="s">
        <v>11329</v>
      </c>
      <c r="H4184" s="55" t="s">
        <v>11330</v>
      </c>
      <c r="I4184" s="15" t="s">
        <v>214</v>
      </c>
    </row>
    <row r="4185" spans="1:9" ht="51.75" customHeight="1" x14ac:dyDescent="0.35">
      <c r="A4185" s="15" t="s">
        <v>28399</v>
      </c>
      <c r="B4185" s="15" t="s">
        <v>33516</v>
      </c>
      <c r="C4185" s="15" t="s">
        <v>33517</v>
      </c>
      <c r="D4185" s="31">
        <v>42548</v>
      </c>
      <c r="E4185" s="15" t="s">
        <v>33518</v>
      </c>
      <c r="F4185" s="87" t="s">
        <v>21871</v>
      </c>
      <c r="G4185" s="45" t="s">
        <v>11329</v>
      </c>
      <c r="H4185" s="55" t="s">
        <v>11330</v>
      </c>
      <c r="I4185" s="15" t="s">
        <v>214</v>
      </c>
    </row>
    <row r="4186" spans="1:9" ht="51.75" customHeight="1" x14ac:dyDescent="0.35">
      <c r="A4186" s="15" t="s">
        <v>32252</v>
      </c>
      <c r="B4186" s="15" t="s">
        <v>33519</v>
      </c>
      <c r="C4186" s="15" t="s">
        <v>32766</v>
      </c>
      <c r="D4186" s="31">
        <v>42548</v>
      </c>
      <c r="E4186" s="15" t="s">
        <v>33520</v>
      </c>
      <c r="F4186" s="87" t="s">
        <v>21871</v>
      </c>
      <c r="G4186" s="45" t="s">
        <v>11329</v>
      </c>
      <c r="H4186" s="55" t="s">
        <v>11330</v>
      </c>
      <c r="I4186" s="15" t="s">
        <v>214</v>
      </c>
    </row>
    <row r="4187" spans="1:9" ht="51.75" customHeight="1" x14ac:dyDescent="0.35">
      <c r="A4187" s="15" t="s">
        <v>32256</v>
      </c>
      <c r="B4187" s="15" t="s">
        <v>33521</v>
      </c>
      <c r="C4187" s="15" t="s">
        <v>33522</v>
      </c>
      <c r="D4187" s="31">
        <v>42548</v>
      </c>
      <c r="E4187" s="15" t="s">
        <v>33523</v>
      </c>
      <c r="F4187" s="87" t="s">
        <v>21871</v>
      </c>
      <c r="G4187" s="45" t="s">
        <v>11329</v>
      </c>
      <c r="H4187" s="55" t="s">
        <v>11330</v>
      </c>
      <c r="I4187" s="15" t="s">
        <v>214</v>
      </c>
    </row>
    <row r="4188" spans="1:9" ht="51.75" customHeight="1" x14ac:dyDescent="0.35">
      <c r="A4188" s="15" t="s">
        <v>22043</v>
      </c>
      <c r="B4188" s="15" t="s">
        <v>33524</v>
      </c>
      <c r="C4188" s="15" t="s">
        <v>33525</v>
      </c>
      <c r="D4188" s="31">
        <v>42522</v>
      </c>
      <c r="E4188" s="15" t="s">
        <v>33526</v>
      </c>
      <c r="F4188" s="87" t="s">
        <v>21871</v>
      </c>
      <c r="G4188" s="45" t="s">
        <v>11261</v>
      </c>
      <c r="H4188" s="55" t="s">
        <v>11262</v>
      </c>
      <c r="I4188" s="15" t="s">
        <v>214</v>
      </c>
    </row>
    <row r="4189" spans="1:9" ht="51.75" customHeight="1" x14ac:dyDescent="0.35">
      <c r="A4189" s="15" t="s">
        <v>22110</v>
      </c>
      <c r="B4189" s="15" t="s">
        <v>33527</v>
      </c>
      <c r="C4189" s="15" t="s">
        <v>33528</v>
      </c>
      <c r="D4189" s="31">
        <v>42522</v>
      </c>
      <c r="E4189" s="15" t="s">
        <v>33529</v>
      </c>
      <c r="F4189" s="87" t="s">
        <v>21871</v>
      </c>
      <c r="G4189" s="45" t="s">
        <v>11261</v>
      </c>
      <c r="H4189" s="55" t="s">
        <v>11262</v>
      </c>
      <c r="I4189" s="15" t="s">
        <v>214</v>
      </c>
    </row>
    <row r="4190" spans="1:9" ht="51.75" customHeight="1" x14ac:dyDescent="0.35">
      <c r="A4190" s="15" t="s">
        <v>22114</v>
      </c>
      <c r="B4190" s="15" t="s">
        <v>33530</v>
      </c>
      <c r="C4190" s="15" t="s">
        <v>33531</v>
      </c>
      <c r="D4190" s="31">
        <v>42522</v>
      </c>
      <c r="E4190" s="15" t="s">
        <v>33532</v>
      </c>
      <c r="F4190" s="87" t="s">
        <v>21871</v>
      </c>
      <c r="G4190" s="45" t="s">
        <v>11261</v>
      </c>
      <c r="H4190" s="55" t="s">
        <v>11262</v>
      </c>
      <c r="I4190" s="15" t="s">
        <v>214</v>
      </c>
    </row>
    <row r="4191" spans="1:9" ht="51.75" customHeight="1" x14ac:dyDescent="0.35">
      <c r="A4191" s="15" t="s">
        <v>23225</v>
      </c>
      <c r="B4191" s="15" t="s">
        <v>33533</v>
      </c>
      <c r="C4191" s="15" t="s">
        <v>33534</v>
      </c>
      <c r="D4191" s="31">
        <v>42488</v>
      </c>
      <c r="E4191" s="15" t="s">
        <v>33535</v>
      </c>
      <c r="F4191" s="87" t="s">
        <v>21871</v>
      </c>
      <c r="G4191" s="45" t="s">
        <v>11177</v>
      </c>
      <c r="H4191" s="55" t="s">
        <v>11178</v>
      </c>
      <c r="I4191" s="15" t="s">
        <v>214</v>
      </c>
    </row>
    <row r="4192" spans="1:9" ht="51.75" customHeight="1" x14ac:dyDescent="0.35">
      <c r="A4192" s="15" t="s">
        <v>22085</v>
      </c>
      <c r="B4192" s="15" t="s">
        <v>33536</v>
      </c>
      <c r="C4192" s="15" t="s">
        <v>33537</v>
      </c>
      <c r="D4192" s="31">
        <v>42488</v>
      </c>
      <c r="E4192" s="15" t="s">
        <v>33538</v>
      </c>
      <c r="F4192" s="87" t="s">
        <v>21871</v>
      </c>
      <c r="G4192" s="45" t="s">
        <v>11177</v>
      </c>
      <c r="H4192" s="55" t="s">
        <v>11178</v>
      </c>
      <c r="I4192" s="15" t="s">
        <v>214</v>
      </c>
    </row>
    <row r="4193" spans="1:9" ht="51.75" customHeight="1" x14ac:dyDescent="0.35">
      <c r="A4193" s="15" t="s">
        <v>26562</v>
      </c>
      <c r="B4193" s="15" t="s">
        <v>33539</v>
      </c>
      <c r="C4193" s="15" t="s">
        <v>33540</v>
      </c>
      <c r="D4193" s="31">
        <v>42488</v>
      </c>
      <c r="E4193" s="15" t="s">
        <v>33541</v>
      </c>
      <c r="F4193" s="87" t="s">
        <v>21871</v>
      </c>
      <c r="G4193" s="45" t="s">
        <v>11177</v>
      </c>
      <c r="H4193" s="55" t="s">
        <v>11178</v>
      </c>
      <c r="I4193" s="15" t="s">
        <v>214</v>
      </c>
    </row>
    <row r="4194" spans="1:9" ht="51.75" customHeight="1" x14ac:dyDescent="0.35">
      <c r="A4194" s="15" t="s">
        <v>26429</v>
      </c>
      <c r="B4194" s="15" t="s">
        <v>33542</v>
      </c>
      <c r="C4194" s="15" t="s">
        <v>33543</v>
      </c>
      <c r="D4194" s="31">
        <v>42466</v>
      </c>
      <c r="E4194" s="15" t="s">
        <v>33544</v>
      </c>
      <c r="F4194" s="87" t="s">
        <v>21871</v>
      </c>
      <c r="G4194" s="45" t="s">
        <v>11443</v>
      </c>
      <c r="H4194" s="55" t="s">
        <v>11444</v>
      </c>
      <c r="I4194" s="15" t="s">
        <v>214</v>
      </c>
    </row>
    <row r="4195" spans="1:9" ht="51.75" customHeight="1" x14ac:dyDescent="0.35">
      <c r="A4195" s="15" t="s">
        <v>21983</v>
      </c>
      <c r="B4195" s="15" t="s">
        <v>33545</v>
      </c>
      <c r="C4195" s="15" t="s">
        <v>33546</v>
      </c>
      <c r="D4195" s="31">
        <v>42466</v>
      </c>
      <c r="E4195" s="15" t="s">
        <v>33547</v>
      </c>
      <c r="F4195" s="87" t="s">
        <v>21871</v>
      </c>
      <c r="G4195" s="45" t="s">
        <v>11443</v>
      </c>
      <c r="H4195" s="55" t="s">
        <v>11444</v>
      </c>
      <c r="I4195" s="15" t="s">
        <v>214</v>
      </c>
    </row>
    <row r="4196" spans="1:9" ht="51.75" customHeight="1" x14ac:dyDescent="0.35">
      <c r="A4196" s="15" t="s">
        <v>26436</v>
      </c>
      <c r="B4196" s="15" t="s">
        <v>33548</v>
      </c>
      <c r="C4196" s="15" t="s">
        <v>33549</v>
      </c>
      <c r="D4196" s="31">
        <v>42466</v>
      </c>
      <c r="E4196" s="15" t="s">
        <v>33550</v>
      </c>
      <c r="F4196" s="87" t="s">
        <v>21871</v>
      </c>
      <c r="G4196" s="45" t="s">
        <v>11443</v>
      </c>
      <c r="H4196" s="55" t="s">
        <v>11444</v>
      </c>
      <c r="I4196" s="15" t="s">
        <v>214</v>
      </c>
    </row>
    <row r="4197" spans="1:9" ht="51.75" customHeight="1" x14ac:dyDescent="0.35">
      <c r="A4197" s="15" t="s">
        <v>21979</v>
      </c>
      <c r="B4197" s="15" t="s">
        <v>33551</v>
      </c>
      <c r="C4197" s="15" t="s">
        <v>33552</v>
      </c>
      <c r="D4197" s="31">
        <v>42466</v>
      </c>
      <c r="E4197" s="15" t="s">
        <v>33553</v>
      </c>
      <c r="F4197" s="87" t="s">
        <v>21871</v>
      </c>
      <c r="G4197" s="45" t="s">
        <v>11443</v>
      </c>
      <c r="H4197" s="55" t="s">
        <v>11444</v>
      </c>
      <c r="I4197" s="15" t="s">
        <v>214</v>
      </c>
    </row>
    <row r="4198" spans="1:9" ht="51.75" customHeight="1" x14ac:dyDescent="0.35">
      <c r="A4198" s="15" t="s">
        <v>21971</v>
      </c>
      <c r="B4198" s="15" t="s">
        <v>33554</v>
      </c>
      <c r="C4198" s="15" t="s">
        <v>33239</v>
      </c>
      <c r="D4198" s="31" t="s">
        <v>50</v>
      </c>
      <c r="E4198" s="15" t="s">
        <v>33555</v>
      </c>
      <c r="F4198" s="87" t="s">
        <v>21871</v>
      </c>
      <c r="G4198" s="45" t="s">
        <v>11443</v>
      </c>
      <c r="H4198" s="55" t="s">
        <v>11444</v>
      </c>
      <c r="I4198" s="15" t="s">
        <v>214</v>
      </c>
    </row>
    <row r="4199" spans="1:9" ht="51.75" customHeight="1" x14ac:dyDescent="0.35">
      <c r="A4199" s="15" t="s">
        <v>22715</v>
      </c>
      <c r="B4199" s="15" t="s">
        <v>33556</v>
      </c>
      <c r="C4199" s="15" t="s">
        <v>33557</v>
      </c>
      <c r="D4199" s="31">
        <v>42564</v>
      </c>
      <c r="E4199" s="15" t="s">
        <v>33558</v>
      </c>
      <c r="F4199" s="87" t="s">
        <v>21871</v>
      </c>
      <c r="G4199" s="45" t="s">
        <v>11461</v>
      </c>
      <c r="H4199" s="55" t="s">
        <v>11462</v>
      </c>
      <c r="I4199" s="15" t="s">
        <v>214</v>
      </c>
    </row>
    <row r="4200" spans="1:9" ht="51.75" customHeight="1" x14ac:dyDescent="0.35">
      <c r="A4200" s="15" t="s">
        <v>23408</v>
      </c>
      <c r="B4200" s="15" t="s">
        <v>33559</v>
      </c>
      <c r="C4200" s="15" t="s">
        <v>33560</v>
      </c>
      <c r="D4200" s="31">
        <v>42564</v>
      </c>
      <c r="E4200" s="15" t="s">
        <v>33561</v>
      </c>
      <c r="F4200" s="87" t="s">
        <v>21871</v>
      </c>
      <c r="G4200" s="45" t="s">
        <v>11461</v>
      </c>
      <c r="H4200" s="55" t="s">
        <v>11462</v>
      </c>
      <c r="I4200" s="15" t="s">
        <v>214</v>
      </c>
    </row>
    <row r="4201" spans="1:9" ht="51.75" customHeight="1" x14ac:dyDescent="0.35">
      <c r="A4201" s="15" t="s">
        <v>23337</v>
      </c>
      <c r="B4201" s="15" t="s">
        <v>33562</v>
      </c>
      <c r="C4201" s="15" t="s">
        <v>33563</v>
      </c>
      <c r="D4201" s="31">
        <v>42564</v>
      </c>
      <c r="E4201" s="15" t="s">
        <v>33564</v>
      </c>
      <c r="F4201" s="87" t="s">
        <v>21871</v>
      </c>
      <c r="G4201" s="45" t="s">
        <v>11461</v>
      </c>
      <c r="H4201" s="55" t="s">
        <v>11462</v>
      </c>
      <c r="I4201" s="15" t="s">
        <v>214</v>
      </c>
    </row>
    <row r="4202" spans="1:9" ht="51.75" customHeight="1" x14ac:dyDescent="0.35">
      <c r="A4202" s="15" t="s">
        <v>24917</v>
      </c>
      <c r="B4202" s="15" t="s">
        <v>33565</v>
      </c>
      <c r="C4202" s="15" t="s">
        <v>33566</v>
      </c>
      <c r="D4202" s="31">
        <v>42564</v>
      </c>
      <c r="E4202" s="15" t="s">
        <v>33567</v>
      </c>
      <c r="F4202" s="87" t="s">
        <v>21871</v>
      </c>
      <c r="G4202" s="45" t="s">
        <v>11461</v>
      </c>
      <c r="H4202" s="55" t="s">
        <v>11462</v>
      </c>
      <c r="I4202" s="15" t="s">
        <v>214</v>
      </c>
    </row>
    <row r="4203" spans="1:9" ht="51.75" customHeight="1" x14ac:dyDescent="0.35">
      <c r="A4203" s="15" t="s">
        <v>25119</v>
      </c>
      <c r="B4203" s="15" t="s">
        <v>33568</v>
      </c>
      <c r="C4203" s="15" t="s">
        <v>33569</v>
      </c>
      <c r="D4203" s="31">
        <v>42585</v>
      </c>
      <c r="E4203" s="15" t="s">
        <v>33570</v>
      </c>
      <c r="F4203" s="87" t="s">
        <v>21871</v>
      </c>
      <c r="G4203" s="45" t="s">
        <v>11647</v>
      </c>
      <c r="H4203" s="55" t="s">
        <v>11648</v>
      </c>
      <c r="I4203" s="15" t="s">
        <v>214</v>
      </c>
    </row>
    <row r="4204" spans="1:9" ht="51.75" customHeight="1" x14ac:dyDescent="0.35">
      <c r="A4204" s="15" t="s">
        <v>22996</v>
      </c>
      <c r="B4204" s="15" t="s">
        <v>33571</v>
      </c>
      <c r="C4204" s="15" t="s">
        <v>33572</v>
      </c>
      <c r="D4204" s="31">
        <v>42585</v>
      </c>
      <c r="E4204" s="15" t="s">
        <v>33573</v>
      </c>
      <c r="F4204" s="87" t="s">
        <v>21871</v>
      </c>
      <c r="G4204" s="45" t="s">
        <v>11647</v>
      </c>
      <c r="H4204" s="55" t="s">
        <v>11648</v>
      </c>
      <c r="I4204" s="15" t="s">
        <v>214</v>
      </c>
    </row>
    <row r="4205" spans="1:9" ht="51.75" customHeight="1" x14ac:dyDescent="0.35">
      <c r="A4205" s="15" t="s">
        <v>22885</v>
      </c>
      <c r="B4205" s="15" t="s">
        <v>33574</v>
      </c>
      <c r="C4205" s="15" t="s">
        <v>33575</v>
      </c>
      <c r="D4205" s="31">
        <v>42583</v>
      </c>
      <c r="E4205" s="15" t="s">
        <v>33576</v>
      </c>
      <c r="F4205" s="87" t="s">
        <v>21871</v>
      </c>
      <c r="G4205" s="45" t="s">
        <v>11604</v>
      </c>
      <c r="H4205" s="55" t="s">
        <v>11605</v>
      </c>
      <c r="I4205" s="15" t="s">
        <v>214</v>
      </c>
    </row>
    <row r="4206" spans="1:9" ht="51.75" customHeight="1" x14ac:dyDescent="0.35">
      <c r="A4206" s="15" t="s">
        <v>25099</v>
      </c>
      <c r="B4206" s="15" t="s">
        <v>33577</v>
      </c>
      <c r="C4206" s="15" t="s">
        <v>33578</v>
      </c>
      <c r="D4206" s="31">
        <v>42583</v>
      </c>
      <c r="E4206" s="15" t="s">
        <v>33579</v>
      </c>
      <c r="F4206" s="87" t="s">
        <v>21871</v>
      </c>
      <c r="G4206" s="45" t="s">
        <v>11604</v>
      </c>
      <c r="H4206" s="55" t="s">
        <v>11605</v>
      </c>
      <c r="I4206" s="15" t="s">
        <v>214</v>
      </c>
    </row>
    <row r="4207" spans="1:9" ht="51.75" customHeight="1" x14ac:dyDescent="0.35">
      <c r="A4207" s="15" t="s">
        <v>21995</v>
      </c>
      <c r="B4207" s="15" t="s">
        <v>33580</v>
      </c>
      <c r="C4207" s="15" t="s">
        <v>33581</v>
      </c>
      <c r="D4207" s="31">
        <v>42583</v>
      </c>
      <c r="E4207" s="15" t="s">
        <v>33582</v>
      </c>
      <c r="F4207" s="87" t="s">
        <v>21871</v>
      </c>
      <c r="G4207" s="45" t="s">
        <v>11604</v>
      </c>
      <c r="H4207" s="55" t="s">
        <v>11605</v>
      </c>
      <c r="I4207" s="15" t="s">
        <v>214</v>
      </c>
    </row>
    <row r="4208" spans="1:9" ht="51.75" customHeight="1" x14ac:dyDescent="0.35">
      <c r="A4208" s="15" t="s">
        <v>21963</v>
      </c>
      <c r="B4208" s="15" t="s">
        <v>33583</v>
      </c>
      <c r="C4208" s="15" t="s">
        <v>33584</v>
      </c>
      <c r="D4208" s="31">
        <v>42583</v>
      </c>
      <c r="E4208" s="15" t="s">
        <v>33585</v>
      </c>
      <c r="F4208" s="87" t="s">
        <v>21871</v>
      </c>
      <c r="G4208" s="45" t="s">
        <v>11604</v>
      </c>
      <c r="H4208" s="55" t="s">
        <v>11605</v>
      </c>
      <c r="I4208" s="15" t="s">
        <v>214</v>
      </c>
    </row>
    <row r="4209" spans="1:9" ht="51.75" customHeight="1" x14ac:dyDescent="0.35">
      <c r="A4209" s="15" t="s">
        <v>21872</v>
      </c>
      <c r="B4209" s="15" t="s">
        <v>33586</v>
      </c>
      <c r="C4209" s="15" t="s">
        <v>33587</v>
      </c>
      <c r="D4209" s="31">
        <v>42583</v>
      </c>
      <c r="E4209" s="15" t="s">
        <v>33588</v>
      </c>
      <c r="F4209" s="87" t="s">
        <v>21871</v>
      </c>
      <c r="G4209" s="45" t="s">
        <v>11604</v>
      </c>
      <c r="H4209" s="55" t="s">
        <v>11605</v>
      </c>
      <c r="I4209" s="15" t="s">
        <v>214</v>
      </c>
    </row>
    <row r="4210" spans="1:9" ht="51.75" customHeight="1" x14ac:dyDescent="0.35">
      <c r="A4210" s="15" t="s">
        <v>22906</v>
      </c>
      <c r="B4210" s="15" t="s">
        <v>33589</v>
      </c>
      <c r="C4210" s="15" t="s">
        <v>33590</v>
      </c>
      <c r="D4210" s="31">
        <v>42591</v>
      </c>
      <c r="E4210" s="15" t="s">
        <v>33591</v>
      </c>
      <c r="F4210" s="87" t="s">
        <v>21871</v>
      </c>
      <c r="G4210" s="45" t="s">
        <v>11740</v>
      </c>
      <c r="H4210" s="55" t="s">
        <v>11741</v>
      </c>
      <c r="I4210" s="15" t="s">
        <v>214</v>
      </c>
    </row>
    <row r="4211" spans="1:9" ht="51.75" customHeight="1" x14ac:dyDescent="0.35">
      <c r="A4211" s="15" t="s">
        <v>25439</v>
      </c>
      <c r="B4211" s="15" t="s">
        <v>33592</v>
      </c>
      <c r="C4211" s="15" t="s">
        <v>33593</v>
      </c>
      <c r="D4211" s="31">
        <v>42642</v>
      </c>
      <c r="E4211" s="15" t="s">
        <v>33594</v>
      </c>
      <c r="F4211" s="87" t="s">
        <v>21871</v>
      </c>
      <c r="G4211" s="45" t="s">
        <v>11811</v>
      </c>
      <c r="H4211" s="55" t="s">
        <v>11812</v>
      </c>
      <c r="I4211" s="15" t="s">
        <v>214</v>
      </c>
    </row>
    <row r="4212" spans="1:9" ht="51.75" customHeight="1" x14ac:dyDescent="0.35">
      <c r="A4212" s="15" t="s">
        <v>25442</v>
      </c>
      <c r="B4212" s="15" t="s">
        <v>33595</v>
      </c>
      <c r="C4212" s="15" t="s">
        <v>33596</v>
      </c>
      <c r="D4212" s="31">
        <v>42642</v>
      </c>
      <c r="E4212" s="15" t="s">
        <v>33597</v>
      </c>
      <c r="F4212" s="87" t="s">
        <v>21871</v>
      </c>
      <c r="G4212" s="45" t="s">
        <v>11811</v>
      </c>
      <c r="H4212" s="55" t="s">
        <v>11812</v>
      </c>
      <c r="I4212" s="15" t="s">
        <v>214</v>
      </c>
    </row>
    <row r="4213" spans="1:9" ht="51.75" customHeight="1" x14ac:dyDescent="0.35">
      <c r="A4213" s="15" t="s">
        <v>22175</v>
      </c>
      <c r="B4213" s="15" t="s">
        <v>33598</v>
      </c>
      <c r="C4213" s="15" t="s">
        <v>33599</v>
      </c>
      <c r="D4213" s="31">
        <v>42642</v>
      </c>
      <c r="E4213" s="15" t="s">
        <v>33600</v>
      </c>
      <c r="F4213" s="87" t="s">
        <v>21871</v>
      </c>
      <c r="G4213" s="45" t="s">
        <v>11811</v>
      </c>
      <c r="H4213" s="55" t="s">
        <v>11812</v>
      </c>
      <c r="I4213" s="15" t="s">
        <v>214</v>
      </c>
    </row>
    <row r="4214" spans="1:9" ht="51.75" customHeight="1" x14ac:dyDescent="0.35">
      <c r="A4214" s="15" t="s">
        <v>22937</v>
      </c>
      <c r="B4214" s="15" t="s">
        <v>33601</v>
      </c>
      <c r="C4214" s="15" t="s">
        <v>33602</v>
      </c>
      <c r="D4214" s="31">
        <v>42586</v>
      </c>
      <c r="E4214" s="15" t="s">
        <v>33603</v>
      </c>
      <c r="F4214" s="87" t="s">
        <v>21871</v>
      </c>
      <c r="G4214" s="45" t="s">
        <v>11833</v>
      </c>
      <c r="H4214" s="55" t="s">
        <v>11834</v>
      </c>
      <c r="I4214" s="15" t="s">
        <v>214</v>
      </c>
    </row>
    <row r="4215" spans="1:9" ht="51.75" customHeight="1" x14ac:dyDescent="0.35">
      <c r="A4215" s="15" t="s">
        <v>32260</v>
      </c>
      <c r="B4215" s="15" t="s">
        <v>33604</v>
      </c>
      <c r="C4215" s="15" t="s">
        <v>33605</v>
      </c>
      <c r="D4215" s="31">
        <v>42551</v>
      </c>
      <c r="E4215" s="15" t="s">
        <v>33606</v>
      </c>
      <c r="F4215" s="87" t="s">
        <v>21871</v>
      </c>
      <c r="G4215" s="45" t="s">
        <v>11437</v>
      </c>
      <c r="H4215" s="55" t="s">
        <v>11438</v>
      </c>
      <c r="I4215" s="15" t="s">
        <v>214</v>
      </c>
    </row>
    <row r="4216" spans="1:9" ht="51.75" customHeight="1" x14ac:dyDescent="0.35">
      <c r="A4216" s="15" t="s">
        <v>28403</v>
      </c>
      <c r="B4216" s="15" t="s">
        <v>33607</v>
      </c>
      <c r="C4216" s="15" t="s">
        <v>33608</v>
      </c>
      <c r="D4216" s="31">
        <v>42551</v>
      </c>
      <c r="E4216" s="15" t="s">
        <v>33609</v>
      </c>
      <c r="F4216" s="87" t="s">
        <v>21871</v>
      </c>
      <c r="G4216" s="45" t="s">
        <v>11437</v>
      </c>
      <c r="H4216" s="55" t="s">
        <v>11438</v>
      </c>
      <c r="I4216" s="15" t="s">
        <v>214</v>
      </c>
    </row>
    <row r="4217" spans="1:9" ht="51.75" customHeight="1" x14ac:dyDescent="0.35">
      <c r="A4217" s="15" t="s">
        <v>22179</v>
      </c>
      <c r="B4217" s="15" t="s">
        <v>33610</v>
      </c>
      <c r="C4217" s="15" t="s">
        <v>32799</v>
      </c>
      <c r="D4217" s="31">
        <v>42649</v>
      </c>
      <c r="E4217" s="15" t="s">
        <v>33611</v>
      </c>
      <c r="F4217" s="87" t="s">
        <v>21871</v>
      </c>
      <c r="G4217" s="45" t="s">
        <v>11995</v>
      </c>
      <c r="H4217" s="55" t="s">
        <v>11996</v>
      </c>
      <c r="I4217" s="15" t="s">
        <v>214</v>
      </c>
    </row>
    <row r="4218" spans="1:9" ht="51.75" customHeight="1" x14ac:dyDescent="0.35">
      <c r="A4218" s="15" t="s">
        <v>25451</v>
      </c>
      <c r="B4218" s="15" t="s">
        <v>33612</v>
      </c>
      <c r="C4218" s="15" t="s">
        <v>33613</v>
      </c>
      <c r="D4218" s="31">
        <v>42649</v>
      </c>
      <c r="E4218" s="15" t="s">
        <v>33614</v>
      </c>
      <c r="F4218" s="87" t="s">
        <v>21871</v>
      </c>
      <c r="G4218" s="45" t="s">
        <v>11995</v>
      </c>
      <c r="H4218" s="55" t="s">
        <v>11996</v>
      </c>
      <c r="I4218" s="15" t="s">
        <v>214</v>
      </c>
    </row>
    <row r="4219" spans="1:9" ht="51.75" customHeight="1" x14ac:dyDescent="0.35">
      <c r="A4219" s="15" t="s">
        <v>25454</v>
      </c>
      <c r="B4219" s="15" t="s">
        <v>33615</v>
      </c>
      <c r="C4219" s="15" t="s">
        <v>33616</v>
      </c>
      <c r="D4219" s="31">
        <v>42649</v>
      </c>
      <c r="E4219" s="15" t="s">
        <v>33617</v>
      </c>
      <c r="F4219" s="87" t="s">
        <v>21871</v>
      </c>
      <c r="G4219" s="45" t="s">
        <v>11995</v>
      </c>
      <c r="H4219" s="55" t="s">
        <v>11996</v>
      </c>
      <c r="I4219" s="15" t="s">
        <v>214</v>
      </c>
    </row>
    <row r="4220" spans="1:9" ht="51.75" customHeight="1" x14ac:dyDescent="0.35">
      <c r="A4220" s="15" t="s">
        <v>33618</v>
      </c>
      <c r="B4220" s="15" t="s">
        <v>33619</v>
      </c>
      <c r="C4220" s="15" t="s">
        <v>33620</v>
      </c>
      <c r="D4220" s="31">
        <v>42688</v>
      </c>
      <c r="E4220" s="15" t="s">
        <v>33621</v>
      </c>
      <c r="F4220" s="87" t="s">
        <v>21871</v>
      </c>
      <c r="G4220" s="45" t="s">
        <v>11989</v>
      </c>
      <c r="H4220" s="55" t="s">
        <v>11990</v>
      </c>
      <c r="I4220" s="15" t="s">
        <v>214</v>
      </c>
    </row>
    <row r="4221" spans="1:9" ht="51.75" customHeight="1" x14ac:dyDescent="0.35">
      <c r="A4221" s="15" t="s">
        <v>33622</v>
      </c>
      <c r="B4221" s="15" t="s">
        <v>33623</v>
      </c>
      <c r="C4221" s="15" t="s">
        <v>33624</v>
      </c>
      <c r="D4221" s="31">
        <v>42688</v>
      </c>
      <c r="E4221" s="15" t="s">
        <v>33625</v>
      </c>
      <c r="F4221" s="87" t="s">
        <v>21871</v>
      </c>
      <c r="G4221" s="45" t="s">
        <v>11989</v>
      </c>
      <c r="H4221" s="55" t="s">
        <v>11990</v>
      </c>
      <c r="I4221" s="15" t="s">
        <v>214</v>
      </c>
    </row>
    <row r="4222" spans="1:9" ht="51.75" customHeight="1" x14ac:dyDescent="0.35">
      <c r="A4222" s="15" t="s">
        <v>26352</v>
      </c>
      <c r="B4222" s="15" t="s">
        <v>33626</v>
      </c>
      <c r="C4222" s="15" t="s">
        <v>33627</v>
      </c>
      <c r="D4222" s="31">
        <v>42688</v>
      </c>
      <c r="E4222" s="15" t="s">
        <v>33628</v>
      </c>
      <c r="F4222" s="87" t="s">
        <v>21871</v>
      </c>
      <c r="G4222" s="45" t="s">
        <v>11989</v>
      </c>
      <c r="H4222" s="55" t="s">
        <v>11990</v>
      </c>
      <c r="I4222" s="15" t="s">
        <v>214</v>
      </c>
    </row>
    <row r="4223" spans="1:9" ht="51.75" customHeight="1" x14ac:dyDescent="0.35">
      <c r="A4223" s="15" t="s">
        <v>25986</v>
      </c>
      <c r="B4223" s="15" t="s">
        <v>33629</v>
      </c>
      <c r="C4223" s="15" t="s">
        <v>33630</v>
      </c>
      <c r="D4223" s="31">
        <v>42670</v>
      </c>
      <c r="E4223" s="15" t="s">
        <v>33631</v>
      </c>
      <c r="F4223" s="87" t="s">
        <v>21871</v>
      </c>
      <c r="G4223" s="45" t="s">
        <v>12129</v>
      </c>
      <c r="H4223" s="55" t="s">
        <v>12130</v>
      </c>
      <c r="I4223" s="15" t="s">
        <v>214</v>
      </c>
    </row>
    <row r="4224" spans="1:9" ht="51.75" customHeight="1" x14ac:dyDescent="0.35">
      <c r="A4224" s="15" t="s">
        <v>25992</v>
      </c>
      <c r="B4224" s="15" t="s">
        <v>33632</v>
      </c>
      <c r="C4224" s="15" t="s">
        <v>33633</v>
      </c>
      <c r="D4224" s="31">
        <v>42670</v>
      </c>
      <c r="E4224" s="15" t="s">
        <v>33634</v>
      </c>
      <c r="F4224" s="87" t="s">
        <v>21871</v>
      </c>
      <c r="G4224" s="45" t="s">
        <v>12129</v>
      </c>
      <c r="H4224" s="55" t="s">
        <v>12130</v>
      </c>
      <c r="I4224" s="15" t="s">
        <v>214</v>
      </c>
    </row>
    <row r="4225" spans="1:9" ht="51.75" customHeight="1" x14ac:dyDescent="0.35">
      <c r="A4225" s="15" t="s">
        <v>33635</v>
      </c>
      <c r="B4225" s="15" t="s">
        <v>33636</v>
      </c>
      <c r="C4225" s="15" t="s">
        <v>33637</v>
      </c>
      <c r="D4225" s="31">
        <v>42670</v>
      </c>
      <c r="E4225" s="15" t="s">
        <v>33638</v>
      </c>
      <c r="F4225" s="87" t="s">
        <v>21871</v>
      </c>
      <c r="G4225" s="45" t="s">
        <v>12129</v>
      </c>
      <c r="H4225" s="55" t="s">
        <v>12130</v>
      </c>
      <c r="I4225" s="15" t="s">
        <v>214</v>
      </c>
    </row>
    <row r="4226" spans="1:9" ht="51.75" customHeight="1" x14ac:dyDescent="0.35">
      <c r="A4226" s="15" t="s">
        <v>26308</v>
      </c>
      <c r="B4226" s="15" t="s">
        <v>33639</v>
      </c>
      <c r="C4226" s="15" t="s">
        <v>33640</v>
      </c>
      <c r="D4226" s="31">
        <v>42670</v>
      </c>
      <c r="E4226" s="15" t="s">
        <v>33641</v>
      </c>
      <c r="F4226" s="87" t="s">
        <v>21871</v>
      </c>
      <c r="G4226" s="45" t="s">
        <v>12129</v>
      </c>
      <c r="H4226" s="55" t="s">
        <v>12130</v>
      </c>
      <c r="I4226" s="15" t="s">
        <v>214</v>
      </c>
    </row>
    <row r="4227" spans="1:9" ht="51.75" customHeight="1" x14ac:dyDescent="0.35">
      <c r="A4227" s="15" t="s">
        <v>25494</v>
      </c>
      <c r="B4227" s="15" t="s">
        <v>33642</v>
      </c>
      <c r="C4227" s="15" t="s">
        <v>33643</v>
      </c>
      <c r="D4227" s="31">
        <v>42660</v>
      </c>
      <c r="E4227" s="15" t="s">
        <v>33644</v>
      </c>
      <c r="F4227" s="87" t="s">
        <v>21871</v>
      </c>
      <c r="G4227" s="45" t="s">
        <v>12101</v>
      </c>
      <c r="H4227" s="55" t="s">
        <v>12102</v>
      </c>
      <c r="I4227" s="15" t="s">
        <v>214</v>
      </c>
    </row>
    <row r="4228" spans="1:9" ht="51.75" customHeight="1" x14ac:dyDescent="0.35">
      <c r="A4228" s="15" t="s">
        <v>25498</v>
      </c>
      <c r="B4228" s="15" t="s">
        <v>33645</v>
      </c>
      <c r="C4228" s="15" t="s">
        <v>33646</v>
      </c>
      <c r="D4228" s="31">
        <v>42660</v>
      </c>
      <c r="E4228" s="15" t="s">
        <v>33647</v>
      </c>
      <c r="F4228" s="87" t="s">
        <v>21871</v>
      </c>
      <c r="G4228" s="45" t="s">
        <v>12101</v>
      </c>
      <c r="H4228" s="55" t="s">
        <v>12102</v>
      </c>
      <c r="I4228" s="15" t="s">
        <v>214</v>
      </c>
    </row>
    <row r="4229" spans="1:9" ht="51.75" customHeight="1" x14ac:dyDescent="0.35">
      <c r="A4229" s="15" t="s">
        <v>24191</v>
      </c>
      <c r="B4229" s="15" t="s">
        <v>33648</v>
      </c>
      <c r="C4229" s="15" t="s">
        <v>33649</v>
      </c>
      <c r="D4229" s="31">
        <v>42709</v>
      </c>
      <c r="E4229" s="15" t="s">
        <v>33650</v>
      </c>
      <c r="F4229" s="87" t="s">
        <v>21871</v>
      </c>
      <c r="G4229" s="45" t="s">
        <v>12181</v>
      </c>
      <c r="H4229" s="55" t="s">
        <v>12182</v>
      </c>
      <c r="I4229" s="15" t="s">
        <v>214</v>
      </c>
    </row>
    <row r="4230" spans="1:9" ht="51.75" customHeight="1" x14ac:dyDescent="0.35">
      <c r="A4230" s="15" t="s">
        <v>24197</v>
      </c>
      <c r="B4230" s="15" t="s">
        <v>33651</v>
      </c>
      <c r="C4230" s="15" t="s">
        <v>33652</v>
      </c>
      <c r="D4230" s="31">
        <v>42709</v>
      </c>
      <c r="E4230" s="15" t="s">
        <v>33653</v>
      </c>
      <c r="F4230" s="87" t="s">
        <v>21871</v>
      </c>
      <c r="G4230" s="45" t="s">
        <v>12181</v>
      </c>
      <c r="H4230" s="55" t="s">
        <v>12182</v>
      </c>
      <c r="I4230" s="15" t="s">
        <v>214</v>
      </c>
    </row>
    <row r="4231" spans="1:9" ht="51.75" customHeight="1" x14ac:dyDescent="0.35">
      <c r="A4231" s="15" t="s">
        <v>24203</v>
      </c>
      <c r="B4231" s="15" t="s">
        <v>33654</v>
      </c>
      <c r="C4231" s="15" t="s">
        <v>33655</v>
      </c>
      <c r="D4231" s="31">
        <v>42709</v>
      </c>
      <c r="E4231" s="15" t="s">
        <v>33656</v>
      </c>
      <c r="F4231" s="87" t="s">
        <v>21871</v>
      </c>
      <c r="G4231" s="45" t="s">
        <v>12181</v>
      </c>
      <c r="H4231" s="55" t="s">
        <v>12182</v>
      </c>
      <c r="I4231" s="15" t="s">
        <v>214</v>
      </c>
    </row>
    <row r="4232" spans="1:9" ht="51.75" customHeight="1" x14ac:dyDescent="0.35">
      <c r="A4232" s="15" t="s">
        <v>23923</v>
      </c>
      <c r="B4232" s="15" t="s">
        <v>33657</v>
      </c>
      <c r="C4232" s="15" t="s">
        <v>33658</v>
      </c>
      <c r="D4232" s="31">
        <v>42695</v>
      </c>
      <c r="E4232" s="15" t="s">
        <v>33659</v>
      </c>
      <c r="F4232" s="87" t="s">
        <v>21871</v>
      </c>
      <c r="G4232" s="45" t="s">
        <v>12164</v>
      </c>
      <c r="H4232" s="55" t="s">
        <v>12165</v>
      </c>
      <c r="I4232" s="15" t="s">
        <v>214</v>
      </c>
    </row>
    <row r="4233" spans="1:9" ht="51.75" customHeight="1" x14ac:dyDescent="0.35">
      <c r="A4233" s="15" t="s">
        <v>24186</v>
      </c>
      <c r="B4233" s="15" t="s">
        <v>33660</v>
      </c>
      <c r="C4233" s="15" t="s">
        <v>33661</v>
      </c>
      <c r="D4233" s="31">
        <v>42695</v>
      </c>
      <c r="E4233" s="15" t="s">
        <v>33662</v>
      </c>
      <c r="F4233" s="87" t="s">
        <v>21871</v>
      </c>
      <c r="G4233" s="45" t="s">
        <v>12164</v>
      </c>
      <c r="H4233" s="55" t="s">
        <v>12165</v>
      </c>
      <c r="I4233" s="15" t="s">
        <v>214</v>
      </c>
    </row>
    <row r="4234" spans="1:9" ht="51.75" customHeight="1" x14ac:dyDescent="0.35">
      <c r="A4234" s="15" t="s">
        <v>22433</v>
      </c>
      <c r="B4234" s="15" t="s">
        <v>33663</v>
      </c>
      <c r="C4234" s="15" t="s">
        <v>33664</v>
      </c>
      <c r="D4234" s="31">
        <v>42808</v>
      </c>
      <c r="E4234" s="15" t="s">
        <v>33665</v>
      </c>
      <c r="F4234" s="87" t="s">
        <v>21871</v>
      </c>
      <c r="G4234" s="45" t="s">
        <v>12285</v>
      </c>
      <c r="H4234" s="55" t="s">
        <v>12286</v>
      </c>
      <c r="I4234" s="15" t="s">
        <v>214</v>
      </c>
    </row>
    <row r="4235" spans="1:9" ht="51.75" customHeight="1" x14ac:dyDescent="0.35">
      <c r="A4235" s="15" t="s">
        <v>22437</v>
      </c>
      <c r="B4235" s="15" t="s">
        <v>33666</v>
      </c>
      <c r="C4235" s="15" t="s">
        <v>33667</v>
      </c>
      <c r="D4235" s="31">
        <v>42808</v>
      </c>
      <c r="E4235" s="15" t="s">
        <v>33668</v>
      </c>
      <c r="F4235" s="87" t="s">
        <v>21871</v>
      </c>
      <c r="G4235" s="45" t="s">
        <v>12285</v>
      </c>
      <c r="H4235" s="55" t="s">
        <v>12286</v>
      </c>
      <c r="I4235" s="15" t="s">
        <v>214</v>
      </c>
    </row>
    <row r="4236" spans="1:9" ht="51.75" customHeight="1" x14ac:dyDescent="0.35">
      <c r="A4236" s="15" t="s">
        <v>22441</v>
      </c>
      <c r="B4236" s="15" t="s">
        <v>33669</v>
      </c>
      <c r="C4236" s="15" t="s">
        <v>32799</v>
      </c>
      <c r="D4236" s="31">
        <v>42808</v>
      </c>
      <c r="E4236" s="15" t="s">
        <v>33670</v>
      </c>
      <c r="F4236" s="87" t="s">
        <v>21871</v>
      </c>
      <c r="G4236" s="45" t="s">
        <v>12285</v>
      </c>
      <c r="H4236" s="55" t="s">
        <v>12286</v>
      </c>
      <c r="I4236" s="15" t="s">
        <v>214</v>
      </c>
    </row>
    <row r="4237" spans="1:9" ht="51.75" customHeight="1" x14ac:dyDescent="0.35">
      <c r="A4237" s="15" t="s">
        <v>22019</v>
      </c>
      <c r="B4237" s="15" t="s">
        <v>33671</v>
      </c>
      <c r="C4237" s="15" t="s">
        <v>33672</v>
      </c>
      <c r="D4237" s="31">
        <v>42779</v>
      </c>
      <c r="E4237" s="15" t="s">
        <v>33673</v>
      </c>
      <c r="F4237" s="87" t="s">
        <v>21871</v>
      </c>
      <c r="G4237" s="45" t="s">
        <v>12273</v>
      </c>
      <c r="H4237" s="55" t="s">
        <v>12274</v>
      </c>
      <c r="I4237" s="15" t="s">
        <v>214</v>
      </c>
    </row>
    <row r="4238" spans="1:9" ht="51.75" customHeight="1" x14ac:dyDescent="0.35">
      <c r="A4238" s="15" t="s">
        <v>24176</v>
      </c>
      <c r="B4238" s="15" t="s">
        <v>33674</v>
      </c>
      <c r="C4238" s="15" t="s">
        <v>33675</v>
      </c>
      <c r="D4238" s="31">
        <v>42779</v>
      </c>
      <c r="E4238" s="15" t="s">
        <v>33676</v>
      </c>
      <c r="F4238" s="87" t="s">
        <v>21871</v>
      </c>
      <c r="G4238" s="45" t="s">
        <v>12273</v>
      </c>
      <c r="H4238" s="55" t="s">
        <v>12274</v>
      </c>
      <c r="I4238" s="15" t="s">
        <v>214</v>
      </c>
    </row>
    <row r="4239" spans="1:9" ht="51.75" customHeight="1" x14ac:dyDescent="0.35">
      <c r="A4239" s="15" t="s">
        <v>22719</v>
      </c>
      <c r="B4239" s="15" t="s">
        <v>33677</v>
      </c>
      <c r="C4239" s="15" t="s">
        <v>33678</v>
      </c>
      <c r="D4239" s="31">
        <v>42779</v>
      </c>
      <c r="E4239" s="15" t="s">
        <v>33679</v>
      </c>
      <c r="F4239" s="87" t="s">
        <v>21871</v>
      </c>
      <c r="G4239" s="45" t="s">
        <v>12273</v>
      </c>
      <c r="H4239" s="55" t="s">
        <v>12274</v>
      </c>
      <c r="I4239" s="15" t="s">
        <v>214</v>
      </c>
    </row>
    <row r="4240" spans="1:9" ht="51.75" customHeight="1" x14ac:dyDescent="0.35">
      <c r="A4240" s="15" t="s">
        <v>22945</v>
      </c>
      <c r="B4240" s="15" t="s">
        <v>33680</v>
      </c>
      <c r="C4240" s="15" t="s">
        <v>33681</v>
      </c>
      <c r="D4240" s="31">
        <v>42754</v>
      </c>
      <c r="E4240" s="15" t="s">
        <v>33682</v>
      </c>
      <c r="F4240" s="87" t="s">
        <v>21871</v>
      </c>
      <c r="G4240" s="45" t="s">
        <v>12279</v>
      </c>
      <c r="H4240" s="55" t="s">
        <v>12280</v>
      </c>
      <c r="I4240" s="15" t="s">
        <v>214</v>
      </c>
    </row>
    <row r="4241" spans="1:9" ht="51.75" customHeight="1" x14ac:dyDescent="0.35">
      <c r="A4241" s="15" t="s">
        <v>23234</v>
      </c>
      <c r="B4241" s="15" t="s">
        <v>33683</v>
      </c>
      <c r="C4241" s="15" t="s">
        <v>33684</v>
      </c>
      <c r="D4241" s="31">
        <v>42754</v>
      </c>
      <c r="E4241" s="15" t="s">
        <v>33685</v>
      </c>
      <c r="F4241" s="87" t="s">
        <v>21871</v>
      </c>
      <c r="G4241" s="45" t="s">
        <v>12279</v>
      </c>
      <c r="H4241" s="55" t="s">
        <v>12280</v>
      </c>
      <c r="I4241" s="15" t="s">
        <v>214</v>
      </c>
    </row>
    <row r="4242" spans="1:9" ht="51.75" customHeight="1" x14ac:dyDescent="0.35">
      <c r="A4242" s="15" t="s">
        <v>23289</v>
      </c>
      <c r="B4242" s="15" t="s">
        <v>33686</v>
      </c>
      <c r="C4242" s="15" t="s">
        <v>33687</v>
      </c>
      <c r="D4242" s="31">
        <v>42754</v>
      </c>
      <c r="E4242" s="15" t="s">
        <v>33688</v>
      </c>
      <c r="F4242" s="87" t="s">
        <v>21871</v>
      </c>
      <c r="G4242" s="45" t="s">
        <v>12279</v>
      </c>
      <c r="H4242" s="55" t="s">
        <v>12280</v>
      </c>
      <c r="I4242" s="15" t="s">
        <v>214</v>
      </c>
    </row>
    <row r="4243" spans="1:9" ht="51.75" customHeight="1" x14ac:dyDescent="0.35">
      <c r="A4243" s="15" t="s">
        <v>22015</v>
      </c>
      <c r="B4243" s="15" t="s">
        <v>33689</v>
      </c>
      <c r="C4243" s="15" t="s">
        <v>33690</v>
      </c>
      <c r="D4243" s="31">
        <v>42754</v>
      </c>
      <c r="E4243" s="15" t="s">
        <v>33691</v>
      </c>
      <c r="F4243" s="87" t="s">
        <v>21871</v>
      </c>
      <c r="G4243" s="45" t="s">
        <v>12279</v>
      </c>
      <c r="H4243" s="55" t="s">
        <v>12280</v>
      </c>
      <c r="I4243" s="15" t="s">
        <v>214</v>
      </c>
    </row>
    <row r="4244" spans="1:9" ht="51.75" customHeight="1" x14ac:dyDescent="0.35">
      <c r="A4244" s="15" t="s">
        <v>22213</v>
      </c>
      <c r="B4244" s="15" t="s">
        <v>33692</v>
      </c>
      <c r="C4244" s="15" t="s">
        <v>33693</v>
      </c>
      <c r="D4244" s="31">
        <v>42754</v>
      </c>
      <c r="E4244" s="15" t="s">
        <v>33694</v>
      </c>
      <c r="F4244" s="87" t="s">
        <v>21871</v>
      </c>
      <c r="G4244" s="45" t="s">
        <v>12279</v>
      </c>
      <c r="H4244" s="55" t="s">
        <v>12280</v>
      </c>
      <c r="I4244" s="15" t="s">
        <v>214</v>
      </c>
    </row>
    <row r="4245" spans="1:9" ht="51.75" customHeight="1" x14ac:dyDescent="0.35">
      <c r="A4245" s="15" t="s">
        <v>22727</v>
      </c>
      <c r="B4245" s="15" t="s">
        <v>33695</v>
      </c>
      <c r="C4245" s="15" t="s">
        <v>33696</v>
      </c>
      <c r="D4245" s="31" t="s">
        <v>50</v>
      </c>
      <c r="E4245" s="15" t="s">
        <v>33697</v>
      </c>
      <c r="F4245" s="87" t="s">
        <v>21871</v>
      </c>
      <c r="G4245" s="45" t="s">
        <v>12477</v>
      </c>
      <c r="H4245" s="55" t="s">
        <v>12478</v>
      </c>
      <c r="I4245" s="15" t="s">
        <v>214</v>
      </c>
    </row>
    <row r="4246" spans="1:9" ht="51.75" customHeight="1" x14ac:dyDescent="0.35">
      <c r="A4246" s="15" t="s">
        <v>21890</v>
      </c>
      <c r="B4246" s="15" t="s">
        <v>33698</v>
      </c>
      <c r="C4246" s="15" t="s">
        <v>33699</v>
      </c>
      <c r="D4246" s="31">
        <v>42783</v>
      </c>
      <c r="E4246" s="15" t="s">
        <v>33700</v>
      </c>
      <c r="F4246" s="87" t="s">
        <v>21871</v>
      </c>
      <c r="G4246" s="45" t="s">
        <v>12477</v>
      </c>
      <c r="H4246" s="55" t="s">
        <v>12478</v>
      </c>
      <c r="I4246" s="15" t="s">
        <v>214</v>
      </c>
    </row>
    <row r="4247" spans="1:9" ht="51.75" customHeight="1" x14ac:dyDescent="0.35">
      <c r="A4247" s="15" t="s">
        <v>21894</v>
      </c>
      <c r="B4247" s="15" t="s">
        <v>33701</v>
      </c>
      <c r="C4247" s="15" t="s">
        <v>33702</v>
      </c>
      <c r="D4247" s="31">
        <v>42782</v>
      </c>
      <c r="E4247" s="15" t="s">
        <v>33703</v>
      </c>
      <c r="F4247" s="87" t="s">
        <v>21871</v>
      </c>
      <c r="G4247" s="45" t="s">
        <v>12477</v>
      </c>
      <c r="H4247" s="55" t="s">
        <v>12478</v>
      </c>
      <c r="I4247" s="15" t="s">
        <v>214</v>
      </c>
    </row>
    <row r="4248" spans="1:9" ht="51.75" customHeight="1" x14ac:dyDescent="0.35">
      <c r="A4248" s="15" t="s">
        <v>26615</v>
      </c>
      <c r="B4248" s="15" t="s">
        <v>33704</v>
      </c>
      <c r="C4248" s="15" t="s">
        <v>33705</v>
      </c>
      <c r="D4248" s="31">
        <v>42858</v>
      </c>
      <c r="E4248" s="15" t="s">
        <v>33706</v>
      </c>
      <c r="F4248" s="87" t="s">
        <v>21871</v>
      </c>
      <c r="G4248" s="45" t="s">
        <v>12495</v>
      </c>
      <c r="H4248" s="55" t="s">
        <v>12496</v>
      </c>
      <c r="I4248" s="15" t="s">
        <v>214</v>
      </c>
    </row>
    <row r="4249" spans="1:9" ht="51.75" customHeight="1" x14ac:dyDescent="0.35">
      <c r="A4249" s="15" t="s">
        <v>25717</v>
      </c>
      <c r="B4249" s="15" t="s">
        <v>33707</v>
      </c>
      <c r="C4249" s="15" t="s">
        <v>33708</v>
      </c>
      <c r="D4249" s="31">
        <v>42858</v>
      </c>
      <c r="E4249" s="15" t="s">
        <v>33709</v>
      </c>
      <c r="F4249" s="87" t="s">
        <v>21871</v>
      </c>
      <c r="G4249" s="45" t="s">
        <v>12495</v>
      </c>
      <c r="H4249" s="55" t="s">
        <v>12496</v>
      </c>
      <c r="I4249" s="15" t="s">
        <v>214</v>
      </c>
    </row>
    <row r="4250" spans="1:9" ht="51.75" customHeight="1" x14ac:dyDescent="0.35">
      <c r="A4250" s="15" t="s">
        <v>26618</v>
      </c>
      <c r="B4250" s="15" t="s">
        <v>33710</v>
      </c>
      <c r="C4250" s="15" t="s">
        <v>33711</v>
      </c>
      <c r="D4250" s="31">
        <v>42858</v>
      </c>
      <c r="E4250" s="15" t="s">
        <v>33712</v>
      </c>
      <c r="F4250" s="87" t="s">
        <v>21871</v>
      </c>
      <c r="G4250" s="45" t="s">
        <v>12495</v>
      </c>
      <c r="H4250" s="55" t="s">
        <v>12496</v>
      </c>
      <c r="I4250" s="15" t="s">
        <v>214</v>
      </c>
    </row>
    <row r="4251" spans="1:9" ht="51.75" customHeight="1" x14ac:dyDescent="0.35">
      <c r="A4251" s="15" t="s">
        <v>21867</v>
      </c>
      <c r="B4251" s="15" t="s">
        <v>33713</v>
      </c>
      <c r="C4251" s="15" t="s">
        <v>33714</v>
      </c>
      <c r="D4251" s="31">
        <v>42858</v>
      </c>
      <c r="E4251" s="15" t="s">
        <v>33715</v>
      </c>
      <c r="F4251" s="87" t="s">
        <v>21871</v>
      </c>
      <c r="G4251" s="45" t="s">
        <v>12495</v>
      </c>
      <c r="H4251" s="55" t="s">
        <v>12496</v>
      </c>
      <c r="I4251" s="15" t="s">
        <v>214</v>
      </c>
    </row>
    <row r="4252" spans="1:9" ht="51.75" customHeight="1" x14ac:dyDescent="0.35">
      <c r="A4252" s="15" t="s">
        <v>22463</v>
      </c>
      <c r="B4252" s="15" t="s">
        <v>33716</v>
      </c>
      <c r="C4252" s="15" t="s">
        <v>33717</v>
      </c>
      <c r="D4252" s="31">
        <v>42818</v>
      </c>
      <c r="E4252" s="15" t="s">
        <v>33718</v>
      </c>
      <c r="F4252" s="87" t="s">
        <v>21871</v>
      </c>
      <c r="G4252" s="45" t="s">
        <v>12513</v>
      </c>
      <c r="H4252" s="55" t="s">
        <v>12514</v>
      </c>
      <c r="I4252" s="15" t="s">
        <v>214</v>
      </c>
    </row>
    <row r="4253" spans="1:9" ht="51.75" customHeight="1" x14ac:dyDescent="0.35">
      <c r="A4253" s="15" t="s">
        <v>22467</v>
      </c>
      <c r="B4253" s="15" t="s">
        <v>33719</v>
      </c>
      <c r="C4253" s="15" t="s">
        <v>33720</v>
      </c>
      <c r="D4253" s="31">
        <v>42818</v>
      </c>
      <c r="E4253" s="15" t="s">
        <v>33721</v>
      </c>
      <c r="F4253" s="87" t="s">
        <v>21871</v>
      </c>
      <c r="G4253" s="45" t="s">
        <v>12513</v>
      </c>
      <c r="H4253" s="55" t="s">
        <v>12514</v>
      </c>
      <c r="I4253" s="15" t="s">
        <v>214</v>
      </c>
    </row>
    <row r="4254" spans="1:9" ht="51.75" customHeight="1" x14ac:dyDescent="0.35">
      <c r="A4254" s="15" t="s">
        <v>24386</v>
      </c>
      <c r="B4254" s="15" t="s">
        <v>33722</v>
      </c>
      <c r="C4254" s="15" t="s">
        <v>33587</v>
      </c>
      <c r="D4254" s="31">
        <v>42818</v>
      </c>
      <c r="E4254" s="15" t="s">
        <v>33723</v>
      </c>
      <c r="F4254" s="87" t="s">
        <v>21871</v>
      </c>
      <c r="G4254" s="45" t="s">
        <v>12513</v>
      </c>
      <c r="H4254" s="55" t="s">
        <v>12514</v>
      </c>
      <c r="I4254" s="15" t="s">
        <v>214</v>
      </c>
    </row>
    <row r="4255" spans="1:9" ht="51.75" customHeight="1" x14ac:dyDescent="0.35">
      <c r="A4255" s="15" t="s">
        <v>28335</v>
      </c>
      <c r="B4255" s="15" t="s">
        <v>33724</v>
      </c>
      <c r="C4255" s="15" t="s">
        <v>33725</v>
      </c>
      <c r="D4255" s="31">
        <v>42892</v>
      </c>
      <c r="E4255" s="15" t="s">
        <v>33726</v>
      </c>
      <c r="F4255" s="87" t="s">
        <v>21871</v>
      </c>
      <c r="G4255" s="45" t="s">
        <v>12616</v>
      </c>
      <c r="H4255" s="55" t="s">
        <v>12617</v>
      </c>
      <c r="I4255" s="15" t="s">
        <v>214</v>
      </c>
    </row>
    <row r="4256" spans="1:9" ht="51.75" customHeight="1" x14ac:dyDescent="0.35">
      <c r="A4256" s="15" t="s">
        <v>23759</v>
      </c>
      <c r="B4256" s="15" t="s">
        <v>33727</v>
      </c>
      <c r="C4256" s="15" t="s">
        <v>33406</v>
      </c>
      <c r="D4256" s="31">
        <v>42892</v>
      </c>
      <c r="E4256" s="15" t="s">
        <v>33728</v>
      </c>
      <c r="F4256" s="87" t="s">
        <v>21871</v>
      </c>
      <c r="G4256" s="45" t="s">
        <v>12616</v>
      </c>
      <c r="H4256" s="55" t="s">
        <v>12617</v>
      </c>
      <c r="I4256" s="15" t="s">
        <v>214</v>
      </c>
    </row>
    <row r="4257" spans="1:9" ht="51.75" customHeight="1" x14ac:dyDescent="0.35">
      <c r="A4257" s="15" t="s">
        <v>23225</v>
      </c>
      <c r="B4257" s="15" t="s">
        <v>33729</v>
      </c>
      <c r="C4257" s="15" t="s">
        <v>33730</v>
      </c>
      <c r="D4257" s="31">
        <v>42892</v>
      </c>
      <c r="E4257" s="15" t="s">
        <v>33731</v>
      </c>
      <c r="F4257" s="87" t="s">
        <v>21871</v>
      </c>
      <c r="G4257" s="45" t="s">
        <v>12616</v>
      </c>
      <c r="H4257" s="55" t="s">
        <v>12617</v>
      </c>
      <c r="I4257" s="15" t="s">
        <v>214</v>
      </c>
    </row>
    <row r="4258" spans="1:9" ht="51.75" customHeight="1" x14ac:dyDescent="0.35">
      <c r="A4258" s="15" t="s">
        <v>24814</v>
      </c>
      <c r="B4258" s="15" t="s">
        <v>33732</v>
      </c>
      <c r="C4258" s="15" t="s">
        <v>33733</v>
      </c>
      <c r="D4258" s="31">
        <v>42830</v>
      </c>
      <c r="E4258" s="15" t="s">
        <v>33734</v>
      </c>
      <c r="F4258" s="87" t="s">
        <v>21871</v>
      </c>
      <c r="G4258" s="45" t="s">
        <v>12651</v>
      </c>
      <c r="H4258" s="55" t="s">
        <v>12652</v>
      </c>
      <c r="I4258" s="15" t="s">
        <v>214</v>
      </c>
    </row>
    <row r="4259" spans="1:9" ht="51.75" customHeight="1" x14ac:dyDescent="0.35">
      <c r="A4259" s="15" t="s">
        <v>22574</v>
      </c>
      <c r="B4259" s="15" t="s">
        <v>33735</v>
      </c>
      <c r="C4259" s="15" t="s">
        <v>33736</v>
      </c>
      <c r="D4259" s="31">
        <v>42957</v>
      </c>
      <c r="E4259" s="15" t="s">
        <v>33737</v>
      </c>
      <c r="F4259" s="87" t="s">
        <v>21871</v>
      </c>
      <c r="G4259" s="45" t="s">
        <v>12754</v>
      </c>
      <c r="H4259" s="55" t="s">
        <v>12755</v>
      </c>
      <c r="I4259" s="15" t="s">
        <v>214</v>
      </c>
    </row>
    <row r="4260" spans="1:9" ht="51.75" customHeight="1" x14ac:dyDescent="0.35">
      <c r="A4260" s="15" t="s">
        <v>22578</v>
      </c>
      <c r="B4260" s="15" t="s">
        <v>33738</v>
      </c>
      <c r="C4260" s="15" t="s">
        <v>33739</v>
      </c>
      <c r="D4260" s="31">
        <v>42957</v>
      </c>
      <c r="E4260" s="15" t="s">
        <v>33740</v>
      </c>
      <c r="F4260" s="87" t="s">
        <v>21871</v>
      </c>
      <c r="G4260" s="45" t="s">
        <v>12754</v>
      </c>
      <c r="H4260" s="55" t="s">
        <v>12755</v>
      </c>
      <c r="I4260" s="15" t="s">
        <v>214</v>
      </c>
    </row>
    <row r="4261" spans="1:9" ht="51.75" customHeight="1" x14ac:dyDescent="0.35">
      <c r="A4261" s="15" t="s">
        <v>22582</v>
      </c>
      <c r="B4261" s="15" t="s">
        <v>33741</v>
      </c>
      <c r="C4261" s="15" t="s">
        <v>33599</v>
      </c>
      <c r="D4261" s="31">
        <v>42957</v>
      </c>
      <c r="E4261" s="15" t="s">
        <v>33742</v>
      </c>
      <c r="F4261" s="87" t="s">
        <v>21871</v>
      </c>
      <c r="G4261" s="45" t="s">
        <v>12754</v>
      </c>
      <c r="H4261" s="55" t="s">
        <v>12755</v>
      </c>
      <c r="I4261" s="15" t="s">
        <v>214</v>
      </c>
    </row>
    <row r="4262" spans="1:9" ht="51.75" customHeight="1" x14ac:dyDescent="0.35">
      <c r="A4262" s="15" t="s">
        <v>22586</v>
      </c>
      <c r="B4262" s="15" t="s">
        <v>33743</v>
      </c>
      <c r="C4262" s="15" t="s">
        <v>33744</v>
      </c>
      <c r="D4262" s="31">
        <v>42957</v>
      </c>
      <c r="E4262" s="15" t="s">
        <v>33745</v>
      </c>
      <c r="F4262" s="87" t="s">
        <v>21871</v>
      </c>
      <c r="G4262" s="45" t="s">
        <v>12754</v>
      </c>
      <c r="H4262" s="55" t="s">
        <v>12755</v>
      </c>
      <c r="I4262" s="15" t="s">
        <v>214</v>
      </c>
    </row>
    <row r="4263" spans="1:9" ht="51.75" customHeight="1" x14ac:dyDescent="0.35">
      <c r="A4263" s="15" t="s">
        <v>26038</v>
      </c>
      <c r="B4263" s="15" t="s">
        <v>33746</v>
      </c>
      <c r="C4263" s="15" t="s">
        <v>33747</v>
      </c>
      <c r="D4263" s="31">
        <v>42957</v>
      </c>
      <c r="E4263" s="15" t="s">
        <v>33748</v>
      </c>
      <c r="F4263" s="87" t="s">
        <v>21871</v>
      </c>
      <c r="G4263" s="45" t="s">
        <v>12754</v>
      </c>
      <c r="H4263" s="55" t="s">
        <v>12755</v>
      </c>
      <c r="I4263" s="15" t="s">
        <v>214</v>
      </c>
    </row>
    <row r="4264" spans="1:9" ht="51.75" customHeight="1" x14ac:dyDescent="0.35">
      <c r="A4264" s="15" t="s">
        <v>26042</v>
      </c>
      <c r="B4264" s="15" t="s">
        <v>33749</v>
      </c>
      <c r="C4264" s="15" t="s">
        <v>33750</v>
      </c>
      <c r="D4264" s="31">
        <v>42957</v>
      </c>
      <c r="E4264" s="15" t="s">
        <v>33751</v>
      </c>
      <c r="F4264" s="87" t="s">
        <v>21871</v>
      </c>
      <c r="G4264" s="45" t="s">
        <v>12754</v>
      </c>
      <c r="H4264" s="55" t="s">
        <v>12755</v>
      </c>
      <c r="I4264" s="15" t="s">
        <v>214</v>
      </c>
    </row>
    <row r="4265" spans="1:9" ht="51.75" customHeight="1" x14ac:dyDescent="0.35">
      <c r="A4265" s="15" t="s">
        <v>23461</v>
      </c>
      <c r="B4265" s="15" t="s">
        <v>33752</v>
      </c>
      <c r="C4265" s="15" t="s">
        <v>33753</v>
      </c>
      <c r="D4265" s="31">
        <v>42880</v>
      </c>
      <c r="E4265" s="15" t="s">
        <v>33754</v>
      </c>
      <c r="F4265" s="87" t="s">
        <v>21871</v>
      </c>
      <c r="G4265" s="45" t="s">
        <v>12634</v>
      </c>
      <c r="H4265" s="55" t="s">
        <v>12635</v>
      </c>
      <c r="I4265" s="15" t="s">
        <v>214</v>
      </c>
    </row>
    <row r="4266" spans="1:9" ht="51.75" customHeight="1" x14ac:dyDescent="0.35">
      <c r="A4266" s="15" t="s">
        <v>23465</v>
      </c>
      <c r="B4266" s="15" t="s">
        <v>33755</v>
      </c>
      <c r="C4266" s="15" t="s">
        <v>33756</v>
      </c>
      <c r="D4266" s="31">
        <v>42880</v>
      </c>
      <c r="E4266" s="15" t="s">
        <v>33757</v>
      </c>
      <c r="F4266" s="87" t="s">
        <v>21871</v>
      </c>
      <c r="G4266" s="45" t="s">
        <v>12634</v>
      </c>
      <c r="H4266" s="55" t="s">
        <v>12635</v>
      </c>
      <c r="I4266" s="15" t="s">
        <v>214</v>
      </c>
    </row>
    <row r="4267" spans="1:9" ht="51.75" customHeight="1" x14ac:dyDescent="0.35">
      <c r="A4267" s="15" t="s">
        <v>26028</v>
      </c>
      <c r="B4267" s="15" t="s">
        <v>33758</v>
      </c>
      <c r="C4267" s="15" t="s">
        <v>33759</v>
      </c>
      <c r="D4267" s="31" t="s">
        <v>50</v>
      </c>
      <c r="E4267" s="15" t="s">
        <v>33760</v>
      </c>
      <c r="F4267" s="87" t="s">
        <v>21871</v>
      </c>
      <c r="G4267" s="45" t="s">
        <v>12814</v>
      </c>
      <c r="H4267" s="55" t="s">
        <v>12815</v>
      </c>
      <c r="I4267" s="15" t="s">
        <v>214</v>
      </c>
    </row>
    <row r="4268" spans="1:9" ht="51.75" customHeight="1" x14ac:dyDescent="0.35">
      <c r="A4268" s="15" t="s">
        <v>25050</v>
      </c>
      <c r="B4268" s="15" t="s">
        <v>33761</v>
      </c>
      <c r="C4268" s="15" t="s">
        <v>33762</v>
      </c>
      <c r="D4268" s="31">
        <v>43076</v>
      </c>
      <c r="E4268" s="15" t="s">
        <v>33763</v>
      </c>
      <c r="F4268" s="87" t="s">
        <v>21871</v>
      </c>
      <c r="G4268" s="45" t="s">
        <v>12948</v>
      </c>
      <c r="H4268" s="55" t="s">
        <v>12949</v>
      </c>
      <c r="I4268" s="15" t="s">
        <v>214</v>
      </c>
    </row>
    <row r="4269" spans="1:9" ht="51.75" customHeight="1" x14ac:dyDescent="0.35">
      <c r="A4269" s="15" t="s">
        <v>25089</v>
      </c>
      <c r="B4269" s="15" t="s">
        <v>33764</v>
      </c>
      <c r="C4269" s="15" t="s">
        <v>33765</v>
      </c>
      <c r="D4269" s="31">
        <v>43076</v>
      </c>
      <c r="E4269" s="15" t="s">
        <v>33766</v>
      </c>
      <c r="F4269" s="87" t="s">
        <v>21871</v>
      </c>
      <c r="G4269" s="45" t="s">
        <v>12948</v>
      </c>
      <c r="H4269" s="55" t="s">
        <v>12949</v>
      </c>
      <c r="I4269" s="15" t="s">
        <v>214</v>
      </c>
    </row>
    <row r="4270" spans="1:9" ht="51.75" customHeight="1" x14ac:dyDescent="0.35">
      <c r="A4270" s="15" t="s">
        <v>22899</v>
      </c>
      <c r="B4270" s="15" t="s">
        <v>33767</v>
      </c>
      <c r="C4270" s="15" t="s">
        <v>33768</v>
      </c>
      <c r="D4270" s="31">
        <v>43076</v>
      </c>
      <c r="E4270" s="15" t="s">
        <v>33769</v>
      </c>
      <c r="F4270" s="87" t="s">
        <v>21871</v>
      </c>
      <c r="G4270" s="45" t="s">
        <v>12948</v>
      </c>
      <c r="H4270" s="55" t="s">
        <v>12949</v>
      </c>
      <c r="I4270" s="15" t="s">
        <v>214</v>
      </c>
    </row>
    <row r="4271" spans="1:9" ht="51.75" customHeight="1" x14ac:dyDescent="0.35">
      <c r="A4271" s="15" t="s">
        <v>22918</v>
      </c>
      <c r="B4271" s="15" t="s">
        <v>33770</v>
      </c>
      <c r="C4271" s="15" t="s">
        <v>33771</v>
      </c>
      <c r="D4271" s="31">
        <v>43076</v>
      </c>
      <c r="E4271" s="15" t="s">
        <v>33772</v>
      </c>
      <c r="F4271" s="87" t="s">
        <v>21871</v>
      </c>
      <c r="G4271" s="45" t="s">
        <v>12948</v>
      </c>
      <c r="H4271" s="55" t="s">
        <v>12949</v>
      </c>
      <c r="I4271" s="15" t="s">
        <v>214</v>
      </c>
    </row>
    <row r="4272" spans="1:9" ht="51.75" customHeight="1" x14ac:dyDescent="0.35">
      <c r="A4272" s="15" t="s">
        <v>26822</v>
      </c>
      <c r="B4272" s="15" t="s">
        <v>33773</v>
      </c>
      <c r="C4272" s="15" t="s">
        <v>33774</v>
      </c>
      <c r="D4272" s="31">
        <v>43076</v>
      </c>
      <c r="E4272" s="15" t="s">
        <v>33775</v>
      </c>
      <c r="F4272" s="87" t="s">
        <v>21871</v>
      </c>
      <c r="G4272" s="45" t="s">
        <v>12948</v>
      </c>
      <c r="H4272" s="55" t="s">
        <v>12949</v>
      </c>
      <c r="I4272" s="15" t="s">
        <v>214</v>
      </c>
    </row>
    <row r="4273" spans="1:9" ht="51.75" customHeight="1" x14ac:dyDescent="0.35">
      <c r="A4273" s="15" t="s">
        <v>26828</v>
      </c>
      <c r="B4273" s="15" t="s">
        <v>33776</v>
      </c>
      <c r="C4273" s="15" t="s">
        <v>33777</v>
      </c>
      <c r="D4273" s="31">
        <v>43076</v>
      </c>
      <c r="E4273" s="15" t="s">
        <v>33778</v>
      </c>
      <c r="F4273" s="87" t="s">
        <v>21871</v>
      </c>
      <c r="G4273" s="45" t="s">
        <v>12948</v>
      </c>
      <c r="H4273" s="55" t="s">
        <v>12949</v>
      </c>
      <c r="I4273" s="15" t="s">
        <v>214</v>
      </c>
    </row>
    <row r="4274" spans="1:9" ht="51.75" customHeight="1" x14ac:dyDescent="0.35">
      <c r="A4274" s="15" t="s">
        <v>22922</v>
      </c>
      <c r="B4274" s="15" t="s">
        <v>33779</v>
      </c>
      <c r="C4274" s="15" t="s">
        <v>33780</v>
      </c>
      <c r="D4274" s="31">
        <v>43076</v>
      </c>
      <c r="E4274" s="15" t="s">
        <v>33781</v>
      </c>
      <c r="F4274" s="87" t="s">
        <v>21871</v>
      </c>
      <c r="G4274" s="45" t="s">
        <v>12948</v>
      </c>
      <c r="H4274" s="55" t="s">
        <v>12949</v>
      </c>
      <c r="I4274" s="15" t="s">
        <v>214</v>
      </c>
    </row>
    <row r="4275" spans="1:9" ht="51.75" customHeight="1" x14ac:dyDescent="0.35">
      <c r="A4275" s="15" t="s">
        <v>26839</v>
      </c>
      <c r="B4275" s="15" t="s">
        <v>33782</v>
      </c>
      <c r="C4275" s="15" t="s">
        <v>33450</v>
      </c>
      <c r="D4275" s="31">
        <v>43076</v>
      </c>
      <c r="E4275" s="15" t="s">
        <v>33783</v>
      </c>
      <c r="F4275" s="87" t="s">
        <v>21871</v>
      </c>
      <c r="G4275" s="45" t="s">
        <v>12948</v>
      </c>
      <c r="H4275" s="55" t="s">
        <v>12949</v>
      </c>
      <c r="I4275" s="15" t="s">
        <v>214</v>
      </c>
    </row>
    <row r="4276" spans="1:9" ht="51.75" customHeight="1" x14ac:dyDescent="0.35">
      <c r="A4276" s="15" t="s">
        <v>26845</v>
      </c>
      <c r="B4276" s="15" t="s">
        <v>33784</v>
      </c>
      <c r="C4276" s="15" t="s">
        <v>33785</v>
      </c>
      <c r="D4276" s="31">
        <v>43076</v>
      </c>
      <c r="E4276" s="15" t="s">
        <v>33786</v>
      </c>
      <c r="F4276" s="87" t="s">
        <v>21871</v>
      </c>
      <c r="G4276" s="45" t="s">
        <v>12948</v>
      </c>
      <c r="H4276" s="55" t="s">
        <v>12949</v>
      </c>
      <c r="I4276" s="15" t="s">
        <v>214</v>
      </c>
    </row>
    <row r="4277" spans="1:9" ht="51.75" customHeight="1" x14ac:dyDescent="0.35">
      <c r="A4277" s="15" t="s">
        <v>22926</v>
      </c>
      <c r="B4277" s="15" t="s">
        <v>33787</v>
      </c>
      <c r="C4277" s="15" t="s">
        <v>33475</v>
      </c>
      <c r="D4277" s="31">
        <v>43076</v>
      </c>
      <c r="E4277" s="15" t="s">
        <v>33788</v>
      </c>
      <c r="F4277" s="87" t="s">
        <v>21871</v>
      </c>
      <c r="G4277" s="45" t="s">
        <v>12948</v>
      </c>
      <c r="H4277" s="55" t="s">
        <v>12949</v>
      </c>
      <c r="I4277" s="15" t="s">
        <v>214</v>
      </c>
    </row>
    <row r="4278" spans="1:9" ht="51.75" customHeight="1" x14ac:dyDescent="0.35">
      <c r="A4278" s="15" t="s">
        <v>22930</v>
      </c>
      <c r="B4278" s="15" t="s">
        <v>33789</v>
      </c>
      <c r="C4278" s="15" t="s">
        <v>33717</v>
      </c>
      <c r="D4278" s="31">
        <v>43076</v>
      </c>
      <c r="E4278" s="15" t="s">
        <v>33790</v>
      </c>
      <c r="F4278" s="87" t="s">
        <v>21871</v>
      </c>
      <c r="G4278" s="45" t="s">
        <v>12948</v>
      </c>
      <c r="H4278" s="55" t="s">
        <v>12949</v>
      </c>
      <c r="I4278" s="15" t="s">
        <v>214</v>
      </c>
    </row>
    <row r="4279" spans="1:9" ht="51.75" customHeight="1" x14ac:dyDescent="0.35">
      <c r="A4279" s="15" t="s">
        <v>22055</v>
      </c>
      <c r="B4279" s="15" t="s">
        <v>33791</v>
      </c>
      <c r="C4279" s="15" t="s">
        <v>33792</v>
      </c>
      <c r="D4279" s="31">
        <v>43076</v>
      </c>
      <c r="E4279" s="15" t="s">
        <v>33793</v>
      </c>
      <c r="F4279" s="87" t="s">
        <v>21871</v>
      </c>
      <c r="G4279" s="45" t="s">
        <v>12948</v>
      </c>
      <c r="H4279" s="55" t="s">
        <v>12949</v>
      </c>
      <c r="I4279" s="15" t="s">
        <v>214</v>
      </c>
    </row>
    <row r="4280" spans="1:9" ht="51.75" customHeight="1" x14ac:dyDescent="0.35">
      <c r="A4280" s="15" t="s">
        <v>22937</v>
      </c>
      <c r="B4280" s="15" t="s">
        <v>33794</v>
      </c>
      <c r="C4280" s="15" t="s">
        <v>33795</v>
      </c>
      <c r="D4280" s="31">
        <v>43076</v>
      </c>
      <c r="E4280" s="15" t="s">
        <v>33796</v>
      </c>
      <c r="F4280" s="87" t="s">
        <v>21871</v>
      </c>
      <c r="G4280" s="45" t="s">
        <v>12948</v>
      </c>
      <c r="H4280" s="55" t="s">
        <v>12949</v>
      </c>
      <c r="I4280" s="15" t="s">
        <v>214</v>
      </c>
    </row>
    <row r="4281" spans="1:9" ht="51.75" customHeight="1" x14ac:dyDescent="0.35">
      <c r="A4281" s="15" t="s">
        <v>22941</v>
      </c>
      <c r="B4281" s="15" t="s">
        <v>33797</v>
      </c>
      <c r="C4281" s="15" t="s">
        <v>33798</v>
      </c>
      <c r="D4281" s="31">
        <v>43076</v>
      </c>
      <c r="E4281" s="15" t="s">
        <v>33799</v>
      </c>
      <c r="F4281" s="87" t="s">
        <v>21871</v>
      </c>
      <c r="G4281" s="45" t="s">
        <v>12948</v>
      </c>
      <c r="H4281" s="55" t="s">
        <v>12949</v>
      </c>
      <c r="I4281" s="15" t="s">
        <v>214</v>
      </c>
    </row>
    <row r="4282" spans="1:9" ht="51.75" customHeight="1" x14ac:dyDescent="0.35">
      <c r="A4282" s="15" t="s">
        <v>22902</v>
      </c>
      <c r="B4282" s="15" t="s">
        <v>33800</v>
      </c>
      <c r="C4282" s="15" t="s">
        <v>33801</v>
      </c>
      <c r="D4282" s="31">
        <v>43076</v>
      </c>
      <c r="E4282" s="15" t="s">
        <v>33802</v>
      </c>
      <c r="F4282" s="87" t="s">
        <v>21871</v>
      </c>
      <c r="G4282" s="45" t="s">
        <v>12948</v>
      </c>
      <c r="H4282" s="55" t="s">
        <v>12949</v>
      </c>
      <c r="I4282" s="15" t="s">
        <v>214</v>
      </c>
    </row>
    <row r="4283" spans="1:9" ht="51.75" customHeight="1" x14ac:dyDescent="0.35">
      <c r="A4283" s="15" t="s">
        <v>23440</v>
      </c>
      <c r="B4283" s="15" t="s">
        <v>33803</v>
      </c>
      <c r="C4283" s="15" t="s">
        <v>33804</v>
      </c>
      <c r="D4283" s="31">
        <v>43005</v>
      </c>
      <c r="E4283" s="15" t="s">
        <v>33805</v>
      </c>
      <c r="F4283" s="87" t="s">
        <v>21871</v>
      </c>
      <c r="G4283" s="45" t="s">
        <v>13051</v>
      </c>
      <c r="H4283" s="55" t="s">
        <v>13052</v>
      </c>
      <c r="I4283" s="15" t="s">
        <v>214</v>
      </c>
    </row>
    <row r="4284" spans="1:9" ht="51.75" customHeight="1" x14ac:dyDescent="0.35">
      <c r="A4284" s="15" t="s">
        <v>23444</v>
      </c>
      <c r="B4284" s="15" t="s">
        <v>33806</v>
      </c>
      <c r="C4284" s="15" t="s">
        <v>33807</v>
      </c>
      <c r="D4284" s="31">
        <v>43005</v>
      </c>
      <c r="E4284" s="15" t="s">
        <v>33808</v>
      </c>
      <c r="F4284" s="87" t="s">
        <v>21871</v>
      </c>
      <c r="G4284" s="45" t="s">
        <v>13051</v>
      </c>
      <c r="H4284" s="55" t="s">
        <v>13052</v>
      </c>
      <c r="I4284" s="15" t="s">
        <v>214</v>
      </c>
    </row>
    <row r="4285" spans="1:9" ht="51.75" customHeight="1" x14ac:dyDescent="0.35">
      <c r="A4285" s="15" t="s">
        <v>26394</v>
      </c>
      <c r="B4285" s="15" t="s">
        <v>33809</v>
      </c>
      <c r="C4285" s="15" t="s">
        <v>33810</v>
      </c>
      <c r="D4285" s="31">
        <v>43159</v>
      </c>
      <c r="E4285" s="15" t="s">
        <v>33811</v>
      </c>
      <c r="F4285" s="87" t="s">
        <v>21871</v>
      </c>
      <c r="G4285" s="45" t="s">
        <v>13178</v>
      </c>
      <c r="H4285" s="55" t="s">
        <v>13179</v>
      </c>
      <c r="I4285" s="15" t="s">
        <v>214</v>
      </c>
    </row>
    <row r="4286" spans="1:9" ht="51.75" customHeight="1" x14ac:dyDescent="0.35">
      <c r="A4286" s="15" t="s">
        <v>32476</v>
      </c>
      <c r="B4286" s="15" t="s">
        <v>33812</v>
      </c>
      <c r="C4286" s="15" t="s">
        <v>33813</v>
      </c>
      <c r="D4286" s="31">
        <v>43159</v>
      </c>
      <c r="E4286" s="15" t="s">
        <v>33814</v>
      </c>
      <c r="F4286" s="87" t="s">
        <v>21871</v>
      </c>
      <c r="G4286" s="45" t="s">
        <v>13178</v>
      </c>
      <c r="H4286" s="55" t="s">
        <v>13179</v>
      </c>
      <c r="I4286" s="15" t="s">
        <v>214</v>
      </c>
    </row>
    <row r="4287" spans="1:9" ht="51.75" customHeight="1" x14ac:dyDescent="0.35">
      <c r="A4287" s="15" t="s">
        <v>26398</v>
      </c>
      <c r="B4287" s="15" t="s">
        <v>33815</v>
      </c>
      <c r="C4287" s="15" t="s">
        <v>33816</v>
      </c>
      <c r="D4287" s="31">
        <v>43159</v>
      </c>
      <c r="E4287" s="15" t="s">
        <v>33817</v>
      </c>
      <c r="F4287" s="87" t="s">
        <v>21871</v>
      </c>
      <c r="G4287" s="45" t="s">
        <v>13178</v>
      </c>
      <c r="H4287" s="55" t="s">
        <v>13179</v>
      </c>
      <c r="I4287" s="15" t="s">
        <v>214</v>
      </c>
    </row>
    <row r="4288" spans="1:9" ht="51.75" customHeight="1" x14ac:dyDescent="0.35">
      <c r="A4288" s="15" t="s">
        <v>32009</v>
      </c>
      <c r="B4288" s="15" t="s">
        <v>33818</v>
      </c>
      <c r="C4288" s="15" t="s">
        <v>33819</v>
      </c>
      <c r="D4288" s="31">
        <v>43159</v>
      </c>
      <c r="E4288" s="15" t="s">
        <v>33820</v>
      </c>
      <c r="F4288" s="87" t="s">
        <v>21871</v>
      </c>
      <c r="G4288" s="45" t="s">
        <v>13178</v>
      </c>
      <c r="H4288" s="55" t="s">
        <v>13179</v>
      </c>
      <c r="I4288" s="15" t="s">
        <v>214</v>
      </c>
    </row>
    <row r="4289" spans="1:9" ht="51.75" customHeight="1" x14ac:dyDescent="0.35">
      <c r="A4289" s="15" t="s">
        <v>23325</v>
      </c>
      <c r="B4289" s="15" t="s">
        <v>33821</v>
      </c>
      <c r="C4289" s="15" t="s">
        <v>33822</v>
      </c>
      <c r="D4289" s="31">
        <v>43159</v>
      </c>
      <c r="E4289" s="15" t="s">
        <v>33823</v>
      </c>
      <c r="F4289" s="87" t="s">
        <v>21871</v>
      </c>
      <c r="G4289" s="45" t="s">
        <v>13178</v>
      </c>
      <c r="H4289" s="55" t="s">
        <v>13179</v>
      </c>
      <c r="I4289" s="15" t="s">
        <v>214</v>
      </c>
    </row>
    <row r="4290" spans="1:9" ht="51.75" customHeight="1" x14ac:dyDescent="0.35">
      <c r="A4290" s="15" t="s">
        <v>26902</v>
      </c>
      <c r="B4290" s="15" t="s">
        <v>33824</v>
      </c>
      <c r="C4290" s="15" t="s">
        <v>33825</v>
      </c>
      <c r="D4290" s="31">
        <v>43038</v>
      </c>
      <c r="E4290" s="15" t="s">
        <v>33826</v>
      </c>
      <c r="F4290" s="87" t="s">
        <v>21871</v>
      </c>
      <c r="G4290" s="45" t="s">
        <v>13068</v>
      </c>
      <c r="H4290" s="55" t="s">
        <v>13069</v>
      </c>
      <c r="I4290" s="15" t="s">
        <v>214</v>
      </c>
    </row>
    <row r="4291" spans="1:9" ht="51.75" customHeight="1" x14ac:dyDescent="0.35">
      <c r="A4291" s="15" t="s">
        <v>26905</v>
      </c>
      <c r="B4291" s="15" t="s">
        <v>33827</v>
      </c>
      <c r="C4291" s="15" t="s">
        <v>33828</v>
      </c>
      <c r="D4291" s="31">
        <v>43038</v>
      </c>
      <c r="E4291" s="15" t="s">
        <v>33829</v>
      </c>
      <c r="F4291" s="87" t="s">
        <v>21871</v>
      </c>
      <c r="G4291" s="45" t="s">
        <v>13068</v>
      </c>
      <c r="H4291" s="55" t="s">
        <v>13069</v>
      </c>
      <c r="I4291" s="15" t="s">
        <v>214</v>
      </c>
    </row>
    <row r="4292" spans="1:9" ht="51.75" customHeight="1" x14ac:dyDescent="0.35">
      <c r="A4292" s="15" t="s">
        <v>26908</v>
      </c>
      <c r="B4292" s="15" t="s">
        <v>33830</v>
      </c>
      <c r="C4292" s="15" t="s">
        <v>33593</v>
      </c>
      <c r="D4292" s="31">
        <v>43038</v>
      </c>
      <c r="E4292" s="15" t="s">
        <v>33831</v>
      </c>
      <c r="F4292" s="87" t="s">
        <v>21871</v>
      </c>
      <c r="G4292" s="45" t="s">
        <v>13068</v>
      </c>
      <c r="H4292" s="55" t="s">
        <v>13069</v>
      </c>
      <c r="I4292" s="15" t="s">
        <v>214</v>
      </c>
    </row>
    <row r="4293" spans="1:9" ht="51.75" customHeight="1" x14ac:dyDescent="0.35">
      <c r="A4293" s="15" t="s">
        <v>23353</v>
      </c>
      <c r="B4293" s="15" t="s">
        <v>33832</v>
      </c>
      <c r="C4293" s="15" t="s">
        <v>33347</v>
      </c>
      <c r="D4293" s="31">
        <v>42999</v>
      </c>
      <c r="E4293" s="15" t="s">
        <v>33833</v>
      </c>
      <c r="F4293" s="87" t="s">
        <v>21871</v>
      </c>
      <c r="G4293" s="45" t="s">
        <v>13231</v>
      </c>
      <c r="H4293" s="55" t="s">
        <v>13232</v>
      </c>
      <c r="I4293" s="15" t="s">
        <v>214</v>
      </c>
    </row>
    <row r="4294" spans="1:9" ht="51.75" customHeight="1" x14ac:dyDescent="0.35">
      <c r="A4294" s="15" t="s">
        <v>23357</v>
      </c>
      <c r="B4294" s="15" t="s">
        <v>33834</v>
      </c>
      <c r="C4294" s="15" t="s">
        <v>33835</v>
      </c>
      <c r="D4294" s="31">
        <v>42999</v>
      </c>
      <c r="E4294" s="15" t="s">
        <v>33836</v>
      </c>
      <c r="F4294" s="87" t="s">
        <v>21871</v>
      </c>
      <c r="G4294" s="45" t="s">
        <v>13231</v>
      </c>
      <c r="H4294" s="55" t="s">
        <v>13232</v>
      </c>
      <c r="I4294" s="15" t="s">
        <v>214</v>
      </c>
    </row>
    <row r="4295" spans="1:9" ht="51.75" customHeight="1" x14ac:dyDescent="0.35">
      <c r="A4295" s="15" t="s">
        <v>33837</v>
      </c>
      <c r="B4295" s="15" t="s">
        <v>33838</v>
      </c>
      <c r="C4295" s="15" t="s">
        <v>33839</v>
      </c>
      <c r="D4295" s="31" t="s">
        <v>50</v>
      </c>
      <c r="E4295" s="15" t="s">
        <v>33840</v>
      </c>
      <c r="F4295" s="87" t="s">
        <v>21871</v>
      </c>
      <c r="G4295" s="45" t="s">
        <v>13231</v>
      </c>
      <c r="H4295" s="55" t="s">
        <v>13232</v>
      </c>
      <c r="I4295" s="15" t="s">
        <v>214</v>
      </c>
    </row>
    <row r="4296" spans="1:9" ht="51.75" customHeight="1" x14ac:dyDescent="0.35">
      <c r="A4296" s="15" t="s">
        <v>21872</v>
      </c>
      <c r="B4296" s="15" t="s">
        <v>33841</v>
      </c>
      <c r="C4296" s="15" t="s">
        <v>33842</v>
      </c>
      <c r="D4296" s="31" t="s">
        <v>50</v>
      </c>
      <c r="E4296" s="15" t="s">
        <v>33843</v>
      </c>
      <c r="F4296" s="87" t="s">
        <v>21871</v>
      </c>
      <c r="G4296" s="45" t="s">
        <v>13309</v>
      </c>
      <c r="H4296" s="55" t="s">
        <v>13310</v>
      </c>
      <c r="I4296" s="15" t="s">
        <v>214</v>
      </c>
    </row>
    <row r="4297" spans="1:9" ht="51.75" customHeight="1" x14ac:dyDescent="0.35">
      <c r="A4297" s="15" t="s">
        <v>25119</v>
      </c>
      <c r="B4297" s="15" t="s">
        <v>33844</v>
      </c>
      <c r="C4297" s="15" t="s">
        <v>33845</v>
      </c>
      <c r="D4297" s="31" t="s">
        <v>50</v>
      </c>
      <c r="E4297" s="15" t="s">
        <v>33846</v>
      </c>
      <c r="F4297" s="87" t="s">
        <v>21871</v>
      </c>
      <c r="G4297" s="45" t="s">
        <v>13309</v>
      </c>
      <c r="H4297" s="55" t="s">
        <v>13310</v>
      </c>
      <c r="I4297" s="15" t="s">
        <v>214</v>
      </c>
    </row>
    <row r="4298" spans="1:9" ht="51.75" customHeight="1" x14ac:dyDescent="0.35">
      <c r="A4298" s="15" t="s">
        <v>22975</v>
      </c>
      <c r="B4298" s="15" t="s">
        <v>33847</v>
      </c>
      <c r="C4298" s="15" t="s">
        <v>33848</v>
      </c>
      <c r="D4298" s="31" t="s">
        <v>50</v>
      </c>
      <c r="E4298" s="15" t="s">
        <v>33849</v>
      </c>
      <c r="F4298" s="87" t="s">
        <v>21871</v>
      </c>
      <c r="G4298" s="45" t="s">
        <v>13315</v>
      </c>
      <c r="H4298" s="55" t="s">
        <v>13316</v>
      </c>
      <c r="I4298" s="15" t="s">
        <v>214</v>
      </c>
    </row>
    <row r="4299" spans="1:9" ht="51.75" customHeight="1" x14ac:dyDescent="0.35">
      <c r="A4299" s="15" t="s">
        <v>28285</v>
      </c>
      <c r="B4299" s="15" t="s">
        <v>33850</v>
      </c>
      <c r="C4299" s="15" t="s">
        <v>33851</v>
      </c>
      <c r="D4299" s="31" t="s">
        <v>50</v>
      </c>
      <c r="E4299" s="15" t="s">
        <v>33852</v>
      </c>
      <c r="F4299" s="87" t="s">
        <v>21871</v>
      </c>
      <c r="G4299" s="45" t="s">
        <v>13315</v>
      </c>
      <c r="H4299" s="55" t="s">
        <v>13316</v>
      </c>
      <c r="I4299" s="15" t="s">
        <v>214</v>
      </c>
    </row>
    <row r="4300" spans="1:9" ht="51.75" customHeight="1" x14ac:dyDescent="0.35">
      <c r="A4300" s="15" t="s">
        <v>22979</v>
      </c>
      <c r="B4300" s="15" t="s">
        <v>33853</v>
      </c>
      <c r="C4300" s="15" t="s">
        <v>33854</v>
      </c>
      <c r="D4300" s="31" t="s">
        <v>50</v>
      </c>
      <c r="E4300" s="15" t="s">
        <v>33855</v>
      </c>
      <c r="F4300" s="87" t="s">
        <v>21871</v>
      </c>
      <c r="G4300" s="45" t="s">
        <v>13315</v>
      </c>
      <c r="H4300" s="55" t="s">
        <v>13316</v>
      </c>
      <c r="I4300" s="15" t="s">
        <v>214</v>
      </c>
    </row>
    <row r="4301" spans="1:9" ht="51.75" customHeight="1" x14ac:dyDescent="0.35">
      <c r="A4301" s="15" t="s">
        <v>22996</v>
      </c>
      <c r="B4301" s="15" t="s">
        <v>33856</v>
      </c>
      <c r="C4301" s="15" t="s">
        <v>33857</v>
      </c>
      <c r="D4301" s="31">
        <v>43082</v>
      </c>
      <c r="E4301" s="15" t="s">
        <v>33858</v>
      </c>
      <c r="F4301" s="87" t="s">
        <v>21871</v>
      </c>
      <c r="G4301" s="45" t="s">
        <v>13402</v>
      </c>
      <c r="H4301" s="55" t="s">
        <v>13403</v>
      </c>
      <c r="I4301" s="15" t="s">
        <v>214</v>
      </c>
    </row>
    <row r="4302" spans="1:9" ht="51.75" customHeight="1" x14ac:dyDescent="0.35">
      <c r="A4302" s="15" t="s">
        <v>22895</v>
      </c>
      <c r="B4302" s="15" t="s">
        <v>33859</v>
      </c>
      <c r="C4302" s="15" t="s">
        <v>33860</v>
      </c>
      <c r="D4302" s="31">
        <v>43082</v>
      </c>
      <c r="E4302" s="15" t="s">
        <v>33861</v>
      </c>
      <c r="F4302" s="87" t="s">
        <v>21871</v>
      </c>
      <c r="G4302" s="45" t="s">
        <v>13402</v>
      </c>
      <c r="H4302" s="55" t="s">
        <v>13403</v>
      </c>
      <c r="I4302" s="15" t="s">
        <v>214</v>
      </c>
    </row>
    <row r="4303" spans="1:9" ht="51.75" customHeight="1" x14ac:dyDescent="0.35">
      <c r="A4303" s="15" t="s">
        <v>25038</v>
      </c>
      <c r="B4303" s="15" t="s">
        <v>33862</v>
      </c>
      <c r="C4303" s="15" t="s">
        <v>33863</v>
      </c>
      <c r="D4303" s="31">
        <v>43082</v>
      </c>
      <c r="E4303" s="15" t="s">
        <v>33864</v>
      </c>
      <c r="F4303" s="87" t="s">
        <v>21871</v>
      </c>
      <c r="G4303" s="45" t="s">
        <v>13402</v>
      </c>
      <c r="H4303" s="55" t="s">
        <v>13403</v>
      </c>
      <c r="I4303" s="15" t="s">
        <v>214</v>
      </c>
    </row>
    <row r="4304" spans="1:9" ht="51.75" customHeight="1" x14ac:dyDescent="0.35">
      <c r="A4304" s="15" t="s">
        <v>25044</v>
      </c>
      <c r="B4304" s="15" t="s">
        <v>33865</v>
      </c>
      <c r="C4304" s="15" t="s">
        <v>19996</v>
      </c>
      <c r="D4304" s="31">
        <v>43082</v>
      </c>
      <c r="E4304" s="15" t="s">
        <v>33866</v>
      </c>
      <c r="F4304" s="87" t="s">
        <v>21871</v>
      </c>
      <c r="G4304" s="45" t="s">
        <v>13402</v>
      </c>
      <c r="H4304" s="55" t="s">
        <v>13403</v>
      </c>
      <c r="I4304" s="15" t="s">
        <v>214</v>
      </c>
    </row>
    <row r="4305" spans="1:9" ht="51.75" customHeight="1" x14ac:dyDescent="0.35">
      <c r="A4305" s="15" t="s">
        <v>22582</v>
      </c>
      <c r="B4305" s="15" t="s">
        <v>33867</v>
      </c>
      <c r="C4305" s="15" t="s">
        <v>33868</v>
      </c>
      <c r="D4305" s="31">
        <v>43241</v>
      </c>
      <c r="E4305" s="15" t="s">
        <v>33869</v>
      </c>
      <c r="F4305" s="87" t="s">
        <v>21871</v>
      </c>
      <c r="G4305" s="45" t="s">
        <v>13671</v>
      </c>
      <c r="H4305" s="55" t="s">
        <v>13672</v>
      </c>
      <c r="I4305" s="15" t="s">
        <v>214</v>
      </c>
    </row>
    <row r="4306" spans="1:9" ht="51.75" customHeight="1" x14ac:dyDescent="0.35">
      <c r="A4306" s="15" t="s">
        <v>22467</v>
      </c>
      <c r="B4306" s="15" t="s">
        <v>33870</v>
      </c>
      <c r="C4306" s="15" t="s">
        <v>33871</v>
      </c>
      <c r="D4306" s="31">
        <v>43150</v>
      </c>
      <c r="E4306" s="15" t="s">
        <v>33872</v>
      </c>
      <c r="F4306" s="87" t="s">
        <v>21871</v>
      </c>
      <c r="G4306" s="45" t="s">
        <v>13660</v>
      </c>
      <c r="H4306" s="55" t="s">
        <v>13661</v>
      </c>
      <c r="I4306" s="15" t="s">
        <v>214</v>
      </c>
    </row>
    <row r="4307" spans="1:9" ht="51.75" customHeight="1" x14ac:dyDescent="0.35">
      <c r="A4307" s="15" t="s">
        <v>24386</v>
      </c>
      <c r="B4307" s="15" t="s">
        <v>33873</v>
      </c>
      <c r="C4307" s="15" t="s">
        <v>33874</v>
      </c>
      <c r="D4307" s="31" t="s">
        <v>50</v>
      </c>
      <c r="E4307" s="15" t="s">
        <v>33875</v>
      </c>
      <c r="F4307" s="87" t="s">
        <v>21871</v>
      </c>
      <c r="G4307" s="45" t="s">
        <v>13660</v>
      </c>
      <c r="H4307" s="55" t="s">
        <v>13661</v>
      </c>
      <c r="I4307" s="15" t="s">
        <v>214</v>
      </c>
    </row>
    <row r="4308" spans="1:9" ht="51.75" customHeight="1" x14ac:dyDescent="0.35">
      <c r="A4308" s="15" t="s">
        <v>24391</v>
      </c>
      <c r="B4308" s="15" t="s">
        <v>33876</v>
      </c>
      <c r="C4308" s="15" t="s">
        <v>33877</v>
      </c>
      <c r="D4308" s="31">
        <v>43150</v>
      </c>
      <c r="E4308" s="15" t="s">
        <v>33878</v>
      </c>
      <c r="F4308" s="87" t="s">
        <v>21871</v>
      </c>
      <c r="G4308" s="45" t="s">
        <v>13660</v>
      </c>
      <c r="H4308" s="55" t="s">
        <v>13661</v>
      </c>
      <c r="I4308" s="15" t="s">
        <v>214</v>
      </c>
    </row>
    <row r="4309" spans="1:9" ht="51.75" customHeight="1" x14ac:dyDescent="0.35">
      <c r="A4309" s="15" t="s">
        <v>23200</v>
      </c>
      <c r="B4309" s="15" t="s">
        <v>33879</v>
      </c>
      <c r="C4309" s="15" t="s">
        <v>33354</v>
      </c>
      <c r="D4309" s="31">
        <v>43130</v>
      </c>
      <c r="E4309" s="15" t="s">
        <v>33880</v>
      </c>
      <c r="F4309" s="87" t="s">
        <v>21871</v>
      </c>
      <c r="G4309" s="45" t="s">
        <v>13746</v>
      </c>
      <c r="H4309" s="55" t="s">
        <v>13747</v>
      </c>
      <c r="I4309" s="15" t="s">
        <v>214</v>
      </c>
    </row>
    <row r="4310" spans="1:9" ht="51.75" customHeight="1" x14ac:dyDescent="0.35">
      <c r="A4310" s="15" t="s">
        <v>22023</v>
      </c>
      <c r="B4310" s="15" t="s">
        <v>33881</v>
      </c>
      <c r="C4310" s="15" t="s">
        <v>33882</v>
      </c>
      <c r="D4310" s="31">
        <v>43179</v>
      </c>
      <c r="E4310" s="15" t="s">
        <v>33883</v>
      </c>
      <c r="F4310" s="87" t="s">
        <v>21871</v>
      </c>
      <c r="G4310" s="45" t="s">
        <v>13791</v>
      </c>
      <c r="H4310" s="55" t="s">
        <v>13792</v>
      </c>
      <c r="I4310" s="15" t="s">
        <v>214</v>
      </c>
    </row>
    <row r="4311" spans="1:9" ht="51.75" customHeight="1" x14ac:dyDescent="0.35">
      <c r="A4311" s="15" t="s">
        <v>23759</v>
      </c>
      <c r="B4311" s="15" t="s">
        <v>33884</v>
      </c>
      <c r="C4311" s="15" t="s">
        <v>33885</v>
      </c>
      <c r="D4311" s="31">
        <v>43229</v>
      </c>
      <c r="E4311" s="15" t="s">
        <v>33886</v>
      </c>
      <c r="F4311" s="87" t="s">
        <v>21871</v>
      </c>
      <c r="G4311" s="45" t="s">
        <v>13887</v>
      </c>
      <c r="H4311" s="55" t="s">
        <v>13888</v>
      </c>
      <c r="I4311" s="15" t="s">
        <v>214</v>
      </c>
    </row>
    <row r="4312" spans="1:9" ht="51.75" customHeight="1" x14ac:dyDescent="0.35">
      <c r="A4312" s="15" t="s">
        <v>23225</v>
      </c>
      <c r="B4312" s="15" t="s">
        <v>33887</v>
      </c>
      <c r="C4312" s="15" t="s">
        <v>33888</v>
      </c>
      <c r="D4312" s="31">
        <v>43229</v>
      </c>
      <c r="E4312" s="15" t="s">
        <v>33889</v>
      </c>
      <c r="F4312" s="87" t="s">
        <v>21871</v>
      </c>
      <c r="G4312" s="45" t="s">
        <v>13887</v>
      </c>
      <c r="H4312" s="55" t="s">
        <v>13888</v>
      </c>
      <c r="I4312" s="15" t="s">
        <v>214</v>
      </c>
    </row>
    <row r="4313" spans="1:9" ht="51.75" customHeight="1" x14ac:dyDescent="0.35">
      <c r="A4313" s="15" t="s">
        <v>22085</v>
      </c>
      <c r="B4313" s="15" t="s">
        <v>33890</v>
      </c>
      <c r="C4313" s="15" t="s">
        <v>33891</v>
      </c>
      <c r="D4313" s="31">
        <v>43229</v>
      </c>
      <c r="E4313" s="15" t="s">
        <v>33892</v>
      </c>
      <c r="F4313" s="87" t="s">
        <v>21871</v>
      </c>
      <c r="G4313" s="45" t="s">
        <v>13887</v>
      </c>
      <c r="H4313" s="55" t="s">
        <v>13888</v>
      </c>
      <c r="I4313" s="15" t="s">
        <v>214</v>
      </c>
    </row>
    <row r="4314" spans="1:9" ht="51.75" customHeight="1" x14ac:dyDescent="0.35">
      <c r="A4314" s="15" t="s">
        <v>29201</v>
      </c>
      <c r="B4314" s="15" t="s">
        <v>33893</v>
      </c>
      <c r="C4314" s="15" t="s">
        <v>33894</v>
      </c>
      <c r="D4314" s="31">
        <v>43314</v>
      </c>
      <c r="E4314" s="15" t="s">
        <v>33895</v>
      </c>
      <c r="F4314" s="87" t="s">
        <v>21871</v>
      </c>
      <c r="G4314" s="45" t="s">
        <v>13939</v>
      </c>
      <c r="H4314" s="55" t="s">
        <v>13940</v>
      </c>
      <c r="I4314" s="15" t="s">
        <v>214</v>
      </c>
    </row>
    <row r="4315" spans="1:9" ht="51.75" customHeight="1" x14ac:dyDescent="0.35">
      <c r="A4315" s="15" t="s">
        <v>33896</v>
      </c>
      <c r="B4315" s="15" t="s">
        <v>33897</v>
      </c>
      <c r="C4315" s="15" t="s">
        <v>33898</v>
      </c>
      <c r="D4315" s="31">
        <v>43423</v>
      </c>
      <c r="E4315" s="15" t="s">
        <v>33899</v>
      </c>
      <c r="F4315" s="87" t="s">
        <v>21871</v>
      </c>
      <c r="G4315" s="45" t="s">
        <v>13945</v>
      </c>
      <c r="H4315" s="55" t="s">
        <v>13946</v>
      </c>
      <c r="I4315" s="15" t="s">
        <v>214</v>
      </c>
    </row>
    <row r="4316" spans="1:9" ht="51.75" customHeight="1" x14ac:dyDescent="0.35">
      <c r="A4316" s="15" t="s">
        <v>33900</v>
      </c>
      <c r="B4316" s="15" t="s">
        <v>33901</v>
      </c>
      <c r="C4316" s="15" t="s">
        <v>33902</v>
      </c>
      <c r="D4316" s="31">
        <v>43423</v>
      </c>
      <c r="E4316" s="15" t="s">
        <v>33903</v>
      </c>
      <c r="F4316" s="87" t="s">
        <v>21871</v>
      </c>
      <c r="G4316" s="45" t="s">
        <v>13945</v>
      </c>
      <c r="H4316" s="55" t="s">
        <v>13946</v>
      </c>
      <c r="I4316" s="15" t="s">
        <v>214</v>
      </c>
    </row>
    <row r="4317" spans="1:9" ht="51.75" customHeight="1" x14ac:dyDescent="0.35">
      <c r="A4317" s="15" t="s">
        <v>33904</v>
      </c>
      <c r="B4317" s="15" t="s">
        <v>33905</v>
      </c>
      <c r="C4317" s="15" t="s">
        <v>33902</v>
      </c>
      <c r="D4317" s="31">
        <v>43423</v>
      </c>
      <c r="E4317" s="15" t="s">
        <v>33906</v>
      </c>
      <c r="F4317" s="87" t="s">
        <v>21871</v>
      </c>
      <c r="G4317" s="45" t="s">
        <v>13945</v>
      </c>
      <c r="H4317" s="55" t="s">
        <v>13946</v>
      </c>
      <c r="I4317" s="15" t="s">
        <v>214</v>
      </c>
    </row>
    <row r="4318" spans="1:9" ht="51.75" customHeight="1" x14ac:dyDescent="0.35">
      <c r="A4318" s="15" t="s">
        <v>33907</v>
      </c>
      <c r="B4318" s="15" t="s">
        <v>33908</v>
      </c>
      <c r="C4318" s="15" t="s">
        <v>33909</v>
      </c>
      <c r="D4318" s="31">
        <v>43321</v>
      </c>
      <c r="E4318" s="15" t="s">
        <v>33910</v>
      </c>
      <c r="F4318" s="87" t="s">
        <v>21871</v>
      </c>
      <c r="G4318" s="45" t="s">
        <v>14145</v>
      </c>
      <c r="H4318" s="55" t="s">
        <v>14146</v>
      </c>
      <c r="I4318" s="15" t="s">
        <v>214</v>
      </c>
    </row>
    <row r="4319" spans="1:9" ht="51.75" customHeight="1" x14ac:dyDescent="0.35">
      <c r="A4319" s="15" t="s">
        <v>33911</v>
      </c>
      <c r="B4319" s="15" t="s">
        <v>33912</v>
      </c>
      <c r="C4319" s="15" t="s">
        <v>33913</v>
      </c>
      <c r="D4319" s="31">
        <v>43321</v>
      </c>
      <c r="E4319" s="15" t="s">
        <v>33914</v>
      </c>
      <c r="F4319" s="87" t="s">
        <v>21871</v>
      </c>
      <c r="G4319" s="45" t="s">
        <v>14145</v>
      </c>
      <c r="H4319" s="55" t="s">
        <v>14146</v>
      </c>
      <c r="I4319" s="15" t="s">
        <v>214</v>
      </c>
    </row>
    <row r="4320" spans="1:9" ht="51.75" customHeight="1" x14ac:dyDescent="0.35">
      <c r="A4320" s="15" t="s">
        <v>33915</v>
      </c>
      <c r="B4320" s="15" t="s">
        <v>33916</v>
      </c>
      <c r="C4320" s="15" t="s">
        <v>33917</v>
      </c>
      <c r="D4320" s="31">
        <v>43321</v>
      </c>
      <c r="E4320" s="15" t="s">
        <v>33918</v>
      </c>
      <c r="F4320" s="87" t="s">
        <v>21871</v>
      </c>
      <c r="G4320" s="45" t="s">
        <v>14145</v>
      </c>
      <c r="H4320" s="55" t="s">
        <v>14146</v>
      </c>
      <c r="I4320" s="15" t="s">
        <v>214</v>
      </c>
    </row>
    <row r="4321" spans="1:9" ht="51.75" customHeight="1" x14ac:dyDescent="0.35">
      <c r="A4321" s="15" t="s">
        <v>22956</v>
      </c>
      <c r="B4321" s="15" t="s">
        <v>33919</v>
      </c>
      <c r="C4321" s="15" t="s">
        <v>33920</v>
      </c>
      <c r="D4321" s="31">
        <v>43111</v>
      </c>
      <c r="E4321" s="15" t="s">
        <v>33921</v>
      </c>
      <c r="F4321" s="87" t="s">
        <v>21871</v>
      </c>
      <c r="G4321" s="45" t="s">
        <v>14194</v>
      </c>
      <c r="H4321" s="55" t="s">
        <v>14195</v>
      </c>
      <c r="I4321" s="15" t="s">
        <v>214</v>
      </c>
    </row>
    <row r="4322" spans="1:9" ht="51.75" customHeight="1" x14ac:dyDescent="0.35">
      <c r="A4322" s="15" t="s">
        <v>22960</v>
      </c>
      <c r="B4322" s="15" t="s">
        <v>33922</v>
      </c>
      <c r="C4322" s="15" t="s">
        <v>33923</v>
      </c>
      <c r="D4322" s="31" t="s">
        <v>50</v>
      </c>
      <c r="E4322" s="15" t="s">
        <v>33924</v>
      </c>
      <c r="F4322" s="87" t="s">
        <v>21871</v>
      </c>
      <c r="G4322" s="45" t="s">
        <v>14194</v>
      </c>
      <c r="H4322" s="55" t="s">
        <v>14195</v>
      </c>
      <c r="I4322" s="15" t="s">
        <v>214</v>
      </c>
    </row>
    <row r="4323" spans="1:9" ht="51.75" customHeight="1" x14ac:dyDescent="0.35">
      <c r="A4323" s="15" t="s">
        <v>33925</v>
      </c>
      <c r="B4323" s="15" t="s">
        <v>33926</v>
      </c>
      <c r="C4323" s="15" t="s">
        <v>33927</v>
      </c>
      <c r="D4323" s="31">
        <v>43335</v>
      </c>
      <c r="E4323" s="15" t="s">
        <v>33928</v>
      </c>
      <c r="F4323" s="87" t="s">
        <v>21871</v>
      </c>
      <c r="G4323" s="45" t="s">
        <v>14212</v>
      </c>
      <c r="H4323" s="55" t="s">
        <v>14213</v>
      </c>
      <c r="I4323" s="15" t="s">
        <v>214</v>
      </c>
    </row>
    <row r="4324" spans="1:9" ht="51.75" customHeight="1" x14ac:dyDescent="0.35">
      <c r="A4324" s="15" t="s">
        <v>25613</v>
      </c>
      <c r="B4324" s="15" t="s">
        <v>33929</v>
      </c>
      <c r="C4324" s="15" t="s">
        <v>33930</v>
      </c>
      <c r="D4324" s="31">
        <v>43335</v>
      </c>
      <c r="E4324" s="15" t="s">
        <v>33931</v>
      </c>
      <c r="F4324" s="87" t="s">
        <v>21871</v>
      </c>
      <c r="G4324" s="45" t="s">
        <v>14212</v>
      </c>
      <c r="H4324" s="55" t="s">
        <v>14213</v>
      </c>
      <c r="I4324" s="15" t="s">
        <v>214</v>
      </c>
    </row>
    <row r="4325" spans="1:9" ht="51.75" customHeight="1" x14ac:dyDescent="0.35">
      <c r="A4325" s="15" t="s">
        <v>33932</v>
      </c>
      <c r="B4325" s="15" t="s">
        <v>33933</v>
      </c>
      <c r="C4325" s="15" t="s">
        <v>33934</v>
      </c>
      <c r="D4325" s="31">
        <v>43335</v>
      </c>
      <c r="E4325" s="15" t="s">
        <v>33935</v>
      </c>
      <c r="F4325" s="87" t="s">
        <v>21871</v>
      </c>
      <c r="G4325" s="45" t="s">
        <v>14212</v>
      </c>
      <c r="H4325" s="55" t="s">
        <v>14213</v>
      </c>
      <c r="I4325" s="15" t="s">
        <v>214</v>
      </c>
    </row>
    <row r="4326" spans="1:9" ht="51.75" customHeight="1" x14ac:dyDescent="0.35">
      <c r="A4326" s="15" t="s">
        <v>33936</v>
      </c>
      <c r="B4326" s="15" t="s">
        <v>33937</v>
      </c>
      <c r="C4326" s="15" t="s">
        <v>32307</v>
      </c>
      <c r="D4326" s="31">
        <v>43335</v>
      </c>
      <c r="E4326" s="15" t="s">
        <v>33938</v>
      </c>
      <c r="F4326" s="87" t="s">
        <v>21871</v>
      </c>
      <c r="G4326" s="45" t="s">
        <v>14212</v>
      </c>
      <c r="H4326" s="55" t="s">
        <v>14213</v>
      </c>
      <c r="I4326" s="15" t="s">
        <v>214</v>
      </c>
    </row>
    <row r="4327" spans="1:9" ht="51.75" customHeight="1" x14ac:dyDescent="0.35">
      <c r="A4327" s="15" t="s">
        <v>33939</v>
      </c>
      <c r="B4327" s="15" t="s">
        <v>33940</v>
      </c>
      <c r="C4327" s="15" t="s">
        <v>33941</v>
      </c>
      <c r="D4327" s="31" t="s">
        <v>50</v>
      </c>
      <c r="E4327" s="15" t="s">
        <v>33942</v>
      </c>
      <c r="F4327" s="87" t="s">
        <v>21871</v>
      </c>
      <c r="G4327" s="45" t="s">
        <v>14272</v>
      </c>
      <c r="H4327" s="55" t="s">
        <v>14273</v>
      </c>
      <c r="I4327" s="15" t="s">
        <v>214</v>
      </c>
    </row>
    <row r="4328" spans="1:9" ht="51.75" customHeight="1" x14ac:dyDescent="0.35">
      <c r="A4328" s="15" t="s">
        <v>33943</v>
      </c>
      <c r="B4328" s="15" t="s">
        <v>33944</v>
      </c>
      <c r="C4328" s="15" t="s">
        <v>33945</v>
      </c>
      <c r="D4328" s="31">
        <v>43382</v>
      </c>
      <c r="E4328" s="15" t="s">
        <v>33946</v>
      </c>
      <c r="F4328" s="87" t="s">
        <v>21871</v>
      </c>
      <c r="G4328" s="45" t="s">
        <v>14308</v>
      </c>
      <c r="H4328" s="55" t="s">
        <v>14309</v>
      </c>
      <c r="I4328" s="15" t="s">
        <v>214</v>
      </c>
    </row>
    <row r="4329" spans="1:9" ht="51.75" customHeight="1" x14ac:dyDescent="0.35">
      <c r="A4329" s="15" t="s">
        <v>33947</v>
      </c>
      <c r="B4329" s="15" t="s">
        <v>33948</v>
      </c>
      <c r="C4329" s="15" t="s">
        <v>33450</v>
      </c>
      <c r="D4329" s="31">
        <v>43382</v>
      </c>
      <c r="E4329" s="15" t="s">
        <v>33949</v>
      </c>
      <c r="F4329" s="87" t="s">
        <v>21871</v>
      </c>
      <c r="G4329" s="45" t="s">
        <v>14308</v>
      </c>
      <c r="H4329" s="55" t="s">
        <v>14309</v>
      </c>
      <c r="I4329" s="15" t="s">
        <v>214</v>
      </c>
    </row>
    <row r="4330" spans="1:9" ht="51.75" customHeight="1" x14ac:dyDescent="0.35">
      <c r="A4330" s="15" t="s">
        <v>33950</v>
      </c>
      <c r="B4330" s="15" t="s">
        <v>33951</v>
      </c>
      <c r="C4330" s="15" t="s">
        <v>33952</v>
      </c>
      <c r="D4330" s="31">
        <v>43382</v>
      </c>
      <c r="E4330" s="15" t="s">
        <v>33953</v>
      </c>
      <c r="F4330" s="87" t="s">
        <v>21871</v>
      </c>
      <c r="G4330" s="45" t="s">
        <v>14308</v>
      </c>
      <c r="H4330" s="55" t="s">
        <v>14309</v>
      </c>
      <c r="I4330" s="15" t="s">
        <v>214</v>
      </c>
    </row>
    <row r="4331" spans="1:9" ht="51.75" customHeight="1" x14ac:dyDescent="0.35">
      <c r="A4331" s="15" t="s">
        <v>33954</v>
      </c>
      <c r="B4331" s="15" t="s">
        <v>33955</v>
      </c>
      <c r="C4331" s="15" t="s">
        <v>33956</v>
      </c>
      <c r="D4331" s="31" t="s">
        <v>50</v>
      </c>
      <c r="E4331" s="15" t="s">
        <v>33957</v>
      </c>
      <c r="F4331" s="87" t="s">
        <v>21871</v>
      </c>
      <c r="G4331" s="45" t="s">
        <v>14500</v>
      </c>
      <c r="H4331" s="55" t="s">
        <v>14501</v>
      </c>
      <c r="I4331" s="15" t="s">
        <v>214</v>
      </c>
    </row>
    <row r="4332" spans="1:9" ht="51.75" customHeight="1" x14ac:dyDescent="0.35">
      <c r="A4332" s="15" t="s">
        <v>33958</v>
      </c>
      <c r="B4332" s="15" t="s">
        <v>33959</v>
      </c>
      <c r="C4332" s="15" t="s">
        <v>33960</v>
      </c>
      <c r="D4332" s="31" t="s">
        <v>50</v>
      </c>
      <c r="E4332" s="15" t="s">
        <v>33961</v>
      </c>
      <c r="F4332" s="87" t="s">
        <v>21871</v>
      </c>
      <c r="G4332" s="45" t="s">
        <v>14500</v>
      </c>
      <c r="H4332" s="55" t="s">
        <v>14501</v>
      </c>
      <c r="I4332" s="15" t="s">
        <v>214</v>
      </c>
    </row>
    <row r="4333" spans="1:9" ht="51.75" customHeight="1" x14ac:dyDescent="0.35">
      <c r="A4333" s="15" t="s">
        <v>24986</v>
      </c>
      <c r="B4333" s="15" t="s">
        <v>33962</v>
      </c>
      <c r="C4333" s="15" t="s">
        <v>33963</v>
      </c>
      <c r="D4333" s="31">
        <v>43300</v>
      </c>
      <c r="E4333" s="15" t="s">
        <v>33964</v>
      </c>
      <c r="F4333" s="87"/>
      <c r="G4333" s="45" t="s">
        <v>14595</v>
      </c>
      <c r="H4333" s="55" t="s">
        <v>14596</v>
      </c>
      <c r="I4333" s="15" t="s">
        <v>214</v>
      </c>
    </row>
    <row r="4334" spans="1:9" ht="51.75" customHeight="1" x14ac:dyDescent="0.35">
      <c r="A4334" s="15" t="s">
        <v>24992</v>
      </c>
      <c r="B4334" s="15" t="s">
        <v>33965</v>
      </c>
      <c r="C4334" s="15" t="s">
        <v>33966</v>
      </c>
      <c r="D4334" s="31">
        <v>43300</v>
      </c>
      <c r="E4334" s="15" t="s">
        <v>33967</v>
      </c>
      <c r="F4334" s="87"/>
      <c r="G4334" s="45" t="s">
        <v>14595</v>
      </c>
      <c r="H4334" s="55" t="s">
        <v>14596</v>
      </c>
      <c r="I4334" s="15" t="s">
        <v>214</v>
      </c>
    </row>
    <row r="4335" spans="1:9" ht="51.75" customHeight="1" x14ac:dyDescent="0.35">
      <c r="A4335" s="15" t="s">
        <v>33968</v>
      </c>
      <c r="B4335" s="15" t="s">
        <v>33969</v>
      </c>
      <c r="C4335" s="15" t="s">
        <v>33970</v>
      </c>
      <c r="D4335" s="31">
        <v>43319</v>
      </c>
      <c r="E4335" s="15" t="s">
        <v>33971</v>
      </c>
      <c r="F4335" s="87"/>
      <c r="G4335" s="45" t="s">
        <v>14640</v>
      </c>
      <c r="H4335" s="55" t="s">
        <v>14641</v>
      </c>
      <c r="I4335" s="15" t="s">
        <v>214</v>
      </c>
    </row>
    <row r="4336" spans="1:9" ht="51.75" customHeight="1" x14ac:dyDescent="0.35">
      <c r="A4336" s="15" t="s">
        <v>24546</v>
      </c>
      <c r="B4336" s="15" t="s">
        <v>33972</v>
      </c>
      <c r="C4336" s="15" t="s">
        <v>33973</v>
      </c>
      <c r="D4336" s="31">
        <v>43818</v>
      </c>
      <c r="E4336" s="15" t="s">
        <v>33974</v>
      </c>
      <c r="F4336" s="87" t="s">
        <v>21871</v>
      </c>
      <c r="G4336" s="45" t="s">
        <v>14206</v>
      </c>
      <c r="H4336" s="55" t="s">
        <v>14207</v>
      </c>
      <c r="I4336" s="15" t="s">
        <v>214</v>
      </c>
    </row>
    <row r="4337" spans="1:9" ht="51.75" customHeight="1" x14ac:dyDescent="0.35">
      <c r="A4337" s="15" t="s">
        <v>24551</v>
      </c>
      <c r="B4337" s="15" t="s">
        <v>33975</v>
      </c>
      <c r="C4337" s="15" t="s">
        <v>33976</v>
      </c>
      <c r="D4337" s="31">
        <v>43818</v>
      </c>
      <c r="E4337" s="15" t="s">
        <v>33977</v>
      </c>
      <c r="F4337" s="87" t="s">
        <v>21871</v>
      </c>
      <c r="G4337" s="45" t="s">
        <v>14206</v>
      </c>
      <c r="H4337" s="55" t="s">
        <v>14207</v>
      </c>
      <c r="I4337" s="15" t="s">
        <v>214</v>
      </c>
    </row>
    <row r="4338" spans="1:9" ht="51.75" customHeight="1" x14ac:dyDescent="0.35">
      <c r="A4338" s="15" t="s">
        <v>24556</v>
      </c>
      <c r="B4338" s="15" t="s">
        <v>33978</v>
      </c>
      <c r="C4338" s="15" t="s">
        <v>33979</v>
      </c>
      <c r="D4338" s="31">
        <v>43818</v>
      </c>
      <c r="E4338" s="15" t="s">
        <v>33980</v>
      </c>
      <c r="F4338" s="87" t="s">
        <v>21871</v>
      </c>
      <c r="G4338" s="45" t="s">
        <v>14206</v>
      </c>
      <c r="H4338" s="55" t="s">
        <v>14207</v>
      </c>
      <c r="I4338" s="15" t="s">
        <v>214</v>
      </c>
    </row>
    <row r="4339" spans="1:9" ht="51.75" customHeight="1" x14ac:dyDescent="0.35">
      <c r="A4339" s="15" t="s">
        <v>24567</v>
      </c>
      <c r="B4339" s="15" t="s">
        <v>33981</v>
      </c>
      <c r="C4339" s="15" t="s">
        <v>33982</v>
      </c>
      <c r="D4339" s="31">
        <v>43818</v>
      </c>
      <c r="E4339" s="15" t="s">
        <v>33983</v>
      </c>
      <c r="F4339" s="87" t="s">
        <v>21871</v>
      </c>
      <c r="G4339" s="45" t="s">
        <v>14206</v>
      </c>
      <c r="H4339" s="55" t="s">
        <v>14207</v>
      </c>
      <c r="I4339" s="15" t="s">
        <v>214</v>
      </c>
    </row>
    <row r="4340" spans="1:9" ht="51.75" customHeight="1" x14ac:dyDescent="0.35">
      <c r="A4340" s="15" t="s">
        <v>24572</v>
      </c>
      <c r="B4340" s="15" t="s">
        <v>33984</v>
      </c>
      <c r="C4340" s="15" t="s">
        <v>33985</v>
      </c>
      <c r="D4340" s="31">
        <v>43818</v>
      </c>
      <c r="E4340" s="15" t="s">
        <v>33986</v>
      </c>
      <c r="F4340" s="87" t="s">
        <v>21871</v>
      </c>
      <c r="G4340" s="45" t="s">
        <v>14206</v>
      </c>
      <c r="H4340" s="55" t="s">
        <v>14207</v>
      </c>
      <c r="I4340" s="15" t="s">
        <v>214</v>
      </c>
    </row>
    <row r="4341" spans="1:9" ht="51.75" customHeight="1" x14ac:dyDescent="0.35">
      <c r="A4341" s="15" t="s">
        <v>28676</v>
      </c>
      <c r="B4341" s="15" t="s">
        <v>33987</v>
      </c>
      <c r="C4341" s="15" t="s">
        <v>33988</v>
      </c>
      <c r="D4341" s="31">
        <v>43346</v>
      </c>
      <c r="E4341" s="15" t="s">
        <v>33989</v>
      </c>
      <c r="F4341" s="87" t="s">
        <v>21871</v>
      </c>
      <c r="G4341" s="45" t="s">
        <v>14673</v>
      </c>
      <c r="H4341" s="55" t="s">
        <v>14674</v>
      </c>
      <c r="I4341" s="15" t="s">
        <v>214</v>
      </c>
    </row>
    <row r="4342" spans="1:9" ht="51.75" customHeight="1" x14ac:dyDescent="0.35">
      <c r="A4342" s="15" t="s">
        <v>29431</v>
      </c>
      <c r="B4342" s="15" t="s">
        <v>33990</v>
      </c>
      <c r="C4342" s="15" t="s">
        <v>33991</v>
      </c>
      <c r="D4342" s="31">
        <v>43346</v>
      </c>
      <c r="E4342" s="15" t="s">
        <v>33992</v>
      </c>
      <c r="F4342" s="87" t="s">
        <v>21871</v>
      </c>
      <c r="G4342" s="45" t="s">
        <v>14673</v>
      </c>
      <c r="H4342" s="55" t="s">
        <v>14674</v>
      </c>
      <c r="I4342" s="15" t="s">
        <v>214</v>
      </c>
    </row>
    <row r="4343" spans="1:9" ht="51.75" customHeight="1" x14ac:dyDescent="0.35">
      <c r="A4343" s="15" t="s">
        <v>33993</v>
      </c>
      <c r="B4343" s="15" t="s">
        <v>33994</v>
      </c>
      <c r="C4343" s="15" t="s">
        <v>33995</v>
      </c>
      <c r="D4343" s="31">
        <v>43346</v>
      </c>
      <c r="E4343" s="15" t="s">
        <v>33996</v>
      </c>
      <c r="F4343" s="87" t="s">
        <v>21871</v>
      </c>
      <c r="G4343" s="45" t="s">
        <v>14673</v>
      </c>
      <c r="H4343" s="55" t="s">
        <v>14674</v>
      </c>
      <c r="I4343" s="15" t="s">
        <v>214</v>
      </c>
    </row>
    <row r="4344" spans="1:9" ht="51.75" customHeight="1" x14ac:dyDescent="0.35">
      <c r="A4344" s="15" t="s">
        <v>25561</v>
      </c>
      <c r="B4344" s="15" t="s">
        <v>33997</v>
      </c>
      <c r="C4344" s="15" t="s">
        <v>33998</v>
      </c>
      <c r="D4344" s="31">
        <v>43346</v>
      </c>
      <c r="E4344" s="15" t="s">
        <v>33999</v>
      </c>
      <c r="F4344" s="87" t="s">
        <v>21871</v>
      </c>
      <c r="G4344" s="45" t="s">
        <v>14673</v>
      </c>
      <c r="H4344" s="55" t="s">
        <v>14674</v>
      </c>
      <c r="I4344" s="15" t="s">
        <v>214</v>
      </c>
    </row>
    <row r="4345" spans="1:9" ht="51.75" customHeight="1" x14ac:dyDescent="0.35">
      <c r="A4345" s="15" t="s">
        <v>25567</v>
      </c>
      <c r="B4345" s="15" t="s">
        <v>34000</v>
      </c>
      <c r="C4345" s="15" t="s">
        <v>34001</v>
      </c>
      <c r="D4345" s="31">
        <v>43346</v>
      </c>
      <c r="E4345" s="15" t="s">
        <v>34002</v>
      </c>
      <c r="F4345" s="87" t="s">
        <v>21871</v>
      </c>
      <c r="G4345" s="45" t="s">
        <v>14673</v>
      </c>
      <c r="H4345" s="55" t="s">
        <v>14674</v>
      </c>
      <c r="I4345" s="15" t="s">
        <v>214</v>
      </c>
    </row>
    <row r="4346" spans="1:9" ht="51.75" customHeight="1" x14ac:dyDescent="0.35">
      <c r="A4346" s="15" t="s">
        <v>24391</v>
      </c>
      <c r="B4346" s="15" t="s">
        <v>34003</v>
      </c>
      <c r="C4346" s="15" t="s">
        <v>34004</v>
      </c>
      <c r="D4346" s="31">
        <v>43549</v>
      </c>
      <c r="E4346" s="15" t="s">
        <v>34005</v>
      </c>
      <c r="F4346" s="87" t="s">
        <v>21871</v>
      </c>
      <c r="G4346" s="45" t="s">
        <v>14837</v>
      </c>
      <c r="H4346" s="55" t="s">
        <v>14838</v>
      </c>
      <c r="I4346" s="15" t="s">
        <v>214</v>
      </c>
    </row>
    <row r="4347" spans="1:9" ht="51.75" customHeight="1" x14ac:dyDescent="0.35">
      <c r="A4347" s="15" t="s">
        <v>24802</v>
      </c>
      <c r="B4347" s="15" t="s">
        <v>34006</v>
      </c>
      <c r="C4347" s="15" t="s">
        <v>34007</v>
      </c>
      <c r="D4347" s="31">
        <v>43549</v>
      </c>
      <c r="E4347" s="15" t="s">
        <v>34008</v>
      </c>
      <c r="F4347" s="87" t="s">
        <v>21871</v>
      </c>
      <c r="G4347" s="45" t="s">
        <v>14837</v>
      </c>
      <c r="H4347" s="55" t="s">
        <v>14838</v>
      </c>
      <c r="I4347" s="15" t="s">
        <v>214</v>
      </c>
    </row>
    <row r="4348" spans="1:9" ht="51.75" customHeight="1" x14ac:dyDescent="0.35">
      <c r="A4348" s="15" t="s">
        <v>24808</v>
      </c>
      <c r="B4348" s="15" t="s">
        <v>34009</v>
      </c>
      <c r="C4348" s="15" t="s">
        <v>34010</v>
      </c>
      <c r="D4348" s="31">
        <v>43549</v>
      </c>
      <c r="E4348" s="15" t="s">
        <v>34011</v>
      </c>
      <c r="F4348" s="87" t="s">
        <v>21871</v>
      </c>
      <c r="G4348" s="45" t="s">
        <v>14837</v>
      </c>
      <c r="H4348" s="55" t="s">
        <v>14838</v>
      </c>
      <c r="I4348" s="15" t="s">
        <v>214</v>
      </c>
    </row>
    <row r="4349" spans="1:9" ht="51.75" customHeight="1" x14ac:dyDescent="0.35">
      <c r="A4349" s="15" t="s">
        <v>24814</v>
      </c>
      <c r="B4349" s="15" t="s">
        <v>34012</v>
      </c>
      <c r="C4349" s="15" t="s">
        <v>34013</v>
      </c>
      <c r="D4349" s="31">
        <v>43549</v>
      </c>
      <c r="E4349" s="15" t="s">
        <v>34014</v>
      </c>
      <c r="F4349" s="87" t="s">
        <v>21871</v>
      </c>
      <c r="G4349" s="45" t="s">
        <v>14837</v>
      </c>
      <c r="H4349" s="55" t="s">
        <v>14838</v>
      </c>
      <c r="I4349" s="15" t="s">
        <v>214</v>
      </c>
    </row>
    <row r="4350" spans="1:9" ht="51.75" customHeight="1" x14ac:dyDescent="0.35">
      <c r="A4350" s="15" t="s">
        <v>24820</v>
      </c>
      <c r="B4350" s="15" t="s">
        <v>34015</v>
      </c>
      <c r="C4350" s="15" t="s">
        <v>34016</v>
      </c>
      <c r="D4350" s="31">
        <v>43549</v>
      </c>
      <c r="E4350" s="15" t="s">
        <v>34017</v>
      </c>
      <c r="F4350" s="87" t="s">
        <v>21871</v>
      </c>
      <c r="G4350" s="45" t="s">
        <v>14837</v>
      </c>
      <c r="H4350" s="55" t="s">
        <v>14838</v>
      </c>
      <c r="I4350" s="15" t="s">
        <v>214</v>
      </c>
    </row>
    <row r="4351" spans="1:9" ht="51.75" customHeight="1" x14ac:dyDescent="0.35">
      <c r="A4351" s="15" t="s">
        <v>25619</v>
      </c>
      <c r="B4351" s="15" t="s">
        <v>34018</v>
      </c>
      <c r="C4351" s="15" t="s">
        <v>34019</v>
      </c>
      <c r="D4351" s="31">
        <v>43340</v>
      </c>
      <c r="E4351" s="15" t="s">
        <v>34020</v>
      </c>
      <c r="F4351" s="87" t="s">
        <v>21871</v>
      </c>
      <c r="G4351" s="45" t="s">
        <v>14790</v>
      </c>
      <c r="H4351" s="55" t="s">
        <v>14791</v>
      </c>
      <c r="I4351" s="15" t="s">
        <v>214</v>
      </c>
    </row>
    <row r="4352" spans="1:9" ht="51.75" customHeight="1" x14ac:dyDescent="0.35">
      <c r="A4352" s="15" t="s">
        <v>34021</v>
      </c>
      <c r="B4352" s="15" t="s">
        <v>34022</v>
      </c>
      <c r="C4352" s="15" t="s">
        <v>34023</v>
      </c>
      <c r="D4352" s="31">
        <v>43340</v>
      </c>
      <c r="E4352" s="15" t="s">
        <v>34024</v>
      </c>
      <c r="F4352" s="87" t="s">
        <v>21871</v>
      </c>
      <c r="G4352" s="45" t="s">
        <v>14790</v>
      </c>
      <c r="H4352" s="55" t="s">
        <v>14791</v>
      </c>
      <c r="I4352" s="15" t="s">
        <v>214</v>
      </c>
    </row>
    <row r="4353" spans="1:9" ht="51.75" customHeight="1" x14ac:dyDescent="0.35">
      <c r="A4353" s="15" t="s">
        <v>34025</v>
      </c>
      <c r="B4353" s="15" t="s">
        <v>34026</v>
      </c>
      <c r="C4353" s="15" t="s">
        <v>34027</v>
      </c>
      <c r="D4353" s="31">
        <v>43340</v>
      </c>
      <c r="E4353" s="15" t="s">
        <v>34028</v>
      </c>
      <c r="F4353" s="87" t="s">
        <v>21871</v>
      </c>
      <c r="G4353" s="45" t="s">
        <v>14790</v>
      </c>
      <c r="H4353" s="55" t="s">
        <v>14791</v>
      </c>
      <c r="I4353" s="15" t="s">
        <v>214</v>
      </c>
    </row>
    <row r="4354" spans="1:9" ht="51.75" customHeight="1" x14ac:dyDescent="0.35">
      <c r="A4354" s="15" t="s">
        <v>34029</v>
      </c>
      <c r="B4354" s="15" t="s">
        <v>34030</v>
      </c>
      <c r="C4354" s="15" t="s">
        <v>34031</v>
      </c>
      <c r="D4354" s="31">
        <v>43340</v>
      </c>
      <c r="E4354" s="15" t="s">
        <v>34032</v>
      </c>
      <c r="F4354" s="87" t="s">
        <v>21871</v>
      </c>
      <c r="G4354" s="45" t="s">
        <v>14790</v>
      </c>
      <c r="H4354" s="55" t="s">
        <v>14791</v>
      </c>
      <c r="I4354" s="15" t="s">
        <v>214</v>
      </c>
    </row>
    <row r="4355" spans="1:9" ht="51.75" customHeight="1" x14ac:dyDescent="0.35">
      <c r="A4355" s="15" t="s">
        <v>28664</v>
      </c>
      <c r="B4355" s="15" t="s">
        <v>34033</v>
      </c>
      <c r="C4355" s="15" t="s">
        <v>34034</v>
      </c>
      <c r="D4355" s="31">
        <v>43340</v>
      </c>
      <c r="E4355" s="15" t="s">
        <v>34035</v>
      </c>
      <c r="F4355" s="87" t="s">
        <v>21871</v>
      </c>
      <c r="G4355" s="45" t="s">
        <v>14790</v>
      </c>
      <c r="H4355" s="55" t="s">
        <v>14791</v>
      </c>
      <c r="I4355" s="15" t="s">
        <v>214</v>
      </c>
    </row>
    <row r="4356" spans="1:9" ht="51.75" customHeight="1" x14ac:dyDescent="0.35">
      <c r="A4356" s="15" t="s">
        <v>34036</v>
      </c>
      <c r="B4356" s="15" t="s">
        <v>34037</v>
      </c>
      <c r="C4356" s="15" t="s">
        <v>34038</v>
      </c>
      <c r="D4356" s="31">
        <v>43452</v>
      </c>
      <c r="E4356" s="15" t="s">
        <v>34039</v>
      </c>
      <c r="F4356" s="87" t="s">
        <v>21871</v>
      </c>
      <c r="G4356" s="45" t="s">
        <v>14864</v>
      </c>
      <c r="H4356" s="55" t="s">
        <v>14865</v>
      </c>
      <c r="I4356" s="15" t="s">
        <v>214</v>
      </c>
    </row>
    <row r="4357" spans="1:9" ht="51.75" customHeight="1" x14ac:dyDescent="0.35">
      <c r="A4357" s="15" t="s">
        <v>34040</v>
      </c>
      <c r="B4357" s="15" t="s">
        <v>34041</v>
      </c>
      <c r="C4357" s="15" t="s">
        <v>34042</v>
      </c>
      <c r="D4357" s="31">
        <v>43452</v>
      </c>
      <c r="E4357" s="15" t="s">
        <v>34043</v>
      </c>
      <c r="F4357" s="87" t="s">
        <v>21871</v>
      </c>
      <c r="G4357" s="45" t="s">
        <v>14864</v>
      </c>
      <c r="H4357" s="55" t="s">
        <v>14865</v>
      </c>
      <c r="I4357" s="15" t="s">
        <v>214</v>
      </c>
    </row>
    <row r="4358" spans="1:9" ht="51.75" customHeight="1" x14ac:dyDescent="0.35">
      <c r="A4358" s="15" t="s">
        <v>34044</v>
      </c>
      <c r="B4358" s="15" t="s">
        <v>34045</v>
      </c>
      <c r="C4358" s="15" t="s">
        <v>34046</v>
      </c>
      <c r="D4358" s="31">
        <v>43452</v>
      </c>
      <c r="E4358" s="15" t="s">
        <v>34047</v>
      </c>
      <c r="F4358" s="87" t="s">
        <v>21871</v>
      </c>
      <c r="G4358" s="45" t="s">
        <v>14864</v>
      </c>
      <c r="H4358" s="55" t="s">
        <v>14865</v>
      </c>
      <c r="I4358" s="15" t="s">
        <v>214</v>
      </c>
    </row>
    <row r="4359" spans="1:9" ht="51.75" customHeight="1" x14ac:dyDescent="0.35">
      <c r="A4359" s="15" t="s">
        <v>34048</v>
      </c>
      <c r="B4359" s="15" t="s">
        <v>34049</v>
      </c>
      <c r="C4359" s="15" t="s">
        <v>34050</v>
      </c>
      <c r="D4359" s="31">
        <v>43452</v>
      </c>
      <c r="E4359" s="15" t="s">
        <v>34051</v>
      </c>
      <c r="F4359" s="87" t="s">
        <v>21871</v>
      </c>
      <c r="G4359" s="45" t="s">
        <v>14864</v>
      </c>
      <c r="H4359" s="55" t="s">
        <v>14865</v>
      </c>
      <c r="I4359" s="15" t="s">
        <v>214</v>
      </c>
    </row>
    <row r="4360" spans="1:9" ht="51.75" customHeight="1" x14ac:dyDescent="0.35">
      <c r="A4360" s="15" t="s">
        <v>34052</v>
      </c>
      <c r="B4360" s="15" t="s">
        <v>34053</v>
      </c>
      <c r="C4360" s="15" t="s">
        <v>34054</v>
      </c>
      <c r="D4360" s="31">
        <v>43452</v>
      </c>
      <c r="E4360" s="15" t="s">
        <v>34055</v>
      </c>
      <c r="F4360" s="87" t="s">
        <v>21871</v>
      </c>
      <c r="G4360" s="45" t="s">
        <v>14864</v>
      </c>
      <c r="H4360" s="55" t="s">
        <v>14865</v>
      </c>
      <c r="I4360" s="15" t="s">
        <v>214</v>
      </c>
    </row>
    <row r="4361" spans="1:9" ht="51.75" customHeight="1" x14ac:dyDescent="0.35">
      <c r="A4361" s="15" t="s">
        <v>34056</v>
      </c>
      <c r="B4361" s="15" t="s">
        <v>34057</v>
      </c>
      <c r="C4361" s="15" t="s">
        <v>34058</v>
      </c>
      <c r="D4361" s="31">
        <v>43452</v>
      </c>
      <c r="E4361" s="15" t="s">
        <v>34059</v>
      </c>
      <c r="F4361" s="87" t="s">
        <v>21871</v>
      </c>
      <c r="G4361" s="45" t="s">
        <v>14864</v>
      </c>
      <c r="H4361" s="55" t="s">
        <v>14865</v>
      </c>
      <c r="I4361" s="15" t="s">
        <v>214</v>
      </c>
    </row>
    <row r="4362" spans="1:9" ht="51.75" customHeight="1" x14ac:dyDescent="0.35">
      <c r="A4362" s="15" t="s">
        <v>34060</v>
      </c>
      <c r="B4362" s="15" t="s">
        <v>34061</v>
      </c>
      <c r="C4362" s="15" t="s">
        <v>34062</v>
      </c>
      <c r="D4362" s="31">
        <v>43416</v>
      </c>
      <c r="E4362" s="15" t="s">
        <v>34063</v>
      </c>
      <c r="F4362" s="87" t="s">
        <v>21871</v>
      </c>
      <c r="G4362" s="45" t="s">
        <v>14882</v>
      </c>
      <c r="H4362" s="55" t="s">
        <v>14883</v>
      </c>
      <c r="I4362" s="15" t="s">
        <v>214</v>
      </c>
    </row>
    <row r="4363" spans="1:9" ht="51.75" customHeight="1" x14ac:dyDescent="0.35">
      <c r="A4363" s="15" t="s">
        <v>34064</v>
      </c>
      <c r="B4363" s="15" t="s">
        <v>34065</v>
      </c>
      <c r="C4363" s="15" t="s">
        <v>34066</v>
      </c>
      <c r="D4363" s="31">
        <v>43416</v>
      </c>
      <c r="E4363" s="15" t="s">
        <v>34067</v>
      </c>
      <c r="F4363" s="87" t="s">
        <v>21871</v>
      </c>
      <c r="G4363" s="45" t="s">
        <v>14882</v>
      </c>
      <c r="H4363" s="55" t="s">
        <v>14883</v>
      </c>
      <c r="I4363" s="15" t="s">
        <v>214</v>
      </c>
    </row>
    <row r="4364" spans="1:9" ht="51.75" customHeight="1" x14ac:dyDescent="0.35">
      <c r="A4364" s="15" t="s">
        <v>34068</v>
      </c>
      <c r="B4364" s="15" t="s">
        <v>34069</v>
      </c>
      <c r="C4364" s="15" t="s">
        <v>34070</v>
      </c>
      <c r="D4364" s="31">
        <v>43416</v>
      </c>
      <c r="E4364" s="15" t="s">
        <v>34071</v>
      </c>
      <c r="F4364" s="87" t="s">
        <v>21871</v>
      </c>
      <c r="G4364" s="45" t="s">
        <v>14882</v>
      </c>
      <c r="H4364" s="55" t="s">
        <v>14883</v>
      </c>
      <c r="I4364" s="15" t="s">
        <v>214</v>
      </c>
    </row>
    <row r="4365" spans="1:9" ht="51.75" customHeight="1" x14ac:dyDescent="0.35">
      <c r="A4365" s="15" t="s">
        <v>24826</v>
      </c>
      <c r="B4365" s="15" t="s">
        <v>34072</v>
      </c>
      <c r="C4365" s="15" t="s">
        <v>34073</v>
      </c>
      <c r="D4365" s="31">
        <v>43549</v>
      </c>
      <c r="E4365" s="15" t="s">
        <v>34074</v>
      </c>
      <c r="F4365" s="87" t="s">
        <v>21871</v>
      </c>
      <c r="G4365" s="45" t="s">
        <v>15196</v>
      </c>
      <c r="H4365" s="55" t="s">
        <v>15197</v>
      </c>
      <c r="I4365" s="15" t="s">
        <v>214</v>
      </c>
    </row>
    <row r="4366" spans="1:9" ht="51.75" customHeight="1" x14ac:dyDescent="0.35">
      <c r="A4366" s="15" t="s">
        <v>25285</v>
      </c>
      <c r="B4366" s="15" t="s">
        <v>34075</v>
      </c>
      <c r="C4366" s="15" t="s">
        <v>34076</v>
      </c>
      <c r="D4366" s="31">
        <v>43538</v>
      </c>
      <c r="E4366" s="15" t="s">
        <v>34077</v>
      </c>
      <c r="F4366" s="87" t="s">
        <v>21871</v>
      </c>
      <c r="G4366" s="45" t="s">
        <v>15196</v>
      </c>
      <c r="H4366" s="55" t="s">
        <v>15197</v>
      </c>
      <c r="I4366" s="15" t="s">
        <v>214</v>
      </c>
    </row>
    <row r="4367" spans="1:9" ht="51.75" customHeight="1" x14ac:dyDescent="0.35">
      <c r="A4367" s="15" t="s">
        <v>25291</v>
      </c>
      <c r="B4367" s="15" t="s">
        <v>34078</v>
      </c>
      <c r="C4367" s="15" t="s">
        <v>34079</v>
      </c>
      <c r="D4367" s="31">
        <v>43538</v>
      </c>
      <c r="E4367" s="15" t="s">
        <v>34080</v>
      </c>
      <c r="F4367" s="87" t="s">
        <v>21871</v>
      </c>
      <c r="G4367" s="45" t="s">
        <v>15196</v>
      </c>
      <c r="H4367" s="55" t="s">
        <v>15197</v>
      </c>
      <c r="I4367" s="15" t="s">
        <v>214</v>
      </c>
    </row>
    <row r="4368" spans="1:9" ht="51.75" customHeight="1" x14ac:dyDescent="0.35">
      <c r="A4368" s="15" t="s">
        <v>26890</v>
      </c>
      <c r="B4368" s="15" t="s">
        <v>34081</v>
      </c>
      <c r="C4368" s="15" t="s">
        <v>34082</v>
      </c>
      <c r="D4368" s="31">
        <v>43621</v>
      </c>
      <c r="E4368" s="15" t="s">
        <v>34083</v>
      </c>
      <c r="F4368" s="87" t="s">
        <v>21871</v>
      </c>
      <c r="G4368" s="45" t="s">
        <v>15350</v>
      </c>
      <c r="H4368" s="55" t="s">
        <v>15351</v>
      </c>
      <c r="I4368" s="15" t="s">
        <v>214</v>
      </c>
    </row>
    <row r="4369" spans="1:9" ht="51.75" customHeight="1" x14ac:dyDescent="0.35">
      <c r="A4369" s="15" t="s">
        <v>26893</v>
      </c>
      <c r="B4369" s="15" t="s">
        <v>34084</v>
      </c>
      <c r="C4369" s="15" t="s">
        <v>34085</v>
      </c>
      <c r="D4369" s="31">
        <v>43621</v>
      </c>
      <c r="E4369" s="15" t="s">
        <v>34086</v>
      </c>
      <c r="F4369" s="87" t="s">
        <v>21871</v>
      </c>
      <c r="G4369" s="45" t="s">
        <v>15350</v>
      </c>
      <c r="H4369" s="55" t="s">
        <v>15351</v>
      </c>
      <c r="I4369" s="15" t="s">
        <v>214</v>
      </c>
    </row>
    <row r="4370" spans="1:9" ht="51.75" customHeight="1" x14ac:dyDescent="0.35">
      <c r="A4370" s="15" t="s">
        <v>26896</v>
      </c>
      <c r="B4370" s="15" t="s">
        <v>34087</v>
      </c>
      <c r="C4370" s="15" t="s">
        <v>34088</v>
      </c>
      <c r="D4370" s="31">
        <v>43621</v>
      </c>
      <c r="E4370" s="15" t="s">
        <v>34089</v>
      </c>
      <c r="F4370" s="87" t="s">
        <v>21871</v>
      </c>
      <c r="G4370" s="45" t="s">
        <v>15350</v>
      </c>
      <c r="H4370" s="55" t="s">
        <v>15351</v>
      </c>
      <c r="I4370" s="15" t="s">
        <v>214</v>
      </c>
    </row>
    <row r="4371" spans="1:9" ht="51.75" customHeight="1" x14ac:dyDescent="0.35">
      <c r="A4371" s="15" t="s">
        <v>26899</v>
      </c>
      <c r="B4371" s="15" t="s">
        <v>34090</v>
      </c>
      <c r="C4371" s="15" t="s">
        <v>34091</v>
      </c>
      <c r="D4371" s="31">
        <v>43621</v>
      </c>
      <c r="E4371" s="15" t="s">
        <v>34092</v>
      </c>
      <c r="F4371" s="87" t="s">
        <v>21871</v>
      </c>
      <c r="G4371" s="45" t="s">
        <v>15350</v>
      </c>
      <c r="H4371" s="55" t="s">
        <v>15351</v>
      </c>
      <c r="I4371" s="15" t="s">
        <v>214</v>
      </c>
    </row>
    <row r="4372" spans="1:9" ht="51.75" customHeight="1" x14ac:dyDescent="0.35">
      <c r="A4372" s="15" t="s">
        <v>26902</v>
      </c>
      <c r="B4372" s="15" t="s">
        <v>34093</v>
      </c>
      <c r="C4372" s="15" t="s">
        <v>34094</v>
      </c>
      <c r="D4372" s="31">
        <v>43621</v>
      </c>
      <c r="E4372" s="15" t="s">
        <v>34095</v>
      </c>
      <c r="F4372" s="87" t="s">
        <v>21871</v>
      </c>
      <c r="G4372" s="45" t="s">
        <v>15350</v>
      </c>
      <c r="H4372" s="55" t="s">
        <v>15351</v>
      </c>
      <c r="I4372" s="15" t="s">
        <v>214</v>
      </c>
    </row>
    <row r="4373" spans="1:9" ht="51.75" customHeight="1" x14ac:dyDescent="0.35">
      <c r="A4373" s="15" t="s">
        <v>34096</v>
      </c>
      <c r="B4373" s="15" t="s">
        <v>34097</v>
      </c>
      <c r="C4373" s="15" t="s">
        <v>34098</v>
      </c>
      <c r="D4373" s="31">
        <v>43692</v>
      </c>
      <c r="E4373" s="15" t="s">
        <v>34099</v>
      </c>
      <c r="F4373" s="87" t="s">
        <v>21871</v>
      </c>
      <c r="G4373" s="45" t="s">
        <v>15459</v>
      </c>
      <c r="H4373" s="55" t="s">
        <v>15460</v>
      </c>
      <c r="I4373" s="15" t="s">
        <v>214</v>
      </c>
    </row>
    <row r="4374" spans="1:9" ht="51.75" customHeight="1" x14ac:dyDescent="0.35">
      <c r="A4374" s="15" t="s">
        <v>25651</v>
      </c>
      <c r="B4374" s="15" t="s">
        <v>34100</v>
      </c>
      <c r="C4374" s="15" t="s">
        <v>34101</v>
      </c>
      <c r="D4374" s="31">
        <v>43641</v>
      </c>
      <c r="E4374" s="15" t="s">
        <v>34102</v>
      </c>
      <c r="F4374" s="87" t="s">
        <v>21871</v>
      </c>
      <c r="G4374" s="45" t="s">
        <v>15499</v>
      </c>
      <c r="H4374" s="55" t="s">
        <v>15500</v>
      </c>
      <c r="I4374" s="15" t="s">
        <v>214</v>
      </c>
    </row>
    <row r="4375" spans="1:9" ht="51.75" customHeight="1" x14ac:dyDescent="0.35">
      <c r="A4375" s="15" t="s">
        <v>25532</v>
      </c>
      <c r="B4375" s="15" t="s">
        <v>34103</v>
      </c>
      <c r="C4375" s="15" t="s">
        <v>34104</v>
      </c>
      <c r="D4375" s="31">
        <v>43641</v>
      </c>
      <c r="E4375" s="15" t="s">
        <v>34105</v>
      </c>
      <c r="F4375" s="87" t="s">
        <v>21871</v>
      </c>
      <c r="G4375" s="45" t="s">
        <v>15499</v>
      </c>
      <c r="H4375" s="55" t="s">
        <v>15500</v>
      </c>
      <c r="I4375" s="15" t="s">
        <v>214</v>
      </c>
    </row>
    <row r="4376" spans="1:9" ht="51.75" customHeight="1" x14ac:dyDescent="0.35">
      <c r="A4376" s="15" t="s">
        <v>26885</v>
      </c>
      <c r="B4376" s="15" t="s">
        <v>34106</v>
      </c>
      <c r="C4376" s="15" t="s">
        <v>34107</v>
      </c>
      <c r="D4376" s="31">
        <v>43586</v>
      </c>
      <c r="E4376" s="15" t="s">
        <v>34108</v>
      </c>
      <c r="F4376" s="87" t="s">
        <v>21871</v>
      </c>
      <c r="G4376" s="45" t="s">
        <v>15522</v>
      </c>
      <c r="H4376" s="55" t="s">
        <v>15523</v>
      </c>
      <c r="I4376" s="15" t="s">
        <v>214</v>
      </c>
    </row>
    <row r="4377" spans="1:9" ht="51.75" customHeight="1" x14ac:dyDescent="0.35">
      <c r="A4377" s="15" t="s">
        <v>24957</v>
      </c>
      <c r="B4377" s="15" t="s">
        <v>34109</v>
      </c>
      <c r="C4377" s="15" t="s">
        <v>33807</v>
      </c>
      <c r="D4377" s="31">
        <v>43586</v>
      </c>
      <c r="E4377" s="15" t="s">
        <v>34110</v>
      </c>
      <c r="F4377" s="87" t="s">
        <v>21871</v>
      </c>
      <c r="G4377" s="45" t="s">
        <v>15522</v>
      </c>
      <c r="H4377" s="55" t="s">
        <v>15523</v>
      </c>
      <c r="I4377" s="15" t="s">
        <v>214</v>
      </c>
    </row>
    <row r="4378" spans="1:9" ht="51.75" customHeight="1" x14ac:dyDescent="0.35">
      <c r="A4378" s="15" t="s">
        <v>26905</v>
      </c>
      <c r="B4378" s="15" t="s">
        <v>34111</v>
      </c>
      <c r="C4378" s="15" t="s">
        <v>34112</v>
      </c>
      <c r="D4378" s="31">
        <v>43656</v>
      </c>
      <c r="E4378" s="15" t="s">
        <v>34113</v>
      </c>
      <c r="F4378" s="87" t="s">
        <v>21871</v>
      </c>
      <c r="G4378" s="45" t="s">
        <v>15487</v>
      </c>
      <c r="H4378" s="55" t="s">
        <v>15488</v>
      </c>
      <c r="I4378" s="15" t="s">
        <v>214</v>
      </c>
    </row>
    <row r="4379" spans="1:9" ht="51.75" customHeight="1" x14ac:dyDescent="0.35">
      <c r="A4379" s="15" t="s">
        <v>26908</v>
      </c>
      <c r="B4379" s="15" t="s">
        <v>34114</v>
      </c>
      <c r="C4379" s="15" t="s">
        <v>34115</v>
      </c>
      <c r="D4379" s="31">
        <v>43656</v>
      </c>
      <c r="E4379" s="15" t="s">
        <v>34116</v>
      </c>
      <c r="F4379" s="87" t="s">
        <v>21871</v>
      </c>
      <c r="G4379" s="45" t="s">
        <v>15487</v>
      </c>
      <c r="H4379" s="55" t="s">
        <v>15488</v>
      </c>
      <c r="I4379" s="15" t="s">
        <v>214</v>
      </c>
    </row>
    <row r="4380" spans="1:9" ht="51.75" customHeight="1" x14ac:dyDescent="0.35">
      <c r="A4380" s="15" t="s">
        <v>26911</v>
      </c>
      <c r="B4380" s="15" t="s">
        <v>34117</v>
      </c>
      <c r="C4380" s="15" t="s">
        <v>34118</v>
      </c>
      <c r="D4380" s="31">
        <v>43656</v>
      </c>
      <c r="E4380" s="15" t="s">
        <v>34119</v>
      </c>
      <c r="F4380" s="87" t="s">
        <v>21871</v>
      </c>
      <c r="G4380" s="45" t="s">
        <v>15487</v>
      </c>
      <c r="H4380" s="55" t="s">
        <v>15488</v>
      </c>
      <c r="I4380" s="15" t="s">
        <v>214</v>
      </c>
    </row>
    <row r="4381" spans="1:9" ht="51.75" customHeight="1" x14ac:dyDescent="0.35">
      <c r="A4381" s="15" t="s">
        <v>22103</v>
      </c>
      <c r="B4381" s="15" t="s">
        <v>34120</v>
      </c>
      <c r="C4381" s="15" t="s">
        <v>33717</v>
      </c>
      <c r="D4381" s="31">
        <v>43656</v>
      </c>
      <c r="E4381" s="15" t="s">
        <v>34121</v>
      </c>
      <c r="F4381" s="87" t="s">
        <v>21871</v>
      </c>
      <c r="G4381" s="45" t="s">
        <v>15487</v>
      </c>
      <c r="H4381" s="55" t="s">
        <v>15488</v>
      </c>
      <c r="I4381" s="15" t="s">
        <v>214</v>
      </c>
    </row>
    <row r="4382" spans="1:9" ht="51.75" customHeight="1" x14ac:dyDescent="0.35">
      <c r="A4382" s="15" t="s">
        <v>26822</v>
      </c>
      <c r="B4382" s="15" t="s">
        <v>34122</v>
      </c>
      <c r="C4382" s="15" t="s">
        <v>34123</v>
      </c>
      <c r="D4382" s="31">
        <v>43671</v>
      </c>
      <c r="E4382" s="15" t="s">
        <v>34124</v>
      </c>
      <c r="F4382" s="87" t="s">
        <v>21871</v>
      </c>
      <c r="G4382" s="45" t="s">
        <v>15541</v>
      </c>
      <c r="H4382" s="55" t="s">
        <v>15542</v>
      </c>
      <c r="I4382" s="15" t="s">
        <v>214</v>
      </c>
    </row>
    <row r="4383" spans="1:9" ht="51.75" customHeight="1" x14ac:dyDescent="0.35">
      <c r="A4383" s="15" t="s">
        <v>26828</v>
      </c>
      <c r="B4383" s="15" t="s">
        <v>34125</v>
      </c>
      <c r="C4383" s="15" t="s">
        <v>34126</v>
      </c>
      <c r="D4383" s="31">
        <v>43671</v>
      </c>
      <c r="E4383" s="15" t="s">
        <v>34127</v>
      </c>
      <c r="F4383" s="87" t="s">
        <v>21871</v>
      </c>
      <c r="G4383" s="45" t="s">
        <v>15541</v>
      </c>
      <c r="H4383" s="55" t="s">
        <v>15542</v>
      </c>
      <c r="I4383" s="15" t="s">
        <v>214</v>
      </c>
    </row>
    <row r="4384" spans="1:9" ht="51.75" customHeight="1" x14ac:dyDescent="0.35">
      <c r="A4384" s="15" t="s">
        <v>22922</v>
      </c>
      <c r="B4384" s="15" t="s">
        <v>34128</v>
      </c>
      <c r="C4384" s="15" t="s">
        <v>34129</v>
      </c>
      <c r="D4384" s="31">
        <v>43671</v>
      </c>
      <c r="E4384" s="15" t="s">
        <v>34130</v>
      </c>
      <c r="F4384" s="87" t="s">
        <v>21871</v>
      </c>
      <c r="G4384" s="45" t="s">
        <v>15541</v>
      </c>
      <c r="H4384" s="55" t="s">
        <v>15542</v>
      </c>
      <c r="I4384" s="15" t="s">
        <v>214</v>
      </c>
    </row>
    <row r="4385" spans="1:9" ht="51.75" customHeight="1" x14ac:dyDescent="0.35">
      <c r="A4385" s="15" t="s">
        <v>26839</v>
      </c>
      <c r="B4385" s="15" t="s">
        <v>34131</v>
      </c>
      <c r="C4385" s="15" t="s">
        <v>34132</v>
      </c>
      <c r="D4385" s="31">
        <v>43671</v>
      </c>
      <c r="E4385" s="15" t="s">
        <v>34133</v>
      </c>
      <c r="F4385" s="87" t="s">
        <v>21871</v>
      </c>
      <c r="G4385" s="45" t="s">
        <v>15541</v>
      </c>
      <c r="H4385" s="55" t="s">
        <v>15542</v>
      </c>
      <c r="I4385" s="15" t="s">
        <v>214</v>
      </c>
    </row>
    <row r="4386" spans="1:9" ht="51.75" customHeight="1" x14ac:dyDescent="0.35">
      <c r="A4386" s="15" t="s">
        <v>26508</v>
      </c>
      <c r="B4386" s="15" t="s">
        <v>34134</v>
      </c>
      <c r="C4386" s="15" t="s">
        <v>34135</v>
      </c>
      <c r="D4386" s="31">
        <v>43662</v>
      </c>
      <c r="E4386" s="15" t="s">
        <v>34136</v>
      </c>
      <c r="F4386" s="87" t="s">
        <v>21871</v>
      </c>
      <c r="G4386" s="45" t="s">
        <v>15572</v>
      </c>
      <c r="H4386" s="55" t="s">
        <v>15573</v>
      </c>
      <c r="I4386" s="15" t="s">
        <v>214</v>
      </c>
    </row>
    <row r="4387" spans="1:9" ht="51.75" customHeight="1" x14ac:dyDescent="0.35">
      <c r="A4387" s="15" t="s">
        <v>26511</v>
      </c>
      <c r="B4387" s="15" t="s">
        <v>34137</v>
      </c>
      <c r="C4387" s="15" t="s">
        <v>34138</v>
      </c>
      <c r="D4387" s="31">
        <v>43662</v>
      </c>
      <c r="E4387" s="15" t="s">
        <v>34139</v>
      </c>
      <c r="F4387" s="87" t="s">
        <v>21871</v>
      </c>
      <c r="G4387" s="45" t="s">
        <v>15572</v>
      </c>
      <c r="H4387" s="55" t="s">
        <v>15573</v>
      </c>
      <c r="I4387" s="15" t="s">
        <v>214</v>
      </c>
    </row>
    <row r="4388" spans="1:9" ht="51.75" customHeight="1" x14ac:dyDescent="0.35">
      <c r="A4388" s="15" t="s">
        <v>25657</v>
      </c>
      <c r="B4388" s="15" t="s">
        <v>34140</v>
      </c>
      <c r="C4388" s="15" t="s">
        <v>34141</v>
      </c>
      <c r="D4388" s="31">
        <v>43657</v>
      </c>
      <c r="E4388" s="15" t="s">
        <v>34142</v>
      </c>
      <c r="F4388" s="87" t="s">
        <v>21871</v>
      </c>
      <c r="G4388" s="45" t="s">
        <v>15706</v>
      </c>
      <c r="H4388" s="55" t="s">
        <v>15707</v>
      </c>
      <c r="I4388" s="15" t="s">
        <v>214</v>
      </c>
    </row>
    <row r="4389" spans="1:9" ht="51.75" customHeight="1" x14ac:dyDescent="0.35">
      <c r="A4389" s="15" t="s">
        <v>33378</v>
      </c>
      <c r="B4389" s="15" t="s">
        <v>34143</v>
      </c>
      <c r="C4389" s="15" t="s">
        <v>34144</v>
      </c>
      <c r="D4389" s="31">
        <v>43657</v>
      </c>
      <c r="E4389" s="15" t="s">
        <v>34145</v>
      </c>
      <c r="F4389" s="87" t="s">
        <v>21871</v>
      </c>
      <c r="G4389" s="45" t="s">
        <v>15706</v>
      </c>
      <c r="H4389" s="55" t="s">
        <v>15707</v>
      </c>
      <c r="I4389" s="15" t="s">
        <v>214</v>
      </c>
    </row>
    <row r="4390" spans="1:9" ht="51.75" customHeight="1" x14ac:dyDescent="0.35">
      <c r="A4390" s="15" t="s">
        <v>26845</v>
      </c>
      <c r="B4390" s="15" t="s">
        <v>34146</v>
      </c>
      <c r="C4390" s="15" t="s">
        <v>34147</v>
      </c>
      <c r="D4390" s="31">
        <v>43678</v>
      </c>
      <c r="E4390" s="15" t="s">
        <v>34148</v>
      </c>
      <c r="F4390" s="87" t="s">
        <v>21871</v>
      </c>
      <c r="G4390" s="45" t="s">
        <v>15660</v>
      </c>
      <c r="H4390" s="55" t="s">
        <v>15661</v>
      </c>
      <c r="I4390" s="15" t="s">
        <v>214</v>
      </c>
    </row>
    <row r="4391" spans="1:9" ht="51.75" customHeight="1" x14ac:dyDescent="0.35">
      <c r="A4391" s="15" t="s">
        <v>22926</v>
      </c>
      <c r="B4391" s="15" t="s">
        <v>34149</v>
      </c>
      <c r="C4391" s="15" t="s">
        <v>34150</v>
      </c>
      <c r="D4391" s="31">
        <v>43678</v>
      </c>
      <c r="E4391" s="15" t="s">
        <v>34151</v>
      </c>
      <c r="F4391" s="87" t="s">
        <v>21871</v>
      </c>
      <c r="G4391" s="45" t="s">
        <v>15660</v>
      </c>
      <c r="H4391" s="55" t="s">
        <v>15661</v>
      </c>
      <c r="I4391" s="15" t="s">
        <v>214</v>
      </c>
    </row>
    <row r="4392" spans="1:9" ht="51.75" customHeight="1" x14ac:dyDescent="0.35">
      <c r="A4392" s="15" t="s">
        <v>22930</v>
      </c>
      <c r="B4392" s="15" t="s">
        <v>34152</v>
      </c>
      <c r="C4392" s="15" t="s">
        <v>34153</v>
      </c>
      <c r="D4392" s="31">
        <v>43678</v>
      </c>
      <c r="E4392" s="15" t="s">
        <v>34154</v>
      </c>
      <c r="F4392" s="87" t="s">
        <v>21871</v>
      </c>
      <c r="G4392" s="45" t="s">
        <v>15660</v>
      </c>
      <c r="H4392" s="55" t="s">
        <v>15661</v>
      </c>
      <c r="I4392" s="15" t="s">
        <v>214</v>
      </c>
    </row>
    <row r="4393" spans="1:9" ht="51.75" customHeight="1" x14ac:dyDescent="0.35">
      <c r="A4393" s="15" t="s">
        <v>22055</v>
      </c>
      <c r="B4393" s="15" t="s">
        <v>34155</v>
      </c>
      <c r="C4393" s="15" t="s">
        <v>34156</v>
      </c>
      <c r="D4393" s="31">
        <v>43678</v>
      </c>
      <c r="E4393" s="15" t="s">
        <v>34157</v>
      </c>
      <c r="F4393" s="87" t="s">
        <v>21871</v>
      </c>
      <c r="G4393" s="45" t="s">
        <v>15660</v>
      </c>
      <c r="H4393" s="55" t="s">
        <v>15661</v>
      </c>
      <c r="I4393" s="15" t="s">
        <v>214</v>
      </c>
    </row>
    <row r="4394" spans="1:9" ht="51.75" customHeight="1" x14ac:dyDescent="0.35">
      <c r="A4394" s="15" t="s">
        <v>22937</v>
      </c>
      <c r="B4394" s="15" t="s">
        <v>34158</v>
      </c>
      <c r="C4394" s="15" t="s">
        <v>34082</v>
      </c>
      <c r="D4394" s="31">
        <v>43678</v>
      </c>
      <c r="E4394" s="15" t="s">
        <v>34159</v>
      </c>
      <c r="F4394" s="87" t="s">
        <v>21871</v>
      </c>
      <c r="G4394" s="45" t="s">
        <v>15660</v>
      </c>
      <c r="H4394" s="55" t="s">
        <v>15661</v>
      </c>
      <c r="I4394" s="15" t="s">
        <v>214</v>
      </c>
    </row>
    <row r="4395" spans="1:9" ht="51.75" customHeight="1" x14ac:dyDescent="0.35">
      <c r="A4395" s="15" t="s">
        <v>33947</v>
      </c>
      <c r="B4395" s="15" t="s">
        <v>34160</v>
      </c>
      <c r="C4395" s="15" t="s">
        <v>34161</v>
      </c>
      <c r="D4395" s="31">
        <v>43734</v>
      </c>
      <c r="E4395" s="15" t="s">
        <v>34162</v>
      </c>
      <c r="F4395" s="87"/>
      <c r="G4395" s="45" t="s">
        <v>15803</v>
      </c>
      <c r="H4395" s="55" t="s">
        <v>15804</v>
      </c>
      <c r="I4395" s="15" t="s">
        <v>214</v>
      </c>
    </row>
    <row r="4396" spans="1:9" ht="51.75" customHeight="1" x14ac:dyDescent="0.35">
      <c r="A4396" s="15" t="s">
        <v>33950</v>
      </c>
      <c r="B4396" s="15" t="s">
        <v>34163</v>
      </c>
      <c r="C4396" s="15" t="s">
        <v>34164</v>
      </c>
      <c r="D4396" s="31">
        <v>43734</v>
      </c>
      <c r="E4396" s="15" t="s">
        <v>34165</v>
      </c>
      <c r="F4396" s="87"/>
      <c r="G4396" s="45" t="s">
        <v>15803</v>
      </c>
      <c r="H4396" s="55" t="s">
        <v>15804</v>
      </c>
      <c r="I4396" s="15" t="s">
        <v>214</v>
      </c>
    </row>
    <row r="4397" spans="1:9" ht="51.75" customHeight="1" x14ac:dyDescent="0.35">
      <c r="A4397" s="15" t="s">
        <v>34166</v>
      </c>
      <c r="B4397" s="15" t="s">
        <v>34167</v>
      </c>
      <c r="C4397" s="15" t="s">
        <v>34168</v>
      </c>
      <c r="D4397" s="31">
        <v>43754</v>
      </c>
      <c r="E4397" s="15" t="s">
        <v>34169</v>
      </c>
      <c r="F4397" s="87" t="s">
        <v>21871</v>
      </c>
      <c r="G4397" s="45" t="s">
        <v>15797</v>
      </c>
      <c r="H4397" s="55" t="s">
        <v>15798</v>
      </c>
      <c r="I4397" s="15" t="s">
        <v>214</v>
      </c>
    </row>
    <row r="4398" spans="1:9" ht="51.75" customHeight="1" x14ac:dyDescent="0.35">
      <c r="A4398" s="15" t="s">
        <v>34170</v>
      </c>
      <c r="B4398" s="15" t="s">
        <v>34171</v>
      </c>
      <c r="C4398" s="15" t="s">
        <v>34172</v>
      </c>
      <c r="D4398" s="31">
        <v>43754</v>
      </c>
      <c r="E4398" s="15" t="s">
        <v>34173</v>
      </c>
      <c r="F4398" s="87" t="s">
        <v>21871</v>
      </c>
      <c r="G4398" s="45" t="s">
        <v>15797</v>
      </c>
      <c r="H4398" s="55" t="s">
        <v>15798</v>
      </c>
      <c r="I4398" s="15" t="s">
        <v>214</v>
      </c>
    </row>
    <row r="4399" spans="1:9" ht="51.75" customHeight="1" x14ac:dyDescent="0.35">
      <c r="A4399" s="15" t="s">
        <v>34174</v>
      </c>
      <c r="B4399" s="15" t="s">
        <v>34175</v>
      </c>
      <c r="C4399" s="15" t="s">
        <v>34176</v>
      </c>
      <c r="D4399" s="31">
        <v>43754</v>
      </c>
      <c r="E4399" s="15" t="s">
        <v>34177</v>
      </c>
      <c r="F4399" s="87" t="s">
        <v>21871</v>
      </c>
      <c r="G4399" s="45" t="s">
        <v>15797</v>
      </c>
      <c r="H4399" s="55" t="s">
        <v>15798</v>
      </c>
      <c r="I4399" s="15" t="s">
        <v>214</v>
      </c>
    </row>
    <row r="4400" spans="1:9" ht="51.75" customHeight="1" x14ac:dyDescent="0.35">
      <c r="A4400" s="15" t="s">
        <v>34178</v>
      </c>
      <c r="B4400" s="15" t="s">
        <v>34179</v>
      </c>
      <c r="C4400" s="15" t="s">
        <v>34180</v>
      </c>
      <c r="D4400" s="31">
        <v>43754</v>
      </c>
      <c r="E4400" s="15" t="s">
        <v>34181</v>
      </c>
      <c r="F4400" s="87" t="s">
        <v>21871</v>
      </c>
      <c r="G4400" s="45" t="s">
        <v>15797</v>
      </c>
      <c r="H4400" s="55" t="s">
        <v>15798</v>
      </c>
      <c r="I4400" s="15" t="s">
        <v>214</v>
      </c>
    </row>
    <row r="4401" spans="1:9" ht="51.75" customHeight="1" x14ac:dyDescent="0.35">
      <c r="A4401" s="15" t="s">
        <v>34182</v>
      </c>
      <c r="B4401" s="15" t="s">
        <v>34183</v>
      </c>
      <c r="C4401" s="15" t="s">
        <v>34184</v>
      </c>
      <c r="D4401" s="31">
        <v>43748</v>
      </c>
      <c r="E4401" s="15" t="s">
        <v>34185</v>
      </c>
      <c r="F4401" s="87" t="s">
        <v>21871</v>
      </c>
      <c r="G4401" s="45" t="s">
        <v>16017</v>
      </c>
      <c r="H4401" s="55" t="s">
        <v>16018</v>
      </c>
      <c r="I4401" s="15" t="s">
        <v>214</v>
      </c>
    </row>
    <row r="4402" spans="1:9" ht="51.75" customHeight="1" x14ac:dyDescent="0.35">
      <c r="A4402" s="15" t="s">
        <v>23923</v>
      </c>
      <c r="B4402" s="15" t="s">
        <v>34186</v>
      </c>
      <c r="C4402" s="15" t="s">
        <v>34187</v>
      </c>
      <c r="D4402" s="31">
        <v>43797</v>
      </c>
      <c r="E4402" s="15" t="s">
        <v>34188</v>
      </c>
      <c r="F4402" s="87" t="s">
        <v>21871</v>
      </c>
      <c r="G4402" s="45" t="s">
        <v>16173</v>
      </c>
      <c r="H4402" s="55" t="s">
        <v>16174</v>
      </c>
      <c r="I4402" s="15" t="s">
        <v>214</v>
      </c>
    </row>
    <row r="4403" spans="1:9" ht="51.75" customHeight="1" x14ac:dyDescent="0.35">
      <c r="A4403" s="15" t="s">
        <v>24186</v>
      </c>
      <c r="B4403" s="15" t="s">
        <v>34189</v>
      </c>
      <c r="C4403" s="15" t="s">
        <v>34190</v>
      </c>
      <c r="D4403" s="31">
        <v>43797</v>
      </c>
      <c r="E4403" s="15" t="s">
        <v>34191</v>
      </c>
      <c r="F4403" s="87" t="s">
        <v>21871</v>
      </c>
      <c r="G4403" s="45" t="s">
        <v>16173</v>
      </c>
      <c r="H4403" s="55" t="s">
        <v>16174</v>
      </c>
      <c r="I4403" s="15" t="s">
        <v>214</v>
      </c>
    </row>
    <row r="4404" spans="1:9" ht="51.75" customHeight="1" x14ac:dyDescent="0.35">
      <c r="A4404" s="15" t="s">
        <v>24191</v>
      </c>
      <c r="B4404" s="15" t="s">
        <v>34192</v>
      </c>
      <c r="C4404" s="15" t="s">
        <v>34193</v>
      </c>
      <c r="D4404" s="31">
        <v>43797</v>
      </c>
      <c r="E4404" s="15" t="s">
        <v>34194</v>
      </c>
      <c r="F4404" s="87" t="s">
        <v>21871</v>
      </c>
      <c r="G4404" s="45" t="s">
        <v>16173</v>
      </c>
      <c r="H4404" s="55" t="s">
        <v>16174</v>
      </c>
      <c r="I4404" s="15" t="s">
        <v>214</v>
      </c>
    </row>
    <row r="4405" spans="1:9" ht="51.75" customHeight="1" x14ac:dyDescent="0.35">
      <c r="A4405" s="15" t="s">
        <v>24197</v>
      </c>
      <c r="B4405" s="15" t="s">
        <v>34195</v>
      </c>
      <c r="C4405" s="15" t="s">
        <v>34196</v>
      </c>
      <c r="D4405" s="31">
        <v>43797</v>
      </c>
      <c r="E4405" s="15" t="s">
        <v>34197</v>
      </c>
      <c r="F4405" s="87" t="s">
        <v>21871</v>
      </c>
      <c r="G4405" s="45" t="s">
        <v>16173</v>
      </c>
      <c r="H4405" s="55" t="s">
        <v>16174</v>
      </c>
      <c r="I4405" s="15" t="s">
        <v>214</v>
      </c>
    </row>
    <row r="4406" spans="1:9" ht="51.75" customHeight="1" x14ac:dyDescent="0.35">
      <c r="A4406" s="15" t="s">
        <v>22019</v>
      </c>
      <c r="B4406" s="15" t="s">
        <v>34198</v>
      </c>
      <c r="C4406" s="15" t="s">
        <v>33421</v>
      </c>
      <c r="D4406" s="31">
        <v>43867</v>
      </c>
      <c r="E4406" s="15" t="s">
        <v>34199</v>
      </c>
      <c r="F4406" s="87" t="s">
        <v>21871</v>
      </c>
      <c r="G4406" s="45" t="s">
        <v>16304</v>
      </c>
      <c r="H4406" s="55" t="s">
        <v>16305</v>
      </c>
      <c r="I4406" s="15" t="s">
        <v>214</v>
      </c>
    </row>
    <row r="4407" spans="1:9" ht="51.75" customHeight="1" x14ac:dyDescent="0.35">
      <c r="A4407" s="15" t="s">
        <v>21987</v>
      </c>
      <c r="B4407" s="15" t="s">
        <v>34200</v>
      </c>
      <c r="C4407" s="15" t="s">
        <v>34201</v>
      </c>
      <c r="D4407" s="31">
        <v>43867</v>
      </c>
      <c r="E4407" s="15" t="s">
        <v>34202</v>
      </c>
      <c r="F4407" s="87" t="s">
        <v>21871</v>
      </c>
      <c r="G4407" s="45" t="s">
        <v>16304</v>
      </c>
      <c r="H4407" s="55" t="s">
        <v>16305</v>
      </c>
      <c r="I4407" s="15" t="s">
        <v>214</v>
      </c>
    </row>
    <row r="4408" spans="1:9" ht="51.75" customHeight="1" x14ac:dyDescent="0.35">
      <c r="A4408" s="15" t="s">
        <v>21991</v>
      </c>
      <c r="B4408" s="15" t="s">
        <v>34203</v>
      </c>
      <c r="C4408" s="15" t="s">
        <v>34204</v>
      </c>
      <c r="D4408" s="31">
        <v>43867</v>
      </c>
      <c r="E4408" s="15" t="s">
        <v>34205</v>
      </c>
      <c r="F4408" s="87" t="s">
        <v>21871</v>
      </c>
      <c r="G4408" s="45" t="s">
        <v>16304</v>
      </c>
      <c r="H4408" s="55" t="s">
        <v>16305</v>
      </c>
      <c r="I4408" s="15" t="s">
        <v>214</v>
      </c>
    </row>
    <row r="4409" spans="1:9" ht="51.75" customHeight="1" x14ac:dyDescent="0.35">
      <c r="A4409" s="15" t="s">
        <v>21999</v>
      </c>
      <c r="B4409" s="15" t="s">
        <v>34206</v>
      </c>
      <c r="C4409" s="15" t="s">
        <v>9897</v>
      </c>
      <c r="D4409" s="31">
        <v>43867</v>
      </c>
      <c r="E4409" s="15" t="s">
        <v>34207</v>
      </c>
      <c r="F4409" s="87" t="s">
        <v>21871</v>
      </c>
      <c r="G4409" s="45" t="s">
        <v>16304</v>
      </c>
      <c r="H4409" s="55" t="s">
        <v>16305</v>
      </c>
      <c r="I4409" s="15" t="s">
        <v>214</v>
      </c>
    </row>
    <row r="4410" spans="1:9" ht="51.75" customHeight="1" x14ac:dyDescent="0.35">
      <c r="A4410" s="15" t="s">
        <v>22011</v>
      </c>
      <c r="B4410" s="15" t="s">
        <v>34208</v>
      </c>
      <c r="C4410" s="15" t="s">
        <v>34209</v>
      </c>
      <c r="D4410" s="31">
        <v>43864</v>
      </c>
      <c r="E4410" s="15" t="s">
        <v>34210</v>
      </c>
      <c r="F4410" s="87" t="s">
        <v>21871</v>
      </c>
      <c r="G4410" s="45" t="s">
        <v>16330</v>
      </c>
      <c r="H4410" s="55" t="s">
        <v>16331</v>
      </c>
      <c r="I4410" s="15" t="s">
        <v>214</v>
      </c>
    </row>
    <row r="4411" spans="1:9" ht="51.75" customHeight="1" x14ac:dyDescent="0.35">
      <c r="A4411" s="15" t="s">
        <v>24176</v>
      </c>
      <c r="B4411" s="15" t="s">
        <v>34211</v>
      </c>
      <c r="C4411" s="15" t="s">
        <v>34212</v>
      </c>
      <c r="D4411" s="31">
        <v>43864</v>
      </c>
      <c r="E4411" s="15" t="s">
        <v>34213</v>
      </c>
      <c r="F4411" s="87" t="s">
        <v>21871</v>
      </c>
      <c r="G4411" s="45" t="s">
        <v>16330</v>
      </c>
      <c r="H4411" s="55" t="s">
        <v>16331</v>
      </c>
      <c r="I4411" s="15" t="s">
        <v>214</v>
      </c>
    </row>
    <row r="4412" spans="1:9" ht="51.75" customHeight="1" x14ac:dyDescent="0.35">
      <c r="A4412" s="15" t="s">
        <v>22719</v>
      </c>
      <c r="B4412" s="15" t="s">
        <v>34214</v>
      </c>
      <c r="C4412" s="15" t="s">
        <v>34215</v>
      </c>
      <c r="D4412" s="31">
        <v>43864</v>
      </c>
      <c r="E4412" s="15" t="s">
        <v>34216</v>
      </c>
      <c r="F4412" s="87" t="s">
        <v>21871</v>
      </c>
      <c r="G4412" s="45" t="s">
        <v>16330</v>
      </c>
      <c r="H4412" s="55" t="s">
        <v>16331</v>
      </c>
      <c r="I4412" s="15" t="s">
        <v>214</v>
      </c>
    </row>
    <row r="4413" spans="1:9" ht="51.75" customHeight="1" x14ac:dyDescent="0.35">
      <c r="A4413" s="15" t="s">
        <v>22723</v>
      </c>
      <c r="B4413" s="15" t="s">
        <v>34217</v>
      </c>
      <c r="C4413" s="15" t="s">
        <v>33557</v>
      </c>
      <c r="D4413" s="31">
        <v>43864</v>
      </c>
      <c r="E4413" s="15" t="s">
        <v>34218</v>
      </c>
      <c r="F4413" s="87" t="s">
        <v>21871</v>
      </c>
      <c r="G4413" s="45" t="s">
        <v>16330</v>
      </c>
      <c r="H4413" s="55" t="s">
        <v>16331</v>
      </c>
      <c r="I4413" s="15" t="s">
        <v>214</v>
      </c>
    </row>
    <row r="4414" spans="1:9" ht="51.75" customHeight="1" x14ac:dyDescent="0.35">
      <c r="A4414" s="15" t="s">
        <v>25573</v>
      </c>
      <c r="B4414" s="15" t="s">
        <v>34219</v>
      </c>
      <c r="C4414" s="15" t="s">
        <v>34220</v>
      </c>
      <c r="D4414" s="31">
        <v>44046</v>
      </c>
      <c r="E4414" s="15" t="s">
        <v>34221</v>
      </c>
      <c r="F4414" s="87" t="s">
        <v>21871</v>
      </c>
      <c r="G4414" s="45" t="s">
        <v>16406</v>
      </c>
      <c r="H4414" s="55" t="s">
        <v>16407</v>
      </c>
      <c r="I4414" s="15" t="s">
        <v>214</v>
      </c>
    </row>
    <row r="4415" spans="1:9" ht="51.75" customHeight="1" x14ac:dyDescent="0.35">
      <c r="A4415" s="15" t="s">
        <v>22139</v>
      </c>
      <c r="B4415" s="15" t="s">
        <v>34222</v>
      </c>
      <c r="C4415" s="15" t="s">
        <v>34223</v>
      </c>
      <c r="D4415" s="31">
        <v>44046</v>
      </c>
      <c r="E4415" s="15" t="s">
        <v>34224</v>
      </c>
      <c r="F4415" s="87" t="s">
        <v>21871</v>
      </c>
      <c r="G4415" s="45" t="s">
        <v>16406</v>
      </c>
      <c r="H4415" s="55" t="s">
        <v>16407</v>
      </c>
      <c r="I4415" s="15" t="s">
        <v>214</v>
      </c>
    </row>
    <row r="4416" spans="1:9" ht="51.75" customHeight="1" x14ac:dyDescent="0.35">
      <c r="A4416" s="15" t="s">
        <v>25584</v>
      </c>
      <c r="B4416" s="15" t="s">
        <v>34225</v>
      </c>
      <c r="C4416" s="15" t="s">
        <v>34226</v>
      </c>
      <c r="D4416" s="31">
        <v>44046</v>
      </c>
      <c r="E4416" s="15" t="s">
        <v>34227</v>
      </c>
      <c r="F4416" s="87" t="s">
        <v>21871</v>
      </c>
      <c r="G4416" s="45" t="s">
        <v>16406</v>
      </c>
      <c r="H4416" s="55" t="s">
        <v>16407</v>
      </c>
      <c r="I4416" s="15" t="s">
        <v>214</v>
      </c>
    </row>
    <row r="4417" spans="1:9" ht="51.75" customHeight="1" x14ac:dyDescent="0.35">
      <c r="A4417" s="15" t="s">
        <v>34174</v>
      </c>
      <c r="B4417" s="15" t="s">
        <v>34228</v>
      </c>
      <c r="C4417" s="15" t="s">
        <v>34094</v>
      </c>
      <c r="D4417" s="31">
        <v>44068</v>
      </c>
      <c r="E4417" s="15" t="s">
        <v>34229</v>
      </c>
      <c r="F4417" s="87" t="s">
        <v>21871</v>
      </c>
      <c r="G4417" s="45" t="s">
        <v>16348</v>
      </c>
      <c r="H4417" s="55" t="s">
        <v>16349</v>
      </c>
      <c r="I4417" s="15" t="s">
        <v>214</v>
      </c>
    </row>
    <row r="4418" spans="1:9" ht="51.75" customHeight="1" x14ac:dyDescent="0.35">
      <c r="A4418" s="15" t="s">
        <v>34178</v>
      </c>
      <c r="B4418" s="15" t="s">
        <v>34230</v>
      </c>
      <c r="C4418" s="15" t="s">
        <v>34231</v>
      </c>
      <c r="D4418" s="31">
        <v>44068</v>
      </c>
      <c r="E4418" s="15" t="s">
        <v>34232</v>
      </c>
      <c r="F4418" s="87" t="s">
        <v>21871</v>
      </c>
      <c r="G4418" s="45" t="s">
        <v>16348</v>
      </c>
      <c r="H4418" s="55" t="s">
        <v>16349</v>
      </c>
      <c r="I4418" s="15" t="s">
        <v>214</v>
      </c>
    </row>
    <row r="4419" spans="1:9" ht="51.75" customHeight="1" x14ac:dyDescent="0.35">
      <c r="A4419" s="15" t="s">
        <v>34233</v>
      </c>
      <c r="B4419" s="15" t="s">
        <v>34234</v>
      </c>
      <c r="C4419" s="15" t="s">
        <v>29221</v>
      </c>
      <c r="D4419" s="31">
        <v>44068</v>
      </c>
      <c r="E4419" s="15" t="s">
        <v>34235</v>
      </c>
      <c r="F4419" s="87" t="s">
        <v>21871</v>
      </c>
      <c r="G4419" s="45" t="s">
        <v>16348</v>
      </c>
      <c r="H4419" s="55" t="s">
        <v>16349</v>
      </c>
      <c r="I4419" s="15" t="s">
        <v>214</v>
      </c>
    </row>
    <row r="4420" spans="1:9" ht="51.75" customHeight="1" x14ac:dyDescent="0.35">
      <c r="A4420" s="15" t="s">
        <v>34236</v>
      </c>
      <c r="B4420" s="15" t="s">
        <v>34237</v>
      </c>
      <c r="C4420" s="15" t="s">
        <v>34238</v>
      </c>
      <c r="D4420" s="31">
        <v>44068</v>
      </c>
      <c r="E4420" s="15" t="s">
        <v>34239</v>
      </c>
      <c r="F4420" s="87" t="s">
        <v>21871</v>
      </c>
      <c r="G4420" s="45" t="s">
        <v>16348</v>
      </c>
      <c r="H4420" s="55" t="s">
        <v>16349</v>
      </c>
      <c r="I4420" s="15" t="s">
        <v>214</v>
      </c>
    </row>
    <row r="4421" spans="1:9" ht="51.75" customHeight="1" x14ac:dyDescent="0.35">
      <c r="A4421" s="15" t="s">
        <v>25651</v>
      </c>
      <c r="B4421" s="15" t="s">
        <v>34240</v>
      </c>
      <c r="C4421" s="15" t="s">
        <v>34241</v>
      </c>
      <c r="D4421" s="31">
        <v>43977</v>
      </c>
      <c r="E4421" s="15" t="s">
        <v>34242</v>
      </c>
      <c r="F4421" s="87" t="s">
        <v>21871</v>
      </c>
      <c r="G4421" s="45" t="s">
        <v>16456</v>
      </c>
      <c r="H4421" s="55" t="s">
        <v>16457</v>
      </c>
      <c r="I4421" s="15" t="s">
        <v>214</v>
      </c>
    </row>
    <row r="4422" spans="1:9" ht="51.75" customHeight="1" x14ac:dyDescent="0.35">
      <c r="A4422" s="15" t="s">
        <v>25532</v>
      </c>
      <c r="B4422" s="15" t="s">
        <v>34243</v>
      </c>
      <c r="C4422" s="15" t="s">
        <v>34244</v>
      </c>
      <c r="D4422" s="31">
        <v>43977</v>
      </c>
      <c r="E4422" s="15" t="s">
        <v>34245</v>
      </c>
      <c r="F4422" s="87" t="s">
        <v>21871</v>
      </c>
      <c r="G4422" s="45" t="s">
        <v>16456</v>
      </c>
      <c r="H4422" s="55" t="s">
        <v>16457</v>
      </c>
      <c r="I4422" s="15" t="s">
        <v>214</v>
      </c>
    </row>
    <row r="4423" spans="1:9" ht="51.75" customHeight="1" x14ac:dyDescent="0.35">
      <c r="A4423" s="15" t="s">
        <v>25657</v>
      </c>
      <c r="B4423" s="15" t="s">
        <v>34246</v>
      </c>
      <c r="C4423" s="15" t="s">
        <v>34247</v>
      </c>
      <c r="D4423" s="31">
        <v>43977</v>
      </c>
      <c r="E4423" s="15" t="s">
        <v>34248</v>
      </c>
      <c r="F4423" s="87" t="s">
        <v>21871</v>
      </c>
      <c r="G4423" s="45" t="s">
        <v>16456</v>
      </c>
      <c r="H4423" s="55" t="s">
        <v>16457</v>
      </c>
      <c r="I4423" s="15" t="s">
        <v>214</v>
      </c>
    </row>
    <row r="4424" spans="1:9" ht="51.75" customHeight="1" x14ac:dyDescent="0.35">
      <c r="A4424" s="15" t="s">
        <v>33374</v>
      </c>
      <c r="B4424" s="15" t="s">
        <v>34249</v>
      </c>
      <c r="C4424" s="15" t="s">
        <v>34250</v>
      </c>
      <c r="D4424" s="31">
        <v>43977</v>
      </c>
      <c r="E4424" s="15" t="s">
        <v>34251</v>
      </c>
      <c r="F4424" s="87" t="s">
        <v>21871</v>
      </c>
      <c r="G4424" s="45" t="s">
        <v>16456</v>
      </c>
      <c r="H4424" s="55" t="s">
        <v>16457</v>
      </c>
      <c r="I4424" s="15" t="s">
        <v>214</v>
      </c>
    </row>
    <row r="4425" spans="1:9" ht="51.75" customHeight="1" x14ac:dyDescent="0.35">
      <c r="A4425" s="15" t="s">
        <v>33378</v>
      </c>
      <c r="B4425" s="15" t="s">
        <v>34252</v>
      </c>
      <c r="C4425" s="15" t="s">
        <v>34253</v>
      </c>
      <c r="D4425" s="31">
        <v>43978</v>
      </c>
      <c r="E4425" s="15" t="s">
        <v>34254</v>
      </c>
      <c r="F4425" s="87" t="s">
        <v>21871</v>
      </c>
      <c r="G4425" s="45" t="s">
        <v>16456</v>
      </c>
      <c r="H4425" s="55" t="s">
        <v>16457</v>
      </c>
      <c r="I4425" s="15" t="s">
        <v>214</v>
      </c>
    </row>
    <row r="4426" spans="1:9" ht="51.75" customHeight="1" x14ac:dyDescent="0.35">
      <c r="A4426" s="15" t="s">
        <v>34255</v>
      </c>
      <c r="B4426" s="15" t="s">
        <v>34256</v>
      </c>
      <c r="C4426" s="15" t="s">
        <v>34257</v>
      </c>
      <c r="D4426" s="31">
        <v>44147</v>
      </c>
      <c r="E4426" s="15" t="s">
        <v>34258</v>
      </c>
      <c r="F4426" s="87" t="s">
        <v>21871</v>
      </c>
      <c r="G4426" s="45" t="s">
        <v>16541</v>
      </c>
      <c r="H4426" s="55" t="s">
        <v>16542</v>
      </c>
      <c r="I4426" s="15" t="s">
        <v>214</v>
      </c>
    </row>
    <row r="4427" spans="1:9" ht="51.75" customHeight="1" x14ac:dyDescent="0.35">
      <c r="A4427" s="15" t="s">
        <v>34259</v>
      </c>
      <c r="B4427" s="15" t="s">
        <v>34260</v>
      </c>
      <c r="C4427" s="15" t="s">
        <v>34261</v>
      </c>
      <c r="D4427" s="31">
        <v>44147</v>
      </c>
      <c r="E4427" s="15" t="s">
        <v>34262</v>
      </c>
      <c r="F4427" s="87" t="s">
        <v>21871</v>
      </c>
      <c r="G4427" s="45" t="s">
        <v>16541</v>
      </c>
      <c r="H4427" s="55" t="s">
        <v>16542</v>
      </c>
      <c r="I4427" s="15" t="s">
        <v>214</v>
      </c>
    </row>
    <row r="4428" spans="1:9" ht="51.75" customHeight="1" x14ac:dyDescent="0.35">
      <c r="A4428" s="15" t="s">
        <v>34263</v>
      </c>
      <c r="B4428" s="15" t="s">
        <v>34264</v>
      </c>
      <c r="C4428" s="15" t="s">
        <v>34265</v>
      </c>
      <c r="D4428" s="31">
        <v>44147</v>
      </c>
      <c r="E4428" s="15" t="s">
        <v>34266</v>
      </c>
      <c r="F4428" s="87" t="s">
        <v>21871</v>
      </c>
      <c r="G4428" s="45" t="s">
        <v>16541</v>
      </c>
      <c r="H4428" s="55" t="s">
        <v>16542</v>
      </c>
      <c r="I4428" s="15" t="s">
        <v>214</v>
      </c>
    </row>
    <row r="4429" spans="1:9" ht="51.75" customHeight="1" x14ac:dyDescent="0.35">
      <c r="A4429" s="15" t="s">
        <v>34267</v>
      </c>
      <c r="B4429" s="15" t="s">
        <v>34268</v>
      </c>
      <c r="C4429" s="15" t="s">
        <v>34269</v>
      </c>
      <c r="D4429" s="31">
        <v>44147</v>
      </c>
      <c r="E4429" s="15" t="s">
        <v>34270</v>
      </c>
      <c r="F4429" s="87" t="s">
        <v>21871</v>
      </c>
      <c r="G4429" s="45" t="s">
        <v>16541</v>
      </c>
      <c r="H4429" s="55" t="s">
        <v>16542</v>
      </c>
      <c r="I4429" s="15" t="s">
        <v>214</v>
      </c>
    </row>
    <row r="4430" spans="1:9" ht="51.75" customHeight="1" x14ac:dyDescent="0.35">
      <c r="A4430" s="15" t="s">
        <v>34271</v>
      </c>
      <c r="B4430" s="15" t="s">
        <v>34272</v>
      </c>
      <c r="C4430" s="15" t="s">
        <v>34273</v>
      </c>
      <c r="D4430" s="31">
        <v>44147</v>
      </c>
      <c r="E4430" s="15" t="s">
        <v>34274</v>
      </c>
      <c r="F4430" s="87" t="s">
        <v>21871</v>
      </c>
      <c r="G4430" s="45" t="s">
        <v>16541</v>
      </c>
      <c r="H4430" s="55" t="s">
        <v>16542</v>
      </c>
      <c r="I4430" s="15" t="s">
        <v>214</v>
      </c>
    </row>
    <row r="4431" spans="1:9" ht="51.75" customHeight="1" x14ac:dyDescent="0.35">
      <c r="A4431" s="15" t="s">
        <v>34275</v>
      </c>
      <c r="B4431" s="15" t="s">
        <v>34276</v>
      </c>
      <c r="C4431" s="15" t="s">
        <v>33733</v>
      </c>
      <c r="D4431" s="31">
        <v>44147</v>
      </c>
      <c r="E4431" s="15" t="s">
        <v>34277</v>
      </c>
      <c r="F4431" s="87" t="s">
        <v>21871</v>
      </c>
      <c r="G4431" s="45" t="s">
        <v>16541</v>
      </c>
      <c r="H4431" s="55" t="s">
        <v>16542</v>
      </c>
      <c r="I4431" s="15" t="s">
        <v>214</v>
      </c>
    </row>
    <row r="4432" spans="1:9" ht="51.75" customHeight="1" x14ac:dyDescent="0.35">
      <c r="A4432" s="15" t="s">
        <v>34278</v>
      </c>
      <c r="B4432" s="15" t="s">
        <v>34279</v>
      </c>
      <c r="C4432" s="15" t="s">
        <v>34280</v>
      </c>
      <c r="D4432" s="31">
        <v>44147</v>
      </c>
      <c r="E4432" s="15" t="s">
        <v>34281</v>
      </c>
      <c r="F4432" s="87" t="s">
        <v>21871</v>
      </c>
      <c r="G4432" s="45" t="s">
        <v>16541</v>
      </c>
      <c r="H4432" s="55" t="s">
        <v>16542</v>
      </c>
      <c r="I4432" s="15" t="s">
        <v>214</v>
      </c>
    </row>
    <row r="4433" spans="1:9" ht="51.75" customHeight="1" x14ac:dyDescent="0.35">
      <c r="A4433" s="15" t="s">
        <v>34282</v>
      </c>
      <c r="B4433" s="15" t="s">
        <v>34283</v>
      </c>
      <c r="C4433" s="15" t="s">
        <v>34284</v>
      </c>
      <c r="D4433" s="31">
        <v>44147</v>
      </c>
      <c r="E4433" s="15" t="s">
        <v>34285</v>
      </c>
      <c r="F4433" s="87" t="s">
        <v>21871</v>
      </c>
      <c r="G4433" s="45" t="s">
        <v>16541</v>
      </c>
      <c r="H4433" s="55" t="s">
        <v>16542</v>
      </c>
      <c r="I4433" s="15" t="s">
        <v>214</v>
      </c>
    </row>
    <row r="4434" spans="1:9" ht="51.75" customHeight="1" x14ac:dyDescent="0.35">
      <c r="A4434" s="15" t="s">
        <v>34286</v>
      </c>
      <c r="B4434" s="15" t="s">
        <v>34287</v>
      </c>
      <c r="C4434" s="15" t="s">
        <v>34288</v>
      </c>
      <c r="D4434" s="31">
        <v>44147</v>
      </c>
      <c r="E4434" s="15" t="s">
        <v>34289</v>
      </c>
      <c r="F4434" s="87" t="s">
        <v>21871</v>
      </c>
      <c r="G4434" s="45" t="s">
        <v>16541</v>
      </c>
      <c r="H4434" s="55" t="s">
        <v>16542</v>
      </c>
      <c r="I4434" s="15" t="s">
        <v>214</v>
      </c>
    </row>
    <row r="4435" spans="1:9" ht="51.75" customHeight="1" x14ac:dyDescent="0.35">
      <c r="A4435" s="15" t="s">
        <v>34290</v>
      </c>
      <c r="B4435" s="15" t="s">
        <v>34291</v>
      </c>
      <c r="C4435" s="15" t="s">
        <v>34292</v>
      </c>
      <c r="D4435" s="31">
        <v>44147</v>
      </c>
      <c r="E4435" s="15" t="s">
        <v>34293</v>
      </c>
      <c r="F4435" s="87" t="s">
        <v>21871</v>
      </c>
      <c r="G4435" s="45" t="s">
        <v>16541</v>
      </c>
      <c r="H4435" s="55" t="s">
        <v>16542</v>
      </c>
      <c r="I4435" s="15" t="s">
        <v>214</v>
      </c>
    </row>
    <row r="4436" spans="1:9" ht="51.75" customHeight="1" x14ac:dyDescent="0.35">
      <c r="A4436" s="15" t="s">
        <v>34294</v>
      </c>
      <c r="B4436" s="15" t="s">
        <v>34295</v>
      </c>
      <c r="C4436" s="15" t="s">
        <v>34296</v>
      </c>
      <c r="D4436" s="31">
        <v>44147</v>
      </c>
      <c r="E4436" s="15" t="s">
        <v>34297</v>
      </c>
      <c r="F4436" s="87" t="s">
        <v>21871</v>
      </c>
      <c r="G4436" s="45" t="s">
        <v>16541</v>
      </c>
      <c r="H4436" s="55" t="s">
        <v>16542</v>
      </c>
      <c r="I4436" s="15" t="s">
        <v>214</v>
      </c>
    </row>
    <row r="4437" spans="1:9" ht="51.75" customHeight="1" x14ac:dyDescent="0.35">
      <c r="A4437" s="15" t="s">
        <v>26514</v>
      </c>
      <c r="B4437" s="15" t="s">
        <v>34298</v>
      </c>
      <c r="C4437" s="15" t="s">
        <v>34299</v>
      </c>
      <c r="D4437" s="31">
        <v>43979</v>
      </c>
      <c r="E4437" s="15" t="s">
        <v>34300</v>
      </c>
      <c r="F4437" s="87" t="s">
        <v>21871</v>
      </c>
      <c r="G4437" s="45" t="s">
        <v>16699</v>
      </c>
      <c r="H4437" s="55" t="s">
        <v>16700</v>
      </c>
      <c r="I4437" s="15" t="s">
        <v>214</v>
      </c>
    </row>
    <row r="4438" spans="1:9" ht="51.75" customHeight="1" x14ac:dyDescent="0.35">
      <c r="A4438" s="15" t="s">
        <v>22971</v>
      </c>
      <c r="B4438" s="15" t="s">
        <v>34301</v>
      </c>
      <c r="C4438" s="15" t="s">
        <v>34302</v>
      </c>
      <c r="D4438" s="31">
        <v>43979</v>
      </c>
      <c r="E4438" s="15" t="s">
        <v>34303</v>
      </c>
      <c r="F4438" s="87" t="s">
        <v>21871</v>
      </c>
      <c r="G4438" s="45" t="s">
        <v>16699</v>
      </c>
      <c r="H4438" s="55" t="s">
        <v>16700</v>
      </c>
      <c r="I4438" s="15" t="s">
        <v>214</v>
      </c>
    </row>
    <row r="4439" spans="1:9" ht="51.75" customHeight="1" x14ac:dyDescent="0.35">
      <c r="A4439" s="15" t="s">
        <v>34304</v>
      </c>
      <c r="B4439" s="15" t="s">
        <v>34305</v>
      </c>
      <c r="C4439" s="15" t="s">
        <v>34306</v>
      </c>
      <c r="D4439" s="31">
        <v>44153</v>
      </c>
      <c r="E4439" s="15" t="s">
        <v>34307</v>
      </c>
      <c r="F4439" s="87"/>
      <c r="G4439" s="45" t="s">
        <v>17095</v>
      </c>
      <c r="H4439" s="55" t="s">
        <v>17096</v>
      </c>
      <c r="I4439" s="15" t="s">
        <v>214</v>
      </c>
    </row>
    <row r="4440" spans="1:9" ht="51.75" customHeight="1" x14ac:dyDescent="0.35">
      <c r="A4440" s="15" t="s">
        <v>34308</v>
      </c>
      <c r="B4440" s="15" t="s">
        <v>34309</v>
      </c>
      <c r="C4440" s="15" t="s">
        <v>33236</v>
      </c>
      <c r="D4440" s="31">
        <v>44154</v>
      </c>
      <c r="E4440" s="15" t="s">
        <v>34310</v>
      </c>
      <c r="F4440" s="87"/>
      <c r="G4440" s="45" t="s">
        <v>17095</v>
      </c>
      <c r="H4440" s="55" t="s">
        <v>17096</v>
      </c>
      <c r="I4440" s="15" t="s">
        <v>214</v>
      </c>
    </row>
    <row r="4441" spans="1:9" ht="51.75" customHeight="1" x14ac:dyDescent="0.35">
      <c r="A4441" s="15" t="s">
        <v>34311</v>
      </c>
      <c r="B4441" s="15" t="s">
        <v>34312</v>
      </c>
      <c r="C4441" s="15" t="s">
        <v>34313</v>
      </c>
      <c r="D4441" s="31">
        <v>44154</v>
      </c>
      <c r="E4441" s="15" t="s">
        <v>34314</v>
      </c>
      <c r="F4441" s="87"/>
      <c r="G4441" s="45" t="s">
        <v>17095</v>
      </c>
      <c r="H4441" s="55" t="s">
        <v>17096</v>
      </c>
      <c r="I4441" s="15" t="s">
        <v>214</v>
      </c>
    </row>
    <row r="4442" spans="1:9" ht="51.75" customHeight="1" x14ac:dyDescent="0.35">
      <c r="A4442" s="15" t="s">
        <v>34315</v>
      </c>
      <c r="B4442" s="15" t="s">
        <v>34316</v>
      </c>
      <c r="C4442" s="15" t="s">
        <v>33265</v>
      </c>
      <c r="D4442" s="31">
        <v>44154</v>
      </c>
      <c r="E4442" s="15" t="s">
        <v>34317</v>
      </c>
      <c r="F4442" s="87"/>
      <c r="G4442" s="45" t="s">
        <v>17095</v>
      </c>
      <c r="H4442" s="55" t="s">
        <v>17096</v>
      </c>
      <c r="I4442" s="15" t="s">
        <v>214</v>
      </c>
    </row>
    <row r="4443" spans="1:9" ht="51.75" customHeight="1" x14ac:dyDescent="0.35">
      <c r="A4443" s="15" t="s">
        <v>34318</v>
      </c>
      <c r="B4443" s="15" t="s">
        <v>34319</v>
      </c>
      <c r="C4443" s="15" t="s">
        <v>34320</v>
      </c>
      <c r="D4443" s="31">
        <v>44154</v>
      </c>
      <c r="E4443" s="15" t="s">
        <v>34321</v>
      </c>
      <c r="F4443" s="87"/>
      <c r="G4443" s="45" t="s">
        <v>17095</v>
      </c>
      <c r="H4443" s="55" t="s">
        <v>17096</v>
      </c>
      <c r="I4443" s="15" t="s">
        <v>214</v>
      </c>
    </row>
    <row r="4444" spans="1:9" ht="51.75" customHeight="1" x14ac:dyDescent="0.35">
      <c r="A4444" s="15" t="s">
        <v>34322</v>
      </c>
      <c r="B4444" s="15" t="s">
        <v>34323</v>
      </c>
      <c r="C4444" s="15" t="s">
        <v>34324</v>
      </c>
      <c r="D4444" s="31">
        <v>44151</v>
      </c>
      <c r="E4444" s="15" t="s">
        <v>34325</v>
      </c>
      <c r="F4444" s="87"/>
      <c r="G4444" s="45" t="s">
        <v>17257</v>
      </c>
      <c r="H4444" s="55" t="s">
        <v>17258</v>
      </c>
      <c r="I4444" s="15" t="s">
        <v>214</v>
      </c>
    </row>
    <row r="4445" spans="1:9" ht="51.75" customHeight="1" x14ac:dyDescent="0.35">
      <c r="A4445" s="15" t="s">
        <v>34326</v>
      </c>
      <c r="B4445" s="15" t="s">
        <v>34327</v>
      </c>
      <c r="C4445" s="15" t="s">
        <v>34328</v>
      </c>
      <c r="D4445" s="31">
        <v>44151</v>
      </c>
      <c r="E4445" s="15" t="s">
        <v>34329</v>
      </c>
      <c r="F4445" s="87"/>
      <c r="G4445" s="45" t="s">
        <v>17257</v>
      </c>
      <c r="H4445" s="55" t="s">
        <v>17258</v>
      </c>
      <c r="I4445" s="15" t="s">
        <v>214</v>
      </c>
    </row>
    <row r="4446" spans="1:9" ht="51.75" customHeight="1" x14ac:dyDescent="0.35">
      <c r="A4446" s="15" t="s">
        <v>34330</v>
      </c>
      <c r="B4446" s="15" t="s">
        <v>34331</v>
      </c>
      <c r="C4446" s="15" t="s">
        <v>34332</v>
      </c>
      <c r="D4446" s="31">
        <v>44102</v>
      </c>
      <c r="E4446" s="15" t="s">
        <v>34333</v>
      </c>
      <c r="F4446" s="87" t="s">
        <v>21871</v>
      </c>
      <c r="G4446" s="45" t="s">
        <v>17274</v>
      </c>
      <c r="H4446" s="55" t="s">
        <v>17275</v>
      </c>
      <c r="I4446" s="15" t="s">
        <v>214</v>
      </c>
    </row>
    <row r="4447" spans="1:9" ht="51.75" customHeight="1" x14ac:dyDescent="0.35">
      <c r="A4447" s="15" t="s">
        <v>34334</v>
      </c>
      <c r="B4447" s="15" t="s">
        <v>34335</v>
      </c>
      <c r="C4447" s="15" t="s">
        <v>34336</v>
      </c>
      <c r="D4447" s="31">
        <v>44102</v>
      </c>
      <c r="E4447" s="15" t="s">
        <v>34337</v>
      </c>
      <c r="F4447" s="87" t="s">
        <v>21871</v>
      </c>
      <c r="G4447" s="45" t="s">
        <v>17274</v>
      </c>
      <c r="H4447" s="55" t="s">
        <v>17275</v>
      </c>
      <c r="I4447" s="15" t="s">
        <v>214</v>
      </c>
    </row>
    <row r="4448" spans="1:9" ht="51.75" customHeight="1" x14ac:dyDescent="0.35">
      <c r="A4448" s="15" t="s">
        <v>34338</v>
      </c>
      <c r="B4448" s="15" t="s">
        <v>34339</v>
      </c>
      <c r="C4448" s="15" t="s">
        <v>34340</v>
      </c>
      <c r="D4448" s="31">
        <v>44102</v>
      </c>
      <c r="E4448" s="15" t="s">
        <v>34341</v>
      </c>
      <c r="F4448" s="87" t="s">
        <v>21871</v>
      </c>
      <c r="G4448" s="45" t="s">
        <v>17274</v>
      </c>
      <c r="H4448" s="55" t="s">
        <v>17275</v>
      </c>
      <c r="I4448" s="15" t="s">
        <v>214</v>
      </c>
    </row>
    <row r="4449" spans="1:9" ht="51.75" customHeight="1" x14ac:dyDescent="0.35">
      <c r="A4449" s="15" t="s">
        <v>34342</v>
      </c>
      <c r="B4449" s="15" t="s">
        <v>34343</v>
      </c>
      <c r="C4449" s="15" t="s">
        <v>34344</v>
      </c>
      <c r="D4449" s="31">
        <v>44102</v>
      </c>
      <c r="E4449" s="15" t="s">
        <v>34345</v>
      </c>
      <c r="F4449" s="87" t="s">
        <v>21871</v>
      </c>
      <c r="G4449" s="45" t="s">
        <v>17274</v>
      </c>
      <c r="H4449" s="55" t="s">
        <v>17275</v>
      </c>
      <c r="I4449" s="15" t="s">
        <v>214</v>
      </c>
    </row>
    <row r="4450" spans="1:9" ht="51.75" customHeight="1" x14ac:dyDescent="0.35">
      <c r="A4450" s="15" t="s">
        <v>34346</v>
      </c>
      <c r="B4450" s="15" t="s">
        <v>34347</v>
      </c>
      <c r="C4450" s="15" t="s">
        <v>34348</v>
      </c>
      <c r="D4450" s="31">
        <v>44102</v>
      </c>
      <c r="E4450" s="15" t="s">
        <v>34349</v>
      </c>
      <c r="F4450" s="87" t="s">
        <v>21871</v>
      </c>
      <c r="G4450" s="45" t="s">
        <v>17274</v>
      </c>
      <c r="H4450" s="55" t="s">
        <v>17275</v>
      </c>
      <c r="I4450" s="15" t="s">
        <v>214</v>
      </c>
    </row>
    <row r="4451" spans="1:9" ht="51.75" customHeight="1" x14ac:dyDescent="0.35">
      <c r="A4451" s="15" t="s">
        <v>34350</v>
      </c>
      <c r="B4451" s="15" t="s">
        <v>34351</v>
      </c>
      <c r="C4451" s="15" t="s">
        <v>34352</v>
      </c>
      <c r="D4451" s="31">
        <v>44154</v>
      </c>
      <c r="E4451" s="15" t="s">
        <v>34353</v>
      </c>
      <c r="F4451" s="87" t="s">
        <v>21871</v>
      </c>
      <c r="G4451" s="45" t="s">
        <v>17578</v>
      </c>
      <c r="H4451" s="55" t="s">
        <v>17579</v>
      </c>
      <c r="I4451" s="15" t="s">
        <v>214</v>
      </c>
    </row>
    <row r="4452" spans="1:9" ht="51.75" customHeight="1" x14ac:dyDescent="0.35">
      <c r="A4452" s="15" t="s">
        <v>34354</v>
      </c>
      <c r="B4452" s="15" t="s">
        <v>34355</v>
      </c>
      <c r="C4452" s="15" t="s">
        <v>34356</v>
      </c>
      <c r="D4452" s="31">
        <v>44144</v>
      </c>
      <c r="E4452" s="15" t="s">
        <v>34357</v>
      </c>
      <c r="F4452" s="87" t="s">
        <v>21871</v>
      </c>
      <c r="G4452" s="45" t="s">
        <v>17584</v>
      </c>
      <c r="H4452" s="55" t="s">
        <v>17585</v>
      </c>
      <c r="I4452" s="15" t="s">
        <v>214</v>
      </c>
    </row>
    <row r="4453" spans="1:9" ht="51.75" customHeight="1" x14ac:dyDescent="0.35">
      <c r="A4453" s="15">
        <v>1</v>
      </c>
      <c r="B4453" s="15" t="s">
        <v>34358</v>
      </c>
      <c r="C4453" s="15" t="s">
        <v>34359</v>
      </c>
      <c r="D4453" s="31">
        <v>39693</v>
      </c>
      <c r="E4453" s="15" t="s">
        <v>34359</v>
      </c>
      <c r="F4453" s="87"/>
      <c r="G4453" s="45" t="s">
        <v>1434</v>
      </c>
      <c r="H4453" s="55" t="s">
        <v>1435</v>
      </c>
      <c r="I4453" s="15" t="s">
        <v>404</v>
      </c>
    </row>
    <row r="4454" spans="1:9" ht="51.75" customHeight="1" x14ac:dyDescent="0.35">
      <c r="A4454" s="15">
        <v>2</v>
      </c>
      <c r="B4454" s="15" t="s">
        <v>34360</v>
      </c>
      <c r="C4454" s="15" t="s">
        <v>34361</v>
      </c>
      <c r="D4454" s="31">
        <v>39693</v>
      </c>
      <c r="E4454" s="15" t="s">
        <v>34362</v>
      </c>
      <c r="F4454" s="87"/>
      <c r="G4454" s="45" t="s">
        <v>1434</v>
      </c>
      <c r="H4454" s="55" t="s">
        <v>1435</v>
      </c>
      <c r="I4454" s="15" t="s">
        <v>404</v>
      </c>
    </row>
    <row r="4455" spans="1:9" ht="51.75" customHeight="1" x14ac:dyDescent="0.35">
      <c r="A4455" s="15">
        <v>3</v>
      </c>
      <c r="B4455" s="15" t="s">
        <v>34363</v>
      </c>
      <c r="C4455" s="15" t="s">
        <v>34364</v>
      </c>
      <c r="D4455" s="31">
        <v>39693</v>
      </c>
      <c r="E4455" s="15" t="s">
        <v>34365</v>
      </c>
      <c r="F4455" s="87"/>
      <c r="G4455" s="45" t="s">
        <v>1434</v>
      </c>
      <c r="H4455" s="55" t="s">
        <v>1435</v>
      </c>
      <c r="I4455" s="15" t="s">
        <v>404</v>
      </c>
    </row>
    <row r="4456" spans="1:9" ht="51.75" customHeight="1" x14ac:dyDescent="0.35">
      <c r="A4456" s="15">
        <v>4</v>
      </c>
      <c r="B4456" s="15" t="s">
        <v>34366</v>
      </c>
      <c r="C4456" s="15" t="s">
        <v>34367</v>
      </c>
      <c r="D4456" s="31">
        <v>39693</v>
      </c>
      <c r="E4456" s="15" t="s">
        <v>34368</v>
      </c>
      <c r="F4456" s="87"/>
      <c r="G4456" s="45" t="s">
        <v>1434</v>
      </c>
      <c r="H4456" s="55" t="s">
        <v>1435</v>
      </c>
      <c r="I4456" s="15" t="s">
        <v>404</v>
      </c>
    </row>
    <row r="4457" spans="1:9" ht="51.75" customHeight="1" x14ac:dyDescent="0.35">
      <c r="A4457" s="15">
        <v>5</v>
      </c>
      <c r="B4457" s="15" t="s">
        <v>34369</v>
      </c>
      <c r="C4457" s="15" t="s">
        <v>34370</v>
      </c>
      <c r="D4457" s="31">
        <v>39693</v>
      </c>
      <c r="E4457" s="15" t="s">
        <v>34371</v>
      </c>
      <c r="F4457" s="87"/>
      <c r="G4457" s="45" t="s">
        <v>1434</v>
      </c>
      <c r="H4457" s="55" t="s">
        <v>1435</v>
      </c>
      <c r="I4457" s="15" t="s">
        <v>404</v>
      </c>
    </row>
    <row r="4458" spans="1:9" ht="51.75" customHeight="1" x14ac:dyDescent="0.35">
      <c r="A4458" s="15">
        <v>6</v>
      </c>
      <c r="B4458" s="15" t="s">
        <v>34372</v>
      </c>
      <c r="C4458" s="15" t="s">
        <v>34373</v>
      </c>
      <c r="D4458" s="31">
        <v>39693</v>
      </c>
      <c r="E4458" s="15" t="s">
        <v>34374</v>
      </c>
      <c r="F4458" s="87"/>
      <c r="G4458" s="45" t="s">
        <v>1434</v>
      </c>
      <c r="H4458" s="55" t="s">
        <v>1435</v>
      </c>
      <c r="I4458" s="15" t="s">
        <v>404</v>
      </c>
    </row>
    <row r="4459" spans="1:9" ht="51.75" customHeight="1" x14ac:dyDescent="0.35">
      <c r="A4459" s="15">
        <v>1</v>
      </c>
      <c r="B4459" s="15" t="s">
        <v>34375</v>
      </c>
      <c r="C4459" s="15" t="s">
        <v>34376</v>
      </c>
      <c r="D4459" s="31">
        <v>39136</v>
      </c>
      <c r="E4459" s="15" t="s">
        <v>34377</v>
      </c>
      <c r="F4459" s="87"/>
      <c r="G4459" s="45" t="s">
        <v>1539</v>
      </c>
      <c r="H4459" s="55" t="s">
        <v>1540</v>
      </c>
      <c r="I4459" s="15" t="s">
        <v>404</v>
      </c>
    </row>
    <row r="4460" spans="1:9" ht="51.75" customHeight="1" x14ac:dyDescent="0.35">
      <c r="A4460" s="15">
        <v>2</v>
      </c>
      <c r="B4460" s="15" t="s">
        <v>34378</v>
      </c>
      <c r="C4460" s="15" t="s">
        <v>34379</v>
      </c>
      <c r="D4460" s="31">
        <v>39136</v>
      </c>
      <c r="E4460" s="15" t="s">
        <v>34379</v>
      </c>
      <c r="F4460" s="87"/>
      <c r="G4460" s="45" t="s">
        <v>1539</v>
      </c>
      <c r="H4460" s="55" t="s">
        <v>1540</v>
      </c>
      <c r="I4460" s="15" t="s">
        <v>404</v>
      </c>
    </row>
    <row r="4461" spans="1:9" ht="51.75" customHeight="1" x14ac:dyDescent="0.35">
      <c r="A4461" s="15">
        <v>1</v>
      </c>
      <c r="B4461" s="15" t="s">
        <v>34380</v>
      </c>
      <c r="C4461" s="15" t="s">
        <v>34381</v>
      </c>
      <c r="D4461" s="31">
        <v>39693</v>
      </c>
      <c r="E4461" s="15" t="s">
        <v>34382</v>
      </c>
      <c r="F4461" s="87"/>
      <c r="G4461" s="45" t="s">
        <v>1791</v>
      </c>
      <c r="H4461" s="55" t="s">
        <v>1792</v>
      </c>
      <c r="I4461" s="15" t="s">
        <v>404</v>
      </c>
    </row>
    <row r="4462" spans="1:9" ht="51.75" customHeight="1" x14ac:dyDescent="0.35">
      <c r="A4462" s="15">
        <v>2</v>
      </c>
      <c r="B4462" s="15" t="s">
        <v>34383</v>
      </c>
      <c r="C4462" s="15" t="s">
        <v>34384</v>
      </c>
      <c r="D4462" s="31">
        <v>39693</v>
      </c>
      <c r="E4462" s="15" t="s">
        <v>34385</v>
      </c>
      <c r="F4462" s="87"/>
      <c r="G4462" s="45" t="s">
        <v>1791</v>
      </c>
      <c r="H4462" s="55" t="s">
        <v>1792</v>
      </c>
      <c r="I4462" s="15" t="s">
        <v>404</v>
      </c>
    </row>
    <row r="4463" spans="1:9" ht="51.75" customHeight="1" x14ac:dyDescent="0.35">
      <c r="A4463" s="15">
        <v>1</v>
      </c>
      <c r="B4463" s="15" t="s">
        <v>34386</v>
      </c>
      <c r="C4463" s="15" t="s">
        <v>34387</v>
      </c>
      <c r="D4463" s="31">
        <v>39694</v>
      </c>
      <c r="E4463" s="15" t="s">
        <v>34388</v>
      </c>
      <c r="F4463" s="87"/>
      <c r="G4463" s="45" t="s">
        <v>1966</v>
      </c>
      <c r="H4463" s="55" t="s">
        <v>1967</v>
      </c>
      <c r="I4463" s="15" t="s">
        <v>404</v>
      </c>
    </row>
    <row r="4464" spans="1:9" ht="51.75" customHeight="1" x14ac:dyDescent="0.35">
      <c r="A4464" s="15">
        <v>2</v>
      </c>
      <c r="B4464" s="15" t="s">
        <v>34389</v>
      </c>
      <c r="C4464" s="15" t="s">
        <v>34390</v>
      </c>
      <c r="D4464" s="31">
        <v>39694</v>
      </c>
      <c r="E4464" s="15" t="s">
        <v>34391</v>
      </c>
      <c r="F4464" s="87"/>
      <c r="G4464" s="45" t="s">
        <v>1966</v>
      </c>
      <c r="H4464" s="55" t="s">
        <v>1967</v>
      </c>
      <c r="I4464" s="15" t="s">
        <v>404</v>
      </c>
    </row>
    <row r="4465" spans="1:9" ht="51.75" customHeight="1" x14ac:dyDescent="0.35">
      <c r="A4465" s="15">
        <v>3</v>
      </c>
      <c r="B4465" s="15" t="s">
        <v>34392</v>
      </c>
      <c r="C4465" s="15" t="s">
        <v>34393</v>
      </c>
      <c r="D4465" s="31">
        <v>39694</v>
      </c>
      <c r="E4465" s="15" t="s">
        <v>34394</v>
      </c>
      <c r="F4465" s="87"/>
      <c r="G4465" s="45" t="s">
        <v>1966</v>
      </c>
      <c r="H4465" s="55" t="s">
        <v>1967</v>
      </c>
      <c r="I4465" s="15" t="s">
        <v>404</v>
      </c>
    </row>
    <row r="4466" spans="1:9" ht="51.75" customHeight="1" x14ac:dyDescent="0.35">
      <c r="A4466" s="15">
        <v>1</v>
      </c>
      <c r="B4466" s="15" t="s">
        <v>34395</v>
      </c>
      <c r="C4466" s="15" t="s">
        <v>34396</v>
      </c>
      <c r="D4466" s="31">
        <v>39694</v>
      </c>
      <c r="E4466" s="15" t="s">
        <v>34396</v>
      </c>
      <c r="F4466" s="87"/>
      <c r="G4466" s="45" t="s">
        <v>1932</v>
      </c>
      <c r="H4466" s="55" t="s">
        <v>1933</v>
      </c>
      <c r="I4466" s="15" t="s">
        <v>404</v>
      </c>
    </row>
    <row r="4467" spans="1:9" ht="51.75" customHeight="1" x14ac:dyDescent="0.35">
      <c r="A4467" s="15" t="s">
        <v>24271</v>
      </c>
      <c r="B4467" s="15" t="s">
        <v>34397</v>
      </c>
      <c r="C4467" s="15" t="s">
        <v>21892</v>
      </c>
      <c r="D4467" s="31">
        <v>41278</v>
      </c>
      <c r="E4467" s="15" t="s">
        <v>34398</v>
      </c>
      <c r="F4467" s="87" t="s">
        <v>21871</v>
      </c>
      <c r="G4467" s="45" t="s">
        <v>7477</v>
      </c>
      <c r="H4467" s="55" t="s">
        <v>7478</v>
      </c>
      <c r="I4467" s="15" t="s">
        <v>404</v>
      </c>
    </row>
    <row r="4468" spans="1:9" ht="51.75" customHeight="1" x14ac:dyDescent="0.35">
      <c r="A4468" s="15" t="s">
        <v>24276</v>
      </c>
      <c r="B4468" s="15" t="s">
        <v>34399</v>
      </c>
      <c r="C4468" s="15" t="s">
        <v>21896</v>
      </c>
      <c r="D4468" s="31">
        <v>41278</v>
      </c>
      <c r="E4468" s="15" t="s">
        <v>34400</v>
      </c>
      <c r="F4468" s="87" t="s">
        <v>21871</v>
      </c>
      <c r="G4468" s="45" t="s">
        <v>7477</v>
      </c>
      <c r="H4468" s="55" t="s">
        <v>7478</v>
      </c>
      <c r="I4468" s="15" t="s">
        <v>404</v>
      </c>
    </row>
    <row r="4469" spans="1:9" ht="51.75" customHeight="1" x14ac:dyDescent="0.35">
      <c r="A4469" s="15" t="s">
        <v>24281</v>
      </c>
      <c r="B4469" s="15" t="s">
        <v>34401</v>
      </c>
      <c r="C4469" s="15" t="s">
        <v>24243</v>
      </c>
      <c r="D4469" s="31">
        <v>41278</v>
      </c>
      <c r="E4469" s="15" t="s">
        <v>34398</v>
      </c>
      <c r="F4469" s="87" t="s">
        <v>21871</v>
      </c>
      <c r="G4469" s="45" t="s">
        <v>7477</v>
      </c>
      <c r="H4469" s="55" t="s">
        <v>7478</v>
      </c>
      <c r="I4469" s="15" t="s">
        <v>404</v>
      </c>
    </row>
    <row r="4470" spans="1:9" ht="51.75" customHeight="1" x14ac:dyDescent="0.35">
      <c r="A4470" s="15" t="s">
        <v>24301</v>
      </c>
      <c r="B4470" s="15" t="s">
        <v>34402</v>
      </c>
      <c r="C4470" s="15" t="s">
        <v>24199</v>
      </c>
      <c r="D4470" s="31">
        <v>41278</v>
      </c>
      <c r="E4470" s="15" t="s">
        <v>34403</v>
      </c>
      <c r="F4470" s="87" t="s">
        <v>21871</v>
      </c>
      <c r="G4470" s="45" t="s">
        <v>7477</v>
      </c>
      <c r="H4470" s="55" t="s">
        <v>7478</v>
      </c>
      <c r="I4470" s="15" t="s">
        <v>404</v>
      </c>
    </row>
    <row r="4471" spans="1:9" ht="51.75" customHeight="1" x14ac:dyDescent="0.35">
      <c r="A4471" s="15" t="s">
        <v>32009</v>
      </c>
      <c r="B4471" s="15" t="s">
        <v>34404</v>
      </c>
      <c r="C4471" s="15" t="s">
        <v>21892</v>
      </c>
      <c r="D4471" s="31">
        <v>41703</v>
      </c>
      <c r="E4471" s="15" t="s">
        <v>34405</v>
      </c>
      <c r="F4471" s="87" t="s">
        <v>21871</v>
      </c>
      <c r="G4471" s="45" t="s">
        <v>7519</v>
      </c>
      <c r="H4471" s="55" t="s">
        <v>7520</v>
      </c>
      <c r="I4471" s="15" t="s">
        <v>404</v>
      </c>
    </row>
    <row r="4472" spans="1:9" ht="51.75" customHeight="1" x14ac:dyDescent="0.35">
      <c r="A4472" s="15" t="s">
        <v>23713</v>
      </c>
      <c r="B4472" s="15" t="s">
        <v>34406</v>
      </c>
      <c r="C4472" s="15" t="s">
        <v>21892</v>
      </c>
      <c r="D4472" s="31">
        <v>41435</v>
      </c>
      <c r="E4472" s="15" t="s">
        <v>34407</v>
      </c>
      <c r="F4472" s="87" t="s">
        <v>21871</v>
      </c>
      <c r="G4472" s="45" t="s">
        <v>7134</v>
      </c>
      <c r="H4472" s="55" t="s">
        <v>7135</v>
      </c>
      <c r="I4472" s="15" t="s">
        <v>404</v>
      </c>
    </row>
    <row r="4473" spans="1:9" ht="51.75" customHeight="1" x14ac:dyDescent="0.35">
      <c r="A4473" s="15" t="s">
        <v>22091</v>
      </c>
      <c r="B4473" s="15" t="s">
        <v>34408</v>
      </c>
      <c r="C4473" s="15" t="s">
        <v>21896</v>
      </c>
      <c r="D4473" s="31">
        <v>41435</v>
      </c>
      <c r="E4473" s="15" t="s">
        <v>34409</v>
      </c>
      <c r="F4473" s="87" t="s">
        <v>21871</v>
      </c>
      <c r="G4473" s="45" t="s">
        <v>7134</v>
      </c>
      <c r="H4473" s="55" t="s">
        <v>7135</v>
      </c>
      <c r="I4473" s="15" t="s">
        <v>404</v>
      </c>
    </row>
    <row r="4474" spans="1:9" ht="51.75" customHeight="1" x14ac:dyDescent="0.35">
      <c r="A4474" s="15" t="s">
        <v>25689</v>
      </c>
      <c r="B4474" s="15" t="s">
        <v>34410</v>
      </c>
      <c r="C4474" s="15" t="s">
        <v>24243</v>
      </c>
      <c r="D4474" s="31">
        <v>41435</v>
      </c>
      <c r="E4474" s="15" t="s">
        <v>34411</v>
      </c>
      <c r="F4474" s="87" t="s">
        <v>21871</v>
      </c>
      <c r="G4474" s="45" t="s">
        <v>7134</v>
      </c>
      <c r="H4474" s="55" t="s">
        <v>7135</v>
      </c>
      <c r="I4474" s="15" t="s">
        <v>404</v>
      </c>
    </row>
    <row r="4475" spans="1:9" ht="51.75" customHeight="1" x14ac:dyDescent="0.35">
      <c r="A4475" s="15" t="s">
        <v>25695</v>
      </c>
      <c r="B4475" s="15" t="s">
        <v>34412</v>
      </c>
      <c r="C4475" s="15" t="s">
        <v>24199</v>
      </c>
      <c r="D4475" s="31">
        <v>41435</v>
      </c>
      <c r="E4475" s="15" t="s">
        <v>34413</v>
      </c>
      <c r="F4475" s="87" t="s">
        <v>21871</v>
      </c>
      <c r="G4475" s="45" t="s">
        <v>7134</v>
      </c>
      <c r="H4475" s="55" t="s">
        <v>7135</v>
      </c>
      <c r="I4475" s="15" t="s">
        <v>404</v>
      </c>
    </row>
    <row r="4476" spans="1:9" ht="51.75" customHeight="1" x14ac:dyDescent="0.35">
      <c r="A4476" s="15" t="s">
        <v>33320</v>
      </c>
      <c r="B4476" s="15" t="s">
        <v>34414</v>
      </c>
      <c r="C4476" s="15" t="s">
        <v>24205</v>
      </c>
      <c r="D4476" s="31">
        <v>41435</v>
      </c>
      <c r="E4476" s="15" t="s">
        <v>34415</v>
      </c>
      <c r="F4476" s="87" t="s">
        <v>21871</v>
      </c>
      <c r="G4476" s="45" t="s">
        <v>7134</v>
      </c>
      <c r="H4476" s="55" t="s">
        <v>7135</v>
      </c>
      <c r="I4476" s="15" t="s">
        <v>404</v>
      </c>
    </row>
    <row r="4477" spans="1:9" ht="51.75" customHeight="1" x14ac:dyDescent="0.35">
      <c r="A4477" s="15" t="s">
        <v>29317</v>
      </c>
      <c r="B4477" s="15" t="s">
        <v>34416</v>
      </c>
      <c r="C4477" s="15" t="s">
        <v>24257</v>
      </c>
      <c r="D4477" s="31">
        <v>41435</v>
      </c>
      <c r="E4477" s="15" t="s">
        <v>34417</v>
      </c>
      <c r="F4477" s="87" t="s">
        <v>21871</v>
      </c>
      <c r="G4477" s="45" t="s">
        <v>7134</v>
      </c>
      <c r="H4477" s="55" t="s">
        <v>7135</v>
      </c>
      <c r="I4477" s="15" t="s">
        <v>404</v>
      </c>
    </row>
    <row r="4478" spans="1:9" ht="51.75" customHeight="1" x14ac:dyDescent="0.35">
      <c r="A4478" s="15" t="s">
        <v>23271</v>
      </c>
      <c r="B4478" s="15" t="s">
        <v>34418</v>
      </c>
      <c r="C4478" s="15" t="s">
        <v>21892</v>
      </c>
      <c r="D4478" s="31">
        <v>41276</v>
      </c>
      <c r="E4478" s="15" t="s">
        <v>34419</v>
      </c>
      <c r="F4478" s="87" t="s">
        <v>21871</v>
      </c>
      <c r="G4478" s="45" t="s">
        <v>6377</v>
      </c>
      <c r="H4478" s="55" t="s">
        <v>6378</v>
      </c>
      <c r="I4478" s="15" t="s">
        <v>404</v>
      </c>
    </row>
    <row r="4479" spans="1:9" ht="51.75" customHeight="1" x14ac:dyDescent="0.35">
      <c r="A4479" s="15" t="s">
        <v>23277</v>
      </c>
      <c r="B4479" s="15" t="s">
        <v>34420</v>
      </c>
      <c r="C4479" s="15" t="s">
        <v>21896</v>
      </c>
      <c r="D4479" s="31">
        <v>41276</v>
      </c>
      <c r="E4479" s="15" t="s">
        <v>34421</v>
      </c>
      <c r="F4479" s="87" t="s">
        <v>21871</v>
      </c>
      <c r="G4479" s="45" t="s">
        <v>6377</v>
      </c>
      <c r="H4479" s="55" t="s">
        <v>6378</v>
      </c>
      <c r="I4479" s="15" t="s">
        <v>404</v>
      </c>
    </row>
    <row r="4480" spans="1:9" ht="51.75" customHeight="1" x14ac:dyDescent="0.35">
      <c r="A4480" s="15" t="s">
        <v>23283</v>
      </c>
      <c r="B4480" s="15" t="s">
        <v>34422</v>
      </c>
      <c r="C4480" s="15" t="s">
        <v>24243</v>
      </c>
      <c r="D4480" s="31">
        <v>41276</v>
      </c>
      <c r="E4480" s="15" t="s">
        <v>34423</v>
      </c>
      <c r="F4480" s="87" t="s">
        <v>21871</v>
      </c>
      <c r="G4480" s="45" t="s">
        <v>6377</v>
      </c>
      <c r="H4480" s="55" t="s">
        <v>6378</v>
      </c>
      <c r="I4480" s="15" t="s">
        <v>404</v>
      </c>
    </row>
    <row r="4481" spans="1:9" ht="51.75" customHeight="1" x14ac:dyDescent="0.35">
      <c r="A4481" s="15" t="s">
        <v>23240</v>
      </c>
      <c r="B4481" s="15" t="s">
        <v>34424</v>
      </c>
      <c r="C4481" s="15" t="s">
        <v>24199</v>
      </c>
      <c r="D4481" s="31">
        <v>41276</v>
      </c>
      <c r="E4481" s="15" t="s">
        <v>34425</v>
      </c>
      <c r="F4481" s="87" t="s">
        <v>21871</v>
      </c>
      <c r="G4481" s="45" t="s">
        <v>6377</v>
      </c>
      <c r="H4481" s="55" t="s">
        <v>6378</v>
      </c>
      <c r="I4481" s="15" t="s">
        <v>404</v>
      </c>
    </row>
    <row r="4482" spans="1:9" ht="51.75" customHeight="1" x14ac:dyDescent="0.35">
      <c r="A4482" s="15" t="s">
        <v>26449</v>
      </c>
      <c r="B4482" s="15" t="s">
        <v>34426</v>
      </c>
      <c r="C4482" s="15" t="s">
        <v>21892</v>
      </c>
      <c r="D4482" s="31">
        <v>41194</v>
      </c>
      <c r="E4482" s="15" t="s">
        <v>34427</v>
      </c>
      <c r="F4482" s="87" t="s">
        <v>21871</v>
      </c>
      <c r="G4482" s="45" t="s">
        <v>7228</v>
      </c>
      <c r="H4482" s="55" t="s">
        <v>7229</v>
      </c>
      <c r="I4482" s="15" t="s">
        <v>404</v>
      </c>
    </row>
    <row r="4483" spans="1:9" ht="51.75" customHeight="1" x14ac:dyDescent="0.35">
      <c r="A4483" s="15" t="s">
        <v>26453</v>
      </c>
      <c r="B4483" s="15" t="s">
        <v>34428</v>
      </c>
      <c r="C4483" s="15" t="s">
        <v>21896</v>
      </c>
      <c r="D4483" s="31">
        <v>41194</v>
      </c>
      <c r="E4483" s="15" t="s">
        <v>34400</v>
      </c>
      <c r="F4483" s="87" t="s">
        <v>21871</v>
      </c>
      <c r="G4483" s="45" t="s">
        <v>7228</v>
      </c>
      <c r="H4483" s="55" t="s">
        <v>7229</v>
      </c>
      <c r="I4483" s="15" t="s">
        <v>404</v>
      </c>
    </row>
    <row r="4484" spans="1:9" ht="51.75" customHeight="1" x14ac:dyDescent="0.35">
      <c r="A4484" s="15" t="s">
        <v>24197</v>
      </c>
      <c r="B4484" s="15" t="s">
        <v>34429</v>
      </c>
      <c r="C4484" s="15" t="s">
        <v>21892</v>
      </c>
      <c r="D4484" s="31">
        <v>41277</v>
      </c>
      <c r="E4484" s="15" t="s">
        <v>34427</v>
      </c>
      <c r="F4484" s="87" t="s">
        <v>21871</v>
      </c>
      <c r="G4484" s="45" t="s">
        <v>7200</v>
      </c>
      <c r="H4484" s="55" t="s">
        <v>7201</v>
      </c>
      <c r="I4484" s="15" t="s">
        <v>404</v>
      </c>
    </row>
    <row r="4485" spans="1:9" ht="51.75" customHeight="1" x14ac:dyDescent="0.35">
      <c r="A4485" s="15" t="s">
        <v>24203</v>
      </c>
      <c r="B4485" s="15" t="s">
        <v>34430</v>
      </c>
      <c r="C4485" s="15" t="s">
        <v>21896</v>
      </c>
      <c r="D4485" s="31">
        <v>41277</v>
      </c>
      <c r="E4485" s="15" t="s">
        <v>34431</v>
      </c>
      <c r="F4485" s="87" t="s">
        <v>21871</v>
      </c>
      <c r="G4485" s="45" t="s">
        <v>7200</v>
      </c>
      <c r="H4485" s="55" t="s">
        <v>7201</v>
      </c>
      <c r="I4485" s="15" t="s">
        <v>404</v>
      </c>
    </row>
    <row r="4486" spans="1:9" ht="51.75" customHeight="1" x14ac:dyDescent="0.35">
      <c r="A4486" s="15" t="s">
        <v>22023</v>
      </c>
      <c r="B4486" s="15" t="s">
        <v>34432</v>
      </c>
      <c r="C4486" s="15" t="s">
        <v>21892</v>
      </c>
      <c r="D4486" s="31">
        <v>41197</v>
      </c>
      <c r="E4486" s="15" t="s">
        <v>34433</v>
      </c>
      <c r="F4486" s="87" t="s">
        <v>21871</v>
      </c>
      <c r="G4486" s="45" t="s">
        <v>7183</v>
      </c>
      <c r="H4486" s="55" t="s">
        <v>7184</v>
      </c>
      <c r="I4486" s="15" t="s">
        <v>404</v>
      </c>
    </row>
    <row r="4487" spans="1:9" ht="51.75" customHeight="1" x14ac:dyDescent="0.35">
      <c r="A4487" s="15" t="s">
        <v>24546</v>
      </c>
      <c r="B4487" s="15" t="s">
        <v>34434</v>
      </c>
      <c r="C4487" s="15" t="s">
        <v>21892</v>
      </c>
      <c r="D4487" s="31">
        <v>41277</v>
      </c>
      <c r="E4487" s="15" t="s">
        <v>34427</v>
      </c>
      <c r="F4487" s="87" t="s">
        <v>21871</v>
      </c>
      <c r="G4487" s="45" t="s">
        <v>6993</v>
      </c>
      <c r="H4487" s="55" t="s">
        <v>6994</v>
      </c>
      <c r="I4487" s="15" t="s">
        <v>404</v>
      </c>
    </row>
    <row r="4488" spans="1:9" ht="51.75" customHeight="1" x14ac:dyDescent="0.35">
      <c r="A4488" s="15" t="s">
        <v>24551</v>
      </c>
      <c r="B4488" s="15" t="s">
        <v>34435</v>
      </c>
      <c r="C4488" s="15" t="s">
        <v>21896</v>
      </c>
      <c r="D4488" s="31">
        <v>41277</v>
      </c>
      <c r="E4488" s="15" t="s">
        <v>34400</v>
      </c>
      <c r="F4488" s="87" t="s">
        <v>21871</v>
      </c>
      <c r="G4488" s="45" t="s">
        <v>6993</v>
      </c>
      <c r="H4488" s="55" t="s">
        <v>6994</v>
      </c>
      <c r="I4488" s="15" t="s">
        <v>404</v>
      </c>
    </row>
    <row r="4489" spans="1:9" ht="51.75" customHeight="1" x14ac:dyDescent="0.35">
      <c r="A4489" s="15" t="s">
        <v>26600</v>
      </c>
      <c r="B4489" s="15" t="s">
        <v>34436</v>
      </c>
      <c r="C4489" s="15" t="s">
        <v>21892</v>
      </c>
      <c r="D4489" s="31">
        <v>41198</v>
      </c>
      <c r="E4489" s="15" t="s">
        <v>34437</v>
      </c>
      <c r="F4489" s="87" t="s">
        <v>21871</v>
      </c>
      <c r="G4489" s="45" t="s">
        <v>7008</v>
      </c>
      <c r="H4489" s="55" t="s">
        <v>7009</v>
      </c>
      <c r="I4489" s="15" t="s">
        <v>404</v>
      </c>
    </row>
    <row r="4490" spans="1:9" ht="51.75" customHeight="1" x14ac:dyDescent="0.35">
      <c r="A4490" s="15" t="s">
        <v>26603</v>
      </c>
      <c r="B4490" s="15" t="s">
        <v>34438</v>
      </c>
      <c r="C4490" s="15" t="s">
        <v>21896</v>
      </c>
      <c r="D4490" s="31">
        <v>41198</v>
      </c>
      <c r="E4490" s="15" t="s">
        <v>34439</v>
      </c>
      <c r="F4490" s="87" t="s">
        <v>21871</v>
      </c>
      <c r="G4490" s="45" t="s">
        <v>7008</v>
      </c>
      <c r="H4490" s="55" t="s">
        <v>7009</v>
      </c>
      <c r="I4490" s="15" t="s">
        <v>404</v>
      </c>
    </row>
    <row r="4491" spans="1:9" ht="51.75" customHeight="1" x14ac:dyDescent="0.35">
      <c r="A4491" s="15" t="s">
        <v>26606</v>
      </c>
      <c r="B4491" s="15" t="s">
        <v>34440</v>
      </c>
      <c r="C4491" s="15" t="s">
        <v>24243</v>
      </c>
      <c r="D4491" s="31">
        <v>41198</v>
      </c>
      <c r="E4491" s="15" t="s">
        <v>34441</v>
      </c>
      <c r="F4491" s="87" t="s">
        <v>21871</v>
      </c>
      <c r="G4491" s="45" t="s">
        <v>7008</v>
      </c>
      <c r="H4491" s="55" t="s">
        <v>7009</v>
      </c>
      <c r="I4491" s="15" t="s">
        <v>404</v>
      </c>
    </row>
    <row r="4492" spans="1:9" ht="51.75" customHeight="1" x14ac:dyDescent="0.35">
      <c r="A4492" s="15" t="s">
        <v>23572</v>
      </c>
      <c r="B4492" s="15" t="s">
        <v>34442</v>
      </c>
      <c r="C4492" s="15" t="s">
        <v>21892</v>
      </c>
      <c r="D4492" s="31">
        <v>41158</v>
      </c>
      <c r="E4492" s="15" t="s">
        <v>34443</v>
      </c>
      <c r="F4492" s="87" t="s">
        <v>21871</v>
      </c>
      <c r="G4492" s="45" t="s">
        <v>6797</v>
      </c>
      <c r="H4492" s="55" t="s">
        <v>6798</v>
      </c>
      <c r="I4492" s="15" t="s">
        <v>404</v>
      </c>
    </row>
    <row r="4493" spans="1:9" ht="51.75" customHeight="1" x14ac:dyDescent="0.35">
      <c r="A4493" s="15" t="s">
        <v>23575</v>
      </c>
      <c r="B4493" s="15" t="s">
        <v>34444</v>
      </c>
      <c r="C4493" s="15" t="s">
        <v>21896</v>
      </c>
      <c r="D4493" s="31">
        <v>41158</v>
      </c>
      <c r="E4493" s="15" t="s">
        <v>34445</v>
      </c>
      <c r="F4493" s="87" t="s">
        <v>21871</v>
      </c>
      <c r="G4493" s="45" t="s">
        <v>6797</v>
      </c>
      <c r="H4493" s="55" t="s">
        <v>6798</v>
      </c>
      <c r="I4493" s="15" t="s">
        <v>404</v>
      </c>
    </row>
    <row r="4494" spans="1:9" ht="51.75" customHeight="1" x14ac:dyDescent="0.35">
      <c r="A4494" s="15" t="s">
        <v>23578</v>
      </c>
      <c r="B4494" s="15" t="s">
        <v>34446</v>
      </c>
      <c r="C4494" s="15" t="s">
        <v>24243</v>
      </c>
      <c r="D4494" s="31">
        <v>41158</v>
      </c>
      <c r="E4494" s="15" t="s">
        <v>34447</v>
      </c>
      <c r="F4494" s="87" t="s">
        <v>21871</v>
      </c>
      <c r="G4494" s="45" t="s">
        <v>6797</v>
      </c>
      <c r="H4494" s="55" t="s">
        <v>6798</v>
      </c>
      <c r="I4494" s="15" t="s">
        <v>404</v>
      </c>
    </row>
    <row r="4495" spans="1:9" ht="51.75" customHeight="1" x14ac:dyDescent="0.35">
      <c r="A4495" s="15" t="s">
        <v>25723</v>
      </c>
      <c r="B4495" s="15" t="s">
        <v>34448</v>
      </c>
      <c r="C4495" s="15" t="s">
        <v>21892</v>
      </c>
      <c r="D4495" s="31">
        <v>41198</v>
      </c>
      <c r="E4495" s="15" t="s">
        <v>34449</v>
      </c>
      <c r="F4495" s="87" t="s">
        <v>21871</v>
      </c>
      <c r="G4495" s="45" t="s">
        <v>6849</v>
      </c>
      <c r="H4495" s="55" t="s">
        <v>6850</v>
      </c>
      <c r="I4495" s="15" t="s">
        <v>404</v>
      </c>
    </row>
    <row r="4496" spans="1:9" ht="51.75" customHeight="1" x14ac:dyDescent="0.35">
      <c r="A4496" s="15" t="s">
        <v>26621</v>
      </c>
      <c r="B4496" s="15" t="s">
        <v>34450</v>
      </c>
      <c r="C4496" s="15" t="s">
        <v>21896</v>
      </c>
      <c r="D4496" s="31">
        <v>41198</v>
      </c>
      <c r="E4496" s="15" t="s">
        <v>34451</v>
      </c>
      <c r="F4496" s="87" t="s">
        <v>21871</v>
      </c>
      <c r="G4496" s="45" t="s">
        <v>6849</v>
      </c>
      <c r="H4496" s="55" t="s">
        <v>6850</v>
      </c>
      <c r="I4496" s="15" t="s">
        <v>404</v>
      </c>
    </row>
    <row r="4497" spans="1:9" ht="51.75" customHeight="1" x14ac:dyDescent="0.35">
      <c r="A4497" s="15" t="s">
        <v>25314</v>
      </c>
      <c r="B4497" s="15" t="s">
        <v>34452</v>
      </c>
      <c r="C4497" s="15" t="s">
        <v>34453</v>
      </c>
      <c r="D4497" s="31">
        <v>41085</v>
      </c>
      <c r="E4497" s="15" t="s">
        <v>34454</v>
      </c>
      <c r="F4497" s="87" t="s">
        <v>21871</v>
      </c>
      <c r="G4497" s="45" t="s">
        <v>6826</v>
      </c>
      <c r="H4497" s="55" t="s">
        <v>6827</v>
      </c>
      <c r="I4497" s="15" t="s">
        <v>404</v>
      </c>
    </row>
    <row r="4498" spans="1:9" ht="51.75" customHeight="1" x14ac:dyDescent="0.35">
      <c r="A4498" s="15" t="s">
        <v>25320</v>
      </c>
      <c r="B4498" s="15" t="s">
        <v>34455</v>
      </c>
      <c r="C4498" s="15" t="s">
        <v>34456</v>
      </c>
      <c r="D4498" s="31">
        <v>41085</v>
      </c>
      <c r="E4498" s="15" t="s">
        <v>34457</v>
      </c>
      <c r="F4498" s="87" t="s">
        <v>21871</v>
      </c>
      <c r="G4498" s="45" t="s">
        <v>6826</v>
      </c>
      <c r="H4498" s="55" t="s">
        <v>6827</v>
      </c>
      <c r="I4498" s="15" t="s">
        <v>404</v>
      </c>
    </row>
    <row r="4499" spans="1:9" ht="51.75" customHeight="1" x14ac:dyDescent="0.35">
      <c r="A4499" s="15" t="s">
        <v>25325</v>
      </c>
      <c r="B4499" s="15" t="s">
        <v>34458</v>
      </c>
      <c r="C4499" s="15" t="s">
        <v>34459</v>
      </c>
      <c r="D4499" s="31">
        <v>41085</v>
      </c>
      <c r="E4499" s="15" t="s">
        <v>34460</v>
      </c>
      <c r="F4499" s="87" t="s">
        <v>21871</v>
      </c>
      <c r="G4499" s="45" t="s">
        <v>6826</v>
      </c>
      <c r="H4499" s="55" t="s">
        <v>6827</v>
      </c>
      <c r="I4499" s="15" t="s">
        <v>404</v>
      </c>
    </row>
    <row r="4500" spans="1:9" ht="51.75" customHeight="1" x14ac:dyDescent="0.35">
      <c r="A4500" s="15" t="s">
        <v>25331</v>
      </c>
      <c r="B4500" s="15" t="s">
        <v>34461</v>
      </c>
      <c r="C4500" s="15" t="s">
        <v>34462</v>
      </c>
      <c r="D4500" s="31">
        <v>41085</v>
      </c>
      <c r="E4500" s="15" t="s">
        <v>34463</v>
      </c>
      <c r="F4500" s="87" t="s">
        <v>21871</v>
      </c>
      <c r="G4500" s="45" t="s">
        <v>6826</v>
      </c>
      <c r="H4500" s="55" t="s">
        <v>6827</v>
      </c>
      <c r="I4500" s="15" t="s">
        <v>404</v>
      </c>
    </row>
    <row r="4501" spans="1:9" ht="51.75" customHeight="1" x14ac:dyDescent="0.35">
      <c r="A4501" s="15" t="s">
        <v>25337</v>
      </c>
      <c r="B4501" s="15" t="s">
        <v>34464</v>
      </c>
      <c r="C4501" s="15" t="s">
        <v>34465</v>
      </c>
      <c r="D4501" s="31">
        <v>41085</v>
      </c>
      <c r="E4501" s="15" t="s">
        <v>34466</v>
      </c>
      <c r="F4501" s="87" t="s">
        <v>21871</v>
      </c>
      <c r="G4501" s="45" t="s">
        <v>6826</v>
      </c>
      <c r="H4501" s="55" t="s">
        <v>6827</v>
      </c>
      <c r="I4501" s="15" t="s">
        <v>404</v>
      </c>
    </row>
    <row r="4502" spans="1:9" ht="51.75" customHeight="1" x14ac:dyDescent="0.35">
      <c r="A4502" s="15" t="s">
        <v>25343</v>
      </c>
      <c r="B4502" s="15" t="s">
        <v>34467</v>
      </c>
      <c r="C4502" s="15" t="s">
        <v>34468</v>
      </c>
      <c r="D4502" s="31">
        <v>41085</v>
      </c>
      <c r="E4502" s="15" t="s">
        <v>34469</v>
      </c>
      <c r="F4502" s="87" t="s">
        <v>21871</v>
      </c>
      <c r="G4502" s="45" t="s">
        <v>6826</v>
      </c>
      <c r="H4502" s="55" t="s">
        <v>6827</v>
      </c>
      <c r="I4502" s="15" t="s">
        <v>404</v>
      </c>
    </row>
    <row r="4503" spans="1:9" ht="51.75" customHeight="1" x14ac:dyDescent="0.35">
      <c r="A4503" s="15" t="s">
        <v>26591</v>
      </c>
      <c r="B4503" s="15" t="s">
        <v>34470</v>
      </c>
      <c r="C4503" s="15" t="s">
        <v>21892</v>
      </c>
      <c r="D4503" s="31">
        <v>41204</v>
      </c>
      <c r="E4503" s="15" t="s">
        <v>34471</v>
      </c>
      <c r="F4503" s="87" t="s">
        <v>21871</v>
      </c>
      <c r="G4503" s="45" t="s">
        <v>6781</v>
      </c>
      <c r="H4503" s="55" t="s">
        <v>6782</v>
      </c>
      <c r="I4503" s="15" t="s">
        <v>404</v>
      </c>
    </row>
    <row r="4504" spans="1:9" ht="51.75" customHeight="1" x14ac:dyDescent="0.35">
      <c r="A4504" s="15" t="s">
        <v>26594</v>
      </c>
      <c r="B4504" s="15" t="s">
        <v>34472</v>
      </c>
      <c r="C4504" s="15" t="s">
        <v>21896</v>
      </c>
      <c r="D4504" s="31">
        <v>41204</v>
      </c>
      <c r="E4504" s="15" t="s">
        <v>34473</v>
      </c>
      <c r="F4504" s="87" t="s">
        <v>21871</v>
      </c>
      <c r="G4504" s="45" t="s">
        <v>6781</v>
      </c>
      <c r="H4504" s="55" t="s">
        <v>6782</v>
      </c>
      <c r="I4504" s="15" t="s">
        <v>404</v>
      </c>
    </row>
    <row r="4505" spans="1:9" ht="51.75" customHeight="1" x14ac:dyDescent="0.35">
      <c r="A4505" s="15" t="s">
        <v>26597</v>
      </c>
      <c r="B4505" s="15" t="s">
        <v>34474</v>
      </c>
      <c r="C4505" s="15" t="s">
        <v>24243</v>
      </c>
      <c r="D4505" s="31">
        <v>41204</v>
      </c>
      <c r="E4505" s="15" t="s">
        <v>34400</v>
      </c>
      <c r="F4505" s="87" t="s">
        <v>21871</v>
      </c>
      <c r="G4505" s="45" t="s">
        <v>6781</v>
      </c>
      <c r="H4505" s="55" t="s">
        <v>6782</v>
      </c>
      <c r="I4505" s="15" t="s">
        <v>404</v>
      </c>
    </row>
    <row r="4506" spans="1:9" ht="51.75" customHeight="1" x14ac:dyDescent="0.35">
      <c r="A4506" s="15">
        <v>1</v>
      </c>
      <c r="B4506" s="15" t="s">
        <v>34475</v>
      </c>
      <c r="C4506" s="15" t="s">
        <v>34476</v>
      </c>
      <c r="D4506" s="31">
        <v>41057</v>
      </c>
      <c r="E4506" s="15" t="s">
        <v>34477</v>
      </c>
      <c r="F4506" s="87"/>
      <c r="G4506" s="45" t="s">
        <v>6673</v>
      </c>
      <c r="H4506" s="55" t="s">
        <v>6674</v>
      </c>
      <c r="I4506" s="15" t="s">
        <v>404</v>
      </c>
    </row>
    <row r="4507" spans="1:9" ht="51.75" customHeight="1" x14ac:dyDescent="0.35">
      <c r="A4507" s="15">
        <v>2</v>
      </c>
      <c r="B4507" s="15" t="s">
        <v>34478</v>
      </c>
      <c r="C4507" s="15" t="s">
        <v>34479</v>
      </c>
      <c r="D4507" s="31">
        <v>41057</v>
      </c>
      <c r="E4507" s="15" t="s">
        <v>34480</v>
      </c>
      <c r="F4507" s="87"/>
      <c r="G4507" s="45" t="s">
        <v>6673</v>
      </c>
      <c r="H4507" s="55" t="s">
        <v>6674</v>
      </c>
      <c r="I4507" s="15" t="s">
        <v>404</v>
      </c>
    </row>
    <row r="4508" spans="1:9" ht="51.75" customHeight="1" x14ac:dyDescent="0.35">
      <c r="A4508" s="15">
        <v>3</v>
      </c>
      <c r="B4508" s="15" t="s">
        <v>34481</v>
      </c>
      <c r="C4508" s="15" t="s">
        <v>34482</v>
      </c>
      <c r="D4508" s="31">
        <v>41057</v>
      </c>
      <c r="E4508" s="15" t="s">
        <v>34483</v>
      </c>
      <c r="F4508" s="87"/>
      <c r="G4508" s="45" t="s">
        <v>6673</v>
      </c>
      <c r="H4508" s="55" t="s">
        <v>6674</v>
      </c>
      <c r="I4508" s="15" t="s">
        <v>404</v>
      </c>
    </row>
    <row r="4509" spans="1:9" ht="51.75" customHeight="1" x14ac:dyDescent="0.35">
      <c r="A4509" s="15">
        <v>4</v>
      </c>
      <c r="B4509" s="15" t="s">
        <v>34484</v>
      </c>
      <c r="C4509" s="15" t="s">
        <v>34485</v>
      </c>
      <c r="D4509" s="31">
        <v>41057</v>
      </c>
      <c r="E4509" s="15" t="s">
        <v>34486</v>
      </c>
      <c r="F4509" s="87"/>
      <c r="G4509" s="45" t="s">
        <v>6673</v>
      </c>
      <c r="H4509" s="55" t="s">
        <v>6674</v>
      </c>
      <c r="I4509" s="15" t="s">
        <v>404</v>
      </c>
    </row>
    <row r="4510" spans="1:9" ht="51.75" customHeight="1" x14ac:dyDescent="0.35">
      <c r="A4510" s="15">
        <v>1</v>
      </c>
      <c r="B4510" s="15" t="s">
        <v>34487</v>
      </c>
      <c r="C4510" s="15" t="s">
        <v>34488</v>
      </c>
      <c r="D4510" s="31">
        <v>41066</v>
      </c>
      <c r="E4510" s="15" t="s">
        <v>34488</v>
      </c>
      <c r="F4510" s="87"/>
      <c r="G4510" s="45" t="s">
        <v>6699</v>
      </c>
      <c r="H4510" s="55" t="s">
        <v>6700</v>
      </c>
      <c r="I4510" s="15" t="s">
        <v>404</v>
      </c>
    </row>
    <row r="4511" spans="1:9" ht="51.75" customHeight="1" x14ac:dyDescent="0.35">
      <c r="A4511" s="15">
        <v>2</v>
      </c>
      <c r="B4511" s="15" t="s">
        <v>34489</v>
      </c>
      <c r="C4511" s="15" t="s">
        <v>34490</v>
      </c>
      <c r="D4511" s="31">
        <v>41066</v>
      </c>
      <c r="E4511" s="15" t="s">
        <v>34491</v>
      </c>
      <c r="F4511" s="87"/>
      <c r="G4511" s="45" t="s">
        <v>6699</v>
      </c>
      <c r="H4511" s="55" t="s">
        <v>6700</v>
      </c>
      <c r="I4511" s="15" t="s">
        <v>404</v>
      </c>
    </row>
    <row r="4512" spans="1:9" ht="51.75" customHeight="1" x14ac:dyDescent="0.35">
      <c r="A4512" s="15">
        <v>3</v>
      </c>
      <c r="B4512" s="15" t="s">
        <v>34492</v>
      </c>
      <c r="C4512" s="15" t="s">
        <v>34493</v>
      </c>
      <c r="D4512" s="31">
        <v>41066</v>
      </c>
      <c r="E4512" s="15" t="s">
        <v>34494</v>
      </c>
      <c r="F4512" s="87"/>
      <c r="G4512" s="45" t="s">
        <v>6699</v>
      </c>
      <c r="H4512" s="55" t="s">
        <v>6700</v>
      </c>
      <c r="I4512" s="15" t="s">
        <v>404</v>
      </c>
    </row>
    <row r="4513" spans="1:9" ht="51.75" customHeight="1" x14ac:dyDescent="0.35">
      <c r="A4513" s="15">
        <v>4</v>
      </c>
      <c r="B4513" s="15" t="s">
        <v>34495</v>
      </c>
      <c r="C4513" s="15" t="s">
        <v>34496</v>
      </c>
      <c r="D4513" s="31">
        <v>41066</v>
      </c>
      <c r="E4513" s="15" t="s">
        <v>34496</v>
      </c>
      <c r="F4513" s="87"/>
      <c r="G4513" s="45" t="s">
        <v>6699</v>
      </c>
      <c r="H4513" s="55" t="s">
        <v>6700</v>
      </c>
      <c r="I4513" s="15" t="s">
        <v>404</v>
      </c>
    </row>
    <row r="4514" spans="1:9" ht="51.75" customHeight="1" x14ac:dyDescent="0.35">
      <c r="A4514" s="15" t="s">
        <v>26562</v>
      </c>
      <c r="B4514" s="15" t="s">
        <v>34497</v>
      </c>
      <c r="C4514" s="15" t="s">
        <v>21892</v>
      </c>
      <c r="D4514" s="31">
        <v>41458</v>
      </c>
      <c r="E4514" s="15" t="s">
        <v>34498</v>
      </c>
      <c r="F4514" s="87" t="s">
        <v>21871</v>
      </c>
      <c r="G4514" s="45" t="s">
        <v>6527</v>
      </c>
      <c r="H4514" s="55" t="s">
        <v>6528</v>
      </c>
      <c r="I4514" s="15" t="s">
        <v>404</v>
      </c>
    </row>
    <row r="4515" spans="1:9" ht="51.75" customHeight="1" x14ac:dyDescent="0.35">
      <c r="A4515" s="15" t="s">
        <v>25759</v>
      </c>
      <c r="B4515" s="15" t="s">
        <v>34499</v>
      </c>
      <c r="C4515" s="15" t="s">
        <v>21896</v>
      </c>
      <c r="D4515" s="31">
        <v>41458</v>
      </c>
      <c r="E4515" s="15" t="s">
        <v>34500</v>
      </c>
      <c r="F4515" s="87" t="s">
        <v>21871</v>
      </c>
      <c r="G4515" s="45" t="s">
        <v>6527</v>
      </c>
      <c r="H4515" s="55" t="s">
        <v>6528</v>
      </c>
      <c r="I4515" s="15" t="s">
        <v>404</v>
      </c>
    </row>
    <row r="4516" spans="1:9" ht="51.75" customHeight="1" x14ac:dyDescent="0.35">
      <c r="A4516" s="15" t="s">
        <v>23706</v>
      </c>
      <c r="B4516" s="15" t="s">
        <v>34501</v>
      </c>
      <c r="C4516" s="15" t="s">
        <v>24243</v>
      </c>
      <c r="D4516" s="31">
        <v>41458</v>
      </c>
      <c r="E4516" s="15" t="s">
        <v>34502</v>
      </c>
      <c r="F4516" s="87" t="s">
        <v>21871</v>
      </c>
      <c r="G4516" s="45" t="s">
        <v>6527</v>
      </c>
      <c r="H4516" s="55" t="s">
        <v>6528</v>
      </c>
      <c r="I4516" s="15" t="s">
        <v>404</v>
      </c>
    </row>
    <row r="4517" spans="1:9" ht="51.75" customHeight="1" x14ac:dyDescent="0.35">
      <c r="A4517" s="15" t="s">
        <v>23203</v>
      </c>
      <c r="B4517" s="15" t="s">
        <v>34503</v>
      </c>
      <c r="C4517" s="15" t="s">
        <v>21892</v>
      </c>
      <c r="D4517" s="31">
        <v>41208</v>
      </c>
      <c r="E4517" s="15" t="s">
        <v>34504</v>
      </c>
      <c r="F4517" s="87" t="s">
        <v>21871</v>
      </c>
      <c r="G4517" s="45" t="s">
        <v>6511</v>
      </c>
      <c r="H4517" s="55" t="s">
        <v>6512</v>
      </c>
      <c r="I4517" s="15" t="s">
        <v>404</v>
      </c>
    </row>
    <row r="4518" spans="1:9" ht="51.75" customHeight="1" x14ac:dyDescent="0.35">
      <c r="A4518" s="15" t="s">
        <v>24581</v>
      </c>
      <c r="B4518" s="15" t="s">
        <v>34505</v>
      </c>
      <c r="C4518" s="15" t="s">
        <v>21896</v>
      </c>
      <c r="D4518" s="31">
        <v>41208</v>
      </c>
      <c r="E4518" s="15" t="s">
        <v>34400</v>
      </c>
      <c r="F4518" s="87" t="s">
        <v>21871</v>
      </c>
      <c r="G4518" s="45" t="s">
        <v>6511</v>
      </c>
      <c r="H4518" s="55" t="s">
        <v>6512</v>
      </c>
      <c r="I4518" s="15" t="s">
        <v>404</v>
      </c>
    </row>
    <row r="4519" spans="1:9" ht="51.75" customHeight="1" x14ac:dyDescent="0.35">
      <c r="A4519" s="15" t="s">
        <v>24587</v>
      </c>
      <c r="B4519" s="15" t="s">
        <v>34506</v>
      </c>
      <c r="C4519" s="15" t="s">
        <v>24243</v>
      </c>
      <c r="D4519" s="31">
        <v>41208</v>
      </c>
      <c r="E4519" s="15" t="s">
        <v>34507</v>
      </c>
      <c r="F4519" s="87" t="s">
        <v>21871</v>
      </c>
      <c r="G4519" s="45" t="s">
        <v>6511</v>
      </c>
      <c r="H4519" s="55" t="s">
        <v>6512</v>
      </c>
      <c r="I4519" s="15" t="s">
        <v>404</v>
      </c>
    </row>
    <row r="4520" spans="1:9" ht="51.75" customHeight="1" x14ac:dyDescent="0.35">
      <c r="A4520" s="15" t="s">
        <v>24774</v>
      </c>
      <c r="B4520" s="15" t="s">
        <v>34508</v>
      </c>
      <c r="C4520" s="15" t="s">
        <v>21892</v>
      </c>
      <c r="D4520" s="31">
        <v>41277</v>
      </c>
      <c r="E4520" s="15" t="s">
        <v>34509</v>
      </c>
      <c r="F4520" s="87" t="s">
        <v>21871</v>
      </c>
      <c r="G4520" s="45" t="s">
        <v>6494</v>
      </c>
      <c r="H4520" s="55" t="s">
        <v>6495</v>
      </c>
      <c r="I4520" s="15" t="s">
        <v>404</v>
      </c>
    </row>
    <row r="4521" spans="1:9" ht="51.75" customHeight="1" x14ac:dyDescent="0.35">
      <c r="A4521" s="15" t="s">
        <v>24780</v>
      </c>
      <c r="B4521" s="15" t="s">
        <v>34510</v>
      </c>
      <c r="C4521" s="15" t="s">
        <v>21896</v>
      </c>
      <c r="D4521" s="31">
        <v>41277</v>
      </c>
      <c r="E4521" s="15" t="s">
        <v>34400</v>
      </c>
      <c r="F4521" s="87" t="s">
        <v>21871</v>
      </c>
      <c r="G4521" s="45" t="s">
        <v>6494</v>
      </c>
      <c r="H4521" s="55" t="s">
        <v>6495</v>
      </c>
      <c r="I4521" s="15" t="s">
        <v>404</v>
      </c>
    </row>
    <row r="4522" spans="1:9" ht="51.75" customHeight="1" x14ac:dyDescent="0.35">
      <c r="A4522" s="15" t="s">
        <v>24786</v>
      </c>
      <c r="B4522" s="15" t="s">
        <v>34511</v>
      </c>
      <c r="C4522" s="15" t="s">
        <v>24243</v>
      </c>
      <c r="D4522" s="31">
        <v>41277</v>
      </c>
      <c r="E4522" s="15" t="s">
        <v>34512</v>
      </c>
      <c r="F4522" s="87" t="s">
        <v>21871</v>
      </c>
      <c r="G4522" s="45" t="s">
        <v>6494</v>
      </c>
      <c r="H4522" s="55" t="s">
        <v>6495</v>
      </c>
      <c r="I4522" s="15" t="s">
        <v>404</v>
      </c>
    </row>
    <row r="4523" spans="1:9" ht="51.75" customHeight="1" x14ac:dyDescent="0.35">
      <c r="A4523" s="15" t="s">
        <v>25365</v>
      </c>
      <c r="B4523" s="15" t="s">
        <v>34513</v>
      </c>
      <c r="C4523" s="15" t="s">
        <v>21892</v>
      </c>
      <c r="D4523" s="31">
        <v>41155</v>
      </c>
      <c r="E4523" s="15" t="s">
        <v>34514</v>
      </c>
      <c r="F4523" s="87" t="s">
        <v>21871</v>
      </c>
      <c r="G4523" s="45" t="s">
        <v>6426</v>
      </c>
      <c r="H4523" s="55" t="s">
        <v>6427</v>
      </c>
      <c r="I4523" s="15" t="s">
        <v>404</v>
      </c>
    </row>
    <row r="4524" spans="1:9" ht="51.75" customHeight="1" x14ac:dyDescent="0.35">
      <c r="A4524" s="15" t="s">
        <v>25371</v>
      </c>
      <c r="B4524" s="15" t="s">
        <v>34515</v>
      </c>
      <c r="C4524" s="15" t="s">
        <v>21896</v>
      </c>
      <c r="D4524" s="31">
        <v>41155</v>
      </c>
      <c r="E4524" s="15" t="s">
        <v>34457</v>
      </c>
      <c r="F4524" s="87" t="s">
        <v>21871</v>
      </c>
      <c r="G4524" s="45" t="s">
        <v>6426</v>
      </c>
      <c r="H4524" s="55" t="s">
        <v>6427</v>
      </c>
      <c r="I4524" s="15" t="s">
        <v>404</v>
      </c>
    </row>
    <row r="4525" spans="1:9" ht="51.75" customHeight="1" x14ac:dyDescent="0.35">
      <c r="A4525" s="15" t="s">
        <v>23587</v>
      </c>
      <c r="B4525" s="15" t="s">
        <v>34516</v>
      </c>
      <c r="C4525" s="15" t="s">
        <v>24243</v>
      </c>
      <c r="D4525" s="31">
        <v>41155</v>
      </c>
      <c r="E4525" s="15" t="s">
        <v>34460</v>
      </c>
      <c r="F4525" s="87" t="s">
        <v>21871</v>
      </c>
      <c r="G4525" s="45" t="s">
        <v>6426</v>
      </c>
      <c r="H4525" s="55" t="s">
        <v>6427</v>
      </c>
      <c r="I4525" s="15" t="s">
        <v>404</v>
      </c>
    </row>
    <row r="4526" spans="1:9" ht="51.75" customHeight="1" x14ac:dyDescent="0.35">
      <c r="A4526" s="15" t="s">
        <v>25390</v>
      </c>
      <c r="B4526" s="15" t="s">
        <v>34517</v>
      </c>
      <c r="C4526" s="15" t="s">
        <v>24199</v>
      </c>
      <c r="D4526" s="31">
        <v>41155</v>
      </c>
      <c r="E4526" s="15" t="s">
        <v>34463</v>
      </c>
      <c r="F4526" s="87" t="s">
        <v>21871</v>
      </c>
      <c r="G4526" s="45" t="s">
        <v>6426</v>
      </c>
      <c r="H4526" s="55" t="s">
        <v>6427</v>
      </c>
      <c r="I4526" s="15" t="s">
        <v>404</v>
      </c>
    </row>
    <row r="4527" spans="1:9" ht="51.75" customHeight="1" x14ac:dyDescent="0.35">
      <c r="A4527" s="15" t="s">
        <v>25377</v>
      </c>
      <c r="B4527" s="15" t="s">
        <v>34518</v>
      </c>
      <c r="C4527" s="15" t="s">
        <v>24205</v>
      </c>
      <c r="D4527" s="31">
        <v>41155</v>
      </c>
      <c r="E4527" s="15" t="s">
        <v>34466</v>
      </c>
      <c r="F4527" s="87" t="s">
        <v>21871</v>
      </c>
      <c r="G4527" s="45" t="s">
        <v>6426</v>
      </c>
      <c r="H4527" s="55" t="s">
        <v>6427</v>
      </c>
      <c r="I4527" s="15" t="s">
        <v>404</v>
      </c>
    </row>
    <row r="4528" spans="1:9" ht="51.75" customHeight="1" x14ac:dyDescent="0.35">
      <c r="A4528" s="15" t="s">
        <v>25380</v>
      </c>
      <c r="B4528" s="15" t="s">
        <v>34519</v>
      </c>
      <c r="C4528" s="15" t="s">
        <v>24257</v>
      </c>
      <c r="D4528" s="31">
        <v>41155</v>
      </c>
      <c r="E4528" s="15" t="s">
        <v>34469</v>
      </c>
      <c r="F4528" s="87" t="s">
        <v>21871</v>
      </c>
      <c r="G4528" s="45" t="s">
        <v>6426</v>
      </c>
      <c r="H4528" s="55" t="s">
        <v>6427</v>
      </c>
      <c r="I4528" s="15" t="s">
        <v>404</v>
      </c>
    </row>
    <row r="4529" spans="1:9" ht="51.75" customHeight="1" x14ac:dyDescent="0.35">
      <c r="A4529" s="15">
        <v>1</v>
      </c>
      <c r="B4529" s="15" t="s">
        <v>34520</v>
      </c>
      <c r="C4529" s="15" t="s">
        <v>34521</v>
      </c>
      <c r="D4529" s="31">
        <v>41050</v>
      </c>
      <c r="E4529" s="15" t="s">
        <v>34522</v>
      </c>
      <c r="F4529" s="87"/>
      <c r="G4529" s="45" t="s">
        <v>6373</v>
      </c>
      <c r="H4529" s="55" t="s">
        <v>6374</v>
      </c>
      <c r="I4529" s="15" t="s">
        <v>404</v>
      </c>
    </row>
    <row r="4530" spans="1:9" ht="51.75" customHeight="1" x14ac:dyDescent="0.35">
      <c r="A4530" s="15">
        <v>2</v>
      </c>
      <c r="B4530" s="15" t="s">
        <v>34523</v>
      </c>
      <c r="C4530" s="15" t="s">
        <v>34524</v>
      </c>
      <c r="D4530" s="31">
        <v>41050</v>
      </c>
      <c r="E4530" s="15" t="s">
        <v>34525</v>
      </c>
      <c r="F4530" s="87"/>
      <c r="G4530" s="45" t="s">
        <v>6373</v>
      </c>
      <c r="H4530" s="55" t="s">
        <v>6374</v>
      </c>
      <c r="I4530" s="15" t="s">
        <v>404</v>
      </c>
    </row>
    <row r="4531" spans="1:9" ht="51.75" customHeight="1" x14ac:dyDescent="0.35">
      <c r="A4531" s="15" t="s">
        <v>25331</v>
      </c>
      <c r="B4531" s="15" t="s">
        <v>34526</v>
      </c>
      <c r="C4531" s="15" t="s">
        <v>21892</v>
      </c>
      <c r="D4531" s="31">
        <v>41296</v>
      </c>
      <c r="E4531" s="15" t="s">
        <v>34527</v>
      </c>
      <c r="F4531" s="87" t="s">
        <v>21871</v>
      </c>
      <c r="G4531" s="45" t="s">
        <v>6327</v>
      </c>
      <c r="H4531" s="55" t="s">
        <v>6328</v>
      </c>
      <c r="I4531" s="15" t="s">
        <v>404</v>
      </c>
    </row>
    <row r="4532" spans="1:9" ht="51.75" customHeight="1" x14ac:dyDescent="0.35">
      <c r="A4532" s="15" t="s">
        <v>25337</v>
      </c>
      <c r="B4532" s="15" t="s">
        <v>34528</v>
      </c>
      <c r="C4532" s="15" t="s">
        <v>21896</v>
      </c>
      <c r="D4532" s="31">
        <v>41296</v>
      </c>
      <c r="E4532" s="15" t="s">
        <v>34529</v>
      </c>
      <c r="F4532" s="87" t="s">
        <v>21871</v>
      </c>
      <c r="G4532" s="45" t="s">
        <v>6327</v>
      </c>
      <c r="H4532" s="55" t="s">
        <v>6328</v>
      </c>
      <c r="I4532" s="15" t="s">
        <v>404</v>
      </c>
    </row>
    <row r="4533" spans="1:9" ht="51.75" customHeight="1" x14ac:dyDescent="0.35">
      <c r="A4533" s="15" t="s">
        <v>25343</v>
      </c>
      <c r="B4533" s="15" t="s">
        <v>34530</v>
      </c>
      <c r="C4533" s="15" t="s">
        <v>24243</v>
      </c>
      <c r="D4533" s="31">
        <v>41296</v>
      </c>
      <c r="E4533" s="15" t="s">
        <v>34531</v>
      </c>
      <c r="F4533" s="87" t="s">
        <v>21871</v>
      </c>
      <c r="G4533" s="45" t="s">
        <v>6327</v>
      </c>
      <c r="H4533" s="55" t="s">
        <v>6328</v>
      </c>
      <c r="I4533" s="15" t="s">
        <v>404</v>
      </c>
    </row>
    <row r="4534" spans="1:9" ht="51.75" customHeight="1" x14ac:dyDescent="0.35">
      <c r="A4534" s="15" t="s">
        <v>25349</v>
      </c>
      <c r="B4534" s="15" t="s">
        <v>34532</v>
      </c>
      <c r="C4534" s="15" t="s">
        <v>24199</v>
      </c>
      <c r="D4534" s="31">
        <v>41296</v>
      </c>
      <c r="E4534" s="15" t="s">
        <v>34533</v>
      </c>
      <c r="F4534" s="87" t="s">
        <v>21871</v>
      </c>
      <c r="G4534" s="45" t="s">
        <v>6327</v>
      </c>
      <c r="H4534" s="55" t="s">
        <v>6328</v>
      </c>
      <c r="I4534" s="15" t="s">
        <v>404</v>
      </c>
    </row>
    <row r="4535" spans="1:9" ht="51.75" customHeight="1" x14ac:dyDescent="0.35">
      <c r="A4535" s="15" t="s">
        <v>23581</v>
      </c>
      <c r="B4535" s="15" t="s">
        <v>34534</v>
      </c>
      <c r="C4535" s="15" t="s">
        <v>24205</v>
      </c>
      <c r="D4535" s="31">
        <v>41296</v>
      </c>
      <c r="E4535" s="15" t="s">
        <v>34531</v>
      </c>
      <c r="F4535" s="87" t="s">
        <v>21871</v>
      </c>
      <c r="G4535" s="45" t="s">
        <v>6327</v>
      </c>
      <c r="H4535" s="55" t="s">
        <v>6328</v>
      </c>
      <c r="I4535" s="15" t="s">
        <v>404</v>
      </c>
    </row>
    <row r="4536" spans="1:9" ht="51.75" customHeight="1" x14ac:dyDescent="0.35">
      <c r="A4536" s="15" t="s">
        <v>23584</v>
      </c>
      <c r="B4536" s="15" t="s">
        <v>34535</v>
      </c>
      <c r="C4536" s="15" t="s">
        <v>24257</v>
      </c>
      <c r="D4536" s="31">
        <v>41296</v>
      </c>
      <c r="E4536" s="15" t="s">
        <v>34533</v>
      </c>
      <c r="F4536" s="87" t="s">
        <v>21871</v>
      </c>
      <c r="G4536" s="45" t="s">
        <v>6327</v>
      </c>
      <c r="H4536" s="55" t="s">
        <v>6328</v>
      </c>
      <c r="I4536" s="15" t="s">
        <v>404</v>
      </c>
    </row>
    <row r="4537" spans="1:9" ht="51.75" customHeight="1" x14ac:dyDescent="0.35">
      <c r="A4537" s="15">
        <v>1</v>
      </c>
      <c r="B4537" s="15" t="s">
        <v>34536</v>
      </c>
      <c r="C4537" s="15" t="s">
        <v>34537</v>
      </c>
      <c r="D4537" s="31">
        <v>40990</v>
      </c>
      <c r="E4537" s="15" t="s">
        <v>34538</v>
      </c>
      <c r="F4537" s="87"/>
      <c r="G4537" s="45" t="s">
        <v>6266</v>
      </c>
      <c r="H4537" s="55" t="s">
        <v>6267</v>
      </c>
      <c r="I4537" s="15" t="s">
        <v>404</v>
      </c>
    </row>
    <row r="4538" spans="1:9" ht="51.75" customHeight="1" x14ac:dyDescent="0.35">
      <c r="A4538" s="15">
        <v>2</v>
      </c>
      <c r="B4538" s="15" t="s">
        <v>34539</v>
      </c>
      <c r="C4538" s="15" t="s">
        <v>34540</v>
      </c>
      <c r="D4538" s="31">
        <v>40990</v>
      </c>
      <c r="E4538" s="15" t="s">
        <v>34541</v>
      </c>
      <c r="F4538" s="87"/>
      <c r="G4538" s="45" t="s">
        <v>6266</v>
      </c>
      <c r="H4538" s="55" t="s">
        <v>6267</v>
      </c>
      <c r="I4538" s="15" t="s">
        <v>404</v>
      </c>
    </row>
    <row r="4539" spans="1:9" ht="51.75" customHeight="1" x14ac:dyDescent="0.35">
      <c r="A4539" s="15">
        <v>1</v>
      </c>
      <c r="B4539" s="15" t="s">
        <v>34542</v>
      </c>
      <c r="C4539" s="15" t="s">
        <v>34543</v>
      </c>
      <c r="D4539" s="31">
        <v>41029</v>
      </c>
      <c r="E4539" s="15" t="s">
        <v>34544</v>
      </c>
      <c r="F4539" s="87"/>
      <c r="G4539" s="45" t="s">
        <v>6111</v>
      </c>
      <c r="H4539" s="55" t="s">
        <v>6112</v>
      </c>
      <c r="I4539" s="15" t="s">
        <v>404</v>
      </c>
    </row>
    <row r="4540" spans="1:9" ht="51.75" customHeight="1" x14ac:dyDescent="0.35">
      <c r="A4540" s="15">
        <v>2</v>
      </c>
      <c r="B4540" s="15" t="s">
        <v>34545</v>
      </c>
      <c r="C4540" s="15" t="s">
        <v>34546</v>
      </c>
      <c r="D4540" s="31">
        <v>41029</v>
      </c>
      <c r="E4540" s="15" t="s">
        <v>34547</v>
      </c>
      <c r="F4540" s="87"/>
      <c r="G4540" s="45" t="s">
        <v>6111</v>
      </c>
      <c r="H4540" s="55" t="s">
        <v>6112</v>
      </c>
      <c r="I4540" s="15" t="s">
        <v>404</v>
      </c>
    </row>
    <row r="4541" spans="1:9" ht="51.75" customHeight="1" x14ac:dyDescent="0.35">
      <c r="A4541" s="15">
        <v>3</v>
      </c>
      <c r="B4541" s="15" t="s">
        <v>34548</v>
      </c>
      <c r="C4541" s="15" t="s">
        <v>34549</v>
      </c>
      <c r="D4541" s="31">
        <v>41029</v>
      </c>
      <c r="E4541" s="15" t="s">
        <v>34550</v>
      </c>
      <c r="F4541" s="87"/>
      <c r="G4541" s="45" t="s">
        <v>6111</v>
      </c>
      <c r="H4541" s="55" t="s">
        <v>6112</v>
      </c>
      <c r="I4541" s="15" t="s">
        <v>404</v>
      </c>
    </row>
    <row r="4542" spans="1:9" ht="51.75" customHeight="1" x14ac:dyDescent="0.35">
      <c r="A4542" s="15">
        <v>4</v>
      </c>
      <c r="B4542" s="15" t="s">
        <v>34551</v>
      </c>
      <c r="C4542" s="15" t="s">
        <v>34552</v>
      </c>
      <c r="D4542" s="31">
        <v>41029</v>
      </c>
      <c r="E4542" s="15" t="s">
        <v>34553</v>
      </c>
      <c r="F4542" s="87"/>
      <c r="G4542" s="45" t="s">
        <v>6111</v>
      </c>
      <c r="H4542" s="55" t="s">
        <v>6112</v>
      </c>
      <c r="I4542" s="15" t="s">
        <v>404</v>
      </c>
    </row>
    <row r="4543" spans="1:9" ht="51.75" customHeight="1" x14ac:dyDescent="0.35">
      <c r="A4543" s="15">
        <v>5</v>
      </c>
      <c r="B4543" s="15" t="s">
        <v>34554</v>
      </c>
      <c r="C4543" s="15" t="s">
        <v>34555</v>
      </c>
      <c r="D4543" s="31">
        <v>41029</v>
      </c>
      <c r="E4543" s="15" t="s">
        <v>34556</v>
      </c>
      <c r="F4543" s="87"/>
      <c r="G4543" s="45" t="s">
        <v>6111</v>
      </c>
      <c r="H4543" s="55" t="s">
        <v>6112</v>
      </c>
      <c r="I4543" s="15" t="s">
        <v>404</v>
      </c>
    </row>
    <row r="4544" spans="1:9" ht="51.75" customHeight="1" x14ac:dyDescent="0.35">
      <c r="A4544" s="15">
        <v>6</v>
      </c>
      <c r="B4544" s="15" t="s">
        <v>34557</v>
      </c>
      <c r="C4544" s="15" t="s">
        <v>34558</v>
      </c>
      <c r="D4544" s="31">
        <v>41029</v>
      </c>
      <c r="E4544" s="15" t="s">
        <v>34559</v>
      </c>
      <c r="F4544" s="87"/>
      <c r="G4544" s="45" t="s">
        <v>6111</v>
      </c>
      <c r="H4544" s="55" t="s">
        <v>6112</v>
      </c>
      <c r="I4544" s="15" t="s">
        <v>404</v>
      </c>
    </row>
    <row r="4545" spans="1:9" ht="51.75" customHeight="1" x14ac:dyDescent="0.35">
      <c r="A4545" s="15">
        <v>7</v>
      </c>
      <c r="B4545" s="15" t="s">
        <v>34560</v>
      </c>
      <c r="C4545" s="15" t="s">
        <v>34561</v>
      </c>
      <c r="D4545" s="31">
        <v>41029</v>
      </c>
      <c r="E4545" s="15" t="s">
        <v>34562</v>
      </c>
      <c r="F4545" s="87"/>
      <c r="G4545" s="45" t="s">
        <v>6111</v>
      </c>
      <c r="H4545" s="55" t="s">
        <v>6112</v>
      </c>
      <c r="I4545" s="15" t="s">
        <v>404</v>
      </c>
    </row>
    <row r="4546" spans="1:9" ht="51.75" customHeight="1" x14ac:dyDescent="0.35">
      <c r="A4546" s="15">
        <v>8</v>
      </c>
      <c r="B4546" s="15" t="s">
        <v>34563</v>
      </c>
      <c r="C4546" s="15" t="s">
        <v>34564</v>
      </c>
      <c r="D4546" s="31">
        <v>41029</v>
      </c>
      <c r="E4546" s="15" t="s">
        <v>34565</v>
      </c>
      <c r="F4546" s="87"/>
      <c r="G4546" s="45" t="s">
        <v>6111</v>
      </c>
      <c r="H4546" s="55" t="s">
        <v>6112</v>
      </c>
      <c r="I4546" s="15" t="s">
        <v>404</v>
      </c>
    </row>
    <row r="4547" spans="1:9" ht="51.75" customHeight="1" x14ac:dyDescent="0.35">
      <c r="A4547" s="15">
        <v>1</v>
      </c>
      <c r="B4547" s="15" t="s">
        <v>34566</v>
      </c>
      <c r="C4547" s="15" t="s">
        <v>34567</v>
      </c>
      <c r="D4547" s="31">
        <v>40968</v>
      </c>
      <c r="E4547" s="15" t="s">
        <v>34568</v>
      </c>
      <c r="F4547" s="87"/>
      <c r="G4547" s="45" t="s">
        <v>5846</v>
      </c>
      <c r="H4547" s="55" t="s">
        <v>5847</v>
      </c>
      <c r="I4547" s="15" t="s">
        <v>404</v>
      </c>
    </row>
    <row r="4548" spans="1:9" ht="51.75" customHeight="1" x14ac:dyDescent="0.35">
      <c r="A4548" s="15">
        <v>2</v>
      </c>
      <c r="B4548" s="15" t="s">
        <v>34569</v>
      </c>
      <c r="C4548" s="15" t="s">
        <v>34570</v>
      </c>
      <c r="D4548" s="31">
        <v>40968</v>
      </c>
      <c r="E4548" s="15" t="s">
        <v>34571</v>
      </c>
      <c r="F4548" s="87"/>
      <c r="G4548" s="45" t="s">
        <v>5846</v>
      </c>
      <c r="H4548" s="55" t="s">
        <v>5847</v>
      </c>
      <c r="I4548" s="15" t="s">
        <v>404</v>
      </c>
    </row>
    <row r="4549" spans="1:9" ht="51.75" customHeight="1" x14ac:dyDescent="0.35">
      <c r="A4549" s="15">
        <v>3</v>
      </c>
      <c r="B4549" s="15" t="s">
        <v>34572</v>
      </c>
      <c r="C4549" s="15" t="s">
        <v>34573</v>
      </c>
      <c r="D4549" s="31">
        <v>40968</v>
      </c>
      <c r="E4549" s="15" t="s">
        <v>34574</v>
      </c>
      <c r="F4549" s="87"/>
      <c r="G4549" s="45" t="s">
        <v>5846</v>
      </c>
      <c r="H4549" s="55" t="s">
        <v>5847</v>
      </c>
      <c r="I4549" s="15" t="s">
        <v>404</v>
      </c>
    </row>
    <row r="4550" spans="1:9" ht="51.75" customHeight="1" x14ac:dyDescent="0.35">
      <c r="A4550" s="15">
        <v>4</v>
      </c>
      <c r="B4550" s="15" t="s">
        <v>34575</v>
      </c>
      <c r="C4550" s="15" t="s">
        <v>34576</v>
      </c>
      <c r="D4550" s="31">
        <v>40968</v>
      </c>
      <c r="E4550" s="15" t="s">
        <v>34577</v>
      </c>
      <c r="F4550" s="87"/>
      <c r="G4550" s="45" t="s">
        <v>5846</v>
      </c>
      <c r="H4550" s="55" t="s">
        <v>5847</v>
      </c>
      <c r="I4550" s="15" t="s">
        <v>404</v>
      </c>
    </row>
    <row r="4551" spans="1:9" ht="51.75" customHeight="1" x14ac:dyDescent="0.35">
      <c r="A4551" s="15">
        <v>1</v>
      </c>
      <c r="B4551" s="15" t="s">
        <v>34578</v>
      </c>
      <c r="C4551" s="15" t="s">
        <v>34579</v>
      </c>
      <c r="D4551" s="31">
        <v>40898</v>
      </c>
      <c r="E4551" s="15" t="s">
        <v>34580</v>
      </c>
      <c r="F4551" s="87"/>
      <c r="G4551" s="45" t="s">
        <v>5880</v>
      </c>
      <c r="H4551" s="55" t="s">
        <v>5881</v>
      </c>
      <c r="I4551" s="15" t="s">
        <v>404</v>
      </c>
    </row>
    <row r="4552" spans="1:9" ht="51.75" customHeight="1" x14ac:dyDescent="0.35">
      <c r="A4552" s="15">
        <v>2</v>
      </c>
      <c r="B4552" s="15" t="s">
        <v>34581</v>
      </c>
      <c r="C4552" s="15" t="s">
        <v>34582</v>
      </c>
      <c r="D4552" s="31">
        <v>40898</v>
      </c>
      <c r="E4552" s="15" t="s">
        <v>34583</v>
      </c>
      <c r="F4552" s="87"/>
      <c r="G4552" s="45" t="s">
        <v>5880</v>
      </c>
      <c r="H4552" s="55" t="s">
        <v>5881</v>
      </c>
      <c r="I4552" s="15" t="s">
        <v>404</v>
      </c>
    </row>
    <row r="4553" spans="1:9" ht="51.75" customHeight="1" x14ac:dyDescent="0.35">
      <c r="A4553" s="15">
        <v>3</v>
      </c>
      <c r="B4553" s="15" t="s">
        <v>34584</v>
      </c>
      <c r="C4553" s="15" t="s">
        <v>34585</v>
      </c>
      <c r="D4553" s="31">
        <v>40898</v>
      </c>
      <c r="E4553" s="15" t="s">
        <v>34586</v>
      </c>
      <c r="F4553" s="87"/>
      <c r="G4553" s="45" t="s">
        <v>5880</v>
      </c>
      <c r="H4553" s="55" t="s">
        <v>5881</v>
      </c>
      <c r="I4553" s="15" t="s">
        <v>404</v>
      </c>
    </row>
    <row r="4554" spans="1:9" ht="51.75" customHeight="1" x14ac:dyDescent="0.35">
      <c r="A4554" s="15">
        <v>4</v>
      </c>
      <c r="B4554" s="15" t="s">
        <v>34587</v>
      </c>
      <c r="C4554" s="15" t="s">
        <v>34588</v>
      </c>
      <c r="D4554" s="31">
        <v>40898</v>
      </c>
      <c r="E4554" s="15" t="s">
        <v>34589</v>
      </c>
      <c r="F4554" s="87"/>
      <c r="G4554" s="45" t="s">
        <v>5880</v>
      </c>
      <c r="H4554" s="55" t="s">
        <v>5881</v>
      </c>
      <c r="I4554" s="15" t="s">
        <v>404</v>
      </c>
    </row>
    <row r="4555" spans="1:9" ht="51.75" customHeight="1" x14ac:dyDescent="0.35">
      <c r="A4555" s="15">
        <v>5</v>
      </c>
      <c r="B4555" s="15" t="s">
        <v>34590</v>
      </c>
      <c r="C4555" s="15" t="s">
        <v>34591</v>
      </c>
      <c r="D4555" s="31">
        <v>40898</v>
      </c>
      <c r="E4555" s="15" t="s">
        <v>34592</v>
      </c>
      <c r="F4555" s="87"/>
      <c r="G4555" s="45" t="s">
        <v>5880</v>
      </c>
      <c r="H4555" s="55" t="s">
        <v>5881</v>
      </c>
      <c r="I4555" s="15" t="s">
        <v>404</v>
      </c>
    </row>
    <row r="4556" spans="1:9" ht="51.75" customHeight="1" x14ac:dyDescent="0.35">
      <c r="A4556" s="15">
        <v>6</v>
      </c>
      <c r="B4556" s="15" t="s">
        <v>34593</v>
      </c>
      <c r="C4556" s="15" t="s">
        <v>34594</v>
      </c>
      <c r="D4556" s="31">
        <v>40898</v>
      </c>
      <c r="E4556" s="15" t="s">
        <v>34595</v>
      </c>
      <c r="F4556" s="87"/>
      <c r="G4556" s="45" t="s">
        <v>5880</v>
      </c>
      <c r="H4556" s="55" t="s">
        <v>5881</v>
      </c>
      <c r="I4556" s="15" t="s">
        <v>404</v>
      </c>
    </row>
    <row r="4557" spans="1:9" ht="51.75" customHeight="1" x14ac:dyDescent="0.35">
      <c r="A4557" s="15">
        <v>7</v>
      </c>
      <c r="B4557" s="15" t="s">
        <v>34596</v>
      </c>
      <c r="C4557" s="15" t="s">
        <v>34597</v>
      </c>
      <c r="D4557" s="31">
        <v>40898</v>
      </c>
      <c r="E4557" s="15" t="s">
        <v>34598</v>
      </c>
      <c r="F4557" s="87"/>
      <c r="G4557" s="45" t="s">
        <v>5880</v>
      </c>
      <c r="H4557" s="55" t="s">
        <v>5881</v>
      </c>
      <c r="I4557" s="15" t="s">
        <v>404</v>
      </c>
    </row>
    <row r="4558" spans="1:9" ht="51.75" customHeight="1" x14ac:dyDescent="0.35">
      <c r="A4558" s="15">
        <v>1</v>
      </c>
      <c r="B4558" s="15" t="s">
        <v>34599</v>
      </c>
      <c r="C4558" s="15" t="s">
        <v>34600</v>
      </c>
      <c r="D4558" s="31">
        <v>40886</v>
      </c>
      <c r="E4558" s="15" t="s">
        <v>34601</v>
      </c>
      <c r="F4558" s="87"/>
      <c r="G4558" s="45" t="s">
        <v>5952</v>
      </c>
      <c r="H4558" s="55" t="s">
        <v>5953</v>
      </c>
      <c r="I4558" s="15" t="s">
        <v>404</v>
      </c>
    </row>
    <row r="4559" spans="1:9" ht="51.75" customHeight="1" x14ac:dyDescent="0.35">
      <c r="A4559" s="15">
        <v>2</v>
      </c>
      <c r="B4559" s="15" t="s">
        <v>34602</v>
      </c>
      <c r="C4559" s="15" t="s">
        <v>34603</v>
      </c>
      <c r="D4559" s="31">
        <v>40886</v>
      </c>
      <c r="E4559" s="15" t="s">
        <v>34604</v>
      </c>
      <c r="F4559" s="87"/>
      <c r="G4559" s="45" t="s">
        <v>5952</v>
      </c>
      <c r="H4559" s="55" t="s">
        <v>5953</v>
      </c>
      <c r="I4559" s="15" t="s">
        <v>404</v>
      </c>
    </row>
    <row r="4560" spans="1:9" ht="51.75" customHeight="1" x14ac:dyDescent="0.35">
      <c r="A4560" s="15">
        <v>3</v>
      </c>
      <c r="B4560" s="15" t="s">
        <v>34605</v>
      </c>
      <c r="C4560" s="15" t="s">
        <v>34606</v>
      </c>
      <c r="D4560" s="31">
        <v>40886</v>
      </c>
      <c r="E4560" s="15" t="s">
        <v>34607</v>
      </c>
      <c r="F4560" s="87"/>
      <c r="G4560" s="45" t="s">
        <v>5952</v>
      </c>
      <c r="H4560" s="55" t="s">
        <v>5953</v>
      </c>
      <c r="I4560" s="15" t="s">
        <v>404</v>
      </c>
    </row>
    <row r="4561" spans="1:9" ht="51.75" customHeight="1" x14ac:dyDescent="0.35">
      <c r="A4561" s="15">
        <v>1</v>
      </c>
      <c r="B4561" s="15" t="s">
        <v>34608</v>
      </c>
      <c r="C4561" s="15" t="s">
        <v>34609</v>
      </c>
      <c r="D4561" s="31">
        <v>40791</v>
      </c>
      <c r="E4561" s="15" t="s">
        <v>34610</v>
      </c>
      <c r="F4561" s="87"/>
      <c r="G4561" s="45" t="s">
        <v>5712</v>
      </c>
      <c r="H4561" s="55" t="s">
        <v>5713</v>
      </c>
      <c r="I4561" s="15" t="s">
        <v>404</v>
      </c>
    </row>
    <row r="4562" spans="1:9" ht="51.75" customHeight="1" x14ac:dyDescent="0.35">
      <c r="A4562" s="15">
        <v>2</v>
      </c>
      <c r="B4562" s="15" t="s">
        <v>34611</v>
      </c>
      <c r="C4562" s="15" t="s">
        <v>34612</v>
      </c>
      <c r="D4562" s="31">
        <v>40791</v>
      </c>
      <c r="E4562" s="15" t="s">
        <v>34613</v>
      </c>
      <c r="F4562" s="87"/>
      <c r="G4562" s="45" t="s">
        <v>5712</v>
      </c>
      <c r="H4562" s="55" t="s">
        <v>5713</v>
      </c>
      <c r="I4562" s="15" t="s">
        <v>404</v>
      </c>
    </row>
    <row r="4563" spans="1:9" ht="51.75" customHeight="1" x14ac:dyDescent="0.35">
      <c r="A4563" s="15">
        <v>3</v>
      </c>
      <c r="B4563" s="15" t="s">
        <v>34614</v>
      </c>
      <c r="C4563" s="15" t="s">
        <v>34615</v>
      </c>
      <c r="D4563" s="31">
        <v>40791</v>
      </c>
      <c r="E4563" s="15" t="s">
        <v>34616</v>
      </c>
      <c r="F4563" s="87"/>
      <c r="G4563" s="45" t="s">
        <v>5712</v>
      </c>
      <c r="H4563" s="55" t="s">
        <v>5713</v>
      </c>
      <c r="I4563" s="15" t="s">
        <v>404</v>
      </c>
    </row>
    <row r="4564" spans="1:9" ht="51.75" customHeight="1" x14ac:dyDescent="0.35">
      <c r="A4564" s="15">
        <v>4</v>
      </c>
      <c r="B4564" s="15" t="s">
        <v>34617</v>
      </c>
      <c r="C4564" s="15" t="s">
        <v>34618</v>
      </c>
      <c r="D4564" s="31">
        <v>40791</v>
      </c>
      <c r="E4564" s="15" t="s">
        <v>34619</v>
      </c>
      <c r="F4564" s="87"/>
      <c r="G4564" s="45" t="s">
        <v>5712</v>
      </c>
      <c r="H4564" s="55" t="s">
        <v>5713</v>
      </c>
      <c r="I4564" s="15" t="s">
        <v>404</v>
      </c>
    </row>
    <row r="4565" spans="1:9" ht="51.75" customHeight="1" x14ac:dyDescent="0.35">
      <c r="A4565" s="15">
        <v>5</v>
      </c>
      <c r="B4565" s="15" t="s">
        <v>34620</v>
      </c>
      <c r="C4565" s="15" t="s">
        <v>34621</v>
      </c>
      <c r="D4565" s="31">
        <v>40791</v>
      </c>
      <c r="E4565" s="15" t="s">
        <v>34622</v>
      </c>
      <c r="F4565" s="87"/>
      <c r="G4565" s="45" t="s">
        <v>5712</v>
      </c>
      <c r="H4565" s="55" t="s">
        <v>5713</v>
      </c>
      <c r="I4565" s="15" t="s">
        <v>404</v>
      </c>
    </row>
    <row r="4566" spans="1:9" ht="51.75" customHeight="1" x14ac:dyDescent="0.35">
      <c r="A4566" s="15">
        <v>6</v>
      </c>
      <c r="B4566" s="15" t="s">
        <v>34623</v>
      </c>
      <c r="C4566" s="15" t="s">
        <v>34576</v>
      </c>
      <c r="D4566" s="31">
        <v>40791</v>
      </c>
      <c r="E4566" s="15" t="s">
        <v>34624</v>
      </c>
      <c r="F4566" s="87"/>
      <c r="G4566" s="45" t="s">
        <v>5712</v>
      </c>
      <c r="H4566" s="55" t="s">
        <v>5713</v>
      </c>
      <c r="I4566" s="15" t="s">
        <v>404</v>
      </c>
    </row>
    <row r="4567" spans="1:9" ht="51.75" customHeight="1" x14ac:dyDescent="0.35">
      <c r="A4567" s="15">
        <v>7</v>
      </c>
      <c r="B4567" s="15" t="s">
        <v>34625</v>
      </c>
      <c r="C4567" s="15" t="s">
        <v>34626</v>
      </c>
      <c r="D4567" s="31">
        <v>40791</v>
      </c>
      <c r="E4567" s="15" t="s">
        <v>34627</v>
      </c>
      <c r="F4567" s="87"/>
      <c r="G4567" s="45" t="s">
        <v>5712</v>
      </c>
      <c r="H4567" s="55" t="s">
        <v>5713</v>
      </c>
      <c r="I4567" s="15" t="s">
        <v>404</v>
      </c>
    </row>
    <row r="4568" spans="1:9" ht="51.75" customHeight="1" x14ac:dyDescent="0.35">
      <c r="A4568" s="15">
        <v>8</v>
      </c>
      <c r="B4568" s="15" t="s">
        <v>34628</v>
      </c>
      <c r="C4568" s="15" t="s">
        <v>34629</v>
      </c>
      <c r="D4568" s="31">
        <v>40791</v>
      </c>
      <c r="E4568" s="15" t="s">
        <v>34630</v>
      </c>
      <c r="F4568" s="87"/>
      <c r="G4568" s="45" t="s">
        <v>5712</v>
      </c>
      <c r="H4568" s="55" t="s">
        <v>5713</v>
      </c>
      <c r="I4568" s="15" t="s">
        <v>404</v>
      </c>
    </row>
    <row r="4569" spans="1:9" ht="51.75" customHeight="1" x14ac:dyDescent="0.35">
      <c r="A4569" s="15">
        <v>1</v>
      </c>
      <c r="B4569" s="15" t="s">
        <v>34631</v>
      </c>
      <c r="C4569" s="15" t="s">
        <v>34632</v>
      </c>
      <c r="D4569" s="31">
        <v>40850</v>
      </c>
      <c r="E4569" s="15" t="s">
        <v>34633</v>
      </c>
      <c r="F4569" s="87"/>
      <c r="G4569" s="45" t="s">
        <v>5655</v>
      </c>
      <c r="H4569" s="55" t="s">
        <v>5656</v>
      </c>
      <c r="I4569" s="15" t="s">
        <v>404</v>
      </c>
    </row>
    <row r="4570" spans="1:9" ht="51.75" customHeight="1" x14ac:dyDescent="0.35">
      <c r="A4570" s="15">
        <v>2</v>
      </c>
      <c r="B4570" s="15" t="s">
        <v>34634</v>
      </c>
      <c r="C4570" s="15" t="s">
        <v>34635</v>
      </c>
      <c r="D4570" s="31">
        <v>40850</v>
      </c>
      <c r="E4570" s="15" t="s">
        <v>34636</v>
      </c>
      <c r="F4570" s="87"/>
      <c r="G4570" s="45" t="s">
        <v>5655</v>
      </c>
      <c r="H4570" s="55" t="s">
        <v>5656</v>
      </c>
      <c r="I4570" s="15" t="s">
        <v>404</v>
      </c>
    </row>
    <row r="4571" spans="1:9" ht="51.75" customHeight="1" x14ac:dyDescent="0.35">
      <c r="A4571" s="15">
        <v>3</v>
      </c>
      <c r="B4571" s="15" t="s">
        <v>34637</v>
      </c>
      <c r="C4571" s="15" t="s">
        <v>34638</v>
      </c>
      <c r="D4571" s="31">
        <v>40850</v>
      </c>
      <c r="E4571" s="15" t="s">
        <v>34639</v>
      </c>
      <c r="F4571" s="87"/>
      <c r="G4571" s="45" t="s">
        <v>5655</v>
      </c>
      <c r="H4571" s="55" t="s">
        <v>5656</v>
      </c>
      <c r="I4571" s="15" t="s">
        <v>404</v>
      </c>
    </row>
    <row r="4572" spans="1:9" ht="51.75" customHeight="1" x14ac:dyDescent="0.35">
      <c r="A4572" s="15">
        <v>4</v>
      </c>
      <c r="B4572" s="15" t="s">
        <v>34640</v>
      </c>
      <c r="C4572" s="15" t="s">
        <v>34641</v>
      </c>
      <c r="D4572" s="31">
        <v>40850</v>
      </c>
      <c r="E4572" s="15" t="s">
        <v>34642</v>
      </c>
      <c r="F4572" s="87"/>
      <c r="G4572" s="45" t="s">
        <v>5655</v>
      </c>
      <c r="H4572" s="55" t="s">
        <v>5656</v>
      </c>
      <c r="I4572" s="15" t="s">
        <v>404</v>
      </c>
    </row>
    <row r="4573" spans="1:9" ht="51.75" customHeight="1" x14ac:dyDescent="0.35">
      <c r="A4573" s="15">
        <v>1</v>
      </c>
      <c r="B4573" s="15" t="s">
        <v>34643</v>
      </c>
      <c r="C4573" s="15" t="s">
        <v>34644</v>
      </c>
      <c r="D4573" s="31">
        <v>40861</v>
      </c>
      <c r="E4573" s="15" t="s">
        <v>34645</v>
      </c>
      <c r="F4573" s="87"/>
      <c r="G4573" s="45" t="s">
        <v>5608</v>
      </c>
      <c r="H4573" s="55" t="s">
        <v>5609</v>
      </c>
      <c r="I4573" s="15" t="s">
        <v>404</v>
      </c>
    </row>
    <row r="4574" spans="1:9" ht="51.75" customHeight="1" x14ac:dyDescent="0.35">
      <c r="A4574" s="15">
        <v>2</v>
      </c>
      <c r="B4574" s="15" t="s">
        <v>34646</v>
      </c>
      <c r="C4574" s="15" t="s">
        <v>34647</v>
      </c>
      <c r="D4574" s="31">
        <v>40861</v>
      </c>
      <c r="E4574" s="15" t="s">
        <v>34648</v>
      </c>
      <c r="F4574" s="87"/>
      <c r="G4574" s="45" t="s">
        <v>5608</v>
      </c>
      <c r="H4574" s="55" t="s">
        <v>5609</v>
      </c>
      <c r="I4574" s="15" t="s">
        <v>404</v>
      </c>
    </row>
    <row r="4575" spans="1:9" ht="51.75" customHeight="1" x14ac:dyDescent="0.35">
      <c r="A4575" s="15">
        <v>3</v>
      </c>
      <c r="B4575" s="15" t="s">
        <v>34649</v>
      </c>
      <c r="C4575" s="15" t="s">
        <v>34650</v>
      </c>
      <c r="D4575" s="31">
        <v>40861</v>
      </c>
      <c r="E4575" s="15" t="s">
        <v>34651</v>
      </c>
      <c r="F4575" s="87"/>
      <c r="G4575" s="45" t="s">
        <v>5608</v>
      </c>
      <c r="H4575" s="55" t="s">
        <v>5609</v>
      </c>
      <c r="I4575" s="15" t="s">
        <v>404</v>
      </c>
    </row>
    <row r="4576" spans="1:9" ht="51.75" customHeight="1" x14ac:dyDescent="0.35">
      <c r="A4576" s="15">
        <v>4</v>
      </c>
      <c r="B4576" s="15" t="s">
        <v>34652</v>
      </c>
      <c r="C4576" s="15" t="s">
        <v>34653</v>
      </c>
      <c r="D4576" s="31">
        <v>40861</v>
      </c>
      <c r="E4576" s="15" t="s">
        <v>34654</v>
      </c>
      <c r="F4576" s="87"/>
      <c r="G4576" s="45" t="s">
        <v>5608</v>
      </c>
      <c r="H4576" s="55" t="s">
        <v>5609</v>
      </c>
      <c r="I4576" s="15" t="s">
        <v>404</v>
      </c>
    </row>
    <row r="4577" spans="1:9" ht="51.75" customHeight="1" x14ac:dyDescent="0.35">
      <c r="A4577" s="15">
        <v>5</v>
      </c>
      <c r="B4577" s="15" t="s">
        <v>34655</v>
      </c>
      <c r="C4577" s="15" t="s">
        <v>34656</v>
      </c>
      <c r="D4577" s="31">
        <v>40861</v>
      </c>
      <c r="E4577" s="15" t="s">
        <v>34657</v>
      </c>
      <c r="F4577" s="87"/>
      <c r="G4577" s="45" t="s">
        <v>5608</v>
      </c>
      <c r="H4577" s="55" t="s">
        <v>5609</v>
      </c>
      <c r="I4577" s="15" t="s">
        <v>404</v>
      </c>
    </row>
    <row r="4578" spans="1:9" ht="51.75" customHeight="1" x14ac:dyDescent="0.35">
      <c r="A4578" s="15">
        <v>1</v>
      </c>
      <c r="B4578" s="15" t="s">
        <v>34658</v>
      </c>
      <c r="C4578" s="15" t="s">
        <v>34659</v>
      </c>
      <c r="D4578" s="31">
        <v>40778</v>
      </c>
      <c r="E4578" s="15" t="s">
        <v>34660</v>
      </c>
      <c r="F4578" s="87"/>
      <c r="G4578" s="45" t="s">
        <v>4750</v>
      </c>
      <c r="H4578" s="55" t="s">
        <v>4751</v>
      </c>
      <c r="I4578" s="15" t="s">
        <v>404</v>
      </c>
    </row>
    <row r="4579" spans="1:9" ht="51.75" customHeight="1" x14ac:dyDescent="0.35">
      <c r="A4579" s="15">
        <v>2</v>
      </c>
      <c r="B4579" s="15" t="s">
        <v>34661</v>
      </c>
      <c r="C4579" s="15" t="s">
        <v>34662</v>
      </c>
      <c r="D4579" s="31">
        <v>40778</v>
      </c>
      <c r="E4579" s="15" t="s">
        <v>34663</v>
      </c>
      <c r="F4579" s="87"/>
      <c r="G4579" s="45" t="s">
        <v>4750</v>
      </c>
      <c r="H4579" s="55" t="s">
        <v>4751</v>
      </c>
      <c r="I4579" s="15" t="s">
        <v>404</v>
      </c>
    </row>
    <row r="4580" spans="1:9" ht="51.75" customHeight="1" x14ac:dyDescent="0.35">
      <c r="A4580" s="15">
        <v>1</v>
      </c>
      <c r="B4580" s="15" t="s">
        <v>34664</v>
      </c>
      <c r="C4580" s="15" t="s">
        <v>34615</v>
      </c>
      <c r="D4580" s="31">
        <v>40785</v>
      </c>
      <c r="E4580" s="15" t="s">
        <v>34616</v>
      </c>
      <c r="F4580" s="87"/>
      <c r="G4580" s="45" t="s">
        <v>5564</v>
      </c>
      <c r="H4580" s="55" t="s">
        <v>5565</v>
      </c>
      <c r="I4580" s="15" t="s">
        <v>404</v>
      </c>
    </row>
    <row r="4581" spans="1:9" ht="51.75" customHeight="1" x14ac:dyDescent="0.35">
      <c r="A4581" s="15">
        <v>2</v>
      </c>
      <c r="B4581" s="15" t="s">
        <v>34665</v>
      </c>
      <c r="C4581" s="15" t="s">
        <v>34621</v>
      </c>
      <c r="D4581" s="31">
        <v>40785</v>
      </c>
      <c r="E4581" s="15" t="s">
        <v>34622</v>
      </c>
      <c r="F4581" s="87"/>
      <c r="G4581" s="45" t="s">
        <v>5564</v>
      </c>
      <c r="H4581" s="55" t="s">
        <v>5565</v>
      </c>
      <c r="I4581" s="15" t="s">
        <v>404</v>
      </c>
    </row>
    <row r="4582" spans="1:9" ht="51.75" customHeight="1" x14ac:dyDescent="0.35">
      <c r="A4582" s="15">
        <v>3</v>
      </c>
      <c r="B4582" s="15" t="s">
        <v>34666</v>
      </c>
      <c r="C4582" s="15" t="s">
        <v>34626</v>
      </c>
      <c r="D4582" s="31">
        <v>40785</v>
      </c>
      <c r="E4582" s="15" t="s">
        <v>34627</v>
      </c>
      <c r="F4582" s="87"/>
      <c r="G4582" s="45" t="s">
        <v>5564</v>
      </c>
      <c r="H4582" s="55" t="s">
        <v>5565</v>
      </c>
      <c r="I4582" s="15" t="s">
        <v>404</v>
      </c>
    </row>
    <row r="4583" spans="1:9" ht="51.75" customHeight="1" x14ac:dyDescent="0.35">
      <c r="A4583" s="15">
        <v>4</v>
      </c>
      <c r="B4583" s="15" t="s">
        <v>34667</v>
      </c>
      <c r="C4583" s="15" t="s">
        <v>34629</v>
      </c>
      <c r="D4583" s="31">
        <v>40785</v>
      </c>
      <c r="E4583" s="15" t="s">
        <v>34630</v>
      </c>
      <c r="F4583" s="87"/>
      <c r="G4583" s="45" t="s">
        <v>5564</v>
      </c>
      <c r="H4583" s="55" t="s">
        <v>5565</v>
      </c>
      <c r="I4583" s="15" t="s">
        <v>404</v>
      </c>
    </row>
    <row r="4584" spans="1:9" ht="51.75" customHeight="1" x14ac:dyDescent="0.35">
      <c r="A4584" s="15">
        <v>1</v>
      </c>
      <c r="B4584" s="15" t="s">
        <v>34668</v>
      </c>
      <c r="C4584" s="15" t="s">
        <v>34669</v>
      </c>
      <c r="D4584" s="31">
        <v>40742</v>
      </c>
      <c r="E4584" s="15" t="s">
        <v>34670</v>
      </c>
      <c r="F4584" s="87"/>
      <c r="G4584" s="45" t="s">
        <v>5515</v>
      </c>
      <c r="H4584" s="55" t="s">
        <v>5516</v>
      </c>
      <c r="I4584" s="15" t="s">
        <v>404</v>
      </c>
    </row>
    <row r="4585" spans="1:9" ht="51.75" customHeight="1" x14ac:dyDescent="0.35">
      <c r="A4585" s="15">
        <v>2</v>
      </c>
      <c r="B4585" s="15" t="s">
        <v>34671</v>
      </c>
      <c r="C4585" s="15" t="s">
        <v>34672</v>
      </c>
      <c r="D4585" s="31">
        <v>40742</v>
      </c>
      <c r="E4585" s="15" t="s">
        <v>34673</v>
      </c>
      <c r="F4585" s="87"/>
      <c r="G4585" s="45" t="s">
        <v>5515</v>
      </c>
      <c r="H4585" s="55" t="s">
        <v>5516</v>
      </c>
      <c r="I4585" s="15" t="s">
        <v>404</v>
      </c>
    </row>
    <row r="4586" spans="1:9" ht="51.75" customHeight="1" x14ac:dyDescent="0.35">
      <c r="A4586" s="15" t="s">
        <v>24808</v>
      </c>
      <c r="B4586" s="15" t="s">
        <v>34674</v>
      </c>
      <c r="C4586" s="15" t="s">
        <v>21892</v>
      </c>
      <c r="D4586" s="31">
        <v>41407</v>
      </c>
      <c r="E4586" s="15" t="s">
        <v>34675</v>
      </c>
      <c r="F4586" s="87" t="s">
        <v>21871</v>
      </c>
      <c r="G4586" s="45" t="s">
        <v>7332</v>
      </c>
      <c r="H4586" s="55" t="s">
        <v>7333</v>
      </c>
      <c r="I4586" s="15" t="s">
        <v>404</v>
      </c>
    </row>
    <row r="4587" spans="1:9" ht="51.75" customHeight="1" x14ac:dyDescent="0.35">
      <c r="A4587" s="15" t="s">
        <v>24814</v>
      </c>
      <c r="B4587" s="15" t="s">
        <v>34676</v>
      </c>
      <c r="C4587" s="15" t="s">
        <v>21896</v>
      </c>
      <c r="D4587" s="31">
        <v>41407</v>
      </c>
      <c r="E4587" s="15" t="s">
        <v>34677</v>
      </c>
      <c r="F4587" s="87" t="s">
        <v>21871</v>
      </c>
      <c r="G4587" s="45" t="s">
        <v>7332</v>
      </c>
      <c r="H4587" s="55" t="s">
        <v>7333</v>
      </c>
      <c r="I4587" s="15" t="s">
        <v>404</v>
      </c>
    </row>
    <row r="4588" spans="1:9" ht="51.75" customHeight="1" x14ac:dyDescent="0.35">
      <c r="A4588" s="15" t="s">
        <v>24820</v>
      </c>
      <c r="B4588" s="15" t="s">
        <v>34678</v>
      </c>
      <c r="C4588" s="15" t="s">
        <v>24243</v>
      </c>
      <c r="D4588" s="31">
        <v>41407</v>
      </c>
      <c r="E4588" s="15" t="s">
        <v>34460</v>
      </c>
      <c r="F4588" s="87" t="s">
        <v>21871</v>
      </c>
      <c r="G4588" s="45" t="s">
        <v>7332</v>
      </c>
      <c r="H4588" s="55" t="s">
        <v>7333</v>
      </c>
      <c r="I4588" s="15" t="s">
        <v>404</v>
      </c>
    </row>
    <row r="4589" spans="1:9" ht="51.75" customHeight="1" x14ac:dyDescent="0.35">
      <c r="A4589" s="15" t="s">
        <v>24826</v>
      </c>
      <c r="B4589" s="15" t="s">
        <v>34679</v>
      </c>
      <c r="C4589" s="15" t="s">
        <v>24199</v>
      </c>
      <c r="D4589" s="31">
        <v>41407</v>
      </c>
      <c r="E4589" s="15" t="s">
        <v>34680</v>
      </c>
      <c r="F4589" s="87" t="s">
        <v>21871</v>
      </c>
      <c r="G4589" s="45" t="s">
        <v>7332</v>
      </c>
      <c r="H4589" s="55" t="s">
        <v>7333</v>
      </c>
      <c r="I4589" s="15" t="s">
        <v>404</v>
      </c>
    </row>
    <row r="4590" spans="1:9" ht="51.75" customHeight="1" x14ac:dyDescent="0.35">
      <c r="A4590" s="15" t="s">
        <v>25285</v>
      </c>
      <c r="B4590" s="15" t="s">
        <v>34681</v>
      </c>
      <c r="C4590" s="15" t="s">
        <v>24205</v>
      </c>
      <c r="D4590" s="31">
        <v>41407</v>
      </c>
      <c r="E4590" s="15" t="s">
        <v>34682</v>
      </c>
      <c r="F4590" s="87" t="s">
        <v>21871</v>
      </c>
      <c r="G4590" s="45" t="s">
        <v>7332</v>
      </c>
      <c r="H4590" s="55" t="s">
        <v>7333</v>
      </c>
      <c r="I4590" s="15" t="s">
        <v>404</v>
      </c>
    </row>
    <row r="4591" spans="1:9" ht="51.75" customHeight="1" x14ac:dyDescent="0.35">
      <c r="A4591" s="15" t="s">
        <v>25291</v>
      </c>
      <c r="B4591" s="15" t="s">
        <v>34683</v>
      </c>
      <c r="C4591" s="15" t="s">
        <v>24257</v>
      </c>
      <c r="D4591" s="31">
        <v>41407</v>
      </c>
      <c r="E4591" s="15" t="s">
        <v>34684</v>
      </c>
      <c r="F4591" s="87" t="s">
        <v>21871</v>
      </c>
      <c r="G4591" s="45" t="s">
        <v>7332</v>
      </c>
      <c r="H4591" s="55" t="s">
        <v>7333</v>
      </c>
      <c r="I4591" s="15" t="s">
        <v>404</v>
      </c>
    </row>
    <row r="4592" spans="1:9" ht="51.75" customHeight="1" x14ac:dyDescent="0.35">
      <c r="A4592" s="15" t="s">
        <v>25297</v>
      </c>
      <c r="B4592" s="15" t="s">
        <v>34685</v>
      </c>
      <c r="C4592" s="15" t="s">
        <v>24263</v>
      </c>
      <c r="D4592" s="31">
        <v>41407</v>
      </c>
      <c r="E4592" s="15" t="s">
        <v>34466</v>
      </c>
      <c r="F4592" s="87" t="s">
        <v>21871</v>
      </c>
      <c r="G4592" s="45" t="s">
        <v>7332</v>
      </c>
      <c r="H4592" s="55" t="s">
        <v>7333</v>
      </c>
      <c r="I4592" s="15" t="s">
        <v>404</v>
      </c>
    </row>
    <row r="4593" spans="1:9" ht="51.75" customHeight="1" x14ac:dyDescent="0.35">
      <c r="A4593" s="15" t="s">
        <v>25303</v>
      </c>
      <c r="B4593" s="15" t="s">
        <v>34686</v>
      </c>
      <c r="C4593" s="15" t="s">
        <v>34687</v>
      </c>
      <c r="D4593" s="31">
        <v>41407</v>
      </c>
      <c r="E4593" s="15" t="s">
        <v>34469</v>
      </c>
      <c r="F4593" s="87" t="s">
        <v>21871</v>
      </c>
      <c r="G4593" s="45" t="s">
        <v>7332</v>
      </c>
      <c r="H4593" s="55" t="s">
        <v>7333</v>
      </c>
      <c r="I4593" s="15" t="s">
        <v>404</v>
      </c>
    </row>
    <row r="4594" spans="1:9" ht="51.75" customHeight="1" x14ac:dyDescent="0.35">
      <c r="A4594" s="15" t="s">
        <v>26390</v>
      </c>
      <c r="B4594" s="15" t="s">
        <v>34688</v>
      </c>
      <c r="C4594" s="15" t="s">
        <v>21892</v>
      </c>
      <c r="D4594" s="31">
        <v>41408</v>
      </c>
      <c r="E4594" s="15" t="s">
        <v>34689</v>
      </c>
      <c r="F4594" s="87" t="s">
        <v>21871</v>
      </c>
      <c r="G4594" s="45" t="s">
        <v>7823</v>
      </c>
      <c r="H4594" s="55" t="s">
        <v>7824</v>
      </c>
      <c r="I4594" s="15" t="s">
        <v>404</v>
      </c>
    </row>
    <row r="4595" spans="1:9" ht="51.75" customHeight="1" x14ac:dyDescent="0.35">
      <c r="A4595" s="15" t="s">
        <v>26394</v>
      </c>
      <c r="B4595" s="15" t="s">
        <v>34690</v>
      </c>
      <c r="C4595" s="15" t="s">
        <v>21896</v>
      </c>
      <c r="D4595" s="31">
        <v>41408</v>
      </c>
      <c r="E4595" s="15" t="s">
        <v>34691</v>
      </c>
      <c r="F4595" s="87" t="s">
        <v>21871</v>
      </c>
      <c r="G4595" s="45" t="s">
        <v>7823</v>
      </c>
      <c r="H4595" s="55" t="s">
        <v>7824</v>
      </c>
      <c r="I4595" s="15" t="s">
        <v>404</v>
      </c>
    </row>
    <row r="4596" spans="1:9" ht="51.75" customHeight="1" x14ac:dyDescent="0.35">
      <c r="A4596" s="15" t="s">
        <v>32476</v>
      </c>
      <c r="B4596" s="15" t="s">
        <v>34692</v>
      </c>
      <c r="C4596" s="15" t="s">
        <v>24243</v>
      </c>
      <c r="D4596" s="31">
        <v>41408</v>
      </c>
      <c r="E4596" s="15" t="s">
        <v>34693</v>
      </c>
      <c r="F4596" s="87" t="s">
        <v>21871</v>
      </c>
      <c r="G4596" s="45" t="s">
        <v>7823</v>
      </c>
      <c r="H4596" s="55" t="s">
        <v>7824</v>
      </c>
      <c r="I4596" s="15" t="s">
        <v>404</v>
      </c>
    </row>
    <row r="4597" spans="1:9" ht="51.75" customHeight="1" x14ac:dyDescent="0.35">
      <c r="A4597" s="15" t="s">
        <v>24369</v>
      </c>
      <c r="B4597" s="15" t="s">
        <v>34694</v>
      </c>
      <c r="C4597" s="15" t="s">
        <v>21892</v>
      </c>
      <c r="D4597" s="31">
        <v>41331</v>
      </c>
      <c r="E4597" s="15" t="s">
        <v>34527</v>
      </c>
      <c r="F4597" s="87" t="s">
        <v>21871</v>
      </c>
      <c r="G4597" s="45" t="s">
        <v>7887</v>
      </c>
      <c r="H4597" s="55" t="s">
        <v>7888</v>
      </c>
      <c r="I4597" s="15" t="s">
        <v>404</v>
      </c>
    </row>
    <row r="4598" spans="1:9" ht="51.75" customHeight="1" x14ac:dyDescent="0.35">
      <c r="A4598" s="15" t="s">
        <v>24224</v>
      </c>
      <c r="B4598" s="15" t="s">
        <v>34695</v>
      </c>
      <c r="C4598" s="15" t="s">
        <v>21896</v>
      </c>
      <c r="D4598" s="31">
        <v>41331</v>
      </c>
      <c r="E4598" s="15" t="s">
        <v>34529</v>
      </c>
      <c r="F4598" s="87" t="s">
        <v>21871</v>
      </c>
      <c r="G4598" s="45" t="s">
        <v>7887</v>
      </c>
      <c r="H4598" s="55" t="s">
        <v>7888</v>
      </c>
      <c r="I4598" s="15" t="s">
        <v>404</v>
      </c>
    </row>
    <row r="4599" spans="1:9" ht="51.75" customHeight="1" x14ac:dyDescent="0.35">
      <c r="A4599" s="15" t="s">
        <v>27185</v>
      </c>
      <c r="B4599" s="15" t="s">
        <v>34696</v>
      </c>
      <c r="C4599" s="15" t="s">
        <v>24243</v>
      </c>
      <c r="D4599" s="31">
        <v>41331</v>
      </c>
      <c r="E4599" s="15" t="s">
        <v>34697</v>
      </c>
      <c r="F4599" s="87" t="s">
        <v>21871</v>
      </c>
      <c r="G4599" s="45" t="s">
        <v>7887</v>
      </c>
      <c r="H4599" s="55" t="s">
        <v>7888</v>
      </c>
      <c r="I4599" s="15" t="s">
        <v>404</v>
      </c>
    </row>
    <row r="4600" spans="1:9" ht="51.75" customHeight="1" x14ac:dyDescent="0.35">
      <c r="A4600" s="15" t="s">
        <v>24229</v>
      </c>
      <c r="B4600" s="15" t="s">
        <v>34698</v>
      </c>
      <c r="C4600" s="15" t="s">
        <v>24199</v>
      </c>
      <c r="D4600" s="31">
        <v>41331</v>
      </c>
      <c r="E4600" s="15" t="s">
        <v>34699</v>
      </c>
      <c r="F4600" s="87" t="s">
        <v>21871</v>
      </c>
      <c r="G4600" s="45" t="s">
        <v>7887</v>
      </c>
      <c r="H4600" s="55" t="s">
        <v>7888</v>
      </c>
      <c r="I4600" s="15" t="s">
        <v>404</v>
      </c>
    </row>
    <row r="4601" spans="1:9" ht="51.75" customHeight="1" x14ac:dyDescent="0.35">
      <c r="A4601" s="15" t="s">
        <v>24375</v>
      </c>
      <c r="B4601" s="15" t="s">
        <v>34700</v>
      </c>
      <c r="C4601" s="15" t="s">
        <v>24205</v>
      </c>
      <c r="D4601" s="31">
        <v>41331</v>
      </c>
      <c r="E4601" s="15" t="s">
        <v>34400</v>
      </c>
      <c r="F4601" s="87" t="s">
        <v>21871</v>
      </c>
      <c r="G4601" s="45" t="s">
        <v>7887</v>
      </c>
      <c r="H4601" s="55" t="s">
        <v>7888</v>
      </c>
      <c r="I4601" s="15" t="s">
        <v>404</v>
      </c>
    </row>
    <row r="4602" spans="1:9" ht="51.75" customHeight="1" x14ac:dyDescent="0.35">
      <c r="A4602" s="15" t="s">
        <v>24380</v>
      </c>
      <c r="B4602" s="15" t="s">
        <v>34701</v>
      </c>
      <c r="C4602" s="15" t="s">
        <v>24257</v>
      </c>
      <c r="D4602" s="31">
        <v>41331</v>
      </c>
      <c r="E4602" s="15" t="s">
        <v>34697</v>
      </c>
      <c r="F4602" s="87" t="s">
        <v>21871</v>
      </c>
      <c r="G4602" s="45" t="s">
        <v>7887</v>
      </c>
      <c r="H4602" s="55" t="s">
        <v>7888</v>
      </c>
      <c r="I4602" s="15" t="s">
        <v>404</v>
      </c>
    </row>
    <row r="4603" spans="1:9" ht="51.75" customHeight="1" x14ac:dyDescent="0.35">
      <c r="A4603" s="15" t="s">
        <v>28561</v>
      </c>
      <c r="B4603" s="15" t="s">
        <v>34702</v>
      </c>
      <c r="C4603" s="15" t="s">
        <v>24263</v>
      </c>
      <c r="D4603" s="31">
        <v>41331</v>
      </c>
      <c r="E4603" s="15" t="s">
        <v>34699</v>
      </c>
      <c r="F4603" s="87" t="s">
        <v>21871</v>
      </c>
      <c r="G4603" s="45" t="s">
        <v>7887</v>
      </c>
      <c r="H4603" s="55" t="s">
        <v>7888</v>
      </c>
      <c r="I4603" s="15" t="s">
        <v>404</v>
      </c>
    </row>
    <row r="4604" spans="1:9" ht="51.75" customHeight="1" x14ac:dyDescent="0.35">
      <c r="A4604" s="15" t="s">
        <v>22809</v>
      </c>
      <c r="B4604" s="15" t="s">
        <v>34703</v>
      </c>
      <c r="C4604" s="15" t="s">
        <v>21892</v>
      </c>
      <c r="D4604" s="31">
        <v>41465</v>
      </c>
      <c r="E4604" s="15" t="s">
        <v>34704</v>
      </c>
      <c r="F4604" s="87" t="s">
        <v>21871</v>
      </c>
      <c r="G4604" s="45" t="s">
        <v>7337</v>
      </c>
      <c r="H4604" s="55" t="s">
        <v>7338</v>
      </c>
      <c r="I4604" s="15" t="s">
        <v>404</v>
      </c>
    </row>
    <row r="4605" spans="1:9" ht="51.75" customHeight="1" x14ac:dyDescent="0.35">
      <c r="A4605" s="15" t="s">
        <v>22813</v>
      </c>
      <c r="B4605" s="15" t="s">
        <v>34705</v>
      </c>
      <c r="C4605" s="15" t="s">
        <v>21896</v>
      </c>
      <c r="D4605" s="31">
        <v>41465</v>
      </c>
      <c r="E4605" s="15" t="s">
        <v>34706</v>
      </c>
      <c r="F4605" s="87" t="s">
        <v>21871</v>
      </c>
      <c r="G4605" s="45" t="s">
        <v>7337</v>
      </c>
      <c r="H4605" s="55" t="s">
        <v>7338</v>
      </c>
      <c r="I4605" s="15" t="s">
        <v>404</v>
      </c>
    </row>
    <row r="4606" spans="1:9" ht="51.75" customHeight="1" x14ac:dyDescent="0.35">
      <c r="A4606" s="15" t="s">
        <v>22817</v>
      </c>
      <c r="B4606" s="15" t="s">
        <v>34707</v>
      </c>
      <c r="C4606" s="15" t="s">
        <v>24243</v>
      </c>
      <c r="D4606" s="31">
        <v>41465</v>
      </c>
      <c r="E4606" s="15" t="s">
        <v>34708</v>
      </c>
      <c r="F4606" s="87" t="s">
        <v>21871</v>
      </c>
      <c r="G4606" s="45" t="s">
        <v>7337</v>
      </c>
      <c r="H4606" s="55" t="s">
        <v>7338</v>
      </c>
      <c r="I4606" s="15" t="s">
        <v>404</v>
      </c>
    </row>
    <row r="4607" spans="1:9" ht="51.75" customHeight="1" x14ac:dyDescent="0.35">
      <c r="A4607" s="15" t="s">
        <v>22159</v>
      </c>
      <c r="B4607" s="15" t="s">
        <v>34709</v>
      </c>
      <c r="C4607" s="15" t="s">
        <v>21892</v>
      </c>
      <c r="D4607" s="31">
        <v>41323</v>
      </c>
      <c r="E4607" s="15" t="s">
        <v>34710</v>
      </c>
      <c r="F4607" s="87" t="s">
        <v>21871</v>
      </c>
      <c r="G4607" s="45" t="s">
        <v>7796</v>
      </c>
      <c r="H4607" s="55" t="s">
        <v>7797</v>
      </c>
      <c r="I4607" s="15" t="s">
        <v>404</v>
      </c>
    </row>
    <row r="4608" spans="1:9" ht="51.75" customHeight="1" x14ac:dyDescent="0.35">
      <c r="A4608" s="15" t="s">
        <v>22656</v>
      </c>
      <c r="B4608" s="15" t="s">
        <v>34711</v>
      </c>
      <c r="C4608" s="15" t="s">
        <v>21896</v>
      </c>
      <c r="D4608" s="31">
        <v>41323</v>
      </c>
      <c r="E4608" s="15" t="s">
        <v>34712</v>
      </c>
      <c r="F4608" s="87" t="s">
        <v>21871</v>
      </c>
      <c r="G4608" s="45" t="s">
        <v>7796</v>
      </c>
      <c r="H4608" s="55" t="s">
        <v>7797</v>
      </c>
      <c r="I4608" s="15" t="s">
        <v>404</v>
      </c>
    </row>
    <row r="4609" spans="1:9" ht="51.75" customHeight="1" x14ac:dyDescent="0.35">
      <c r="A4609" s="15" t="s">
        <v>27270</v>
      </c>
      <c r="B4609" s="15" t="s">
        <v>34713</v>
      </c>
      <c r="C4609" s="15" t="s">
        <v>21892</v>
      </c>
      <c r="D4609" s="31">
        <v>41698</v>
      </c>
      <c r="E4609" s="15" t="s">
        <v>34714</v>
      </c>
      <c r="F4609" s="87" t="s">
        <v>21871</v>
      </c>
      <c r="G4609" s="45" t="s">
        <v>7941</v>
      </c>
      <c r="H4609" s="55" t="s">
        <v>7942</v>
      </c>
      <c r="I4609" s="15" t="s">
        <v>404</v>
      </c>
    </row>
    <row r="4610" spans="1:9" ht="51.75" customHeight="1" x14ac:dyDescent="0.35">
      <c r="A4610" s="15" t="s">
        <v>22842</v>
      </c>
      <c r="B4610" s="15" t="s">
        <v>34715</v>
      </c>
      <c r="C4610" s="15" t="s">
        <v>21896</v>
      </c>
      <c r="D4610" s="31">
        <v>41698</v>
      </c>
      <c r="E4610" s="15" t="s">
        <v>34716</v>
      </c>
      <c r="F4610" s="87" t="s">
        <v>21871</v>
      </c>
      <c r="G4610" s="45" t="s">
        <v>7941</v>
      </c>
      <c r="H4610" s="55" t="s">
        <v>7942</v>
      </c>
      <c r="I4610" s="15" t="s">
        <v>404</v>
      </c>
    </row>
    <row r="4611" spans="1:9" ht="51.75" customHeight="1" x14ac:dyDescent="0.35">
      <c r="A4611" s="15" t="s">
        <v>22846</v>
      </c>
      <c r="B4611" s="15" t="s">
        <v>34717</v>
      </c>
      <c r="C4611" s="15" t="s">
        <v>24243</v>
      </c>
      <c r="D4611" s="31">
        <v>41698</v>
      </c>
      <c r="E4611" s="15" t="s">
        <v>34718</v>
      </c>
      <c r="F4611" s="87" t="s">
        <v>21871</v>
      </c>
      <c r="G4611" s="45" t="s">
        <v>7941</v>
      </c>
      <c r="H4611" s="55" t="s">
        <v>7942</v>
      </c>
      <c r="I4611" s="15" t="s">
        <v>404</v>
      </c>
    </row>
    <row r="4612" spans="1:9" ht="51.75" customHeight="1" x14ac:dyDescent="0.35">
      <c r="A4612" s="15" t="s">
        <v>22850</v>
      </c>
      <c r="B4612" s="15" t="s">
        <v>34719</v>
      </c>
      <c r="C4612" s="15" t="s">
        <v>24199</v>
      </c>
      <c r="D4612" s="31">
        <v>41698</v>
      </c>
      <c r="E4612" s="15" t="s">
        <v>34720</v>
      </c>
      <c r="F4612" s="87" t="s">
        <v>21871</v>
      </c>
      <c r="G4612" s="45" t="s">
        <v>7941</v>
      </c>
      <c r="H4612" s="55" t="s">
        <v>7942</v>
      </c>
      <c r="I4612" s="15" t="s">
        <v>404</v>
      </c>
    </row>
    <row r="4613" spans="1:9" ht="51.75" customHeight="1" x14ac:dyDescent="0.35">
      <c r="A4613" s="15" t="s">
        <v>22854</v>
      </c>
      <c r="B4613" s="15" t="s">
        <v>34721</v>
      </c>
      <c r="C4613" s="15" t="s">
        <v>24205</v>
      </c>
      <c r="D4613" s="31">
        <v>41698</v>
      </c>
      <c r="E4613" s="15" t="s">
        <v>34722</v>
      </c>
      <c r="F4613" s="87" t="s">
        <v>21871</v>
      </c>
      <c r="G4613" s="45" t="s">
        <v>7941</v>
      </c>
      <c r="H4613" s="55" t="s">
        <v>7942</v>
      </c>
      <c r="I4613" s="15" t="s">
        <v>404</v>
      </c>
    </row>
    <row r="4614" spans="1:9" ht="51.75" customHeight="1" x14ac:dyDescent="0.35">
      <c r="A4614" s="15" t="s">
        <v>33470</v>
      </c>
      <c r="B4614" s="15" t="s">
        <v>34723</v>
      </c>
      <c r="C4614" s="15" t="s">
        <v>24257</v>
      </c>
      <c r="D4614" s="31">
        <v>41698</v>
      </c>
      <c r="E4614" s="15" t="s">
        <v>34724</v>
      </c>
      <c r="F4614" s="87" t="s">
        <v>21871</v>
      </c>
      <c r="G4614" s="45" t="s">
        <v>7941</v>
      </c>
      <c r="H4614" s="55" t="s">
        <v>7942</v>
      </c>
      <c r="I4614" s="15" t="s">
        <v>404</v>
      </c>
    </row>
    <row r="4615" spans="1:9" ht="51.75" customHeight="1" x14ac:dyDescent="0.35">
      <c r="A4615" s="15" t="s">
        <v>23572</v>
      </c>
      <c r="B4615" s="15" t="s">
        <v>34725</v>
      </c>
      <c r="C4615" s="15" t="s">
        <v>24263</v>
      </c>
      <c r="D4615" s="31">
        <v>41698</v>
      </c>
      <c r="E4615" s="15" t="s">
        <v>34726</v>
      </c>
      <c r="F4615" s="87" t="s">
        <v>21871</v>
      </c>
      <c r="G4615" s="45" t="s">
        <v>7941</v>
      </c>
      <c r="H4615" s="55" t="s">
        <v>7942</v>
      </c>
      <c r="I4615" s="15" t="s">
        <v>404</v>
      </c>
    </row>
    <row r="4616" spans="1:9" ht="51.75" customHeight="1" x14ac:dyDescent="0.35">
      <c r="A4616" s="15" t="s">
        <v>23575</v>
      </c>
      <c r="B4616" s="15" t="s">
        <v>34727</v>
      </c>
      <c r="C4616" s="15" t="s">
        <v>34687</v>
      </c>
      <c r="D4616" s="31">
        <v>41698</v>
      </c>
      <c r="E4616" s="15" t="s">
        <v>34728</v>
      </c>
      <c r="F4616" s="87" t="s">
        <v>21871</v>
      </c>
      <c r="G4616" s="45" t="s">
        <v>7941</v>
      </c>
      <c r="H4616" s="55" t="s">
        <v>7942</v>
      </c>
      <c r="I4616" s="15" t="s">
        <v>404</v>
      </c>
    </row>
    <row r="4617" spans="1:9" ht="51.75" customHeight="1" x14ac:dyDescent="0.35">
      <c r="A4617" s="15">
        <v>1</v>
      </c>
      <c r="B4617" s="15" t="s">
        <v>34729</v>
      </c>
      <c r="C4617" s="15" t="s">
        <v>34730</v>
      </c>
      <c r="D4617" s="31">
        <v>41093</v>
      </c>
      <c r="E4617" s="15" t="s">
        <v>34731</v>
      </c>
      <c r="F4617" s="87" t="s">
        <v>21871</v>
      </c>
      <c r="G4617" s="45" t="s">
        <v>5378</v>
      </c>
      <c r="H4617" s="55" t="s">
        <v>5379</v>
      </c>
      <c r="I4617" s="15" t="s">
        <v>404</v>
      </c>
    </row>
    <row r="4618" spans="1:9" ht="51.75" customHeight="1" x14ac:dyDescent="0.35">
      <c r="A4618" s="15">
        <v>2</v>
      </c>
      <c r="B4618" s="15" t="s">
        <v>34732</v>
      </c>
      <c r="C4618" s="15" t="s">
        <v>34733</v>
      </c>
      <c r="D4618" s="31">
        <v>41093</v>
      </c>
      <c r="E4618" s="15" t="s">
        <v>34734</v>
      </c>
      <c r="F4618" s="87" t="s">
        <v>21871</v>
      </c>
      <c r="G4618" s="45" t="s">
        <v>5378</v>
      </c>
      <c r="H4618" s="55" t="s">
        <v>5379</v>
      </c>
      <c r="I4618" s="15" t="s">
        <v>404</v>
      </c>
    </row>
    <row r="4619" spans="1:9" ht="51.75" customHeight="1" x14ac:dyDescent="0.35">
      <c r="A4619" s="15">
        <v>3</v>
      </c>
      <c r="B4619" s="15" t="s">
        <v>34735</v>
      </c>
      <c r="C4619" s="15" t="s">
        <v>34736</v>
      </c>
      <c r="D4619" s="31">
        <v>41093</v>
      </c>
      <c r="E4619" s="15" t="s">
        <v>34737</v>
      </c>
      <c r="F4619" s="87" t="s">
        <v>21871</v>
      </c>
      <c r="G4619" s="45" t="s">
        <v>5378</v>
      </c>
      <c r="H4619" s="55" t="s">
        <v>5379</v>
      </c>
      <c r="I4619" s="15" t="s">
        <v>404</v>
      </c>
    </row>
    <row r="4620" spans="1:9" ht="51.75" customHeight="1" x14ac:dyDescent="0.35">
      <c r="A4620" s="15" t="s">
        <v>22437</v>
      </c>
      <c r="B4620" s="15" t="s">
        <v>34738</v>
      </c>
      <c r="C4620" s="15" t="s">
        <v>21892</v>
      </c>
      <c r="D4620" s="31">
        <v>41394</v>
      </c>
      <c r="E4620" s="15" t="s">
        <v>34739</v>
      </c>
      <c r="F4620" s="87" t="s">
        <v>21871</v>
      </c>
      <c r="G4620" s="45" t="s">
        <v>8116</v>
      </c>
      <c r="H4620" s="55" t="s">
        <v>8117</v>
      </c>
      <c r="I4620" s="15" t="s">
        <v>404</v>
      </c>
    </row>
    <row r="4621" spans="1:9" ht="51.75" customHeight="1" x14ac:dyDescent="0.35">
      <c r="A4621" s="15" t="s">
        <v>22441</v>
      </c>
      <c r="B4621" s="15" t="s">
        <v>34740</v>
      </c>
      <c r="C4621" s="15" t="s">
        <v>21896</v>
      </c>
      <c r="D4621" s="31">
        <v>41394</v>
      </c>
      <c r="E4621" s="15" t="s">
        <v>34741</v>
      </c>
      <c r="F4621" s="87" t="s">
        <v>21871</v>
      </c>
      <c r="G4621" s="45" t="s">
        <v>8116</v>
      </c>
      <c r="H4621" s="55" t="s">
        <v>8117</v>
      </c>
      <c r="I4621" s="15" t="s">
        <v>404</v>
      </c>
    </row>
    <row r="4622" spans="1:9" ht="51.75" customHeight="1" x14ac:dyDescent="0.35">
      <c r="A4622" s="15" t="s">
        <v>22445</v>
      </c>
      <c r="B4622" s="15" t="s">
        <v>34742</v>
      </c>
      <c r="C4622" s="15" t="s">
        <v>24243</v>
      </c>
      <c r="D4622" s="31">
        <v>41394</v>
      </c>
      <c r="E4622" s="15" t="s">
        <v>34743</v>
      </c>
      <c r="F4622" s="87" t="s">
        <v>21871</v>
      </c>
      <c r="G4622" s="45" t="s">
        <v>8116</v>
      </c>
      <c r="H4622" s="55" t="s">
        <v>8117</v>
      </c>
      <c r="I4622" s="15" t="s">
        <v>404</v>
      </c>
    </row>
    <row r="4623" spans="1:9" ht="51.75" customHeight="1" x14ac:dyDescent="0.35">
      <c r="A4623" s="15" t="s">
        <v>23392</v>
      </c>
      <c r="B4623" s="15" t="s">
        <v>34744</v>
      </c>
      <c r="C4623" s="15" t="s">
        <v>21892</v>
      </c>
      <c r="D4623" s="31">
        <v>41828</v>
      </c>
      <c r="E4623" s="15" t="s">
        <v>34745</v>
      </c>
      <c r="F4623" s="87" t="s">
        <v>21871</v>
      </c>
      <c r="G4623" s="45" t="s">
        <v>8134</v>
      </c>
      <c r="H4623" s="55" t="s">
        <v>8135</v>
      </c>
      <c r="I4623" s="15" t="s">
        <v>404</v>
      </c>
    </row>
    <row r="4624" spans="1:9" ht="51.75" customHeight="1" x14ac:dyDescent="0.35">
      <c r="A4624" s="15" t="s">
        <v>22147</v>
      </c>
      <c r="B4624" s="15" t="s">
        <v>34746</v>
      </c>
      <c r="C4624" s="15" t="s">
        <v>21896</v>
      </c>
      <c r="D4624" s="31">
        <v>41828</v>
      </c>
      <c r="E4624" s="15" t="s">
        <v>34747</v>
      </c>
      <c r="F4624" s="87" t="s">
        <v>21871</v>
      </c>
      <c r="G4624" s="45" t="s">
        <v>8134</v>
      </c>
      <c r="H4624" s="55" t="s">
        <v>8135</v>
      </c>
      <c r="I4624" s="15" t="s">
        <v>404</v>
      </c>
    </row>
    <row r="4625" spans="1:9" ht="51.75" customHeight="1" x14ac:dyDescent="0.35">
      <c r="A4625" s="15" t="s">
        <v>22043</v>
      </c>
      <c r="B4625" s="15" t="s">
        <v>34748</v>
      </c>
      <c r="C4625" s="15" t="s">
        <v>24243</v>
      </c>
      <c r="D4625" s="31">
        <v>41828</v>
      </c>
      <c r="E4625" s="15" t="s">
        <v>34749</v>
      </c>
      <c r="F4625" s="87" t="s">
        <v>21871</v>
      </c>
      <c r="G4625" s="45" t="s">
        <v>8134</v>
      </c>
      <c r="H4625" s="55" t="s">
        <v>8135</v>
      </c>
      <c r="I4625" s="15" t="s">
        <v>404</v>
      </c>
    </row>
    <row r="4626" spans="1:9" ht="51.75" customHeight="1" x14ac:dyDescent="0.35">
      <c r="A4626" s="15" t="s">
        <v>22110</v>
      </c>
      <c r="B4626" s="15" t="s">
        <v>34750</v>
      </c>
      <c r="C4626" s="15" t="s">
        <v>24199</v>
      </c>
      <c r="D4626" s="31">
        <v>41828</v>
      </c>
      <c r="E4626" s="15" t="s">
        <v>34751</v>
      </c>
      <c r="F4626" s="87" t="s">
        <v>21871</v>
      </c>
      <c r="G4626" s="45" t="s">
        <v>8134</v>
      </c>
      <c r="H4626" s="55" t="s">
        <v>8135</v>
      </c>
      <c r="I4626" s="15" t="s">
        <v>404</v>
      </c>
    </row>
    <row r="4627" spans="1:9" ht="51.75" customHeight="1" x14ac:dyDescent="0.35">
      <c r="A4627" s="15" t="s">
        <v>22114</v>
      </c>
      <c r="B4627" s="15" t="s">
        <v>34752</v>
      </c>
      <c r="C4627" s="15" t="s">
        <v>24205</v>
      </c>
      <c r="D4627" s="31">
        <v>41828</v>
      </c>
      <c r="E4627" s="15" t="s">
        <v>34753</v>
      </c>
      <c r="F4627" s="87" t="s">
        <v>21871</v>
      </c>
      <c r="G4627" s="45" t="s">
        <v>8134</v>
      </c>
      <c r="H4627" s="55" t="s">
        <v>8135</v>
      </c>
      <c r="I4627" s="15" t="s">
        <v>404</v>
      </c>
    </row>
    <row r="4628" spans="1:9" ht="51.75" customHeight="1" x14ac:dyDescent="0.35">
      <c r="A4628" s="15" t="s">
        <v>24215</v>
      </c>
      <c r="B4628" s="15" t="s">
        <v>34754</v>
      </c>
      <c r="C4628" s="15" t="s">
        <v>21892</v>
      </c>
      <c r="D4628" s="31">
        <v>41605</v>
      </c>
      <c r="E4628" s="15" t="s">
        <v>34755</v>
      </c>
      <c r="F4628" s="87" t="s">
        <v>21871</v>
      </c>
      <c r="G4628" s="45" t="s">
        <v>7664</v>
      </c>
      <c r="H4628" s="55" t="s">
        <v>7665</v>
      </c>
      <c r="I4628" s="15" t="s">
        <v>404</v>
      </c>
    </row>
    <row r="4629" spans="1:9" ht="51.75" customHeight="1" x14ac:dyDescent="0.35">
      <c r="A4629" s="15" t="s">
        <v>23271</v>
      </c>
      <c r="B4629" s="15" t="s">
        <v>34756</v>
      </c>
      <c r="C4629" s="15" t="s">
        <v>21896</v>
      </c>
      <c r="D4629" s="31">
        <v>41605</v>
      </c>
      <c r="E4629" s="15" t="s">
        <v>34757</v>
      </c>
      <c r="F4629" s="87" t="s">
        <v>21871</v>
      </c>
      <c r="G4629" s="45" t="s">
        <v>7664</v>
      </c>
      <c r="H4629" s="55" t="s">
        <v>7665</v>
      </c>
      <c r="I4629" s="15" t="s">
        <v>404</v>
      </c>
    </row>
    <row r="4630" spans="1:9" ht="51.75" customHeight="1" x14ac:dyDescent="0.35">
      <c r="A4630" s="15" t="s">
        <v>23277</v>
      </c>
      <c r="B4630" s="15" t="s">
        <v>34758</v>
      </c>
      <c r="C4630" s="15" t="s">
        <v>24243</v>
      </c>
      <c r="D4630" s="31">
        <v>41605</v>
      </c>
      <c r="E4630" s="15" t="s">
        <v>34759</v>
      </c>
      <c r="F4630" s="87" t="s">
        <v>21871</v>
      </c>
      <c r="G4630" s="45" t="s">
        <v>7664</v>
      </c>
      <c r="H4630" s="55" t="s">
        <v>7665</v>
      </c>
      <c r="I4630" s="15" t="s">
        <v>404</v>
      </c>
    </row>
    <row r="4631" spans="1:9" ht="51.75" customHeight="1" x14ac:dyDescent="0.35">
      <c r="A4631" s="15" t="s">
        <v>23283</v>
      </c>
      <c r="B4631" s="15" t="s">
        <v>34760</v>
      </c>
      <c r="C4631" s="15" t="s">
        <v>24199</v>
      </c>
      <c r="D4631" s="31">
        <v>41605</v>
      </c>
      <c r="E4631" s="15" t="s">
        <v>34761</v>
      </c>
      <c r="F4631" s="87" t="s">
        <v>21871</v>
      </c>
      <c r="G4631" s="45" t="s">
        <v>7664</v>
      </c>
      <c r="H4631" s="55" t="s">
        <v>7665</v>
      </c>
      <c r="I4631" s="15" t="s">
        <v>404</v>
      </c>
    </row>
    <row r="4632" spans="1:9" ht="51.75" customHeight="1" x14ac:dyDescent="0.35">
      <c r="A4632" s="15" t="s">
        <v>23621</v>
      </c>
      <c r="B4632" s="15" t="s">
        <v>34762</v>
      </c>
      <c r="C4632" s="15" t="s">
        <v>21892</v>
      </c>
      <c r="D4632" s="31">
        <v>41474</v>
      </c>
      <c r="E4632" s="15" t="s">
        <v>34763</v>
      </c>
      <c r="F4632" s="87" t="s">
        <v>21871</v>
      </c>
      <c r="G4632" s="45" t="s">
        <v>8303</v>
      </c>
      <c r="H4632" s="55" t="s">
        <v>8304</v>
      </c>
      <c r="I4632" s="15" t="s">
        <v>404</v>
      </c>
    </row>
    <row r="4633" spans="1:9" ht="51.75" customHeight="1" x14ac:dyDescent="0.35">
      <c r="A4633" s="15" t="s">
        <v>33109</v>
      </c>
      <c r="B4633" s="15" t="s">
        <v>34764</v>
      </c>
      <c r="C4633" s="15" t="s">
        <v>21896</v>
      </c>
      <c r="D4633" s="31">
        <v>41474</v>
      </c>
      <c r="E4633" s="15" t="s">
        <v>34765</v>
      </c>
      <c r="F4633" s="87" t="s">
        <v>21871</v>
      </c>
      <c r="G4633" s="45" t="s">
        <v>8303</v>
      </c>
      <c r="H4633" s="55" t="s">
        <v>8304</v>
      </c>
      <c r="I4633" s="15" t="s">
        <v>404</v>
      </c>
    </row>
    <row r="4634" spans="1:9" ht="51.75" customHeight="1" x14ac:dyDescent="0.35">
      <c r="A4634" s="15" t="s">
        <v>23625</v>
      </c>
      <c r="B4634" s="15" t="s">
        <v>34766</v>
      </c>
      <c r="C4634" s="15" t="s">
        <v>24243</v>
      </c>
      <c r="D4634" s="31">
        <v>41474</v>
      </c>
      <c r="E4634" s="15" t="s">
        <v>34767</v>
      </c>
      <c r="F4634" s="87" t="s">
        <v>21871</v>
      </c>
      <c r="G4634" s="45" t="s">
        <v>8303</v>
      </c>
      <c r="H4634" s="55" t="s">
        <v>8304</v>
      </c>
      <c r="I4634" s="15" t="s">
        <v>404</v>
      </c>
    </row>
    <row r="4635" spans="1:9" ht="51.75" customHeight="1" x14ac:dyDescent="0.35">
      <c r="A4635" s="15" t="s">
        <v>22227</v>
      </c>
      <c r="B4635" s="15" t="s">
        <v>34768</v>
      </c>
      <c r="C4635" s="15" t="s">
        <v>24199</v>
      </c>
      <c r="D4635" s="31">
        <v>41474</v>
      </c>
      <c r="E4635" s="15" t="s">
        <v>34769</v>
      </c>
      <c r="F4635" s="87" t="s">
        <v>21871</v>
      </c>
      <c r="G4635" s="45" t="s">
        <v>8303</v>
      </c>
      <c r="H4635" s="55" t="s">
        <v>8304</v>
      </c>
      <c r="I4635" s="15" t="s">
        <v>404</v>
      </c>
    </row>
    <row r="4636" spans="1:9" ht="51.75" customHeight="1" x14ac:dyDescent="0.35">
      <c r="A4636" s="15" t="s">
        <v>23937</v>
      </c>
      <c r="B4636" s="15" t="s">
        <v>34770</v>
      </c>
      <c r="C4636" s="15" t="s">
        <v>24205</v>
      </c>
      <c r="D4636" s="31">
        <v>41474</v>
      </c>
      <c r="E4636" s="15" t="s">
        <v>34771</v>
      </c>
      <c r="F4636" s="87" t="s">
        <v>21871</v>
      </c>
      <c r="G4636" s="45" t="s">
        <v>8303</v>
      </c>
      <c r="H4636" s="55" t="s">
        <v>8304</v>
      </c>
      <c r="I4636" s="15" t="s">
        <v>404</v>
      </c>
    </row>
    <row r="4637" spans="1:9" ht="51.75" customHeight="1" x14ac:dyDescent="0.35">
      <c r="A4637" s="15" t="s">
        <v>25640</v>
      </c>
      <c r="B4637" s="15" t="s">
        <v>34772</v>
      </c>
      <c r="C4637" s="15" t="s">
        <v>21892</v>
      </c>
      <c r="D4637" s="31">
        <v>41523</v>
      </c>
      <c r="E4637" s="15" t="s">
        <v>34773</v>
      </c>
      <c r="F4637" s="87" t="s">
        <v>21871</v>
      </c>
      <c r="G4637" s="45" t="s">
        <v>8297</v>
      </c>
      <c r="H4637" s="55" t="s">
        <v>8298</v>
      </c>
      <c r="I4637" s="15" t="s">
        <v>404</v>
      </c>
    </row>
    <row r="4638" spans="1:9" ht="51.75" customHeight="1" x14ac:dyDescent="0.35">
      <c r="A4638" s="15" t="s">
        <v>24917</v>
      </c>
      <c r="B4638" s="15" t="s">
        <v>34774</v>
      </c>
      <c r="C4638" s="15" t="s">
        <v>21896</v>
      </c>
      <c r="D4638" s="31">
        <v>41523</v>
      </c>
      <c r="E4638" s="15" t="s">
        <v>34775</v>
      </c>
      <c r="F4638" s="87" t="s">
        <v>21871</v>
      </c>
      <c r="G4638" s="45" t="s">
        <v>8297</v>
      </c>
      <c r="H4638" s="55" t="s">
        <v>8298</v>
      </c>
      <c r="I4638" s="15" t="s">
        <v>404</v>
      </c>
    </row>
    <row r="4639" spans="1:9" ht="51.75" customHeight="1" x14ac:dyDescent="0.35">
      <c r="A4639" s="15" t="s">
        <v>24923</v>
      </c>
      <c r="B4639" s="15" t="s">
        <v>34776</v>
      </c>
      <c r="C4639" s="15" t="s">
        <v>24243</v>
      </c>
      <c r="D4639" s="31">
        <v>41523</v>
      </c>
      <c r="E4639" s="15" t="s">
        <v>34777</v>
      </c>
      <c r="F4639" s="87" t="s">
        <v>21871</v>
      </c>
      <c r="G4639" s="45" t="s">
        <v>8297</v>
      </c>
      <c r="H4639" s="55" t="s">
        <v>8298</v>
      </c>
      <c r="I4639" s="15" t="s">
        <v>404</v>
      </c>
    </row>
    <row r="4640" spans="1:9" ht="51.75" customHeight="1" x14ac:dyDescent="0.35">
      <c r="A4640" s="15" t="s">
        <v>22975</v>
      </c>
      <c r="B4640" s="15" t="s">
        <v>34778</v>
      </c>
      <c r="C4640" s="15" t="s">
        <v>21892</v>
      </c>
      <c r="D4640" s="31">
        <v>41514</v>
      </c>
      <c r="E4640" s="15" t="s">
        <v>34779</v>
      </c>
      <c r="F4640" s="87" t="s">
        <v>21871</v>
      </c>
      <c r="G4640" s="45" t="s">
        <v>8210</v>
      </c>
      <c r="H4640" s="55" t="s">
        <v>8211</v>
      </c>
      <c r="I4640" s="15" t="s">
        <v>404</v>
      </c>
    </row>
    <row r="4641" spans="1:9" ht="51.75" customHeight="1" x14ac:dyDescent="0.35">
      <c r="A4641" s="15" t="s">
        <v>28285</v>
      </c>
      <c r="B4641" s="15" t="s">
        <v>34780</v>
      </c>
      <c r="C4641" s="15" t="s">
        <v>21896</v>
      </c>
      <c r="D4641" s="31">
        <v>41514</v>
      </c>
      <c r="E4641" s="15" t="s">
        <v>34781</v>
      </c>
      <c r="F4641" s="87" t="s">
        <v>21871</v>
      </c>
      <c r="G4641" s="45" t="s">
        <v>8210</v>
      </c>
      <c r="H4641" s="55" t="s">
        <v>8211</v>
      </c>
      <c r="I4641" s="15" t="s">
        <v>404</v>
      </c>
    </row>
    <row r="4642" spans="1:9" ht="51.75" customHeight="1" x14ac:dyDescent="0.35">
      <c r="A4642" s="15" t="s">
        <v>22979</v>
      </c>
      <c r="B4642" s="15" t="s">
        <v>34782</v>
      </c>
      <c r="C4642" s="15" t="s">
        <v>24243</v>
      </c>
      <c r="D4642" s="31">
        <v>41514</v>
      </c>
      <c r="E4642" s="15" t="s">
        <v>34783</v>
      </c>
      <c r="F4642" s="87" t="s">
        <v>21871</v>
      </c>
      <c r="G4642" s="45" t="s">
        <v>8210</v>
      </c>
      <c r="H4642" s="55" t="s">
        <v>8211</v>
      </c>
      <c r="I4642" s="15" t="s">
        <v>404</v>
      </c>
    </row>
    <row r="4643" spans="1:9" ht="51.75" customHeight="1" x14ac:dyDescent="0.35">
      <c r="A4643" s="15" t="s">
        <v>25663</v>
      </c>
      <c r="B4643" s="15" t="s">
        <v>34784</v>
      </c>
      <c r="C4643" s="15" t="s">
        <v>24199</v>
      </c>
      <c r="D4643" s="31">
        <v>41514</v>
      </c>
      <c r="E4643" s="15" t="s">
        <v>34400</v>
      </c>
      <c r="F4643" s="87" t="s">
        <v>21871</v>
      </c>
      <c r="G4643" s="45" t="s">
        <v>8210</v>
      </c>
      <c r="H4643" s="55" t="s">
        <v>8211</v>
      </c>
      <c r="I4643" s="15" t="s">
        <v>404</v>
      </c>
    </row>
    <row r="4644" spans="1:9" ht="51.75" customHeight="1" x14ac:dyDescent="0.35">
      <c r="A4644" s="15" t="s">
        <v>22983</v>
      </c>
      <c r="B4644" s="15" t="s">
        <v>34785</v>
      </c>
      <c r="C4644" s="15" t="s">
        <v>24205</v>
      </c>
      <c r="D4644" s="31">
        <v>41514</v>
      </c>
      <c r="E4644" s="15" t="s">
        <v>34786</v>
      </c>
      <c r="F4644" s="87" t="s">
        <v>21871</v>
      </c>
      <c r="G4644" s="45" t="s">
        <v>8210</v>
      </c>
      <c r="H4644" s="55" t="s">
        <v>8211</v>
      </c>
      <c r="I4644" s="15" t="s">
        <v>404</v>
      </c>
    </row>
    <row r="4645" spans="1:9" ht="51.75" customHeight="1" x14ac:dyDescent="0.35">
      <c r="A4645" s="15" t="s">
        <v>22186</v>
      </c>
      <c r="B4645" s="15" t="s">
        <v>34787</v>
      </c>
      <c r="C4645" s="15" t="s">
        <v>21892</v>
      </c>
      <c r="D4645" s="31">
        <v>41835</v>
      </c>
      <c r="E4645" s="15" t="s">
        <v>34788</v>
      </c>
      <c r="F4645" s="87" t="s">
        <v>21871</v>
      </c>
      <c r="G4645" s="45" t="s">
        <v>8372</v>
      </c>
      <c r="H4645" s="55" t="s">
        <v>8373</v>
      </c>
      <c r="I4645" s="15" t="s">
        <v>404</v>
      </c>
    </row>
    <row r="4646" spans="1:9" ht="51.75" customHeight="1" x14ac:dyDescent="0.35">
      <c r="A4646" s="15" t="s">
        <v>26128</v>
      </c>
      <c r="B4646" s="15" t="s">
        <v>34789</v>
      </c>
      <c r="C4646" s="15" t="s">
        <v>21896</v>
      </c>
      <c r="D4646" s="31">
        <v>41835</v>
      </c>
      <c r="E4646" s="15" t="s">
        <v>34677</v>
      </c>
      <c r="F4646" s="87" t="s">
        <v>21871</v>
      </c>
      <c r="G4646" s="45" t="s">
        <v>8372</v>
      </c>
      <c r="H4646" s="55" t="s">
        <v>8373</v>
      </c>
      <c r="I4646" s="15" t="s">
        <v>404</v>
      </c>
    </row>
    <row r="4647" spans="1:9" ht="51.75" customHeight="1" x14ac:dyDescent="0.35">
      <c r="A4647" s="15" t="s">
        <v>26132</v>
      </c>
      <c r="B4647" s="15" t="s">
        <v>34790</v>
      </c>
      <c r="C4647" s="15" t="s">
        <v>24243</v>
      </c>
      <c r="D4647" s="31">
        <v>41835</v>
      </c>
      <c r="E4647" s="15" t="s">
        <v>34791</v>
      </c>
      <c r="F4647" s="87" t="s">
        <v>21871</v>
      </c>
      <c r="G4647" s="45" t="s">
        <v>8372</v>
      </c>
      <c r="H4647" s="55" t="s">
        <v>8373</v>
      </c>
      <c r="I4647" s="15" t="s">
        <v>404</v>
      </c>
    </row>
    <row r="4648" spans="1:9" ht="51.75" customHeight="1" x14ac:dyDescent="0.35">
      <c r="A4648" s="15" t="s">
        <v>23598</v>
      </c>
      <c r="B4648" s="15" t="s">
        <v>34792</v>
      </c>
      <c r="C4648" s="15" t="s">
        <v>24199</v>
      </c>
      <c r="D4648" s="31">
        <v>41835</v>
      </c>
      <c r="E4648" s="15" t="s">
        <v>34793</v>
      </c>
      <c r="F4648" s="87" t="s">
        <v>21871</v>
      </c>
      <c r="G4648" s="45" t="s">
        <v>8372</v>
      </c>
      <c r="H4648" s="55" t="s">
        <v>8373</v>
      </c>
      <c r="I4648" s="15" t="s">
        <v>404</v>
      </c>
    </row>
    <row r="4649" spans="1:9" ht="51.75" customHeight="1" x14ac:dyDescent="0.35">
      <c r="A4649" s="15" t="s">
        <v>26528</v>
      </c>
      <c r="B4649" s="15" t="s">
        <v>34794</v>
      </c>
      <c r="C4649" s="15" t="s">
        <v>24205</v>
      </c>
      <c r="D4649" s="31">
        <v>41835</v>
      </c>
      <c r="E4649" s="15" t="s">
        <v>34469</v>
      </c>
      <c r="F4649" s="87" t="s">
        <v>21871</v>
      </c>
      <c r="G4649" s="45" t="s">
        <v>8372</v>
      </c>
      <c r="H4649" s="55" t="s">
        <v>8373</v>
      </c>
      <c r="I4649" s="15" t="s">
        <v>404</v>
      </c>
    </row>
    <row r="4650" spans="1:9" ht="51.75" customHeight="1" x14ac:dyDescent="0.35">
      <c r="A4650" s="15" t="s">
        <v>22937</v>
      </c>
      <c r="B4650" s="15" t="s">
        <v>34795</v>
      </c>
      <c r="C4650" s="15" t="s">
        <v>21892</v>
      </c>
      <c r="D4650" s="31">
        <v>41569</v>
      </c>
      <c r="E4650" s="15" t="s">
        <v>34796</v>
      </c>
      <c r="F4650" s="87" t="s">
        <v>21871</v>
      </c>
      <c r="G4650" s="45" t="s">
        <v>8331</v>
      </c>
      <c r="H4650" s="55" t="s">
        <v>8332</v>
      </c>
      <c r="I4650" s="15" t="s">
        <v>404</v>
      </c>
    </row>
    <row r="4651" spans="1:9" ht="51.75" customHeight="1" x14ac:dyDescent="0.35">
      <c r="A4651" s="15" t="s">
        <v>22941</v>
      </c>
      <c r="B4651" s="15" t="s">
        <v>34797</v>
      </c>
      <c r="C4651" s="15" t="s">
        <v>21896</v>
      </c>
      <c r="D4651" s="31">
        <v>41569</v>
      </c>
      <c r="E4651" s="15" t="s">
        <v>34677</v>
      </c>
      <c r="F4651" s="87" t="s">
        <v>21871</v>
      </c>
      <c r="G4651" s="45" t="s">
        <v>8331</v>
      </c>
      <c r="H4651" s="55" t="s">
        <v>8332</v>
      </c>
      <c r="I4651" s="15" t="s">
        <v>404</v>
      </c>
    </row>
    <row r="4652" spans="1:9" ht="51.75" customHeight="1" x14ac:dyDescent="0.35">
      <c r="A4652" s="15" t="s">
        <v>22902</v>
      </c>
      <c r="B4652" s="15" t="s">
        <v>34798</v>
      </c>
      <c r="C4652" s="15" t="s">
        <v>24243</v>
      </c>
      <c r="D4652" s="31">
        <v>41569</v>
      </c>
      <c r="E4652" s="15" t="s">
        <v>34791</v>
      </c>
      <c r="F4652" s="87" t="s">
        <v>21871</v>
      </c>
      <c r="G4652" s="45" t="s">
        <v>8331</v>
      </c>
      <c r="H4652" s="55" t="s">
        <v>8332</v>
      </c>
      <c r="I4652" s="15" t="s">
        <v>404</v>
      </c>
    </row>
    <row r="4653" spans="1:9" ht="51.75" customHeight="1" x14ac:dyDescent="0.35">
      <c r="A4653" s="15" t="s">
        <v>22906</v>
      </c>
      <c r="B4653" s="15" t="s">
        <v>34799</v>
      </c>
      <c r="C4653" s="15" t="s">
        <v>24199</v>
      </c>
      <c r="D4653" s="31">
        <v>41569</v>
      </c>
      <c r="E4653" s="15" t="s">
        <v>34793</v>
      </c>
      <c r="F4653" s="87" t="s">
        <v>21871</v>
      </c>
      <c r="G4653" s="45" t="s">
        <v>8331</v>
      </c>
      <c r="H4653" s="55" t="s">
        <v>8332</v>
      </c>
      <c r="I4653" s="15" t="s">
        <v>404</v>
      </c>
    </row>
    <row r="4654" spans="1:9" ht="51.75" customHeight="1" x14ac:dyDescent="0.35">
      <c r="A4654" s="15" t="s">
        <v>22910</v>
      </c>
      <c r="B4654" s="15" t="s">
        <v>34800</v>
      </c>
      <c r="C4654" s="15" t="s">
        <v>24205</v>
      </c>
      <c r="D4654" s="31">
        <v>41569</v>
      </c>
      <c r="E4654" s="15" t="s">
        <v>34469</v>
      </c>
      <c r="F4654" s="87" t="s">
        <v>21871</v>
      </c>
      <c r="G4654" s="45" t="s">
        <v>8331</v>
      </c>
      <c r="H4654" s="55" t="s">
        <v>8332</v>
      </c>
      <c r="I4654" s="15" t="s">
        <v>404</v>
      </c>
    </row>
    <row r="4655" spans="1:9" ht="51.75" customHeight="1" x14ac:dyDescent="0.35">
      <c r="A4655" s="15" t="s">
        <v>33345</v>
      </c>
      <c r="B4655" s="15" t="s">
        <v>34801</v>
      </c>
      <c r="C4655" s="15" t="s">
        <v>21892</v>
      </c>
      <c r="D4655" s="31">
        <v>41500</v>
      </c>
      <c r="E4655" s="15" t="s">
        <v>34802</v>
      </c>
      <c r="F4655" s="87" t="s">
        <v>21871</v>
      </c>
      <c r="G4655" s="45" t="s">
        <v>8394</v>
      </c>
      <c r="H4655" s="55" t="s">
        <v>8395</v>
      </c>
      <c r="I4655" s="15" t="s">
        <v>404</v>
      </c>
    </row>
    <row r="4656" spans="1:9" ht="51.75" customHeight="1" x14ac:dyDescent="0.35">
      <c r="A4656" s="15" t="s">
        <v>33349</v>
      </c>
      <c r="B4656" s="15" t="s">
        <v>34803</v>
      </c>
      <c r="C4656" s="15" t="s">
        <v>21896</v>
      </c>
      <c r="D4656" s="31">
        <v>41500</v>
      </c>
      <c r="E4656" s="15" t="s">
        <v>34804</v>
      </c>
      <c r="F4656" s="87" t="s">
        <v>21871</v>
      </c>
      <c r="G4656" s="45" t="s">
        <v>8394</v>
      </c>
      <c r="H4656" s="55" t="s">
        <v>8395</v>
      </c>
      <c r="I4656" s="15" t="s">
        <v>404</v>
      </c>
    </row>
    <row r="4657" spans="1:9" ht="51.75" customHeight="1" x14ac:dyDescent="0.35">
      <c r="A4657" s="15" t="s">
        <v>23636</v>
      </c>
      <c r="B4657" s="15" t="s">
        <v>34805</v>
      </c>
      <c r="C4657" s="15" t="s">
        <v>24243</v>
      </c>
      <c r="D4657" s="31">
        <v>41500</v>
      </c>
      <c r="E4657" s="15" t="s">
        <v>34806</v>
      </c>
      <c r="F4657" s="87" t="s">
        <v>21871</v>
      </c>
      <c r="G4657" s="45" t="s">
        <v>8394</v>
      </c>
      <c r="H4657" s="55" t="s">
        <v>8395</v>
      </c>
      <c r="I4657" s="15" t="s">
        <v>404</v>
      </c>
    </row>
    <row r="4658" spans="1:9" ht="51.75" customHeight="1" x14ac:dyDescent="0.35">
      <c r="A4658" s="15" t="s">
        <v>22179</v>
      </c>
      <c r="B4658" s="15" t="s">
        <v>34807</v>
      </c>
      <c r="C4658" s="15" t="s">
        <v>21892</v>
      </c>
      <c r="D4658" s="31">
        <v>41578</v>
      </c>
      <c r="E4658" s="15" t="s">
        <v>34808</v>
      </c>
      <c r="F4658" s="87" t="s">
        <v>21871</v>
      </c>
      <c r="G4658" s="45" t="s">
        <v>8388</v>
      </c>
      <c r="H4658" s="55" t="s">
        <v>8389</v>
      </c>
      <c r="I4658" s="15" t="s">
        <v>404</v>
      </c>
    </row>
    <row r="4659" spans="1:9" ht="51.75" customHeight="1" x14ac:dyDescent="0.35">
      <c r="A4659" s="15" t="s">
        <v>25451</v>
      </c>
      <c r="B4659" s="15" t="s">
        <v>34809</v>
      </c>
      <c r="C4659" s="15" t="s">
        <v>21896</v>
      </c>
      <c r="D4659" s="31">
        <v>41578</v>
      </c>
      <c r="E4659" s="15" t="s">
        <v>34810</v>
      </c>
      <c r="F4659" s="87" t="s">
        <v>21871</v>
      </c>
      <c r="G4659" s="45" t="s">
        <v>8388</v>
      </c>
      <c r="H4659" s="55" t="s">
        <v>8389</v>
      </c>
      <c r="I4659" s="15" t="s">
        <v>404</v>
      </c>
    </row>
    <row r="4660" spans="1:9" ht="51.75" customHeight="1" x14ac:dyDescent="0.35">
      <c r="A4660" s="15" t="s">
        <v>22809</v>
      </c>
      <c r="B4660" s="15" t="s">
        <v>34811</v>
      </c>
      <c r="C4660" s="15" t="s">
        <v>21892</v>
      </c>
      <c r="D4660" s="31">
        <v>41800</v>
      </c>
      <c r="E4660" s="15" t="s">
        <v>34812</v>
      </c>
      <c r="F4660" s="87" t="s">
        <v>21871</v>
      </c>
      <c r="G4660" s="45" t="s">
        <v>8528</v>
      </c>
      <c r="H4660" s="55" t="s">
        <v>8529</v>
      </c>
      <c r="I4660" s="15" t="s">
        <v>404</v>
      </c>
    </row>
    <row r="4661" spans="1:9" ht="51.75" customHeight="1" x14ac:dyDescent="0.35">
      <c r="A4661" s="15" t="s">
        <v>22813</v>
      </c>
      <c r="B4661" s="15" t="s">
        <v>34813</v>
      </c>
      <c r="C4661" s="15" t="s">
        <v>21896</v>
      </c>
      <c r="D4661" s="31">
        <v>41800</v>
      </c>
      <c r="E4661" s="15" t="s">
        <v>34814</v>
      </c>
      <c r="F4661" s="87" t="s">
        <v>21871</v>
      </c>
      <c r="G4661" s="45" t="s">
        <v>8528</v>
      </c>
      <c r="H4661" s="55" t="s">
        <v>8529</v>
      </c>
      <c r="I4661" s="15" t="s">
        <v>404</v>
      </c>
    </row>
    <row r="4662" spans="1:9" ht="51.75" customHeight="1" x14ac:dyDescent="0.35">
      <c r="A4662" s="15" t="s">
        <v>22817</v>
      </c>
      <c r="B4662" s="15" t="s">
        <v>34815</v>
      </c>
      <c r="C4662" s="15" t="s">
        <v>24243</v>
      </c>
      <c r="D4662" s="31">
        <v>41800</v>
      </c>
      <c r="E4662" s="15" t="s">
        <v>34816</v>
      </c>
      <c r="F4662" s="87" t="s">
        <v>21871</v>
      </c>
      <c r="G4662" s="45" t="s">
        <v>8528</v>
      </c>
      <c r="H4662" s="55" t="s">
        <v>8529</v>
      </c>
      <c r="I4662" s="15" t="s">
        <v>404</v>
      </c>
    </row>
    <row r="4663" spans="1:9" ht="51.75" customHeight="1" x14ac:dyDescent="0.35">
      <c r="A4663" s="15" t="s">
        <v>23240</v>
      </c>
      <c r="B4663" s="15" t="s">
        <v>34817</v>
      </c>
      <c r="C4663" s="15" t="s">
        <v>21892</v>
      </c>
      <c r="D4663" s="31">
        <v>41604</v>
      </c>
      <c r="E4663" s="15" t="s">
        <v>34818</v>
      </c>
      <c r="F4663" s="87" t="s">
        <v>21871</v>
      </c>
      <c r="G4663" s="45" t="s">
        <v>8557</v>
      </c>
      <c r="H4663" s="55" t="s">
        <v>8558</v>
      </c>
      <c r="I4663" s="15" t="s">
        <v>404</v>
      </c>
    </row>
    <row r="4664" spans="1:9" ht="51.75" customHeight="1" x14ac:dyDescent="0.35">
      <c r="A4664" s="15" t="s">
        <v>23246</v>
      </c>
      <c r="B4664" s="15" t="s">
        <v>34819</v>
      </c>
      <c r="C4664" s="15" t="s">
        <v>21896</v>
      </c>
      <c r="D4664" s="31">
        <v>41604</v>
      </c>
      <c r="E4664" s="15" t="s">
        <v>34820</v>
      </c>
      <c r="F4664" s="87" t="s">
        <v>21871</v>
      </c>
      <c r="G4664" s="45" t="s">
        <v>8557</v>
      </c>
      <c r="H4664" s="55" t="s">
        <v>8558</v>
      </c>
      <c r="I4664" s="15" t="s">
        <v>404</v>
      </c>
    </row>
    <row r="4665" spans="1:9" ht="51.75" customHeight="1" x14ac:dyDescent="0.35">
      <c r="A4665" s="15" t="s">
        <v>23252</v>
      </c>
      <c r="B4665" s="15" t="s">
        <v>34821</v>
      </c>
      <c r="C4665" s="15" t="s">
        <v>24243</v>
      </c>
      <c r="D4665" s="31">
        <v>41604</v>
      </c>
      <c r="E4665" s="15" t="s">
        <v>34822</v>
      </c>
      <c r="F4665" s="87" t="s">
        <v>21871</v>
      </c>
      <c r="G4665" s="45" t="s">
        <v>8557</v>
      </c>
      <c r="H4665" s="55" t="s">
        <v>8558</v>
      </c>
      <c r="I4665" s="15" t="s">
        <v>404</v>
      </c>
    </row>
    <row r="4666" spans="1:9" ht="51.75" customHeight="1" x14ac:dyDescent="0.35">
      <c r="A4666" s="15" t="s">
        <v>25439</v>
      </c>
      <c r="B4666" s="15" t="s">
        <v>34823</v>
      </c>
      <c r="C4666" s="15" t="s">
        <v>21892</v>
      </c>
      <c r="D4666" s="31">
        <v>41571</v>
      </c>
      <c r="E4666" s="15" t="s">
        <v>34824</v>
      </c>
      <c r="F4666" s="87" t="s">
        <v>21871</v>
      </c>
      <c r="G4666" s="45" t="s">
        <v>8586</v>
      </c>
      <c r="H4666" s="55" t="s">
        <v>8587</v>
      </c>
      <c r="I4666" s="15" t="s">
        <v>404</v>
      </c>
    </row>
    <row r="4667" spans="1:9" ht="51.75" customHeight="1" x14ac:dyDescent="0.35">
      <c r="A4667" s="15" t="s">
        <v>25442</v>
      </c>
      <c r="B4667" s="15" t="s">
        <v>34825</v>
      </c>
      <c r="C4667" s="15" t="s">
        <v>21896</v>
      </c>
      <c r="D4667" s="31">
        <v>41571</v>
      </c>
      <c r="E4667" s="15" t="s">
        <v>34826</v>
      </c>
      <c r="F4667" s="87" t="s">
        <v>21871</v>
      </c>
      <c r="G4667" s="45" t="s">
        <v>8586</v>
      </c>
      <c r="H4667" s="55" t="s">
        <v>8587</v>
      </c>
      <c r="I4667" s="15" t="s">
        <v>404</v>
      </c>
    </row>
    <row r="4668" spans="1:9" ht="51.75" customHeight="1" x14ac:dyDescent="0.35">
      <c r="A4668" s="15" t="s">
        <v>22175</v>
      </c>
      <c r="B4668" s="15" t="s">
        <v>34827</v>
      </c>
      <c r="C4668" s="15" t="s">
        <v>24243</v>
      </c>
      <c r="D4668" s="31">
        <v>41571</v>
      </c>
      <c r="E4668" s="15" t="s">
        <v>34777</v>
      </c>
      <c r="F4668" s="87" t="s">
        <v>21871</v>
      </c>
      <c r="G4668" s="45" t="s">
        <v>8586</v>
      </c>
      <c r="H4668" s="55" t="s">
        <v>8587</v>
      </c>
      <c r="I4668" s="15" t="s">
        <v>404</v>
      </c>
    </row>
    <row r="4669" spans="1:9" ht="51.75" customHeight="1" x14ac:dyDescent="0.35">
      <c r="A4669" s="15" t="s">
        <v>24623</v>
      </c>
      <c r="B4669" s="15" t="s">
        <v>34828</v>
      </c>
      <c r="C4669" s="15" t="s">
        <v>21892</v>
      </c>
      <c r="D4669" s="31">
        <v>41711</v>
      </c>
      <c r="E4669" s="15" t="s">
        <v>34829</v>
      </c>
      <c r="F4669" s="87" t="s">
        <v>21871</v>
      </c>
      <c r="G4669" s="45" t="s">
        <v>8479</v>
      </c>
      <c r="H4669" s="55" t="s">
        <v>8480</v>
      </c>
      <c r="I4669" s="15" t="s">
        <v>404</v>
      </c>
    </row>
    <row r="4670" spans="1:9" ht="51.75" customHeight="1" x14ac:dyDescent="0.35">
      <c r="A4670" s="15" t="s">
        <v>24629</v>
      </c>
      <c r="B4670" s="15" t="s">
        <v>34830</v>
      </c>
      <c r="C4670" s="15" t="s">
        <v>21896</v>
      </c>
      <c r="D4670" s="31">
        <v>41711</v>
      </c>
      <c r="E4670" s="15" t="s">
        <v>34831</v>
      </c>
      <c r="F4670" s="87" t="s">
        <v>21871</v>
      </c>
      <c r="G4670" s="45" t="s">
        <v>8479</v>
      </c>
      <c r="H4670" s="55" t="s">
        <v>8480</v>
      </c>
      <c r="I4670" s="15" t="s">
        <v>404</v>
      </c>
    </row>
    <row r="4671" spans="1:9" ht="51.75" customHeight="1" x14ac:dyDescent="0.35">
      <c r="A4671" s="15" t="s">
        <v>22918</v>
      </c>
      <c r="B4671" s="15" t="s">
        <v>34832</v>
      </c>
      <c r="C4671" s="15" t="s">
        <v>21892</v>
      </c>
      <c r="D4671" s="31">
        <v>41540</v>
      </c>
      <c r="E4671" s="15" t="s">
        <v>34833</v>
      </c>
      <c r="F4671" s="87" t="s">
        <v>21871</v>
      </c>
      <c r="G4671" s="45" t="s">
        <v>8592</v>
      </c>
      <c r="H4671" s="55" t="s">
        <v>8593</v>
      </c>
      <c r="I4671" s="15" t="s">
        <v>404</v>
      </c>
    </row>
    <row r="4672" spans="1:9" ht="51.75" customHeight="1" x14ac:dyDescent="0.35">
      <c r="A4672" s="15" t="s">
        <v>26822</v>
      </c>
      <c r="B4672" s="15" t="s">
        <v>34834</v>
      </c>
      <c r="C4672" s="15" t="s">
        <v>21896</v>
      </c>
      <c r="D4672" s="31">
        <v>41540</v>
      </c>
      <c r="E4672" s="15" t="s">
        <v>34835</v>
      </c>
      <c r="F4672" s="87" t="s">
        <v>21871</v>
      </c>
      <c r="G4672" s="45" t="s">
        <v>8592</v>
      </c>
      <c r="H4672" s="55" t="s">
        <v>8593</v>
      </c>
      <c r="I4672" s="15" t="s">
        <v>404</v>
      </c>
    </row>
    <row r="4673" spans="1:9" ht="51.75" customHeight="1" x14ac:dyDescent="0.35">
      <c r="A4673" s="15" t="s">
        <v>26828</v>
      </c>
      <c r="B4673" s="15" t="s">
        <v>34836</v>
      </c>
      <c r="C4673" s="15" t="s">
        <v>24243</v>
      </c>
      <c r="D4673" s="31">
        <v>41540</v>
      </c>
      <c r="E4673" s="15" t="s">
        <v>34837</v>
      </c>
      <c r="F4673" s="87" t="s">
        <v>21871</v>
      </c>
      <c r="G4673" s="45" t="s">
        <v>8592</v>
      </c>
      <c r="H4673" s="55" t="s">
        <v>8593</v>
      </c>
      <c r="I4673" s="15" t="s">
        <v>404</v>
      </c>
    </row>
    <row r="4674" spans="1:9" ht="51.75" customHeight="1" x14ac:dyDescent="0.35">
      <c r="A4674" s="15" t="s">
        <v>22922</v>
      </c>
      <c r="B4674" s="15" t="s">
        <v>34838</v>
      </c>
      <c r="C4674" s="15" t="s">
        <v>24199</v>
      </c>
      <c r="D4674" s="31">
        <v>41540</v>
      </c>
      <c r="E4674" s="15" t="s">
        <v>34839</v>
      </c>
      <c r="F4674" s="87" t="s">
        <v>21871</v>
      </c>
      <c r="G4674" s="45" t="s">
        <v>8592</v>
      </c>
      <c r="H4674" s="55" t="s">
        <v>8593</v>
      </c>
      <c r="I4674" s="15" t="s">
        <v>404</v>
      </c>
    </row>
    <row r="4675" spans="1:9" ht="51.75" customHeight="1" x14ac:dyDescent="0.35">
      <c r="A4675" s="15" t="s">
        <v>22746</v>
      </c>
      <c r="B4675" s="15" t="s">
        <v>34840</v>
      </c>
      <c r="C4675" s="15" t="s">
        <v>21892</v>
      </c>
      <c r="D4675" s="31">
        <v>41612</v>
      </c>
      <c r="E4675" s="15" t="s">
        <v>34841</v>
      </c>
      <c r="F4675" s="87" t="s">
        <v>21871</v>
      </c>
      <c r="G4675" s="45" t="s">
        <v>8664</v>
      </c>
      <c r="H4675" s="55" t="s">
        <v>8665</v>
      </c>
      <c r="I4675" s="15" t="s">
        <v>404</v>
      </c>
    </row>
    <row r="4676" spans="1:9" ht="51.75" customHeight="1" x14ac:dyDescent="0.35">
      <c r="A4676" s="15" t="s">
        <v>22750</v>
      </c>
      <c r="B4676" s="15" t="s">
        <v>34842</v>
      </c>
      <c r="C4676" s="15" t="s">
        <v>21896</v>
      </c>
      <c r="D4676" s="31">
        <v>41612</v>
      </c>
      <c r="E4676" s="15" t="s">
        <v>34843</v>
      </c>
      <c r="F4676" s="87" t="s">
        <v>21871</v>
      </c>
      <c r="G4676" s="45" t="s">
        <v>8664</v>
      </c>
      <c r="H4676" s="55" t="s">
        <v>8665</v>
      </c>
      <c r="I4676" s="15" t="s">
        <v>404</v>
      </c>
    </row>
    <row r="4677" spans="1:9" ht="51.75" customHeight="1" x14ac:dyDescent="0.35">
      <c r="A4677" s="15" t="s">
        <v>22754</v>
      </c>
      <c r="B4677" s="15" t="s">
        <v>34844</v>
      </c>
      <c r="C4677" s="15" t="s">
        <v>24243</v>
      </c>
      <c r="D4677" s="31">
        <v>41612</v>
      </c>
      <c r="E4677" s="15" t="s">
        <v>34845</v>
      </c>
      <c r="F4677" s="87" t="s">
        <v>21871</v>
      </c>
      <c r="G4677" s="45" t="s">
        <v>8664</v>
      </c>
      <c r="H4677" s="55" t="s">
        <v>8665</v>
      </c>
      <c r="I4677" s="15" t="s">
        <v>404</v>
      </c>
    </row>
    <row r="4678" spans="1:9" ht="51.75" customHeight="1" x14ac:dyDescent="0.35">
      <c r="A4678" s="15" t="s">
        <v>22007</v>
      </c>
      <c r="B4678" s="15" t="s">
        <v>34846</v>
      </c>
      <c r="C4678" s="15" t="s">
        <v>24199</v>
      </c>
      <c r="D4678" s="31">
        <v>41612</v>
      </c>
      <c r="E4678" s="15" t="s">
        <v>34847</v>
      </c>
      <c r="F4678" s="87" t="s">
        <v>21871</v>
      </c>
      <c r="G4678" s="45" t="s">
        <v>8664</v>
      </c>
      <c r="H4678" s="55" t="s">
        <v>8665</v>
      </c>
      <c r="I4678" s="15" t="s">
        <v>404</v>
      </c>
    </row>
    <row r="4679" spans="1:9" ht="51.75" customHeight="1" x14ac:dyDescent="0.35">
      <c r="A4679" s="15" t="s">
        <v>23804</v>
      </c>
      <c r="B4679" s="15" t="s">
        <v>34848</v>
      </c>
      <c r="C4679" s="15" t="s">
        <v>24205</v>
      </c>
      <c r="D4679" s="31">
        <v>41612</v>
      </c>
      <c r="E4679" s="15" t="s">
        <v>34849</v>
      </c>
      <c r="F4679" s="87" t="s">
        <v>21871</v>
      </c>
      <c r="G4679" s="45" t="s">
        <v>8664</v>
      </c>
      <c r="H4679" s="55" t="s">
        <v>8665</v>
      </c>
      <c r="I4679" s="15" t="s">
        <v>404</v>
      </c>
    </row>
    <row r="4680" spans="1:9" ht="51.75" customHeight="1" x14ac:dyDescent="0.35">
      <c r="A4680" s="15" t="s">
        <v>23420</v>
      </c>
      <c r="B4680" s="15" t="s">
        <v>34850</v>
      </c>
      <c r="C4680" s="15" t="s">
        <v>24257</v>
      </c>
      <c r="D4680" s="31">
        <v>41612</v>
      </c>
      <c r="E4680" s="15" t="s">
        <v>34851</v>
      </c>
      <c r="F4680" s="87" t="s">
        <v>21871</v>
      </c>
      <c r="G4680" s="45" t="s">
        <v>8664</v>
      </c>
      <c r="H4680" s="55" t="s">
        <v>8665</v>
      </c>
      <c r="I4680" s="15" t="s">
        <v>404</v>
      </c>
    </row>
    <row r="4681" spans="1:9" ht="51.75" customHeight="1" x14ac:dyDescent="0.35">
      <c r="A4681" s="15" t="s">
        <v>24503</v>
      </c>
      <c r="B4681" s="15" t="s">
        <v>34852</v>
      </c>
      <c r="C4681" s="15" t="s">
        <v>21892</v>
      </c>
      <c r="D4681" s="31">
        <v>41654</v>
      </c>
      <c r="E4681" s="15" t="s">
        <v>34853</v>
      </c>
      <c r="F4681" s="87" t="s">
        <v>21871</v>
      </c>
      <c r="G4681" s="45" t="s">
        <v>8680</v>
      </c>
      <c r="H4681" s="55" t="s">
        <v>8681</v>
      </c>
      <c r="I4681" s="15" t="s">
        <v>404</v>
      </c>
    </row>
    <row r="4682" spans="1:9" ht="51.75" customHeight="1" x14ac:dyDescent="0.35">
      <c r="A4682" s="15" t="s">
        <v>25173</v>
      </c>
      <c r="B4682" s="15" t="s">
        <v>34854</v>
      </c>
      <c r="C4682" s="15" t="s">
        <v>21896</v>
      </c>
      <c r="D4682" s="31">
        <v>41654</v>
      </c>
      <c r="E4682" s="15" t="s">
        <v>34855</v>
      </c>
      <c r="F4682" s="87" t="s">
        <v>21871</v>
      </c>
      <c r="G4682" s="45" t="s">
        <v>8680</v>
      </c>
      <c r="H4682" s="55" t="s">
        <v>8681</v>
      </c>
      <c r="I4682" s="15" t="s">
        <v>404</v>
      </c>
    </row>
    <row r="4683" spans="1:9" ht="51.75" customHeight="1" x14ac:dyDescent="0.35">
      <c r="A4683" s="15" t="s">
        <v>26296</v>
      </c>
      <c r="B4683" s="15" t="s">
        <v>34856</v>
      </c>
      <c r="C4683" s="15" t="s">
        <v>24243</v>
      </c>
      <c r="D4683" s="31">
        <v>41654</v>
      </c>
      <c r="E4683" s="15" t="s">
        <v>34857</v>
      </c>
      <c r="F4683" s="87" t="s">
        <v>21871</v>
      </c>
      <c r="G4683" s="45" t="s">
        <v>8680</v>
      </c>
      <c r="H4683" s="55" t="s">
        <v>8681</v>
      </c>
      <c r="I4683" s="15" t="s">
        <v>404</v>
      </c>
    </row>
    <row r="4684" spans="1:9" ht="51.75" customHeight="1" x14ac:dyDescent="0.35">
      <c r="A4684" s="15" t="s">
        <v>24768</v>
      </c>
      <c r="B4684" s="15" t="s">
        <v>34858</v>
      </c>
      <c r="C4684" s="15" t="s">
        <v>24199</v>
      </c>
      <c r="D4684" s="31">
        <v>41654</v>
      </c>
      <c r="E4684" s="15" t="s">
        <v>34859</v>
      </c>
      <c r="F4684" s="87" t="s">
        <v>21871</v>
      </c>
      <c r="G4684" s="45" t="s">
        <v>8680</v>
      </c>
      <c r="H4684" s="55" t="s">
        <v>8681</v>
      </c>
      <c r="I4684" s="15" t="s">
        <v>404</v>
      </c>
    </row>
    <row r="4685" spans="1:9" ht="51.75" customHeight="1" x14ac:dyDescent="0.35">
      <c r="A4685" s="15" t="s">
        <v>24774</v>
      </c>
      <c r="B4685" s="15" t="s">
        <v>34860</v>
      </c>
      <c r="C4685" s="15" t="s">
        <v>24205</v>
      </c>
      <c r="D4685" s="31">
        <v>41654</v>
      </c>
      <c r="E4685" s="15" t="s">
        <v>34861</v>
      </c>
      <c r="F4685" s="87" t="s">
        <v>21871</v>
      </c>
      <c r="G4685" s="45" t="s">
        <v>8680</v>
      </c>
      <c r="H4685" s="55" t="s">
        <v>8681</v>
      </c>
      <c r="I4685" s="15" t="s">
        <v>404</v>
      </c>
    </row>
    <row r="4686" spans="1:9" ht="51.75" customHeight="1" x14ac:dyDescent="0.35">
      <c r="A4686" s="15" t="s">
        <v>24780</v>
      </c>
      <c r="B4686" s="15" t="s">
        <v>34862</v>
      </c>
      <c r="C4686" s="15" t="s">
        <v>24257</v>
      </c>
      <c r="D4686" s="31">
        <v>41654</v>
      </c>
      <c r="E4686" s="15" t="s">
        <v>34863</v>
      </c>
      <c r="F4686" s="87" t="s">
        <v>21871</v>
      </c>
      <c r="G4686" s="45" t="s">
        <v>8680</v>
      </c>
      <c r="H4686" s="55" t="s">
        <v>8681</v>
      </c>
      <c r="I4686" s="15" t="s">
        <v>404</v>
      </c>
    </row>
    <row r="4687" spans="1:9" ht="51.75" customHeight="1" x14ac:dyDescent="0.35">
      <c r="A4687" s="15" t="s">
        <v>24786</v>
      </c>
      <c r="B4687" s="15" t="s">
        <v>34864</v>
      </c>
      <c r="C4687" s="15" t="s">
        <v>24263</v>
      </c>
      <c r="D4687" s="31">
        <v>41654</v>
      </c>
      <c r="E4687" s="15" t="s">
        <v>34469</v>
      </c>
      <c r="F4687" s="87" t="s">
        <v>21871</v>
      </c>
      <c r="G4687" s="45" t="s">
        <v>8680</v>
      </c>
      <c r="H4687" s="55" t="s">
        <v>8681</v>
      </c>
      <c r="I4687" s="15" t="s">
        <v>404</v>
      </c>
    </row>
    <row r="4688" spans="1:9" ht="51.75" customHeight="1" x14ac:dyDescent="0.35">
      <c r="A4688" s="15" t="s">
        <v>22091</v>
      </c>
      <c r="B4688" s="15" t="s">
        <v>34865</v>
      </c>
      <c r="C4688" s="15" t="s">
        <v>21892</v>
      </c>
      <c r="D4688" s="31">
        <v>41778</v>
      </c>
      <c r="E4688" s="15" t="s">
        <v>34866</v>
      </c>
      <c r="F4688" s="87" t="s">
        <v>21871</v>
      </c>
      <c r="G4688" s="45" t="s">
        <v>8574</v>
      </c>
      <c r="H4688" s="55" t="s">
        <v>8575</v>
      </c>
      <c r="I4688" s="15" t="s">
        <v>404</v>
      </c>
    </row>
    <row r="4689" spans="1:9" ht="51.75" customHeight="1" x14ac:dyDescent="0.35">
      <c r="A4689" s="15" t="s">
        <v>25689</v>
      </c>
      <c r="B4689" s="15" t="s">
        <v>34867</v>
      </c>
      <c r="C4689" s="15" t="s">
        <v>21896</v>
      </c>
      <c r="D4689" s="31">
        <v>41778</v>
      </c>
      <c r="E4689" s="15" t="s">
        <v>34677</v>
      </c>
      <c r="F4689" s="87" t="s">
        <v>21871</v>
      </c>
      <c r="G4689" s="45" t="s">
        <v>8574</v>
      </c>
      <c r="H4689" s="55" t="s">
        <v>8575</v>
      </c>
      <c r="I4689" s="15" t="s">
        <v>404</v>
      </c>
    </row>
    <row r="4690" spans="1:9" ht="51.75" customHeight="1" x14ac:dyDescent="0.35">
      <c r="A4690" s="15" t="s">
        <v>25695</v>
      </c>
      <c r="B4690" s="15" t="s">
        <v>34868</v>
      </c>
      <c r="C4690" s="15" t="s">
        <v>24243</v>
      </c>
      <c r="D4690" s="31">
        <v>41778</v>
      </c>
      <c r="E4690" s="15" t="s">
        <v>34791</v>
      </c>
      <c r="F4690" s="87" t="s">
        <v>21871</v>
      </c>
      <c r="G4690" s="45" t="s">
        <v>8574</v>
      </c>
      <c r="H4690" s="55" t="s">
        <v>8575</v>
      </c>
      <c r="I4690" s="15" t="s">
        <v>404</v>
      </c>
    </row>
    <row r="4691" spans="1:9" ht="51.75" customHeight="1" x14ac:dyDescent="0.35">
      <c r="A4691" s="15" t="s">
        <v>33320</v>
      </c>
      <c r="B4691" s="15" t="s">
        <v>34869</v>
      </c>
      <c r="C4691" s="15" t="s">
        <v>24199</v>
      </c>
      <c r="D4691" s="31">
        <v>41778</v>
      </c>
      <c r="E4691" s="15" t="s">
        <v>34793</v>
      </c>
      <c r="F4691" s="87" t="s">
        <v>21871</v>
      </c>
      <c r="G4691" s="45" t="s">
        <v>8574</v>
      </c>
      <c r="H4691" s="55" t="s">
        <v>8575</v>
      </c>
      <c r="I4691" s="15" t="s">
        <v>404</v>
      </c>
    </row>
    <row r="4692" spans="1:9" ht="51.75" customHeight="1" x14ac:dyDescent="0.35">
      <c r="A4692" s="15" t="s">
        <v>29317</v>
      </c>
      <c r="B4692" s="15" t="s">
        <v>34870</v>
      </c>
      <c r="C4692" s="15" t="s">
        <v>24205</v>
      </c>
      <c r="D4692" s="31">
        <v>41778</v>
      </c>
      <c r="E4692" s="15" t="s">
        <v>34469</v>
      </c>
      <c r="F4692" s="87" t="s">
        <v>21871</v>
      </c>
      <c r="G4692" s="45" t="s">
        <v>8574</v>
      </c>
      <c r="H4692" s="55" t="s">
        <v>8575</v>
      </c>
      <c r="I4692" s="15" t="s">
        <v>404</v>
      </c>
    </row>
    <row r="4693" spans="1:9" ht="51.75" customHeight="1" x14ac:dyDescent="0.35">
      <c r="A4693" s="15" t="s">
        <v>25507</v>
      </c>
      <c r="B4693" s="15" t="s">
        <v>34871</v>
      </c>
      <c r="C4693" s="15" t="s">
        <v>21892</v>
      </c>
      <c r="D4693" s="31">
        <v>41579</v>
      </c>
      <c r="E4693" s="15" t="s">
        <v>34872</v>
      </c>
      <c r="F4693" s="87" t="s">
        <v>21871</v>
      </c>
      <c r="G4693" s="45" t="s">
        <v>8739</v>
      </c>
      <c r="H4693" s="55" t="s">
        <v>8740</v>
      </c>
      <c r="I4693" s="15" t="s">
        <v>404</v>
      </c>
    </row>
    <row r="4694" spans="1:9" ht="51.75" customHeight="1" x14ac:dyDescent="0.35">
      <c r="A4694" s="15" t="s">
        <v>25974</v>
      </c>
      <c r="B4694" s="15" t="s">
        <v>34873</v>
      </c>
      <c r="C4694" s="15" t="s">
        <v>21896</v>
      </c>
      <c r="D4694" s="31">
        <v>41579</v>
      </c>
      <c r="E4694" s="15" t="s">
        <v>34874</v>
      </c>
      <c r="F4694" s="87" t="s">
        <v>21871</v>
      </c>
      <c r="G4694" s="45" t="s">
        <v>8739</v>
      </c>
      <c r="H4694" s="55" t="s">
        <v>8740</v>
      </c>
      <c r="I4694" s="15" t="s">
        <v>404</v>
      </c>
    </row>
    <row r="4695" spans="1:9" ht="51.75" customHeight="1" x14ac:dyDescent="0.35">
      <c r="A4695" s="15" t="s">
        <v>25980</v>
      </c>
      <c r="B4695" s="15" t="s">
        <v>34875</v>
      </c>
      <c r="C4695" s="15" t="s">
        <v>24243</v>
      </c>
      <c r="D4695" s="31">
        <v>41579</v>
      </c>
      <c r="E4695" s="15" t="s">
        <v>34876</v>
      </c>
      <c r="F4695" s="87" t="s">
        <v>21871</v>
      </c>
      <c r="G4695" s="45" t="s">
        <v>8739</v>
      </c>
      <c r="H4695" s="55" t="s">
        <v>8740</v>
      </c>
      <c r="I4695" s="15" t="s">
        <v>404</v>
      </c>
    </row>
    <row r="4696" spans="1:9" ht="51.75" customHeight="1" x14ac:dyDescent="0.35">
      <c r="A4696" s="15" t="s">
        <v>25986</v>
      </c>
      <c r="B4696" s="15" t="s">
        <v>34877</v>
      </c>
      <c r="C4696" s="15" t="s">
        <v>24199</v>
      </c>
      <c r="D4696" s="31">
        <v>41579</v>
      </c>
      <c r="E4696" s="15" t="s">
        <v>34878</v>
      </c>
      <c r="F4696" s="87" t="s">
        <v>21871</v>
      </c>
      <c r="G4696" s="45" t="s">
        <v>8739</v>
      </c>
      <c r="H4696" s="55" t="s">
        <v>8740</v>
      </c>
      <c r="I4696" s="15" t="s">
        <v>404</v>
      </c>
    </row>
    <row r="4697" spans="1:9" ht="51.75" customHeight="1" x14ac:dyDescent="0.35">
      <c r="A4697" s="15" t="s">
        <v>25992</v>
      </c>
      <c r="B4697" s="15" t="s">
        <v>34879</v>
      </c>
      <c r="C4697" s="15" t="s">
        <v>24205</v>
      </c>
      <c r="D4697" s="31">
        <v>41579</v>
      </c>
      <c r="E4697" s="15" t="s">
        <v>34880</v>
      </c>
      <c r="F4697" s="87" t="s">
        <v>21871</v>
      </c>
      <c r="G4697" s="45" t="s">
        <v>8739</v>
      </c>
      <c r="H4697" s="55" t="s">
        <v>8740</v>
      </c>
      <c r="I4697" s="15" t="s">
        <v>404</v>
      </c>
    </row>
    <row r="4698" spans="1:9" ht="51.75" customHeight="1" x14ac:dyDescent="0.35">
      <c r="A4698" s="15" t="s">
        <v>22825</v>
      </c>
      <c r="B4698" s="15" t="s">
        <v>34881</v>
      </c>
      <c r="C4698" s="15" t="s">
        <v>24257</v>
      </c>
      <c r="D4698" s="31">
        <v>41579</v>
      </c>
      <c r="E4698" s="15" t="s">
        <v>34882</v>
      </c>
      <c r="F4698" s="87" t="s">
        <v>21871</v>
      </c>
      <c r="G4698" s="45" t="s">
        <v>8739</v>
      </c>
      <c r="H4698" s="55" t="s">
        <v>8740</v>
      </c>
      <c r="I4698" s="15" t="s">
        <v>404</v>
      </c>
    </row>
    <row r="4699" spans="1:9" ht="51.75" customHeight="1" x14ac:dyDescent="0.35">
      <c r="A4699" s="15" t="s">
        <v>25285</v>
      </c>
      <c r="B4699" s="15" t="s">
        <v>34883</v>
      </c>
      <c r="C4699" s="15" t="s">
        <v>21892</v>
      </c>
      <c r="D4699" s="31">
        <v>41703</v>
      </c>
      <c r="E4699" s="15" t="s">
        <v>34884</v>
      </c>
      <c r="F4699" s="87" t="s">
        <v>21871</v>
      </c>
      <c r="G4699" s="45" t="s">
        <v>8750</v>
      </c>
      <c r="H4699" s="55" t="s">
        <v>8751</v>
      </c>
      <c r="I4699" s="15" t="s">
        <v>404</v>
      </c>
    </row>
    <row r="4700" spans="1:9" ht="51.75" customHeight="1" x14ac:dyDescent="0.35">
      <c r="A4700" s="15" t="s">
        <v>25291</v>
      </c>
      <c r="B4700" s="15" t="s">
        <v>34885</v>
      </c>
      <c r="C4700" s="15" t="s">
        <v>21896</v>
      </c>
      <c r="D4700" s="31">
        <v>41703</v>
      </c>
      <c r="E4700" s="15" t="s">
        <v>34777</v>
      </c>
      <c r="F4700" s="87" t="s">
        <v>21871</v>
      </c>
      <c r="G4700" s="45" t="s">
        <v>8750</v>
      </c>
      <c r="H4700" s="55" t="s">
        <v>8751</v>
      </c>
      <c r="I4700" s="15" t="s">
        <v>404</v>
      </c>
    </row>
    <row r="4701" spans="1:9" ht="51.75" customHeight="1" x14ac:dyDescent="0.35">
      <c r="A4701" s="15" t="s">
        <v>24358</v>
      </c>
      <c r="B4701" s="15" t="s">
        <v>34886</v>
      </c>
      <c r="C4701" s="15" t="s">
        <v>21892</v>
      </c>
      <c r="D4701" s="31">
        <v>41681</v>
      </c>
      <c r="E4701" s="15" t="s">
        <v>34887</v>
      </c>
      <c r="F4701" s="87" t="s">
        <v>21871</v>
      </c>
      <c r="G4701" s="45" t="s">
        <v>8853</v>
      </c>
      <c r="H4701" s="55" t="s">
        <v>8854</v>
      </c>
      <c r="I4701" s="15" t="s">
        <v>404</v>
      </c>
    </row>
    <row r="4702" spans="1:9" ht="51.75" customHeight="1" x14ac:dyDescent="0.35">
      <c r="A4702" s="15" t="s">
        <v>24363</v>
      </c>
      <c r="B4702" s="15" t="s">
        <v>34888</v>
      </c>
      <c r="C4702" s="15" t="s">
        <v>21896</v>
      </c>
      <c r="D4702" s="31">
        <v>41681</v>
      </c>
      <c r="E4702" s="15" t="s">
        <v>34889</v>
      </c>
      <c r="F4702" s="87" t="s">
        <v>21871</v>
      </c>
      <c r="G4702" s="45" t="s">
        <v>8853</v>
      </c>
      <c r="H4702" s="55" t="s">
        <v>8854</v>
      </c>
      <c r="I4702" s="15" t="s">
        <v>404</v>
      </c>
    </row>
    <row r="4703" spans="1:9" ht="51.75" customHeight="1" x14ac:dyDescent="0.35">
      <c r="A4703" s="15" t="s">
        <v>24369</v>
      </c>
      <c r="B4703" s="15" t="s">
        <v>34890</v>
      </c>
      <c r="C4703" s="15" t="s">
        <v>24243</v>
      </c>
      <c r="D4703" s="31">
        <v>41681</v>
      </c>
      <c r="E4703" s="15" t="s">
        <v>34891</v>
      </c>
      <c r="F4703" s="87" t="s">
        <v>21871</v>
      </c>
      <c r="G4703" s="45" t="s">
        <v>8853</v>
      </c>
      <c r="H4703" s="55" t="s">
        <v>8854</v>
      </c>
      <c r="I4703" s="15" t="s">
        <v>404</v>
      </c>
    </row>
    <row r="4704" spans="1:9" ht="51.75" customHeight="1" x14ac:dyDescent="0.35">
      <c r="A4704" s="15" t="s">
        <v>24224</v>
      </c>
      <c r="B4704" s="15" t="s">
        <v>34892</v>
      </c>
      <c r="C4704" s="15" t="s">
        <v>24199</v>
      </c>
      <c r="D4704" s="31">
        <v>41681</v>
      </c>
      <c r="E4704" s="15" t="s">
        <v>34893</v>
      </c>
      <c r="F4704" s="87" t="s">
        <v>21871</v>
      </c>
      <c r="G4704" s="45" t="s">
        <v>8853</v>
      </c>
      <c r="H4704" s="55" t="s">
        <v>8854</v>
      </c>
      <c r="I4704" s="15" t="s">
        <v>404</v>
      </c>
    </row>
    <row r="4705" spans="1:9" ht="51.75" customHeight="1" x14ac:dyDescent="0.35">
      <c r="A4705" s="15" t="s">
        <v>23578</v>
      </c>
      <c r="B4705" s="15" t="s">
        <v>34894</v>
      </c>
      <c r="C4705" s="15" t="s">
        <v>21892</v>
      </c>
      <c r="D4705" s="31">
        <v>41695</v>
      </c>
      <c r="E4705" s="15" t="s">
        <v>34895</v>
      </c>
      <c r="F4705" s="87" t="s">
        <v>21871</v>
      </c>
      <c r="G4705" s="45" t="s">
        <v>8938</v>
      </c>
      <c r="H4705" s="55" t="s">
        <v>8939</v>
      </c>
      <c r="I4705" s="15" t="s">
        <v>404</v>
      </c>
    </row>
    <row r="4706" spans="1:9" ht="51.75" customHeight="1" x14ac:dyDescent="0.35">
      <c r="A4706" s="15" t="s">
        <v>22618</v>
      </c>
      <c r="B4706" s="15" t="s">
        <v>34896</v>
      </c>
      <c r="C4706" s="15" t="s">
        <v>21896</v>
      </c>
      <c r="D4706" s="31">
        <v>41695</v>
      </c>
      <c r="E4706" s="15" t="s">
        <v>34400</v>
      </c>
      <c r="F4706" s="87" t="s">
        <v>21871</v>
      </c>
      <c r="G4706" s="45" t="s">
        <v>8938</v>
      </c>
      <c r="H4706" s="55" t="s">
        <v>8939</v>
      </c>
      <c r="I4706" s="15" t="s">
        <v>404</v>
      </c>
    </row>
    <row r="4707" spans="1:9" ht="51.75" customHeight="1" x14ac:dyDescent="0.35">
      <c r="A4707" s="15" t="s">
        <v>22622</v>
      </c>
      <c r="B4707" s="15" t="s">
        <v>34897</v>
      </c>
      <c r="C4707" s="15" t="s">
        <v>24243</v>
      </c>
      <c r="D4707" s="31">
        <v>41695</v>
      </c>
      <c r="E4707" s="15" t="s">
        <v>34898</v>
      </c>
      <c r="F4707" s="87" t="s">
        <v>21871</v>
      </c>
      <c r="G4707" s="45" t="s">
        <v>8938</v>
      </c>
      <c r="H4707" s="55" t="s">
        <v>8939</v>
      </c>
      <c r="I4707" s="15" t="s">
        <v>404</v>
      </c>
    </row>
    <row r="4708" spans="1:9" ht="51.75" customHeight="1" x14ac:dyDescent="0.35">
      <c r="A4708" s="15" t="s">
        <v>27185</v>
      </c>
      <c r="B4708" s="15" t="s">
        <v>34899</v>
      </c>
      <c r="C4708" s="15" t="s">
        <v>21892</v>
      </c>
      <c r="D4708" s="31">
        <v>41695</v>
      </c>
      <c r="E4708" s="15" t="s">
        <v>34900</v>
      </c>
      <c r="F4708" s="87" t="s">
        <v>21871</v>
      </c>
      <c r="G4708" s="45" t="s">
        <v>8960</v>
      </c>
      <c r="H4708" s="55" t="s">
        <v>8961</v>
      </c>
      <c r="I4708" s="15" t="s">
        <v>404</v>
      </c>
    </row>
    <row r="4709" spans="1:9" ht="51.75" customHeight="1" x14ac:dyDescent="0.35">
      <c r="A4709" s="15" t="s">
        <v>24229</v>
      </c>
      <c r="B4709" s="15" t="s">
        <v>34901</v>
      </c>
      <c r="C4709" s="15" t="s">
        <v>21896</v>
      </c>
      <c r="D4709" s="31">
        <v>41695</v>
      </c>
      <c r="E4709" s="15" t="s">
        <v>34902</v>
      </c>
      <c r="F4709" s="87" t="s">
        <v>21871</v>
      </c>
      <c r="G4709" s="45" t="s">
        <v>8960</v>
      </c>
      <c r="H4709" s="55" t="s">
        <v>8961</v>
      </c>
      <c r="I4709" s="15" t="s">
        <v>404</v>
      </c>
    </row>
    <row r="4710" spans="1:9" ht="51.75" customHeight="1" x14ac:dyDescent="0.35">
      <c r="A4710" s="15" t="s">
        <v>24375</v>
      </c>
      <c r="B4710" s="15" t="s">
        <v>34903</v>
      </c>
      <c r="C4710" s="15" t="s">
        <v>24243</v>
      </c>
      <c r="D4710" s="31">
        <v>41695</v>
      </c>
      <c r="E4710" s="15" t="s">
        <v>34904</v>
      </c>
      <c r="F4710" s="87" t="s">
        <v>21871</v>
      </c>
      <c r="G4710" s="45" t="s">
        <v>8960</v>
      </c>
      <c r="H4710" s="55" t="s">
        <v>8961</v>
      </c>
      <c r="I4710" s="15" t="s">
        <v>404</v>
      </c>
    </row>
    <row r="4711" spans="1:9" ht="51.75" customHeight="1" x14ac:dyDescent="0.35">
      <c r="A4711" s="15" t="s">
        <v>24380</v>
      </c>
      <c r="B4711" s="15" t="s">
        <v>34905</v>
      </c>
      <c r="C4711" s="15" t="s">
        <v>24199</v>
      </c>
      <c r="D4711" s="31">
        <v>41695</v>
      </c>
      <c r="E4711" s="15" t="s">
        <v>34906</v>
      </c>
      <c r="F4711" s="87" t="s">
        <v>21871</v>
      </c>
      <c r="G4711" s="45" t="s">
        <v>8960</v>
      </c>
      <c r="H4711" s="55" t="s">
        <v>8961</v>
      </c>
      <c r="I4711" s="15" t="s">
        <v>404</v>
      </c>
    </row>
    <row r="4712" spans="1:9" ht="51.75" customHeight="1" x14ac:dyDescent="0.35">
      <c r="A4712" s="15" t="s">
        <v>28561</v>
      </c>
      <c r="B4712" s="15" t="s">
        <v>34907</v>
      </c>
      <c r="C4712" s="15" t="s">
        <v>24205</v>
      </c>
      <c r="D4712" s="31">
        <v>41695</v>
      </c>
      <c r="E4712" s="15" t="s">
        <v>34753</v>
      </c>
      <c r="F4712" s="87" t="s">
        <v>21871</v>
      </c>
      <c r="G4712" s="45" t="s">
        <v>8960</v>
      </c>
      <c r="H4712" s="55" t="s">
        <v>8961</v>
      </c>
      <c r="I4712" s="15" t="s">
        <v>404</v>
      </c>
    </row>
    <row r="4713" spans="1:9" ht="51.75" customHeight="1" x14ac:dyDescent="0.35">
      <c r="A4713" s="15" t="s">
        <v>26028</v>
      </c>
      <c r="B4713" s="15" t="s">
        <v>34908</v>
      </c>
      <c r="C4713" s="15" t="s">
        <v>21892</v>
      </c>
      <c r="D4713" s="31">
        <v>41827</v>
      </c>
      <c r="E4713" s="15" t="s">
        <v>34909</v>
      </c>
      <c r="F4713" s="87" t="s">
        <v>21871</v>
      </c>
      <c r="G4713" s="45" t="s">
        <v>9038</v>
      </c>
      <c r="H4713" s="55" t="s">
        <v>9039</v>
      </c>
      <c r="I4713" s="15" t="s">
        <v>404</v>
      </c>
    </row>
    <row r="4714" spans="1:9" ht="51.75" customHeight="1" x14ac:dyDescent="0.35">
      <c r="A4714" s="15" t="s">
        <v>26885</v>
      </c>
      <c r="B4714" s="15" t="s">
        <v>34910</v>
      </c>
      <c r="C4714" s="15" t="s">
        <v>21896</v>
      </c>
      <c r="D4714" s="31">
        <v>41827</v>
      </c>
      <c r="E4714" s="15" t="s">
        <v>34911</v>
      </c>
      <c r="F4714" s="87" t="s">
        <v>21871</v>
      </c>
      <c r="G4714" s="45" t="s">
        <v>9038</v>
      </c>
      <c r="H4714" s="55" t="s">
        <v>9039</v>
      </c>
      <c r="I4714" s="15" t="s">
        <v>404</v>
      </c>
    </row>
    <row r="4715" spans="1:9" ht="51.75" customHeight="1" x14ac:dyDescent="0.35">
      <c r="A4715" s="15" t="s">
        <v>24957</v>
      </c>
      <c r="B4715" s="15" t="s">
        <v>34912</v>
      </c>
      <c r="C4715" s="15" t="s">
        <v>24243</v>
      </c>
      <c r="D4715" s="31">
        <v>41827</v>
      </c>
      <c r="E4715" s="15" t="s">
        <v>34837</v>
      </c>
      <c r="F4715" s="87" t="s">
        <v>21871</v>
      </c>
      <c r="G4715" s="45" t="s">
        <v>9038</v>
      </c>
      <c r="H4715" s="55" t="s">
        <v>9039</v>
      </c>
      <c r="I4715" s="15" t="s">
        <v>404</v>
      </c>
    </row>
    <row r="4716" spans="1:9" ht="51.75" customHeight="1" x14ac:dyDescent="0.35">
      <c r="A4716" s="15" t="s">
        <v>26890</v>
      </c>
      <c r="B4716" s="15" t="s">
        <v>34913</v>
      </c>
      <c r="C4716" s="15" t="s">
        <v>24199</v>
      </c>
      <c r="D4716" s="31">
        <v>41827</v>
      </c>
      <c r="E4716" s="15" t="s">
        <v>34914</v>
      </c>
      <c r="F4716" s="87" t="s">
        <v>21871</v>
      </c>
      <c r="G4716" s="45" t="s">
        <v>9038</v>
      </c>
      <c r="H4716" s="55" t="s">
        <v>9039</v>
      </c>
      <c r="I4716" s="15" t="s">
        <v>404</v>
      </c>
    </row>
    <row r="4717" spans="1:9" ht="51.75" customHeight="1" x14ac:dyDescent="0.35">
      <c r="A4717" s="15" t="s">
        <v>22870</v>
      </c>
      <c r="B4717" s="15" t="s">
        <v>34915</v>
      </c>
      <c r="C4717" s="15" t="s">
        <v>21892</v>
      </c>
      <c r="D4717" s="31">
        <v>41731</v>
      </c>
      <c r="E4717" s="15" t="s">
        <v>34916</v>
      </c>
      <c r="F4717" s="87" t="s">
        <v>21871</v>
      </c>
      <c r="G4717" s="45" t="s">
        <v>9124</v>
      </c>
      <c r="H4717" s="55" t="s">
        <v>9125</v>
      </c>
      <c r="I4717" s="15" t="s">
        <v>404</v>
      </c>
    </row>
    <row r="4718" spans="1:9" ht="51.75" customHeight="1" x14ac:dyDescent="0.35">
      <c r="A4718" s="15" t="s">
        <v>22023</v>
      </c>
      <c r="B4718" s="15" t="s">
        <v>34917</v>
      </c>
      <c r="C4718" s="15" t="s">
        <v>21896</v>
      </c>
      <c r="D4718" s="31">
        <v>41731</v>
      </c>
      <c r="E4718" s="15" t="s">
        <v>34918</v>
      </c>
      <c r="F4718" s="87" t="s">
        <v>21871</v>
      </c>
      <c r="G4718" s="45" t="s">
        <v>9124</v>
      </c>
      <c r="H4718" s="55" t="s">
        <v>9125</v>
      </c>
      <c r="I4718" s="15" t="s">
        <v>404</v>
      </c>
    </row>
    <row r="4719" spans="1:9" ht="51.75" customHeight="1" x14ac:dyDescent="0.35">
      <c r="A4719" s="15" t="s">
        <v>22877</v>
      </c>
      <c r="B4719" s="15" t="s">
        <v>34919</v>
      </c>
      <c r="C4719" s="15" t="s">
        <v>24243</v>
      </c>
      <c r="D4719" s="31">
        <v>41731</v>
      </c>
      <c r="E4719" s="15" t="s">
        <v>34920</v>
      </c>
      <c r="F4719" s="87" t="s">
        <v>21871</v>
      </c>
      <c r="G4719" s="45" t="s">
        <v>9124</v>
      </c>
      <c r="H4719" s="55" t="s">
        <v>9125</v>
      </c>
      <c r="I4719" s="15" t="s">
        <v>404</v>
      </c>
    </row>
    <row r="4720" spans="1:9" ht="51.75" customHeight="1" x14ac:dyDescent="0.35">
      <c r="A4720" s="15" t="s">
        <v>22881</v>
      </c>
      <c r="B4720" s="15" t="s">
        <v>34921</v>
      </c>
      <c r="C4720" s="15" t="s">
        <v>24199</v>
      </c>
      <c r="D4720" s="31">
        <v>41731</v>
      </c>
      <c r="E4720" s="15" t="s">
        <v>34922</v>
      </c>
      <c r="F4720" s="87" t="s">
        <v>21871</v>
      </c>
      <c r="G4720" s="45" t="s">
        <v>9124</v>
      </c>
      <c r="H4720" s="55" t="s">
        <v>9125</v>
      </c>
      <c r="I4720" s="15" t="s">
        <v>404</v>
      </c>
    </row>
    <row r="4721" spans="1:9" ht="51.75" customHeight="1" x14ac:dyDescent="0.35">
      <c r="A4721" s="15" t="s">
        <v>26615</v>
      </c>
      <c r="B4721" s="15" t="s">
        <v>34923</v>
      </c>
      <c r="C4721" s="15" t="s">
        <v>24205</v>
      </c>
      <c r="D4721" s="31">
        <v>41731</v>
      </c>
      <c r="E4721" s="15" t="s">
        <v>34924</v>
      </c>
      <c r="F4721" s="87" t="s">
        <v>21871</v>
      </c>
      <c r="G4721" s="45" t="s">
        <v>9124</v>
      </c>
      <c r="H4721" s="55" t="s">
        <v>9125</v>
      </c>
      <c r="I4721" s="15" t="s">
        <v>404</v>
      </c>
    </row>
    <row r="4722" spans="1:9" ht="51.75" customHeight="1" x14ac:dyDescent="0.35">
      <c r="A4722" s="15" t="s">
        <v>25717</v>
      </c>
      <c r="B4722" s="15" t="s">
        <v>34925</v>
      </c>
      <c r="C4722" s="15" t="s">
        <v>24257</v>
      </c>
      <c r="D4722" s="31">
        <v>41731</v>
      </c>
      <c r="E4722" s="15" t="s">
        <v>34926</v>
      </c>
      <c r="F4722" s="87" t="s">
        <v>21871</v>
      </c>
      <c r="G4722" s="45" t="s">
        <v>9124</v>
      </c>
      <c r="H4722" s="55" t="s">
        <v>9125</v>
      </c>
      <c r="I4722" s="15" t="s">
        <v>404</v>
      </c>
    </row>
    <row r="4723" spans="1:9" ht="51.75" customHeight="1" x14ac:dyDescent="0.35">
      <c r="A4723" s="15" t="s">
        <v>26618</v>
      </c>
      <c r="B4723" s="15" t="s">
        <v>34927</v>
      </c>
      <c r="C4723" s="15" t="s">
        <v>24263</v>
      </c>
      <c r="D4723" s="31">
        <v>41731</v>
      </c>
      <c r="E4723" s="15" t="s">
        <v>34469</v>
      </c>
      <c r="F4723" s="87" t="s">
        <v>21871</v>
      </c>
      <c r="G4723" s="45" t="s">
        <v>9124</v>
      </c>
      <c r="H4723" s="55" t="s">
        <v>9125</v>
      </c>
      <c r="I4723" s="15" t="s">
        <v>404</v>
      </c>
    </row>
    <row r="4724" spans="1:9" ht="51.75" customHeight="1" x14ac:dyDescent="0.35">
      <c r="A4724" s="15" t="s">
        <v>23325</v>
      </c>
      <c r="B4724" s="15" t="s">
        <v>34928</v>
      </c>
      <c r="C4724" s="15" t="s">
        <v>21892</v>
      </c>
      <c r="D4724" s="31">
        <v>41703</v>
      </c>
      <c r="E4724" s="15" t="s">
        <v>34929</v>
      </c>
      <c r="F4724" s="87" t="s">
        <v>21871</v>
      </c>
      <c r="G4724" s="45" t="s">
        <v>9158</v>
      </c>
      <c r="H4724" s="55" t="s">
        <v>9159</v>
      </c>
      <c r="I4724" s="15" t="s">
        <v>404</v>
      </c>
    </row>
    <row r="4725" spans="1:9" ht="51.75" customHeight="1" x14ac:dyDescent="0.35">
      <c r="A4725" s="15" t="s">
        <v>23329</v>
      </c>
      <c r="B4725" s="15" t="s">
        <v>34930</v>
      </c>
      <c r="C4725" s="15" t="s">
        <v>21896</v>
      </c>
      <c r="D4725" s="31">
        <v>41703</v>
      </c>
      <c r="E4725" s="15" t="s">
        <v>34931</v>
      </c>
      <c r="F4725" s="87" t="s">
        <v>21871</v>
      </c>
      <c r="G4725" s="45" t="s">
        <v>9158</v>
      </c>
      <c r="H4725" s="55" t="s">
        <v>9159</v>
      </c>
      <c r="I4725" s="15" t="s">
        <v>404</v>
      </c>
    </row>
    <row r="4726" spans="1:9" ht="51.75" customHeight="1" x14ac:dyDescent="0.35">
      <c r="A4726" s="15" t="s">
        <v>23333</v>
      </c>
      <c r="B4726" s="15" t="s">
        <v>34932</v>
      </c>
      <c r="C4726" s="15" t="s">
        <v>24243</v>
      </c>
      <c r="D4726" s="31">
        <v>41703</v>
      </c>
      <c r="E4726" s="15" t="s">
        <v>34753</v>
      </c>
      <c r="F4726" s="87" t="s">
        <v>21871</v>
      </c>
      <c r="G4726" s="45" t="s">
        <v>9158</v>
      </c>
      <c r="H4726" s="55" t="s">
        <v>9159</v>
      </c>
      <c r="I4726" s="15" t="s">
        <v>404</v>
      </c>
    </row>
    <row r="4727" spans="1:9" ht="51.75" customHeight="1" x14ac:dyDescent="0.35">
      <c r="A4727" s="15" t="s">
        <v>26845</v>
      </c>
      <c r="B4727" s="15" t="s">
        <v>34933</v>
      </c>
      <c r="C4727" s="15" t="s">
        <v>21892</v>
      </c>
      <c r="D4727" s="31">
        <v>41809</v>
      </c>
      <c r="E4727" s="15" t="s">
        <v>34934</v>
      </c>
      <c r="F4727" s="87" t="s">
        <v>21871</v>
      </c>
      <c r="G4727" s="45" t="s">
        <v>9231</v>
      </c>
      <c r="H4727" s="55" t="s">
        <v>9232</v>
      </c>
      <c r="I4727" s="15" t="s">
        <v>404</v>
      </c>
    </row>
    <row r="4728" spans="1:9" ht="51.75" customHeight="1" x14ac:dyDescent="0.35">
      <c r="A4728" s="15" t="s">
        <v>22926</v>
      </c>
      <c r="B4728" s="15" t="s">
        <v>34935</v>
      </c>
      <c r="C4728" s="15" t="s">
        <v>21896</v>
      </c>
      <c r="D4728" s="31">
        <v>41809</v>
      </c>
      <c r="E4728" s="15" t="s">
        <v>34936</v>
      </c>
      <c r="F4728" s="87" t="s">
        <v>21871</v>
      </c>
      <c r="G4728" s="45" t="s">
        <v>9231</v>
      </c>
      <c r="H4728" s="55" t="s">
        <v>9232</v>
      </c>
      <c r="I4728" s="15" t="s">
        <v>404</v>
      </c>
    </row>
    <row r="4729" spans="1:9" ht="51.75" customHeight="1" x14ac:dyDescent="0.35">
      <c r="A4729" s="15" t="s">
        <v>22930</v>
      </c>
      <c r="B4729" s="15" t="s">
        <v>34937</v>
      </c>
      <c r="C4729" s="15" t="s">
        <v>24243</v>
      </c>
      <c r="D4729" s="31">
        <v>41809</v>
      </c>
      <c r="E4729" s="15" t="s">
        <v>34938</v>
      </c>
      <c r="F4729" s="87" t="s">
        <v>21871</v>
      </c>
      <c r="G4729" s="45" t="s">
        <v>9231</v>
      </c>
      <c r="H4729" s="55" t="s">
        <v>9232</v>
      </c>
      <c r="I4729" s="15" t="s">
        <v>404</v>
      </c>
    </row>
    <row r="4730" spans="1:9" ht="51.75" customHeight="1" x14ac:dyDescent="0.35">
      <c r="A4730" s="15" t="s">
        <v>22055</v>
      </c>
      <c r="B4730" s="15" t="s">
        <v>34939</v>
      </c>
      <c r="C4730" s="15" t="s">
        <v>24199</v>
      </c>
      <c r="D4730" s="31">
        <v>41809</v>
      </c>
      <c r="E4730" s="15" t="s">
        <v>34400</v>
      </c>
      <c r="F4730" s="87" t="s">
        <v>21871</v>
      </c>
      <c r="G4730" s="45" t="s">
        <v>9231</v>
      </c>
      <c r="H4730" s="55" t="s">
        <v>9232</v>
      </c>
      <c r="I4730" s="15" t="s">
        <v>404</v>
      </c>
    </row>
    <row r="4731" spans="1:9" ht="51.75" customHeight="1" x14ac:dyDescent="0.35">
      <c r="A4731" s="15" t="s">
        <v>24768</v>
      </c>
      <c r="B4731" s="15" t="s">
        <v>34940</v>
      </c>
      <c r="C4731" s="15" t="s">
        <v>21892</v>
      </c>
      <c r="D4731" s="31">
        <v>42066</v>
      </c>
      <c r="E4731" s="15" t="s">
        <v>34941</v>
      </c>
      <c r="F4731" s="87" t="s">
        <v>21871</v>
      </c>
      <c r="G4731" s="45" t="s">
        <v>9242</v>
      </c>
      <c r="H4731" s="55" t="s">
        <v>9243</v>
      </c>
      <c r="I4731" s="15" t="s">
        <v>404</v>
      </c>
    </row>
    <row r="4732" spans="1:9" ht="51.75" customHeight="1" x14ac:dyDescent="0.35">
      <c r="A4732" s="15" t="s">
        <v>25038</v>
      </c>
      <c r="B4732" s="15" t="s">
        <v>34942</v>
      </c>
      <c r="C4732" s="15" t="s">
        <v>34943</v>
      </c>
      <c r="D4732" s="31">
        <v>41913</v>
      </c>
      <c r="E4732" s="15" t="s">
        <v>34944</v>
      </c>
      <c r="F4732" s="87" t="s">
        <v>21871</v>
      </c>
      <c r="G4732" s="45" t="s">
        <v>9330</v>
      </c>
      <c r="H4732" s="55" t="s">
        <v>9331</v>
      </c>
      <c r="I4732" s="15" t="s">
        <v>404</v>
      </c>
    </row>
    <row r="4733" spans="1:9" ht="51.75" customHeight="1" x14ac:dyDescent="0.35">
      <c r="A4733" s="15" t="s">
        <v>25044</v>
      </c>
      <c r="B4733" s="15" t="s">
        <v>34945</v>
      </c>
      <c r="C4733" s="15" t="s">
        <v>34946</v>
      </c>
      <c r="D4733" s="31">
        <v>41913</v>
      </c>
      <c r="E4733" s="15" t="s">
        <v>34947</v>
      </c>
      <c r="F4733" s="87" t="s">
        <v>21871</v>
      </c>
      <c r="G4733" s="45" t="s">
        <v>9330</v>
      </c>
      <c r="H4733" s="55" t="s">
        <v>9331</v>
      </c>
      <c r="I4733" s="15" t="s">
        <v>404</v>
      </c>
    </row>
    <row r="4734" spans="1:9" ht="51.75" customHeight="1" x14ac:dyDescent="0.35">
      <c r="A4734" s="15" t="s">
        <v>25050</v>
      </c>
      <c r="B4734" s="15" t="s">
        <v>34948</v>
      </c>
      <c r="C4734" s="15" t="s">
        <v>34949</v>
      </c>
      <c r="D4734" s="31">
        <v>41913</v>
      </c>
      <c r="E4734" s="15" t="s">
        <v>34950</v>
      </c>
      <c r="F4734" s="87" t="s">
        <v>21871</v>
      </c>
      <c r="G4734" s="45" t="s">
        <v>9330</v>
      </c>
      <c r="H4734" s="55" t="s">
        <v>9331</v>
      </c>
      <c r="I4734" s="15" t="s">
        <v>404</v>
      </c>
    </row>
    <row r="4735" spans="1:9" ht="51.75" customHeight="1" x14ac:dyDescent="0.35">
      <c r="A4735" s="15" t="s">
        <v>25089</v>
      </c>
      <c r="B4735" s="15" t="s">
        <v>34951</v>
      </c>
      <c r="C4735" s="15" t="s">
        <v>34952</v>
      </c>
      <c r="D4735" s="31">
        <v>41913</v>
      </c>
      <c r="E4735" s="15" t="s">
        <v>34953</v>
      </c>
      <c r="F4735" s="87" t="s">
        <v>21871</v>
      </c>
      <c r="G4735" s="45" t="s">
        <v>9330</v>
      </c>
      <c r="H4735" s="55" t="s">
        <v>9331</v>
      </c>
      <c r="I4735" s="15" t="s">
        <v>404</v>
      </c>
    </row>
    <row r="4736" spans="1:9" ht="51.75" customHeight="1" x14ac:dyDescent="0.35">
      <c r="A4736" s="15" t="s">
        <v>22899</v>
      </c>
      <c r="B4736" s="15" t="s">
        <v>34954</v>
      </c>
      <c r="C4736" s="15" t="s">
        <v>34955</v>
      </c>
      <c r="D4736" s="31">
        <v>41913</v>
      </c>
      <c r="E4736" s="15" t="s">
        <v>34956</v>
      </c>
      <c r="F4736" s="87" t="s">
        <v>21871</v>
      </c>
      <c r="G4736" s="45" t="s">
        <v>9330</v>
      </c>
      <c r="H4736" s="55" t="s">
        <v>9331</v>
      </c>
      <c r="I4736" s="15" t="s">
        <v>404</v>
      </c>
    </row>
    <row r="4737" spans="1:9" ht="51.75" customHeight="1" x14ac:dyDescent="0.35">
      <c r="A4737" s="15" t="s">
        <v>22918</v>
      </c>
      <c r="B4737" s="15" t="s">
        <v>34957</v>
      </c>
      <c r="C4737" s="15" t="s">
        <v>34958</v>
      </c>
      <c r="D4737" s="31">
        <v>41913</v>
      </c>
      <c r="E4737" s="15" t="s">
        <v>34959</v>
      </c>
      <c r="F4737" s="87" t="s">
        <v>21871</v>
      </c>
      <c r="G4737" s="45" t="s">
        <v>9330</v>
      </c>
      <c r="H4737" s="55" t="s">
        <v>9331</v>
      </c>
      <c r="I4737" s="15" t="s">
        <v>404</v>
      </c>
    </row>
    <row r="4738" spans="1:9" ht="51.75" customHeight="1" x14ac:dyDescent="0.35">
      <c r="A4738" s="15" t="s">
        <v>22910</v>
      </c>
      <c r="B4738" s="15" t="s">
        <v>34960</v>
      </c>
      <c r="C4738" s="15" t="s">
        <v>21892</v>
      </c>
      <c r="D4738" s="31">
        <v>41921</v>
      </c>
      <c r="E4738" s="15" t="s">
        <v>34961</v>
      </c>
      <c r="F4738" s="87" t="s">
        <v>21871</v>
      </c>
      <c r="G4738" s="45" t="s">
        <v>9605</v>
      </c>
      <c r="H4738" s="55" t="s">
        <v>9606</v>
      </c>
      <c r="I4738" s="15" t="s">
        <v>404</v>
      </c>
    </row>
    <row r="4739" spans="1:9" ht="51.75" customHeight="1" x14ac:dyDescent="0.35">
      <c r="A4739" s="15" t="s">
        <v>25004</v>
      </c>
      <c r="B4739" s="15" t="s">
        <v>34962</v>
      </c>
      <c r="C4739" s="15" t="s">
        <v>21892</v>
      </c>
      <c r="D4739" s="31">
        <v>41947</v>
      </c>
      <c r="E4739" s="15" t="s">
        <v>34963</v>
      </c>
      <c r="F4739" s="87" t="s">
        <v>21871</v>
      </c>
      <c r="G4739" s="45" t="s">
        <v>9515</v>
      </c>
      <c r="H4739" s="55" t="s">
        <v>9516</v>
      </c>
      <c r="I4739" s="15" t="s">
        <v>404</v>
      </c>
    </row>
    <row r="4740" spans="1:9" ht="51.75" customHeight="1" x14ac:dyDescent="0.35">
      <c r="A4740" s="15" t="s">
        <v>29201</v>
      </c>
      <c r="B4740" s="15" t="s">
        <v>34964</v>
      </c>
      <c r="C4740" s="15" t="s">
        <v>21896</v>
      </c>
      <c r="D4740" s="31">
        <v>41947</v>
      </c>
      <c r="E4740" s="15" t="s">
        <v>34965</v>
      </c>
      <c r="F4740" s="87" t="s">
        <v>21871</v>
      </c>
      <c r="G4740" s="45" t="s">
        <v>9515</v>
      </c>
      <c r="H4740" s="55" t="s">
        <v>9516</v>
      </c>
      <c r="I4740" s="15" t="s">
        <v>404</v>
      </c>
    </row>
    <row r="4741" spans="1:9" ht="51.75" customHeight="1" x14ac:dyDescent="0.35">
      <c r="A4741" s="15" t="s">
        <v>25068</v>
      </c>
      <c r="B4741" s="15" t="s">
        <v>34966</v>
      </c>
      <c r="C4741" s="15" t="s">
        <v>21892</v>
      </c>
      <c r="D4741" s="31">
        <v>41941</v>
      </c>
      <c r="E4741" s="15" t="s">
        <v>34967</v>
      </c>
      <c r="F4741" s="87" t="s">
        <v>21871</v>
      </c>
      <c r="G4741" s="45" t="s">
        <v>9675</v>
      </c>
      <c r="H4741" s="55" t="s">
        <v>9676</v>
      </c>
      <c r="I4741" s="15" t="s">
        <v>404</v>
      </c>
    </row>
    <row r="4742" spans="1:9" ht="51.75" customHeight="1" x14ac:dyDescent="0.35">
      <c r="A4742" s="15" t="s">
        <v>25074</v>
      </c>
      <c r="B4742" s="15" t="s">
        <v>34968</v>
      </c>
      <c r="C4742" s="15" t="s">
        <v>21896</v>
      </c>
      <c r="D4742" s="31">
        <v>41941</v>
      </c>
      <c r="E4742" s="15" t="s">
        <v>34969</v>
      </c>
      <c r="F4742" s="87" t="s">
        <v>21871</v>
      </c>
      <c r="G4742" s="45" t="s">
        <v>9675</v>
      </c>
      <c r="H4742" s="55" t="s">
        <v>9676</v>
      </c>
      <c r="I4742" s="15" t="s">
        <v>404</v>
      </c>
    </row>
    <row r="4743" spans="1:9" ht="51.75" customHeight="1" x14ac:dyDescent="0.35">
      <c r="A4743" s="15" t="s">
        <v>24647</v>
      </c>
      <c r="B4743" s="15" t="s">
        <v>34970</v>
      </c>
      <c r="C4743" s="15" t="s">
        <v>24243</v>
      </c>
      <c r="D4743" s="31">
        <v>41941</v>
      </c>
      <c r="E4743" s="15" t="s">
        <v>34971</v>
      </c>
      <c r="F4743" s="87" t="s">
        <v>21871</v>
      </c>
      <c r="G4743" s="45" t="s">
        <v>9675</v>
      </c>
      <c r="H4743" s="55" t="s">
        <v>9676</v>
      </c>
      <c r="I4743" s="15" t="s">
        <v>404</v>
      </c>
    </row>
    <row r="4744" spans="1:9" ht="51.75" customHeight="1" x14ac:dyDescent="0.35">
      <c r="A4744" s="15" t="s">
        <v>25119</v>
      </c>
      <c r="B4744" s="15" t="s">
        <v>34972</v>
      </c>
      <c r="C4744" s="15" t="s">
        <v>21892</v>
      </c>
      <c r="D4744" s="31">
        <v>41901</v>
      </c>
      <c r="E4744" s="15" t="s">
        <v>34973</v>
      </c>
      <c r="F4744" s="87" t="s">
        <v>21871</v>
      </c>
      <c r="G4744" s="45" t="s">
        <v>9681</v>
      </c>
      <c r="H4744" s="55" t="s">
        <v>9682</v>
      </c>
      <c r="I4744" s="15" t="s">
        <v>404</v>
      </c>
    </row>
    <row r="4745" spans="1:9" ht="51.75" customHeight="1" x14ac:dyDescent="0.35">
      <c r="A4745" s="15" t="s">
        <v>22996</v>
      </c>
      <c r="B4745" s="15" t="s">
        <v>34974</v>
      </c>
      <c r="C4745" s="15" t="s">
        <v>21896</v>
      </c>
      <c r="D4745" s="31">
        <v>41901</v>
      </c>
      <c r="E4745" s="15" t="s">
        <v>34975</v>
      </c>
      <c r="F4745" s="87" t="s">
        <v>21871</v>
      </c>
      <c r="G4745" s="45" t="s">
        <v>9681</v>
      </c>
      <c r="H4745" s="55" t="s">
        <v>9682</v>
      </c>
      <c r="I4745" s="15" t="s">
        <v>404</v>
      </c>
    </row>
    <row r="4746" spans="1:9" ht="51.75" customHeight="1" x14ac:dyDescent="0.35">
      <c r="A4746" s="15" t="s">
        <v>22895</v>
      </c>
      <c r="B4746" s="15" t="s">
        <v>34976</v>
      </c>
      <c r="C4746" s="15" t="s">
        <v>24243</v>
      </c>
      <c r="D4746" s="31">
        <v>41901</v>
      </c>
      <c r="E4746" s="15" t="s">
        <v>34977</v>
      </c>
      <c r="F4746" s="87" t="s">
        <v>21871</v>
      </c>
      <c r="G4746" s="45" t="s">
        <v>9681</v>
      </c>
      <c r="H4746" s="55" t="s">
        <v>9682</v>
      </c>
      <c r="I4746" s="15" t="s">
        <v>404</v>
      </c>
    </row>
    <row r="4747" spans="1:9" ht="51.75" customHeight="1" x14ac:dyDescent="0.35">
      <c r="A4747" s="15" t="s">
        <v>22866</v>
      </c>
      <c r="B4747" s="15" t="s">
        <v>34978</v>
      </c>
      <c r="C4747" s="15" t="s">
        <v>21892</v>
      </c>
      <c r="D4747" s="31">
        <v>42221</v>
      </c>
      <c r="E4747" s="15" t="s">
        <v>34979</v>
      </c>
      <c r="F4747" s="87" t="s">
        <v>21871</v>
      </c>
      <c r="G4747" s="45" t="s">
        <v>9742</v>
      </c>
      <c r="H4747" s="55" t="s">
        <v>9743</v>
      </c>
      <c r="I4747" s="15" t="s">
        <v>404</v>
      </c>
    </row>
    <row r="4748" spans="1:9" ht="51.75" customHeight="1" x14ac:dyDescent="0.35">
      <c r="A4748" s="15" t="s">
        <v>23252</v>
      </c>
      <c r="B4748" s="15" t="s">
        <v>34980</v>
      </c>
      <c r="C4748" s="15" t="s">
        <v>21892</v>
      </c>
      <c r="D4748" s="31">
        <v>41991</v>
      </c>
      <c r="E4748" s="15" t="s">
        <v>34981</v>
      </c>
      <c r="F4748" s="87" t="s">
        <v>21871</v>
      </c>
      <c r="G4748" s="45" t="s">
        <v>9706</v>
      </c>
      <c r="H4748" s="55" t="s">
        <v>9707</v>
      </c>
      <c r="I4748" s="15" t="s">
        <v>404</v>
      </c>
    </row>
    <row r="4749" spans="1:9" ht="51.75" customHeight="1" x14ac:dyDescent="0.35">
      <c r="A4749" s="15" t="s">
        <v>23258</v>
      </c>
      <c r="B4749" s="15" t="s">
        <v>34982</v>
      </c>
      <c r="C4749" s="15" t="s">
        <v>21896</v>
      </c>
      <c r="D4749" s="31">
        <v>41991</v>
      </c>
      <c r="E4749" s="15" t="s">
        <v>34400</v>
      </c>
      <c r="F4749" s="87" t="s">
        <v>21871</v>
      </c>
      <c r="G4749" s="45" t="s">
        <v>9706</v>
      </c>
      <c r="H4749" s="55" t="s">
        <v>9707</v>
      </c>
      <c r="I4749" s="15" t="s">
        <v>404</v>
      </c>
    </row>
    <row r="4750" spans="1:9" ht="51.75" customHeight="1" x14ac:dyDescent="0.35">
      <c r="A4750" s="15" t="s">
        <v>22945</v>
      </c>
      <c r="B4750" s="15" t="s">
        <v>34983</v>
      </c>
      <c r="C4750" s="15" t="s">
        <v>24243</v>
      </c>
      <c r="D4750" s="31">
        <v>41991</v>
      </c>
      <c r="E4750" s="15" t="s">
        <v>34984</v>
      </c>
      <c r="F4750" s="87" t="s">
        <v>21871</v>
      </c>
      <c r="G4750" s="45" t="s">
        <v>9706</v>
      </c>
      <c r="H4750" s="55" t="s">
        <v>9707</v>
      </c>
      <c r="I4750" s="15" t="s">
        <v>404</v>
      </c>
    </row>
    <row r="4751" spans="1:9" ht="51.75" customHeight="1" x14ac:dyDescent="0.35">
      <c r="A4751" s="15" t="s">
        <v>23234</v>
      </c>
      <c r="B4751" s="15" t="s">
        <v>34985</v>
      </c>
      <c r="C4751" s="15" t="s">
        <v>24199</v>
      </c>
      <c r="D4751" s="31">
        <v>41991</v>
      </c>
      <c r="E4751" s="15" t="s">
        <v>34986</v>
      </c>
      <c r="F4751" s="87" t="s">
        <v>21871</v>
      </c>
      <c r="G4751" s="45" t="s">
        <v>9706</v>
      </c>
      <c r="H4751" s="55" t="s">
        <v>9707</v>
      </c>
      <c r="I4751" s="15" t="s">
        <v>404</v>
      </c>
    </row>
    <row r="4752" spans="1:9" ht="51.75" customHeight="1" x14ac:dyDescent="0.35">
      <c r="A4752" s="15" t="s">
        <v>23240</v>
      </c>
      <c r="B4752" s="15" t="s">
        <v>34987</v>
      </c>
      <c r="C4752" s="15" t="s">
        <v>21892</v>
      </c>
      <c r="D4752" s="31">
        <v>41991</v>
      </c>
      <c r="E4752" s="15" t="s">
        <v>34988</v>
      </c>
      <c r="F4752" s="87" t="s">
        <v>21871</v>
      </c>
      <c r="G4752" s="45" t="s">
        <v>9725</v>
      </c>
      <c r="H4752" s="55" t="s">
        <v>9726</v>
      </c>
      <c r="I4752" s="15" t="s">
        <v>404</v>
      </c>
    </row>
    <row r="4753" spans="1:9" ht="51.75" customHeight="1" x14ac:dyDescent="0.35">
      <c r="A4753" s="15" t="s">
        <v>23246</v>
      </c>
      <c r="B4753" s="15" t="s">
        <v>34989</v>
      </c>
      <c r="C4753" s="15" t="s">
        <v>21896</v>
      </c>
      <c r="D4753" s="31">
        <v>41991</v>
      </c>
      <c r="E4753" s="15" t="s">
        <v>34400</v>
      </c>
      <c r="F4753" s="87" t="s">
        <v>21871</v>
      </c>
      <c r="G4753" s="45" t="s">
        <v>9725</v>
      </c>
      <c r="H4753" s="55" t="s">
        <v>9726</v>
      </c>
      <c r="I4753" s="15" t="s">
        <v>404</v>
      </c>
    </row>
    <row r="4754" spans="1:9" ht="51.75" customHeight="1" x14ac:dyDescent="0.35">
      <c r="A4754" s="15" t="s">
        <v>22881</v>
      </c>
      <c r="B4754" s="15" t="s">
        <v>34990</v>
      </c>
      <c r="C4754" s="15" t="s">
        <v>21892</v>
      </c>
      <c r="D4754" s="31">
        <v>42209</v>
      </c>
      <c r="E4754" s="15" t="s">
        <v>34991</v>
      </c>
      <c r="F4754" s="87" t="s">
        <v>21871</v>
      </c>
      <c r="G4754" s="45" t="s">
        <v>9819</v>
      </c>
      <c r="H4754" s="55" t="s">
        <v>9820</v>
      </c>
      <c r="I4754" s="15" t="s">
        <v>404</v>
      </c>
    </row>
    <row r="4755" spans="1:9" ht="51.75" customHeight="1" x14ac:dyDescent="0.35">
      <c r="A4755" s="15" t="s">
        <v>25717</v>
      </c>
      <c r="B4755" s="15" t="s">
        <v>34992</v>
      </c>
      <c r="C4755" s="15" t="s">
        <v>21896</v>
      </c>
      <c r="D4755" s="31">
        <v>42209</v>
      </c>
      <c r="E4755" s="15" t="s">
        <v>34993</v>
      </c>
      <c r="F4755" s="87" t="s">
        <v>21871</v>
      </c>
      <c r="G4755" s="45" t="s">
        <v>9819</v>
      </c>
      <c r="H4755" s="55" t="s">
        <v>9820</v>
      </c>
      <c r="I4755" s="15" t="s">
        <v>404</v>
      </c>
    </row>
    <row r="4756" spans="1:9" ht="51.75" customHeight="1" x14ac:dyDescent="0.35">
      <c r="A4756" s="15" t="s">
        <v>24276</v>
      </c>
      <c r="B4756" s="15" t="s">
        <v>34994</v>
      </c>
      <c r="C4756" s="15" t="s">
        <v>34943</v>
      </c>
      <c r="D4756" s="31">
        <v>42403</v>
      </c>
      <c r="E4756" s="15" t="s">
        <v>34995</v>
      </c>
      <c r="F4756" s="87" t="s">
        <v>34996</v>
      </c>
      <c r="G4756" s="45" t="s">
        <v>9974</v>
      </c>
      <c r="H4756" s="55" t="s">
        <v>9975</v>
      </c>
      <c r="I4756" s="15" t="s">
        <v>404</v>
      </c>
    </row>
    <row r="4757" spans="1:9" ht="51.75" customHeight="1" x14ac:dyDescent="0.35">
      <c r="A4757" s="15" t="s">
        <v>24281</v>
      </c>
      <c r="B4757" s="15" t="s">
        <v>34997</v>
      </c>
      <c r="C4757" s="15" t="s">
        <v>34946</v>
      </c>
      <c r="D4757" s="31">
        <v>42403</v>
      </c>
      <c r="E4757" s="15" t="s">
        <v>34998</v>
      </c>
      <c r="F4757" s="87" t="s">
        <v>21871</v>
      </c>
      <c r="G4757" s="45" t="s">
        <v>9974</v>
      </c>
      <c r="H4757" s="55" t="s">
        <v>9975</v>
      </c>
      <c r="I4757" s="15" t="s">
        <v>404</v>
      </c>
    </row>
    <row r="4758" spans="1:9" ht="51.75" customHeight="1" x14ac:dyDescent="0.35">
      <c r="A4758" s="15" t="s">
        <v>32476</v>
      </c>
      <c r="B4758" s="15" t="s">
        <v>34999</v>
      </c>
      <c r="C4758" s="15" t="s">
        <v>21892</v>
      </c>
      <c r="D4758" s="31">
        <v>42181</v>
      </c>
      <c r="E4758" s="15" t="s">
        <v>35000</v>
      </c>
      <c r="F4758" s="87" t="s">
        <v>21871</v>
      </c>
      <c r="G4758" s="45" t="s">
        <v>10035</v>
      </c>
      <c r="H4758" s="55" t="s">
        <v>10036</v>
      </c>
      <c r="I4758" s="15" t="s">
        <v>404</v>
      </c>
    </row>
    <row r="4759" spans="1:9" ht="51.75" customHeight="1" x14ac:dyDescent="0.35">
      <c r="A4759" s="15" t="s">
        <v>26398</v>
      </c>
      <c r="B4759" s="15" t="s">
        <v>35001</v>
      </c>
      <c r="C4759" s="15" t="s">
        <v>21896</v>
      </c>
      <c r="D4759" s="31">
        <v>42181</v>
      </c>
      <c r="E4759" s="15" t="s">
        <v>35002</v>
      </c>
      <c r="F4759" s="87" t="s">
        <v>21871</v>
      </c>
      <c r="G4759" s="45" t="s">
        <v>10035</v>
      </c>
      <c r="H4759" s="55" t="s">
        <v>10036</v>
      </c>
      <c r="I4759" s="15" t="s">
        <v>404</v>
      </c>
    </row>
    <row r="4760" spans="1:9" ht="51.75" customHeight="1" x14ac:dyDescent="0.35">
      <c r="A4760" s="15" t="s">
        <v>32009</v>
      </c>
      <c r="B4760" s="15" t="s">
        <v>35003</v>
      </c>
      <c r="C4760" s="15" t="s">
        <v>24243</v>
      </c>
      <c r="D4760" s="31">
        <v>42181</v>
      </c>
      <c r="E4760" s="15" t="s">
        <v>35004</v>
      </c>
      <c r="F4760" s="87" t="s">
        <v>21871</v>
      </c>
      <c r="G4760" s="45" t="s">
        <v>10035</v>
      </c>
      <c r="H4760" s="55" t="s">
        <v>10036</v>
      </c>
      <c r="I4760" s="15" t="s">
        <v>404</v>
      </c>
    </row>
    <row r="4761" spans="1:9" ht="51.75" customHeight="1" x14ac:dyDescent="0.35">
      <c r="A4761" s="15" t="s">
        <v>26908</v>
      </c>
      <c r="B4761" s="15" t="s">
        <v>35005</v>
      </c>
      <c r="C4761" s="15" t="s">
        <v>21892</v>
      </c>
      <c r="D4761" s="31">
        <v>42313</v>
      </c>
      <c r="E4761" s="15" t="s">
        <v>35006</v>
      </c>
      <c r="F4761" s="87" t="s">
        <v>21871</v>
      </c>
      <c r="G4761" s="45" t="s">
        <v>9693</v>
      </c>
      <c r="H4761" s="55" t="s">
        <v>9694</v>
      </c>
      <c r="I4761" s="15" t="s">
        <v>404</v>
      </c>
    </row>
    <row r="4762" spans="1:9" ht="51.75" customHeight="1" x14ac:dyDescent="0.35">
      <c r="A4762" s="15" t="s">
        <v>22103</v>
      </c>
      <c r="B4762" s="15" t="s">
        <v>35007</v>
      </c>
      <c r="C4762" s="15" t="s">
        <v>21896</v>
      </c>
      <c r="D4762" s="31">
        <v>42313</v>
      </c>
      <c r="E4762" s="15" t="s">
        <v>35008</v>
      </c>
      <c r="F4762" s="87" t="s">
        <v>21871</v>
      </c>
      <c r="G4762" s="45" t="s">
        <v>9693</v>
      </c>
      <c r="H4762" s="55" t="s">
        <v>9694</v>
      </c>
      <c r="I4762" s="15" t="s">
        <v>404</v>
      </c>
    </row>
    <row r="4763" spans="1:9" ht="51.75" customHeight="1" x14ac:dyDescent="0.35">
      <c r="A4763" s="15" t="s">
        <v>22937</v>
      </c>
      <c r="B4763" s="15" t="s">
        <v>35009</v>
      </c>
      <c r="C4763" s="15" t="s">
        <v>34943</v>
      </c>
      <c r="D4763" s="31">
        <v>42349</v>
      </c>
      <c r="E4763" s="15" t="s">
        <v>35010</v>
      </c>
      <c r="F4763" s="87" t="s">
        <v>21871</v>
      </c>
      <c r="G4763" s="45" t="s">
        <v>10142</v>
      </c>
      <c r="H4763" s="55" t="s">
        <v>10143</v>
      </c>
      <c r="I4763" s="15" t="s">
        <v>404</v>
      </c>
    </row>
    <row r="4764" spans="1:9" ht="51.75" customHeight="1" x14ac:dyDescent="0.35">
      <c r="A4764" s="15" t="s">
        <v>22906</v>
      </c>
      <c r="B4764" s="15" t="s">
        <v>35011</v>
      </c>
      <c r="C4764" s="15" t="s">
        <v>35012</v>
      </c>
      <c r="D4764" s="31">
        <v>42349</v>
      </c>
      <c r="E4764" s="15" t="s">
        <v>35013</v>
      </c>
      <c r="F4764" s="87" t="s">
        <v>21871</v>
      </c>
      <c r="G4764" s="45" t="s">
        <v>10142</v>
      </c>
      <c r="H4764" s="55" t="s">
        <v>10143</v>
      </c>
      <c r="I4764" s="15" t="s">
        <v>404</v>
      </c>
    </row>
    <row r="4765" spans="1:9" ht="51.75" customHeight="1" x14ac:dyDescent="0.35">
      <c r="A4765" s="15" t="s">
        <v>24917</v>
      </c>
      <c r="B4765" s="15" t="s">
        <v>35014</v>
      </c>
      <c r="C4765" s="15" t="s">
        <v>21892</v>
      </c>
      <c r="D4765" s="31">
        <v>42289</v>
      </c>
      <c r="E4765" s="15" t="s">
        <v>35015</v>
      </c>
      <c r="F4765" s="87" t="s">
        <v>21871</v>
      </c>
      <c r="G4765" s="45" t="s">
        <v>10136</v>
      </c>
      <c r="H4765" s="55" t="s">
        <v>10137</v>
      </c>
      <c r="I4765" s="15" t="s">
        <v>404</v>
      </c>
    </row>
    <row r="4766" spans="1:9" ht="51.75" customHeight="1" x14ac:dyDescent="0.35">
      <c r="A4766" s="15" t="s">
        <v>24929</v>
      </c>
      <c r="B4766" s="15" t="s">
        <v>35016</v>
      </c>
      <c r="C4766" s="15" t="s">
        <v>21896</v>
      </c>
      <c r="D4766" s="31">
        <v>42289</v>
      </c>
      <c r="E4766" s="15" t="s">
        <v>35017</v>
      </c>
      <c r="F4766" s="87" t="s">
        <v>21871</v>
      </c>
      <c r="G4766" s="45" t="s">
        <v>10136</v>
      </c>
      <c r="H4766" s="55" t="s">
        <v>10137</v>
      </c>
      <c r="I4766" s="15" t="s">
        <v>404</v>
      </c>
    </row>
    <row r="4767" spans="1:9" ht="51.75" customHeight="1" x14ac:dyDescent="0.35">
      <c r="A4767" s="15" t="s">
        <v>25264</v>
      </c>
      <c r="B4767" s="15" t="s">
        <v>35018</v>
      </c>
      <c r="C4767" s="15" t="s">
        <v>21892</v>
      </c>
      <c r="D4767" s="31">
        <v>42094</v>
      </c>
      <c r="E4767" s="15" t="s">
        <v>35019</v>
      </c>
      <c r="F4767" s="87" t="s">
        <v>21871</v>
      </c>
      <c r="G4767" s="45" t="s">
        <v>10058</v>
      </c>
      <c r="H4767" s="55" t="s">
        <v>10059</v>
      </c>
      <c r="I4767" s="15" t="s">
        <v>404</v>
      </c>
    </row>
    <row r="4768" spans="1:9" ht="51.75" customHeight="1" x14ac:dyDescent="0.35">
      <c r="A4768" s="15" t="s">
        <v>24509</v>
      </c>
      <c r="B4768" s="15" t="s">
        <v>35020</v>
      </c>
      <c r="C4768" s="15" t="s">
        <v>21896</v>
      </c>
      <c r="D4768" s="31">
        <v>42094</v>
      </c>
      <c r="E4768" s="15" t="s">
        <v>35021</v>
      </c>
      <c r="F4768" s="87" t="s">
        <v>21871</v>
      </c>
      <c r="G4768" s="45" t="s">
        <v>10058</v>
      </c>
      <c r="H4768" s="55" t="s">
        <v>10059</v>
      </c>
      <c r="I4768" s="15" t="s">
        <v>404</v>
      </c>
    </row>
    <row r="4769" spans="1:9" ht="51.75" customHeight="1" x14ac:dyDescent="0.35">
      <c r="A4769" s="15" t="s">
        <v>24515</v>
      </c>
      <c r="B4769" s="15" t="s">
        <v>35022</v>
      </c>
      <c r="C4769" s="15" t="s">
        <v>24243</v>
      </c>
      <c r="D4769" s="31">
        <v>42094</v>
      </c>
      <c r="E4769" s="15" t="s">
        <v>35023</v>
      </c>
      <c r="F4769" s="87" t="s">
        <v>21871</v>
      </c>
      <c r="G4769" s="45" t="s">
        <v>10058</v>
      </c>
      <c r="H4769" s="55" t="s">
        <v>10059</v>
      </c>
      <c r="I4769" s="15" t="s">
        <v>404</v>
      </c>
    </row>
    <row r="4770" spans="1:9" ht="51.75" customHeight="1" x14ac:dyDescent="0.35">
      <c r="A4770" s="15" t="s">
        <v>22618</v>
      </c>
      <c r="B4770" s="15" t="s">
        <v>35024</v>
      </c>
      <c r="C4770" s="15" t="s">
        <v>21892</v>
      </c>
      <c r="D4770" s="31">
        <v>42157</v>
      </c>
      <c r="E4770" s="15" t="s">
        <v>35025</v>
      </c>
      <c r="F4770" s="87" t="s">
        <v>21871</v>
      </c>
      <c r="G4770" s="45" t="s">
        <v>10220</v>
      </c>
      <c r="H4770" s="55" t="s">
        <v>10221</v>
      </c>
      <c r="I4770" s="15" t="s">
        <v>404</v>
      </c>
    </row>
    <row r="4771" spans="1:9" ht="51.75" customHeight="1" x14ac:dyDescent="0.35">
      <c r="A4771" s="15" t="s">
        <v>22622</v>
      </c>
      <c r="B4771" s="15" t="s">
        <v>35026</v>
      </c>
      <c r="C4771" s="15" t="s">
        <v>21896</v>
      </c>
      <c r="D4771" s="31">
        <v>42157</v>
      </c>
      <c r="E4771" s="15" t="s">
        <v>35027</v>
      </c>
      <c r="F4771" s="87" t="s">
        <v>21871</v>
      </c>
      <c r="G4771" s="45" t="s">
        <v>10220</v>
      </c>
      <c r="H4771" s="55" t="s">
        <v>10221</v>
      </c>
      <c r="I4771" s="15" t="s">
        <v>404</v>
      </c>
    </row>
    <row r="4772" spans="1:9" ht="51.75" customHeight="1" x14ac:dyDescent="0.35">
      <c r="A4772" s="15" t="s">
        <v>24572</v>
      </c>
      <c r="B4772" s="15" t="s">
        <v>35028</v>
      </c>
      <c r="C4772" s="15" t="s">
        <v>21892</v>
      </c>
      <c r="D4772" s="31">
        <v>42740</v>
      </c>
      <c r="E4772" s="15" t="s">
        <v>35029</v>
      </c>
      <c r="F4772" s="87" t="s">
        <v>21871</v>
      </c>
      <c r="G4772" s="45" t="s">
        <v>10309</v>
      </c>
      <c r="H4772" s="55" t="s">
        <v>10310</v>
      </c>
      <c r="I4772" s="15" t="s">
        <v>404</v>
      </c>
    </row>
    <row r="4773" spans="1:9" ht="51.75" customHeight="1" x14ac:dyDescent="0.35">
      <c r="A4773" s="15" t="s">
        <v>24623</v>
      </c>
      <c r="B4773" s="15" t="s">
        <v>35030</v>
      </c>
      <c r="C4773" s="15" t="s">
        <v>21892</v>
      </c>
      <c r="D4773" s="31">
        <v>42194</v>
      </c>
      <c r="E4773" s="15" t="s">
        <v>35031</v>
      </c>
      <c r="F4773" s="87" t="s">
        <v>21871</v>
      </c>
      <c r="G4773" s="45" t="s">
        <v>10291</v>
      </c>
      <c r="H4773" s="55" t="s">
        <v>10292</v>
      </c>
      <c r="I4773" s="15" t="s">
        <v>404</v>
      </c>
    </row>
    <row r="4774" spans="1:9" ht="51.75" customHeight="1" x14ac:dyDescent="0.35">
      <c r="A4774" s="15" t="s">
        <v>26390</v>
      </c>
      <c r="B4774" s="15" t="s">
        <v>35032</v>
      </c>
      <c r="C4774" s="15" t="s">
        <v>21892</v>
      </c>
      <c r="D4774" s="31">
        <v>42181</v>
      </c>
      <c r="E4774" s="15" t="s">
        <v>35033</v>
      </c>
      <c r="F4774" s="87" t="s">
        <v>21871</v>
      </c>
      <c r="G4774" s="45" t="s">
        <v>10510</v>
      </c>
      <c r="H4774" s="55" t="s">
        <v>10511</v>
      </c>
      <c r="I4774" s="15" t="s">
        <v>404</v>
      </c>
    </row>
    <row r="4775" spans="1:9" ht="51.75" customHeight="1" x14ac:dyDescent="0.35">
      <c r="A4775" s="15" t="s">
        <v>26394</v>
      </c>
      <c r="B4775" s="15" t="s">
        <v>35034</v>
      </c>
      <c r="C4775" s="15" t="s">
        <v>21896</v>
      </c>
      <c r="D4775" s="31">
        <v>42181</v>
      </c>
      <c r="E4775" s="15" t="s">
        <v>35035</v>
      </c>
      <c r="F4775" s="87" t="s">
        <v>21871</v>
      </c>
      <c r="G4775" s="45" t="s">
        <v>10510</v>
      </c>
      <c r="H4775" s="55" t="s">
        <v>10511</v>
      </c>
      <c r="I4775" s="15" t="s">
        <v>404</v>
      </c>
    </row>
    <row r="4776" spans="1:9" ht="51.75" customHeight="1" x14ac:dyDescent="0.35">
      <c r="A4776" s="15" t="s">
        <v>24923</v>
      </c>
      <c r="B4776" s="15" t="s">
        <v>35036</v>
      </c>
      <c r="C4776" s="15" t="s">
        <v>21892</v>
      </c>
      <c r="D4776" s="31">
        <v>42604</v>
      </c>
      <c r="E4776" s="15" t="s">
        <v>35037</v>
      </c>
      <c r="F4776" s="87" t="s">
        <v>21871</v>
      </c>
      <c r="G4776" s="45" t="s">
        <v>10535</v>
      </c>
      <c r="H4776" s="55" t="s">
        <v>10536</v>
      </c>
      <c r="I4776" s="15" t="s">
        <v>404</v>
      </c>
    </row>
    <row r="4777" spans="1:9" ht="51.75" customHeight="1" x14ac:dyDescent="0.35">
      <c r="A4777" s="15" t="s">
        <v>24929</v>
      </c>
      <c r="B4777" s="15" t="s">
        <v>35038</v>
      </c>
      <c r="C4777" s="15" t="s">
        <v>21896</v>
      </c>
      <c r="D4777" s="31">
        <v>42604</v>
      </c>
      <c r="E4777" s="15" t="s">
        <v>35039</v>
      </c>
      <c r="F4777" s="87" t="s">
        <v>21871</v>
      </c>
      <c r="G4777" s="45" t="s">
        <v>10535</v>
      </c>
      <c r="H4777" s="55" t="s">
        <v>10536</v>
      </c>
      <c r="I4777" s="15" t="s">
        <v>404</v>
      </c>
    </row>
    <row r="4778" spans="1:9" ht="51.75" customHeight="1" x14ac:dyDescent="0.35">
      <c r="A4778" s="15" t="s">
        <v>23610</v>
      </c>
      <c r="B4778" s="15" t="s">
        <v>35040</v>
      </c>
      <c r="C4778" s="15" t="s">
        <v>21892</v>
      </c>
      <c r="D4778" s="31">
        <v>42256</v>
      </c>
      <c r="E4778" s="15" t="s">
        <v>35041</v>
      </c>
      <c r="F4778" s="87" t="s">
        <v>21871</v>
      </c>
      <c r="G4778" s="45" t="s">
        <v>10576</v>
      </c>
      <c r="H4778" s="55" t="s">
        <v>10577</v>
      </c>
      <c r="I4778" s="15" t="s">
        <v>404</v>
      </c>
    </row>
    <row r="4779" spans="1:9" ht="51.75" customHeight="1" x14ac:dyDescent="0.35">
      <c r="A4779" s="15" t="s">
        <v>26691</v>
      </c>
      <c r="B4779" s="15" t="s">
        <v>35042</v>
      </c>
      <c r="C4779" s="15" t="s">
        <v>21896</v>
      </c>
      <c r="D4779" s="31">
        <v>42256</v>
      </c>
      <c r="E4779" s="15" t="s">
        <v>35043</v>
      </c>
      <c r="F4779" s="87" t="s">
        <v>21871</v>
      </c>
      <c r="G4779" s="45" t="s">
        <v>10576</v>
      </c>
      <c r="H4779" s="55" t="s">
        <v>10577</v>
      </c>
      <c r="I4779" s="15" t="s">
        <v>404</v>
      </c>
    </row>
    <row r="4780" spans="1:9" ht="51.75" customHeight="1" x14ac:dyDescent="0.35">
      <c r="A4780" s="15">
        <v>1</v>
      </c>
      <c r="B4780" s="15" t="s">
        <v>35044</v>
      </c>
      <c r="C4780" s="15" t="s">
        <v>35045</v>
      </c>
      <c r="D4780" s="31">
        <v>39693</v>
      </c>
      <c r="E4780" s="15" t="s">
        <v>35046</v>
      </c>
      <c r="F4780" s="87"/>
      <c r="G4780" s="45" t="s">
        <v>1659</v>
      </c>
      <c r="H4780" s="55" t="s">
        <v>1660</v>
      </c>
      <c r="I4780" s="15" t="s">
        <v>404</v>
      </c>
    </row>
    <row r="4781" spans="1:9" ht="51.75" customHeight="1" x14ac:dyDescent="0.35">
      <c r="A4781" s="15">
        <v>2</v>
      </c>
      <c r="B4781" s="15" t="s">
        <v>35047</v>
      </c>
      <c r="C4781" s="15" t="s">
        <v>35048</v>
      </c>
      <c r="D4781" s="31">
        <v>39693</v>
      </c>
      <c r="E4781" s="15" t="s">
        <v>35049</v>
      </c>
      <c r="F4781" s="87"/>
      <c r="G4781" s="45" t="s">
        <v>1659</v>
      </c>
      <c r="H4781" s="55" t="s">
        <v>1660</v>
      </c>
      <c r="I4781" s="15" t="s">
        <v>404</v>
      </c>
    </row>
    <row r="4782" spans="1:9" ht="51.75" customHeight="1" x14ac:dyDescent="0.35">
      <c r="A4782" s="15">
        <v>3</v>
      </c>
      <c r="B4782" s="15" t="s">
        <v>35050</v>
      </c>
      <c r="C4782" s="15" t="s">
        <v>35051</v>
      </c>
      <c r="D4782" s="31">
        <v>39693</v>
      </c>
      <c r="E4782" s="15" t="s">
        <v>35052</v>
      </c>
      <c r="F4782" s="87"/>
      <c r="G4782" s="45" t="s">
        <v>1659</v>
      </c>
      <c r="H4782" s="55" t="s">
        <v>1660</v>
      </c>
      <c r="I4782" s="15" t="s">
        <v>404</v>
      </c>
    </row>
    <row r="4783" spans="1:9" ht="51.75" customHeight="1" x14ac:dyDescent="0.35">
      <c r="A4783" s="15">
        <v>4</v>
      </c>
      <c r="B4783" s="15" t="s">
        <v>35053</v>
      </c>
      <c r="C4783" s="15" t="s">
        <v>35054</v>
      </c>
      <c r="D4783" s="31">
        <v>39693</v>
      </c>
      <c r="E4783" s="15" t="s">
        <v>35055</v>
      </c>
      <c r="F4783" s="87"/>
      <c r="G4783" s="45" t="s">
        <v>1659</v>
      </c>
      <c r="H4783" s="55" t="s">
        <v>1660</v>
      </c>
      <c r="I4783" s="15" t="s">
        <v>404</v>
      </c>
    </row>
    <row r="4784" spans="1:9" ht="51.75" customHeight="1" x14ac:dyDescent="0.35">
      <c r="A4784" s="15">
        <v>5</v>
      </c>
      <c r="B4784" s="15" t="s">
        <v>35056</v>
      </c>
      <c r="C4784" s="15" t="s">
        <v>35057</v>
      </c>
      <c r="D4784" s="31">
        <v>39693</v>
      </c>
      <c r="E4784" s="15" t="s">
        <v>35057</v>
      </c>
      <c r="F4784" s="87"/>
      <c r="G4784" s="45" t="s">
        <v>1659</v>
      </c>
      <c r="H4784" s="55" t="s">
        <v>1660</v>
      </c>
      <c r="I4784" s="15" t="s">
        <v>404</v>
      </c>
    </row>
    <row r="4785" spans="1:9" ht="51.75" customHeight="1" x14ac:dyDescent="0.35">
      <c r="A4785" s="15">
        <v>1</v>
      </c>
      <c r="B4785" s="15" t="s">
        <v>35058</v>
      </c>
      <c r="C4785" s="15" t="s">
        <v>35059</v>
      </c>
      <c r="D4785" s="31">
        <v>40634</v>
      </c>
      <c r="E4785" s="15" t="s">
        <v>35060</v>
      </c>
      <c r="F4785" s="87"/>
      <c r="G4785" s="45" t="s">
        <v>4663</v>
      </c>
      <c r="H4785" s="55" t="s">
        <v>4664</v>
      </c>
      <c r="I4785" s="15" t="s">
        <v>404</v>
      </c>
    </row>
    <row r="4786" spans="1:9" ht="51.75" customHeight="1" x14ac:dyDescent="0.35">
      <c r="A4786" s="15">
        <v>2</v>
      </c>
      <c r="B4786" s="15" t="s">
        <v>35061</v>
      </c>
      <c r="C4786" s="15" t="s">
        <v>35062</v>
      </c>
      <c r="D4786" s="31">
        <v>40634</v>
      </c>
      <c r="E4786" s="15" t="s">
        <v>35063</v>
      </c>
      <c r="F4786" s="87"/>
      <c r="G4786" s="45" t="s">
        <v>4663</v>
      </c>
      <c r="H4786" s="55" t="s">
        <v>4664</v>
      </c>
      <c r="I4786" s="15" t="s">
        <v>404</v>
      </c>
    </row>
    <row r="4787" spans="1:9" ht="51.75" customHeight="1" x14ac:dyDescent="0.35">
      <c r="A4787" s="15">
        <v>3</v>
      </c>
      <c r="B4787" s="15" t="s">
        <v>35064</v>
      </c>
      <c r="C4787" s="15" t="s">
        <v>34597</v>
      </c>
      <c r="D4787" s="31">
        <v>40634</v>
      </c>
      <c r="E4787" s="15" t="s">
        <v>35065</v>
      </c>
      <c r="F4787" s="87"/>
      <c r="G4787" s="45" t="s">
        <v>4663</v>
      </c>
      <c r="H4787" s="55" t="s">
        <v>4664</v>
      </c>
      <c r="I4787" s="15" t="s">
        <v>404</v>
      </c>
    </row>
    <row r="4788" spans="1:9" ht="51.75" customHeight="1" x14ac:dyDescent="0.35">
      <c r="A4788" s="15">
        <v>1</v>
      </c>
      <c r="B4788" s="15" t="s">
        <v>35066</v>
      </c>
      <c r="C4788" s="15" t="s">
        <v>35067</v>
      </c>
      <c r="D4788" s="31">
        <v>40749</v>
      </c>
      <c r="E4788" s="15" t="s">
        <v>35068</v>
      </c>
      <c r="F4788" s="87"/>
      <c r="G4788" s="45" t="s">
        <v>4999</v>
      </c>
      <c r="H4788" s="55" t="s">
        <v>5000</v>
      </c>
      <c r="I4788" s="15" t="s">
        <v>404</v>
      </c>
    </row>
    <row r="4789" spans="1:9" ht="51.75" customHeight="1" x14ac:dyDescent="0.35">
      <c r="A4789" s="15">
        <v>2</v>
      </c>
      <c r="B4789" s="15" t="s">
        <v>35069</v>
      </c>
      <c r="C4789" s="15" t="s">
        <v>35070</v>
      </c>
      <c r="D4789" s="31">
        <v>40749</v>
      </c>
      <c r="E4789" s="15" t="s">
        <v>35070</v>
      </c>
      <c r="F4789" s="87"/>
      <c r="G4789" s="45" t="s">
        <v>4999</v>
      </c>
      <c r="H4789" s="55" t="s">
        <v>5000</v>
      </c>
      <c r="I4789" s="15" t="s">
        <v>404</v>
      </c>
    </row>
    <row r="4790" spans="1:9" ht="51.75" customHeight="1" x14ac:dyDescent="0.35">
      <c r="A4790" s="15">
        <v>3</v>
      </c>
      <c r="B4790" s="15" t="s">
        <v>35071</v>
      </c>
      <c r="C4790" s="15" t="s">
        <v>35072</v>
      </c>
      <c r="D4790" s="31">
        <v>40749</v>
      </c>
      <c r="E4790" s="15" t="s">
        <v>35073</v>
      </c>
      <c r="F4790" s="87"/>
      <c r="G4790" s="45" t="s">
        <v>4999</v>
      </c>
      <c r="H4790" s="55" t="s">
        <v>5000</v>
      </c>
      <c r="I4790" s="15" t="s">
        <v>404</v>
      </c>
    </row>
    <row r="4791" spans="1:9" ht="51.75" customHeight="1" x14ac:dyDescent="0.35">
      <c r="A4791" s="15">
        <v>1</v>
      </c>
      <c r="B4791" s="15" t="s">
        <v>35074</v>
      </c>
      <c r="C4791" s="15" t="s">
        <v>35075</v>
      </c>
      <c r="D4791" s="31">
        <v>40631</v>
      </c>
      <c r="E4791" s="15" t="s">
        <v>35076</v>
      </c>
      <c r="F4791" s="87"/>
      <c r="G4791" s="45" t="s">
        <v>4902</v>
      </c>
      <c r="H4791" s="55" t="s">
        <v>4903</v>
      </c>
      <c r="I4791" s="15" t="s">
        <v>404</v>
      </c>
    </row>
    <row r="4792" spans="1:9" ht="51.75" customHeight="1" x14ac:dyDescent="0.35">
      <c r="A4792" s="15">
        <v>2</v>
      </c>
      <c r="B4792" s="15" t="s">
        <v>35077</v>
      </c>
      <c r="C4792" s="15" t="s">
        <v>35078</v>
      </c>
      <c r="D4792" s="31">
        <v>40631</v>
      </c>
      <c r="E4792" s="15" t="s">
        <v>35079</v>
      </c>
      <c r="F4792" s="87"/>
      <c r="G4792" s="45" t="s">
        <v>4902</v>
      </c>
      <c r="H4792" s="55" t="s">
        <v>4903</v>
      </c>
      <c r="I4792" s="15" t="s">
        <v>404</v>
      </c>
    </row>
    <row r="4793" spans="1:9" ht="51.75" customHeight="1" x14ac:dyDescent="0.35">
      <c r="A4793" s="15">
        <v>3</v>
      </c>
      <c r="B4793" s="15" t="s">
        <v>35080</v>
      </c>
      <c r="C4793" s="15" t="s">
        <v>35081</v>
      </c>
      <c r="D4793" s="31">
        <v>40631</v>
      </c>
      <c r="E4793" s="15" t="s">
        <v>35082</v>
      </c>
      <c r="F4793" s="87"/>
      <c r="G4793" s="45" t="s">
        <v>4902</v>
      </c>
      <c r="H4793" s="55" t="s">
        <v>4903</v>
      </c>
      <c r="I4793" s="15" t="s">
        <v>404</v>
      </c>
    </row>
    <row r="4794" spans="1:9" ht="51.75" customHeight="1" x14ac:dyDescent="0.35">
      <c r="A4794" s="15">
        <v>4</v>
      </c>
      <c r="B4794" s="15" t="s">
        <v>35083</v>
      </c>
      <c r="C4794" s="15" t="s">
        <v>35084</v>
      </c>
      <c r="D4794" s="31">
        <v>40631</v>
      </c>
      <c r="E4794" s="15" t="s">
        <v>35085</v>
      </c>
      <c r="F4794" s="87"/>
      <c r="G4794" s="45" t="s">
        <v>4902</v>
      </c>
      <c r="H4794" s="55" t="s">
        <v>4903</v>
      </c>
      <c r="I4794" s="15" t="s">
        <v>404</v>
      </c>
    </row>
    <row r="4795" spans="1:9" ht="51.75" customHeight="1" x14ac:dyDescent="0.35">
      <c r="A4795" s="15">
        <v>1</v>
      </c>
      <c r="B4795" s="15" t="s">
        <v>35086</v>
      </c>
      <c r="C4795" s="15" t="s">
        <v>35087</v>
      </c>
      <c r="D4795" s="31">
        <v>40604</v>
      </c>
      <c r="E4795" s="15" t="s">
        <v>35088</v>
      </c>
      <c r="F4795" s="87"/>
      <c r="G4795" s="45" t="s">
        <v>4794</v>
      </c>
      <c r="H4795" s="55" t="s">
        <v>4795</v>
      </c>
      <c r="I4795" s="15" t="s">
        <v>404</v>
      </c>
    </row>
    <row r="4796" spans="1:9" ht="51.75" customHeight="1" x14ac:dyDescent="0.35">
      <c r="A4796" s="15">
        <v>2</v>
      </c>
      <c r="B4796" s="15" t="s">
        <v>35089</v>
      </c>
      <c r="C4796" s="15" t="s">
        <v>35090</v>
      </c>
      <c r="D4796" s="31">
        <v>40604</v>
      </c>
      <c r="E4796" s="15" t="s">
        <v>35091</v>
      </c>
      <c r="F4796" s="87"/>
      <c r="G4796" s="45" t="s">
        <v>4794</v>
      </c>
      <c r="H4796" s="55" t="s">
        <v>4795</v>
      </c>
      <c r="I4796" s="15" t="s">
        <v>404</v>
      </c>
    </row>
    <row r="4797" spans="1:9" ht="51.75" customHeight="1" x14ac:dyDescent="0.35">
      <c r="A4797" s="15">
        <v>3</v>
      </c>
      <c r="B4797" s="15" t="s">
        <v>35092</v>
      </c>
      <c r="C4797" s="15" t="s">
        <v>35093</v>
      </c>
      <c r="D4797" s="31">
        <v>40604</v>
      </c>
      <c r="E4797" s="15" t="s">
        <v>35094</v>
      </c>
      <c r="F4797" s="87"/>
      <c r="G4797" s="45" t="s">
        <v>4794</v>
      </c>
      <c r="H4797" s="55" t="s">
        <v>4795</v>
      </c>
      <c r="I4797" s="15" t="s">
        <v>404</v>
      </c>
    </row>
    <row r="4798" spans="1:9" ht="51.75" customHeight="1" x14ac:dyDescent="0.35">
      <c r="A4798" s="15">
        <v>1</v>
      </c>
      <c r="B4798" s="15" t="s">
        <v>35095</v>
      </c>
      <c r="C4798" s="15" t="s">
        <v>34579</v>
      </c>
      <c r="D4798" s="31">
        <v>40534</v>
      </c>
      <c r="E4798" s="15" t="s">
        <v>35096</v>
      </c>
      <c r="F4798" s="87"/>
      <c r="G4798" s="45" t="s">
        <v>4642</v>
      </c>
      <c r="H4798" s="55" t="s">
        <v>4643</v>
      </c>
      <c r="I4798" s="15" t="s">
        <v>404</v>
      </c>
    </row>
    <row r="4799" spans="1:9" ht="51.75" customHeight="1" x14ac:dyDescent="0.35">
      <c r="A4799" s="15">
        <v>2</v>
      </c>
      <c r="B4799" s="15" t="s">
        <v>35097</v>
      </c>
      <c r="C4799" s="15" t="s">
        <v>34582</v>
      </c>
      <c r="D4799" s="31">
        <v>40534</v>
      </c>
      <c r="E4799" s="15" t="s">
        <v>35098</v>
      </c>
      <c r="F4799" s="87"/>
      <c r="G4799" s="45" t="s">
        <v>4642</v>
      </c>
      <c r="H4799" s="55" t="s">
        <v>4643</v>
      </c>
      <c r="I4799" s="15" t="s">
        <v>404</v>
      </c>
    </row>
    <row r="4800" spans="1:9" ht="51.75" customHeight="1" x14ac:dyDescent="0.35">
      <c r="A4800" s="15">
        <v>3</v>
      </c>
      <c r="B4800" s="15" t="s">
        <v>35099</v>
      </c>
      <c r="C4800" s="15" t="s">
        <v>34585</v>
      </c>
      <c r="D4800" s="31">
        <v>40534</v>
      </c>
      <c r="E4800" s="15" t="s">
        <v>35100</v>
      </c>
      <c r="F4800" s="87"/>
      <c r="G4800" s="45" t="s">
        <v>4642</v>
      </c>
      <c r="H4800" s="55" t="s">
        <v>4643</v>
      </c>
      <c r="I4800" s="15" t="s">
        <v>404</v>
      </c>
    </row>
    <row r="4801" spans="1:9" ht="51.75" customHeight="1" x14ac:dyDescent="0.35">
      <c r="A4801" s="15">
        <v>4</v>
      </c>
      <c r="B4801" s="15" t="s">
        <v>35101</v>
      </c>
      <c r="C4801" s="15" t="s">
        <v>34588</v>
      </c>
      <c r="D4801" s="31">
        <v>40534</v>
      </c>
      <c r="E4801" s="15" t="s">
        <v>35102</v>
      </c>
      <c r="F4801" s="87"/>
      <c r="G4801" s="45" t="s">
        <v>4642</v>
      </c>
      <c r="H4801" s="55" t="s">
        <v>4643</v>
      </c>
      <c r="I4801" s="15" t="s">
        <v>404</v>
      </c>
    </row>
    <row r="4802" spans="1:9" ht="51.75" customHeight="1" x14ac:dyDescent="0.35">
      <c r="A4802" s="15">
        <v>5</v>
      </c>
      <c r="B4802" s="15" t="s">
        <v>35103</v>
      </c>
      <c r="C4802" s="15" t="s">
        <v>34591</v>
      </c>
      <c r="D4802" s="31">
        <v>40534</v>
      </c>
      <c r="E4802" s="15" t="s">
        <v>35104</v>
      </c>
      <c r="F4802" s="87"/>
      <c r="G4802" s="45" t="s">
        <v>4642</v>
      </c>
      <c r="H4802" s="55" t="s">
        <v>4643</v>
      </c>
      <c r="I4802" s="15" t="s">
        <v>404</v>
      </c>
    </row>
    <row r="4803" spans="1:9" ht="51.75" customHeight="1" x14ac:dyDescent="0.35">
      <c r="A4803" s="15">
        <v>6</v>
      </c>
      <c r="B4803" s="15" t="s">
        <v>35105</v>
      </c>
      <c r="C4803" s="15" t="s">
        <v>35106</v>
      </c>
      <c r="D4803" s="31">
        <v>40534</v>
      </c>
      <c r="E4803" s="15" t="s">
        <v>35107</v>
      </c>
      <c r="F4803" s="87"/>
      <c r="G4803" s="45" t="s">
        <v>4642</v>
      </c>
      <c r="H4803" s="55" t="s">
        <v>4643</v>
      </c>
      <c r="I4803" s="15" t="s">
        <v>404</v>
      </c>
    </row>
    <row r="4804" spans="1:9" ht="51.75" customHeight="1" x14ac:dyDescent="0.35">
      <c r="A4804" s="15">
        <v>7</v>
      </c>
      <c r="B4804" s="15" t="s">
        <v>35108</v>
      </c>
      <c r="C4804" s="15" t="s">
        <v>34597</v>
      </c>
      <c r="D4804" s="31">
        <v>40534</v>
      </c>
      <c r="E4804" s="15" t="s">
        <v>35109</v>
      </c>
      <c r="F4804" s="87"/>
      <c r="G4804" s="45" t="s">
        <v>4642</v>
      </c>
      <c r="H4804" s="55" t="s">
        <v>4643</v>
      </c>
      <c r="I4804" s="15" t="s">
        <v>404</v>
      </c>
    </row>
    <row r="4805" spans="1:9" ht="51.75" customHeight="1" x14ac:dyDescent="0.35">
      <c r="A4805" s="15">
        <v>1</v>
      </c>
      <c r="B4805" s="15" t="s">
        <v>35110</v>
      </c>
      <c r="C4805" s="15" t="s">
        <v>35111</v>
      </c>
      <c r="D4805" s="31">
        <v>40672</v>
      </c>
      <c r="E4805" s="15" t="s">
        <v>35112</v>
      </c>
      <c r="F4805" s="87"/>
      <c r="G4805" s="45" t="s">
        <v>3896</v>
      </c>
      <c r="H4805" s="55" t="s">
        <v>3897</v>
      </c>
      <c r="I4805" s="15" t="s">
        <v>404</v>
      </c>
    </row>
    <row r="4806" spans="1:9" ht="51.75" customHeight="1" x14ac:dyDescent="0.35">
      <c r="A4806" s="15">
        <v>2</v>
      </c>
      <c r="B4806" s="15" t="s">
        <v>35113</v>
      </c>
      <c r="C4806" s="15" t="s">
        <v>35114</v>
      </c>
      <c r="D4806" s="31">
        <v>40672</v>
      </c>
      <c r="E4806" s="15" t="s">
        <v>35115</v>
      </c>
      <c r="F4806" s="87"/>
      <c r="G4806" s="45" t="s">
        <v>3896</v>
      </c>
      <c r="H4806" s="55" t="s">
        <v>3897</v>
      </c>
      <c r="I4806" s="15" t="s">
        <v>404</v>
      </c>
    </row>
    <row r="4807" spans="1:9" ht="51.75" customHeight="1" x14ac:dyDescent="0.35">
      <c r="A4807" s="15">
        <v>1</v>
      </c>
      <c r="B4807" s="15" t="s">
        <v>35116</v>
      </c>
      <c r="C4807" s="15" t="s">
        <v>35117</v>
      </c>
      <c r="D4807" s="31">
        <v>40485</v>
      </c>
      <c r="E4807" s="15" t="s">
        <v>35118</v>
      </c>
      <c r="F4807" s="87"/>
      <c r="G4807" s="45" t="s">
        <v>3786</v>
      </c>
      <c r="H4807" s="55" t="s">
        <v>3787</v>
      </c>
      <c r="I4807" s="15" t="s">
        <v>404</v>
      </c>
    </row>
    <row r="4808" spans="1:9" ht="51.75" customHeight="1" x14ac:dyDescent="0.35">
      <c r="A4808" s="15">
        <v>1</v>
      </c>
      <c r="B4808" s="15" t="s">
        <v>35119</v>
      </c>
      <c r="C4808" s="15" t="s">
        <v>35120</v>
      </c>
      <c r="D4808" s="31">
        <v>40532</v>
      </c>
      <c r="E4808" s="15" t="s">
        <v>35121</v>
      </c>
      <c r="F4808" s="87"/>
      <c r="G4808" s="45" t="s">
        <v>4213</v>
      </c>
      <c r="H4808" s="55" t="s">
        <v>4214</v>
      </c>
      <c r="I4808" s="15" t="s">
        <v>404</v>
      </c>
    </row>
    <row r="4809" spans="1:9" ht="51.75" customHeight="1" x14ac:dyDescent="0.35">
      <c r="A4809" s="15">
        <v>2</v>
      </c>
      <c r="B4809" s="15" t="s">
        <v>35122</v>
      </c>
      <c r="C4809" s="15" t="s">
        <v>35123</v>
      </c>
      <c r="D4809" s="31">
        <v>40532</v>
      </c>
      <c r="E4809" s="15" t="s">
        <v>35124</v>
      </c>
      <c r="F4809" s="87"/>
      <c r="G4809" s="45" t="s">
        <v>4213</v>
      </c>
      <c r="H4809" s="55" t="s">
        <v>4214</v>
      </c>
      <c r="I4809" s="15" t="s">
        <v>404</v>
      </c>
    </row>
    <row r="4810" spans="1:9" ht="51.75" customHeight="1" x14ac:dyDescent="0.35">
      <c r="A4810" s="15">
        <v>3</v>
      </c>
      <c r="B4810" s="15" t="s">
        <v>35125</v>
      </c>
      <c r="C4810" s="15" t="s">
        <v>34493</v>
      </c>
      <c r="D4810" s="31">
        <v>40532</v>
      </c>
      <c r="E4810" s="15" t="s">
        <v>35126</v>
      </c>
      <c r="F4810" s="87"/>
      <c r="G4810" s="45" t="s">
        <v>4213</v>
      </c>
      <c r="H4810" s="55" t="s">
        <v>4214</v>
      </c>
      <c r="I4810" s="15" t="s">
        <v>404</v>
      </c>
    </row>
    <row r="4811" spans="1:9" ht="51.75" customHeight="1" x14ac:dyDescent="0.35">
      <c r="A4811" s="15">
        <v>4</v>
      </c>
      <c r="B4811" s="15" t="s">
        <v>35127</v>
      </c>
      <c r="C4811" s="15" t="s">
        <v>34810</v>
      </c>
      <c r="D4811" s="31">
        <v>40532</v>
      </c>
      <c r="E4811" s="15" t="s">
        <v>34810</v>
      </c>
      <c r="F4811" s="87"/>
      <c r="G4811" s="45" t="s">
        <v>4213</v>
      </c>
      <c r="H4811" s="55" t="s">
        <v>4214</v>
      </c>
      <c r="I4811" s="15" t="s">
        <v>404</v>
      </c>
    </row>
    <row r="4812" spans="1:9" ht="51.75" customHeight="1" x14ac:dyDescent="0.35">
      <c r="A4812" s="15">
        <v>1</v>
      </c>
      <c r="B4812" s="15" t="s">
        <v>35128</v>
      </c>
      <c r="C4812" s="15" t="s">
        <v>35129</v>
      </c>
      <c r="D4812" s="31">
        <v>40315</v>
      </c>
      <c r="E4812" s="15" t="s">
        <v>35130</v>
      </c>
      <c r="F4812" s="87"/>
      <c r="G4812" s="45" t="s">
        <v>4051</v>
      </c>
      <c r="H4812" s="55" t="s">
        <v>4052</v>
      </c>
      <c r="I4812" s="15" t="s">
        <v>404</v>
      </c>
    </row>
    <row r="4813" spans="1:9" ht="51.75" customHeight="1" x14ac:dyDescent="0.35">
      <c r="A4813" s="15">
        <v>2</v>
      </c>
      <c r="B4813" s="15" t="s">
        <v>35131</v>
      </c>
      <c r="C4813" s="15" t="s">
        <v>35132</v>
      </c>
      <c r="D4813" s="31">
        <v>40315</v>
      </c>
      <c r="E4813" s="15" t="s">
        <v>35133</v>
      </c>
      <c r="F4813" s="87"/>
      <c r="G4813" s="45" t="s">
        <v>4051</v>
      </c>
      <c r="H4813" s="55" t="s">
        <v>4052</v>
      </c>
      <c r="I4813" s="15" t="s">
        <v>404</v>
      </c>
    </row>
    <row r="4814" spans="1:9" ht="51.75" customHeight="1" x14ac:dyDescent="0.35">
      <c r="A4814" s="15">
        <v>3</v>
      </c>
      <c r="B4814" s="15" t="s">
        <v>35134</v>
      </c>
      <c r="C4814" s="15" t="s">
        <v>34810</v>
      </c>
      <c r="D4814" s="31">
        <v>40315</v>
      </c>
      <c r="E4814" s="15" t="s">
        <v>34810</v>
      </c>
      <c r="F4814" s="87"/>
      <c r="G4814" s="45" t="s">
        <v>4051</v>
      </c>
      <c r="H4814" s="55" t="s">
        <v>4052</v>
      </c>
      <c r="I4814" s="15" t="s">
        <v>404</v>
      </c>
    </row>
    <row r="4815" spans="1:9" ht="51.75" customHeight="1" x14ac:dyDescent="0.35">
      <c r="A4815" s="15">
        <v>1</v>
      </c>
      <c r="B4815" s="15" t="s">
        <v>35135</v>
      </c>
      <c r="C4815" s="15" t="s">
        <v>35136</v>
      </c>
      <c r="D4815" s="31">
        <v>40367</v>
      </c>
      <c r="E4815" s="15" t="s">
        <v>35137</v>
      </c>
      <c r="F4815" s="87"/>
      <c r="G4815" s="45" t="s">
        <v>3995</v>
      </c>
      <c r="H4815" s="55" t="s">
        <v>3996</v>
      </c>
      <c r="I4815" s="15" t="s">
        <v>404</v>
      </c>
    </row>
    <row r="4816" spans="1:9" ht="51.75" customHeight="1" x14ac:dyDescent="0.35">
      <c r="A4816" s="15">
        <v>2</v>
      </c>
      <c r="B4816" s="15" t="s">
        <v>35138</v>
      </c>
      <c r="C4816" s="15" t="s">
        <v>35139</v>
      </c>
      <c r="D4816" s="31">
        <v>40367</v>
      </c>
      <c r="E4816" s="15" t="s">
        <v>35140</v>
      </c>
      <c r="F4816" s="87"/>
      <c r="G4816" s="45" t="s">
        <v>3995</v>
      </c>
      <c r="H4816" s="55" t="s">
        <v>3996</v>
      </c>
      <c r="I4816" s="15" t="s">
        <v>404</v>
      </c>
    </row>
    <row r="4817" spans="1:9" ht="51.75" customHeight="1" x14ac:dyDescent="0.35">
      <c r="A4817" s="15">
        <v>3</v>
      </c>
      <c r="B4817" s="15" t="s">
        <v>35141</v>
      </c>
      <c r="C4817" s="15" t="s">
        <v>35142</v>
      </c>
      <c r="D4817" s="31">
        <v>40367</v>
      </c>
      <c r="E4817" s="15" t="s">
        <v>35143</v>
      </c>
      <c r="F4817" s="87"/>
      <c r="G4817" s="45" t="s">
        <v>3995</v>
      </c>
      <c r="H4817" s="55" t="s">
        <v>3996</v>
      </c>
      <c r="I4817" s="15" t="s">
        <v>404</v>
      </c>
    </row>
    <row r="4818" spans="1:9" ht="51.75" customHeight="1" x14ac:dyDescent="0.35">
      <c r="A4818" s="15">
        <v>1</v>
      </c>
      <c r="B4818" s="15" t="s">
        <v>35144</v>
      </c>
      <c r="C4818" s="15" t="s">
        <v>35145</v>
      </c>
      <c r="D4818" s="31">
        <v>40305</v>
      </c>
      <c r="E4818" s="15" t="s">
        <v>35146</v>
      </c>
      <c r="F4818" s="87"/>
      <c r="G4818" s="45" t="s">
        <v>3858</v>
      </c>
      <c r="H4818" s="55" t="s">
        <v>3859</v>
      </c>
      <c r="I4818" s="15" t="s">
        <v>404</v>
      </c>
    </row>
    <row r="4819" spans="1:9" ht="51.75" customHeight="1" x14ac:dyDescent="0.35">
      <c r="A4819" s="15">
        <v>2</v>
      </c>
      <c r="B4819" s="15" t="s">
        <v>35147</v>
      </c>
      <c r="C4819" s="15" t="s">
        <v>35148</v>
      </c>
      <c r="D4819" s="31">
        <v>40305</v>
      </c>
      <c r="E4819" s="15" t="s">
        <v>35148</v>
      </c>
      <c r="F4819" s="87"/>
      <c r="G4819" s="45" t="s">
        <v>3858</v>
      </c>
      <c r="H4819" s="55" t="s">
        <v>3859</v>
      </c>
      <c r="I4819" s="15" t="s">
        <v>404</v>
      </c>
    </row>
    <row r="4820" spans="1:9" ht="51.75" customHeight="1" x14ac:dyDescent="0.35">
      <c r="A4820" s="15">
        <v>3</v>
      </c>
      <c r="B4820" s="15" t="s">
        <v>35149</v>
      </c>
      <c r="C4820" s="15" t="s">
        <v>35150</v>
      </c>
      <c r="D4820" s="31">
        <v>40305</v>
      </c>
      <c r="E4820" s="15" t="s">
        <v>35150</v>
      </c>
      <c r="F4820" s="87"/>
      <c r="G4820" s="45" t="s">
        <v>3858</v>
      </c>
      <c r="H4820" s="55" t="s">
        <v>3859</v>
      </c>
      <c r="I4820" s="15" t="s">
        <v>404</v>
      </c>
    </row>
    <row r="4821" spans="1:9" ht="51.75" customHeight="1" x14ac:dyDescent="0.35">
      <c r="A4821" s="15">
        <v>4</v>
      </c>
      <c r="B4821" s="15" t="s">
        <v>35151</v>
      </c>
      <c r="C4821" s="15" t="s">
        <v>35152</v>
      </c>
      <c r="D4821" s="31">
        <v>40305</v>
      </c>
      <c r="E4821" s="15" t="s">
        <v>35153</v>
      </c>
      <c r="F4821" s="87"/>
      <c r="G4821" s="45" t="s">
        <v>3858</v>
      </c>
      <c r="H4821" s="55" t="s">
        <v>3859</v>
      </c>
      <c r="I4821" s="15" t="s">
        <v>404</v>
      </c>
    </row>
    <row r="4822" spans="1:9" ht="51.75" customHeight="1" x14ac:dyDescent="0.35">
      <c r="A4822" s="15">
        <v>5</v>
      </c>
      <c r="B4822" s="15" t="s">
        <v>35154</v>
      </c>
      <c r="C4822" s="15" t="s">
        <v>35155</v>
      </c>
      <c r="D4822" s="31">
        <v>40305</v>
      </c>
      <c r="E4822" s="15" t="s">
        <v>35156</v>
      </c>
      <c r="F4822" s="87"/>
      <c r="G4822" s="45" t="s">
        <v>3858</v>
      </c>
      <c r="H4822" s="55" t="s">
        <v>3859</v>
      </c>
      <c r="I4822" s="15" t="s">
        <v>404</v>
      </c>
    </row>
    <row r="4823" spans="1:9" ht="51.75" customHeight="1" x14ac:dyDescent="0.35">
      <c r="A4823" s="15">
        <v>1</v>
      </c>
      <c r="B4823" s="15" t="s">
        <v>35157</v>
      </c>
      <c r="C4823" s="15" t="s">
        <v>35158</v>
      </c>
      <c r="D4823" s="31">
        <v>40634</v>
      </c>
      <c r="E4823" s="15" t="s">
        <v>35159</v>
      </c>
      <c r="F4823" s="87"/>
      <c r="G4823" s="45" t="s">
        <v>3848</v>
      </c>
      <c r="H4823" s="55" t="s">
        <v>3849</v>
      </c>
      <c r="I4823" s="15" t="s">
        <v>404</v>
      </c>
    </row>
    <row r="4824" spans="1:9" ht="51.75" customHeight="1" x14ac:dyDescent="0.35">
      <c r="A4824" s="15">
        <v>2</v>
      </c>
      <c r="B4824" s="15" t="s">
        <v>35160</v>
      </c>
      <c r="C4824" s="15" t="s">
        <v>35161</v>
      </c>
      <c r="D4824" s="31">
        <v>40634</v>
      </c>
      <c r="E4824" s="15" t="s">
        <v>35162</v>
      </c>
      <c r="F4824" s="87"/>
      <c r="G4824" s="45" t="s">
        <v>3848</v>
      </c>
      <c r="H4824" s="55" t="s">
        <v>3849</v>
      </c>
      <c r="I4824" s="15" t="s">
        <v>404</v>
      </c>
    </row>
    <row r="4825" spans="1:9" ht="51.75" customHeight="1" x14ac:dyDescent="0.35">
      <c r="A4825" s="15">
        <v>1</v>
      </c>
      <c r="B4825" s="15" t="s">
        <v>35163</v>
      </c>
      <c r="C4825" s="15" t="s">
        <v>35164</v>
      </c>
      <c r="D4825" s="31">
        <v>40240</v>
      </c>
      <c r="E4825" s="15" t="s">
        <v>35165</v>
      </c>
      <c r="F4825" s="87"/>
      <c r="G4825" s="45" t="s">
        <v>3758</v>
      </c>
      <c r="H4825" s="55" t="s">
        <v>3759</v>
      </c>
      <c r="I4825" s="15" t="s">
        <v>404</v>
      </c>
    </row>
    <row r="4826" spans="1:9" ht="51.75" customHeight="1" x14ac:dyDescent="0.35">
      <c r="A4826" s="15">
        <v>1</v>
      </c>
      <c r="B4826" s="15" t="s">
        <v>35166</v>
      </c>
      <c r="C4826" s="15" t="s">
        <v>35167</v>
      </c>
      <c r="D4826" s="31">
        <v>40388</v>
      </c>
      <c r="E4826" s="15" t="s">
        <v>35168</v>
      </c>
      <c r="F4826" s="87"/>
      <c r="G4826" s="45" t="s">
        <v>3702</v>
      </c>
      <c r="H4826" s="55" t="s">
        <v>3703</v>
      </c>
      <c r="I4826" s="15" t="s">
        <v>404</v>
      </c>
    </row>
    <row r="4827" spans="1:9" ht="51.75" customHeight="1" x14ac:dyDescent="0.35">
      <c r="A4827" s="15">
        <v>1</v>
      </c>
      <c r="B4827" s="15" t="s">
        <v>35169</v>
      </c>
      <c r="C4827" s="15" t="s">
        <v>35170</v>
      </c>
      <c r="D4827" s="31">
        <v>40352</v>
      </c>
      <c r="E4827" s="15" t="s">
        <v>35171</v>
      </c>
      <c r="F4827" s="87"/>
      <c r="G4827" s="45" t="s">
        <v>3589</v>
      </c>
      <c r="H4827" s="55" t="s">
        <v>3590</v>
      </c>
      <c r="I4827" s="15" t="s">
        <v>404</v>
      </c>
    </row>
    <row r="4828" spans="1:9" ht="51.75" customHeight="1" x14ac:dyDescent="0.35">
      <c r="A4828" s="15">
        <v>2</v>
      </c>
      <c r="B4828" s="15" t="s">
        <v>35172</v>
      </c>
      <c r="C4828" s="15" t="s">
        <v>35173</v>
      </c>
      <c r="D4828" s="31">
        <v>40352</v>
      </c>
      <c r="E4828" s="15" t="s">
        <v>35174</v>
      </c>
      <c r="F4828" s="87"/>
      <c r="G4828" s="45" t="s">
        <v>3589</v>
      </c>
      <c r="H4828" s="55" t="s">
        <v>3590</v>
      </c>
      <c r="I4828" s="15" t="s">
        <v>404</v>
      </c>
    </row>
    <row r="4829" spans="1:9" ht="51.75" customHeight="1" x14ac:dyDescent="0.35">
      <c r="A4829" s="15">
        <v>3</v>
      </c>
      <c r="B4829" s="15" t="s">
        <v>35175</v>
      </c>
      <c r="C4829" s="15" t="s">
        <v>35176</v>
      </c>
      <c r="D4829" s="31">
        <v>40352</v>
      </c>
      <c r="E4829" s="15" t="s">
        <v>35177</v>
      </c>
      <c r="F4829" s="87"/>
      <c r="G4829" s="45" t="s">
        <v>3589</v>
      </c>
      <c r="H4829" s="55" t="s">
        <v>3590</v>
      </c>
      <c r="I4829" s="15" t="s">
        <v>404</v>
      </c>
    </row>
    <row r="4830" spans="1:9" ht="51.75" customHeight="1" x14ac:dyDescent="0.35">
      <c r="A4830" s="15">
        <v>4</v>
      </c>
      <c r="B4830" s="15" t="s">
        <v>35178</v>
      </c>
      <c r="C4830" s="15" t="s">
        <v>35161</v>
      </c>
      <c r="D4830" s="31">
        <v>40352</v>
      </c>
      <c r="E4830" s="15" t="s">
        <v>35179</v>
      </c>
      <c r="F4830" s="87"/>
      <c r="G4830" s="45" t="s">
        <v>3589</v>
      </c>
      <c r="H4830" s="55" t="s">
        <v>3590</v>
      </c>
      <c r="I4830" s="15" t="s">
        <v>404</v>
      </c>
    </row>
    <row r="4831" spans="1:9" ht="51.75" customHeight="1" x14ac:dyDescent="0.35">
      <c r="A4831" s="15">
        <v>1</v>
      </c>
      <c r="B4831" s="15" t="s">
        <v>35180</v>
      </c>
      <c r="C4831" s="15" t="s">
        <v>35181</v>
      </c>
      <c r="D4831" s="31">
        <v>40065</v>
      </c>
      <c r="E4831" s="15" t="s">
        <v>35182</v>
      </c>
      <c r="F4831" s="87"/>
      <c r="G4831" s="45" t="s">
        <v>3503</v>
      </c>
      <c r="H4831" s="55" t="s">
        <v>3504</v>
      </c>
      <c r="I4831" s="15" t="s">
        <v>404</v>
      </c>
    </row>
    <row r="4832" spans="1:9" ht="51.75" customHeight="1" x14ac:dyDescent="0.35">
      <c r="A4832" s="15">
        <v>2</v>
      </c>
      <c r="B4832" s="15" t="s">
        <v>35183</v>
      </c>
      <c r="C4832" s="15" t="s">
        <v>35184</v>
      </c>
      <c r="D4832" s="31">
        <v>40065</v>
      </c>
      <c r="E4832" s="15" t="s">
        <v>35184</v>
      </c>
      <c r="F4832" s="87"/>
      <c r="G4832" s="45" t="s">
        <v>3503</v>
      </c>
      <c r="H4832" s="55" t="s">
        <v>3504</v>
      </c>
      <c r="I4832" s="15" t="s">
        <v>404</v>
      </c>
    </row>
    <row r="4833" spans="1:9" ht="51.75" customHeight="1" x14ac:dyDescent="0.35">
      <c r="A4833" s="15">
        <v>1</v>
      </c>
      <c r="B4833" s="15" t="s">
        <v>35185</v>
      </c>
      <c r="C4833" s="15" t="s">
        <v>35186</v>
      </c>
      <c r="D4833" s="31">
        <v>39800</v>
      </c>
      <c r="E4833" s="15" t="s">
        <v>35187</v>
      </c>
      <c r="F4833" s="87"/>
      <c r="G4833" s="45" t="s">
        <v>3456</v>
      </c>
      <c r="H4833" s="55" t="s">
        <v>3457</v>
      </c>
      <c r="I4833" s="15" t="s">
        <v>404</v>
      </c>
    </row>
    <row r="4834" spans="1:9" ht="51.75" customHeight="1" x14ac:dyDescent="0.35">
      <c r="A4834" s="15">
        <v>2</v>
      </c>
      <c r="B4834" s="15" t="s">
        <v>35188</v>
      </c>
      <c r="C4834" s="15" t="s">
        <v>35189</v>
      </c>
      <c r="D4834" s="31">
        <v>39800</v>
      </c>
      <c r="E4834" s="15" t="s">
        <v>35190</v>
      </c>
      <c r="F4834" s="87"/>
      <c r="G4834" s="45" t="s">
        <v>3456</v>
      </c>
      <c r="H4834" s="55" t="s">
        <v>3457</v>
      </c>
      <c r="I4834" s="15" t="s">
        <v>404</v>
      </c>
    </row>
    <row r="4835" spans="1:9" ht="51.75" customHeight="1" x14ac:dyDescent="0.35">
      <c r="A4835" s="15">
        <v>3</v>
      </c>
      <c r="B4835" s="15" t="s">
        <v>35191</v>
      </c>
      <c r="C4835" s="15" t="s">
        <v>35192</v>
      </c>
      <c r="D4835" s="31">
        <v>39800</v>
      </c>
      <c r="E4835" s="15" t="s">
        <v>35193</v>
      </c>
      <c r="F4835" s="87"/>
      <c r="G4835" s="45" t="s">
        <v>3456</v>
      </c>
      <c r="H4835" s="55" t="s">
        <v>3457</v>
      </c>
      <c r="I4835" s="15" t="s">
        <v>404</v>
      </c>
    </row>
    <row r="4836" spans="1:9" ht="51.75" customHeight="1" x14ac:dyDescent="0.35">
      <c r="A4836" s="15">
        <v>1</v>
      </c>
      <c r="B4836" s="15" t="s">
        <v>35194</v>
      </c>
      <c r="C4836" s="15" t="s">
        <v>35195</v>
      </c>
      <c r="D4836" s="31">
        <v>40169</v>
      </c>
      <c r="E4836" s="15" t="s">
        <v>35196</v>
      </c>
      <c r="F4836" s="87"/>
      <c r="G4836" s="45" t="s">
        <v>3402</v>
      </c>
      <c r="H4836" s="55" t="s">
        <v>3403</v>
      </c>
      <c r="I4836" s="15" t="s">
        <v>404</v>
      </c>
    </row>
    <row r="4837" spans="1:9" ht="51.75" customHeight="1" x14ac:dyDescent="0.35">
      <c r="A4837" s="15">
        <v>2</v>
      </c>
      <c r="B4837" s="15" t="s">
        <v>35197</v>
      </c>
      <c r="C4837" s="15" t="s">
        <v>35198</v>
      </c>
      <c r="D4837" s="31">
        <v>40169</v>
      </c>
      <c r="E4837" s="15" t="s">
        <v>35199</v>
      </c>
      <c r="F4837" s="87"/>
      <c r="G4837" s="45" t="s">
        <v>3402</v>
      </c>
      <c r="H4837" s="55" t="s">
        <v>3403</v>
      </c>
      <c r="I4837" s="15" t="s">
        <v>404</v>
      </c>
    </row>
    <row r="4838" spans="1:9" ht="51.75" customHeight="1" x14ac:dyDescent="0.35">
      <c r="A4838" s="15">
        <v>1</v>
      </c>
      <c r="B4838" s="15" t="s">
        <v>35200</v>
      </c>
      <c r="C4838" s="15" t="s">
        <v>35201</v>
      </c>
      <c r="D4838" s="31">
        <v>40028</v>
      </c>
      <c r="E4838" s="15" t="s">
        <v>35202</v>
      </c>
      <c r="F4838" s="87"/>
      <c r="G4838" s="45" t="s">
        <v>3349</v>
      </c>
      <c r="H4838" s="55" t="s">
        <v>3350</v>
      </c>
      <c r="I4838" s="15" t="s">
        <v>404</v>
      </c>
    </row>
    <row r="4839" spans="1:9" ht="51.75" customHeight="1" x14ac:dyDescent="0.35">
      <c r="A4839" s="15">
        <v>1</v>
      </c>
      <c r="B4839" s="15" t="s">
        <v>35203</v>
      </c>
      <c r="C4839" s="15" t="s">
        <v>35204</v>
      </c>
      <c r="D4839" s="31">
        <v>39939</v>
      </c>
      <c r="E4839" s="15" t="s">
        <v>35205</v>
      </c>
      <c r="F4839" s="87"/>
      <c r="G4839" s="45" t="s">
        <v>3079</v>
      </c>
      <c r="H4839" s="55" t="s">
        <v>3080</v>
      </c>
      <c r="I4839" s="15" t="s">
        <v>404</v>
      </c>
    </row>
    <row r="4840" spans="1:9" ht="51.75" customHeight="1" x14ac:dyDescent="0.35">
      <c r="A4840" s="15">
        <v>2</v>
      </c>
      <c r="B4840" s="15" t="s">
        <v>35206</v>
      </c>
      <c r="C4840" s="15" t="s">
        <v>35207</v>
      </c>
      <c r="D4840" s="31">
        <v>39939</v>
      </c>
      <c r="E4840" s="15" t="s">
        <v>35208</v>
      </c>
      <c r="F4840" s="87"/>
      <c r="G4840" s="45" t="s">
        <v>3079</v>
      </c>
      <c r="H4840" s="55" t="s">
        <v>3080</v>
      </c>
      <c r="I4840" s="15" t="s">
        <v>404</v>
      </c>
    </row>
    <row r="4841" spans="1:9" ht="51.75" customHeight="1" x14ac:dyDescent="0.35">
      <c r="A4841" s="15">
        <v>3</v>
      </c>
      <c r="B4841" s="15" t="s">
        <v>35209</v>
      </c>
      <c r="C4841" s="15" t="s">
        <v>35210</v>
      </c>
      <c r="D4841" s="31">
        <v>39939</v>
      </c>
      <c r="E4841" s="15" t="s">
        <v>35211</v>
      </c>
      <c r="F4841" s="87"/>
      <c r="G4841" s="45" t="s">
        <v>3079</v>
      </c>
      <c r="H4841" s="55" t="s">
        <v>3080</v>
      </c>
      <c r="I4841" s="15" t="s">
        <v>404</v>
      </c>
    </row>
    <row r="4842" spans="1:9" ht="51.75" customHeight="1" x14ac:dyDescent="0.35">
      <c r="A4842" s="15">
        <v>1</v>
      </c>
      <c r="B4842" s="15" t="s">
        <v>35212</v>
      </c>
      <c r="C4842" s="15" t="s">
        <v>35213</v>
      </c>
      <c r="D4842" s="31">
        <v>40387</v>
      </c>
      <c r="E4842" s="15" t="s">
        <v>35214</v>
      </c>
      <c r="F4842" s="87"/>
      <c r="G4842" s="45" t="s">
        <v>3103</v>
      </c>
      <c r="H4842" s="55" t="s">
        <v>3104</v>
      </c>
      <c r="I4842" s="15" t="s">
        <v>404</v>
      </c>
    </row>
    <row r="4843" spans="1:9" ht="51.75" customHeight="1" x14ac:dyDescent="0.35">
      <c r="A4843" s="15">
        <v>2</v>
      </c>
      <c r="B4843" s="15" t="s">
        <v>35215</v>
      </c>
      <c r="C4843" s="15" t="s">
        <v>35216</v>
      </c>
      <c r="D4843" s="31">
        <v>40387</v>
      </c>
      <c r="E4843" s="15" t="s">
        <v>35217</v>
      </c>
      <c r="F4843" s="87"/>
      <c r="G4843" s="45" t="s">
        <v>3103</v>
      </c>
      <c r="H4843" s="55" t="s">
        <v>3104</v>
      </c>
      <c r="I4843" s="15" t="s">
        <v>404</v>
      </c>
    </row>
    <row r="4844" spans="1:9" ht="51.75" customHeight="1" x14ac:dyDescent="0.35">
      <c r="A4844" s="15">
        <v>3</v>
      </c>
      <c r="B4844" s="15" t="s">
        <v>35218</v>
      </c>
      <c r="C4844" s="15" t="s">
        <v>35219</v>
      </c>
      <c r="D4844" s="31">
        <v>40387</v>
      </c>
      <c r="E4844" s="15" t="s">
        <v>35220</v>
      </c>
      <c r="F4844" s="87"/>
      <c r="G4844" s="45" t="s">
        <v>3103</v>
      </c>
      <c r="H4844" s="55" t="s">
        <v>3104</v>
      </c>
      <c r="I4844" s="15" t="s">
        <v>404</v>
      </c>
    </row>
    <row r="4845" spans="1:9" ht="51.75" customHeight="1" x14ac:dyDescent="0.35">
      <c r="A4845" s="15">
        <v>4</v>
      </c>
      <c r="B4845" s="15" t="s">
        <v>35221</v>
      </c>
      <c r="C4845" s="15" t="s">
        <v>35222</v>
      </c>
      <c r="D4845" s="31">
        <v>40387</v>
      </c>
      <c r="E4845" s="15" t="s">
        <v>35222</v>
      </c>
      <c r="F4845" s="87"/>
      <c r="G4845" s="45" t="s">
        <v>3103</v>
      </c>
      <c r="H4845" s="55" t="s">
        <v>3104</v>
      </c>
      <c r="I4845" s="15" t="s">
        <v>404</v>
      </c>
    </row>
    <row r="4846" spans="1:9" ht="51.75" customHeight="1" x14ac:dyDescent="0.35">
      <c r="A4846" s="15">
        <v>5</v>
      </c>
      <c r="B4846" s="15" t="s">
        <v>35223</v>
      </c>
      <c r="C4846" s="15" t="s">
        <v>35224</v>
      </c>
      <c r="D4846" s="31">
        <v>40387</v>
      </c>
      <c r="E4846" s="15" t="s">
        <v>35225</v>
      </c>
      <c r="F4846" s="87"/>
      <c r="G4846" s="45" t="s">
        <v>3103</v>
      </c>
      <c r="H4846" s="55" t="s">
        <v>3104</v>
      </c>
      <c r="I4846" s="15" t="s">
        <v>404</v>
      </c>
    </row>
    <row r="4847" spans="1:9" ht="51.75" customHeight="1" x14ac:dyDescent="0.35">
      <c r="A4847" s="15">
        <v>1</v>
      </c>
      <c r="B4847" s="15" t="s">
        <v>35226</v>
      </c>
      <c r="C4847" s="15" t="s">
        <v>35227</v>
      </c>
      <c r="D4847" s="31">
        <v>39772</v>
      </c>
      <c r="E4847" s="15" t="s">
        <v>35228</v>
      </c>
      <c r="F4847" s="87"/>
      <c r="G4847" s="45" t="s">
        <v>2859</v>
      </c>
      <c r="H4847" s="55" t="s">
        <v>2860</v>
      </c>
      <c r="I4847" s="15" t="s">
        <v>404</v>
      </c>
    </row>
    <row r="4848" spans="1:9" ht="51.75" customHeight="1" x14ac:dyDescent="0.35">
      <c r="A4848" s="15">
        <v>2</v>
      </c>
      <c r="B4848" s="15" t="s">
        <v>35229</v>
      </c>
      <c r="C4848" s="15" t="s">
        <v>35230</v>
      </c>
      <c r="D4848" s="31">
        <v>39772</v>
      </c>
      <c r="E4848" s="15" t="s">
        <v>35231</v>
      </c>
      <c r="F4848" s="87"/>
      <c r="G4848" s="45" t="s">
        <v>2859</v>
      </c>
      <c r="H4848" s="55" t="s">
        <v>2860</v>
      </c>
      <c r="I4848" s="15" t="s">
        <v>404</v>
      </c>
    </row>
    <row r="4849" spans="1:9" ht="51.75" customHeight="1" x14ac:dyDescent="0.35">
      <c r="A4849" s="15">
        <v>3</v>
      </c>
      <c r="B4849" s="15" t="s">
        <v>35232</v>
      </c>
      <c r="C4849" s="15" t="s">
        <v>35233</v>
      </c>
      <c r="D4849" s="31">
        <v>39772</v>
      </c>
      <c r="E4849" s="15" t="s">
        <v>35234</v>
      </c>
      <c r="F4849" s="87"/>
      <c r="G4849" s="45" t="s">
        <v>2859</v>
      </c>
      <c r="H4849" s="55" t="s">
        <v>2860</v>
      </c>
      <c r="I4849" s="15" t="s">
        <v>404</v>
      </c>
    </row>
    <row r="4850" spans="1:9" ht="51.75" customHeight="1" x14ac:dyDescent="0.35">
      <c r="A4850" s="15">
        <v>4</v>
      </c>
      <c r="B4850" s="15" t="s">
        <v>35235</v>
      </c>
      <c r="C4850" s="15" t="s">
        <v>35236</v>
      </c>
      <c r="D4850" s="31">
        <v>39772</v>
      </c>
      <c r="E4850" s="15" t="s">
        <v>35237</v>
      </c>
      <c r="F4850" s="87"/>
      <c r="G4850" s="45" t="s">
        <v>2859</v>
      </c>
      <c r="H4850" s="55" t="s">
        <v>2860</v>
      </c>
      <c r="I4850" s="15" t="s">
        <v>404</v>
      </c>
    </row>
    <row r="4851" spans="1:9" ht="51.75" customHeight="1" x14ac:dyDescent="0.35">
      <c r="A4851" s="15">
        <v>5</v>
      </c>
      <c r="B4851" s="15" t="s">
        <v>35238</v>
      </c>
      <c r="C4851" s="15" t="s">
        <v>35239</v>
      </c>
      <c r="D4851" s="31">
        <v>39772</v>
      </c>
      <c r="E4851" s="15" t="s">
        <v>35240</v>
      </c>
      <c r="F4851" s="87"/>
      <c r="G4851" s="45" t="s">
        <v>2859</v>
      </c>
      <c r="H4851" s="55" t="s">
        <v>2860</v>
      </c>
      <c r="I4851" s="15" t="s">
        <v>404</v>
      </c>
    </row>
    <row r="4852" spans="1:9" ht="51.75" customHeight="1" x14ac:dyDescent="0.35">
      <c r="A4852" s="15">
        <v>1</v>
      </c>
      <c r="B4852" s="15" t="s">
        <v>35241</v>
      </c>
      <c r="C4852" s="15" t="s">
        <v>35242</v>
      </c>
      <c r="D4852" s="31">
        <v>39723</v>
      </c>
      <c r="E4852" s="15" t="s">
        <v>35243</v>
      </c>
      <c r="F4852" s="87"/>
      <c r="G4852" s="45" t="s">
        <v>2817</v>
      </c>
      <c r="H4852" s="55" t="s">
        <v>2818</v>
      </c>
      <c r="I4852" s="15" t="s">
        <v>404</v>
      </c>
    </row>
    <row r="4853" spans="1:9" ht="51.75" customHeight="1" x14ac:dyDescent="0.35">
      <c r="A4853" s="15">
        <v>2</v>
      </c>
      <c r="B4853" s="15" t="s">
        <v>35244</v>
      </c>
      <c r="C4853" s="15" t="s">
        <v>35245</v>
      </c>
      <c r="D4853" s="31">
        <v>39723</v>
      </c>
      <c r="E4853" s="15" t="s">
        <v>35246</v>
      </c>
      <c r="F4853" s="87"/>
      <c r="G4853" s="45" t="s">
        <v>2817</v>
      </c>
      <c r="H4853" s="55" t="s">
        <v>2818</v>
      </c>
      <c r="I4853" s="15" t="s">
        <v>404</v>
      </c>
    </row>
    <row r="4854" spans="1:9" ht="51.75" customHeight="1" x14ac:dyDescent="0.35">
      <c r="A4854" s="15">
        <v>3</v>
      </c>
      <c r="B4854" s="15" t="s">
        <v>35247</v>
      </c>
      <c r="C4854" s="15" t="s">
        <v>35248</v>
      </c>
      <c r="D4854" s="31">
        <v>39723</v>
      </c>
      <c r="E4854" s="15" t="s">
        <v>35249</v>
      </c>
      <c r="F4854" s="87"/>
      <c r="G4854" s="45" t="s">
        <v>2817</v>
      </c>
      <c r="H4854" s="55" t="s">
        <v>2818</v>
      </c>
      <c r="I4854" s="15" t="s">
        <v>404</v>
      </c>
    </row>
    <row r="4855" spans="1:9" ht="51.75" customHeight="1" x14ac:dyDescent="0.35">
      <c r="A4855" s="15">
        <v>4</v>
      </c>
      <c r="B4855" s="15" t="s">
        <v>35250</v>
      </c>
      <c r="C4855" s="15" t="s">
        <v>35251</v>
      </c>
      <c r="D4855" s="31">
        <v>39723</v>
      </c>
      <c r="E4855" s="15" t="s">
        <v>35252</v>
      </c>
      <c r="F4855" s="87"/>
      <c r="G4855" s="45" t="s">
        <v>2817</v>
      </c>
      <c r="H4855" s="55" t="s">
        <v>2818</v>
      </c>
      <c r="I4855" s="15" t="s">
        <v>404</v>
      </c>
    </row>
    <row r="4856" spans="1:9" ht="51.75" customHeight="1" x14ac:dyDescent="0.35">
      <c r="A4856" s="15">
        <v>5</v>
      </c>
      <c r="B4856" s="15" t="s">
        <v>35253</v>
      </c>
      <c r="C4856" s="15" t="s">
        <v>35254</v>
      </c>
      <c r="D4856" s="31">
        <v>39723</v>
      </c>
      <c r="E4856" s="15" t="s">
        <v>35255</v>
      </c>
      <c r="F4856" s="87"/>
      <c r="G4856" s="45" t="s">
        <v>2817</v>
      </c>
      <c r="H4856" s="55" t="s">
        <v>2818</v>
      </c>
      <c r="I4856" s="15" t="s">
        <v>404</v>
      </c>
    </row>
    <row r="4857" spans="1:9" ht="51.75" customHeight="1" x14ac:dyDescent="0.35">
      <c r="A4857" s="15">
        <v>6</v>
      </c>
      <c r="B4857" s="15" t="s">
        <v>35256</v>
      </c>
      <c r="C4857" s="15" t="s">
        <v>35257</v>
      </c>
      <c r="D4857" s="31">
        <v>39723</v>
      </c>
      <c r="E4857" s="15" t="s">
        <v>35258</v>
      </c>
      <c r="F4857" s="87"/>
      <c r="G4857" s="45" t="s">
        <v>2817</v>
      </c>
      <c r="H4857" s="55" t="s">
        <v>2818</v>
      </c>
      <c r="I4857" s="15" t="s">
        <v>404</v>
      </c>
    </row>
    <row r="4858" spans="1:9" ht="51.75" customHeight="1" x14ac:dyDescent="0.35">
      <c r="A4858" s="15">
        <v>7</v>
      </c>
      <c r="B4858" s="15" t="s">
        <v>35259</v>
      </c>
      <c r="C4858" s="15" t="s">
        <v>35260</v>
      </c>
      <c r="D4858" s="31">
        <v>39723</v>
      </c>
      <c r="E4858" s="15" t="s">
        <v>35261</v>
      </c>
      <c r="F4858" s="87"/>
      <c r="G4858" s="45" t="s">
        <v>2817</v>
      </c>
      <c r="H4858" s="55" t="s">
        <v>2818</v>
      </c>
      <c r="I4858" s="15" t="s">
        <v>404</v>
      </c>
    </row>
    <row r="4859" spans="1:9" ht="51.75" customHeight="1" x14ac:dyDescent="0.35">
      <c r="A4859" s="15">
        <v>1</v>
      </c>
      <c r="B4859" s="15" t="s">
        <v>35262</v>
      </c>
      <c r="C4859" s="15" t="s">
        <v>35263</v>
      </c>
      <c r="D4859" s="31">
        <v>39825</v>
      </c>
      <c r="E4859" s="15" t="s">
        <v>35264</v>
      </c>
      <c r="F4859" s="87"/>
      <c r="G4859" s="45" t="s">
        <v>2691</v>
      </c>
      <c r="H4859" s="55" t="s">
        <v>2692</v>
      </c>
      <c r="I4859" s="15" t="s">
        <v>404</v>
      </c>
    </row>
    <row r="4860" spans="1:9" ht="51.75" customHeight="1" x14ac:dyDescent="0.35">
      <c r="A4860" s="15">
        <v>2</v>
      </c>
      <c r="B4860" s="15" t="s">
        <v>35265</v>
      </c>
      <c r="C4860" s="15" t="s">
        <v>35266</v>
      </c>
      <c r="D4860" s="31">
        <v>39825</v>
      </c>
      <c r="E4860" s="15" t="s">
        <v>35267</v>
      </c>
      <c r="F4860" s="87"/>
      <c r="G4860" s="45" t="s">
        <v>2691</v>
      </c>
      <c r="H4860" s="55" t="s">
        <v>2692</v>
      </c>
      <c r="I4860" s="15" t="s">
        <v>404</v>
      </c>
    </row>
    <row r="4861" spans="1:9" ht="51.75" customHeight="1" x14ac:dyDescent="0.35">
      <c r="A4861" s="15">
        <v>1</v>
      </c>
      <c r="B4861" s="15" t="s">
        <v>35268</v>
      </c>
      <c r="C4861" s="15" t="s">
        <v>35269</v>
      </c>
      <c r="D4861" s="31">
        <v>39664</v>
      </c>
      <c r="E4861" s="15" t="s">
        <v>35270</v>
      </c>
      <c r="F4861" s="87"/>
      <c r="G4861" s="45" t="s">
        <v>2696</v>
      </c>
      <c r="H4861" s="55" t="s">
        <v>2697</v>
      </c>
      <c r="I4861" s="15" t="s">
        <v>404</v>
      </c>
    </row>
    <row r="4862" spans="1:9" ht="51.75" customHeight="1" x14ac:dyDescent="0.35">
      <c r="A4862" s="15">
        <v>2</v>
      </c>
      <c r="B4862" s="15" t="s">
        <v>35271</v>
      </c>
      <c r="C4862" s="15" t="s">
        <v>35272</v>
      </c>
      <c r="D4862" s="31">
        <v>39664</v>
      </c>
      <c r="E4862" s="15" t="s">
        <v>35273</v>
      </c>
      <c r="F4862" s="87"/>
      <c r="G4862" s="45" t="s">
        <v>2696</v>
      </c>
      <c r="H4862" s="55" t="s">
        <v>2697</v>
      </c>
      <c r="I4862" s="15" t="s">
        <v>404</v>
      </c>
    </row>
    <row r="4863" spans="1:9" ht="51.75" customHeight="1" x14ac:dyDescent="0.35">
      <c r="A4863" s="15">
        <v>3</v>
      </c>
      <c r="B4863" s="15" t="s">
        <v>35274</v>
      </c>
      <c r="C4863" s="15" t="s">
        <v>35275</v>
      </c>
      <c r="D4863" s="31">
        <v>39664</v>
      </c>
      <c r="E4863" s="15" t="s">
        <v>35276</v>
      </c>
      <c r="F4863" s="87"/>
      <c r="G4863" s="45" t="s">
        <v>2696</v>
      </c>
      <c r="H4863" s="55" t="s">
        <v>2697</v>
      </c>
      <c r="I4863" s="15" t="s">
        <v>404</v>
      </c>
    </row>
    <row r="4864" spans="1:9" ht="51.75" customHeight="1" x14ac:dyDescent="0.35">
      <c r="A4864" s="15">
        <v>4</v>
      </c>
      <c r="B4864" s="15" t="s">
        <v>35277</v>
      </c>
      <c r="C4864" s="15" t="s">
        <v>35278</v>
      </c>
      <c r="D4864" s="31">
        <v>39664</v>
      </c>
      <c r="E4864" s="15" t="s">
        <v>35279</v>
      </c>
      <c r="F4864" s="87"/>
      <c r="G4864" s="45" t="s">
        <v>2696</v>
      </c>
      <c r="H4864" s="55" t="s">
        <v>2697</v>
      </c>
      <c r="I4864" s="15" t="s">
        <v>404</v>
      </c>
    </row>
    <row r="4865" spans="1:9" ht="51.75" customHeight="1" x14ac:dyDescent="0.35">
      <c r="A4865" s="15">
        <v>5</v>
      </c>
      <c r="B4865" s="15" t="s">
        <v>35280</v>
      </c>
      <c r="C4865" s="15" t="s">
        <v>35281</v>
      </c>
      <c r="D4865" s="31">
        <v>39664</v>
      </c>
      <c r="E4865" s="15" t="s">
        <v>35282</v>
      </c>
      <c r="F4865" s="87"/>
      <c r="G4865" s="45" t="s">
        <v>2696</v>
      </c>
      <c r="H4865" s="55" t="s">
        <v>2697</v>
      </c>
      <c r="I4865" s="15" t="s">
        <v>404</v>
      </c>
    </row>
    <row r="4866" spans="1:9" ht="51.75" customHeight="1" x14ac:dyDescent="0.35">
      <c r="A4866" s="15">
        <v>6</v>
      </c>
      <c r="B4866" s="15" t="s">
        <v>35283</v>
      </c>
      <c r="C4866" s="15" t="s">
        <v>35284</v>
      </c>
      <c r="D4866" s="31">
        <v>39664</v>
      </c>
      <c r="E4866" s="15" t="s">
        <v>35285</v>
      </c>
      <c r="F4866" s="87"/>
      <c r="G4866" s="45" t="s">
        <v>2696</v>
      </c>
      <c r="H4866" s="55" t="s">
        <v>2697</v>
      </c>
      <c r="I4866" s="15" t="s">
        <v>404</v>
      </c>
    </row>
    <row r="4867" spans="1:9" ht="51.75" customHeight="1" x14ac:dyDescent="0.35">
      <c r="A4867" s="15">
        <v>1</v>
      </c>
      <c r="B4867" s="15" t="s">
        <v>35286</v>
      </c>
      <c r="C4867" s="15" t="s">
        <v>35287</v>
      </c>
      <c r="D4867" s="31">
        <v>39477</v>
      </c>
      <c r="E4867" s="15" t="s">
        <v>35288</v>
      </c>
      <c r="F4867" s="87"/>
      <c r="G4867" s="45" t="s">
        <v>2496</v>
      </c>
      <c r="H4867" s="55" t="s">
        <v>2497</v>
      </c>
      <c r="I4867" s="15" t="s">
        <v>404</v>
      </c>
    </row>
    <row r="4868" spans="1:9" ht="51.75" customHeight="1" x14ac:dyDescent="0.35">
      <c r="A4868" s="15">
        <v>2</v>
      </c>
      <c r="B4868" s="15" t="s">
        <v>35289</v>
      </c>
      <c r="C4868" s="15" t="s">
        <v>35290</v>
      </c>
      <c r="D4868" s="31">
        <v>39477</v>
      </c>
      <c r="E4868" s="15" t="s">
        <v>35291</v>
      </c>
      <c r="F4868" s="87"/>
      <c r="G4868" s="45" t="s">
        <v>2496</v>
      </c>
      <c r="H4868" s="55" t="s">
        <v>2497</v>
      </c>
      <c r="I4868" s="15" t="s">
        <v>404</v>
      </c>
    </row>
    <row r="4869" spans="1:9" ht="51.75" customHeight="1" x14ac:dyDescent="0.35">
      <c r="A4869" s="15">
        <v>1</v>
      </c>
      <c r="B4869" s="15" t="s">
        <v>35292</v>
      </c>
      <c r="C4869" s="15" t="s">
        <v>35293</v>
      </c>
      <c r="D4869" s="31">
        <v>39429</v>
      </c>
      <c r="E4869" s="15" t="s">
        <v>35294</v>
      </c>
      <c r="F4869" s="87"/>
      <c r="G4869" s="45" t="s">
        <v>2385</v>
      </c>
      <c r="H4869" s="55" t="s">
        <v>2386</v>
      </c>
      <c r="I4869" s="15" t="s">
        <v>404</v>
      </c>
    </row>
    <row r="4870" spans="1:9" ht="51.75" customHeight="1" x14ac:dyDescent="0.35">
      <c r="A4870" s="15">
        <v>1</v>
      </c>
      <c r="B4870" s="15" t="s">
        <v>35295</v>
      </c>
      <c r="C4870" s="15" t="s">
        <v>35296</v>
      </c>
      <c r="D4870" s="31">
        <v>39419</v>
      </c>
      <c r="E4870" s="15" t="s">
        <v>35297</v>
      </c>
      <c r="F4870" s="87"/>
      <c r="G4870" s="45" t="s">
        <v>2371</v>
      </c>
      <c r="H4870" s="55" t="s">
        <v>2372</v>
      </c>
      <c r="I4870" s="15" t="s">
        <v>404</v>
      </c>
    </row>
    <row r="4871" spans="1:9" ht="51.75" customHeight="1" x14ac:dyDescent="0.35">
      <c r="A4871" s="15">
        <v>2</v>
      </c>
      <c r="B4871" s="15" t="s">
        <v>35298</v>
      </c>
      <c r="C4871" s="15" t="s">
        <v>35299</v>
      </c>
      <c r="D4871" s="31">
        <v>39419</v>
      </c>
      <c r="E4871" s="15" t="s">
        <v>35300</v>
      </c>
      <c r="F4871" s="87"/>
      <c r="G4871" s="45" t="s">
        <v>2371</v>
      </c>
      <c r="H4871" s="55" t="s">
        <v>2372</v>
      </c>
      <c r="I4871" s="15" t="s">
        <v>404</v>
      </c>
    </row>
    <row r="4872" spans="1:9" ht="51.75" customHeight="1" x14ac:dyDescent="0.35">
      <c r="A4872" s="15">
        <v>3</v>
      </c>
      <c r="B4872" s="15" t="s">
        <v>35301</v>
      </c>
      <c r="C4872" s="15" t="s">
        <v>35302</v>
      </c>
      <c r="D4872" s="31">
        <v>39419</v>
      </c>
      <c r="E4872" s="15" t="s">
        <v>35303</v>
      </c>
      <c r="F4872" s="87"/>
      <c r="G4872" s="45" t="s">
        <v>2371</v>
      </c>
      <c r="H4872" s="55" t="s">
        <v>2372</v>
      </c>
      <c r="I4872" s="15" t="s">
        <v>404</v>
      </c>
    </row>
    <row r="4873" spans="1:9" ht="51.75" customHeight="1" x14ac:dyDescent="0.35">
      <c r="A4873" s="15">
        <v>4</v>
      </c>
      <c r="B4873" s="15" t="s">
        <v>35304</v>
      </c>
      <c r="C4873" s="15" t="s">
        <v>35305</v>
      </c>
      <c r="D4873" s="31">
        <v>39419</v>
      </c>
      <c r="E4873" s="15" t="s">
        <v>35306</v>
      </c>
      <c r="F4873" s="87"/>
      <c r="G4873" s="45" t="s">
        <v>2371</v>
      </c>
      <c r="H4873" s="55" t="s">
        <v>2372</v>
      </c>
      <c r="I4873" s="15" t="s">
        <v>404</v>
      </c>
    </row>
    <row r="4874" spans="1:9" ht="51.75" customHeight="1" x14ac:dyDescent="0.35">
      <c r="A4874" s="15">
        <v>1</v>
      </c>
      <c r="B4874" s="15" t="s">
        <v>35307</v>
      </c>
      <c r="C4874" s="15" t="s">
        <v>35308</v>
      </c>
      <c r="D4874" s="31">
        <v>39412</v>
      </c>
      <c r="E4874" s="15" t="s">
        <v>35309</v>
      </c>
      <c r="F4874" s="87"/>
      <c r="G4874" s="45" t="s">
        <v>2356</v>
      </c>
      <c r="H4874" s="55" t="s">
        <v>2357</v>
      </c>
      <c r="I4874" s="15" t="s">
        <v>404</v>
      </c>
    </row>
    <row r="4875" spans="1:9" ht="51.75" customHeight="1" x14ac:dyDescent="0.35">
      <c r="A4875" s="15">
        <v>2</v>
      </c>
      <c r="B4875" s="15" t="s">
        <v>35310</v>
      </c>
      <c r="C4875" s="15" t="s">
        <v>35311</v>
      </c>
      <c r="D4875" s="31">
        <v>39412</v>
      </c>
      <c r="E4875" s="15" t="s">
        <v>35312</v>
      </c>
      <c r="F4875" s="87"/>
      <c r="G4875" s="45" t="s">
        <v>2356</v>
      </c>
      <c r="H4875" s="55" t="s">
        <v>2357</v>
      </c>
      <c r="I4875" s="15" t="s">
        <v>404</v>
      </c>
    </row>
    <row r="4876" spans="1:9" ht="51.75" customHeight="1" x14ac:dyDescent="0.35">
      <c r="A4876" s="15">
        <v>1</v>
      </c>
      <c r="B4876" s="15" t="s">
        <v>35313</v>
      </c>
      <c r="C4876" s="15" t="s">
        <v>34381</v>
      </c>
      <c r="D4876" s="31">
        <v>39694</v>
      </c>
      <c r="E4876" s="15" t="s">
        <v>35314</v>
      </c>
      <c r="F4876" s="87"/>
      <c r="G4876" s="45" t="s">
        <v>2261</v>
      </c>
      <c r="H4876" s="55" t="s">
        <v>2262</v>
      </c>
      <c r="I4876" s="15" t="s">
        <v>404</v>
      </c>
    </row>
    <row r="4877" spans="1:9" ht="51.75" customHeight="1" x14ac:dyDescent="0.35">
      <c r="A4877" s="15">
        <v>1</v>
      </c>
      <c r="B4877" s="15" t="s">
        <v>35315</v>
      </c>
      <c r="C4877" s="15" t="s">
        <v>35316</v>
      </c>
      <c r="D4877" s="31">
        <v>39357</v>
      </c>
      <c r="E4877" s="15" t="s">
        <v>35316</v>
      </c>
      <c r="F4877" s="87"/>
      <c r="G4877" s="45" t="s">
        <v>2222</v>
      </c>
      <c r="H4877" s="55" t="s">
        <v>2223</v>
      </c>
      <c r="I4877" s="15" t="s">
        <v>404</v>
      </c>
    </row>
    <row r="4878" spans="1:9" ht="51.75" customHeight="1" x14ac:dyDescent="0.35">
      <c r="A4878" s="15">
        <v>2</v>
      </c>
      <c r="B4878" s="15" t="s">
        <v>35317</v>
      </c>
      <c r="C4878" s="15" t="s">
        <v>35318</v>
      </c>
      <c r="D4878" s="31">
        <v>39357</v>
      </c>
      <c r="E4878" s="15" t="s">
        <v>35319</v>
      </c>
      <c r="F4878" s="87"/>
      <c r="G4878" s="45" t="s">
        <v>2222</v>
      </c>
      <c r="H4878" s="55" t="s">
        <v>2223</v>
      </c>
      <c r="I4878" s="15" t="s">
        <v>404</v>
      </c>
    </row>
    <row r="4879" spans="1:9" ht="51.75" customHeight="1" x14ac:dyDescent="0.35">
      <c r="A4879" s="15">
        <v>1</v>
      </c>
      <c r="B4879" s="15" t="s">
        <v>35320</v>
      </c>
      <c r="C4879" s="15" t="s">
        <v>35321</v>
      </c>
      <c r="D4879" s="31">
        <v>39357</v>
      </c>
      <c r="E4879" s="15" t="s">
        <v>35322</v>
      </c>
      <c r="F4879" s="87"/>
      <c r="G4879" s="45" t="s">
        <v>2218</v>
      </c>
      <c r="H4879" s="55" t="s">
        <v>2219</v>
      </c>
      <c r="I4879" s="15" t="s">
        <v>404</v>
      </c>
    </row>
    <row r="4880" spans="1:9" ht="51.75" customHeight="1" x14ac:dyDescent="0.35">
      <c r="A4880" s="15">
        <v>2</v>
      </c>
      <c r="B4880" s="15" t="s">
        <v>35323</v>
      </c>
      <c r="C4880" s="15" t="s">
        <v>35324</v>
      </c>
      <c r="D4880" s="31">
        <v>39357</v>
      </c>
      <c r="E4880" s="15" t="s">
        <v>35325</v>
      </c>
      <c r="F4880" s="87"/>
      <c r="G4880" s="45" t="s">
        <v>2218</v>
      </c>
      <c r="H4880" s="55" t="s">
        <v>2219</v>
      </c>
      <c r="I4880" s="15" t="s">
        <v>404</v>
      </c>
    </row>
    <row r="4881" spans="1:9" ht="51.75" customHeight="1" x14ac:dyDescent="0.35">
      <c r="A4881" s="15">
        <v>1</v>
      </c>
      <c r="B4881" s="15" t="s">
        <v>35326</v>
      </c>
      <c r="C4881" s="15" t="s">
        <v>35327</v>
      </c>
      <c r="D4881" s="31">
        <v>39694</v>
      </c>
      <c r="E4881" s="15" t="s">
        <v>35328</v>
      </c>
      <c r="F4881" s="87"/>
      <c r="G4881" s="45" t="s">
        <v>2164</v>
      </c>
      <c r="H4881" s="55" t="s">
        <v>2165</v>
      </c>
      <c r="I4881" s="15" t="s">
        <v>404</v>
      </c>
    </row>
    <row r="4882" spans="1:9" ht="51.75" customHeight="1" x14ac:dyDescent="0.35">
      <c r="A4882" s="15" t="s">
        <v>32256</v>
      </c>
      <c r="B4882" s="15" t="s">
        <v>35329</v>
      </c>
      <c r="C4882" s="15" t="s">
        <v>34943</v>
      </c>
      <c r="D4882" s="31">
        <v>42282</v>
      </c>
      <c r="E4882" s="15" t="s">
        <v>35330</v>
      </c>
      <c r="F4882" s="87" t="s">
        <v>21871</v>
      </c>
      <c r="G4882" s="45" t="s">
        <v>10598</v>
      </c>
      <c r="H4882" s="55" t="s">
        <v>10599</v>
      </c>
      <c r="I4882" s="15" t="s">
        <v>404</v>
      </c>
    </row>
    <row r="4883" spans="1:9" ht="51.75" customHeight="1" x14ac:dyDescent="0.35">
      <c r="A4883" s="15" t="s">
        <v>28403</v>
      </c>
      <c r="B4883" s="15" t="s">
        <v>35331</v>
      </c>
      <c r="C4883" s="15" t="s">
        <v>34946</v>
      </c>
      <c r="D4883" s="31">
        <v>42282</v>
      </c>
      <c r="E4883" s="15" t="s">
        <v>35332</v>
      </c>
      <c r="F4883" s="87" t="s">
        <v>21871</v>
      </c>
      <c r="G4883" s="45" t="s">
        <v>10598</v>
      </c>
      <c r="H4883" s="55" t="s">
        <v>10599</v>
      </c>
      <c r="I4883" s="15" t="s">
        <v>404</v>
      </c>
    </row>
    <row r="4884" spans="1:9" ht="51.75" customHeight="1" x14ac:dyDescent="0.35">
      <c r="A4884" s="15" t="s">
        <v>24629</v>
      </c>
      <c r="B4884" s="15" t="s">
        <v>35333</v>
      </c>
      <c r="C4884" s="15" t="s">
        <v>21892</v>
      </c>
      <c r="D4884" s="31">
        <v>42202</v>
      </c>
      <c r="E4884" s="15" t="s">
        <v>35334</v>
      </c>
      <c r="F4884" s="87" t="s">
        <v>21871</v>
      </c>
      <c r="G4884" s="45" t="s">
        <v>10610</v>
      </c>
      <c r="H4884" s="55" t="s">
        <v>10611</v>
      </c>
      <c r="I4884" s="15" t="s">
        <v>404</v>
      </c>
    </row>
    <row r="4885" spans="1:9" ht="51.75" customHeight="1" x14ac:dyDescent="0.35">
      <c r="A4885" s="15" t="s">
        <v>24635</v>
      </c>
      <c r="B4885" s="15" t="s">
        <v>35335</v>
      </c>
      <c r="C4885" s="15" t="s">
        <v>21896</v>
      </c>
      <c r="D4885" s="31">
        <v>42202</v>
      </c>
      <c r="E4885" s="15" t="s">
        <v>35336</v>
      </c>
      <c r="F4885" s="87" t="s">
        <v>21871</v>
      </c>
      <c r="G4885" s="45" t="s">
        <v>10610</v>
      </c>
      <c r="H4885" s="55" t="s">
        <v>10611</v>
      </c>
      <c r="I4885" s="15" t="s">
        <v>404</v>
      </c>
    </row>
    <row r="4886" spans="1:9" ht="51.75" customHeight="1" x14ac:dyDescent="0.35">
      <c r="A4886" s="15" t="s">
        <v>24641</v>
      </c>
      <c r="B4886" s="15" t="s">
        <v>35337</v>
      </c>
      <c r="C4886" s="15" t="s">
        <v>24243</v>
      </c>
      <c r="D4886" s="31">
        <v>42202</v>
      </c>
      <c r="E4886" s="15" t="s">
        <v>35338</v>
      </c>
      <c r="F4886" s="87" t="s">
        <v>21871</v>
      </c>
      <c r="G4886" s="45" t="s">
        <v>10610</v>
      </c>
      <c r="H4886" s="55" t="s">
        <v>10611</v>
      </c>
      <c r="I4886" s="15" t="s">
        <v>404</v>
      </c>
    </row>
    <row r="4887" spans="1:9" ht="51.75" customHeight="1" x14ac:dyDescent="0.35">
      <c r="A4887" s="15" t="s">
        <v>24572</v>
      </c>
      <c r="B4887" s="15" t="s">
        <v>35339</v>
      </c>
      <c r="C4887" s="15" t="s">
        <v>34943</v>
      </c>
      <c r="D4887" s="31">
        <v>42375</v>
      </c>
      <c r="E4887" s="15" t="s">
        <v>35340</v>
      </c>
      <c r="F4887" s="87" t="s">
        <v>21871</v>
      </c>
      <c r="G4887" s="45" t="s">
        <v>10662</v>
      </c>
      <c r="H4887" s="55" t="s">
        <v>10663</v>
      </c>
      <c r="I4887" s="15" t="s">
        <v>404</v>
      </c>
    </row>
    <row r="4888" spans="1:9" ht="51.75" customHeight="1" x14ac:dyDescent="0.35">
      <c r="A4888" s="15" t="s">
        <v>23271</v>
      </c>
      <c r="B4888" s="15" t="s">
        <v>35341</v>
      </c>
      <c r="C4888" s="15" t="s">
        <v>34946</v>
      </c>
      <c r="D4888" s="31">
        <v>42375</v>
      </c>
      <c r="E4888" s="15" t="s">
        <v>35342</v>
      </c>
      <c r="F4888" s="87" t="s">
        <v>21871</v>
      </c>
      <c r="G4888" s="45" t="s">
        <v>10662</v>
      </c>
      <c r="H4888" s="55" t="s">
        <v>10663</v>
      </c>
      <c r="I4888" s="15" t="s">
        <v>404</v>
      </c>
    </row>
    <row r="4889" spans="1:9" ht="51.75" customHeight="1" x14ac:dyDescent="0.35">
      <c r="A4889" s="15" t="s">
        <v>22801</v>
      </c>
      <c r="B4889" s="15" t="s">
        <v>35343</v>
      </c>
      <c r="C4889" s="15" t="s">
        <v>21892</v>
      </c>
      <c r="D4889" s="31">
        <v>42541</v>
      </c>
      <c r="E4889" s="15" t="s">
        <v>35344</v>
      </c>
      <c r="F4889" s="87" t="s">
        <v>21871</v>
      </c>
      <c r="G4889" s="45" t="s">
        <v>10732</v>
      </c>
      <c r="H4889" s="55" t="s">
        <v>10733</v>
      </c>
      <c r="I4889" s="15" t="s">
        <v>404</v>
      </c>
    </row>
    <row r="4890" spans="1:9" ht="51.75" customHeight="1" x14ac:dyDescent="0.35">
      <c r="A4890" s="15" t="s">
        <v>22805</v>
      </c>
      <c r="B4890" s="15" t="s">
        <v>35345</v>
      </c>
      <c r="C4890" s="15" t="s">
        <v>21896</v>
      </c>
      <c r="D4890" s="31">
        <v>42541</v>
      </c>
      <c r="E4890" s="15" t="s">
        <v>35346</v>
      </c>
      <c r="F4890" s="87" t="s">
        <v>21871</v>
      </c>
      <c r="G4890" s="45" t="s">
        <v>10732</v>
      </c>
      <c r="H4890" s="55" t="s">
        <v>10733</v>
      </c>
      <c r="I4890" s="15" t="s">
        <v>404</v>
      </c>
    </row>
    <row r="4891" spans="1:9" ht="51.75" customHeight="1" x14ac:dyDescent="0.35">
      <c r="A4891" s="15" t="s">
        <v>22813</v>
      </c>
      <c r="B4891" s="15" t="s">
        <v>35347</v>
      </c>
      <c r="C4891" s="15" t="s">
        <v>24243</v>
      </c>
      <c r="D4891" s="31">
        <v>42541</v>
      </c>
      <c r="E4891" s="15" t="s">
        <v>35348</v>
      </c>
      <c r="F4891" s="87" t="s">
        <v>21871</v>
      </c>
      <c r="G4891" s="45" t="s">
        <v>10732</v>
      </c>
      <c r="H4891" s="55" t="s">
        <v>10733</v>
      </c>
      <c r="I4891" s="15" t="s">
        <v>404</v>
      </c>
    </row>
    <row r="4892" spans="1:9" ht="51.75" customHeight="1" x14ac:dyDescent="0.35">
      <c r="A4892" s="15" t="s">
        <v>21991</v>
      </c>
      <c r="B4892" s="15" t="s">
        <v>35349</v>
      </c>
      <c r="C4892" s="15" t="s">
        <v>34943</v>
      </c>
      <c r="D4892" s="31">
        <v>42423</v>
      </c>
      <c r="E4892" s="15" t="s">
        <v>35350</v>
      </c>
      <c r="F4892" s="87" t="s">
        <v>21871</v>
      </c>
      <c r="G4892" s="45" t="s">
        <v>10762</v>
      </c>
      <c r="H4892" s="55" t="s">
        <v>10763</v>
      </c>
      <c r="I4892" s="15" t="s">
        <v>404</v>
      </c>
    </row>
    <row r="4893" spans="1:9" ht="51.75" customHeight="1" x14ac:dyDescent="0.35">
      <c r="A4893" s="15" t="s">
        <v>22011</v>
      </c>
      <c r="B4893" s="15" t="s">
        <v>35351</v>
      </c>
      <c r="C4893" s="15" t="s">
        <v>34946</v>
      </c>
      <c r="D4893" s="31">
        <v>42423</v>
      </c>
      <c r="E4893" s="15" t="s">
        <v>35352</v>
      </c>
      <c r="F4893" s="87" t="s">
        <v>21871</v>
      </c>
      <c r="G4893" s="45" t="s">
        <v>10762</v>
      </c>
      <c r="H4893" s="55" t="s">
        <v>10763</v>
      </c>
      <c r="I4893" s="15" t="s">
        <v>404</v>
      </c>
    </row>
    <row r="4894" spans="1:9" ht="51.75" customHeight="1" x14ac:dyDescent="0.35">
      <c r="A4894" s="15" t="s">
        <v>24774</v>
      </c>
      <c r="B4894" s="15" t="s">
        <v>35353</v>
      </c>
      <c r="C4894" s="15" t="s">
        <v>21892</v>
      </c>
      <c r="D4894" s="31">
        <v>42391</v>
      </c>
      <c r="E4894" s="15" t="s">
        <v>35354</v>
      </c>
      <c r="F4894" s="87" t="s">
        <v>21871</v>
      </c>
      <c r="G4894" s="45" t="s">
        <v>10803</v>
      </c>
      <c r="H4894" s="55" t="s">
        <v>10804</v>
      </c>
      <c r="I4894" s="15" t="s">
        <v>404</v>
      </c>
    </row>
    <row r="4895" spans="1:9" ht="51.75" customHeight="1" x14ac:dyDescent="0.35">
      <c r="A4895" s="15" t="s">
        <v>24786</v>
      </c>
      <c r="B4895" s="15" t="s">
        <v>35355</v>
      </c>
      <c r="C4895" s="15" t="s">
        <v>21896</v>
      </c>
      <c r="D4895" s="31">
        <v>42391</v>
      </c>
      <c r="E4895" s="15" t="s">
        <v>35356</v>
      </c>
      <c r="F4895" s="87" t="s">
        <v>21871</v>
      </c>
      <c r="G4895" s="45" t="s">
        <v>10803</v>
      </c>
      <c r="H4895" s="55" t="s">
        <v>10804</v>
      </c>
      <c r="I4895" s="15" t="s">
        <v>404</v>
      </c>
    </row>
    <row r="4896" spans="1:9" ht="51.75" customHeight="1" x14ac:dyDescent="0.35">
      <c r="A4896" s="15" t="s">
        <v>25413</v>
      </c>
      <c r="B4896" s="15" t="s">
        <v>35357</v>
      </c>
      <c r="C4896" s="15" t="s">
        <v>34943</v>
      </c>
      <c r="D4896" s="31">
        <v>42296</v>
      </c>
      <c r="E4896" s="15" t="s">
        <v>35358</v>
      </c>
      <c r="F4896" s="87" t="s">
        <v>21871</v>
      </c>
      <c r="G4896" s="45" t="s">
        <v>10912</v>
      </c>
      <c r="H4896" s="55" t="s">
        <v>10913</v>
      </c>
      <c r="I4896" s="15" t="s">
        <v>404</v>
      </c>
    </row>
    <row r="4897" spans="1:9" ht="51.75" customHeight="1" x14ac:dyDescent="0.35">
      <c r="A4897" s="15" t="s">
        <v>22231</v>
      </c>
      <c r="B4897" s="15" t="s">
        <v>35359</v>
      </c>
      <c r="C4897" s="15" t="s">
        <v>34946</v>
      </c>
      <c r="D4897" s="31">
        <v>42296</v>
      </c>
      <c r="E4897" s="15" t="s">
        <v>35360</v>
      </c>
      <c r="F4897" s="87" t="s">
        <v>21871</v>
      </c>
      <c r="G4897" s="45" t="s">
        <v>10912</v>
      </c>
      <c r="H4897" s="55" t="s">
        <v>10913</v>
      </c>
      <c r="I4897" s="15" t="s">
        <v>404</v>
      </c>
    </row>
    <row r="4898" spans="1:9" ht="51.75" customHeight="1" x14ac:dyDescent="0.35">
      <c r="A4898" s="15" t="s">
        <v>22209</v>
      </c>
      <c r="B4898" s="15" t="s">
        <v>35361</v>
      </c>
      <c r="C4898" s="15" t="s">
        <v>34949</v>
      </c>
      <c r="D4898" s="31">
        <v>42296</v>
      </c>
      <c r="E4898" s="15" t="s">
        <v>35362</v>
      </c>
      <c r="F4898" s="87" t="s">
        <v>21871</v>
      </c>
      <c r="G4898" s="45" t="s">
        <v>10912</v>
      </c>
      <c r="H4898" s="55" t="s">
        <v>10913</v>
      </c>
      <c r="I4898" s="15" t="s">
        <v>404</v>
      </c>
    </row>
    <row r="4899" spans="1:9" ht="51.75" customHeight="1" x14ac:dyDescent="0.35">
      <c r="A4899" s="15" t="s">
        <v>22968</v>
      </c>
      <c r="B4899" s="15" t="s">
        <v>35363</v>
      </c>
      <c r="C4899" s="15" t="s">
        <v>34943</v>
      </c>
      <c r="D4899" s="31">
        <v>42377</v>
      </c>
      <c r="E4899" s="15" t="s">
        <v>35364</v>
      </c>
      <c r="F4899" s="87" t="s">
        <v>21871</v>
      </c>
      <c r="G4899" s="45" t="s">
        <v>10554</v>
      </c>
      <c r="H4899" s="55" t="s">
        <v>10555</v>
      </c>
      <c r="I4899" s="15" t="s">
        <v>404</v>
      </c>
    </row>
    <row r="4900" spans="1:9" ht="51.75" customHeight="1" x14ac:dyDescent="0.35">
      <c r="A4900" s="15" t="s">
        <v>28369</v>
      </c>
      <c r="B4900" s="15" t="s">
        <v>35365</v>
      </c>
      <c r="C4900" s="15" t="s">
        <v>34946</v>
      </c>
      <c r="D4900" s="31">
        <v>42377</v>
      </c>
      <c r="E4900" s="15" t="s">
        <v>35366</v>
      </c>
      <c r="F4900" s="87" t="s">
        <v>21871</v>
      </c>
      <c r="G4900" s="45" t="s">
        <v>10554</v>
      </c>
      <c r="H4900" s="55" t="s">
        <v>10555</v>
      </c>
      <c r="I4900" s="15" t="s">
        <v>404</v>
      </c>
    </row>
    <row r="4901" spans="1:9" ht="51.75" customHeight="1" x14ac:dyDescent="0.35">
      <c r="A4901" s="15" t="s">
        <v>23213</v>
      </c>
      <c r="B4901" s="15" t="s">
        <v>35367</v>
      </c>
      <c r="C4901" s="15" t="s">
        <v>34949</v>
      </c>
      <c r="D4901" s="31">
        <v>42377</v>
      </c>
      <c r="E4901" s="15" t="s">
        <v>35368</v>
      </c>
      <c r="F4901" s="87" t="s">
        <v>21871</v>
      </c>
      <c r="G4901" s="45" t="s">
        <v>10554</v>
      </c>
      <c r="H4901" s="55" t="s">
        <v>10555</v>
      </c>
      <c r="I4901" s="15" t="s">
        <v>404</v>
      </c>
    </row>
    <row r="4902" spans="1:9" ht="51.75" customHeight="1" x14ac:dyDescent="0.35">
      <c r="A4902" s="15" t="s">
        <v>25695</v>
      </c>
      <c r="B4902" s="15" t="s">
        <v>35369</v>
      </c>
      <c r="C4902" s="15" t="s">
        <v>34943</v>
      </c>
      <c r="D4902" s="31">
        <v>42536</v>
      </c>
      <c r="E4902" s="15" t="s">
        <v>35370</v>
      </c>
      <c r="F4902" s="87" t="s">
        <v>21871</v>
      </c>
      <c r="G4902" s="45" t="s">
        <v>10883</v>
      </c>
      <c r="H4902" s="55" t="s">
        <v>10884</v>
      </c>
      <c r="I4902" s="15" t="s">
        <v>404</v>
      </c>
    </row>
    <row r="4903" spans="1:9" ht="51.75" customHeight="1" x14ac:dyDescent="0.35">
      <c r="A4903" s="15" t="s">
        <v>33320</v>
      </c>
      <c r="B4903" s="15" t="s">
        <v>35371</v>
      </c>
      <c r="C4903" s="15" t="s">
        <v>34946</v>
      </c>
      <c r="D4903" s="31">
        <v>42536</v>
      </c>
      <c r="E4903" s="15" t="s">
        <v>35372</v>
      </c>
      <c r="F4903" s="87" t="s">
        <v>21871</v>
      </c>
      <c r="G4903" s="45" t="s">
        <v>10883</v>
      </c>
      <c r="H4903" s="55" t="s">
        <v>10884</v>
      </c>
      <c r="I4903" s="15" t="s">
        <v>404</v>
      </c>
    </row>
    <row r="4904" spans="1:9" ht="51.75" customHeight="1" x14ac:dyDescent="0.35">
      <c r="A4904" s="15" t="s">
        <v>24536</v>
      </c>
      <c r="B4904" s="15" t="s">
        <v>35373</v>
      </c>
      <c r="C4904" s="15" t="s">
        <v>34943</v>
      </c>
      <c r="D4904" s="31">
        <v>42384</v>
      </c>
      <c r="E4904" s="15" t="s">
        <v>35374</v>
      </c>
      <c r="F4904" s="87" t="s">
        <v>21871</v>
      </c>
      <c r="G4904" s="45" t="s">
        <v>10924</v>
      </c>
      <c r="H4904" s="55" t="s">
        <v>10925</v>
      </c>
      <c r="I4904" s="15" t="s">
        <v>404</v>
      </c>
    </row>
    <row r="4905" spans="1:9" ht="51.75" customHeight="1" x14ac:dyDescent="0.35">
      <c r="A4905" s="15" t="s">
        <v>24521</v>
      </c>
      <c r="B4905" s="15" t="s">
        <v>35375</v>
      </c>
      <c r="C4905" s="15" t="s">
        <v>34946</v>
      </c>
      <c r="D4905" s="31">
        <v>42384</v>
      </c>
      <c r="E4905" s="15" t="s">
        <v>35376</v>
      </c>
      <c r="F4905" s="87" t="s">
        <v>21871</v>
      </c>
      <c r="G4905" s="45" t="s">
        <v>10924</v>
      </c>
      <c r="H4905" s="55" t="s">
        <v>10925</v>
      </c>
      <c r="I4905" s="15" t="s">
        <v>404</v>
      </c>
    </row>
    <row r="4906" spans="1:9" ht="51.75" customHeight="1" x14ac:dyDescent="0.35">
      <c r="A4906" s="15" t="s">
        <v>23384</v>
      </c>
      <c r="B4906" s="15" t="s">
        <v>35377</v>
      </c>
      <c r="C4906" s="15" t="s">
        <v>21892</v>
      </c>
      <c r="D4906" s="31">
        <v>42576</v>
      </c>
      <c r="E4906" s="15" t="s">
        <v>35378</v>
      </c>
      <c r="F4906" s="87" t="s">
        <v>21871</v>
      </c>
      <c r="G4906" s="45" t="s">
        <v>10321</v>
      </c>
      <c r="H4906" s="55" t="s">
        <v>10322</v>
      </c>
      <c r="I4906" s="15" t="s">
        <v>404</v>
      </c>
    </row>
    <row r="4907" spans="1:9" ht="51.75" customHeight="1" x14ac:dyDescent="0.35">
      <c r="A4907" s="15" t="s">
        <v>23388</v>
      </c>
      <c r="B4907" s="15" t="s">
        <v>35379</v>
      </c>
      <c r="C4907" s="15" t="s">
        <v>21896</v>
      </c>
      <c r="D4907" s="31">
        <v>42576</v>
      </c>
      <c r="E4907" s="15" t="s">
        <v>35380</v>
      </c>
      <c r="F4907" s="87" t="s">
        <v>21871</v>
      </c>
      <c r="G4907" s="45" t="s">
        <v>10321</v>
      </c>
      <c r="H4907" s="55" t="s">
        <v>10322</v>
      </c>
      <c r="I4907" s="15" t="s">
        <v>404</v>
      </c>
    </row>
    <row r="4908" spans="1:9" ht="51.75" customHeight="1" x14ac:dyDescent="0.35">
      <c r="A4908" s="15" t="s">
        <v>23617</v>
      </c>
      <c r="B4908" s="15" t="s">
        <v>35381</v>
      </c>
      <c r="C4908" s="15" t="s">
        <v>21892</v>
      </c>
      <c r="D4908" s="31">
        <v>42261</v>
      </c>
      <c r="E4908" s="15" t="s">
        <v>35382</v>
      </c>
      <c r="F4908" s="87" t="s">
        <v>21871</v>
      </c>
      <c r="G4908" s="45" t="s">
        <v>11016</v>
      </c>
      <c r="H4908" s="55" t="s">
        <v>11017</v>
      </c>
      <c r="I4908" s="15" t="s">
        <v>404</v>
      </c>
    </row>
    <row r="4909" spans="1:9" ht="51.75" customHeight="1" x14ac:dyDescent="0.35">
      <c r="A4909" s="15" t="s">
        <v>28200</v>
      </c>
      <c r="B4909" s="15" t="s">
        <v>35383</v>
      </c>
      <c r="C4909" s="15" t="s">
        <v>21896</v>
      </c>
      <c r="D4909" s="31">
        <v>42261</v>
      </c>
      <c r="E4909" s="15" t="s">
        <v>34400</v>
      </c>
      <c r="F4909" s="87" t="s">
        <v>21871</v>
      </c>
      <c r="G4909" s="45" t="s">
        <v>11016</v>
      </c>
      <c r="H4909" s="55" t="s">
        <v>11017</v>
      </c>
      <c r="I4909" s="15" t="s">
        <v>404</v>
      </c>
    </row>
    <row r="4910" spans="1:9" ht="51.75" customHeight="1" x14ac:dyDescent="0.35">
      <c r="A4910" s="15" t="s">
        <v>33109</v>
      </c>
      <c r="B4910" s="15" t="s">
        <v>35384</v>
      </c>
      <c r="C4910" s="15" t="s">
        <v>35385</v>
      </c>
      <c r="D4910" s="31">
        <v>42261</v>
      </c>
      <c r="E4910" s="15" t="s">
        <v>35386</v>
      </c>
      <c r="F4910" s="87" t="s">
        <v>21871</v>
      </c>
      <c r="G4910" s="45" t="s">
        <v>11016</v>
      </c>
      <c r="H4910" s="55" t="s">
        <v>11017</v>
      </c>
      <c r="I4910" s="15" t="s">
        <v>404</v>
      </c>
    </row>
    <row r="4911" spans="1:9" ht="51.75" customHeight="1" x14ac:dyDescent="0.35">
      <c r="A4911" s="15" t="s">
        <v>32212</v>
      </c>
      <c r="B4911" s="15" t="s">
        <v>35387</v>
      </c>
      <c r="C4911" s="15" t="s">
        <v>21892</v>
      </c>
      <c r="D4911" s="31">
        <v>42495</v>
      </c>
      <c r="E4911" s="15" t="s">
        <v>35388</v>
      </c>
      <c r="F4911" s="87" t="s">
        <v>21871</v>
      </c>
      <c r="G4911" s="45" t="s">
        <v>11022</v>
      </c>
      <c r="H4911" s="55" t="s">
        <v>11023</v>
      </c>
      <c r="I4911" s="15" t="s">
        <v>404</v>
      </c>
    </row>
    <row r="4912" spans="1:9" ht="51.75" customHeight="1" x14ac:dyDescent="0.35">
      <c r="A4912" s="15" t="s">
        <v>28039</v>
      </c>
      <c r="B4912" s="15" t="s">
        <v>35389</v>
      </c>
      <c r="C4912" s="15" t="s">
        <v>21896</v>
      </c>
      <c r="D4912" s="31">
        <v>42495</v>
      </c>
      <c r="E4912" s="15" t="s">
        <v>35390</v>
      </c>
      <c r="F4912" s="87" t="s">
        <v>21871</v>
      </c>
      <c r="G4912" s="45" t="s">
        <v>11022</v>
      </c>
      <c r="H4912" s="55" t="s">
        <v>11023</v>
      </c>
      <c r="I4912" s="15" t="s">
        <v>404</v>
      </c>
    </row>
    <row r="4913" spans="1:9" ht="51.75" customHeight="1" x14ac:dyDescent="0.35">
      <c r="A4913" s="15" t="s">
        <v>28043</v>
      </c>
      <c r="B4913" s="15" t="s">
        <v>35391</v>
      </c>
      <c r="C4913" s="15" t="s">
        <v>24243</v>
      </c>
      <c r="D4913" s="31">
        <v>42495</v>
      </c>
      <c r="E4913" s="15" t="s">
        <v>35392</v>
      </c>
      <c r="F4913" s="87" t="s">
        <v>21871</v>
      </c>
      <c r="G4913" s="45" t="s">
        <v>11022</v>
      </c>
      <c r="H4913" s="55" t="s">
        <v>11023</v>
      </c>
      <c r="I4913" s="15" t="s">
        <v>404</v>
      </c>
    </row>
    <row r="4914" spans="1:9" ht="51.75" customHeight="1" x14ac:dyDescent="0.35">
      <c r="A4914" s="15" t="s">
        <v>25038</v>
      </c>
      <c r="B4914" s="15" t="s">
        <v>35393</v>
      </c>
      <c r="C4914" s="15" t="s">
        <v>21892</v>
      </c>
      <c r="D4914" s="31">
        <v>42342</v>
      </c>
      <c r="E4914" s="15" t="s">
        <v>35394</v>
      </c>
      <c r="F4914" s="87" t="s">
        <v>21871</v>
      </c>
      <c r="G4914" s="45" t="s">
        <v>11227</v>
      </c>
      <c r="H4914" s="55" t="s">
        <v>11228</v>
      </c>
      <c r="I4914" s="15" t="s">
        <v>404</v>
      </c>
    </row>
    <row r="4915" spans="1:9" ht="51.75" customHeight="1" x14ac:dyDescent="0.35">
      <c r="A4915" s="15" t="s">
        <v>25044</v>
      </c>
      <c r="B4915" s="15" t="s">
        <v>35395</v>
      </c>
      <c r="C4915" s="15" t="s">
        <v>21896</v>
      </c>
      <c r="D4915" s="31">
        <v>42342</v>
      </c>
      <c r="E4915" s="15" t="s">
        <v>35035</v>
      </c>
      <c r="F4915" s="87" t="s">
        <v>21871</v>
      </c>
      <c r="G4915" s="45" t="s">
        <v>11227</v>
      </c>
      <c r="H4915" s="55" t="s">
        <v>11228</v>
      </c>
      <c r="I4915" s="15" t="s">
        <v>404</v>
      </c>
    </row>
    <row r="4916" spans="1:9" ht="51.75" customHeight="1" x14ac:dyDescent="0.35">
      <c r="A4916" s="15" t="s">
        <v>25050</v>
      </c>
      <c r="B4916" s="15" t="s">
        <v>35396</v>
      </c>
      <c r="C4916" s="15" t="s">
        <v>24243</v>
      </c>
      <c r="D4916" s="31">
        <v>42342</v>
      </c>
      <c r="E4916" s="15" t="s">
        <v>35386</v>
      </c>
      <c r="F4916" s="87" t="s">
        <v>21871</v>
      </c>
      <c r="G4916" s="45" t="s">
        <v>11227</v>
      </c>
      <c r="H4916" s="55" t="s">
        <v>11228</v>
      </c>
      <c r="I4916" s="15" t="s">
        <v>404</v>
      </c>
    </row>
    <row r="4917" spans="1:9" ht="51.75" customHeight="1" x14ac:dyDescent="0.35">
      <c r="A4917" s="15" t="s">
        <v>25089</v>
      </c>
      <c r="B4917" s="15" t="s">
        <v>35397</v>
      </c>
      <c r="C4917" s="15" t="s">
        <v>24199</v>
      </c>
      <c r="D4917" s="31">
        <v>42342</v>
      </c>
      <c r="E4917" s="15" t="s">
        <v>35398</v>
      </c>
      <c r="F4917" s="87" t="s">
        <v>21871</v>
      </c>
      <c r="G4917" s="45" t="s">
        <v>11227</v>
      </c>
      <c r="H4917" s="55" t="s">
        <v>11228</v>
      </c>
      <c r="I4917" s="15" t="s">
        <v>404</v>
      </c>
    </row>
    <row r="4918" spans="1:9" ht="51.75" customHeight="1" x14ac:dyDescent="0.35">
      <c r="A4918" s="15" t="s">
        <v>22015</v>
      </c>
      <c r="B4918" s="15" t="s">
        <v>35399</v>
      </c>
      <c r="C4918" s="15" t="s">
        <v>34943</v>
      </c>
      <c r="D4918" s="31">
        <v>42375</v>
      </c>
      <c r="E4918" s="15" t="s">
        <v>35400</v>
      </c>
      <c r="F4918" s="87" t="s">
        <v>21871</v>
      </c>
      <c r="G4918" s="45" t="s">
        <v>11289</v>
      </c>
      <c r="H4918" s="55" t="s">
        <v>11290</v>
      </c>
      <c r="I4918" s="15" t="s">
        <v>404</v>
      </c>
    </row>
    <row r="4919" spans="1:9" ht="51.75" customHeight="1" x14ac:dyDescent="0.35">
      <c r="A4919" s="15" t="s">
        <v>22213</v>
      </c>
      <c r="B4919" s="15" t="s">
        <v>35401</v>
      </c>
      <c r="C4919" s="15" t="s">
        <v>34946</v>
      </c>
      <c r="D4919" s="31">
        <v>42375</v>
      </c>
      <c r="E4919" s="15" t="s">
        <v>35402</v>
      </c>
      <c r="F4919" s="87" t="s">
        <v>21871</v>
      </c>
      <c r="G4919" s="45" t="s">
        <v>11289</v>
      </c>
      <c r="H4919" s="55" t="s">
        <v>11290</v>
      </c>
      <c r="I4919" s="15" t="s">
        <v>404</v>
      </c>
    </row>
    <row r="4920" spans="1:9" ht="51.75" customHeight="1" x14ac:dyDescent="0.35">
      <c r="A4920" s="15" t="s">
        <v>24255</v>
      </c>
      <c r="B4920" s="15" t="s">
        <v>35403</v>
      </c>
      <c r="C4920" s="15" t="s">
        <v>34949</v>
      </c>
      <c r="D4920" s="31">
        <v>42375</v>
      </c>
      <c r="E4920" s="15" t="s">
        <v>35404</v>
      </c>
      <c r="F4920" s="87" t="s">
        <v>21871</v>
      </c>
      <c r="G4920" s="45" t="s">
        <v>11289</v>
      </c>
      <c r="H4920" s="55" t="s">
        <v>11290</v>
      </c>
      <c r="I4920" s="15" t="s">
        <v>404</v>
      </c>
    </row>
    <row r="4921" spans="1:9" ht="51.75" customHeight="1" x14ac:dyDescent="0.35">
      <c r="A4921" s="15" t="s">
        <v>24261</v>
      </c>
      <c r="B4921" s="15" t="s">
        <v>35405</v>
      </c>
      <c r="C4921" s="15" t="s">
        <v>35406</v>
      </c>
      <c r="D4921" s="31">
        <v>42375</v>
      </c>
      <c r="E4921" s="15" t="s">
        <v>35407</v>
      </c>
      <c r="F4921" s="87" t="s">
        <v>21871</v>
      </c>
      <c r="G4921" s="45" t="s">
        <v>11289</v>
      </c>
      <c r="H4921" s="55" t="s">
        <v>11290</v>
      </c>
      <c r="I4921" s="15" t="s">
        <v>404</v>
      </c>
    </row>
    <row r="4922" spans="1:9" ht="51.75" customHeight="1" x14ac:dyDescent="0.35">
      <c r="A4922" s="15" t="s">
        <v>24530</v>
      </c>
      <c r="B4922" s="15" t="s">
        <v>35408</v>
      </c>
      <c r="C4922" s="15" t="s">
        <v>21892</v>
      </c>
      <c r="D4922" s="31">
        <v>42403</v>
      </c>
      <c r="E4922" s="15" t="s">
        <v>35409</v>
      </c>
      <c r="F4922" s="87" t="s">
        <v>21871</v>
      </c>
      <c r="G4922" s="45" t="s">
        <v>11295</v>
      </c>
      <c r="H4922" s="55" t="s">
        <v>11296</v>
      </c>
      <c r="I4922" s="15" t="s">
        <v>404</v>
      </c>
    </row>
    <row r="4923" spans="1:9" ht="51.75" customHeight="1" x14ac:dyDescent="0.35">
      <c r="A4923" s="15" t="s">
        <v>24209</v>
      </c>
      <c r="B4923" s="15" t="s">
        <v>35410</v>
      </c>
      <c r="C4923" s="15" t="s">
        <v>21896</v>
      </c>
      <c r="D4923" s="31">
        <v>42403</v>
      </c>
      <c r="E4923" s="15" t="s">
        <v>34810</v>
      </c>
      <c r="F4923" s="87" t="s">
        <v>21871</v>
      </c>
      <c r="G4923" s="45" t="s">
        <v>11295</v>
      </c>
      <c r="H4923" s="55" t="s">
        <v>11296</v>
      </c>
      <c r="I4923" s="15" t="s">
        <v>404</v>
      </c>
    </row>
    <row r="4924" spans="1:9" ht="51.75" customHeight="1" x14ac:dyDescent="0.35">
      <c r="A4924" s="15" t="s">
        <v>24271</v>
      </c>
      <c r="B4924" s="15" t="s">
        <v>35411</v>
      </c>
      <c r="C4924" s="15" t="s">
        <v>24243</v>
      </c>
      <c r="D4924" s="31">
        <v>42403</v>
      </c>
      <c r="E4924" s="15" t="s">
        <v>35412</v>
      </c>
      <c r="F4924" s="87" t="s">
        <v>21871</v>
      </c>
      <c r="G4924" s="45" t="s">
        <v>11295</v>
      </c>
      <c r="H4924" s="55" t="s">
        <v>11296</v>
      </c>
      <c r="I4924" s="15" t="s">
        <v>404</v>
      </c>
    </row>
    <row r="4925" spans="1:9" ht="51.75" customHeight="1" x14ac:dyDescent="0.35">
      <c r="A4925" s="15" t="s">
        <v>22449</v>
      </c>
      <c r="B4925" s="15" t="s">
        <v>35413</v>
      </c>
      <c r="C4925" s="15" t="s">
        <v>21892</v>
      </c>
      <c r="D4925" s="31">
        <v>42466</v>
      </c>
      <c r="E4925" s="15" t="s">
        <v>35414</v>
      </c>
      <c r="F4925" s="87" t="s">
        <v>21871</v>
      </c>
      <c r="G4925" s="45" t="s">
        <v>11392</v>
      </c>
      <c r="H4925" s="55" t="s">
        <v>11393</v>
      </c>
      <c r="I4925" s="15" t="s">
        <v>404</v>
      </c>
    </row>
    <row r="4926" spans="1:9" ht="51.75" customHeight="1" x14ac:dyDescent="0.35">
      <c r="A4926" s="15" t="s">
        <v>22059</v>
      </c>
      <c r="B4926" s="15" t="s">
        <v>35415</v>
      </c>
      <c r="C4926" s="15" t="s">
        <v>21896</v>
      </c>
      <c r="D4926" s="31">
        <v>42466</v>
      </c>
      <c r="E4926" s="15" t="s">
        <v>35416</v>
      </c>
      <c r="F4926" s="87" t="s">
        <v>21871</v>
      </c>
      <c r="G4926" s="45" t="s">
        <v>11392</v>
      </c>
      <c r="H4926" s="55" t="s">
        <v>11393</v>
      </c>
      <c r="I4926" s="15" t="s">
        <v>404</v>
      </c>
    </row>
    <row r="4927" spans="1:9" ht="51.75" customHeight="1" x14ac:dyDescent="0.35">
      <c r="A4927" s="15" t="s">
        <v>24176</v>
      </c>
      <c r="B4927" s="15" t="s">
        <v>35417</v>
      </c>
      <c r="C4927" s="15" t="s">
        <v>21892</v>
      </c>
      <c r="D4927" s="31">
        <v>42423</v>
      </c>
      <c r="E4927" s="15" t="s">
        <v>35418</v>
      </c>
      <c r="F4927" s="87" t="s">
        <v>21871</v>
      </c>
      <c r="G4927" s="45" t="s">
        <v>11421</v>
      </c>
      <c r="H4927" s="55" t="s">
        <v>11422</v>
      </c>
      <c r="I4927" s="15" t="s">
        <v>404</v>
      </c>
    </row>
    <row r="4928" spans="1:9" ht="51.75" customHeight="1" x14ac:dyDescent="0.35">
      <c r="A4928" s="15" t="s">
        <v>22719</v>
      </c>
      <c r="B4928" s="15" t="s">
        <v>35419</v>
      </c>
      <c r="C4928" s="15" t="s">
        <v>21896</v>
      </c>
      <c r="D4928" s="31">
        <v>42423</v>
      </c>
      <c r="E4928" s="15" t="s">
        <v>35420</v>
      </c>
      <c r="F4928" s="87" t="s">
        <v>21871</v>
      </c>
      <c r="G4928" s="45" t="s">
        <v>11421</v>
      </c>
      <c r="H4928" s="55" t="s">
        <v>11422</v>
      </c>
      <c r="I4928" s="15" t="s">
        <v>404</v>
      </c>
    </row>
    <row r="4929" spans="1:9" ht="51.75" customHeight="1" x14ac:dyDescent="0.35">
      <c r="A4929" s="15" t="s">
        <v>22723</v>
      </c>
      <c r="B4929" s="15" t="s">
        <v>35421</v>
      </c>
      <c r="C4929" s="15" t="s">
        <v>24243</v>
      </c>
      <c r="D4929" s="31">
        <v>42423</v>
      </c>
      <c r="E4929" s="15" t="s">
        <v>35422</v>
      </c>
      <c r="F4929" s="87" t="s">
        <v>21871</v>
      </c>
      <c r="G4929" s="45" t="s">
        <v>11421</v>
      </c>
      <c r="H4929" s="55" t="s">
        <v>11422</v>
      </c>
      <c r="I4929" s="15" t="s">
        <v>404</v>
      </c>
    </row>
    <row r="4930" spans="1:9" ht="51.75" customHeight="1" x14ac:dyDescent="0.35">
      <c r="A4930" s="15" t="s">
        <v>22727</v>
      </c>
      <c r="B4930" s="15" t="s">
        <v>35423</v>
      </c>
      <c r="C4930" s="15" t="s">
        <v>24199</v>
      </c>
      <c r="D4930" s="31">
        <v>42423</v>
      </c>
      <c r="E4930" s="15" t="s">
        <v>35424</v>
      </c>
      <c r="F4930" s="87" t="s">
        <v>21871</v>
      </c>
      <c r="G4930" s="45" t="s">
        <v>11421</v>
      </c>
      <c r="H4930" s="55" t="s">
        <v>11422</v>
      </c>
      <c r="I4930" s="15" t="s">
        <v>404</v>
      </c>
    </row>
    <row r="4931" spans="1:9" ht="51.75" customHeight="1" x14ac:dyDescent="0.35">
      <c r="A4931" s="15" t="s">
        <v>22019</v>
      </c>
      <c r="B4931" s="15" t="s">
        <v>35425</v>
      </c>
      <c r="C4931" s="15" t="s">
        <v>21892</v>
      </c>
      <c r="D4931" s="31">
        <v>42423</v>
      </c>
      <c r="E4931" s="15" t="s">
        <v>35426</v>
      </c>
      <c r="F4931" s="87" t="s">
        <v>21871</v>
      </c>
      <c r="G4931" s="45" t="s">
        <v>11475</v>
      </c>
      <c r="H4931" s="55" t="s">
        <v>11476</v>
      </c>
      <c r="I4931" s="15" t="s">
        <v>404</v>
      </c>
    </row>
    <row r="4932" spans="1:9" ht="51.75" customHeight="1" x14ac:dyDescent="0.35">
      <c r="A4932" s="15" t="s">
        <v>21987</v>
      </c>
      <c r="B4932" s="15" t="s">
        <v>35427</v>
      </c>
      <c r="C4932" s="15" t="s">
        <v>21896</v>
      </c>
      <c r="D4932" s="31">
        <v>42423</v>
      </c>
      <c r="E4932" s="15" t="s">
        <v>35428</v>
      </c>
      <c r="F4932" s="87" t="s">
        <v>21871</v>
      </c>
      <c r="G4932" s="45" t="s">
        <v>11475</v>
      </c>
      <c r="H4932" s="55" t="s">
        <v>11476</v>
      </c>
      <c r="I4932" s="15" t="s">
        <v>404</v>
      </c>
    </row>
    <row r="4933" spans="1:9" ht="51.75" customHeight="1" x14ac:dyDescent="0.35">
      <c r="A4933" s="15" t="s">
        <v>23533</v>
      </c>
      <c r="B4933" s="15" t="s">
        <v>35429</v>
      </c>
      <c r="C4933" s="15" t="s">
        <v>34943</v>
      </c>
      <c r="D4933" s="31">
        <v>42503</v>
      </c>
      <c r="E4933" s="15" t="s">
        <v>35430</v>
      </c>
      <c r="F4933" s="87" t="s">
        <v>21871</v>
      </c>
      <c r="G4933" s="45" t="s">
        <v>11518</v>
      </c>
      <c r="H4933" s="55" t="s">
        <v>11519</v>
      </c>
      <c r="I4933" s="15" t="s">
        <v>404</v>
      </c>
    </row>
    <row r="4934" spans="1:9" ht="51.75" customHeight="1" x14ac:dyDescent="0.35">
      <c r="A4934" s="15" t="s">
        <v>23536</v>
      </c>
      <c r="B4934" s="15" t="s">
        <v>35431</v>
      </c>
      <c r="C4934" s="15" t="s">
        <v>34946</v>
      </c>
      <c r="D4934" s="31">
        <v>42503</v>
      </c>
      <c r="E4934" s="15" t="s">
        <v>35432</v>
      </c>
      <c r="F4934" s="87" t="s">
        <v>21871</v>
      </c>
      <c r="G4934" s="45" t="s">
        <v>11518</v>
      </c>
      <c r="H4934" s="55" t="s">
        <v>11519</v>
      </c>
      <c r="I4934" s="15" t="s">
        <v>404</v>
      </c>
    </row>
    <row r="4935" spans="1:9" ht="51.75" customHeight="1" x14ac:dyDescent="0.35">
      <c r="A4935" s="15" t="s">
        <v>23539</v>
      </c>
      <c r="B4935" s="15" t="s">
        <v>35433</v>
      </c>
      <c r="C4935" s="15" t="s">
        <v>34949</v>
      </c>
      <c r="D4935" s="31">
        <v>42503</v>
      </c>
      <c r="E4935" s="15" t="s">
        <v>35434</v>
      </c>
      <c r="F4935" s="87" t="s">
        <v>21871</v>
      </c>
      <c r="G4935" s="45" t="s">
        <v>11518</v>
      </c>
      <c r="H4935" s="55" t="s">
        <v>11519</v>
      </c>
      <c r="I4935" s="15" t="s">
        <v>404</v>
      </c>
    </row>
    <row r="4936" spans="1:9" ht="51.75" customHeight="1" x14ac:dyDescent="0.35">
      <c r="A4936" s="15" t="s">
        <v>21967</v>
      </c>
      <c r="B4936" s="15" t="s">
        <v>35435</v>
      </c>
      <c r="C4936" s="15" t="s">
        <v>21892</v>
      </c>
      <c r="D4936" s="31">
        <v>42611</v>
      </c>
      <c r="E4936" s="15" t="s">
        <v>35436</v>
      </c>
      <c r="F4936" s="87" t="s">
        <v>21871</v>
      </c>
      <c r="G4936" s="45" t="s">
        <v>11582</v>
      </c>
      <c r="H4936" s="55" t="s">
        <v>11583</v>
      </c>
      <c r="I4936" s="15" t="s">
        <v>404</v>
      </c>
    </row>
    <row r="4937" spans="1:9" ht="51.75" customHeight="1" x14ac:dyDescent="0.35">
      <c r="A4937" s="15" t="s">
        <v>25458</v>
      </c>
      <c r="B4937" s="15" t="s">
        <v>35437</v>
      </c>
      <c r="C4937" s="15" t="s">
        <v>21896</v>
      </c>
      <c r="D4937" s="31">
        <v>42611</v>
      </c>
      <c r="E4937" s="15" t="s">
        <v>35438</v>
      </c>
      <c r="F4937" s="87" t="s">
        <v>21871</v>
      </c>
      <c r="G4937" s="45" t="s">
        <v>11582</v>
      </c>
      <c r="H4937" s="55" t="s">
        <v>11583</v>
      </c>
      <c r="I4937" s="15" t="s">
        <v>404</v>
      </c>
    </row>
    <row r="4938" spans="1:9" ht="51.75" customHeight="1" x14ac:dyDescent="0.35">
      <c r="A4938" s="15" t="s">
        <v>29317</v>
      </c>
      <c r="B4938" s="15" t="s">
        <v>35439</v>
      </c>
      <c r="C4938" s="15" t="s">
        <v>34943</v>
      </c>
      <c r="D4938" s="31">
        <v>42536</v>
      </c>
      <c r="E4938" s="15" t="s">
        <v>35440</v>
      </c>
      <c r="F4938" s="87" t="s">
        <v>21871</v>
      </c>
      <c r="G4938" s="45" t="s">
        <v>11631</v>
      </c>
      <c r="H4938" s="55" t="s">
        <v>11632</v>
      </c>
      <c r="I4938" s="15" t="s">
        <v>404</v>
      </c>
    </row>
    <row r="4939" spans="1:9" ht="51.75" customHeight="1" x14ac:dyDescent="0.35">
      <c r="A4939" s="15" t="s">
        <v>23514</v>
      </c>
      <c r="B4939" s="15" t="s">
        <v>35441</v>
      </c>
      <c r="C4939" s="15" t="s">
        <v>34946</v>
      </c>
      <c r="D4939" s="31">
        <v>42536</v>
      </c>
      <c r="E4939" s="15" t="s">
        <v>35442</v>
      </c>
      <c r="F4939" s="87" t="s">
        <v>21871</v>
      </c>
      <c r="G4939" s="45" t="s">
        <v>11631</v>
      </c>
      <c r="H4939" s="55" t="s">
        <v>11632</v>
      </c>
      <c r="I4939" s="15" t="s">
        <v>404</v>
      </c>
    </row>
    <row r="4940" spans="1:9" ht="51.75" customHeight="1" x14ac:dyDescent="0.35">
      <c r="A4940" s="15" t="s">
        <v>23606</v>
      </c>
      <c r="B4940" s="15" t="s">
        <v>35443</v>
      </c>
      <c r="C4940" s="15" t="s">
        <v>21892</v>
      </c>
      <c r="D4940" s="31">
        <v>42571</v>
      </c>
      <c r="E4940" s="15" t="s">
        <v>35444</v>
      </c>
      <c r="F4940" s="87" t="s">
        <v>21871</v>
      </c>
      <c r="G4940" s="45" t="s">
        <v>11570</v>
      </c>
      <c r="H4940" s="55" t="s">
        <v>11571</v>
      </c>
      <c r="I4940" s="15" t="s">
        <v>404</v>
      </c>
    </row>
    <row r="4941" spans="1:9" ht="51.75" customHeight="1" x14ac:dyDescent="0.35">
      <c r="A4941" s="15" t="s">
        <v>23610</v>
      </c>
      <c r="B4941" s="15" t="s">
        <v>35445</v>
      </c>
      <c r="C4941" s="15" t="s">
        <v>21896</v>
      </c>
      <c r="D4941" s="31">
        <v>42571</v>
      </c>
      <c r="E4941" s="15" t="s">
        <v>35446</v>
      </c>
      <c r="F4941" s="87" t="s">
        <v>21871</v>
      </c>
      <c r="G4941" s="45" t="s">
        <v>11570</v>
      </c>
      <c r="H4941" s="55" t="s">
        <v>11571</v>
      </c>
      <c r="I4941" s="15" t="s">
        <v>404</v>
      </c>
    </row>
    <row r="4942" spans="1:9" ht="51.75" customHeight="1" x14ac:dyDescent="0.35">
      <c r="A4942" s="15" t="s">
        <v>26688</v>
      </c>
      <c r="B4942" s="15" t="s">
        <v>35447</v>
      </c>
      <c r="C4942" s="15" t="s">
        <v>24243</v>
      </c>
      <c r="D4942" s="31">
        <v>42571</v>
      </c>
      <c r="E4942" s="15" t="s">
        <v>35448</v>
      </c>
      <c r="F4942" s="87" t="s">
        <v>21871</v>
      </c>
      <c r="G4942" s="45" t="s">
        <v>11570</v>
      </c>
      <c r="H4942" s="55" t="s">
        <v>11571</v>
      </c>
      <c r="I4942" s="15" t="s">
        <v>404</v>
      </c>
    </row>
    <row r="4943" spans="1:9" ht="51.75" customHeight="1" x14ac:dyDescent="0.35">
      <c r="A4943" s="15" t="s">
        <v>26691</v>
      </c>
      <c r="B4943" s="15" t="s">
        <v>35449</v>
      </c>
      <c r="C4943" s="15" t="s">
        <v>24199</v>
      </c>
      <c r="D4943" s="31">
        <v>42571</v>
      </c>
      <c r="E4943" s="15" t="s">
        <v>35450</v>
      </c>
      <c r="F4943" s="87" t="s">
        <v>21871</v>
      </c>
      <c r="G4943" s="45" t="s">
        <v>11570</v>
      </c>
      <c r="H4943" s="55" t="s">
        <v>11571</v>
      </c>
      <c r="I4943" s="15" t="s">
        <v>404</v>
      </c>
    </row>
    <row r="4944" spans="1:9" ht="51.75" customHeight="1" x14ac:dyDescent="0.35">
      <c r="A4944" s="15" t="s">
        <v>24551</v>
      </c>
      <c r="B4944" s="15" t="s">
        <v>35451</v>
      </c>
      <c r="C4944" s="15" t="s">
        <v>21892</v>
      </c>
      <c r="D4944" s="31">
        <v>42740</v>
      </c>
      <c r="E4944" s="15" t="s">
        <v>35452</v>
      </c>
      <c r="F4944" s="87" t="s">
        <v>21871</v>
      </c>
      <c r="G4944" s="45" t="s">
        <v>11767</v>
      </c>
      <c r="H4944" s="55" t="s">
        <v>11768</v>
      </c>
      <c r="I4944" s="15" t="s">
        <v>404</v>
      </c>
    </row>
    <row r="4945" spans="1:9" ht="51.75" customHeight="1" x14ac:dyDescent="0.35">
      <c r="A4945" s="15" t="s">
        <v>24556</v>
      </c>
      <c r="B4945" s="15" t="s">
        <v>35453</v>
      </c>
      <c r="C4945" s="15" t="s">
        <v>21896</v>
      </c>
      <c r="D4945" s="31">
        <v>42740</v>
      </c>
      <c r="E4945" s="15" t="s">
        <v>35454</v>
      </c>
      <c r="F4945" s="87" t="s">
        <v>21871</v>
      </c>
      <c r="G4945" s="45" t="s">
        <v>11767</v>
      </c>
      <c r="H4945" s="55" t="s">
        <v>11768</v>
      </c>
      <c r="I4945" s="15" t="s">
        <v>404</v>
      </c>
    </row>
    <row r="4946" spans="1:9" ht="51.75" customHeight="1" x14ac:dyDescent="0.35">
      <c r="A4946" s="15" t="s">
        <v>24567</v>
      </c>
      <c r="B4946" s="15" t="s">
        <v>35455</v>
      </c>
      <c r="C4946" s="15" t="s">
        <v>24243</v>
      </c>
      <c r="D4946" s="31">
        <v>42740</v>
      </c>
      <c r="E4946" s="15" t="s">
        <v>35456</v>
      </c>
      <c r="F4946" s="87" t="s">
        <v>21871</v>
      </c>
      <c r="G4946" s="45" t="s">
        <v>11767</v>
      </c>
      <c r="H4946" s="55" t="s">
        <v>11768</v>
      </c>
      <c r="I4946" s="15" t="s">
        <v>404</v>
      </c>
    </row>
    <row r="4947" spans="1:9" ht="51.75" customHeight="1" x14ac:dyDescent="0.35">
      <c r="A4947" s="15" t="s">
        <v>24358</v>
      </c>
      <c r="B4947" s="15" t="s">
        <v>35457</v>
      </c>
      <c r="C4947" s="15" t="s">
        <v>21892</v>
      </c>
      <c r="D4947" s="31">
        <v>42809</v>
      </c>
      <c r="E4947" s="15" t="s">
        <v>35458</v>
      </c>
      <c r="F4947" s="87" t="s">
        <v>21871</v>
      </c>
      <c r="G4947" s="45" t="s">
        <v>11839</v>
      </c>
      <c r="H4947" s="55" t="s">
        <v>11840</v>
      </c>
      <c r="I4947" s="15" t="s">
        <v>404</v>
      </c>
    </row>
    <row r="4948" spans="1:9" ht="51.75" customHeight="1" x14ac:dyDescent="0.35">
      <c r="A4948" s="15" t="s">
        <v>24369</v>
      </c>
      <c r="B4948" s="15" t="s">
        <v>35459</v>
      </c>
      <c r="C4948" s="15" t="s">
        <v>21896</v>
      </c>
      <c r="D4948" s="31">
        <v>42809</v>
      </c>
      <c r="E4948" s="15" t="s">
        <v>35438</v>
      </c>
      <c r="F4948" s="87" t="s">
        <v>21871</v>
      </c>
      <c r="G4948" s="45" t="s">
        <v>11839</v>
      </c>
      <c r="H4948" s="55" t="s">
        <v>11840</v>
      </c>
      <c r="I4948" s="15" t="s">
        <v>404</v>
      </c>
    </row>
    <row r="4949" spans="1:9" ht="51.75" customHeight="1" x14ac:dyDescent="0.35">
      <c r="A4949" s="15" t="s">
        <v>25462</v>
      </c>
      <c r="B4949" s="15" t="s">
        <v>35460</v>
      </c>
      <c r="C4949" s="15" t="s">
        <v>21892</v>
      </c>
      <c r="D4949" s="31">
        <v>42611</v>
      </c>
      <c r="E4949" s="15" t="s">
        <v>35461</v>
      </c>
      <c r="F4949" s="87" t="s">
        <v>21871</v>
      </c>
      <c r="G4949" s="45" t="s">
        <v>11960</v>
      </c>
      <c r="H4949" s="55" t="s">
        <v>11961</v>
      </c>
      <c r="I4949" s="15" t="s">
        <v>404</v>
      </c>
    </row>
    <row r="4950" spans="1:9" ht="51.75" customHeight="1" x14ac:dyDescent="0.35">
      <c r="A4950" s="15" t="s">
        <v>22099</v>
      </c>
      <c r="B4950" s="15" t="s">
        <v>35462</v>
      </c>
      <c r="C4950" s="15" t="s">
        <v>21896</v>
      </c>
      <c r="D4950" s="31">
        <v>42611</v>
      </c>
      <c r="E4950" s="15" t="s">
        <v>35463</v>
      </c>
      <c r="F4950" s="87" t="s">
        <v>21871</v>
      </c>
      <c r="G4950" s="45" t="s">
        <v>11960</v>
      </c>
      <c r="H4950" s="55" t="s">
        <v>11961</v>
      </c>
      <c r="I4950" s="15" t="s">
        <v>404</v>
      </c>
    </row>
    <row r="4951" spans="1:9" ht="51.75" customHeight="1" x14ac:dyDescent="0.35">
      <c r="A4951" s="15" t="s">
        <v>31926</v>
      </c>
      <c r="B4951" s="15" t="s">
        <v>35464</v>
      </c>
      <c r="C4951" s="15" t="s">
        <v>24243</v>
      </c>
      <c r="D4951" s="31">
        <v>42611</v>
      </c>
      <c r="E4951" s="15" t="s">
        <v>35465</v>
      </c>
      <c r="F4951" s="87" t="s">
        <v>21871</v>
      </c>
      <c r="G4951" s="45" t="s">
        <v>11960</v>
      </c>
      <c r="H4951" s="55" t="s">
        <v>11961</v>
      </c>
      <c r="I4951" s="15" t="s">
        <v>404</v>
      </c>
    </row>
    <row r="4952" spans="1:9" ht="51.75" customHeight="1" x14ac:dyDescent="0.35">
      <c r="A4952" s="15" t="s">
        <v>26132</v>
      </c>
      <c r="B4952" s="15" t="s">
        <v>35466</v>
      </c>
      <c r="C4952" s="15" t="s">
        <v>21892</v>
      </c>
      <c r="D4952" s="31">
        <v>42558</v>
      </c>
      <c r="E4952" s="15" t="s">
        <v>35467</v>
      </c>
      <c r="F4952" s="87" t="s">
        <v>21871</v>
      </c>
      <c r="G4952" s="45" t="s">
        <v>11966</v>
      </c>
      <c r="H4952" s="55" t="s">
        <v>11967</v>
      </c>
      <c r="I4952" s="15" t="s">
        <v>404</v>
      </c>
    </row>
    <row r="4953" spans="1:9" ht="51.75" customHeight="1" x14ac:dyDescent="0.35">
      <c r="A4953" s="15" t="s">
        <v>23598</v>
      </c>
      <c r="B4953" s="15" t="s">
        <v>35468</v>
      </c>
      <c r="C4953" s="15" t="s">
        <v>21896</v>
      </c>
      <c r="D4953" s="31">
        <v>42558</v>
      </c>
      <c r="E4953" s="15" t="s">
        <v>35469</v>
      </c>
      <c r="F4953" s="87" t="s">
        <v>21871</v>
      </c>
      <c r="G4953" s="45" t="s">
        <v>11966</v>
      </c>
      <c r="H4953" s="55" t="s">
        <v>11967</v>
      </c>
      <c r="I4953" s="15" t="s">
        <v>404</v>
      </c>
    </row>
    <row r="4954" spans="1:9" ht="51.75" customHeight="1" x14ac:dyDescent="0.35">
      <c r="A4954" s="15" t="s">
        <v>26528</v>
      </c>
      <c r="B4954" s="15" t="s">
        <v>35470</v>
      </c>
      <c r="C4954" s="15" t="s">
        <v>24243</v>
      </c>
      <c r="D4954" s="31">
        <v>42558</v>
      </c>
      <c r="E4954" s="15" t="s">
        <v>35471</v>
      </c>
      <c r="F4954" s="87" t="s">
        <v>21871</v>
      </c>
      <c r="G4954" s="45" t="s">
        <v>11966</v>
      </c>
      <c r="H4954" s="55" t="s">
        <v>11967</v>
      </c>
      <c r="I4954" s="15" t="s">
        <v>404</v>
      </c>
    </row>
    <row r="4955" spans="1:9" ht="51.75" customHeight="1" x14ac:dyDescent="0.35">
      <c r="A4955" s="15" t="s">
        <v>23602</v>
      </c>
      <c r="B4955" s="15" t="s">
        <v>35472</v>
      </c>
      <c r="C4955" s="15" t="s">
        <v>24199</v>
      </c>
      <c r="D4955" s="31">
        <v>42558</v>
      </c>
      <c r="E4955" s="15" t="s">
        <v>35473</v>
      </c>
      <c r="F4955" s="87" t="s">
        <v>21871</v>
      </c>
      <c r="G4955" s="45" t="s">
        <v>11966</v>
      </c>
      <c r="H4955" s="55" t="s">
        <v>11967</v>
      </c>
      <c r="I4955" s="15" t="s">
        <v>404</v>
      </c>
    </row>
    <row r="4956" spans="1:9" ht="51.75" customHeight="1" x14ac:dyDescent="0.35">
      <c r="A4956" s="15" t="s">
        <v>23810</v>
      </c>
      <c r="B4956" s="15" t="s">
        <v>35474</v>
      </c>
      <c r="C4956" s="15" t="s">
        <v>21892</v>
      </c>
      <c r="D4956" s="31">
        <v>42740</v>
      </c>
      <c r="E4956" s="15" t="s">
        <v>35475</v>
      </c>
      <c r="F4956" s="87" t="s">
        <v>21871</v>
      </c>
      <c r="G4956" s="45" t="s">
        <v>12233</v>
      </c>
      <c r="H4956" s="55" t="s">
        <v>12234</v>
      </c>
      <c r="I4956" s="15" t="s">
        <v>404</v>
      </c>
    </row>
    <row r="4957" spans="1:9" ht="51.75" customHeight="1" x14ac:dyDescent="0.35">
      <c r="A4957" s="15" t="s">
        <v>24215</v>
      </c>
      <c r="B4957" s="15" t="s">
        <v>35476</v>
      </c>
      <c r="C4957" s="15" t="s">
        <v>21896</v>
      </c>
      <c r="D4957" s="31">
        <v>42740</v>
      </c>
      <c r="E4957" s="15" t="s">
        <v>35477</v>
      </c>
      <c r="F4957" s="87" t="s">
        <v>21871</v>
      </c>
      <c r="G4957" s="45" t="s">
        <v>12233</v>
      </c>
      <c r="H4957" s="55" t="s">
        <v>12234</v>
      </c>
      <c r="I4957" s="15" t="s">
        <v>404</v>
      </c>
    </row>
    <row r="4958" spans="1:9" ht="51.75" customHeight="1" x14ac:dyDescent="0.35">
      <c r="A4958" s="15" t="s">
        <v>23271</v>
      </c>
      <c r="B4958" s="15" t="s">
        <v>35478</v>
      </c>
      <c r="C4958" s="15" t="s">
        <v>24243</v>
      </c>
      <c r="D4958" s="31">
        <v>42740</v>
      </c>
      <c r="E4958" s="15" t="s">
        <v>35479</v>
      </c>
      <c r="F4958" s="87" t="s">
        <v>21871</v>
      </c>
      <c r="G4958" s="45" t="s">
        <v>12233</v>
      </c>
      <c r="H4958" s="55" t="s">
        <v>12234</v>
      </c>
      <c r="I4958" s="15" t="s">
        <v>404</v>
      </c>
    </row>
    <row r="4959" spans="1:9" ht="51.75" customHeight="1" x14ac:dyDescent="0.35">
      <c r="A4959" s="15" t="s">
        <v>35480</v>
      </c>
      <c r="B4959" s="15" t="s">
        <v>35481</v>
      </c>
      <c r="C4959" s="15" t="s">
        <v>21892</v>
      </c>
      <c r="D4959" s="31">
        <v>42689</v>
      </c>
      <c r="E4959" s="15" t="s">
        <v>35482</v>
      </c>
      <c r="F4959" s="87" t="s">
        <v>21871</v>
      </c>
      <c r="G4959" s="45" t="s">
        <v>12317</v>
      </c>
      <c r="H4959" s="55" t="s">
        <v>12318</v>
      </c>
      <c r="I4959" s="15" t="s">
        <v>404</v>
      </c>
    </row>
    <row r="4960" spans="1:9" ht="51.75" customHeight="1" x14ac:dyDescent="0.35">
      <c r="A4960" s="15" t="s">
        <v>23864</v>
      </c>
      <c r="B4960" s="15" t="s">
        <v>35483</v>
      </c>
      <c r="C4960" s="15" t="s">
        <v>21896</v>
      </c>
      <c r="D4960" s="31">
        <v>42689</v>
      </c>
      <c r="E4960" s="15" t="s">
        <v>35484</v>
      </c>
      <c r="F4960" s="87" t="s">
        <v>21871</v>
      </c>
      <c r="G4960" s="45" t="s">
        <v>12317</v>
      </c>
      <c r="H4960" s="55" t="s">
        <v>12318</v>
      </c>
      <c r="I4960" s="15" t="s">
        <v>404</v>
      </c>
    </row>
    <row r="4961" spans="1:9" ht="51.75" customHeight="1" x14ac:dyDescent="0.35">
      <c r="A4961" s="15" t="s">
        <v>26312</v>
      </c>
      <c r="B4961" s="15" t="s">
        <v>35485</v>
      </c>
      <c r="C4961" s="15" t="s">
        <v>24243</v>
      </c>
      <c r="D4961" s="31">
        <v>42689</v>
      </c>
      <c r="E4961" s="15" t="s">
        <v>35486</v>
      </c>
      <c r="F4961" s="87" t="s">
        <v>21871</v>
      </c>
      <c r="G4961" s="45" t="s">
        <v>12317</v>
      </c>
      <c r="H4961" s="55" t="s">
        <v>12318</v>
      </c>
      <c r="I4961" s="15" t="s">
        <v>404</v>
      </c>
    </row>
    <row r="4962" spans="1:9" ht="51.75" customHeight="1" x14ac:dyDescent="0.35">
      <c r="A4962" s="15" t="s">
        <v>29399</v>
      </c>
      <c r="B4962" s="15" t="s">
        <v>35487</v>
      </c>
      <c r="C4962" s="15" t="s">
        <v>24199</v>
      </c>
      <c r="D4962" s="31">
        <v>42689</v>
      </c>
      <c r="E4962" s="15" t="s">
        <v>35488</v>
      </c>
      <c r="F4962" s="87" t="s">
        <v>21871</v>
      </c>
      <c r="G4962" s="45" t="s">
        <v>12317</v>
      </c>
      <c r="H4962" s="55" t="s">
        <v>12318</v>
      </c>
      <c r="I4962" s="15" t="s">
        <v>404</v>
      </c>
    </row>
    <row r="4963" spans="1:9" ht="51.75" customHeight="1" x14ac:dyDescent="0.35">
      <c r="A4963" s="15" t="s">
        <v>21883</v>
      </c>
      <c r="B4963" s="15" t="s">
        <v>35489</v>
      </c>
      <c r="C4963" s="15" t="s">
        <v>21892</v>
      </c>
      <c r="D4963" s="31">
        <v>42767</v>
      </c>
      <c r="E4963" s="15" t="s">
        <v>35490</v>
      </c>
      <c r="F4963" s="87" t="s">
        <v>21871</v>
      </c>
      <c r="G4963" s="45" t="s">
        <v>12419</v>
      </c>
      <c r="H4963" s="55" t="s">
        <v>12420</v>
      </c>
      <c r="I4963" s="15" t="s">
        <v>404</v>
      </c>
    </row>
    <row r="4964" spans="1:9" ht="51.75" customHeight="1" x14ac:dyDescent="0.35">
      <c r="A4964" s="15" t="s">
        <v>23428</v>
      </c>
      <c r="B4964" s="15" t="s">
        <v>35491</v>
      </c>
      <c r="C4964" s="15" t="s">
        <v>21892</v>
      </c>
      <c r="D4964" s="31">
        <v>42684</v>
      </c>
      <c r="E4964" s="15" t="s">
        <v>35492</v>
      </c>
      <c r="F4964" s="87" t="s">
        <v>21871</v>
      </c>
      <c r="G4964" s="45" t="s">
        <v>12556</v>
      </c>
      <c r="H4964" s="55" t="s">
        <v>12557</v>
      </c>
      <c r="I4964" s="15" t="s">
        <v>404</v>
      </c>
    </row>
    <row r="4965" spans="1:9" ht="51.75" customHeight="1" x14ac:dyDescent="0.35">
      <c r="A4965" s="15" t="s">
        <v>26095</v>
      </c>
      <c r="B4965" s="15" t="s">
        <v>35493</v>
      </c>
      <c r="C4965" s="15" t="s">
        <v>21896</v>
      </c>
      <c r="D4965" s="31">
        <v>42684</v>
      </c>
      <c r="E4965" s="15" t="s">
        <v>35494</v>
      </c>
      <c r="F4965" s="87" t="s">
        <v>21871</v>
      </c>
      <c r="G4965" s="45" t="s">
        <v>12556</v>
      </c>
      <c r="H4965" s="55" t="s">
        <v>12557</v>
      </c>
      <c r="I4965" s="15" t="s">
        <v>404</v>
      </c>
    </row>
    <row r="4966" spans="1:9" ht="51.75" customHeight="1" x14ac:dyDescent="0.35">
      <c r="A4966" s="15" t="s">
        <v>26101</v>
      </c>
      <c r="B4966" s="15" t="s">
        <v>35495</v>
      </c>
      <c r="C4966" s="15" t="s">
        <v>24243</v>
      </c>
      <c r="D4966" s="31">
        <v>42684</v>
      </c>
      <c r="E4966" s="15" t="s">
        <v>35496</v>
      </c>
      <c r="F4966" s="87" t="s">
        <v>21871</v>
      </c>
      <c r="G4966" s="45" t="s">
        <v>12556</v>
      </c>
      <c r="H4966" s="55" t="s">
        <v>12557</v>
      </c>
      <c r="I4966" s="15" t="s">
        <v>404</v>
      </c>
    </row>
    <row r="4967" spans="1:9" ht="51.75" customHeight="1" x14ac:dyDescent="0.35">
      <c r="A4967" s="15" t="s">
        <v>26107</v>
      </c>
      <c r="B4967" s="15" t="s">
        <v>35497</v>
      </c>
      <c r="C4967" s="15" t="s">
        <v>24199</v>
      </c>
      <c r="D4967" s="31">
        <v>42684</v>
      </c>
      <c r="E4967" s="15" t="s">
        <v>35498</v>
      </c>
      <c r="F4967" s="87" t="s">
        <v>21871</v>
      </c>
      <c r="G4967" s="45" t="s">
        <v>12556</v>
      </c>
      <c r="H4967" s="55" t="s">
        <v>12557</v>
      </c>
      <c r="I4967" s="15" t="s">
        <v>404</v>
      </c>
    </row>
    <row r="4968" spans="1:9" ht="51.75" customHeight="1" x14ac:dyDescent="0.35">
      <c r="A4968" s="15" t="s">
        <v>23816</v>
      </c>
      <c r="B4968" s="15" t="s">
        <v>35499</v>
      </c>
      <c r="C4968" s="15" t="s">
        <v>21892</v>
      </c>
      <c r="D4968" s="31">
        <v>43004</v>
      </c>
      <c r="E4968" s="15" t="s">
        <v>35500</v>
      </c>
      <c r="F4968" s="87" t="s">
        <v>21871</v>
      </c>
      <c r="G4968" s="45" t="s">
        <v>12425</v>
      </c>
      <c r="H4968" s="55" t="s">
        <v>12426</v>
      </c>
      <c r="I4968" s="15" t="s">
        <v>404</v>
      </c>
    </row>
    <row r="4969" spans="1:9" ht="51.75" customHeight="1" x14ac:dyDescent="0.35">
      <c r="A4969" s="15" t="s">
        <v>22445</v>
      </c>
      <c r="B4969" s="15" t="s">
        <v>35501</v>
      </c>
      <c r="C4969" s="15" t="s">
        <v>21892</v>
      </c>
      <c r="D4969" s="31">
        <v>42803</v>
      </c>
      <c r="E4969" s="15" t="s">
        <v>35502</v>
      </c>
      <c r="F4969" s="87" t="s">
        <v>21871</v>
      </c>
      <c r="G4969" s="45" t="s">
        <v>12598</v>
      </c>
      <c r="H4969" s="55" t="s">
        <v>12599</v>
      </c>
      <c r="I4969" s="15" t="s">
        <v>404</v>
      </c>
    </row>
    <row r="4970" spans="1:9" ht="51.75" customHeight="1" x14ac:dyDescent="0.35">
      <c r="A4970" s="15" t="s">
        <v>22449</v>
      </c>
      <c r="B4970" s="15" t="s">
        <v>35503</v>
      </c>
      <c r="C4970" s="15" t="s">
        <v>21896</v>
      </c>
      <c r="D4970" s="31">
        <v>42803</v>
      </c>
      <c r="E4970" s="15" t="s">
        <v>35504</v>
      </c>
      <c r="F4970" s="87" t="s">
        <v>21871</v>
      </c>
      <c r="G4970" s="45" t="s">
        <v>12598</v>
      </c>
      <c r="H4970" s="55" t="s">
        <v>12599</v>
      </c>
      <c r="I4970" s="15" t="s">
        <v>404</v>
      </c>
    </row>
    <row r="4971" spans="1:9" ht="51.75" customHeight="1" x14ac:dyDescent="0.35">
      <c r="A4971" s="15" t="s">
        <v>32212</v>
      </c>
      <c r="B4971" s="15" t="s">
        <v>35505</v>
      </c>
      <c r="C4971" s="15" t="s">
        <v>21892</v>
      </c>
      <c r="D4971" s="31">
        <v>42877</v>
      </c>
      <c r="E4971" s="15" t="s">
        <v>35506</v>
      </c>
      <c r="F4971" s="87" t="s">
        <v>21871</v>
      </c>
      <c r="G4971" s="45" t="s">
        <v>12693</v>
      </c>
      <c r="H4971" s="55" t="s">
        <v>12694</v>
      </c>
      <c r="I4971" s="15" t="s">
        <v>404</v>
      </c>
    </row>
    <row r="4972" spans="1:9" ht="51.75" customHeight="1" x14ac:dyDescent="0.35">
      <c r="A4972" s="15" t="s">
        <v>28043</v>
      </c>
      <c r="B4972" s="15" t="s">
        <v>35507</v>
      </c>
      <c r="C4972" s="15" t="s">
        <v>21892</v>
      </c>
      <c r="D4972" s="31">
        <v>42878</v>
      </c>
      <c r="E4972" s="15" t="s">
        <v>35508</v>
      </c>
      <c r="F4972" s="87" t="s">
        <v>21871</v>
      </c>
      <c r="G4972" s="45" t="s">
        <v>12686</v>
      </c>
      <c r="H4972" s="55" t="s">
        <v>12687</v>
      </c>
      <c r="I4972" s="15" t="s">
        <v>404</v>
      </c>
    </row>
    <row r="4973" spans="1:9" ht="51.75" customHeight="1" x14ac:dyDescent="0.35">
      <c r="A4973" s="15" t="s">
        <v>25285</v>
      </c>
      <c r="B4973" s="15" t="s">
        <v>35509</v>
      </c>
      <c r="C4973" s="15" t="s">
        <v>21892</v>
      </c>
      <c r="D4973" s="31">
        <v>42825</v>
      </c>
      <c r="E4973" s="15" t="s">
        <v>35510</v>
      </c>
      <c r="F4973" s="87" t="s">
        <v>21871</v>
      </c>
      <c r="G4973" s="45" t="s">
        <v>12742</v>
      </c>
      <c r="H4973" s="55" t="s">
        <v>12743</v>
      </c>
      <c r="I4973" s="15" t="s">
        <v>404</v>
      </c>
    </row>
    <row r="4974" spans="1:9" ht="51.75" customHeight="1" x14ac:dyDescent="0.35">
      <c r="A4974" s="15" t="s">
        <v>25291</v>
      </c>
      <c r="B4974" s="15" t="s">
        <v>35511</v>
      </c>
      <c r="C4974" s="15" t="s">
        <v>21896</v>
      </c>
      <c r="D4974" s="31">
        <v>42825</v>
      </c>
      <c r="E4974" s="15" t="s">
        <v>35386</v>
      </c>
      <c r="F4974" s="87" t="s">
        <v>21871</v>
      </c>
      <c r="G4974" s="45" t="s">
        <v>12742</v>
      </c>
      <c r="H4974" s="55" t="s">
        <v>12743</v>
      </c>
      <c r="I4974" s="15" t="s">
        <v>404</v>
      </c>
    </row>
    <row r="4975" spans="1:9" ht="51.75" customHeight="1" x14ac:dyDescent="0.35">
      <c r="A4975" s="15" t="s">
        <v>25297</v>
      </c>
      <c r="B4975" s="15" t="s">
        <v>35512</v>
      </c>
      <c r="C4975" s="15" t="s">
        <v>24243</v>
      </c>
      <c r="D4975" s="31">
        <v>42825</v>
      </c>
      <c r="E4975" s="15" t="s">
        <v>35513</v>
      </c>
      <c r="F4975" s="87" t="s">
        <v>21871</v>
      </c>
      <c r="G4975" s="45" t="s">
        <v>12742</v>
      </c>
      <c r="H4975" s="55" t="s">
        <v>12743</v>
      </c>
      <c r="I4975" s="15" t="s">
        <v>404</v>
      </c>
    </row>
    <row r="4976" spans="1:9" ht="51.75" customHeight="1" x14ac:dyDescent="0.35">
      <c r="A4976" s="15" t="s">
        <v>23380</v>
      </c>
      <c r="B4976" s="15" t="s">
        <v>35514</v>
      </c>
      <c r="C4976" s="15" t="s">
        <v>21892</v>
      </c>
      <c r="D4976" s="31">
        <v>42971</v>
      </c>
      <c r="E4976" s="15" t="s">
        <v>35515</v>
      </c>
      <c r="F4976" s="87" t="s">
        <v>21871</v>
      </c>
      <c r="G4976" s="45" t="s">
        <v>12298</v>
      </c>
      <c r="H4976" s="55" t="s">
        <v>12299</v>
      </c>
      <c r="I4976" s="15" t="s">
        <v>404</v>
      </c>
    </row>
    <row r="4977" spans="1:9" ht="51.75" customHeight="1" x14ac:dyDescent="0.35">
      <c r="A4977" s="15" t="s">
        <v>23625</v>
      </c>
      <c r="B4977" s="15" t="s">
        <v>35516</v>
      </c>
      <c r="C4977" s="15" t="s">
        <v>21892</v>
      </c>
      <c r="D4977" s="31">
        <v>42989</v>
      </c>
      <c r="E4977" s="15" t="s">
        <v>35517</v>
      </c>
      <c r="F4977" s="87" t="s">
        <v>21871</v>
      </c>
      <c r="G4977" s="45" t="s">
        <v>13040</v>
      </c>
      <c r="H4977" s="55" t="s">
        <v>13041</v>
      </c>
      <c r="I4977" s="15" t="s">
        <v>404</v>
      </c>
    </row>
    <row r="4978" spans="1:9" ht="51.75" customHeight="1" x14ac:dyDescent="0.35">
      <c r="A4978" s="15" t="s">
        <v>22570</v>
      </c>
      <c r="B4978" s="15" t="s">
        <v>35518</v>
      </c>
      <c r="C4978" s="15" t="s">
        <v>21892</v>
      </c>
      <c r="D4978" s="31">
        <v>42927</v>
      </c>
      <c r="E4978" s="15" t="s">
        <v>35519</v>
      </c>
      <c r="F4978" s="87" t="s">
        <v>21871</v>
      </c>
      <c r="G4978" s="45" t="s">
        <v>13166</v>
      </c>
      <c r="H4978" s="55" t="s">
        <v>13167</v>
      </c>
      <c r="I4978" s="15" t="s">
        <v>404</v>
      </c>
    </row>
    <row r="4979" spans="1:9" ht="51.75" customHeight="1" x14ac:dyDescent="0.35">
      <c r="A4979" s="15" t="s">
        <v>22964</v>
      </c>
      <c r="B4979" s="15" t="s">
        <v>35520</v>
      </c>
      <c r="C4979" s="15" t="s">
        <v>21892</v>
      </c>
      <c r="D4979" s="31">
        <v>43115</v>
      </c>
      <c r="E4979" s="15" t="s">
        <v>35521</v>
      </c>
      <c r="F4979" s="87" t="s">
        <v>21871</v>
      </c>
      <c r="G4979" s="45" t="s">
        <v>13189</v>
      </c>
      <c r="H4979" s="55" t="s">
        <v>13190</v>
      </c>
      <c r="I4979" s="15" t="s">
        <v>404</v>
      </c>
    </row>
    <row r="4980" spans="1:9" ht="51.75" customHeight="1" x14ac:dyDescent="0.35">
      <c r="A4980" s="15" t="s">
        <v>22968</v>
      </c>
      <c r="B4980" s="15" t="s">
        <v>35522</v>
      </c>
      <c r="C4980" s="15" t="s">
        <v>21896</v>
      </c>
      <c r="D4980" s="31">
        <v>43115</v>
      </c>
      <c r="E4980" s="15" t="s">
        <v>35523</v>
      </c>
      <c r="F4980" s="87" t="s">
        <v>21871</v>
      </c>
      <c r="G4980" s="45" t="s">
        <v>13189</v>
      </c>
      <c r="H4980" s="55" t="s">
        <v>13190</v>
      </c>
      <c r="I4980" s="15" t="s">
        <v>404</v>
      </c>
    </row>
    <row r="4981" spans="1:9" ht="51.75" customHeight="1" x14ac:dyDescent="0.35">
      <c r="A4981" s="15" t="s">
        <v>28369</v>
      </c>
      <c r="B4981" s="15" t="s">
        <v>35524</v>
      </c>
      <c r="C4981" s="15" t="s">
        <v>24243</v>
      </c>
      <c r="D4981" s="31">
        <v>43115</v>
      </c>
      <c r="E4981" s="15" t="s">
        <v>35525</v>
      </c>
      <c r="F4981" s="87" t="s">
        <v>21871</v>
      </c>
      <c r="G4981" s="45" t="s">
        <v>13189</v>
      </c>
      <c r="H4981" s="55" t="s">
        <v>13190</v>
      </c>
      <c r="I4981" s="15" t="s">
        <v>404</v>
      </c>
    </row>
    <row r="4982" spans="1:9" ht="51.75" customHeight="1" x14ac:dyDescent="0.35">
      <c r="A4982" s="15" t="s">
        <v>22786</v>
      </c>
      <c r="B4982" s="15" t="s">
        <v>35526</v>
      </c>
      <c r="C4982" s="15" t="s">
        <v>21892</v>
      </c>
      <c r="D4982" s="31">
        <v>42920</v>
      </c>
      <c r="E4982" s="15" t="s">
        <v>35527</v>
      </c>
      <c r="F4982" s="87" t="s">
        <v>21871</v>
      </c>
      <c r="G4982" s="45" t="s">
        <v>13171</v>
      </c>
      <c r="H4982" s="55" t="s">
        <v>13172</v>
      </c>
      <c r="I4982" s="15" t="s">
        <v>404</v>
      </c>
    </row>
    <row r="4983" spans="1:9" ht="51.75" customHeight="1" x14ac:dyDescent="0.35">
      <c r="A4983" s="15" t="s">
        <v>28485</v>
      </c>
      <c r="B4983" s="15" t="s">
        <v>35528</v>
      </c>
      <c r="C4983" s="15" t="s">
        <v>21892</v>
      </c>
      <c r="D4983" s="31">
        <v>43195</v>
      </c>
      <c r="E4983" s="15" t="s">
        <v>35529</v>
      </c>
      <c r="F4983" s="87" t="s">
        <v>21871</v>
      </c>
      <c r="G4983" s="45" t="s">
        <v>13196</v>
      </c>
      <c r="H4983" s="55" t="s">
        <v>13197</v>
      </c>
      <c r="I4983" s="15" t="s">
        <v>404</v>
      </c>
    </row>
    <row r="4984" spans="1:9" ht="51.75" customHeight="1" x14ac:dyDescent="0.35">
      <c r="A4984" s="15" t="s">
        <v>22801</v>
      </c>
      <c r="B4984" s="15" t="s">
        <v>35530</v>
      </c>
      <c r="C4984" s="15" t="s">
        <v>21892</v>
      </c>
      <c r="D4984" s="31">
        <v>43234</v>
      </c>
      <c r="E4984" s="15" t="s">
        <v>35531</v>
      </c>
      <c r="F4984" s="87" t="s">
        <v>21871</v>
      </c>
      <c r="G4984" s="45" t="s">
        <v>13452</v>
      </c>
      <c r="H4984" s="55" t="s">
        <v>13453</v>
      </c>
      <c r="I4984" s="15" t="s">
        <v>404</v>
      </c>
    </row>
    <row r="4985" spans="1:9" ht="51.75" customHeight="1" x14ac:dyDescent="0.35">
      <c r="A4985" s="15" t="s">
        <v>22813</v>
      </c>
      <c r="B4985" s="15" t="s">
        <v>35532</v>
      </c>
      <c r="C4985" s="15" t="s">
        <v>21892</v>
      </c>
      <c r="D4985" s="31">
        <v>43235</v>
      </c>
      <c r="E4985" s="15" t="s">
        <v>35533</v>
      </c>
      <c r="F4985" s="87" t="s">
        <v>21871</v>
      </c>
      <c r="G4985" s="45" t="s">
        <v>13458</v>
      </c>
      <c r="H4985" s="55" t="s">
        <v>13459</v>
      </c>
      <c r="I4985" s="15" t="s">
        <v>404</v>
      </c>
    </row>
    <row r="4986" spans="1:9" ht="51.75" customHeight="1" x14ac:dyDescent="0.35">
      <c r="A4986" s="15" t="s">
        <v>22778</v>
      </c>
      <c r="B4986" s="15" t="s">
        <v>35534</v>
      </c>
      <c r="C4986" s="15" t="s">
        <v>21896</v>
      </c>
      <c r="D4986" s="31">
        <v>43235</v>
      </c>
      <c r="E4986" s="15" t="s">
        <v>35535</v>
      </c>
      <c r="F4986" s="87" t="s">
        <v>21871</v>
      </c>
      <c r="G4986" s="45" t="s">
        <v>13458</v>
      </c>
      <c r="H4986" s="55" t="s">
        <v>13459</v>
      </c>
      <c r="I4986" s="15" t="s">
        <v>404</v>
      </c>
    </row>
    <row r="4987" spans="1:9" ht="51.75" customHeight="1" x14ac:dyDescent="0.35">
      <c r="A4987" s="15" t="s">
        <v>22453</v>
      </c>
      <c r="B4987" s="15" t="s">
        <v>35536</v>
      </c>
      <c r="C4987" s="15" t="s">
        <v>21892</v>
      </c>
      <c r="D4987" s="31">
        <v>43539</v>
      </c>
      <c r="E4987" s="15" t="s">
        <v>35537</v>
      </c>
      <c r="F4987" s="87" t="s">
        <v>21871</v>
      </c>
      <c r="G4987" s="45" t="s">
        <v>13391</v>
      </c>
      <c r="H4987" s="55" t="s">
        <v>13392</v>
      </c>
      <c r="I4987" s="15" t="s">
        <v>404</v>
      </c>
    </row>
    <row r="4988" spans="1:9" ht="51.75" customHeight="1" x14ac:dyDescent="0.35">
      <c r="A4988" s="15" t="s">
        <v>26132</v>
      </c>
      <c r="B4988" s="15" t="s">
        <v>35538</v>
      </c>
      <c r="C4988" s="15" t="s">
        <v>21892</v>
      </c>
      <c r="D4988" s="31">
        <v>42971</v>
      </c>
      <c r="E4988" s="15" t="s">
        <v>35539</v>
      </c>
      <c r="F4988" s="87" t="s">
        <v>21871</v>
      </c>
      <c r="G4988" s="45" t="s">
        <v>13496</v>
      </c>
      <c r="H4988" s="55" t="s">
        <v>13497</v>
      </c>
      <c r="I4988" s="15" t="s">
        <v>404</v>
      </c>
    </row>
    <row r="4989" spans="1:9" ht="51.75" customHeight="1" x14ac:dyDescent="0.35">
      <c r="A4989" s="15" t="s">
        <v>23329</v>
      </c>
      <c r="B4989" s="15" t="s">
        <v>35540</v>
      </c>
      <c r="C4989" s="15" t="s">
        <v>21892</v>
      </c>
      <c r="D4989" s="31">
        <v>43164</v>
      </c>
      <c r="E4989" s="15" t="s">
        <v>35541</v>
      </c>
      <c r="F4989" s="87" t="s">
        <v>21871</v>
      </c>
      <c r="G4989" s="45" t="s">
        <v>13637</v>
      </c>
      <c r="H4989" s="55" t="s">
        <v>13638</v>
      </c>
      <c r="I4989" s="15" t="s">
        <v>404</v>
      </c>
    </row>
    <row r="4990" spans="1:9" ht="51.75" customHeight="1" x14ac:dyDescent="0.35">
      <c r="A4990" s="15" t="s">
        <v>25156</v>
      </c>
      <c r="B4990" s="15" t="s">
        <v>35542</v>
      </c>
      <c r="C4990" s="15" t="s">
        <v>21892</v>
      </c>
      <c r="D4990" s="31">
        <v>43285</v>
      </c>
      <c r="E4990" s="15" t="s">
        <v>35543</v>
      </c>
      <c r="F4990" s="87" t="s">
        <v>21871</v>
      </c>
      <c r="G4990" s="45" t="s">
        <v>13677</v>
      </c>
      <c r="H4990" s="55" t="s">
        <v>13678</v>
      </c>
      <c r="I4990" s="15" t="s">
        <v>404</v>
      </c>
    </row>
    <row r="4991" spans="1:9" ht="51.75" customHeight="1" x14ac:dyDescent="0.35">
      <c r="A4991" s="15" t="s">
        <v>35544</v>
      </c>
      <c r="B4991" s="15" t="s">
        <v>35545</v>
      </c>
      <c r="C4991" s="15" t="s">
        <v>21892</v>
      </c>
      <c r="D4991" s="31">
        <v>43383</v>
      </c>
      <c r="E4991" s="15" t="s">
        <v>35546</v>
      </c>
      <c r="F4991" s="87" t="s">
        <v>21871</v>
      </c>
      <c r="G4991" s="45" t="s">
        <v>13715</v>
      </c>
      <c r="H4991" s="55" t="s">
        <v>13716</v>
      </c>
      <c r="I4991" s="15" t="s">
        <v>404</v>
      </c>
    </row>
    <row r="4992" spans="1:9" ht="51.75" customHeight="1" x14ac:dyDescent="0.35">
      <c r="A4992" s="15" t="s">
        <v>25913</v>
      </c>
      <c r="B4992" s="15" t="s">
        <v>35547</v>
      </c>
      <c r="C4992" s="15" t="s">
        <v>21892</v>
      </c>
      <c r="D4992" s="31">
        <v>43325</v>
      </c>
      <c r="E4992" s="15" t="s">
        <v>35548</v>
      </c>
      <c r="F4992" s="87" t="s">
        <v>21871</v>
      </c>
      <c r="G4992" s="45" t="s">
        <v>13797</v>
      </c>
      <c r="H4992" s="55" t="s">
        <v>13798</v>
      </c>
      <c r="I4992" s="15" t="s">
        <v>404</v>
      </c>
    </row>
    <row r="4993" spans="1:9" ht="51.75" customHeight="1" x14ac:dyDescent="0.35">
      <c r="A4993" s="15" t="s">
        <v>26511</v>
      </c>
      <c r="B4993" s="15" t="s">
        <v>35549</v>
      </c>
      <c r="C4993" s="15" t="s">
        <v>21892</v>
      </c>
      <c r="D4993" s="31">
        <v>43049</v>
      </c>
      <c r="E4993" s="15" t="s">
        <v>35550</v>
      </c>
      <c r="F4993" s="87" t="s">
        <v>21871</v>
      </c>
      <c r="G4993" s="45" t="s">
        <v>13804</v>
      </c>
      <c r="H4993" s="55" t="s">
        <v>13805</v>
      </c>
      <c r="I4993" s="15" t="s">
        <v>404</v>
      </c>
    </row>
    <row r="4994" spans="1:9" ht="51.75" customHeight="1" x14ac:dyDescent="0.35">
      <c r="A4994" s="15" t="s">
        <v>23213</v>
      </c>
      <c r="B4994" s="15" t="s">
        <v>35551</v>
      </c>
      <c r="C4994" s="15" t="s">
        <v>21892</v>
      </c>
      <c r="D4994" s="31">
        <v>43122</v>
      </c>
      <c r="E4994" s="15" t="s">
        <v>35552</v>
      </c>
      <c r="F4994" s="87" t="s">
        <v>21871</v>
      </c>
      <c r="G4994" s="45" t="s">
        <v>13839</v>
      </c>
      <c r="H4994" s="55" t="s">
        <v>13840</v>
      </c>
      <c r="I4994" s="15" t="s">
        <v>404</v>
      </c>
    </row>
    <row r="4995" spans="1:9" ht="51.75" customHeight="1" x14ac:dyDescent="0.35">
      <c r="A4995" s="15" t="s">
        <v>23219</v>
      </c>
      <c r="B4995" s="15" t="s">
        <v>35553</v>
      </c>
      <c r="C4995" s="15" t="s">
        <v>21896</v>
      </c>
      <c r="D4995" s="31">
        <v>43122</v>
      </c>
      <c r="E4995" s="15" t="s">
        <v>35554</v>
      </c>
      <c r="F4995" s="87" t="s">
        <v>21871</v>
      </c>
      <c r="G4995" s="45" t="s">
        <v>13839</v>
      </c>
      <c r="H4995" s="55" t="s">
        <v>13840</v>
      </c>
      <c r="I4995" s="15" t="s">
        <v>404</v>
      </c>
    </row>
    <row r="4996" spans="1:9" ht="51.75" customHeight="1" x14ac:dyDescent="0.35">
      <c r="A4996" s="15" t="s">
        <v>26606</v>
      </c>
      <c r="B4996" s="15" t="s">
        <v>35555</v>
      </c>
      <c r="C4996" s="15" t="s">
        <v>21892</v>
      </c>
      <c r="D4996" s="31">
        <v>43166</v>
      </c>
      <c r="E4996" s="15" t="s">
        <v>35556</v>
      </c>
      <c r="F4996" s="87" t="s">
        <v>21871</v>
      </c>
      <c r="G4996" s="45" t="s">
        <v>13845</v>
      </c>
      <c r="H4996" s="55" t="s">
        <v>13846</v>
      </c>
      <c r="I4996" s="15" t="s">
        <v>404</v>
      </c>
    </row>
    <row r="4997" spans="1:9" ht="51.75" customHeight="1" x14ac:dyDescent="0.35">
      <c r="A4997" s="15" t="s">
        <v>32363</v>
      </c>
      <c r="B4997" s="15" t="s">
        <v>35557</v>
      </c>
      <c r="C4997" s="15" t="s">
        <v>21892</v>
      </c>
      <c r="D4997" s="31">
        <v>43103</v>
      </c>
      <c r="E4997" s="15" t="s">
        <v>35558</v>
      </c>
      <c r="F4997" s="87" t="s">
        <v>21871</v>
      </c>
      <c r="G4997" s="45" t="s">
        <v>13857</v>
      </c>
      <c r="H4997" s="55" t="s">
        <v>13858</v>
      </c>
      <c r="I4997" s="15" t="s">
        <v>404</v>
      </c>
    </row>
    <row r="4998" spans="1:9" ht="51.75" customHeight="1" x14ac:dyDescent="0.35">
      <c r="A4998" s="15" t="s">
        <v>26911</v>
      </c>
      <c r="B4998" s="15" t="s">
        <v>35559</v>
      </c>
      <c r="C4998" s="15" t="s">
        <v>21892</v>
      </c>
      <c r="D4998" s="31">
        <v>43042</v>
      </c>
      <c r="E4998" s="15" t="s">
        <v>35560</v>
      </c>
      <c r="F4998" s="87" t="s">
        <v>21871</v>
      </c>
      <c r="G4998" s="45" t="s">
        <v>13893</v>
      </c>
      <c r="H4998" s="55" t="s">
        <v>13894</v>
      </c>
      <c r="I4998" s="15" t="s">
        <v>404</v>
      </c>
    </row>
    <row r="4999" spans="1:9" ht="51.75" customHeight="1" x14ac:dyDescent="0.35">
      <c r="A4999" s="15" t="s">
        <v>35561</v>
      </c>
      <c r="B4999" s="15" t="s">
        <v>35562</v>
      </c>
      <c r="C4999" s="15" t="s">
        <v>21892</v>
      </c>
      <c r="D4999" s="31">
        <v>43384</v>
      </c>
      <c r="E4999" s="15" t="s">
        <v>35563</v>
      </c>
      <c r="F4999" s="87" t="s">
        <v>21871</v>
      </c>
      <c r="G4999" s="45" t="s">
        <v>13863</v>
      </c>
      <c r="H4999" s="55" t="s">
        <v>13864</v>
      </c>
      <c r="I4999" s="15" t="s">
        <v>404</v>
      </c>
    </row>
    <row r="5000" spans="1:9" ht="51.75" customHeight="1" x14ac:dyDescent="0.35">
      <c r="A5000" s="15" t="s">
        <v>24974</v>
      </c>
      <c r="B5000" s="15" t="s">
        <v>35564</v>
      </c>
      <c r="C5000" s="15" t="s">
        <v>21892</v>
      </c>
      <c r="D5000" s="31">
        <v>43284</v>
      </c>
      <c r="E5000" s="15" t="s">
        <v>35565</v>
      </c>
      <c r="F5000" s="87" t="s">
        <v>21871</v>
      </c>
      <c r="G5000" s="45" t="s">
        <v>13916</v>
      </c>
      <c r="H5000" s="55" t="s">
        <v>13917</v>
      </c>
      <c r="I5000" s="15" t="s">
        <v>404</v>
      </c>
    </row>
    <row r="5001" spans="1:9" ht="51.75" customHeight="1" x14ac:dyDescent="0.35">
      <c r="A5001" s="15" t="s">
        <v>35566</v>
      </c>
      <c r="B5001" s="15" t="s">
        <v>35567</v>
      </c>
      <c r="C5001" s="15" t="s">
        <v>21892</v>
      </c>
      <c r="D5001" s="31">
        <v>43423</v>
      </c>
      <c r="E5001" s="15" t="s">
        <v>35568</v>
      </c>
      <c r="F5001" s="87" t="s">
        <v>21871</v>
      </c>
      <c r="G5001" s="45" t="s">
        <v>13927</v>
      </c>
      <c r="H5001" s="55" t="s">
        <v>13928</v>
      </c>
      <c r="I5001" s="15" t="s">
        <v>404</v>
      </c>
    </row>
    <row r="5002" spans="1:9" ht="51.75" customHeight="1" x14ac:dyDescent="0.35">
      <c r="A5002" s="15" t="s">
        <v>24802</v>
      </c>
      <c r="B5002" s="15" t="s">
        <v>35569</v>
      </c>
      <c r="C5002" s="15" t="s">
        <v>21892</v>
      </c>
      <c r="D5002" s="31">
        <v>43132</v>
      </c>
      <c r="E5002" s="15" t="s">
        <v>35570</v>
      </c>
      <c r="F5002" s="87" t="s">
        <v>21871</v>
      </c>
      <c r="G5002" s="45" t="s">
        <v>13962</v>
      </c>
      <c r="H5002" s="55" t="s">
        <v>13963</v>
      </c>
      <c r="I5002" s="15" t="s">
        <v>404</v>
      </c>
    </row>
    <row r="5003" spans="1:9" ht="51.75" customHeight="1" x14ac:dyDescent="0.35">
      <c r="A5003" s="15" t="s">
        <v>24623</v>
      </c>
      <c r="B5003" s="15" t="s">
        <v>35571</v>
      </c>
      <c r="C5003" s="15" t="s">
        <v>21892</v>
      </c>
      <c r="D5003" s="31">
        <v>43166</v>
      </c>
      <c r="E5003" s="15" t="s">
        <v>35572</v>
      </c>
      <c r="F5003" s="87" t="s">
        <v>21871</v>
      </c>
      <c r="G5003" s="45" t="s">
        <v>13967</v>
      </c>
      <c r="H5003" s="55" t="s">
        <v>13968</v>
      </c>
      <c r="I5003" s="15" t="s">
        <v>404</v>
      </c>
    </row>
    <row r="5004" spans="1:9" ht="51.75" customHeight="1" x14ac:dyDescent="0.35">
      <c r="A5004" s="15" t="s">
        <v>35573</v>
      </c>
      <c r="B5004" s="15" t="s">
        <v>35574</v>
      </c>
      <c r="C5004" s="15" t="s">
        <v>21892</v>
      </c>
      <c r="D5004" s="31">
        <v>43318</v>
      </c>
      <c r="E5004" s="15" t="s">
        <v>35575</v>
      </c>
      <c r="F5004" s="87" t="s">
        <v>21871</v>
      </c>
      <c r="G5004" s="45" t="s">
        <v>14002</v>
      </c>
      <c r="H5004" s="55" t="s">
        <v>14003</v>
      </c>
      <c r="I5004" s="15" t="s">
        <v>404</v>
      </c>
    </row>
    <row r="5005" spans="1:9" ht="51.75" customHeight="1" x14ac:dyDescent="0.35">
      <c r="A5005" s="15" t="s">
        <v>25717</v>
      </c>
      <c r="B5005" s="15" t="s">
        <v>35576</v>
      </c>
      <c r="C5005" s="15" t="s">
        <v>21892</v>
      </c>
      <c r="D5005" s="31">
        <v>43181</v>
      </c>
      <c r="E5005" s="15" t="s">
        <v>35577</v>
      </c>
      <c r="F5005" s="87" t="s">
        <v>34996</v>
      </c>
      <c r="G5005" s="45" t="s">
        <v>14025</v>
      </c>
      <c r="H5005" s="55" t="s">
        <v>14026</v>
      </c>
      <c r="I5005" s="15" t="s">
        <v>404</v>
      </c>
    </row>
    <row r="5006" spans="1:9" ht="51.75" customHeight="1" x14ac:dyDescent="0.35">
      <c r="A5006" s="15" t="s">
        <v>23465</v>
      </c>
      <c r="B5006" s="15" t="s">
        <v>35578</v>
      </c>
      <c r="C5006" s="15" t="s">
        <v>21892</v>
      </c>
      <c r="D5006" s="31">
        <v>43207</v>
      </c>
      <c r="E5006" s="15" t="s">
        <v>35579</v>
      </c>
      <c r="F5006" s="87" t="s">
        <v>21871</v>
      </c>
      <c r="G5006" s="45" t="s">
        <v>14091</v>
      </c>
      <c r="H5006" s="55" t="s">
        <v>14092</v>
      </c>
      <c r="I5006" s="15" t="s">
        <v>404</v>
      </c>
    </row>
    <row r="5007" spans="1:9" ht="51.75" customHeight="1" x14ac:dyDescent="0.35">
      <c r="A5007" s="15" t="s">
        <v>22877</v>
      </c>
      <c r="B5007" s="15" t="s">
        <v>35580</v>
      </c>
      <c r="C5007" s="15" t="s">
        <v>21892</v>
      </c>
      <c r="D5007" s="31">
        <v>43180</v>
      </c>
      <c r="E5007" s="15" t="s">
        <v>35581</v>
      </c>
      <c r="F5007" s="87" t="s">
        <v>21871</v>
      </c>
      <c r="G5007" s="45" t="s">
        <v>14127</v>
      </c>
      <c r="H5007" s="55" t="s">
        <v>14128</v>
      </c>
      <c r="I5007" s="15" t="s">
        <v>404</v>
      </c>
    </row>
    <row r="5008" spans="1:9" ht="51.75" customHeight="1" x14ac:dyDescent="0.35">
      <c r="A5008" s="15" t="s">
        <v>26931</v>
      </c>
      <c r="B5008" s="15" t="s">
        <v>35582</v>
      </c>
      <c r="C5008" s="15" t="s">
        <v>21892</v>
      </c>
      <c r="D5008" s="31">
        <v>43269</v>
      </c>
      <c r="E5008" s="15" t="s">
        <v>35583</v>
      </c>
      <c r="F5008" s="87" t="s">
        <v>21871</v>
      </c>
      <c r="G5008" s="45" t="s">
        <v>14302</v>
      </c>
      <c r="H5008" s="55" t="s">
        <v>14303</v>
      </c>
      <c r="I5008" s="15" t="s">
        <v>404</v>
      </c>
    </row>
    <row r="5009" spans="1:9" ht="51.75" customHeight="1" x14ac:dyDescent="0.35">
      <c r="A5009" s="15" t="s">
        <v>31951</v>
      </c>
      <c r="B5009" s="15" t="s">
        <v>35584</v>
      </c>
      <c r="C5009" s="15" t="s">
        <v>21892</v>
      </c>
      <c r="D5009" s="31">
        <v>43236</v>
      </c>
      <c r="E5009" s="15" t="s">
        <v>35585</v>
      </c>
      <c r="F5009" s="87" t="s">
        <v>21871</v>
      </c>
      <c r="G5009" s="45" t="s">
        <v>14369</v>
      </c>
      <c r="H5009" s="55" t="s">
        <v>14370</v>
      </c>
      <c r="I5009" s="15" t="s">
        <v>404</v>
      </c>
    </row>
    <row r="5010" spans="1:9" ht="51.75" customHeight="1" x14ac:dyDescent="0.35">
      <c r="A5010" s="15" t="s">
        <v>25349</v>
      </c>
      <c r="B5010" s="15" t="s">
        <v>35586</v>
      </c>
      <c r="C5010" s="15" t="s">
        <v>21892</v>
      </c>
      <c r="D5010" s="31">
        <v>43508</v>
      </c>
      <c r="E5010" s="15" t="s">
        <v>35587</v>
      </c>
      <c r="F5010" s="87" t="s">
        <v>21871</v>
      </c>
      <c r="G5010" s="45" t="s">
        <v>14490</v>
      </c>
      <c r="H5010" s="55" t="s">
        <v>14491</v>
      </c>
      <c r="I5010" s="15" t="s">
        <v>404</v>
      </c>
    </row>
    <row r="5011" spans="1:9" ht="51.75" customHeight="1" x14ac:dyDescent="0.35">
      <c r="A5011" s="15" t="s">
        <v>22586</v>
      </c>
      <c r="B5011" s="15" t="s">
        <v>35588</v>
      </c>
      <c r="C5011" s="15" t="s">
        <v>21892</v>
      </c>
      <c r="D5011" s="31">
        <v>43242</v>
      </c>
      <c r="E5011" s="15" t="s">
        <v>35589</v>
      </c>
      <c r="F5011" s="87" t="s">
        <v>21871</v>
      </c>
      <c r="G5011" s="45" t="s">
        <v>14327</v>
      </c>
      <c r="H5011" s="55" t="s">
        <v>14328</v>
      </c>
      <c r="I5011" s="15" t="s">
        <v>404</v>
      </c>
    </row>
    <row r="5012" spans="1:9" ht="51.75" customHeight="1" x14ac:dyDescent="0.35">
      <c r="A5012" s="15" t="s">
        <v>26038</v>
      </c>
      <c r="B5012" s="15" t="s">
        <v>35590</v>
      </c>
      <c r="C5012" s="15" t="s">
        <v>21896</v>
      </c>
      <c r="D5012" s="31">
        <v>43242</v>
      </c>
      <c r="E5012" s="15" t="s">
        <v>35591</v>
      </c>
      <c r="F5012" s="87" t="s">
        <v>21871</v>
      </c>
      <c r="G5012" s="45" t="s">
        <v>14327</v>
      </c>
      <c r="H5012" s="55" t="s">
        <v>14328</v>
      </c>
      <c r="I5012" s="15" t="s">
        <v>404</v>
      </c>
    </row>
    <row r="5013" spans="1:9" ht="51.75" customHeight="1" x14ac:dyDescent="0.35">
      <c r="A5013" s="15" t="s">
        <v>26621</v>
      </c>
      <c r="B5013" s="15" t="s">
        <v>35592</v>
      </c>
      <c r="C5013" s="15" t="s">
        <v>21892</v>
      </c>
      <c r="D5013" s="31">
        <v>43195</v>
      </c>
      <c r="E5013" s="15" t="s">
        <v>35593</v>
      </c>
      <c r="F5013" s="87" t="s">
        <v>21871</v>
      </c>
      <c r="G5013" s="45" t="s">
        <v>14558</v>
      </c>
      <c r="H5013" s="55" t="s">
        <v>14559</v>
      </c>
      <c r="I5013" s="15" t="s">
        <v>404</v>
      </c>
    </row>
    <row r="5014" spans="1:9" ht="51.75" customHeight="1" x14ac:dyDescent="0.35">
      <c r="A5014" s="15" t="s">
        <v>35594</v>
      </c>
      <c r="B5014" s="15" t="s">
        <v>35595</v>
      </c>
      <c r="C5014" s="15" t="s">
        <v>21892</v>
      </c>
      <c r="D5014" s="31">
        <v>44105</v>
      </c>
      <c r="E5014" s="15" t="s">
        <v>35596</v>
      </c>
      <c r="F5014" s="87" t="s">
        <v>21871</v>
      </c>
      <c r="G5014" s="45" t="s">
        <v>14562</v>
      </c>
      <c r="H5014" s="55" t="s">
        <v>14563</v>
      </c>
      <c r="I5014" s="15" t="s">
        <v>404</v>
      </c>
    </row>
    <row r="5015" spans="1:9" ht="51.75" customHeight="1" x14ac:dyDescent="0.35">
      <c r="A5015" s="15" t="s">
        <v>35597</v>
      </c>
      <c r="B5015" s="15" t="s">
        <v>35598</v>
      </c>
      <c r="C5015" s="15" t="s">
        <v>21892</v>
      </c>
      <c r="D5015" s="31">
        <v>43332</v>
      </c>
      <c r="E5015" s="15" t="s">
        <v>35599</v>
      </c>
      <c r="F5015" s="87" t="s">
        <v>21871</v>
      </c>
      <c r="G5015" s="45" t="s">
        <v>14568</v>
      </c>
      <c r="H5015" s="55" t="s">
        <v>14569</v>
      </c>
      <c r="I5015" s="15" t="s">
        <v>404</v>
      </c>
    </row>
    <row r="5016" spans="1:9" ht="51.75" customHeight="1" x14ac:dyDescent="0.35">
      <c r="A5016" s="15" t="s">
        <v>22047</v>
      </c>
      <c r="B5016" s="15" t="s">
        <v>35600</v>
      </c>
      <c r="C5016" s="15" t="s">
        <v>21892</v>
      </c>
      <c r="D5016" s="31">
        <v>43592</v>
      </c>
      <c r="E5016" s="15" t="s">
        <v>35601</v>
      </c>
      <c r="F5016" s="87" t="s">
        <v>21871</v>
      </c>
      <c r="G5016" s="45" t="s">
        <v>14623</v>
      </c>
      <c r="H5016" s="55" t="s">
        <v>14624</v>
      </c>
      <c r="I5016" s="15" t="s">
        <v>404</v>
      </c>
    </row>
    <row r="5017" spans="1:9" ht="51.75" customHeight="1" x14ac:dyDescent="0.35">
      <c r="A5017" s="15" t="s">
        <v>35602</v>
      </c>
      <c r="B5017" s="15" t="s">
        <v>35603</v>
      </c>
      <c r="C5017" s="15" t="s">
        <v>21892</v>
      </c>
      <c r="D5017" s="31">
        <v>43452</v>
      </c>
      <c r="E5017" s="15" t="s">
        <v>35604</v>
      </c>
      <c r="F5017" s="87" t="s">
        <v>21871</v>
      </c>
      <c r="G5017" s="45" t="s">
        <v>14667</v>
      </c>
      <c r="H5017" s="55" t="s">
        <v>14668</v>
      </c>
      <c r="I5017" s="15" t="s">
        <v>404</v>
      </c>
    </row>
    <row r="5018" spans="1:9" ht="51.75" customHeight="1" x14ac:dyDescent="0.35">
      <c r="A5018" s="15" t="s">
        <v>35605</v>
      </c>
      <c r="B5018" s="15" t="s">
        <v>35606</v>
      </c>
      <c r="C5018" s="15" t="s">
        <v>21896</v>
      </c>
      <c r="D5018" s="31">
        <v>43452</v>
      </c>
      <c r="E5018" s="15" t="s">
        <v>35607</v>
      </c>
      <c r="F5018" s="87" t="s">
        <v>21871</v>
      </c>
      <c r="G5018" s="45" t="s">
        <v>14667</v>
      </c>
      <c r="H5018" s="55" t="s">
        <v>14668</v>
      </c>
      <c r="I5018" s="15" t="s">
        <v>404</v>
      </c>
    </row>
    <row r="5019" spans="1:9" ht="51.75" customHeight="1" x14ac:dyDescent="0.35">
      <c r="A5019" s="15" t="s">
        <v>26708</v>
      </c>
      <c r="B5019" s="15" t="s">
        <v>35608</v>
      </c>
      <c r="C5019" s="15" t="s">
        <v>21892</v>
      </c>
      <c r="D5019" s="31">
        <v>43649</v>
      </c>
      <c r="E5019" s="15" t="s">
        <v>35609</v>
      </c>
      <c r="F5019" s="87" t="s">
        <v>21871</v>
      </c>
      <c r="G5019" s="45" t="s">
        <v>14691</v>
      </c>
      <c r="H5019" s="55" t="s">
        <v>14692</v>
      </c>
      <c r="I5019" s="15" t="s">
        <v>404</v>
      </c>
    </row>
    <row r="5020" spans="1:9" ht="51.75" customHeight="1" x14ac:dyDescent="0.35">
      <c r="A5020" s="15" t="s">
        <v>24998</v>
      </c>
      <c r="B5020" s="15" t="s">
        <v>35610</v>
      </c>
      <c r="C5020" s="15" t="s">
        <v>21892</v>
      </c>
      <c r="D5020" s="31">
        <v>43308</v>
      </c>
      <c r="E5020" s="15" t="s">
        <v>35611</v>
      </c>
      <c r="F5020" s="87" t="s">
        <v>21871</v>
      </c>
      <c r="G5020" s="45" t="s">
        <v>14760</v>
      </c>
      <c r="H5020" s="55" t="s">
        <v>14761</v>
      </c>
      <c r="I5020" s="15" t="s">
        <v>404</v>
      </c>
    </row>
    <row r="5021" spans="1:9" ht="51.75" customHeight="1" x14ac:dyDescent="0.35">
      <c r="A5021" s="15" t="s">
        <v>35612</v>
      </c>
      <c r="B5021" s="15" t="s">
        <v>35613</v>
      </c>
      <c r="C5021" s="15" t="s">
        <v>21892</v>
      </c>
      <c r="D5021" s="31">
        <v>43444</v>
      </c>
      <c r="E5021" s="15" t="s">
        <v>35614</v>
      </c>
      <c r="F5021" s="87" t="s">
        <v>21871</v>
      </c>
      <c r="G5021" s="45" t="s">
        <v>14842</v>
      </c>
      <c r="H5021" s="55" t="s">
        <v>14843</v>
      </c>
      <c r="I5021" s="15" t="s">
        <v>404</v>
      </c>
    </row>
    <row r="5022" spans="1:9" ht="51.75" customHeight="1" x14ac:dyDescent="0.35">
      <c r="A5022" s="15" t="s">
        <v>23533</v>
      </c>
      <c r="B5022" s="15" t="s">
        <v>35615</v>
      </c>
      <c r="C5022" s="15" t="s">
        <v>21892</v>
      </c>
      <c r="D5022" s="31">
        <v>43587</v>
      </c>
      <c r="E5022" s="15" t="s">
        <v>35616</v>
      </c>
      <c r="F5022" s="87" t="s">
        <v>21871</v>
      </c>
      <c r="G5022" s="45" t="s">
        <v>14913</v>
      </c>
      <c r="H5022" s="55" t="s">
        <v>14914</v>
      </c>
      <c r="I5022" s="15" t="s">
        <v>404</v>
      </c>
    </row>
    <row r="5023" spans="1:9" ht="51.75" customHeight="1" x14ac:dyDescent="0.35">
      <c r="A5023" s="15" t="s">
        <v>24980</v>
      </c>
      <c r="B5023" s="15" t="s">
        <v>35617</v>
      </c>
      <c r="C5023" s="15" t="s">
        <v>21892</v>
      </c>
      <c r="D5023" s="31">
        <v>43297</v>
      </c>
      <c r="E5023" s="15" t="s">
        <v>35618</v>
      </c>
      <c r="F5023" s="87" t="s">
        <v>21871</v>
      </c>
      <c r="G5023" s="45" t="s">
        <v>14970</v>
      </c>
      <c r="H5023" s="55" t="s">
        <v>14971</v>
      </c>
      <c r="I5023" s="15" t="s">
        <v>404</v>
      </c>
    </row>
    <row r="5024" spans="1:9" ht="51.75" customHeight="1" x14ac:dyDescent="0.35">
      <c r="A5024" s="15" t="s">
        <v>25297</v>
      </c>
      <c r="B5024" s="15" t="s">
        <v>35619</v>
      </c>
      <c r="C5024" s="15" t="s">
        <v>21892</v>
      </c>
      <c r="D5024" s="31">
        <v>43553</v>
      </c>
      <c r="E5024" s="15" t="s">
        <v>35620</v>
      </c>
      <c r="F5024" s="87" t="s">
        <v>21871</v>
      </c>
      <c r="G5024" s="45" t="s">
        <v>15019</v>
      </c>
      <c r="H5024" s="55" t="s">
        <v>15020</v>
      </c>
      <c r="I5024" s="15" t="s">
        <v>404</v>
      </c>
    </row>
    <row r="5025" spans="1:9" ht="51.75" customHeight="1" x14ac:dyDescent="0.35">
      <c r="A5025" s="15" t="s">
        <v>23337</v>
      </c>
      <c r="B5025" s="15" t="s">
        <v>35621</v>
      </c>
      <c r="C5025" s="15" t="s">
        <v>21892</v>
      </c>
      <c r="D5025" s="31">
        <v>43630</v>
      </c>
      <c r="E5025" s="15" t="s">
        <v>35622</v>
      </c>
      <c r="F5025" s="87" t="s">
        <v>21871</v>
      </c>
      <c r="G5025" s="45" t="s">
        <v>15025</v>
      </c>
      <c r="H5025" s="55" t="s">
        <v>15026</v>
      </c>
      <c r="I5025" s="15" t="s">
        <v>404</v>
      </c>
    </row>
    <row r="5026" spans="1:9" ht="51.75" customHeight="1" x14ac:dyDescent="0.35">
      <c r="A5026" s="15" t="s">
        <v>23923</v>
      </c>
      <c r="B5026" s="15" t="s">
        <v>35623</v>
      </c>
      <c r="C5026" s="15" t="s">
        <v>21892</v>
      </c>
      <c r="D5026" s="31">
        <v>43461</v>
      </c>
      <c r="E5026" s="15" t="s">
        <v>35624</v>
      </c>
      <c r="F5026" s="87" t="s">
        <v>21871</v>
      </c>
      <c r="G5026" s="45" t="s">
        <v>15072</v>
      </c>
      <c r="H5026" s="55" t="s">
        <v>15073</v>
      </c>
      <c r="I5026" s="15" t="s">
        <v>404</v>
      </c>
    </row>
    <row r="5027" spans="1:9" ht="51.75" customHeight="1" x14ac:dyDescent="0.35">
      <c r="A5027" s="15" t="s">
        <v>24191</v>
      </c>
      <c r="B5027" s="15" t="s">
        <v>35625</v>
      </c>
      <c r="C5027" s="15" t="s">
        <v>21896</v>
      </c>
      <c r="D5027" s="31">
        <v>43461</v>
      </c>
      <c r="E5027" s="15" t="s">
        <v>35626</v>
      </c>
      <c r="F5027" s="87" t="s">
        <v>21871</v>
      </c>
      <c r="G5027" s="45" t="s">
        <v>15072</v>
      </c>
      <c r="H5027" s="55" t="s">
        <v>15073</v>
      </c>
      <c r="I5027" s="15" t="s">
        <v>404</v>
      </c>
    </row>
    <row r="5028" spans="1:9" ht="51.75" customHeight="1" x14ac:dyDescent="0.35">
      <c r="A5028" s="15" t="s">
        <v>35627</v>
      </c>
      <c r="B5028" s="15" t="s">
        <v>35628</v>
      </c>
      <c r="C5028" s="15" t="s">
        <v>21892</v>
      </c>
      <c r="D5028" s="31">
        <v>43416</v>
      </c>
      <c r="E5028" s="15" t="s">
        <v>35629</v>
      </c>
      <c r="F5028" s="87" t="s">
        <v>21871</v>
      </c>
      <c r="G5028" s="45" t="s">
        <v>15078</v>
      </c>
      <c r="H5028" s="55" t="s">
        <v>15079</v>
      </c>
      <c r="I5028" s="15" t="s">
        <v>404</v>
      </c>
    </row>
    <row r="5029" spans="1:9" ht="51.75" customHeight="1" x14ac:dyDescent="0.35">
      <c r="A5029" s="15" t="s">
        <v>24581</v>
      </c>
      <c r="B5029" s="15" t="s">
        <v>35630</v>
      </c>
      <c r="C5029" s="15" t="s">
        <v>21892</v>
      </c>
      <c r="D5029" s="31">
        <v>43486</v>
      </c>
      <c r="E5029" s="15" t="s">
        <v>35631</v>
      </c>
      <c r="F5029" s="87" t="s">
        <v>21871</v>
      </c>
      <c r="G5029" s="45" t="s">
        <v>15118</v>
      </c>
      <c r="H5029" s="55" t="s">
        <v>15119</v>
      </c>
      <c r="I5029" s="15" t="s">
        <v>404</v>
      </c>
    </row>
    <row r="5030" spans="1:9" ht="51.75" customHeight="1" x14ac:dyDescent="0.35">
      <c r="A5030" s="15" t="s">
        <v>35632</v>
      </c>
      <c r="B5030" s="15" t="s">
        <v>35633</v>
      </c>
      <c r="C5030" s="15" t="s">
        <v>21892</v>
      </c>
      <c r="D5030" s="31">
        <v>43455</v>
      </c>
      <c r="E5030" s="15" t="s">
        <v>35634</v>
      </c>
      <c r="F5030" s="87" t="s">
        <v>21871</v>
      </c>
      <c r="G5030" s="45" t="s">
        <v>15158</v>
      </c>
      <c r="H5030" s="55" t="s">
        <v>15159</v>
      </c>
      <c r="I5030" s="15" t="s">
        <v>404</v>
      </c>
    </row>
    <row r="5031" spans="1:9" ht="51.75" customHeight="1" x14ac:dyDescent="0.35">
      <c r="A5031" s="15" t="s">
        <v>22846</v>
      </c>
      <c r="B5031" s="15" t="s">
        <v>35635</v>
      </c>
      <c r="C5031" s="15" t="s">
        <v>21892</v>
      </c>
      <c r="D5031" s="31">
        <v>43518</v>
      </c>
      <c r="E5031" s="15" t="s">
        <v>35636</v>
      </c>
      <c r="F5031" s="87" t="s">
        <v>21871</v>
      </c>
      <c r="G5031" s="45" t="s">
        <v>15202</v>
      </c>
      <c r="H5031" s="55" t="s">
        <v>15203</v>
      </c>
      <c r="I5031" s="15" t="s">
        <v>404</v>
      </c>
    </row>
    <row r="5032" spans="1:9" ht="51.75" customHeight="1" x14ac:dyDescent="0.35">
      <c r="A5032" s="15" t="s">
        <v>35637</v>
      </c>
      <c r="B5032" s="15" t="s">
        <v>35638</v>
      </c>
      <c r="C5032" s="15" t="s">
        <v>21892</v>
      </c>
      <c r="D5032" s="31">
        <v>43454</v>
      </c>
      <c r="E5032" s="15" t="s">
        <v>35639</v>
      </c>
      <c r="F5032" s="87" t="s">
        <v>21871</v>
      </c>
      <c r="G5032" s="45" t="s">
        <v>15307</v>
      </c>
      <c r="H5032" s="55" t="s">
        <v>15308</v>
      </c>
      <c r="I5032" s="15" t="s">
        <v>404</v>
      </c>
    </row>
    <row r="5033" spans="1:9" ht="51.75" customHeight="1" x14ac:dyDescent="0.35">
      <c r="A5033" s="15" t="s">
        <v>23412</v>
      </c>
      <c r="B5033" s="15" t="s">
        <v>35640</v>
      </c>
      <c r="C5033" s="15" t="s">
        <v>21892</v>
      </c>
      <c r="D5033" s="31">
        <v>43501</v>
      </c>
      <c r="E5033" s="15" t="s">
        <v>35641</v>
      </c>
      <c r="F5033" s="87" t="s">
        <v>21871</v>
      </c>
      <c r="G5033" s="45" t="s">
        <v>15322</v>
      </c>
      <c r="H5033" s="55" t="s">
        <v>15323</v>
      </c>
      <c r="I5033" s="15" t="s">
        <v>404</v>
      </c>
    </row>
    <row r="5034" spans="1:9" ht="51.75" customHeight="1" x14ac:dyDescent="0.35">
      <c r="A5034" s="15" t="s">
        <v>23536</v>
      </c>
      <c r="B5034" s="15" t="s">
        <v>35642</v>
      </c>
      <c r="C5034" s="15" t="s">
        <v>21892</v>
      </c>
      <c r="D5034" s="31">
        <v>43587</v>
      </c>
      <c r="E5034" s="15" t="s">
        <v>35643</v>
      </c>
      <c r="F5034" s="87" t="s">
        <v>21871</v>
      </c>
      <c r="G5034" s="45" t="s">
        <v>15378</v>
      </c>
      <c r="H5034" s="55" t="s">
        <v>15379</v>
      </c>
      <c r="I5034" s="15" t="s">
        <v>404</v>
      </c>
    </row>
    <row r="5035" spans="1:9" ht="51.75" customHeight="1" x14ac:dyDescent="0.35">
      <c r="A5035" s="15" t="s">
        <v>23477</v>
      </c>
      <c r="B5035" s="15" t="s">
        <v>35644</v>
      </c>
      <c r="C5035" s="15" t="s">
        <v>21896</v>
      </c>
      <c r="D5035" s="31">
        <v>43587</v>
      </c>
      <c r="E5035" s="15" t="s">
        <v>35645</v>
      </c>
      <c r="F5035" s="87" t="s">
        <v>21871</v>
      </c>
      <c r="G5035" s="45" t="s">
        <v>15378</v>
      </c>
      <c r="H5035" s="55" t="s">
        <v>15379</v>
      </c>
      <c r="I5035" s="15" t="s">
        <v>404</v>
      </c>
    </row>
    <row r="5036" spans="1:9" ht="51.75" customHeight="1" x14ac:dyDescent="0.35">
      <c r="A5036" s="15" t="s">
        <v>21979</v>
      </c>
      <c r="B5036" s="15" t="s">
        <v>35646</v>
      </c>
      <c r="C5036" s="15" t="s">
        <v>21892</v>
      </c>
      <c r="D5036" s="31">
        <v>43587</v>
      </c>
      <c r="E5036" s="15" t="s">
        <v>35647</v>
      </c>
      <c r="F5036" s="87" t="s">
        <v>21871</v>
      </c>
      <c r="G5036" s="45" t="s">
        <v>15442</v>
      </c>
      <c r="H5036" s="55" t="s">
        <v>15443</v>
      </c>
      <c r="I5036" s="15" t="s">
        <v>404</v>
      </c>
    </row>
    <row r="5037" spans="1:9" ht="51.75" customHeight="1" x14ac:dyDescent="0.35">
      <c r="A5037" s="15" t="s">
        <v>23810</v>
      </c>
      <c r="B5037" s="15" t="s">
        <v>35648</v>
      </c>
      <c r="C5037" s="15" t="s">
        <v>21892</v>
      </c>
      <c r="D5037" s="31">
        <v>43830</v>
      </c>
      <c r="E5037" s="15" t="s">
        <v>35649</v>
      </c>
      <c r="F5037" s="87" t="s">
        <v>21871</v>
      </c>
      <c r="G5037" s="45" t="s">
        <v>15517</v>
      </c>
      <c r="H5037" s="55" t="s">
        <v>15518</v>
      </c>
      <c r="I5037" s="15" t="s">
        <v>404</v>
      </c>
    </row>
    <row r="5038" spans="1:9" ht="51.75" customHeight="1" x14ac:dyDescent="0.35">
      <c r="A5038" s="15" t="s">
        <v>23658</v>
      </c>
      <c r="B5038" s="15" t="s">
        <v>35650</v>
      </c>
      <c r="C5038" s="15" t="s">
        <v>21892</v>
      </c>
      <c r="D5038" s="31">
        <v>43773</v>
      </c>
      <c r="E5038" s="15" t="s">
        <v>35651</v>
      </c>
      <c r="F5038" s="87" t="s">
        <v>21871</v>
      </c>
      <c r="G5038" s="45" t="s">
        <v>15554</v>
      </c>
      <c r="H5038" s="55" t="s">
        <v>15555</v>
      </c>
      <c r="I5038" s="15" t="s">
        <v>404</v>
      </c>
    </row>
    <row r="5039" spans="1:9" ht="51.75" customHeight="1" x14ac:dyDescent="0.35">
      <c r="A5039" s="15" t="s">
        <v>27049</v>
      </c>
      <c r="B5039" s="15" t="s">
        <v>35652</v>
      </c>
      <c r="C5039" s="15" t="s">
        <v>21892</v>
      </c>
      <c r="D5039" s="31">
        <v>43768</v>
      </c>
      <c r="E5039" s="15" t="s">
        <v>35653</v>
      </c>
      <c r="F5039" s="87" t="s">
        <v>21871</v>
      </c>
      <c r="G5039" s="45" t="s">
        <v>15584</v>
      </c>
      <c r="H5039" s="55" t="s">
        <v>15585</v>
      </c>
      <c r="I5039" s="15" t="s">
        <v>404</v>
      </c>
    </row>
    <row r="5040" spans="1:9" ht="51.75" customHeight="1" x14ac:dyDescent="0.35">
      <c r="A5040" s="15" t="s">
        <v>25404</v>
      </c>
      <c r="B5040" s="15" t="s">
        <v>35654</v>
      </c>
      <c r="C5040" s="15" t="s">
        <v>21892</v>
      </c>
      <c r="D5040" s="31">
        <v>43640</v>
      </c>
      <c r="E5040" s="15" t="s">
        <v>35655</v>
      </c>
      <c r="F5040" s="87" t="s">
        <v>21871</v>
      </c>
      <c r="G5040" s="45" t="s">
        <v>15679</v>
      </c>
      <c r="H5040" s="55" t="s">
        <v>15680</v>
      </c>
      <c r="I5040" s="15" t="s">
        <v>404</v>
      </c>
    </row>
    <row r="5041" spans="1:9" ht="51.75" customHeight="1" x14ac:dyDescent="0.35">
      <c r="A5041" s="15" t="s">
        <v>22614</v>
      </c>
      <c r="B5041" s="15" t="s">
        <v>35656</v>
      </c>
      <c r="C5041" s="15" t="s">
        <v>21892</v>
      </c>
      <c r="D5041" s="31">
        <v>43626</v>
      </c>
      <c r="E5041" s="15" t="s">
        <v>35657</v>
      </c>
      <c r="F5041" s="87" t="s">
        <v>21871</v>
      </c>
      <c r="G5041" s="45" t="s">
        <v>15701</v>
      </c>
      <c r="H5041" s="55" t="s">
        <v>15702</v>
      </c>
      <c r="I5041" s="15" t="s">
        <v>404</v>
      </c>
    </row>
    <row r="5042" spans="1:9" ht="51.75" customHeight="1" x14ac:dyDescent="0.35">
      <c r="A5042" s="15" t="s">
        <v>25543</v>
      </c>
      <c r="B5042" s="15" t="s">
        <v>35658</v>
      </c>
      <c r="C5042" s="15" t="s">
        <v>21892</v>
      </c>
      <c r="D5042" s="31">
        <v>43620</v>
      </c>
      <c r="E5042" s="15" t="s">
        <v>35659</v>
      </c>
      <c r="F5042" s="87" t="s">
        <v>21871</v>
      </c>
      <c r="G5042" s="45" t="s">
        <v>15751</v>
      </c>
      <c r="H5042" s="55" t="s">
        <v>15752</v>
      </c>
      <c r="I5042" s="15" t="s">
        <v>404</v>
      </c>
    </row>
    <row r="5043" spans="1:9" ht="51.75" customHeight="1" x14ac:dyDescent="0.35">
      <c r="A5043" s="15" t="s">
        <v>25640</v>
      </c>
      <c r="B5043" s="15" t="s">
        <v>35660</v>
      </c>
      <c r="C5043" s="15" t="s">
        <v>21892</v>
      </c>
      <c r="D5043" s="31">
        <v>43633</v>
      </c>
      <c r="E5043" s="15" t="s">
        <v>35661</v>
      </c>
      <c r="F5043" s="87" t="s">
        <v>21871</v>
      </c>
      <c r="G5043" s="45" t="s">
        <v>15780</v>
      </c>
      <c r="H5043" s="55" t="s">
        <v>15781</v>
      </c>
      <c r="I5043" s="15" t="s">
        <v>404</v>
      </c>
    </row>
    <row r="5044" spans="1:9" ht="51.75" customHeight="1" x14ac:dyDescent="0.35">
      <c r="A5044" s="15" t="s">
        <v>28335</v>
      </c>
      <c r="B5044" s="15" t="s">
        <v>35662</v>
      </c>
      <c r="C5044" s="15" t="s">
        <v>21892</v>
      </c>
      <c r="D5044" s="31">
        <v>43906</v>
      </c>
      <c r="E5044" s="15" t="s">
        <v>35663</v>
      </c>
      <c r="F5044" s="87" t="s">
        <v>21871</v>
      </c>
      <c r="G5044" s="45" t="s">
        <v>14738</v>
      </c>
      <c r="H5044" s="55" t="s">
        <v>14739</v>
      </c>
      <c r="I5044" s="15" t="s">
        <v>404</v>
      </c>
    </row>
    <row r="5045" spans="1:9" ht="51.75" customHeight="1" x14ac:dyDescent="0.35">
      <c r="A5045" s="15" t="s">
        <v>24917</v>
      </c>
      <c r="B5045" s="15" t="s">
        <v>35664</v>
      </c>
      <c r="C5045" s="15" t="s">
        <v>21892</v>
      </c>
      <c r="D5045" s="31">
        <v>43956</v>
      </c>
      <c r="E5045" s="15" t="s">
        <v>35665</v>
      </c>
      <c r="F5045" s="87" t="s">
        <v>21871</v>
      </c>
      <c r="G5045" s="45" t="s">
        <v>16102</v>
      </c>
      <c r="H5045" s="55" t="s">
        <v>16103</v>
      </c>
      <c r="I5045" s="15" t="s">
        <v>404</v>
      </c>
    </row>
    <row r="5046" spans="1:9" ht="51.75" customHeight="1" x14ac:dyDescent="0.35">
      <c r="A5046" s="15" t="s">
        <v>25410</v>
      </c>
      <c r="B5046" s="15" t="s">
        <v>35666</v>
      </c>
      <c r="C5046" s="15" t="s">
        <v>21892</v>
      </c>
      <c r="D5046" s="31">
        <v>43969</v>
      </c>
      <c r="E5046" s="15" t="s">
        <v>35667</v>
      </c>
      <c r="F5046" s="87" t="s">
        <v>21871</v>
      </c>
      <c r="G5046" s="45" t="s">
        <v>16144</v>
      </c>
      <c r="H5046" s="55" t="s">
        <v>16145</v>
      </c>
      <c r="I5046" s="15" t="s">
        <v>404</v>
      </c>
    </row>
    <row r="5047" spans="1:9" ht="51.75" customHeight="1" x14ac:dyDescent="0.35">
      <c r="A5047" s="15" t="s">
        <v>23314</v>
      </c>
      <c r="B5047" s="15" t="s">
        <v>35668</v>
      </c>
      <c r="C5047" s="15" t="s">
        <v>21892</v>
      </c>
      <c r="D5047" s="31">
        <v>43992</v>
      </c>
      <c r="E5047" s="15" t="s">
        <v>35669</v>
      </c>
      <c r="F5047" s="87" t="s">
        <v>21871</v>
      </c>
      <c r="G5047" s="45" t="s">
        <v>16226</v>
      </c>
      <c r="H5047" s="55" t="s">
        <v>16227</v>
      </c>
      <c r="I5047" s="15" t="s">
        <v>404</v>
      </c>
    </row>
    <row r="5048" spans="1:9" ht="51.75" customHeight="1" x14ac:dyDescent="0.35">
      <c r="A5048" s="15" t="s">
        <v>26905</v>
      </c>
      <c r="B5048" s="15" t="s">
        <v>35670</v>
      </c>
      <c r="C5048" s="15" t="s">
        <v>21892</v>
      </c>
      <c r="D5048" s="31">
        <v>43976</v>
      </c>
      <c r="E5048" s="15" t="s">
        <v>35671</v>
      </c>
      <c r="F5048" s="87" t="s">
        <v>21871</v>
      </c>
      <c r="G5048" s="45" t="s">
        <v>16232</v>
      </c>
      <c r="H5048" s="55" t="s">
        <v>16233</v>
      </c>
      <c r="I5048" s="15" t="s">
        <v>404</v>
      </c>
    </row>
    <row r="5049" spans="1:9" ht="51.75" customHeight="1" x14ac:dyDescent="0.35">
      <c r="A5049" s="15" t="s">
        <v>24509</v>
      </c>
      <c r="B5049" s="15" t="s">
        <v>35672</v>
      </c>
      <c r="C5049" s="15" t="s">
        <v>21892</v>
      </c>
      <c r="D5049" s="31">
        <v>43864</v>
      </c>
      <c r="E5049" s="15" t="s">
        <v>35673</v>
      </c>
      <c r="F5049" s="87" t="s">
        <v>21871</v>
      </c>
      <c r="G5049" s="45" t="s">
        <v>16508</v>
      </c>
      <c r="H5049" s="55" t="s">
        <v>16509</v>
      </c>
      <c r="I5049" s="15" t="s">
        <v>404</v>
      </c>
    </row>
    <row r="5050" spans="1:9" ht="51.75" customHeight="1" x14ac:dyDescent="0.35">
      <c r="A5050" s="15" t="s">
        <v>34233</v>
      </c>
      <c r="B5050" s="15" t="s">
        <v>35674</v>
      </c>
      <c r="C5050" s="15" t="s">
        <v>21892</v>
      </c>
      <c r="D5050" s="31">
        <v>43797</v>
      </c>
      <c r="E5050" s="15" t="s">
        <v>35675</v>
      </c>
      <c r="F5050" s="87" t="s">
        <v>21871</v>
      </c>
      <c r="G5050" s="45" t="s">
        <v>16580</v>
      </c>
      <c r="H5050" s="55" t="s">
        <v>16581</v>
      </c>
      <c r="I5050" s="15" t="s">
        <v>404</v>
      </c>
    </row>
    <row r="5051" spans="1:9" ht="51.75" customHeight="1" x14ac:dyDescent="0.35">
      <c r="A5051" s="15" t="s">
        <v>34236</v>
      </c>
      <c r="B5051" s="15" t="s">
        <v>35676</v>
      </c>
      <c r="C5051" s="15" t="s">
        <v>21896</v>
      </c>
      <c r="D5051" s="31">
        <v>43797</v>
      </c>
      <c r="E5051" s="15" t="s">
        <v>35677</v>
      </c>
      <c r="F5051" s="87" t="s">
        <v>21871</v>
      </c>
      <c r="G5051" s="45" t="s">
        <v>16580</v>
      </c>
      <c r="H5051" s="55" t="s">
        <v>16581</v>
      </c>
      <c r="I5051" s="15" t="s">
        <v>404</v>
      </c>
    </row>
    <row r="5052" spans="1:9" ht="51.75" customHeight="1" x14ac:dyDescent="0.35">
      <c r="A5052" s="15" t="s">
        <v>24923</v>
      </c>
      <c r="B5052" s="15" t="s">
        <v>35678</v>
      </c>
      <c r="C5052" s="15" t="s">
        <v>21892</v>
      </c>
      <c r="D5052" s="31">
        <v>43964</v>
      </c>
      <c r="E5052" s="15" t="s">
        <v>35679</v>
      </c>
      <c r="F5052" s="87" t="s">
        <v>21871</v>
      </c>
      <c r="G5052" s="45" t="s">
        <v>16602</v>
      </c>
      <c r="H5052" s="55" t="s">
        <v>16603</v>
      </c>
      <c r="I5052" s="15" t="s">
        <v>404</v>
      </c>
    </row>
    <row r="5053" spans="1:9" ht="51.75" customHeight="1" x14ac:dyDescent="0.35">
      <c r="A5053" s="15" t="s">
        <v>23432</v>
      </c>
      <c r="B5053" s="15" t="s">
        <v>35680</v>
      </c>
      <c r="C5053" s="15" t="s">
        <v>21896</v>
      </c>
      <c r="D5053" s="31">
        <v>43964</v>
      </c>
      <c r="E5053" s="15" t="s">
        <v>35681</v>
      </c>
      <c r="F5053" s="87" t="s">
        <v>21871</v>
      </c>
      <c r="G5053" s="45" t="s">
        <v>16602</v>
      </c>
      <c r="H5053" s="55" t="s">
        <v>16603</v>
      </c>
      <c r="I5053" s="15" t="s">
        <v>404</v>
      </c>
    </row>
    <row r="5054" spans="1:9" ht="51.75" customHeight="1" x14ac:dyDescent="0.35">
      <c r="A5054" s="15" t="s">
        <v>35682</v>
      </c>
      <c r="B5054" s="15" t="s">
        <v>35683</v>
      </c>
      <c r="C5054" s="15" t="s">
        <v>21892</v>
      </c>
      <c r="D5054" s="31">
        <v>44068</v>
      </c>
      <c r="E5054" s="15" t="s">
        <v>35684</v>
      </c>
      <c r="F5054" s="87" t="s">
        <v>21871</v>
      </c>
      <c r="G5054" s="45" t="s">
        <v>16631</v>
      </c>
      <c r="H5054" s="55" t="s">
        <v>16632</v>
      </c>
      <c r="I5054" s="15" t="s">
        <v>404</v>
      </c>
    </row>
    <row r="5055" spans="1:9" ht="51.75" customHeight="1" x14ac:dyDescent="0.35">
      <c r="A5055" s="15" t="s">
        <v>35685</v>
      </c>
      <c r="B5055" s="15" t="s">
        <v>35686</v>
      </c>
      <c r="C5055" s="15" t="s">
        <v>21896</v>
      </c>
      <c r="D5055" s="31">
        <v>44068</v>
      </c>
      <c r="E5055" s="15" t="s">
        <v>35687</v>
      </c>
      <c r="F5055" s="87" t="s">
        <v>21871</v>
      </c>
      <c r="G5055" s="45" t="s">
        <v>16631</v>
      </c>
      <c r="H5055" s="55" t="s">
        <v>16632</v>
      </c>
      <c r="I5055" s="15" t="s">
        <v>404</v>
      </c>
    </row>
    <row r="5056" spans="1:9" ht="51.75" customHeight="1" x14ac:dyDescent="0.35">
      <c r="A5056" s="15" t="s">
        <v>25917</v>
      </c>
      <c r="B5056" s="15" t="s">
        <v>35688</v>
      </c>
      <c r="C5056" s="15" t="s">
        <v>21892</v>
      </c>
      <c r="D5056" s="31">
        <v>44026</v>
      </c>
      <c r="E5056" s="15" t="s">
        <v>35689</v>
      </c>
      <c r="F5056" s="87" t="s">
        <v>21871</v>
      </c>
      <c r="G5056" s="45" t="s">
        <v>16668</v>
      </c>
      <c r="H5056" s="55" t="s">
        <v>16669</v>
      </c>
      <c r="I5056" s="15" t="s">
        <v>404</v>
      </c>
    </row>
    <row r="5057" spans="1:9" ht="51.75" customHeight="1" x14ac:dyDescent="0.35">
      <c r="A5057" s="15" t="s">
        <v>23581</v>
      </c>
      <c r="B5057" s="15" t="s">
        <v>35690</v>
      </c>
      <c r="C5057" s="15" t="s">
        <v>21892</v>
      </c>
      <c r="D5057" s="31">
        <v>43888</v>
      </c>
      <c r="E5057" s="15" t="s">
        <v>35691</v>
      </c>
      <c r="F5057" s="87" t="s">
        <v>21871</v>
      </c>
      <c r="G5057" s="45" t="s">
        <v>16674</v>
      </c>
      <c r="H5057" s="55" t="s">
        <v>16675</v>
      </c>
      <c r="I5057" s="15" t="s">
        <v>404</v>
      </c>
    </row>
    <row r="5058" spans="1:9" ht="51.75" customHeight="1" x14ac:dyDescent="0.35">
      <c r="A5058" s="15" t="s">
        <v>24736</v>
      </c>
      <c r="B5058" s="15" t="s">
        <v>35692</v>
      </c>
      <c r="C5058" s="15" t="s">
        <v>21892</v>
      </c>
      <c r="D5058" s="31">
        <v>43969</v>
      </c>
      <c r="E5058" s="15" t="s">
        <v>35693</v>
      </c>
      <c r="F5058" s="87" t="s">
        <v>21871</v>
      </c>
      <c r="G5058" s="45" t="s">
        <v>16790</v>
      </c>
      <c r="H5058" s="55" t="s">
        <v>16791</v>
      </c>
      <c r="I5058" s="15" t="s">
        <v>404</v>
      </c>
    </row>
    <row r="5059" spans="1:9" ht="51.75" customHeight="1" x14ac:dyDescent="0.35">
      <c r="A5059" s="15" t="s">
        <v>35694</v>
      </c>
      <c r="B5059" s="15" t="s">
        <v>35695</v>
      </c>
      <c r="C5059" s="15" t="s">
        <v>21892</v>
      </c>
      <c r="D5059" s="31">
        <v>44134</v>
      </c>
      <c r="E5059" s="15" t="s">
        <v>35696</v>
      </c>
      <c r="F5059" s="87" t="s">
        <v>21871</v>
      </c>
      <c r="G5059" s="45" t="s">
        <v>16796</v>
      </c>
      <c r="H5059" s="55" t="s">
        <v>35697</v>
      </c>
      <c r="I5059" s="15" t="s">
        <v>404</v>
      </c>
    </row>
    <row r="5060" spans="1:9" ht="51.75" customHeight="1" x14ac:dyDescent="0.35">
      <c r="A5060" s="15" t="s">
        <v>25549</v>
      </c>
      <c r="B5060" s="15" t="s">
        <v>35698</v>
      </c>
      <c r="C5060" s="15" t="s">
        <v>21892</v>
      </c>
      <c r="D5060" s="31">
        <v>43938</v>
      </c>
      <c r="E5060" s="15" t="s">
        <v>35699</v>
      </c>
      <c r="F5060" s="87" t="s">
        <v>21871</v>
      </c>
      <c r="G5060" s="45" t="s">
        <v>16816</v>
      </c>
      <c r="H5060" s="55" t="s">
        <v>16817</v>
      </c>
      <c r="I5060" s="15" t="s">
        <v>404</v>
      </c>
    </row>
    <row r="5061" spans="1:9" ht="51.75" customHeight="1" x14ac:dyDescent="0.35">
      <c r="A5061" s="15" t="s">
        <v>26908</v>
      </c>
      <c r="B5061" s="15" t="s">
        <v>35700</v>
      </c>
      <c r="C5061" s="15" t="s">
        <v>21892</v>
      </c>
      <c r="D5061" s="31">
        <v>43977</v>
      </c>
      <c r="E5061" s="15" t="s">
        <v>35701</v>
      </c>
      <c r="F5061" s="87" t="s">
        <v>21871</v>
      </c>
      <c r="G5061" s="45" t="s">
        <v>16869</v>
      </c>
      <c r="H5061" s="55" t="s">
        <v>16870</v>
      </c>
      <c r="I5061" s="15" t="s">
        <v>404</v>
      </c>
    </row>
    <row r="5062" spans="1:9" ht="51.75" customHeight="1" x14ac:dyDescent="0.35">
      <c r="A5062" s="15" t="s">
        <v>22103</v>
      </c>
      <c r="B5062" s="15" t="s">
        <v>35702</v>
      </c>
      <c r="C5062" s="15" t="s">
        <v>21896</v>
      </c>
      <c r="D5062" s="31">
        <v>43977</v>
      </c>
      <c r="E5062" s="15" t="s">
        <v>35703</v>
      </c>
      <c r="F5062" s="87" t="s">
        <v>21871</v>
      </c>
      <c r="G5062" s="45" t="s">
        <v>16869</v>
      </c>
      <c r="H5062" s="55" t="s">
        <v>16870</v>
      </c>
      <c r="I5062" s="15" t="s">
        <v>404</v>
      </c>
    </row>
    <row r="5063" spans="1:9" ht="51.75" customHeight="1" x14ac:dyDescent="0.35">
      <c r="A5063" s="15" t="s">
        <v>23412</v>
      </c>
      <c r="B5063" s="15" t="s">
        <v>35704</v>
      </c>
      <c r="C5063" s="15" t="s">
        <v>21892</v>
      </c>
      <c r="D5063" s="31">
        <v>43878</v>
      </c>
      <c r="E5063" s="15" t="s">
        <v>35705</v>
      </c>
      <c r="F5063" s="87" t="s">
        <v>21871</v>
      </c>
      <c r="G5063" s="45" t="s">
        <v>16906</v>
      </c>
      <c r="H5063" s="55" t="s">
        <v>16907</v>
      </c>
      <c r="I5063" s="15" t="s">
        <v>404</v>
      </c>
    </row>
    <row r="5064" spans="1:9" ht="51.75" customHeight="1" x14ac:dyDescent="0.35">
      <c r="A5064" s="15" t="s">
        <v>25451</v>
      </c>
      <c r="B5064" s="15" t="s">
        <v>35706</v>
      </c>
      <c r="C5064" s="15" t="s">
        <v>21892</v>
      </c>
      <c r="D5064" s="31">
        <v>43984</v>
      </c>
      <c r="E5064" s="15" t="s">
        <v>35707</v>
      </c>
      <c r="F5064" s="87" t="s">
        <v>21871</v>
      </c>
      <c r="G5064" s="45" t="s">
        <v>16981</v>
      </c>
      <c r="H5064" s="55" t="s">
        <v>16982</v>
      </c>
      <c r="I5064" s="15" t="s">
        <v>404</v>
      </c>
    </row>
    <row r="5065" spans="1:9" ht="51.75" customHeight="1" x14ac:dyDescent="0.35">
      <c r="A5065" s="15" t="s">
        <v>35708</v>
      </c>
      <c r="B5065" s="15" t="s">
        <v>35709</v>
      </c>
      <c r="C5065" s="15" t="s">
        <v>21892</v>
      </c>
      <c r="D5065" s="31">
        <v>44139</v>
      </c>
      <c r="E5065" s="15" t="s">
        <v>35710</v>
      </c>
      <c r="F5065" s="87" t="s">
        <v>21871</v>
      </c>
      <c r="G5065" s="45" t="s">
        <v>17137</v>
      </c>
      <c r="H5065" s="55" t="s">
        <v>17138</v>
      </c>
      <c r="I5065" s="15" t="s">
        <v>404</v>
      </c>
    </row>
    <row r="5066" spans="1:9" ht="51.75" customHeight="1" x14ac:dyDescent="0.35">
      <c r="A5066" s="15" t="s">
        <v>25442</v>
      </c>
      <c r="B5066" s="15" t="s">
        <v>35711</v>
      </c>
      <c r="C5066" s="15" t="s">
        <v>21892</v>
      </c>
      <c r="D5066" s="31">
        <v>43984</v>
      </c>
      <c r="E5066" s="15" t="s">
        <v>35712</v>
      </c>
      <c r="F5066" s="87" t="s">
        <v>21871</v>
      </c>
      <c r="G5066" s="45" t="s">
        <v>17045</v>
      </c>
      <c r="H5066" s="55" t="s">
        <v>17046</v>
      </c>
      <c r="I5066" s="15" t="s">
        <v>404</v>
      </c>
    </row>
    <row r="5067" spans="1:9" ht="51.75" customHeight="1" x14ac:dyDescent="0.35">
      <c r="A5067" s="15" t="s">
        <v>35544</v>
      </c>
      <c r="B5067" s="15" t="s">
        <v>35713</v>
      </c>
      <c r="C5067" s="15" t="s">
        <v>21892</v>
      </c>
      <c r="D5067" s="31">
        <v>44053</v>
      </c>
      <c r="E5067" s="15" t="s">
        <v>35714</v>
      </c>
      <c r="F5067" s="87" t="s">
        <v>21871</v>
      </c>
      <c r="G5067" s="45" t="s">
        <v>16783</v>
      </c>
      <c r="H5067" s="55" t="s">
        <v>16784</v>
      </c>
      <c r="I5067" s="15" t="s">
        <v>404</v>
      </c>
    </row>
    <row r="5068" spans="1:9" ht="51.75" customHeight="1" x14ac:dyDescent="0.35">
      <c r="A5068" s="15" t="s">
        <v>25905</v>
      </c>
      <c r="B5068" s="15" t="s">
        <v>35715</v>
      </c>
      <c r="C5068" s="15" t="s">
        <v>21892</v>
      </c>
      <c r="D5068" s="31">
        <v>44025</v>
      </c>
      <c r="E5068" s="15" t="s">
        <v>35716</v>
      </c>
      <c r="F5068" s="87" t="s">
        <v>21871</v>
      </c>
      <c r="G5068" s="45" t="s">
        <v>17226</v>
      </c>
      <c r="H5068" s="55" t="s">
        <v>17227</v>
      </c>
      <c r="I5068" s="15" t="s">
        <v>404</v>
      </c>
    </row>
    <row r="5069" spans="1:9" ht="51.75" customHeight="1" x14ac:dyDescent="0.35">
      <c r="A5069" s="15" t="s">
        <v>34170</v>
      </c>
      <c r="B5069" s="15" t="s">
        <v>35717</v>
      </c>
      <c r="C5069" s="15" t="s">
        <v>21892</v>
      </c>
      <c r="D5069" s="31">
        <v>44085</v>
      </c>
      <c r="E5069" s="15" t="s">
        <v>35718</v>
      </c>
      <c r="F5069" s="87" t="s">
        <v>21871</v>
      </c>
      <c r="G5069" s="45" t="s">
        <v>17413</v>
      </c>
      <c r="H5069" s="55" t="s">
        <v>17414</v>
      </c>
      <c r="I5069" s="15" t="s">
        <v>404</v>
      </c>
    </row>
    <row r="5070" spans="1:9" ht="51.75" customHeight="1" x14ac:dyDescent="0.35">
      <c r="A5070" s="15" t="s">
        <v>35719</v>
      </c>
      <c r="B5070" s="15" t="s">
        <v>35720</v>
      </c>
      <c r="C5070" s="15" t="s">
        <v>21892</v>
      </c>
      <c r="D5070" s="31">
        <v>44113</v>
      </c>
      <c r="E5070" s="15" t="s">
        <v>35721</v>
      </c>
      <c r="F5070" s="87" t="s">
        <v>21871</v>
      </c>
      <c r="G5070" s="45" t="s">
        <v>17656</v>
      </c>
      <c r="H5070" s="55" t="s">
        <v>17657</v>
      </c>
      <c r="I5070" s="15" t="s">
        <v>404</v>
      </c>
    </row>
    <row r="5071" spans="1:9" ht="51.75" customHeight="1" x14ac:dyDescent="0.35">
      <c r="A5071" s="15" t="s">
        <v>35722</v>
      </c>
      <c r="B5071" s="15" t="s">
        <v>35723</v>
      </c>
      <c r="C5071" s="15" t="s">
        <v>21896</v>
      </c>
      <c r="D5071" s="31">
        <v>44113</v>
      </c>
      <c r="E5071" s="15" t="s">
        <v>35724</v>
      </c>
      <c r="F5071" s="87" t="s">
        <v>21871</v>
      </c>
      <c r="G5071" s="45" t="s">
        <v>17656</v>
      </c>
      <c r="H5071" s="55" t="s">
        <v>17657</v>
      </c>
      <c r="I5071" s="15" t="s">
        <v>404</v>
      </c>
    </row>
    <row r="5072" spans="1:9" ht="51.75" customHeight="1" x14ac:dyDescent="0.35">
      <c r="A5072" s="15" t="s">
        <v>35725</v>
      </c>
      <c r="B5072" s="15" t="s">
        <v>35726</v>
      </c>
      <c r="C5072" s="15" t="s">
        <v>21892</v>
      </c>
      <c r="D5072" s="31">
        <v>44134</v>
      </c>
      <c r="E5072" s="15" t="s">
        <v>35727</v>
      </c>
      <c r="F5072" s="87" t="s">
        <v>21871</v>
      </c>
      <c r="G5072" s="45" t="s">
        <v>17735</v>
      </c>
      <c r="H5072" s="55" t="s">
        <v>35728</v>
      </c>
      <c r="I5072" s="15" t="s">
        <v>404</v>
      </c>
    </row>
    <row r="5073" spans="1:9" ht="51.75" customHeight="1" x14ac:dyDescent="0.35">
      <c r="A5073" s="15"/>
      <c r="B5073" s="15" t="s">
        <v>35729</v>
      </c>
      <c r="C5073" s="15" t="s">
        <v>21892</v>
      </c>
      <c r="D5073" s="28">
        <v>44235</v>
      </c>
      <c r="E5073" s="15" t="s">
        <v>35730</v>
      </c>
      <c r="F5073" s="87" t="s">
        <v>21871</v>
      </c>
      <c r="G5073" s="27" t="s">
        <v>17419</v>
      </c>
      <c r="H5073" s="54" t="s">
        <v>17420</v>
      </c>
      <c r="I5073" s="15" t="s">
        <v>404</v>
      </c>
    </row>
    <row r="5074" spans="1:9" ht="51.75" customHeight="1" x14ac:dyDescent="0.35">
      <c r="A5074" s="15"/>
      <c r="B5074" s="15" t="s">
        <v>35731</v>
      </c>
      <c r="C5074" s="15" t="s">
        <v>21896</v>
      </c>
      <c r="D5074" s="28">
        <v>44235</v>
      </c>
      <c r="E5074" s="15" t="s">
        <v>35732</v>
      </c>
      <c r="F5074" s="87" t="s">
        <v>21871</v>
      </c>
      <c r="G5074" s="27" t="s">
        <v>17419</v>
      </c>
      <c r="H5074" s="54" t="s">
        <v>17420</v>
      </c>
      <c r="I5074" s="15" t="s">
        <v>404</v>
      </c>
    </row>
    <row r="5075" spans="1:9" ht="51.75" customHeight="1" x14ac:dyDescent="0.35">
      <c r="A5075" s="15"/>
      <c r="B5075" s="15" t="s">
        <v>35733</v>
      </c>
      <c r="C5075" s="15" t="s">
        <v>24243</v>
      </c>
      <c r="D5075" s="28">
        <v>44235</v>
      </c>
      <c r="E5075" s="15" t="s">
        <v>35734</v>
      </c>
      <c r="F5075" s="87" t="s">
        <v>21871</v>
      </c>
      <c r="G5075" s="45" t="s">
        <v>17419</v>
      </c>
      <c r="H5075" s="54" t="s">
        <v>17420</v>
      </c>
      <c r="I5075" s="15" t="s">
        <v>404</v>
      </c>
    </row>
    <row r="5076" spans="1:9" ht="51.75" customHeight="1" x14ac:dyDescent="0.35">
      <c r="A5076" s="15"/>
      <c r="B5076" s="15" t="s">
        <v>35735</v>
      </c>
      <c r="C5076" s="15" t="s">
        <v>21892</v>
      </c>
      <c r="D5076" s="28">
        <v>44235</v>
      </c>
      <c r="E5076" s="15" t="s">
        <v>35736</v>
      </c>
      <c r="F5076" s="87" t="s">
        <v>21871</v>
      </c>
      <c r="G5076" s="45" t="s">
        <v>16644</v>
      </c>
      <c r="H5076" s="55" t="s">
        <v>16645</v>
      </c>
      <c r="I5076" s="15" t="s">
        <v>404</v>
      </c>
    </row>
    <row r="5077" spans="1:9" ht="51.75" customHeight="1" x14ac:dyDescent="0.35">
      <c r="A5077" s="15"/>
      <c r="B5077" s="15" t="s">
        <v>35737</v>
      </c>
      <c r="C5077" s="15" t="s">
        <v>21896</v>
      </c>
      <c r="D5077" s="28">
        <v>44235</v>
      </c>
      <c r="E5077" s="15" t="s">
        <v>35738</v>
      </c>
      <c r="F5077" s="87" t="s">
        <v>21871</v>
      </c>
      <c r="G5077" s="45" t="s">
        <v>16644</v>
      </c>
      <c r="H5077" s="55" t="s">
        <v>16645</v>
      </c>
      <c r="I5077" s="15" t="s">
        <v>404</v>
      </c>
    </row>
    <row r="5078" spans="1:9" ht="51.75" customHeight="1" x14ac:dyDescent="0.35">
      <c r="A5078" s="15"/>
      <c r="B5078" s="15" t="s">
        <v>35739</v>
      </c>
      <c r="C5078" s="15" t="s">
        <v>21892</v>
      </c>
      <c r="D5078" s="28">
        <v>44242</v>
      </c>
      <c r="E5078" s="15" t="s">
        <v>35740</v>
      </c>
      <c r="F5078" s="87" t="s">
        <v>21871</v>
      </c>
      <c r="G5078" s="45" t="s">
        <v>15952</v>
      </c>
      <c r="H5078" s="55" t="s">
        <v>15953</v>
      </c>
      <c r="I5078" s="15" t="s">
        <v>404</v>
      </c>
    </row>
    <row r="5079" spans="1:9" ht="51.75" customHeight="1" x14ac:dyDescent="0.35">
      <c r="A5079" s="15"/>
      <c r="B5079" s="15" t="s">
        <v>35741</v>
      </c>
      <c r="C5079" s="15" t="s">
        <v>21892</v>
      </c>
      <c r="D5079" s="28">
        <v>44344</v>
      </c>
      <c r="E5079" s="5" t="s">
        <v>35742</v>
      </c>
      <c r="F5079" s="87" t="s">
        <v>21871</v>
      </c>
      <c r="G5079" s="45" t="s">
        <v>17710</v>
      </c>
      <c r="H5079" s="54" t="s">
        <v>17711</v>
      </c>
      <c r="I5079" s="5" t="s">
        <v>404</v>
      </c>
    </row>
    <row r="5080" spans="1:9" ht="51.75" customHeight="1" x14ac:dyDescent="0.35">
      <c r="A5080" s="15"/>
      <c r="B5080" s="15" t="s">
        <v>35743</v>
      </c>
      <c r="C5080" s="15" t="s">
        <v>21892</v>
      </c>
      <c r="D5080" s="28">
        <v>44204</v>
      </c>
      <c r="E5080" s="15" t="s">
        <v>35744</v>
      </c>
      <c r="F5080" s="87" t="s">
        <v>21871</v>
      </c>
      <c r="G5080" s="45" t="s">
        <v>17070</v>
      </c>
      <c r="H5080" s="54" t="s">
        <v>17071</v>
      </c>
      <c r="I5080" s="5" t="s">
        <v>404</v>
      </c>
    </row>
    <row r="5081" spans="1:9" ht="51.75" customHeight="1" x14ac:dyDescent="0.35">
      <c r="A5081" s="15"/>
      <c r="B5081" s="15" t="s">
        <v>35745</v>
      </c>
      <c r="C5081" s="15" t="s">
        <v>21896</v>
      </c>
      <c r="D5081" s="28">
        <v>44216</v>
      </c>
      <c r="E5081" s="15" t="s">
        <v>35746</v>
      </c>
      <c r="F5081" s="87" t="s">
        <v>21871</v>
      </c>
      <c r="G5081" s="45" t="s">
        <v>17886</v>
      </c>
      <c r="H5081" s="54" t="s">
        <v>17887</v>
      </c>
      <c r="I5081" s="5" t="s">
        <v>404</v>
      </c>
    </row>
    <row r="5082" spans="1:9" ht="51.75" customHeight="1" x14ac:dyDescent="0.35">
      <c r="A5082" s="15"/>
      <c r="B5082" s="15" t="str">
        <f>CONCATENATE(G5082,"/",COUNTIF($G$2:G5082,G5082))</f>
        <v>CZ-6308/1</v>
      </c>
      <c r="C5082" s="15" t="s">
        <v>21892</v>
      </c>
      <c r="D5082" s="28">
        <v>44392</v>
      </c>
      <c r="E5082" s="15" t="s">
        <v>35747</v>
      </c>
      <c r="F5082" s="87" t="s">
        <v>21871</v>
      </c>
      <c r="G5082" s="45" t="s">
        <v>17963</v>
      </c>
      <c r="H5082" s="54" t="s">
        <v>17964</v>
      </c>
      <c r="I5082" s="5" t="s">
        <v>404</v>
      </c>
    </row>
    <row r="5083" spans="1:9" ht="51.75" customHeight="1" x14ac:dyDescent="0.35">
      <c r="A5083" s="15"/>
      <c r="B5083" s="15" t="str">
        <f>CONCATENATE(G5083,"/",COUNTIF($G$2:G5083,G5083))</f>
        <v>CZ-6344/1</v>
      </c>
      <c r="C5083" s="15" t="s">
        <v>21892</v>
      </c>
      <c r="D5083" s="28">
        <v>44407</v>
      </c>
      <c r="E5083" s="15" t="s">
        <v>35748</v>
      </c>
      <c r="F5083" s="87" t="s">
        <v>21871</v>
      </c>
      <c r="G5083" s="45" t="s">
        <v>18163</v>
      </c>
      <c r="H5083" s="54" t="s">
        <v>18164</v>
      </c>
      <c r="I5083" s="5" t="s">
        <v>404</v>
      </c>
    </row>
    <row r="5084" spans="1:9" ht="51.75" customHeight="1" x14ac:dyDescent="0.35">
      <c r="A5084" s="15"/>
      <c r="B5084" s="15" t="str">
        <f>CONCATENATE(G5084,"/",COUNTIF($G$2:G5084,G5084))</f>
        <v>CZ-5953/1</v>
      </c>
      <c r="C5084" s="15" t="s">
        <v>21892</v>
      </c>
      <c r="D5084" s="28">
        <v>44412</v>
      </c>
      <c r="E5084" s="15" t="s">
        <v>35749</v>
      </c>
      <c r="F5084" s="87" t="s">
        <v>21871</v>
      </c>
      <c r="G5084" s="45" t="s">
        <v>16244</v>
      </c>
      <c r="H5084" s="54" t="s">
        <v>16245</v>
      </c>
      <c r="I5084" s="5" t="s">
        <v>404</v>
      </c>
    </row>
    <row r="5085" spans="1:9" ht="51.75" customHeight="1" x14ac:dyDescent="0.35">
      <c r="A5085" s="15"/>
      <c r="B5085" s="15" t="s">
        <v>35750</v>
      </c>
      <c r="C5085" s="15" t="s">
        <v>21892</v>
      </c>
      <c r="D5085" s="28">
        <v>44246</v>
      </c>
      <c r="E5085" s="15" t="s">
        <v>35751</v>
      </c>
      <c r="F5085" s="87" t="s">
        <v>21871</v>
      </c>
      <c r="G5085" s="45" t="s">
        <v>17066</v>
      </c>
      <c r="H5085" s="54" t="s">
        <v>17067</v>
      </c>
      <c r="I5085" s="15" t="s">
        <v>35752</v>
      </c>
    </row>
    <row r="5086" spans="1:9" ht="51.75" customHeight="1" x14ac:dyDescent="0.35">
      <c r="A5086" s="15"/>
      <c r="B5086" s="15" t="s">
        <v>35753</v>
      </c>
      <c r="C5086" s="15" t="s">
        <v>21892</v>
      </c>
      <c r="D5086" s="28">
        <v>44249</v>
      </c>
      <c r="E5086" s="15" t="s">
        <v>35754</v>
      </c>
      <c r="F5086" s="87" t="s">
        <v>21871</v>
      </c>
      <c r="G5086" s="45" t="s">
        <v>17875</v>
      </c>
      <c r="H5086" s="54" t="s">
        <v>17876</v>
      </c>
      <c r="I5086" s="15" t="s">
        <v>35752</v>
      </c>
    </row>
    <row r="5087" spans="1:9" ht="51.75" customHeight="1" x14ac:dyDescent="0.35">
      <c r="A5087" s="15"/>
      <c r="B5087" s="15" t="s">
        <v>35755</v>
      </c>
      <c r="C5087" s="15" t="s">
        <v>21892</v>
      </c>
      <c r="D5087" s="28">
        <v>44260</v>
      </c>
      <c r="E5087" s="15" t="s">
        <v>35756</v>
      </c>
      <c r="F5087" s="87" t="s">
        <v>21871</v>
      </c>
      <c r="G5087" s="27" t="s">
        <v>17799</v>
      </c>
      <c r="H5087" s="54" t="s">
        <v>17800</v>
      </c>
      <c r="I5087" s="15" t="s">
        <v>35752</v>
      </c>
    </row>
    <row r="5088" spans="1:9" ht="51.75" customHeight="1" x14ac:dyDescent="0.35">
      <c r="A5088" s="15"/>
      <c r="B5088" s="15" t="s">
        <v>35757</v>
      </c>
      <c r="C5088" s="15" t="s">
        <v>21892</v>
      </c>
      <c r="D5088" s="28">
        <v>44270</v>
      </c>
      <c r="E5088" s="15" t="s">
        <v>35758</v>
      </c>
      <c r="F5088" s="87" t="s">
        <v>21871</v>
      </c>
      <c r="G5088" s="45" t="s">
        <v>17549</v>
      </c>
      <c r="H5088" s="54" t="s">
        <v>17550</v>
      </c>
      <c r="I5088" s="15" t="s">
        <v>35752</v>
      </c>
    </row>
    <row r="5089" spans="1:9" ht="51.75" customHeight="1" x14ac:dyDescent="0.35">
      <c r="A5089" s="15"/>
      <c r="B5089" s="15" t="s">
        <v>35759</v>
      </c>
      <c r="C5089" s="15" t="s">
        <v>21896</v>
      </c>
      <c r="D5089" s="28">
        <v>44270</v>
      </c>
      <c r="E5089" s="15" t="s">
        <v>35760</v>
      </c>
      <c r="F5089" s="87" t="s">
        <v>21871</v>
      </c>
      <c r="G5089" s="45" t="s">
        <v>17549</v>
      </c>
      <c r="H5089" s="54" t="s">
        <v>17550</v>
      </c>
      <c r="I5089" s="15" t="s">
        <v>35752</v>
      </c>
    </row>
    <row r="5090" spans="1:9" ht="51.75" customHeight="1" x14ac:dyDescent="0.35">
      <c r="A5090" s="15"/>
      <c r="B5090" s="15" t="s">
        <v>35761</v>
      </c>
      <c r="C5090" s="15" t="s">
        <v>21892</v>
      </c>
      <c r="D5090" s="28">
        <v>44307</v>
      </c>
      <c r="E5090" s="15" t="s">
        <v>35762</v>
      </c>
      <c r="F5090" s="87" t="s">
        <v>21871</v>
      </c>
      <c r="G5090" s="45" t="s">
        <v>17159</v>
      </c>
      <c r="H5090" s="54" t="s">
        <v>17160</v>
      </c>
      <c r="I5090" s="15" t="s">
        <v>35752</v>
      </c>
    </row>
    <row r="5091" spans="1:9" ht="51.75" customHeight="1" x14ac:dyDescent="0.35">
      <c r="A5091" s="15"/>
      <c r="B5091" s="15" t="s">
        <v>35763</v>
      </c>
      <c r="C5091" s="15" t="s">
        <v>21892</v>
      </c>
      <c r="D5091" s="28">
        <v>44309</v>
      </c>
      <c r="E5091" s="15" t="s">
        <v>35764</v>
      </c>
      <c r="F5091" s="87" t="s">
        <v>21871</v>
      </c>
      <c r="G5091" s="45" t="s">
        <v>17943</v>
      </c>
      <c r="H5091" s="54" t="s">
        <v>17944</v>
      </c>
      <c r="I5091" s="15" t="s">
        <v>35752</v>
      </c>
    </row>
    <row r="5092" spans="1:9" ht="51.75" customHeight="1" x14ac:dyDescent="0.35">
      <c r="A5092" s="15">
        <v>1</v>
      </c>
      <c r="B5092" s="15" t="s">
        <v>35765</v>
      </c>
      <c r="C5092" s="15" t="s">
        <v>35766</v>
      </c>
      <c r="D5092" s="31">
        <v>40821</v>
      </c>
      <c r="E5092" s="15" t="s">
        <v>35767</v>
      </c>
      <c r="F5092" s="87"/>
      <c r="G5092" s="45" t="s">
        <v>5259</v>
      </c>
      <c r="H5092" s="55" t="s">
        <v>5260</v>
      </c>
      <c r="I5092" s="15" t="s">
        <v>1919</v>
      </c>
    </row>
    <row r="5093" spans="1:9" ht="51.75" customHeight="1" x14ac:dyDescent="0.35">
      <c r="A5093" s="15">
        <v>2</v>
      </c>
      <c r="B5093" s="15" t="s">
        <v>35768</v>
      </c>
      <c r="C5093" s="15" t="s">
        <v>35769</v>
      </c>
      <c r="D5093" s="31">
        <v>40821</v>
      </c>
      <c r="E5093" s="15" t="s">
        <v>35770</v>
      </c>
      <c r="F5093" s="87"/>
      <c r="G5093" s="45" t="s">
        <v>5259</v>
      </c>
      <c r="H5093" s="55" t="s">
        <v>5260</v>
      </c>
      <c r="I5093" s="15" t="s">
        <v>1919</v>
      </c>
    </row>
    <row r="5094" spans="1:9" ht="51.75" customHeight="1" x14ac:dyDescent="0.35">
      <c r="A5094" s="15">
        <v>1</v>
      </c>
      <c r="B5094" s="15" t="s">
        <v>35771</v>
      </c>
      <c r="C5094" s="15" t="s">
        <v>35772</v>
      </c>
      <c r="D5094" s="31">
        <v>40746</v>
      </c>
      <c r="E5094" s="15" t="s">
        <v>35773</v>
      </c>
      <c r="F5094" s="87"/>
      <c r="G5094" s="45" t="s">
        <v>4993</v>
      </c>
      <c r="H5094" s="55" t="s">
        <v>4994</v>
      </c>
      <c r="I5094" s="15" t="s">
        <v>1919</v>
      </c>
    </row>
    <row r="5095" spans="1:9" ht="51.75" customHeight="1" x14ac:dyDescent="0.35">
      <c r="A5095" s="15">
        <v>2</v>
      </c>
      <c r="B5095" s="15" t="s">
        <v>35774</v>
      </c>
      <c r="C5095" s="15" t="s">
        <v>35775</v>
      </c>
      <c r="D5095" s="31">
        <v>40746</v>
      </c>
      <c r="E5095" s="15" t="s">
        <v>35776</v>
      </c>
      <c r="F5095" s="87"/>
      <c r="G5095" s="45" t="s">
        <v>4993</v>
      </c>
      <c r="H5095" s="55" t="s">
        <v>4994</v>
      </c>
      <c r="I5095" s="15" t="s">
        <v>1919</v>
      </c>
    </row>
    <row r="5096" spans="1:9" ht="51.75" customHeight="1" x14ac:dyDescent="0.35">
      <c r="A5096" s="15">
        <v>3</v>
      </c>
      <c r="B5096" s="15" t="s">
        <v>35777</v>
      </c>
      <c r="C5096" s="15" t="s">
        <v>35778</v>
      </c>
      <c r="D5096" s="31">
        <v>40746</v>
      </c>
      <c r="E5096" s="15" t="s">
        <v>35779</v>
      </c>
      <c r="F5096" s="87"/>
      <c r="G5096" s="45" t="s">
        <v>4993</v>
      </c>
      <c r="H5096" s="55" t="s">
        <v>4994</v>
      </c>
      <c r="I5096" s="15" t="s">
        <v>1919</v>
      </c>
    </row>
    <row r="5097" spans="1:9" ht="51.75" customHeight="1" x14ac:dyDescent="0.35">
      <c r="A5097" s="15">
        <v>4</v>
      </c>
      <c r="B5097" s="15" t="s">
        <v>35780</v>
      </c>
      <c r="C5097" s="15" t="s">
        <v>35781</v>
      </c>
      <c r="D5097" s="31">
        <v>40746</v>
      </c>
      <c r="E5097" s="15" t="s">
        <v>35782</v>
      </c>
      <c r="F5097" s="87"/>
      <c r="G5097" s="45" t="s">
        <v>4993</v>
      </c>
      <c r="H5097" s="55" t="s">
        <v>4994</v>
      </c>
      <c r="I5097" s="15" t="s">
        <v>1919</v>
      </c>
    </row>
    <row r="5098" spans="1:9" ht="51.75" customHeight="1" x14ac:dyDescent="0.35">
      <c r="A5098" s="15">
        <v>1</v>
      </c>
      <c r="B5098" s="15" t="s">
        <v>35783</v>
      </c>
      <c r="C5098" s="15" t="s">
        <v>35784</v>
      </c>
      <c r="D5098" s="31">
        <v>40725</v>
      </c>
      <c r="E5098" s="15" t="s">
        <v>35785</v>
      </c>
      <c r="F5098" s="87"/>
      <c r="G5098" s="45" t="s">
        <v>5015</v>
      </c>
      <c r="H5098" s="55" t="s">
        <v>5016</v>
      </c>
      <c r="I5098" s="15" t="s">
        <v>1919</v>
      </c>
    </row>
    <row r="5099" spans="1:9" ht="51.75" customHeight="1" x14ac:dyDescent="0.35">
      <c r="A5099" s="15">
        <v>2</v>
      </c>
      <c r="B5099" s="15" t="s">
        <v>35786</v>
      </c>
      <c r="C5099" s="15" t="s">
        <v>35787</v>
      </c>
      <c r="D5099" s="31">
        <v>40725</v>
      </c>
      <c r="E5099" s="15" t="s">
        <v>35788</v>
      </c>
      <c r="F5099" s="87"/>
      <c r="G5099" s="45" t="s">
        <v>5015</v>
      </c>
      <c r="H5099" s="55" t="s">
        <v>5016</v>
      </c>
      <c r="I5099" s="15" t="s">
        <v>1919</v>
      </c>
    </row>
    <row r="5100" spans="1:9" ht="51.75" customHeight="1" x14ac:dyDescent="0.35">
      <c r="A5100" s="15">
        <v>1</v>
      </c>
      <c r="B5100" s="15" t="s">
        <v>35789</v>
      </c>
      <c r="C5100" s="15" t="s">
        <v>35790</v>
      </c>
      <c r="D5100" s="31">
        <v>40680</v>
      </c>
      <c r="E5100" s="15" t="s">
        <v>35791</v>
      </c>
      <c r="F5100" s="87"/>
      <c r="G5100" s="45" t="s">
        <v>4844</v>
      </c>
      <c r="H5100" s="55" t="s">
        <v>4845</v>
      </c>
      <c r="I5100" s="15" t="s">
        <v>1919</v>
      </c>
    </row>
    <row r="5101" spans="1:9" ht="51.75" customHeight="1" x14ac:dyDescent="0.35">
      <c r="A5101" s="15">
        <v>2</v>
      </c>
      <c r="B5101" s="15" t="s">
        <v>35792</v>
      </c>
      <c r="C5101" s="15" t="s">
        <v>35793</v>
      </c>
      <c r="D5101" s="31">
        <v>40680</v>
      </c>
      <c r="E5101" s="15" t="s">
        <v>35794</v>
      </c>
      <c r="F5101" s="87"/>
      <c r="G5101" s="45" t="s">
        <v>4844</v>
      </c>
      <c r="H5101" s="55" t="s">
        <v>4845</v>
      </c>
      <c r="I5101" s="15" t="s">
        <v>1919</v>
      </c>
    </row>
    <row r="5102" spans="1:9" ht="51.75" customHeight="1" x14ac:dyDescent="0.35">
      <c r="A5102" s="15">
        <v>3</v>
      </c>
      <c r="B5102" s="15" t="s">
        <v>35795</v>
      </c>
      <c r="C5102" s="15" t="s">
        <v>35796</v>
      </c>
      <c r="D5102" s="31">
        <v>40680</v>
      </c>
      <c r="E5102" s="15" t="s">
        <v>35797</v>
      </c>
      <c r="F5102" s="87"/>
      <c r="G5102" s="45" t="s">
        <v>4844</v>
      </c>
      <c r="H5102" s="55" t="s">
        <v>4845</v>
      </c>
      <c r="I5102" s="15" t="s">
        <v>1919</v>
      </c>
    </row>
    <row r="5103" spans="1:9" ht="51.75" customHeight="1" x14ac:dyDescent="0.35">
      <c r="A5103" s="15">
        <v>1</v>
      </c>
      <c r="B5103" s="15" t="s">
        <v>35798</v>
      </c>
      <c r="C5103" s="15" t="s">
        <v>35799</v>
      </c>
      <c r="D5103" s="31">
        <v>40568</v>
      </c>
      <c r="E5103" s="15" t="s">
        <v>35800</v>
      </c>
      <c r="F5103" s="87"/>
      <c r="G5103" s="45" t="s">
        <v>4469</v>
      </c>
      <c r="H5103" s="55" t="s">
        <v>4470</v>
      </c>
      <c r="I5103" s="15" t="s">
        <v>1919</v>
      </c>
    </row>
    <row r="5104" spans="1:9" ht="51.75" customHeight="1" x14ac:dyDescent="0.35">
      <c r="A5104" s="15">
        <v>2</v>
      </c>
      <c r="B5104" s="15" t="s">
        <v>35801</v>
      </c>
      <c r="C5104" s="15" t="s">
        <v>35802</v>
      </c>
      <c r="D5104" s="31">
        <v>40568</v>
      </c>
      <c r="E5104" s="15" t="s">
        <v>35803</v>
      </c>
      <c r="F5104" s="87"/>
      <c r="G5104" s="45" t="s">
        <v>4469</v>
      </c>
      <c r="H5104" s="55" t="s">
        <v>4470</v>
      </c>
      <c r="I5104" s="15" t="s">
        <v>1919</v>
      </c>
    </row>
    <row r="5105" spans="1:9" ht="51.75" customHeight="1" x14ac:dyDescent="0.35">
      <c r="A5105" s="15">
        <v>1</v>
      </c>
      <c r="B5105" s="15" t="s">
        <v>35804</v>
      </c>
      <c r="C5105" s="15" t="s">
        <v>35805</v>
      </c>
      <c r="D5105" s="31">
        <v>40504</v>
      </c>
      <c r="E5105" s="15" t="s">
        <v>35805</v>
      </c>
      <c r="F5105" s="87"/>
      <c r="G5105" s="45" t="s">
        <v>4276</v>
      </c>
      <c r="H5105" s="55" t="s">
        <v>4277</v>
      </c>
      <c r="I5105" s="15" t="s">
        <v>1919</v>
      </c>
    </row>
    <row r="5106" spans="1:9" ht="51.75" customHeight="1" x14ac:dyDescent="0.35">
      <c r="A5106" s="15">
        <v>2</v>
      </c>
      <c r="B5106" s="15" t="s">
        <v>35806</v>
      </c>
      <c r="C5106" s="15" t="s">
        <v>35807</v>
      </c>
      <c r="D5106" s="31">
        <v>40504</v>
      </c>
      <c r="E5106" s="15" t="s">
        <v>35808</v>
      </c>
      <c r="F5106" s="87"/>
      <c r="G5106" s="45" t="s">
        <v>4276</v>
      </c>
      <c r="H5106" s="55" t="s">
        <v>4277</v>
      </c>
      <c r="I5106" s="15" t="s">
        <v>1919</v>
      </c>
    </row>
    <row r="5107" spans="1:9" ht="51.75" customHeight="1" x14ac:dyDescent="0.35">
      <c r="A5107" s="15">
        <v>3</v>
      </c>
      <c r="B5107" s="15" t="s">
        <v>35809</v>
      </c>
      <c r="C5107" s="15" t="s">
        <v>35810</v>
      </c>
      <c r="D5107" s="31">
        <v>40504</v>
      </c>
      <c r="E5107" s="15" t="s">
        <v>35810</v>
      </c>
      <c r="F5107" s="87"/>
      <c r="G5107" s="45" t="s">
        <v>4276</v>
      </c>
      <c r="H5107" s="55" t="s">
        <v>4277</v>
      </c>
      <c r="I5107" s="15" t="s">
        <v>1919</v>
      </c>
    </row>
    <row r="5108" spans="1:9" ht="51.75" customHeight="1" x14ac:dyDescent="0.35">
      <c r="A5108" s="15">
        <v>4</v>
      </c>
      <c r="B5108" s="15" t="s">
        <v>35811</v>
      </c>
      <c r="C5108" s="15" t="s">
        <v>35812</v>
      </c>
      <c r="D5108" s="31">
        <v>40504</v>
      </c>
      <c r="E5108" s="15" t="s">
        <v>35813</v>
      </c>
      <c r="F5108" s="87"/>
      <c r="G5108" s="45" t="s">
        <v>4276</v>
      </c>
      <c r="H5108" s="55" t="s">
        <v>4277</v>
      </c>
      <c r="I5108" s="15" t="s">
        <v>1919</v>
      </c>
    </row>
    <row r="5109" spans="1:9" ht="51.75" customHeight="1" x14ac:dyDescent="0.35">
      <c r="A5109" s="15">
        <v>5</v>
      </c>
      <c r="B5109" s="15" t="s">
        <v>35814</v>
      </c>
      <c r="C5109" s="15" t="s">
        <v>35815</v>
      </c>
      <c r="D5109" s="31">
        <v>40504</v>
      </c>
      <c r="E5109" s="15" t="s">
        <v>35816</v>
      </c>
      <c r="F5109" s="87"/>
      <c r="G5109" s="45" t="s">
        <v>4276</v>
      </c>
      <c r="H5109" s="55" t="s">
        <v>4277</v>
      </c>
      <c r="I5109" s="15" t="s">
        <v>1919</v>
      </c>
    </row>
    <row r="5110" spans="1:9" ht="51.75" customHeight="1" x14ac:dyDescent="0.35">
      <c r="A5110" s="15">
        <v>6</v>
      </c>
      <c r="B5110" s="15" t="s">
        <v>35817</v>
      </c>
      <c r="C5110" s="15" t="s">
        <v>35818</v>
      </c>
      <c r="D5110" s="31">
        <v>40504</v>
      </c>
      <c r="E5110" s="15" t="s">
        <v>35819</v>
      </c>
      <c r="F5110" s="87"/>
      <c r="G5110" s="45" t="s">
        <v>4276</v>
      </c>
      <c r="H5110" s="55" t="s">
        <v>4277</v>
      </c>
      <c r="I5110" s="15" t="s">
        <v>1919</v>
      </c>
    </row>
    <row r="5111" spans="1:9" ht="51.75" customHeight="1" x14ac:dyDescent="0.35">
      <c r="A5111" s="15">
        <v>1</v>
      </c>
      <c r="B5111" s="15" t="s">
        <v>35820</v>
      </c>
      <c r="C5111" s="15" t="s">
        <v>35821</v>
      </c>
      <c r="D5111" s="31">
        <v>40414</v>
      </c>
      <c r="E5111" s="15" t="s">
        <v>35822</v>
      </c>
      <c r="F5111" s="87"/>
      <c r="G5111" s="45" t="s">
        <v>4060</v>
      </c>
      <c r="H5111" s="55" t="s">
        <v>4061</v>
      </c>
      <c r="I5111" s="15" t="s">
        <v>1919</v>
      </c>
    </row>
    <row r="5112" spans="1:9" ht="51.75" customHeight="1" x14ac:dyDescent="0.35">
      <c r="A5112" s="15">
        <v>1</v>
      </c>
      <c r="B5112" s="15" t="s">
        <v>35823</v>
      </c>
      <c r="C5112" s="15" t="s">
        <v>35824</v>
      </c>
      <c r="D5112" s="31">
        <v>40413</v>
      </c>
      <c r="E5112" s="15" t="s">
        <v>35825</v>
      </c>
      <c r="F5112" s="87"/>
      <c r="G5112" s="45" t="s">
        <v>4001</v>
      </c>
      <c r="H5112" s="55" t="s">
        <v>4002</v>
      </c>
      <c r="I5112" s="15" t="s">
        <v>1919</v>
      </c>
    </row>
    <row r="5113" spans="1:9" ht="51.75" customHeight="1" x14ac:dyDescent="0.35">
      <c r="A5113" s="15">
        <v>2</v>
      </c>
      <c r="B5113" s="15" t="s">
        <v>35826</v>
      </c>
      <c r="C5113" s="15" t="s">
        <v>35827</v>
      </c>
      <c r="D5113" s="31">
        <v>40413</v>
      </c>
      <c r="E5113" s="15" t="s">
        <v>35828</v>
      </c>
      <c r="F5113" s="87"/>
      <c r="G5113" s="45" t="s">
        <v>4001</v>
      </c>
      <c r="H5113" s="55" t="s">
        <v>4002</v>
      </c>
      <c r="I5113" s="15" t="s">
        <v>1919</v>
      </c>
    </row>
    <row r="5114" spans="1:9" ht="51.75" customHeight="1" x14ac:dyDescent="0.35">
      <c r="A5114" s="15">
        <v>3</v>
      </c>
      <c r="B5114" s="15" t="s">
        <v>35829</v>
      </c>
      <c r="C5114" s="15" t="s">
        <v>35830</v>
      </c>
      <c r="D5114" s="31">
        <v>40413</v>
      </c>
      <c r="E5114" s="15" t="s">
        <v>35831</v>
      </c>
      <c r="F5114" s="87"/>
      <c r="G5114" s="45" t="s">
        <v>4001</v>
      </c>
      <c r="H5114" s="55" t="s">
        <v>4002</v>
      </c>
      <c r="I5114" s="15" t="s">
        <v>1919</v>
      </c>
    </row>
    <row r="5115" spans="1:9" ht="51.75" customHeight="1" x14ac:dyDescent="0.35">
      <c r="A5115" s="15">
        <v>4</v>
      </c>
      <c r="B5115" s="15" t="s">
        <v>35832</v>
      </c>
      <c r="C5115" s="15" t="s">
        <v>35833</v>
      </c>
      <c r="D5115" s="31">
        <v>40413</v>
      </c>
      <c r="E5115" s="15" t="s">
        <v>35834</v>
      </c>
      <c r="F5115" s="87"/>
      <c r="G5115" s="45" t="s">
        <v>4001</v>
      </c>
      <c r="H5115" s="55" t="s">
        <v>4002</v>
      </c>
      <c r="I5115" s="15" t="s">
        <v>1919</v>
      </c>
    </row>
    <row r="5116" spans="1:9" ht="51.75" customHeight="1" x14ac:dyDescent="0.35">
      <c r="A5116" s="15">
        <v>5</v>
      </c>
      <c r="B5116" s="15" t="s">
        <v>35835</v>
      </c>
      <c r="C5116" s="15" t="s">
        <v>35836</v>
      </c>
      <c r="D5116" s="31">
        <v>40413</v>
      </c>
      <c r="E5116" s="15" t="s">
        <v>35837</v>
      </c>
      <c r="F5116" s="87"/>
      <c r="G5116" s="45" t="s">
        <v>4001</v>
      </c>
      <c r="H5116" s="55" t="s">
        <v>4002</v>
      </c>
      <c r="I5116" s="15" t="s">
        <v>1919</v>
      </c>
    </row>
    <row r="5117" spans="1:9" ht="51.75" customHeight="1" x14ac:dyDescent="0.35">
      <c r="A5117" s="15">
        <v>6</v>
      </c>
      <c r="B5117" s="15" t="s">
        <v>35838</v>
      </c>
      <c r="C5117" s="15" t="s">
        <v>35839</v>
      </c>
      <c r="D5117" s="31">
        <v>40413</v>
      </c>
      <c r="E5117" s="15" t="s">
        <v>35840</v>
      </c>
      <c r="F5117" s="87"/>
      <c r="G5117" s="45" t="s">
        <v>4001</v>
      </c>
      <c r="H5117" s="55" t="s">
        <v>4002</v>
      </c>
      <c r="I5117" s="15" t="s">
        <v>1919</v>
      </c>
    </row>
    <row r="5118" spans="1:9" ht="51.75" customHeight="1" x14ac:dyDescent="0.35">
      <c r="A5118" s="15">
        <v>7</v>
      </c>
      <c r="B5118" s="15" t="s">
        <v>35841</v>
      </c>
      <c r="C5118" s="15" t="s">
        <v>35842</v>
      </c>
      <c r="D5118" s="31">
        <v>40413</v>
      </c>
      <c r="E5118" s="15" t="s">
        <v>35843</v>
      </c>
      <c r="F5118" s="87"/>
      <c r="G5118" s="45" t="s">
        <v>4001</v>
      </c>
      <c r="H5118" s="55" t="s">
        <v>4002</v>
      </c>
      <c r="I5118" s="15" t="s">
        <v>1919</v>
      </c>
    </row>
    <row r="5119" spans="1:9" ht="51.75" customHeight="1" x14ac:dyDescent="0.35">
      <c r="A5119" s="15">
        <v>8</v>
      </c>
      <c r="B5119" s="15" t="s">
        <v>35844</v>
      </c>
      <c r="C5119" s="15" t="s">
        <v>35845</v>
      </c>
      <c r="D5119" s="31">
        <v>40413</v>
      </c>
      <c r="E5119" s="15" t="s">
        <v>35846</v>
      </c>
      <c r="F5119" s="87"/>
      <c r="G5119" s="45" t="s">
        <v>4001</v>
      </c>
      <c r="H5119" s="55" t="s">
        <v>4002</v>
      </c>
      <c r="I5119" s="15" t="s">
        <v>1919</v>
      </c>
    </row>
    <row r="5120" spans="1:9" ht="51.75" customHeight="1" x14ac:dyDescent="0.35">
      <c r="A5120" s="15">
        <v>9</v>
      </c>
      <c r="B5120" s="15" t="s">
        <v>35847</v>
      </c>
      <c r="C5120" s="15" t="s">
        <v>35848</v>
      </c>
      <c r="D5120" s="31">
        <v>40413</v>
      </c>
      <c r="E5120" s="15" t="s">
        <v>35849</v>
      </c>
      <c r="F5120" s="87"/>
      <c r="G5120" s="45" t="s">
        <v>4001</v>
      </c>
      <c r="H5120" s="55" t="s">
        <v>4002</v>
      </c>
      <c r="I5120" s="15" t="s">
        <v>1919</v>
      </c>
    </row>
    <row r="5121" spans="1:9" ht="51.75" customHeight="1" x14ac:dyDescent="0.35">
      <c r="A5121" s="15">
        <v>10</v>
      </c>
      <c r="B5121" s="15" t="s">
        <v>35850</v>
      </c>
      <c r="C5121" s="15" t="s">
        <v>35851</v>
      </c>
      <c r="D5121" s="31">
        <v>40413</v>
      </c>
      <c r="E5121" s="15" t="s">
        <v>35852</v>
      </c>
      <c r="F5121" s="87"/>
      <c r="G5121" s="45" t="s">
        <v>4001</v>
      </c>
      <c r="H5121" s="55" t="s">
        <v>4002</v>
      </c>
      <c r="I5121" s="15" t="s">
        <v>1919</v>
      </c>
    </row>
    <row r="5122" spans="1:9" ht="51.75" customHeight="1" x14ac:dyDescent="0.35">
      <c r="A5122" s="15">
        <v>1</v>
      </c>
      <c r="B5122" s="15" t="s">
        <v>35853</v>
      </c>
      <c r="C5122" s="15" t="s">
        <v>35854</v>
      </c>
      <c r="D5122" s="31">
        <v>40353</v>
      </c>
      <c r="E5122" s="15" t="s">
        <v>35855</v>
      </c>
      <c r="F5122" s="87"/>
      <c r="G5122" s="45" t="s">
        <v>3909</v>
      </c>
      <c r="H5122" s="55" t="s">
        <v>3910</v>
      </c>
      <c r="I5122" s="15" t="s">
        <v>1919</v>
      </c>
    </row>
    <row r="5123" spans="1:9" ht="51.75" customHeight="1" x14ac:dyDescent="0.35">
      <c r="A5123" s="15">
        <v>2</v>
      </c>
      <c r="B5123" s="15" t="s">
        <v>35856</v>
      </c>
      <c r="C5123" s="15" t="s">
        <v>35857</v>
      </c>
      <c r="D5123" s="31">
        <v>40353</v>
      </c>
      <c r="E5123" s="15" t="s">
        <v>35857</v>
      </c>
      <c r="F5123" s="87"/>
      <c r="G5123" s="45" t="s">
        <v>3909</v>
      </c>
      <c r="H5123" s="55" t="s">
        <v>3910</v>
      </c>
      <c r="I5123" s="15" t="s">
        <v>1919</v>
      </c>
    </row>
    <row r="5124" spans="1:9" ht="51.75" customHeight="1" x14ac:dyDescent="0.35">
      <c r="A5124" s="15">
        <v>1</v>
      </c>
      <c r="B5124" s="15" t="s">
        <v>35858</v>
      </c>
      <c r="C5124" s="15" t="s">
        <v>35859</v>
      </c>
      <c r="D5124" s="31">
        <v>40248</v>
      </c>
      <c r="E5124" s="15" t="s">
        <v>35860</v>
      </c>
      <c r="F5124" s="87"/>
      <c r="G5124" s="45" t="s">
        <v>3685</v>
      </c>
      <c r="H5124" s="55" t="s">
        <v>3686</v>
      </c>
      <c r="I5124" s="15" t="s">
        <v>1919</v>
      </c>
    </row>
    <row r="5125" spans="1:9" ht="51.75" customHeight="1" x14ac:dyDescent="0.35">
      <c r="A5125" s="15">
        <v>2</v>
      </c>
      <c r="B5125" s="15" t="s">
        <v>35861</v>
      </c>
      <c r="C5125" s="15" t="s">
        <v>35862</v>
      </c>
      <c r="D5125" s="31">
        <v>40248</v>
      </c>
      <c r="E5125" s="15" t="s">
        <v>35863</v>
      </c>
      <c r="F5125" s="87"/>
      <c r="G5125" s="45" t="s">
        <v>3685</v>
      </c>
      <c r="H5125" s="55" t="s">
        <v>3686</v>
      </c>
      <c r="I5125" s="15" t="s">
        <v>1919</v>
      </c>
    </row>
    <row r="5126" spans="1:9" ht="51.75" customHeight="1" x14ac:dyDescent="0.35">
      <c r="A5126" s="15">
        <v>1</v>
      </c>
      <c r="B5126" s="15" t="s">
        <v>35864</v>
      </c>
      <c r="C5126" s="15" t="s">
        <v>35865</v>
      </c>
      <c r="D5126" s="31">
        <v>40148</v>
      </c>
      <c r="E5126" s="15" t="s">
        <v>35866</v>
      </c>
      <c r="F5126" s="87"/>
      <c r="G5126" s="45" t="s">
        <v>3420</v>
      </c>
      <c r="H5126" s="55" t="s">
        <v>3421</v>
      </c>
      <c r="I5126" s="15" t="s">
        <v>1919</v>
      </c>
    </row>
    <row r="5127" spans="1:9" ht="51.75" customHeight="1" x14ac:dyDescent="0.35">
      <c r="A5127" s="15">
        <v>2</v>
      </c>
      <c r="B5127" s="15" t="s">
        <v>35867</v>
      </c>
      <c r="C5127" s="15" t="s">
        <v>35868</v>
      </c>
      <c r="D5127" s="31">
        <v>40148</v>
      </c>
      <c r="E5127" s="15" t="s">
        <v>35869</v>
      </c>
      <c r="F5127" s="87"/>
      <c r="G5127" s="45" t="s">
        <v>3420</v>
      </c>
      <c r="H5127" s="55" t="s">
        <v>3421</v>
      </c>
      <c r="I5127" s="15" t="s">
        <v>1919</v>
      </c>
    </row>
    <row r="5128" spans="1:9" ht="51.75" customHeight="1" x14ac:dyDescent="0.35">
      <c r="A5128" s="15">
        <v>1</v>
      </c>
      <c r="B5128" s="15" t="s">
        <v>35870</v>
      </c>
      <c r="C5128" s="15" t="s">
        <v>35871</v>
      </c>
      <c r="D5128" s="31">
        <v>40023</v>
      </c>
      <c r="E5128" s="15" t="s">
        <v>35872</v>
      </c>
      <c r="F5128" s="87"/>
      <c r="G5128" s="45" t="s">
        <v>3093</v>
      </c>
      <c r="H5128" s="55" t="s">
        <v>3094</v>
      </c>
      <c r="I5128" s="15" t="s">
        <v>1919</v>
      </c>
    </row>
    <row r="5129" spans="1:9" ht="51.75" customHeight="1" x14ac:dyDescent="0.35">
      <c r="A5129" s="15">
        <v>2</v>
      </c>
      <c r="B5129" s="15" t="s">
        <v>35873</v>
      </c>
      <c r="C5129" s="15" t="s">
        <v>35874</v>
      </c>
      <c r="D5129" s="31">
        <v>40023</v>
      </c>
      <c r="E5129" s="15" t="s">
        <v>35875</v>
      </c>
      <c r="F5129" s="87"/>
      <c r="G5129" s="45" t="s">
        <v>3093</v>
      </c>
      <c r="H5129" s="55" t="s">
        <v>3094</v>
      </c>
      <c r="I5129" s="15" t="s">
        <v>1919</v>
      </c>
    </row>
    <row r="5130" spans="1:9" ht="51.75" customHeight="1" x14ac:dyDescent="0.35">
      <c r="A5130" s="15">
        <v>1</v>
      </c>
      <c r="B5130" s="15" t="s">
        <v>35876</v>
      </c>
      <c r="C5130" s="15" t="s">
        <v>35877</v>
      </c>
      <c r="D5130" s="31">
        <v>39948</v>
      </c>
      <c r="E5130" s="15" t="s">
        <v>35877</v>
      </c>
      <c r="F5130" s="87"/>
      <c r="G5130" s="45" t="s">
        <v>2945</v>
      </c>
      <c r="H5130" s="55" t="s">
        <v>2946</v>
      </c>
      <c r="I5130" s="15" t="s">
        <v>1919</v>
      </c>
    </row>
    <row r="5131" spans="1:9" ht="51.75" customHeight="1" x14ac:dyDescent="0.35">
      <c r="A5131" s="15">
        <v>2</v>
      </c>
      <c r="B5131" s="15" t="s">
        <v>35878</v>
      </c>
      <c r="C5131" s="15" t="s">
        <v>35879</v>
      </c>
      <c r="D5131" s="31">
        <v>39948</v>
      </c>
      <c r="E5131" s="15" t="s">
        <v>35879</v>
      </c>
      <c r="F5131" s="87"/>
      <c r="G5131" s="45" t="s">
        <v>2945</v>
      </c>
      <c r="H5131" s="55" t="s">
        <v>2946</v>
      </c>
      <c r="I5131" s="15" t="s">
        <v>1919</v>
      </c>
    </row>
    <row r="5132" spans="1:9" ht="51.75" customHeight="1" x14ac:dyDescent="0.35">
      <c r="A5132" s="15">
        <v>1</v>
      </c>
      <c r="B5132" s="15" t="s">
        <v>35880</v>
      </c>
      <c r="C5132" s="15" t="s">
        <v>35881</v>
      </c>
      <c r="D5132" s="31">
        <v>39919</v>
      </c>
      <c r="E5132" s="15" t="s">
        <v>35882</v>
      </c>
      <c r="F5132" s="87"/>
      <c r="G5132" s="45" t="s">
        <v>2472</v>
      </c>
      <c r="H5132" s="55" t="s">
        <v>2473</v>
      </c>
      <c r="I5132" s="15" t="s">
        <v>1919</v>
      </c>
    </row>
    <row r="5133" spans="1:9" ht="51.75" customHeight="1" x14ac:dyDescent="0.35">
      <c r="A5133" s="15">
        <v>2</v>
      </c>
      <c r="B5133" s="15" t="s">
        <v>35883</v>
      </c>
      <c r="C5133" s="15" t="s">
        <v>35884</v>
      </c>
      <c r="D5133" s="31">
        <v>39919</v>
      </c>
      <c r="E5133" s="15" t="s">
        <v>35885</v>
      </c>
      <c r="F5133" s="87"/>
      <c r="G5133" s="45" t="s">
        <v>2472</v>
      </c>
      <c r="H5133" s="55" t="s">
        <v>2473</v>
      </c>
      <c r="I5133" s="15" t="s">
        <v>1919</v>
      </c>
    </row>
    <row r="5134" spans="1:9" ht="51.75" customHeight="1" x14ac:dyDescent="0.35">
      <c r="A5134" s="15" t="s">
        <v>22059</v>
      </c>
      <c r="B5134" s="15" t="s">
        <v>35886</v>
      </c>
      <c r="C5134" s="15" t="s">
        <v>35887</v>
      </c>
      <c r="D5134" s="31" t="s">
        <v>50</v>
      </c>
      <c r="E5134" s="15" t="s">
        <v>35888</v>
      </c>
      <c r="F5134" s="87" t="s">
        <v>21871</v>
      </c>
      <c r="G5134" s="45" t="s">
        <v>7247</v>
      </c>
      <c r="H5134" s="55" t="s">
        <v>7248</v>
      </c>
      <c r="I5134" s="15" t="s">
        <v>1919</v>
      </c>
    </row>
    <row r="5135" spans="1:9" ht="51.75" customHeight="1" x14ac:dyDescent="0.35">
      <c r="A5135" s="15" t="s">
        <v>22077</v>
      </c>
      <c r="B5135" s="15" t="s">
        <v>35889</v>
      </c>
      <c r="C5135" s="15" t="s">
        <v>35890</v>
      </c>
      <c r="D5135" s="31" t="s">
        <v>50</v>
      </c>
      <c r="E5135" s="15" t="s">
        <v>35891</v>
      </c>
      <c r="F5135" s="87" t="s">
        <v>21871</v>
      </c>
      <c r="G5135" s="45" t="s">
        <v>7247</v>
      </c>
      <c r="H5135" s="55" t="s">
        <v>7248</v>
      </c>
      <c r="I5135" s="15" t="s">
        <v>1919</v>
      </c>
    </row>
    <row r="5136" spans="1:9" ht="51.75" customHeight="1" x14ac:dyDescent="0.35">
      <c r="A5136" s="15" t="s">
        <v>22463</v>
      </c>
      <c r="B5136" s="15" t="s">
        <v>35892</v>
      </c>
      <c r="C5136" s="15" t="s">
        <v>35893</v>
      </c>
      <c r="D5136" s="31" t="s">
        <v>50</v>
      </c>
      <c r="E5136" s="15" t="s">
        <v>35893</v>
      </c>
      <c r="F5136" s="87" t="s">
        <v>21871</v>
      </c>
      <c r="G5136" s="45" t="s">
        <v>7247</v>
      </c>
      <c r="H5136" s="55" t="s">
        <v>7248</v>
      </c>
      <c r="I5136" s="15" t="s">
        <v>1919</v>
      </c>
    </row>
    <row r="5137" spans="1:9" ht="51.75" customHeight="1" x14ac:dyDescent="0.35">
      <c r="A5137" s="15" t="s">
        <v>22750</v>
      </c>
      <c r="B5137" s="15" t="s">
        <v>35894</v>
      </c>
      <c r="C5137" s="15" t="s">
        <v>35895</v>
      </c>
      <c r="D5137" s="31" t="s">
        <v>50</v>
      </c>
      <c r="E5137" s="15" t="s">
        <v>35896</v>
      </c>
      <c r="F5137" s="87" t="s">
        <v>21871</v>
      </c>
      <c r="G5137" s="45" t="s">
        <v>7242</v>
      </c>
      <c r="H5137" s="55" t="s">
        <v>7243</v>
      </c>
      <c r="I5137" s="15" t="s">
        <v>1919</v>
      </c>
    </row>
    <row r="5138" spans="1:9" ht="51.75" customHeight="1" x14ac:dyDescent="0.35">
      <c r="A5138" s="15" t="s">
        <v>22754</v>
      </c>
      <c r="B5138" s="15" t="s">
        <v>35897</v>
      </c>
      <c r="C5138" s="15" t="s">
        <v>35898</v>
      </c>
      <c r="D5138" s="31" t="s">
        <v>50</v>
      </c>
      <c r="E5138" s="15" t="s">
        <v>35899</v>
      </c>
      <c r="F5138" s="87" t="s">
        <v>21871</v>
      </c>
      <c r="G5138" s="45" t="s">
        <v>7242</v>
      </c>
      <c r="H5138" s="55" t="s">
        <v>7243</v>
      </c>
      <c r="I5138" s="15" t="s">
        <v>1919</v>
      </c>
    </row>
    <row r="5139" spans="1:9" ht="51.75" customHeight="1" x14ac:dyDescent="0.35">
      <c r="A5139" s="15" t="s">
        <v>22007</v>
      </c>
      <c r="B5139" s="15" t="s">
        <v>35900</v>
      </c>
      <c r="C5139" s="15" t="s">
        <v>35901</v>
      </c>
      <c r="D5139" s="31" t="s">
        <v>50</v>
      </c>
      <c r="E5139" s="15" t="s">
        <v>35902</v>
      </c>
      <c r="F5139" s="87" t="s">
        <v>21871</v>
      </c>
      <c r="G5139" s="45" t="s">
        <v>7242</v>
      </c>
      <c r="H5139" s="55" t="s">
        <v>7243</v>
      </c>
      <c r="I5139" s="15" t="s">
        <v>1919</v>
      </c>
    </row>
    <row r="5140" spans="1:9" ht="51.75" customHeight="1" x14ac:dyDescent="0.35">
      <c r="A5140" s="15" t="s">
        <v>23804</v>
      </c>
      <c r="B5140" s="15" t="s">
        <v>35903</v>
      </c>
      <c r="C5140" s="15" t="s">
        <v>35904</v>
      </c>
      <c r="D5140" s="31" t="s">
        <v>50</v>
      </c>
      <c r="E5140" s="15" t="s">
        <v>35905</v>
      </c>
      <c r="F5140" s="87" t="s">
        <v>21871</v>
      </c>
      <c r="G5140" s="45" t="s">
        <v>7242</v>
      </c>
      <c r="H5140" s="55" t="s">
        <v>7243</v>
      </c>
      <c r="I5140" s="15" t="s">
        <v>1919</v>
      </c>
    </row>
    <row r="5141" spans="1:9" ht="51.75" customHeight="1" x14ac:dyDescent="0.35">
      <c r="A5141" s="15" t="s">
        <v>23420</v>
      </c>
      <c r="B5141" s="15" t="s">
        <v>35906</v>
      </c>
      <c r="C5141" s="15" t="s">
        <v>35907</v>
      </c>
      <c r="D5141" s="31" t="s">
        <v>50</v>
      </c>
      <c r="E5141" s="15" t="s">
        <v>35908</v>
      </c>
      <c r="F5141" s="87" t="s">
        <v>21871</v>
      </c>
      <c r="G5141" s="45" t="s">
        <v>7242</v>
      </c>
      <c r="H5141" s="55" t="s">
        <v>7243</v>
      </c>
      <c r="I5141" s="15" t="s">
        <v>1919</v>
      </c>
    </row>
    <row r="5142" spans="1:9" ht="51.75" customHeight="1" x14ac:dyDescent="0.35">
      <c r="A5142" s="15" t="s">
        <v>23424</v>
      </c>
      <c r="B5142" s="15" t="s">
        <v>35909</v>
      </c>
      <c r="C5142" s="15" t="s">
        <v>35910</v>
      </c>
      <c r="D5142" s="31" t="s">
        <v>50</v>
      </c>
      <c r="E5142" s="15" t="s">
        <v>35911</v>
      </c>
      <c r="F5142" s="87" t="s">
        <v>21871</v>
      </c>
      <c r="G5142" s="45" t="s">
        <v>7242</v>
      </c>
      <c r="H5142" s="55" t="s">
        <v>7243</v>
      </c>
      <c r="I5142" s="15" t="s">
        <v>1919</v>
      </c>
    </row>
    <row r="5143" spans="1:9" ht="51.75" customHeight="1" x14ac:dyDescent="0.35">
      <c r="A5143" s="15" t="s">
        <v>28561</v>
      </c>
      <c r="B5143" s="15" t="s">
        <v>35912</v>
      </c>
      <c r="C5143" s="15" t="s">
        <v>35913</v>
      </c>
      <c r="D5143" s="31" t="s">
        <v>50</v>
      </c>
      <c r="E5143" s="15" t="s">
        <v>35913</v>
      </c>
      <c r="F5143" s="87" t="s">
        <v>21871</v>
      </c>
      <c r="G5143" s="45" t="s">
        <v>6677</v>
      </c>
      <c r="H5143" s="55" t="s">
        <v>6678</v>
      </c>
      <c r="I5143" s="15" t="s">
        <v>1919</v>
      </c>
    </row>
    <row r="5144" spans="1:9" ht="51.75" customHeight="1" x14ac:dyDescent="0.35">
      <c r="A5144" s="15" t="s">
        <v>27270</v>
      </c>
      <c r="B5144" s="15" t="s">
        <v>35914</v>
      </c>
      <c r="C5144" s="15" t="s">
        <v>35915</v>
      </c>
      <c r="D5144" s="31" t="s">
        <v>50</v>
      </c>
      <c r="E5144" s="15" t="s">
        <v>35915</v>
      </c>
      <c r="F5144" s="87" t="s">
        <v>21871</v>
      </c>
      <c r="G5144" s="45" t="s">
        <v>6677</v>
      </c>
      <c r="H5144" s="55" t="s">
        <v>6678</v>
      </c>
      <c r="I5144" s="15" t="s">
        <v>1919</v>
      </c>
    </row>
    <row r="5145" spans="1:9" ht="51.75" customHeight="1" x14ac:dyDescent="0.35">
      <c r="A5145" s="15" t="s">
        <v>22842</v>
      </c>
      <c r="B5145" s="15" t="s">
        <v>35916</v>
      </c>
      <c r="C5145" s="15" t="s">
        <v>35917</v>
      </c>
      <c r="D5145" s="31" t="s">
        <v>50</v>
      </c>
      <c r="E5145" s="15" t="s">
        <v>35917</v>
      </c>
      <c r="F5145" s="87" t="s">
        <v>21871</v>
      </c>
      <c r="G5145" s="45" t="s">
        <v>6677</v>
      </c>
      <c r="H5145" s="55" t="s">
        <v>6678</v>
      </c>
      <c r="I5145" s="15" t="s">
        <v>1919</v>
      </c>
    </row>
    <row r="5146" spans="1:9" ht="51.75" customHeight="1" x14ac:dyDescent="0.35">
      <c r="A5146" s="15" t="s">
        <v>22846</v>
      </c>
      <c r="B5146" s="15" t="s">
        <v>35918</v>
      </c>
      <c r="C5146" s="15" t="s">
        <v>35919</v>
      </c>
      <c r="D5146" s="31" t="s">
        <v>50</v>
      </c>
      <c r="E5146" s="15" t="s">
        <v>35919</v>
      </c>
      <c r="F5146" s="87" t="s">
        <v>21871</v>
      </c>
      <c r="G5146" s="45" t="s">
        <v>6599</v>
      </c>
      <c r="H5146" s="55" t="s">
        <v>6600</v>
      </c>
      <c r="I5146" s="15" t="s">
        <v>1919</v>
      </c>
    </row>
    <row r="5147" spans="1:9" ht="51.75" customHeight="1" x14ac:dyDescent="0.35">
      <c r="A5147" s="15" t="s">
        <v>22850</v>
      </c>
      <c r="B5147" s="15" t="s">
        <v>35920</v>
      </c>
      <c r="C5147" s="15" t="s">
        <v>35921</v>
      </c>
      <c r="D5147" s="31" t="s">
        <v>50</v>
      </c>
      <c r="E5147" s="15" t="s">
        <v>35921</v>
      </c>
      <c r="F5147" s="87" t="s">
        <v>21871</v>
      </c>
      <c r="G5147" s="45" t="s">
        <v>6599</v>
      </c>
      <c r="H5147" s="55" t="s">
        <v>6600</v>
      </c>
      <c r="I5147" s="15" t="s">
        <v>1919</v>
      </c>
    </row>
    <row r="5148" spans="1:9" ht="51.75" customHeight="1" x14ac:dyDescent="0.35">
      <c r="A5148" s="15" t="s">
        <v>22854</v>
      </c>
      <c r="B5148" s="15" t="s">
        <v>35922</v>
      </c>
      <c r="C5148" s="15" t="s">
        <v>35923</v>
      </c>
      <c r="D5148" s="31" t="s">
        <v>50</v>
      </c>
      <c r="E5148" s="15" t="s">
        <v>35923</v>
      </c>
      <c r="F5148" s="87" t="s">
        <v>21871</v>
      </c>
      <c r="G5148" s="45" t="s">
        <v>6599</v>
      </c>
      <c r="H5148" s="55" t="s">
        <v>6600</v>
      </c>
      <c r="I5148" s="15" t="s">
        <v>1919</v>
      </c>
    </row>
    <row r="5149" spans="1:9" ht="51.75" customHeight="1" x14ac:dyDescent="0.35">
      <c r="A5149" s="15" t="s">
        <v>33470</v>
      </c>
      <c r="B5149" s="15" t="s">
        <v>35924</v>
      </c>
      <c r="C5149" s="15" t="s">
        <v>35925</v>
      </c>
      <c r="D5149" s="31" t="s">
        <v>50</v>
      </c>
      <c r="E5149" s="15" t="s">
        <v>35925</v>
      </c>
      <c r="F5149" s="87" t="s">
        <v>21871</v>
      </c>
      <c r="G5149" s="45" t="s">
        <v>6599</v>
      </c>
      <c r="H5149" s="55" t="s">
        <v>6600</v>
      </c>
      <c r="I5149" s="15" t="s">
        <v>1919</v>
      </c>
    </row>
    <row r="5150" spans="1:9" ht="51.75" customHeight="1" x14ac:dyDescent="0.35">
      <c r="A5150" s="15">
        <v>1</v>
      </c>
      <c r="B5150" s="15" t="s">
        <v>35926</v>
      </c>
      <c r="C5150" s="15" t="s">
        <v>35927</v>
      </c>
      <c r="D5150" s="31">
        <v>40952</v>
      </c>
      <c r="E5150" s="15" t="s">
        <v>35928</v>
      </c>
      <c r="F5150" s="87"/>
      <c r="G5150" s="45" t="s">
        <v>5760</v>
      </c>
      <c r="H5150" s="55" t="s">
        <v>5761</v>
      </c>
      <c r="I5150" s="15" t="s">
        <v>1919</v>
      </c>
    </row>
    <row r="5151" spans="1:9" ht="51.75" customHeight="1" x14ac:dyDescent="0.35">
      <c r="A5151" s="15">
        <v>2</v>
      </c>
      <c r="B5151" s="15" t="s">
        <v>35929</v>
      </c>
      <c r="C5151" s="15" t="s">
        <v>35930</v>
      </c>
      <c r="D5151" s="31">
        <v>40952</v>
      </c>
      <c r="E5151" s="15" t="s">
        <v>35931</v>
      </c>
      <c r="F5151" s="87"/>
      <c r="G5151" s="45" t="s">
        <v>5760</v>
      </c>
      <c r="H5151" s="55" t="s">
        <v>5761</v>
      </c>
      <c r="I5151" s="15" t="s">
        <v>1919</v>
      </c>
    </row>
    <row r="5152" spans="1:9" ht="51.75" customHeight="1" x14ac:dyDescent="0.35">
      <c r="A5152" s="15">
        <v>3</v>
      </c>
      <c r="B5152" s="15" t="s">
        <v>35932</v>
      </c>
      <c r="C5152" s="15" t="s">
        <v>35933</v>
      </c>
      <c r="D5152" s="31">
        <v>40952</v>
      </c>
      <c r="E5152" s="15" t="s">
        <v>35934</v>
      </c>
      <c r="F5152" s="87"/>
      <c r="G5152" s="45" t="s">
        <v>5760</v>
      </c>
      <c r="H5152" s="55" t="s">
        <v>5761</v>
      </c>
      <c r="I5152" s="15" t="s">
        <v>1919</v>
      </c>
    </row>
    <row r="5153" spans="1:9" ht="51.75" customHeight="1" x14ac:dyDescent="0.35">
      <c r="A5153" s="15">
        <v>4</v>
      </c>
      <c r="B5153" s="15" t="s">
        <v>35935</v>
      </c>
      <c r="C5153" s="15" t="s">
        <v>35936</v>
      </c>
      <c r="D5153" s="31">
        <v>40952</v>
      </c>
      <c r="E5153" s="15" t="s">
        <v>35937</v>
      </c>
      <c r="F5153" s="87"/>
      <c r="G5153" s="45" t="s">
        <v>5760</v>
      </c>
      <c r="H5153" s="55" t="s">
        <v>5761</v>
      </c>
      <c r="I5153" s="15" t="s">
        <v>1919</v>
      </c>
    </row>
    <row r="5154" spans="1:9" ht="51.75" customHeight="1" x14ac:dyDescent="0.35">
      <c r="A5154" s="15">
        <v>1</v>
      </c>
      <c r="B5154" s="15" t="s">
        <v>35938</v>
      </c>
      <c r="C5154" s="15" t="s">
        <v>35939</v>
      </c>
      <c r="D5154" s="31">
        <v>40836</v>
      </c>
      <c r="E5154" s="15" t="s">
        <v>35940</v>
      </c>
      <c r="F5154" s="87"/>
      <c r="G5154" s="45" t="s">
        <v>5392</v>
      </c>
      <c r="H5154" s="55" t="s">
        <v>5393</v>
      </c>
      <c r="I5154" s="15" t="s">
        <v>1919</v>
      </c>
    </row>
    <row r="5155" spans="1:9" ht="51.75" customHeight="1" x14ac:dyDescent="0.35">
      <c r="A5155" s="15" t="s">
        <v>25458</v>
      </c>
      <c r="B5155" s="15" t="s">
        <v>35941</v>
      </c>
      <c r="C5155" s="15" t="s">
        <v>35942</v>
      </c>
      <c r="D5155" s="31" t="s">
        <v>50</v>
      </c>
      <c r="E5155" s="15" t="s">
        <v>35943</v>
      </c>
      <c r="F5155" s="87" t="s">
        <v>21871</v>
      </c>
      <c r="G5155" s="45" t="s">
        <v>7642</v>
      </c>
      <c r="H5155" s="55" t="s">
        <v>7643</v>
      </c>
      <c r="I5155" s="15" t="s">
        <v>1919</v>
      </c>
    </row>
    <row r="5156" spans="1:9" ht="51.75" customHeight="1" x14ac:dyDescent="0.35">
      <c r="A5156" s="15" t="s">
        <v>25462</v>
      </c>
      <c r="B5156" s="15" t="s">
        <v>35944</v>
      </c>
      <c r="C5156" s="15" t="s">
        <v>35945</v>
      </c>
      <c r="D5156" s="31" t="s">
        <v>50</v>
      </c>
      <c r="E5156" s="15" t="s">
        <v>35946</v>
      </c>
      <c r="F5156" s="87" t="s">
        <v>21871</v>
      </c>
      <c r="G5156" s="45" t="s">
        <v>7642</v>
      </c>
      <c r="H5156" s="55" t="s">
        <v>7643</v>
      </c>
      <c r="I5156" s="15" t="s">
        <v>1919</v>
      </c>
    </row>
    <row r="5157" spans="1:9" ht="51.75" customHeight="1" x14ac:dyDescent="0.35">
      <c r="A5157" s="15" t="s">
        <v>22099</v>
      </c>
      <c r="B5157" s="15" t="s">
        <v>35947</v>
      </c>
      <c r="C5157" s="15" t="s">
        <v>35948</v>
      </c>
      <c r="D5157" s="31" t="s">
        <v>50</v>
      </c>
      <c r="E5157" s="15" t="s">
        <v>35949</v>
      </c>
      <c r="F5157" s="87" t="s">
        <v>21871</v>
      </c>
      <c r="G5157" s="45" t="s">
        <v>7642</v>
      </c>
      <c r="H5157" s="55" t="s">
        <v>7643</v>
      </c>
      <c r="I5157" s="15" t="s">
        <v>1919</v>
      </c>
    </row>
    <row r="5158" spans="1:9" ht="51.75" customHeight="1" x14ac:dyDescent="0.35">
      <c r="A5158" s="15" t="s">
        <v>25004</v>
      </c>
      <c r="B5158" s="15" t="s">
        <v>35950</v>
      </c>
      <c r="C5158" s="15" t="s">
        <v>35951</v>
      </c>
      <c r="D5158" s="31" t="s">
        <v>50</v>
      </c>
      <c r="E5158" s="15" t="s">
        <v>35952</v>
      </c>
      <c r="F5158" s="87" t="s">
        <v>21871</v>
      </c>
      <c r="G5158" s="45" t="s">
        <v>9044</v>
      </c>
      <c r="H5158" s="55" t="s">
        <v>9045</v>
      </c>
      <c r="I5158" s="15" t="s">
        <v>1919</v>
      </c>
    </row>
    <row r="5159" spans="1:9" ht="51.75" customHeight="1" x14ac:dyDescent="0.35">
      <c r="A5159" s="15" t="s">
        <v>29201</v>
      </c>
      <c r="B5159" s="15" t="s">
        <v>35953</v>
      </c>
      <c r="C5159" s="15" t="s">
        <v>35954</v>
      </c>
      <c r="D5159" s="31" t="s">
        <v>50</v>
      </c>
      <c r="E5159" s="15" t="s">
        <v>35955</v>
      </c>
      <c r="F5159" s="87" t="s">
        <v>21871</v>
      </c>
      <c r="G5159" s="45" t="s">
        <v>9044</v>
      </c>
      <c r="H5159" s="55" t="s">
        <v>9045</v>
      </c>
      <c r="I5159" s="15" t="s">
        <v>1919</v>
      </c>
    </row>
    <row r="5160" spans="1:9" ht="51.75" customHeight="1" x14ac:dyDescent="0.35">
      <c r="A5160" s="15" t="s">
        <v>22003</v>
      </c>
      <c r="B5160" s="15" t="s">
        <v>35956</v>
      </c>
      <c r="C5160" s="15" t="s">
        <v>35957</v>
      </c>
      <c r="D5160" s="31" t="s">
        <v>50</v>
      </c>
      <c r="E5160" s="15" t="s">
        <v>35958</v>
      </c>
      <c r="F5160" s="87" t="s">
        <v>21871</v>
      </c>
      <c r="G5160" s="45" t="s">
        <v>9044</v>
      </c>
      <c r="H5160" s="55" t="s">
        <v>9045</v>
      </c>
      <c r="I5160" s="15" t="s">
        <v>1919</v>
      </c>
    </row>
    <row r="5161" spans="1:9" ht="51.75" customHeight="1" x14ac:dyDescent="0.35">
      <c r="A5161" s="15" t="s">
        <v>22734</v>
      </c>
      <c r="B5161" s="15" t="s">
        <v>35959</v>
      </c>
      <c r="C5161" s="15" t="s">
        <v>35960</v>
      </c>
      <c r="D5161" s="31" t="s">
        <v>50</v>
      </c>
      <c r="E5161" s="15" t="s">
        <v>35961</v>
      </c>
      <c r="F5161" s="87" t="s">
        <v>21871</v>
      </c>
      <c r="G5161" s="45" t="s">
        <v>9044</v>
      </c>
      <c r="H5161" s="55" t="s">
        <v>9045</v>
      </c>
      <c r="I5161" s="15" t="s">
        <v>1919</v>
      </c>
    </row>
    <row r="5162" spans="1:9" ht="51.75" customHeight="1" x14ac:dyDescent="0.35">
      <c r="A5162" s="15" t="s">
        <v>22738</v>
      </c>
      <c r="B5162" s="15" t="s">
        <v>35962</v>
      </c>
      <c r="C5162" s="15" t="s">
        <v>35963</v>
      </c>
      <c r="D5162" s="31" t="s">
        <v>50</v>
      </c>
      <c r="E5162" s="15" t="s">
        <v>35964</v>
      </c>
      <c r="F5162" s="87" t="s">
        <v>21871</v>
      </c>
      <c r="G5162" s="45" t="s">
        <v>8552</v>
      </c>
      <c r="H5162" s="55" t="s">
        <v>8553</v>
      </c>
      <c r="I5162" s="15" t="s">
        <v>1919</v>
      </c>
    </row>
    <row r="5163" spans="1:9" ht="51.75" customHeight="1" x14ac:dyDescent="0.35">
      <c r="A5163" s="15" t="s">
        <v>22742</v>
      </c>
      <c r="B5163" s="15" t="s">
        <v>35965</v>
      </c>
      <c r="C5163" s="15" t="s">
        <v>35966</v>
      </c>
      <c r="D5163" s="31" t="s">
        <v>50</v>
      </c>
      <c r="E5163" s="15" t="s">
        <v>35967</v>
      </c>
      <c r="F5163" s="87" t="s">
        <v>21871</v>
      </c>
      <c r="G5163" s="45" t="s">
        <v>8552</v>
      </c>
      <c r="H5163" s="55" t="s">
        <v>8553</v>
      </c>
      <c r="I5163" s="15" t="s">
        <v>1919</v>
      </c>
    </row>
    <row r="5164" spans="1:9" ht="51.75" customHeight="1" x14ac:dyDescent="0.35">
      <c r="A5164" s="15" t="s">
        <v>22746</v>
      </c>
      <c r="B5164" s="15" t="s">
        <v>35968</v>
      </c>
      <c r="C5164" s="15" t="s">
        <v>35969</v>
      </c>
      <c r="D5164" s="31" t="s">
        <v>50</v>
      </c>
      <c r="E5164" s="15" t="s">
        <v>35970</v>
      </c>
      <c r="F5164" s="87" t="s">
        <v>21871</v>
      </c>
      <c r="G5164" s="45" t="s">
        <v>8552</v>
      </c>
      <c r="H5164" s="55" t="s">
        <v>8553</v>
      </c>
      <c r="I5164" s="15" t="s">
        <v>1919</v>
      </c>
    </row>
    <row r="5165" spans="1:9" ht="51.75" customHeight="1" x14ac:dyDescent="0.35">
      <c r="A5165" s="15" t="s">
        <v>24986</v>
      </c>
      <c r="B5165" s="15" t="s">
        <v>35971</v>
      </c>
      <c r="C5165" s="15" t="s">
        <v>35972</v>
      </c>
      <c r="D5165" s="31" t="s">
        <v>50</v>
      </c>
      <c r="E5165" s="15" t="s">
        <v>35973</v>
      </c>
      <c r="F5165" s="87" t="s">
        <v>21871</v>
      </c>
      <c r="G5165" s="45" t="s">
        <v>9453</v>
      </c>
      <c r="H5165" s="55" t="s">
        <v>9454</v>
      </c>
      <c r="I5165" s="15" t="s">
        <v>1919</v>
      </c>
    </row>
    <row r="5166" spans="1:9" ht="51.75" customHeight="1" x14ac:dyDescent="0.35">
      <c r="A5166" s="15" t="s">
        <v>24992</v>
      </c>
      <c r="B5166" s="15" t="s">
        <v>35974</v>
      </c>
      <c r="C5166" s="15" t="s">
        <v>35975</v>
      </c>
      <c r="D5166" s="31" t="s">
        <v>50</v>
      </c>
      <c r="E5166" s="15" t="s">
        <v>35976</v>
      </c>
      <c r="F5166" s="87" t="s">
        <v>21871</v>
      </c>
      <c r="G5166" s="45" t="s">
        <v>9453</v>
      </c>
      <c r="H5166" s="55" t="s">
        <v>9454</v>
      </c>
      <c r="I5166" s="15" t="s">
        <v>1919</v>
      </c>
    </row>
    <row r="5167" spans="1:9" ht="51.75" customHeight="1" x14ac:dyDescent="0.35">
      <c r="A5167" s="15" t="s">
        <v>24998</v>
      </c>
      <c r="B5167" s="15" t="s">
        <v>35977</v>
      </c>
      <c r="C5167" s="15" t="s">
        <v>35978</v>
      </c>
      <c r="D5167" s="31" t="s">
        <v>50</v>
      </c>
      <c r="E5167" s="15" t="s">
        <v>35979</v>
      </c>
      <c r="F5167" s="87" t="s">
        <v>21871</v>
      </c>
      <c r="G5167" s="45" t="s">
        <v>9453</v>
      </c>
      <c r="H5167" s="55" t="s">
        <v>9454</v>
      </c>
      <c r="I5167" s="15" t="s">
        <v>1919</v>
      </c>
    </row>
    <row r="5168" spans="1:9" ht="51.75" customHeight="1" x14ac:dyDescent="0.35">
      <c r="A5168" s="15" t="s">
        <v>24647</v>
      </c>
      <c r="B5168" s="15" t="s">
        <v>35980</v>
      </c>
      <c r="C5168" s="15" t="s">
        <v>35981</v>
      </c>
      <c r="D5168" s="31" t="s">
        <v>50</v>
      </c>
      <c r="E5168" s="15" t="s">
        <v>35982</v>
      </c>
      <c r="F5168" s="87" t="s">
        <v>21871</v>
      </c>
      <c r="G5168" s="45" t="s">
        <v>9494</v>
      </c>
      <c r="H5168" s="55" t="s">
        <v>9495</v>
      </c>
      <c r="I5168" s="15" t="s">
        <v>1919</v>
      </c>
    </row>
    <row r="5169" spans="1:9" ht="51.75" customHeight="1" x14ac:dyDescent="0.35">
      <c r="A5169" s="15" t="s">
        <v>24653</v>
      </c>
      <c r="B5169" s="15" t="s">
        <v>35983</v>
      </c>
      <c r="C5169" s="15" t="s">
        <v>35984</v>
      </c>
      <c r="D5169" s="31" t="s">
        <v>50</v>
      </c>
      <c r="E5169" s="15" t="s">
        <v>35985</v>
      </c>
      <c r="F5169" s="87" t="s">
        <v>21871</v>
      </c>
      <c r="G5169" s="45" t="s">
        <v>9494</v>
      </c>
      <c r="H5169" s="55" t="s">
        <v>9495</v>
      </c>
      <c r="I5169" s="15" t="s">
        <v>1919</v>
      </c>
    </row>
    <row r="5170" spans="1:9" ht="51.75" customHeight="1" x14ac:dyDescent="0.35">
      <c r="A5170" s="15" t="s">
        <v>24659</v>
      </c>
      <c r="B5170" s="15" t="s">
        <v>35986</v>
      </c>
      <c r="C5170" s="15" t="s">
        <v>35987</v>
      </c>
      <c r="D5170" s="31" t="s">
        <v>50</v>
      </c>
      <c r="E5170" s="15" t="s">
        <v>35988</v>
      </c>
      <c r="F5170" s="87" t="s">
        <v>21871</v>
      </c>
      <c r="G5170" s="45" t="s">
        <v>9494</v>
      </c>
      <c r="H5170" s="55" t="s">
        <v>9495</v>
      </c>
      <c r="I5170" s="15" t="s">
        <v>1919</v>
      </c>
    </row>
    <row r="5171" spans="1:9" ht="51.75" customHeight="1" x14ac:dyDescent="0.35">
      <c r="A5171" s="15" t="s">
        <v>24665</v>
      </c>
      <c r="B5171" s="15" t="s">
        <v>35989</v>
      </c>
      <c r="C5171" s="15" t="s">
        <v>35990</v>
      </c>
      <c r="D5171" s="31" t="s">
        <v>50</v>
      </c>
      <c r="E5171" s="15" t="s">
        <v>35991</v>
      </c>
      <c r="F5171" s="87" t="s">
        <v>21871</v>
      </c>
      <c r="G5171" s="45" t="s">
        <v>9494</v>
      </c>
      <c r="H5171" s="55" t="s">
        <v>9495</v>
      </c>
      <c r="I5171" s="15" t="s">
        <v>1919</v>
      </c>
    </row>
    <row r="5172" spans="1:9" ht="51.75" customHeight="1" x14ac:dyDescent="0.35">
      <c r="A5172" s="15" t="s">
        <v>24980</v>
      </c>
      <c r="B5172" s="15" t="s">
        <v>35992</v>
      </c>
      <c r="C5172" s="15" t="s">
        <v>35993</v>
      </c>
      <c r="D5172" s="31" t="s">
        <v>50</v>
      </c>
      <c r="E5172" s="15" t="s">
        <v>35994</v>
      </c>
      <c r="F5172" s="87" t="s">
        <v>21871</v>
      </c>
      <c r="G5172" s="45" t="s">
        <v>9494</v>
      </c>
      <c r="H5172" s="55" t="s">
        <v>9495</v>
      </c>
      <c r="I5172" s="15" t="s">
        <v>1919</v>
      </c>
    </row>
    <row r="5173" spans="1:9" ht="51.75" customHeight="1" x14ac:dyDescent="0.35">
      <c r="A5173" s="15" t="s">
        <v>25062</v>
      </c>
      <c r="B5173" s="15" t="s">
        <v>35995</v>
      </c>
      <c r="C5173" s="15" t="s">
        <v>35996</v>
      </c>
      <c r="D5173" s="31" t="s">
        <v>50</v>
      </c>
      <c r="E5173" s="15" t="s">
        <v>35996</v>
      </c>
      <c r="F5173" s="87" t="s">
        <v>21871</v>
      </c>
      <c r="G5173" s="45" t="s">
        <v>9627</v>
      </c>
      <c r="H5173" s="55" t="s">
        <v>9628</v>
      </c>
      <c r="I5173" s="15" t="s">
        <v>1919</v>
      </c>
    </row>
    <row r="5174" spans="1:9" ht="51.75" customHeight="1" x14ac:dyDescent="0.35">
      <c r="A5174" s="15" t="s">
        <v>25068</v>
      </c>
      <c r="B5174" s="15" t="s">
        <v>35997</v>
      </c>
      <c r="C5174" s="15" t="s">
        <v>35998</v>
      </c>
      <c r="D5174" s="31" t="s">
        <v>50</v>
      </c>
      <c r="E5174" s="15" t="s">
        <v>35999</v>
      </c>
      <c r="F5174" s="87" t="s">
        <v>21871</v>
      </c>
      <c r="G5174" s="45" t="s">
        <v>9627</v>
      </c>
      <c r="H5174" s="55" t="s">
        <v>9628</v>
      </c>
      <c r="I5174" s="15" t="s">
        <v>1919</v>
      </c>
    </row>
    <row r="5175" spans="1:9" ht="51.75" customHeight="1" x14ac:dyDescent="0.35">
      <c r="A5175" s="15" t="s">
        <v>25074</v>
      </c>
      <c r="B5175" s="15" t="s">
        <v>36000</v>
      </c>
      <c r="C5175" s="15" t="s">
        <v>36001</v>
      </c>
      <c r="D5175" s="31" t="s">
        <v>50</v>
      </c>
      <c r="E5175" s="15" t="s">
        <v>36002</v>
      </c>
      <c r="F5175" s="87" t="s">
        <v>21871</v>
      </c>
      <c r="G5175" s="45" t="s">
        <v>9627</v>
      </c>
      <c r="H5175" s="55" t="s">
        <v>9628</v>
      </c>
      <c r="I5175" s="15" t="s">
        <v>1919</v>
      </c>
    </row>
    <row r="5176" spans="1:9" ht="51.75" customHeight="1" x14ac:dyDescent="0.35">
      <c r="A5176" s="15" t="s">
        <v>22433</v>
      </c>
      <c r="B5176" s="15" t="s">
        <v>36003</v>
      </c>
      <c r="C5176" s="15" t="s">
        <v>35895</v>
      </c>
      <c r="D5176" s="31" t="s">
        <v>50</v>
      </c>
      <c r="E5176" s="15" t="s">
        <v>36004</v>
      </c>
      <c r="F5176" s="87" t="s">
        <v>21871</v>
      </c>
      <c r="G5176" s="45" t="s">
        <v>7146</v>
      </c>
      <c r="H5176" s="55" t="s">
        <v>7147</v>
      </c>
      <c r="I5176" s="15" t="s">
        <v>1919</v>
      </c>
    </row>
    <row r="5177" spans="1:9" ht="51.75" customHeight="1" x14ac:dyDescent="0.35">
      <c r="A5177" s="15" t="s">
        <v>22437</v>
      </c>
      <c r="B5177" s="15" t="s">
        <v>36005</v>
      </c>
      <c r="C5177" s="15" t="s">
        <v>35898</v>
      </c>
      <c r="D5177" s="31" t="s">
        <v>50</v>
      </c>
      <c r="E5177" s="15" t="s">
        <v>36006</v>
      </c>
      <c r="F5177" s="87" t="s">
        <v>21871</v>
      </c>
      <c r="G5177" s="45" t="s">
        <v>7146</v>
      </c>
      <c r="H5177" s="55" t="s">
        <v>7147</v>
      </c>
      <c r="I5177" s="15" t="s">
        <v>1919</v>
      </c>
    </row>
    <row r="5178" spans="1:9" ht="51.75" customHeight="1" x14ac:dyDescent="0.35">
      <c r="A5178" s="15" t="s">
        <v>22441</v>
      </c>
      <c r="B5178" s="15" t="s">
        <v>36007</v>
      </c>
      <c r="C5178" s="15" t="s">
        <v>35901</v>
      </c>
      <c r="D5178" s="31" t="s">
        <v>50</v>
      </c>
      <c r="E5178" s="15" t="s">
        <v>36008</v>
      </c>
      <c r="F5178" s="87" t="s">
        <v>21871</v>
      </c>
      <c r="G5178" s="45" t="s">
        <v>7146</v>
      </c>
      <c r="H5178" s="55" t="s">
        <v>7147</v>
      </c>
      <c r="I5178" s="15" t="s">
        <v>1919</v>
      </c>
    </row>
    <row r="5179" spans="1:9" ht="51.75" customHeight="1" x14ac:dyDescent="0.35">
      <c r="A5179" s="15" t="s">
        <v>22445</v>
      </c>
      <c r="B5179" s="15" t="s">
        <v>36009</v>
      </c>
      <c r="C5179" s="15" t="s">
        <v>35904</v>
      </c>
      <c r="D5179" s="31" t="s">
        <v>50</v>
      </c>
      <c r="E5179" s="15" t="s">
        <v>36010</v>
      </c>
      <c r="F5179" s="87" t="s">
        <v>21871</v>
      </c>
      <c r="G5179" s="45" t="s">
        <v>7146</v>
      </c>
      <c r="H5179" s="55" t="s">
        <v>7147</v>
      </c>
      <c r="I5179" s="15" t="s">
        <v>1919</v>
      </c>
    </row>
    <row r="5180" spans="1:9" ht="51.75" customHeight="1" x14ac:dyDescent="0.35">
      <c r="A5180" s="15" t="s">
        <v>22449</v>
      </c>
      <c r="B5180" s="15" t="s">
        <v>36011</v>
      </c>
      <c r="C5180" s="15" t="s">
        <v>35907</v>
      </c>
      <c r="D5180" s="31" t="s">
        <v>50</v>
      </c>
      <c r="E5180" s="15" t="s">
        <v>36012</v>
      </c>
      <c r="F5180" s="87" t="s">
        <v>21871</v>
      </c>
      <c r="G5180" s="45" t="s">
        <v>7146</v>
      </c>
      <c r="H5180" s="55" t="s">
        <v>7147</v>
      </c>
      <c r="I5180" s="15" t="s">
        <v>1919</v>
      </c>
    </row>
    <row r="5181" spans="1:9" ht="51.75" customHeight="1" x14ac:dyDescent="0.35">
      <c r="A5181" s="15" t="s">
        <v>22453</v>
      </c>
      <c r="B5181" s="15" t="s">
        <v>36013</v>
      </c>
      <c r="C5181" s="15" t="s">
        <v>35910</v>
      </c>
      <c r="D5181" s="31" t="s">
        <v>50</v>
      </c>
      <c r="E5181" s="15" t="s">
        <v>36014</v>
      </c>
      <c r="F5181" s="87" t="s">
        <v>21871</v>
      </c>
      <c r="G5181" s="45" t="s">
        <v>7146</v>
      </c>
      <c r="H5181" s="55" t="s">
        <v>7147</v>
      </c>
      <c r="I5181" s="15" t="s">
        <v>1919</v>
      </c>
    </row>
    <row r="5182" spans="1:9" ht="51.75" customHeight="1" x14ac:dyDescent="0.35">
      <c r="A5182" s="15" t="s">
        <v>35573</v>
      </c>
      <c r="B5182" s="15" t="s">
        <v>36015</v>
      </c>
      <c r="C5182" s="15" t="s">
        <v>36016</v>
      </c>
      <c r="D5182" s="31" t="s">
        <v>50</v>
      </c>
      <c r="E5182" s="15" t="s">
        <v>36017</v>
      </c>
      <c r="F5182" s="87" t="s">
        <v>21871</v>
      </c>
      <c r="G5182" s="45" t="s">
        <v>11626</v>
      </c>
      <c r="H5182" s="55" t="s">
        <v>11627</v>
      </c>
      <c r="I5182" s="15" t="s">
        <v>1919</v>
      </c>
    </row>
    <row r="5183" spans="1:9" ht="51.75" customHeight="1" x14ac:dyDescent="0.35">
      <c r="A5183" s="15" t="s">
        <v>33968</v>
      </c>
      <c r="B5183" s="15" t="s">
        <v>36018</v>
      </c>
      <c r="C5183" s="15" t="s">
        <v>36019</v>
      </c>
      <c r="D5183" s="31" t="s">
        <v>50</v>
      </c>
      <c r="E5183" s="15" t="s">
        <v>36020</v>
      </c>
      <c r="F5183" s="87" t="s">
        <v>21871</v>
      </c>
      <c r="G5183" s="45" t="s">
        <v>11626</v>
      </c>
      <c r="H5183" s="55" t="s">
        <v>11627</v>
      </c>
      <c r="I5183" s="15" t="s">
        <v>1919</v>
      </c>
    </row>
    <row r="5184" spans="1:9" ht="51.75" customHeight="1" x14ac:dyDescent="0.35">
      <c r="A5184" s="15" t="s">
        <v>24768</v>
      </c>
      <c r="B5184" s="15" t="s">
        <v>36021</v>
      </c>
      <c r="C5184" s="15" t="s">
        <v>36022</v>
      </c>
      <c r="D5184" s="31" t="s">
        <v>50</v>
      </c>
      <c r="E5184" s="15" t="s">
        <v>36023</v>
      </c>
      <c r="F5184" s="87" t="s">
        <v>21871</v>
      </c>
      <c r="G5184" s="45" t="s">
        <v>9504</v>
      </c>
      <c r="H5184" s="55" t="s">
        <v>9505</v>
      </c>
      <c r="I5184" s="15" t="s">
        <v>1919</v>
      </c>
    </row>
    <row r="5185" spans="1:9" ht="51.75" customHeight="1" x14ac:dyDescent="0.35">
      <c r="A5185" s="15" t="s">
        <v>24774</v>
      </c>
      <c r="B5185" s="15" t="s">
        <v>36024</v>
      </c>
      <c r="C5185" s="15" t="s">
        <v>36025</v>
      </c>
      <c r="D5185" s="31" t="s">
        <v>50</v>
      </c>
      <c r="E5185" s="15" t="s">
        <v>36026</v>
      </c>
      <c r="F5185" s="87" t="s">
        <v>21871</v>
      </c>
      <c r="G5185" s="45" t="s">
        <v>9504</v>
      </c>
      <c r="H5185" s="55" t="s">
        <v>9505</v>
      </c>
      <c r="I5185" s="15" t="s">
        <v>1919</v>
      </c>
    </row>
    <row r="5186" spans="1:9" ht="51.75" customHeight="1" x14ac:dyDescent="0.35">
      <c r="A5186" s="15" t="s">
        <v>24780</v>
      </c>
      <c r="B5186" s="15" t="s">
        <v>36027</v>
      </c>
      <c r="C5186" s="15" t="s">
        <v>36028</v>
      </c>
      <c r="D5186" s="31" t="s">
        <v>50</v>
      </c>
      <c r="E5186" s="15" t="s">
        <v>36029</v>
      </c>
      <c r="F5186" s="87" t="s">
        <v>21871</v>
      </c>
      <c r="G5186" s="45" t="s">
        <v>9504</v>
      </c>
      <c r="H5186" s="55" t="s">
        <v>9505</v>
      </c>
      <c r="I5186" s="15" t="s">
        <v>1919</v>
      </c>
    </row>
    <row r="5187" spans="1:9" ht="51.75" customHeight="1" x14ac:dyDescent="0.35">
      <c r="A5187" s="15" t="s">
        <v>24786</v>
      </c>
      <c r="B5187" s="15" t="s">
        <v>36030</v>
      </c>
      <c r="C5187" s="15" t="s">
        <v>36031</v>
      </c>
      <c r="D5187" s="31" t="s">
        <v>50</v>
      </c>
      <c r="E5187" s="15" t="s">
        <v>36032</v>
      </c>
      <c r="F5187" s="87" t="s">
        <v>21871</v>
      </c>
      <c r="G5187" s="45" t="s">
        <v>9504</v>
      </c>
      <c r="H5187" s="55" t="s">
        <v>9505</v>
      </c>
      <c r="I5187" s="15" t="s">
        <v>1919</v>
      </c>
    </row>
    <row r="5188" spans="1:9" ht="51.75" customHeight="1" x14ac:dyDescent="0.35">
      <c r="A5188" s="15" t="s">
        <v>23203</v>
      </c>
      <c r="B5188" s="15" t="s">
        <v>36033</v>
      </c>
      <c r="C5188" s="15" t="s">
        <v>36034</v>
      </c>
      <c r="D5188" s="31" t="s">
        <v>50</v>
      </c>
      <c r="E5188" s="15" t="s">
        <v>36035</v>
      </c>
      <c r="F5188" s="87" t="s">
        <v>21871</v>
      </c>
      <c r="G5188" s="45" t="s">
        <v>9504</v>
      </c>
      <c r="H5188" s="55" t="s">
        <v>9505</v>
      </c>
      <c r="I5188" s="15" t="s">
        <v>1919</v>
      </c>
    </row>
    <row r="5189" spans="1:9" ht="51.75" customHeight="1" x14ac:dyDescent="0.35">
      <c r="A5189" s="15" t="s">
        <v>24581</v>
      </c>
      <c r="B5189" s="15" t="s">
        <v>36036</v>
      </c>
      <c r="C5189" s="15" t="s">
        <v>36037</v>
      </c>
      <c r="D5189" s="31" t="s">
        <v>50</v>
      </c>
      <c r="E5189" s="15" t="s">
        <v>36038</v>
      </c>
      <c r="F5189" s="87" t="s">
        <v>21871</v>
      </c>
      <c r="G5189" s="45" t="s">
        <v>9504</v>
      </c>
      <c r="H5189" s="55" t="s">
        <v>9505</v>
      </c>
      <c r="I5189" s="15" t="s">
        <v>1919</v>
      </c>
    </row>
    <row r="5190" spans="1:9" ht="51.75" customHeight="1" x14ac:dyDescent="0.35">
      <c r="A5190" s="15" t="s">
        <v>24587</v>
      </c>
      <c r="B5190" s="15" t="s">
        <v>36039</v>
      </c>
      <c r="C5190" s="15" t="s">
        <v>36040</v>
      </c>
      <c r="D5190" s="31" t="s">
        <v>50</v>
      </c>
      <c r="E5190" s="15" t="s">
        <v>36041</v>
      </c>
      <c r="F5190" s="87" t="s">
        <v>21871</v>
      </c>
      <c r="G5190" s="45" t="s">
        <v>9504</v>
      </c>
      <c r="H5190" s="55" t="s">
        <v>9505</v>
      </c>
      <c r="I5190" s="15" t="s">
        <v>1919</v>
      </c>
    </row>
    <row r="5191" spans="1:9" ht="51.75" customHeight="1" x14ac:dyDescent="0.35">
      <c r="A5191" s="15" t="s">
        <v>25264</v>
      </c>
      <c r="B5191" s="15" t="s">
        <v>36042</v>
      </c>
      <c r="C5191" s="15" t="s">
        <v>36043</v>
      </c>
      <c r="D5191" s="31" t="s">
        <v>50</v>
      </c>
      <c r="E5191" s="15" t="s">
        <v>36044</v>
      </c>
      <c r="F5191" s="87" t="s">
        <v>21871</v>
      </c>
      <c r="G5191" s="45" t="s">
        <v>9504</v>
      </c>
      <c r="H5191" s="55" t="s">
        <v>9505</v>
      </c>
      <c r="I5191" s="15" t="s">
        <v>1919</v>
      </c>
    </row>
    <row r="5192" spans="1:9" ht="51.75" customHeight="1" x14ac:dyDescent="0.35">
      <c r="A5192" s="15" t="s">
        <v>24509</v>
      </c>
      <c r="B5192" s="15" t="s">
        <v>36045</v>
      </c>
      <c r="C5192" s="15" t="s">
        <v>36046</v>
      </c>
      <c r="D5192" s="31" t="s">
        <v>50</v>
      </c>
      <c r="E5192" s="15" t="s">
        <v>36047</v>
      </c>
      <c r="F5192" s="87" t="s">
        <v>21871</v>
      </c>
      <c r="G5192" s="45" t="s">
        <v>9504</v>
      </c>
      <c r="H5192" s="55" t="s">
        <v>9505</v>
      </c>
      <c r="I5192" s="15" t="s">
        <v>1919</v>
      </c>
    </row>
    <row r="5193" spans="1:9" ht="51.75" customHeight="1" x14ac:dyDescent="0.35">
      <c r="A5193" s="15" t="s">
        <v>24515</v>
      </c>
      <c r="B5193" s="15" t="s">
        <v>36048</v>
      </c>
      <c r="C5193" s="15" t="s">
        <v>36049</v>
      </c>
      <c r="D5193" s="31" t="s">
        <v>50</v>
      </c>
      <c r="E5193" s="15" t="s">
        <v>36050</v>
      </c>
      <c r="F5193" s="87" t="s">
        <v>21871</v>
      </c>
      <c r="G5193" s="45" t="s">
        <v>9504</v>
      </c>
      <c r="H5193" s="55" t="s">
        <v>9505</v>
      </c>
      <c r="I5193" s="15" t="s">
        <v>1919</v>
      </c>
    </row>
    <row r="5194" spans="1:9" ht="51.75" customHeight="1" x14ac:dyDescent="0.35">
      <c r="A5194" s="15" t="s">
        <v>24541</v>
      </c>
      <c r="B5194" s="15" t="s">
        <v>36051</v>
      </c>
      <c r="C5194" s="15" t="s">
        <v>36052</v>
      </c>
      <c r="D5194" s="31" t="s">
        <v>50</v>
      </c>
      <c r="E5194" s="15" t="s">
        <v>36053</v>
      </c>
      <c r="F5194" s="87" t="s">
        <v>21871</v>
      </c>
      <c r="G5194" s="45" t="s">
        <v>9504</v>
      </c>
      <c r="H5194" s="55" t="s">
        <v>9505</v>
      </c>
      <c r="I5194" s="15" t="s">
        <v>1919</v>
      </c>
    </row>
    <row r="5195" spans="1:9" ht="51.75" customHeight="1" x14ac:dyDescent="0.35">
      <c r="A5195" s="15" t="s">
        <v>24536</v>
      </c>
      <c r="B5195" s="15" t="s">
        <v>36054</v>
      </c>
      <c r="C5195" s="15" t="s">
        <v>36055</v>
      </c>
      <c r="D5195" s="31" t="s">
        <v>50</v>
      </c>
      <c r="E5195" s="15" t="s">
        <v>36056</v>
      </c>
      <c r="F5195" s="87" t="s">
        <v>21871</v>
      </c>
      <c r="G5195" s="45" t="s">
        <v>9504</v>
      </c>
      <c r="H5195" s="55" t="s">
        <v>9505</v>
      </c>
      <c r="I5195" s="15" t="s">
        <v>1919</v>
      </c>
    </row>
    <row r="5196" spans="1:9" ht="51.75" customHeight="1" x14ac:dyDescent="0.35">
      <c r="A5196" s="15" t="s">
        <v>24521</v>
      </c>
      <c r="B5196" s="15" t="s">
        <v>36057</v>
      </c>
      <c r="C5196" s="15" t="s">
        <v>36058</v>
      </c>
      <c r="D5196" s="31" t="s">
        <v>50</v>
      </c>
      <c r="E5196" s="15" t="s">
        <v>36059</v>
      </c>
      <c r="F5196" s="87" t="s">
        <v>21871</v>
      </c>
      <c r="G5196" s="45" t="s">
        <v>9504</v>
      </c>
      <c r="H5196" s="55" t="s">
        <v>9505</v>
      </c>
      <c r="I5196" s="15" t="s">
        <v>1919</v>
      </c>
    </row>
    <row r="5197" spans="1:9" ht="51.75" customHeight="1" x14ac:dyDescent="0.35">
      <c r="A5197" s="15" t="s">
        <v>24526</v>
      </c>
      <c r="B5197" s="15" t="s">
        <v>36060</v>
      </c>
      <c r="C5197" s="15" t="s">
        <v>36061</v>
      </c>
      <c r="D5197" s="31" t="s">
        <v>50</v>
      </c>
      <c r="E5197" s="15" t="s">
        <v>36062</v>
      </c>
      <c r="F5197" s="87" t="s">
        <v>21871</v>
      </c>
      <c r="G5197" s="45" t="s">
        <v>9504</v>
      </c>
      <c r="H5197" s="55" t="s">
        <v>9505</v>
      </c>
      <c r="I5197" s="15" t="s">
        <v>1919</v>
      </c>
    </row>
    <row r="5198" spans="1:9" ht="51.75" customHeight="1" x14ac:dyDescent="0.35">
      <c r="A5198" s="15" t="s">
        <v>24197</v>
      </c>
      <c r="B5198" s="15" t="s">
        <v>36063</v>
      </c>
      <c r="C5198" s="15" t="s">
        <v>36064</v>
      </c>
      <c r="D5198" s="31">
        <v>43089</v>
      </c>
      <c r="E5198" s="15" t="s">
        <v>36065</v>
      </c>
      <c r="F5198" s="87" t="s">
        <v>21871</v>
      </c>
      <c r="G5198" s="45" t="s">
        <v>13202</v>
      </c>
      <c r="H5198" s="55" t="s">
        <v>13203</v>
      </c>
      <c r="I5198" s="15" t="s">
        <v>1919</v>
      </c>
    </row>
    <row r="5199" spans="1:9" ht="51.75" customHeight="1" x14ac:dyDescent="0.35">
      <c r="A5199" s="15" t="s">
        <v>23246</v>
      </c>
      <c r="B5199" s="15" t="s">
        <v>36066</v>
      </c>
      <c r="C5199" s="15" t="s">
        <v>36067</v>
      </c>
      <c r="D5199" s="31" t="s">
        <v>50</v>
      </c>
      <c r="E5199" s="15" t="s">
        <v>36068</v>
      </c>
      <c r="F5199" s="87" t="s">
        <v>21871</v>
      </c>
      <c r="G5199" s="45" t="s">
        <v>13202</v>
      </c>
      <c r="H5199" s="55" t="s">
        <v>13203</v>
      </c>
      <c r="I5199" s="15" t="s">
        <v>1919</v>
      </c>
    </row>
    <row r="5200" spans="1:9" ht="51.75" customHeight="1" x14ac:dyDescent="0.35">
      <c r="A5200" s="15" t="s">
        <v>23252</v>
      </c>
      <c r="B5200" s="15" t="s">
        <v>36069</v>
      </c>
      <c r="C5200" s="15" t="s">
        <v>36070</v>
      </c>
      <c r="D5200" s="31" t="s">
        <v>50</v>
      </c>
      <c r="E5200" s="15" t="s">
        <v>36071</v>
      </c>
      <c r="F5200" s="87" t="s">
        <v>21871</v>
      </c>
      <c r="G5200" s="45" t="s">
        <v>13202</v>
      </c>
      <c r="H5200" s="55" t="s">
        <v>13203</v>
      </c>
      <c r="I5200" s="15" t="s">
        <v>1919</v>
      </c>
    </row>
    <row r="5201" spans="1:9" ht="51.75" customHeight="1" x14ac:dyDescent="0.35">
      <c r="A5201" s="15" t="s">
        <v>23258</v>
      </c>
      <c r="B5201" s="15" t="s">
        <v>36072</v>
      </c>
      <c r="C5201" s="15" t="s">
        <v>36073</v>
      </c>
      <c r="D5201" s="31" t="s">
        <v>50</v>
      </c>
      <c r="E5201" s="15" t="s">
        <v>36074</v>
      </c>
      <c r="F5201" s="87" t="s">
        <v>21871</v>
      </c>
      <c r="G5201" s="45" t="s">
        <v>13202</v>
      </c>
      <c r="H5201" s="55" t="s">
        <v>13203</v>
      </c>
      <c r="I5201" s="15" t="s">
        <v>1919</v>
      </c>
    </row>
    <row r="5202" spans="1:9" ht="51.75" customHeight="1" x14ac:dyDescent="0.35">
      <c r="A5202" s="15" t="s">
        <v>22945</v>
      </c>
      <c r="B5202" s="15" t="s">
        <v>36075</v>
      </c>
      <c r="C5202" s="15" t="s">
        <v>36076</v>
      </c>
      <c r="D5202" s="31" t="s">
        <v>50</v>
      </c>
      <c r="E5202" s="15" t="s">
        <v>36076</v>
      </c>
      <c r="F5202" s="87" t="s">
        <v>21871</v>
      </c>
      <c r="G5202" s="45" t="s">
        <v>13202</v>
      </c>
      <c r="H5202" s="55" t="s">
        <v>13203</v>
      </c>
      <c r="I5202" s="15" t="s">
        <v>1919</v>
      </c>
    </row>
    <row r="5203" spans="1:9" ht="51.75" customHeight="1" x14ac:dyDescent="0.35">
      <c r="A5203" s="15" t="s">
        <v>25925</v>
      </c>
      <c r="B5203" s="15" t="s">
        <v>36077</v>
      </c>
      <c r="C5203" s="15" t="s">
        <v>36078</v>
      </c>
      <c r="D5203" s="31" t="s">
        <v>50</v>
      </c>
      <c r="E5203" s="15" t="s">
        <v>36079</v>
      </c>
      <c r="F5203" s="87" t="s">
        <v>21871</v>
      </c>
      <c r="G5203" s="45" t="s">
        <v>14073</v>
      </c>
      <c r="H5203" s="55" t="s">
        <v>14074</v>
      </c>
      <c r="I5203" s="15" t="s">
        <v>1919</v>
      </c>
    </row>
    <row r="5204" spans="1:9" ht="51.75" customHeight="1" x14ac:dyDescent="0.35">
      <c r="A5204" s="15" t="s">
        <v>25929</v>
      </c>
      <c r="B5204" s="15" t="s">
        <v>36080</v>
      </c>
      <c r="C5204" s="15" t="s">
        <v>36081</v>
      </c>
      <c r="D5204" s="31" t="s">
        <v>50</v>
      </c>
      <c r="E5204" s="15" t="s">
        <v>36082</v>
      </c>
      <c r="F5204" s="87" t="s">
        <v>21871</v>
      </c>
      <c r="G5204" s="45" t="s">
        <v>14073</v>
      </c>
      <c r="H5204" s="55" t="s">
        <v>14074</v>
      </c>
      <c r="I5204" s="15" t="s">
        <v>1919</v>
      </c>
    </row>
    <row r="5205" spans="1:9" ht="51.75" customHeight="1" x14ac:dyDescent="0.35">
      <c r="A5205" s="15" t="s">
        <v>25945</v>
      </c>
      <c r="B5205" s="15" t="s">
        <v>36083</v>
      </c>
      <c r="C5205" s="15" t="s">
        <v>36084</v>
      </c>
      <c r="D5205" s="31" t="s">
        <v>50</v>
      </c>
      <c r="E5205" s="15" t="s">
        <v>36085</v>
      </c>
      <c r="F5205" s="87" t="s">
        <v>21871</v>
      </c>
      <c r="G5205" s="45" t="s">
        <v>14073</v>
      </c>
      <c r="H5205" s="55" t="s">
        <v>14074</v>
      </c>
      <c r="I5205" s="15" t="s">
        <v>1919</v>
      </c>
    </row>
    <row r="5206" spans="1:9" ht="51.75" customHeight="1" x14ac:dyDescent="0.35">
      <c r="A5206" s="15" t="s">
        <v>25949</v>
      </c>
      <c r="B5206" s="15" t="s">
        <v>36086</v>
      </c>
      <c r="C5206" s="15" t="s">
        <v>36087</v>
      </c>
      <c r="D5206" s="31" t="s">
        <v>50</v>
      </c>
      <c r="E5206" s="15" t="s">
        <v>36088</v>
      </c>
      <c r="F5206" s="87" t="s">
        <v>21871</v>
      </c>
      <c r="G5206" s="45" t="s">
        <v>14073</v>
      </c>
      <c r="H5206" s="55" t="s">
        <v>14074</v>
      </c>
      <c r="I5206" s="15" t="s">
        <v>1919</v>
      </c>
    </row>
    <row r="5207" spans="1:9" ht="51.75" customHeight="1" x14ac:dyDescent="0.35">
      <c r="A5207" s="15" t="s">
        <v>36089</v>
      </c>
      <c r="B5207" s="15" t="s">
        <v>36090</v>
      </c>
      <c r="C5207" s="15" t="s">
        <v>36091</v>
      </c>
      <c r="D5207" s="31" t="s">
        <v>50</v>
      </c>
      <c r="E5207" s="15" t="s">
        <v>36092</v>
      </c>
      <c r="F5207" s="87" t="s">
        <v>21871</v>
      </c>
      <c r="G5207" s="45" t="s">
        <v>14073</v>
      </c>
      <c r="H5207" s="55" t="s">
        <v>14074</v>
      </c>
      <c r="I5207" s="15" t="s">
        <v>1919</v>
      </c>
    </row>
    <row r="5208" spans="1:9" ht="51.75" customHeight="1" x14ac:dyDescent="0.35">
      <c r="A5208" s="15" t="s">
        <v>36093</v>
      </c>
      <c r="B5208" s="15" t="s">
        <v>36094</v>
      </c>
      <c r="C5208" s="15" t="s">
        <v>36095</v>
      </c>
      <c r="D5208" s="31" t="s">
        <v>50</v>
      </c>
      <c r="E5208" s="15" t="s">
        <v>36096</v>
      </c>
      <c r="F5208" s="87" t="s">
        <v>21871</v>
      </c>
      <c r="G5208" s="45" t="s">
        <v>14073</v>
      </c>
      <c r="H5208" s="55" t="s">
        <v>14074</v>
      </c>
      <c r="I5208" s="15" t="s">
        <v>1919</v>
      </c>
    </row>
    <row r="5209" spans="1:9" ht="51.75" customHeight="1" x14ac:dyDescent="0.35">
      <c r="A5209" s="15" t="s">
        <v>36097</v>
      </c>
      <c r="B5209" s="15" t="s">
        <v>36098</v>
      </c>
      <c r="C5209" s="15" t="s">
        <v>36099</v>
      </c>
      <c r="D5209" s="31" t="s">
        <v>50</v>
      </c>
      <c r="E5209" s="15" t="s">
        <v>36100</v>
      </c>
      <c r="F5209" s="87" t="s">
        <v>21871</v>
      </c>
      <c r="G5209" s="45" t="s">
        <v>14073</v>
      </c>
      <c r="H5209" s="55" t="s">
        <v>14074</v>
      </c>
      <c r="I5209" s="15" t="s">
        <v>1919</v>
      </c>
    </row>
    <row r="5210" spans="1:9" ht="51.75" customHeight="1" x14ac:dyDescent="0.35">
      <c r="A5210" s="15" t="s">
        <v>36101</v>
      </c>
      <c r="B5210" s="15" t="s">
        <v>36102</v>
      </c>
      <c r="C5210" s="15" t="s">
        <v>36103</v>
      </c>
      <c r="D5210" s="31">
        <v>43746</v>
      </c>
      <c r="E5210" s="15" t="s">
        <v>36104</v>
      </c>
      <c r="F5210" s="87" t="s">
        <v>21871</v>
      </c>
      <c r="G5210" s="45" t="s">
        <v>14974</v>
      </c>
      <c r="H5210" s="55" t="s">
        <v>14975</v>
      </c>
      <c r="I5210" s="15" t="s">
        <v>1919</v>
      </c>
    </row>
    <row r="5211" spans="1:9" ht="51.75" customHeight="1" x14ac:dyDescent="0.35">
      <c r="A5211" s="15" t="s">
        <v>36105</v>
      </c>
      <c r="B5211" s="15" t="s">
        <v>36106</v>
      </c>
      <c r="C5211" s="15" t="s">
        <v>36107</v>
      </c>
      <c r="D5211" s="31">
        <v>43746</v>
      </c>
      <c r="E5211" s="15" t="s">
        <v>36108</v>
      </c>
      <c r="F5211" s="87" t="s">
        <v>21871</v>
      </c>
      <c r="G5211" s="45" t="s">
        <v>14974</v>
      </c>
      <c r="H5211" s="55" t="s">
        <v>14975</v>
      </c>
      <c r="I5211" s="15" t="s">
        <v>1919</v>
      </c>
    </row>
    <row r="5212" spans="1:9" ht="51.75" customHeight="1" x14ac:dyDescent="0.35">
      <c r="A5212" s="15" t="s">
        <v>36109</v>
      </c>
      <c r="B5212" s="15" t="s">
        <v>36110</v>
      </c>
      <c r="C5212" s="15" t="s">
        <v>36111</v>
      </c>
      <c r="D5212" s="31">
        <v>43746</v>
      </c>
      <c r="E5212" s="15" t="s">
        <v>36112</v>
      </c>
      <c r="F5212" s="87" t="s">
        <v>21871</v>
      </c>
      <c r="G5212" s="45" t="s">
        <v>14974</v>
      </c>
      <c r="H5212" s="55" t="s">
        <v>14975</v>
      </c>
      <c r="I5212" s="15" t="s">
        <v>1919</v>
      </c>
    </row>
    <row r="5213" spans="1:9" ht="51.75" customHeight="1" x14ac:dyDescent="0.35">
      <c r="A5213" s="15" t="s">
        <v>36113</v>
      </c>
      <c r="B5213" s="15" t="s">
        <v>36114</v>
      </c>
      <c r="C5213" s="15" t="s">
        <v>36115</v>
      </c>
      <c r="D5213" s="31">
        <v>43746</v>
      </c>
      <c r="E5213" s="15" t="s">
        <v>36116</v>
      </c>
      <c r="F5213" s="87" t="s">
        <v>21871</v>
      </c>
      <c r="G5213" s="45" t="s">
        <v>14974</v>
      </c>
      <c r="H5213" s="55" t="s">
        <v>14975</v>
      </c>
      <c r="I5213" s="15" t="s">
        <v>1919</v>
      </c>
    </row>
    <row r="5214" spans="1:9" ht="51.75" customHeight="1" x14ac:dyDescent="0.35">
      <c r="A5214" s="15" t="s">
        <v>36117</v>
      </c>
      <c r="B5214" s="15" t="s">
        <v>36118</v>
      </c>
      <c r="C5214" s="15" t="s">
        <v>36119</v>
      </c>
      <c r="D5214" s="31">
        <v>43746</v>
      </c>
      <c r="E5214" s="15" t="s">
        <v>36120</v>
      </c>
      <c r="F5214" s="87" t="s">
        <v>21871</v>
      </c>
      <c r="G5214" s="45" t="s">
        <v>14974</v>
      </c>
      <c r="H5214" s="55" t="s">
        <v>14975</v>
      </c>
      <c r="I5214" s="15" t="s">
        <v>1919</v>
      </c>
    </row>
    <row r="5215" spans="1:9" ht="51.75" customHeight="1" x14ac:dyDescent="0.35">
      <c r="A5215" s="15" t="s">
        <v>36121</v>
      </c>
      <c r="B5215" s="15" t="s">
        <v>36122</v>
      </c>
      <c r="C5215" s="15" t="s">
        <v>36123</v>
      </c>
      <c r="D5215" s="31">
        <v>43746</v>
      </c>
      <c r="E5215" s="15" t="s">
        <v>36124</v>
      </c>
      <c r="F5215" s="87" t="s">
        <v>21871</v>
      </c>
      <c r="G5215" s="45" t="s">
        <v>14974</v>
      </c>
      <c r="H5215" s="55" t="s">
        <v>14975</v>
      </c>
      <c r="I5215" s="15" t="s">
        <v>1919</v>
      </c>
    </row>
    <row r="5216" spans="1:9" ht="51.75" customHeight="1" x14ac:dyDescent="0.35">
      <c r="A5216" s="15" t="s">
        <v>36125</v>
      </c>
      <c r="B5216" s="15" t="s">
        <v>36126</v>
      </c>
      <c r="C5216" s="15" t="s">
        <v>36127</v>
      </c>
      <c r="D5216" s="31">
        <v>43746</v>
      </c>
      <c r="E5216" s="15" t="s">
        <v>36128</v>
      </c>
      <c r="F5216" s="87" t="s">
        <v>21871</v>
      </c>
      <c r="G5216" s="45" t="s">
        <v>14974</v>
      </c>
      <c r="H5216" s="55" t="s">
        <v>14975</v>
      </c>
      <c r="I5216" s="15" t="s">
        <v>1919</v>
      </c>
    </row>
    <row r="5217" spans="1:9" ht="51.75" customHeight="1" x14ac:dyDescent="0.35">
      <c r="A5217" s="15" t="s">
        <v>36129</v>
      </c>
      <c r="B5217" s="15" t="s">
        <v>36130</v>
      </c>
      <c r="C5217" s="15" t="s">
        <v>36131</v>
      </c>
      <c r="D5217" s="31">
        <v>43746</v>
      </c>
      <c r="E5217" s="15" t="s">
        <v>36132</v>
      </c>
      <c r="F5217" s="87" t="s">
        <v>21871</v>
      </c>
      <c r="G5217" s="45" t="s">
        <v>14974</v>
      </c>
      <c r="H5217" s="55" t="s">
        <v>14975</v>
      </c>
      <c r="I5217" s="15" t="s">
        <v>1919</v>
      </c>
    </row>
    <row r="5218" spans="1:9" ht="51.75" customHeight="1" x14ac:dyDescent="0.35">
      <c r="A5218" s="15" t="s">
        <v>35682</v>
      </c>
      <c r="B5218" s="15" t="s">
        <v>36133</v>
      </c>
      <c r="C5218" s="15" t="s">
        <v>36134</v>
      </c>
      <c r="D5218" s="31">
        <v>43746</v>
      </c>
      <c r="E5218" s="15" t="s">
        <v>36135</v>
      </c>
      <c r="F5218" s="87" t="s">
        <v>21871</v>
      </c>
      <c r="G5218" s="45" t="s">
        <v>14974</v>
      </c>
      <c r="H5218" s="55" t="s">
        <v>14975</v>
      </c>
      <c r="I5218" s="15" t="s">
        <v>1919</v>
      </c>
    </row>
    <row r="5219" spans="1:9" ht="51.75" customHeight="1" x14ac:dyDescent="0.35">
      <c r="A5219" s="15" t="s">
        <v>36136</v>
      </c>
      <c r="B5219" s="15" t="s">
        <v>36137</v>
      </c>
      <c r="C5219" s="15" t="s">
        <v>36138</v>
      </c>
      <c r="D5219" s="31">
        <v>43746</v>
      </c>
      <c r="E5219" s="15" t="s">
        <v>36139</v>
      </c>
      <c r="F5219" s="87" t="s">
        <v>21871</v>
      </c>
      <c r="G5219" s="45" t="s">
        <v>14974</v>
      </c>
      <c r="H5219" s="55" t="s">
        <v>14975</v>
      </c>
      <c r="I5219" s="15" t="s">
        <v>1919</v>
      </c>
    </row>
    <row r="5220" spans="1:9" ht="51.75" customHeight="1" x14ac:dyDescent="0.35">
      <c r="A5220" s="15" t="s">
        <v>35685</v>
      </c>
      <c r="B5220" s="15" t="s">
        <v>36140</v>
      </c>
      <c r="C5220" s="15" t="s">
        <v>36141</v>
      </c>
      <c r="D5220" s="31">
        <v>43746</v>
      </c>
      <c r="E5220" s="15" t="s">
        <v>36142</v>
      </c>
      <c r="F5220" s="87" t="s">
        <v>21871</v>
      </c>
      <c r="G5220" s="45" t="s">
        <v>14974</v>
      </c>
      <c r="H5220" s="55" t="s">
        <v>14975</v>
      </c>
      <c r="I5220" s="15" t="s">
        <v>1919</v>
      </c>
    </row>
    <row r="5221" spans="1:9" ht="51.75" customHeight="1" x14ac:dyDescent="0.35">
      <c r="A5221" s="15" t="s">
        <v>29442</v>
      </c>
      <c r="B5221" s="15" t="s">
        <v>36143</v>
      </c>
      <c r="C5221" s="15" t="s">
        <v>36144</v>
      </c>
      <c r="D5221" s="31">
        <v>43746</v>
      </c>
      <c r="E5221" s="15" t="s">
        <v>36145</v>
      </c>
      <c r="F5221" s="87" t="s">
        <v>21871</v>
      </c>
      <c r="G5221" s="45" t="s">
        <v>14974</v>
      </c>
      <c r="H5221" s="55" t="s">
        <v>14975</v>
      </c>
      <c r="I5221" s="15" t="s">
        <v>1919</v>
      </c>
    </row>
    <row r="5222" spans="1:9" ht="51.75" customHeight="1" x14ac:dyDescent="0.35">
      <c r="A5222" s="15" t="s">
        <v>29448</v>
      </c>
      <c r="B5222" s="15" t="s">
        <v>36146</v>
      </c>
      <c r="C5222" s="15" t="s">
        <v>36147</v>
      </c>
      <c r="D5222" s="31" t="s">
        <v>50</v>
      </c>
      <c r="E5222" s="15" t="s">
        <v>36148</v>
      </c>
      <c r="F5222" s="87" t="s">
        <v>21871</v>
      </c>
      <c r="G5222" s="45" t="s">
        <v>14974</v>
      </c>
      <c r="H5222" s="55" t="s">
        <v>14975</v>
      </c>
      <c r="I5222" s="15" t="s">
        <v>1919</v>
      </c>
    </row>
    <row r="5223" spans="1:9" ht="51.75" customHeight="1" x14ac:dyDescent="0.35">
      <c r="A5223" s="15" t="s">
        <v>36149</v>
      </c>
      <c r="B5223" s="15" t="s">
        <v>36150</v>
      </c>
      <c r="C5223" s="15" t="s">
        <v>36151</v>
      </c>
      <c r="D5223" s="31">
        <v>43746</v>
      </c>
      <c r="E5223" s="15" t="s">
        <v>36152</v>
      </c>
      <c r="F5223" s="87" t="s">
        <v>21871</v>
      </c>
      <c r="G5223" s="45" t="s">
        <v>14974</v>
      </c>
      <c r="H5223" s="55" t="s">
        <v>14975</v>
      </c>
      <c r="I5223" s="15" t="s">
        <v>1919</v>
      </c>
    </row>
    <row r="5224" spans="1:9" ht="51.75" customHeight="1" x14ac:dyDescent="0.35">
      <c r="A5224" s="15" t="s">
        <v>36153</v>
      </c>
      <c r="B5224" s="15" t="s">
        <v>36154</v>
      </c>
      <c r="C5224" s="15" t="s">
        <v>36155</v>
      </c>
      <c r="D5224" s="31">
        <v>43746</v>
      </c>
      <c r="E5224" s="15" t="s">
        <v>36156</v>
      </c>
      <c r="F5224" s="87" t="s">
        <v>21871</v>
      </c>
      <c r="G5224" s="45" t="s">
        <v>14974</v>
      </c>
      <c r="H5224" s="55" t="s">
        <v>14975</v>
      </c>
      <c r="I5224" s="15" t="s">
        <v>1919</v>
      </c>
    </row>
    <row r="5225" spans="1:9" ht="51.75" customHeight="1" x14ac:dyDescent="0.35">
      <c r="A5225" s="15" t="s">
        <v>36157</v>
      </c>
      <c r="B5225" s="15" t="s">
        <v>36158</v>
      </c>
      <c r="C5225" s="15" t="s">
        <v>36159</v>
      </c>
      <c r="D5225" s="31">
        <v>43746</v>
      </c>
      <c r="E5225" s="15" t="s">
        <v>36160</v>
      </c>
      <c r="F5225" s="87" t="s">
        <v>21871</v>
      </c>
      <c r="G5225" s="45" t="s">
        <v>14974</v>
      </c>
      <c r="H5225" s="55" t="s">
        <v>14975</v>
      </c>
      <c r="I5225" s="15" t="s">
        <v>1919</v>
      </c>
    </row>
    <row r="5226" spans="1:9" ht="51.75" customHeight="1" x14ac:dyDescent="0.35">
      <c r="A5226" s="15" t="s">
        <v>36161</v>
      </c>
      <c r="B5226" s="15" t="s">
        <v>36162</v>
      </c>
      <c r="C5226" s="15" t="s">
        <v>36163</v>
      </c>
      <c r="D5226" s="31">
        <v>43746</v>
      </c>
      <c r="E5226" s="15" t="s">
        <v>36164</v>
      </c>
      <c r="F5226" s="87" t="s">
        <v>21871</v>
      </c>
      <c r="G5226" s="45" t="s">
        <v>14974</v>
      </c>
      <c r="H5226" s="55" t="s">
        <v>14975</v>
      </c>
      <c r="I5226" s="15" t="s">
        <v>1919</v>
      </c>
    </row>
    <row r="5227" spans="1:9" ht="51.75" customHeight="1" x14ac:dyDescent="0.35">
      <c r="A5227" s="15" t="s">
        <v>36165</v>
      </c>
      <c r="B5227" s="15" t="s">
        <v>36166</v>
      </c>
      <c r="C5227" s="15" t="s">
        <v>36167</v>
      </c>
      <c r="D5227" s="31">
        <v>43746</v>
      </c>
      <c r="E5227" s="15" t="s">
        <v>36168</v>
      </c>
      <c r="F5227" s="87" t="s">
        <v>21871</v>
      </c>
      <c r="G5227" s="45" t="s">
        <v>14974</v>
      </c>
      <c r="H5227" s="55" t="s">
        <v>14975</v>
      </c>
      <c r="I5227" s="15" t="s">
        <v>1919</v>
      </c>
    </row>
    <row r="5228" spans="1:9" ht="51.75" customHeight="1" x14ac:dyDescent="0.35">
      <c r="A5228" s="15" t="s">
        <v>36169</v>
      </c>
      <c r="B5228" s="15" t="s">
        <v>36170</v>
      </c>
      <c r="C5228" s="15" t="s">
        <v>36171</v>
      </c>
      <c r="D5228" s="31">
        <v>43746</v>
      </c>
      <c r="E5228" s="15" t="s">
        <v>36172</v>
      </c>
      <c r="F5228" s="87" t="s">
        <v>21871</v>
      </c>
      <c r="G5228" s="45" t="s">
        <v>14974</v>
      </c>
      <c r="H5228" s="55" t="s">
        <v>14975</v>
      </c>
      <c r="I5228" s="15" t="s">
        <v>1919</v>
      </c>
    </row>
    <row r="5229" spans="1:9" ht="51.75" customHeight="1" x14ac:dyDescent="0.35">
      <c r="A5229" s="15" t="s">
        <v>36173</v>
      </c>
      <c r="B5229" s="15" t="s">
        <v>36174</v>
      </c>
      <c r="C5229" s="15" t="s">
        <v>36175</v>
      </c>
      <c r="D5229" s="31">
        <v>43746</v>
      </c>
      <c r="E5229" s="15" t="s">
        <v>36176</v>
      </c>
      <c r="F5229" s="87" t="s">
        <v>21871</v>
      </c>
      <c r="G5229" s="45" t="s">
        <v>14974</v>
      </c>
      <c r="H5229" s="55" t="s">
        <v>14975</v>
      </c>
      <c r="I5229" s="15" t="s">
        <v>1919</v>
      </c>
    </row>
    <row r="5230" spans="1:9" ht="51.75" customHeight="1" x14ac:dyDescent="0.35">
      <c r="A5230" s="15" t="s">
        <v>24747</v>
      </c>
      <c r="B5230" s="15" t="s">
        <v>36177</v>
      </c>
      <c r="C5230" s="15" t="s">
        <v>29481</v>
      </c>
      <c r="D5230" s="31" t="s">
        <v>50</v>
      </c>
      <c r="E5230" s="15" t="s">
        <v>36178</v>
      </c>
      <c r="F5230" s="87" t="s">
        <v>21871</v>
      </c>
      <c r="G5230" s="45" t="s">
        <v>15327</v>
      </c>
      <c r="H5230" s="55" t="s">
        <v>15328</v>
      </c>
      <c r="I5230" s="15" t="s">
        <v>1919</v>
      </c>
    </row>
    <row r="5231" spans="1:9" ht="51.75" customHeight="1" x14ac:dyDescent="0.35">
      <c r="A5231" s="15" t="s">
        <v>32801</v>
      </c>
      <c r="B5231" s="15" t="s">
        <v>36179</v>
      </c>
      <c r="C5231" s="15" t="s">
        <v>36180</v>
      </c>
      <c r="D5231" s="31" t="s">
        <v>50</v>
      </c>
      <c r="E5231" s="15" t="s">
        <v>36181</v>
      </c>
      <c r="F5231" s="87" t="s">
        <v>21871</v>
      </c>
      <c r="G5231" s="45" t="s">
        <v>15327</v>
      </c>
      <c r="H5231" s="55" t="s">
        <v>15328</v>
      </c>
      <c r="I5231" s="15" t="s">
        <v>1919</v>
      </c>
    </row>
    <row r="5232" spans="1:9" ht="51.75" customHeight="1" x14ac:dyDescent="0.35">
      <c r="A5232" s="15" t="s">
        <v>32805</v>
      </c>
      <c r="B5232" s="15" t="s">
        <v>36182</v>
      </c>
      <c r="C5232" s="15" t="s">
        <v>36183</v>
      </c>
      <c r="D5232" s="31" t="s">
        <v>50</v>
      </c>
      <c r="E5232" s="15" t="s">
        <v>36184</v>
      </c>
      <c r="F5232" s="87" t="s">
        <v>21871</v>
      </c>
      <c r="G5232" s="45" t="s">
        <v>15327</v>
      </c>
      <c r="H5232" s="55" t="s">
        <v>15328</v>
      </c>
      <c r="I5232" s="15" t="s">
        <v>1919</v>
      </c>
    </row>
    <row r="5233" spans="1:9" ht="51.75" customHeight="1" x14ac:dyDescent="0.35">
      <c r="A5233" s="15" t="s">
        <v>27327</v>
      </c>
      <c r="B5233" s="15" t="s">
        <v>36185</v>
      </c>
      <c r="C5233" s="15" t="s">
        <v>36186</v>
      </c>
      <c r="D5233" s="31" t="s">
        <v>50</v>
      </c>
      <c r="E5233" s="15" t="s">
        <v>36187</v>
      </c>
      <c r="F5233" s="87" t="s">
        <v>21871</v>
      </c>
      <c r="G5233" s="45" t="s">
        <v>15327</v>
      </c>
      <c r="H5233" s="55" t="s">
        <v>15328</v>
      </c>
      <c r="I5233" s="15" t="s">
        <v>1919</v>
      </c>
    </row>
    <row r="5234" spans="1:9" ht="51.75" customHeight="1" x14ac:dyDescent="0.35">
      <c r="A5234" s="15" t="s">
        <v>26699</v>
      </c>
      <c r="B5234" s="15" t="s">
        <v>36188</v>
      </c>
      <c r="C5234" s="15" t="s">
        <v>36189</v>
      </c>
      <c r="D5234" s="31" t="s">
        <v>50</v>
      </c>
      <c r="E5234" s="15" t="s">
        <v>36189</v>
      </c>
      <c r="F5234" s="87" t="s">
        <v>21871</v>
      </c>
      <c r="G5234" s="45" t="s">
        <v>15327</v>
      </c>
      <c r="H5234" s="55" t="s">
        <v>15328</v>
      </c>
      <c r="I5234" s="15" t="s">
        <v>1919</v>
      </c>
    </row>
    <row r="5235" spans="1:9" ht="51.75" customHeight="1" x14ac:dyDescent="0.35">
      <c r="A5235" s="15" t="s">
        <v>26702</v>
      </c>
      <c r="B5235" s="15" t="s">
        <v>36190</v>
      </c>
      <c r="C5235" s="15" t="s">
        <v>36191</v>
      </c>
      <c r="D5235" s="31" t="s">
        <v>50</v>
      </c>
      <c r="E5235" s="15" t="s">
        <v>36192</v>
      </c>
      <c r="F5235" s="87" t="s">
        <v>21871</v>
      </c>
      <c r="G5235" s="45" t="s">
        <v>15327</v>
      </c>
      <c r="H5235" s="55" t="s">
        <v>15328</v>
      </c>
      <c r="I5235" s="15" t="s">
        <v>1919</v>
      </c>
    </row>
    <row r="5236" spans="1:9" ht="51.75" customHeight="1" x14ac:dyDescent="0.35">
      <c r="A5236" s="15" t="s">
        <v>26705</v>
      </c>
      <c r="B5236" s="15" t="s">
        <v>36193</v>
      </c>
      <c r="C5236" s="15" t="s">
        <v>36194</v>
      </c>
      <c r="D5236" s="31" t="s">
        <v>50</v>
      </c>
      <c r="E5236" s="15" t="s">
        <v>36195</v>
      </c>
      <c r="F5236" s="87" t="s">
        <v>21871</v>
      </c>
      <c r="G5236" s="45" t="s">
        <v>15327</v>
      </c>
      <c r="H5236" s="55" t="s">
        <v>15328</v>
      </c>
      <c r="I5236" s="15" t="s">
        <v>1919</v>
      </c>
    </row>
    <row r="5237" spans="1:9" ht="51.75" customHeight="1" x14ac:dyDescent="0.35">
      <c r="A5237" s="15" t="s">
        <v>22209</v>
      </c>
      <c r="B5237" s="15" t="s">
        <v>36196</v>
      </c>
      <c r="C5237" s="15" t="s">
        <v>29481</v>
      </c>
      <c r="D5237" s="31" t="s">
        <v>50</v>
      </c>
      <c r="E5237" s="15" t="s">
        <v>36197</v>
      </c>
      <c r="F5237" s="87" t="s">
        <v>21871</v>
      </c>
      <c r="G5237" s="45" t="s">
        <v>15417</v>
      </c>
      <c r="H5237" s="55" t="s">
        <v>15418</v>
      </c>
      <c r="I5237" s="15" t="s">
        <v>1919</v>
      </c>
    </row>
    <row r="5238" spans="1:9" ht="51.75" customHeight="1" x14ac:dyDescent="0.35">
      <c r="A5238" s="15" t="s">
        <v>22790</v>
      </c>
      <c r="B5238" s="15" t="s">
        <v>36198</v>
      </c>
      <c r="C5238" s="15" t="s">
        <v>29484</v>
      </c>
      <c r="D5238" s="31" t="s">
        <v>50</v>
      </c>
      <c r="E5238" s="15" t="s">
        <v>36199</v>
      </c>
      <c r="F5238" s="87" t="s">
        <v>21871</v>
      </c>
      <c r="G5238" s="45" t="s">
        <v>15417</v>
      </c>
      <c r="H5238" s="55" t="s">
        <v>15418</v>
      </c>
      <c r="I5238" s="15" t="s">
        <v>1919</v>
      </c>
    </row>
    <row r="5239" spans="1:9" ht="51.75" customHeight="1" x14ac:dyDescent="0.35">
      <c r="A5239" s="15" t="s">
        <v>24736</v>
      </c>
      <c r="B5239" s="15" t="s">
        <v>36200</v>
      </c>
      <c r="C5239" s="15" t="s">
        <v>29487</v>
      </c>
      <c r="D5239" s="31" t="s">
        <v>50</v>
      </c>
      <c r="E5239" s="15" t="s">
        <v>36201</v>
      </c>
      <c r="F5239" s="87" t="s">
        <v>21871</v>
      </c>
      <c r="G5239" s="45" t="s">
        <v>15417</v>
      </c>
      <c r="H5239" s="55" t="s">
        <v>15418</v>
      </c>
      <c r="I5239" s="15" t="s">
        <v>1919</v>
      </c>
    </row>
    <row r="5240" spans="1:9" ht="51.75" customHeight="1" x14ac:dyDescent="0.35">
      <c r="A5240" s="15" t="s">
        <v>22235</v>
      </c>
      <c r="B5240" s="15" t="s">
        <v>36202</v>
      </c>
      <c r="C5240" s="15" t="s">
        <v>29490</v>
      </c>
      <c r="D5240" s="31" t="s">
        <v>50</v>
      </c>
      <c r="E5240" s="15" t="s">
        <v>36203</v>
      </c>
      <c r="F5240" s="87"/>
      <c r="G5240" s="45" t="s">
        <v>15417</v>
      </c>
      <c r="H5240" s="55" t="s">
        <v>15418</v>
      </c>
      <c r="I5240" s="15" t="s">
        <v>1919</v>
      </c>
    </row>
    <row r="5241" spans="1:9" ht="51.75" customHeight="1" x14ac:dyDescent="0.35">
      <c r="A5241" s="15" t="s">
        <v>36204</v>
      </c>
      <c r="B5241" s="15" t="s">
        <v>36205</v>
      </c>
      <c r="C5241" s="15" t="s">
        <v>36206</v>
      </c>
      <c r="D5241" s="31" t="s">
        <v>50</v>
      </c>
      <c r="E5241" s="15" t="s">
        <v>36207</v>
      </c>
      <c r="F5241" s="87" t="s">
        <v>21871</v>
      </c>
      <c r="G5241" s="45" t="s">
        <v>15453</v>
      </c>
      <c r="H5241" s="55" t="s">
        <v>15454</v>
      </c>
      <c r="I5241" s="15" t="s">
        <v>1919</v>
      </c>
    </row>
    <row r="5242" spans="1:9" ht="51.75" customHeight="1" x14ac:dyDescent="0.35">
      <c r="A5242" s="15" t="s">
        <v>36208</v>
      </c>
      <c r="B5242" s="15" t="s">
        <v>36209</v>
      </c>
      <c r="C5242" s="15" t="s">
        <v>36210</v>
      </c>
      <c r="D5242" s="31" t="s">
        <v>50</v>
      </c>
      <c r="E5242" s="15" t="s">
        <v>36211</v>
      </c>
      <c r="F5242" s="87" t="s">
        <v>21871</v>
      </c>
      <c r="G5242" s="45" t="s">
        <v>15453</v>
      </c>
      <c r="H5242" s="55" t="s">
        <v>15454</v>
      </c>
      <c r="I5242" s="15" t="s">
        <v>1919</v>
      </c>
    </row>
    <row r="5243" spans="1:9" ht="51.75" customHeight="1" x14ac:dyDescent="0.35">
      <c r="A5243" s="15" t="s">
        <v>36212</v>
      </c>
      <c r="B5243" s="15" t="s">
        <v>36213</v>
      </c>
      <c r="C5243" s="15" t="s">
        <v>36214</v>
      </c>
      <c r="D5243" s="31" t="s">
        <v>50</v>
      </c>
      <c r="E5243" s="15" t="s">
        <v>36215</v>
      </c>
      <c r="F5243" s="87" t="s">
        <v>21871</v>
      </c>
      <c r="G5243" s="45" t="s">
        <v>15453</v>
      </c>
      <c r="H5243" s="55" t="s">
        <v>15454</v>
      </c>
      <c r="I5243" s="15" t="s">
        <v>1919</v>
      </c>
    </row>
    <row r="5244" spans="1:9" ht="51.75" customHeight="1" x14ac:dyDescent="0.35">
      <c r="A5244" s="15" t="s">
        <v>26508</v>
      </c>
      <c r="B5244" s="15" t="s">
        <v>36216</v>
      </c>
      <c r="C5244" s="15" t="s">
        <v>36217</v>
      </c>
      <c r="D5244" s="31">
        <v>43978</v>
      </c>
      <c r="E5244" s="15" t="s">
        <v>36218</v>
      </c>
      <c r="F5244" s="87" t="s">
        <v>21871</v>
      </c>
      <c r="G5244" s="45" t="s">
        <v>16491</v>
      </c>
      <c r="H5244" s="55" t="s">
        <v>16492</v>
      </c>
      <c r="I5244" s="15" t="s">
        <v>1919</v>
      </c>
    </row>
    <row r="5245" spans="1:9" ht="51.75" customHeight="1" x14ac:dyDescent="0.35">
      <c r="A5245" s="15" t="s">
        <v>26511</v>
      </c>
      <c r="B5245" s="15" t="s">
        <v>36219</v>
      </c>
      <c r="C5245" s="15" t="s">
        <v>36220</v>
      </c>
      <c r="D5245" s="31">
        <v>43978</v>
      </c>
      <c r="E5245" s="15" t="s">
        <v>36221</v>
      </c>
      <c r="F5245" s="87" t="s">
        <v>21871</v>
      </c>
      <c r="G5245" s="45" t="s">
        <v>16491</v>
      </c>
      <c r="H5245" s="55" t="s">
        <v>16492</v>
      </c>
      <c r="I5245" s="15" t="s">
        <v>1919</v>
      </c>
    </row>
    <row r="5246" spans="1:9" ht="51.75" customHeight="1" x14ac:dyDescent="0.35">
      <c r="A5246" s="15"/>
      <c r="B5246" s="15" t="s">
        <v>36222</v>
      </c>
      <c r="C5246" s="15" t="s">
        <v>36223</v>
      </c>
      <c r="D5246" s="28">
        <v>44181</v>
      </c>
      <c r="E5246" s="15" t="s">
        <v>36224</v>
      </c>
      <c r="F5246" s="87" t="s">
        <v>21871</v>
      </c>
      <c r="G5246" s="45" t="s">
        <v>17210</v>
      </c>
      <c r="H5246" s="55" t="s">
        <v>17211</v>
      </c>
      <c r="I5246" s="15" t="s">
        <v>1919</v>
      </c>
    </row>
    <row r="5247" spans="1:9" ht="51.75" customHeight="1" x14ac:dyDescent="0.35">
      <c r="A5247" s="15"/>
      <c r="B5247" s="15" t="s">
        <v>36225</v>
      </c>
      <c r="C5247" s="15" t="s">
        <v>36226</v>
      </c>
      <c r="D5247" s="28">
        <v>44181</v>
      </c>
      <c r="E5247" s="15" t="s">
        <v>36227</v>
      </c>
      <c r="F5247" s="87" t="s">
        <v>21871</v>
      </c>
      <c r="G5247" s="45" t="s">
        <v>17210</v>
      </c>
      <c r="H5247" s="55" t="s">
        <v>17211</v>
      </c>
      <c r="I5247" s="15" t="s">
        <v>1919</v>
      </c>
    </row>
    <row r="5248" spans="1:9" ht="51.75" customHeight="1" x14ac:dyDescent="0.35">
      <c r="A5248" s="15"/>
      <c r="B5248" s="15" t="s">
        <v>36228</v>
      </c>
      <c r="C5248" s="15" t="s">
        <v>36229</v>
      </c>
      <c r="D5248" s="28">
        <v>44181</v>
      </c>
      <c r="E5248" s="15" t="s">
        <v>36230</v>
      </c>
      <c r="F5248" s="87" t="s">
        <v>21871</v>
      </c>
      <c r="G5248" s="45" t="s">
        <v>17210</v>
      </c>
      <c r="H5248" s="55" t="s">
        <v>17211</v>
      </c>
      <c r="I5248" s="15" t="s">
        <v>1919</v>
      </c>
    </row>
    <row r="5249" spans="1:9" ht="51.75" customHeight="1" x14ac:dyDescent="0.35">
      <c r="A5249" s="15"/>
      <c r="B5249" s="15" t="s">
        <v>36231</v>
      </c>
      <c r="C5249" s="15" t="s">
        <v>36232</v>
      </c>
      <c r="D5249" s="28">
        <v>44181</v>
      </c>
      <c r="E5249" s="15" t="s">
        <v>36233</v>
      </c>
      <c r="F5249" s="87" t="s">
        <v>21871</v>
      </c>
      <c r="G5249" s="45" t="s">
        <v>17210</v>
      </c>
      <c r="H5249" s="55" t="s">
        <v>17211</v>
      </c>
      <c r="I5249" s="15" t="s">
        <v>1919</v>
      </c>
    </row>
    <row r="5250" spans="1:9" ht="51.75" customHeight="1" x14ac:dyDescent="0.35">
      <c r="A5250" s="15"/>
      <c r="B5250" s="15" t="s">
        <v>36234</v>
      </c>
      <c r="C5250" s="15" t="s">
        <v>36235</v>
      </c>
      <c r="D5250" s="28">
        <v>44245</v>
      </c>
      <c r="E5250" s="15" t="s">
        <v>36236</v>
      </c>
      <c r="F5250" s="87" t="s">
        <v>21871</v>
      </c>
      <c r="G5250" s="45" t="s">
        <v>17675</v>
      </c>
      <c r="H5250" s="55" t="s">
        <v>17676</v>
      </c>
      <c r="I5250" s="15" t="s">
        <v>1919</v>
      </c>
    </row>
    <row r="5251" spans="1:9" ht="51.75" customHeight="1" x14ac:dyDescent="0.35">
      <c r="A5251" s="15"/>
      <c r="B5251" s="15" t="s">
        <v>36237</v>
      </c>
      <c r="C5251" s="15" t="s">
        <v>36238</v>
      </c>
      <c r="D5251" s="28">
        <v>44245</v>
      </c>
      <c r="E5251" s="15" t="s">
        <v>36239</v>
      </c>
      <c r="F5251" s="87" t="s">
        <v>21871</v>
      </c>
      <c r="G5251" s="45" t="s">
        <v>17675</v>
      </c>
      <c r="H5251" s="55" t="s">
        <v>17676</v>
      </c>
      <c r="I5251" s="15" t="s">
        <v>1919</v>
      </c>
    </row>
    <row r="5252" spans="1:9" ht="51.75" customHeight="1" x14ac:dyDescent="0.35">
      <c r="A5252" s="15"/>
      <c r="B5252" s="15" t="s">
        <v>36240</v>
      </c>
      <c r="C5252" s="15" t="s">
        <v>36241</v>
      </c>
      <c r="D5252" s="28">
        <v>44245</v>
      </c>
      <c r="E5252" s="15" t="s">
        <v>36242</v>
      </c>
      <c r="F5252" s="87" t="s">
        <v>21871</v>
      </c>
      <c r="G5252" s="45" t="s">
        <v>17675</v>
      </c>
      <c r="H5252" s="55" t="s">
        <v>17676</v>
      </c>
      <c r="I5252" s="15" t="s">
        <v>1919</v>
      </c>
    </row>
    <row r="5253" spans="1:9" ht="51.75" customHeight="1" x14ac:dyDescent="0.35">
      <c r="A5253" s="15"/>
      <c r="B5253" s="15" t="s">
        <v>36243</v>
      </c>
      <c r="C5253" s="15" t="s">
        <v>36244</v>
      </c>
      <c r="D5253" s="28">
        <v>44245</v>
      </c>
      <c r="E5253" s="15" t="s">
        <v>36245</v>
      </c>
      <c r="F5253" s="87" t="s">
        <v>21871</v>
      </c>
      <c r="G5253" s="45" t="s">
        <v>17675</v>
      </c>
      <c r="H5253" s="55" t="s">
        <v>17676</v>
      </c>
      <c r="I5253" s="5" t="s">
        <v>1919</v>
      </c>
    </row>
    <row r="5254" spans="1:9" ht="51.75" customHeight="1" x14ac:dyDescent="0.35">
      <c r="A5254" s="15"/>
      <c r="B5254" s="15" t="s">
        <v>36246</v>
      </c>
      <c r="C5254" s="15" t="s">
        <v>36247</v>
      </c>
      <c r="D5254" s="28">
        <v>44245</v>
      </c>
      <c r="E5254" s="15" t="s">
        <v>36248</v>
      </c>
      <c r="F5254" s="87" t="s">
        <v>21871</v>
      </c>
      <c r="G5254" s="15" t="s">
        <v>17785</v>
      </c>
      <c r="H5254" s="55" t="s">
        <v>17786</v>
      </c>
      <c r="I5254" s="5" t="s">
        <v>1919</v>
      </c>
    </row>
    <row r="5255" spans="1:9" ht="51.75" customHeight="1" x14ac:dyDescent="0.35">
      <c r="A5255" s="15"/>
      <c r="B5255" s="15" t="s">
        <v>36249</v>
      </c>
      <c r="C5255" s="15" t="s">
        <v>36250</v>
      </c>
      <c r="D5255" s="28">
        <v>44245</v>
      </c>
      <c r="E5255" s="15" t="s">
        <v>36251</v>
      </c>
      <c r="F5255" s="87" t="s">
        <v>21871</v>
      </c>
      <c r="G5255" s="15" t="s">
        <v>17785</v>
      </c>
      <c r="H5255" s="55" t="s">
        <v>17786</v>
      </c>
      <c r="I5255" s="5" t="s">
        <v>1919</v>
      </c>
    </row>
    <row r="5256" spans="1:9" ht="51.75" customHeight="1" x14ac:dyDescent="0.35">
      <c r="A5256" s="15"/>
      <c r="B5256" s="15" t="s">
        <v>36252</v>
      </c>
      <c r="C5256" s="15" t="s">
        <v>36253</v>
      </c>
      <c r="D5256" s="28">
        <v>44245</v>
      </c>
      <c r="E5256" s="15" t="s">
        <v>36254</v>
      </c>
      <c r="F5256" s="87" t="s">
        <v>21871</v>
      </c>
      <c r="G5256" s="15" t="s">
        <v>17785</v>
      </c>
      <c r="H5256" s="55" t="s">
        <v>17786</v>
      </c>
      <c r="I5256" s="5" t="s">
        <v>1919</v>
      </c>
    </row>
    <row r="5257" spans="1:9" ht="51.75" customHeight="1" x14ac:dyDescent="0.35">
      <c r="A5257" s="30"/>
      <c r="B5257" s="15" t="s">
        <v>36255</v>
      </c>
      <c r="C5257" s="15" t="s">
        <v>36256</v>
      </c>
      <c r="D5257" s="28">
        <v>44245</v>
      </c>
      <c r="E5257" s="15" t="s">
        <v>36257</v>
      </c>
      <c r="F5257" s="87" t="s">
        <v>21871</v>
      </c>
      <c r="G5257" s="15" t="s">
        <v>17785</v>
      </c>
      <c r="H5257" s="55" t="s">
        <v>17786</v>
      </c>
      <c r="I5257" s="5" t="s">
        <v>1919</v>
      </c>
    </row>
    <row r="5258" spans="1:9" ht="51.75" customHeight="1" x14ac:dyDescent="0.35">
      <c r="A5258" s="15">
        <v>1</v>
      </c>
      <c r="B5258" s="15" t="s">
        <v>36258</v>
      </c>
      <c r="C5258" s="15" t="s">
        <v>36259</v>
      </c>
      <c r="D5258" s="31">
        <v>40828</v>
      </c>
      <c r="E5258" s="15" t="s">
        <v>36260</v>
      </c>
      <c r="F5258" s="87"/>
      <c r="G5258" s="45" t="s">
        <v>5333</v>
      </c>
      <c r="H5258" s="55" t="s">
        <v>5334</v>
      </c>
      <c r="I5258" s="15" t="s">
        <v>1553</v>
      </c>
    </row>
    <row r="5259" spans="1:9" ht="51.75" customHeight="1" x14ac:dyDescent="0.35">
      <c r="A5259" s="15">
        <v>2</v>
      </c>
      <c r="B5259" s="15" t="s">
        <v>36261</v>
      </c>
      <c r="C5259" s="15" t="s">
        <v>36262</v>
      </c>
      <c r="D5259" s="31">
        <v>40828</v>
      </c>
      <c r="E5259" s="15" t="s">
        <v>36263</v>
      </c>
      <c r="F5259" s="87"/>
      <c r="G5259" s="45" t="s">
        <v>5333</v>
      </c>
      <c r="H5259" s="55" t="s">
        <v>5334</v>
      </c>
      <c r="I5259" s="15" t="s">
        <v>1553</v>
      </c>
    </row>
    <row r="5260" spans="1:9" ht="51.75" customHeight="1" x14ac:dyDescent="0.35">
      <c r="A5260" s="15">
        <v>3</v>
      </c>
      <c r="B5260" s="15" t="s">
        <v>36264</v>
      </c>
      <c r="C5260" s="15" t="s">
        <v>36265</v>
      </c>
      <c r="D5260" s="31">
        <v>40828</v>
      </c>
      <c r="E5260" s="15" t="s">
        <v>36266</v>
      </c>
      <c r="F5260" s="87"/>
      <c r="G5260" s="45" t="s">
        <v>5333</v>
      </c>
      <c r="H5260" s="55" t="s">
        <v>5334</v>
      </c>
      <c r="I5260" s="15" t="s">
        <v>1553</v>
      </c>
    </row>
    <row r="5261" spans="1:9" ht="51.75" customHeight="1" x14ac:dyDescent="0.35">
      <c r="A5261" s="15">
        <v>4</v>
      </c>
      <c r="B5261" s="15" t="s">
        <v>36267</v>
      </c>
      <c r="C5261" s="15" t="s">
        <v>36268</v>
      </c>
      <c r="D5261" s="31">
        <v>40828</v>
      </c>
      <c r="E5261" s="15" t="s">
        <v>36269</v>
      </c>
      <c r="F5261" s="87"/>
      <c r="G5261" s="45" t="s">
        <v>5333</v>
      </c>
      <c r="H5261" s="55" t="s">
        <v>5334</v>
      </c>
      <c r="I5261" s="15" t="s">
        <v>1553</v>
      </c>
    </row>
    <row r="5262" spans="1:9" ht="51.75" customHeight="1" x14ac:dyDescent="0.35">
      <c r="A5262" s="15">
        <v>1</v>
      </c>
      <c r="B5262" s="15" t="s">
        <v>36270</v>
      </c>
      <c r="C5262" s="15" t="s">
        <v>36271</v>
      </c>
      <c r="D5262" s="31">
        <v>40828</v>
      </c>
      <c r="E5262" s="15" t="s">
        <v>36271</v>
      </c>
      <c r="F5262" s="87"/>
      <c r="G5262" s="45" t="s">
        <v>5278</v>
      </c>
      <c r="H5262" s="55" t="s">
        <v>5279</v>
      </c>
      <c r="I5262" s="15" t="s">
        <v>1553</v>
      </c>
    </row>
    <row r="5263" spans="1:9" ht="51.75" customHeight="1" x14ac:dyDescent="0.35">
      <c r="A5263" s="15">
        <v>2</v>
      </c>
      <c r="B5263" s="15" t="s">
        <v>36272</v>
      </c>
      <c r="C5263" s="15" t="s">
        <v>36273</v>
      </c>
      <c r="D5263" s="31">
        <v>40828</v>
      </c>
      <c r="E5263" s="15" t="s">
        <v>36274</v>
      </c>
      <c r="F5263" s="87"/>
      <c r="G5263" s="45" t="s">
        <v>5278</v>
      </c>
      <c r="H5263" s="55" t="s">
        <v>5279</v>
      </c>
      <c r="I5263" s="15" t="s">
        <v>1553</v>
      </c>
    </row>
    <row r="5264" spans="1:9" ht="51.75" customHeight="1" x14ac:dyDescent="0.35">
      <c r="A5264" s="15">
        <v>3</v>
      </c>
      <c r="B5264" s="15" t="s">
        <v>36275</v>
      </c>
      <c r="C5264" s="15" t="s">
        <v>36276</v>
      </c>
      <c r="D5264" s="31">
        <v>40828</v>
      </c>
      <c r="E5264" s="15" t="s">
        <v>36277</v>
      </c>
      <c r="F5264" s="87"/>
      <c r="G5264" s="45" t="s">
        <v>5278</v>
      </c>
      <c r="H5264" s="55" t="s">
        <v>5279</v>
      </c>
      <c r="I5264" s="15" t="s">
        <v>1553</v>
      </c>
    </row>
    <row r="5265" spans="1:9" ht="51.75" customHeight="1" x14ac:dyDescent="0.35">
      <c r="A5265" s="15">
        <v>1</v>
      </c>
      <c r="B5265" s="15" t="s">
        <v>36278</v>
      </c>
      <c r="C5265" s="15" t="s">
        <v>36279</v>
      </c>
      <c r="D5265" s="31">
        <v>40826</v>
      </c>
      <c r="E5265" s="15" t="s">
        <v>36280</v>
      </c>
      <c r="F5265" s="87"/>
      <c r="G5265" s="45" t="s">
        <v>5235</v>
      </c>
      <c r="H5265" s="55" t="s">
        <v>5236</v>
      </c>
      <c r="I5265" s="15" t="s">
        <v>1553</v>
      </c>
    </row>
    <row r="5266" spans="1:9" ht="51.75" customHeight="1" x14ac:dyDescent="0.35">
      <c r="A5266" s="15">
        <v>2</v>
      </c>
      <c r="B5266" s="15" t="s">
        <v>36281</v>
      </c>
      <c r="C5266" s="15" t="s">
        <v>36282</v>
      </c>
      <c r="D5266" s="31">
        <v>40826</v>
      </c>
      <c r="E5266" s="15" t="s">
        <v>36283</v>
      </c>
      <c r="F5266" s="87"/>
      <c r="G5266" s="45" t="s">
        <v>5235</v>
      </c>
      <c r="H5266" s="55" t="s">
        <v>5236</v>
      </c>
      <c r="I5266" s="15" t="s">
        <v>1553</v>
      </c>
    </row>
    <row r="5267" spans="1:9" ht="51.75" customHeight="1" x14ac:dyDescent="0.35">
      <c r="A5267" s="15">
        <v>3</v>
      </c>
      <c r="B5267" s="15" t="s">
        <v>36284</v>
      </c>
      <c r="C5267" s="15" t="s">
        <v>36285</v>
      </c>
      <c r="D5267" s="31">
        <v>40826</v>
      </c>
      <c r="E5267" s="15" t="s">
        <v>36286</v>
      </c>
      <c r="F5267" s="87"/>
      <c r="G5267" s="45" t="s">
        <v>5235</v>
      </c>
      <c r="H5267" s="55" t="s">
        <v>5236</v>
      </c>
      <c r="I5267" s="15" t="s">
        <v>1553</v>
      </c>
    </row>
    <row r="5268" spans="1:9" ht="51.75" customHeight="1" x14ac:dyDescent="0.35">
      <c r="A5268" s="15">
        <v>1</v>
      </c>
      <c r="B5268" s="15" t="s">
        <v>36287</v>
      </c>
      <c r="C5268" s="15" t="s">
        <v>36288</v>
      </c>
      <c r="D5268" s="31">
        <v>40534</v>
      </c>
      <c r="E5268" s="15" t="s">
        <v>36289</v>
      </c>
      <c r="F5268" s="87"/>
      <c r="G5268" s="45" t="s">
        <v>5163</v>
      </c>
      <c r="H5268" s="55" t="s">
        <v>5164</v>
      </c>
      <c r="I5268" s="15" t="s">
        <v>1553</v>
      </c>
    </row>
    <row r="5269" spans="1:9" ht="51.75" customHeight="1" x14ac:dyDescent="0.35">
      <c r="A5269" s="15">
        <v>2</v>
      </c>
      <c r="B5269" s="15" t="s">
        <v>36290</v>
      </c>
      <c r="C5269" s="15" t="s">
        <v>36291</v>
      </c>
      <c r="D5269" s="31">
        <v>40534</v>
      </c>
      <c r="E5269" s="15" t="s">
        <v>36292</v>
      </c>
      <c r="F5269" s="87"/>
      <c r="G5269" s="45" t="s">
        <v>5163</v>
      </c>
      <c r="H5269" s="55" t="s">
        <v>5164</v>
      </c>
      <c r="I5269" s="15" t="s">
        <v>1553</v>
      </c>
    </row>
    <row r="5270" spans="1:9" ht="51.75" customHeight="1" x14ac:dyDescent="0.35">
      <c r="A5270" s="15">
        <v>1</v>
      </c>
      <c r="B5270" s="15" t="s">
        <v>36293</v>
      </c>
      <c r="C5270" s="15" t="s">
        <v>36294</v>
      </c>
      <c r="D5270" s="31">
        <v>40704</v>
      </c>
      <c r="E5270" s="15" t="s">
        <v>36295</v>
      </c>
      <c r="F5270" s="87"/>
      <c r="G5270" s="45" t="s">
        <v>5145</v>
      </c>
      <c r="H5270" s="55" t="s">
        <v>5146</v>
      </c>
      <c r="I5270" s="15" t="s">
        <v>1553</v>
      </c>
    </row>
    <row r="5271" spans="1:9" ht="51.75" customHeight="1" x14ac:dyDescent="0.35">
      <c r="A5271" s="15">
        <v>2</v>
      </c>
      <c r="B5271" s="15" t="s">
        <v>36296</v>
      </c>
      <c r="C5271" s="15" t="s">
        <v>36297</v>
      </c>
      <c r="D5271" s="31">
        <v>40704</v>
      </c>
      <c r="E5271" s="15" t="s">
        <v>36298</v>
      </c>
      <c r="F5271" s="87"/>
      <c r="G5271" s="45" t="s">
        <v>5145</v>
      </c>
      <c r="H5271" s="55" t="s">
        <v>5146</v>
      </c>
      <c r="I5271" s="15" t="s">
        <v>1553</v>
      </c>
    </row>
    <row r="5272" spans="1:9" ht="51.75" customHeight="1" x14ac:dyDescent="0.35">
      <c r="A5272" s="15">
        <v>3</v>
      </c>
      <c r="B5272" s="15" t="s">
        <v>36299</v>
      </c>
      <c r="C5272" s="15" t="s">
        <v>36300</v>
      </c>
      <c r="D5272" s="31">
        <v>40704</v>
      </c>
      <c r="E5272" s="15" t="s">
        <v>36301</v>
      </c>
      <c r="F5272" s="87"/>
      <c r="G5272" s="45" t="s">
        <v>5145</v>
      </c>
      <c r="H5272" s="55" t="s">
        <v>5146</v>
      </c>
      <c r="I5272" s="15" t="s">
        <v>1553</v>
      </c>
    </row>
    <row r="5273" spans="1:9" ht="51.75" customHeight="1" x14ac:dyDescent="0.35">
      <c r="A5273" s="15">
        <v>1</v>
      </c>
      <c r="B5273" s="15" t="s">
        <v>36302</v>
      </c>
      <c r="C5273" s="15" t="s">
        <v>36303</v>
      </c>
      <c r="D5273" s="31">
        <v>40718</v>
      </c>
      <c r="E5273" s="15" t="s">
        <v>36304</v>
      </c>
      <c r="F5273" s="87"/>
      <c r="G5273" s="45" t="s">
        <v>5139</v>
      </c>
      <c r="H5273" s="55" t="s">
        <v>5140</v>
      </c>
      <c r="I5273" s="15" t="s">
        <v>1553</v>
      </c>
    </row>
    <row r="5274" spans="1:9" ht="51.75" customHeight="1" x14ac:dyDescent="0.35">
      <c r="A5274" s="15">
        <v>1</v>
      </c>
      <c r="B5274" s="15" t="s">
        <v>36305</v>
      </c>
      <c r="C5274" s="15" t="s">
        <v>36306</v>
      </c>
      <c r="D5274" s="31">
        <v>40688</v>
      </c>
      <c r="E5274" s="15" t="s">
        <v>36307</v>
      </c>
      <c r="F5274" s="87"/>
      <c r="G5274" s="45" t="s">
        <v>5103</v>
      </c>
      <c r="H5274" s="55" t="s">
        <v>5104</v>
      </c>
      <c r="I5274" s="15" t="s">
        <v>1553</v>
      </c>
    </row>
    <row r="5275" spans="1:9" ht="51.75" customHeight="1" x14ac:dyDescent="0.35">
      <c r="A5275" s="15">
        <v>2</v>
      </c>
      <c r="B5275" s="15" t="s">
        <v>36308</v>
      </c>
      <c r="C5275" s="15" t="s">
        <v>36309</v>
      </c>
      <c r="D5275" s="31">
        <v>40688</v>
      </c>
      <c r="E5275" s="15" t="s">
        <v>36310</v>
      </c>
      <c r="F5275" s="87"/>
      <c r="G5275" s="45" t="s">
        <v>5103</v>
      </c>
      <c r="H5275" s="55" t="s">
        <v>5104</v>
      </c>
      <c r="I5275" s="15" t="s">
        <v>1553</v>
      </c>
    </row>
    <row r="5276" spans="1:9" ht="51.75" customHeight="1" x14ac:dyDescent="0.35">
      <c r="A5276" s="15">
        <v>3</v>
      </c>
      <c r="B5276" s="15" t="s">
        <v>36311</v>
      </c>
      <c r="C5276" s="15" t="s">
        <v>36312</v>
      </c>
      <c r="D5276" s="31">
        <v>40688</v>
      </c>
      <c r="E5276" s="15" t="s">
        <v>36313</v>
      </c>
      <c r="F5276" s="87"/>
      <c r="G5276" s="45" t="s">
        <v>5103</v>
      </c>
      <c r="H5276" s="55" t="s">
        <v>5104</v>
      </c>
      <c r="I5276" s="15" t="s">
        <v>1553</v>
      </c>
    </row>
    <row r="5277" spans="1:9" ht="51.75" customHeight="1" x14ac:dyDescent="0.35">
      <c r="A5277" s="15">
        <v>4</v>
      </c>
      <c r="B5277" s="15" t="s">
        <v>36314</v>
      </c>
      <c r="C5277" s="15" t="s">
        <v>36315</v>
      </c>
      <c r="D5277" s="31">
        <v>40688</v>
      </c>
      <c r="E5277" s="15" t="s">
        <v>36316</v>
      </c>
      <c r="F5277" s="87"/>
      <c r="G5277" s="45" t="s">
        <v>5103</v>
      </c>
      <c r="H5277" s="55" t="s">
        <v>5104</v>
      </c>
      <c r="I5277" s="15" t="s">
        <v>1553</v>
      </c>
    </row>
    <row r="5278" spans="1:9" ht="51.75" customHeight="1" x14ac:dyDescent="0.35">
      <c r="A5278" s="15">
        <v>5</v>
      </c>
      <c r="B5278" s="15" t="s">
        <v>36317</v>
      </c>
      <c r="C5278" s="15" t="s">
        <v>36318</v>
      </c>
      <c r="D5278" s="31">
        <v>40688</v>
      </c>
      <c r="E5278" s="15" t="s">
        <v>36319</v>
      </c>
      <c r="F5278" s="87"/>
      <c r="G5278" s="45" t="s">
        <v>5103</v>
      </c>
      <c r="H5278" s="55" t="s">
        <v>5104</v>
      </c>
      <c r="I5278" s="15" t="s">
        <v>1553</v>
      </c>
    </row>
    <row r="5279" spans="1:9" ht="51.75" customHeight="1" x14ac:dyDescent="0.35">
      <c r="A5279" s="15">
        <v>1</v>
      </c>
      <c r="B5279" s="15" t="s">
        <v>36320</v>
      </c>
      <c r="C5279" s="15" t="s">
        <v>36321</v>
      </c>
      <c r="D5279" s="31">
        <v>40491</v>
      </c>
      <c r="E5279" s="15" t="s">
        <v>36322</v>
      </c>
      <c r="F5279" s="87"/>
      <c r="G5279" s="45" t="s">
        <v>4916</v>
      </c>
      <c r="H5279" s="55" t="s">
        <v>4917</v>
      </c>
      <c r="I5279" s="15" t="s">
        <v>1553</v>
      </c>
    </row>
    <row r="5280" spans="1:9" ht="51.75" customHeight="1" x14ac:dyDescent="0.35">
      <c r="A5280" s="15">
        <v>2</v>
      </c>
      <c r="B5280" s="15" t="s">
        <v>36323</v>
      </c>
      <c r="C5280" s="15" t="s">
        <v>36324</v>
      </c>
      <c r="D5280" s="31">
        <v>40491</v>
      </c>
      <c r="E5280" s="15" t="s">
        <v>36325</v>
      </c>
      <c r="F5280" s="87"/>
      <c r="G5280" s="45" t="s">
        <v>4916</v>
      </c>
      <c r="H5280" s="55" t="s">
        <v>4917</v>
      </c>
      <c r="I5280" s="15" t="s">
        <v>1553</v>
      </c>
    </row>
    <row r="5281" spans="1:9" ht="51.75" customHeight="1" x14ac:dyDescent="0.35">
      <c r="A5281" s="15">
        <v>3</v>
      </c>
      <c r="B5281" s="15" t="s">
        <v>36326</v>
      </c>
      <c r="C5281" s="15" t="s">
        <v>36327</v>
      </c>
      <c r="D5281" s="31">
        <v>40491</v>
      </c>
      <c r="E5281" s="15" t="s">
        <v>36328</v>
      </c>
      <c r="F5281" s="87"/>
      <c r="G5281" s="45" t="s">
        <v>4916</v>
      </c>
      <c r="H5281" s="55" t="s">
        <v>4917</v>
      </c>
      <c r="I5281" s="15" t="s">
        <v>1553</v>
      </c>
    </row>
    <row r="5282" spans="1:9" ht="51.75" customHeight="1" x14ac:dyDescent="0.35">
      <c r="A5282" s="15">
        <v>1</v>
      </c>
      <c r="B5282" s="15" t="s">
        <v>36329</v>
      </c>
      <c r="C5282" s="15" t="s">
        <v>36330</v>
      </c>
      <c r="D5282" s="31">
        <v>40553</v>
      </c>
      <c r="E5282" s="15" t="s">
        <v>36331</v>
      </c>
      <c r="F5282" s="87"/>
      <c r="G5282" s="45" t="s">
        <v>4895</v>
      </c>
      <c r="H5282" s="55" t="s">
        <v>4896</v>
      </c>
      <c r="I5282" s="15" t="s">
        <v>1553</v>
      </c>
    </row>
    <row r="5283" spans="1:9" ht="51.75" customHeight="1" x14ac:dyDescent="0.35">
      <c r="A5283" s="15">
        <v>1</v>
      </c>
      <c r="B5283" s="15" t="s">
        <v>36332</v>
      </c>
      <c r="C5283" s="15" t="s">
        <v>36333</v>
      </c>
      <c r="D5283" s="31">
        <v>40826</v>
      </c>
      <c r="E5283" s="15" t="s">
        <v>36334</v>
      </c>
      <c r="F5283" s="87"/>
      <c r="G5283" s="45" t="s">
        <v>4869</v>
      </c>
      <c r="H5283" s="55" t="s">
        <v>4870</v>
      </c>
      <c r="I5283" s="15" t="s">
        <v>1553</v>
      </c>
    </row>
    <row r="5284" spans="1:9" ht="51.75" customHeight="1" x14ac:dyDescent="0.35">
      <c r="A5284" s="15">
        <v>1</v>
      </c>
      <c r="B5284" s="15" t="s">
        <v>36335</v>
      </c>
      <c r="C5284" s="15" t="s">
        <v>36336</v>
      </c>
      <c r="D5284" s="31">
        <v>40700</v>
      </c>
      <c r="E5284" s="15" t="s">
        <v>36337</v>
      </c>
      <c r="F5284" s="87"/>
      <c r="G5284" s="45" t="s">
        <v>4693</v>
      </c>
      <c r="H5284" s="55" t="s">
        <v>4694</v>
      </c>
      <c r="I5284" s="15" t="s">
        <v>1553</v>
      </c>
    </row>
    <row r="5285" spans="1:9" ht="51.75" customHeight="1" x14ac:dyDescent="0.35">
      <c r="A5285" s="15">
        <v>2</v>
      </c>
      <c r="B5285" s="15" t="s">
        <v>36338</v>
      </c>
      <c r="C5285" s="15" t="s">
        <v>36339</v>
      </c>
      <c r="D5285" s="31">
        <v>40700</v>
      </c>
      <c r="E5285" s="15" t="s">
        <v>36340</v>
      </c>
      <c r="F5285" s="87"/>
      <c r="G5285" s="45" t="s">
        <v>4693</v>
      </c>
      <c r="H5285" s="55" t="s">
        <v>4694</v>
      </c>
      <c r="I5285" s="15" t="s">
        <v>1553</v>
      </c>
    </row>
    <row r="5286" spans="1:9" ht="51.75" customHeight="1" x14ac:dyDescent="0.35">
      <c r="A5286" s="15">
        <v>1</v>
      </c>
      <c r="B5286" s="15" t="s">
        <v>36341</v>
      </c>
      <c r="C5286" s="15" t="s">
        <v>36342</v>
      </c>
      <c r="D5286" s="31">
        <v>40570</v>
      </c>
      <c r="E5286" s="15" t="s">
        <v>36343</v>
      </c>
      <c r="F5286" s="87"/>
      <c r="G5286" s="45" t="s">
        <v>4763</v>
      </c>
      <c r="H5286" s="55" t="s">
        <v>4764</v>
      </c>
      <c r="I5286" s="15" t="s">
        <v>1553</v>
      </c>
    </row>
    <row r="5287" spans="1:9" ht="51.75" customHeight="1" x14ac:dyDescent="0.35">
      <c r="A5287" s="15">
        <v>2</v>
      </c>
      <c r="B5287" s="15" t="s">
        <v>36344</v>
      </c>
      <c r="C5287" s="15" t="s">
        <v>36345</v>
      </c>
      <c r="D5287" s="31">
        <v>40570</v>
      </c>
      <c r="E5287" s="15" t="s">
        <v>36346</v>
      </c>
      <c r="F5287" s="87"/>
      <c r="G5287" s="45" t="s">
        <v>4763</v>
      </c>
      <c r="H5287" s="55" t="s">
        <v>4764</v>
      </c>
      <c r="I5287" s="15" t="s">
        <v>1553</v>
      </c>
    </row>
    <row r="5288" spans="1:9" ht="51.75" customHeight="1" x14ac:dyDescent="0.35">
      <c r="A5288" s="15">
        <v>3</v>
      </c>
      <c r="B5288" s="15" t="s">
        <v>36347</v>
      </c>
      <c r="C5288" s="15" t="s">
        <v>36348</v>
      </c>
      <c r="D5288" s="31">
        <v>40570</v>
      </c>
      <c r="E5288" s="15" t="s">
        <v>36349</v>
      </c>
      <c r="F5288" s="87"/>
      <c r="G5288" s="45" t="s">
        <v>4763</v>
      </c>
      <c r="H5288" s="55" t="s">
        <v>4764</v>
      </c>
      <c r="I5288" s="15" t="s">
        <v>1553</v>
      </c>
    </row>
    <row r="5289" spans="1:9" ht="51.75" customHeight="1" x14ac:dyDescent="0.35">
      <c r="A5289" s="15">
        <v>4</v>
      </c>
      <c r="B5289" s="15" t="s">
        <v>36350</v>
      </c>
      <c r="C5289" s="15" t="s">
        <v>36351</v>
      </c>
      <c r="D5289" s="31">
        <v>40570</v>
      </c>
      <c r="E5289" s="15" t="s">
        <v>36352</v>
      </c>
      <c r="F5289" s="87"/>
      <c r="G5289" s="45" t="s">
        <v>4763</v>
      </c>
      <c r="H5289" s="55" t="s">
        <v>4764</v>
      </c>
      <c r="I5289" s="15" t="s">
        <v>1553</v>
      </c>
    </row>
    <row r="5290" spans="1:9" ht="51.75" customHeight="1" x14ac:dyDescent="0.35">
      <c r="A5290" s="15">
        <v>5</v>
      </c>
      <c r="B5290" s="15" t="s">
        <v>36353</v>
      </c>
      <c r="C5290" s="15" t="s">
        <v>36354</v>
      </c>
      <c r="D5290" s="31">
        <v>40570</v>
      </c>
      <c r="E5290" s="15" t="s">
        <v>36355</v>
      </c>
      <c r="F5290" s="87"/>
      <c r="G5290" s="45" t="s">
        <v>4763</v>
      </c>
      <c r="H5290" s="55" t="s">
        <v>4764</v>
      </c>
      <c r="I5290" s="15" t="s">
        <v>1553</v>
      </c>
    </row>
    <row r="5291" spans="1:9" ht="51.75" customHeight="1" x14ac:dyDescent="0.35">
      <c r="A5291" s="15">
        <v>6</v>
      </c>
      <c r="B5291" s="15" t="s">
        <v>36356</v>
      </c>
      <c r="C5291" s="15" t="s">
        <v>36357</v>
      </c>
      <c r="D5291" s="31">
        <v>40570</v>
      </c>
      <c r="E5291" s="15" t="s">
        <v>36358</v>
      </c>
      <c r="F5291" s="87"/>
      <c r="G5291" s="45" t="s">
        <v>4763</v>
      </c>
      <c r="H5291" s="55" t="s">
        <v>4764</v>
      </c>
      <c r="I5291" s="15" t="s">
        <v>1553</v>
      </c>
    </row>
    <row r="5292" spans="1:9" ht="51.75" customHeight="1" x14ac:dyDescent="0.35">
      <c r="A5292" s="15">
        <v>1</v>
      </c>
      <c r="B5292" s="15" t="s">
        <v>36359</v>
      </c>
      <c r="C5292" s="15" t="s">
        <v>36360</v>
      </c>
      <c r="D5292" s="31">
        <v>40312</v>
      </c>
      <c r="E5292" s="15" t="s">
        <v>36360</v>
      </c>
      <c r="F5292" s="87"/>
      <c r="G5292" s="45" t="s">
        <v>4557</v>
      </c>
      <c r="H5292" s="55" t="s">
        <v>4558</v>
      </c>
      <c r="I5292" s="15" t="s">
        <v>1553</v>
      </c>
    </row>
    <row r="5293" spans="1:9" ht="51.75" customHeight="1" x14ac:dyDescent="0.35">
      <c r="A5293" s="15">
        <v>1</v>
      </c>
      <c r="B5293" s="15" t="s">
        <v>36361</v>
      </c>
      <c r="C5293" s="15" t="s">
        <v>36362</v>
      </c>
      <c r="D5293" s="31">
        <v>40400</v>
      </c>
      <c r="E5293" s="15" t="s">
        <v>36363</v>
      </c>
      <c r="F5293" s="87"/>
      <c r="G5293" s="45" t="s">
        <v>4500</v>
      </c>
      <c r="H5293" s="55" t="s">
        <v>4501</v>
      </c>
      <c r="I5293" s="15" t="s">
        <v>1553</v>
      </c>
    </row>
    <row r="5294" spans="1:9" ht="51.75" customHeight="1" x14ac:dyDescent="0.35">
      <c r="A5294" s="15">
        <v>2</v>
      </c>
      <c r="B5294" s="15" t="s">
        <v>36364</v>
      </c>
      <c r="C5294" s="15" t="s">
        <v>36365</v>
      </c>
      <c r="D5294" s="31">
        <v>40400</v>
      </c>
      <c r="E5294" s="15" t="s">
        <v>36366</v>
      </c>
      <c r="F5294" s="87"/>
      <c r="G5294" s="45" t="s">
        <v>4500</v>
      </c>
      <c r="H5294" s="55" t="s">
        <v>4501</v>
      </c>
      <c r="I5294" s="15" t="s">
        <v>1553</v>
      </c>
    </row>
    <row r="5295" spans="1:9" ht="51.75" customHeight="1" x14ac:dyDescent="0.35">
      <c r="A5295" s="15">
        <v>1</v>
      </c>
      <c r="B5295" s="15" t="s">
        <v>36367</v>
      </c>
      <c r="C5295" s="15" t="s">
        <v>36362</v>
      </c>
      <c r="D5295" s="31">
        <v>40400</v>
      </c>
      <c r="E5295" s="15" t="s">
        <v>36363</v>
      </c>
      <c r="F5295" s="87"/>
      <c r="G5295" s="45" t="s">
        <v>4495</v>
      </c>
      <c r="H5295" s="55" t="s">
        <v>4496</v>
      </c>
      <c r="I5295" s="15" t="s">
        <v>1553</v>
      </c>
    </row>
    <row r="5296" spans="1:9" ht="51.75" customHeight="1" x14ac:dyDescent="0.35">
      <c r="A5296" s="15">
        <v>2</v>
      </c>
      <c r="B5296" s="15" t="s">
        <v>36368</v>
      </c>
      <c r="C5296" s="15" t="s">
        <v>36365</v>
      </c>
      <c r="D5296" s="31">
        <v>40400</v>
      </c>
      <c r="E5296" s="15" t="s">
        <v>36366</v>
      </c>
      <c r="F5296" s="87"/>
      <c r="G5296" s="45" t="s">
        <v>4495</v>
      </c>
      <c r="H5296" s="55" t="s">
        <v>4496</v>
      </c>
      <c r="I5296" s="15" t="s">
        <v>1553</v>
      </c>
    </row>
    <row r="5297" spans="1:9" ht="51.75" customHeight="1" x14ac:dyDescent="0.35">
      <c r="A5297" s="15">
        <v>1</v>
      </c>
      <c r="B5297" s="15" t="s">
        <v>36369</v>
      </c>
      <c r="C5297" s="15" t="s">
        <v>36362</v>
      </c>
      <c r="D5297" s="31">
        <v>40400</v>
      </c>
      <c r="E5297" s="15" t="s">
        <v>36363</v>
      </c>
      <c r="F5297" s="87"/>
      <c r="G5297" s="45" t="s">
        <v>4485</v>
      </c>
      <c r="H5297" s="55" t="s">
        <v>4486</v>
      </c>
      <c r="I5297" s="15" t="s">
        <v>1553</v>
      </c>
    </row>
    <row r="5298" spans="1:9" ht="51.75" customHeight="1" x14ac:dyDescent="0.35">
      <c r="A5298" s="15">
        <v>2</v>
      </c>
      <c r="B5298" s="15" t="s">
        <v>36370</v>
      </c>
      <c r="C5298" s="15" t="s">
        <v>36365</v>
      </c>
      <c r="D5298" s="31">
        <v>40400</v>
      </c>
      <c r="E5298" s="15" t="s">
        <v>36366</v>
      </c>
      <c r="F5298" s="87"/>
      <c r="G5298" s="45" t="s">
        <v>4485</v>
      </c>
      <c r="H5298" s="55" t="s">
        <v>4486</v>
      </c>
      <c r="I5298" s="15" t="s">
        <v>1553</v>
      </c>
    </row>
    <row r="5299" spans="1:9" ht="51.75" customHeight="1" x14ac:dyDescent="0.35">
      <c r="A5299" s="15">
        <v>1</v>
      </c>
      <c r="B5299" s="15" t="s">
        <v>36371</v>
      </c>
      <c r="C5299" s="15" t="s">
        <v>36372</v>
      </c>
      <c r="D5299" s="31">
        <v>40338</v>
      </c>
      <c r="E5299" s="15" t="s">
        <v>36373</v>
      </c>
      <c r="F5299" s="87"/>
      <c r="G5299" s="45" t="s">
        <v>4335</v>
      </c>
      <c r="H5299" s="55" t="s">
        <v>4336</v>
      </c>
      <c r="I5299" s="15" t="s">
        <v>1553</v>
      </c>
    </row>
    <row r="5300" spans="1:9" ht="51.75" customHeight="1" x14ac:dyDescent="0.35">
      <c r="A5300" s="15">
        <v>2</v>
      </c>
      <c r="B5300" s="15" t="s">
        <v>36374</v>
      </c>
      <c r="C5300" s="15" t="s">
        <v>36375</v>
      </c>
      <c r="D5300" s="31">
        <v>40338</v>
      </c>
      <c r="E5300" s="15" t="s">
        <v>36376</v>
      </c>
      <c r="F5300" s="87"/>
      <c r="G5300" s="45" t="s">
        <v>4335</v>
      </c>
      <c r="H5300" s="55" t="s">
        <v>4336</v>
      </c>
      <c r="I5300" s="15" t="s">
        <v>1553</v>
      </c>
    </row>
    <row r="5301" spans="1:9" ht="51.75" customHeight="1" x14ac:dyDescent="0.35">
      <c r="A5301" s="15">
        <v>3</v>
      </c>
      <c r="B5301" s="15" t="s">
        <v>36377</v>
      </c>
      <c r="C5301" s="15" t="s">
        <v>36378</v>
      </c>
      <c r="D5301" s="31">
        <v>40338</v>
      </c>
      <c r="E5301" s="15" t="s">
        <v>36379</v>
      </c>
      <c r="F5301" s="87"/>
      <c r="G5301" s="45" t="s">
        <v>4335</v>
      </c>
      <c r="H5301" s="55" t="s">
        <v>4336</v>
      </c>
      <c r="I5301" s="15" t="s">
        <v>1553</v>
      </c>
    </row>
    <row r="5302" spans="1:9" ht="51.75" customHeight="1" x14ac:dyDescent="0.35">
      <c r="A5302" s="15">
        <v>1</v>
      </c>
      <c r="B5302" s="15" t="s">
        <v>36380</v>
      </c>
      <c r="C5302" s="15" t="s">
        <v>36381</v>
      </c>
      <c r="D5302" s="31">
        <v>40235</v>
      </c>
      <c r="E5302" s="15" t="s">
        <v>36382</v>
      </c>
      <c r="F5302" s="87"/>
      <c r="G5302" s="45" t="s">
        <v>4236</v>
      </c>
      <c r="H5302" s="55" t="s">
        <v>4237</v>
      </c>
      <c r="I5302" s="15" t="s">
        <v>1553</v>
      </c>
    </row>
    <row r="5303" spans="1:9" ht="51.75" customHeight="1" x14ac:dyDescent="0.35">
      <c r="A5303" s="15">
        <v>2</v>
      </c>
      <c r="B5303" s="15" t="s">
        <v>36383</v>
      </c>
      <c r="C5303" s="15" t="s">
        <v>36384</v>
      </c>
      <c r="D5303" s="31">
        <v>40235</v>
      </c>
      <c r="E5303" s="15" t="s">
        <v>36385</v>
      </c>
      <c r="F5303" s="87"/>
      <c r="G5303" s="45" t="s">
        <v>4236</v>
      </c>
      <c r="H5303" s="55" t="s">
        <v>4237</v>
      </c>
      <c r="I5303" s="15" t="s">
        <v>1553</v>
      </c>
    </row>
    <row r="5304" spans="1:9" ht="51.75" customHeight="1" x14ac:dyDescent="0.35">
      <c r="A5304" s="15">
        <v>1</v>
      </c>
      <c r="B5304" s="15" t="s">
        <v>36386</v>
      </c>
      <c r="C5304" s="15" t="s">
        <v>36387</v>
      </c>
      <c r="D5304" s="31">
        <v>40269</v>
      </c>
      <c r="E5304" s="15" t="s">
        <v>36387</v>
      </c>
      <c r="F5304" s="87"/>
      <c r="G5304" s="45" t="s">
        <v>4226</v>
      </c>
      <c r="H5304" s="55" t="s">
        <v>4227</v>
      </c>
      <c r="I5304" s="15" t="s">
        <v>1553</v>
      </c>
    </row>
    <row r="5305" spans="1:9" ht="51.75" customHeight="1" x14ac:dyDescent="0.35">
      <c r="A5305" s="15">
        <v>1</v>
      </c>
      <c r="B5305" s="15" t="s">
        <v>36388</v>
      </c>
      <c r="C5305" s="15" t="s">
        <v>36389</v>
      </c>
      <c r="D5305" s="31">
        <v>40330</v>
      </c>
      <c r="E5305" s="15" t="s">
        <v>36390</v>
      </c>
      <c r="F5305" s="87"/>
      <c r="G5305" s="45" t="s">
        <v>4131</v>
      </c>
      <c r="H5305" s="55" t="s">
        <v>4132</v>
      </c>
      <c r="I5305" s="15" t="s">
        <v>1553</v>
      </c>
    </row>
    <row r="5306" spans="1:9" ht="51.75" customHeight="1" x14ac:dyDescent="0.35">
      <c r="A5306" s="15">
        <v>2</v>
      </c>
      <c r="B5306" s="15" t="s">
        <v>36391</v>
      </c>
      <c r="C5306" s="15" t="s">
        <v>36392</v>
      </c>
      <c r="D5306" s="31">
        <v>40330</v>
      </c>
      <c r="E5306" s="15" t="s">
        <v>36393</v>
      </c>
      <c r="F5306" s="87"/>
      <c r="G5306" s="45" t="s">
        <v>4131</v>
      </c>
      <c r="H5306" s="55" t="s">
        <v>4132</v>
      </c>
      <c r="I5306" s="15" t="s">
        <v>1553</v>
      </c>
    </row>
    <row r="5307" spans="1:9" ht="51.75" customHeight="1" x14ac:dyDescent="0.35">
      <c r="A5307" s="15">
        <v>3</v>
      </c>
      <c r="B5307" s="15" t="s">
        <v>36394</v>
      </c>
      <c r="C5307" s="15" t="s">
        <v>36395</v>
      </c>
      <c r="D5307" s="31">
        <v>40330</v>
      </c>
      <c r="E5307" s="15" t="s">
        <v>36396</v>
      </c>
      <c r="F5307" s="87"/>
      <c r="G5307" s="45" t="s">
        <v>4131</v>
      </c>
      <c r="H5307" s="55" t="s">
        <v>4132</v>
      </c>
      <c r="I5307" s="15" t="s">
        <v>1553</v>
      </c>
    </row>
    <row r="5308" spans="1:9" ht="51.75" customHeight="1" x14ac:dyDescent="0.35">
      <c r="A5308" s="15">
        <v>1</v>
      </c>
      <c r="B5308" s="15" t="s">
        <v>36397</v>
      </c>
      <c r="C5308" s="15" t="s">
        <v>36398</v>
      </c>
      <c r="D5308" s="31">
        <v>40400</v>
      </c>
      <c r="E5308" s="15" t="s">
        <v>36399</v>
      </c>
      <c r="F5308" s="87"/>
      <c r="G5308" s="45" t="s">
        <v>4081</v>
      </c>
      <c r="H5308" s="55" t="s">
        <v>4082</v>
      </c>
      <c r="I5308" s="15" t="s">
        <v>1553</v>
      </c>
    </row>
    <row r="5309" spans="1:9" ht="51.75" customHeight="1" x14ac:dyDescent="0.35">
      <c r="A5309" s="15">
        <v>1</v>
      </c>
      <c r="B5309" s="15" t="s">
        <v>36400</v>
      </c>
      <c r="C5309" s="15" t="s">
        <v>36401</v>
      </c>
      <c r="D5309" s="31">
        <v>39500</v>
      </c>
      <c r="E5309" s="15" t="s">
        <v>36402</v>
      </c>
      <c r="F5309" s="87"/>
      <c r="G5309" s="45" t="s">
        <v>1561</v>
      </c>
      <c r="H5309" s="55" t="s">
        <v>1562</v>
      </c>
      <c r="I5309" s="15" t="s">
        <v>1553</v>
      </c>
    </row>
    <row r="5310" spans="1:9" ht="51.75" customHeight="1" x14ac:dyDescent="0.35">
      <c r="A5310" s="15">
        <v>2</v>
      </c>
      <c r="B5310" s="15" t="s">
        <v>36403</v>
      </c>
      <c r="C5310" s="15" t="s">
        <v>36404</v>
      </c>
      <c r="D5310" s="31">
        <v>39500</v>
      </c>
      <c r="E5310" s="15" t="s">
        <v>36405</v>
      </c>
      <c r="F5310" s="87"/>
      <c r="G5310" s="45" t="s">
        <v>1561</v>
      </c>
      <c r="H5310" s="55" t="s">
        <v>1562</v>
      </c>
      <c r="I5310" s="15" t="s">
        <v>1553</v>
      </c>
    </row>
    <row r="5311" spans="1:9" ht="51.75" customHeight="1" x14ac:dyDescent="0.35">
      <c r="A5311" s="15">
        <v>3</v>
      </c>
      <c r="B5311" s="15" t="s">
        <v>36406</v>
      </c>
      <c r="C5311" s="15" t="s">
        <v>36407</v>
      </c>
      <c r="D5311" s="31">
        <v>39500</v>
      </c>
      <c r="E5311" s="15" t="s">
        <v>36408</v>
      </c>
      <c r="F5311" s="87"/>
      <c r="G5311" s="45" t="s">
        <v>1561</v>
      </c>
      <c r="H5311" s="55" t="s">
        <v>1562</v>
      </c>
      <c r="I5311" s="15" t="s">
        <v>1553</v>
      </c>
    </row>
    <row r="5312" spans="1:9" ht="51.75" customHeight="1" x14ac:dyDescent="0.35">
      <c r="A5312" s="15">
        <v>4</v>
      </c>
      <c r="B5312" s="15" t="s">
        <v>36409</v>
      </c>
      <c r="C5312" s="15" t="s">
        <v>36410</v>
      </c>
      <c r="D5312" s="31">
        <v>39500</v>
      </c>
      <c r="E5312" s="15" t="s">
        <v>36411</v>
      </c>
      <c r="F5312" s="87"/>
      <c r="G5312" s="45" t="s">
        <v>1561</v>
      </c>
      <c r="H5312" s="55" t="s">
        <v>1562</v>
      </c>
      <c r="I5312" s="15" t="s">
        <v>1553</v>
      </c>
    </row>
    <row r="5313" spans="1:9" ht="51.75" customHeight="1" x14ac:dyDescent="0.35">
      <c r="A5313" s="15">
        <v>5</v>
      </c>
      <c r="B5313" s="15" t="s">
        <v>36412</v>
      </c>
      <c r="C5313" s="15" t="s">
        <v>36413</v>
      </c>
      <c r="D5313" s="31">
        <v>39500</v>
      </c>
      <c r="E5313" s="15" t="s">
        <v>36414</v>
      </c>
      <c r="F5313" s="87"/>
      <c r="G5313" s="45" t="s">
        <v>1561</v>
      </c>
      <c r="H5313" s="55" t="s">
        <v>1562</v>
      </c>
      <c r="I5313" s="15" t="s">
        <v>1553</v>
      </c>
    </row>
    <row r="5314" spans="1:9" ht="51.75" customHeight="1" x14ac:dyDescent="0.35">
      <c r="A5314" s="15">
        <v>6</v>
      </c>
      <c r="B5314" s="15" t="s">
        <v>36415</v>
      </c>
      <c r="C5314" s="15" t="s">
        <v>36416</v>
      </c>
      <c r="D5314" s="31">
        <v>39500</v>
      </c>
      <c r="E5314" s="15" t="s">
        <v>36417</v>
      </c>
      <c r="F5314" s="87"/>
      <c r="G5314" s="45" t="s">
        <v>1561</v>
      </c>
      <c r="H5314" s="55" t="s">
        <v>1562</v>
      </c>
      <c r="I5314" s="15" t="s">
        <v>1553</v>
      </c>
    </row>
    <row r="5315" spans="1:9" ht="51.75" customHeight="1" x14ac:dyDescent="0.35">
      <c r="A5315" s="15">
        <v>7</v>
      </c>
      <c r="B5315" s="15" t="s">
        <v>36418</v>
      </c>
      <c r="C5315" s="15" t="s">
        <v>36419</v>
      </c>
      <c r="D5315" s="31">
        <v>39500</v>
      </c>
      <c r="E5315" s="15" t="s">
        <v>36420</v>
      </c>
      <c r="F5315" s="87"/>
      <c r="G5315" s="45" t="s">
        <v>1561</v>
      </c>
      <c r="H5315" s="55" t="s">
        <v>1562</v>
      </c>
      <c r="I5315" s="15" t="s">
        <v>1553</v>
      </c>
    </row>
    <row r="5316" spans="1:9" ht="51.75" customHeight="1" x14ac:dyDescent="0.35">
      <c r="A5316" s="15">
        <v>1</v>
      </c>
      <c r="B5316" s="15" t="s">
        <v>36421</v>
      </c>
      <c r="C5316" s="15" t="s">
        <v>36422</v>
      </c>
      <c r="D5316" s="31">
        <v>39500</v>
      </c>
      <c r="E5316" s="15" t="s">
        <v>36423</v>
      </c>
      <c r="F5316" s="87"/>
      <c r="G5316" s="45" t="s">
        <v>1551</v>
      </c>
      <c r="H5316" s="55" t="s">
        <v>1552</v>
      </c>
      <c r="I5316" s="15" t="s">
        <v>1553</v>
      </c>
    </row>
    <row r="5317" spans="1:9" ht="51.75" customHeight="1" x14ac:dyDescent="0.35">
      <c r="A5317" s="15">
        <v>2</v>
      </c>
      <c r="B5317" s="15" t="s">
        <v>36424</v>
      </c>
      <c r="C5317" s="15" t="s">
        <v>36425</v>
      </c>
      <c r="D5317" s="31">
        <v>39500</v>
      </c>
      <c r="E5317" s="15" t="s">
        <v>36426</v>
      </c>
      <c r="F5317" s="87"/>
      <c r="G5317" s="45" t="s">
        <v>1551</v>
      </c>
      <c r="H5317" s="55" t="s">
        <v>1552</v>
      </c>
      <c r="I5317" s="15" t="s">
        <v>1553</v>
      </c>
    </row>
    <row r="5318" spans="1:9" ht="51.75" customHeight="1" x14ac:dyDescent="0.35">
      <c r="A5318" s="15">
        <v>3</v>
      </c>
      <c r="B5318" s="15" t="s">
        <v>36427</v>
      </c>
      <c r="C5318" s="15" t="s">
        <v>36428</v>
      </c>
      <c r="D5318" s="31">
        <v>39500</v>
      </c>
      <c r="E5318" s="15" t="s">
        <v>36429</v>
      </c>
      <c r="F5318" s="87"/>
      <c r="G5318" s="45" t="s">
        <v>1551</v>
      </c>
      <c r="H5318" s="55" t="s">
        <v>1552</v>
      </c>
      <c r="I5318" s="15" t="s">
        <v>1553</v>
      </c>
    </row>
    <row r="5319" spans="1:9" ht="51.75" customHeight="1" x14ac:dyDescent="0.35">
      <c r="A5319" s="15">
        <v>4</v>
      </c>
      <c r="B5319" s="15" t="s">
        <v>36430</v>
      </c>
      <c r="C5319" s="15" t="s">
        <v>36431</v>
      </c>
      <c r="D5319" s="31">
        <v>39500</v>
      </c>
      <c r="E5319" s="15" t="s">
        <v>36432</v>
      </c>
      <c r="F5319" s="87"/>
      <c r="G5319" s="45" t="s">
        <v>1551</v>
      </c>
      <c r="H5319" s="55" t="s">
        <v>1552</v>
      </c>
      <c r="I5319" s="15" t="s">
        <v>1553</v>
      </c>
    </row>
    <row r="5320" spans="1:9" ht="51.75" customHeight="1" x14ac:dyDescent="0.35">
      <c r="A5320" s="15">
        <v>1</v>
      </c>
      <c r="B5320" s="15" t="s">
        <v>36433</v>
      </c>
      <c r="C5320" s="15" t="s">
        <v>36434</v>
      </c>
      <c r="D5320" s="31">
        <v>39904</v>
      </c>
      <c r="E5320" s="15" t="s">
        <v>36435</v>
      </c>
      <c r="F5320" s="87"/>
      <c r="G5320" s="45" t="s">
        <v>3648</v>
      </c>
      <c r="H5320" s="55" t="s">
        <v>3649</v>
      </c>
      <c r="I5320" s="15" t="s">
        <v>1553</v>
      </c>
    </row>
    <row r="5321" spans="1:9" ht="51.75" customHeight="1" x14ac:dyDescent="0.35">
      <c r="A5321" s="15">
        <v>2</v>
      </c>
      <c r="B5321" s="15" t="s">
        <v>36436</v>
      </c>
      <c r="C5321" s="15" t="s">
        <v>36437</v>
      </c>
      <c r="D5321" s="31">
        <v>39904</v>
      </c>
      <c r="E5321" s="15" t="s">
        <v>36438</v>
      </c>
      <c r="F5321" s="87"/>
      <c r="G5321" s="45" t="s">
        <v>3648</v>
      </c>
      <c r="H5321" s="55" t="s">
        <v>3649</v>
      </c>
      <c r="I5321" s="15" t="s">
        <v>1553</v>
      </c>
    </row>
    <row r="5322" spans="1:9" ht="51.75" customHeight="1" x14ac:dyDescent="0.35">
      <c r="A5322" s="15">
        <v>3</v>
      </c>
      <c r="B5322" s="15" t="s">
        <v>36439</v>
      </c>
      <c r="C5322" s="15" t="s">
        <v>36440</v>
      </c>
      <c r="D5322" s="31">
        <v>39904</v>
      </c>
      <c r="E5322" s="15" t="s">
        <v>36441</v>
      </c>
      <c r="F5322" s="87"/>
      <c r="G5322" s="45" t="s">
        <v>3648</v>
      </c>
      <c r="H5322" s="55" t="s">
        <v>3649</v>
      </c>
      <c r="I5322" s="15" t="s">
        <v>1553</v>
      </c>
    </row>
    <row r="5323" spans="1:9" ht="51.75" customHeight="1" x14ac:dyDescent="0.35">
      <c r="A5323" s="15">
        <v>1</v>
      </c>
      <c r="B5323" s="15" t="s">
        <v>36442</v>
      </c>
      <c r="C5323" s="15" t="s">
        <v>36443</v>
      </c>
      <c r="D5323" s="31">
        <v>40225</v>
      </c>
      <c r="E5323" s="15" t="s">
        <v>36444</v>
      </c>
      <c r="F5323" s="87"/>
      <c r="G5323" s="45" t="s">
        <v>3450</v>
      </c>
      <c r="H5323" s="55" t="s">
        <v>3451</v>
      </c>
      <c r="I5323" s="15" t="s">
        <v>1553</v>
      </c>
    </row>
    <row r="5324" spans="1:9" ht="51.75" customHeight="1" x14ac:dyDescent="0.35">
      <c r="A5324" s="15">
        <v>2</v>
      </c>
      <c r="B5324" s="15" t="s">
        <v>36445</v>
      </c>
      <c r="C5324" s="15" t="s">
        <v>36446</v>
      </c>
      <c r="D5324" s="31">
        <v>40225</v>
      </c>
      <c r="E5324" s="15" t="s">
        <v>36447</v>
      </c>
      <c r="F5324" s="87"/>
      <c r="G5324" s="45" t="s">
        <v>3450</v>
      </c>
      <c r="H5324" s="55" t="s">
        <v>3451</v>
      </c>
      <c r="I5324" s="15" t="s">
        <v>1553</v>
      </c>
    </row>
    <row r="5325" spans="1:9" ht="51.75" customHeight="1" x14ac:dyDescent="0.35">
      <c r="A5325" s="15">
        <v>3</v>
      </c>
      <c r="B5325" s="15" t="s">
        <v>36448</v>
      </c>
      <c r="C5325" s="15" t="s">
        <v>36449</v>
      </c>
      <c r="D5325" s="31">
        <v>40225</v>
      </c>
      <c r="E5325" s="15" t="s">
        <v>36450</v>
      </c>
      <c r="F5325" s="87"/>
      <c r="G5325" s="45" t="s">
        <v>3450</v>
      </c>
      <c r="H5325" s="55" t="s">
        <v>3451</v>
      </c>
      <c r="I5325" s="15" t="s">
        <v>1553</v>
      </c>
    </row>
    <row r="5326" spans="1:9" ht="51.75" customHeight="1" x14ac:dyDescent="0.35">
      <c r="A5326" s="15">
        <v>4</v>
      </c>
      <c r="B5326" s="15" t="s">
        <v>36451</v>
      </c>
      <c r="C5326" s="15" t="s">
        <v>36452</v>
      </c>
      <c r="D5326" s="31">
        <v>40225</v>
      </c>
      <c r="E5326" s="15" t="s">
        <v>36453</v>
      </c>
      <c r="F5326" s="87"/>
      <c r="G5326" s="45" t="s">
        <v>3450</v>
      </c>
      <c r="H5326" s="55" t="s">
        <v>3451</v>
      </c>
      <c r="I5326" s="15" t="s">
        <v>1553</v>
      </c>
    </row>
    <row r="5327" spans="1:9" ht="51.75" customHeight="1" x14ac:dyDescent="0.35">
      <c r="A5327" s="15">
        <v>1</v>
      </c>
      <c r="B5327" s="15" t="s">
        <v>36454</v>
      </c>
      <c r="C5327" s="15" t="s">
        <v>36455</v>
      </c>
      <c r="D5327" s="31">
        <v>39904</v>
      </c>
      <c r="E5327" s="15" t="s">
        <v>36456</v>
      </c>
      <c r="F5327" s="87"/>
      <c r="G5327" s="45" t="s">
        <v>2842</v>
      </c>
      <c r="H5327" s="55" t="s">
        <v>2843</v>
      </c>
      <c r="I5327" s="15" t="s">
        <v>1553</v>
      </c>
    </row>
    <row r="5328" spans="1:9" ht="51.75" customHeight="1" x14ac:dyDescent="0.35">
      <c r="A5328" s="15">
        <v>2</v>
      </c>
      <c r="B5328" s="15" t="s">
        <v>36457</v>
      </c>
      <c r="C5328" s="15" t="s">
        <v>36458</v>
      </c>
      <c r="D5328" s="31">
        <v>39904</v>
      </c>
      <c r="E5328" s="15" t="s">
        <v>36459</v>
      </c>
      <c r="F5328" s="87"/>
      <c r="G5328" s="45" t="s">
        <v>2842</v>
      </c>
      <c r="H5328" s="55" t="s">
        <v>2843</v>
      </c>
      <c r="I5328" s="15" t="s">
        <v>1553</v>
      </c>
    </row>
    <row r="5329" spans="1:9" ht="51.75" customHeight="1" x14ac:dyDescent="0.35">
      <c r="A5329" s="15">
        <v>3</v>
      </c>
      <c r="B5329" s="15" t="s">
        <v>36460</v>
      </c>
      <c r="C5329" s="15" t="s">
        <v>36461</v>
      </c>
      <c r="D5329" s="31">
        <v>39904</v>
      </c>
      <c r="E5329" s="15" t="s">
        <v>36462</v>
      </c>
      <c r="F5329" s="87"/>
      <c r="G5329" s="45" t="s">
        <v>2842</v>
      </c>
      <c r="H5329" s="55" t="s">
        <v>2843</v>
      </c>
      <c r="I5329" s="15" t="s">
        <v>1553</v>
      </c>
    </row>
    <row r="5330" spans="1:9" ht="51.75" customHeight="1" x14ac:dyDescent="0.35">
      <c r="A5330" s="15">
        <v>4</v>
      </c>
      <c r="B5330" s="15" t="s">
        <v>36463</v>
      </c>
      <c r="C5330" s="15" t="s">
        <v>36464</v>
      </c>
      <c r="D5330" s="31">
        <v>39904</v>
      </c>
      <c r="E5330" s="15" t="s">
        <v>36465</v>
      </c>
      <c r="F5330" s="87"/>
      <c r="G5330" s="45" t="s">
        <v>2842</v>
      </c>
      <c r="H5330" s="55" t="s">
        <v>2843</v>
      </c>
      <c r="I5330" s="15" t="s">
        <v>1553</v>
      </c>
    </row>
    <row r="5331" spans="1:9" ht="51.75" customHeight="1" x14ac:dyDescent="0.35">
      <c r="A5331" s="15">
        <v>5</v>
      </c>
      <c r="B5331" s="15" t="s">
        <v>36466</v>
      </c>
      <c r="C5331" s="15" t="s">
        <v>36467</v>
      </c>
      <c r="D5331" s="31">
        <v>39904</v>
      </c>
      <c r="E5331" s="15" t="s">
        <v>36468</v>
      </c>
      <c r="F5331" s="87"/>
      <c r="G5331" s="45" t="s">
        <v>2842</v>
      </c>
      <c r="H5331" s="55" t="s">
        <v>2843</v>
      </c>
      <c r="I5331" s="15" t="s">
        <v>1553</v>
      </c>
    </row>
    <row r="5332" spans="1:9" ht="51.75" customHeight="1" x14ac:dyDescent="0.35">
      <c r="A5332" s="15">
        <v>1</v>
      </c>
      <c r="B5332" s="15" t="s">
        <v>36469</v>
      </c>
      <c r="C5332" s="15" t="s">
        <v>36470</v>
      </c>
      <c r="D5332" s="31">
        <v>39581</v>
      </c>
      <c r="E5332" s="15" t="s">
        <v>36471</v>
      </c>
      <c r="F5332" s="87"/>
      <c r="G5332" s="45" t="s">
        <v>2782</v>
      </c>
      <c r="H5332" s="55" t="s">
        <v>2783</v>
      </c>
      <c r="I5332" s="15" t="s">
        <v>1553</v>
      </c>
    </row>
    <row r="5333" spans="1:9" ht="51.75" customHeight="1" x14ac:dyDescent="0.35">
      <c r="A5333" s="15">
        <v>2</v>
      </c>
      <c r="B5333" s="15" t="s">
        <v>36472</v>
      </c>
      <c r="C5333" s="15" t="s">
        <v>36473</v>
      </c>
      <c r="D5333" s="31">
        <v>39581</v>
      </c>
      <c r="E5333" s="15" t="s">
        <v>36474</v>
      </c>
      <c r="F5333" s="87"/>
      <c r="G5333" s="45" t="s">
        <v>2782</v>
      </c>
      <c r="H5333" s="55" t="s">
        <v>2783</v>
      </c>
      <c r="I5333" s="15" t="s">
        <v>1553</v>
      </c>
    </row>
    <row r="5334" spans="1:9" ht="51.75" customHeight="1" x14ac:dyDescent="0.35">
      <c r="A5334" s="15">
        <v>3</v>
      </c>
      <c r="B5334" s="15" t="s">
        <v>36475</v>
      </c>
      <c r="C5334" s="15" t="s">
        <v>36476</v>
      </c>
      <c r="D5334" s="31">
        <v>39581</v>
      </c>
      <c r="E5334" s="15" t="s">
        <v>36477</v>
      </c>
      <c r="F5334" s="87"/>
      <c r="G5334" s="45" t="s">
        <v>2782</v>
      </c>
      <c r="H5334" s="55" t="s">
        <v>2783</v>
      </c>
      <c r="I5334" s="15" t="s">
        <v>1553</v>
      </c>
    </row>
    <row r="5335" spans="1:9" ht="51.75" customHeight="1" x14ac:dyDescent="0.35">
      <c r="A5335" s="15">
        <v>4</v>
      </c>
      <c r="B5335" s="15" t="s">
        <v>36478</v>
      </c>
      <c r="C5335" s="15" t="s">
        <v>36479</v>
      </c>
      <c r="D5335" s="31">
        <v>39581</v>
      </c>
      <c r="E5335" s="15" t="s">
        <v>36480</v>
      </c>
      <c r="F5335" s="87"/>
      <c r="G5335" s="45" t="s">
        <v>2782</v>
      </c>
      <c r="H5335" s="55" t="s">
        <v>2783</v>
      </c>
      <c r="I5335" s="15" t="s">
        <v>1553</v>
      </c>
    </row>
    <row r="5336" spans="1:9" ht="51.75" customHeight="1" x14ac:dyDescent="0.35">
      <c r="A5336" s="15">
        <v>5</v>
      </c>
      <c r="B5336" s="15" t="s">
        <v>36481</v>
      </c>
      <c r="C5336" s="15" t="s">
        <v>36482</v>
      </c>
      <c r="D5336" s="31">
        <v>39581</v>
      </c>
      <c r="E5336" s="15" t="s">
        <v>36483</v>
      </c>
      <c r="F5336" s="87"/>
      <c r="G5336" s="45" t="s">
        <v>2782</v>
      </c>
      <c r="H5336" s="55" t="s">
        <v>2783</v>
      </c>
      <c r="I5336" s="15" t="s">
        <v>1553</v>
      </c>
    </row>
    <row r="5337" spans="1:9" ht="51.75" customHeight="1" x14ac:dyDescent="0.35">
      <c r="A5337" s="15">
        <v>6</v>
      </c>
      <c r="B5337" s="15" t="s">
        <v>36484</v>
      </c>
      <c r="C5337" s="15" t="s">
        <v>36485</v>
      </c>
      <c r="D5337" s="31">
        <v>39581</v>
      </c>
      <c r="E5337" s="15" t="s">
        <v>36486</v>
      </c>
      <c r="F5337" s="87"/>
      <c r="G5337" s="45" t="s">
        <v>2782</v>
      </c>
      <c r="H5337" s="55" t="s">
        <v>2783</v>
      </c>
      <c r="I5337" s="15" t="s">
        <v>1553</v>
      </c>
    </row>
    <row r="5338" spans="1:9" ht="51.75" customHeight="1" x14ac:dyDescent="0.35">
      <c r="A5338" s="15">
        <v>1</v>
      </c>
      <c r="B5338" s="15" t="s">
        <v>36487</v>
      </c>
      <c r="C5338" s="15" t="s">
        <v>36488</v>
      </c>
      <c r="D5338" s="31">
        <v>39524</v>
      </c>
      <c r="E5338" s="15" t="s">
        <v>36489</v>
      </c>
      <c r="F5338" s="87"/>
      <c r="G5338" s="45" t="s">
        <v>2631</v>
      </c>
      <c r="H5338" s="55" t="s">
        <v>2632</v>
      </c>
      <c r="I5338" s="15" t="s">
        <v>1553</v>
      </c>
    </row>
    <row r="5339" spans="1:9" ht="51.75" customHeight="1" x14ac:dyDescent="0.35">
      <c r="A5339" s="15">
        <v>2</v>
      </c>
      <c r="B5339" s="15" t="s">
        <v>36490</v>
      </c>
      <c r="C5339" s="15" t="s">
        <v>36491</v>
      </c>
      <c r="D5339" s="31">
        <v>39524</v>
      </c>
      <c r="E5339" s="15" t="s">
        <v>36492</v>
      </c>
      <c r="F5339" s="87"/>
      <c r="G5339" s="45" t="s">
        <v>2631</v>
      </c>
      <c r="H5339" s="55" t="s">
        <v>2632</v>
      </c>
      <c r="I5339" s="15" t="s">
        <v>1553</v>
      </c>
    </row>
    <row r="5340" spans="1:9" ht="51.75" customHeight="1" x14ac:dyDescent="0.35">
      <c r="A5340" s="15">
        <v>3</v>
      </c>
      <c r="B5340" s="15" t="s">
        <v>36493</v>
      </c>
      <c r="C5340" s="15" t="s">
        <v>36494</v>
      </c>
      <c r="D5340" s="31">
        <v>39524</v>
      </c>
      <c r="E5340" s="15" t="s">
        <v>36495</v>
      </c>
      <c r="F5340" s="87"/>
      <c r="G5340" s="45" t="s">
        <v>2631</v>
      </c>
      <c r="H5340" s="55" t="s">
        <v>2632</v>
      </c>
      <c r="I5340" s="15" t="s">
        <v>1553</v>
      </c>
    </row>
    <row r="5341" spans="1:9" ht="51.75" customHeight="1" x14ac:dyDescent="0.35">
      <c r="A5341" s="15">
        <v>4</v>
      </c>
      <c r="B5341" s="15" t="s">
        <v>36496</v>
      </c>
      <c r="C5341" s="15" t="s">
        <v>36497</v>
      </c>
      <c r="D5341" s="31">
        <v>39524</v>
      </c>
      <c r="E5341" s="15" t="s">
        <v>36498</v>
      </c>
      <c r="F5341" s="87"/>
      <c r="G5341" s="45" t="s">
        <v>2631</v>
      </c>
      <c r="H5341" s="55" t="s">
        <v>2632</v>
      </c>
      <c r="I5341" s="15" t="s">
        <v>1553</v>
      </c>
    </row>
    <row r="5342" spans="1:9" ht="51.75" customHeight="1" x14ac:dyDescent="0.35">
      <c r="A5342" s="15">
        <v>1</v>
      </c>
      <c r="B5342" s="15" t="s">
        <v>36499</v>
      </c>
      <c r="C5342" s="15" t="s">
        <v>36500</v>
      </c>
      <c r="D5342" s="31">
        <v>39489</v>
      </c>
      <c r="E5342" s="15" t="s">
        <v>36501</v>
      </c>
      <c r="F5342" s="87"/>
      <c r="G5342" s="45" t="s">
        <v>2537</v>
      </c>
      <c r="H5342" s="55" t="s">
        <v>2538</v>
      </c>
      <c r="I5342" s="15" t="s">
        <v>1553</v>
      </c>
    </row>
    <row r="5343" spans="1:9" ht="51.75" customHeight="1" x14ac:dyDescent="0.35">
      <c r="A5343" s="15">
        <v>2</v>
      </c>
      <c r="B5343" s="15" t="s">
        <v>36502</v>
      </c>
      <c r="C5343" s="15" t="s">
        <v>36503</v>
      </c>
      <c r="D5343" s="31">
        <v>39489</v>
      </c>
      <c r="E5343" s="15" t="s">
        <v>36504</v>
      </c>
      <c r="F5343" s="87"/>
      <c r="G5343" s="45" t="s">
        <v>2537</v>
      </c>
      <c r="H5343" s="55" t="s">
        <v>2538</v>
      </c>
      <c r="I5343" s="15" t="s">
        <v>1553</v>
      </c>
    </row>
    <row r="5344" spans="1:9" ht="51.75" customHeight="1" x14ac:dyDescent="0.35">
      <c r="A5344" s="15">
        <v>3</v>
      </c>
      <c r="B5344" s="15" t="s">
        <v>36505</v>
      </c>
      <c r="C5344" s="15" t="s">
        <v>36506</v>
      </c>
      <c r="D5344" s="31">
        <v>39489</v>
      </c>
      <c r="E5344" s="15" t="s">
        <v>36507</v>
      </c>
      <c r="F5344" s="87"/>
      <c r="G5344" s="45" t="s">
        <v>2537</v>
      </c>
      <c r="H5344" s="55" t="s">
        <v>2538</v>
      </c>
      <c r="I5344" s="15" t="s">
        <v>1553</v>
      </c>
    </row>
    <row r="5345" spans="1:9" ht="51.75" customHeight="1" x14ac:dyDescent="0.35">
      <c r="A5345" s="15">
        <v>4</v>
      </c>
      <c r="B5345" s="15" t="s">
        <v>36508</v>
      </c>
      <c r="C5345" s="15" t="s">
        <v>36509</v>
      </c>
      <c r="D5345" s="31">
        <v>39489</v>
      </c>
      <c r="E5345" s="15" t="s">
        <v>36510</v>
      </c>
      <c r="F5345" s="87"/>
      <c r="G5345" s="45" t="s">
        <v>2537</v>
      </c>
      <c r="H5345" s="55" t="s">
        <v>2538</v>
      </c>
      <c r="I5345" s="15" t="s">
        <v>1553</v>
      </c>
    </row>
    <row r="5346" spans="1:9" ht="51.75" customHeight="1" x14ac:dyDescent="0.35">
      <c r="A5346" s="15">
        <v>5</v>
      </c>
      <c r="B5346" s="15" t="s">
        <v>36511</v>
      </c>
      <c r="C5346" s="15" t="s">
        <v>36512</v>
      </c>
      <c r="D5346" s="31">
        <v>39489</v>
      </c>
      <c r="E5346" s="15" t="s">
        <v>36513</v>
      </c>
      <c r="F5346" s="87"/>
      <c r="G5346" s="45" t="s">
        <v>2537</v>
      </c>
      <c r="H5346" s="55" t="s">
        <v>2538</v>
      </c>
      <c r="I5346" s="15" t="s">
        <v>1553</v>
      </c>
    </row>
    <row r="5347" spans="1:9" ht="51.75" customHeight="1" x14ac:dyDescent="0.35">
      <c r="A5347" s="15">
        <v>6</v>
      </c>
      <c r="B5347" s="15" t="s">
        <v>36514</v>
      </c>
      <c r="C5347" s="15" t="s">
        <v>36515</v>
      </c>
      <c r="D5347" s="31">
        <v>39489</v>
      </c>
      <c r="E5347" s="15" t="s">
        <v>36516</v>
      </c>
      <c r="F5347" s="87"/>
      <c r="G5347" s="45" t="s">
        <v>2537</v>
      </c>
      <c r="H5347" s="55" t="s">
        <v>2538</v>
      </c>
      <c r="I5347" s="15" t="s">
        <v>1553</v>
      </c>
    </row>
    <row r="5348" spans="1:9" ht="51.75" customHeight="1" x14ac:dyDescent="0.35">
      <c r="A5348" s="15">
        <v>7</v>
      </c>
      <c r="B5348" s="15" t="s">
        <v>36517</v>
      </c>
      <c r="C5348" s="15" t="s">
        <v>36518</v>
      </c>
      <c r="D5348" s="31">
        <v>39489</v>
      </c>
      <c r="E5348" s="15" t="s">
        <v>36519</v>
      </c>
      <c r="F5348" s="87"/>
      <c r="G5348" s="45" t="s">
        <v>2537</v>
      </c>
      <c r="H5348" s="55" t="s">
        <v>2538</v>
      </c>
      <c r="I5348" s="15" t="s">
        <v>1553</v>
      </c>
    </row>
    <row r="5349" spans="1:9" ht="51.75" customHeight="1" x14ac:dyDescent="0.35">
      <c r="A5349" s="15">
        <v>1</v>
      </c>
      <c r="B5349" s="15" t="s">
        <v>36520</v>
      </c>
      <c r="C5349" s="15" t="s">
        <v>36521</v>
      </c>
      <c r="D5349" s="31">
        <v>39437</v>
      </c>
      <c r="E5349" s="15" t="s">
        <v>36522</v>
      </c>
      <c r="F5349" s="87"/>
      <c r="G5349" s="45" t="s">
        <v>2389</v>
      </c>
      <c r="H5349" s="55" t="s">
        <v>2390</v>
      </c>
      <c r="I5349" s="15" t="s">
        <v>1553</v>
      </c>
    </row>
    <row r="5350" spans="1:9" ht="51.75" customHeight="1" x14ac:dyDescent="0.35">
      <c r="A5350" s="15">
        <v>2</v>
      </c>
      <c r="B5350" s="15" t="s">
        <v>36523</v>
      </c>
      <c r="C5350" s="15" t="s">
        <v>36524</v>
      </c>
      <c r="D5350" s="31">
        <v>39437</v>
      </c>
      <c r="E5350" s="15" t="s">
        <v>36525</v>
      </c>
      <c r="F5350" s="87"/>
      <c r="G5350" s="45" t="s">
        <v>2389</v>
      </c>
      <c r="H5350" s="55" t="s">
        <v>2390</v>
      </c>
      <c r="I5350" s="15" t="s">
        <v>1553</v>
      </c>
    </row>
    <row r="5351" spans="1:9" ht="51.75" customHeight="1" x14ac:dyDescent="0.35">
      <c r="A5351" s="15">
        <v>3</v>
      </c>
      <c r="B5351" s="15" t="s">
        <v>36526</v>
      </c>
      <c r="C5351" s="15" t="s">
        <v>36527</v>
      </c>
      <c r="D5351" s="31">
        <v>39437</v>
      </c>
      <c r="E5351" s="15" t="s">
        <v>36528</v>
      </c>
      <c r="F5351" s="87"/>
      <c r="G5351" s="45" t="s">
        <v>2389</v>
      </c>
      <c r="H5351" s="55" t="s">
        <v>2390</v>
      </c>
      <c r="I5351" s="15" t="s">
        <v>1553</v>
      </c>
    </row>
    <row r="5352" spans="1:9" ht="51.75" customHeight="1" x14ac:dyDescent="0.35">
      <c r="A5352" s="15">
        <v>1</v>
      </c>
      <c r="B5352" s="15" t="s">
        <v>36529</v>
      </c>
      <c r="C5352" s="15" t="s">
        <v>36530</v>
      </c>
      <c r="D5352" s="31">
        <v>39709</v>
      </c>
      <c r="E5352" s="15" t="s">
        <v>36531</v>
      </c>
      <c r="F5352" s="87"/>
      <c r="G5352" s="45" t="s">
        <v>2413</v>
      </c>
      <c r="H5352" s="55" t="s">
        <v>2414</v>
      </c>
      <c r="I5352" s="15" t="s">
        <v>1553</v>
      </c>
    </row>
    <row r="5353" spans="1:9" ht="51.75" customHeight="1" x14ac:dyDescent="0.35">
      <c r="A5353" s="15">
        <v>2</v>
      </c>
      <c r="B5353" s="15" t="s">
        <v>36532</v>
      </c>
      <c r="C5353" s="15" t="s">
        <v>36533</v>
      </c>
      <c r="D5353" s="31">
        <v>39709</v>
      </c>
      <c r="E5353" s="15" t="s">
        <v>36534</v>
      </c>
      <c r="F5353" s="87"/>
      <c r="G5353" s="45" t="s">
        <v>2413</v>
      </c>
      <c r="H5353" s="55" t="s">
        <v>2414</v>
      </c>
      <c r="I5353" s="15" t="s">
        <v>1553</v>
      </c>
    </row>
    <row r="5354" spans="1:9" ht="51.75" customHeight="1" x14ac:dyDescent="0.35">
      <c r="A5354" s="15">
        <v>3</v>
      </c>
      <c r="B5354" s="15" t="s">
        <v>36535</v>
      </c>
      <c r="C5354" s="15" t="s">
        <v>36536</v>
      </c>
      <c r="D5354" s="31">
        <v>39709</v>
      </c>
      <c r="E5354" s="15" t="s">
        <v>36537</v>
      </c>
      <c r="F5354" s="87"/>
      <c r="G5354" s="45" t="s">
        <v>2413</v>
      </c>
      <c r="H5354" s="55" t="s">
        <v>2414</v>
      </c>
      <c r="I5354" s="15" t="s">
        <v>1553</v>
      </c>
    </row>
    <row r="5355" spans="1:9" ht="51.75" customHeight="1" x14ac:dyDescent="0.35">
      <c r="A5355" s="15">
        <v>1</v>
      </c>
      <c r="B5355" s="15" t="s">
        <v>36538</v>
      </c>
      <c r="C5355" s="15" t="s">
        <v>36539</v>
      </c>
      <c r="D5355" s="31">
        <v>40863</v>
      </c>
      <c r="E5355" s="15" t="s">
        <v>36540</v>
      </c>
      <c r="F5355" s="87"/>
      <c r="G5355" s="45" t="s">
        <v>6068</v>
      </c>
      <c r="H5355" s="55" t="s">
        <v>6069</v>
      </c>
      <c r="I5355" s="15" t="s">
        <v>1553</v>
      </c>
    </row>
    <row r="5356" spans="1:9" ht="51.75" customHeight="1" x14ac:dyDescent="0.35">
      <c r="A5356" s="15">
        <v>1</v>
      </c>
      <c r="B5356" s="15" t="s">
        <v>36541</v>
      </c>
      <c r="C5356" s="15" t="s">
        <v>36542</v>
      </c>
      <c r="D5356" s="31">
        <v>41008</v>
      </c>
      <c r="E5356" s="15" t="s">
        <v>36543</v>
      </c>
      <c r="F5356" s="87"/>
      <c r="G5356" s="45" t="s">
        <v>6017</v>
      </c>
      <c r="H5356" s="55" t="s">
        <v>6018</v>
      </c>
      <c r="I5356" s="15" t="s">
        <v>1553</v>
      </c>
    </row>
    <row r="5357" spans="1:9" ht="51.75" customHeight="1" x14ac:dyDescent="0.35">
      <c r="A5357" s="15">
        <v>1</v>
      </c>
      <c r="B5357" s="15" t="s">
        <v>36544</v>
      </c>
      <c r="C5357" s="15" t="s">
        <v>36545</v>
      </c>
      <c r="D5357" s="31">
        <v>41008</v>
      </c>
      <c r="E5357" s="15" t="s">
        <v>36546</v>
      </c>
      <c r="F5357" s="87" t="s">
        <v>21871</v>
      </c>
      <c r="G5357" s="45" t="s">
        <v>5999</v>
      </c>
      <c r="H5357" s="55" t="s">
        <v>6000</v>
      </c>
      <c r="I5357" s="15" t="s">
        <v>1553</v>
      </c>
    </row>
    <row r="5358" spans="1:9" ht="51.75" customHeight="1" x14ac:dyDescent="0.35">
      <c r="A5358" s="15">
        <v>2</v>
      </c>
      <c r="B5358" s="15" t="s">
        <v>36547</v>
      </c>
      <c r="C5358" s="15" t="s">
        <v>36548</v>
      </c>
      <c r="D5358" s="31">
        <v>41008</v>
      </c>
      <c r="E5358" s="15" t="s">
        <v>36549</v>
      </c>
      <c r="F5358" s="87" t="s">
        <v>21871</v>
      </c>
      <c r="G5358" s="45" t="s">
        <v>5999</v>
      </c>
      <c r="H5358" s="55" t="s">
        <v>6000</v>
      </c>
      <c r="I5358" s="15" t="s">
        <v>1553</v>
      </c>
    </row>
    <row r="5359" spans="1:9" ht="51.75" customHeight="1" x14ac:dyDescent="0.35">
      <c r="A5359" s="15">
        <v>3</v>
      </c>
      <c r="B5359" s="15" t="s">
        <v>36550</v>
      </c>
      <c r="C5359" s="15" t="s">
        <v>36551</v>
      </c>
      <c r="D5359" s="31">
        <v>41008</v>
      </c>
      <c r="E5359" s="15" t="s">
        <v>36552</v>
      </c>
      <c r="F5359" s="87" t="s">
        <v>21871</v>
      </c>
      <c r="G5359" s="45" t="s">
        <v>5999</v>
      </c>
      <c r="H5359" s="55" t="s">
        <v>6000</v>
      </c>
      <c r="I5359" s="15" t="s">
        <v>1553</v>
      </c>
    </row>
    <row r="5360" spans="1:9" ht="51.75" customHeight="1" x14ac:dyDescent="0.35">
      <c r="A5360" s="15">
        <v>1</v>
      </c>
      <c r="B5360" s="15" t="s">
        <v>36553</v>
      </c>
      <c r="C5360" s="15" t="s">
        <v>36554</v>
      </c>
      <c r="D5360" s="31">
        <v>40863</v>
      </c>
      <c r="E5360" s="15" t="s">
        <v>36555</v>
      </c>
      <c r="F5360" s="87"/>
      <c r="G5360" s="45" t="s">
        <v>5885</v>
      </c>
      <c r="H5360" s="55" t="s">
        <v>5886</v>
      </c>
      <c r="I5360" s="15" t="s">
        <v>1553</v>
      </c>
    </row>
    <row r="5361" spans="1:9" ht="51.75" customHeight="1" x14ac:dyDescent="0.35">
      <c r="A5361" s="15">
        <v>2</v>
      </c>
      <c r="B5361" s="15" t="s">
        <v>36556</v>
      </c>
      <c r="C5361" s="15" t="s">
        <v>36557</v>
      </c>
      <c r="D5361" s="31">
        <v>40863</v>
      </c>
      <c r="E5361" s="15" t="s">
        <v>36558</v>
      </c>
      <c r="F5361" s="87"/>
      <c r="G5361" s="45" t="s">
        <v>5885</v>
      </c>
      <c r="H5361" s="55" t="s">
        <v>5886</v>
      </c>
      <c r="I5361" s="15" t="s">
        <v>1553</v>
      </c>
    </row>
    <row r="5362" spans="1:9" ht="51.75" customHeight="1" x14ac:dyDescent="0.35">
      <c r="A5362" s="15">
        <v>3</v>
      </c>
      <c r="B5362" s="15" t="s">
        <v>36559</v>
      </c>
      <c r="C5362" s="15" t="s">
        <v>36560</v>
      </c>
      <c r="D5362" s="31">
        <v>40863</v>
      </c>
      <c r="E5362" s="15" t="s">
        <v>36561</v>
      </c>
      <c r="F5362" s="87"/>
      <c r="G5362" s="45" t="s">
        <v>5885</v>
      </c>
      <c r="H5362" s="55" t="s">
        <v>5886</v>
      </c>
      <c r="I5362" s="15" t="s">
        <v>1553</v>
      </c>
    </row>
    <row r="5363" spans="1:9" ht="51.75" customHeight="1" x14ac:dyDescent="0.35">
      <c r="A5363" s="15">
        <v>1</v>
      </c>
      <c r="B5363" s="15" t="s">
        <v>36562</v>
      </c>
      <c r="C5363" s="15" t="s">
        <v>36563</v>
      </c>
      <c r="D5363" s="31">
        <v>41008</v>
      </c>
      <c r="E5363" s="15" t="s">
        <v>36564</v>
      </c>
      <c r="F5363" s="87"/>
      <c r="G5363" s="45" t="s">
        <v>5804</v>
      </c>
      <c r="H5363" s="55" t="s">
        <v>5805</v>
      </c>
      <c r="I5363" s="15" t="s">
        <v>1553</v>
      </c>
    </row>
    <row r="5364" spans="1:9" ht="51.75" customHeight="1" x14ac:dyDescent="0.35">
      <c r="A5364" s="15">
        <v>2</v>
      </c>
      <c r="B5364" s="15" t="s">
        <v>36565</v>
      </c>
      <c r="C5364" s="15" t="s">
        <v>36566</v>
      </c>
      <c r="D5364" s="31">
        <v>41008</v>
      </c>
      <c r="E5364" s="15" t="s">
        <v>36567</v>
      </c>
      <c r="F5364" s="87"/>
      <c r="G5364" s="45" t="s">
        <v>5804</v>
      </c>
      <c r="H5364" s="55" t="s">
        <v>5805</v>
      </c>
      <c r="I5364" s="15" t="s">
        <v>1553</v>
      </c>
    </row>
    <row r="5365" spans="1:9" ht="51.75" customHeight="1" x14ac:dyDescent="0.35">
      <c r="A5365" s="15">
        <v>3</v>
      </c>
      <c r="B5365" s="15" t="s">
        <v>36568</v>
      </c>
      <c r="C5365" s="15" t="s">
        <v>36569</v>
      </c>
      <c r="D5365" s="31">
        <v>41008</v>
      </c>
      <c r="E5365" s="15" t="s">
        <v>36570</v>
      </c>
      <c r="F5365" s="87"/>
      <c r="G5365" s="45" t="s">
        <v>5804</v>
      </c>
      <c r="H5365" s="55" t="s">
        <v>5805</v>
      </c>
      <c r="I5365" s="15" t="s">
        <v>1553</v>
      </c>
    </row>
    <row r="5366" spans="1:9" ht="51.75" customHeight="1" x14ac:dyDescent="0.35">
      <c r="A5366" s="15">
        <v>4</v>
      </c>
      <c r="B5366" s="15" t="s">
        <v>36571</v>
      </c>
      <c r="C5366" s="15" t="s">
        <v>36572</v>
      </c>
      <c r="D5366" s="31">
        <v>41008</v>
      </c>
      <c r="E5366" s="15" t="s">
        <v>36573</v>
      </c>
      <c r="F5366" s="87"/>
      <c r="G5366" s="45" t="s">
        <v>5804</v>
      </c>
      <c r="H5366" s="55" t="s">
        <v>5805</v>
      </c>
      <c r="I5366" s="15" t="s">
        <v>1553</v>
      </c>
    </row>
    <row r="5367" spans="1:9" ht="51.75" customHeight="1" x14ac:dyDescent="0.35">
      <c r="A5367" s="15">
        <v>1</v>
      </c>
      <c r="B5367" s="15" t="s">
        <v>36574</v>
      </c>
      <c r="C5367" s="15" t="s">
        <v>36575</v>
      </c>
      <c r="D5367" s="31">
        <v>40830</v>
      </c>
      <c r="E5367" s="15" t="s">
        <v>36576</v>
      </c>
      <c r="F5367" s="87"/>
      <c r="G5367" s="45" t="s">
        <v>5581</v>
      </c>
      <c r="H5367" s="55" t="s">
        <v>5582</v>
      </c>
      <c r="I5367" s="15" t="s">
        <v>1553</v>
      </c>
    </row>
    <row r="5368" spans="1:9" ht="51.75" customHeight="1" x14ac:dyDescent="0.35">
      <c r="A5368" s="15">
        <v>1</v>
      </c>
      <c r="B5368" s="15" t="s">
        <v>36577</v>
      </c>
      <c r="C5368" s="15" t="s">
        <v>36578</v>
      </c>
      <c r="D5368" s="31">
        <v>40828</v>
      </c>
      <c r="E5368" s="15" t="s">
        <v>36579</v>
      </c>
      <c r="F5368" s="87"/>
      <c r="G5368" s="45" t="s">
        <v>5459</v>
      </c>
      <c r="H5368" s="55" t="s">
        <v>5460</v>
      </c>
      <c r="I5368" s="15" t="s">
        <v>1553</v>
      </c>
    </row>
    <row r="5369" spans="1:9" ht="51.75" customHeight="1" x14ac:dyDescent="0.35">
      <c r="A5369" s="15">
        <v>2</v>
      </c>
      <c r="B5369" s="15" t="s">
        <v>36580</v>
      </c>
      <c r="C5369" s="15" t="s">
        <v>36581</v>
      </c>
      <c r="D5369" s="31">
        <v>40828</v>
      </c>
      <c r="E5369" s="15" t="s">
        <v>36582</v>
      </c>
      <c r="F5369" s="87"/>
      <c r="G5369" s="45" t="s">
        <v>5459</v>
      </c>
      <c r="H5369" s="55" t="s">
        <v>5460</v>
      </c>
      <c r="I5369" s="15" t="s">
        <v>1553</v>
      </c>
    </row>
    <row r="5370" spans="1:9" ht="51.75" customHeight="1" x14ac:dyDescent="0.35">
      <c r="A5370" s="15">
        <v>3</v>
      </c>
      <c r="B5370" s="15" t="s">
        <v>36583</v>
      </c>
      <c r="C5370" s="15" t="s">
        <v>36584</v>
      </c>
      <c r="D5370" s="31">
        <v>40828</v>
      </c>
      <c r="E5370" s="15" t="s">
        <v>36585</v>
      </c>
      <c r="F5370" s="87"/>
      <c r="G5370" s="45" t="s">
        <v>5459</v>
      </c>
      <c r="H5370" s="55" t="s">
        <v>5460</v>
      </c>
      <c r="I5370" s="15" t="s">
        <v>1553</v>
      </c>
    </row>
    <row r="5371" spans="1:9" ht="51.75" customHeight="1" x14ac:dyDescent="0.35">
      <c r="A5371" s="15">
        <v>1</v>
      </c>
      <c r="B5371" s="15" t="s">
        <v>36586</v>
      </c>
      <c r="C5371" s="15" t="s">
        <v>36587</v>
      </c>
      <c r="D5371" s="31">
        <v>40688</v>
      </c>
      <c r="E5371" s="15" t="s">
        <v>36587</v>
      </c>
      <c r="F5371" s="87"/>
      <c r="G5371" s="45" t="s">
        <v>5409</v>
      </c>
      <c r="H5371" s="55" t="s">
        <v>5410</v>
      </c>
      <c r="I5371" s="15" t="s">
        <v>1553</v>
      </c>
    </row>
    <row r="5372" spans="1:9" ht="51.75" customHeight="1" x14ac:dyDescent="0.35">
      <c r="A5372" s="15">
        <v>2</v>
      </c>
      <c r="B5372" s="15" t="s">
        <v>36588</v>
      </c>
      <c r="C5372" s="15" t="s">
        <v>36589</v>
      </c>
      <c r="D5372" s="31">
        <v>40688</v>
      </c>
      <c r="E5372" s="15" t="s">
        <v>36590</v>
      </c>
      <c r="F5372" s="87"/>
      <c r="G5372" s="45" t="s">
        <v>5409</v>
      </c>
      <c r="H5372" s="55" t="s">
        <v>5410</v>
      </c>
      <c r="I5372" s="15" t="s">
        <v>1553</v>
      </c>
    </row>
    <row r="5373" spans="1:9" ht="51.75" customHeight="1" x14ac:dyDescent="0.35">
      <c r="A5373" s="15">
        <v>1</v>
      </c>
      <c r="B5373" s="15" t="s">
        <v>36591</v>
      </c>
      <c r="C5373" s="15" t="s">
        <v>36592</v>
      </c>
      <c r="D5373" s="31">
        <v>40829</v>
      </c>
      <c r="E5373" s="15" t="s">
        <v>36593</v>
      </c>
      <c r="F5373" s="87"/>
      <c r="G5373" s="45" t="s">
        <v>5398</v>
      </c>
      <c r="H5373" s="55" t="s">
        <v>5399</v>
      </c>
      <c r="I5373" s="15" t="s">
        <v>1553</v>
      </c>
    </row>
    <row r="5374" spans="1:9" ht="51.75" customHeight="1" x14ac:dyDescent="0.35">
      <c r="A5374" s="15">
        <v>2</v>
      </c>
      <c r="B5374" s="15" t="s">
        <v>36594</v>
      </c>
      <c r="C5374" s="15" t="s">
        <v>36595</v>
      </c>
      <c r="D5374" s="31">
        <v>40829</v>
      </c>
      <c r="E5374" s="15" t="s">
        <v>36596</v>
      </c>
      <c r="F5374" s="87"/>
      <c r="G5374" s="45" t="s">
        <v>5398</v>
      </c>
      <c r="H5374" s="55" t="s">
        <v>5399</v>
      </c>
      <c r="I5374" s="15" t="s">
        <v>1553</v>
      </c>
    </row>
    <row r="5375" spans="1:9" ht="51.75" customHeight="1" x14ac:dyDescent="0.35">
      <c r="A5375" s="15" t="s">
        <v>23629</v>
      </c>
      <c r="B5375" s="15" t="s">
        <v>36597</v>
      </c>
      <c r="C5375" s="15" t="s">
        <v>36598</v>
      </c>
      <c r="D5375" s="31">
        <v>41262</v>
      </c>
      <c r="E5375" s="15" t="s">
        <v>36599</v>
      </c>
      <c r="F5375" s="87" t="s">
        <v>21871</v>
      </c>
      <c r="G5375" s="45" t="s">
        <v>7739</v>
      </c>
      <c r="H5375" s="55" t="s">
        <v>7740</v>
      </c>
      <c r="I5375" s="15" t="s">
        <v>1553</v>
      </c>
    </row>
    <row r="5376" spans="1:9" ht="51.75" customHeight="1" x14ac:dyDescent="0.35">
      <c r="A5376" s="15" t="s">
        <v>23353</v>
      </c>
      <c r="B5376" s="15" t="s">
        <v>36600</v>
      </c>
      <c r="C5376" s="15" t="s">
        <v>36601</v>
      </c>
      <c r="D5376" s="31">
        <v>41262</v>
      </c>
      <c r="E5376" s="15" t="s">
        <v>36602</v>
      </c>
      <c r="F5376" s="87" t="s">
        <v>21871</v>
      </c>
      <c r="G5376" s="45" t="s">
        <v>7739</v>
      </c>
      <c r="H5376" s="55" t="s">
        <v>7740</v>
      </c>
      <c r="I5376" s="15" t="s">
        <v>1553</v>
      </c>
    </row>
    <row r="5377" spans="1:9" ht="51.75" customHeight="1" x14ac:dyDescent="0.35">
      <c r="A5377" s="15" t="s">
        <v>23357</v>
      </c>
      <c r="B5377" s="15" t="s">
        <v>36603</v>
      </c>
      <c r="C5377" s="15" t="s">
        <v>36604</v>
      </c>
      <c r="D5377" s="31">
        <v>41262</v>
      </c>
      <c r="E5377" s="15" t="s">
        <v>36605</v>
      </c>
      <c r="F5377" s="87" t="s">
        <v>21871</v>
      </c>
      <c r="G5377" s="45" t="s">
        <v>7739</v>
      </c>
      <c r="H5377" s="55" t="s">
        <v>7740</v>
      </c>
      <c r="I5377" s="15" t="s">
        <v>1553</v>
      </c>
    </row>
    <row r="5378" spans="1:9" ht="51.75" customHeight="1" x14ac:dyDescent="0.35">
      <c r="A5378" s="15" t="s">
        <v>23361</v>
      </c>
      <c r="B5378" s="15" t="s">
        <v>36606</v>
      </c>
      <c r="C5378" s="15" t="s">
        <v>36607</v>
      </c>
      <c r="D5378" s="31">
        <v>41262</v>
      </c>
      <c r="E5378" s="15" t="s">
        <v>36608</v>
      </c>
      <c r="F5378" s="87" t="s">
        <v>21871</v>
      </c>
      <c r="G5378" s="45" t="s">
        <v>7739</v>
      </c>
      <c r="H5378" s="55" t="s">
        <v>7740</v>
      </c>
      <c r="I5378" s="15" t="s">
        <v>1553</v>
      </c>
    </row>
    <row r="5379" spans="1:9" ht="51.75" customHeight="1" x14ac:dyDescent="0.35">
      <c r="A5379" s="15" t="s">
        <v>33837</v>
      </c>
      <c r="B5379" s="15" t="s">
        <v>36609</v>
      </c>
      <c r="C5379" s="15" t="s">
        <v>36610</v>
      </c>
      <c r="D5379" s="31" t="s">
        <v>50</v>
      </c>
      <c r="E5379" s="15" t="s">
        <v>36611</v>
      </c>
      <c r="F5379" s="87" t="s">
        <v>21871</v>
      </c>
      <c r="G5379" s="45" t="s">
        <v>7739</v>
      </c>
      <c r="H5379" s="55" t="s">
        <v>7740</v>
      </c>
      <c r="I5379" s="15" t="s">
        <v>1553</v>
      </c>
    </row>
    <row r="5380" spans="1:9" ht="51.75" customHeight="1" x14ac:dyDescent="0.35">
      <c r="A5380" s="15">
        <v>1</v>
      </c>
      <c r="B5380" s="15" t="s">
        <v>36612</v>
      </c>
      <c r="C5380" s="15" t="s">
        <v>36613</v>
      </c>
      <c r="D5380" s="31">
        <v>40661</v>
      </c>
      <c r="E5380" s="15" t="s">
        <v>36614</v>
      </c>
      <c r="F5380" s="87" t="s">
        <v>21871</v>
      </c>
      <c r="G5380" s="45" t="s">
        <v>5931</v>
      </c>
      <c r="H5380" s="55" t="s">
        <v>5932</v>
      </c>
      <c r="I5380" s="15" t="s">
        <v>1553</v>
      </c>
    </row>
    <row r="5381" spans="1:9" ht="51.75" customHeight="1" x14ac:dyDescent="0.35">
      <c r="A5381" s="15">
        <v>1</v>
      </c>
      <c r="B5381" s="15" t="s">
        <v>36615</v>
      </c>
      <c r="C5381" s="15" t="s">
        <v>36616</v>
      </c>
      <c r="D5381" s="31">
        <v>40528</v>
      </c>
      <c r="E5381" s="15" t="s">
        <v>36617</v>
      </c>
      <c r="F5381" s="87" t="s">
        <v>36618</v>
      </c>
      <c r="G5381" s="45" t="s">
        <v>5543</v>
      </c>
      <c r="H5381" s="55" t="s">
        <v>5544</v>
      </c>
      <c r="I5381" s="15" t="s">
        <v>1553</v>
      </c>
    </row>
    <row r="5382" spans="1:9" ht="51.75" customHeight="1" x14ac:dyDescent="0.35">
      <c r="A5382" s="15">
        <v>1</v>
      </c>
      <c r="B5382" s="15" t="s">
        <v>36619</v>
      </c>
      <c r="C5382" s="15" t="s">
        <v>36616</v>
      </c>
      <c r="D5382" s="31">
        <v>40528</v>
      </c>
      <c r="E5382" s="15" t="s">
        <v>36620</v>
      </c>
      <c r="F5382" s="87" t="s">
        <v>21871</v>
      </c>
      <c r="G5382" s="45" t="s">
        <v>5543</v>
      </c>
      <c r="H5382" s="55" t="s">
        <v>5544</v>
      </c>
      <c r="I5382" s="15" t="s">
        <v>1553</v>
      </c>
    </row>
    <row r="5383" spans="1:9" ht="51.75" customHeight="1" x14ac:dyDescent="0.35">
      <c r="A5383" s="15">
        <v>2</v>
      </c>
      <c r="B5383" s="15" t="s">
        <v>36621</v>
      </c>
      <c r="C5383" s="15" t="s">
        <v>36622</v>
      </c>
      <c r="D5383" s="31">
        <v>40528</v>
      </c>
      <c r="E5383" s="15" t="s">
        <v>36623</v>
      </c>
      <c r="F5383" s="87" t="s">
        <v>36618</v>
      </c>
      <c r="G5383" s="45" t="s">
        <v>5543</v>
      </c>
      <c r="H5383" s="55" t="s">
        <v>5544</v>
      </c>
      <c r="I5383" s="15" t="s">
        <v>1553</v>
      </c>
    </row>
    <row r="5384" spans="1:9" ht="51.75" customHeight="1" x14ac:dyDescent="0.35">
      <c r="A5384" s="15">
        <v>2</v>
      </c>
      <c r="B5384" s="15" t="s">
        <v>36624</v>
      </c>
      <c r="C5384" s="15" t="s">
        <v>36622</v>
      </c>
      <c r="D5384" s="31">
        <v>40528</v>
      </c>
      <c r="E5384" s="15" t="s">
        <v>36625</v>
      </c>
      <c r="F5384" s="87" t="s">
        <v>21871</v>
      </c>
      <c r="G5384" s="45" t="s">
        <v>5543</v>
      </c>
      <c r="H5384" s="55" t="s">
        <v>5544</v>
      </c>
      <c r="I5384" s="15" t="s">
        <v>1553</v>
      </c>
    </row>
    <row r="5385" spans="1:9" ht="51.75" customHeight="1" x14ac:dyDescent="0.35">
      <c r="A5385" s="15">
        <v>3</v>
      </c>
      <c r="B5385" s="15" t="s">
        <v>36626</v>
      </c>
      <c r="C5385" s="15" t="s">
        <v>36627</v>
      </c>
      <c r="D5385" s="31">
        <v>40528</v>
      </c>
      <c r="E5385" s="15" t="s">
        <v>36628</v>
      </c>
      <c r="F5385" s="87" t="s">
        <v>36618</v>
      </c>
      <c r="G5385" s="45" t="s">
        <v>5543</v>
      </c>
      <c r="H5385" s="55" t="s">
        <v>5544</v>
      </c>
      <c r="I5385" s="15" t="s">
        <v>1553</v>
      </c>
    </row>
    <row r="5386" spans="1:9" ht="51.75" customHeight="1" x14ac:dyDescent="0.35">
      <c r="A5386" s="15">
        <v>3</v>
      </c>
      <c r="B5386" s="15" t="s">
        <v>36629</v>
      </c>
      <c r="C5386" s="15" t="s">
        <v>36627</v>
      </c>
      <c r="D5386" s="31">
        <v>40528</v>
      </c>
      <c r="E5386" s="15" t="s">
        <v>36630</v>
      </c>
      <c r="F5386" s="87" t="s">
        <v>21871</v>
      </c>
      <c r="G5386" s="45" t="s">
        <v>5543</v>
      </c>
      <c r="H5386" s="55" t="s">
        <v>5544</v>
      </c>
      <c r="I5386" s="15" t="s">
        <v>1553</v>
      </c>
    </row>
    <row r="5387" spans="1:9" ht="51.75" customHeight="1" x14ac:dyDescent="0.35">
      <c r="A5387" s="15">
        <v>4</v>
      </c>
      <c r="B5387" s="15" t="s">
        <v>36631</v>
      </c>
      <c r="C5387" s="15" t="s">
        <v>36632</v>
      </c>
      <c r="D5387" s="31">
        <v>40528</v>
      </c>
      <c r="E5387" s="15" t="s">
        <v>36633</v>
      </c>
      <c r="F5387" s="87" t="s">
        <v>36618</v>
      </c>
      <c r="G5387" s="45" t="s">
        <v>5543</v>
      </c>
      <c r="H5387" s="55" t="s">
        <v>5544</v>
      </c>
      <c r="I5387" s="15" t="s">
        <v>1553</v>
      </c>
    </row>
    <row r="5388" spans="1:9" ht="51.75" customHeight="1" x14ac:dyDescent="0.35">
      <c r="A5388" s="15">
        <v>4</v>
      </c>
      <c r="B5388" s="15" t="s">
        <v>36634</v>
      </c>
      <c r="C5388" s="15" t="s">
        <v>36632</v>
      </c>
      <c r="D5388" s="31">
        <v>40528</v>
      </c>
      <c r="E5388" s="15" t="s">
        <v>36635</v>
      </c>
      <c r="F5388" s="87" t="s">
        <v>21871</v>
      </c>
      <c r="G5388" s="45" t="s">
        <v>5543</v>
      </c>
      <c r="H5388" s="55" t="s">
        <v>5544</v>
      </c>
      <c r="I5388" s="15" t="s">
        <v>1553</v>
      </c>
    </row>
    <row r="5389" spans="1:9" ht="51.75" customHeight="1" x14ac:dyDescent="0.35">
      <c r="A5389" s="15" t="s">
        <v>24635</v>
      </c>
      <c r="B5389" s="15" t="s">
        <v>36636</v>
      </c>
      <c r="C5389" s="15" t="s">
        <v>36637</v>
      </c>
      <c r="D5389" s="31">
        <v>41220</v>
      </c>
      <c r="E5389" s="15" t="s">
        <v>36638</v>
      </c>
      <c r="F5389" s="87" t="s">
        <v>21871</v>
      </c>
      <c r="G5389" s="45" t="s">
        <v>7912</v>
      </c>
      <c r="H5389" s="55" t="s">
        <v>7913</v>
      </c>
      <c r="I5389" s="15" t="s">
        <v>1553</v>
      </c>
    </row>
    <row r="5390" spans="1:9" ht="51.75" customHeight="1" x14ac:dyDescent="0.35">
      <c r="A5390" s="15" t="s">
        <v>23770</v>
      </c>
      <c r="B5390" s="15" t="s">
        <v>36639</v>
      </c>
      <c r="C5390" s="15" t="s">
        <v>36640</v>
      </c>
      <c r="D5390" s="31" t="s">
        <v>50</v>
      </c>
      <c r="E5390" s="15" t="s">
        <v>36641</v>
      </c>
      <c r="F5390" s="87" t="s">
        <v>21871</v>
      </c>
      <c r="G5390" s="45" t="s">
        <v>8708</v>
      </c>
      <c r="H5390" s="55" t="s">
        <v>8709</v>
      </c>
      <c r="I5390" s="15" t="s">
        <v>1553</v>
      </c>
    </row>
    <row r="5391" spans="1:9" ht="51.75" customHeight="1" x14ac:dyDescent="0.35">
      <c r="A5391" s="15" t="s">
        <v>23770</v>
      </c>
      <c r="B5391" s="15" t="s">
        <v>36642</v>
      </c>
      <c r="C5391" s="15" t="s">
        <v>36640</v>
      </c>
      <c r="D5391" s="31" t="s">
        <v>50</v>
      </c>
      <c r="E5391" s="15" t="s">
        <v>36643</v>
      </c>
      <c r="F5391" s="87" t="s">
        <v>36618</v>
      </c>
      <c r="G5391" s="45" t="s">
        <v>8708</v>
      </c>
      <c r="H5391" s="55" t="s">
        <v>8709</v>
      </c>
      <c r="I5391" s="15" t="s">
        <v>1553</v>
      </c>
    </row>
    <row r="5392" spans="1:9" ht="51.75" customHeight="1" x14ac:dyDescent="0.35">
      <c r="A5392" s="15" t="s">
        <v>29175</v>
      </c>
      <c r="B5392" s="15" t="s">
        <v>36644</v>
      </c>
      <c r="C5392" s="15" t="s">
        <v>36645</v>
      </c>
      <c r="D5392" s="31">
        <v>41648</v>
      </c>
      <c r="E5392" s="15" t="s">
        <v>36646</v>
      </c>
      <c r="F5392" s="87" t="s">
        <v>36618</v>
      </c>
      <c r="G5392" s="45" t="s">
        <v>9185</v>
      </c>
      <c r="H5392" s="55" t="s">
        <v>9186</v>
      </c>
      <c r="I5392" s="15" t="s">
        <v>1553</v>
      </c>
    </row>
    <row r="5393" spans="1:9" ht="51.75" customHeight="1" x14ac:dyDescent="0.35">
      <c r="A5393" s="15" t="s">
        <v>29175</v>
      </c>
      <c r="B5393" s="15" t="s">
        <v>36647</v>
      </c>
      <c r="C5393" s="15" t="s">
        <v>36645</v>
      </c>
      <c r="D5393" s="31">
        <v>41648</v>
      </c>
      <c r="E5393" s="15" t="s">
        <v>36648</v>
      </c>
      <c r="F5393" s="87" t="s">
        <v>21871</v>
      </c>
      <c r="G5393" s="45" t="s">
        <v>9185</v>
      </c>
      <c r="H5393" s="55" t="s">
        <v>9186</v>
      </c>
      <c r="I5393" s="15" t="s">
        <v>1553</v>
      </c>
    </row>
    <row r="5394" spans="1:9" ht="51.75" customHeight="1" x14ac:dyDescent="0.35">
      <c r="A5394" s="15" t="s">
        <v>22821</v>
      </c>
      <c r="B5394" s="15" t="s">
        <v>36649</v>
      </c>
      <c r="C5394" s="15" t="s">
        <v>36650</v>
      </c>
      <c r="D5394" s="31">
        <v>41648</v>
      </c>
      <c r="E5394" s="15" t="s">
        <v>36651</v>
      </c>
      <c r="F5394" s="87" t="s">
        <v>36618</v>
      </c>
      <c r="G5394" s="45" t="s">
        <v>9185</v>
      </c>
      <c r="H5394" s="55" t="s">
        <v>9186</v>
      </c>
      <c r="I5394" s="15" t="s">
        <v>1553</v>
      </c>
    </row>
    <row r="5395" spans="1:9" ht="51.75" customHeight="1" x14ac:dyDescent="0.35">
      <c r="A5395" s="15" t="s">
        <v>22821</v>
      </c>
      <c r="B5395" s="15" t="s">
        <v>36652</v>
      </c>
      <c r="C5395" s="15" t="s">
        <v>36650</v>
      </c>
      <c r="D5395" s="31">
        <v>41648</v>
      </c>
      <c r="E5395" s="15" t="s">
        <v>36653</v>
      </c>
      <c r="F5395" s="87" t="s">
        <v>21871</v>
      </c>
      <c r="G5395" s="45" t="s">
        <v>9185</v>
      </c>
      <c r="H5395" s="55" t="s">
        <v>9186</v>
      </c>
      <c r="I5395" s="15" t="s">
        <v>1553</v>
      </c>
    </row>
    <row r="5396" spans="1:9" ht="51.75" customHeight="1" x14ac:dyDescent="0.35">
      <c r="A5396" s="15" t="s">
        <v>22906</v>
      </c>
      <c r="B5396" s="15" t="s">
        <v>36654</v>
      </c>
      <c r="C5396" s="15" t="s">
        <v>36655</v>
      </c>
      <c r="D5396" s="31">
        <v>41689</v>
      </c>
      <c r="E5396" s="15" t="s">
        <v>36656</v>
      </c>
      <c r="F5396" s="87" t="s">
        <v>36618</v>
      </c>
      <c r="G5396" s="45" t="s">
        <v>9236</v>
      </c>
      <c r="H5396" s="55" t="s">
        <v>9237</v>
      </c>
      <c r="I5396" s="15" t="s">
        <v>1553</v>
      </c>
    </row>
    <row r="5397" spans="1:9" ht="51.75" customHeight="1" x14ac:dyDescent="0.35">
      <c r="A5397" s="15" t="s">
        <v>22906</v>
      </c>
      <c r="B5397" s="15" t="s">
        <v>36657</v>
      </c>
      <c r="C5397" s="15" t="s">
        <v>36655</v>
      </c>
      <c r="D5397" s="31">
        <v>41689</v>
      </c>
      <c r="E5397" s="15" t="s">
        <v>36658</v>
      </c>
      <c r="F5397" s="87" t="s">
        <v>21871</v>
      </c>
      <c r="G5397" s="45" t="s">
        <v>9236</v>
      </c>
      <c r="H5397" s="55" t="s">
        <v>9237</v>
      </c>
      <c r="I5397" s="15" t="s">
        <v>1553</v>
      </c>
    </row>
    <row r="5398" spans="1:9" ht="51.75" customHeight="1" x14ac:dyDescent="0.35">
      <c r="A5398" s="15" t="s">
        <v>22914</v>
      </c>
      <c r="B5398" s="15" t="s">
        <v>36659</v>
      </c>
      <c r="C5398" s="15" t="s">
        <v>36660</v>
      </c>
      <c r="D5398" s="31">
        <v>41701</v>
      </c>
      <c r="E5398" s="15" t="s">
        <v>36661</v>
      </c>
      <c r="F5398" s="87" t="s">
        <v>21871</v>
      </c>
      <c r="G5398" s="45" t="s">
        <v>9276</v>
      </c>
      <c r="H5398" s="55" t="s">
        <v>9277</v>
      </c>
      <c r="I5398" s="15" t="s">
        <v>1553</v>
      </c>
    </row>
    <row r="5399" spans="1:9" ht="51.75" customHeight="1" x14ac:dyDescent="0.35">
      <c r="A5399" s="15" t="s">
        <v>22914</v>
      </c>
      <c r="B5399" s="15" t="s">
        <v>36662</v>
      </c>
      <c r="C5399" s="15" t="s">
        <v>36660</v>
      </c>
      <c r="D5399" s="31">
        <v>41701</v>
      </c>
      <c r="E5399" s="15" t="s">
        <v>36663</v>
      </c>
      <c r="F5399" s="87" t="s">
        <v>36618</v>
      </c>
      <c r="G5399" s="45" t="s">
        <v>9276</v>
      </c>
      <c r="H5399" s="55" t="s">
        <v>9277</v>
      </c>
      <c r="I5399" s="15" t="s">
        <v>1553</v>
      </c>
    </row>
    <row r="5400" spans="1:9" ht="51.75" customHeight="1" x14ac:dyDescent="0.35">
      <c r="A5400" s="15" t="s">
        <v>26931</v>
      </c>
      <c r="B5400" s="15" t="s">
        <v>36664</v>
      </c>
      <c r="C5400" s="15" t="s">
        <v>36665</v>
      </c>
      <c r="D5400" s="31">
        <v>41701</v>
      </c>
      <c r="E5400" s="15" t="s">
        <v>36666</v>
      </c>
      <c r="F5400" s="87" t="s">
        <v>21871</v>
      </c>
      <c r="G5400" s="45" t="s">
        <v>9276</v>
      </c>
      <c r="H5400" s="55" t="s">
        <v>9277</v>
      </c>
      <c r="I5400" s="15" t="s">
        <v>1553</v>
      </c>
    </row>
    <row r="5401" spans="1:9" ht="51.75" customHeight="1" x14ac:dyDescent="0.35">
      <c r="A5401" s="15" t="s">
        <v>26931</v>
      </c>
      <c r="B5401" s="15" t="s">
        <v>36667</v>
      </c>
      <c r="C5401" s="15" t="s">
        <v>36665</v>
      </c>
      <c r="D5401" s="31">
        <v>41701</v>
      </c>
      <c r="E5401" s="15" t="s">
        <v>36668</v>
      </c>
      <c r="F5401" s="87" t="s">
        <v>36618</v>
      </c>
      <c r="G5401" s="45" t="s">
        <v>9276</v>
      </c>
      <c r="H5401" s="55" t="s">
        <v>9277</v>
      </c>
      <c r="I5401" s="15" t="s">
        <v>1553</v>
      </c>
    </row>
    <row r="5402" spans="1:9" ht="51.75" customHeight="1" x14ac:dyDescent="0.35">
      <c r="A5402" s="15" t="s">
        <v>26937</v>
      </c>
      <c r="B5402" s="15" t="s">
        <v>36669</v>
      </c>
      <c r="C5402" s="15" t="s">
        <v>36670</v>
      </c>
      <c r="D5402" s="31">
        <v>41701</v>
      </c>
      <c r="E5402" s="15" t="s">
        <v>36671</v>
      </c>
      <c r="F5402" s="87" t="s">
        <v>21871</v>
      </c>
      <c r="G5402" s="45" t="s">
        <v>9276</v>
      </c>
      <c r="H5402" s="55" t="s">
        <v>9277</v>
      </c>
      <c r="I5402" s="15" t="s">
        <v>1553</v>
      </c>
    </row>
    <row r="5403" spans="1:9" ht="51.75" customHeight="1" x14ac:dyDescent="0.35">
      <c r="A5403" s="15" t="s">
        <v>26937</v>
      </c>
      <c r="B5403" s="15" t="s">
        <v>36672</v>
      </c>
      <c r="C5403" s="15" t="s">
        <v>36670</v>
      </c>
      <c r="D5403" s="31">
        <v>41701</v>
      </c>
      <c r="E5403" s="15" t="s">
        <v>36673</v>
      </c>
      <c r="F5403" s="87" t="s">
        <v>36618</v>
      </c>
      <c r="G5403" s="45" t="s">
        <v>9276</v>
      </c>
      <c r="H5403" s="55" t="s">
        <v>9277</v>
      </c>
      <c r="I5403" s="15" t="s">
        <v>1553</v>
      </c>
    </row>
    <row r="5404" spans="1:9" ht="51.75" customHeight="1" x14ac:dyDescent="0.35">
      <c r="A5404" s="15" t="s">
        <v>25974</v>
      </c>
      <c r="B5404" s="15" t="s">
        <v>36674</v>
      </c>
      <c r="C5404" s="15" t="s">
        <v>36675</v>
      </c>
      <c r="D5404" s="31" t="s">
        <v>50</v>
      </c>
      <c r="E5404" s="15" t="s">
        <v>36676</v>
      </c>
      <c r="F5404" s="87" t="s">
        <v>21871</v>
      </c>
      <c r="G5404" s="45" t="s">
        <v>9425</v>
      </c>
      <c r="H5404" s="55" t="s">
        <v>9426</v>
      </c>
      <c r="I5404" s="15" t="s">
        <v>1553</v>
      </c>
    </row>
    <row r="5405" spans="1:9" ht="51.75" customHeight="1" x14ac:dyDescent="0.35">
      <c r="A5405" s="15" t="s">
        <v>25974</v>
      </c>
      <c r="B5405" s="15" t="s">
        <v>36677</v>
      </c>
      <c r="C5405" s="15" t="s">
        <v>36675</v>
      </c>
      <c r="D5405" s="31" t="s">
        <v>50</v>
      </c>
      <c r="E5405" s="15" t="s">
        <v>36678</v>
      </c>
      <c r="F5405" s="87" t="s">
        <v>36618</v>
      </c>
      <c r="G5405" s="45" t="s">
        <v>9425</v>
      </c>
      <c r="H5405" s="55" t="s">
        <v>9426</v>
      </c>
      <c r="I5405" s="15" t="s">
        <v>1553</v>
      </c>
    </row>
    <row r="5406" spans="1:9" ht="51.75" customHeight="1" x14ac:dyDescent="0.35">
      <c r="A5406" s="15" t="s">
        <v>25980</v>
      </c>
      <c r="B5406" s="15" t="s">
        <v>36679</v>
      </c>
      <c r="C5406" s="15" t="s">
        <v>36680</v>
      </c>
      <c r="D5406" s="31" t="s">
        <v>50</v>
      </c>
      <c r="E5406" s="15" t="s">
        <v>36681</v>
      </c>
      <c r="F5406" s="87" t="s">
        <v>21871</v>
      </c>
      <c r="G5406" s="45" t="s">
        <v>9425</v>
      </c>
      <c r="H5406" s="55" t="s">
        <v>9426</v>
      </c>
      <c r="I5406" s="15" t="s">
        <v>1553</v>
      </c>
    </row>
    <row r="5407" spans="1:9" ht="51.75" customHeight="1" x14ac:dyDescent="0.35">
      <c r="A5407" s="15" t="s">
        <v>25980</v>
      </c>
      <c r="B5407" s="15" t="s">
        <v>36682</v>
      </c>
      <c r="C5407" s="15" t="s">
        <v>36680</v>
      </c>
      <c r="D5407" s="31" t="s">
        <v>50</v>
      </c>
      <c r="E5407" s="15" t="s">
        <v>36683</v>
      </c>
      <c r="F5407" s="87" t="s">
        <v>36618</v>
      </c>
      <c r="G5407" s="45" t="s">
        <v>9425</v>
      </c>
      <c r="H5407" s="55" t="s">
        <v>9426</v>
      </c>
      <c r="I5407" s="15" t="s">
        <v>1553</v>
      </c>
    </row>
    <row r="5408" spans="1:9" ht="51.75" customHeight="1" x14ac:dyDescent="0.35">
      <c r="A5408" s="15" t="s">
        <v>25986</v>
      </c>
      <c r="B5408" s="15" t="s">
        <v>36684</v>
      </c>
      <c r="C5408" s="15" t="s">
        <v>36685</v>
      </c>
      <c r="D5408" s="31" t="s">
        <v>50</v>
      </c>
      <c r="E5408" s="15" t="s">
        <v>36686</v>
      </c>
      <c r="F5408" s="87" t="s">
        <v>21871</v>
      </c>
      <c r="G5408" s="45" t="s">
        <v>9425</v>
      </c>
      <c r="H5408" s="55" t="s">
        <v>9426</v>
      </c>
      <c r="I5408" s="15" t="s">
        <v>1553</v>
      </c>
    </row>
    <row r="5409" spans="1:9" ht="51.75" customHeight="1" x14ac:dyDescent="0.35">
      <c r="A5409" s="15" t="s">
        <v>25986</v>
      </c>
      <c r="B5409" s="15" t="s">
        <v>36687</v>
      </c>
      <c r="C5409" s="15" t="s">
        <v>36685</v>
      </c>
      <c r="D5409" s="31" t="s">
        <v>50</v>
      </c>
      <c r="E5409" s="15" t="s">
        <v>36688</v>
      </c>
      <c r="F5409" s="87" t="s">
        <v>36618</v>
      </c>
      <c r="G5409" s="45" t="s">
        <v>9425</v>
      </c>
      <c r="H5409" s="55" t="s">
        <v>9426</v>
      </c>
      <c r="I5409" s="15" t="s">
        <v>1553</v>
      </c>
    </row>
    <row r="5410" spans="1:9" ht="51.75" customHeight="1" x14ac:dyDescent="0.35">
      <c r="A5410" s="15" t="s">
        <v>24774</v>
      </c>
      <c r="B5410" s="15" t="s">
        <v>36689</v>
      </c>
      <c r="C5410" s="15" t="s">
        <v>36690</v>
      </c>
      <c r="D5410" s="31">
        <v>41885</v>
      </c>
      <c r="E5410" s="15" t="s">
        <v>36691</v>
      </c>
      <c r="F5410" s="87" t="s">
        <v>36618</v>
      </c>
      <c r="G5410" s="45" t="s">
        <v>9687</v>
      </c>
      <c r="H5410" s="55" t="s">
        <v>9688</v>
      </c>
      <c r="I5410" s="15" t="s">
        <v>1553</v>
      </c>
    </row>
    <row r="5411" spans="1:9" ht="51.75" customHeight="1" x14ac:dyDescent="0.35">
      <c r="A5411" s="15" t="s">
        <v>24774</v>
      </c>
      <c r="B5411" s="15" t="s">
        <v>36692</v>
      </c>
      <c r="C5411" s="15" t="s">
        <v>36690</v>
      </c>
      <c r="D5411" s="31">
        <v>41885</v>
      </c>
      <c r="E5411" s="15" t="s">
        <v>36693</v>
      </c>
      <c r="F5411" s="87" t="s">
        <v>21871</v>
      </c>
      <c r="G5411" s="45" t="s">
        <v>9687</v>
      </c>
      <c r="H5411" s="55" t="s">
        <v>9688</v>
      </c>
      <c r="I5411" s="15" t="s">
        <v>1553</v>
      </c>
    </row>
    <row r="5412" spans="1:9" ht="51.75" customHeight="1" x14ac:dyDescent="0.35">
      <c r="A5412" s="15" t="s">
        <v>24780</v>
      </c>
      <c r="B5412" s="15" t="s">
        <v>36694</v>
      </c>
      <c r="C5412" s="15" t="s">
        <v>36695</v>
      </c>
      <c r="D5412" s="31">
        <v>42024</v>
      </c>
      <c r="E5412" s="15" t="s">
        <v>36696</v>
      </c>
      <c r="F5412" s="87" t="s">
        <v>21871</v>
      </c>
      <c r="G5412" s="45" t="s">
        <v>9700</v>
      </c>
      <c r="H5412" s="55" t="s">
        <v>9701</v>
      </c>
      <c r="I5412" s="15" t="s">
        <v>1553</v>
      </c>
    </row>
    <row r="5413" spans="1:9" ht="51.75" customHeight="1" x14ac:dyDescent="0.35">
      <c r="A5413" s="15" t="s">
        <v>24780</v>
      </c>
      <c r="B5413" s="15" t="s">
        <v>36697</v>
      </c>
      <c r="C5413" s="15" t="s">
        <v>36695</v>
      </c>
      <c r="D5413" s="31">
        <v>42024</v>
      </c>
      <c r="E5413" s="15" t="s">
        <v>36698</v>
      </c>
      <c r="F5413" s="87" t="s">
        <v>36618</v>
      </c>
      <c r="G5413" s="45" t="s">
        <v>9700</v>
      </c>
      <c r="H5413" s="55" t="s">
        <v>9701</v>
      </c>
      <c r="I5413" s="15" t="s">
        <v>1553</v>
      </c>
    </row>
    <row r="5414" spans="1:9" ht="51.75" customHeight="1" x14ac:dyDescent="0.35">
      <c r="A5414" s="15" t="s">
        <v>24786</v>
      </c>
      <c r="B5414" s="15" t="s">
        <v>36699</v>
      </c>
      <c r="C5414" s="15" t="s">
        <v>36700</v>
      </c>
      <c r="D5414" s="31">
        <v>42024</v>
      </c>
      <c r="E5414" s="15" t="s">
        <v>36701</v>
      </c>
      <c r="F5414" s="87" t="s">
        <v>21871</v>
      </c>
      <c r="G5414" s="45" t="s">
        <v>9700</v>
      </c>
      <c r="H5414" s="55" t="s">
        <v>9701</v>
      </c>
      <c r="I5414" s="15" t="s">
        <v>1553</v>
      </c>
    </row>
    <row r="5415" spans="1:9" ht="51.75" customHeight="1" x14ac:dyDescent="0.35">
      <c r="A5415" s="15" t="s">
        <v>24786</v>
      </c>
      <c r="B5415" s="15" t="s">
        <v>36702</v>
      </c>
      <c r="C5415" s="15" t="s">
        <v>36700</v>
      </c>
      <c r="D5415" s="31">
        <v>42024</v>
      </c>
      <c r="E5415" s="15" t="s">
        <v>36703</v>
      </c>
      <c r="F5415" s="87" t="s">
        <v>36618</v>
      </c>
      <c r="G5415" s="45" t="s">
        <v>9700</v>
      </c>
      <c r="H5415" s="55" t="s">
        <v>9701</v>
      </c>
      <c r="I5415" s="15" t="s">
        <v>1553</v>
      </c>
    </row>
    <row r="5416" spans="1:9" ht="51.75" customHeight="1" x14ac:dyDescent="0.35">
      <c r="A5416" s="15" t="s">
        <v>23203</v>
      </c>
      <c r="B5416" s="15" t="s">
        <v>36704</v>
      </c>
      <c r="C5416" s="15" t="s">
        <v>36705</v>
      </c>
      <c r="D5416" s="31">
        <v>41976</v>
      </c>
      <c r="E5416" s="15" t="s">
        <v>36706</v>
      </c>
      <c r="F5416" s="87" t="s">
        <v>36618</v>
      </c>
      <c r="G5416" s="45" t="s">
        <v>9787</v>
      </c>
      <c r="H5416" s="55" t="s">
        <v>9788</v>
      </c>
      <c r="I5416" s="15" t="s">
        <v>1553</v>
      </c>
    </row>
    <row r="5417" spans="1:9" ht="51.75" customHeight="1" x14ac:dyDescent="0.35">
      <c r="A5417" s="15" t="s">
        <v>23203</v>
      </c>
      <c r="B5417" s="15" t="s">
        <v>36707</v>
      </c>
      <c r="C5417" s="15" t="s">
        <v>36705</v>
      </c>
      <c r="D5417" s="31">
        <v>41976</v>
      </c>
      <c r="E5417" s="15" t="s">
        <v>36708</v>
      </c>
      <c r="F5417" s="87" t="s">
        <v>21871</v>
      </c>
      <c r="G5417" s="45" t="s">
        <v>9787</v>
      </c>
      <c r="H5417" s="55" t="s">
        <v>9788</v>
      </c>
      <c r="I5417" s="15" t="s">
        <v>1553</v>
      </c>
    </row>
    <row r="5418" spans="1:9" ht="51.75" customHeight="1" x14ac:dyDescent="0.35">
      <c r="A5418" s="15" t="s">
        <v>24581</v>
      </c>
      <c r="B5418" s="15" t="s">
        <v>36709</v>
      </c>
      <c r="C5418" s="15" t="s">
        <v>36710</v>
      </c>
      <c r="D5418" s="31">
        <v>41976</v>
      </c>
      <c r="E5418" s="15" t="s">
        <v>36711</v>
      </c>
      <c r="F5418" s="87" t="s">
        <v>36618</v>
      </c>
      <c r="G5418" s="45" t="s">
        <v>9787</v>
      </c>
      <c r="H5418" s="55" t="s">
        <v>9788</v>
      </c>
      <c r="I5418" s="15" t="s">
        <v>1553</v>
      </c>
    </row>
    <row r="5419" spans="1:9" ht="51.75" customHeight="1" x14ac:dyDescent="0.35">
      <c r="A5419" s="15" t="s">
        <v>24581</v>
      </c>
      <c r="B5419" s="15" t="s">
        <v>36712</v>
      </c>
      <c r="C5419" s="15" t="s">
        <v>36710</v>
      </c>
      <c r="D5419" s="31">
        <v>41976</v>
      </c>
      <c r="E5419" s="15" t="s">
        <v>36713</v>
      </c>
      <c r="F5419" s="87" t="s">
        <v>21871</v>
      </c>
      <c r="G5419" s="45" t="s">
        <v>9787</v>
      </c>
      <c r="H5419" s="55" t="s">
        <v>9788</v>
      </c>
      <c r="I5419" s="15" t="s">
        <v>1553</v>
      </c>
    </row>
    <row r="5420" spans="1:9" ht="51.75" customHeight="1" x14ac:dyDescent="0.35">
      <c r="A5420" s="15" t="s">
        <v>23578</v>
      </c>
      <c r="B5420" s="15" t="s">
        <v>36714</v>
      </c>
      <c r="C5420" s="15" t="s">
        <v>36715</v>
      </c>
      <c r="D5420" s="31">
        <v>41911</v>
      </c>
      <c r="E5420" s="15" t="s">
        <v>36716</v>
      </c>
      <c r="F5420" s="87" t="s">
        <v>36618</v>
      </c>
      <c r="G5420" s="45" t="s">
        <v>9876</v>
      </c>
      <c r="H5420" s="55" t="s">
        <v>9877</v>
      </c>
      <c r="I5420" s="15" t="s">
        <v>1553</v>
      </c>
    </row>
    <row r="5421" spans="1:9" ht="51.75" customHeight="1" x14ac:dyDescent="0.35">
      <c r="A5421" s="15" t="s">
        <v>23578</v>
      </c>
      <c r="B5421" s="15" t="s">
        <v>36717</v>
      </c>
      <c r="C5421" s="15" t="s">
        <v>36715</v>
      </c>
      <c r="D5421" s="31">
        <v>41911</v>
      </c>
      <c r="E5421" s="15" t="s">
        <v>36718</v>
      </c>
      <c r="F5421" s="87" t="s">
        <v>21871</v>
      </c>
      <c r="G5421" s="45" t="s">
        <v>9876</v>
      </c>
      <c r="H5421" s="55" t="s">
        <v>9877</v>
      </c>
      <c r="I5421" s="15" t="s">
        <v>1553</v>
      </c>
    </row>
    <row r="5422" spans="1:9" ht="51.75" customHeight="1" x14ac:dyDescent="0.35">
      <c r="A5422" s="15" t="s">
        <v>22433</v>
      </c>
      <c r="B5422" s="15" t="s">
        <v>36719</v>
      </c>
      <c r="C5422" s="15" t="s">
        <v>36720</v>
      </c>
      <c r="D5422" s="31">
        <v>42094</v>
      </c>
      <c r="E5422" s="15" t="s">
        <v>36721</v>
      </c>
      <c r="F5422" s="87" t="s">
        <v>36618</v>
      </c>
      <c r="G5422" s="45" t="s">
        <v>10158</v>
      </c>
      <c r="H5422" s="55" t="s">
        <v>10159</v>
      </c>
      <c r="I5422" s="15" t="s">
        <v>1553</v>
      </c>
    </row>
    <row r="5423" spans="1:9" ht="51.75" customHeight="1" x14ac:dyDescent="0.35">
      <c r="A5423" s="15" t="s">
        <v>22433</v>
      </c>
      <c r="B5423" s="15" t="s">
        <v>36722</v>
      </c>
      <c r="C5423" s="15" t="s">
        <v>36720</v>
      </c>
      <c r="D5423" s="31">
        <v>42094</v>
      </c>
      <c r="E5423" s="15" t="s">
        <v>36723</v>
      </c>
      <c r="F5423" s="87" t="s">
        <v>21871</v>
      </c>
      <c r="G5423" s="45" t="s">
        <v>10158</v>
      </c>
      <c r="H5423" s="55" t="s">
        <v>10159</v>
      </c>
      <c r="I5423" s="15" t="s">
        <v>1553</v>
      </c>
    </row>
    <row r="5424" spans="1:9" ht="51.75" customHeight="1" x14ac:dyDescent="0.35">
      <c r="A5424" s="15" t="s">
        <v>22437</v>
      </c>
      <c r="B5424" s="15" t="s">
        <v>36724</v>
      </c>
      <c r="C5424" s="15" t="s">
        <v>36725</v>
      </c>
      <c r="D5424" s="31">
        <v>42094</v>
      </c>
      <c r="E5424" s="15" t="s">
        <v>36726</v>
      </c>
      <c r="F5424" s="87" t="s">
        <v>36618</v>
      </c>
      <c r="G5424" s="45" t="s">
        <v>10158</v>
      </c>
      <c r="H5424" s="55" t="s">
        <v>10159</v>
      </c>
      <c r="I5424" s="15" t="s">
        <v>1553</v>
      </c>
    </row>
    <row r="5425" spans="1:9" ht="51.75" customHeight="1" x14ac:dyDescent="0.35">
      <c r="A5425" s="15" t="s">
        <v>22437</v>
      </c>
      <c r="B5425" s="15" t="s">
        <v>36727</v>
      </c>
      <c r="C5425" s="15" t="s">
        <v>36725</v>
      </c>
      <c r="D5425" s="31">
        <v>42094</v>
      </c>
      <c r="E5425" s="15" t="s">
        <v>36728</v>
      </c>
      <c r="F5425" s="87" t="s">
        <v>21871</v>
      </c>
      <c r="G5425" s="45" t="s">
        <v>10158</v>
      </c>
      <c r="H5425" s="55" t="s">
        <v>10159</v>
      </c>
      <c r="I5425" s="15" t="s">
        <v>1553</v>
      </c>
    </row>
    <row r="5426" spans="1:9" ht="51.75" customHeight="1" x14ac:dyDescent="0.35">
      <c r="A5426" s="15" t="s">
        <v>22441</v>
      </c>
      <c r="B5426" s="15" t="s">
        <v>36729</v>
      </c>
      <c r="C5426" s="15" t="s">
        <v>36730</v>
      </c>
      <c r="D5426" s="31">
        <v>42094</v>
      </c>
      <c r="E5426" s="15" t="s">
        <v>36731</v>
      </c>
      <c r="F5426" s="87" t="s">
        <v>36618</v>
      </c>
      <c r="G5426" s="45" t="s">
        <v>10158</v>
      </c>
      <c r="H5426" s="55" t="s">
        <v>10159</v>
      </c>
      <c r="I5426" s="15" t="s">
        <v>1553</v>
      </c>
    </row>
    <row r="5427" spans="1:9" ht="51.75" customHeight="1" x14ac:dyDescent="0.35">
      <c r="A5427" s="15" t="s">
        <v>22441</v>
      </c>
      <c r="B5427" s="15" t="s">
        <v>36732</v>
      </c>
      <c r="C5427" s="15" t="s">
        <v>36730</v>
      </c>
      <c r="D5427" s="31">
        <v>42094</v>
      </c>
      <c r="E5427" s="15" t="s">
        <v>36733</v>
      </c>
      <c r="F5427" s="87" t="s">
        <v>21871</v>
      </c>
      <c r="G5427" s="45" t="s">
        <v>10158</v>
      </c>
      <c r="H5427" s="55" t="s">
        <v>10159</v>
      </c>
      <c r="I5427" s="15" t="s">
        <v>1553</v>
      </c>
    </row>
    <row r="5428" spans="1:9" ht="51.75" customHeight="1" x14ac:dyDescent="0.35">
      <c r="A5428" s="15" t="s">
        <v>23333</v>
      </c>
      <c r="B5428" s="15" t="s">
        <v>36734</v>
      </c>
      <c r="C5428" s="15" t="s">
        <v>36735</v>
      </c>
      <c r="D5428" s="31">
        <v>42072</v>
      </c>
      <c r="E5428" s="15" t="s">
        <v>36736</v>
      </c>
      <c r="F5428" s="87" t="s">
        <v>36618</v>
      </c>
      <c r="G5428" s="45" t="s">
        <v>10200</v>
      </c>
      <c r="H5428" s="55" t="s">
        <v>10201</v>
      </c>
      <c r="I5428" s="15" t="s">
        <v>1553</v>
      </c>
    </row>
    <row r="5429" spans="1:9" ht="51.75" customHeight="1" x14ac:dyDescent="0.35">
      <c r="A5429" s="15" t="s">
        <v>23333</v>
      </c>
      <c r="B5429" s="15" t="s">
        <v>36737</v>
      </c>
      <c r="C5429" s="15" t="s">
        <v>36735</v>
      </c>
      <c r="D5429" s="31">
        <v>42072</v>
      </c>
      <c r="E5429" s="15" t="s">
        <v>36738</v>
      </c>
      <c r="F5429" s="87" t="s">
        <v>21871</v>
      </c>
      <c r="G5429" s="45" t="s">
        <v>10200</v>
      </c>
      <c r="H5429" s="55" t="s">
        <v>10201</v>
      </c>
      <c r="I5429" s="15" t="s">
        <v>1553</v>
      </c>
    </row>
    <row r="5430" spans="1:9" ht="51.75" customHeight="1" x14ac:dyDescent="0.35">
      <c r="A5430" s="15" t="s">
        <v>24369</v>
      </c>
      <c r="B5430" s="15" t="s">
        <v>36739</v>
      </c>
      <c r="C5430" s="15" t="s">
        <v>36740</v>
      </c>
      <c r="D5430" s="31">
        <v>42051</v>
      </c>
      <c r="E5430" s="15" t="s">
        <v>36741</v>
      </c>
      <c r="F5430" s="87" t="s">
        <v>36618</v>
      </c>
      <c r="G5430" s="45" t="s">
        <v>9870</v>
      </c>
      <c r="H5430" s="55" t="s">
        <v>9871</v>
      </c>
      <c r="I5430" s="15" t="s">
        <v>1553</v>
      </c>
    </row>
    <row r="5431" spans="1:9" ht="51.75" customHeight="1" x14ac:dyDescent="0.35">
      <c r="A5431" s="15" t="s">
        <v>24369</v>
      </c>
      <c r="B5431" s="15" t="s">
        <v>36742</v>
      </c>
      <c r="C5431" s="15" t="s">
        <v>36740</v>
      </c>
      <c r="D5431" s="31">
        <v>42051</v>
      </c>
      <c r="E5431" s="15" t="s">
        <v>36743</v>
      </c>
      <c r="F5431" s="87" t="s">
        <v>21871</v>
      </c>
      <c r="G5431" s="45" t="s">
        <v>9870</v>
      </c>
      <c r="H5431" s="55" t="s">
        <v>9871</v>
      </c>
      <c r="I5431" s="15" t="s">
        <v>1553</v>
      </c>
    </row>
    <row r="5432" spans="1:9" ht="51.75" customHeight="1" x14ac:dyDescent="0.35">
      <c r="A5432" s="15" t="s">
        <v>24224</v>
      </c>
      <c r="B5432" s="15" t="s">
        <v>36744</v>
      </c>
      <c r="C5432" s="15" t="s">
        <v>36745</v>
      </c>
      <c r="D5432" s="31">
        <v>42051</v>
      </c>
      <c r="E5432" s="15" t="s">
        <v>36746</v>
      </c>
      <c r="F5432" s="87" t="s">
        <v>36618</v>
      </c>
      <c r="G5432" s="45" t="s">
        <v>9870</v>
      </c>
      <c r="H5432" s="55" t="s">
        <v>9871</v>
      </c>
      <c r="I5432" s="15" t="s">
        <v>1553</v>
      </c>
    </row>
    <row r="5433" spans="1:9" ht="51.75" customHeight="1" x14ac:dyDescent="0.35">
      <c r="A5433" s="15" t="s">
        <v>24224</v>
      </c>
      <c r="B5433" s="15" t="s">
        <v>36747</v>
      </c>
      <c r="C5433" s="15" t="s">
        <v>36745</v>
      </c>
      <c r="D5433" s="31">
        <v>42051</v>
      </c>
      <c r="E5433" s="15" t="s">
        <v>36748</v>
      </c>
      <c r="F5433" s="87" t="s">
        <v>21871</v>
      </c>
      <c r="G5433" s="45" t="s">
        <v>9870</v>
      </c>
      <c r="H5433" s="55" t="s">
        <v>9871</v>
      </c>
      <c r="I5433" s="15" t="s">
        <v>1553</v>
      </c>
    </row>
    <row r="5434" spans="1:9" ht="51.75" customHeight="1" x14ac:dyDescent="0.35">
      <c r="A5434" s="15" t="s">
        <v>27185</v>
      </c>
      <c r="B5434" s="15" t="s">
        <v>36749</v>
      </c>
      <c r="C5434" s="15" t="s">
        <v>36750</v>
      </c>
      <c r="D5434" s="31">
        <v>42051</v>
      </c>
      <c r="E5434" s="15" t="s">
        <v>36751</v>
      </c>
      <c r="F5434" s="87" t="s">
        <v>36618</v>
      </c>
      <c r="G5434" s="45" t="s">
        <v>9870</v>
      </c>
      <c r="H5434" s="55" t="s">
        <v>9871</v>
      </c>
      <c r="I5434" s="15" t="s">
        <v>1553</v>
      </c>
    </row>
    <row r="5435" spans="1:9" ht="51.75" customHeight="1" x14ac:dyDescent="0.35">
      <c r="A5435" s="15" t="s">
        <v>27185</v>
      </c>
      <c r="B5435" s="15" t="s">
        <v>36752</v>
      </c>
      <c r="C5435" s="15" t="s">
        <v>36750</v>
      </c>
      <c r="D5435" s="31">
        <v>42051</v>
      </c>
      <c r="E5435" s="15" t="s">
        <v>36753</v>
      </c>
      <c r="F5435" s="87" t="s">
        <v>21871</v>
      </c>
      <c r="G5435" s="45" t="s">
        <v>9870</v>
      </c>
      <c r="H5435" s="55" t="s">
        <v>9871</v>
      </c>
      <c r="I5435" s="15" t="s">
        <v>1553</v>
      </c>
    </row>
    <row r="5436" spans="1:9" ht="51.75" customHeight="1" x14ac:dyDescent="0.35">
      <c r="A5436" s="15" t="s">
        <v>24229</v>
      </c>
      <c r="B5436" s="15" t="s">
        <v>36754</v>
      </c>
      <c r="C5436" s="15" t="s">
        <v>36755</v>
      </c>
      <c r="D5436" s="31">
        <v>42051</v>
      </c>
      <c r="E5436" s="15" t="s">
        <v>36756</v>
      </c>
      <c r="F5436" s="87" t="s">
        <v>36618</v>
      </c>
      <c r="G5436" s="45" t="s">
        <v>9870</v>
      </c>
      <c r="H5436" s="55" t="s">
        <v>9871</v>
      </c>
      <c r="I5436" s="15" t="s">
        <v>1553</v>
      </c>
    </row>
    <row r="5437" spans="1:9" ht="51.75" customHeight="1" x14ac:dyDescent="0.35">
      <c r="A5437" s="15" t="s">
        <v>24229</v>
      </c>
      <c r="B5437" s="15" t="s">
        <v>36757</v>
      </c>
      <c r="C5437" s="15" t="s">
        <v>36755</v>
      </c>
      <c r="D5437" s="31">
        <v>42051</v>
      </c>
      <c r="E5437" s="15" t="s">
        <v>36758</v>
      </c>
      <c r="F5437" s="87" t="s">
        <v>21871</v>
      </c>
      <c r="G5437" s="45" t="s">
        <v>9870</v>
      </c>
      <c r="H5437" s="55" t="s">
        <v>9871</v>
      </c>
      <c r="I5437" s="15" t="s">
        <v>1553</v>
      </c>
    </row>
    <row r="5438" spans="1:9" ht="51.75" customHeight="1" x14ac:dyDescent="0.35">
      <c r="A5438" s="15" t="s">
        <v>23629</v>
      </c>
      <c r="B5438" s="15" t="s">
        <v>36759</v>
      </c>
      <c r="C5438" s="15" t="s">
        <v>36760</v>
      </c>
      <c r="D5438" s="31">
        <v>42179</v>
      </c>
      <c r="E5438" s="15" t="s">
        <v>36761</v>
      </c>
      <c r="F5438" s="87" t="s">
        <v>21871</v>
      </c>
      <c r="G5438" s="45" t="s">
        <v>10272</v>
      </c>
      <c r="H5438" s="55" t="s">
        <v>10273</v>
      </c>
      <c r="I5438" s="15" t="s">
        <v>1553</v>
      </c>
    </row>
    <row r="5439" spans="1:9" ht="51.75" customHeight="1" x14ac:dyDescent="0.35">
      <c r="A5439" s="15" t="s">
        <v>23629</v>
      </c>
      <c r="B5439" s="15" t="s">
        <v>36762</v>
      </c>
      <c r="C5439" s="15" t="s">
        <v>36760</v>
      </c>
      <c r="D5439" s="31">
        <v>42179</v>
      </c>
      <c r="E5439" s="15" t="s">
        <v>36763</v>
      </c>
      <c r="F5439" s="87" t="s">
        <v>36618</v>
      </c>
      <c r="G5439" s="45" t="s">
        <v>10272</v>
      </c>
      <c r="H5439" s="55" t="s">
        <v>10273</v>
      </c>
      <c r="I5439" s="15" t="s">
        <v>1553</v>
      </c>
    </row>
    <row r="5440" spans="1:9" ht="51.75" customHeight="1" x14ac:dyDescent="0.35">
      <c r="A5440" s="15" t="s">
        <v>22227</v>
      </c>
      <c r="B5440" s="15" t="s">
        <v>36764</v>
      </c>
      <c r="C5440" s="15" t="s">
        <v>36765</v>
      </c>
      <c r="D5440" s="31">
        <v>42131</v>
      </c>
      <c r="E5440" s="15" t="s">
        <v>36766</v>
      </c>
      <c r="F5440" s="87" t="s">
        <v>21871</v>
      </c>
      <c r="G5440" s="45" t="s">
        <v>10215</v>
      </c>
      <c r="H5440" s="55" t="s">
        <v>10216</v>
      </c>
      <c r="I5440" s="15" t="s">
        <v>1553</v>
      </c>
    </row>
    <row r="5441" spans="1:9" ht="51.75" customHeight="1" x14ac:dyDescent="0.35">
      <c r="A5441" s="15" t="s">
        <v>22227</v>
      </c>
      <c r="B5441" s="15" t="s">
        <v>36767</v>
      </c>
      <c r="C5441" s="15" t="s">
        <v>36765</v>
      </c>
      <c r="D5441" s="31">
        <v>42131</v>
      </c>
      <c r="E5441" s="15" t="s">
        <v>36768</v>
      </c>
      <c r="F5441" s="87" t="s">
        <v>36618</v>
      </c>
      <c r="G5441" s="45" t="s">
        <v>10215</v>
      </c>
      <c r="H5441" s="55" t="s">
        <v>10216</v>
      </c>
      <c r="I5441" s="15" t="s">
        <v>1553</v>
      </c>
    </row>
    <row r="5442" spans="1:9" ht="51.75" customHeight="1" x14ac:dyDescent="0.35">
      <c r="A5442" s="15" t="s">
        <v>23289</v>
      </c>
      <c r="B5442" s="15" t="s">
        <v>36769</v>
      </c>
      <c r="C5442" s="15" t="s">
        <v>36770</v>
      </c>
      <c r="D5442" s="31">
        <v>41995</v>
      </c>
      <c r="E5442" s="15" t="s">
        <v>36771</v>
      </c>
      <c r="F5442" s="87" t="s">
        <v>21871</v>
      </c>
      <c r="G5442" s="45" t="s">
        <v>10358</v>
      </c>
      <c r="H5442" s="55" t="s">
        <v>10359</v>
      </c>
      <c r="I5442" s="15" t="s">
        <v>1553</v>
      </c>
    </row>
    <row r="5443" spans="1:9" ht="51.75" customHeight="1" x14ac:dyDescent="0.35">
      <c r="A5443" s="15" t="s">
        <v>32252</v>
      </c>
      <c r="B5443" s="15" t="s">
        <v>36772</v>
      </c>
      <c r="C5443" s="15" t="s">
        <v>36773</v>
      </c>
      <c r="D5443" s="31">
        <v>42240</v>
      </c>
      <c r="E5443" s="15" t="s">
        <v>36774</v>
      </c>
      <c r="F5443" s="87" t="s">
        <v>36618</v>
      </c>
      <c r="G5443" s="45" t="s">
        <v>10339</v>
      </c>
      <c r="H5443" s="55" t="s">
        <v>10340</v>
      </c>
      <c r="I5443" s="15" t="s">
        <v>1553</v>
      </c>
    </row>
    <row r="5444" spans="1:9" ht="51.75" customHeight="1" x14ac:dyDescent="0.35">
      <c r="A5444" s="15" t="s">
        <v>32252</v>
      </c>
      <c r="B5444" s="15" t="s">
        <v>36775</v>
      </c>
      <c r="C5444" s="15" t="s">
        <v>36773</v>
      </c>
      <c r="D5444" s="31">
        <v>42240</v>
      </c>
      <c r="E5444" s="15" t="s">
        <v>36776</v>
      </c>
      <c r="F5444" s="87" t="s">
        <v>21871</v>
      </c>
      <c r="G5444" s="45" t="s">
        <v>10339</v>
      </c>
      <c r="H5444" s="55" t="s">
        <v>10340</v>
      </c>
      <c r="I5444" s="15" t="s">
        <v>1553</v>
      </c>
    </row>
    <row r="5445" spans="1:9" ht="51.75" customHeight="1" x14ac:dyDescent="0.35">
      <c r="A5445" s="15" t="s">
        <v>22703</v>
      </c>
      <c r="B5445" s="15" t="s">
        <v>36777</v>
      </c>
      <c r="C5445" s="15" t="s">
        <v>36778</v>
      </c>
      <c r="D5445" s="31" t="s">
        <v>50</v>
      </c>
      <c r="E5445" s="15" t="s">
        <v>36779</v>
      </c>
      <c r="F5445" s="87" t="s">
        <v>21871</v>
      </c>
      <c r="G5445" s="45" t="s">
        <v>10449</v>
      </c>
      <c r="H5445" s="55" t="s">
        <v>10450</v>
      </c>
      <c r="I5445" s="15" t="s">
        <v>1553</v>
      </c>
    </row>
    <row r="5446" spans="1:9" ht="51.75" customHeight="1" x14ac:dyDescent="0.35">
      <c r="A5446" s="15" t="s">
        <v>22703</v>
      </c>
      <c r="B5446" s="15" t="s">
        <v>36780</v>
      </c>
      <c r="C5446" s="15" t="s">
        <v>36778</v>
      </c>
      <c r="D5446" s="31" t="s">
        <v>50</v>
      </c>
      <c r="E5446" s="15" t="s">
        <v>36781</v>
      </c>
      <c r="F5446" s="87" t="s">
        <v>36618</v>
      </c>
      <c r="G5446" s="45" t="s">
        <v>10449</v>
      </c>
      <c r="H5446" s="55" t="s">
        <v>10450</v>
      </c>
      <c r="I5446" s="15" t="s">
        <v>1553</v>
      </c>
    </row>
    <row r="5447" spans="1:9" ht="51.75" customHeight="1" x14ac:dyDescent="0.35">
      <c r="A5447" s="15" t="s">
        <v>26893</v>
      </c>
      <c r="B5447" s="15" t="s">
        <v>36782</v>
      </c>
      <c r="C5447" s="15" t="s">
        <v>36783</v>
      </c>
      <c r="D5447" s="31" t="s">
        <v>50</v>
      </c>
      <c r="E5447" s="15" t="s">
        <v>36784</v>
      </c>
      <c r="F5447" s="87" t="s">
        <v>21871</v>
      </c>
      <c r="G5447" s="45" t="s">
        <v>10478</v>
      </c>
      <c r="H5447" s="55" t="s">
        <v>10479</v>
      </c>
      <c r="I5447" s="15" t="s">
        <v>1553</v>
      </c>
    </row>
    <row r="5448" spans="1:9" ht="51.75" customHeight="1" x14ac:dyDescent="0.35">
      <c r="A5448" s="15" t="s">
        <v>26893</v>
      </c>
      <c r="B5448" s="15" t="s">
        <v>36785</v>
      </c>
      <c r="C5448" s="15" t="s">
        <v>36783</v>
      </c>
      <c r="D5448" s="31" t="s">
        <v>50</v>
      </c>
      <c r="E5448" s="15" t="s">
        <v>36786</v>
      </c>
      <c r="F5448" s="87" t="s">
        <v>36618</v>
      </c>
      <c r="G5448" s="45" t="s">
        <v>10478</v>
      </c>
      <c r="H5448" s="55" t="s">
        <v>10479</v>
      </c>
      <c r="I5448" s="15" t="s">
        <v>1553</v>
      </c>
    </row>
    <row r="5449" spans="1:9" ht="51.75" customHeight="1" x14ac:dyDescent="0.35">
      <c r="A5449" s="15" t="s">
        <v>26896</v>
      </c>
      <c r="B5449" s="15" t="s">
        <v>36787</v>
      </c>
      <c r="C5449" s="15" t="s">
        <v>36788</v>
      </c>
      <c r="D5449" s="31" t="s">
        <v>50</v>
      </c>
      <c r="E5449" s="15" t="s">
        <v>36789</v>
      </c>
      <c r="F5449" s="87" t="s">
        <v>21871</v>
      </c>
      <c r="G5449" s="45" t="s">
        <v>10478</v>
      </c>
      <c r="H5449" s="55" t="s">
        <v>10479</v>
      </c>
      <c r="I5449" s="15" t="s">
        <v>1553</v>
      </c>
    </row>
    <row r="5450" spans="1:9" ht="51.75" customHeight="1" x14ac:dyDescent="0.35">
      <c r="A5450" s="15" t="s">
        <v>26896</v>
      </c>
      <c r="B5450" s="15" t="s">
        <v>36790</v>
      </c>
      <c r="C5450" s="15" t="s">
        <v>36788</v>
      </c>
      <c r="D5450" s="31" t="s">
        <v>50</v>
      </c>
      <c r="E5450" s="15" t="s">
        <v>36791</v>
      </c>
      <c r="F5450" s="87" t="s">
        <v>36618</v>
      </c>
      <c r="G5450" s="45" t="s">
        <v>10478</v>
      </c>
      <c r="H5450" s="55" t="s">
        <v>10479</v>
      </c>
      <c r="I5450" s="15" t="s">
        <v>1553</v>
      </c>
    </row>
    <row r="5451" spans="1:9" ht="51.75" customHeight="1" x14ac:dyDescent="0.35">
      <c r="A5451" s="15" t="s">
        <v>26902</v>
      </c>
      <c r="B5451" s="15" t="s">
        <v>36792</v>
      </c>
      <c r="C5451" s="15" t="s">
        <v>36793</v>
      </c>
      <c r="D5451" s="31" t="s">
        <v>50</v>
      </c>
      <c r="E5451" s="15" t="s">
        <v>36794</v>
      </c>
      <c r="F5451" s="87" t="s">
        <v>21871</v>
      </c>
      <c r="G5451" s="45" t="s">
        <v>10478</v>
      </c>
      <c r="H5451" s="55" t="s">
        <v>10479</v>
      </c>
      <c r="I5451" s="15" t="s">
        <v>1553</v>
      </c>
    </row>
    <row r="5452" spans="1:9" ht="51.75" customHeight="1" x14ac:dyDescent="0.35">
      <c r="A5452" s="15" t="s">
        <v>26902</v>
      </c>
      <c r="B5452" s="15" t="s">
        <v>36795</v>
      </c>
      <c r="C5452" s="15" t="s">
        <v>36793</v>
      </c>
      <c r="D5452" s="31" t="s">
        <v>50</v>
      </c>
      <c r="E5452" s="15" t="s">
        <v>36796</v>
      </c>
      <c r="F5452" s="87" t="s">
        <v>36618</v>
      </c>
      <c r="G5452" s="45" t="s">
        <v>10478</v>
      </c>
      <c r="H5452" s="55" t="s">
        <v>10479</v>
      </c>
      <c r="I5452" s="15" t="s">
        <v>1553</v>
      </c>
    </row>
    <row r="5453" spans="1:9" ht="51.75" customHeight="1" x14ac:dyDescent="0.35">
      <c r="A5453" s="15" t="s">
        <v>26839</v>
      </c>
      <c r="B5453" s="15" t="s">
        <v>36797</v>
      </c>
      <c r="C5453" s="15" t="s">
        <v>36798</v>
      </c>
      <c r="D5453" s="31">
        <v>42328</v>
      </c>
      <c r="E5453" s="15" t="s">
        <v>36799</v>
      </c>
      <c r="F5453" s="87" t="s">
        <v>36618</v>
      </c>
      <c r="G5453" s="45" t="s">
        <v>10633</v>
      </c>
      <c r="H5453" s="55" t="s">
        <v>10634</v>
      </c>
      <c r="I5453" s="15" t="s">
        <v>1553</v>
      </c>
    </row>
    <row r="5454" spans="1:9" ht="51.75" customHeight="1" x14ac:dyDescent="0.35">
      <c r="A5454" s="15" t="s">
        <v>26839</v>
      </c>
      <c r="B5454" s="15" t="s">
        <v>36800</v>
      </c>
      <c r="C5454" s="15" t="s">
        <v>36798</v>
      </c>
      <c r="D5454" s="31">
        <v>42328</v>
      </c>
      <c r="E5454" s="15" t="s">
        <v>36801</v>
      </c>
      <c r="F5454" s="87" t="s">
        <v>21871</v>
      </c>
      <c r="G5454" s="45" t="s">
        <v>10633</v>
      </c>
      <c r="H5454" s="55" t="s">
        <v>10634</v>
      </c>
      <c r="I5454" s="15" t="s">
        <v>1553</v>
      </c>
    </row>
    <row r="5455" spans="1:9" ht="51.75" customHeight="1" x14ac:dyDescent="0.35">
      <c r="A5455" s="15" t="s">
        <v>22930</v>
      </c>
      <c r="B5455" s="15" t="s">
        <v>36802</v>
      </c>
      <c r="C5455" s="15" t="s">
        <v>36803</v>
      </c>
      <c r="D5455" s="31">
        <v>42328</v>
      </c>
      <c r="E5455" s="15" t="s">
        <v>36804</v>
      </c>
      <c r="F5455" s="87" t="s">
        <v>36618</v>
      </c>
      <c r="G5455" s="45" t="s">
        <v>10633</v>
      </c>
      <c r="H5455" s="55" t="s">
        <v>10634</v>
      </c>
      <c r="I5455" s="15" t="s">
        <v>1553</v>
      </c>
    </row>
    <row r="5456" spans="1:9" ht="51.75" customHeight="1" x14ac:dyDescent="0.35">
      <c r="A5456" s="15" t="s">
        <v>22930</v>
      </c>
      <c r="B5456" s="15" t="s">
        <v>36805</v>
      </c>
      <c r="C5456" s="15" t="s">
        <v>36803</v>
      </c>
      <c r="D5456" s="31">
        <v>42328</v>
      </c>
      <c r="E5456" s="15" t="s">
        <v>36806</v>
      </c>
      <c r="F5456" s="87" t="s">
        <v>21871</v>
      </c>
      <c r="G5456" s="45" t="s">
        <v>10633</v>
      </c>
      <c r="H5456" s="55" t="s">
        <v>10634</v>
      </c>
      <c r="I5456" s="15" t="s">
        <v>1553</v>
      </c>
    </row>
    <row r="5457" spans="1:9" ht="51.75" customHeight="1" x14ac:dyDescent="0.35">
      <c r="A5457" s="15" t="s">
        <v>22055</v>
      </c>
      <c r="B5457" s="15" t="s">
        <v>36807</v>
      </c>
      <c r="C5457" s="15" t="s">
        <v>36808</v>
      </c>
      <c r="D5457" s="31">
        <v>42345</v>
      </c>
      <c r="E5457" s="15" t="s">
        <v>36809</v>
      </c>
      <c r="F5457" s="87" t="s">
        <v>36618</v>
      </c>
      <c r="G5457" s="45" t="s">
        <v>10698</v>
      </c>
      <c r="H5457" s="55" t="s">
        <v>10699</v>
      </c>
      <c r="I5457" s="15" t="s">
        <v>1553</v>
      </c>
    </row>
    <row r="5458" spans="1:9" ht="51.75" customHeight="1" x14ac:dyDescent="0.35">
      <c r="A5458" s="15" t="s">
        <v>22055</v>
      </c>
      <c r="B5458" s="15" t="s">
        <v>36810</v>
      </c>
      <c r="C5458" s="15" t="s">
        <v>36808</v>
      </c>
      <c r="D5458" s="31">
        <v>42345</v>
      </c>
      <c r="E5458" s="15" t="s">
        <v>36811</v>
      </c>
      <c r="F5458" s="87" t="s">
        <v>21871</v>
      </c>
      <c r="G5458" s="45" t="s">
        <v>10698</v>
      </c>
      <c r="H5458" s="55" t="s">
        <v>10699</v>
      </c>
      <c r="I5458" s="15" t="s">
        <v>1553</v>
      </c>
    </row>
    <row r="5459" spans="1:9" ht="51.75" customHeight="1" x14ac:dyDescent="0.35">
      <c r="A5459" s="15" t="s">
        <v>25980</v>
      </c>
      <c r="B5459" s="15" t="s">
        <v>36812</v>
      </c>
      <c r="C5459" s="15" t="s">
        <v>36813</v>
      </c>
      <c r="D5459" s="31">
        <v>42333</v>
      </c>
      <c r="E5459" s="15" t="s">
        <v>36814</v>
      </c>
      <c r="F5459" s="87" t="s">
        <v>36618</v>
      </c>
      <c r="G5459" s="45" t="s">
        <v>10721</v>
      </c>
      <c r="H5459" s="55" t="s">
        <v>10722</v>
      </c>
      <c r="I5459" s="15" t="s">
        <v>1553</v>
      </c>
    </row>
    <row r="5460" spans="1:9" ht="51.75" customHeight="1" x14ac:dyDescent="0.35">
      <c r="A5460" s="15" t="s">
        <v>25980</v>
      </c>
      <c r="B5460" s="15" t="s">
        <v>36815</v>
      </c>
      <c r="C5460" s="15" t="s">
        <v>36813</v>
      </c>
      <c r="D5460" s="31">
        <v>42333</v>
      </c>
      <c r="E5460" s="15" t="s">
        <v>36816</v>
      </c>
      <c r="F5460" s="87" t="s">
        <v>21871</v>
      </c>
      <c r="G5460" s="45" t="s">
        <v>10721</v>
      </c>
      <c r="H5460" s="55" t="s">
        <v>10722</v>
      </c>
      <c r="I5460" s="15" t="s">
        <v>1553</v>
      </c>
    </row>
    <row r="5461" spans="1:9" ht="51.75" customHeight="1" x14ac:dyDescent="0.35">
      <c r="A5461" s="15" t="s">
        <v>22715</v>
      </c>
      <c r="B5461" s="15" t="s">
        <v>36817</v>
      </c>
      <c r="C5461" s="15" t="s">
        <v>36818</v>
      </c>
      <c r="D5461" s="31">
        <v>42228</v>
      </c>
      <c r="E5461" s="15" t="s">
        <v>36819</v>
      </c>
      <c r="F5461" s="87" t="s">
        <v>21871</v>
      </c>
      <c r="G5461" s="45" t="s">
        <v>10797</v>
      </c>
      <c r="H5461" s="55" t="s">
        <v>10798</v>
      </c>
      <c r="I5461" s="15" t="s">
        <v>1553</v>
      </c>
    </row>
    <row r="5462" spans="1:9" ht="51.75" customHeight="1" x14ac:dyDescent="0.35">
      <c r="A5462" s="15" t="s">
        <v>22715</v>
      </c>
      <c r="B5462" s="15" t="s">
        <v>36820</v>
      </c>
      <c r="C5462" s="15" t="s">
        <v>36818</v>
      </c>
      <c r="D5462" s="31">
        <v>42228</v>
      </c>
      <c r="E5462" s="15" t="s">
        <v>36821</v>
      </c>
      <c r="F5462" s="87" t="s">
        <v>36618</v>
      </c>
      <c r="G5462" s="45" t="s">
        <v>10797</v>
      </c>
      <c r="H5462" s="55" t="s">
        <v>10798</v>
      </c>
      <c r="I5462" s="15" t="s">
        <v>1553</v>
      </c>
    </row>
    <row r="5463" spans="1:9" ht="51.75" customHeight="1" x14ac:dyDescent="0.35">
      <c r="A5463" s="15" t="s">
        <v>23408</v>
      </c>
      <c r="B5463" s="15" t="s">
        <v>36822</v>
      </c>
      <c r="C5463" s="15" t="s">
        <v>36818</v>
      </c>
      <c r="D5463" s="31">
        <v>42228</v>
      </c>
      <c r="E5463" s="15" t="s">
        <v>36823</v>
      </c>
      <c r="F5463" s="87" t="s">
        <v>21871</v>
      </c>
      <c r="G5463" s="45" t="s">
        <v>10797</v>
      </c>
      <c r="H5463" s="55" t="s">
        <v>10798</v>
      </c>
      <c r="I5463" s="15" t="s">
        <v>1553</v>
      </c>
    </row>
    <row r="5464" spans="1:9" ht="51.75" customHeight="1" x14ac:dyDescent="0.35">
      <c r="A5464" s="15" t="s">
        <v>23408</v>
      </c>
      <c r="B5464" s="15" t="s">
        <v>36824</v>
      </c>
      <c r="C5464" s="15" t="s">
        <v>36818</v>
      </c>
      <c r="D5464" s="31">
        <v>42228</v>
      </c>
      <c r="E5464" s="15" t="s">
        <v>36825</v>
      </c>
      <c r="F5464" s="87" t="s">
        <v>36618</v>
      </c>
      <c r="G5464" s="45" t="s">
        <v>10797</v>
      </c>
      <c r="H5464" s="55" t="s">
        <v>10798</v>
      </c>
      <c r="I5464" s="15" t="s">
        <v>1553</v>
      </c>
    </row>
    <row r="5465" spans="1:9" ht="51.75" customHeight="1" x14ac:dyDescent="0.35">
      <c r="A5465" s="15" t="s">
        <v>25320</v>
      </c>
      <c r="B5465" s="15" t="s">
        <v>36826</v>
      </c>
      <c r="C5465" s="15" t="s">
        <v>36827</v>
      </c>
      <c r="D5465" s="31">
        <v>42380</v>
      </c>
      <c r="E5465" s="15" t="s">
        <v>36828</v>
      </c>
      <c r="F5465" s="87" t="s">
        <v>36618</v>
      </c>
      <c r="G5465" s="45" t="s">
        <v>10851</v>
      </c>
      <c r="H5465" s="55" t="s">
        <v>10852</v>
      </c>
      <c r="I5465" s="15" t="s">
        <v>1553</v>
      </c>
    </row>
    <row r="5466" spans="1:9" ht="51.75" customHeight="1" x14ac:dyDescent="0.35">
      <c r="A5466" s="15" t="s">
        <v>25320</v>
      </c>
      <c r="B5466" s="15" t="s">
        <v>36829</v>
      </c>
      <c r="C5466" s="15" t="s">
        <v>36827</v>
      </c>
      <c r="D5466" s="31">
        <v>42380</v>
      </c>
      <c r="E5466" s="15" t="s">
        <v>36830</v>
      </c>
      <c r="F5466" s="87" t="s">
        <v>21871</v>
      </c>
      <c r="G5466" s="45" t="s">
        <v>10851</v>
      </c>
      <c r="H5466" s="55" t="s">
        <v>10852</v>
      </c>
      <c r="I5466" s="15" t="s">
        <v>1553</v>
      </c>
    </row>
    <row r="5467" spans="1:9" ht="51.75" customHeight="1" x14ac:dyDescent="0.35">
      <c r="A5467" s="15" t="s">
        <v>25325</v>
      </c>
      <c r="B5467" s="15" t="s">
        <v>36831</v>
      </c>
      <c r="C5467" s="15" t="s">
        <v>36832</v>
      </c>
      <c r="D5467" s="31" t="s">
        <v>50</v>
      </c>
      <c r="E5467" s="15" t="s">
        <v>36833</v>
      </c>
      <c r="F5467" s="87" t="s">
        <v>36618</v>
      </c>
      <c r="G5467" s="45" t="s">
        <v>10877</v>
      </c>
      <c r="H5467" s="55" t="s">
        <v>10878</v>
      </c>
      <c r="I5467" s="15" t="s">
        <v>1553</v>
      </c>
    </row>
    <row r="5468" spans="1:9" ht="51.75" customHeight="1" x14ac:dyDescent="0.35">
      <c r="A5468" s="15" t="s">
        <v>25325</v>
      </c>
      <c r="B5468" s="15" t="s">
        <v>36834</v>
      </c>
      <c r="C5468" s="15" t="s">
        <v>36832</v>
      </c>
      <c r="D5468" s="31" t="s">
        <v>50</v>
      </c>
      <c r="E5468" s="15" t="s">
        <v>36835</v>
      </c>
      <c r="F5468" s="87" t="s">
        <v>21871</v>
      </c>
      <c r="G5468" s="45" t="s">
        <v>10877</v>
      </c>
      <c r="H5468" s="55" t="s">
        <v>10878</v>
      </c>
      <c r="I5468" s="15" t="s">
        <v>1553</v>
      </c>
    </row>
    <row r="5469" spans="1:9" ht="51.75" customHeight="1" x14ac:dyDescent="0.35">
      <c r="A5469" s="15" t="s">
        <v>23581</v>
      </c>
      <c r="B5469" s="15" t="s">
        <v>36836</v>
      </c>
      <c r="C5469" s="15" t="s">
        <v>36837</v>
      </c>
      <c r="D5469" s="31">
        <v>42331</v>
      </c>
      <c r="E5469" s="15" t="s">
        <v>36838</v>
      </c>
      <c r="F5469" s="87" t="s">
        <v>36618</v>
      </c>
      <c r="G5469" s="45" t="s">
        <v>10900</v>
      </c>
      <c r="H5469" s="55" t="s">
        <v>10901</v>
      </c>
      <c r="I5469" s="15" t="s">
        <v>1553</v>
      </c>
    </row>
    <row r="5470" spans="1:9" ht="51.75" customHeight="1" x14ac:dyDescent="0.35">
      <c r="A5470" s="15" t="s">
        <v>23581</v>
      </c>
      <c r="B5470" s="15" t="s">
        <v>36839</v>
      </c>
      <c r="C5470" s="15" t="s">
        <v>36837</v>
      </c>
      <c r="D5470" s="31">
        <v>42331</v>
      </c>
      <c r="E5470" s="15" t="s">
        <v>36840</v>
      </c>
      <c r="F5470" s="87" t="s">
        <v>21871</v>
      </c>
      <c r="G5470" s="45" t="s">
        <v>10900</v>
      </c>
      <c r="H5470" s="55" t="s">
        <v>10901</v>
      </c>
      <c r="I5470" s="15" t="s">
        <v>1553</v>
      </c>
    </row>
    <row r="5471" spans="1:9" ht="51.75" customHeight="1" x14ac:dyDescent="0.35">
      <c r="A5471" s="15" t="s">
        <v>25371</v>
      </c>
      <c r="B5471" s="15" t="s">
        <v>36841</v>
      </c>
      <c r="C5471" s="15" t="s">
        <v>36837</v>
      </c>
      <c r="D5471" s="31">
        <v>42452</v>
      </c>
      <c r="E5471" s="15" t="s">
        <v>36842</v>
      </c>
      <c r="F5471" s="87" t="s">
        <v>36618</v>
      </c>
      <c r="G5471" s="45" t="s">
        <v>10900</v>
      </c>
      <c r="H5471" s="55" t="s">
        <v>10901</v>
      </c>
      <c r="I5471" s="15" t="s">
        <v>1553</v>
      </c>
    </row>
    <row r="5472" spans="1:9" ht="51.75" customHeight="1" x14ac:dyDescent="0.35">
      <c r="A5472" s="15" t="s">
        <v>25371</v>
      </c>
      <c r="B5472" s="15" t="s">
        <v>36843</v>
      </c>
      <c r="C5472" s="15" t="s">
        <v>36837</v>
      </c>
      <c r="D5472" s="31">
        <v>42452</v>
      </c>
      <c r="E5472" s="15" t="s">
        <v>36844</v>
      </c>
      <c r="F5472" s="87" t="s">
        <v>21871</v>
      </c>
      <c r="G5472" s="45" t="s">
        <v>10900</v>
      </c>
      <c r="H5472" s="55" t="s">
        <v>10901</v>
      </c>
      <c r="I5472" s="15" t="s">
        <v>1553</v>
      </c>
    </row>
    <row r="5473" spans="1:9" ht="51.75" customHeight="1" x14ac:dyDescent="0.35">
      <c r="A5473" s="15" t="s">
        <v>22441</v>
      </c>
      <c r="B5473" s="15" t="s">
        <v>36845</v>
      </c>
      <c r="C5473" s="15" t="s">
        <v>36846</v>
      </c>
      <c r="D5473" s="31">
        <v>42415</v>
      </c>
      <c r="E5473" s="15" t="s">
        <v>36847</v>
      </c>
      <c r="F5473" s="87" t="s">
        <v>36618</v>
      </c>
      <c r="G5473" s="45" t="s">
        <v>11068</v>
      </c>
      <c r="H5473" s="55" t="s">
        <v>11069</v>
      </c>
      <c r="I5473" s="15" t="s">
        <v>1553</v>
      </c>
    </row>
    <row r="5474" spans="1:9" ht="51.75" customHeight="1" x14ac:dyDescent="0.35">
      <c r="A5474" s="15" t="s">
        <v>22441</v>
      </c>
      <c r="B5474" s="15" t="s">
        <v>36848</v>
      </c>
      <c r="C5474" s="15" t="s">
        <v>36846</v>
      </c>
      <c r="D5474" s="31">
        <v>42415</v>
      </c>
      <c r="E5474" s="15" t="s">
        <v>36849</v>
      </c>
      <c r="F5474" s="87" t="s">
        <v>21871</v>
      </c>
      <c r="G5474" s="45" t="s">
        <v>11068</v>
      </c>
      <c r="H5474" s="55" t="s">
        <v>11069</v>
      </c>
      <c r="I5474" s="15" t="s">
        <v>1553</v>
      </c>
    </row>
    <row r="5475" spans="1:9" ht="51.75" customHeight="1" x14ac:dyDescent="0.35">
      <c r="A5475" s="15" t="s">
        <v>25337</v>
      </c>
      <c r="B5475" s="15" t="s">
        <v>36850</v>
      </c>
      <c r="C5475" s="15" t="s">
        <v>36851</v>
      </c>
      <c r="D5475" s="31">
        <v>42381</v>
      </c>
      <c r="E5475" s="15" t="s">
        <v>36852</v>
      </c>
      <c r="F5475" s="87" t="s">
        <v>36618</v>
      </c>
      <c r="G5475" s="45" t="s">
        <v>11124</v>
      </c>
      <c r="H5475" s="55" t="s">
        <v>11125</v>
      </c>
      <c r="I5475" s="15" t="s">
        <v>1553</v>
      </c>
    </row>
    <row r="5476" spans="1:9" ht="51.75" customHeight="1" x14ac:dyDescent="0.35">
      <c r="A5476" s="15" t="s">
        <v>25337</v>
      </c>
      <c r="B5476" s="15" t="s">
        <v>36853</v>
      </c>
      <c r="C5476" s="15" t="s">
        <v>36851</v>
      </c>
      <c r="D5476" s="31">
        <v>42381</v>
      </c>
      <c r="E5476" s="15" t="s">
        <v>36854</v>
      </c>
      <c r="F5476" s="87" t="s">
        <v>21871</v>
      </c>
      <c r="G5476" s="45" t="s">
        <v>11124</v>
      </c>
      <c r="H5476" s="55" t="s">
        <v>11125</v>
      </c>
      <c r="I5476" s="15" t="s">
        <v>1553</v>
      </c>
    </row>
    <row r="5477" spans="1:9" ht="51.75" customHeight="1" x14ac:dyDescent="0.35">
      <c r="A5477" s="15" t="s">
        <v>25717</v>
      </c>
      <c r="B5477" s="15" t="s">
        <v>36855</v>
      </c>
      <c r="C5477" s="15" t="s">
        <v>36856</v>
      </c>
      <c r="D5477" s="31">
        <v>42452</v>
      </c>
      <c r="E5477" s="15" t="s">
        <v>36857</v>
      </c>
      <c r="F5477" s="87" t="s">
        <v>21871</v>
      </c>
      <c r="G5477" s="45" t="s">
        <v>11130</v>
      </c>
      <c r="H5477" s="55" t="s">
        <v>11131</v>
      </c>
      <c r="I5477" s="15" t="s">
        <v>1553</v>
      </c>
    </row>
    <row r="5478" spans="1:9" ht="51.75" customHeight="1" x14ac:dyDescent="0.35">
      <c r="A5478" s="15" t="s">
        <v>25717</v>
      </c>
      <c r="B5478" s="15" t="s">
        <v>36858</v>
      </c>
      <c r="C5478" s="15" t="s">
        <v>36856</v>
      </c>
      <c r="D5478" s="31">
        <v>42452</v>
      </c>
      <c r="E5478" s="15" t="s">
        <v>36859</v>
      </c>
      <c r="F5478" s="87" t="s">
        <v>36618</v>
      </c>
      <c r="G5478" s="45" t="s">
        <v>11130</v>
      </c>
      <c r="H5478" s="55" t="s">
        <v>11131</v>
      </c>
      <c r="I5478" s="15" t="s">
        <v>1553</v>
      </c>
    </row>
    <row r="5479" spans="1:9" ht="51.75" customHeight="1" x14ac:dyDescent="0.35">
      <c r="A5479" s="15" t="s">
        <v>26398</v>
      </c>
      <c r="B5479" s="15" t="s">
        <v>36860</v>
      </c>
      <c r="C5479" s="15" t="s">
        <v>36861</v>
      </c>
      <c r="D5479" s="31">
        <v>42437</v>
      </c>
      <c r="E5479" s="15" t="s">
        <v>36862</v>
      </c>
      <c r="F5479" s="87" t="s">
        <v>36618</v>
      </c>
      <c r="G5479" s="45" t="s">
        <v>11194</v>
      </c>
      <c r="H5479" s="55" t="s">
        <v>11195</v>
      </c>
      <c r="I5479" s="15" t="s">
        <v>1553</v>
      </c>
    </row>
    <row r="5480" spans="1:9" ht="51.75" customHeight="1" x14ac:dyDescent="0.35">
      <c r="A5480" s="15" t="s">
        <v>26398</v>
      </c>
      <c r="B5480" s="15" t="s">
        <v>36863</v>
      </c>
      <c r="C5480" s="15" t="s">
        <v>36861</v>
      </c>
      <c r="D5480" s="31">
        <v>42437</v>
      </c>
      <c r="E5480" s="15" t="s">
        <v>36864</v>
      </c>
      <c r="F5480" s="87" t="s">
        <v>21871</v>
      </c>
      <c r="G5480" s="45" t="s">
        <v>11194</v>
      </c>
      <c r="H5480" s="55" t="s">
        <v>11195</v>
      </c>
      <c r="I5480" s="15" t="s">
        <v>1553</v>
      </c>
    </row>
    <row r="5481" spans="1:9" ht="51.75" customHeight="1" x14ac:dyDescent="0.35">
      <c r="A5481" s="15" t="s">
        <v>22821</v>
      </c>
      <c r="B5481" s="15" t="s">
        <v>36865</v>
      </c>
      <c r="C5481" s="15" t="s">
        <v>36866</v>
      </c>
      <c r="D5481" s="31">
        <v>42496</v>
      </c>
      <c r="E5481" s="15" t="s">
        <v>36867</v>
      </c>
      <c r="F5481" s="87" t="s">
        <v>36618</v>
      </c>
      <c r="G5481" s="45" t="s">
        <v>11221</v>
      </c>
      <c r="H5481" s="55" t="s">
        <v>11222</v>
      </c>
      <c r="I5481" s="15" t="s">
        <v>1553</v>
      </c>
    </row>
    <row r="5482" spans="1:9" ht="51.75" customHeight="1" x14ac:dyDescent="0.35">
      <c r="A5482" s="15" t="s">
        <v>22821</v>
      </c>
      <c r="B5482" s="15" t="s">
        <v>36868</v>
      </c>
      <c r="C5482" s="15" t="s">
        <v>36866</v>
      </c>
      <c r="D5482" s="31">
        <v>42496</v>
      </c>
      <c r="E5482" s="15" t="s">
        <v>36869</v>
      </c>
      <c r="F5482" s="87" t="s">
        <v>21871</v>
      </c>
      <c r="G5482" s="45" t="s">
        <v>11221</v>
      </c>
      <c r="H5482" s="55" t="s">
        <v>11222</v>
      </c>
      <c r="I5482" s="15" t="s">
        <v>1553</v>
      </c>
    </row>
    <row r="5483" spans="1:9" ht="51.75" customHeight="1" x14ac:dyDescent="0.35">
      <c r="A5483" s="15" t="s">
        <v>22786</v>
      </c>
      <c r="B5483" s="15" t="s">
        <v>36870</v>
      </c>
      <c r="C5483" s="15" t="s">
        <v>36871</v>
      </c>
      <c r="D5483" s="31">
        <v>42496</v>
      </c>
      <c r="E5483" s="15" t="s">
        <v>36872</v>
      </c>
      <c r="F5483" s="87" t="s">
        <v>36618</v>
      </c>
      <c r="G5483" s="45" t="s">
        <v>11221</v>
      </c>
      <c r="H5483" s="55" t="s">
        <v>11222</v>
      </c>
      <c r="I5483" s="15" t="s">
        <v>1553</v>
      </c>
    </row>
    <row r="5484" spans="1:9" ht="51.75" customHeight="1" x14ac:dyDescent="0.35">
      <c r="A5484" s="15" t="s">
        <v>22786</v>
      </c>
      <c r="B5484" s="15" t="s">
        <v>36873</v>
      </c>
      <c r="C5484" s="15" t="s">
        <v>36871</v>
      </c>
      <c r="D5484" s="31">
        <v>42496</v>
      </c>
      <c r="E5484" s="15" t="s">
        <v>36874</v>
      </c>
      <c r="F5484" s="87" t="s">
        <v>21871</v>
      </c>
      <c r="G5484" s="45" t="s">
        <v>11221</v>
      </c>
      <c r="H5484" s="55" t="s">
        <v>11222</v>
      </c>
      <c r="I5484" s="15" t="s">
        <v>1553</v>
      </c>
    </row>
    <row r="5485" spans="1:9" ht="51.75" customHeight="1" x14ac:dyDescent="0.35">
      <c r="A5485" s="15" t="s">
        <v>31951</v>
      </c>
      <c r="B5485" s="15" t="s">
        <v>36875</v>
      </c>
      <c r="C5485" s="15" t="s">
        <v>36876</v>
      </c>
      <c r="D5485" s="31">
        <v>42513</v>
      </c>
      <c r="E5485" s="15" t="s">
        <v>36877</v>
      </c>
      <c r="F5485" s="87" t="s">
        <v>36618</v>
      </c>
      <c r="G5485" s="45" t="s">
        <v>11233</v>
      </c>
      <c r="H5485" s="55" t="s">
        <v>11234</v>
      </c>
      <c r="I5485" s="15" t="s">
        <v>1553</v>
      </c>
    </row>
    <row r="5486" spans="1:9" ht="51.75" customHeight="1" x14ac:dyDescent="0.35">
      <c r="A5486" s="15" t="s">
        <v>31951</v>
      </c>
      <c r="B5486" s="15" t="s">
        <v>36878</v>
      </c>
      <c r="C5486" s="15" t="s">
        <v>36876</v>
      </c>
      <c r="D5486" s="31">
        <v>42513</v>
      </c>
      <c r="E5486" s="15" t="s">
        <v>36879</v>
      </c>
      <c r="F5486" s="87" t="s">
        <v>21871</v>
      </c>
      <c r="G5486" s="45" t="s">
        <v>11233</v>
      </c>
      <c r="H5486" s="55" t="s">
        <v>11234</v>
      </c>
      <c r="I5486" s="15" t="s">
        <v>1553</v>
      </c>
    </row>
    <row r="5487" spans="1:9" ht="51.75" customHeight="1" x14ac:dyDescent="0.35">
      <c r="A5487" s="15" t="s">
        <v>22574</v>
      </c>
      <c r="B5487" s="15" t="s">
        <v>36880</v>
      </c>
      <c r="C5487" s="15" t="s">
        <v>36881</v>
      </c>
      <c r="D5487" s="31">
        <v>42513</v>
      </c>
      <c r="E5487" s="15" t="s">
        <v>36882</v>
      </c>
      <c r="F5487" s="87" t="s">
        <v>36618</v>
      </c>
      <c r="G5487" s="45" t="s">
        <v>11233</v>
      </c>
      <c r="H5487" s="55" t="s">
        <v>11234</v>
      </c>
      <c r="I5487" s="15" t="s">
        <v>1553</v>
      </c>
    </row>
    <row r="5488" spans="1:9" ht="51.75" customHeight="1" x14ac:dyDescent="0.35">
      <c r="A5488" s="15" t="s">
        <v>22574</v>
      </c>
      <c r="B5488" s="15" t="s">
        <v>36883</v>
      </c>
      <c r="C5488" s="15" t="s">
        <v>36881</v>
      </c>
      <c r="D5488" s="31">
        <v>42513</v>
      </c>
      <c r="E5488" s="15" t="s">
        <v>36884</v>
      </c>
      <c r="F5488" s="87" t="s">
        <v>21871</v>
      </c>
      <c r="G5488" s="45" t="s">
        <v>11233</v>
      </c>
      <c r="H5488" s="55" t="s">
        <v>11234</v>
      </c>
      <c r="I5488" s="15" t="s">
        <v>1553</v>
      </c>
    </row>
    <row r="5489" spans="1:9" ht="51.75" customHeight="1" x14ac:dyDescent="0.35">
      <c r="A5489" s="15" t="s">
        <v>22578</v>
      </c>
      <c r="B5489" s="15" t="s">
        <v>36885</v>
      </c>
      <c r="C5489" s="15" t="s">
        <v>36886</v>
      </c>
      <c r="D5489" s="31">
        <v>42513</v>
      </c>
      <c r="E5489" s="15" t="s">
        <v>36887</v>
      </c>
      <c r="F5489" s="87" t="s">
        <v>36618</v>
      </c>
      <c r="G5489" s="45" t="s">
        <v>11233</v>
      </c>
      <c r="H5489" s="55" t="s">
        <v>11234</v>
      </c>
      <c r="I5489" s="15" t="s">
        <v>1553</v>
      </c>
    </row>
    <row r="5490" spans="1:9" ht="51.75" customHeight="1" x14ac:dyDescent="0.35">
      <c r="A5490" s="15" t="s">
        <v>22578</v>
      </c>
      <c r="B5490" s="15" t="s">
        <v>36888</v>
      </c>
      <c r="C5490" s="15" t="s">
        <v>36886</v>
      </c>
      <c r="D5490" s="31">
        <v>42513</v>
      </c>
      <c r="E5490" s="15" t="s">
        <v>36889</v>
      </c>
      <c r="F5490" s="87" t="s">
        <v>21871</v>
      </c>
      <c r="G5490" s="45" t="s">
        <v>11233</v>
      </c>
      <c r="H5490" s="55" t="s">
        <v>11234</v>
      </c>
      <c r="I5490" s="15" t="s">
        <v>1553</v>
      </c>
    </row>
    <row r="5491" spans="1:9" ht="51.75" customHeight="1" x14ac:dyDescent="0.35">
      <c r="A5491" s="15" t="s">
        <v>22582</v>
      </c>
      <c r="B5491" s="15" t="s">
        <v>36890</v>
      </c>
      <c r="C5491" s="15" t="s">
        <v>36891</v>
      </c>
      <c r="D5491" s="31">
        <v>42510</v>
      </c>
      <c r="E5491" s="15" t="s">
        <v>36892</v>
      </c>
      <c r="F5491" s="87" t="s">
        <v>21871</v>
      </c>
      <c r="G5491" s="45" t="s">
        <v>11239</v>
      </c>
      <c r="H5491" s="55" t="s">
        <v>11240</v>
      </c>
      <c r="I5491" s="15" t="s">
        <v>1553</v>
      </c>
    </row>
    <row r="5492" spans="1:9" ht="51.75" customHeight="1" x14ac:dyDescent="0.35">
      <c r="A5492" s="15" t="s">
        <v>22582</v>
      </c>
      <c r="B5492" s="15" t="s">
        <v>36893</v>
      </c>
      <c r="C5492" s="15" t="s">
        <v>36891</v>
      </c>
      <c r="D5492" s="31">
        <v>42510</v>
      </c>
      <c r="E5492" s="15" t="s">
        <v>36894</v>
      </c>
      <c r="F5492" s="87" t="s">
        <v>36618</v>
      </c>
      <c r="G5492" s="45" t="s">
        <v>11239</v>
      </c>
      <c r="H5492" s="55" t="s">
        <v>11240</v>
      </c>
      <c r="I5492" s="15" t="s">
        <v>1553</v>
      </c>
    </row>
    <row r="5493" spans="1:9" ht="51.75" customHeight="1" x14ac:dyDescent="0.35">
      <c r="A5493" s="15" t="s">
        <v>23770</v>
      </c>
      <c r="B5493" s="15" t="s">
        <v>36895</v>
      </c>
      <c r="C5493" s="15" t="s">
        <v>36896</v>
      </c>
      <c r="D5493" s="31">
        <v>42510</v>
      </c>
      <c r="E5493" s="15" t="s">
        <v>36897</v>
      </c>
      <c r="F5493" s="87" t="s">
        <v>21871</v>
      </c>
      <c r="G5493" s="45" t="s">
        <v>11239</v>
      </c>
      <c r="H5493" s="55" t="s">
        <v>11240</v>
      </c>
      <c r="I5493" s="15" t="s">
        <v>1553</v>
      </c>
    </row>
    <row r="5494" spans="1:9" ht="51.75" customHeight="1" x14ac:dyDescent="0.35">
      <c r="A5494" s="15" t="s">
        <v>23770</v>
      </c>
      <c r="B5494" s="15" t="s">
        <v>36898</v>
      </c>
      <c r="C5494" s="15" t="s">
        <v>36896</v>
      </c>
      <c r="D5494" s="31">
        <v>42510</v>
      </c>
      <c r="E5494" s="15" t="s">
        <v>36899</v>
      </c>
      <c r="F5494" s="87" t="s">
        <v>36618</v>
      </c>
      <c r="G5494" s="45" t="s">
        <v>11239</v>
      </c>
      <c r="H5494" s="55" t="s">
        <v>11240</v>
      </c>
      <c r="I5494" s="15" t="s">
        <v>1553</v>
      </c>
    </row>
    <row r="5495" spans="1:9" ht="51.75" customHeight="1" x14ac:dyDescent="0.35">
      <c r="A5495" s="15" t="s">
        <v>28200</v>
      </c>
      <c r="B5495" s="15" t="s">
        <v>36900</v>
      </c>
      <c r="C5495" s="15" t="s">
        <v>36901</v>
      </c>
      <c r="D5495" s="31">
        <v>42570</v>
      </c>
      <c r="E5495" s="15" t="s">
        <v>36902</v>
      </c>
      <c r="F5495" s="87" t="s">
        <v>36618</v>
      </c>
      <c r="G5495" s="45" t="s">
        <v>11410</v>
      </c>
      <c r="H5495" s="55" t="s">
        <v>11411</v>
      </c>
      <c r="I5495" s="15" t="s">
        <v>1553</v>
      </c>
    </row>
    <row r="5496" spans="1:9" ht="51.75" customHeight="1" x14ac:dyDescent="0.35">
      <c r="A5496" s="15" t="s">
        <v>28200</v>
      </c>
      <c r="B5496" s="15" t="s">
        <v>36903</v>
      </c>
      <c r="C5496" s="15" t="s">
        <v>36901</v>
      </c>
      <c r="D5496" s="31">
        <v>42570</v>
      </c>
      <c r="E5496" s="15" t="s">
        <v>36904</v>
      </c>
      <c r="F5496" s="87" t="s">
        <v>21871</v>
      </c>
      <c r="G5496" s="45" t="s">
        <v>11410</v>
      </c>
      <c r="H5496" s="55" t="s">
        <v>11411</v>
      </c>
      <c r="I5496" s="15" t="s">
        <v>1553</v>
      </c>
    </row>
    <row r="5497" spans="1:9" ht="51.75" customHeight="1" x14ac:dyDescent="0.35">
      <c r="A5497" s="15" t="s">
        <v>22703</v>
      </c>
      <c r="B5497" s="15" t="s">
        <v>36905</v>
      </c>
      <c r="C5497" s="15" t="s">
        <v>36906</v>
      </c>
      <c r="D5497" s="31">
        <v>42586</v>
      </c>
      <c r="E5497" s="15" t="s">
        <v>36907</v>
      </c>
      <c r="F5497" s="87" t="s">
        <v>36618</v>
      </c>
      <c r="G5497" s="45" t="s">
        <v>11507</v>
      </c>
      <c r="H5497" s="55" t="s">
        <v>11508</v>
      </c>
      <c r="I5497" s="15" t="s">
        <v>1553</v>
      </c>
    </row>
    <row r="5498" spans="1:9" ht="51.75" customHeight="1" x14ac:dyDescent="0.35">
      <c r="A5498" s="15" t="s">
        <v>22703</v>
      </c>
      <c r="B5498" s="15" t="s">
        <v>36908</v>
      </c>
      <c r="C5498" s="15" t="s">
        <v>36906</v>
      </c>
      <c r="D5498" s="31">
        <v>42586</v>
      </c>
      <c r="E5498" s="15" t="s">
        <v>36909</v>
      </c>
      <c r="F5498" s="87" t="s">
        <v>21871</v>
      </c>
      <c r="G5498" s="45" t="s">
        <v>11507</v>
      </c>
      <c r="H5498" s="55" t="s">
        <v>11508</v>
      </c>
      <c r="I5498" s="15" t="s">
        <v>1553</v>
      </c>
    </row>
    <row r="5499" spans="1:9" ht="51.75" customHeight="1" x14ac:dyDescent="0.35">
      <c r="A5499" s="15" t="s">
        <v>23380</v>
      </c>
      <c r="B5499" s="15" t="s">
        <v>36910</v>
      </c>
      <c r="C5499" s="15" t="s">
        <v>36911</v>
      </c>
      <c r="D5499" s="31">
        <v>42566</v>
      </c>
      <c r="E5499" s="15" t="s">
        <v>36912</v>
      </c>
      <c r="F5499" s="87" t="s">
        <v>36618</v>
      </c>
      <c r="G5499" s="45" t="s">
        <v>11564</v>
      </c>
      <c r="H5499" s="55" t="s">
        <v>11565</v>
      </c>
      <c r="I5499" s="15" t="s">
        <v>1553</v>
      </c>
    </row>
    <row r="5500" spans="1:9" ht="51.75" customHeight="1" x14ac:dyDescent="0.35">
      <c r="A5500" s="15" t="s">
        <v>23380</v>
      </c>
      <c r="B5500" s="15" t="s">
        <v>36913</v>
      </c>
      <c r="C5500" s="15" t="s">
        <v>36911</v>
      </c>
      <c r="D5500" s="31">
        <v>42566</v>
      </c>
      <c r="E5500" s="15" t="s">
        <v>36914</v>
      </c>
      <c r="F5500" s="87" t="s">
        <v>21871</v>
      </c>
      <c r="G5500" s="45" t="s">
        <v>11564</v>
      </c>
      <c r="H5500" s="55" t="s">
        <v>11565</v>
      </c>
      <c r="I5500" s="15" t="s">
        <v>1553</v>
      </c>
    </row>
    <row r="5501" spans="1:9" ht="51.75" customHeight="1" x14ac:dyDescent="0.35">
      <c r="A5501" s="15" t="s">
        <v>25974</v>
      </c>
      <c r="B5501" s="15" t="s">
        <v>36915</v>
      </c>
      <c r="C5501" s="15" t="s">
        <v>36916</v>
      </c>
      <c r="D5501" s="31">
        <v>42655</v>
      </c>
      <c r="E5501" s="15" t="s">
        <v>36917</v>
      </c>
      <c r="F5501" s="87" t="s">
        <v>36618</v>
      </c>
      <c r="G5501" s="45" t="s">
        <v>11713</v>
      </c>
      <c r="H5501" s="55" t="s">
        <v>11714</v>
      </c>
      <c r="I5501" s="15" t="s">
        <v>1553</v>
      </c>
    </row>
    <row r="5502" spans="1:9" ht="51.75" customHeight="1" x14ac:dyDescent="0.35">
      <c r="A5502" s="15" t="s">
        <v>25974</v>
      </c>
      <c r="B5502" s="15" t="s">
        <v>36918</v>
      </c>
      <c r="C5502" s="15" t="s">
        <v>36916</v>
      </c>
      <c r="D5502" s="31">
        <v>42655</v>
      </c>
      <c r="E5502" s="15" t="s">
        <v>36919</v>
      </c>
      <c r="F5502" s="87" t="s">
        <v>21871</v>
      </c>
      <c r="G5502" s="45" t="s">
        <v>11713</v>
      </c>
      <c r="H5502" s="55" t="s">
        <v>11714</v>
      </c>
      <c r="I5502" s="15" t="s">
        <v>1553</v>
      </c>
    </row>
    <row r="5503" spans="1:9" ht="51.75" customHeight="1" x14ac:dyDescent="0.35">
      <c r="A5503" s="15" t="s">
        <v>36097</v>
      </c>
      <c r="B5503" s="15" t="s">
        <v>36920</v>
      </c>
      <c r="C5503" s="15" t="s">
        <v>36921</v>
      </c>
      <c r="D5503" s="31">
        <v>42663</v>
      </c>
      <c r="E5503" s="15" t="s">
        <v>36922</v>
      </c>
      <c r="F5503" s="87" t="s">
        <v>21871</v>
      </c>
      <c r="G5503" s="45" t="s">
        <v>11883</v>
      </c>
      <c r="H5503" s="55" t="s">
        <v>11884</v>
      </c>
      <c r="I5503" s="15" t="s">
        <v>1553</v>
      </c>
    </row>
    <row r="5504" spans="1:9" ht="51.75" customHeight="1" x14ac:dyDescent="0.35">
      <c r="A5504" s="15" t="s">
        <v>36097</v>
      </c>
      <c r="B5504" s="15" t="s">
        <v>36923</v>
      </c>
      <c r="C5504" s="15" t="s">
        <v>36921</v>
      </c>
      <c r="D5504" s="31">
        <v>42663</v>
      </c>
      <c r="E5504" s="15" t="s">
        <v>36924</v>
      </c>
      <c r="F5504" s="87" t="s">
        <v>36618</v>
      </c>
      <c r="G5504" s="45" t="s">
        <v>11883</v>
      </c>
      <c r="H5504" s="55" t="s">
        <v>11884</v>
      </c>
      <c r="I5504" s="15" t="s">
        <v>1553</v>
      </c>
    </row>
    <row r="5505" spans="1:9" ht="51.75" customHeight="1" x14ac:dyDescent="0.35">
      <c r="A5505" s="15" t="s">
        <v>24301</v>
      </c>
      <c r="B5505" s="15" t="s">
        <v>36925</v>
      </c>
      <c r="C5505" s="15" t="s">
        <v>36926</v>
      </c>
      <c r="D5505" s="31">
        <v>42775</v>
      </c>
      <c r="E5505" s="15" t="s">
        <v>36927</v>
      </c>
      <c r="F5505" s="87" t="s">
        <v>36618</v>
      </c>
      <c r="G5505" s="45" t="s">
        <v>12141</v>
      </c>
      <c r="H5505" s="55" t="s">
        <v>12142</v>
      </c>
      <c r="I5505" s="15" t="s">
        <v>1553</v>
      </c>
    </row>
    <row r="5506" spans="1:9" ht="51.75" customHeight="1" x14ac:dyDescent="0.35">
      <c r="A5506" s="15" t="s">
        <v>24301</v>
      </c>
      <c r="B5506" s="15" t="s">
        <v>36928</v>
      </c>
      <c r="C5506" s="15" t="s">
        <v>36926</v>
      </c>
      <c r="D5506" s="31">
        <v>42775</v>
      </c>
      <c r="E5506" s="15" t="s">
        <v>36929</v>
      </c>
      <c r="F5506" s="87" t="s">
        <v>21871</v>
      </c>
      <c r="G5506" s="45" t="s">
        <v>12141</v>
      </c>
      <c r="H5506" s="55" t="s">
        <v>12142</v>
      </c>
      <c r="I5506" s="15" t="s">
        <v>1553</v>
      </c>
    </row>
    <row r="5507" spans="1:9" ht="51.75" customHeight="1" x14ac:dyDescent="0.35">
      <c r="A5507" s="15" t="s">
        <v>36930</v>
      </c>
      <c r="B5507" s="15" t="s">
        <v>36931</v>
      </c>
      <c r="C5507" s="15" t="s">
        <v>36932</v>
      </c>
      <c r="D5507" s="31">
        <v>42718</v>
      </c>
      <c r="E5507" s="15" t="s">
        <v>36933</v>
      </c>
      <c r="F5507" s="87" t="s">
        <v>21871</v>
      </c>
      <c r="G5507" s="45" t="s">
        <v>12192</v>
      </c>
      <c r="H5507" s="55" t="s">
        <v>12193</v>
      </c>
      <c r="I5507" s="15" t="s">
        <v>1553</v>
      </c>
    </row>
    <row r="5508" spans="1:9" ht="51.75" customHeight="1" x14ac:dyDescent="0.35">
      <c r="A5508" s="15" t="s">
        <v>36930</v>
      </c>
      <c r="B5508" s="15" t="s">
        <v>36934</v>
      </c>
      <c r="C5508" s="15" t="s">
        <v>36932</v>
      </c>
      <c r="D5508" s="31">
        <v>42718</v>
      </c>
      <c r="E5508" s="15" t="s">
        <v>36935</v>
      </c>
      <c r="F5508" s="87" t="s">
        <v>36618</v>
      </c>
      <c r="G5508" s="45" t="s">
        <v>12192</v>
      </c>
      <c r="H5508" s="55" t="s">
        <v>12193</v>
      </c>
      <c r="I5508" s="15" t="s">
        <v>1553</v>
      </c>
    </row>
    <row r="5509" spans="1:9" ht="51.75" customHeight="1" x14ac:dyDescent="0.35">
      <c r="A5509" s="15" t="s">
        <v>24261</v>
      </c>
      <c r="B5509" s="15" t="s">
        <v>36936</v>
      </c>
      <c r="C5509" s="15" t="s">
        <v>36937</v>
      </c>
      <c r="D5509" s="31">
        <v>42751</v>
      </c>
      <c r="E5509" s="15" t="s">
        <v>36938</v>
      </c>
      <c r="F5509" s="87" t="s">
        <v>36618</v>
      </c>
      <c r="G5509" s="45" t="s">
        <v>12305</v>
      </c>
      <c r="H5509" s="55" t="s">
        <v>36939</v>
      </c>
      <c r="I5509" s="15" t="s">
        <v>1553</v>
      </c>
    </row>
    <row r="5510" spans="1:9" ht="51.75" customHeight="1" x14ac:dyDescent="0.35">
      <c r="A5510" s="15" t="s">
        <v>24261</v>
      </c>
      <c r="B5510" s="15" t="s">
        <v>36940</v>
      </c>
      <c r="C5510" s="15" t="s">
        <v>36937</v>
      </c>
      <c r="D5510" s="31">
        <v>42751</v>
      </c>
      <c r="E5510" s="15" t="s">
        <v>36941</v>
      </c>
      <c r="F5510" s="87" t="s">
        <v>21871</v>
      </c>
      <c r="G5510" s="45" t="s">
        <v>12305</v>
      </c>
      <c r="H5510" s="55" t="s">
        <v>36939</v>
      </c>
      <c r="I5510" s="15" t="s">
        <v>1553</v>
      </c>
    </row>
    <row r="5511" spans="1:9" ht="51.75" customHeight="1" x14ac:dyDescent="0.35">
      <c r="A5511" s="15" t="s">
        <v>28331</v>
      </c>
      <c r="B5511" s="15" t="s">
        <v>36942</v>
      </c>
      <c r="C5511" s="15" t="s">
        <v>36943</v>
      </c>
      <c r="D5511" s="31">
        <v>42880</v>
      </c>
      <c r="E5511" s="15" t="s">
        <v>36944</v>
      </c>
      <c r="F5511" s="87" t="s">
        <v>21871</v>
      </c>
      <c r="G5511" s="45" t="s">
        <v>12489</v>
      </c>
      <c r="H5511" s="55" t="s">
        <v>12490</v>
      </c>
      <c r="I5511" s="15" t="s">
        <v>1553</v>
      </c>
    </row>
    <row r="5512" spans="1:9" ht="51.75" customHeight="1" x14ac:dyDescent="0.35">
      <c r="A5512" s="15" t="s">
        <v>28331</v>
      </c>
      <c r="B5512" s="15" t="s">
        <v>36945</v>
      </c>
      <c r="C5512" s="15" t="s">
        <v>36943</v>
      </c>
      <c r="D5512" s="31">
        <v>42880</v>
      </c>
      <c r="E5512" s="15" t="s">
        <v>36946</v>
      </c>
      <c r="F5512" s="87" t="s">
        <v>36618</v>
      </c>
      <c r="G5512" s="45" t="s">
        <v>12489</v>
      </c>
      <c r="H5512" s="55" t="s">
        <v>12490</v>
      </c>
      <c r="I5512" s="15" t="s">
        <v>1553</v>
      </c>
    </row>
    <row r="5513" spans="1:9" ht="51.75" customHeight="1" x14ac:dyDescent="0.35">
      <c r="A5513" s="15" t="s">
        <v>22711</v>
      </c>
      <c r="B5513" s="15" t="s">
        <v>36947</v>
      </c>
      <c r="C5513" s="15" t="s">
        <v>36948</v>
      </c>
      <c r="D5513" s="31">
        <v>42527</v>
      </c>
      <c r="E5513" s="15" t="s">
        <v>36949</v>
      </c>
      <c r="F5513" s="87" t="s">
        <v>36618</v>
      </c>
      <c r="G5513" s="45" t="s">
        <v>11266</v>
      </c>
      <c r="H5513" s="55" t="s">
        <v>11267</v>
      </c>
      <c r="I5513" s="15" t="s">
        <v>1553</v>
      </c>
    </row>
    <row r="5514" spans="1:9" ht="51.75" customHeight="1" x14ac:dyDescent="0.35">
      <c r="A5514" s="15" t="s">
        <v>22711</v>
      </c>
      <c r="B5514" s="15" t="s">
        <v>36950</v>
      </c>
      <c r="C5514" s="15" t="s">
        <v>36948</v>
      </c>
      <c r="D5514" s="31">
        <v>42527</v>
      </c>
      <c r="E5514" s="15" t="s">
        <v>36951</v>
      </c>
      <c r="F5514" s="87" t="s">
        <v>21871</v>
      </c>
      <c r="G5514" s="45" t="s">
        <v>11266</v>
      </c>
      <c r="H5514" s="55" t="s">
        <v>11267</v>
      </c>
      <c r="I5514" s="15" t="s">
        <v>1553</v>
      </c>
    </row>
    <row r="5515" spans="1:9" ht="51.75" customHeight="1" x14ac:dyDescent="0.35">
      <c r="A5515" s="15" t="s">
        <v>23770</v>
      </c>
      <c r="B5515" s="15" t="s">
        <v>36952</v>
      </c>
      <c r="C5515" s="15" t="s">
        <v>36953</v>
      </c>
      <c r="D5515" s="31">
        <v>42930</v>
      </c>
      <c r="E5515" s="15" t="s">
        <v>36954</v>
      </c>
      <c r="F5515" s="87" t="s">
        <v>36618</v>
      </c>
      <c r="G5515" s="45" t="s">
        <v>12628</v>
      </c>
      <c r="H5515" s="55" t="s">
        <v>12629</v>
      </c>
      <c r="I5515" s="15" t="s">
        <v>1553</v>
      </c>
    </row>
    <row r="5516" spans="1:9" ht="51.75" customHeight="1" x14ac:dyDescent="0.35">
      <c r="A5516" s="15" t="s">
        <v>23770</v>
      </c>
      <c r="B5516" s="15" t="s">
        <v>36955</v>
      </c>
      <c r="C5516" s="15" t="s">
        <v>36953</v>
      </c>
      <c r="D5516" s="31">
        <v>42930</v>
      </c>
      <c r="E5516" s="15" t="s">
        <v>36956</v>
      </c>
      <c r="F5516" s="87" t="s">
        <v>21871</v>
      </c>
      <c r="G5516" s="45" t="s">
        <v>12628</v>
      </c>
      <c r="H5516" s="55" t="s">
        <v>12629</v>
      </c>
      <c r="I5516" s="15" t="s">
        <v>1553</v>
      </c>
    </row>
    <row r="5517" spans="1:9" ht="51.75" customHeight="1" x14ac:dyDescent="0.35">
      <c r="A5517" s="15" t="s">
        <v>23776</v>
      </c>
      <c r="B5517" s="15" t="s">
        <v>36957</v>
      </c>
      <c r="C5517" s="15" t="s">
        <v>36958</v>
      </c>
      <c r="D5517" s="31">
        <v>42930</v>
      </c>
      <c r="E5517" s="15" t="s">
        <v>36959</v>
      </c>
      <c r="F5517" s="87" t="s">
        <v>36618</v>
      </c>
      <c r="G5517" s="45" t="s">
        <v>12628</v>
      </c>
      <c r="H5517" s="55" t="s">
        <v>12629</v>
      </c>
      <c r="I5517" s="15" t="s">
        <v>1553</v>
      </c>
    </row>
    <row r="5518" spans="1:9" ht="51.75" customHeight="1" x14ac:dyDescent="0.35">
      <c r="A5518" s="15" t="s">
        <v>23776</v>
      </c>
      <c r="B5518" s="15" t="s">
        <v>36960</v>
      </c>
      <c r="C5518" s="15" t="s">
        <v>36958</v>
      </c>
      <c r="D5518" s="31">
        <v>42930</v>
      </c>
      <c r="E5518" s="15" t="s">
        <v>36961</v>
      </c>
      <c r="F5518" s="87" t="s">
        <v>21871</v>
      </c>
      <c r="G5518" s="45" t="s">
        <v>12628</v>
      </c>
      <c r="H5518" s="55" t="s">
        <v>12629</v>
      </c>
      <c r="I5518" s="15" t="s">
        <v>1553</v>
      </c>
    </row>
    <row r="5519" spans="1:9" ht="51.75" customHeight="1" x14ac:dyDescent="0.35">
      <c r="A5519" s="15" t="s">
        <v>23782</v>
      </c>
      <c r="B5519" s="15" t="s">
        <v>36962</v>
      </c>
      <c r="C5519" s="15" t="s">
        <v>36963</v>
      </c>
      <c r="D5519" s="31">
        <v>42930</v>
      </c>
      <c r="E5519" s="15" t="s">
        <v>36964</v>
      </c>
      <c r="F5519" s="87" t="s">
        <v>36618</v>
      </c>
      <c r="G5519" s="45" t="s">
        <v>12628</v>
      </c>
      <c r="H5519" s="55" t="s">
        <v>12629</v>
      </c>
      <c r="I5519" s="15" t="s">
        <v>1553</v>
      </c>
    </row>
    <row r="5520" spans="1:9" ht="51.75" customHeight="1" x14ac:dyDescent="0.35">
      <c r="A5520" s="15" t="s">
        <v>23782</v>
      </c>
      <c r="B5520" s="15" t="s">
        <v>36965</v>
      </c>
      <c r="C5520" s="15" t="s">
        <v>36963</v>
      </c>
      <c r="D5520" s="31">
        <v>42930</v>
      </c>
      <c r="E5520" s="15" t="s">
        <v>36966</v>
      </c>
      <c r="F5520" s="87" t="s">
        <v>21871</v>
      </c>
      <c r="G5520" s="45" t="s">
        <v>12628</v>
      </c>
      <c r="H5520" s="55" t="s">
        <v>12629</v>
      </c>
      <c r="I5520" s="15" t="s">
        <v>1553</v>
      </c>
    </row>
    <row r="5521" spans="1:9" ht="51.75" customHeight="1" x14ac:dyDescent="0.35">
      <c r="A5521" s="15" t="s">
        <v>23788</v>
      </c>
      <c r="B5521" s="15" t="s">
        <v>36967</v>
      </c>
      <c r="C5521" s="15" t="s">
        <v>36968</v>
      </c>
      <c r="D5521" s="31">
        <v>42930</v>
      </c>
      <c r="E5521" s="15" t="s">
        <v>36969</v>
      </c>
      <c r="F5521" s="87" t="s">
        <v>36618</v>
      </c>
      <c r="G5521" s="45" t="s">
        <v>12628</v>
      </c>
      <c r="H5521" s="55" t="s">
        <v>12629</v>
      </c>
      <c r="I5521" s="15" t="s">
        <v>1553</v>
      </c>
    </row>
    <row r="5522" spans="1:9" ht="51.75" customHeight="1" x14ac:dyDescent="0.35">
      <c r="A5522" s="15" t="s">
        <v>23788</v>
      </c>
      <c r="B5522" s="15" t="s">
        <v>36970</v>
      </c>
      <c r="C5522" s="15" t="s">
        <v>36968</v>
      </c>
      <c r="D5522" s="31">
        <v>42930</v>
      </c>
      <c r="E5522" s="15" t="s">
        <v>36971</v>
      </c>
      <c r="F5522" s="87" t="s">
        <v>21871</v>
      </c>
      <c r="G5522" s="45" t="s">
        <v>12628</v>
      </c>
      <c r="H5522" s="55" t="s">
        <v>12629</v>
      </c>
      <c r="I5522" s="15" t="s">
        <v>1553</v>
      </c>
    </row>
    <row r="5523" spans="1:9" ht="51.75" customHeight="1" x14ac:dyDescent="0.35">
      <c r="A5523" s="15" t="s">
        <v>22143</v>
      </c>
      <c r="B5523" s="15" t="s">
        <v>36972</v>
      </c>
      <c r="C5523" s="15" t="s">
        <v>36973</v>
      </c>
      <c r="D5523" s="31">
        <v>42930</v>
      </c>
      <c r="E5523" s="15" t="s">
        <v>36974</v>
      </c>
      <c r="F5523" s="87" t="s">
        <v>36618</v>
      </c>
      <c r="G5523" s="45" t="s">
        <v>12628</v>
      </c>
      <c r="H5523" s="55" t="s">
        <v>12629</v>
      </c>
      <c r="I5523" s="15" t="s">
        <v>1553</v>
      </c>
    </row>
    <row r="5524" spans="1:9" ht="51.75" customHeight="1" x14ac:dyDescent="0.35">
      <c r="A5524" s="15" t="s">
        <v>22143</v>
      </c>
      <c r="B5524" s="15" t="s">
        <v>36975</v>
      </c>
      <c r="C5524" s="15" t="s">
        <v>36973</v>
      </c>
      <c r="D5524" s="31">
        <v>42930</v>
      </c>
      <c r="E5524" s="15" t="s">
        <v>36976</v>
      </c>
      <c r="F5524" s="87" t="s">
        <v>21871</v>
      </c>
      <c r="G5524" s="45" t="s">
        <v>12628</v>
      </c>
      <c r="H5524" s="55" t="s">
        <v>12629</v>
      </c>
      <c r="I5524" s="15" t="s">
        <v>1553</v>
      </c>
    </row>
    <row r="5525" spans="1:9" ht="51.75" customHeight="1" x14ac:dyDescent="0.35">
      <c r="A5525" s="15" t="s">
        <v>22147</v>
      </c>
      <c r="B5525" s="15" t="s">
        <v>36977</v>
      </c>
      <c r="C5525" s="15" t="s">
        <v>36978</v>
      </c>
      <c r="D5525" s="31">
        <v>42930</v>
      </c>
      <c r="E5525" s="15" t="s">
        <v>36979</v>
      </c>
      <c r="F5525" s="87" t="s">
        <v>36618</v>
      </c>
      <c r="G5525" s="45" t="s">
        <v>12628</v>
      </c>
      <c r="H5525" s="55" t="s">
        <v>12629</v>
      </c>
      <c r="I5525" s="15" t="s">
        <v>1553</v>
      </c>
    </row>
    <row r="5526" spans="1:9" ht="51.75" customHeight="1" x14ac:dyDescent="0.35">
      <c r="A5526" s="15" t="s">
        <v>22147</v>
      </c>
      <c r="B5526" s="15" t="s">
        <v>36980</v>
      </c>
      <c r="C5526" s="15" t="s">
        <v>36978</v>
      </c>
      <c r="D5526" s="31">
        <v>42930</v>
      </c>
      <c r="E5526" s="15" t="s">
        <v>36981</v>
      </c>
      <c r="F5526" s="87" t="s">
        <v>21871</v>
      </c>
      <c r="G5526" s="45" t="s">
        <v>12628</v>
      </c>
      <c r="H5526" s="55" t="s">
        <v>12629</v>
      </c>
      <c r="I5526" s="15" t="s">
        <v>1553</v>
      </c>
    </row>
    <row r="5527" spans="1:9" ht="51.75" customHeight="1" x14ac:dyDescent="0.35">
      <c r="A5527" s="15" t="s">
        <v>23602</v>
      </c>
      <c r="B5527" s="15" t="s">
        <v>36982</v>
      </c>
      <c r="C5527" s="15" t="s">
        <v>36983</v>
      </c>
      <c r="D5527" s="31">
        <v>42940</v>
      </c>
      <c r="E5527" s="15" t="s">
        <v>36984</v>
      </c>
      <c r="F5527" s="87" t="s">
        <v>21871</v>
      </c>
      <c r="G5527" s="45" t="s">
        <v>12674</v>
      </c>
      <c r="H5527" s="55" t="s">
        <v>12675</v>
      </c>
      <c r="I5527" s="15" t="s">
        <v>1553</v>
      </c>
    </row>
    <row r="5528" spans="1:9" ht="51.75" customHeight="1" x14ac:dyDescent="0.35">
      <c r="A5528" s="15" t="s">
        <v>23602</v>
      </c>
      <c r="B5528" s="15" t="s">
        <v>36985</v>
      </c>
      <c r="C5528" s="15" t="s">
        <v>36983</v>
      </c>
      <c r="D5528" s="31">
        <v>42940</v>
      </c>
      <c r="E5528" s="15" t="s">
        <v>36986</v>
      </c>
      <c r="F5528" s="87" t="s">
        <v>36618</v>
      </c>
      <c r="G5528" s="45" t="s">
        <v>12674</v>
      </c>
      <c r="H5528" s="55" t="s">
        <v>12675</v>
      </c>
      <c r="I5528" s="15" t="s">
        <v>1553</v>
      </c>
    </row>
    <row r="5529" spans="1:9" ht="51.75" customHeight="1" x14ac:dyDescent="0.35">
      <c r="A5529" s="15" t="s">
        <v>22758</v>
      </c>
      <c r="B5529" s="15" t="s">
        <v>36987</v>
      </c>
      <c r="C5529" s="15" t="s">
        <v>36988</v>
      </c>
      <c r="D5529" s="31">
        <v>43006</v>
      </c>
      <c r="E5529" s="15" t="s">
        <v>36989</v>
      </c>
      <c r="F5529" s="87" t="s">
        <v>36618</v>
      </c>
      <c r="G5529" s="45" t="s">
        <v>12790</v>
      </c>
      <c r="H5529" s="55" t="s">
        <v>12791</v>
      </c>
      <c r="I5529" s="15" t="s">
        <v>1553</v>
      </c>
    </row>
    <row r="5530" spans="1:9" ht="51.75" customHeight="1" x14ac:dyDescent="0.35">
      <c r="A5530" s="15" t="s">
        <v>22758</v>
      </c>
      <c r="B5530" s="15" t="s">
        <v>36990</v>
      </c>
      <c r="C5530" s="15" t="s">
        <v>36988</v>
      </c>
      <c r="D5530" s="31">
        <v>43006</v>
      </c>
      <c r="E5530" s="15" t="s">
        <v>36991</v>
      </c>
      <c r="F5530" s="87" t="s">
        <v>21871</v>
      </c>
      <c r="G5530" s="45" t="s">
        <v>12790</v>
      </c>
      <c r="H5530" s="55" t="s">
        <v>12791</v>
      </c>
      <c r="I5530" s="15" t="s">
        <v>1553</v>
      </c>
    </row>
    <row r="5531" spans="1:9" ht="51.75" customHeight="1" x14ac:dyDescent="0.35">
      <c r="A5531" s="15" t="s">
        <v>22774</v>
      </c>
      <c r="B5531" s="15" t="s">
        <v>36992</v>
      </c>
      <c r="C5531" s="15" t="s">
        <v>36993</v>
      </c>
      <c r="D5531" s="31">
        <v>43017</v>
      </c>
      <c r="E5531" s="15" t="s">
        <v>36994</v>
      </c>
      <c r="F5531" s="87" t="s">
        <v>36618</v>
      </c>
      <c r="G5531" s="45" t="s">
        <v>12868</v>
      </c>
      <c r="H5531" s="55" t="s">
        <v>12869</v>
      </c>
      <c r="I5531" s="15" t="s">
        <v>1553</v>
      </c>
    </row>
    <row r="5532" spans="1:9" ht="51.75" customHeight="1" x14ac:dyDescent="0.35">
      <c r="A5532" s="15" t="s">
        <v>22774</v>
      </c>
      <c r="B5532" s="15" t="s">
        <v>36995</v>
      </c>
      <c r="C5532" s="15" t="s">
        <v>36993</v>
      </c>
      <c r="D5532" s="31">
        <v>43017</v>
      </c>
      <c r="E5532" s="15" t="s">
        <v>36996</v>
      </c>
      <c r="F5532" s="87" t="s">
        <v>21871</v>
      </c>
      <c r="G5532" s="45" t="s">
        <v>12868</v>
      </c>
      <c r="H5532" s="55" t="s">
        <v>12869</v>
      </c>
      <c r="I5532" s="15" t="s">
        <v>1553</v>
      </c>
    </row>
    <row r="5533" spans="1:9" ht="51.75" customHeight="1" x14ac:dyDescent="0.35">
      <c r="A5533" s="15" t="s">
        <v>25027</v>
      </c>
      <c r="B5533" s="15" t="s">
        <v>36997</v>
      </c>
      <c r="C5533" s="15" t="s">
        <v>36998</v>
      </c>
      <c r="D5533" s="31">
        <v>43048</v>
      </c>
      <c r="E5533" s="15" t="s">
        <v>36999</v>
      </c>
      <c r="F5533" s="87" t="s">
        <v>36618</v>
      </c>
      <c r="G5533" s="45" t="s">
        <v>12959</v>
      </c>
      <c r="H5533" s="55" t="s">
        <v>12960</v>
      </c>
      <c r="I5533" s="15" t="s">
        <v>1553</v>
      </c>
    </row>
    <row r="5534" spans="1:9" ht="51.75" customHeight="1" x14ac:dyDescent="0.35">
      <c r="A5534" s="15" t="s">
        <v>25027</v>
      </c>
      <c r="B5534" s="15" t="s">
        <v>37000</v>
      </c>
      <c r="C5534" s="15" t="s">
        <v>36998</v>
      </c>
      <c r="D5534" s="31">
        <v>43048</v>
      </c>
      <c r="E5534" s="15" t="s">
        <v>37001</v>
      </c>
      <c r="F5534" s="87" t="s">
        <v>21871</v>
      </c>
      <c r="G5534" s="45" t="s">
        <v>12959</v>
      </c>
      <c r="H5534" s="55" t="s">
        <v>12960</v>
      </c>
      <c r="I5534" s="15" t="s">
        <v>1553</v>
      </c>
    </row>
    <row r="5535" spans="1:9" ht="51.75" customHeight="1" x14ac:dyDescent="0.35">
      <c r="A5535" s="15" t="s">
        <v>25099</v>
      </c>
      <c r="B5535" s="15" t="s">
        <v>37002</v>
      </c>
      <c r="C5535" s="15" t="s">
        <v>36998</v>
      </c>
      <c r="D5535" s="31">
        <v>43048</v>
      </c>
      <c r="E5535" s="15" t="s">
        <v>37003</v>
      </c>
      <c r="F5535" s="87" t="s">
        <v>36618</v>
      </c>
      <c r="G5535" s="45" t="s">
        <v>12959</v>
      </c>
      <c r="H5535" s="55" t="s">
        <v>12960</v>
      </c>
      <c r="I5535" s="15" t="s">
        <v>1553</v>
      </c>
    </row>
    <row r="5536" spans="1:9" ht="51.75" customHeight="1" x14ac:dyDescent="0.35">
      <c r="A5536" s="15" t="s">
        <v>25099</v>
      </c>
      <c r="B5536" s="15" t="s">
        <v>37004</v>
      </c>
      <c r="C5536" s="15" t="s">
        <v>36998</v>
      </c>
      <c r="D5536" s="31">
        <v>43048</v>
      </c>
      <c r="E5536" s="15" t="s">
        <v>37005</v>
      </c>
      <c r="F5536" s="87" t="s">
        <v>21871</v>
      </c>
      <c r="G5536" s="45" t="s">
        <v>12959</v>
      </c>
      <c r="H5536" s="55" t="s">
        <v>12960</v>
      </c>
      <c r="I5536" s="15" t="s">
        <v>1553</v>
      </c>
    </row>
    <row r="5537" spans="1:9" ht="51.75" customHeight="1" x14ac:dyDescent="0.35">
      <c r="A5537" s="15" t="s">
        <v>23289</v>
      </c>
      <c r="B5537" s="15" t="s">
        <v>37006</v>
      </c>
      <c r="C5537" s="15" t="s">
        <v>37007</v>
      </c>
      <c r="D5537" s="31">
        <v>43067</v>
      </c>
      <c r="E5537" s="15" t="s">
        <v>37008</v>
      </c>
      <c r="F5537" s="87" t="s">
        <v>36618</v>
      </c>
      <c r="G5537" s="45" t="s">
        <v>12990</v>
      </c>
      <c r="H5537" s="55" t="s">
        <v>12991</v>
      </c>
      <c r="I5537" s="15" t="s">
        <v>1553</v>
      </c>
    </row>
    <row r="5538" spans="1:9" ht="51.75" customHeight="1" x14ac:dyDescent="0.35">
      <c r="A5538" s="15" t="s">
        <v>23289</v>
      </c>
      <c r="B5538" s="15" t="s">
        <v>37009</v>
      </c>
      <c r="C5538" s="15" t="s">
        <v>37007</v>
      </c>
      <c r="D5538" s="31">
        <v>43067</v>
      </c>
      <c r="E5538" s="15" t="s">
        <v>37010</v>
      </c>
      <c r="F5538" s="87" t="s">
        <v>21871</v>
      </c>
      <c r="G5538" s="45" t="s">
        <v>12990</v>
      </c>
      <c r="H5538" s="55" t="s">
        <v>12991</v>
      </c>
      <c r="I5538" s="15" t="s">
        <v>1553</v>
      </c>
    </row>
    <row r="5539" spans="1:9" ht="51.75" customHeight="1" x14ac:dyDescent="0.35">
      <c r="A5539" s="15" t="s">
        <v>22015</v>
      </c>
      <c r="B5539" s="15" t="s">
        <v>37011</v>
      </c>
      <c r="C5539" s="15" t="s">
        <v>37012</v>
      </c>
      <c r="D5539" s="31">
        <v>43067</v>
      </c>
      <c r="E5539" s="15" t="s">
        <v>37013</v>
      </c>
      <c r="F5539" s="87" t="s">
        <v>36618</v>
      </c>
      <c r="G5539" s="45" t="s">
        <v>12990</v>
      </c>
      <c r="H5539" s="55" t="s">
        <v>12991</v>
      </c>
      <c r="I5539" s="15" t="s">
        <v>1553</v>
      </c>
    </row>
    <row r="5540" spans="1:9" ht="51.75" customHeight="1" x14ac:dyDescent="0.35">
      <c r="A5540" s="15" t="s">
        <v>22015</v>
      </c>
      <c r="B5540" s="15" t="s">
        <v>37014</v>
      </c>
      <c r="C5540" s="15" t="s">
        <v>37012</v>
      </c>
      <c r="D5540" s="31">
        <v>43067</v>
      </c>
      <c r="E5540" s="15" t="s">
        <v>37015</v>
      </c>
      <c r="F5540" s="87" t="s">
        <v>21871</v>
      </c>
      <c r="G5540" s="45" t="s">
        <v>12990</v>
      </c>
      <c r="H5540" s="55" t="s">
        <v>12991</v>
      </c>
      <c r="I5540" s="15" t="s">
        <v>1553</v>
      </c>
    </row>
    <row r="5541" spans="1:9" ht="51.75" customHeight="1" x14ac:dyDescent="0.35">
      <c r="A5541" s="15" t="s">
        <v>22213</v>
      </c>
      <c r="B5541" s="15" t="s">
        <v>37016</v>
      </c>
      <c r="C5541" s="15" t="s">
        <v>37017</v>
      </c>
      <c r="D5541" s="31">
        <v>43067</v>
      </c>
      <c r="E5541" s="15" t="s">
        <v>37018</v>
      </c>
      <c r="F5541" s="87" t="s">
        <v>36618</v>
      </c>
      <c r="G5541" s="45" t="s">
        <v>12990</v>
      </c>
      <c r="H5541" s="55" t="s">
        <v>12991</v>
      </c>
      <c r="I5541" s="15" t="s">
        <v>1553</v>
      </c>
    </row>
    <row r="5542" spans="1:9" ht="51.75" customHeight="1" x14ac:dyDescent="0.35">
      <c r="A5542" s="15" t="s">
        <v>22213</v>
      </c>
      <c r="B5542" s="15" t="s">
        <v>37019</v>
      </c>
      <c r="C5542" s="15" t="s">
        <v>37017</v>
      </c>
      <c r="D5542" s="31">
        <v>43067</v>
      </c>
      <c r="E5542" s="15" t="s">
        <v>37020</v>
      </c>
      <c r="F5542" s="87" t="s">
        <v>21871</v>
      </c>
      <c r="G5542" s="45" t="s">
        <v>12990</v>
      </c>
      <c r="H5542" s="55" t="s">
        <v>12991</v>
      </c>
      <c r="I5542" s="15" t="s">
        <v>1553</v>
      </c>
    </row>
    <row r="5543" spans="1:9" ht="51.75" customHeight="1" x14ac:dyDescent="0.35">
      <c r="A5543" s="15" t="s">
        <v>21883</v>
      </c>
      <c r="B5543" s="15" t="s">
        <v>37021</v>
      </c>
      <c r="C5543" s="15" t="s">
        <v>37022</v>
      </c>
      <c r="D5543" s="31">
        <v>43067</v>
      </c>
      <c r="E5543" s="15" t="s">
        <v>37023</v>
      </c>
      <c r="F5543" s="87" t="s">
        <v>36618</v>
      </c>
      <c r="G5543" s="45" t="s">
        <v>12990</v>
      </c>
      <c r="H5543" s="55" t="s">
        <v>12991</v>
      </c>
      <c r="I5543" s="15" t="s">
        <v>1553</v>
      </c>
    </row>
    <row r="5544" spans="1:9" ht="51.75" customHeight="1" x14ac:dyDescent="0.35">
      <c r="A5544" s="15" t="s">
        <v>21883</v>
      </c>
      <c r="B5544" s="15" t="s">
        <v>37024</v>
      </c>
      <c r="C5544" s="15" t="s">
        <v>37022</v>
      </c>
      <c r="D5544" s="31">
        <v>43067</v>
      </c>
      <c r="E5544" s="15" t="s">
        <v>37025</v>
      </c>
      <c r="F5544" s="87" t="s">
        <v>21871</v>
      </c>
      <c r="G5544" s="45" t="s">
        <v>12990</v>
      </c>
      <c r="H5544" s="55" t="s">
        <v>12991</v>
      </c>
      <c r="I5544" s="15" t="s">
        <v>1553</v>
      </c>
    </row>
    <row r="5545" spans="1:9" ht="51.75" customHeight="1" x14ac:dyDescent="0.35">
      <c r="A5545" s="15" t="s">
        <v>21963</v>
      </c>
      <c r="B5545" s="15" t="s">
        <v>37026</v>
      </c>
      <c r="C5545" s="15" t="s">
        <v>37027</v>
      </c>
      <c r="D5545" s="31">
        <v>43060</v>
      </c>
      <c r="E5545" s="15" t="s">
        <v>37028</v>
      </c>
      <c r="F5545" s="87" t="s">
        <v>36618</v>
      </c>
      <c r="G5545" s="45" t="s">
        <v>12996</v>
      </c>
      <c r="H5545" s="55" t="s">
        <v>12997</v>
      </c>
      <c r="I5545" s="15" t="s">
        <v>1553</v>
      </c>
    </row>
    <row r="5546" spans="1:9" ht="51.75" customHeight="1" x14ac:dyDescent="0.35">
      <c r="A5546" s="15" t="s">
        <v>21963</v>
      </c>
      <c r="B5546" s="15" t="s">
        <v>37029</v>
      </c>
      <c r="C5546" s="15" t="s">
        <v>37027</v>
      </c>
      <c r="D5546" s="31">
        <v>43060</v>
      </c>
      <c r="E5546" s="15" t="s">
        <v>37030</v>
      </c>
      <c r="F5546" s="87" t="s">
        <v>21871</v>
      </c>
      <c r="G5546" s="45" t="s">
        <v>12996</v>
      </c>
      <c r="H5546" s="55" t="s">
        <v>12997</v>
      </c>
      <c r="I5546" s="15" t="s">
        <v>1553</v>
      </c>
    </row>
    <row r="5547" spans="1:9" ht="51.75" customHeight="1" x14ac:dyDescent="0.35">
      <c r="A5547" s="15" t="s">
        <v>23264</v>
      </c>
      <c r="B5547" s="15" t="s">
        <v>37031</v>
      </c>
      <c r="C5547" s="15" t="s">
        <v>37032</v>
      </c>
      <c r="D5547" s="31">
        <v>43088</v>
      </c>
      <c r="E5547" s="15" t="s">
        <v>37033</v>
      </c>
      <c r="F5547" s="87" t="s">
        <v>36618</v>
      </c>
      <c r="G5547" s="45" t="s">
        <v>13080</v>
      </c>
      <c r="H5547" s="55" t="s">
        <v>13081</v>
      </c>
      <c r="I5547" s="15" t="s">
        <v>1553</v>
      </c>
    </row>
    <row r="5548" spans="1:9" ht="51.75" customHeight="1" x14ac:dyDescent="0.35">
      <c r="A5548" s="15" t="s">
        <v>23264</v>
      </c>
      <c r="B5548" s="15" t="s">
        <v>37034</v>
      </c>
      <c r="C5548" s="15" t="s">
        <v>37032</v>
      </c>
      <c r="D5548" s="31">
        <v>43088</v>
      </c>
      <c r="E5548" s="15" t="s">
        <v>37035</v>
      </c>
      <c r="F5548" s="87" t="s">
        <v>21871</v>
      </c>
      <c r="G5548" s="45" t="s">
        <v>13080</v>
      </c>
      <c r="H5548" s="55" t="s">
        <v>13081</v>
      </c>
      <c r="I5548" s="15" t="s">
        <v>1553</v>
      </c>
    </row>
    <row r="5549" spans="1:9" ht="51.75" customHeight="1" x14ac:dyDescent="0.35">
      <c r="A5549" s="15" t="s">
        <v>22952</v>
      </c>
      <c r="B5549" s="15" t="s">
        <v>37036</v>
      </c>
      <c r="C5549" s="15" t="s">
        <v>37032</v>
      </c>
      <c r="D5549" s="31">
        <v>43088</v>
      </c>
      <c r="E5549" s="15" t="s">
        <v>37037</v>
      </c>
      <c r="F5549" s="87" t="s">
        <v>36618</v>
      </c>
      <c r="G5549" s="45" t="s">
        <v>13080</v>
      </c>
      <c r="H5549" s="55" t="s">
        <v>13081</v>
      </c>
      <c r="I5549" s="15" t="s">
        <v>1553</v>
      </c>
    </row>
    <row r="5550" spans="1:9" ht="51.75" customHeight="1" x14ac:dyDescent="0.35">
      <c r="A5550" s="15" t="s">
        <v>22952</v>
      </c>
      <c r="B5550" s="15" t="s">
        <v>37038</v>
      </c>
      <c r="C5550" s="15" t="s">
        <v>37032</v>
      </c>
      <c r="D5550" s="31">
        <v>43088</v>
      </c>
      <c r="E5550" s="15" t="s">
        <v>37039</v>
      </c>
      <c r="F5550" s="87" t="s">
        <v>21871</v>
      </c>
      <c r="G5550" s="45" t="s">
        <v>13080</v>
      </c>
      <c r="H5550" s="55" t="s">
        <v>13081</v>
      </c>
      <c r="I5550" s="15" t="s">
        <v>1553</v>
      </c>
    </row>
    <row r="5551" spans="1:9" ht="51.75" customHeight="1" x14ac:dyDescent="0.35">
      <c r="A5551" s="15" t="s">
        <v>22035</v>
      </c>
      <c r="B5551" s="15" t="s">
        <v>37040</v>
      </c>
      <c r="C5551" s="15" t="s">
        <v>37041</v>
      </c>
      <c r="D5551" s="31">
        <v>43097</v>
      </c>
      <c r="E5551" s="15" t="s">
        <v>37042</v>
      </c>
      <c r="F5551" s="87" t="s">
        <v>36618</v>
      </c>
      <c r="G5551" s="45" t="s">
        <v>13086</v>
      </c>
      <c r="H5551" s="55" t="s">
        <v>13087</v>
      </c>
      <c r="I5551" s="15" t="s">
        <v>1553</v>
      </c>
    </row>
    <row r="5552" spans="1:9" ht="51.75" customHeight="1" x14ac:dyDescent="0.35">
      <c r="A5552" s="15" t="s">
        <v>22035</v>
      </c>
      <c r="B5552" s="15" t="s">
        <v>37043</v>
      </c>
      <c r="C5552" s="15" t="s">
        <v>37041</v>
      </c>
      <c r="D5552" s="31">
        <v>43097</v>
      </c>
      <c r="E5552" s="15" t="s">
        <v>37044</v>
      </c>
      <c r="F5552" s="87" t="s">
        <v>21871</v>
      </c>
      <c r="G5552" s="45" t="s">
        <v>13086</v>
      </c>
      <c r="H5552" s="55" t="s">
        <v>13087</v>
      </c>
      <c r="I5552" s="15" t="s">
        <v>1553</v>
      </c>
    </row>
    <row r="5553" spans="1:9" ht="51.75" customHeight="1" x14ac:dyDescent="0.35">
      <c r="A5553" s="15" t="s">
        <v>23197</v>
      </c>
      <c r="B5553" s="15" t="s">
        <v>37045</v>
      </c>
      <c r="C5553" s="15" t="s">
        <v>37046</v>
      </c>
      <c r="D5553" s="31">
        <v>43117</v>
      </c>
      <c r="E5553" s="15" t="s">
        <v>37047</v>
      </c>
      <c r="F5553" s="87" t="s">
        <v>36618</v>
      </c>
      <c r="G5553" s="45" t="s">
        <v>13237</v>
      </c>
      <c r="H5553" s="55" t="s">
        <v>13238</v>
      </c>
      <c r="I5553" s="15" t="s">
        <v>1553</v>
      </c>
    </row>
    <row r="5554" spans="1:9" ht="51.75" customHeight="1" x14ac:dyDescent="0.35">
      <c r="A5554" s="15" t="s">
        <v>23197</v>
      </c>
      <c r="B5554" s="15" t="s">
        <v>37048</v>
      </c>
      <c r="C5554" s="15" t="s">
        <v>37046</v>
      </c>
      <c r="D5554" s="31">
        <v>43117</v>
      </c>
      <c r="E5554" s="15" t="s">
        <v>37049</v>
      </c>
      <c r="F5554" s="87" t="s">
        <v>21871</v>
      </c>
      <c r="G5554" s="45" t="s">
        <v>13237</v>
      </c>
      <c r="H5554" s="55" t="s">
        <v>13238</v>
      </c>
      <c r="I5554" s="15" t="s">
        <v>1553</v>
      </c>
    </row>
    <row r="5555" spans="1:9" ht="51.75" customHeight="1" x14ac:dyDescent="0.35">
      <c r="A5555" s="15" t="s">
        <v>24629</v>
      </c>
      <c r="B5555" s="15" t="s">
        <v>37050</v>
      </c>
      <c r="C5555" s="15" t="s">
        <v>37051</v>
      </c>
      <c r="D5555" s="31">
        <v>43143</v>
      </c>
      <c r="E5555" s="15" t="s">
        <v>37052</v>
      </c>
      <c r="F5555" s="87" t="s">
        <v>21871</v>
      </c>
      <c r="G5555" s="45" t="s">
        <v>13280</v>
      </c>
      <c r="H5555" s="55" t="s">
        <v>13281</v>
      </c>
      <c r="I5555" s="15" t="s">
        <v>1553</v>
      </c>
    </row>
    <row r="5556" spans="1:9" ht="51.75" customHeight="1" x14ac:dyDescent="0.35">
      <c r="A5556" s="15" t="s">
        <v>24629</v>
      </c>
      <c r="B5556" s="15" t="s">
        <v>37053</v>
      </c>
      <c r="C5556" s="15" t="s">
        <v>37051</v>
      </c>
      <c r="D5556" s="31">
        <v>43143</v>
      </c>
      <c r="E5556" s="15" t="s">
        <v>37054</v>
      </c>
      <c r="F5556" s="87" t="s">
        <v>36618</v>
      </c>
      <c r="G5556" s="45" t="s">
        <v>13280</v>
      </c>
      <c r="H5556" s="55" t="s">
        <v>13281</v>
      </c>
      <c r="I5556" s="15" t="s">
        <v>1553</v>
      </c>
    </row>
    <row r="5557" spans="1:9" ht="51.75" customHeight="1" x14ac:dyDescent="0.35">
      <c r="A5557" s="15" t="s">
        <v>26594</v>
      </c>
      <c r="B5557" s="15" t="s">
        <v>37055</v>
      </c>
      <c r="C5557" s="15" t="s">
        <v>37056</v>
      </c>
      <c r="D5557" s="31">
        <v>43143</v>
      </c>
      <c r="E5557" s="15" t="s">
        <v>37057</v>
      </c>
      <c r="F5557" s="87" t="s">
        <v>21871</v>
      </c>
      <c r="G5557" s="45" t="s">
        <v>13280</v>
      </c>
      <c r="H5557" s="55" t="s">
        <v>13281</v>
      </c>
      <c r="I5557" s="15" t="s">
        <v>1553</v>
      </c>
    </row>
    <row r="5558" spans="1:9" ht="51.75" customHeight="1" x14ac:dyDescent="0.35">
      <c r="A5558" s="15" t="s">
        <v>26594</v>
      </c>
      <c r="B5558" s="15" t="s">
        <v>37058</v>
      </c>
      <c r="C5558" s="15" t="s">
        <v>37056</v>
      </c>
      <c r="D5558" s="31">
        <v>43143</v>
      </c>
      <c r="E5558" s="15" t="s">
        <v>37059</v>
      </c>
      <c r="F5558" s="87" t="s">
        <v>36618</v>
      </c>
      <c r="G5558" s="45" t="s">
        <v>13280</v>
      </c>
      <c r="H5558" s="55" t="s">
        <v>13281</v>
      </c>
      <c r="I5558" s="15" t="s">
        <v>1553</v>
      </c>
    </row>
    <row r="5559" spans="1:9" ht="51.75" customHeight="1" x14ac:dyDescent="0.35">
      <c r="A5559" s="15" t="s">
        <v>26436</v>
      </c>
      <c r="B5559" s="15" t="s">
        <v>37060</v>
      </c>
      <c r="C5559" s="15" t="s">
        <v>37061</v>
      </c>
      <c r="D5559" s="31">
        <v>43172</v>
      </c>
      <c r="E5559" s="15" t="s">
        <v>37062</v>
      </c>
      <c r="F5559" s="87" t="s">
        <v>36618</v>
      </c>
      <c r="G5559" s="45" t="s">
        <v>13379</v>
      </c>
      <c r="H5559" s="55" t="s">
        <v>13380</v>
      </c>
      <c r="I5559" s="15" t="s">
        <v>1553</v>
      </c>
    </row>
    <row r="5560" spans="1:9" ht="51.75" customHeight="1" x14ac:dyDescent="0.35">
      <c r="A5560" s="15" t="s">
        <v>26436</v>
      </c>
      <c r="B5560" s="15" t="s">
        <v>37063</v>
      </c>
      <c r="C5560" s="15" t="s">
        <v>37061</v>
      </c>
      <c r="D5560" s="31">
        <v>43172</v>
      </c>
      <c r="E5560" s="15" t="s">
        <v>37064</v>
      </c>
      <c r="F5560" s="87" t="s">
        <v>21871</v>
      </c>
      <c r="G5560" s="45" t="s">
        <v>13379</v>
      </c>
      <c r="H5560" s="55" t="s">
        <v>13380</v>
      </c>
      <c r="I5560" s="15" t="s">
        <v>1553</v>
      </c>
    </row>
    <row r="5561" spans="1:9" ht="51.75" customHeight="1" x14ac:dyDescent="0.35">
      <c r="A5561" s="15" t="s">
        <v>24515</v>
      </c>
      <c r="B5561" s="15" t="s">
        <v>37065</v>
      </c>
      <c r="C5561" s="15" t="s">
        <v>37066</v>
      </c>
      <c r="D5561" s="31" t="s">
        <v>50</v>
      </c>
      <c r="E5561" s="15" t="s">
        <v>37067</v>
      </c>
      <c r="F5561" s="87" t="s">
        <v>36618</v>
      </c>
      <c r="G5561" s="45" t="s">
        <v>13446</v>
      </c>
      <c r="H5561" s="55" t="s">
        <v>13447</v>
      </c>
      <c r="I5561" s="15" t="s">
        <v>1553</v>
      </c>
    </row>
    <row r="5562" spans="1:9" ht="51.75" customHeight="1" x14ac:dyDescent="0.35">
      <c r="A5562" s="15" t="s">
        <v>24515</v>
      </c>
      <c r="B5562" s="15" t="s">
        <v>37068</v>
      </c>
      <c r="C5562" s="15" t="s">
        <v>37066</v>
      </c>
      <c r="D5562" s="31" t="s">
        <v>50</v>
      </c>
      <c r="E5562" s="15" t="s">
        <v>37069</v>
      </c>
      <c r="F5562" s="87" t="s">
        <v>21871</v>
      </c>
      <c r="G5562" s="45" t="s">
        <v>13446</v>
      </c>
      <c r="H5562" s="55" t="s">
        <v>13447</v>
      </c>
      <c r="I5562" s="15" t="s">
        <v>1553</v>
      </c>
    </row>
    <row r="5563" spans="1:9" ht="51.75" customHeight="1" x14ac:dyDescent="0.35">
      <c r="A5563" s="15" t="s">
        <v>24536</v>
      </c>
      <c r="B5563" s="15" t="s">
        <v>37070</v>
      </c>
      <c r="C5563" s="15" t="s">
        <v>37071</v>
      </c>
      <c r="D5563" s="31">
        <v>43082</v>
      </c>
      <c r="E5563" s="15" t="s">
        <v>37072</v>
      </c>
      <c r="F5563" s="87" t="s">
        <v>36618</v>
      </c>
      <c r="G5563" s="45" t="s">
        <v>13446</v>
      </c>
      <c r="H5563" s="55" t="s">
        <v>13447</v>
      </c>
      <c r="I5563" s="15" t="s">
        <v>1553</v>
      </c>
    </row>
    <row r="5564" spans="1:9" ht="51.75" customHeight="1" x14ac:dyDescent="0.35">
      <c r="A5564" s="15" t="s">
        <v>24536</v>
      </c>
      <c r="B5564" s="15" t="s">
        <v>37073</v>
      </c>
      <c r="C5564" s="15" t="s">
        <v>37071</v>
      </c>
      <c r="D5564" s="31">
        <v>43082</v>
      </c>
      <c r="E5564" s="15" t="s">
        <v>37074</v>
      </c>
      <c r="F5564" s="87" t="s">
        <v>21871</v>
      </c>
      <c r="G5564" s="45" t="s">
        <v>13446</v>
      </c>
      <c r="H5564" s="55" t="s">
        <v>13447</v>
      </c>
      <c r="I5564" s="15" t="s">
        <v>1553</v>
      </c>
    </row>
    <row r="5565" spans="1:9" ht="51.75" customHeight="1" x14ac:dyDescent="0.35">
      <c r="A5565" s="15" t="s">
        <v>28043</v>
      </c>
      <c r="B5565" s="15" t="s">
        <v>37075</v>
      </c>
      <c r="C5565" s="15" t="s">
        <v>37076</v>
      </c>
      <c r="D5565" s="31">
        <v>43193</v>
      </c>
      <c r="E5565" s="15" t="s">
        <v>37077</v>
      </c>
      <c r="F5565" s="87" t="s">
        <v>21871</v>
      </c>
      <c r="G5565" s="45" t="s">
        <v>13516</v>
      </c>
      <c r="H5565" s="55" t="s">
        <v>13517</v>
      </c>
      <c r="I5565" s="15" t="s">
        <v>1553</v>
      </c>
    </row>
    <row r="5566" spans="1:9" ht="51.75" customHeight="1" x14ac:dyDescent="0.35">
      <c r="A5566" s="15" t="s">
        <v>28043</v>
      </c>
      <c r="B5566" s="15" t="s">
        <v>37078</v>
      </c>
      <c r="C5566" s="15" t="s">
        <v>37076</v>
      </c>
      <c r="D5566" s="31">
        <v>43193</v>
      </c>
      <c r="E5566" s="15" t="s">
        <v>37079</v>
      </c>
      <c r="F5566" s="87" t="s">
        <v>36618</v>
      </c>
      <c r="G5566" s="45" t="s">
        <v>13516</v>
      </c>
      <c r="H5566" s="55" t="s">
        <v>13517</v>
      </c>
      <c r="I5566" s="15" t="s">
        <v>1553</v>
      </c>
    </row>
    <row r="5567" spans="1:9" ht="51.75" customHeight="1" x14ac:dyDescent="0.35">
      <c r="A5567" s="15" t="s">
        <v>24714</v>
      </c>
      <c r="B5567" s="15" t="s">
        <v>37080</v>
      </c>
      <c r="C5567" s="15" t="s">
        <v>37081</v>
      </c>
      <c r="D5567" s="31">
        <v>43202</v>
      </c>
      <c r="E5567" s="15" t="s">
        <v>37082</v>
      </c>
      <c r="F5567" s="87" t="s">
        <v>36618</v>
      </c>
      <c r="G5567" s="45" t="s">
        <v>13538</v>
      </c>
      <c r="H5567" s="55" t="s">
        <v>13539</v>
      </c>
      <c r="I5567" s="15" t="s">
        <v>1553</v>
      </c>
    </row>
    <row r="5568" spans="1:9" ht="51.75" customHeight="1" x14ac:dyDescent="0.35">
      <c r="A5568" s="15" t="s">
        <v>24714</v>
      </c>
      <c r="B5568" s="15" t="s">
        <v>37083</v>
      </c>
      <c r="C5568" s="15" t="s">
        <v>37081</v>
      </c>
      <c r="D5568" s="31">
        <v>43202</v>
      </c>
      <c r="E5568" s="15" t="s">
        <v>37084</v>
      </c>
      <c r="F5568" s="87" t="s">
        <v>21871</v>
      </c>
      <c r="G5568" s="45" t="s">
        <v>13538</v>
      </c>
      <c r="H5568" s="55" t="s">
        <v>13539</v>
      </c>
      <c r="I5568" s="15" t="s">
        <v>1553</v>
      </c>
    </row>
    <row r="5569" spans="1:9" ht="51.75" customHeight="1" x14ac:dyDescent="0.35">
      <c r="A5569" s="15" t="s">
        <v>23902</v>
      </c>
      <c r="B5569" s="15" t="s">
        <v>37085</v>
      </c>
      <c r="C5569" s="15" t="s">
        <v>37086</v>
      </c>
      <c r="D5569" s="31">
        <v>43202</v>
      </c>
      <c r="E5569" s="15" t="s">
        <v>37087</v>
      </c>
      <c r="F5569" s="87" t="s">
        <v>36618</v>
      </c>
      <c r="G5569" s="45" t="s">
        <v>13538</v>
      </c>
      <c r="H5569" s="55" t="s">
        <v>13539</v>
      </c>
      <c r="I5569" s="15" t="s">
        <v>1553</v>
      </c>
    </row>
    <row r="5570" spans="1:9" ht="51.75" customHeight="1" x14ac:dyDescent="0.35">
      <c r="A5570" s="15" t="s">
        <v>23902</v>
      </c>
      <c r="B5570" s="15" t="s">
        <v>37088</v>
      </c>
      <c r="C5570" s="15" t="s">
        <v>37086</v>
      </c>
      <c r="D5570" s="31">
        <v>43202</v>
      </c>
      <c r="E5570" s="15" t="s">
        <v>37089</v>
      </c>
      <c r="F5570" s="87" t="s">
        <v>21871</v>
      </c>
      <c r="G5570" s="45" t="s">
        <v>13538</v>
      </c>
      <c r="H5570" s="55" t="s">
        <v>13539</v>
      </c>
      <c r="I5570" s="15" t="s">
        <v>1553</v>
      </c>
    </row>
    <row r="5571" spans="1:9" ht="51.75" customHeight="1" x14ac:dyDescent="0.35">
      <c r="A5571" s="15" t="s">
        <v>37090</v>
      </c>
      <c r="B5571" s="15" t="s">
        <v>37091</v>
      </c>
      <c r="C5571" s="15" t="s">
        <v>37081</v>
      </c>
      <c r="D5571" s="31">
        <v>43202</v>
      </c>
      <c r="E5571" s="15" t="s">
        <v>37092</v>
      </c>
      <c r="F5571" s="87" t="s">
        <v>36618</v>
      </c>
      <c r="G5571" s="45" t="s">
        <v>13538</v>
      </c>
      <c r="H5571" s="55" t="s">
        <v>13539</v>
      </c>
      <c r="I5571" s="15" t="s">
        <v>1553</v>
      </c>
    </row>
    <row r="5572" spans="1:9" ht="51.75" customHeight="1" x14ac:dyDescent="0.35">
      <c r="A5572" s="15" t="s">
        <v>37090</v>
      </c>
      <c r="B5572" s="15" t="s">
        <v>37093</v>
      </c>
      <c r="C5572" s="15" t="s">
        <v>37081</v>
      </c>
      <c r="D5572" s="31">
        <v>43202</v>
      </c>
      <c r="E5572" s="15" t="s">
        <v>37094</v>
      </c>
      <c r="F5572" s="87" t="s">
        <v>21871</v>
      </c>
      <c r="G5572" s="45" t="s">
        <v>13538</v>
      </c>
      <c r="H5572" s="55" t="s">
        <v>13539</v>
      </c>
      <c r="I5572" s="15" t="s">
        <v>1553</v>
      </c>
    </row>
    <row r="5573" spans="1:9" ht="51.75" customHeight="1" x14ac:dyDescent="0.35">
      <c r="A5573" s="15" t="s">
        <v>23836</v>
      </c>
      <c r="B5573" s="15" t="s">
        <v>37095</v>
      </c>
      <c r="C5573" s="15" t="s">
        <v>37086</v>
      </c>
      <c r="D5573" s="31">
        <v>43202</v>
      </c>
      <c r="E5573" s="15" t="s">
        <v>37096</v>
      </c>
      <c r="F5573" s="87" t="s">
        <v>36618</v>
      </c>
      <c r="G5573" s="45" t="s">
        <v>13538</v>
      </c>
      <c r="H5573" s="55" t="s">
        <v>13539</v>
      </c>
      <c r="I5573" s="15" t="s">
        <v>1553</v>
      </c>
    </row>
    <row r="5574" spans="1:9" ht="51.75" customHeight="1" x14ac:dyDescent="0.35">
      <c r="A5574" s="15" t="s">
        <v>23836</v>
      </c>
      <c r="B5574" s="15" t="s">
        <v>37097</v>
      </c>
      <c r="C5574" s="15" t="s">
        <v>37086</v>
      </c>
      <c r="D5574" s="31">
        <v>43202</v>
      </c>
      <c r="E5574" s="15" t="s">
        <v>37098</v>
      </c>
      <c r="F5574" s="87" t="s">
        <v>21871</v>
      </c>
      <c r="G5574" s="45" t="s">
        <v>13538</v>
      </c>
      <c r="H5574" s="55" t="s">
        <v>13539</v>
      </c>
      <c r="I5574" s="15" t="s">
        <v>1553</v>
      </c>
    </row>
    <row r="5575" spans="1:9" ht="51.75" customHeight="1" x14ac:dyDescent="0.35">
      <c r="A5575" s="15" t="s">
        <v>25663</v>
      </c>
      <c r="B5575" s="15" t="s">
        <v>37099</v>
      </c>
      <c r="C5575" s="15" t="s">
        <v>37100</v>
      </c>
      <c r="D5575" s="31">
        <v>43236</v>
      </c>
      <c r="E5575" s="15" t="s">
        <v>37101</v>
      </c>
      <c r="F5575" s="87" t="s">
        <v>36618</v>
      </c>
      <c r="G5575" s="45" t="s">
        <v>13631</v>
      </c>
      <c r="H5575" s="55" t="s">
        <v>13632</v>
      </c>
      <c r="I5575" s="15" t="s">
        <v>1553</v>
      </c>
    </row>
    <row r="5576" spans="1:9" ht="51.75" customHeight="1" x14ac:dyDescent="0.35">
      <c r="A5576" s="15" t="s">
        <v>25663</v>
      </c>
      <c r="B5576" s="15" t="s">
        <v>37102</v>
      </c>
      <c r="C5576" s="15" t="s">
        <v>37100</v>
      </c>
      <c r="D5576" s="31">
        <v>43236</v>
      </c>
      <c r="E5576" s="15" t="s">
        <v>37103</v>
      </c>
      <c r="F5576" s="87" t="s">
        <v>21871</v>
      </c>
      <c r="G5576" s="45" t="s">
        <v>13631</v>
      </c>
      <c r="H5576" s="55" t="s">
        <v>13632</v>
      </c>
      <c r="I5576" s="15" t="s">
        <v>1553</v>
      </c>
    </row>
    <row r="5577" spans="1:9" ht="51.75" customHeight="1" x14ac:dyDescent="0.35">
      <c r="A5577" s="15" t="s">
        <v>25027</v>
      </c>
      <c r="B5577" s="15" t="s">
        <v>37104</v>
      </c>
      <c r="C5577" s="15" t="s">
        <v>37100</v>
      </c>
      <c r="D5577" s="31">
        <v>43236</v>
      </c>
      <c r="E5577" s="15" t="s">
        <v>37105</v>
      </c>
      <c r="F5577" s="87" t="s">
        <v>36618</v>
      </c>
      <c r="G5577" s="45" t="s">
        <v>13631</v>
      </c>
      <c r="H5577" s="55" t="s">
        <v>13632</v>
      </c>
      <c r="I5577" s="15" t="s">
        <v>1553</v>
      </c>
    </row>
    <row r="5578" spans="1:9" ht="51.75" customHeight="1" x14ac:dyDescent="0.35">
      <c r="A5578" s="15" t="s">
        <v>25027</v>
      </c>
      <c r="B5578" s="15" t="s">
        <v>37106</v>
      </c>
      <c r="C5578" s="15" t="s">
        <v>37100</v>
      </c>
      <c r="D5578" s="31">
        <v>43236</v>
      </c>
      <c r="E5578" s="15" t="s">
        <v>37107</v>
      </c>
      <c r="F5578" s="87" t="s">
        <v>21871</v>
      </c>
      <c r="G5578" s="45" t="s">
        <v>13631</v>
      </c>
      <c r="H5578" s="55" t="s">
        <v>13632</v>
      </c>
      <c r="I5578" s="15" t="s">
        <v>1553</v>
      </c>
    </row>
    <row r="5579" spans="1:9" ht="51.75" customHeight="1" x14ac:dyDescent="0.35">
      <c r="A5579" s="15" t="s">
        <v>22570</v>
      </c>
      <c r="B5579" s="15" t="s">
        <v>37108</v>
      </c>
      <c r="C5579" s="15" t="s">
        <v>37109</v>
      </c>
      <c r="D5579" s="31">
        <v>43235</v>
      </c>
      <c r="E5579" s="15" t="s">
        <v>37110</v>
      </c>
      <c r="F5579" s="87" t="s">
        <v>36618</v>
      </c>
      <c r="G5579" s="45" t="s">
        <v>13654</v>
      </c>
      <c r="H5579" s="55" t="s">
        <v>13655</v>
      </c>
      <c r="I5579" s="15" t="s">
        <v>1553</v>
      </c>
    </row>
    <row r="5580" spans="1:9" ht="51.75" customHeight="1" x14ac:dyDescent="0.35">
      <c r="A5580" s="15" t="s">
        <v>22570</v>
      </c>
      <c r="B5580" s="15" t="s">
        <v>37111</v>
      </c>
      <c r="C5580" s="15" t="s">
        <v>37109</v>
      </c>
      <c r="D5580" s="31">
        <v>43235</v>
      </c>
      <c r="E5580" s="15" t="s">
        <v>37112</v>
      </c>
      <c r="F5580" s="87" t="s">
        <v>21871</v>
      </c>
      <c r="G5580" s="45" t="s">
        <v>13654</v>
      </c>
      <c r="H5580" s="55" t="s">
        <v>13655</v>
      </c>
      <c r="I5580" s="15" t="s">
        <v>1553</v>
      </c>
    </row>
    <row r="5581" spans="1:9" ht="51.75" customHeight="1" x14ac:dyDescent="0.35">
      <c r="A5581" s="15" t="s">
        <v>22578</v>
      </c>
      <c r="B5581" s="15" t="s">
        <v>37113</v>
      </c>
      <c r="C5581" s="15" t="s">
        <v>37114</v>
      </c>
      <c r="D5581" s="31">
        <v>43235</v>
      </c>
      <c r="E5581" s="15" t="s">
        <v>37115</v>
      </c>
      <c r="F5581" s="87" t="s">
        <v>36618</v>
      </c>
      <c r="G5581" s="45" t="s">
        <v>13654</v>
      </c>
      <c r="H5581" s="55" t="s">
        <v>13655</v>
      </c>
      <c r="I5581" s="15" t="s">
        <v>1553</v>
      </c>
    </row>
    <row r="5582" spans="1:9" ht="51.75" customHeight="1" x14ac:dyDescent="0.35">
      <c r="A5582" s="15" t="s">
        <v>22578</v>
      </c>
      <c r="B5582" s="15" t="s">
        <v>37116</v>
      </c>
      <c r="C5582" s="15" t="s">
        <v>37114</v>
      </c>
      <c r="D5582" s="31">
        <v>43235</v>
      </c>
      <c r="E5582" s="15" t="s">
        <v>37117</v>
      </c>
      <c r="F5582" s="87" t="s">
        <v>21871</v>
      </c>
      <c r="G5582" s="45" t="s">
        <v>13654</v>
      </c>
      <c r="H5582" s="55" t="s">
        <v>13655</v>
      </c>
      <c r="I5582" s="15" t="s">
        <v>1553</v>
      </c>
    </row>
    <row r="5583" spans="1:9" ht="51.75" customHeight="1" x14ac:dyDescent="0.35">
      <c r="A5583" s="15" t="s">
        <v>25435</v>
      </c>
      <c r="B5583" s="15" t="s">
        <v>37118</v>
      </c>
      <c r="C5583" s="15" t="s">
        <v>37119</v>
      </c>
      <c r="D5583" s="31">
        <v>43257</v>
      </c>
      <c r="E5583" s="15" t="s">
        <v>37120</v>
      </c>
      <c r="F5583" s="87" t="s">
        <v>36618</v>
      </c>
      <c r="G5583" s="45" t="s">
        <v>13688</v>
      </c>
      <c r="H5583" s="55" t="s">
        <v>13689</v>
      </c>
      <c r="I5583" s="15" t="s">
        <v>1553</v>
      </c>
    </row>
    <row r="5584" spans="1:9" ht="51.75" customHeight="1" x14ac:dyDescent="0.35">
      <c r="A5584" s="15" t="s">
        <v>25435</v>
      </c>
      <c r="B5584" s="15" t="s">
        <v>37121</v>
      </c>
      <c r="C5584" s="15" t="s">
        <v>37119</v>
      </c>
      <c r="D5584" s="31">
        <v>43257</v>
      </c>
      <c r="E5584" s="15" t="s">
        <v>37122</v>
      </c>
      <c r="F5584" s="87" t="s">
        <v>21871</v>
      </c>
      <c r="G5584" s="45" t="s">
        <v>13688</v>
      </c>
      <c r="H5584" s="55" t="s">
        <v>13689</v>
      </c>
      <c r="I5584" s="15" t="s">
        <v>1553</v>
      </c>
    </row>
    <row r="5585" spans="1:9" ht="51.75" customHeight="1" x14ac:dyDescent="0.35">
      <c r="A5585" s="15" t="s">
        <v>25442</v>
      </c>
      <c r="B5585" s="15" t="s">
        <v>37123</v>
      </c>
      <c r="C5585" s="15" t="s">
        <v>37124</v>
      </c>
      <c r="D5585" s="31">
        <v>43257</v>
      </c>
      <c r="E5585" s="15" t="s">
        <v>37125</v>
      </c>
      <c r="F5585" s="87" t="s">
        <v>36618</v>
      </c>
      <c r="G5585" s="45" t="s">
        <v>13698</v>
      </c>
      <c r="H5585" s="55" t="s">
        <v>13699</v>
      </c>
      <c r="I5585" s="15" t="s">
        <v>1553</v>
      </c>
    </row>
    <row r="5586" spans="1:9" ht="51.75" customHeight="1" x14ac:dyDescent="0.35">
      <c r="A5586" s="15" t="s">
        <v>25442</v>
      </c>
      <c r="B5586" s="15" t="s">
        <v>37126</v>
      </c>
      <c r="C5586" s="15" t="s">
        <v>37124</v>
      </c>
      <c r="D5586" s="31">
        <v>43257</v>
      </c>
      <c r="E5586" s="15" t="s">
        <v>37127</v>
      </c>
      <c r="F5586" s="87" t="s">
        <v>21871</v>
      </c>
      <c r="G5586" s="45" t="s">
        <v>13698</v>
      </c>
      <c r="H5586" s="55" t="s">
        <v>13699</v>
      </c>
      <c r="I5586" s="15" t="s">
        <v>1553</v>
      </c>
    </row>
    <row r="5587" spans="1:9" ht="51.75" customHeight="1" x14ac:dyDescent="0.35">
      <c r="A5587" s="15" t="s">
        <v>25004</v>
      </c>
      <c r="B5587" s="15" t="s">
        <v>37128</v>
      </c>
      <c r="C5587" s="15" t="s">
        <v>37129</v>
      </c>
      <c r="D5587" s="31">
        <v>43292</v>
      </c>
      <c r="E5587" s="15" t="s">
        <v>37130</v>
      </c>
      <c r="F5587" s="87" t="s">
        <v>36618</v>
      </c>
      <c r="G5587" s="45" t="s">
        <v>13816</v>
      </c>
      <c r="H5587" s="55" t="s">
        <v>13817</v>
      </c>
      <c r="I5587" s="15" t="s">
        <v>1553</v>
      </c>
    </row>
    <row r="5588" spans="1:9" ht="51.75" customHeight="1" x14ac:dyDescent="0.35">
      <c r="A5588" s="15" t="s">
        <v>25004</v>
      </c>
      <c r="B5588" s="15" t="s">
        <v>37131</v>
      </c>
      <c r="C5588" s="15" t="s">
        <v>37129</v>
      </c>
      <c r="D5588" s="31">
        <v>43292</v>
      </c>
      <c r="E5588" s="15" t="s">
        <v>37132</v>
      </c>
      <c r="F5588" s="87" t="s">
        <v>21871</v>
      </c>
      <c r="G5588" s="45" t="s">
        <v>13816</v>
      </c>
      <c r="H5588" s="55" t="s">
        <v>13817</v>
      </c>
      <c r="I5588" s="15" t="s">
        <v>1553</v>
      </c>
    </row>
    <row r="5589" spans="1:9" ht="51.75" customHeight="1" x14ac:dyDescent="0.35">
      <c r="A5589" s="15" t="s">
        <v>37133</v>
      </c>
      <c r="B5589" s="15" t="s">
        <v>37134</v>
      </c>
      <c r="C5589" s="15" t="s">
        <v>37135</v>
      </c>
      <c r="D5589" s="31">
        <v>43335</v>
      </c>
      <c r="E5589" s="15" t="s">
        <v>37136</v>
      </c>
      <c r="F5589" s="87" t="s">
        <v>36618</v>
      </c>
      <c r="G5589" s="45" t="s">
        <v>14031</v>
      </c>
      <c r="H5589" s="55" t="s">
        <v>14032</v>
      </c>
      <c r="I5589" s="15" t="s">
        <v>1553</v>
      </c>
    </row>
    <row r="5590" spans="1:9" ht="51.75" customHeight="1" x14ac:dyDescent="0.35">
      <c r="A5590" s="15" t="s">
        <v>37133</v>
      </c>
      <c r="B5590" s="15" t="s">
        <v>37137</v>
      </c>
      <c r="C5590" s="15" t="s">
        <v>37135</v>
      </c>
      <c r="D5590" s="31">
        <v>43335</v>
      </c>
      <c r="E5590" s="15" t="s">
        <v>37138</v>
      </c>
      <c r="F5590" s="87" t="s">
        <v>21871</v>
      </c>
      <c r="G5590" s="45" t="s">
        <v>14031</v>
      </c>
      <c r="H5590" s="55" t="s">
        <v>14032</v>
      </c>
      <c r="I5590" s="15" t="s">
        <v>1553</v>
      </c>
    </row>
    <row r="5591" spans="1:9" ht="51.75" customHeight="1" x14ac:dyDescent="0.35">
      <c r="A5591" s="15" t="s">
        <v>36212</v>
      </c>
      <c r="B5591" s="15" t="s">
        <v>37139</v>
      </c>
      <c r="C5591" s="15" t="s">
        <v>37140</v>
      </c>
      <c r="D5591" s="31">
        <v>43355</v>
      </c>
      <c r="E5591" s="15" t="s">
        <v>37141</v>
      </c>
      <c r="F5591" s="87" t="s">
        <v>36618</v>
      </c>
      <c r="G5591" s="45" t="s">
        <v>14079</v>
      </c>
      <c r="H5591" s="55" t="s">
        <v>14080</v>
      </c>
      <c r="I5591" s="15" t="s">
        <v>1553</v>
      </c>
    </row>
    <row r="5592" spans="1:9" ht="51.75" customHeight="1" x14ac:dyDescent="0.35">
      <c r="A5592" s="15" t="s">
        <v>36212</v>
      </c>
      <c r="B5592" s="15" t="s">
        <v>37142</v>
      </c>
      <c r="C5592" s="15" t="s">
        <v>37140</v>
      </c>
      <c r="D5592" s="31">
        <v>43355</v>
      </c>
      <c r="E5592" s="15" t="s">
        <v>37143</v>
      </c>
      <c r="F5592" s="87" t="s">
        <v>21871</v>
      </c>
      <c r="G5592" s="45" t="s">
        <v>14079</v>
      </c>
      <c r="H5592" s="55" t="s">
        <v>14080</v>
      </c>
      <c r="I5592" s="15" t="s">
        <v>1553</v>
      </c>
    </row>
    <row r="5593" spans="1:9" ht="51.75" customHeight="1" x14ac:dyDescent="0.35">
      <c r="A5593" s="15" t="s">
        <v>23000</v>
      </c>
      <c r="B5593" s="15" t="s">
        <v>37144</v>
      </c>
      <c r="C5593" s="15" t="s">
        <v>37145</v>
      </c>
      <c r="D5593" s="31">
        <v>43357</v>
      </c>
      <c r="E5593" s="15" t="s">
        <v>37146</v>
      </c>
      <c r="F5593" s="87" t="s">
        <v>36618</v>
      </c>
      <c r="G5593" s="45" t="s">
        <v>14108</v>
      </c>
      <c r="H5593" s="55" t="s">
        <v>14109</v>
      </c>
      <c r="I5593" s="15" t="s">
        <v>1553</v>
      </c>
    </row>
    <row r="5594" spans="1:9" ht="51.75" customHeight="1" x14ac:dyDescent="0.35">
      <c r="A5594" s="15" t="s">
        <v>23000</v>
      </c>
      <c r="B5594" s="15" t="s">
        <v>37147</v>
      </c>
      <c r="C5594" s="15" t="s">
        <v>37145</v>
      </c>
      <c r="D5594" s="31">
        <v>43357</v>
      </c>
      <c r="E5594" s="15" t="s">
        <v>37148</v>
      </c>
      <c r="F5594" s="87" t="s">
        <v>21871</v>
      </c>
      <c r="G5594" s="45" t="s">
        <v>14108</v>
      </c>
      <c r="H5594" s="55" t="s">
        <v>14109</v>
      </c>
      <c r="I5594" s="15" t="s">
        <v>1553</v>
      </c>
    </row>
    <row r="5595" spans="1:9" ht="51.75" customHeight="1" x14ac:dyDescent="0.35">
      <c r="A5595" s="15" t="s">
        <v>23004</v>
      </c>
      <c r="B5595" s="15" t="s">
        <v>37149</v>
      </c>
      <c r="C5595" s="15" t="s">
        <v>37150</v>
      </c>
      <c r="D5595" s="31">
        <v>43357</v>
      </c>
      <c r="E5595" s="15" t="s">
        <v>37151</v>
      </c>
      <c r="F5595" s="87" t="s">
        <v>36618</v>
      </c>
      <c r="G5595" s="45" t="s">
        <v>14108</v>
      </c>
      <c r="H5595" s="55" t="s">
        <v>14109</v>
      </c>
      <c r="I5595" s="15" t="s">
        <v>1553</v>
      </c>
    </row>
    <row r="5596" spans="1:9" ht="51.75" customHeight="1" x14ac:dyDescent="0.35">
      <c r="A5596" s="15" t="s">
        <v>23004</v>
      </c>
      <c r="B5596" s="15" t="s">
        <v>37152</v>
      </c>
      <c r="C5596" s="15" t="s">
        <v>37150</v>
      </c>
      <c r="D5596" s="31">
        <v>43357</v>
      </c>
      <c r="E5596" s="15" t="s">
        <v>37153</v>
      </c>
      <c r="F5596" s="87" t="s">
        <v>21871</v>
      </c>
      <c r="G5596" s="45" t="s">
        <v>14108</v>
      </c>
      <c r="H5596" s="55" t="s">
        <v>14109</v>
      </c>
      <c r="I5596" s="15" t="s">
        <v>1553</v>
      </c>
    </row>
    <row r="5597" spans="1:9" ht="51.75" customHeight="1" x14ac:dyDescent="0.35">
      <c r="A5597" s="15" t="s">
        <v>23012</v>
      </c>
      <c r="B5597" s="15" t="s">
        <v>37154</v>
      </c>
      <c r="C5597" s="15" t="s">
        <v>37155</v>
      </c>
      <c r="D5597" s="31">
        <v>43357</v>
      </c>
      <c r="E5597" s="15" t="s">
        <v>37156</v>
      </c>
      <c r="F5597" s="87" t="s">
        <v>36618</v>
      </c>
      <c r="G5597" s="45" t="s">
        <v>14108</v>
      </c>
      <c r="H5597" s="55" t="s">
        <v>14109</v>
      </c>
      <c r="I5597" s="15" t="s">
        <v>1553</v>
      </c>
    </row>
    <row r="5598" spans="1:9" ht="51.75" customHeight="1" x14ac:dyDescent="0.35">
      <c r="A5598" s="15" t="s">
        <v>23012</v>
      </c>
      <c r="B5598" s="15" t="s">
        <v>37157</v>
      </c>
      <c r="C5598" s="15" t="s">
        <v>37155</v>
      </c>
      <c r="D5598" s="31">
        <v>43357</v>
      </c>
      <c r="E5598" s="15" t="s">
        <v>37158</v>
      </c>
      <c r="F5598" s="87" t="s">
        <v>21871</v>
      </c>
      <c r="G5598" s="45" t="s">
        <v>14108</v>
      </c>
      <c r="H5598" s="55" t="s">
        <v>14109</v>
      </c>
      <c r="I5598" s="15" t="s">
        <v>1553</v>
      </c>
    </row>
    <row r="5599" spans="1:9" ht="51.75" customHeight="1" x14ac:dyDescent="0.35">
      <c r="A5599" s="15" t="s">
        <v>36149</v>
      </c>
      <c r="B5599" s="15" t="s">
        <v>37159</v>
      </c>
      <c r="C5599" s="15" t="s">
        <v>37160</v>
      </c>
      <c r="D5599" s="31">
        <v>43428</v>
      </c>
      <c r="E5599" s="15" t="s">
        <v>37161</v>
      </c>
      <c r="F5599" s="87" t="s">
        <v>36618</v>
      </c>
      <c r="G5599" s="45" t="s">
        <v>14266</v>
      </c>
      <c r="H5599" s="55" t="s">
        <v>14267</v>
      </c>
      <c r="I5599" s="15" t="s">
        <v>1553</v>
      </c>
    </row>
    <row r="5600" spans="1:9" ht="51.75" customHeight="1" x14ac:dyDescent="0.35">
      <c r="A5600" s="15" t="s">
        <v>36149</v>
      </c>
      <c r="B5600" s="15" t="s">
        <v>37162</v>
      </c>
      <c r="C5600" s="15" t="s">
        <v>37160</v>
      </c>
      <c r="D5600" s="31">
        <v>43428</v>
      </c>
      <c r="E5600" s="15" t="s">
        <v>37163</v>
      </c>
      <c r="F5600" s="87" t="s">
        <v>21871</v>
      </c>
      <c r="G5600" s="45" t="s">
        <v>14266</v>
      </c>
      <c r="H5600" s="55" t="s">
        <v>14267</v>
      </c>
      <c r="I5600" s="15" t="s">
        <v>1553</v>
      </c>
    </row>
    <row r="5601" spans="1:9" ht="51.75" customHeight="1" x14ac:dyDescent="0.35">
      <c r="A5601" s="15" t="s">
        <v>36161</v>
      </c>
      <c r="B5601" s="15" t="s">
        <v>37164</v>
      </c>
      <c r="C5601" s="15" t="s">
        <v>37160</v>
      </c>
      <c r="D5601" s="31">
        <v>43428</v>
      </c>
      <c r="E5601" s="15" t="s">
        <v>37165</v>
      </c>
      <c r="F5601" s="87" t="s">
        <v>36618</v>
      </c>
      <c r="G5601" s="45" t="s">
        <v>14266</v>
      </c>
      <c r="H5601" s="55" t="s">
        <v>14267</v>
      </c>
      <c r="I5601" s="15" t="s">
        <v>1553</v>
      </c>
    </row>
    <row r="5602" spans="1:9" ht="51.75" customHeight="1" x14ac:dyDescent="0.35">
      <c r="A5602" s="15" t="s">
        <v>36161</v>
      </c>
      <c r="B5602" s="15" t="s">
        <v>37166</v>
      </c>
      <c r="C5602" s="15" t="s">
        <v>37160</v>
      </c>
      <c r="D5602" s="31">
        <v>43428</v>
      </c>
      <c r="E5602" s="15" t="s">
        <v>37167</v>
      </c>
      <c r="F5602" s="87" t="s">
        <v>21871</v>
      </c>
      <c r="G5602" s="45" t="s">
        <v>14266</v>
      </c>
      <c r="H5602" s="55" t="s">
        <v>14267</v>
      </c>
      <c r="I5602" s="15" t="s">
        <v>1553</v>
      </c>
    </row>
    <row r="5603" spans="1:9" ht="51.75" customHeight="1" x14ac:dyDescent="0.35">
      <c r="A5603" s="15" t="s">
        <v>36101</v>
      </c>
      <c r="B5603" s="15" t="s">
        <v>37168</v>
      </c>
      <c r="C5603" s="15" t="s">
        <v>37169</v>
      </c>
      <c r="D5603" s="31">
        <v>43391</v>
      </c>
      <c r="E5603" s="15" t="s">
        <v>37170</v>
      </c>
      <c r="F5603" s="87" t="s">
        <v>36618</v>
      </c>
      <c r="G5603" s="45" t="s">
        <v>14278</v>
      </c>
      <c r="H5603" s="55" t="s">
        <v>14279</v>
      </c>
      <c r="I5603" s="15" t="s">
        <v>1553</v>
      </c>
    </row>
    <row r="5604" spans="1:9" ht="51.75" customHeight="1" x14ac:dyDescent="0.35">
      <c r="A5604" s="15" t="s">
        <v>36101</v>
      </c>
      <c r="B5604" s="15" t="s">
        <v>37171</v>
      </c>
      <c r="C5604" s="15" t="s">
        <v>37169</v>
      </c>
      <c r="D5604" s="31">
        <v>43391</v>
      </c>
      <c r="E5604" s="15" t="s">
        <v>37172</v>
      </c>
      <c r="F5604" s="87" t="s">
        <v>21871</v>
      </c>
      <c r="G5604" s="45" t="s">
        <v>14278</v>
      </c>
      <c r="H5604" s="55" t="s">
        <v>14279</v>
      </c>
      <c r="I5604" s="15" t="s">
        <v>1553</v>
      </c>
    </row>
    <row r="5605" spans="1:9" ht="51.75" customHeight="1" x14ac:dyDescent="0.35">
      <c r="A5605" s="15" t="s">
        <v>36109</v>
      </c>
      <c r="B5605" s="15" t="s">
        <v>37173</v>
      </c>
      <c r="C5605" s="15" t="s">
        <v>37174</v>
      </c>
      <c r="D5605" s="31">
        <v>43391</v>
      </c>
      <c r="E5605" s="15" t="s">
        <v>37175</v>
      </c>
      <c r="F5605" s="87" t="s">
        <v>36618</v>
      </c>
      <c r="G5605" s="45" t="s">
        <v>14278</v>
      </c>
      <c r="H5605" s="55" t="s">
        <v>14279</v>
      </c>
      <c r="I5605" s="15" t="s">
        <v>1553</v>
      </c>
    </row>
    <row r="5606" spans="1:9" ht="51.75" customHeight="1" x14ac:dyDescent="0.35">
      <c r="A5606" s="15" t="s">
        <v>36109</v>
      </c>
      <c r="B5606" s="15" t="s">
        <v>37176</v>
      </c>
      <c r="C5606" s="15" t="s">
        <v>37174</v>
      </c>
      <c r="D5606" s="31">
        <v>43391</v>
      </c>
      <c r="E5606" s="15" t="s">
        <v>37177</v>
      </c>
      <c r="F5606" s="87" t="s">
        <v>21871</v>
      </c>
      <c r="G5606" s="45" t="s">
        <v>14278</v>
      </c>
      <c r="H5606" s="55" t="s">
        <v>14279</v>
      </c>
      <c r="I5606" s="15" t="s">
        <v>1553</v>
      </c>
    </row>
    <row r="5607" spans="1:9" ht="51.75" customHeight="1" x14ac:dyDescent="0.35">
      <c r="A5607" s="15" t="s">
        <v>22239</v>
      </c>
      <c r="B5607" s="15" t="s">
        <v>37178</v>
      </c>
      <c r="C5607" s="15" t="s">
        <v>37179</v>
      </c>
      <c r="D5607" s="31">
        <v>43284</v>
      </c>
      <c r="E5607" s="15" t="s">
        <v>37180</v>
      </c>
      <c r="F5607" s="87" t="s">
        <v>36618</v>
      </c>
      <c r="G5607" s="45" t="s">
        <v>14333</v>
      </c>
      <c r="H5607" s="55" t="s">
        <v>14334</v>
      </c>
      <c r="I5607" s="15" t="s">
        <v>1553</v>
      </c>
    </row>
    <row r="5608" spans="1:9" ht="51.75" customHeight="1" x14ac:dyDescent="0.35">
      <c r="A5608" s="15" t="s">
        <v>22239</v>
      </c>
      <c r="B5608" s="15" t="s">
        <v>37181</v>
      </c>
      <c r="C5608" s="15" t="s">
        <v>37179</v>
      </c>
      <c r="D5608" s="31">
        <v>43284</v>
      </c>
      <c r="E5608" s="15" t="s">
        <v>37182</v>
      </c>
      <c r="F5608" s="87" t="s">
        <v>21871</v>
      </c>
      <c r="G5608" s="45" t="s">
        <v>14333</v>
      </c>
      <c r="H5608" s="55" t="s">
        <v>14334</v>
      </c>
      <c r="I5608" s="15" t="s">
        <v>1553</v>
      </c>
    </row>
    <row r="5609" spans="1:9" ht="51.75" customHeight="1" x14ac:dyDescent="0.35">
      <c r="A5609" s="15" t="s">
        <v>37183</v>
      </c>
      <c r="B5609" s="15" t="s">
        <v>37184</v>
      </c>
      <c r="C5609" s="15" t="s">
        <v>37185</v>
      </c>
      <c r="D5609" s="31">
        <v>43420</v>
      </c>
      <c r="E5609" s="15" t="s">
        <v>37186</v>
      </c>
      <c r="F5609" s="87" t="s">
        <v>36618</v>
      </c>
      <c r="G5609" s="45" t="s">
        <v>14363</v>
      </c>
      <c r="H5609" s="55" t="s">
        <v>14364</v>
      </c>
      <c r="I5609" s="15" t="s">
        <v>1553</v>
      </c>
    </row>
    <row r="5610" spans="1:9" ht="51.75" customHeight="1" x14ac:dyDescent="0.35">
      <c r="A5610" s="15" t="s">
        <v>37183</v>
      </c>
      <c r="B5610" s="15" t="s">
        <v>37187</v>
      </c>
      <c r="C5610" s="15" t="s">
        <v>37185</v>
      </c>
      <c r="D5610" s="31">
        <v>43420</v>
      </c>
      <c r="E5610" s="15" t="s">
        <v>37188</v>
      </c>
      <c r="F5610" s="87" t="s">
        <v>21871</v>
      </c>
      <c r="G5610" s="45" t="s">
        <v>14363</v>
      </c>
      <c r="H5610" s="55" t="s">
        <v>14364</v>
      </c>
      <c r="I5610" s="15" t="s">
        <v>1553</v>
      </c>
    </row>
    <row r="5611" spans="1:9" ht="51.75" customHeight="1" x14ac:dyDescent="0.35">
      <c r="A5611" s="15" t="s">
        <v>37189</v>
      </c>
      <c r="B5611" s="15" t="s">
        <v>37190</v>
      </c>
      <c r="C5611" s="15" t="s">
        <v>37191</v>
      </c>
      <c r="D5611" s="31">
        <v>43437</v>
      </c>
      <c r="E5611" s="15" t="s">
        <v>37192</v>
      </c>
      <c r="F5611" s="87" t="s">
        <v>36618</v>
      </c>
      <c r="G5611" s="45" t="s">
        <v>14454</v>
      </c>
      <c r="H5611" s="55" t="s">
        <v>14455</v>
      </c>
      <c r="I5611" s="15" t="s">
        <v>1553</v>
      </c>
    </row>
    <row r="5612" spans="1:9" ht="51.75" customHeight="1" x14ac:dyDescent="0.35">
      <c r="A5612" s="15" t="s">
        <v>37189</v>
      </c>
      <c r="B5612" s="15" t="s">
        <v>37193</v>
      </c>
      <c r="C5612" s="15" t="s">
        <v>37191</v>
      </c>
      <c r="D5612" s="31">
        <v>43437</v>
      </c>
      <c r="E5612" s="15" t="s">
        <v>37194</v>
      </c>
      <c r="F5612" s="87" t="s">
        <v>21871</v>
      </c>
      <c r="G5612" s="45" t="s">
        <v>14454</v>
      </c>
      <c r="H5612" s="55" t="s">
        <v>14455</v>
      </c>
      <c r="I5612" s="15" t="s">
        <v>1553</v>
      </c>
    </row>
    <row r="5613" spans="1:9" ht="51.75" customHeight="1" x14ac:dyDescent="0.35">
      <c r="A5613" s="15" t="s">
        <v>37195</v>
      </c>
      <c r="B5613" s="15" t="s">
        <v>37196</v>
      </c>
      <c r="C5613" s="15" t="s">
        <v>37191</v>
      </c>
      <c r="D5613" s="31">
        <v>43437</v>
      </c>
      <c r="E5613" s="15" t="s">
        <v>37197</v>
      </c>
      <c r="F5613" s="87" t="s">
        <v>36618</v>
      </c>
      <c r="G5613" s="45" t="s">
        <v>14454</v>
      </c>
      <c r="H5613" s="55" t="s">
        <v>14455</v>
      </c>
      <c r="I5613" s="15" t="s">
        <v>1553</v>
      </c>
    </row>
    <row r="5614" spans="1:9" ht="51.75" customHeight="1" x14ac:dyDescent="0.35">
      <c r="A5614" s="15" t="s">
        <v>37195</v>
      </c>
      <c r="B5614" s="15" t="s">
        <v>37198</v>
      </c>
      <c r="C5614" s="15" t="s">
        <v>37191</v>
      </c>
      <c r="D5614" s="31">
        <v>43437</v>
      </c>
      <c r="E5614" s="15" t="s">
        <v>37199</v>
      </c>
      <c r="F5614" s="87" t="s">
        <v>21871</v>
      </c>
      <c r="G5614" s="45" t="s">
        <v>14454</v>
      </c>
      <c r="H5614" s="55" t="s">
        <v>14455</v>
      </c>
      <c r="I5614" s="15" t="s">
        <v>1553</v>
      </c>
    </row>
    <row r="5615" spans="1:9" ht="51.75" customHeight="1" x14ac:dyDescent="0.35">
      <c r="A5615" s="15" t="s">
        <v>37200</v>
      </c>
      <c r="B5615" s="15" t="s">
        <v>37201</v>
      </c>
      <c r="C5615" s="15" t="s">
        <v>37202</v>
      </c>
      <c r="D5615" s="31">
        <v>43417</v>
      </c>
      <c r="E5615" s="15" t="s">
        <v>37203</v>
      </c>
      <c r="F5615" s="87" t="s">
        <v>36618</v>
      </c>
      <c r="G5615" s="45" t="s">
        <v>14478</v>
      </c>
      <c r="H5615" s="55" t="s">
        <v>14479</v>
      </c>
      <c r="I5615" s="15" t="s">
        <v>1553</v>
      </c>
    </row>
    <row r="5616" spans="1:9" ht="51.75" customHeight="1" x14ac:dyDescent="0.35">
      <c r="A5616" s="15" t="s">
        <v>37200</v>
      </c>
      <c r="B5616" s="15" t="s">
        <v>37204</v>
      </c>
      <c r="C5616" s="15" t="s">
        <v>37202</v>
      </c>
      <c r="D5616" s="31">
        <v>43417</v>
      </c>
      <c r="E5616" s="15" t="s">
        <v>37205</v>
      </c>
      <c r="F5616" s="87" t="s">
        <v>21871</v>
      </c>
      <c r="G5616" s="45" t="s">
        <v>14478</v>
      </c>
      <c r="H5616" s="55" t="s">
        <v>14479</v>
      </c>
      <c r="I5616" s="15" t="s">
        <v>1553</v>
      </c>
    </row>
    <row r="5617" spans="1:9" ht="51.75" customHeight="1" x14ac:dyDescent="0.35">
      <c r="A5617" s="15" t="s">
        <v>37206</v>
      </c>
      <c r="B5617" s="15" t="s">
        <v>37207</v>
      </c>
      <c r="C5617" s="15" t="s">
        <v>37202</v>
      </c>
      <c r="D5617" s="31">
        <v>43417</v>
      </c>
      <c r="E5617" s="15" t="s">
        <v>37208</v>
      </c>
      <c r="F5617" s="87" t="s">
        <v>36618</v>
      </c>
      <c r="G5617" s="45" t="s">
        <v>14478</v>
      </c>
      <c r="H5617" s="55" t="s">
        <v>14479</v>
      </c>
      <c r="I5617" s="15" t="s">
        <v>1553</v>
      </c>
    </row>
    <row r="5618" spans="1:9" ht="51.75" customHeight="1" x14ac:dyDescent="0.35">
      <c r="A5618" s="15" t="s">
        <v>37206</v>
      </c>
      <c r="B5618" s="15" t="s">
        <v>37209</v>
      </c>
      <c r="C5618" s="15" t="s">
        <v>37202</v>
      </c>
      <c r="D5618" s="31">
        <v>43417</v>
      </c>
      <c r="E5618" s="15" t="s">
        <v>37210</v>
      </c>
      <c r="F5618" s="87" t="s">
        <v>21871</v>
      </c>
      <c r="G5618" s="45" t="s">
        <v>14478</v>
      </c>
      <c r="H5618" s="55" t="s">
        <v>14479</v>
      </c>
      <c r="I5618" s="15" t="s">
        <v>1553</v>
      </c>
    </row>
    <row r="5619" spans="1:9" ht="51.75" customHeight="1" x14ac:dyDescent="0.35">
      <c r="A5619" s="15" t="s">
        <v>24587</v>
      </c>
      <c r="B5619" s="15" t="s">
        <v>37211</v>
      </c>
      <c r="C5619" s="15" t="s">
        <v>37212</v>
      </c>
      <c r="D5619" s="31">
        <v>43453</v>
      </c>
      <c r="E5619" s="15" t="s">
        <v>37213</v>
      </c>
      <c r="F5619" s="87" t="s">
        <v>36618</v>
      </c>
      <c r="G5619" s="45" t="s">
        <v>14547</v>
      </c>
      <c r="H5619" s="55" t="s">
        <v>14548</v>
      </c>
      <c r="I5619" s="15" t="s">
        <v>1553</v>
      </c>
    </row>
    <row r="5620" spans="1:9" ht="51.75" customHeight="1" x14ac:dyDescent="0.35">
      <c r="A5620" s="15" t="s">
        <v>24587</v>
      </c>
      <c r="B5620" s="15" t="s">
        <v>37214</v>
      </c>
      <c r="C5620" s="15" t="s">
        <v>37212</v>
      </c>
      <c r="D5620" s="31">
        <v>43453</v>
      </c>
      <c r="E5620" s="15" t="s">
        <v>37215</v>
      </c>
      <c r="F5620" s="87" t="s">
        <v>21871</v>
      </c>
      <c r="G5620" s="45" t="s">
        <v>14547</v>
      </c>
      <c r="H5620" s="55" t="s">
        <v>14548</v>
      </c>
      <c r="I5620" s="15" t="s">
        <v>1553</v>
      </c>
    </row>
    <row r="5621" spans="1:9" ht="51.75" customHeight="1" x14ac:dyDescent="0.35">
      <c r="A5621" s="15" t="s">
        <v>24515</v>
      </c>
      <c r="B5621" s="15" t="s">
        <v>37216</v>
      </c>
      <c r="C5621" s="15" t="s">
        <v>37212</v>
      </c>
      <c r="D5621" s="31">
        <v>43453</v>
      </c>
      <c r="E5621" s="15" t="s">
        <v>37217</v>
      </c>
      <c r="F5621" s="87" t="s">
        <v>36618</v>
      </c>
      <c r="G5621" s="45" t="s">
        <v>14547</v>
      </c>
      <c r="H5621" s="55" t="s">
        <v>14548</v>
      </c>
      <c r="I5621" s="15" t="s">
        <v>1553</v>
      </c>
    </row>
    <row r="5622" spans="1:9" ht="51.75" customHeight="1" x14ac:dyDescent="0.35">
      <c r="A5622" s="15" t="s">
        <v>24515</v>
      </c>
      <c r="B5622" s="15" t="s">
        <v>37218</v>
      </c>
      <c r="C5622" s="15" t="s">
        <v>37212</v>
      </c>
      <c r="D5622" s="31">
        <v>43453</v>
      </c>
      <c r="E5622" s="15" t="s">
        <v>37219</v>
      </c>
      <c r="F5622" s="87" t="s">
        <v>21871</v>
      </c>
      <c r="G5622" s="45" t="s">
        <v>14547</v>
      </c>
      <c r="H5622" s="55" t="s">
        <v>14548</v>
      </c>
      <c r="I5622" s="15" t="s">
        <v>1553</v>
      </c>
    </row>
    <row r="5623" spans="1:9" ht="51.75" customHeight="1" x14ac:dyDescent="0.35">
      <c r="A5623" s="15" t="s">
        <v>24281</v>
      </c>
      <c r="B5623" s="15" t="s">
        <v>37220</v>
      </c>
      <c r="C5623" s="15" t="s">
        <v>37221</v>
      </c>
      <c r="D5623" s="31">
        <v>43479</v>
      </c>
      <c r="E5623" s="15" t="s">
        <v>37222</v>
      </c>
      <c r="F5623" s="87" t="s">
        <v>36618</v>
      </c>
      <c r="G5623" s="45" t="s">
        <v>14613</v>
      </c>
      <c r="H5623" s="55" t="s">
        <v>14614</v>
      </c>
      <c r="I5623" s="15" t="s">
        <v>1553</v>
      </c>
    </row>
    <row r="5624" spans="1:9" ht="51.75" customHeight="1" x14ac:dyDescent="0.35">
      <c r="A5624" s="15" t="s">
        <v>24281</v>
      </c>
      <c r="B5624" s="15" t="s">
        <v>37223</v>
      </c>
      <c r="C5624" s="15" t="s">
        <v>37221</v>
      </c>
      <c r="D5624" s="31">
        <v>43479</v>
      </c>
      <c r="E5624" s="15" t="s">
        <v>37224</v>
      </c>
      <c r="F5624" s="87" t="s">
        <v>21871</v>
      </c>
      <c r="G5624" s="45" t="s">
        <v>14613</v>
      </c>
      <c r="H5624" s="55" t="s">
        <v>14614</v>
      </c>
      <c r="I5624" s="15" t="s">
        <v>1553</v>
      </c>
    </row>
    <row r="5625" spans="1:9" ht="51.75" customHeight="1" x14ac:dyDescent="0.35">
      <c r="A5625" s="15" t="s">
        <v>22039</v>
      </c>
      <c r="B5625" s="15" t="s">
        <v>37225</v>
      </c>
      <c r="C5625" s="15" t="s">
        <v>37221</v>
      </c>
      <c r="D5625" s="31">
        <v>43479</v>
      </c>
      <c r="E5625" s="15" t="s">
        <v>37226</v>
      </c>
      <c r="F5625" s="87" t="s">
        <v>36618</v>
      </c>
      <c r="G5625" s="45" t="s">
        <v>14613</v>
      </c>
      <c r="H5625" s="55" t="s">
        <v>14614</v>
      </c>
      <c r="I5625" s="15" t="s">
        <v>1553</v>
      </c>
    </row>
    <row r="5626" spans="1:9" ht="51.75" customHeight="1" x14ac:dyDescent="0.35">
      <c r="A5626" s="15" t="s">
        <v>22039</v>
      </c>
      <c r="B5626" s="15" t="s">
        <v>37227</v>
      </c>
      <c r="C5626" s="15" t="s">
        <v>37221</v>
      </c>
      <c r="D5626" s="31">
        <v>43479</v>
      </c>
      <c r="E5626" s="15" t="s">
        <v>37228</v>
      </c>
      <c r="F5626" s="87" t="s">
        <v>21871</v>
      </c>
      <c r="G5626" s="45" t="s">
        <v>14613</v>
      </c>
      <c r="H5626" s="55" t="s">
        <v>14614</v>
      </c>
      <c r="I5626" s="15" t="s">
        <v>1553</v>
      </c>
    </row>
    <row r="5627" spans="1:9" ht="51.75" customHeight="1" x14ac:dyDescent="0.35">
      <c r="A5627" s="15" t="s">
        <v>22445</v>
      </c>
      <c r="B5627" s="15" t="s">
        <v>37229</v>
      </c>
      <c r="C5627" s="15" t="s">
        <v>37230</v>
      </c>
      <c r="D5627" s="31">
        <v>43495</v>
      </c>
      <c r="E5627" s="15" t="s">
        <v>37231</v>
      </c>
      <c r="F5627" s="87" t="s">
        <v>36618</v>
      </c>
      <c r="G5627" s="45" t="s">
        <v>14679</v>
      </c>
      <c r="H5627" s="55" t="s">
        <v>14680</v>
      </c>
      <c r="I5627" s="15" t="s">
        <v>1553</v>
      </c>
    </row>
    <row r="5628" spans="1:9" ht="51.75" customHeight="1" x14ac:dyDescent="0.35">
      <c r="A5628" s="15" t="s">
        <v>22445</v>
      </c>
      <c r="B5628" s="15" t="s">
        <v>37232</v>
      </c>
      <c r="C5628" s="15" t="s">
        <v>37230</v>
      </c>
      <c r="D5628" s="31">
        <v>43495</v>
      </c>
      <c r="E5628" s="15" t="s">
        <v>37233</v>
      </c>
      <c r="F5628" s="87" t="s">
        <v>21871</v>
      </c>
      <c r="G5628" s="45" t="s">
        <v>14679</v>
      </c>
      <c r="H5628" s="55" t="s">
        <v>14680</v>
      </c>
      <c r="I5628" s="15" t="s">
        <v>1553</v>
      </c>
    </row>
    <row r="5629" spans="1:9" ht="51.75" customHeight="1" x14ac:dyDescent="0.35">
      <c r="A5629" s="15" t="s">
        <v>24369</v>
      </c>
      <c r="B5629" s="15" t="s">
        <v>37234</v>
      </c>
      <c r="C5629" s="15" t="s">
        <v>37235</v>
      </c>
      <c r="D5629" s="31">
        <v>43508</v>
      </c>
      <c r="E5629" s="15" t="s">
        <v>37236</v>
      </c>
      <c r="F5629" s="87" t="s">
        <v>36618</v>
      </c>
      <c r="G5629" s="45" t="s">
        <v>14748</v>
      </c>
      <c r="H5629" s="55" t="s">
        <v>14749</v>
      </c>
      <c r="I5629" s="15" t="s">
        <v>1553</v>
      </c>
    </row>
    <row r="5630" spans="1:9" ht="51.75" customHeight="1" x14ac:dyDescent="0.35">
      <c r="A5630" s="15" t="s">
        <v>24369</v>
      </c>
      <c r="B5630" s="15" t="s">
        <v>37237</v>
      </c>
      <c r="C5630" s="15" t="s">
        <v>37235</v>
      </c>
      <c r="D5630" s="31">
        <v>43508</v>
      </c>
      <c r="E5630" s="15" t="s">
        <v>37238</v>
      </c>
      <c r="F5630" s="87" t="s">
        <v>21871</v>
      </c>
      <c r="G5630" s="45" t="s">
        <v>14748</v>
      </c>
      <c r="H5630" s="55" t="s">
        <v>14749</v>
      </c>
      <c r="I5630" s="15" t="s">
        <v>1553</v>
      </c>
    </row>
    <row r="5631" spans="1:9" ht="51.75" customHeight="1" x14ac:dyDescent="0.35">
      <c r="A5631" s="15" t="s">
        <v>37239</v>
      </c>
      <c r="B5631" s="15" t="s">
        <v>37240</v>
      </c>
      <c r="C5631" s="15" t="s">
        <v>37241</v>
      </c>
      <c r="D5631" s="31">
        <v>43438</v>
      </c>
      <c r="E5631" s="15" t="s">
        <v>37242</v>
      </c>
      <c r="F5631" s="87" t="s">
        <v>36618</v>
      </c>
      <c r="G5631" s="45" t="s">
        <v>14814</v>
      </c>
      <c r="H5631" s="55" t="s">
        <v>14815</v>
      </c>
      <c r="I5631" s="15" t="s">
        <v>1553</v>
      </c>
    </row>
    <row r="5632" spans="1:9" ht="51.75" customHeight="1" x14ac:dyDescent="0.35">
      <c r="A5632" s="15" t="s">
        <v>37239</v>
      </c>
      <c r="B5632" s="15" t="s">
        <v>37243</v>
      </c>
      <c r="C5632" s="15" t="s">
        <v>37241</v>
      </c>
      <c r="D5632" s="31">
        <v>43438</v>
      </c>
      <c r="E5632" s="15" t="s">
        <v>37244</v>
      </c>
      <c r="F5632" s="87" t="s">
        <v>21871</v>
      </c>
      <c r="G5632" s="45" t="s">
        <v>14814</v>
      </c>
      <c r="H5632" s="55" t="s">
        <v>14815</v>
      </c>
      <c r="I5632" s="15" t="s">
        <v>1553</v>
      </c>
    </row>
    <row r="5633" spans="1:9" ht="51.75" customHeight="1" x14ac:dyDescent="0.35">
      <c r="A5633" s="15" t="s">
        <v>26597</v>
      </c>
      <c r="B5633" s="15" t="s">
        <v>37245</v>
      </c>
      <c r="C5633" s="15" t="s">
        <v>37246</v>
      </c>
      <c r="D5633" s="31">
        <v>43536</v>
      </c>
      <c r="E5633" s="15" t="s">
        <v>37247</v>
      </c>
      <c r="F5633" s="87" t="s">
        <v>36618</v>
      </c>
      <c r="G5633" s="45" t="s">
        <v>14876</v>
      </c>
      <c r="H5633" s="55" t="s">
        <v>14877</v>
      </c>
      <c r="I5633" s="15" t="s">
        <v>1553</v>
      </c>
    </row>
    <row r="5634" spans="1:9" ht="51.75" customHeight="1" x14ac:dyDescent="0.35">
      <c r="A5634" s="15" t="s">
        <v>26597</v>
      </c>
      <c r="B5634" s="15" t="s">
        <v>37248</v>
      </c>
      <c r="C5634" s="15" t="s">
        <v>37246</v>
      </c>
      <c r="D5634" s="31">
        <v>43536</v>
      </c>
      <c r="E5634" s="15" t="s">
        <v>37249</v>
      </c>
      <c r="F5634" s="87" t="s">
        <v>21871</v>
      </c>
      <c r="G5634" s="45" t="s">
        <v>14876</v>
      </c>
      <c r="H5634" s="55" t="s">
        <v>14877</v>
      </c>
      <c r="I5634" s="15" t="s">
        <v>1553</v>
      </c>
    </row>
    <row r="5635" spans="1:9" ht="51.75" customHeight="1" x14ac:dyDescent="0.35">
      <c r="A5635" s="15" t="s">
        <v>22081</v>
      </c>
      <c r="B5635" s="15" t="s">
        <v>37250</v>
      </c>
      <c r="C5635" s="15" t="s">
        <v>37246</v>
      </c>
      <c r="D5635" s="31">
        <v>43536</v>
      </c>
      <c r="E5635" s="15" t="s">
        <v>37251</v>
      </c>
      <c r="F5635" s="87" t="s">
        <v>36618</v>
      </c>
      <c r="G5635" s="45" t="s">
        <v>14876</v>
      </c>
      <c r="H5635" s="55" t="s">
        <v>14877</v>
      </c>
      <c r="I5635" s="15" t="s">
        <v>1553</v>
      </c>
    </row>
    <row r="5636" spans="1:9" ht="51.75" customHeight="1" x14ac:dyDescent="0.35">
      <c r="A5636" s="15" t="s">
        <v>22081</v>
      </c>
      <c r="B5636" s="15" t="s">
        <v>37252</v>
      </c>
      <c r="C5636" s="15" t="s">
        <v>37246</v>
      </c>
      <c r="D5636" s="31">
        <v>43536</v>
      </c>
      <c r="E5636" s="15" t="s">
        <v>37253</v>
      </c>
      <c r="F5636" s="87" t="s">
        <v>21871</v>
      </c>
      <c r="G5636" s="45" t="s">
        <v>14876</v>
      </c>
      <c r="H5636" s="55" t="s">
        <v>14877</v>
      </c>
      <c r="I5636" s="15" t="s">
        <v>1553</v>
      </c>
    </row>
    <row r="5637" spans="1:9" ht="51.75" customHeight="1" x14ac:dyDescent="0.35">
      <c r="A5637" s="15" t="s">
        <v>22077</v>
      </c>
      <c r="B5637" s="15" t="s">
        <v>37254</v>
      </c>
      <c r="C5637" s="15" t="s">
        <v>37255</v>
      </c>
      <c r="D5637" s="31">
        <v>43535</v>
      </c>
      <c r="E5637" s="15" t="s">
        <v>37256</v>
      </c>
      <c r="F5637" s="87" t="s">
        <v>36618</v>
      </c>
      <c r="G5637" s="45" t="s">
        <v>14894</v>
      </c>
      <c r="H5637" s="55" t="s">
        <v>14895</v>
      </c>
      <c r="I5637" s="15" t="s">
        <v>1553</v>
      </c>
    </row>
    <row r="5638" spans="1:9" ht="51.75" customHeight="1" x14ac:dyDescent="0.35">
      <c r="A5638" s="15" t="s">
        <v>22077</v>
      </c>
      <c r="B5638" s="15" t="s">
        <v>37257</v>
      </c>
      <c r="C5638" s="15" t="s">
        <v>37255</v>
      </c>
      <c r="D5638" s="31">
        <v>43535</v>
      </c>
      <c r="E5638" s="15" t="s">
        <v>37258</v>
      </c>
      <c r="F5638" s="87" t="s">
        <v>21871</v>
      </c>
      <c r="G5638" s="45" t="s">
        <v>14894</v>
      </c>
      <c r="H5638" s="55" t="s">
        <v>14895</v>
      </c>
      <c r="I5638" s="15" t="s">
        <v>1553</v>
      </c>
    </row>
    <row r="5639" spans="1:9" ht="51.75" customHeight="1" x14ac:dyDescent="0.35">
      <c r="A5639" s="15" t="s">
        <v>22877</v>
      </c>
      <c r="B5639" s="15" t="s">
        <v>37259</v>
      </c>
      <c r="C5639" s="15" t="s">
        <v>37260</v>
      </c>
      <c r="D5639" s="31">
        <v>43556</v>
      </c>
      <c r="E5639" s="15" t="s">
        <v>37261</v>
      </c>
      <c r="F5639" s="87" t="s">
        <v>36618</v>
      </c>
      <c r="G5639" s="45" t="s">
        <v>14930</v>
      </c>
      <c r="H5639" s="55" t="s">
        <v>14931</v>
      </c>
      <c r="I5639" s="15" t="s">
        <v>1553</v>
      </c>
    </row>
    <row r="5640" spans="1:9" ht="51.75" customHeight="1" x14ac:dyDescent="0.35">
      <c r="A5640" s="15" t="s">
        <v>22877</v>
      </c>
      <c r="B5640" s="15" t="s">
        <v>37262</v>
      </c>
      <c r="C5640" s="15" t="s">
        <v>37260</v>
      </c>
      <c r="D5640" s="31">
        <v>43556</v>
      </c>
      <c r="E5640" s="15" t="s">
        <v>37263</v>
      </c>
      <c r="F5640" s="87" t="s">
        <v>21871</v>
      </c>
      <c r="G5640" s="45" t="s">
        <v>14930</v>
      </c>
      <c r="H5640" s="55" t="s">
        <v>14931</v>
      </c>
      <c r="I5640" s="15" t="s">
        <v>1553</v>
      </c>
    </row>
    <row r="5641" spans="1:9" ht="51.75" customHeight="1" x14ac:dyDescent="0.35">
      <c r="A5641" s="15" t="s">
        <v>22881</v>
      </c>
      <c r="B5641" s="15" t="s">
        <v>37264</v>
      </c>
      <c r="C5641" s="15" t="s">
        <v>37265</v>
      </c>
      <c r="D5641" s="31">
        <v>43556</v>
      </c>
      <c r="E5641" s="15" t="s">
        <v>37266</v>
      </c>
      <c r="F5641" s="87" t="s">
        <v>36618</v>
      </c>
      <c r="G5641" s="45" t="s">
        <v>14942</v>
      </c>
      <c r="H5641" s="55" t="s">
        <v>14943</v>
      </c>
      <c r="I5641" s="15" t="s">
        <v>1553</v>
      </c>
    </row>
    <row r="5642" spans="1:9" ht="51.75" customHeight="1" x14ac:dyDescent="0.35">
      <c r="A5642" s="15" t="s">
        <v>22881</v>
      </c>
      <c r="B5642" s="15" t="s">
        <v>37267</v>
      </c>
      <c r="C5642" s="15" t="s">
        <v>37265</v>
      </c>
      <c r="D5642" s="31">
        <v>43556</v>
      </c>
      <c r="E5642" s="15" t="s">
        <v>37268</v>
      </c>
      <c r="F5642" s="87" t="s">
        <v>21871</v>
      </c>
      <c r="G5642" s="45" t="s">
        <v>14942</v>
      </c>
      <c r="H5642" s="55" t="s">
        <v>14943</v>
      </c>
      <c r="I5642" s="15" t="s">
        <v>1553</v>
      </c>
    </row>
    <row r="5643" spans="1:9" ht="51.75" customHeight="1" x14ac:dyDescent="0.35">
      <c r="A5643" s="15" t="s">
        <v>24929</v>
      </c>
      <c r="B5643" s="15" t="s">
        <v>37269</v>
      </c>
      <c r="C5643" s="15" t="s">
        <v>37270</v>
      </c>
      <c r="D5643" s="31">
        <v>43560</v>
      </c>
      <c r="E5643" s="15" t="s">
        <v>37271</v>
      </c>
      <c r="F5643" s="87" t="s">
        <v>36618</v>
      </c>
      <c r="G5643" s="45" t="s">
        <v>14997</v>
      </c>
      <c r="H5643" s="55" t="s">
        <v>14998</v>
      </c>
      <c r="I5643" s="15" t="s">
        <v>1553</v>
      </c>
    </row>
    <row r="5644" spans="1:9" ht="51.75" customHeight="1" x14ac:dyDescent="0.35">
      <c r="A5644" s="15" t="s">
        <v>24929</v>
      </c>
      <c r="B5644" s="15" t="s">
        <v>37272</v>
      </c>
      <c r="C5644" s="15" t="s">
        <v>37270</v>
      </c>
      <c r="D5644" s="31">
        <v>43560</v>
      </c>
      <c r="E5644" s="15" t="s">
        <v>37273</v>
      </c>
      <c r="F5644" s="87" t="s">
        <v>21871</v>
      </c>
      <c r="G5644" s="45" t="s">
        <v>14997</v>
      </c>
      <c r="H5644" s="55" t="s">
        <v>14998</v>
      </c>
      <c r="I5644" s="15" t="s">
        <v>1553</v>
      </c>
    </row>
    <row r="5645" spans="1:9" ht="51.75" customHeight="1" x14ac:dyDescent="0.35">
      <c r="A5645" s="15" t="s">
        <v>23788</v>
      </c>
      <c r="B5645" s="15" t="s">
        <v>37274</v>
      </c>
      <c r="C5645" s="15" t="s">
        <v>37275</v>
      </c>
      <c r="D5645" s="31">
        <v>43600</v>
      </c>
      <c r="E5645" s="15" t="s">
        <v>37276</v>
      </c>
      <c r="F5645" s="87" t="s">
        <v>36618</v>
      </c>
      <c r="G5645" s="45" t="s">
        <v>15095</v>
      </c>
      <c r="H5645" s="55" t="s">
        <v>15096</v>
      </c>
      <c r="I5645" s="15" t="s">
        <v>1553</v>
      </c>
    </row>
    <row r="5646" spans="1:9" ht="51.75" customHeight="1" x14ac:dyDescent="0.35">
      <c r="A5646" s="15" t="s">
        <v>23788</v>
      </c>
      <c r="B5646" s="15" t="s">
        <v>37277</v>
      </c>
      <c r="C5646" s="15" t="s">
        <v>37275</v>
      </c>
      <c r="D5646" s="31">
        <v>43600</v>
      </c>
      <c r="E5646" s="15" t="s">
        <v>37278</v>
      </c>
      <c r="F5646" s="87" t="s">
        <v>21871</v>
      </c>
      <c r="G5646" s="45" t="s">
        <v>15095</v>
      </c>
      <c r="H5646" s="55" t="s">
        <v>15096</v>
      </c>
      <c r="I5646" s="15" t="s">
        <v>1553</v>
      </c>
    </row>
    <row r="5647" spans="1:9" ht="51.75" customHeight="1" x14ac:dyDescent="0.35">
      <c r="A5647" s="15" t="s">
        <v>26132</v>
      </c>
      <c r="B5647" s="15" t="s">
        <v>37279</v>
      </c>
      <c r="C5647" s="15" t="s">
        <v>37280</v>
      </c>
      <c r="D5647" s="31">
        <v>43605</v>
      </c>
      <c r="E5647" s="15" t="s">
        <v>37281</v>
      </c>
      <c r="F5647" s="87" t="s">
        <v>36618</v>
      </c>
      <c r="G5647" s="45" t="s">
        <v>15106</v>
      </c>
      <c r="H5647" s="55" t="s">
        <v>15107</v>
      </c>
      <c r="I5647" s="15" t="s">
        <v>1553</v>
      </c>
    </row>
    <row r="5648" spans="1:9" ht="51.75" customHeight="1" x14ac:dyDescent="0.35">
      <c r="A5648" s="15" t="s">
        <v>26132</v>
      </c>
      <c r="B5648" s="15" t="s">
        <v>37282</v>
      </c>
      <c r="C5648" s="15" t="s">
        <v>37280</v>
      </c>
      <c r="D5648" s="31">
        <v>43605</v>
      </c>
      <c r="E5648" s="15" t="s">
        <v>37283</v>
      </c>
      <c r="F5648" s="87" t="s">
        <v>21871</v>
      </c>
      <c r="G5648" s="45" t="s">
        <v>15106</v>
      </c>
      <c r="H5648" s="55" t="s">
        <v>15107</v>
      </c>
      <c r="I5648" s="15" t="s">
        <v>1553</v>
      </c>
    </row>
    <row r="5649" spans="1:9" ht="51.75" customHeight="1" x14ac:dyDescent="0.35">
      <c r="A5649" s="15" t="s">
        <v>25555</v>
      </c>
      <c r="B5649" s="15" t="s">
        <v>37284</v>
      </c>
      <c r="C5649" s="15" t="s">
        <v>37285</v>
      </c>
      <c r="D5649" s="31">
        <v>43615</v>
      </c>
      <c r="E5649" s="15" t="s">
        <v>37286</v>
      </c>
      <c r="F5649" s="87" t="s">
        <v>36618</v>
      </c>
      <c r="G5649" s="45" t="s">
        <v>15174</v>
      </c>
      <c r="H5649" s="55" t="s">
        <v>15175</v>
      </c>
      <c r="I5649" s="15" t="s">
        <v>1553</v>
      </c>
    </row>
    <row r="5650" spans="1:9" ht="51.75" customHeight="1" x14ac:dyDescent="0.35">
      <c r="A5650" s="15" t="s">
        <v>25555</v>
      </c>
      <c r="B5650" s="15" t="s">
        <v>37287</v>
      </c>
      <c r="C5650" s="15" t="s">
        <v>37285</v>
      </c>
      <c r="D5650" s="31">
        <v>43615</v>
      </c>
      <c r="E5650" s="15" t="s">
        <v>37288</v>
      </c>
      <c r="F5650" s="87" t="s">
        <v>21871</v>
      </c>
      <c r="G5650" s="45" t="s">
        <v>15174</v>
      </c>
      <c r="H5650" s="55" t="s">
        <v>15175</v>
      </c>
      <c r="I5650" s="15" t="s">
        <v>1553</v>
      </c>
    </row>
    <row r="5651" spans="1:9" ht="51.75" customHeight="1" x14ac:dyDescent="0.35">
      <c r="A5651" s="15" t="s">
        <v>32260</v>
      </c>
      <c r="B5651" s="15" t="s">
        <v>37289</v>
      </c>
      <c r="C5651" s="15" t="s">
        <v>37290</v>
      </c>
      <c r="D5651" s="31">
        <v>43615</v>
      </c>
      <c r="E5651" s="15" t="s">
        <v>37291</v>
      </c>
      <c r="F5651" s="87" t="s">
        <v>36618</v>
      </c>
      <c r="G5651" s="45" t="s">
        <v>15174</v>
      </c>
      <c r="H5651" s="55" t="s">
        <v>15175</v>
      </c>
      <c r="I5651" s="15" t="s">
        <v>1553</v>
      </c>
    </row>
    <row r="5652" spans="1:9" ht="51.75" customHeight="1" x14ac:dyDescent="0.35">
      <c r="A5652" s="15" t="s">
        <v>32260</v>
      </c>
      <c r="B5652" s="15" t="s">
        <v>37292</v>
      </c>
      <c r="C5652" s="15" t="s">
        <v>37290</v>
      </c>
      <c r="D5652" s="31">
        <v>43615</v>
      </c>
      <c r="E5652" s="15" t="s">
        <v>37293</v>
      </c>
      <c r="F5652" s="87" t="s">
        <v>21871</v>
      </c>
      <c r="G5652" s="45" t="s">
        <v>15174</v>
      </c>
      <c r="H5652" s="55" t="s">
        <v>15175</v>
      </c>
      <c r="I5652" s="15" t="s">
        <v>1553</v>
      </c>
    </row>
    <row r="5653" spans="1:9" ht="51.75" customHeight="1" x14ac:dyDescent="0.35">
      <c r="A5653" s="15" t="s">
        <v>22707</v>
      </c>
      <c r="B5653" s="15" t="s">
        <v>37294</v>
      </c>
      <c r="C5653" s="15" t="s">
        <v>37295</v>
      </c>
      <c r="D5653" s="31">
        <v>43620</v>
      </c>
      <c r="E5653" s="15" t="s">
        <v>37296</v>
      </c>
      <c r="F5653" s="87" t="s">
        <v>36618</v>
      </c>
      <c r="G5653" s="45" t="s">
        <v>15180</v>
      </c>
      <c r="H5653" s="55" t="s">
        <v>15181</v>
      </c>
      <c r="I5653" s="15" t="s">
        <v>1553</v>
      </c>
    </row>
    <row r="5654" spans="1:9" ht="51.75" customHeight="1" x14ac:dyDescent="0.35">
      <c r="A5654" s="15" t="s">
        <v>22707</v>
      </c>
      <c r="B5654" s="15" t="s">
        <v>37297</v>
      </c>
      <c r="C5654" s="15" t="s">
        <v>37295</v>
      </c>
      <c r="D5654" s="31">
        <v>43620</v>
      </c>
      <c r="E5654" s="15" t="s">
        <v>37298</v>
      </c>
      <c r="F5654" s="87" t="s">
        <v>21871</v>
      </c>
      <c r="G5654" s="45" t="s">
        <v>15180</v>
      </c>
      <c r="H5654" s="55" t="s">
        <v>15181</v>
      </c>
      <c r="I5654" s="15" t="s">
        <v>1553</v>
      </c>
    </row>
    <row r="5655" spans="1:9" ht="51.75" customHeight="1" x14ac:dyDescent="0.35">
      <c r="A5655" s="15" t="s">
        <v>22766</v>
      </c>
      <c r="B5655" s="15" t="s">
        <v>37299</v>
      </c>
      <c r="C5655" s="15" t="s">
        <v>37300</v>
      </c>
      <c r="D5655" s="31">
        <v>43623</v>
      </c>
      <c r="E5655" s="15" t="s">
        <v>37301</v>
      </c>
      <c r="F5655" s="87" t="s">
        <v>36618</v>
      </c>
      <c r="G5655" s="45" t="s">
        <v>15219</v>
      </c>
      <c r="H5655" s="55" t="s">
        <v>15220</v>
      </c>
      <c r="I5655" s="15" t="s">
        <v>1553</v>
      </c>
    </row>
    <row r="5656" spans="1:9" ht="51.75" customHeight="1" x14ac:dyDescent="0.35">
      <c r="A5656" s="15" t="s">
        <v>22766</v>
      </c>
      <c r="B5656" s="15" t="s">
        <v>37302</v>
      </c>
      <c r="C5656" s="15" t="s">
        <v>37300</v>
      </c>
      <c r="D5656" s="31">
        <v>43623</v>
      </c>
      <c r="E5656" s="15" t="s">
        <v>37303</v>
      </c>
      <c r="F5656" s="87" t="s">
        <v>21871</v>
      </c>
      <c r="G5656" s="45" t="s">
        <v>15219</v>
      </c>
      <c r="H5656" s="55" t="s">
        <v>15220</v>
      </c>
      <c r="I5656" s="15" t="s">
        <v>1553</v>
      </c>
    </row>
    <row r="5657" spans="1:9" ht="51.75" customHeight="1" x14ac:dyDescent="0.35">
      <c r="A5657" s="15" t="s">
        <v>25458</v>
      </c>
      <c r="B5657" s="15" t="s">
        <v>37304</v>
      </c>
      <c r="C5657" s="15" t="s">
        <v>37270</v>
      </c>
      <c r="D5657" s="31">
        <v>43621</v>
      </c>
      <c r="E5657" s="15" t="s">
        <v>37305</v>
      </c>
      <c r="F5657" s="87" t="s">
        <v>36618</v>
      </c>
      <c r="G5657" s="45" t="s">
        <v>15230</v>
      </c>
      <c r="H5657" s="55" t="s">
        <v>15231</v>
      </c>
      <c r="I5657" s="15" t="s">
        <v>1553</v>
      </c>
    </row>
    <row r="5658" spans="1:9" ht="51.75" customHeight="1" x14ac:dyDescent="0.35">
      <c r="A5658" s="15" t="s">
        <v>25458</v>
      </c>
      <c r="B5658" s="15" t="s">
        <v>37306</v>
      </c>
      <c r="C5658" s="15" t="s">
        <v>37270</v>
      </c>
      <c r="D5658" s="31">
        <v>43621</v>
      </c>
      <c r="E5658" s="15" t="s">
        <v>37307</v>
      </c>
      <c r="F5658" s="87" t="s">
        <v>21871</v>
      </c>
      <c r="G5658" s="45" t="s">
        <v>15230</v>
      </c>
      <c r="H5658" s="55" t="s">
        <v>15231</v>
      </c>
      <c r="I5658" s="15" t="s">
        <v>1553</v>
      </c>
    </row>
    <row r="5659" spans="1:9" ht="51.75" customHeight="1" x14ac:dyDescent="0.35">
      <c r="A5659" s="15" t="s">
        <v>31926</v>
      </c>
      <c r="B5659" s="15" t="s">
        <v>37308</v>
      </c>
      <c r="C5659" s="15" t="s">
        <v>37309</v>
      </c>
      <c r="D5659" s="31">
        <v>43621</v>
      </c>
      <c r="E5659" s="15" t="s">
        <v>37310</v>
      </c>
      <c r="F5659" s="87" t="s">
        <v>36618</v>
      </c>
      <c r="G5659" s="45" t="s">
        <v>15230</v>
      </c>
      <c r="H5659" s="55" t="s">
        <v>15231</v>
      </c>
      <c r="I5659" s="15" t="s">
        <v>1553</v>
      </c>
    </row>
    <row r="5660" spans="1:9" ht="51.75" customHeight="1" x14ac:dyDescent="0.35">
      <c r="A5660" s="15" t="s">
        <v>31926</v>
      </c>
      <c r="B5660" s="15" t="s">
        <v>37311</v>
      </c>
      <c r="C5660" s="15" t="s">
        <v>37309</v>
      </c>
      <c r="D5660" s="31">
        <v>43621</v>
      </c>
      <c r="E5660" s="15" t="s">
        <v>37312</v>
      </c>
      <c r="F5660" s="87" t="s">
        <v>21871</v>
      </c>
      <c r="G5660" s="45" t="s">
        <v>15230</v>
      </c>
      <c r="H5660" s="55" t="s">
        <v>15231</v>
      </c>
      <c r="I5660" s="15" t="s">
        <v>1553</v>
      </c>
    </row>
    <row r="5661" spans="1:9" ht="51.75" customHeight="1" x14ac:dyDescent="0.35">
      <c r="A5661" s="15" t="s">
        <v>23436</v>
      </c>
      <c r="B5661" s="15" t="s">
        <v>37313</v>
      </c>
      <c r="C5661" s="15" t="s">
        <v>37314</v>
      </c>
      <c r="D5661" s="31">
        <v>43628</v>
      </c>
      <c r="E5661" s="15" t="s">
        <v>37315</v>
      </c>
      <c r="F5661" s="87" t="s">
        <v>36618</v>
      </c>
      <c r="G5661" s="45" t="s">
        <v>15235</v>
      </c>
      <c r="H5661" s="55" t="s">
        <v>15236</v>
      </c>
      <c r="I5661" s="15" t="s">
        <v>1553</v>
      </c>
    </row>
    <row r="5662" spans="1:9" ht="51.75" customHeight="1" x14ac:dyDescent="0.35">
      <c r="A5662" s="15" t="s">
        <v>23436</v>
      </c>
      <c r="B5662" s="15" t="s">
        <v>37316</v>
      </c>
      <c r="C5662" s="15" t="s">
        <v>37314</v>
      </c>
      <c r="D5662" s="31">
        <v>43628</v>
      </c>
      <c r="E5662" s="15" t="s">
        <v>37317</v>
      </c>
      <c r="F5662" s="87" t="s">
        <v>21871</v>
      </c>
      <c r="G5662" s="45" t="s">
        <v>15235</v>
      </c>
      <c r="H5662" s="55" t="s">
        <v>15236</v>
      </c>
      <c r="I5662" s="15" t="s">
        <v>1553</v>
      </c>
    </row>
    <row r="5663" spans="1:9" ht="51.75" customHeight="1" x14ac:dyDescent="0.35">
      <c r="A5663" s="15" t="s">
        <v>21967</v>
      </c>
      <c r="B5663" s="15" t="s">
        <v>37318</v>
      </c>
      <c r="C5663" s="15" t="s">
        <v>37319</v>
      </c>
      <c r="D5663" s="31">
        <v>43629</v>
      </c>
      <c r="E5663" s="15" t="s">
        <v>37320</v>
      </c>
      <c r="F5663" s="87" t="s">
        <v>36618</v>
      </c>
      <c r="G5663" s="45" t="s">
        <v>15235</v>
      </c>
      <c r="H5663" s="55" t="s">
        <v>15236</v>
      </c>
      <c r="I5663" s="15" t="s">
        <v>1553</v>
      </c>
    </row>
    <row r="5664" spans="1:9" ht="51.75" customHeight="1" x14ac:dyDescent="0.35">
      <c r="A5664" s="15" t="s">
        <v>21967</v>
      </c>
      <c r="B5664" s="15" t="s">
        <v>37321</v>
      </c>
      <c r="C5664" s="15" t="s">
        <v>37319</v>
      </c>
      <c r="D5664" s="31">
        <v>43629</v>
      </c>
      <c r="E5664" s="15" t="s">
        <v>37322</v>
      </c>
      <c r="F5664" s="87" t="s">
        <v>21871</v>
      </c>
      <c r="G5664" s="45" t="s">
        <v>15235</v>
      </c>
      <c r="H5664" s="55" t="s">
        <v>15236</v>
      </c>
      <c r="I5664" s="15" t="s">
        <v>1553</v>
      </c>
    </row>
    <row r="5665" spans="1:9" ht="51.75" customHeight="1" x14ac:dyDescent="0.35">
      <c r="A5665" s="15" t="s">
        <v>26028</v>
      </c>
      <c r="B5665" s="15" t="s">
        <v>37323</v>
      </c>
      <c r="C5665" s="15" t="s">
        <v>37324</v>
      </c>
      <c r="D5665" s="31">
        <v>43634</v>
      </c>
      <c r="E5665" s="15" t="s">
        <v>37325</v>
      </c>
      <c r="F5665" s="87" t="s">
        <v>36618</v>
      </c>
      <c r="G5665" s="45" t="s">
        <v>15394</v>
      </c>
      <c r="H5665" s="55" t="s">
        <v>15395</v>
      </c>
      <c r="I5665" s="15" t="s">
        <v>1553</v>
      </c>
    </row>
    <row r="5666" spans="1:9" ht="51.75" customHeight="1" x14ac:dyDescent="0.35">
      <c r="A5666" s="15" t="s">
        <v>26028</v>
      </c>
      <c r="B5666" s="15" t="s">
        <v>37326</v>
      </c>
      <c r="C5666" s="15" t="s">
        <v>37324</v>
      </c>
      <c r="D5666" s="31">
        <v>43634</v>
      </c>
      <c r="E5666" s="15" t="s">
        <v>37327</v>
      </c>
      <c r="F5666" s="87" t="s">
        <v>21871</v>
      </c>
      <c r="G5666" s="45" t="s">
        <v>15394</v>
      </c>
      <c r="H5666" s="55" t="s">
        <v>15395</v>
      </c>
      <c r="I5666" s="15" t="s">
        <v>1553</v>
      </c>
    </row>
    <row r="5667" spans="1:9" ht="51.75" customHeight="1" x14ac:dyDescent="0.35">
      <c r="A5667" s="15" t="s">
        <v>35561</v>
      </c>
      <c r="B5667" s="15" t="s">
        <v>37328</v>
      </c>
      <c r="C5667" s="15" t="s">
        <v>37329</v>
      </c>
      <c r="D5667" s="31">
        <v>43685</v>
      </c>
      <c r="E5667" s="15" t="s">
        <v>37330</v>
      </c>
      <c r="F5667" s="87" t="s">
        <v>36618</v>
      </c>
      <c r="G5667" s="45" t="s">
        <v>15423</v>
      </c>
      <c r="H5667" s="55" t="s">
        <v>15424</v>
      </c>
      <c r="I5667" s="15" t="s">
        <v>1553</v>
      </c>
    </row>
    <row r="5668" spans="1:9" ht="51.75" customHeight="1" x14ac:dyDescent="0.35">
      <c r="A5668" s="15" t="s">
        <v>35561</v>
      </c>
      <c r="B5668" s="15" t="s">
        <v>37331</v>
      </c>
      <c r="C5668" s="15" t="s">
        <v>37329</v>
      </c>
      <c r="D5668" s="31">
        <v>43685</v>
      </c>
      <c r="E5668" s="15" t="s">
        <v>37332</v>
      </c>
      <c r="F5668" s="87" t="s">
        <v>21871</v>
      </c>
      <c r="G5668" s="45" t="s">
        <v>15423</v>
      </c>
      <c r="H5668" s="55" t="s">
        <v>15424</v>
      </c>
      <c r="I5668" s="15" t="s">
        <v>1553</v>
      </c>
    </row>
    <row r="5669" spans="1:9" ht="51.75" customHeight="1" x14ac:dyDescent="0.35">
      <c r="A5669" s="15" t="s">
        <v>28971</v>
      </c>
      <c r="B5669" s="15" t="s">
        <v>37333</v>
      </c>
      <c r="C5669" s="15" t="s">
        <v>37334</v>
      </c>
      <c r="D5669" s="31">
        <v>43685</v>
      </c>
      <c r="E5669" s="15" t="s">
        <v>37335</v>
      </c>
      <c r="F5669" s="87" t="s">
        <v>36618</v>
      </c>
      <c r="G5669" s="45" t="s">
        <v>15423</v>
      </c>
      <c r="H5669" s="55" t="s">
        <v>15424</v>
      </c>
      <c r="I5669" s="15" t="s">
        <v>1553</v>
      </c>
    </row>
    <row r="5670" spans="1:9" ht="51.75" customHeight="1" x14ac:dyDescent="0.35">
      <c r="A5670" s="15" t="s">
        <v>28971</v>
      </c>
      <c r="B5670" s="15" t="s">
        <v>37336</v>
      </c>
      <c r="C5670" s="15" t="s">
        <v>37334</v>
      </c>
      <c r="D5670" s="31">
        <v>43685</v>
      </c>
      <c r="E5670" s="15" t="s">
        <v>37337</v>
      </c>
      <c r="F5670" s="87" t="s">
        <v>21871</v>
      </c>
      <c r="G5670" s="45" t="s">
        <v>15423</v>
      </c>
      <c r="H5670" s="55" t="s">
        <v>15424</v>
      </c>
      <c r="I5670" s="15" t="s">
        <v>1553</v>
      </c>
    </row>
    <row r="5671" spans="1:9" ht="51.75" customHeight="1" x14ac:dyDescent="0.35">
      <c r="A5671" s="15" t="s">
        <v>25986</v>
      </c>
      <c r="B5671" s="15" t="s">
        <v>37338</v>
      </c>
      <c r="C5671" s="15" t="s">
        <v>37339</v>
      </c>
      <c r="D5671" s="31">
        <v>43682</v>
      </c>
      <c r="E5671" s="15" t="s">
        <v>37340</v>
      </c>
      <c r="F5671" s="87" t="s">
        <v>36618</v>
      </c>
      <c r="G5671" s="45" t="s">
        <v>15405</v>
      </c>
      <c r="H5671" s="55" t="s">
        <v>15406</v>
      </c>
      <c r="I5671" s="15" t="s">
        <v>1553</v>
      </c>
    </row>
    <row r="5672" spans="1:9" ht="51.75" customHeight="1" x14ac:dyDescent="0.35">
      <c r="A5672" s="15" t="s">
        <v>25986</v>
      </c>
      <c r="B5672" s="15" t="s">
        <v>37341</v>
      </c>
      <c r="C5672" s="15" t="s">
        <v>37339</v>
      </c>
      <c r="D5672" s="31">
        <v>43682</v>
      </c>
      <c r="E5672" s="15" t="s">
        <v>37342</v>
      </c>
      <c r="F5672" s="87" t="s">
        <v>21871</v>
      </c>
      <c r="G5672" s="45" t="s">
        <v>15405</v>
      </c>
      <c r="H5672" s="55" t="s">
        <v>15406</v>
      </c>
      <c r="I5672" s="15" t="s">
        <v>1553</v>
      </c>
    </row>
    <row r="5673" spans="1:9" ht="51.75" customHeight="1" x14ac:dyDescent="0.35">
      <c r="A5673" s="15" t="s">
        <v>22825</v>
      </c>
      <c r="B5673" s="15" t="s">
        <v>37343</v>
      </c>
      <c r="C5673" s="15" t="s">
        <v>37339</v>
      </c>
      <c r="D5673" s="31">
        <v>43682</v>
      </c>
      <c r="E5673" s="15" t="s">
        <v>37344</v>
      </c>
      <c r="F5673" s="87" t="s">
        <v>36618</v>
      </c>
      <c r="G5673" s="45" t="s">
        <v>15405</v>
      </c>
      <c r="H5673" s="55" t="s">
        <v>15406</v>
      </c>
      <c r="I5673" s="15" t="s">
        <v>1553</v>
      </c>
    </row>
    <row r="5674" spans="1:9" ht="51.75" customHeight="1" x14ac:dyDescent="0.35">
      <c r="A5674" s="15" t="s">
        <v>22825</v>
      </c>
      <c r="B5674" s="15" t="s">
        <v>37345</v>
      </c>
      <c r="C5674" s="15" t="s">
        <v>37339</v>
      </c>
      <c r="D5674" s="31">
        <v>43682</v>
      </c>
      <c r="E5674" s="15" t="s">
        <v>37346</v>
      </c>
      <c r="F5674" s="87" t="s">
        <v>21871</v>
      </c>
      <c r="G5674" s="45" t="s">
        <v>15405</v>
      </c>
      <c r="H5674" s="55" t="s">
        <v>15406</v>
      </c>
      <c r="I5674" s="15" t="s">
        <v>1553</v>
      </c>
    </row>
    <row r="5675" spans="1:9" ht="51.75" customHeight="1" x14ac:dyDescent="0.35">
      <c r="A5675" s="15" t="s">
        <v>24968</v>
      </c>
      <c r="B5675" s="15" t="s">
        <v>37347</v>
      </c>
      <c r="C5675" s="15" t="s">
        <v>37339</v>
      </c>
      <c r="D5675" s="31">
        <v>43682</v>
      </c>
      <c r="E5675" s="15" t="s">
        <v>37348</v>
      </c>
      <c r="F5675" s="87" t="s">
        <v>36618</v>
      </c>
      <c r="G5675" s="45" t="s">
        <v>15405</v>
      </c>
      <c r="H5675" s="55" t="s">
        <v>15406</v>
      </c>
      <c r="I5675" s="15" t="s">
        <v>1553</v>
      </c>
    </row>
    <row r="5676" spans="1:9" ht="51.75" customHeight="1" x14ac:dyDescent="0.35">
      <c r="A5676" s="15" t="s">
        <v>24968</v>
      </c>
      <c r="B5676" s="15" t="s">
        <v>37349</v>
      </c>
      <c r="C5676" s="15" t="s">
        <v>37339</v>
      </c>
      <c r="D5676" s="31">
        <v>43682</v>
      </c>
      <c r="E5676" s="15" t="s">
        <v>37350</v>
      </c>
      <c r="F5676" s="87" t="s">
        <v>21871</v>
      </c>
      <c r="G5676" s="45" t="s">
        <v>15405</v>
      </c>
      <c r="H5676" s="55" t="s">
        <v>15406</v>
      </c>
      <c r="I5676" s="15" t="s">
        <v>1553</v>
      </c>
    </row>
    <row r="5677" spans="1:9" ht="51.75" customHeight="1" x14ac:dyDescent="0.35">
      <c r="A5677" s="15" t="s">
        <v>37351</v>
      </c>
      <c r="B5677" s="15" t="s">
        <v>37352</v>
      </c>
      <c r="C5677" s="15" t="s">
        <v>37353</v>
      </c>
      <c r="D5677" s="31">
        <v>43697</v>
      </c>
      <c r="E5677" s="15" t="s">
        <v>37354</v>
      </c>
      <c r="F5677" s="87" t="s">
        <v>36618</v>
      </c>
      <c r="G5677" s="45" t="s">
        <v>15481</v>
      </c>
      <c r="H5677" s="55" t="s">
        <v>15482</v>
      </c>
      <c r="I5677" s="15" t="s">
        <v>1553</v>
      </c>
    </row>
    <row r="5678" spans="1:9" ht="51.75" customHeight="1" x14ac:dyDescent="0.35">
      <c r="A5678" s="15" t="s">
        <v>37351</v>
      </c>
      <c r="B5678" s="15" t="s">
        <v>37355</v>
      </c>
      <c r="C5678" s="15" t="s">
        <v>37353</v>
      </c>
      <c r="D5678" s="31">
        <v>43697</v>
      </c>
      <c r="E5678" s="15" t="s">
        <v>37356</v>
      </c>
      <c r="F5678" s="87" t="s">
        <v>21871</v>
      </c>
      <c r="G5678" s="45" t="s">
        <v>15481</v>
      </c>
      <c r="H5678" s="55" t="s">
        <v>15482</v>
      </c>
      <c r="I5678" s="15" t="s">
        <v>1553</v>
      </c>
    </row>
    <row r="5679" spans="1:9" ht="51.75" customHeight="1" x14ac:dyDescent="0.35">
      <c r="A5679" s="15" t="s">
        <v>28979</v>
      </c>
      <c r="B5679" s="15" t="s">
        <v>37357</v>
      </c>
      <c r="C5679" s="15" t="s">
        <v>37358</v>
      </c>
      <c r="D5679" s="31">
        <v>43712</v>
      </c>
      <c r="E5679" s="15" t="s">
        <v>37359</v>
      </c>
      <c r="F5679" s="87" t="s">
        <v>36618</v>
      </c>
      <c r="G5679" s="45" t="s">
        <v>15528</v>
      </c>
      <c r="H5679" s="55" t="s">
        <v>15529</v>
      </c>
      <c r="I5679" s="15" t="s">
        <v>1553</v>
      </c>
    </row>
    <row r="5680" spans="1:9" ht="51.75" customHeight="1" x14ac:dyDescent="0.35">
      <c r="A5680" s="15" t="s">
        <v>28979</v>
      </c>
      <c r="B5680" s="15" t="s">
        <v>37360</v>
      </c>
      <c r="C5680" s="15" t="s">
        <v>37358</v>
      </c>
      <c r="D5680" s="31">
        <v>43712</v>
      </c>
      <c r="E5680" s="15" t="s">
        <v>37361</v>
      </c>
      <c r="F5680" s="87" t="s">
        <v>21871</v>
      </c>
      <c r="G5680" s="45" t="s">
        <v>15528</v>
      </c>
      <c r="H5680" s="55" t="s">
        <v>15529</v>
      </c>
      <c r="I5680" s="15" t="s">
        <v>1553</v>
      </c>
    </row>
    <row r="5681" spans="1:9" ht="51.75" customHeight="1" x14ac:dyDescent="0.35">
      <c r="A5681" s="15" t="s">
        <v>23549</v>
      </c>
      <c r="B5681" s="15" t="s">
        <v>37362</v>
      </c>
      <c r="C5681" s="15" t="s">
        <v>37363</v>
      </c>
      <c r="D5681" s="31">
        <v>43691</v>
      </c>
      <c r="E5681" s="15" t="s">
        <v>37364</v>
      </c>
      <c r="F5681" s="87" t="s">
        <v>36618</v>
      </c>
      <c r="G5681" s="45" t="s">
        <v>15534</v>
      </c>
      <c r="H5681" s="55" t="s">
        <v>15535</v>
      </c>
      <c r="I5681" s="15" t="s">
        <v>1553</v>
      </c>
    </row>
    <row r="5682" spans="1:9" ht="51.75" customHeight="1" x14ac:dyDescent="0.35">
      <c r="A5682" s="15" t="s">
        <v>23549</v>
      </c>
      <c r="B5682" s="15" t="s">
        <v>37365</v>
      </c>
      <c r="C5682" s="15" t="s">
        <v>37363</v>
      </c>
      <c r="D5682" s="31">
        <v>43691</v>
      </c>
      <c r="E5682" s="15" t="s">
        <v>37366</v>
      </c>
      <c r="F5682" s="87" t="s">
        <v>21871</v>
      </c>
      <c r="G5682" s="45" t="s">
        <v>15534</v>
      </c>
      <c r="H5682" s="55" t="s">
        <v>15535</v>
      </c>
      <c r="I5682" s="15" t="s">
        <v>1553</v>
      </c>
    </row>
    <row r="5683" spans="1:9" ht="51.75" customHeight="1" x14ac:dyDescent="0.35">
      <c r="A5683" s="15" t="s">
        <v>33958</v>
      </c>
      <c r="B5683" s="15" t="s">
        <v>37367</v>
      </c>
      <c r="C5683" s="15" t="s">
        <v>37368</v>
      </c>
      <c r="D5683" s="31">
        <v>43720</v>
      </c>
      <c r="E5683" s="15" t="s">
        <v>37369</v>
      </c>
      <c r="F5683" s="87" t="s">
        <v>36618</v>
      </c>
      <c r="G5683" s="45" t="s">
        <v>15596</v>
      </c>
      <c r="H5683" s="55" t="s">
        <v>15597</v>
      </c>
      <c r="I5683" s="15" t="s">
        <v>1553</v>
      </c>
    </row>
    <row r="5684" spans="1:9" ht="51.75" customHeight="1" x14ac:dyDescent="0.35">
      <c r="A5684" s="15" t="s">
        <v>33958</v>
      </c>
      <c r="B5684" s="15" t="s">
        <v>37370</v>
      </c>
      <c r="C5684" s="15" t="s">
        <v>37368</v>
      </c>
      <c r="D5684" s="31">
        <v>43720</v>
      </c>
      <c r="E5684" s="15" t="s">
        <v>37371</v>
      </c>
      <c r="F5684" s="87" t="s">
        <v>21871</v>
      </c>
      <c r="G5684" s="45" t="s">
        <v>15596</v>
      </c>
      <c r="H5684" s="55" t="s">
        <v>15597</v>
      </c>
      <c r="I5684" s="15" t="s">
        <v>1553</v>
      </c>
    </row>
    <row r="5685" spans="1:9" ht="51.75" customHeight="1" x14ac:dyDescent="0.35">
      <c r="A5685" s="15" t="s">
        <v>37372</v>
      </c>
      <c r="B5685" s="15" t="s">
        <v>37373</v>
      </c>
      <c r="C5685" s="15" t="s">
        <v>37374</v>
      </c>
      <c r="D5685" s="31">
        <v>43733</v>
      </c>
      <c r="E5685" s="15" t="s">
        <v>37375</v>
      </c>
      <c r="F5685" s="87" t="s">
        <v>36618</v>
      </c>
      <c r="G5685" s="45" t="s">
        <v>15608</v>
      </c>
      <c r="H5685" s="55" t="s">
        <v>15609</v>
      </c>
      <c r="I5685" s="15" t="s">
        <v>1553</v>
      </c>
    </row>
    <row r="5686" spans="1:9" ht="51.75" customHeight="1" x14ac:dyDescent="0.35">
      <c r="A5686" s="15" t="s">
        <v>37372</v>
      </c>
      <c r="B5686" s="15" t="s">
        <v>37376</v>
      </c>
      <c r="C5686" s="15" t="s">
        <v>37374</v>
      </c>
      <c r="D5686" s="31">
        <v>43733</v>
      </c>
      <c r="E5686" s="15" t="s">
        <v>37377</v>
      </c>
      <c r="F5686" s="87" t="s">
        <v>21871</v>
      </c>
      <c r="G5686" s="45" t="s">
        <v>15608</v>
      </c>
      <c r="H5686" s="55" t="s">
        <v>15609</v>
      </c>
      <c r="I5686" s="15" t="s">
        <v>1553</v>
      </c>
    </row>
    <row r="5687" spans="1:9" ht="51.75" customHeight="1" x14ac:dyDescent="0.35">
      <c r="A5687" s="15" t="s">
        <v>37378</v>
      </c>
      <c r="B5687" s="15" t="s">
        <v>37379</v>
      </c>
      <c r="C5687" s="15" t="s">
        <v>37374</v>
      </c>
      <c r="D5687" s="31">
        <v>43733</v>
      </c>
      <c r="E5687" s="15" t="s">
        <v>37380</v>
      </c>
      <c r="F5687" s="87" t="s">
        <v>36618</v>
      </c>
      <c r="G5687" s="45" t="s">
        <v>15608</v>
      </c>
      <c r="H5687" s="55" t="s">
        <v>15609</v>
      </c>
      <c r="I5687" s="15" t="s">
        <v>1553</v>
      </c>
    </row>
    <row r="5688" spans="1:9" ht="51.75" customHeight="1" x14ac:dyDescent="0.35">
      <c r="A5688" s="15" t="s">
        <v>37378</v>
      </c>
      <c r="B5688" s="15" t="s">
        <v>37381</v>
      </c>
      <c r="C5688" s="15" t="s">
        <v>37374</v>
      </c>
      <c r="D5688" s="31">
        <v>43733</v>
      </c>
      <c r="E5688" s="15" t="s">
        <v>37382</v>
      </c>
      <c r="F5688" s="87" t="s">
        <v>21871</v>
      </c>
      <c r="G5688" s="45" t="s">
        <v>15608</v>
      </c>
      <c r="H5688" s="55" t="s">
        <v>15609</v>
      </c>
      <c r="I5688" s="15" t="s">
        <v>1553</v>
      </c>
    </row>
    <row r="5689" spans="1:9" ht="51.75" customHeight="1" x14ac:dyDescent="0.35">
      <c r="A5689" s="15" t="s">
        <v>37383</v>
      </c>
      <c r="B5689" s="15" t="s">
        <v>37384</v>
      </c>
      <c r="C5689" s="15" t="s">
        <v>37385</v>
      </c>
      <c r="D5689" s="31">
        <v>43691</v>
      </c>
      <c r="E5689" s="15" t="s">
        <v>37386</v>
      </c>
      <c r="F5689" s="87" t="s">
        <v>36618</v>
      </c>
      <c r="G5689" s="45" t="s">
        <v>15626</v>
      </c>
      <c r="H5689" s="55" t="s">
        <v>15627</v>
      </c>
      <c r="I5689" s="15" t="s">
        <v>1553</v>
      </c>
    </row>
    <row r="5690" spans="1:9" ht="51.75" customHeight="1" x14ac:dyDescent="0.35">
      <c r="A5690" s="15" t="s">
        <v>37383</v>
      </c>
      <c r="B5690" s="15" t="s">
        <v>37387</v>
      </c>
      <c r="C5690" s="15" t="s">
        <v>37385</v>
      </c>
      <c r="D5690" s="31">
        <v>43691</v>
      </c>
      <c r="E5690" s="15" t="s">
        <v>37388</v>
      </c>
      <c r="F5690" s="87" t="s">
        <v>21871</v>
      </c>
      <c r="G5690" s="45" t="s">
        <v>15626</v>
      </c>
      <c r="H5690" s="55" t="s">
        <v>15627</v>
      </c>
      <c r="I5690" s="15" t="s">
        <v>1553</v>
      </c>
    </row>
    <row r="5691" spans="1:9" ht="51.75" customHeight="1" x14ac:dyDescent="0.35">
      <c r="A5691" s="15" t="s">
        <v>33943</v>
      </c>
      <c r="B5691" s="15" t="s">
        <v>37389</v>
      </c>
      <c r="C5691" s="15" t="s">
        <v>37390</v>
      </c>
      <c r="D5691" s="31">
        <v>43691</v>
      </c>
      <c r="E5691" s="15" t="s">
        <v>37391</v>
      </c>
      <c r="F5691" s="87" t="s">
        <v>36618</v>
      </c>
      <c r="G5691" s="45" t="s">
        <v>15632</v>
      </c>
      <c r="H5691" s="55" t="s">
        <v>15633</v>
      </c>
      <c r="I5691" s="15" t="s">
        <v>1553</v>
      </c>
    </row>
    <row r="5692" spans="1:9" ht="51.75" customHeight="1" x14ac:dyDescent="0.35">
      <c r="A5692" s="15" t="s">
        <v>33943</v>
      </c>
      <c r="B5692" s="15" t="s">
        <v>37392</v>
      </c>
      <c r="C5692" s="15" t="s">
        <v>37390</v>
      </c>
      <c r="D5692" s="31">
        <v>43691</v>
      </c>
      <c r="E5692" s="15" t="s">
        <v>37393</v>
      </c>
      <c r="F5692" s="87" t="s">
        <v>21871</v>
      </c>
      <c r="G5692" s="45" t="s">
        <v>15632</v>
      </c>
      <c r="H5692" s="55" t="s">
        <v>15633</v>
      </c>
      <c r="I5692" s="15" t="s">
        <v>1553</v>
      </c>
    </row>
    <row r="5693" spans="1:9" ht="51.75" customHeight="1" x14ac:dyDescent="0.35">
      <c r="A5693" s="15" t="s">
        <v>23662</v>
      </c>
      <c r="B5693" s="15" t="s">
        <v>37394</v>
      </c>
      <c r="C5693" s="15" t="s">
        <v>37395</v>
      </c>
      <c r="D5693" s="31">
        <v>43773</v>
      </c>
      <c r="E5693" s="15" t="s">
        <v>37396</v>
      </c>
      <c r="F5693" s="87" t="s">
        <v>36618</v>
      </c>
      <c r="G5693" s="45" t="s">
        <v>15738</v>
      </c>
      <c r="H5693" s="55" t="s">
        <v>15739</v>
      </c>
      <c r="I5693" s="15" t="s">
        <v>1553</v>
      </c>
    </row>
    <row r="5694" spans="1:9" ht="51.75" customHeight="1" x14ac:dyDescent="0.35">
      <c r="A5694" s="15" t="s">
        <v>23662</v>
      </c>
      <c r="B5694" s="15" t="s">
        <v>37397</v>
      </c>
      <c r="C5694" s="15" t="s">
        <v>37395</v>
      </c>
      <c r="D5694" s="31">
        <v>43773</v>
      </c>
      <c r="E5694" s="15" t="s">
        <v>37398</v>
      </c>
      <c r="F5694" s="87" t="s">
        <v>21871</v>
      </c>
      <c r="G5694" s="45" t="s">
        <v>15738</v>
      </c>
      <c r="H5694" s="55" t="s">
        <v>15739</v>
      </c>
      <c r="I5694" s="15" t="s">
        <v>1553</v>
      </c>
    </row>
    <row r="5695" spans="1:9" ht="51.75" customHeight="1" x14ac:dyDescent="0.35">
      <c r="A5695" s="15" t="s">
        <v>37399</v>
      </c>
      <c r="B5695" s="15" t="s">
        <v>37400</v>
      </c>
      <c r="C5695" s="15" t="s">
        <v>37401</v>
      </c>
      <c r="D5695" s="31">
        <v>43780</v>
      </c>
      <c r="E5695" s="15" t="s">
        <v>37402</v>
      </c>
      <c r="F5695" s="87" t="s">
        <v>36618</v>
      </c>
      <c r="G5695" s="45" t="s">
        <v>15756</v>
      </c>
      <c r="H5695" s="55" t="s">
        <v>15757</v>
      </c>
      <c r="I5695" s="15" t="s">
        <v>1553</v>
      </c>
    </row>
    <row r="5696" spans="1:9" ht="51.75" customHeight="1" x14ac:dyDescent="0.35">
      <c r="A5696" s="15" t="s">
        <v>37399</v>
      </c>
      <c r="B5696" s="15" t="s">
        <v>37403</v>
      </c>
      <c r="C5696" s="15" t="s">
        <v>37401</v>
      </c>
      <c r="D5696" s="31">
        <v>43780</v>
      </c>
      <c r="E5696" s="15" t="s">
        <v>37404</v>
      </c>
      <c r="F5696" s="87" t="s">
        <v>21871</v>
      </c>
      <c r="G5696" s="45" t="s">
        <v>15756</v>
      </c>
      <c r="H5696" s="55" t="s">
        <v>15757</v>
      </c>
      <c r="I5696" s="15" t="s">
        <v>1553</v>
      </c>
    </row>
    <row r="5697" spans="1:9" ht="51.75" customHeight="1" x14ac:dyDescent="0.35">
      <c r="A5697" s="15" t="s">
        <v>37405</v>
      </c>
      <c r="B5697" s="15" t="s">
        <v>37406</v>
      </c>
      <c r="C5697" s="15" t="s">
        <v>37401</v>
      </c>
      <c r="D5697" s="31">
        <v>43780</v>
      </c>
      <c r="E5697" s="15" t="s">
        <v>37407</v>
      </c>
      <c r="F5697" s="87" t="s">
        <v>36618</v>
      </c>
      <c r="G5697" s="45" t="s">
        <v>15756</v>
      </c>
      <c r="H5697" s="55" t="s">
        <v>15757</v>
      </c>
      <c r="I5697" s="15" t="s">
        <v>1553</v>
      </c>
    </row>
    <row r="5698" spans="1:9" ht="51.75" customHeight="1" x14ac:dyDescent="0.35">
      <c r="A5698" s="15" t="s">
        <v>37405</v>
      </c>
      <c r="B5698" s="15" t="s">
        <v>37408</v>
      </c>
      <c r="C5698" s="15" t="s">
        <v>37401</v>
      </c>
      <c r="D5698" s="31">
        <v>43780</v>
      </c>
      <c r="E5698" s="15" t="s">
        <v>37409</v>
      </c>
      <c r="F5698" s="87" t="s">
        <v>21871</v>
      </c>
      <c r="G5698" s="45" t="s">
        <v>15756</v>
      </c>
      <c r="H5698" s="55" t="s">
        <v>15757</v>
      </c>
      <c r="I5698" s="15" t="s">
        <v>1553</v>
      </c>
    </row>
    <row r="5699" spans="1:9" ht="51.75" customHeight="1" x14ac:dyDescent="0.35">
      <c r="A5699" s="15" t="s">
        <v>37410</v>
      </c>
      <c r="B5699" s="15" t="s">
        <v>37411</v>
      </c>
      <c r="C5699" s="15" t="s">
        <v>37401</v>
      </c>
      <c r="D5699" s="31">
        <v>43780</v>
      </c>
      <c r="E5699" s="15" t="s">
        <v>37412</v>
      </c>
      <c r="F5699" s="87" t="s">
        <v>36618</v>
      </c>
      <c r="G5699" s="45" t="s">
        <v>15756</v>
      </c>
      <c r="H5699" s="55" t="s">
        <v>15757</v>
      </c>
      <c r="I5699" s="15" t="s">
        <v>1553</v>
      </c>
    </row>
    <row r="5700" spans="1:9" ht="51.75" customHeight="1" x14ac:dyDescent="0.35">
      <c r="A5700" s="15" t="s">
        <v>37410</v>
      </c>
      <c r="B5700" s="15" t="s">
        <v>37413</v>
      </c>
      <c r="C5700" s="15" t="s">
        <v>37401</v>
      </c>
      <c r="D5700" s="31">
        <v>43780</v>
      </c>
      <c r="E5700" s="15" t="s">
        <v>37414</v>
      </c>
      <c r="F5700" s="87" t="s">
        <v>21871</v>
      </c>
      <c r="G5700" s="45" t="s">
        <v>15756</v>
      </c>
      <c r="H5700" s="55" t="s">
        <v>15757</v>
      </c>
      <c r="I5700" s="15" t="s">
        <v>1553</v>
      </c>
    </row>
    <row r="5701" spans="1:9" ht="51.75" customHeight="1" x14ac:dyDescent="0.35">
      <c r="A5701" s="15" t="s">
        <v>37415</v>
      </c>
      <c r="B5701" s="15" t="s">
        <v>37416</v>
      </c>
      <c r="C5701" s="15" t="s">
        <v>37417</v>
      </c>
      <c r="D5701" s="31">
        <v>43790</v>
      </c>
      <c r="E5701" s="15" t="s">
        <v>37418</v>
      </c>
      <c r="F5701" s="87" t="s">
        <v>36618</v>
      </c>
      <c r="G5701" s="45" t="s">
        <v>15786</v>
      </c>
      <c r="H5701" s="55" t="s">
        <v>15787</v>
      </c>
      <c r="I5701" s="15" t="s">
        <v>1553</v>
      </c>
    </row>
    <row r="5702" spans="1:9" ht="51.75" customHeight="1" x14ac:dyDescent="0.35">
      <c r="A5702" s="15" t="s">
        <v>37415</v>
      </c>
      <c r="B5702" s="15" t="s">
        <v>37419</v>
      </c>
      <c r="C5702" s="15" t="s">
        <v>37417</v>
      </c>
      <c r="D5702" s="31">
        <v>43790</v>
      </c>
      <c r="E5702" s="15" t="s">
        <v>37420</v>
      </c>
      <c r="F5702" s="87" t="s">
        <v>21871</v>
      </c>
      <c r="G5702" s="45" t="s">
        <v>15786</v>
      </c>
      <c r="H5702" s="55" t="s">
        <v>15787</v>
      </c>
      <c r="I5702" s="15" t="s">
        <v>1553</v>
      </c>
    </row>
    <row r="5703" spans="1:9" ht="51.75" customHeight="1" x14ac:dyDescent="0.35">
      <c r="A5703" s="15" t="s">
        <v>22127</v>
      </c>
      <c r="B5703" s="15" t="s">
        <v>37421</v>
      </c>
      <c r="C5703" s="15" t="s">
        <v>37385</v>
      </c>
      <c r="D5703" s="31">
        <v>43650</v>
      </c>
      <c r="E5703" s="15" t="s">
        <v>37422</v>
      </c>
      <c r="F5703" s="87" t="s">
        <v>36618</v>
      </c>
      <c r="G5703" s="45" t="s">
        <v>15853</v>
      </c>
      <c r="H5703" s="55" t="s">
        <v>15854</v>
      </c>
      <c r="I5703" s="15" t="s">
        <v>1553</v>
      </c>
    </row>
    <row r="5704" spans="1:9" ht="51.75" customHeight="1" x14ac:dyDescent="0.35">
      <c r="A5704" s="15" t="s">
        <v>22127</v>
      </c>
      <c r="B5704" s="15" t="s">
        <v>37423</v>
      </c>
      <c r="C5704" s="15" t="s">
        <v>37385</v>
      </c>
      <c r="D5704" s="31">
        <v>43650</v>
      </c>
      <c r="E5704" s="15" t="s">
        <v>37424</v>
      </c>
      <c r="F5704" s="87" t="s">
        <v>21871</v>
      </c>
      <c r="G5704" s="45" t="s">
        <v>15853</v>
      </c>
      <c r="H5704" s="55" t="s">
        <v>15854</v>
      </c>
      <c r="I5704" s="15" t="s">
        <v>1553</v>
      </c>
    </row>
    <row r="5705" spans="1:9" ht="51.75" customHeight="1" x14ac:dyDescent="0.35">
      <c r="A5705" s="15" t="s">
        <v>37425</v>
      </c>
      <c r="B5705" s="15" t="s">
        <v>37426</v>
      </c>
      <c r="C5705" s="15" t="s">
        <v>37427</v>
      </c>
      <c r="D5705" s="31">
        <v>43782</v>
      </c>
      <c r="E5705" s="15" t="s">
        <v>37428</v>
      </c>
      <c r="F5705" s="87" t="s">
        <v>36618</v>
      </c>
      <c r="G5705" s="45" t="s">
        <v>15876</v>
      </c>
      <c r="H5705" s="55" t="s">
        <v>15877</v>
      </c>
      <c r="I5705" s="15" t="s">
        <v>1553</v>
      </c>
    </row>
    <row r="5706" spans="1:9" ht="51.75" customHeight="1" x14ac:dyDescent="0.35">
      <c r="A5706" s="15" t="s">
        <v>37425</v>
      </c>
      <c r="B5706" s="15" t="s">
        <v>37429</v>
      </c>
      <c r="C5706" s="15" t="s">
        <v>37427</v>
      </c>
      <c r="D5706" s="31">
        <v>43782</v>
      </c>
      <c r="E5706" s="15" t="s">
        <v>37430</v>
      </c>
      <c r="F5706" s="87" t="s">
        <v>21871</v>
      </c>
      <c r="G5706" s="45" t="s">
        <v>15876</v>
      </c>
      <c r="H5706" s="55" t="s">
        <v>15877</v>
      </c>
      <c r="I5706" s="15" t="s">
        <v>1553</v>
      </c>
    </row>
    <row r="5707" spans="1:9" ht="51.75" customHeight="1" x14ac:dyDescent="0.35">
      <c r="A5707" s="15" t="s">
        <v>37431</v>
      </c>
      <c r="B5707" s="15" t="s">
        <v>37432</v>
      </c>
      <c r="C5707" s="15" t="s">
        <v>37433</v>
      </c>
      <c r="D5707" s="31">
        <v>43804</v>
      </c>
      <c r="E5707" s="15" t="s">
        <v>37434</v>
      </c>
      <c r="F5707" s="87" t="s">
        <v>36618</v>
      </c>
      <c r="G5707" s="45" t="s">
        <v>15895</v>
      </c>
      <c r="H5707" s="55" t="s">
        <v>15896</v>
      </c>
      <c r="I5707" s="15" t="s">
        <v>1553</v>
      </c>
    </row>
    <row r="5708" spans="1:9" ht="51.75" customHeight="1" x14ac:dyDescent="0.35">
      <c r="A5708" s="15" t="s">
        <v>37431</v>
      </c>
      <c r="B5708" s="15" t="s">
        <v>37435</v>
      </c>
      <c r="C5708" s="15" t="s">
        <v>37433</v>
      </c>
      <c r="D5708" s="31">
        <v>43804</v>
      </c>
      <c r="E5708" s="15" t="s">
        <v>37436</v>
      </c>
      <c r="F5708" s="87" t="s">
        <v>21871</v>
      </c>
      <c r="G5708" s="45" t="s">
        <v>15895</v>
      </c>
      <c r="H5708" s="55" t="s">
        <v>15896</v>
      </c>
      <c r="I5708" s="15" t="s">
        <v>1553</v>
      </c>
    </row>
    <row r="5709" spans="1:9" ht="51.75" customHeight="1" x14ac:dyDescent="0.35">
      <c r="A5709" s="15" t="s">
        <v>37437</v>
      </c>
      <c r="B5709" s="15" t="s">
        <v>37438</v>
      </c>
      <c r="C5709" s="15" t="s">
        <v>37433</v>
      </c>
      <c r="D5709" s="31">
        <v>43804</v>
      </c>
      <c r="E5709" s="15" t="s">
        <v>37439</v>
      </c>
      <c r="F5709" s="87" t="s">
        <v>36618</v>
      </c>
      <c r="G5709" s="45" t="s">
        <v>15895</v>
      </c>
      <c r="H5709" s="55" t="s">
        <v>15896</v>
      </c>
      <c r="I5709" s="15" t="s">
        <v>1553</v>
      </c>
    </row>
    <row r="5710" spans="1:9" ht="51.75" customHeight="1" x14ac:dyDescent="0.35">
      <c r="A5710" s="15" t="s">
        <v>37437</v>
      </c>
      <c r="B5710" s="15" t="s">
        <v>37440</v>
      </c>
      <c r="C5710" s="15" t="s">
        <v>37433</v>
      </c>
      <c r="D5710" s="31">
        <v>43804</v>
      </c>
      <c r="E5710" s="15" t="s">
        <v>37441</v>
      </c>
      <c r="F5710" s="87" t="s">
        <v>21871</v>
      </c>
      <c r="G5710" s="45" t="s">
        <v>15895</v>
      </c>
      <c r="H5710" s="55" t="s">
        <v>15896</v>
      </c>
      <c r="I5710" s="15" t="s">
        <v>1553</v>
      </c>
    </row>
    <row r="5711" spans="1:9" ht="51.75" customHeight="1" x14ac:dyDescent="0.35">
      <c r="A5711" s="15" t="s">
        <v>37442</v>
      </c>
      <c r="B5711" s="15" t="s">
        <v>37443</v>
      </c>
      <c r="C5711" s="15" t="s">
        <v>37433</v>
      </c>
      <c r="D5711" s="31">
        <v>43804</v>
      </c>
      <c r="E5711" s="15" t="s">
        <v>37444</v>
      </c>
      <c r="F5711" s="87" t="s">
        <v>36618</v>
      </c>
      <c r="G5711" s="45" t="s">
        <v>15895</v>
      </c>
      <c r="H5711" s="55" t="s">
        <v>15896</v>
      </c>
      <c r="I5711" s="15" t="s">
        <v>1553</v>
      </c>
    </row>
    <row r="5712" spans="1:9" ht="51.75" customHeight="1" x14ac:dyDescent="0.35">
      <c r="A5712" s="15" t="s">
        <v>37442</v>
      </c>
      <c r="B5712" s="15" t="s">
        <v>37445</v>
      </c>
      <c r="C5712" s="15" t="s">
        <v>37433</v>
      </c>
      <c r="D5712" s="31">
        <v>43804</v>
      </c>
      <c r="E5712" s="15" t="s">
        <v>37446</v>
      </c>
      <c r="F5712" s="87" t="s">
        <v>21871</v>
      </c>
      <c r="G5712" s="45" t="s">
        <v>15895</v>
      </c>
      <c r="H5712" s="55" t="s">
        <v>15896</v>
      </c>
      <c r="I5712" s="15" t="s">
        <v>1553</v>
      </c>
    </row>
    <row r="5713" spans="1:9" ht="51.75" customHeight="1" x14ac:dyDescent="0.35">
      <c r="A5713" s="15" t="s">
        <v>23289</v>
      </c>
      <c r="B5713" s="15" t="s">
        <v>37447</v>
      </c>
      <c r="C5713" s="15" t="s">
        <v>37448</v>
      </c>
      <c r="D5713" s="31">
        <v>43812</v>
      </c>
      <c r="E5713" s="15" t="s">
        <v>37449</v>
      </c>
      <c r="F5713" s="87" t="s">
        <v>36618</v>
      </c>
      <c r="G5713" s="45" t="s">
        <v>15923</v>
      </c>
      <c r="H5713" s="55" t="s">
        <v>15924</v>
      </c>
      <c r="I5713" s="15" t="s">
        <v>1553</v>
      </c>
    </row>
    <row r="5714" spans="1:9" ht="51.75" customHeight="1" x14ac:dyDescent="0.35">
      <c r="A5714" s="15" t="s">
        <v>23289</v>
      </c>
      <c r="B5714" s="15" t="s">
        <v>37450</v>
      </c>
      <c r="C5714" s="15" t="s">
        <v>37448</v>
      </c>
      <c r="D5714" s="31">
        <v>43812</v>
      </c>
      <c r="E5714" s="15" t="s">
        <v>37451</v>
      </c>
      <c r="F5714" s="87" t="s">
        <v>21871</v>
      </c>
      <c r="G5714" s="45" t="s">
        <v>15923</v>
      </c>
      <c r="H5714" s="55" t="s">
        <v>15924</v>
      </c>
      <c r="I5714" s="15" t="s">
        <v>1553</v>
      </c>
    </row>
    <row r="5715" spans="1:9" ht="51.75" customHeight="1" x14ac:dyDescent="0.35">
      <c r="A5715" s="15" t="s">
        <v>37452</v>
      </c>
      <c r="B5715" s="15" t="s">
        <v>37453</v>
      </c>
      <c r="C5715" s="15" t="s">
        <v>37385</v>
      </c>
      <c r="D5715" s="31">
        <v>43804</v>
      </c>
      <c r="E5715" s="15" t="s">
        <v>37454</v>
      </c>
      <c r="F5715" s="87" t="s">
        <v>36618</v>
      </c>
      <c r="G5715" s="45" t="s">
        <v>15905</v>
      </c>
      <c r="H5715" s="55" t="s">
        <v>15906</v>
      </c>
      <c r="I5715" s="15" t="s">
        <v>1553</v>
      </c>
    </row>
    <row r="5716" spans="1:9" ht="51.75" customHeight="1" x14ac:dyDescent="0.35">
      <c r="A5716" s="15" t="s">
        <v>37452</v>
      </c>
      <c r="B5716" s="15" t="s">
        <v>37455</v>
      </c>
      <c r="C5716" s="15" t="s">
        <v>37385</v>
      </c>
      <c r="D5716" s="31">
        <v>43804</v>
      </c>
      <c r="E5716" s="15" t="s">
        <v>37456</v>
      </c>
      <c r="F5716" s="87" t="s">
        <v>21871</v>
      </c>
      <c r="G5716" s="45" t="s">
        <v>15905</v>
      </c>
      <c r="H5716" s="55" t="s">
        <v>15906</v>
      </c>
      <c r="I5716" s="15" t="s">
        <v>1553</v>
      </c>
    </row>
    <row r="5717" spans="1:9" ht="51.75" customHeight="1" x14ac:dyDescent="0.35">
      <c r="A5717" s="15" t="s">
        <v>37457</v>
      </c>
      <c r="B5717" s="15" t="s">
        <v>37458</v>
      </c>
      <c r="C5717" s="15" t="s">
        <v>37385</v>
      </c>
      <c r="D5717" s="31">
        <v>43804</v>
      </c>
      <c r="E5717" s="15" t="s">
        <v>37459</v>
      </c>
      <c r="F5717" s="87" t="s">
        <v>36618</v>
      </c>
      <c r="G5717" s="45" t="s">
        <v>15905</v>
      </c>
      <c r="H5717" s="55" t="s">
        <v>15906</v>
      </c>
      <c r="I5717" s="15" t="s">
        <v>1553</v>
      </c>
    </row>
    <row r="5718" spans="1:9" ht="51.75" customHeight="1" x14ac:dyDescent="0.35">
      <c r="A5718" s="15" t="s">
        <v>37457</v>
      </c>
      <c r="B5718" s="15" t="s">
        <v>37460</v>
      </c>
      <c r="C5718" s="15" t="s">
        <v>37385</v>
      </c>
      <c r="D5718" s="31">
        <v>43804</v>
      </c>
      <c r="E5718" s="15" t="s">
        <v>37461</v>
      </c>
      <c r="F5718" s="87" t="s">
        <v>21871</v>
      </c>
      <c r="G5718" s="45" t="s">
        <v>15905</v>
      </c>
      <c r="H5718" s="55" t="s">
        <v>15906</v>
      </c>
      <c r="I5718" s="15" t="s">
        <v>1553</v>
      </c>
    </row>
    <row r="5719" spans="1:9" ht="51.75" customHeight="1" x14ac:dyDescent="0.35">
      <c r="A5719" s="15" t="s">
        <v>22956</v>
      </c>
      <c r="B5719" s="15" t="s">
        <v>37462</v>
      </c>
      <c r="C5719" s="15" t="s">
        <v>37463</v>
      </c>
      <c r="D5719" s="31">
        <v>43846</v>
      </c>
      <c r="E5719" s="15" t="s">
        <v>37464</v>
      </c>
      <c r="F5719" s="87" t="s">
        <v>36618</v>
      </c>
      <c r="G5719" s="45" t="s">
        <v>15946</v>
      </c>
      <c r="H5719" s="55" t="s">
        <v>15947</v>
      </c>
      <c r="I5719" s="15" t="s">
        <v>1553</v>
      </c>
    </row>
    <row r="5720" spans="1:9" ht="51.75" customHeight="1" x14ac:dyDescent="0.35">
      <c r="A5720" s="15" t="s">
        <v>22956</v>
      </c>
      <c r="B5720" s="15" t="s">
        <v>37465</v>
      </c>
      <c r="C5720" s="15" t="s">
        <v>37463</v>
      </c>
      <c r="D5720" s="31">
        <v>43846</v>
      </c>
      <c r="E5720" s="15" t="s">
        <v>37466</v>
      </c>
      <c r="F5720" s="87" t="s">
        <v>21871</v>
      </c>
      <c r="G5720" s="45" t="s">
        <v>15946</v>
      </c>
      <c r="H5720" s="55" t="s">
        <v>15947</v>
      </c>
      <c r="I5720" s="15" t="s">
        <v>1553</v>
      </c>
    </row>
    <row r="5721" spans="1:9" ht="51.75" customHeight="1" x14ac:dyDescent="0.35">
      <c r="A5721" s="15" t="s">
        <v>22964</v>
      </c>
      <c r="B5721" s="15" t="s">
        <v>37467</v>
      </c>
      <c r="C5721" s="15" t="s">
        <v>37468</v>
      </c>
      <c r="D5721" s="31">
        <v>43846</v>
      </c>
      <c r="E5721" s="15" t="s">
        <v>37469</v>
      </c>
      <c r="F5721" s="87" t="s">
        <v>36618</v>
      </c>
      <c r="G5721" s="45" t="s">
        <v>15946</v>
      </c>
      <c r="H5721" s="55" t="s">
        <v>15947</v>
      </c>
      <c r="I5721" s="15" t="s">
        <v>1553</v>
      </c>
    </row>
    <row r="5722" spans="1:9" ht="51.75" customHeight="1" x14ac:dyDescent="0.35">
      <c r="A5722" s="15" t="s">
        <v>22964</v>
      </c>
      <c r="B5722" s="15" t="s">
        <v>37470</v>
      </c>
      <c r="C5722" s="15" t="s">
        <v>37468</v>
      </c>
      <c r="D5722" s="31">
        <v>43846</v>
      </c>
      <c r="E5722" s="15" t="s">
        <v>37471</v>
      </c>
      <c r="F5722" s="87" t="s">
        <v>21871</v>
      </c>
      <c r="G5722" s="45" t="s">
        <v>15946</v>
      </c>
      <c r="H5722" s="55" t="s">
        <v>15947</v>
      </c>
      <c r="I5722" s="15" t="s">
        <v>1553</v>
      </c>
    </row>
    <row r="5723" spans="1:9" ht="51.75" customHeight="1" x14ac:dyDescent="0.35">
      <c r="A5723" s="15" t="s">
        <v>23197</v>
      </c>
      <c r="B5723" s="15" t="s">
        <v>37472</v>
      </c>
      <c r="C5723" s="15" t="s">
        <v>37463</v>
      </c>
      <c r="D5723" s="31">
        <v>43846</v>
      </c>
      <c r="E5723" s="15" t="s">
        <v>37473</v>
      </c>
      <c r="F5723" s="87" t="s">
        <v>36618</v>
      </c>
      <c r="G5723" s="45" t="s">
        <v>15946</v>
      </c>
      <c r="H5723" s="55" t="s">
        <v>15947</v>
      </c>
      <c r="I5723" s="15" t="s">
        <v>1553</v>
      </c>
    </row>
    <row r="5724" spans="1:9" ht="51.75" customHeight="1" x14ac:dyDescent="0.35">
      <c r="A5724" s="15" t="s">
        <v>23197</v>
      </c>
      <c r="B5724" s="15" t="s">
        <v>37474</v>
      </c>
      <c r="C5724" s="15" t="s">
        <v>37463</v>
      </c>
      <c r="D5724" s="31">
        <v>43846</v>
      </c>
      <c r="E5724" s="15" t="s">
        <v>37475</v>
      </c>
      <c r="F5724" s="87" t="s">
        <v>21871</v>
      </c>
      <c r="G5724" s="45" t="s">
        <v>15946</v>
      </c>
      <c r="H5724" s="55" t="s">
        <v>15947</v>
      </c>
      <c r="I5724" s="15" t="s">
        <v>1553</v>
      </c>
    </row>
    <row r="5725" spans="1:9" ht="51.75" customHeight="1" x14ac:dyDescent="0.35">
      <c r="A5725" s="15" t="s">
        <v>23345</v>
      </c>
      <c r="B5725" s="15" t="s">
        <v>37476</v>
      </c>
      <c r="C5725" s="15" t="s">
        <v>37463</v>
      </c>
      <c r="D5725" s="31">
        <v>43846</v>
      </c>
      <c r="E5725" s="15" t="s">
        <v>37477</v>
      </c>
      <c r="F5725" s="87" t="s">
        <v>36618</v>
      </c>
      <c r="G5725" s="45" t="s">
        <v>15946</v>
      </c>
      <c r="H5725" s="55" t="s">
        <v>15947</v>
      </c>
      <c r="I5725" s="15" t="s">
        <v>1553</v>
      </c>
    </row>
    <row r="5726" spans="1:9" ht="51.75" customHeight="1" x14ac:dyDescent="0.35">
      <c r="A5726" s="15" t="s">
        <v>23345</v>
      </c>
      <c r="B5726" s="15" t="s">
        <v>37478</v>
      </c>
      <c r="C5726" s="15" t="s">
        <v>37463</v>
      </c>
      <c r="D5726" s="31">
        <v>43846</v>
      </c>
      <c r="E5726" s="15" t="s">
        <v>37479</v>
      </c>
      <c r="F5726" s="87" t="s">
        <v>21871</v>
      </c>
      <c r="G5726" s="45" t="s">
        <v>15946</v>
      </c>
      <c r="H5726" s="55" t="s">
        <v>15947</v>
      </c>
      <c r="I5726" s="15" t="s">
        <v>1553</v>
      </c>
    </row>
    <row r="5727" spans="1:9" ht="51.75" customHeight="1" x14ac:dyDescent="0.35">
      <c r="A5727" s="15" t="s">
        <v>25173</v>
      </c>
      <c r="B5727" s="15" t="s">
        <v>37480</v>
      </c>
      <c r="C5727" s="15" t="s">
        <v>37481</v>
      </c>
      <c r="D5727" s="31">
        <v>43853</v>
      </c>
      <c r="E5727" s="15" t="s">
        <v>37482</v>
      </c>
      <c r="F5727" s="87" t="s">
        <v>36618</v>
      </c>
      <c r="G5727" s="45" t="s">
        <v>15962</v>
      </c>
      <c r="H5727" s="55" t="s">
        <v>15963</v>
      </c>
      <c r="I5727" s="15" t="s">
        <v>1553</v>
      </c>
    </row>
    <row r="5728" spans="1:9" ht="51.75" customHeight="1" x14ac:dyDescent="0.35">
      <c r="A5728" s="15" t="s">
        <v>25173</v>
      </c>
      <c r="B5728" s="15" t="s">
        <v>37483</v>
      </c>
      <c r="C5728" s="15" t="s">
        <v>37481</v>
      </c>
      <c r="D5728" s="31">
        <v>43853</v>
      </c>
      <c r="E5728" s="15" t="s">
        <v>37484</v>
      </c>
      <c r="F5728" s="87" t="s">
        <v>21871</v>
      </c>
      <c r="G5728" s="45" t="s">
        <v>15962</v>
      </c>
      <c r="H5728" s="55" t="s">
        <v>15963</v>
      </c>
      <c r="I5728" s="15" t="s">
        <v>1553</v>
      </c>
    </row>
    <row r="5729" spans="1:9" ht="51.75" customHeight="1" x14ac:dyDescent="0.35">
      <c r="A5729" s="15" t="s">
        <v>24780</v>
      </c>
      <c r="B5729" s="15" t="s">
        <v>37485</v>
      </c>
      <c r="C5729" s="15" t="s">
        <v>37481</v>
      </c>
      <c r="D5729" s="31">
        <v>43853</v>
      </c>
      <c r="E5729" s="15" t="s">
        <v>37486</v>
      </c>
      <c r="F5729" s="87" t="s">
        <v>36618</v>
      </c>
      <c r="G5729" s="45" t="s">
        <v>15962</v>
      </c>
      <c r="H5729" s="55" t="s">
        <v>15963</v>
      </c>
      <c r="I5729" s="15" t="s">
        <v>1553</v>
      </c>
    </row>
    <row r="5730" spans="1:9" ht="51.75" customHeight="1" x14ac:dyDescent="0.35">
      <c r="A5730" s="15" t="s">
        <v>24780</v>
      </c>
      <c r="B5730" s="15" t="s">
        <v>37487</v>
      </c>
      <c r="C5730" s="15" t="s">
        <v>37481</v>
      </c>
      <c r="D5730" s="31">
        <v>43853</v>
      </c>
      <c r="E5730" s="15" t="s">
        <v>37488</v>
      </c>
      <c r="F5730" s="87" t="s">
        <v>21871</v>
      </c>
      <c r="G5730" s="45" t="s">
        <v>15962</v>
      </c>
      <c r="H5730" s="55" t="s">
        <v>15963</v>
      </c>
      <c r="I5730" s="15" t="s">
        <v>1553</v>
      </c>
    </row>
    <row r="5731" spans="1:9" ht="51.75" customHeight="1" x14ac:dyDescent="0.35">
      <c r="A5731" s="15" t="s">
        <v>24786</v>
      </c>
      <c r="B5731" s="15" t="s">
        <v>37489</v>
      </c>
      <c r="C5731" s="15" t="s">
        <v>37490</v>
      </c>
      <c r="D5731" s="31" t="s">
        <v>50</v>
      </c>
      <c r="E5731" s="15" t="s">
        <v>37491</v>
      </c>
      <c r="F5731" s="87" t="s">
        <v>36618</v>
      </c>
      <c r="G5731" s="45" t="s">
        <v>15987</v>
      </c>
      <c r="H5731" s="55" t="s">
        <v>15988</v>
      </c>
      <c r="I5731" s="15" t="s">
        <v>1553</v>
      </c>
    </row>
    <row r="5732" spans="1:9" ht="51.75" customHeight="1" x14ac:dyDescent="0.35">
      <c r="A5732" s="15" t="s">
        <v>24786</v>
      </c>
      <c r="B5732" s="15" t="s">
        <v>37492</v>
      </c>
      <c r="C5732" s="15" t="s">
        <v>37490</v>
      </c>
      <c r="D5732" s="31" t="s">
        <v>50</v>
      </c>
      <c r="E5732" s="15" t="s">
        <v>37493</v>
      </c>
      <c r="F5732" s="87" t="s">
        <v>21871</v>
      </c>
      <c r="G5732" s="45" t="s">
        <v>15987</v>
      </c>
      <c r="H5732" s="55" t="s">
        <v>15988</v>
      </c>
      <c r="I5732" s="15" t="s">
        <v>1553</v>
      </c>
    </row>
    <row r="5733" spans="1:9" ht="51.75" customHeight="1" x14ac:dyDescent="0.35">
      <c r="A5733" s="15" t="s">
        <v>24587</v>
      </c>
      <c r="B5733" s="15" t="s">
        <v>37494</v>
      </c>
      <c r="C5733" s="15" t="s">
        <v>37495</v>
      </c>
      <c r="D5733" s="31">
        <v>43852</v>
      </c>
      <c r="E5733" s="15" t="s">
        <v>37496</v>
      </c>
      <c r="F5733" s="87" t="s">
        <v>36618</v>
      </c>
      <c r="G5733" s="45" t="s">
        <v>15987</v>
      </c>
      <c r="H5733" s="55" t="s">
        <v>15988</v>
      </c>
      <c r="I5733" s="15" t="s">
        <v>1553</v>
      </c>
    </row>
    <row r="5734" spans="1:9" ht="51.75" customHeight="1" x14ac:dyDescent="0.35">
      <c r="A5734" s="15" t="s">
        <v>24587</v>
      </c>
      <c r="B5734" s="15" t="s">
        <v>37497</v>
      </c>
      <c r="C5734" s="15" t="s">
        <v>37495</v>
      </c>
      <c r="D5734" s="31">
        <v>43852</v>
      </c>
      <c r="E5734" s="15" t="s">
        <v>37498</v>
      </c>
      <c r="F5734" s="87" t="s">
        <v>21871</v>
      </c>
      <c r="G5734" s="45" t="s">
        <v>15987</v>
      </c>
      <c r="H5734" s="55" t="s">
        <v>15988</v>
      </c>
      <c r="I5734" s="15" t="s">
        <v>1553</v>
      </c>
    </row>
    <row r="5735" spans="1:9" ht="51.75" customHeight="1" x14ac:dyDescent="0.35">
      <c r="A5735" s="15" t="s">
        <v>23416</v>
      </c>
      <c r="B5735" s="15" t="s">
        <v>37499</v>
      </c>
      <c r="C5735" s="15" t="s">
        <v>37500</v>
      </c>
      <c r="D5735" s="31">
        <v>43867</v>
      </c>
      <c r="E5735" s="15" t="s">
        <v>37501</v>
      </c>
      <c r="F5735" s="87" t="s">
        <v>36618</v>
      </c>
      <c r="G5735" s="45" t="s">
        <v>16044</v>
      </c>
      <c r="H5735" s="55" t="s">
        <v>16045</v>
      </c>
      <c r="I5735" s="15" t="s">
        <v>1553</v>
      </c>
    </row>
    <row r="5736" spans="1:9" ht="51.75" customHeight="1" x14ac:dyDescent="0.35">
      <c r="A5736" s="15" t="s">
        <v>23416</v>
      </c>
      <c r="B5736" s="15" t="s">
        <v>37502</v>
      </c>
      <c r="C5736" s="15" t="s">
        <v>37500</v>
      </c>
      <c r="D5736" s="31">
        <v>43867</v>
      </c>
      <c r="E5736" s="15" t="s">
        <v>37503</v>
      </c>
      <c r="F5736" s="87" t="s">
        <v>21871</v>
      </c>
      <c r="G5736" s="45" t="s">
        <v>16044</v>
      </c>
      <c r="H5736" s="55" t="s">
        <v>16045</v>
      </c>
      <c r="I5736" s="15" t="s">
        <v>1553</v>
      </c>
    </row>
    <row r="5737" spans="1:9" ht="51.75" customHeight="1" x14ac:dyDescent="0.35">
      <c r="A5737" s="15" t="s">
        <v>25488</v>
      </c>
      <c r="B5737" s="15" t="s">
        <v>37504</v>
      </c>
      <c r="C5737" s="15" t="s">
        <v>37505</v>
      </c>
      <c r="D5737" s="31">
        <v>43867</v>
      </c>
      <c r="E5737" s="15" t="s">
        <v>37506</v>
      </c>
      <c r="F5737" s="87" t="s">
        <v>36618</v>
      </c>
      <c r="G5737" s="45" t="s">
        <v>16044</v>
      </c>
      <c r="H5737" s="55" t="s">
        <v>16045</v>
      </c>
      <c r="I5737" s="15" t="s">
        <v>1553</v>
      </c>
    </row>
    <row r="5738" spans="1:9" ht="51.75" customHeight="1" x14ac:dyDescent="0.35">
      <c r="A5738" s="15" t="s">
        <v>25488</v>
      </c>
      <c r="B5738" s="15" t="s">
        <v>37507</v>
      </c>
      <c r="C5738" s="15" t="s">
        <v>37505</v>
      </c>
      <c r="D5738" s="31">
        <v>43867</v>
      </c>
      <c r="E5738" s="15" t="s">
        <v>37508</v>
      </c>
      <c r="F5738" s="87" t="s">
        <v>21871</v>
      </c>
      <c r="G5738" s="45" t="s">
        <v>16044</v>
      </c>
      <c r="H5738" s="55" t="s">
        <v>16045</v>
      </c>
      <c r="I5738" s="15" t="s">
        <v>1553</v>
      </c>
    </row>
    <row r="5739" spans="1:9" ht="51.75" customHeight="1" x14ac:dyDescent="0.35">
      <c r="A5739" s="15" t="s">
        <v>27337</v>
      </c>
      <c r="B5739" s="15" t="s">
        <v>37509</v>
      </c>
      <c r="C5739" s="15" t="s">
        <v>37510</v>
      </c>
      <c r="D5739" s="31">
        <v>43643</v>
      </c>
      <c r="E5739" s="15" t="s">
        <v>37511</v>
      </c>
      <c r="F5739" s="87" t="s">
        <v>36618</v>
      </c>
      <c r="G5739" s="45" t="s">
        <v>15263</v>
      </c>
      <c r="H5739" s="55" t="s">
        <v>15264</v>
      </c>
      <c r="I5739" s="15" t="s">
        <v>1553</v>
      </c>
    </row>
    <row r="5740" spans="1:9" ht="51.75" customHeight="1" x14ac:dyDescent="0.35">
      <c r="A5740" s="15" t="s">
        <v>27337</v>
      </c>
      <c r="B5740" s="15" t="s">
        <v>37512</v>
      </c>
      <c r="C5740" s="15" t="s">
        <v>37510</v>
      </c>
      <c r="D5740" s="31">
        <v>43643</v>
      </c>
      <c r="E5740" s="15" t="s">
        <v>37513</v>
      </c>
      <c r="F5740" s="87" t="s">
        <v>21871</v>
      </c>
      <c r="G5740" s="45" t="s">
        <v>15263</v>
      </c>
      <c r="H5740" s="55" t="s">
        <v>15264</v>
      </c>
      <c r="I5740" s="15" t="s">
        <v>1553</v>
      </c>
    </row>
    <row r="5741" spans="1:9" ht="51.75" customHeight="1" x14ac:dyDescent="0.35">
      <c r="A5741" s="15" t="s">
        <v>28382</v>
      </c>
      <c r="B5741" s="15" t="s">
        <v>37514</v>
      </c>
      <c r="C5741" s="15" t="s">
        <v>37515</v>
      </c>
      <c r="D5741" s="31">
        <v>43889</v>
      </c>
      <c r="E5741" s="15" t="s">
        <v>37516</v>
      </c>
      <c r="F5741" s="87" t="s">
        <v>36618</v>
      </c>
      <c r="G5741" s="45" t="s">
        <v>15999</v>
      </c>
      <c r="H5741" s="55" t="s">
        <v>16000</v>
      </c>
      <c r="I5741" s="15" t="s">
        <v>1553</v>
      </c>
    </row>
    <row r="5742" spans="1:9" ht="51.75" customHeight="1" x14ac:dyDescent="0.35">
      <c r="A5742" s="15" t="s">
        <v>28382</v>
      </c>
      <c r="B5742" s="15" t="s">
        <v>37517</v>
      </c>
      <c r="C5742" s="15" t="s">
        <v>37515</v>
      </c>
      <c r="D5742" s="31">
        <v>43889</v>
      </c>
      <c r="E5742" s="15" t="s">
        <v>37518</v>
      </c>
      <c r="F5742" s="87" t="s">
        <v>21871</v>
      </c>
      <c r="G5742" s="45" t="s">
        <v>15999</v>
      </c>
      <c r="H5742" s="55" t="s">
        <v>16000</v>
      </c>
      <c r="I5742" s="15" t="s">
        <v>1553</v>
      </c>
    </row>
    <row r="5743" spans="1:9" ht="51.75" customHeight="1" x14ac:dyDescent="0.35">
      <c r="A5743" s="15" t="s">
        <v>28386</v>
      </c>
      <c r="B5743" s="15" t="s">
        <v>37519</v>
      </c>
      <c r="C5743" s="15" t="s">
        <v>37520</v>
      </c>
      <c r="D5743" s="31">
        <v>43918</v>
      </c>
      <c r="E5743" s="15" t="s">
        <v>37521</v>
      </c>
      <c r="F5743" s="87" t="s">
        <v>36618</v>
      </c>
      <c r="G5743" s="45" t="s">
        <v>15999</v>
      </c>
      <c r="H5743" s="55" t="s">
        <v>16000</v>
      </c>
      <c r="I5743" s="15" t="s">
        <v>1553</v>
      </c>
    </row>
    <row r="5744" spans="1:9" ht="51.75" customHeight="1" x14ac:dyDescent="0.35">
      <c r="A5744" s="15" t="s">
        <v>28386</v>
      </c>
      <c r="B5744" s="15" t="s">
        <v>37522</v>
      </c>
      <c r="C5744" s="15" t="s">
        <v>37520</v>
      </c>
      <c r="D5744" s="31">
        <v>43918</v>
      </c>
      <c r="E5744" s="15" t="s">
        <v>37523</v>
      </c>
      <c r="F5744" s="87" t="s">
        <v>21871</v>
      </c>
      <c r="G5744" s="45" t="s">
        <v>15999</v>
      </c>
      <c r="H5744" s="55" t="s">
        <v>16000</v>
      </c>
      <c r="I5744" s="15" t="s">
        <v>1553</v>
      </c>
    </row>
    <row r="5745" spans="1:9" ht="51.75" customHeight="1" x14ac:dyDescent="0.35">
      <c r="A5745" s="15" t="s">
        <v>28331</v>
      </c>
      <c r="B5745" s="15" t="s">
        <v>37524</v>
      </c>
      <c r="C5745" s="15" t="s">
        <v>37520</v>
      </c>
      <c r="D5745" s="31">
        <v>43889</v>
      </c>
      <c r="E5745" s="15" t="s">
        <v>37525</v>
      </c>
      <c r="F5745" s="87" t="s">
        <v>36618</v>
      </c>
      <c r="G5745" s="45" t="s">
        <v>15999</v>
      </c>
      <c r="H5745" s="55" t="s">
        <v>16000</v>
      </c>
      <c r="I5745" s="15" t="s">
        <v>1553</v>
      </c>
    </row>
    <row r="5746" spans="1:9" ht="51.75" customHeight="1" x14ac:dyDescent="0.35">
      <c r="A5746" s="15" t="s">
        <v>28331</v>
      </c>
      <c r="B5746" s="15" t="s">
        <v>37526</v>
      </c>
      <c r="C5746" s="15" t="s">
        <v>37520</v>
      </c>
      <c r="D5746" s="31">
        <v>43889</v>
      </c>
      <c r="E5746" s="15" t="s">
        <v>37527</v>
      </c>
      <c r="F5746" s="87" t="s">
        <v>21871</v>
      </c>
      <c r="G5746" s="45" t="s">
        <v>15999</v>
      </c>
      <c r="H5746" s="55" t="s">
        <v>16000</v>
      </c>
      <c r="I5746" s="15" t="s">
        <v>1553</v>
      </c>
    </row>
    <row r="5747" spans="1:9" ht="51.75" customHeight="1" x14ac:dyDescent="0.35">
      <c r="A5747" s="15" t="s">
        <v>22786</v>
      </c>
      <c r="B5747" s="15" t="s">
        <v>37528</v>
      </c>
      <c r="C5747" s="15" t="s">
        <v>37529</v>
      </c>
      <c r="D5747" s="31">
        <v>43895</v>
      </c>
      <c r="E5747" s="15" t="s">
        <v>37530</v>
      </c>
      <c r="F5747" s="87" t="s">
        <v>36618</v>
      </c>
      <c r="G5747" s="45" t="s">
        <v>16161</v>
      </c>
      <c r="H5747" s="55" t="s">
        <v>16162</v>
      </c>
      <c r="I5747" s="15" t="s">
        <v>1553</v>
      </c>
    </row>
    <row r="5748" spans="1:9" ht="51.75" customHeight="1" x14ac:dyDescent="0.35">
      <c r="A5748" s="15" t="s">
        <v>22786</v>
      </c>
      <c r="B5748" s="15" t="s">
        <v>37531</v>
      </c>
      <c r="C5748" s="15" t="s">
        <v>37529</v>
      </c>
      <c r="D5748" s="31">
        <v>43895</v>
      </c>
      <c r="E5748" s="15" t="s">
        <v>37532</v>
      </c>
      <c r="F5748" s="87" t="s">
        <v>21871</v>
      </c>
      <c r="G5748" s="45" t="s">
        <v>16161</v>
      </c>
      <c r="H5748" s="55" t="s">
        <v>16162</v>
      </c>
      <c r="I5748" s="15" t="s">
        <v>1553</v>
      </c>
    </row>
    <row r="5749" spans="1:9" ht="51.75" customHeight="1" x14ac:dyDescent="0.35">
      <c r="A5749" s="15" t="s">
        <v>31951</v>
      </c>
      <c r="B5749" s="15" t="s">
        <v>37533</v>
      </c>
      <c r="C5749" s="15" t="s">
        <v>37534</v>
      </c>
      <c r="D5749" s="31">
        <v>43895</v>
      </c>
      <c r="E5749" s="15" t="s">
        <v>37535</v>
      </c>
      <c r="F5749" s="87" t="s">
        <v>36618</v>
      </c>
      <c r="G5749" s="45" t="s">
        <v>16161</v>
      </c>
      <c r="H5749" s="55" t="s">
        <v>16162</v>
      </c>
      <c r="I5749" s="15" t="s">
        <v>1553</v>
      </c>
    </row>
    <row r="5750" spans="1:9" ht="51.75" customHeight="1" x14ac:dyDescent="0.35">
      <c r="A5750" s="15" t="s">
        <v>31951</v>
      </c>
      <c r="B5750" s="15" t="s">
        <v>37536</v>
      </c>
      <c r="C5750" s="15" t="s">
        <v>37534</v>
      </c>
      <c r="D5750" s="31">
        <v>43895</v>
      </c>
      <c r="E5750" s="15" t="s">
        <v>37537</v>
      </c>
      <c r="F5750" s="87" t="s">
        <v>21871</v>
      </c>
      <c r="G5750" s="45" t="s">
        <v>16161</v>
      </c>
      <c r="H5750" s="55" t="s">
        <v>16162</v>
      </c>
      <c r="I5750" s="15" t="s">
        <v>1553</v>
      </c>
    </row>
    <row r="5751" spans="1:9" ht="51.75" customHeight="1" x14ac:dyDescent="0.35">
      <c r="A5751" s="15" t="s">
        <v>22574</v>
      </c>
      <c r="B5751" s="15" t="s">
        <v>37538</v>
      </c>
      <c r="C5751" s="15" t="s">
        <v>37539</v>
      </c>
      <c r="D5751" s="31">
        <v>43895</v>
      </c>
      <c r="E5751" s="15" t="s">
        <v>37540</v>
      </c>
      <c r="F5751" s="87" t="s">
        <v>36618</v>
      </c>
      <c r="G5751" s="45" t="s">
        <v>16161</v>
      </c>
      <c r="H5751" s="55" t="s">
        <v>16162</v>
      </c>
      <c r="I5751" s="15" t="s">
        <v>1553</v>
      </c>
    </row>
    <row r="5752" spans="1:9" ht="51.75" customHeight="1" x14ac:dyDescent="0.35">
      <c r="A5752" s="15" t="s">
        <v>22574</v>
      </c>
      <c r="B5752" s="15" t="s">
        <v>37541</v>
      </c>
      <c r="C5752" s="15" t="s">
        <v>37539</v>
      </c>
      <c r="D5752" s="31">
        <v>43895</v>
      </c>
      <c r="E5752" s="15" t="s">
        <v>37542</v>
      </c>
      <c r="F5752" s="87" t="s">
        <v>21871</v>
      </c>
      <c r="G5752" s="45" t="s">
        <v>16161</v>
      </c>
      <c r="H5752" s="55" t="s">
        <v>16162</v>
      </c>
      <c r="I5752" s="15" t="s">
        <v>1553</v>
      </c>
    </row>
    <row r="5753" spans="1:9" ht="51.75" customHeight="1" x14ac:dyDescent="0.35">
      <c r="A5753" s="15" t="s">
        <v>22586</v>
      </c>
      <c r="B5753" s="15" t="s">
        <v>37543</v>
      </c>
      <c r="C5753" s="15" t="s">
        <v>37544</v>
      </c>
      <c r="D5753" s="31">
        <v>43895</v>
      </c>
      <c r="E5753" s="15" t="s">
        <v>37545</v>
      </c>
      <c r="F5753" s="87" t="s">
        <v>36618</v>
      </c>
      <c r="G5753" s="45" t="s">
        <v>16161</v>
      </c>
      <c r="H5753" s="55" t="s">
        <v>16162</v>
      </c>
      <c r="I5753" s="15" t="s">
        <v>1553</v>
      </c>
    </row>
    <row r="5754" spans="1:9" ht="51.75" customHeight="1" x14ac:dyDescent="0.35">
      <c r="A5754" s="15" t="s">
        <v>22586</v>
      </c>
      <c r="B5754" s="15" t="s">
        <v>37546</v>
      </c>
      <c r="C5754" s="15" t="s">
        <v>37544</v>
      </c>
      <c r="D5754" s="31">
        <v>43895</v>
      </c>
      <c r="E5754" s="15" t="s">
        <v>37547</v>
      </c>
      <c r="F5754" s="87" t="s">
        <v>21871</v>
      </c>
      <c r="G5754" s="45" t="s">
        <v>16161</v>
      </c>
      <c r="H5754" s="55" t="s">
        <v>16162</v>
      </c>
      <c r="I5754" s="15" t="s">
        <v>1553</v>
      </c>
    </row>
    <row r="5755" spans="1:9" ht="51.75" customHeight="1" x14ac:dyDescent="0.35">
      <c r="A5755" s="15" t="s">
        <v>26038</v>
      </c>
      <c r="B5755" s="15" t="s">
        <v>37548</v>
      </c>
      <c r="C5755" s="15" t="s">
        <v>37549</v>
      </c>
      <c r="D5755" s="31">
        <v>43895</v>
      </c>
      <c r="E5755" s="15" t="s">
        <v>37550</v>
      </c>
      <c r="F5755" s="87" t="s">
        <v>36618</v>
      </c>
      <c r="G5755" s="45" t="s">
        <v>16161</v>
      </c>
      <c r="H5755" s="55" t="s">
        <v>16162</v>
      </c>
      <c r="I5755" s="15" t="s">
        <v>1553</v>
      </c>
    </row>
    <row r="5756" spans="1:9" ht="51.75" customHeight="1" x14ac:dyDescent="0.35">
      <c r="A5756" s="15" t="s">
        <v>26038</v>
      </c>
      <c r="B5756" s="15" t="s">
        <v>37551</v>
      </c>
      <c r="C5756" s="15" t="s">
        <v>37549</v>
      </c>
      <c r="D5756" s="31">
        <v>43895</v>
      </c>
      <c r="E5756" s="15" t="s">
        <v>37552</v>
      </c>
      <c r="F5756" s="87" t="s">
        <v>21871</v>
      </c>
      <c r="G5756" s="45" t="s">
        <v>16161</v>
      </c>
      <c r="H5756" s="55" t="s">
        <v>16162</v>
      </c>
      <c r="I5756" s="15" t="s">
        <v>1553</v>
      </c>
    </row>
    <row r="5757" spans="1:9" ht="51.75" customHeight="1" x14ac:dyDescent="0.35">
      <c r="A5757" s="15" t="s">
        <v>23782</v>
      </c>
      <c r="B5757" s="15" t="s">
        <v>37553</v>
      </c>
      <c r="C5757" s="15" t="s">
        <v>37554</v>
      </c>
      <c r="D5757" s="31">
        <v>43895</v>
      </c>
      <c r="E5757" s="15" t="s">
        <v>37555</v>
      </c>
      <c r="F5757" s="87" t="s">
        <v>36618</v>
      </c>
      <c r="G5757" s="45" t="s">
        <v>16161</v>
      </c>
      <c r="H5757" s="55" t="s">
        <v>16162</v>
      </c>
      <c r="I5757" s="15" t="s">
        <v>1553</v>
      </c>
    </row>
    <row r="5758" spans="1:9" ht="51.75" customHeight="1" x14ac:dyDescent="0.35">
      <c r="A5758" s="15" t="s">
        <v>23782</v>
      </c>
      <c r="B5758" s="15" t="s">
        <v>37556</v>
      </c>
      <c r="C5758" s="15" t="s">
        <v>37554</v>
      </c>
      <c r="D5758" s="31">
        <v>43895</v>
      </c>
      <c r="E5758" s="15" t="s">
        <v>37557</v>
      </c>
      <c r="F5758" s="87" t="s">
        <v>21871</v>
      </c>
      <c r="G5758" s="45" t="s">
        <v>16161</v>
      </c>
      <c r="H5758" s="55" t="s">
        <v>16162</v>
      </c>
      <c r="I5758" s="15" t="s">
        <v>1553</v>
      </c>
    </row>
    <row r="5759" spans="1:9" ht="51.75" customHeight="1" x14ac:dyDescent="0.35">
      <c r="A5759" s="15" t="s">
        <v>23602</v>
      </c>
      <c r="B5759" s="15" t="s">
        <v>37558</v>
      </c>
      <c r="C5759" s="15" t="s">
        <v>37559</v>
      </c>
      <c r="D5759" s="31">
        <v>43895</v>
      </c>
      <c r="E5759" s="15" t="s">
        <v>37560</v>
      </c>
      <c r="F5759" s="87" t="s">
        <v>36618</v>
      </c>
      <c r="G5759" s="45" t="s">
        <v>16192</v>
      </c>
      <c r="H5759" s="55" t="s">
        <v>16193</v>
      </c>
      <c r="I5759" s="15" t="s">
        <v>1553</v>
      </c>
    </row>
    <row r="5760" spans="1:9" ht="51.75" customHeight="1" x14ac:dyDescent="0.35">
      <c r="A5760" s="15" t="s">
        <v>23602</v>
      </c>
      <c r="B5760" s="15" t="s">
        <v>37561</v>
      </c>
      <c r="C5760" s="15" t="s">
        <v>37559</v>
      </c>
      <c r="D5760" s="31">
        <v>43895</v>
      </c>
      <c r="E5760" s="15" t="s">
        <v>37562</v>
      </c>
      <c r="F5760" s="87" t="s">
        <v>21871</v>
      </c>
      <c r="G5760" s="45" t="s">
        <v>16192</v>
      </c>
      <c r="H5760" s="55" t="s">
        <v>16193</v>
      </c>
      <c r="I5760" s="15" t="s">
        <v>1553</v>
      </c>
    </row>
    <row r="5761" spans="1:9" ht="51.75" customHeight="1" x14ac:dyDescent="0.35">
      <c r="A5761" s="15" t="s">
        <v>23606</v>
      </c>
      <c r="B5761" s="15" t="s">
        <v>37563</v>
      </c>
      <c r="C5761" s="15" t="s">
        <v>37564</v>
      </c>
      <c r="D5761" s="31">
        <v>43913</v>
      </c>
      <c r="E5761" s="15" t="s">
        <v>37565</v>
      </c>
      <c r="F5761" s="87" t="s">
        <v>36618</v>
      </c>
      <c r="G5761" s="45" t="s">
        <v>16238</v>
      </c>
      <c r="H5761" s="55" t="s">
        <v>16239</v>
      </c>
      <c r="I5761" s="15" t="s">
        <v>1553</v>
      </c>
    </row>
    <row r="5762" spans="1:9" ht="51.75" customHeight="1" x14ac:dyDescent="0.35">
      <c r="A5762" s="15" t="s">
        <v>23606</v>
      </c>
      <c r="B5762" s="15" t="s">
        <v>37566</v>
      </c>
      <c r="C5762" s="15" t="s">
        <v>37564</v>
      </c>
      <c r="D5762" s="31">
        <v>43913</v>
      </c>
      <c r="E5762" s="15" t="s">
        <v>37567</v>
      </c>
      <c r="F5762" s="87" t="s">
        <v>21871</v>
      </c>
      <c r="G5762" s="45" t="s">
        <v>16238</v>
      </c>
      <c r="H5762" s="55" t="s">
        <v>16239</v>
      </c>
      <c r="I5762" s="15" t="s">
        <v>1553</v>
      </c>
    </row>
    <row r="5763" spans="1:9" ht="51.75" customHeight="1" x14ac:dyDescent="0.35">
      <c r="A5763" s="15" t="s">
        <v>23610</v>
      </c>
      <c r="B5763" s="15" t="s">
        <v>37568</v>
      </c>
      <c r="C5763" s="15" t="s">
        <v>37569</v>
      </c>
      <c r="D5763" s="31">
        <v>43913</v>
      </c>
      <c r="E5763" s="15" t="s">
        <v>37570</v>
      </c>
      <c r="F5763" s="87" t="s">
        <v>36618</v>
      </c>
      <c r="G5763" s="45" t="s">
        <v>16238</v>
      </c>
      <c r="H5763" s="55" t="s">
        <v>16239</v>
      </c>
      <c r="I5763" s="15" t="s">
        <v>1553</v>
      </c>
    </row>
    <row r="5764" spans="1:9" ht="51.75" customHeight="1" x14ac:dyDescent="0.35">
      <c r="A5764" s="15" t="s">
        <v>23610</v>
      </c>
      <c r="B5764" s="15" t="s">
        <v>37571</v>
      </c>
      <c r="C5764" s="15" t="s">
        <v>37569</v>
      </c>
      <c r="D5764" s="31">
        <v>43913</v>
      </c>
      <c r="E5764" s="15" t="s">
        <v>37572</v>
      </c>
      <c r="F5764" s="87" t="s">
        <v>21871</v>
      </c>
      <c r="G5764" s="45" t="s">
        <v>16238</v>
      </c>
      <c r="H5764" s="55" t="s">
        <v>16239</v>
      </c>
      <c r="I5764" s="15" t="s">
        <v>1553</v>
      </c>
    </row>
    <row r="5765" spans="1:9" ht="51.75" customHeight="1" x14ac:dyDescent="0.35">
      <c r="A5765" s="15" t="s">
        <v>23376</v>
      </c>
      <c r="B5765" s="15" t="s">
        <v>37573</v>
      </c>
      <c r="C5765" s="15" t="s">
        <v>37574</v>
      </c>
      <c r="D5765" s="31">
        <v>43944</v>
      </c>
      <c r="E5765" s="15" t="s">
        <v>37575</v>
      </c>
      <c r="F5765" s="87" t="s">
        <v>36618</v>
      </c>
      <c r="G5765" s="45" t="s">
        <v>16238</v>
      </c>
      <c r="H5765" s="55" t="s">
        <v>16239</v>
      </c>
      <c r="I5765" s="15" t="s">
        <v>1553</v>
      </c>
    </row>
    <row r="5766" spans="1:9" ht="51.75" customHeight="1" x14ac:dyDescent="0.35">
      <c r="A5766" s="15" t="s">
        <v>23376</v>
      </c>
      <c r="B5766" s="15" t="s">
        <v>37576</v>
      </c>
      <c r="C5766" s="15" t="s">
        <v>37574</v>
      </c>
      <c r="D5766" s="31">
        <v>43944</v>
      </c>
      <c r="E5766" s="15" t="s">
        <v>37577</v>
      </c>
      <c r="F5766" s="87" t="s">
        <v>21871</v>
      </c>
      <c r="G5766" s="45" t="s">
        <v>16238</v>
      </c>
      <c r="H5766" s="55" t="s">
        <v>16239</v>
      </c>
      <c r="I5766" s="15" t="s">
        <v>1553</v>
      </c>
    </row>
    <row r="5767" spans="1:9" ht="51.75" customHeight="1" x14ac:dyDescent="0.35">
      <c r="A5767" s="15" t="s">
        <v>23380</v>
      </c>
      <c r="B5767" s="15" t="s">
        <v>37578</v>
      </c>
      <c r="C5767" s="15" t="s">
        <v>37579</v>
      </c>
      <c r="D5767" s="31">
        <v>43913</v>
      </c>
      <c r="E5767" s="15" t="s">
        <v>37580</v>
      </c>
      <c r="F5767" s="87" t="s">
        <v>36618</v>
      </c>
      <c r="G5767" s="45" t="s">
        <v>16238</v>
      </c>
      <c r="H5767" s="55" t="s">
        <v>16239</v>
      </c>
      <c r="I5767" s="15" t="s">
        <v>1553</v>
      </c>
    </row>
    <row r="5768" spans="1:9" ht="51.75" customHeight="1" x14ac:dyDescent="0.35">
      <c r="A5768" s="15" t="s">
        <v>23380</v>
      </c>
      <c r="B5768" s="15" t="s">
        <v>37581</v>
      </c>
      <c r="C5768" s="15" t="s">
        <v>37579</v>
      </c>
      <c r="D5768" s="31">
        <v>43913</v>
      </c>
      <c r="E5768" s="15" t="s">
        <v>37582</v>
      </c>
      <c r="F5768" s="87" t="s">
        <v>21871</v>
      </c>
      <c r="G5768" s="45" t="s">
        <v>16238</v>
      </c>
      <c r="H5768" s="55" t="s">
        <v>16239</v>
      </c>
      <c r="I5768" s="15" t="s">
        <v>1553</v>
      </c>
    </row>
    <row r="5769" spans="1:9" ht="51.75" customHeight="1" x14ac:dyDescent="0.35">
      <c r="A5769" s="15" t="s">
        <v>23384</v>
      </c>
      <c r="B5769" s="15" t="s">
        <v>37583</v>
      </c>
      <c r="C5769" s="15" t="s">
        <v>37584</v>
      </c>
      <c r="D5769" s="31">
        <v>43913</v>
      </c>
      <c r="E5769" s="15" t="s">
        <v>37585</v>
      </c>
      <c r="F5769" s="87" t="s">
        <v>36618</v>
      </c>
      <c r="G5769" s="45" t="s">
        <v>16238</v>
      </c>
      <c r="H5769" s="55" t="s">
        <v>16239</v>
      </c>
      <c r="I5769" s="15" t="s">
        <v>1553</v>
      </c>
    </row>
    <row r="5770" spans="1:9" ht="51.75" customHeight="1" x14ac:dyDescent="0.35">
      <c r="A5770" s="15" t="s">
        <v>23384</v>
      </c>
      <c r="B5770" s="15" t="s">
        <v>37586</v>
      </c>
      <c r="C5770" s="15" t="s">
        <v>37584</v>
      </c>
      <c r="D5770" s="31">
        <v>43913</v>
      </c>
      <c r="E5770" s="15" t="s">
        <v>37587</v>
      </c>
      <c r="F5770" s="87" t="s">
        <v>21871</v>
      </c>
      <c r="G5770" s="45" t="s">
        <v>16238</v>
      </c>
      <c r="H5770" s="55" t="s">
        <v>16239</v>
      </c>
      <c r="I5770" s="15" t="s">
        <v>1553</v>
      </c>
    </row>
    <row r="5771" spans="1:9" ht="51.75" customHeight="1" x14ac:dyDescent="0.35">
      <c r="A5771" s="15" t="s">
        <v>23617</v>
      </c>
      <c r="B5771" s="15" t="s">
        <v>37588</v>
      </c>
      <c r="C5771" s="15" t="s">
        <v>37589</v>
      </c>
      <c r="D5771" s="31">
        <v>43913</v>
      </c>
      <c r="E5771" s="15" t="s">
        <v>37590</v>
      </c>
      <c r="F5771" s="87" t="s">
        <v>36618</v>
      </c>
      <c r="G5771" s="45" t="s">
        <v>16238</v>
      </c>
      <c r="H5771" s="55" t="s">
        <v>16239</v>
      </c>
      <c r="I5771" s="15" t="s">
        <v>1553</v>
      </c>
    </row>
    <row r="5772" spans="1:9" ht="51.75" customHeight="1" x14ac:dyDescent="0.35">
      <c r="A5772" s="15" t="s">
        <v>23617</v>
      </c>
      <c r="B5772" s="15" t="s">
        <v>37591</v>
      </c>
      <c r="C5772" s="15" t="s">
        <v>37589</v>
      </c>
      <c r="D5772" s="31">
        <v>43913</v>
      </c>
      <c r="E5772" s="15" t="s">
        <v>37592</v>
      </c>
      <c r="F5772" s="87" t="s">
        <v>21871</v>
      </c>
      <c r="G5772" s="45" t="s">
        <v>16238</v>
      </c>
      <c r="H5772" s="55" t="s">
        <v>16239</v>
      </c>
      <c r="I5772" s="15" t="s">
        <v>1553</v>
      </c>
    </row>
    <row r="5773" spans="1:9" ht="51.75" customHeight="1" x14ac:dyDescent="0.35">
      <c r="A5773" s="15" t="s">
        <v>28200</v>
      </c>
      <c r="B5773" s="15" t="s">
        <v>37593</v>
      </c>
      <c r="C5773" s="15" t="s">
        <v>37594</v>
      </c>
      <c r="D5773" s="31">
        <v>43913</v>
      </c>
      <c r="E5773" s="15" t="s">
        <v>37595</v>
      </c>
      <c r="F5773" s="87" t="s">
        <v>36618</v>
      </c>
      <c r="G5773" s="45" t="s">
        <v>16238</v>
      </c>
      <c r="H5773" s="55" t="s">
        <v>16239</v>
      </c>
      <c r="I5773" s="15" t="s">
        <v>1553</v>
      </c>
    </row>
    <row r="5774" spans="1:9" ht="51.75" customHeight="1" x14ac:dyDescent="0.35">
      <c r="A5774" s="15" t="s">
        <v>28200</v>
      </c>
      <c r="B5774" s="15" t="s">
        <v>37596</v>
      </c>
      <c r="C5774" s="15" t="s">
        <v>37594</v>
      </c>
      <c r="D5774" s="31">
        <v>43913</v>
      </c>
      <c r="E5774" s="15" t="s">
        <v>37597</v>
      </c>
      <c r="F5774" s="87" t="s">
        <v>21871</v>
      </c>
      <c r="G5774" s="45" t="s">
        <v>16238</v>
      </c>
      <c r="H5774" s="55" t="s">
        <v>16239</v>
      </c>
      <c r="I5774" s="15" t="s">
        <v>1553</v>
      </c>
    </row>
    <row r="5775" spans="1:9" ht="51.75" customHeight="1" x14ac:dyDescent="0.35">
      <c r="A5775" s="15" t="s">
        <v>23625</v>
      </c>
      <c r="B5775" s="15" t="s">
        <v>37598</v>
      </c>
      <c r="C5775" s="15" t="s">
        <v>37599</v>
      </c>
      <c r="D5775" s="31">
        <v>43913</v>
      </c>
      <c r="E5775" s="15" t="s">
        <v>37600</v>
      </c>
      <c r="F5775" s="87" t="s">
        <v>36618</v>
      </c>
      <c r="G5775" s="45" t="s">
        <v>16238</v>
      </c>
      <c r="H5775" s="55" t="s">
        <v>16239</v>
      </c>
      <c r="I5775" s="15" t="s">
        <v>1553</v>
      </c>
    </row>
    <row r="5776" spans="1:9" ht="51.75" customHeight="1" x14ac:dyDescent="0.35">
      <c r="A5776" s="15" t="s">
        <v>23625</v>
      </c>
      <c r="B5776" s="15" t="s">
        <v>37601</v>
      </c>
      <c r="C5776" s="15" t="s">
        <v>37599</v>
      </c>
      <c r="D5776" s="31">
        <v>43913</v>
      </c>
      <c r="E5776" s="15" t="s">
        <v>37602</v>
      </c>
      <c r="F5776" s="87" t="s">
        <v>21871</v>
      </c>
      <c r="G5776" s="45" t="s">
        <v>16238</v>
      </c>
      <c r="H5776" s="55" t="s">
        <v>16239</v>
      </c>
      <c r="I5776" s="15" t="s">
        <v>1553</v>
      </c>
    </row>
    <row r="5777" spans="1:9" ht="51.75" customHeight="1" x14ac:dyDescent="0.35">
      <c r="A5777" s="15" t="s">
        <v>23361</v>
      </c>
      <c r="B5777" s="15" t="s">
        <v>37603</v>
      </c>
      <c r="C5777" s="15" t="s">
        <v>37604</v>
      </c>
      <c r="D5777" s="31">
        <v>43924</v>
      </c>
      <c r="E5777" s="15" t="s">
        <v>37605</v>
      </c>
      <c r="F5777" s="87" t="s">
        <v>36618</v>
      </c>
      <c r="G5777" s="45" t="s">
        <v>16264</v>
      </c>
      <c r="H5777" s="55" t="s">
        <v>16265</v>
      </c>
      <c r="I5777" s="15" t="s">
        <v>1553</v>
      </c>
    </row>
    <row r="5778" spans="1:9" ht="51.75" customHeight="1" x14ac:dyDescent="0.35">
      <c r="A5778" s="15" t="s">
        <v>23361</v>
      </c>
      <c r="B5778" s="15" t="s">
        <v>37606</v>
      </c>
      <c r="C5778" s="15" t="s">
        <v>37604</v>
      </c>
      <c r="D5778" s="31">
        <v>43924</v>
      </c>
      <c r="E5778" s="15" t="s">
        <v>37607</v>
      </c>
      <c r="F5778" s="87" t="s">
        <v>21871</v>
      </c>
      <c r="G5778" s="45" t="s">
        <v>16264</v>
      </c>
      <c r="H5778" s="55" t="s">
        <v>16265</v>
      </c>
      <c r="I5778" s="15" t="s">
        <v>1553</v>
      </c>
    </row>
    <row r="5779" spans="1:9" ht="51.75" customHeight="1" x14ac:dyDescent="0.35">
      <c r="A5779" s="15" t="s">
        <v>25543</v>
      </c>
      <c r="B5779" s="15" t="s">
        <v>37608</v>
      </c>
      <c r="C5779" s="15" t="s">
        <v>37609</v>
      </c>
      <c r="D5779" s="31">
        <v>43924</v>
      </c>
      <c r="E5779" s="15" t="s">
        <v>37610</v>
      </c>
      <c r="F5779" s="87" t="s">
        <v>21871</v>
      </c>
      <c r="G5779" s="45" t="s">
        <v>16264</v>
      </c>
      <c r="H5779" s="55" t="s">
        <v>16265</v>
      </c>
      <c r="I5779" s="15" t="s">
        <v>1553</v>
      </c>
    </row>
    <row r="5780" spans="1:9" ht="51.75" customHeight="1" x14ac:dyDescent="0.35">
      <c r="A5780" s="15" t="s">
        <v>25543</v>
      </c>
      <c r="B5780" s="15" t="s">
        <v>37611</v>
      </c>
      <c r="C5780" s="15" t="s">
        <v>37609</v>
      </c>
      <c r="D5780" s="31">
        <v>43924</v>
      </c>
      <c r="E5780" s="15" t="s">
        <v>37612</v>
      </c>
      <c r="F5780" s="87" t="s">
        <v>36618</v>
      </c>
      <c r="G5780" s="45" t="s">
        <v>16264</v>
      </c>
      <c r="H5780" s="55" t="s">
        <v>16265</v>
      </c>
      <c r="I5780" s="15" t="s">
        <v>1553</v>
      </c>
    </row>
    <row r="5781" spans="1:9" ht="51.75" customHeight="1" x14ac:dyDescent="0.35">
      <c r="A5781" s="15" t="s">
        <v>32252</v>
      </c>
      <c r="B5781" s="15" t="s">
        <v>37613</v>
      </c>
      <c r="C5781" s="15" t="s">
        <v>37614</v>
      </c>
      <c r="D5781" s="31">
        <v>43934</v>
      </c>
      <c r="E5781" s="15" t="s">
        <v>37615</v>
      </c>
      <c r="F5781" s="87" t="s">
        <v>36618</v>
      </c>
      <c r="G5781" s="45" t="s">
        <v>16336</v>
      </c>
      <c r="H5781" s="55" t="s">
        <v>16337</v>
      </c>
      <c r="I5781" s="15" t="s">
        <v>1553</v>
      </c>
    </row>
    <row r="5782" spans="1:9" ht="51.75" customHeight="1" x14ac:dyDescent="0.35">
      <c r="A5782" s="15" t="s">
        <v>32252</v>
      </c>
      <c r="B5782" s="15" t="s">
        <v>37616</v>
      </c>
      <c r="C5782" s="15" t="s">
        <v>37614</v>
      </c>
      <c r="D5782" s="31">
        <v>43934</v>
      </c>
      <c r="E5782" s="15" t="s">
        <v>37617</v>
      </c>
      <c r="F5782" s="87" t="s">
        <v>21871</v>
      </c>
      <c r="G5782" s="45" t="s">
        <v>16336</v>
      </c>
      <c r="H5782" s="55" t="s">
        <v>16337</v>
      </c>
      <c r="I5782" s="15" t="s">
        <v>1553</v>
      </c>
    </row>
    <row r="5783" spans="1:9" ht="51.75" customHeight="1" x14ac:dyDescent="0.35">
      <c r="A5783" s="15" t="s">
        <v>28403</v>
      </c>
      <c r="B5783" s="15" t="s">
        <v>37618</v>
      </c>
      <c r="C5783" s="15" t="s">
        <v>37614</v>
      </c>
      <c r="D5783" s="31">
        <v>43934</v>
      </c>
      <c r="E5783" s="15" t="s">
        <v>37619</v>
      </c>
      <c r="F5783" s="87" t="s">
        <v>36618</v>
      </c>
      <c r="G5783" s="45" t="s">
        <v>16336</v>
      </c>
      <c r="H5783" s="55" t="s">
        <v>16337</v>
      </c>
      <c r="I5783" s="15" t="s">
        <v>1553</v>
      </c>
    </row>
    <row r="5784" spans="1:9" ht="51.75" customHeight="1" x14ac:dyDescent="0.35">
      <c r="A5784" s="15" t="s">
        <v>28403</v>
      </c>
      <c r="B5784" s="15" t="s">
        <v>37620</v>
      </c>
      <c r="C5784" s="15" t="s">
        <v>37614</v>
      </c>
      <c r="D5784" s="31">
        <v>43934</v>
      </c>
      <c r="E5784" s="15" t="s">
        <v>37621</v>
      </c>
      <c r="F5784" s="87" t="s">
        <v>21871</v>
      </c>
      <c r="G5784" s="45" t="s">
        <v>16336</v>
      </c>
      <c r="H5784" s="55" t="s">
        <v>16337</v>
      </c>
      <c r="I5784" s="15" t="s">
        <v>1553</v>
      </c>
    </row>
    <row r="5785" spans="1:9" ht="51.75" customHeight="1" x14ac:dyDescent="0.35">
      <c r="A5785" s="15" t="s">
        <v>21883</v>
      </c>
      <c r="B5785" s="15" t="s">
        <v>37622</v>
      </c>
      <c r="C5785" s="15" t="s">
        <v>37623</v>
      </c>
      <c r="D5785" s="31">
        <v>43845</v>
      </c>
      <c r="E5785" s="15" t="s">
        <v>37624</v>
      </c>
      <c r="F5785" s="87" t="s">
        <v>36618</v>
      </c>
      <c r="G5785" s="45" t="s">
        <v>16324</v>
      </c>
      <c r="H5785" s="55" t="s">
        <v>16325</v>
      </c>
      <c r="I5785" s="15" t="s">
        <v>1553</v>
      </c>
    </row>
    <row r="5786" spans="1:9" ht="51.75" customHeight="1" x14ac:dyDescent="0.35">
      <c r="A5786" s="15" t="s">
        <v>21883</v>
      </c>
      <c r="B5786" s="15" t="s">
        <v>37625</v>
      </c>
      <c r="C5786" s="15" t="s">
        <v>37623</v>
      </c>
      <c r="D5786" s="31">
        <v>43845</v>
      </c>
      <c r="E5786" s="15" t="s">
        <v>37626</v>
      </c>
      <c r="F5786" s="87" t="s">
        <v>21871</v>
      </c>
      <c r="G5786" s="45" t="s">
        <v>16324</v>
      </c>
      <c r="H5786" s="55" t="s">
        <v>16325</v>
      </c>
      <c r="I5786" s="15" t="s">
        <v>1553</v>
      </c>
    </row>
    <row r="5787" spans="1:9" ht="51.75" customHeight="1" x14ac:dyDescent="0.35">
      <c r="A5787" s="15" t="s">
        <v>22099</v>
      </c>
      <c r="B5787" s="15" t="s">
        <v>37627</v>
      </c>
      <c r="C5787" s="15" t="s">
        <v>37628</v>
      </c>
      <c r="D5787" s="31">
        <v>43956</v>
      </c>
      <c r="E5787" s="15" t="s">
        <v>37629</v>
      </c>
      <c r="F5787" s="87" t="s">
        <v>36618</v>
      </c>
      <c r="G5787" s="45" t="s">
        <v>16360</v>
      </c>
      <c r="H5787" s="55" t="s">
        <v>16361</v>
      </c>
      <c r="I5787" s="15" t="s">
        <v>1553</v>
      </c>
    </row>
    <row r="5788" spans="1:9" ht="51.75" customHeight="1" x14ac:dyDescent="0.35">
      <c r="A5788" s="15" t="s">
        <v>22099</v>
      </c>
      <c r="B5788" s="15" t="s">
        <v>37630</v>
      </c>
      <c r="C5788" s="15" t="s">
        <v>37628</v>
      </c>
      <c r="D5788" s="31">
        <v>43956</v>
      </c>
      <c r="E5788" s="15" t="s">
        <v>37631</v>
      </c>
      <c r="F5788" s="87" t="s">
        <v>21871</v>
      </c>
      <c r="G5788" s="45" t="s">
        <v>16360</v>
      </c>
      <c r="H5788" s="55" t="s">
        <v>16361</v>
      </c>
      <c r="I5788" s="15" t="s">
        <v>1553</v>
      </c>
    </row>
    <row r="5789" spans="1:9" ht="51.75" customHeight="1" x14ac:dyDescent="0.35">
      <c r="A5789" s="15" t="s">
        <v>31926</v>
      </c>
      <c r="B5789" s="15" t="s">
        <v>37632</v>
      </c>
      <c r="C5789" s="15" t="s">
        <v>37628</v>
      </c>
      <c r="D5789" s="31">
        <v>43956</v>
      </c>
      <c r="E5789" s="15" t="s">
        <v>37633</v>
      </c>
      <c r="F5789" s="87" t="s">
        <v>36618</v>
      </c>
      <c r="G5789" s="45" t="s">
        <v>16360</v>
      </c>
      <c r="H5789" s="55" t="s">
        <v>16361</v>
      </c>
      <c r="I5789" s="15" t="s">
        <v>1553</v>
      </c>
    </row>
    <row r="5790" spans="1:9" ht="51.75" customHeight="1" x14ac:dyDescent="0.35">
      <c r="A5790" s="15" t="s">
        <v>31926</v>
      </c>
      <c r="B5790" s="15" t="s">
        <v>37634</v>
      </c>
      <c r="C5790" s="15" t="s">
        <v>37628</v>
      </c>
      <c r="D5790" s="31">
        <v>43956</v>
      </c>
      <c r="E5790" s="15" t="s">
        <v>37635</v>
      </c>
      <c r="F5790" s="87" t="s">
        <v>21871</v>
      </c>
      <c r="G5790" s="45" t="s">
        <v>16360</v>
      </c>
      <c r="H5790" s="55" t="s">
        <v>16361</v>
      </c>
      <c r="I5790" s="15" t="s">
        <v>1553</v>
      </c>
    </row>
    <row r="5791" spans="1:9" ht="51.75" customHeight="1" x14ac:dyDescent="0.35">
      <c r="A5791" s="15" t="s">
        <v>22758</v>
      </c>
      <c r="B5791" s="15" t="s">
        <v>37636</v>
      </c>
      <c r="C5791" s="15" t="s">
        <v>37628</v>
      </c>
      <c r="D5791" s="31">
        <v>43956</v>
      </c>
      <c r="E5791" s="15" t="s">
        <v>37637</v>
      </c>
      <c r="F5791" s="87" t="s">
        <v>36618</v>
      </c>
      <c r="G5791" s="45" t="s">
        <v>16360</v>
      </c>
      <c r="H5791" s="55" t="s">
        <v>16361</v>
      </c>
      <c r="I5791" s="15" t="s">
        <v>1553</v>
      </c>
    </row>
    <row r="5792" spans="1:9" ht="51.75" customHeight="1" x14ac:dyDescent="0.35">
      <c r="A5792" s="15" t="s">
        <v>22758</v>
      </c>
      <c r="B5792" s="15" t="s">
        <v>37638</v>
      </c>
      <c r="C5792" s="15" t="s">
        <v>37628</v>
      </c>
      <c r="D5792" s="31">
        <v>43956</v>
      </c>
      <c r="E5792" s="15" t="s">
        <v>37639</v>
      </c>
      <c r="F5792" s="87" t="s">
        <v>21871</v>
      </c>
      <c r="G5792" s="45" t="s">
        <v>16360</v>
      </c>
      <c r="H5792" s="55" t="s">
        <v>16361</v>
      </c>
      <c r="I5792" s="15" t="s">
        <v>1553</v>
      </c>
    </row>
    <row r="5793" spans="1:9" ht="51.75" customHeight="1" x14ac:dyDescent="0.35">
      <c r="A5793" s="15" t="s">
        <v>22770</v>
      </c>
      <c r="B5793" s="15" t="s">
        <v>37640</v>
      </c>
      <c r="C5793" s="15" t="s">
        <v>37628</v>
      </c>
      <c r="D5793" s="31">
        <v>43956</v>
      </c>
      <c r="E5793" s="15" t="s">
        <v>37641</v>
      </c>
      <c r="F5793" s="87" t="s">
        <v>36618</v>
      </c>
      <c r="G5793" s="45" t="s">
        <v>16360</v>
      </c>
      <c r="H5793" s="55" t="s">
        <v>16361</v>
      </c>
      <c r="I5793" s="15" t="s">
        <v>1553</v>
      </c>
    </row>
    <row r="5794" spans="1:9" ht="51.75" customHeight="1" x14ac:dyDescent="0.35">
      <c r="A5794" s="15" t="s">
        <v>22770</v>
      </c>
      <c r="B5794" s="15" t="s">
        <v>37642</v>
      </c>
      <c r="C5794" s="15" t="s">
        <v>37628</v>
      </c>
      <c r="D5794" s="31">
        <v>43956</v>
      </c>
      <c r="E5794" s="15" t="s">
        <v>37643</v>
      </c>
      <c r="F5794" s="87" t="s">
        <v>21871</v>
      </c>
      <c r="G5794" s="45" t="s">
        <v>16360</v>
      </c>
      <c r="H5794" s="55" t="s">
        <v>16361</v>
      </c>
      <c r="I5794" s="15" t="s">
        <v>1553</v>
      </c>
    </row>
    <row r="5795" spans="1:9" ht="51.75" customHeight="1" x14ac:dyDescent="0.35">
      <c r="A5795" s="15" t="s">
        <v>26890</v>
      </c>
      <c r="B5795" s="15" t="s">
        <v>37644</v>
      </c>
      <c r="C5795" s="15" t="s">
        <v>37645</v>
      </c>
      <c r="D5795" s="31">
        <v>43963</v>
      </c>
      <c r="E5795" s="15" t="s">
        <v>37646</v>
      </c>
      <c r="F5795" s="87" t="s">
        <v>36618</v>
      </c>
      <c r="G5795" s="45" t="s">
        <v>16383</v>
      </c>
      <c r="H5795" s="55" t="s">
        <v>16384</v>
      </c>
      <c r="I5795" s="15" t="s">
        <v>1553</v>
      </c>
    </row>
    <row r="5796" spans="1:9" ht="51.75" customHeight="1" x14ac:dyDescent="0.35">
      <c r="A5796" s="15" t="s">
        <v>26890</v>
      </c>
      <c r="B5796" s="15" t="s">
        <v>37647</v>
      </c>
      <c r="C5796" s="15" t="s">
        <v>37645</v>
      </c>
      <c r="D5796" s="31">
        <v>43963</v>
      </c>
      <c r="E5796" s="15" t="s">
        <v>37648</v>
      </c>
      <c r="F5796" s="87" t="s">
        <v>21871</v>
      </c>
      <c r="G5796" s="45" t="s">
        <v>16383</v>
      </c>
      <c r="H5796" s="55" t="s">
        <v>16384</v>
      </c>
      <c r="I5796" s="15" t="s">
        <v>1553</v>
      </c>
    </row>
    <row r="5797" spans="1:9" ht="51.75" customHeight="1" x14ac:dyDescent="0.35">
      <c r="A5797" s="15" t="s">
        <v>26899</v>
      </c>
      <c r="B5797" s="15" t="s">
        <v>37649</v>
      </c>
      <c r="C5797" s="15" t="s">
        <v>37650</v>
      </c>
      <c r="D5797" s="31">
        <v>43963</v>
      </c>
      <c r="E5797" s="15" t="s">
        <v>37651</v>
      </c>
      <c r="F5797" s="87" t="s">
        <v>36618</v>
      </c>
      <c r="G5797" s="45" t="s">
        <v>16383</v>
      </c>
      <c r="H5797" s="55" t="s">
        <v>16384</v>
      </c>
      <c r="I5797" s="15" t="s">
        <v>1553</v>
      </c>
    </row>
    <row r="5798" spans="1:9" ht="51.75" customHeight="1" x14ac:dyDescent="0.35">
      <c r="A5798" s="15" t="s">
        <v>26899</v>
      </c>
      <c r="B5798" s="15" t="s">
        <v>37652</v>
      </c>
      <c r="C5798" s="15" t="s">
        <v>37650</v>
      </c>
      <c r="D5798" s="31">
        <v>43963</v>
      </c>
      <c r="E5798" s="15" t="s">
        <v>37653</v>
      </c>
      <c r="F5798" s="87" t="s">
        <v>21871</v>
      </c>
      <c r="G5798" s="45" t="s">
        <v>16383</v>
      </c>
      <c r="H5798" s="55" t="s">
        <v>16384</v>
      </c>
      <c r="I5798" s="15" t="s">
        <v>1553</v>
      </c>
    </row>
    <row r="5799" spans="1:9" ht="51.75" customHeight="1" x14ac:dyDescent="0.35">
      <c r="A5799" s="15" t="s">
        <v>37654</v>
      </c>
      <c r="B5799" s="15" t="s">
        <v>37655</v>
      </c>
      <c r="C5799" s="15" t="s">
        <v>37385</v>
      </c>
      <c r="D5799" s="31">
        <v>43761</v>
      </c>
      <c r="E5799" s="15" t="s">
        <v>37656</v>
      </c>
      <c r="F5799" s="87" t="s">
        <v>36618</v>
      </c>
      <c r="G5799" s="45" t="s">
        <v>16389</v>
      </c>
      <c r="H5799" s="55" t="s">
        <v>16390</v>
      </c>
      <c r="I5799" s="15" t="s">
        <v>1553</v>
      </c>
    </row>
    <row r="5800" spans="1:9" ht="51.75" customHeight="1" x14ac:dyDescent="0.35">
      <c r="A5800" s="15" t="s">
        <v>37654</v>
      </c>
      <c r="B5800" s="15" t="s">
        <v>37657</v>
      </c>
      <c r="C5800" s="15" t="s">
        <v>37385</v>
      </c>
      <c r="D5800" s="31">
        <v>43761</v>
      </c>
      <c r="E5800" s="15" t="s">
        <v>37658</v>
      </c>
      <c r="F5800" s="87" t="s">
        <v>21871</v>
      </c>
      <c r="G5800" s="45" t="s">
        <v>16389</v>
      </c>
      <c r="H5800" s="55" t="s">
        <v>16390</v>
      </c>
      <c r="I5800" s="15" t="s">
        <v>1553</v>
      </c>
    </row>
    <row r="5801" spans="1:9" ht="51.75" customHeight="1" x14ac:dyDescent="0.35">
      <c r="A5801" s="15" t="s">
        <v>23816</v>
      </c>
      <c r="B5801" s="15" t="s">
        <v>37659</v>
      </c>
      <c r="C5801" s="15" t="s">
        <v>37660</v>
      </c>
      <c r="D5801" s="31">
        <v>43935</v>
      </c>
      <c r="E5801" s="15" t="s">
        <v>37661</v>
      </c>
      <c r="F5801" s="87" t="s">
        <v>36618</v>
      </c>
      <c r="G5801" s="45" t="s">
        <v>16424</v>
      </c>
      <c r="H5801" s="55" t="s">
        <v>16425</v>
      </c>
      <c r="I5801" s="15" t="s">
        <v>1553</v>
      </c>
    </row>
    <row r="5802" spans="1:9" ht="51.75" customHeight="1" x14ac:dyDescent="0.35">
      <c r="A5802" s="15" t="s">
        <v>23816</v>
      </c>
      <c r="B5802" s="15" t="s">
        <v>37662</v>
      </c>
      <c r="C5802" s="15" t="s">
        <v>37660</v>
      </c>
      <c r="D5802" s="31">
        <v>43935</v>
      </c>
      <c r="E5802" s="15" t="s">
        <v>37663</v>
      </c>
      <c r="F5802" s="87" t="s">
        <v>21871</v>
      </c>
      <c r="G5802" s="45" t="s">
        <v>16424</v>
      </c>
      <c r="H5802" s="55" t="s">
        <v>16425</v>
      </c>
      <c r="I5802" s="15" t="s">
        <v>1553</v>
      </c>
    </row>
    <row r="5803" spans="1:9" ht="51.75" customHeight="1" x14ac:dyDescent="0.35">
      <c r="A5803" s="15" t="s">
        <v>25435</v>
      </c>
      <c r="B5803" s="15" t="s">
        <v>37664</v>
      </c>
      <c r="C5803" s="15" t="s">
        <v>37665</v>
      </c>
      <c r="D5803" s="31">
        <v>43979</v>
      </c>
      <c r="E5803" s="15" t="s">
        <v>37666</v>
      </c>
      <c r="F5803" s="87" t="s">
        <v>36618</v>
      </c>
      <c r="G5803" s="45" t="s">
        <v>16434</v>
      </c>
      <c r="H5803" s="55" t="s">
        <v>16435</v>
      </c>
      <c r="I5803" s="15" t="s">
        <v>1553</v>
      </c>
    </row>
    <row r="5804" spans="1:9" ht="51.75" customHeight="1" x14ac:dyDescent="0.35">
      <c r="A5804" s="15" t="s">
        <v>25435</v>
      </c>
      <c r="B5804" s="15" t="s">
        <v>37667</v>
      </c>
      <c r="C5804" s="15" t="s">
        <v>37665</v>
      </c>
      <c r="D5804" s="31">
        <v>43979</v>
      </c>
      <c r="E5804" s="15" t="s">
        <v>37668</v>
      </c>
      <c r="F5804" s="87" t="s">
        <v>21871</v>
      </c>
      <c r="G5804" s="45" t="s">
        <v>16434</v>
      </c>
      <c r="H5804" s="55" t="s">
        <v>16435</v>
      </c>
      <c r="I5804" s="15" t="s">
        <v>1553</v>
      </c>
    </row>
    <row r="5805" spans="1:9" ht="51.75" customHeight="1" x14ac:dyDescent="0.35">
      <c r="A5805" s="15" t="s">
        <v>25980</v>
      </c>
      <c r="B5805" s="15" t="s">
        <v>37669</v>
      </c>
      <c r="C5805" s="15" t="s">
        <v>37670</v>
      </c>
      <c r="D5805" s="31">
        <v>43978</v>
      </c>
      <c r="E5805" s="15" t="s">
        <v>37671</v>
      </c>
      <c r="F5805" s="87" t="s">
        <v>36618</v>
      </c>
      <c r="G5805" s="45" t="s">
        <v>16451</v>
      </c>
      <c r="H5805" s="55" t="s">
        <v>16452</v>
      </c>
      <c r="I5805" s="15" t="s">
        <v>1553</v>
      </c>
    </row>
    <row r="5806" spans="1:9" ht="51.75" customHeight="1" x14ac:dyDescent="0.35">
      <c r="A5806" s="15" t="s">
        <v>25980</v>
      </c>
      <c r="B5806" s="15" t="s">
        <v>37672</v>
      </c>
      <c r="C5806" s="15" t="s">
        <v>37670</v>
      </c>
      <c r="D5806" s="31">
        <v>43978</v>
      </c>
      <c r="E5806" s="15" t="s">
        <v>37673</v>
      </c>
      <c r="F5806" s="87" t="s">
        <v>21871</v>
      </c>
      <c r="G5806" s="45" t="s">
        <v>16451</v>
      </c>
      <c r="H5806" s="55" t="s">
        <v>16452</v>
      </c>
      <c r="I5806" s="15" t="s">
        <v>1553</v>
      </c>
    </row>
    <row r="5807" spans="1:9" ht="51.75" customHeight="1" x14ac:dyDescent="0.35">
      <c r="A5807" s="15" t="s">
        <v>22738</v>
      </c>
      <c r="B5807" s="15" t="s">
        <v>37674</v>
      </c>
      <c r="C5807" s="15" t="s">
        <v>37675</v>
      </c>
      <c r="D5807" s="31">
        <v>43999</v>
      </c>
      <c r="E5807" s="15" t="s">
        <v>37676</v>
      </c>
      <c r="F5807" s="87" t="s">
        <v>36618</v>
      </c>
      <c r="G5807" s="45" t="s">
        <v>16497</v>
      </c>
      <c r="H5807" s="55" t="s">
        <v>16498</v>
      </c>
      <c r="I5807" s="15" t="s">
        <v>1553</v>
      </c>
    </row>
    <row r="5808" spans="1:9" ht="51.75" customHeight="1" x14ac:dyDescent="0.35">
      <c r="A5808" s="15" t="s">
        <v>22738</v>
      </c>
      <c r="B5808" s="15" t="s">
        <v>37677</v>
      </c>
      <c r="C5808" s="15" t="s">
        <v>37675</v>
      </c>
      <c r="D5808" s="31">
        <v>43999</v>
      </c>
      <c r="E5808" s="15" t="s">
        <v>37678</v>
      </c>
      <c r="F5808" s="87" t="s">
        <v>21871</v>
      </c>
      <c r="G5808" s="45" t="s">
        <v>16497</v>
      </c>
      <c r="H5808" s="55" t="s">
        <v>16498</v>
      </c>
      <c r="I5808" s="15" t="s">
        <v>1553</v>
      </c>
    </row>
    <row r="5809" spans="1:9" ht="51.75" customHeight="1" x14ac:dyDescent="0.35">
      <c r="A5809" s="15" t="s">
        <v>22742</v>
      </c>
      <c r="B5809" s="15" t="s">
        <v>37679</v>
      </c>
      <c r="C5809" s="15" t="s">
        <v>37680</v>
      </c>
      <c r="D5809" s="31">
        <v>44008</v>
      </c>
      <c r="E5809" s="15" t="s">
        <v>37681</v>
      </c>
      <c r="F5809" s="87" t="s">
        <v>36618</v>
      </c>
      <c r="G5809" s="45" t="s">
        <v>16519</v>
      </c>
      <c r="H5809" s="55" t="s">
        <v>16520</v>
      </c>
      <c r="I5809" s="15" t="s">
        <v>1553</v>
      </c>
    </row>
    <row r="5810" spans="1:9" ht="51.75" customHeight="1" x14ac:dyDescent="0.35">
      <c r="A5810" s="15" t="s">
        <v>22742</v>
      </c>
      <c r="B5810" s="15" t="s">
        <v>37682</v>
      </c>
      <c r="C5810" s="15" t="s">
        <v>37680</v>
      </c>
      <c r="D5810" s="31">
        <v>44008</v>
      </c>
      <c r="E5810" s="15" t="s">
        <v>37683</v>
      </c>
      <c r="F5810" s="87" t="s">
        <v>21871</v>
      </c>
      <c r="G5810" s="45" t="s">
        <v>16519</v>
      </c>
      <c r="H5810" s="55" t="s">
        <v>16520</v>
      </c>
      <c r="I5810" s="15" t="s">
        <v>1553</v>
      </c>
    </row>
    <row r="5811" spans="1:9" ht="51.75" customHeight="1" x14ac:dyDescent="0.35">
      <c r="A5811" s="15" t="s">
        <v>22750</v>
      </c>
      <c r="B5811" s="15" t="s">
        <v>37684</v>
      </c>
      <c r="C5811" s="15" t="s">
        <v>37685</v>
      </c>
      <c r="D5811" s="31">
        <v>44008</v>
      </c>
      <c r="E5811" s="15" t="s">
        <v>37686</v>
      </c>
      <c r="F5811" s="87" t="s">
        <v>36618</v>
      </c>
      <c r="G5811" s="45" t="s">
        <v>16519</v>
      </c>
      <c r="H5811" s="55" t="s">
        <v>16520</v>
      </c>
      <c r="I5811" s="15" t="s">
        <v>1553</v>
      </c>
    </row>
    <row r="5812" spans="1:9" ht="51.75" customHeight="1" x14ac:dyDescent="0.35">
      <c r="A5812" s="15" t="s">
        <v>22750</v>
      </c>
      <c r="B5812" s="15" t="s">
        <v>37687</v>
      </c>
      <c r="C5812" s="15" t="s">
        <v>37685</v>
      </c>
      <c r="D5812" s="31">
        <v>44008</v>
      </c>
      <c r="E5812" s="15" t="s">
        <v>37688</v>
      </c>
      <c r="F5812" s="87" t="s">
        <v>21871</v>
      </c>
      <c r="G5812" s="45" t="s">
        <v>16519</v>
      </c>
      <c r="H5812" s="55" t="s">
        <v>16520</v>
      </c>
      <c r="I5812" s="15" t="s">
        <v>1553</v>
      </c>
    </row>
    <row r="5813" spans="1:9" ht="51.75" customHeight="1" x14ac:dyDescent="0.35">
      <c r="A5813" s="15" t="s">
        <v>22754</v>
      </c>
      <c r="B5813" s="15" t="s">
        <v>37689</v>
      </c>
      <c r="C5813" s="15" t="s">
        <v>37690</v>
      </c>
      <c r="D5813" s="31">
        <v>44007</v>
      </c>
      <c r="E5813" s="15" t="s">
        <v>37691</v>
      </c>
      <c r="F5813" s="87" t="s">
        <v>36618</v>
      </c>
      <c r="G5813" s="45" t="s">
        <v>16524</v>
      </c>
      <c r="H5813" s="55" t="s">
        <v>16525</v>
      </c>
      <c r="I5813" s="15" t="s">
        <v>1553</v>
      </c>
    </row>
    <row r="5814" spans="1:9" ht="51.75" customHeight="1" x14ac:dyDescent="0.35">
      <c r="A5814" s="15" t="s">
        <v>22754</v>
      </c>
      <c r="B5814" s="15" t="s">
        <v>37692</v>
      </c>
      <c r="C5814" s="15" t="s">
        <v>37690</v>
      </c>
      <c r="D5814" s="31">
        <v>44007</v>
      </c>
      <c r="E5814" s="15" t="s">
        <v>37693</v>
      </c>
      <c r="F5814" s="87" t="s">
        <v>21871</v>
      </c>
      <c r="G5814" s="45" t="s">
        <v>16524</v>
      </c>
      <c r="H5814" s="55" t="s">
        <v>16525</v>
      </c>
      <c r="I5814" s="15" t="s">
        <v>1553</v>
      </c>
    </row>
    <row r="5815" spans="1:9" ht="51.75" customHeight="1" x14ac:dyDescent="0.35">
      <c r="A5815" s="15" t="s">
        <v>23804</v>
      </c>
      <c r="B5815" s="15" t="s">
        <v>37694</v>
      </c>
      <c r="C5815" s="15" t="s">
        <v>37695</v>
      </c>
      <c r="D5815" s="31">
        <v>44007</v>
      </c>
      <c r="E5815" s="15" t="s">
        <v>37696</v>
      </c>
      <c r="F5815" s="87" t="s">
        <v>36618</v>
      </c>
      <c r="G5815" s="45" t="s">
        <v>16524</v>
      </c>
      <c r="H5815" s="55" t="s">
        <v>16525</v>
      </c>
      <c r="I5815" s="15" t="s">
        <v>1553</v>
      </c>
    </row>
    <row r="5816" spans="1:9" ht="51.75" customHeight="1" x14ac:dyDescent="0.35">
      <c r="A5816" s="15" t="s">
        <v>23804</v>
      </c>
      <c r="B5816" s="15" t="s">
        <v>37697</v>
      </c>
      <c r="C5816" s="15" t="s">
        <v>37695</v>
      </c>
      <c r="D5816" s="31">
        <v>44007</v>
      </c>
      <c r="E5816" s="15" t="s">
        <v>37698</v>
      </c>
      <c r="F5816" s="87" t="s">
        <v>21871</v>
      </c>
      <c r="G5816" s="45" t="s">
        <v>16524</v>
      </c>
      <c r="H5816" s="55" t="s">
        <v>16525</v>
      </c>
      <c r="I5816" s="15" t="s">
        <v>1553</v>
      </c>
    </row>
    <row r="5817" spans="1:9" ht="51.75" customHeight="1" x14ac:dyDescent="0.35">
      <c r="A5817" s="15" t="s">
        <v>33622</v>
      </c>
      <c r="B5817" s="15" t="s">
        <v>37699</v>
      </c>
      <c r="C5817" s="15" t="s">
        <v>37700</v>
      </c>
      <c r="D5817" s="31">
        <v>44011</v>
      </c>
      <c r="E5817" s="15" t="s">
        <v>37701</v>
      </c>
      <c r="F5817" s="87" t="s">
        <v>36618</v>
      </c>
      <c r="G5817" s="45" t="s">
        <v>16531</v>
      </c>
      <c r="H5817" s="55" t="s">
        <v>16532</v>
      </c>
      <c r="I5817" s="15" t="s">
        <v>1553</v>
      </c>
    </row>
    <row r="5818" spans="1:9" ht="51.75" customHeight="1" x14ac:dyDescent="0.35">
      <c r="A5818" s="15" t="s">
        <v>33622</v>
      </c>
      <c r="B5818" s="15" t="s">
        <v>37702</v>
      </c>
      <c r="C5818" s="15" t="s">
        <v>37700</v>
      </c>
      <c r="D5818" s="31">
        <v>44011</v>
      </c>
      <c r="E5818" s="15" t="s">
        <v>37703</v>
      </c>
      <c r="F5818" s="87" t="s">
        <v>21871</v>
      </c>
      <c r="G5818" s="45" t="s">
        <v>16531</v>
      </c>
      <c r="H5818" s="55" t="s">
        <v>16532</v>
      </c>
      <c r="I5818" s="15" t="s">
        <v>1553</v>
      </c>
    </row>
    <row r="5819" spans="1:9" ht="51.75" customHeight="1" x14ac:dyDescent="0.35">
      <c r="A5819" s="15" t="s">
        <v>26352</v>
      </c>
      <c r="B5819" s="15" t="s">
        <v>37704</v>
      </c>
      <c r="C5819" s="15" t="s">
        <v>37705</v>
      </c>
      <c r="D5819" s="31">
        <v>44011</v>
      </c>
      <c r="E5819" s="15" t="s">
        <v>37706</v>
      </c>
      <c r="F5819" s="87" t="s">
        <v>36618</v>
      </c>
      <c r="G5819" s="45" t="s">
        <v>16531</v>
      </c>
      <c r="H5819" s="55" t="s">
        <v>16532</v>
      </c>
      <c r="I5819" s="15" t="s">
        <v>1553</v>
      </c>
    </row>
    <row r="5820" spans="1:9" ht="51.75" customHeight="1" x14ac:dyDescent="0.35">
      <c r="A5820" s="15" t="s">
        <v>26352</v>
      </c>
      <c r="B5820" s="15" t="s">
        <v>37707</v>
      </c>
      <c r="C5820" s="15" t="s">
        <v>37705</v>
      </c>
      <c r="D5820" s="31">
        <v>44011</v>
      </c>
      <c r="E5820" s="15" t="s">
        <v>37708</v>
      </c>
      <c r="F5820" s="87" t="s">
        <v>21871</v>
      </c>
      <c r="G5820" s="45" t="s">
        <v>16531</v>
      </c>
      <c r="H5820" s="55" t="s">
        <v>16532</v>
      </c>
      <c r="I5820" s="15" t="s">
        <v>1553</v>
      </c>
    </row>
    <row r="5821" spans="1:9" ht="51.75" customHeight="1" x14ac:dyDescent="0.35">
      <c r="A5821" s="15" t="s">
        <v>33635</v>
      </c>
      <c r="B5821" s="15" t="s">
        <v>37709</v>
      </c>
      <c r="C5821" s="15" t="s">
        <v>37710</v>
      </c>
      <c r="D5821" s="31">
        <v>44011</v>
      </c>
      <c r="E5821" s="15" t="s">
        <v>37711</v>
      </c>
      <c r="F5821" s="87" t="s">
        <v>36618</v>
      </c>
      <c r="G5821" s="45" t="s">
        <v>16531</v>
      </c>
      <c r="H5821" s="55" t="s">
        <v>16532</v>
      </c>
      <c r="I5821" s="15" t="s">
        <v>1553</v>
      </c>
    </row>
    <row r="5822" spans="1:9" ht="51.75" customHeight="1" x14ac:dyDescent="0.35">
      <c r="A5822" s="15" t="s">
        <v>33635</v>
      </c>
      <c r="B5822" s="15" t="s">
        <v>37712</v>
      </c>
      <c r="C5822" s="15" t="s">
        <v>37710</v>
      </c>
      <c r="D5822" s="31">
        <v>44011</v>
      </c>
      <c r="E5822" s="15" t="s">
        <v>37713</v>
      </c>
      <c r="F5822" s="87" t="s">
        <v>21871</v>
      </c>
      <c r="G5822" s="45" t="s">
        <v>16531</v>
      </c>
      <c r="H5822" s="55" t="s">
        <v>16532</v>
      </c>
      <c r="I5822" s="15" t="s">
        <v>1553</v>
      </c>
    </row>
    <row r="5823" spans="1:9" ht="51.75" customHeight="1" x14ac:dyDescent="0.35">
      <c r="A5823" s="15" t="s">
        <v>35480</v>
      </c>
      <c r="B5823" s="15" t="s">
        <v>37714</v>
      </c>
      <c r="C5823" s="15" t="s">
        <v>37715</v>
      </c>
      <c r="D5823" s="31">
        <v>44011</v>
      </c>
      <c r="E5823" s="15" t="s">
        <v>37716</v>
      </c>
      <c r="F5823" s="87" t="s">
        <v>36618</v>
      </c>
      <c r="G5823" s="45" t="s">
        <v>16531</v>
      </c>
      <c r="H5823" s="55" t="s">
        <v>16532</v>
      </c>
      <c r="I5823" s="15" t="s">
        <v>1553</v>
      </c>
    </row>
    <row r="5824" spans="1:9" ht="51.75" customHeight="1" x14ac:dyDescent="0.35">
      <c r="A5824" s="15" t="s">
        <v>35480</v>
      </c>
      <c r="B5824" s="15" t="s">
        <v>37717</v>
      </c>
      <c r="C5824" s="15" t="s">
        <v>37715</v>
      </c>
      <c r="D5824" s="31">
        <v>44011</v>
      </c>
      <c r="E5824" s="15" t="s">
        <v>37718</v>
      </c>
      <c r="F5824" s="87" t="s">
        <v>21871</v>
      </c>
      <c r="G5824" s="45" t="s">
        <v>16531</v>
      </c>
      <c r="H5824" s="55" t="s">
        <v>16532</v>
      </c>
      <c r="I5824" s="15" t="s">
        <v>1553</v>
      </c>
    </row>
    <row r="5825" spans="1:9" ht="51.75" customHeight="1" x14ac:dyDescent="0.35">
      <c r="A5825" s="15" t="s">
        <v>33911</v>
      </c>
      <c r="B5825" s="15" t="s">
        <v>37719</v>
      </c>
      <c r="C5825" s="15" t="s">
        <v>37720</v>
      </c>
      <c r="D5825" s="31">
        <v>44012</v>
      </c>
      <c r="E5825" s="15" t="s">
        <v>37721</v>
      </c>
      <c r="F5825" s="87" t="s">
        <v>36618</v>
      </c>
      <c r="G5825" s="45" t="s">
        <v>16566</v>
      </c>
      <c r="H5825" s="55" t="s">
        <v>16567</v>
      </c>
      <c r="I5825" s="15" t="s">
        <v>1553</v>
      </c>
    </row>
    <row r="5826" spans="1:9" ht="51.75" customHeight="1" x14ac:dyDescent="0.35">
      <c r="A5826" s="15" t="s">
        <v>33911</v>
      </c>
      <c r="B5826" s="15" t="s">
        <v>37722</v>
      </c>
      <c r="C5826" s="15" t="s">
        <v>37720</v>
      </c>
      <c r="D5826" s="31">
        <v>44012</v>
      </c>
      <c r="E5826" s="15" t="s">
        <v>37723</v>
      </c>
      <c r="F5826" s="87" t="s">
        <v>21871</v>
      </c>
      <c r="G5826" s="45" t="s">
        <v>16566</v>
      </c>
      <c r="H5826" s="55" t="s">
        <v>16567</v>
      </c>
      <c r="I5826" s="15" t="s">
        <v>1553</v>
      </c>
    </row>
    <row r="5827" spans="1:9" ht="51.75" customHeight="1" x14ac:dyDescent="0.35">
      <c r="A5827" s="15" t="s">
        <v>26348</v>
      </c>
      <c r="B5827" s="15" t="s">
        <v>37724</v>
      </c>
      <c r="C5827" s="15" t="s">
        <v>37725</v>
      </c>
      <c r="D5827" s="31">
        <v>44012</v>
      </c>
      <c r="E5827" s="15" t="s">
        <v>37723</v>
      </c>
      <c r="F5827" s="87" t="s">
        <v>36618</v>
      </c>
      <c r="G5827" s="45" t="s">
        <v>16566</v>
      </c>
      <c r="H5827" s="55" t="s">
        <v>16567</v>
      </c>
      <c r="I5827" s="15" t="s">
        <v>1553</v>
      </c>
    </row>
    <row r="5828" spans="1:9" ht="51.75" customHeight="1" x14ac:dyDescent="0.35">
      <c r="A5828" s="15" t="s">
        <v>26348</v>
      </c>
      <c r="B5828" s="15" t="s">
        <v>37726</v>
      </c>
      <c r="C5828" s="15" t="s">
        <v>37725</v>
      </c>
      <c r="D5828" s="31">
        <v>44012</v>
      </c>
      <c r="E5828" s="15" t="s">
        <v>37727</v>
      </c>
      <c r="F5828" s="87" t="s">
        <v>21871</v>
      </c>
      <c r="G5828" s="45" t="s">
        <v>16566</v>
      </c>
      <c r="H5828" s="55" t="s">
        <v>16567</v>
      </c>
      <c r="I5828" s="15" t="s">
        <v>1553</v>
      </c>
    </row>
    <row r="5829" spans="1:9" ht="51.75" customHeight="1" x14ac:dyDescent="0.35">
      <c r="A5829" s="15" t="s">
        <v>28964</v>
      </c>
      <c r="B5829" s="15" t="s">
        <v>37728</v>
      </c>
      <c r="C5829" s="15" t="s">
        <v>37729</v>
      </c>
      <c r="D5829" s="31">
        <v>44073</v>
      </c>
      <c r="E5829" s="15" t="s">
        <v>37730</v>
      </c>
      <c r="F5829" s="87" t="s">
        <v>36618</v>
      </c>
      <c r="G5829" s="45" t="s">
        <v>16693</v>
      </c>
      <c r="H5829" s="55" t="s">
        <v>16694</v>
      </c>
      <c r="I5829" s="15" t="s">
        <v>1553</v>
      </c>
    </row>
    <row r="5830" spans="1:9" ht="51.75" customHeight="1" x14ac:dyDescent="0.35">
      <c r="A5830" s="15" t="s">
        <v>28964</v>
      </c>
      <c r="B5830" s="15" t="s">
        <v>37731</v>
      </c>
      <c r="C5830" s="15" t="s">
        <v>37729</v>
      </c>
      <c r="D5830" s="31">
        <v>44073</v>
      </c>
      <c r="E5830" s="15" t="s">
        <v>37732</v>
      </c>
      <c r="F5830" s="87" t="s">
        <v>21871</v>
      </c>
      <c r="G5830" s="45" t="s">
        <v>16693</v>
      </c>
      <c r="H5830" s="55" t="s">
        <v>16694</v>
      </c>
      <c r="I5830" s="15" t="s">
        <v>1553</v>
      </c>
    </row>
    <row r="5831" spans="1:9" ht="51.75" customHeight="1" x14ac:dyDescent="0.35">
      <c r="A5831" s="15" t="s">
        <v>27049</v>
      </c>
      <c r="B5831" s="15" t="s">
        <v>37733</v>
      </c>
      <c r="C5831" s="15" t="s">
        <v>37734</v>
      </c>
      <c r="D5831" s="31">
        <v>44048</v>
      </c>
      <c r="E5831" s="15" t="s">
        <v>37735</v>
      </c>
      <c r="F5831" s="87" t="s">
        <v>36618</v>
      </c>
      <c r="G5831" s="45" t="s">
        <v>16717</v>
      </c>
      <c r="H5831" s="55" t="s">
        <v>16718</v>
      </c>
      <c r="I5831" s="15" t="s">
        <v>1553</v>
      </c>
    </row>
    <row r="5832" spans="1:9" ht="51.75" customHeight="1" x14ac:dyDescent="0.35">
      <c r="A5832" s="15" t="s">
        <v>27049</v>
      </c>
      <c r="B5832" s="15" t="s">
        <v>37736</v>
      </c>
      <c r="C5832" s="15" t="s">
        <v>37734</v>
      </c>
      <c r="D5832" s="31">
        <v>44048</v>
      </c>
      <c r="E5832" s="15" t="s">
        <v>37737</v>
      </c>
      <c r="F5832" s="87" t="s">
        <v>21871</v>
      </c>
      <c r="G5832" s="45" t="s">
        <v>16717</v>
      </c>
      <c r="H5832" s="55" t="s">
        <v>16718</v>
      </c>
      <c r="I5832" s="15" t="s">
        <v>1553</v>
      </c>
    </row>
    <row r="5833" spans="1:9" ht="51.75" customHeight="1" x14ac:dyDescent="0.35">
      <c r="A5833" s="15" t="s">
        <v>27055</v>
      </c>
      <c r="B5833" s="15" t="s">
        <v>37738</v>
      </c>
      <c r="C5833" s="15" t="s">
        <v>37739</v>
      </c>
      <c r="D5833" s="31">
        <v>44048</v>
      </c>
      <c r="E5833" s="15" t="s">
        <v>37740</v>
      </c>
      <c r="F5833" s="87" t="s">
        <v>36618</v>
      </c>
      <c r="G5833" s="45" t="s">
        <v>16717</v>
      </c>
      <c r="H5833" s="55" t="s">
        <v>16718</v>
      </c>
      <c r="I5833" s="15" t="s">
        <v>1553</v>
      </c>
    </row>
    <row r="5834" spans="1:9" ht="51.75" customHeight="1" x14ac:dyDescent="0.35">
      <c r="A5834" s="15" t="s">
        <v>27055</v>
      </c>
      <c r="B5834" s="15" t="s">
        <v>37741</v>
      </c>
      <c r="C5834" s="15" t="s">
        <v>37739</v>
      </c>
      <c r="D5834" s="31">
        <v>44048</v>
      </c>
      <c r="E5834" s="15" t="s">
        <v>37742</v>
      </c>
      <c r="F5834" s="87" t="s">
        <v>21871</v>
      </c>
      <c r="G5834" s="45" t="s">
        <v>16717</v>
      </c>
      <c r="H5834" s="55" t="s">
        <v>16718</v>
      </c>
      <c r="I5834" s="15" t="s">
        <v>1553</v>
      </c>
    </row>
    <row r="5835" spans="1:9" ht="51.75" customHeight="1" x14ac:dyDescent="0.35">
      <c r="A5835" s="15" t="s">
        <v>37743</v>
      </c>
      <c r="B5835" s="15" t="s">
        <v>37744</v>
      </c>
      <c r="C5835" s="15" t="s">
        <v>37745</v>
      </c>
      <c r="D5835" s="31">
        <v>44056</v>
      </c>
      <c r="E5835" s="15" t="s">
        <v>37746</v>
      </c>
      <c r="F5835" s="87" t="s">
        <v>36618</v>
      </c>
      <c r="G5835" s="45" t="s">
        <v>16747</v>
      </c>
      <c r="H5835" s="55" t="s">
        <v>16748</v>
      </c>
      <c r="I5835" s="15" t="s">
        <v>1553</v>
      </c>
    </row>
    <row r="5836" spans="1:9" ht="51.75" customHeight="1" x14ac:dyDescent="0.35">
      <c r="A5836" s="15" t="s">
        <v>37743</v>
      </c>
      <c r="B5836" s="15" t="s">
        <v>37747</v>
      </c>
      <c r="C5836" s="15" t="s">
        <v>37745</v>
      </c>
      <c r="D5836" s="31">
        <v>44056</v>
      </c>
      <c r="E5836" s="15" t="s">
        <v>37748</v>
      </c>
      <c r="F5836" s="87" t="s">
        <v>21871</v>
      </c>
      <c r="G5836" s="45" t="s">
        <v>16747</v>
      </c>
      <c r="H5836" s="55" t="s">
        <v>16748</v>
      </c>
      <c r="I5836" s="15" t="s">
        <v>1553</v>
      </c>
    </row>
    <row r="5837" spans="1:9" ht="51.75" customHeight="1" x14ac:dyDescent="0.35">
      <c r="A5837" s="15" t="s">
        <v>34166</v>
      </c>
      <c r="B5837" s="15" t="s">
        <v>37749</v>
      </c>
      <c r="C5837" s="15" t="s">
        <v>37750</v>
      </c>
      <c r="D5837" s="31">
        <v>44056</v>
      </c>
      <c r="E5837" s="15" t="s">
        <v>37751</v>
      </c>
      <c r="F5837" s="87" t="s">
        <v>36618</v>
      </c>
      <c r="G5837" s="45" t="s">
        <v>16747</v>
      </c>
      <c r="H5837" s="55" t="s">
        <v>16748</v>
      </c>
      <c r="I5837" s="15" t="s">
        <v>1553</v>
      </c>
    </row>
    <row r="5838" spans="1:9" ht="51.75" customHeight="1" x14ac:dyDescent="0.35">
      <c r="A5838" s="15" t="s">
        <v>34166</v>
      </c>
      <c r="B5838" s="15" t="s">
        <v>37752</v>
      </c>
      <c r="C5838" s="15" t="s">
        <v>37750</v>
      </c>
      <c r="D5838" s="31">
        <v>44056</v>
      </c>
      <c r="E5838" s="15" t="s">
        <v>37753</v>
      </c>
      <c r="F5838" s="87" t="s">
        <v>21871</v>
      </c>
      <c r="G5838" s="45" t="s">
        <v>16747</v>
      </c>
      <c r="H5838" s="55" t="s">
        <v>16748</v>
      </c>
      <c r="I5838" s="15" t="s">
        <v>1553</v>
      </c>
    </row>
    <row r="5839" spans="1:9" ht="51.75" customHeight="1" x14ac:dyDescent="0.35">
      <c r="A5839" s="15" t="s">
        <v>36101</v>
      </c>
      <c r="B5839" s="15" t="s">
        <v>37754</v>
      </c>
      <c r="C5839" s="15" t="s">
        <v>37755</v>
      </c>
      <c r="D5839" s="31">
        <v>44055</v>
      </c>
      <c r="E5839" s="15" t="s">
        <v>37756</v>
      </c>
      <c r="F5839" s="87" t="s">
        <v>36618</v>
      </c>
      <c r="G5839" s="45" t="s">
        <v>16754</v>
      </c>
      <c r="H5839" s="55" t="s">
        <v>16755</v>
      </c>
      <c r="I5839" s="15" t="s">
        <v>1553</v>
      </c>
    </row>
    <row r="5840" spans="1:9" ht="51.75" customHeight="1" x14ac:dyDescent="0.35">
      <c r="A5840" s="15" t="s">
        <v>36101</v>
      </c>
      <c r="B5840" s="15" t="s">
        <v>37757</v>
      </c>
      <c r="C5840" s="15" t="s">
        <v>37755</v>
      </c>
      <c r="D5840" s="31">
        <v>44055</v>
      </c>
      <c r="E5840" s="15" t="s">
        <v>37758</v>
      </c>
      <c r="F5840" s="87" t="s">
        <v>21871</v>
      </c>
      <c r="G5840" s="45" t="s">
        <v>16754</v>
      </c>
      <c r="H5840" s="55" t="s">
        <v>16755</v>
      </c>
      <c r="I5840" s="15" t="s">
        <v>1553</v>
      </c>
    </row>
    <row r="5841" spans="1:9" ht="51.75" customHeight="1" x14ac:dyDescent="0.35">
      <c r="A5841" s="15" t="s">
        <v>36109</v>
      </c>
      <c r="B5841" s="15" t="s">
        <v>37759</v>
      </c>
      <c r="C5841" s="15" t="s">
        <v>37760</v>
      </c>
      <c r="D5841" s="31">
        <v>44055</v>
      </c>
      <c r="E5841" s="15" t="s">
        <v>37761</v>
      </c>
      <c r="F5841" s="87" t="s">
        <v>36618</v>
      </c>
      <c r="G5841" s="45" t="s">
        <v>16754</v>
      </c>
      <c r="H5841" s="55" t="s">
        <v>16755</v>
      </c>
      <c r="I5841" s="15" t="s">
        <v>1553</v>
      </c>
    </row>
    <row r="5842" spans="1:9" ht="51.75" customHeight="1" x14ac:dyDescent="0.35">
      <c r="A5842" s="15" t="s">
        <v>36109</v>
      </c>
      <c r="B5842" s="15" t="s">
        <v>37762</v>
      </c>
      <c r="C5842" s="15" t="s">
        <v>37760</v>
      </c>
      <c r="D5842" s="31">
        <v>44055</v>
      </c>
      <c r="E5842" s="15" t="s">
        <v>37763</v>
      </c>
      <c r="F5842" s="87" t="s">
        <v>21871</v>
      </c>
      <c r="G5842" s="45" t="s">
        <v>16754</v>
      </c>
      <c r="H5842" s="55" t="s">
        <v>16755</v>
      </c>
      <c r="I5842" s="15" t="s">
        <v>1553</v>
      </c>
    </row>
    <row r="5843" spans="1:9" ht="51.75" customHeight="1" x14ac:dyDescent="0.35">
      <c r="A5843" s="15" t="s">
        <v>36149</v>
      </c>
      <c r="B5843" s="15" t="s">
        <v>37764</v>
      </c>
      <c r="C5843" s="15" t="s">
        <v>37765</v>
      </c>
      <c r="D5843" s="31">
        <v>44061</v>
      </c>
      <c r="E5843" s="15" t="s">
        <v>37766</v>
      </c>
      <c r="F5843" s="87" t="s">
        <v>36618</v>
      </c>
      <c r="G5843" s="45" t="s">
        <v>16771</v>
      </c>
      <c r="H5843" s="55" t="s">
        <v>16772</v>
      </c>
      <c r="I5843" s="15" t="s">
        <v>1553</v>
      </c>
    </row>
    <row r="5844" spans="1:9" ht="51.75" customHeight="1" x14ac:dyDescent="0.35">
      <c r="A5844" s="15" t="s">
        <v>36149</v>
      </c>
      <c r="B5844" s="15" t="s">
        <v>37767</v>
      </c>
      <c r="C5844" s="15" t="s">
        <v>37765</v>
      </c>
      <c r="D5844" s="31">
        <v>44061</v>
      </c>
      <c r="E5844" s="15" t="s">
        <v>37768</v>
      </c>
      <c r="F5844" s="87" t="s">
        <v>21871</v>
      </c>
      <c r="G5844" s="45" t="s">
        <v>16771</v>
      </c>
      <c r="H5844" s="55" t="s">
        <v>16772</v>
      </c>
      <c r="I5844" s="15" t="s">
        <v>1553</v>
      </c>
    </row>
    <row r="5845" spans="1:9" ht="51.75" customHeight="1" x14ac:dyDescent="0.35">
      <c r="A5845" s="15" t="s">
        <v>36157</v>
      </c>
      <c r="B5845" s="15" t="s">
        <v>37769</v>
      </c>
      <c r="C5845" s="15" t="s">
        <v>37770</v>
      </c>
      <c r="D5845" s="31">
        <v>44061</v>
      </c>
      <c r="E5845" s="15" t="s">
        <v>37771</v>
      </c>
      <c r="F5845" s="87" t="s">
        <v>36618</v>
      </c>
      <c r="G5845" s="45" t="s">
        <v>16771</v>
      </c>
      <c r="H5845" s="55" t="s">
        <v>16772</v>
      </c>
      <c r="I5845" s="15" t="s">
        <v>1553</v>
      </c>
    </row>
    <row r="5846" spans="1:9" ht="51.75" customHeight="1" x14ac:dyDescent="0.35">
      <c r="A5846" s="15" t="s">
        <v>36157</v>
      </c>
      <c r="B5846" s="15" t="s">
        <v>37772</v>
      </c>
      <c r="C5846" s="15" t="s">
        <v>37770</v>
      </c>
      <c r="D5846" s="31">
        <v>44061</v>
      </c>
      <c r="E5846" s="15" t="s">
        <v>37773</v>
      </c>
      <c r="F5846" s="87" t="s">
        <v>21871</v>
      </c>
      <c r="G5846" s="45" t="s">
        <v>16771</v>
      </c>
      <c r="H5846" s="55" t="s">
        <v>16772</v>
      </c>
      <c r="I5846" s="15" t="s">
        <v>1553</v>
      </c>
    </row>
    <row r="5847" spans="1:9" ht="51.75" customHeight="1" x14ac:dyDescent="0.35">
      <c r="A5847" s="15" t="s">
        <v>36161</v>
      </c>
      <c r="B5847" s="15" t="s">
        <v>37774</v>
      </c>
      <c r="C5847" s="15" t="s">
        <v>37775</v>
      </c>
      <c r="D5847" s="31">
        <v>44061</v>
      </c>
      <c r="E5847" s="15" t="s">
        <v>37776</v>
      </c>
      <c r="F5847" s="87" t="s">
        <v>36618</v>
      </c>
      <c r="G5847" s="45" t="s">
        <v>16771</v>
      </c>
      <c r="H5847" s="55" t="s">
        <v>16772</v>
      </c>
      <c r="I5847" s="15" t="s">
        <v>1553</v>
      </c>
    </row>
    <row r="5848" spans="1:9" ht="51.75" customHeight="1" x14ac:dyDescent="0.35">
      <c r="A5848" s="15" t="s">
        <v>36161</v>
      </c>
      <c r="B5848" s="15" t="s">
        <v>37777</v>
      </c>
      <c r="C5848" s="15" t="s">
        <v>37775</v>
      </c>
      <c r="D5848" s="31">
        <v>44061</v>
      </c>
      <c r="E5848" s="15" t="s">
        <v>37778</v>
      </c>
      <c r="F5848" s="87" t="s">
        <v>21871</v>
      </c>
      <c r="G5848" s="45" t="s">
        <v>16771</v>
      </c>
      <c r="H5848" s="55" t="s">
        <v>16772</v>
      </c>
      <c r="I5848" s="15" t="s">
        <v>1553</v>
      </c>
    </row>
    <row r="5849" spans="1:9" ht="51.75" customHeight="1" x14ac:dyDescent="0.35">
      <c r="A5849" s="15" t="s">
        <v>27040</v>
      </c>
      <c r="B5849" s="15" t="s">
        <v>37779</v>
      </c>
      <c r="C5849" s="15" t="s">
        <v>37780</v>
      </c>
      <c r="D5849" s="31">
        <v>44061</v>
      </c>
      <c r="E5849" s="15" t="s">
        <v>37781</v>
      </c>
      <c r="F5849" s="87" t="s">
        <v>36618</v>
      </c>
      <c r="G5849" s="45" t="s">
        <v>16771</v>
      </c>
      <c r="H5849" s="55" t="s">
        <v>16772</v>
      </c>
      <c r="I5849" s="15" t="s">
        <v>1553</v>
      </c>
    </row>
    <row r="5850" spans="1:9" ht="51.75" customHeight="1" x14ac:dyDescent="0.35">
      <c r="A5850" s="15" t="s">
        <v>27040</v>
      </c>
      <c r="B5850" s="15" t="s">
        <v>37782</v>
      </c>
      <c r="C5850" s="15" t="s">
        <v>37780</v>
      </c>
      <c r="D5850" s="31">
        <v>44061</v>
      </c>
      <c r="E5850" s="15" t="s">
        <v>37783</v>
      </c>
      <c r="F5850" s="87" t="s">
        <v>21871</v>
      </c>
      <c r="G5850" s="45" t="s">
        <v>16771</v>
      </c>
      <c r="H5850" s="55" t="s">
        <v>16772</v>
      </c>
      <c r="I5850" s="15" t="s">
        <v>1553</v>
      </c>
    </row>
    <row r="5851" spans="1:9" ht="51.75" customHeight="1" x14ac:dyDescent="0.35">
      <c r="A5851" s="15" t="s">
        <v>36117</v>
      </c>
      <c r="B5851" s="15" t="s">
        <v>37784</v>
      </c>
      <c r="C5851" s="15" t="s">
        <v>37785</v>
      </c>
      <c r="D5851" s="31">
        <v>44061</v>
      </c>
      <c r="E5851" s="15" t="s">
        <v>37786</v>
      </c>
      <c r="F5851" s="87" t="s">
        <v>36618</v>
      </c>
      <c r="G5851" s="45" t="s">
        <v>16837</v>
      </c>
      <c r="H5851" s="55" t="s">
        <v>16838</v>
      </c>
      <c r="I5851" s="15" t="s">
        <v>1553</v>
      </c>
    </row>
    <row r="5852" spans="1:9" ht="51.75" customHeight="1" x14ac:dyDescent="0.35">
      <c r="A5852" s="15" t="s">
        <v>36117</v>
      </c>
      <c r="B5852" s="15" t="s">
        <v>37787</v>
      </c>
      <c r="C5852" s="15" t="s">
        <v>37785</v>
      </c>
      <c r="D5852" s="31">
        <v>44061</v>
      </c>
      <c r="E5852" s="15" t="s">
        <v>37788</v>
      </c>
      <c r="F5852" s="87" t="s">
        <v>21871</v>
      </c>
      <c r="G5852" s="45" t="s">
        <v>16837</v>
      </c>
      <c r="H5852" s="55" t="s">
        <v>16838</v>
      </c>
      <c r="I5852" s="15" t="s">
        <v>1553</v>
      </c>
    </row>
    <row r="5853" spans="1:9" ht="51.75" customHeight="1" x14ac:dyDescent="0.35">
      <c r="A5853" s="15" t="s">
        <v>36129</v>
      </c>
      <c r="B5853" s="15" t="s">
        <v>37789</v>
      </c>
      <c r="C5853" s="15" t="s">
        <v>37790</v>
      </c>
      <c r="D5853" s="31">
        <v>44061</v>
      </c>
      <c r="E5853" s="15" t="s">
        <v>37791</v>
      </c>
      <c r="F5853" s="87" t="s">
        <v>36618</v>
      </c>
      <c r="G5853" s="45" t="s">
        <v>16837</v>
      </c>
      <c r="H5853" s="55" t="s">
        <v>16838</v>
      </c>
      <c r="I5853" s="15" t="s">
        <v>1553</v>
      </c>
    </row>
    <row r="5854" spans="1:9" ht="51.75" customHeight="1" x14ac:dyDescent="0.35">
      <c r="A5854" s="15" t="s">
        <v>36129</v>
      </c>
      <c r="B5854" s="15" t="s">
        <v>37792</v>
      </c>
      <c r="C5854" s="15" t="s">
        <v>37790</v>
      </c>
      <c r="D5854" s="31">
        <v>44061</v>
      </c>
      <c r="E5854" s="15" t="s">
        <v>37793</v>
      </c>
      <c r="F5854" s="87" t="s">
        <v>21871</v>
      </c>
      <c r="G5854" s="45" t="s">
        <v>16837</v>
      </c>
      <c r="H5854" s="55" t="s">
        <v>16838</v>
      </c>
      <c r="I5854" s="15" t="s">
        <v>1553</v>
      </c>
    </row>
    <row r="5855" spans="1:9" ht="51.75" customHeight="1" x14ac:dyDescent="0.35">
      <c r="A5855" s="15" t="s">
        <v>27061</v>
      </c>
      <c r="B5855" s="15" t="s">
        <v>37794</v>
      </c>
      <c r="C5855" s="15" t="s">
        <v>37795</v>
      </c>
      <c r="D5855" s="31">
        <v>44071</v>
      </c>
      <c r="E5855" s="15" t="s">
        <v>37796</v>
      </c>
      <c r="F5855" s="87" t="s">
        <v>36618</v>
      </c>
      <c r="G5855" s="45" t="s">
        <v>16847</v>
      </c>
      <c r="H5855" s="55" t="s">
        <v>16848</v>
      </c>
      <c r="I5855" s="15" t="s">
        <v>1553</v>
      </c>
    </row>
    <row r="5856" spans="1:9" ht="51.75" customHeight="1" x14ac:dyDescent="0.35">
      <c r="A5856" s="15" t="s">
        <v>27061</v>
      </c>
      <c r="B5856" s="15" t="s">
        <v>37797</v>
      </c>
      <c r="C5856" s="15" t="s">
        <v>37795</v>
      </c>
      <c r="D5856" s="31">
        <v>44071</v>
      </c>
      <c r="E5856" s="15" t="s">
        <v>37798</v>
      </c>
      <c r="F5856" s="87" t="s">
        <v>21871</v>
      </c>
      <c r="G5856" s="45" t="s">
        <v>16847</v>
      </c>
      <c r="H5856" s="55" t="s">
        <v>16848</v>
      </c>
      <c r="I5856" s="15" t="s">
        <v>1553</v>
      </c>
    </row>
    <row r="5857" spans="1:9" ht="51.75" customHeight="1" x14ac:dyDescent="0.35">
      <c r="A5857" s="15" t="s">
        <v>37378</v>
      </c>
      <c r="B5857" s="15" t="s">
        <v>37799</v>
      </c>
      <c r="C5857" s="15" t="s">
        <v>37800</v>
      </c>
      <c r="D5857" s="31">
        <v>44071</v>
      </c>
      <c r="E5857" s="15" t="s">
        <v>37801</v>
      </c>
      <c r="F5857" s="87" t="s">
        <v>36618</v>
      </c>
      <c r="G5857" s="45" t="s">
        <v>16847</v>
      </c>
      <c r="H5857" s="55" t="s">
        <v>16848</v>
      </c>
      <c r="I5857" s="15" t="s">
        <v>1553</v>
      </c>
    </row>
    <row r="5858" spans="1:9" ht="51.75" customHeight="1" x14ac:dyDescent="0.35">
      <c r="A5858" s="15" t="s">
        <v>37378</v>
      </c>
      <c r="B5858" s="15" t="s">
        <v>37802</v>
      </c>
      <c r="C5858" s="15" t="s">
        <v>37800</v>
      </c>
      <c r="D5858" s="31">
        <v>44071</v>
      </c>
      <c r="E5858" s="15" t="s">
        <v>37803</v>
      </c>
      <c r="F5858" s="87" t="s">
        <v>21871</v>
      </c>
      <c r="G5858" s="45" t="s">
        <v>16847</v>
      </c>
      <c r="H5858" s="55" t="s">
        <v>16848</v>
      </c>
      <c r="I5858" s="15" t="s">
        <v>1553</v>
      </c>
    </row>
    <row r="5859" spans="1:9" ht="51.75" customHeight="1" x14ac:dyDescent="0.35">
      <c r="A5859" s="15" t="s">
        <v>37804</v>
      </c>
      <c r="B5859" s="15" t="s">
        <v>37805</v>
      </c>
      <c r="C5859" s="15" t="s">
        <v>37806</v>
      </c>
      <c r="D5859" s="31">
        <v>44088</v>
      </c>
      <c r="E5859" s="15" t="s">
        <v>37807</v>
      </c>
      <c r="F5859" s="87" t="s">
        <v>36618</v>
      </c>
      <c r="G5859" s="45" t="s">
        <v>16927</v>
      </c>
      <c r="H5859" s="55" t="s">
        <v>16928</v>
      </c>
      <c r="I5859" s="15" t="s">
        <v>1553</v>
      </c>
    </row>
    <row r="5860" spans="1:9" ht="51.75" customHeight="1" x14ac:dyDescent="0.35">
      <c r="A5860" s="15" t="s">
        <v>37804</v>
      </c>
      <c r="B5860" s="15" t="s">
        <v>37808</v>
      </c>
      <c r="C5860" s="15" t="s">
        <v>37806</v>
      </c>
      <c r="D5860" s="31">
        <v>44088</v>
      </c>
      <c r="E5860" s="15" t="s">
        <v>37809</v>
      </c>
      <c r="F5860" s="87" t="s">
        <v>21871</v>
      </c>
      <c r="G5860" s="45" t="s">
        <v>16927</v>
      </c>
      <c r="H5860" s="55" t="s">
        <v>16928</v>
      </c>
      <c r="I5860" s="15" t="s">
        <v>1553</v>
      </c>
    </row>
    <row r="5861" spans="1:9" ht="51.75" customHeight="1" x14ac:dyDescent="0.35">
      <c r="A5861" s="15" t="s">
        <v>28975</v>
      </c>
      <c r="B5861" s="15" t="s">
        <v>37810</v>
      </c>
      <c r="C5861" s="15" t="s">
        <v>37811</v>
      </c>
      <c r="D5861" s="31">
        <v>44049</v>
      </c>
      <c r="E5861" s="15" t="s">
        <v>37812</v>
      </c>
      <c r="F5861" s="87" t="s">
        <v>36618</v>
      </c>
      <c r="G5861" s="45" t="s">
        <v>16940</v>
      </c>
      <c r="H5861" s="55" t="s">
        <v>16941</v>
      </c>
      <c r="I5861" s="15" t="s">
        <v>1553</v>
      </c>
    </row>
    <row r="5862" spans="1:9" ht="51.75" customHeight="1" x14ac:dyDescent="0.35">
      <c r="A5862" s="15" t="s">
        <v>28975</v>
      </c>
      <c r="B5862" s="15" t="s">
        <v>37813</v>
      </c>
      <c r="C5862" s="15" t="s">
        <v>37811</v>
      </c>
      <c r="D5862" s="31">
        <v>44049</v>
      </c>
      <c r="E5862" s="15" t="s">
        <v>37814</v>
      </c>
      <c r="F5862" s="87" t="s">
        <v>21871</v>
      </c>
      <c r="G5862" s="45" t="s">
        <v>16940</v>
      </c>
      <c r="H5862" s="55" t="s">
        <v>16941</v>
      </c>
      <c r="I5862" s="15" t="s">
        <v>1553</v>
      </c>
    </row>
    <row r="5863" spans="1:9" ht="51.75" customHeight="1" x14ac:dyDescent="0.35">
      <c r="A5863" s="15" t="s">
        <v>37815</v>
      </c>
      <c r="B5863" s="15" t="s">
        <v>37816</v>
      </c>
      <c r="C5863" s="15" t="s">
        <v>37817</v>
      </c>
      <c r="D5863" s="31">
        <v>44090</v>
      </c>
      <c r="E5863" s="15" t="s">
        <v>37818</v>
      </c>
      <c r="F5863" s="87" t="s">
        <v>36618</v>
      </c>
      <c r="G5863" s="45" t="s">
        <v>16946</v>
      </c>
      <c r="H5863" s="55" t="s">
        <v>16947</v>
      </c>
      <c r="I5863" s="15" t="s">
        <v>1553</v>
      </c>
    </row>
    <row r="5864" spans="1:9" ht="51.75" customHeight="1" x14ac:dyDescent="0.35">
      <c r="A5864" s="15" t="s">
        <v>37815</v>
      </c>
      <c r="B5864" s="15" t="s">
        <v>37819</v>
      </c>
      <c r="C5864" s="15" t="s">
        <v>37817</v>
      </c>
      <c r="D5864" s="31">
        <v>44090</v>
      </c>
      <c r="E5864" s="15" t="s">
        <v>37820</v>
      </c>
      <c r="F5864" s="87" t="s">
        <v>21871</v>
      </c>
      <c r="G5864" s="45" t="s">
        <v>16946</v>
      </c>
      <c r="H5864" s="55" t="s">
        <v>16947</v>
      </c>
      <c r="I5864" s="15" t="s">
        <v>1553</v>
      </c>
    </row>
    <row r="5865" spans="1:9" ht="51.75" customHeight="1" x14ac:dyDescent="0.35">
      <c r="A5865" s="15" t="s">
        <v>37821</v>
      </c>
      <c r="B5865" s="15" t="s">
        <v>37822</v>
      </c>
      <c r="C5865" s="15" t="s">
        <v>37823</v>
      </c>
      <c r="D5865" s="31">
        <v>44090</v>
      </c>
      <c r="E5865" s="15" t="s">
        <v>37824</v>
      </c>
      <c r="F5865" s="87" t="s">
        <v>36618</v>
      </c>
      <c r="G5865" s="45" t="s">
        <v>16946</v>
      </c>
      <c r="H5865" s="55" t="s">
        <v>16947</v>
      </c>
      <c r="I5865" s="15" t="s">
        <v>1553</v>
      </c>
    </row>
    <row r="5866" spans="1:9" ht="51.75" customHeight="1" x14ac:dyDescent="0.35">
      <c r="A5866" s="15" t="s">
        <v>37821</v>
      </c>
      <c r="B5866" s="15" t="s">
        <v>37825</v>
      </c>
      <c r="C5866" s="15" t="s">
        <v>37823</v>
      </c>
      <c r="D5866" s="31">
        <v>44090</v>
      </c>
      <c r="E5866" s="15" t="s">
        <v>37826</v>
      </c>
      <c r="F5866" s="87" t="s">
        <v>21871</v>
      </c>
      <c r="G5866" s="45" t="s">
        <v>16946</v>
      </c>
      <c r="H5866" s="55" t="s">
        <v>16947</v>
      </c>
      <c r="I5866" s="15" t="s">
        <v>1553</v>
      </c>
    </row>
    <row r="5867" spans="1:9" ht="51.75" customHeight="1" x14ac:dyDescent="0.35">
      <c r="A5867" s="15" t="s">
        <v>37827</v>
      </c>
      <c r="B5867" s="15" t="s">
        <v>37828</v>
      </c>
      <c r="C5867" s="15" t="s">
        <v>37829</v>
      </c>
      <c r="D5867" s="31">
        <v>44090</v>
      </c>
      <c r="E5867" s="15" t="s">
        <v>37830</v>
      </c>
      <c r="F5867" s="87" t="s">
        <v>36618</v>
      </c>
      <c r="G5867" s="45" t="s">
        <v>16946</v>
      </c>
      <c r="H5867" s="55" t="s">
        <v>16947</v>
      </c>
      <c r="I5867" s="15" t="s">
        <v>1553</v>
      </c>
    </row>
    <row r="5868" spans="1:9" ht="51.75" customHeight="1" x14ac:dyDescent="0.35">
      <c r="A5868" s="15" t="s">
        <v>37827</v>
      </c>
      <c r="B5868" s="15" t="s">
        <v>37831</v>
      </c>
      <c r="C5868" s="15" t="s">
        <v>37829</v>
      </c>
      <c r="D5868" s="31">
        <v>44090</v>
      </c>
      <c r="E5868" s="15" t="s">
        <v>37832</v>
      </c>
      <c r="F5868" s="87" t="s">
        <v>21871</v>
      </c>
      <c r="G5868" s="45" t="s">
        <v>16946</v>
      </c>
      <c r="H5868" s="55" t="s">
        <v>16947</v>
      </c>
      <c r="I5868" s="15" t="s">
        <v>1553</v>
      </c>
    </row>
    <row r="5869" spans="1:9" ht="51.75" customHeight="1" x14ac:dyDescent="0.35">
      <c r="A5869" s="15" t="s">
        <v>37833</v>
      </c>
      <c r="B5869" s="15" t="s">
        <v>37834</v>
      </c>
      <c r="C5869" s="15" t="s">
        <v>37835</v>
      </c>
      <c r="D5869" s="31">
        <v>44103</v>
      </c>
      <c r="E5869" s="15" t="s">
        <v>37836</v>
      </c>
      <c r="F5869" s="87" t="s">
        <v>36618</v>
      </c>
      <c r="G5869" s="45" t="s">
        <v>16975</v>
      </c>
      <c r="H5869" s="55" t="s">
        <v>16976</v>
      </c>
      <c r="I5869" s="15" t="s">
        <v>1553</v>
      </c>
    </row>
    <row r="5870" spans="1:9" ht="51.75" customHeight="1" x14ac:dyDescent="0.35">
      <c r="A5870" s="15" t="s">
        <v>37833</v>
      </c>
      <c r="B5870" s="15" t="s">
        <v>37837</v>
      </c>
      <c r="C5870" s="15" t="s">
        <v>37835</v>
      </c>
      <c r="D5870" s="31">
        <v>44103</v>
      </c>
      <c r="E5870" s="15" t="s">
        <v>37838</v>
      </c>
      <c r="F5870" s="87" t="s">
        <v>21871</v>
      </c>
      <c r="G5870" s="45" t="s">
        <v>16975</v>
      </c>
      <c r="H5870" s="55" t="s">
        <v>16976</v>
      </c>
      <c r="I5870" s="15" t="s">
        <v>1553</v>
      </c>
    </row>
    <row r="5871" spans="1:9" ht="51.75" customHeight="1" x14ac:dyDescent="0.35">
      <c r="A5871" s="15" t="s">
        <v>37839</v>
      </c>
      <c r="B5871" s="15" t="s">
        <v>37840</v>
      </c>
      <c r="C5871" s="15" t="s">
        <v>37604</v>
      </c>
      <c r="D5871" s="31">
        <v>44110</v>
      </c>
      <c r="E5871" s="15" t="s">
        <v>37841</v>
      </c>
      <c r="F5871" s="87" t="s">
        <v>36618</v>
      </c>
      <c r="G5871" s="45" t="s">
        <v>16991</v>
      </c>
      <c r="H5871" s="55" t="s">
        <v>16992</v>
      </c>
      <c r="I5871" s="15" t="s">
        <v>1553</v>
      </c>
    </row>
    <row r="5872" spans="1:9" ht="51.75" customHeight="1" x14ac:dyDescent="0.35">
      <c r="A5872" s="15" t="s">
        <v>37839</v>
      </c>
      <c r="B5872" s="15" t="s">
        <v>37842</v>
      </c>
      <c r="C5872" s="15" t="s">
        <v>37604</v>
      </c>
      <c r="D5872" s="31">
        <v>44110</v>
      </c>
      <c r="E5872" s="15" t="s">
        <v>37843</v>
      </c>
      <c r="F5872" s="87" t="s">
        <v>21871</v>
      </c>
      <c r="G5872" s="45" t="s">
        <v>16991</v>
      </c>
      <c r="H5872" s="55" t="s">
        <v>16992</v>
      </c>
      <c r="I5872" s="15" t="s">
        <v>1553</v>
      </c>
    </row>
    <row r="5873" spans="1:9" ht="51.75" customHeight="1" x14ac:dyDescent="0.35">
      <c r="A5873" s="15" t="s">
        <v>37844</v>
      </c>
      <c r="B5873" s="15" t="s">
        <v>37845</v>
      </c>
      <c r="C5873" s="15" t="s">
        <v>37846</v>
      </c>
      <c r="D5873" s="31">
        <v>44110</v>
      </c>
      <c r="E5873" s="15" t="s">
        <v>37847</v>
      </c>
      <c r="F5873" s="87" t="s">
        <v>36618</v>
      </c>
      <c r="G5873" s="45" t="s">
        <v>16991</v>
      </c>
      <c r="H5873" s="55" t="s">
        <v>16992</v>
      </c>
      <c r="I5873" s="15" t="s">
        <v>1553</v>
      </c>
    </row>
    <row r="5874" spans="1:9" ht="51.75" customHeight="1" x14ac:dyDescent="0.35">
      <c r="A5874" s="15" t="s">
        <v>37844</v>
      </c>
      <c r="B5874" s="15" t="s">
        <v>37848</v>
      </c>
      <c r="C5874" s="15" t="s">
        <v>37846</v>
      </c>
      <c r="D5874" s="31">
        <v>44110</v>
      </c>
      <c r="E5874" s="15" t="s">
        <v>37849</v>
      </c>
      <c r="F5874" s="87" t="s">
        <v>21871</v>
      </c>
      <c r="G5874" s="45" t="s">
        <v>16991</v>
      </c>
      <c r="H5874" s="55" t="s">
        <v>16992</v>
      </c>
      <c r="I5874" s="15" t="s">
        <v>1553</v>
      </c>
    </row>
    <row r="5875" spans="1:9" ht="51.75" customHeight="1" x14ac:dyDescent="0.35">
      <c r="A5875" s="15" t="s">
        <v>37850</v>
      </c>
      <c r="B5875" s="15" t="s">
        <v>37851</v>
      </c>
      <c r="C5875" s="15" t="s">
        <v>37852</v>
      </c>
      <c r="D5875" s="31">
        <v>44110</v>
      </c>
      <c r="E5875" s="15" t="s">
        <v>37853</v>
      </c>
      <c r="F5875" s="87" t="s">
        <v>36618</v>
      </c>
      <c r="G5875" s="45" t="s">
        <v>16991</v>
      </c>
      <c r="H5875" s="55" t="s">
        <v>16992</v>
      </c>
      <c r="I5875" s="15" t="s">
        <v>1553</v>
      </c>
    </row>
    <row r="5876" spans="1:9" ht="51.75" customHeight="1" x14ac:dyDescent="0.35">
      <c r="A5876" s="15" t="s">
        <v>37850</v>
      </c>
      <c r="B5876" s="15" t="s">
        <v>37854</v>
      </c>
      <c r="C5876" s="15" t="s">
        <v>37852</v>
      </c>
      <c r="D5876" s="31">
        <v>44110</v>
      </c>
      <c r="E5876" s="15" t="s">
        <v>37855</v>
      </c>
      <c r="F5876" s="87" t="s">
        <v>21871</v>
      </c>
      <c r="G5876" s="45" t="s">
        <v>16991</v>
      </c>
      <c r="H5876" s="55" t="s">
        <v>16992</v>
      </c>
      <c r="I5876" s="15" t="s">
        <v>1553</v>
      </c>
    </row>
    <row r="5877" spans="1:9" ht="51.75" customHeight="1" x14ac:dyDescent="0.35">
      <c r="A5877" s="15" t="s">
        <v>37856</v>
      </c>
      <c r="B5877" s="15" t="s">
        <v>37857</v>
      </c>
      <c r="C5877" s="15" t="s">
        <v>37858</v>
      </c>
      <c r="D5877" s="31">
        <v>44109</v>
      </c>
      <c r="E5877" s="15" t="s">
        <v>37859</v>
      </c>
      <c r="F5877" s="87" t="s">
        <v>36618</v>
      </c>
      <c r="G5877" s="45" t="s">
        <v>17003</v>
      </c>
      <c r="H5877" s="55" t="s">
        <v>17004</v>
      </c>
      <c r="I5877" s="15" t="s">
        <v>1553</v>
      </c>
    </row>
    <row r="5878" spans="1:9" ht="51.75" customHeight="1" x14ac:dyDescent="0.35">
      <c r="A5878" s="15" t="s">
        <v>37856</v>
      </c>
      <c r="B5878" s="15" t="s">
        <v>37860</v>
      </c>
      <c r="C5878" s="15" t="s">
        <v>37858</v>
      </c>
      <c r="D5878" s="31">
        <v>44109</v>
      </c>
      <c r="E5878" s="15" t="s">
        <v>37861</v>
      </c>
      <c r="F5878" s="87" t="s">
        <v>21871</v>
      </c>
      <c r="G5878" s="45" t="s">
        <v>17003</v>
      </c>
      <c r="H5878" s="55" t="s">
        <v>17004</v>
      </c>
      <c r="I5878" s="15" t="s">
        <v>1553</v>
      </c>
    </row>
    <row r="5879" spans="1:9" ht="51.75" customHeight="1" x14ac:dyDescent="0.35">
      <c r="A5879" s="15" t="s">
        <v>37862</v>
      </c>
      <c r="B5879" s="15" t="s">
        <v>37863</v>
      </c>
      <c r="C5879" s="15" t="s">
        <v>37864</v>
      </c>
      <c r="D5879" s="31">
        <v>44124</v>
      </c>
      <c r="E5879" s="15" t="s">
        <v>37865</v>
      </c>
      <c r="F5879" s="87" t="s">
        <v>36618</v>
      </c>
      <c r="G5879" s="45" t="s">
        <v>17056</v>
      </c>
      <c r="H5879" s="55" t="s">
        <v>17057</v>
      </c>
      <c r="I5879" s="15" t="s">
        <v>1553</v>
      </c>
    </row>
    <row r="5880" spans="1:9" ht="51.75" customHeight="1" x14ac:dyDescent="0.35">
      <c r="A5880" s="15" t="s">
        <v>37862</v>
      </c>
      <c r="B5880" s="15" t="s">
        <v>37866</v>
      </c>
      <c r="C5880" s="15" t="s">
        <v>37864</v>
      </c>
      <c r="D5880" s="31">
        <v>44124</v>
      </c>
      <c r="E5880" s="15" t="s">
        <v>37867</v>
      </c>
      <c r="F5880" s="87" t="s">
        <v>21871</v>
      </c>
      <c r="G5880" s="45" t="s">
        <v>17056</v>
      </c>
      <c r="H5880" s="55" t="s">
        <v>17057</v>
      </c>
      <c r="I5880" s="15" t="s">
        <v>1553</v>
      </c>
    </row>
    <row r="5881" spans="1:9" ht="51.75" customHeight="1" x14ac:dyDescent="0.35">
      <c r="A5881" s="15" t="s">
        <v>37868</v>
      </c>
      <c r="B5881" s="15" t="s">
        <v>37869</v>
      </c>
      <c r="C5881" s="15" t="s">
        <v>37870</v>
      </c>
      <c r="D5881" s="31">
        <v>44139</v>
      </c>
      <c r="E5881" s="15" t="s">
        <v>37871</v>
      </c>
      <c r="F5881" s="87" t="s">
        <v>36618</v>
      </c>
      <c r="G5881" s="45" t="s">
        <v>17074</v>
      </c>
      <c r="H5881" s="55" t="s">
        <v>17075</v>
      </c>
      <c r="I5881" s="15" t="s">
        <v>1553</v>
      </c>
    </row>
    <row r="5882" spans="1:9" ht="51.75" customHeight="1" x14ac:dyDescent="0.35">
      <c r="A5882" s="15" t="s">
        <v>37868</v>
      </c>
      <c r="B5882" s="15" t="s">
        <v>37872</v>
      </c>
      <c r="C5882" s="15" t="s">
        <v>37870</v>
      </c>
      <c r="D5882" s="31">
        <v>44139</v>
      </c>
      <c r="E5882" s="15" t="s">
        <v>37873</v>
      </c>
      <c r="F5882" s="87" t="s">
        <v>21871</v>
      </c>
      <c r="G5882" s="45" t="s">
        <v>17074</v>
      </c>
      <c r="H5882" s="55" t="s">
        <v>17075</v>
      </c>
      <c r="I5882" s="15" t="s">
        <v>1553</v>
      </c>
    </row>
    <row r="5883" spans="1:9" ht="51.75" customHeight="1" x14ac:dyDescent="0.35">
      <c r="A5883" s="15" t="s">
        <v>37874</v>
      </c>
      <c r="B5883" s="15" t="s">
        <v>37875</v>
      </c>
      <c r="C5883" s="15" t="s">
        <v>37695</v>
      </c>
      <c r="D5883" s="31">
        <v>44139</v>
      </c>
      <c r="E5883" s="15" t="s">
        <v>37876</v>
      </c>
      <c r="F5883" s="87" t="s">
        <v>36618</v>
      </c>
      <c r="G5883" s="45" t="s">
        <v>17074</v>
      </c>
      <c r="H5883" s="55" t="s">
        <v>17075</v>
      </c>
      <c r="I5883" s="15" t="s">
        <v>1553</v>
      </c>
    </row>
    <row r="5884" spans="1:9" ht="51.75" customHeight="1" x14ac:dyDescent="0.35">
      <c r="A5884" s="15" t="s">
        <v>37874</v>
      </c>
      <c r="B5884" s="15" t="s">
        <v>37877</v>
      </c>
      <c r="C5884" s="15" t="s">
        <v>37695</v>
      </c>
      <c r="D5884" s="31">
        <v>44139</v>
      </c>
      <c r="E5884" s="15" t="s">
        <v>37878</v>
      </c>
      <c r="F5884" s="87" t="s">
        <v>21871</v>
      </c>
      <c r="G5884" s="45" t="s">
        <v>17074</v>
      </c>
      <c r="H5884" s="55" t="s">
        <v>17075</v>
      </c>
      <c r="I5884" s="15" t="s">
        <v>1553</v>
      </c>
    </row>
    <row r="5885" spans="1:9" ht="51.75" customHeight="1" x14ac:dyDescent="0.35">
      <c r="A5885" s="15" t="s">
        <v>37879</v>
      </c>
      <c r="B5885" s="15" t="s">
        <v>37880</v>
      </c>
      <c r="C5885" s="15" t="s">
        <v>37881</v>
      </c>
      <c r="D5885" s="31">
        <v>44152</v>
      </c>
      <c r="E5885" s="15" t="s">
        <v>37882</v>
      </c>
      <c r="F5885" s="87" t="s">
        <v>36618</v>
      </c>
      <c r="G5885" s="45" t="s">
        <v>17114</v>
      </c>
      <c r="H5885" s="55" t="s">
        <v>17115</v>
      </c>
      <c r="I5885" s="15" t="s">
        <v>1553</v>
      </c>
    </row>
    <row r="5886" spans="1:9" ht="51.75" customHeight="1" x14ac:dyDescent="0.35">
      <c r="A5886" s="15" t="s">
        <v>37879</v>
      </c>
      <c r="B5886" s="15" t="s">
        <v>37883</v>
      </c>
      <c r="C5886" s="15" t="s">
        <v>37881</v>
      </c>
      <c r="D5886" s="31">
        <v>44152</v>
      </c>
      <c r="E5886" s="15" t="s">
        <v>37884</v>
      </c>
      <c r="F5886" s="87" t="s">
        <v>21871</v>
      </c>
      <c r="G5886" s="45" t="s">
        <v>17114</v>
      </c>
      <c r="H5886" s="55" t="s">
        <v>17115</v>
      </c>
      <c r="I5886" s="15" t="s">
        <v>1553</v>
      </c>
    </row>
    <row r="5887" spans="1:9" ht="51.75" customHeight="1" x14ac:dyDescent="0.35">
      <c r="A5887" s="15" t="s">
        <v>37885</v>
      </c>
      <c r="B5887" s="15" t="s">
        <v>37886</v>
      </c>
      <c r="C5887" s="15" t="s">
        <v>37695</v>
      </c>
      <c r="D5887" s="31">
        <v>44152</v>
      </c>
      <c r="E5887" s="15" t="s">
        <v>37887</v>
      </c>
      <c r="F5887" s="87" t="s">
        <v>36618</v>
      </c>
      <c r="G5887" s="45" t="s">
        <v>17114</v>
      </c>
      <c r="H5887" s="55" t="s">
        <v>17115</v>
      </c>
      <c r="I5887" s="15" t="s">
        <v>1553</v>
      </c>
    </row>
    <row r="5888" spans="1:9" ht="51.75" customHeight="1" x14ac:dyDescent="0.35">
      <c r="A5888" s="15" t="s">
        <v>37885</v>
      </c>
      <c r="B5888" s="15" t="s">
        <v>37888</v>
      </c>
      <c r="C5888" s="15" t="s">
        <v>37695</v>
      </c>
      <c r="D5888" s="31">
        <v>44152</v>
      </c>
      <c r="E5888" s="15" t="s">
        <v>37889</v>
      </c>
      <c r="F5888" s="87" t="s">
        <v>21871</v>
      </c>
      <c r="G5888" s="45" t="s">
        <v>17114</v>
      </c>
      <c r="H5888" s="55" t="s">
        <v>17115</v>
      </c>
      <c r="I5888" s="15" t="s">
        <v>1553</v>
      </c>
    </row>
    <row r="5889" spans="1:9" ht="51.75" customHeight="1" x14ac:dyDescent="0.35">
      <c r="A5889" s="15" t="s">
        <v>37890</v>
      </c>
      <c r="B5889" s="15" t="s">
        <v>37891</v>
      </c>
      <c r="C5889" s="15" t="s">
        <v>37892</v>
      </c>
      <c r="D5889" s="31">
        <v>44167</v>
      </c>
      <c r="E5889" s="15" t="s">
        <v>37893</v>
      </c>
      <c r="F5889" s="87" t="s">
        <v>36618</v>
      </c>
      <c r="G5889" s="45" t="s">
        <v>17513</v>
      </c>
      <c r="H5889" s="55" t="s">
        <v>17514</v>
      </c>
      <c r="I5889" s="15" t="s">
        <v>1553</v>
      </c>
    </row>
    <row r="5890" spans="1:9" ht="51.75" customHeight="1" x14ac:dyDescent="0.35">
      <c r="A5890" s="15" t="s">
        <v>37890</v>
      </c>
      <c r="B5890" s="15" t="s">
        <v>37894</v>
      </c>
      <c r="C5890" s="15" t="s">
        <v>37892</v>
      </c>
      <c r="D5890" s="31">
        <v>44167</v>
      </c>
      <c r="E5890" s="15" t="s">
        <v>37895</v>
      </c>
      <c r="F5890" s="87" t="s">
        <v>21871</v>
      </c>
      <c r="G5890" s="45" t="s">
        <v>17513</v>
      </c>
      <c r="H5890" s="55" t="s">
        <v>17514</v>
      </c>
      <c r="I5890" s="15" t="s">
        <v>1553</v>
      </c>
    </row>
    <row r="5891" spans="1:9" ht="51.75" customHeight="1" x14ac:dyDescent="0.35">
      <c r="A5891" s="15" t="s">
        <v>37896</v>
      </c>
      <c r="B5891" s="15" t="s">
        <v>37897</v>
      </c>
      <c r="C5891" s="15" t="s">
        <v>37898</v>
      </c>
      <c r="D5891" s="31">
        <v>43991</v>
      </c>
      <c r="E5891" s="15" t="s">
        <v>37899</v>
      </c>
      <c r="F5891" s="87" t="s">
        <v>36618</v>
      </c>
      <c r="G5891" s="45" t="s">
        <v>17483</v>
      </c>
      <c r="H5891" s="55" t="s">
        <v>17484</v>
      </c>
      <c r="I5891" s="15" t="s">
        <v>1553</v>
      </c>
    </row>
    <row r="5892" spans="1:9" ht="51.75" customHeight="1" x14ac:dyDescent="0.35">
      <c r="A5892" s="15" t="s">
        <v>37896</v>
      </c>
      <c r="B5892" s="15" t="s">
        <v>37900</v>
      </c>
      <c r="C5892" s="15" t="s">
        <v>37898</v>
      </c>
      <c r="D5892" s="31">
        <v>43991</v>
      </c>
      <c r="E5892" s="15" t="s">
        <v>37901</v>
      </c>
      <c r="F5892" s="87" t="s">
        <v>21871</v>
      </c>
      <c r="G5892" s="45" t="s">
        <v>17483</v>
      </c>
      <c r="H5892" s="55" t="s">
        <v>17484</v>
      </c>
      <c r="I5892" s="15" t="s">
        <v>1553</v>
      </c>
    </row>
    <row r="5893" spans="1:9" ht="51.75" customHeight="1" x14ac:dyDescent="0.35">
      <c r="A5893" s="15" t="s">
        <v>37902</v>
      </c>
      <c r="B5893" s="15" t="s">
        <v>37903</v>
      </c>
      <c r="C5893" s="15" t="s">
        <v>37904</v>
      </c>
      <c r="D5893" s="31">
        <v>43991</v>
      </c>
      <c r="E5893" s="15" t="s">
        <v>37905</v>
      </c>
      <c r="F5893" s="87" t="s">
        <v>36618</v>
      </c>
      <c r="G5893" s="45" t="s">
        <v>17483</v>
      </c>
      <c r="H5893" s="55" t="s">
        <v>17484</v>
      </c>
      <c r="I5893" s="15" t="s">
        <v>1553</v>
      </c>
    </row>
    <row r="5894" spans="1:9" ht="51.75" customHeight="1" x14ac:dyDescent="0.35">
      <c r="A5894" s="15" t="s">
        <v>37902</v>
      </c>
      <c r="B5894" s="15" t="s">
        <v>37906</v>
      </c>
      <c r="C5894" s="15" t="s">
        <v>37904</v>
      </c>
      <c r="D5894" s="31">
        <v>43991</v>
      </c>
      <c r="E5894" s="15" t="s">
        <v>37907</v>
      </c>
      <c r="F5894" s="87" t="s">
        <v>21871</v>
      </c>
      <c r="G5894" s="45" t="s">
        <v>17483</v>
      </c>
      <c r="H5894" s="55" t="s">
        <v>17484</v>
      </c>
      <c r="I5894" s="15" t="s">
        <v>1553</v>
      </c>
    </row>
    <row r="5895" spans="1:9" ht="51.75" customHeight="1" x14ac:dyDescent="0.35">
      <c r="A5895" s="15" t="s">
        <v>37908</v>
      </c>
      <c r="B5895" s="15" t="s">
        <v>37909</v>
      </c>
      <c r="C5895" s="15" t="s">
        <v>37910</v>
      </c>
      <c r="D5895" s="31">
        <v>43988</v>
      </c>
      <c r="E5895" s="15" t="s">
        <v>37911</v>
      </c>
      <c r="F5895" s="87" t="s">
        <v>36618</v>
      </c>
      <c r="G5895" s="45" t="s">
        <v>17483</v>
      </c>
      <c r="H5895" s="55" t="s">
        <v>17484</v>
      </c>
      <c r="I5895" s="15" t="s">
        <v>1553</v>
      </c>
    </row>
    <row r="5896" spans="1:9" ht="51.75" customHeight="1" x14ac:dyDescent="0.35">
      <c r="A5896" s="15" t="s">
        <v>37908</v>
      </c>
      <c r="B5896" s="15" t="s">
        <v>37912</v>
      </c>
      <c r="C5896" s="15" t="s">
        <v>37910</v>
      </c>
      <c r="D5896" s="31">
        <v>43988</v>
      </c>
      <c r="E5896" s="15" t="s">
        <v>37913</v>
      </c>
      <c r="F5896" s="87" t="s">
        <v>21871</v>
      </c>
      <c r="G5896" s="45" t="s">
        <v>17483</v>
      </c>
      <c r="H5896" s="55" t="s">
        <v>17484</v>
      </c>
      <c r="I5896" s="15" t="s">
        <v>1553</v>
      </c>
    </row>
    <row r="5897" spans="1:9" ht="51.75" customHeight="1" x14ac:dyDescent="0.35">
      <c r="A5897" s="15" t="s">
        <v>37914</v>
      </c>
      <c r="B5897" s="15" t="s">
        <v>37915</v>
      </c>
      <c r="C5897" s="15" t="s">
        <v>37898</v>
      </c>
      <c r="D5897" s="31">
        <v>43991</v>
      </c>
      <c r="E5897" s="15" t="s">
        <v>37916</v>
      </c>
      <c r="F5897" s="87" t="s">
        <v>36618</v>
      </c>
      <c r="G5897" s="45" t="s">
        <v>17483</v>
      </c>
      <c r="H5897" s="55" t="s">
        <v>17484</v>
      </c>
      <c r="I5897" s="15" t="s">
        <v>1553</v>
      </c>
    </row>
    <row r="5898" spans="1:9" ht="51.75" customHeight="1" x14ac:dyDescent="0.35">
      <c r="A5898" s="15" t="s">
        <v>37914</v>
      </c>
      <c r="B5898" s="15" t="s">
        <v>37917</v>
      </c>
      <c r="C5898" s="15" t="s">
        <v>37898</v>
      </c>
      <c r="D5898" s="31">
        <v>43991</v>
      </c>
      <c r="E5898" s="15" t="s">
        <v>37918</v>
      </c>
      <c r="F5898" s="87" t="s">
        <v>21871</v>
      </c>
      <c r="G5898" s="45" t="s">
        <v>17483</v>
      </c>
      <c r="H5898" s="55" t="s">
        <v>17484</v>
      </c>
      <c r="I5898" s="15" t="s">
        <v>1553</v>
      </c>
    </row>
    <row r="5899" spans="1:9" ht="51.75" customHeight="1" x14ac:dyDescent="0.35">
      <c r="A5899" s="15"/>
      <c r="B5899" s="15" t="s">
        <v>37919</v>
      </c>
      <c r="C5899" s="15">
        <v>1</v>
      </c>
      <c r="D5899" s="28">
        <v>44168</v>
      </c>
      <c r="E5899" s="15" t="s">
        <v>37920</v>
      </c>
      <c r="F5899" s="87" t="s">
        <v>21871</v>
      </c>
      <c r="G5899" s="45" t="s">
        <v>17205</v>
      </c>
      <c r="H5899" s="55" t="s">
        <v>17206</v>
      </c>
      <c r="I5899" s="5" t="s">
        <v>1553</v>
      </c>
    </row>
    <row r="5900" spans="1:9" ht="51.75" customHeight="1" x14ac:dyDescent="0.35">
      <c r="A5900" s="15"/>
      <c r="B5900" s="15" t="s">
        <v>37921</v>
      </c>
      <c r="C5900" s="15">
        <v>1</v>
      </c>
      <c r="D5900" s="28">
        <v>44207</v>
      </c>
      <c r="E5900" s="29" t="s">
        <v>37922</v>
      </c>
      <c r="F5900" s="87" t="s">
        <v>21871</v>
      </c>
      <c r="G5900" s="45" t="s">
        <v>17299</v>
      </c>
      <c r="H5900" s="55" t="s">
        <v>17300</v>
      </c>
      <c r="I5900" s="5" t="s">
        <v>1553</v>
      </c>
    </row>
    <row r="5901" spans="1:9" ht="51.75" customHeight="1" x14ac:dyDescent="0.35">
      <c r="A5901" s="15"/>
      <c r="B5901" s="15" t="s">
        <v>37923</v>
      </c>
      <c r="C5901" s="15">
        <v>2</v>
      </c>
      <c r="D5901" s="28">
        <v>44207</v>
      </c>
      <c r="E5901" s="29" t="s">
        <v>37924</v>
      </c>
      <c r="F5901" s="87" t="s">
        <v>21871</v>
      </c>
      <c r="G5901" s="45" t="s">
        <v>17299</v>
      </c>
      <c r="H5901" s="55" t="s">
        <v>17300</v>
      </c>
      <c r="I5901" s="5" t="s">
        <v>1553</v>
      </c>
    </row>
    <row r="5902" spans="1:9" ht="51.75" customHeight="1" x14ac:dyDescent="0.35">
      <c r="A5902" s="15"/>
      <c r="B5902" s="15" t="s">
        <v>37925</v>
      </c>
      <c r="C5902" s="15">
        <v>1</v>
      </c>
      <c r="D5902" s="28">
        <v>44218</v>
      </c>
      <c r="E5902" s="29" t="s">
        <v>37926</v>
      </c>
      <c r="F5902" s="87" t="s">
        <v>21871</v>
      </c>
      <c r="G5902" s="45" t="s">
        <v>17270</v>
      </c>
      <c r="H5902" s="55" t="s">
        <v>17271</v>
      </c>
      <c r="I5902" s="5" t="s">
        <v>1553</v>
      </c>
    </row>
    <row r="5903" spans="1:9" ht="51.75" customHeight="1" x14ac:dyDescent="0.35">
      <c r="A5903" s="15"/>
      <c r="B5903" s="15" t="s">
        <v>37927</v>
      </c>
      <c r="C5903" s="15">
        <v>2</v>
      </c>
      <c r="D5903" s="28">
        <v>44218</v>
      </c>
      <c r="E5903" s="29" t="s">
        <v>37928</v>
      </c>
      <c r="F5903" s="87" t="s">
        <v>21871</v>
      </c>
      <c r="G5903" s="45" t="s">
        <v>17270</v>
      </c>
      <c r="H5903" s="55" t="s">
        <v>17271</v>
      </c>
      <c r="I5903" s="5" t="s">
        <v>1553</v>
      </c>
    </row>
    <row r="5904" spans="1:9" ht="51.75" customHeight="1" x14ac:dyDescent="0.35">
      <c r="A5904" s="15"/>
      <c r="B5904" s="15" t="s">
        <v>37929</v>
      </c>
      <c r="C5904" s="15">
        <v>3</v>
      </c>
      <c r="D5904" s="28">
        <v>44218</v>
      </c>
      <c r="E5904" s="29" t="s">
        <v>37930</v>
      </c>
      <c r="F5904" s="87" t="s">
        <v>21871</v>
      </c>
      <c r="G5904" s="45" t="s">
        <v>17270</v>
      </c>
      <c r="H5904" s="55" t="s">
        <v>17271</v>
      </c>
      <c r="I5904" s="5" t="s">
        <v>1553</v>
      </c>
    </row>
    <row r="5905" spans="1:9" ht="51.75" customHeight="1" x14ac:dyDescent="0.35">
      <c r="A5905" s="15"/>
      <c r="B5905" s="15" t="s">
        <v>37931</v>
      </c>
      <c r="C5905" s="15">
        <v>4</v>
      </c>
      <c r="D5905" s="28">
        <v>44218</v>
      </c>
      <c r="E5905" s="29" t="s">
        <v>37932</v>
      </c>
      <c r="F5905" s="87" t="s">
        <v>21871</v>
      </c>
      <c r="G5905" s="45" t="s">
        <v>17270</v>
      </c>
      <c r="H5905" s="55" t="s">
        <v>17271</v>
      </c>
      <c r="I5905" s="5" t="s">
        <v>1553</v>
      </c>
    </row>
    <row r="5906" spans="1:9" ht="51.75" customHeight="1" x14ac:dyDescent="0.35">
      <c r="A5906" s="15"/>
      <c r="B5906" s="15" t="s">
        <v>37933</v>
      </c>
      <c r="C5906" s="15">
        <v>5</v>
      </c>
      <c r="D5906" s="28">
        <v>44218</v>
      </c>
      <c r="E5906" s="29" t="s">
        <v>37934</v>
      </c>
      <c r="F5906" s="87" t="s">
        <v>21871</v>
      </c>
      <c r="G5906" s="45" t="s">
        <v>17270</v>
      </c>
      <c r="H5906" s="55" t="s">
        <v>17271</v>
      </c>
      <c r="I5906" s="5" t="s">
        <v>1553</v>
      </c>
    </row>
    <row r="5907" spans="1:9" ht="51.75" customHeight="1" x14ac:dyDescent="0.35">
      <c r="A5907" s="15"/>
      <c r="B5907" s="15" t="s">
        <v>37935</v>
      </c>
      <c r="C5907" s="15">
        <v>1</v>
      </c>
      <c r="D5907" s="28">
        <v>44224</v>
      </c>
      <c r="E5907" s="29" t="s">
        <v>37936</v>
      </c>
      <c r="F5907" s="87" t="s">
        <v>21871</v>
      </c>
      <c r="G5907" s="45" t="s">
        <v>17296</v>
      </c>
      <c r="H5907" s="54" t="s">
        <v>17297</v>
      </c>
      <c r="I5907" s="5" t="s">
        <v>1553</v>
      </c>
    </row>
    <row r="5908" spans="1:9" ht="51.75" customHeight="1" x14ac:dyDescent="0.35">
      <c r="A5908" s="15"/>
      <c r="B5908" s="15" t="s">
        <v>37937</v>
      </c>
      <c r="C5908" s="15">
        <v>1</v>
      </c>
      <c r="D5908" s="28">
        <v>44230</v>
      </c>
      <c r="E5908" s="29" t="s">
        <v>37938</v>
      </c>
      <c r="F5908" s="87" t="s">
        <v>21871</v>
      </c>
      <c r="G5908" s="45" t="s">
        <v>17365</v>
      </c>
      <c r="H5908" s="54" t="s">
        <v>17366</v>
      </c>
      <c r="I5908" s="5" t="s">
        <v>1553</v>
      </c>
    </row>
    <row r="5909" spans="1:9" ht="51.75" customHeight="1" x14ac:dyDescent="0.35">
      <c r="A5909" s="15"/>
      <c r="B5909" s="15" t="s">
        <v>37939</v>
      </c>
      <c r="C5909" s="15">
        <v>2</v>
      </c>
      <c r="D5909" s="28">
        <v>44230</v>
      </c>
      <c r="E5909" s="29" t="s">
        <v>37940</v>
      </c>
      <c r="F5909" s="87" t="s">
        <v>21871</v>
      </c>
      <c r="G5909" s="45" t="s">
        <v>17365</v>
      </c>
      <c r="H5909" s="54" t="s">
        <v>17366</v>
      </c>
      <c r="I5909" s="5" t="s">
        <v>1553</v>
      </c>
    </row>
    <row r="5910" spans="1:9" ht="51.75" customHeight="1" x14ac:dyDescent="0.35">
      <c r="A5910" s="15"/>
      <c r="B5910" s="15" t="s">
        <v>37941</v>
      </c>
      <c r="C5910" s="15">
        <v>3</v>
      </c>
      <c r="D5910" s="28">
        <v>44230</v>
      </c>
      <c r="E5910" s="29" t="s">
        <v>37942</v>
      </c>
      <c r="F5910" s="87" t="s">
        <v>21871</v>
      </c>
      <c r="G5910" s="45" t="s">
        <v>17365</v>
      </c>
      <c r="H5910" s="54" t="s">
        <v>17366</v>
      </c>
      <c r="I5910" s="5" t="s">
        <v>1553</v>
      </c>
    </row>
    <row r="5911" spans="1:9" ht="51.75" customHeight="1" x14ac:dyDescent="0.35">
      <c r="A5911" s="15"/>
      <c r="B5911" s="15" t="s">
        <v>37943</v>
      </c>
      <c r="C5911" s="15">
        <v>1</v>
      </c>
      <c r="D5911" s="28">
        <v>44223</v>
      </c>
      <c r="E5911" s="15" t="s">
        <v>37944</v>
      </c>
      <c r="F5911" s="87" t="s">
        <v>21871</v>
      </c>
      <c r="G5911" s="45" t="s">
        <v>17314</v>
      </c>
      <c r="H5911" s="54" t="s">
        <v>17315</v>
      </c>
      <c r="I5911" s="5" t="s">
        <v>1553</v>
      </c>
    </row>
    <row r="5912" spans="1:9" ht="51.75" customHeight="1" x14ac:dyDescent="0.35">
      <c r="A5912" s="15"/>
      <c r="B5912" s="15" t="s">
        <v>37945</v>
      </c>
      <c r="C5912" s="15">
        <v>2</v>
      </c>
      <c r="D5912" s="28">
        <v>44223</v>
      </c>
      <c r="E5912" s="15" t="s">
        <v>37946</v>
      </c>
      <c r="F5912" s="87" t="s">
        <v>21871</v>
      </c>
      <c r="G5912" s="45" t="s">
        <v>17314</v>
      </c>
      <c r="H5912" s="54" t="s">
        <v>17315</v>
      </c>
      <c r="I5912" s="5" t="s">
        <v>1553</v>
      </c>
    </row>
    <row r="5913" spans="1:9" ht="51.75" customHeight="1" x14ac:dyDescent="0.35">
      <c r="A5913" s="15"/>
      <c r="B5913" s="15" t="s">
        <v>37947</v>
      </c>
      <c r="C5913" s="15">
        <v>1</v>
      </c>
      <c r="D5913" s="28">
        <v>44242</v>
      </c>
      <c r="E5913" s="15" t="s">
        <v>37948</v>
      </c>
      <c r="F5913" s="87" t="s">
        <v>21871</v>
      </c>
      <c r="G5913" s="45" t="s">
        <v>17400</v>
      </c>
      <c r="H5913" s="54" t="s">
        <v>17401</v>
      </c>
      <c r="I5913" s="5" t="s">
        <v>1553</v>
      </c>
    </row>
    <row r="5914" spans="1:9" ht="51.75" customHeight="1" x14ac:dyDescent="0.35">
      <c r="A5914" s="15"/>
      <c r="B5914" s="15" t="s">
        <v>37949</v>
      </c>
      <c r="C5914" s="15">
        <v>2</v>
      </c>
      <c r="D5914" s="28">
        <v>44242</v>
      </c>
      <c r="E5914" s="15" t="s">
        <v>37950</v>
      </c>
      <c r="F5914" s="87" t="s">
        <v>21871</v>
      </c>
      <c r="G5914" s="45" t="s">
        <v>17400</v>
      </c>
      <c r="H5914" s="54" t="s">
        <v>17401</v>
      </c>
      <c r="I5914" s="5" t="s">
        <v>1553</v>
      </c>
    </row>
    <row r="5915" spans="1:9" ht="51.75" customHeight="1" x14ac:dyDescent="0.35">
      <c r="A5915" s="15"/>
      <c r="B5915" s="15" t="s">
        <v>37951</v>
      </c>
      <c r="C5915" s="15">
        <v>3</v>
      </c>
      <c r="D5915" s="28">
        <v>44242</v>
      </c>
      <c r="E5915" s="15" t="s">
        <v>37952</v>
      </c>
      <c r="F5915" s="87" t="s">
        <v>21871</v>
      </c>
      <c r="G5915" s="45" t="s">
        <v>17400</v>
      </c>
      <c r="H5915" s="54" t="s">
        <v>17401</v>
      </c>
      <c r="I5915" s="5" t="s">
        <v>1553</v>
      </c>
    </row>
    <row r="5916" spans="1:9" ht="51.75" customHeight="1" x14ac:dyDescent="0.35">
      <c r="A5916" s="15"/>
      <c r="B5916" s="15" t="s">
        <v>37953</v>
      </c>
      <c r="C5916" s="15">
        <v>4</v>
      </c>
      <c r="D5916" s="28">
        <v>44242</v>
      </c>
      <c r="E5916" s="15" t="s">
        <v>37954</v>
      </c>
      <c r="F5916" s="87" t="s">
        <v>21871</v>
      </c>
      <c r="G5916" s="45" t="s">
        <v>17400</v>
      </c>
      <c r="H5916" s="54" t="s">
        <v>17401</v>
      </c>
      <c r="I5916" s="5" t="s">
        <v>1553</v>
      </c>
    </row>
    <row r="5917" spans="1:9" ht="51.75" customHeight="1" x14ac:dyDescent="0.35">
      <c r="A5917" s="15"/>
      <c r="B5917" s="15" t="s">
        <v>37955</v>
      </c>
      <c r="C5917" s="15">
        <v>1</v>
      </c>
      <c r="D5917" s="28">
        <v>44235</v>
      </c>
      <c r="E5917" s="15" t="s">
        <v>37956</v>
      </c>
      <c r="F5917" s="87" t="s">
        <v>21871</v>
      </c>
      <c r="G5917" s="45" t="s">
        <v>17405</v>
      </c>
      <c r="H5917" s="54" t="s">
        <v>17406</v>
      </c>
      <c r="I5917" s="5" t="s">
        <v>1553</v>
      </c>
    </row>
    <row r="5918" spans="1:9" ht="51.75" customHeight="1" x14ac:dyDescent="0.35">
      <c r="A5918" s="15"/>
      <c r="B5918" s="15" t="s">
        <v>37957</v>
      </c>
      <c r="C5918" s="15">
        <v>1</v>
      </c>
      <c r="D5918" s="28">
        <v>44242</v>
      </c>
      <c r="E5918" s="15" t="s">
        <v>37958</v>
      </c>
      <c r="F5918" s="87" t="s">
        <v>21871</v>
      </c>
      <c r="G5918" s="45" t="s">
        <v>17452</v>
      </c>
      <c r="H5918" s="54" t="s">
        <v>17453</v>
      </c>
      <c r="I5918" s="5" t="s">
        <v>1553</v>
      </c>
    </row>
    <row r="5919" spans="1:9" ht="51.75" customHeight="1" x14ac:dyDescent="0.35">
      <c r="A5919" s="15"/>
      <c r="B5919" s="15" t="s">
        <v>37959</v>
      </c>
      <c r="C5919" s="15">
        <v>1</v>
      </c>
      <c r="D5919" s="28">
        <v>44250</v>
      </c>
      <c r="E5919" s="15" t="s">
        <v>37960</v>
      </c>
      <c r="F5919" s="87" t="s">
        <v>21871</v>
      </c>
      <c r="G5919" s="45" t="s">
        <v>17441</v>
      </c>
      <c r="H5919" s="54" t="s">
        <v>17442</v>
      </c>
      <c r="I5919" s="5" t="s">
        <v>1553</v>
      </c>
    </row>
    <row r="5920" spans="1:9" ht="51.75" customHeight="1" x14ac:dyDescent="0.35">
      <c r="A5920" s="15"/>
      <c r="B5920" s="15" t="s">
        <v>37961</v>
      </c>
      <c r="C5920" s="15">
        <v>2</v>
      </c>
      <c r="D5920" s="28">
        <v>44250</v>
      </c>
      <c r="E5920" s="15" t="s">
        <v>37962</v>
      </c>
      <c r="F5920" s="87" t="s">
        <v>21871</v>
      </c>
      <c r="G5920" s="45" t="s">
        <v>17441</v>
      </c>
      <c r="H5920" s="54" t="s">
        <v>17442</v>
      </c>
      <c r="I5920" s="5" t="s">
        <v>1553</v>
      </c>
    </row>
    <row r="5921" spans="1:9" ht="51.75" customHeight="1" x14ac:dyDescent="0.35">
      <c r="A5921" s="15"/>
      <c r="B5921" s="15" t="s">
        <v>37963</v>
      </c>
      <c r="C5921" s="15">
        <v>1</v>
      </c>
      <c r="D5921" s="28">
        <v>44277</v>
      </c>
      <c r="E5921" s="15" t="s">
        <v>37964</v>
      </c>
      <c r="F5921" s="87" t="s">
        <v>21871</v>
      </c>
      <c r="G5921" s="27" t="s">
        <v>17574</v>
      </c>
      <c r="H5921" s="54" t="s">
        <v>17575</v>
      </c>
      <c r="I5921" s="5" t="s">
        <v>1553</v>
      </c>
    </row>
    <row r="5922" spans="1:9" ht="51.75" customHeight="1" x14ac:dyDescent="0.35">
      <c r="A5922" s="15"/>
      <c r="B5922" s="15" t="s">
        <v>37965</v>
      </c>
      <c r="C5922" s="15">
        <v>2</v>
      </c>
      <c r="D5922" s="28">
        <v>44277</v>
      </c>
      <c r="E5922" s="15" t="s">
        <v>37966</v>
      </c>
      <c r="F5922" s="87" t="s">
        <v>21871</v>
      </c>
      <c r="G5922" s="27" t="s">
        <v>17574</v>
      </c>
      <c r="H5922" s="54" t="s">
        <v>17575</v>
      </c>
      <c r="I5922" s="5" t="s">
        <v>1553</v>
      </c>
    </row>
    <row r="5923" spans="1:9" ht="51.75" customHeight="1" x14ac:dyDescent="0.35">
      <c r="A5923" s="15"/>
      <c r="B5923" s="15" t="s">
        <v>37967</v>
      </c>
      <c r="C5923" s="15">
        <v>1</v>
      </c>
      <c r="D5923" s="28">
        <v>44287</v>
      </c>
      <c r="E5923" s="15" t="s">
        <v>37968</v>
      </c>
      <c r="F5923" s="87" t="s">
        <v>21871</v>
      </c>
      <c r="G5923" s="45" t="s">
        <v>17609</v>
      </c>
      <c r="H5923" s="54" t="s">
        <v>17610</v>
      </c>
      <c r="I5923" s="5" t="s">
        <v>1553</v>
      </c>
    </row>
    <row r="5924" spans="1:9" ht="51.75" customHeight="1" x14ac:dyDescent="0.35">
      <c r="A5924" s="15"/>
      <c r="B5924" s="15" t="s">
        <v>37969</v>
      </c>
      <c r="C5924" s="15">
        <v>2</v>
      </c>
      <c r="D5924" s="28">
        <v>44287</v>
      </c>
      <c r="E5924" s="15" t="s">
        <v>37970</v>
      </c>
      <c r="F5924" s="87" t="s">
        <v>21871</v>
      </c>
      <c r="G5924" s="45" t="s">
        <v>17609</v>
      </c>
      <c r="H5924" s="54" t="s">
        <v>17610</v>
      </c>
      <c r="I5924" s="5" t="s">
        <v>1553</v>
      </c>
    </row>
    <row r="5925" spans="1:9" ht="51.75" customHeight="1" x14ac:dyDescent="0.35">
      <c r="A5925" s="15"/>
      <c r="B5925" s="15" t="s">
        <v>37971</v>
      </c>
      <c r="C5925" s="15">
        <v>3</v>
      </c>
      <c r="D5925" s="28">
        <v>44287</v>
      </c>
      <c r="E5925" s="15" t="s">
        <v>37972</v>
      </c>
      <c r="F5925" s="87" t="s">
        <v>21871</v>
      </c>
      <c r="G5925" s="45" t="s">
        <v>17609</v>
      </c>
      <c r="H5925" s="54" t="s">
        <v>17610</v>
      </c>
      <c r="I5925" s="5" t="s">
        <v>1553</v>
      </c>
    </row>
    <row r="5926" spans="1:9" ht="51.75" customHeight="1" x14ac:dyDescent="0.35">
      <c r="A5926" s="15"/>
      <c r="B5926" s="15" t="s">
        <v>37973</v>
      </c>
      <c r="C5926" s="15">
        <v>1</v>
      </c>
      <c r="D5926" s="28">
        <v>44333</v>
      </c>
      <c r="E5926" s="15" t="s">
        <v>37974</v>
      </c>
      <c r="F5926" s="87" t="s">
        <v>21871</v>
      </c>
      <c r="G5926" s="45" t="s">
        <v>17782</v>
      </c>
      <c r="H5926" s="54" t="s">
        <v>17783</v>
      </c>
      <c r="I5926" s="5" t="s">
        <v>1553</v>
      </c>
    </row>
    <row r="5927" spans="1:9" ht="51.75" customHeight="1" x14ac:dyDescent="0.35">
      <c r="A5927" s="15"/>
      <c r="B5927" s="15" t="s">
        <v>37975</v>
      </c>
      <c r="C5927" s="15">
        <v>2</v>
      </c>
      <c r="D5927" s="28">
        <v>44333</v>
      </c>
      <c r="E5927" s="15" t="s">
        <v>37976</v>
      </c>
      <c r="F5927" s="87" t="s">
        <v>21871</v>
      </c>
      <c r="G5927" s="45" t="s">
        <v>17782</v>
      </c>
      <c r="H5927" s="54" t="s">
        <v>17783</v>
      </c>
      <c r="I5927" s="5" t="s">
        <v>1553</v>
      </c>
    </row>
    <row r="5928" spans="1:9" ht="51.75" customHeight="1" x14ac:dyDescent="0.35">
      <c r="A5928" s="15"/>
      <c r="B5928" s="15" t="s">
        <v>37977</v>
      </c>
      <c r="C5928" s="15">
        <v>3</v>
      </c>
      <c r="D5928" s="28">
        <v>44333</v>
      </c>
      <c r="E5928" s="15" t="s">
        <v>37978</v>
      </c>
      <c r="F5928" s="87" t="s">
        <v>21871</v>
      </c>
      <c r="G5928" s="45" t="s">
        <v>17782</v>
      </c>
      <c r="H5928" s="54" t="s">
        <v>17783</v>
      </c>
      <c r="I5928" s="5" t="s">
        <v>1553</v>
      </c>
    </row>
    <row r="5929" spans="1:9" ht="51.75" customHeight="1" x14ac:dyDescent="0.35">
      <c r="A5929" s="15"/>
      <c r="B5929" s="15" t="s">
        <v>37979</v>
      </c>
      <c r="C5929" s="15">
        <v>1</v>
      </c>
      <c r="D5929" s="28">
        <v>44203</v>
      </c>
      <c r="E5929" s="15" t="s">
        <v>37980</v>
      </c>
      <c r="F5929" s="87" t="s">
        <v>21871</v>
      </c>
      <c r="G5929" s="45" t="s">
        <v>17267</v>
      </c>
      <c r="H5929" s="54" t="s">
        <v>17268</v>
      </c>
      <c r="I5929" s="5" t="s">
        <v>1553</v>
      </c>
    </row>
    <row r="5930" spans="1:9" ht="51.75" customHeight="1" x14ac:dyDescent="0.35">
      <c r="A5930" s="15"/>
      <c r="B5930" s="15" t="s">
        <v>37981</v>
      </c>
      <c r="C5930" s="15" t="s">
        <v>37982</v>
      </c>
      <c r="D5930" s="28">
        <v>44172</v>
      </c>
      <c r="E5930" s="15" t="s">
        <v>37983</v>
      </c>
      <c r="F5930" s="87" t="s">
        <v>21871</v>
      </c>
      <c r="G5930" s="45" t="s">
        <v>17187</v>
      </c>
      <c r="H5930" s="54" t="s">
        <v>17188</v>
      </c>
      <c r="I5930" s="5" t="s">
        <v>1553</v>
      </c>
    </row>
    <row r="5931" spans="1:9" ht="51.75" customHeight="1" x14ac:dyDescent="0.35">
      <c r="A5931" s="15"/>
      <c r="B5931" s="15" t="s">
        <v>37984</v>
      </c>
      <c r="C5931" s="15" t="s">
        <v>37985</v>
      </c>
      <c r="D5931" s="28">
        <v>44172</v>
      </c>
      <c r="E5931" s="15" t="s">
        <v>37986</v>
      </c>
      <c r="F5931" s="87" t="s">
        <v>21871</v>
      </c>
      <c r="G5931" s="45" t="s">
        <v>17187</v>
      </c>
      <c r="H5931" s="54" t="s">
        <v>17188</v>
      </c>
      <c r="I5931" s="5" t="s">
        <v>1553</v>
      </c>
    </row>
    <row r="5932" spans="1:9" ht="51.75" customHeight="1" x14ac:dyDescent="0.35">
      <c r="A5932" s="15"/>
      <c r="B5932" s="15" t="s">
        <v>37987</v>
      </c>
      <c r="C5932" s="15" t="s">
        <v>37988</v>
      </c>
      <c r="D5932" s="28">
        <v>44172</v>
      </c>
      <c r="E5932" s="15" t="s">
        <v>37989</v>
      </c>
      <c r="F5932" s="87" t="s">
        <v>21871</v>
      </c>
      <c r="G5932" s="45" t="s">
        <v>17187</v>
      </c>
      <c r="H5932" s="54" t="s">
        <v>17188</v>
      </c>
      <c r="I5932" s="5" t="s">
        <v>1553</v>
      </c>
    </row>
    <row r="5933" spans="1:9" ht="51.75" customHeight="1" x14ac:dyDescent="0.35">
      <c r="A5933" s="15"/>
      <c r="B5933" s="15" t="s">
        <v>37990</v>
      </c>
      <c r="C5933" s="15" t="s">
        <v>37991</v>
      </c>
      <c r="D5933" s="28">
        <v>44172</v>
      </c>
      <c r="E5933" s="15" t="s">
        <v>37992</v>
      </c>
      <c r="F5933" s="87" t="s">
        <v>21871</v>
      </c>
      <c r="G5933" s="45" t="s">
        <v>17187</v>
      </c>
      <c r="H5933" s="54" t="s">
        <v>17188</v>
      </c>
      <c r="I5933" s="5" t="s">
        <v>1553</v>
      </c>
    </row>
    <row r="5934" spans="1:9" ht="51.75" customHeight="1" x14ac:dyDescent="0.35">
      <c r="A5934" s="15"/>
      <c r="B5934" s="15" t="s">
        <v>37993</v>
      </c>
      <c r="C5934" s="15" t="s">
        <v>37994</v>
      </c>
      <c r="D5934" s="28">
        <v>44172</v>
      </c>
      <c r="E5934" s="15" t="s">
        <v>37995</v>
      </c>
      <c r="F5934" s="87" t="s">
        <v>21871</v>
      </c>
      <c r="G5934" s="45" t="s">
        <v>17187</v>
      </c>
      <c r="H5934" s="54" t="s">
        <v>17188</v>
      </c>
      <c r="I5934" s="5" t="s">
        <v>1553</v>
      </c>
    </row>
    <row r="5935" spans="1:9" ht="51.75" customHeight="1" x14ac:dyDescent="0.35">
      <c r="A5935" s="15"/>
      <c r="B5935" s="15" t="s">
        <v>37996</v>
      </c>
      <c r="C5935" s="15" t="s">
        <v>37997</v>
      </c>
      <c r="D5935" s="28">
        <v>44172</v>
      </c>
      <c r="E5935" s="15" t="s">
        <v>37998</v>
      </c>
      <c r="F5935" s="87" t="s">
        <v>21871</v>
      </c>
      <c r="G5935" s="45" t="s">
        <v>17187</v>
      </c>
      <c r="H5935" s="54" t="s">
        <v>17188</v>
      </c>
      <c r="I5935" s="5" t="s">
        <v>1553</v>
      </c>
    </row>
    <row r="5936" spans="1:9" ht="51.75" customHeight="1" x14ac:dyDescent="0.35">
      <c r="A5936" s="15"/>
      <c r="B5936" s="15" t="s">
        <v>37999</v>
      </c>
      <c r="C5936" s="15" t="s">
        <v>38000</v>
      </c>
      <c r="D5936" s="28">
        <v>44172</v>
      </c>
      <c r="E5936" s="15" t="s">
        <v>38001</v>
      </c>
      <c r="F5936" s="87" t="s">
        <v>21871</v>
      </c>
      <c r="G5936" s="45" t="s">
        <v>17187</v>
      </c>
      <c r="H5936" s="54" t="s">
        <v>17188</v>
      </c>
      <c r="I5936" s="5" t="s">
        <v>1553</v>
      </c>
    </row>
    <row r="5937" spans="1:9" ht="51.75" customHeight="1" x14ac:dyDescent="0.35">
      <c r="A5937" s="15"/>
      <c r="B5937" s="15" t="s">
        <v>38002</v>
      </c>
      <c r="C5937" s="15" t="s">
        <v>38003</v>
      </c>
      <c r="D5937" s="28">
        <v>44172</v>
      </c>
      <c r="E5937" s="15" t="s">
        <v>38004</v>
      </c>
      <c r="F5937" s="87" t="s">
        <v>21871</v>
      </c>
      <c r="G5937" s="45" t="s">
        <v>17187</v>
      </c>
      <c r="H5937" s="54" t="s">
        <v>17188</v>
      </c>
      <c r="I5937" s="5" t="s">
        <v>1553</v>
      </c>
    </row>
    <row r="5938" spans="1:9" ht="51.75" customHeight="1" x14ac:dyDescent="0.35">
      <c r="A5938" s="15"/>
      <c r="B5938" s="15" t="s">
        <v>38005</v>
      </c>
      <c r="C5938" s="15" t="s">
        <v>38006</v>
      </c>
      <c r="D5938" s="28">
        <v>44172</v>
      </c>
      <c r="E5938" s="15" t="s">
        <v>38007</v>
      </c>
      <c r="F5938" s="87" t="s">
        <v>21871</v>
      </c>
      <c r="G5938" s="45" t="s">
        <v>17187</v>
      </c>
      <c r="H5938" s="54" t="s">
        <v>17188</v>
      </c>
      <c r="I5938" s="5" t="s">
        <v>1553</v>
      </c>
    </row>
    <row r="5939" spans="1:9" ht="51.75" customHeight="1" x14ac:dyDescent="0.35">
      <c r="A5939" s="15"/>
      <c r="B5939" s="15" t="s">
        <v>38008</v>
      </c>
      <c r="C5939" s="15">
        <v>1</v>
      </c>
      <c r="D5939" s="28">
        <v>44175</v>
      </c>
      <c r="E5939" s="15" t="s">
        <v>38009</v>
      </c>
      <c r="F5939" s="87" t="s">
        <v>21871</v>
      </c>
      <c r="G5939" s="45" t="s">
        <v>17195</v>
      </c>
      <c r="H5939" s="54" t="s">
        <v>17196</v>
      </c>
      <c r="I5939" s="5" t="s">
        <v>1553</v>
      </c>
    </row>
    <row r="5940" spans="1:9" ht="51.75" customHeight="1" x14ac:dyDescent="0.35">
      <c r="A5940" s="15"/>
      <c r="B5940" s="15" t="s">
        <v>38010</v>
      </c>
      <c r="C5940" s="15">
        <v>2</v>
      </c>
      <c r="D5940" s="28">
        <v>44175</v>
      </c>
      <c r="E5940" s="15" t="s">
        <v>38011</v>
      </c>
      <c r="F5940" s="87" t="s">
        <v>21871</v>
      </c>
      <c r="G5940" s="45" t="s">
        <v>17195</v>
      </c>
      <c r="H5940" s="54" t="s">
        <v>17196</v>
      </c>
      <c r="I5940" s="5" t="s">
        <v>1553</v>
      </c>
    </row>
    <row r="5941" spans="1:9" ht="51.75" customHeight="1" x14ac:dyDescent="0.35">
      <c r="A5941" s="15"/>
      <c r="B5941" s="15" t="s">
        <v>38012</v>
      </c>
      <c r="C5941" s="15">
        <v>1</v>
      </c>
      <c r="D5941" s="28">
        <v>44169</v>
      </c>
      <c r="E5941" s="15" t="s">
        <v>38013</v>
      </c>
      <c r="F5941" s="87" t="s">
        <v>21871</v>
      </c>
      <c r="G5941" s="45" t="s">
        <v>17523</v>
      </c>
      <c r="H5941" s="54" t="s">
        <v>17524</v>
      </c>
      <c r="I5941" s="5" t="s">
        <v>1553</v>
      </c>
    </row>
    <row r="5942" spans="1:9" ht="51.75" customHeight="1" x14ac:dyDescent="0.35">
      <c r="A5942" s="15"/>
      <c r="B5942" s="15" t="s">
        <v>38014</v>
      </c>
      <c r="C5942" s="15">
        <v>2</v>
      </c>
      <c r="D5942" s="28">
        <v>44169</v>
      </c>
      <c r="E5942" s="15" t="s">
        <v>38015</v>
      </c>
      <c r="F5942" s="87" t="s">
        <v>21871</v>
      </c>
      <c r="G5942" s="45" t="s">
        <v>17523</v>
      </c>
      <c r="H5942" s="54" t="s">
        <v>17524</v>
      </c>
      <c r="I5942" s="5" t="s">
        <v>1553</v>
      </c>
    </row>
    <row r="5943" spans="1:9" ht="51.75" customHeight="1" x14ac:dyDescent="0.35">
      <c r="A5943" s="15"/>
      <c r="B5943" s="15" t="s">
        <v>38016</v>
      </c>
      <c r="C5943" s="15">
        <v>1</v>
      </c>
      <c r="D5943" s="28">
        <v>44183</v>
      </c>
      <c r="E5943" s="15" t="s">
        <v>38017</v>
      </c>
      <c r="F5943" s="87" t="s">
        <v>21871</v>
      </c>
      <c r="G5943" s="45" t="s">
        <v>17192</v>
      </c>
      <c r="H5943" s="54" t="s">
        <v>17193</v>
      </c>
      <c r="I5943" s="5" t="s">
        <v>1553</v>
      </c>
    </row>
    <row r="5944" spans="1:9" ht="51.75" customHeight="1" x14ac:dyDescent="0.35">
      <c r="A5944" s="15"/>
      <c r="B5944" s="15" t="s">
        <v>38018</v>
      </c>
      <c r="C5944" s="15">
        <v>2</v>
      </c>
      <c r="D5944" s="28">
        <v>44183</v>
      </c>
      <c r="E5944" s="15" t="s">
        <v>38019</v>
      </c>
      <c r="F5944" s="87" t="s">
        <v>21871</v>
      </c>
      <c r="G5944" s="45" t="s">
        <v>17192</v>
      </c>
      <c r="H5944" s="54" t="s">
        <v>17193</v>
      </c>
      <c r="I5944" s="5" t="s">
        <v>1553</v>
      </c>
    </row>
    <row r="5945" spans="1:9" ht="51.75" customHeight="1" x14ac:dyDescent="0.35">
      <c r="A5945" s="15"/>
      <c r="B5945" s="15" t="s">
        <v>38020</v>
      </c>
      <c r="C5945" s="15">
        <v>3</v>
      </c>
      <c r="D5945" s="28">
        <v>44183</v>
      </c>
      <c r="E5945" s="15" t="s">
        <v>38021</v>
      </c>
      <c r="F5945" s="87" t="s">
        <v>21871</v>
      </c>
      <c r="G5945" s="45" t="s">
        <v>17192</v>
      </c>
      <c r="H5945" s="54" t="s">
        <v>17193</v>
      </c>
      <c r="I5945" s="5" t="s">
        <v>1553</v>
      </c>
    </row>
    <row r="5946" spans="1:9" ht="51.75" customHeight="1" x14ac:dyDescent="0.35">
      <c r="A5946" s="15"/>
      <c r="B5946" s="15" t="s">
        <v>38022</v>
      </c>
      <c r="C5946" s="15">
        <v>4</v>
      </c>
      <c r="D5946" s="28">
        <v>44183</v>
      </c>
      <c r="E5946" s="15" t="s">
        <v>38023</v>
      </c>
      <c r="F5946" s="87" t="s">
        <v>21871</v>
      </c>
      <c r="G5946" s="45" t="s">
        <v>17192</v>
      </c>
      <c r="H5946" s="54" t="s">
        <v>17193</v>
      </c>
      <c r="I5946" s="5" t="s">
        <v>1553</v>
      </c>
    </row>
    <row r="5947" spans="1:9" ht="51.75" customHeight="1" x14ac:dyDescent="0.35">
      <c r="A5947" s="15"/>
      <c r="B5947" s="15" t="s">
        <v>38024</v>
      </c>
      <c r="C5947" s="15" t="s">
        <v>29587</v>
      </c>
      <c r="D5947" s="28">
        <v>44384</v>
      </c>
      <c r="E5947" s="15" t="s">
        <v>38025</v>
      </c>
      <c r="F5947" s="87" t="s">
        <v>21871</v>
      </c>
      <c r="G5947" s="45" t="s">
        <v>17914</v>
      </c>
      <c r="H5947" s="54" t="s">
        <v>17915</v>
      </c>
      <c r="I5947" s="5" t="s">
        <v>1553</v>
      </c>
    </row>
    <row r="5948" spans="1:9" ht="51.75" customHeight="1" x14ac:dyDescent="0.35">
      <c r="A5948" s="15"/>
      <c r="B5948" s="15" t="str">
        <f>CONCATENATE(G5948,"/",COUNTIF($G$2:G5948,G5948))</f>
        <v>RO-6297/2</v>
      </c>
      <c r="C5948" s="15" t="s">
        <v>29590</v>
      </c>
      <c r="D5948" s="28">
        <v>44385</v>
      </c>
      <c r="E5948" s="15" t="s">
        <v>38026</v>
      </c>
      <c r="F5948" s="87" t="s">
        <v>21871</v>
      </c>
      <c r="G5948" s="45" t="s">
        <v>17914</v>
      </c>
      <c r="H5948" s="54" t="s">
        <v>17915</v>
      </c>
      <c r="I5948" s="5" t="s">
        <v>1553</v>
      </c>
    </row>
    <row r="5949" spans="1:9" ht="51.75" customHeight="1" x14ac:dyDescent="0.35">
      <c r="A5949" s="15"/>
      <c r="B5949" s="15" t="str">
        <f>CONCATENATE(G5949,"/",COUNTIF($G$2:G5949,G5949))</f>
        <v>RO-6314/1</v>
      </c>
      <c r="C5949" s="15" t="s">
        <v>29587</v>
      </c>
      <c r="D5949" s="28">
        <v>44412</v>
      </c>
      <c r="E5949" s="15" t="s">
        <v>38027</v>
      </c>
      <c r="F5949" s="87" t="s">
        <v>21871</v>
      </c>
      <c r="G5949" s="45" t="s">
        <v>18004</v>
      </c>
      <c r="H5949" s="54" t="s">
        <v>18005</v>
      </c>
      <c r="I5949" s="5" t="s">
        <v>1553</v>
      </c>
    </row>
    <row r="5950" spans="1:9" ht="51.75" customHeight="1" x14ac:dyDescent="0.35">
      <c r="A5950" s="15"/>
      <c r="B5950" s="15" t="str">
        <f>CONCATENATE(G5950,"/",COUNTIF($G$2:G5950,G5950))</f>
        <v>RO-6326/1</v>
      </c>
      <c r="C5950" s="15" t="s">
        <v>29587</v>
      </c>
      <c r="D5950" s="28">
        <v>44427</v>
      </c>
      <c r="E5950" s="15" t="s">
        <v>38028</v>
      </c>
      <c r="F5950" s="87" t="s">
        <v>21871</v>
      </c>
      <c r="G5950" s="45" t="s">
        <v>18083</v>
      </c>
      <c r="H5950" s="54" t="s">
        <v>18084</v>
      </c>
      <c r="I5950" s="5" t="s">
        <v>1553</v>
      </c>
    </row>
    <row r="5951" spans="1:9" ht="51.75" customHeight="1" x14ac:dyDescent="0.35">
      <c r="A5951" s="15"/>
      <c r="B5951" s="15" t="str">
        <f>CONCATENATE(G5951,"/",COUNTIF($G$2:G5951,G5951))</f>
        <v>RO-6345/1</v>
      </c>
      <c r="C5951" s="15" t="s">
        <v>29587</v>
      </c>
      <c r="D5951" s="28">
        <v>44440</v>
      </c>
      <c r="E5951" s="15" t="s">
        <v>38029</v>
      </c>
      <c r="F5951" s="87" t="s">
        <v>21871</v>
      </c>
      <c r="G5951" s="45" t="s">
        <v>18169</v>
      </c>
      <c r="H5951" s="54" t="s">
        <v>18170</v>
      </c>
      <c r="I5951" s="5" t="s">
        <v>1553</v>
      </c>
    </row>
    <row r="5952" spans="1:9" ht="51.75" customHeight="1" x14ac:dyDescent="0.35">
      <c r="A5952" s="15"/>
      <c r="B5952" s="15" t="str">
        <f>CONCATENATE(G5952,"/",COUNTIF($G$2:G5952,G5952))</f>
        <v>RO-6345/2</v>
      </c>
      <c r="C5952" s="15" t="s">
        <v>29590</v>
      </c>
      <c r="D5952" s="28">
        <v>44440</v>
      </c>
      <c r="E5952" s="15" t="s">
        <v>38030</v>
      </c>
      <c r="F5952" s="87" t="s">
        <v>21871</v>
      </c>
      <c r="G5952" s="45" t="s">
        <v>18169</v>
      </c>
      <c r="H5952" s="54" t="s">
        <v>18170</v>
      </c>
      <c r="I5952" s="5" t="s">
        <v>1553</v>
      </c>
    </row>
    <row r="5953" spans="1:9" ht="51.75" customHeight="1" x14ac:dyDescent="0.35">
      <c r="A5953" s="15"/>
      <c r="B5953" s="15" t="str">
        <f>CONCATENATE(G5953,"/",COUNTIF($G$2:G5953,G5953))</f>
        <v>RO-6342/1</v>
      </c>
      <c r="C5953" s="15" t="s">
        <v>29587</v>
      </c>
      <c r="D5953" s="28">
        <v>44446</v>
      </c>
      <c r="E5953" s="15" t="s">
        <v>38031</v>
      </c>
      <c r="F5953" s="87" t="s">
        <v>21871</v>
      </c>
      <c r="G5953" s="45" t="s">
        <v>18146</v>
      </c>
      <c r="H5953" s="54" t="s">
        <v>18147</v>
      </c>
      <c r="I5953" s="5" t="s">
        <v>1553</v>
      </c>
    </row>
    <row r="5954" spans="1:9" ht="51.75" customHeight="1" x14ac:dyDescent="0.35">
      <c r="A5954" s="15"/>
      <c r="B5954" s="15" t="str">
        <f>CONCATENATE(G5954,"/",COUNTIF($G$2:G5954,G5954))</f>
        <v>RO-6342/2</v>
      </c>
      <c r="C5954" s="15" t="s">
        <v>29590</v>
      </c>
      <c r="D5954" s="28">
        <v>44446</v>
      </c>
      <c r="E5954" s="15" t="s">
        <v>38032</v>
      </c>
      <c r="F5954" s="87" t="s">
        <v>21871</v>
      </c>
      <c r="G5954" s="45" t="s">
        <v>18146</v>
      </c>
      <c r="H5954" s="54" t="s">
        <v>18147</v>
      </c>
      <c r="I5954" s="5" t="s">
        <v>1553</v>
      </c>
    </row>
    <row r="5955" spans="1:9" ht="51.75" customHeight="1" x14ac:dyDescent="0.35">
      <c r="A5955" s="15"/>
      <c r="B5955" s="15" t="str">
        <f>CONCATENATE(G5955,"/",COUNTIF($G$2:G5955,G5955))</f>
        <v>RO-6342/3</v>
      </c>
      <c r="C5955" s="15" t="s">
        <v>38033</v>
      </c>
      <c r="D5955" s="28">
        <v>44446</v>
      </c>
      <c r="E5955" s="15" t="s">
        <v>38034</v>
      </c>
      <c r="F5955" s="87" t="s">
        <v>21871</v>
      </c>
      <c r="G5955" s="45" t="s">
        <v>18146</v>
      </c>
      <c r="H5955" s="54" t="s">
        <v>18147</v>
      </c>
      <c r="I5955" s="5" t="s">
        <v>1553</v>
      </c>
    </row>
    <row r="5956" spans="1:9" ht="51.75" customHeight="1" x14ac:dyDescent="0.35">
      <c r="A5956" s="15"/>
      <c r="B5956" s="15" t="str">
        <f>CONCATENATE(G5956,"/",COUNTIF($G$2:G5956,G5956))</f>
        <v>RO-6342/4</v>
      </c>
      <c r="C5956" s="15" t="s">
        <v>38035</v>
      </c>
      <c r="D5956" s="28">
        <v>44446</v>
      </c>
      <c r="E5956" s="15" t="s">
        <v>38036</v>
      </c>
      <c r="F5956" s="87" t="s">
        <v>21871</v>
      </c>
      <c r="G5956" s="45" t="s">
        <v>18146</v>
      </c>
      <c r="H5956" s="54" t="s">
        <v>18147</v>
      </c>
      <c r="I5956" s="5" t="s">
        <v>1553</v>
      </c>
    </row>
    <row r="5957" spans="1:9" ht="51.75" customHeight="1" x14ac:dyDescent="0.35">
      <c r="A5957" s="15"/>
      <c r="B5957" s="15" t="str">
        <f>CONCATENATE(G5957,"/",COUNTIF($G$2:G5957,G5957))</f>
        <v>RO-6339/1</v>
      </c>
      <c r="C5957" s="15" t="s">
        <v>29587</v>
      </c>
      <c r="D5957" s="28">
        <v>44446</v>
      </c>
      <c r="E5957" s="15" t="s">
        <v>38037</v>
      </c>
      <c r="F5957" s="87" t="s">
        <v>21871</v>
      </c>
      <c r="G5957" s="14" t="s">
        <v>18138</v>
      </c>
      <c r="H5957" s="54" t="s">
        <v>18139</v>
      </c>
      <c r="I5957" s="5" t="s">
        <v>1553</v>
      </c>
    </row>
    <row r="5958" spans="1:9" ht="51.75" customHeight="1" x14ac:dyDescent="0.35">
      <c r="A5958" s="15"/>
      <c r="B5958" s="15" t="str">
        <f>CONCATENATE(G5958,"/",COUNTIF($G$2:G5958,G5958))</f>
        <v>RO-6339/2</v>
      </c>
      <c r="C5958" s="15" t="s">
        <v>29590</v>
      </c>
      <c r="D5958" s="28">
        <v>44446</v>
      </c>
      <c r="E5958" s="15" t="s">
        <v>38038</v>
      </c>
      <c r="F5958" s="87" t="s">
        <v>21871</v>
      </c>
      <c r="G5958" s="14" t="s">
        <v>18138</v>
      </c>
      <c r="H5958" s="54" t="s">
        <v>18139</v>
      </c>
      <c r="I5958" s="5" t="s">
        <v>1553</v>
      </c>
    </row>
    <row r="5959" spans="1:9" ht="51.75" customHeight="1" x14ac:dyDescent="0.35">
      <c r="A5959" s="15"/>
      <c r="B5959" s="15" t="str">
        <f>CONCATENATE(G5959,"/",COUNTIF($G$2:G5959,G5959))</f>
        <v>RO-6353/1</v>
      </c>
      <c r="C5959" s="15" t="s">
        <v>29587</v>
      </c>
      <c r="D5959" s="28">
        <v>44476</v>
      </c>
      <c r="E5959" s="15" t="s">
        <v>38039</v>
      </c>
      <c r="F5959" s="87" t="s">
        <v>21871</v>
      </c>
      <c r="G5959" s="45" t="s">
        <v>18222</v>
      </c>
      <c r="H5959" s="54" t="s">
        <v>18223</v>
      </c>
      <c r="I5959" s="5" t="s">
        <v>1553</v>
      </c>
    </row>
    <row r="5960" spans="1:9" ht="51.75" customHeight="1" x14ac:dyDescent="0.35">
      <c r="A5960" s="15"/>
      <c r="B5960" s="15" t="str">
        <f>CONCATENATE(G5960,"/",COUNTIF($G$2:G5960,G5960))</f>
        <v>RO-6353/2</v>
      </c>
      <c r="C5960" s="15" t="s">
        <v>29590</v>
      </c>
      <c r="D5960" s="28">
        <v>44476</v>
      </c>
      <c r="E5960" s="15" t="s">
        <v>38040</v>
      </c>
      <c r="F5960" s="87" t="s">
        <v>21871</v>
      </c>
      <c r="G5960" s="45" t="s">
        <v>18222</v>
      </c>
      <c r="H5960" s="54" t="s">
        <v>18223</v>
      </c>
      <c r="I5960" s="5" t="s">
        <v>1553</v>
      </c>
    </row>
    <row r="5961" spans="1:9" ht="51.75" customHeight="1" x14ac:dyDescent="0.35">
      <c r="A5961" s="15" t="s">
        <v>22727</v>
      </c>
      <c r="B5961" s="15" t="s">
        <v>38041</v>
      </c>
      <c r="C5961" s="15" t="s">
        <v>38042</v>
      </c>
      <c r="D5961" s="31">
        <v>41319</v>
      </c>
      <c r="E5961" s="15" t="s">
        <v>38043</v>
      </c>
      <c r="F5961" s="87" t="s">
        <v>23210</v>
      </c>
      <c r="G5961" s="45" t="s">
        <v>3798</v>
      </c>
      <c r="H5961" s="55" t="s">
        <v>3799</v>
      </c>
      <c r="I5961" s="15" t="s">
        <v>1751</v>
      </c>
    </row>
    <row r="5962" spans="1:9" ht="51.75" customHeight="1" x14ac:dyDescent="0.35">
      <c r="A5962" s="15" t="s">
        <v>22727</v>
      </c>
      <c r="B5962" s="15" t="s">
        <v>38044</v>
      </c>
      <c r="C5962" s="15" t="s">
        <v>38042</v>
      </c>
      <c r="D5962" s="31">
        <v>41319</v>
      </c>
      <c r="E5962" s="15" t="s">
        <v>38045</v>
      </c>
      <c r="F5962" s="87" t="s">
        <v>21871</v>
      </c>
      <c r="G5962" s="45" t="s">
        <v>3798</v>
      </c>
      <c r="H5962" s="55" t="s">
        <v>3799</v>
      </c>
      <c r="I5962" s="15" t="s">
        <v>1751</v>
      </c>
    </row>
    <row r="5963" spans="1:9" ht="51.75" customHeight="1" x14ac:dyDescent="0.35">
      <c r="A5963" s="15" t="s">
        <v>21890</v>
      </c>
      <c r="B5963" s="15" t="s">
        <v>38046</v>
      </c>
      <c r="C5963" s="15" t="s">
        <v>38047</v>
      </c>
      <c r="D5963" s="31">
        <v>41319</v>
      </c>
      <c r="E5963" s="15" t="s">
        <v>38048</v>
      </c>
      <c r="F5963" s="87" t="s">
        <v>23210</v>
      </c>
      <c r="G5963" s="45" t="s">
        <v>3798</v>
      </c>
      <c r="H5963" s="55" t="s">
        <v>3799</v>
      </c>
      <c r="I5963" s="15" t="s">
        <v>1751</v>
      </c>
    </row>
    <row r="5964" spans="1:9" ht="51.75" customHeight="1" x14ac:dyDescent="0.35">
      <c r="A5964" s="15" t="s">
        <v>21890</v>
      </c>
      <c r="B5964" s="15" t="s">
        <v>38049</v>
      </c>
      <c r="C5964" s="15" t="s">
        <v>38047</v>
      </c>
      <c r="D5964" s="31">
        <v>41319</v>
      </c>
      <c r="E5964" s="15" t="s">
        <v>38050</v>
      </c>
      <c r="F5964" s="87" t="s">
        <v>21871</v>
      </c>
      <c r="G5964" s="45" t="s">
        <v>3798</v>
      </c>
      <c r="H5964" s="55" t="s">
        <v>3799</v>
      </c>
      <c r="I5964" s="15" t="s">
        <v>1751</v>
      </c>
    </row>
    <row r="5965" spans="1:9" ht="51.75" customHeight="1" x14ac:dyDescent="0.35">
      <c r="A5965" s="15" t="s">
        <v>21894</v>
      </c>
      <c r="B5965" s="15" t="s">
        <v>38051</v>
      </c>
      <c r="C5965" s="15" t="s">
        <v>38052</v>
      </c>
      <c r="D5965" s="31">
        <v>41319</v>
      </c>
      <c r="E5965" s="15" t="s">
        <v>38053</v>
      </c>
      <c r="F5965" s="87" t="s">
        <v>23210</v>
      </c>
      <c r="G5965" s="45" t="s">
        <v>3798</v>
      </c>
      <c r="H5965" s="55" t="s">
        <v>3799</v>
      </c>
      <c r="I5965" s="15" t="s">
        <v>1751</v>
      </c>
    </row>
    <row r="5966" spans="1:9" ht="51.75" customHeight="1" x14ac:dyDescent="0.35">
      <c r="A5966" s="15" t="s">
        <v>21894</v>
      </c>
      <c r="B5966" s="15" t="s">
        <v>38054</v>
      </c>
      <c r="C5966" s="15" t="s">
        <v>38052</v>
      </c>
      <c r="D5966" s="31">
        <v>41319</v>
      </c>
      <c r="E5966" s="15" t="s">
        <v>38055</v>
      </c>
      <c r="F5966" s="87" t="s">
        <v>21871</v>
      </c>
      <c r="G5966" s="45" t="s">
        <v>3798</v>
      </c>
      <c r="H5966" s="55" t="s">
        <v>3799</v>
      </c>
      <c r="I5966" s="15" t="s">
        <v>1751</v>
      </c>
    </row>
    <row r="5967" spans="1:9" ht="51.75" customHeight="1" x14ac:dyDescent="0.35">
      <c r="A5967" s="15" t="s">
        <v>25314</v>
      </c>
      <c r="B5967" s="15" t="s">
        <v>38056</v>
      </c>
      <c r="C5967" s="15" t="s">
        <v>38057</v>
      </c>
      <c r="D5967" s="31">
        <v>41319</v>
      </c>
      <c r="E5967" s="15" t="s">
        <v>38058</v>
      </c>
      <c r="F5967" s="87" t="s">
        <v>23210</v>
      </c>
      <c r="G5967" s="45" t="s">
        <v>3798</v>
      </c>
      <c r="H5967" s="55" t="s">
        <v>3799</v>
      </c>
      <c r="I5967" s="15" t="s">
        <v>1751</v>
      </c>
    </row>
    <row r="5968" spans="1:9" ht="51.75" customHeight="1" x14ac:dyDescent="0.35">
      <c r="A5968" s="15" t="s">
        <v>25314</v>
      </c>
      <c r="B5968" s="15" t="s">
        <v>38059</v>
      </c>
      <c r="C5968" s="15" t="s">
        <v>38057</v>
      </c>
      <c r="D5968" s="31">
        <v>41319</v>
      </c>
      <c r="E5968" s="15" t="s">
        <v>38060</v>
      </c>
      <c r="F5968" s="87" t="s">
        <v>21871</v>
      </c>
      <c r="G5968" s="45" t="s">
        <v>3798</v>
      </c>
      <c r="H5968" s="55" t="s">
        <v>3799</v>
      </c>
      <c r="I5968" s="15" t="s">
        <v>1751</v>
      </c>
    </row>
    <row r="5969" spans="1:9" ht="51.75" customHeight="1" x14ac:dyDescent="0.35">
      <c r="A5969" s="15" t="s">
        <v>25320</v>
      </c>
      <c r="B5969" s="15" t="s">
        <v>38061</v>
      </c>
      <c r="C5969" s="15" t="s">
        <v>38062</v>
      </c>
      <c r="D5969" s="31">
        <v>41319</v>
      </c>
      <c r="E5969" s="15" t="s">
        <v>38063</v>
      </c>
      <c r="F5969" s="87" t="s">
        <v>23210</v>
      </c>
      <c r="G5969" s="45" t="s">
        <v>3798</v>
      </c>
      <c r="H5969" s="55" t="s">
        <v>3799</v>
      </c>
      <c r="I5969" s="15" t="s">
        <v>1751</v>
      </c>
    </row>
    <row r="5970" spans="1:9" ht="51.75" customHeight="1" x14ac:dyDescent="0.35">
      <c r="A5970" s="15" t="s">
        <v>25320</v>
      </c>
      <c r="B5970" s="15" t="s">
        <v>38064</v>
      </c>
      <c r="C5970" s="15" t="s">
        <v>38062</v>
      </c>
      <c r="D5970" s="31">
        <v>41319</v>
      </c>
      <c r="E5970" s="15" t="s">
        <v>38065</v>
      </c>
      <c r="F5970" s="87" t="s">
        <v>21871</v>
      </c>
      <c r="G5970" s="45" t="s">
        <v>3798</v>
      </c>
      <c r="H5970" s="55" t="s">
        <v>3799</v>
      </c>
      <c r="I5970" s="15" t="s">
        <v>1751</v>
      </c>
    </row>
    <row r="5971" spans="1:9" ht="51.75" customHeight="1" x14ac:dyDescent="0.35">
      <c r="A5971" s="15" t="s">
        <v>25325</v>
      </c>
      <c r="B5971" s="15" t="s">
        <v>38066</v>
      </c>
      <c r="C5971" s="15" t="s">
        <v>38067</v>
      </c>
      <c r="D5971" s="31">
        <v>41319</v>
      </c>
      <c r="E5971" s="15" t="s">
        <v>38068</v>
      </c>
      <c r="F5971" s="87" t="s">
        <v>23210</v>
      </c>
      <c r="G5971" s="45" t="s">
        <v>3798</v>
      </c>
      <c r="H5971" s="55" t="s">
        <v>3799</v>
      </c>
      <c r="I5971" s="15" t="s">
        <v>1751</v>
      </c>
    </row>
    <row r="5972" spans="1:9" ht="51.75" customHeight="1" x14ac:dyDescent="0.35">
      <c r="A5972" s="15" t="s">
        <v>25325</v>
      </c>
      <c r="B5972" s="15" t="s">
        <v>38069</v>
      </c>
      <c r="C5972" s="15" t="s">
        <v>38067</v>
      </c>
      <c r="D5972" s="31">
        <v>41319</v>
      </c>
      <c r="E5972" s="15" t="s">
        <v>38070</v>
      </c>
      <c r="F5972" s="87" t="s">
        <v>21871</v>
      </c>
      <c r="G5972" s="45" t="s">
        <v>3798</v>
      </c>
      <c r="H5972" s="55" t="s">
        <v>3799</v>
      </c>
      <c r="I5972" s="15" t="s">
        <v>1751</v>
      </c>
    </row>
    <row r="5973" spans="1:9" ht="51.75" customHeight="1" x14ac:dyDescent="0.35">
      <c r="A5973" s="15">
        <v>1</v>
      </c>
      <c r="B5973" s="15" t="s">
        <v>38071</v>
      </c>
      <c r="C5973" s="15" t="s">
        <v>38072</v>
      </c>
      <c r="D5973" s="31">
        <v>40254</v>
      </c>
      <c r="E5973" s="15" t="s">
        <v>38072</v>
      </c>
      <c r="F5973" s="87" t="s">
        <v>21871</v>
      </c>
      <c r="G5973" s="45" t="s">
        <v>3310</v>
      </c>
      <c r="H5973" s="55" t="s">
        <v>3311</v>
      </c>
      <c r="I5973" s="15" t="s">
        <v>1751</v>
      </c>
    </row>
    <row r="5974" spans="1:9" ht="51.75" customHeight="1" x14ac:dyDescent="0.35">
      <c r="A5974" s="15">
        <v>2</v>
      </c>
      <c r="B5974" s="15" t="s">
        <v>38073</v>
      </c>
      <c r="C5974" s="15" t="s">
        <v>38074</v>
      </c>
      <c r="D5974" s="31">
        <v>40254</v>
      </c>
      <c r="E5974" s="15" t="s">
        <v>38074</v>
      </c>
      <c r="F5974" s="87" t="s">
        <v>21871</v>
      </c>
      <c r="G5974" s="45" t="s">
        <v>3310</v>
      </c>
      <c r="H5974" s="55" t="s">
        <v>3311</v>
      </c>
      <c r="I5974" s="15" t="s">
        <v>1751</v>
      </c>
    </row>
    <row r="5975" spans="1:9" ht="51.75" customHeight="1" x14ac:dyDescent="0.35">
      <c r="A5975" s="15">
        <v>3</v>
      </c>
      <c r="B5975" s="15" t="s">
        <v>38075</v>
      </c>
      <c r="C5975" s="15" t="s">
        <v>38076</v>
      </c>
      <c r="D5975" s="31">
        <v>40254</v>
      </c>
      <c r="E5975" s="15" t="s">
        <v>38076</v>
      </c>
      <c r="F5975" s="87" t="s">
        <v>21871</v>
      </c>
      <c r="G5975" s="45" t="s">
        <v>3310</v>
      </c>
      <c r="H5975" s="55" t="s">
        <v>3311</v>
      </c>
      <c r="I5975" s="15" t="s">
        <v>1751</v>
      </c>
    </row>
    <row r="5976" spans="1:9" ht="51.75" customHeight="1" x14ac:dyDescent="0.35">
      <c r="A5976" s="15">
        <v>4</v>
      </c>
      <c r="B5976" s="15" t="s">
        <v>38077</v>
      </c>
      <c r="C5976" s="15" t="s">
        <v>38078</v>
      </c>
      <c r="D5976" s="31">
        <v>40254</v>
      </c>
      <c r="E5976" s="15" t="s">
        <v>38078</v>
      </c>
      <c r="F5976" s="87" t="s">
        <v>21871</v>
      </c>
      <c r="G5976" s="45" t="s">
        <v>3310</v>
      </c>
      <c r="H5976" s="55" t="s">
        <v>3311</v>
      </c>
      <c r="I5976" s="15" t="s">
        <v>1751</v>
      </c>
    </row>
    <row r="5977" spans="1:9" ht="51.75" customHeight="1" x14ac:dyDescent="0.35">
      <c r="A5977" s="15">
        <v>1</v>
      </c>
      <c r="B5977" s="15" t="s">
        <v>38079</v>
      </c>
      <c r="C5977" s="15" t="s">
        <v>38080</v>
      </c>
      <c r="D5977" s="31">
        <v>40255</v>
      </c>
      <c r="E5977" s="15" t="s">
        <v>38081</v>
      </c>
      <c r="F5977" s="87" t="s">
        <v>21871</v>
      </c>
      <c r="G5977" s="45" t="s">
        <v>3003</v>
      </c>
      <c r="H5977" s="55" t="s">
        <v>3004</v>
      </c>
      <c r="I5977" s="15" t="s">
        <v>1751</v>
      </c>
    </row>
    <row r="5978" spans="1:9" ht="51.75" customHeight="1" x14ac:dyDescent="0.35">
      <c r="A5978" s="15">
        <v>2</v>
      </c>
      <c r="B5978" s="15" t="s">
        <v>38082</v>
      </c>
      <c r="C5978" s="15" t="s">
        <v>38083</v>
      </c>
      <c r="D5978" s="31">
        <v>40255</v>
      </c>
      <c r="E5978" s="15" t="s">
        <v>38083</v>
      </c>
      <c r="F5978" s="87" t="s">
        <v>21871</v>
      </c>
      <c r="G5978" s="45" t="s">
        <v>3003</v>
      </c>
      <c r="H5978" s="55" t="s">
        <v>3004</v>
      </c>
      <c r="I5978" s="15" t="s">
        <v>1751</v>
      </c>
    </row>
    <row r="5979" spans="1:9" ht="51.75" customHeight="1" x14ac:dyDescent="0.35">
      <c r="A5979" s="15">
        <v>3</v>
      </c>
      <c r="B5979" s="15" t="s">
        <v>38084</v>
      </c>
      <c r="C5979" s="15" t="s">
        <v>38085</v>
      </c>
      <c r="D5979" s="31">
        <v>40255</v>
      </c>
      <c r="E5979" s="15" t="s">
        <v>38086</v>
      </c>
      <c r="F5979" s="87" t="s">
        <v>21871</v>
      </c>
      <c r="G5979" s="45" t="s">
        <v>3003</v>
      </c>
      <c r="H5979" s="55" t="s">
        <v>3004</v>
      </c>
      <c r="I5979" s="15" t="s">
        <v>1751</v>
      </c>
    </row>
    <row r="5980" spans="1:9" ht="51.75" customHeight="1" x14ac:dyDescent="0.35">
      <c r="A5980" s="15">
        <v>4</v>
      </c>
      <c r="B5980" s="15" t="s">
        <v>38087</v>
      </c>
      <c r="C5980" s="15" t="s">
        <v>38088</v>
      </c>
      <c r="D5980" s="31">
        <v>40255</v>
      </c>
      <c r="E5980" s="15" t="s">
        <v>38088</v>
      </c>
      <c r="F5980" s="87" t="s">
        <v>21871</v>
      </c>
      <c r="G5980" s="45" t="s">
        <v>3003</v>
      </c>
      <c r="H5980" s="55" t="s">
        <v>3004</v>
      </c>
      <c r="I5980" s="15" t="s">
        <v>1751</v>
      </c>
    </row>
    <row r="5981" spans="1:9" ht="51.75" customHeight="1" x14ac:dyDescent="0.35">
      <c r="A5981" s="15">
        <v>1</v>
      </c>
      <c r="B5981" s="15" t="s">
        <v>38089</v>
      </c>
      <c r="C5981" s="15" t="s">
        <v>38090</v>
      </c>
      <c r="D5981" s="31">
        <v>40252</v>
      </c>
      <c r="E5981" s="15" t="s">
        <v>38090</v>
      </c>
      <c r="F5981" s="87" t="s">
        <v>21871</v>
      </c>
      <c r="G5981" s="45" t="s">
        <v>2606</v>
      </c>
      <c r="H5981" s="55" t="s">
        <v>2607</v>
      </c>
      <c r="I5981" s="15" t="s">
        <v>1751</v>
      </c>
    </row>
    <row r="5982" spans="1:9" ht="51.75" customHeight="1" x14ac:dyDescent="0.35">
      <c r="A5982" s="15">
        <v>2</v>
      </c>
      <c r="B5982" s="15" t="s">
        <v>38091</v>
      </c>
      <c r="C5982" s="15" t="s">
        <v>38092</v>
      </c>
      <c r="D5982" s="31">
        <v>40252</v>
      </c>
      <c r="E5982" s="15" t="s">
        <v>38092</v>
      </c>
      <c r="F5982" s="87" t="s">
        <v>21871</v>
      </c>
      <c r="G5982" s="45" t="s">
        <v>2606</v>
      </c>
      <c r="H5982" s="55" t="s">
        <v>2607</v>
      </c>
      <c r="I5982" s="15" t="s">
        <v>1751</v>
      </c>
    </row>
    <row r="5983" spans="1:9" ht="51.75" customHeight="1" x14ac:dyDescent="0.35">
      <c r="A5983" s="15">
        <v>3</v>
      </c>
      <c r="B5983" s="15" t="s">
        <v>38093</v>
      </c>
      <c r="C5983" s="15" t="s">
        <v>38094</v>
      </c>
      <c r="D5983" s="31">
        <v>40252</v>
      </c>
      <c r="E5983" s="15" t="s">
        <v>38094</v>
      </c>
      <c r="F5983" s="87" t="s">
        <v>21871</v>
      </c>
      <c r="G5983" s="45" t="s">
        <v>2606</v>
      </c>
      <c r="H5983" s="55" t="s">
        <v>2607</v>
      </c>
      <c r="I5983" s="15" t="s">
        <v>1751</v>
      </c>
    </row>
    <row r="5984" spans="1:9" ht="51.75" customHeight="1" x14ac:dyDescent="0.35">
      <c r="A5984" s="15">
        <v>1</v>
      </c>
      <c r="B5984" s="15" t="s">
        <v>38095</v>
      </c>
      <c r="C5984" s="15" t="s">
        <v>38096</v>
      </c>
      <c r="D5984" s="31">
        <v>39477</v>
      </c>
      <c r="E5984" s="15" t="s">
        <v>38096</v>
      </c>
      <c r="F5984" s="87" t="s">
        <v>21871</v>
      </c>
      <c r="G5984" s="45" t="s">
        <v>2420</v>
      </c>
      <c r="H5984" s="55" t="s">
        <v>2421</v>
      </c>
      <c r="I5984" s="15" t="s">
        <v>1751</v>
      </c>
    </row>
    <row r="5985" spans="1:9" ht="51.75" customHeight="1" x14ac:dyDescent="0.35">
      <c r="A5985" s="15">
        <v>2</v>
      </c>
      <c r="B5985" s="15" t="s">
        <v>38097</v>
      </c>
      <c r="C5985" s="15" t="s">
        <v>38098</v>
      </c>
      <c r="D5985" s="31">
        <v>39477</v>
      </c>
      <c r="E5985" s="15" t="s">
        <v>38098</v>
      </c>
      <c r="F5985" s="87" t="s">
        <v>21871</v>
      </c>
      <c r="G5985" s="45" t="s">
        <v>2420</v>
      </c>
      <c r="H5985" s="55" t="s">
        <v>2421</v>
      </c>
      <c r="I5985" s="15" t="s">
        <v>1751</v>
      </c>
    </row>
    <row r="5986" spans="1:9" ht="51.75" customHeight="1" x14ac:dyDescent="0.35">
      <c r="A5986" s="15">
        <v>1</v>
      </c>
      <c r="B5986" s="15" t="s">
        <v>38099</v>
      </c>
      <c r="C5986" s="15" t="s">
        <v>38100</v>
      </c>
      <c r="D5986" s="31">
        <v>39477</v>
      </c>
      <c r="E5986" s="15" t="s">
        <v>38100</v>
      </c>
      <c r="F5986" s="87" t="s">
        <v>21871</v>
      </c>
      <c r="G5986" s="45" t="s">
        <v>2404</v>
      </c>
      <c r="H5986" s="55" t="s">
        <v>2405</v>
      </c>
      <c r="I5986" s="15" t="s">
        <v>1751</v>
      </c>
    </row>
    <row r="5987" spans="1:9" ht="51.75" customHeight="1" x14ac:dyDescent="0.35">
      <c r="A5987" s="15">
        <v>2</v>
      </c>
      <c r="B5987" s="15" t="s">
        <v>38101</v>
      </c>
      <c r="C5987" s="15" t="s">
        <v>38102</v>
      </c>
      <c r="D5987" s="31">
        <v>39477</v>
      </c>
      <c r="E5987" s="15" t="s">
        <v>38102</v>
      </c>
      <c r="F5987" s="87" t="s">
        <v>21871</v>
      </c>
      <c r="G5987" s="45" t="s">
        <v>2404</v>
      </c>
      <c r="H5987" s="55" t="s">
        <v>2405</v>
      </c>
      <c r="I5987" s="15" t="s">
        <v>1751</v>
      </c>
    </row>
    <row r="5988" spans="1:9" ht="51.75" customHeight="1" x14ac:dyDescent="0.35">
      <c r="A5988" s="15">
        <v>3</v>
      </c>
      <c r="B5988" s="15" t="s">
        <v>38103</v>
      </c>
      <c r="C5988" s="15" t="s">
        <v>38104</v>
      </c>
      <c r="D5988" s="31">
        <v>39477</v>
      </c>
      <c r="E5988" s="15" t="s">
        <v>38104</v>
      </c>
      <c r="F5988" s="87" t="s">
        <v>21871</v>
      </c>
      <c r="G5988" s="45" t="s">
        <v>2404</v>
      </c>
      <c r="H5988" s="55" t="s">
        <v>2405</v>
      </c>
      <c r="I5988" s="15" t="s">
        <v>1751</v>
      </c>
    </row>
    <row r="5989" spans="1:9" ht="51.75" customHeight="1" x14ac:dyDescent="0.35">
      <c r="A5989" s="15">
        <v>4</v>
      </c>
      <c r="B5989" s="15" t="s">
        <v>38105</v>
      </c>
      <c r="C5989" s="15" t="s">
        <v>38106</v>
      </c>
      <c r="D5989" s="31">
        <v>39477</v>
      </c>
      <c r="E5989" s="15" t="s">
        <v>38106</v>
      </c>
      <c r="F5989" s="87" t="s">
        <v>21871</v>
      </c>
      <c r="G5989" s="45" t="s">
        <v>2404</v>
      </c>
      <c r="H5989" s="55" t="s">
        <v>2405</v>
      </c>
      <c r="I5989" s="15" t="s">
        <v>1751</v>
      </c>
    </row>
    <row r="5990" spans="1:9" ht="51.75" customHeight="1" x14ac:dyDescent="0.35">
      <c r="A5990" s="15">
        <v>1</v>
      </c>
      <c r="B5990" s="15" t="s">
        <v>38107</v>
      </c>
      <c r="C5990" s="15" t="s">
        <v>38108</v>
      </c>
      <c r="D5990" s="31">
        <v>39594</v>
      </c>
      <c r="E5990" s="15" t="s">
        <v>38109</v>
      </c>
      <c r="F5990" s="87" t="s">
        <v>21871</v>
      </c>
      <c r="G5990" s="45" t="s">
        <v>2360</v>
      </c>
      <c r="H5990" s="55" t="s">
        <v>2361</v>
      </c>
      <c r="I5990" s="15" t="s">
        <v>1751</v>
      </c>
    </row>
    <row r="5991" spans="1:9" ht="51.75" customHeight="1" x14ac:dyDescent="0.35">
      <c r="A5991" s="15">
        <v>2</v>
      </c>
      <c r="B5991" s="15" t="s">
        <v>38110</v>
      </c>
      <c r="C5991" s="15" t="s">
        <v>38111</v>
      </c>
      <c r="D5991" s="31">
        <v>39594</v>
      </c>
      <c r="E5991" s="15" t="s">
        <v>38112</v>
      </c>
      <c r="F5991" s="87" t="s">
        <v>21871</v>
      </c>
      <c r="G5991" s="45" t="s">
        <v>2360</v>
      </c>
      <c r="H5991" s="55" t="s">
        <v>2361</v>
      </c>
      <c r="I5991" s="15" t="s">
        <v>1751</v>
      </c>
    </row>
    <row r="5992" spans="1:9" ht="51.75" customHeight="1" x14ac:dyDescent="0.35">
      <c r="A5992" s="15">
        <v>3</v>
      </c>
      <c r="B5992" s="15" t="s">
        <v>38113</v>
      </c>
      <c r="C5992" s="15" t="s">
        <v>38114</v>
      </c>
      <c r="D5992" s="31">
        <v>39594</v>
      </c>
      <c r="E5992" s="15" t="s">
        <v>38115</v>
      </c>
      <c r="F5992" s="87" t="s">
        <v>21871</v>
      </c>
      <c r="G5992" s="45" t="s">
        <v>2360</v>
      </c>
      <c r="H5992" s="55" t="s">
        <v>2361</v>
      </c>
      <c r="I5992" s="15" t="s">
        <v>1751</v>
      </c>
    </row>
    <row r="5993" spans="1:9" ht="51.75" customHeight="1" x14ac:dyDescent="0.35">
      <c r="A5993" s="15">
        <v>4</v>
      </c>
      <c r="B5993" s="15" t="s">
        <v>38116</v>
      </c>
      <c r="C5993" s="15" t="s">
        <v>38117</v>
      </c>
      <c r="D5993" s="31">
        <v>39594</v>
      </c>
      <c r="E5993" s="15" t="s">
        <v>38118</v>
      </c>
      <c r="F5993" s="87" t="s">
        <v>21871</v>
      </c>
      <c r="G5993" s="45" t="s">
        <v>2360</v>
      </c>
      <c r="H5993" s="55" t="s">
        <v>2361</v>
      </c>
      <c r="I5993" s="15" t="s">
        <v>1751</v>
      </c>
    </row>
    <row r="5994" spans="1:9" ht="51.75" customHeight="1" x14ac:dyDescent="0.35">
      <c r="A5994" s="15">
        <v>1</v>
      </c>
      <c r="B5994" s="15" t="s">
        <v>38119</v>
      </c>
      <c r="C5994" s="15" t="s">
        <v>38120</v>
      </c>
      <c r="D5994" s="31">
        <v>39787</v>
      </c>
      <c r="E5994" s="15" t="s">
        <v>38121</v>
      </c>
      <c r="F5994" s="87" t="s">
        <v>21871</v>
      </c>
      <c r="G5994" s="45" t="s">
        <v>2174</v>
      </c>
      <c r="H5994" s="55" t="s">
        <v>2175</v>
      </c>
      <c r="I5994" s="15" t="s">
        <v>1751</v>
      </c>
    </row>
    <row r="5995" spans="1:9" ht="51.75" customHeight="1" x14ac:dyDescent="0.35">
      <c r="A5995" s="15">
        <v>2</v>
      </c>
      <c r="B5995" s="15" t="s">
        <v>38122</v>
      </c>
      <c r="C5995" s="15" t="s">
        <v>38123</v>
      </c>
      <c r="D5995" s="31">
        <v>39787</v>
      </c>
      <c r="E5995" s="15" t="s">
        <v>38123</v>
      </c>
      <c r="F5995" s="87" t="s">
        <v>21871</v>
      </c>
      <c r="G5995" s="45" t="s">
        <v>2174</v>
      </c>
      <c r="H5995" s="55" t="s">
        <v>2175</v>
      </c>
      <c r="I5995" s="15" t="s">
        <v>1751</v>
      </c>
    </row>
    <row r="5996" spans="1:9" ht="51.75" customHeight="1" x14ac:dyDescent="0.35">
      <c r="A5996" s="15">
        <v>3</v>
      </c>
      <c r="B5996" s="15" t="s">
        <v>38124</v>
      </c>
      <c r="C5996" s="15" t="s">
        <v>38125</v>
      </c>
      <c r="D5996" s="31">
        <v>39787</v>
      </c>
      <c r="E5996" s="15" t="s">
        <v>38125</v>
      </c>
      <c r="F5996" s="87" t="s">
        <v>21871</v>
      </c>
      <c r="G5996" s="45" t="s">
        <v>2174</v>
      </c>
      <c r="H5996" s="55" t="s">
        <v>2175</v>
      </c>
      <c r="I5996" s="15" t="s">
        <v>1751</v>
      </c>
    </row>
    <row r="5997" spans="1:9" ht="51.75" customHeight="1" x14ac:dyDescent="0.35">
      <c r="A5997" s="15">
        <v>4</v>
      </c>
      <c r="B5997" s="15" t="s">
        <v>38126</v>
      </c>
      <c r="C5997" s="15" t="s">
        <v>38127</v>
      </c>
      <c r="D5997" s="31">
        <v>39787</v>
      </c>
      <c r="E5997" s="15" t="s">
        <v>38128</v>
      </c>
      <c r="F5997" s="87" t="s">
        <v>21871</v>
      </c>
      <c r="G5997" s="45" t="s">
        <v>2174</v>
      </c>
      <c r="H5997" s="55" t="s">
        <v>2175</v>
      </c>
      <c r="I5997" s="15" t="s">
        <v>1751</v>
      </c>
    </row>
    <row r="5998" spans="1:9" ht="51.75" customHeight="1" x14ac:dyDescent="0.35">
      <c r="A5998" s="15">
        <v>1</v>
      </c>
      <c r="B5998" s="15" t="s">
        <v>38129</v>
      </c>
      <c r="C5998" s="15" t="s">
        <v>38130</v>
      </c>
      <c r="D5998" s="31">
        <v>39363</v>
      </c>
      <c r="E5998" s="15" t="s">
        <v>38131</v>
      </c>
      <c r="F5998" s="87"/>
      <c r="G5998" s="45" t="s">
        <v>1883</v>
      </c>
      <c r="H5998" s="55" t="s">
        <v>1884</v>
      </c>
      <c r="I5998" s="15" t="s">
        <v>1751</v>
      </c>
    </row>
    <row r="5999" spans="1:9" ht="51.75" customHeight="1" x14ac:dyDescent="0.35">
      <c r="A5999" s="15">
        <v>2</v>
      </c>
      <c r="B5999" s="15" t="s">
        <v>38132</v>
      </c>
      <c r="C5999" s="15" t="s">
        <v>38133</v>
      </c>
      <c r="D5999" s="31">
        <v>39363</v>
      </c>
      <c r="E5999" s="15" t="s">
        <v>38134</v>
      </c>
      <c r="F5999" s="87"/>
      <c r="G5999" s="45" t="s">
        <v>1883</v>
      </c>
      <c r="H5999" s="55" t="s">
        <v>1884</v>
      </c>
      <c r="I5999" s="15" t="s">
        <v>1751</v>
      </c>
    </row>
    <row r="6000" spans="1:9" ht="51.75" customHeight="1" x14ac:dyDescent="0.35">
      <c r="A6000" s="15">
        <v>3</v>
      </c>
      <c r="B6000" s="15" t="s">
        <v>38135</v>
      </c>
      <c r="C6000" s="15" t="s">
        <v>38136</v>
      </c>
      <c r="D6000" s="31">
        <v>39363</v>
      </c>
      <c r="E6000" s="15" t="s">
        <v>38137</v>
      </c>
      <c r="F6000" s="87"/>
      <c r="G6000" s="45" t="s">
        <v>1883</v>
      </c>
      <c r="H6000" s="55" t="s">
        <v>1884</v>
      </c>
      <c r="I6000" s="15" t="s">
        <v>1751</v>
      </c>
    </row>
    <row r="6001" spans="1:9" ht="51.75" customHeight="1" x14ac:dyDescent="0.35">
      <c r="A6001" s="15">
        <v>4</v>
      </c>
      <c r="B6001" s="15" t="s">
        <v>38138</v>
      </c>
      <c r="C6001" s="15" t="s">
        <v>38139</v>
      </c>
      <c r="D6001" s="31">
        <v>39363</v>
      </c>
      <c r="E6001" s="15" t="s">
        <v>38140</v>
      </c>
      <c r="F6001" s="87"/>
      <c r="G6001" s="45" t="s">
        <v>1883</v>
      </c>
      <c r="H6001" s="55" t="s">
        <v>1884</v>
      </c>
      <c r="I6001" s="15" t="s">
        <v>1751</v>
      </c>
    </row>
    <row r="6002" spans="1:9" ht="51.75" customHeight="1" x14ac:dyDescent="0.35">
      <c r="A6002" s="15" t="s">
        <v>29097</v>
      </c>
      <c r="B6002" s="15" t="s">
        <v>38141</v>
      </c>
      <c r="C6002" s="15" t="s">
        <v>38142</v>
      </c>
      <c r="D6002" s="31">
        <v>41451</v>
      </c>
      <c r="E6002" s="15" t="s">
        <v>38143</v>
      </c>
      <c r="F6002" s="87" t="s">
        <v>23210</v>
      </c>
      <c r="G6002" s="45" t="s">
        <v>7497</v>
      </c>
      <c r="H6002" s="55" t="s">
        <v>7498</v>
      </c>
      <c r="I6002" s="15" t="s">
        <v>1751</v>
      </c>
    </row>
    <row r="6003" spans="1:9" ht="51.75" customHeight="1" x14ac:dyDescent="0.35">
      <c r="A6003" s="15" t="s">
        <v>29097</v>
      </c>
      <c r="B6003" s="15" t="s">
        <v>38144</v>
      </c>
      <c r="C6003" s="15" t="s">
        <v>38142</v>
      </c>
      <c r="D6003" s="31">
        <v>41451</v>
      </c>
      <c r="E6003" s="15" t="s">
        <v>38145</v>
      </c>
      <c r="F6003" s="87" t="s">
        <v>21871</v>
      </c>
      <c r="G6003" s="45" t="s">
        <v>7497</v>
      </c>
      <c r="H6003" s="55" t="s">
        <v>7498</v>
      </c>
      <c r="I6003" s="15" t="s">
        <v>1751</v>
      </c>
    </row>
    <row r="6004" spans="1:9" ht="51.75" customHeight="1" x14ac:dyDescent="0.35">
      <c r="A6004" s="15" t="s">
        <v>23836</v>
      </c>
      <c r="B6004" s="15" t="s">
        <v>38146</v>
      </c>
      <c r="C6004" s="15" t="s">
        <v>38147</v>
      </c>
      <c r="D6004" s="31">
        <v>41451</v>
      </c>
      <c r="E6004" s="15" t="s">
        <v>38148</v>
      </c>
      <c r="F6004" s="87" t="s">
        <v>23210</v>
      </c>
      <c r="G6004" s="45" t="s">
        <v>7497</v>
      </c>
      <c r="H6004" s="55" t="s">
        <v>7498</v>
      </c>
      <c r="I6004" s="15" t="s">
        <v>1751</v>
      </c>
    </row>
    <row r="6005" spans="1:9" ht="51.75" customHeight="1" x14ac:dyDescent="0.35">
      <c r="A6005" s="15" t="s">
        <v>23836</v>
      </c>
      <c r="B6005" s="15" t="s">
        <v>38149</v>
      </c>
      <c r="C6005" s="15" t="s">
        <v>38147</v>
      </c>
      <c r="D6005" s="31">
        <v>41451</v>
      </c>
      <c r="E6005" s="15" t="s">
        <v>38150</v>
      </c>
      <c r="F6005" s="87" t="s">
        <v>21871</v>
      </c>
      <c r="G6005" s="45" t="s">
        <v>7497</v>
      </c>
      <c r="H6005" s="55" t="s">
        <v>7498</v>
      </c>
      <c r="I6005" s="15" t="s">
        <v>1751</v>
      </c>
    </row>
    <row r="6006" spans="1:9" ht="51.75" customHeight="1" x14ac:dyDescent="0.35">
      <c r="A6006" s="15" t="s">
        <v>28539</v>
      </c>
      <c r="B6006" s="15" t="s">
        <v>38151</v>
      </c>
      <c r="C6006" s="15" t="s">
        <v>38152</v>
      </c>
      <c r="D6006" s="31">
        <v>41451</v>
      </c>
      <c r="E6006" s="15" t="s">
        <v>38153</v>
      </c>
      <c r="F6006" s="87" t="s">
        <v>23210</v>
      </c>
      <c r="G6006" s="45" t="s">
        <v>7497</v>
      </c>
      <c r="H6006" s="55" t="s">
        <v>7498</v>
      </c>
      <c r="I6006" s="15" t="s">
        <v>1751</v>
      </c>
    </row>
    <row r="6007" spans="1:9" ht="51.75" customHeight="1" x14ac:dyDescent="0.35">
      <c r="A6007" s="15" t="s">
        <v>28539</v>
      </c>
      <c r="B6007" s="15" t="s">
        <v>38154</v>
      </c>
      <c r="C6007" s="15" t="s">
        <v>38152</v>
      </c>
      <c r="D6007" s="31">
        <v>41451</v>
      </c>
      <c r="E6007" s="15" t="s">
        <v>38155</v>
      </c>
      <c r="F6007" s="87" t="s">
        <v>21871</v>
      </c>
      <c r="G6007" s="45" t="s">
        <v>7497</v>
      </c>
      <c r="H6007" s="55" t="s">
        <v>7498</v>
      </c>
      <c r="I6007" s="15" t="s">
        <v>1751</v>
      </c>
    </row>
    <row r="6008" spans="1:9" ht="51.75" customHeight="1" x14ac:dyDescent="0.35">
      <c r="A6008" s="15" t="s">
        <v>28331</v>
      </c>
      <c r="B6008" s="15" t="s">
        <v>38156</v>
      </c>
      <c r="C6008" s="15" t="s">
        <v>38157</v>
      </c>
      <c r="D6008" s="31">
        <v>41451</v>
      </c>
      <c r="E6008" s="15" t="s">
        <v>38158</v>
      </c>
      <c r="F6008" s="87" t="s">
        <v>23210</v>
      </c>
      <c r="G6008" s="45" t="s">
        <v>7497</v>
      </c>
      <c r="H6008" s="55" t="s">
        <v>7498</v>
      </c>
      <c r="I6008" s="15" t="s">
        <v>1751</v>
      </c>
    </row>
    <row r="6009" spans="1:9" ht="51.75" customHeight="1" x14ac:dyDescent="0.35">
      <c r="A6009" s="15" t="s">
        <v>28331</v>
      </c>
      <c r="B6009" s="15" t="s">
        <v>38159</v>
      </c>
      <c r="C6009" s="15" t="s">
        <v>38157</v>
      </c>
      <c r="D6009" s="31">
        <v>41451</v>
      </c>
      <c r="E6009" s="15" t="s">
        <v>38160</v>
      </c>
      <c r="F6009" s="87" t="s">
        <v>21871</v>
      </c>
      <c r="G6009" s="45" t="s">
        <v>7497</v>
      </c>
      <c r="H6009" s="55" t="s">
        <v>7498</v>
      </c>
      <c r="I6009" s="15" t="s">
        <v>1751</v>
      </c>
    </row>
    <row r="6010" spans="1:9" ht="51.75" customHeight="1" x14ac:dyDescent="0.35">
      <c r="A6010" s="15" t="s">
        <v>28335</v>
      </c>
      <c r="B6010" s="15" t="s">
        <v>38161</v>
      </c>
      <c r="C6010" s="15" t="s">
        <v>38162</v>
      </c>
      <c r="D6010" s="31">
        <v>41451</v>
      </c>
      <c r="E6010" s="15" t="s">
        <v>38163</v>
      </c>
      <c r="F6010" s="87" t="s">
        <v>23210</v>
      </c>
      <c r="G6010" s="45" t="s">
        <v>7497</v>
      </c>
      <c r="H6010" s="55" t="s">
        <v>7498</v>
      </c>
      <c r="I6010" s="15" t="s">
        <v>1751</v>
      </c>
    </row>
    <row r="6011" spans="1:9" ht="51.75" customHeight="1" x14ac:dyDescent="0.35">
      <c r="A6011" s="15" t="s">
        <v>28335</v>
      </c>
      <c r="B6011" s="15" t="s">
        <v>38164</v>
      </c>
      <c r="C6011" s="15" t="s">
        <v>38162</v>
      </c>
      <c r="D6011" s="31">
        <v>41451</v>
      </c>
      <c r="E6011" s="15" t="s">
        <v>38165</v>
      </c>
      <c r="F6011" s="87" t="s">
        <v>21871</v>
      </c>
      <c r="G6011" s="45" t="s">
        <v>7497</v>
      </c>
      <c r="H6011" s="55" t="s">
        <v>7498</v>
      </c>
      <c r="I6011" s="15" t="s">
        <v>1751</v>
      </c>
    </row>
    <row r="6012" spans="1:9" ht="51.75" customHeight="1" x14ac:dyDescent="0.35">
      <c r="A6012" s="15" t="s">
        <v>23759</v>
      </c>
      <c r="B6012" s="15" t="s">
        <v>38166</v>
      </c>
      <c r="C6012" s="15" t="s">
        <v>38167</v>
      </c>
      <c r="D6012" s="31">
        <v>41451</v>
      </c>
      <c r="E6012" s="15" t="s">
        <v>38168</v>
      </c>
      <c r="F6012" s="87" t="s">
        <v>23210</v>
      </c>
      <c r="G6012" s="45" t="s">
        <v>7497</v>
      </c>
      <c r="H6012" s="55" t="s">
        <v>7498</v>
      </c>
      <c r="I6012" s="15" t="s">
        <v>1751</v>
      </c>
    </row>
    <row r="6013" spans="1:9" ht="51.75" customHeight="1" x14ac:dyDescent="0.35">
      <c r="A6013" s="15" t="s">
        <v>23759</v>
      </c>
      <c r="B6013" s="15" t="s">
        <v>38169</v>
      </c>
      <c r="C6013" s="15" t="s">
        <v>38167</v>
      </c>
      <c r="D6013" s="31">
        <v>41451</v>
      </c>
      <c r="E6013" s="15" t="s">
        <v>38170</v>
      </c>
      <c r="F6013" s="87" t="s">
        <v>21871</v>
      </c>
      <c r="G6013" s="45" t="s">
        <v>7497</v>
      </c>
      <c r="H6013" s="55" t="s">
        <v>7498</v>
      </c>
      <c r="I6013" s="15" t="s">
        <v>1751</v>
      </c>
    </row>
    <row r="6014" spans="1:9" ht="51.75" customHeight="1" x14ac:dyDescent="0.35">
      <c r="A6014" s="15" t="s">
        <v>23225</v>
      </c>
      <c r="B6014" s="15" t="s">
        <v>38171</v>
      </c>
      <c r="C6014" s="15" t="s">
        <v>38172</v>
      </c>
      <c r="D6014" s="31">
        <v>41451</v>
      </c>
      <c r="E6014" s="15" t="s">
        <v>38173</v>
      </c>
      <c r="F6014" s="87" t="s">
        <v>23210</v>
      </c>
      <c r="G6014" s="45" t="s">
        <v>7497</v>
      </c>
      <c r="H6014" s="55" t="s">
        <v>7498</v>
      </c>
      <c r="I6014" s="15" t="s">
        <v>1751</v>
      </c>
    </row>
    <row r="6015" spans="1:9" ht="51.75" customHeight="1" x14ac:dyDescent="0.35">
      <c r="A6015" s="15" t="s">
        <v>23225</v>
      </c>
      <c r="B6015" s="15" t="s">
        <v>38174</v>
      </c>
      <c r="C6015" s="15" t="s">
        <v>38172</v>
      </c>
      <c r="D6015" s="31">
        <v>41451</v>
      </c>
      <c r="E6015" s="15" t="s">
        <v>38175</v>
      </c>
      <c r="F6015" s="87" t="s">
        <v>21871</v>
      </c>
      <c r="G6015" s="45" t="s">
        <v>7497</v>
      </c>
      <c r="H6015" s="55" t="s">
        <v>7498</v>
      </c>
      <c r="I6015" s="15" t="s">
        <v>1751</v>
      </c>
    </row>
    <row r="6016" spans="1:9" ht="51.75" customHeight="1" x14ac:dyDescent="0.35">
      <c r="A6016" s="15" t="s">
        <v>22085</v>
      </c>
      <c r="B6016" s="15" t="s">
        <v>38176</v>
      </c>
      <c r="C6016" s="15" t="s">
        <v>38177</v>
      </c>
      <c r="D6016" s="31">
        <v>41451</v>
      </c>
      <c r="E6016" s="15" t="s">
        <v>38178</v>
      </c>
      <c r="F6016" s="87" t="s">
        <v>23210</v>
      </c>
      <c r="G6016" s="45" t="s">
        <v>7497</v>
      </c>
      <c r="H6016" s="55" t="s">
        <v>7498</v>
      </c>
      <c r="I6016" s="15" t="s">
        <v>1751</v>
      </c>
    </row>
    <row r="6017" spans="1:9" ht="51.75" customHeight="1" x14ac:dyDescent="0.35">
      <c r="A6017" s="15" t="s">
        <v>22085</v>
      </c>
      <c r="B6017" s="15" t="s">
        <v>38179</v>
      </c>
      <c r="C6017" s="15" t="s">
        <v>38177</v>
      </c>
      <c r="D6017" s="31">
        <v>41451</v>
      </c>
      <c r="E6017" s="15" t="s">
        <v>38180</v>
      </c>
      <c r="F6017" s="87" t="s">
        <v>21871</v>
      </c>
      <c r="G6017" s="45" t="s">
        <v>7497</v>
      </c>
      <c r="H6017" s="55" t="s">
        <v>7498</v>
      </c>
      <c r="I6017" s="15" t="s">
        <v>1751</v>
      </c>
    </row>
    <row r="6018" spans="1:9" ht="51.75" customHeight="1" x14ac:dyDescent="0.35">
      <c r="A6018" s="15" t="s">
        <v>33374</v>
      </c>
      <c r="B6018" s="15" t="s">
        <v>38181</v>
      </c>
      <c r="C6018" s="15" t="s">
        <v>38182</v>
      </c>
      <c r="D6018" s="31">
        <v>41551</v>
      </c>
      <c r="E6018" s="15" t="s">
        <v>38183</v>
      </c>
      <c r="F6018" s="87" t="s">
        <v>38184</v>
      </c>
      <c r="G6018" s="45" t="s">
        <v>7621</v>
      </c>
      <c r="H6018" s="55" t="s">
        <v>7622</v>
      </c>
      <c r="I6018" s="15" t="s">
        <v>1751</v>
      </c>
    </row>
    <row r="6019" spans="1:9" ht="51.75" customHeight="1" x14ac:dyDescent="0.35">
      <c r="A6019" s="15" t="s">
        <v>33374</v>
      </c>
      <c r="B6019" s="15" t="s">
        <v>38185</v>
      </c>
      <c r="C6019" s="15" t="s">
        <v>38182</v>
      </c>
      <c r="D6019" s="31">
        <v>41551</v>
      </c>
      <c r="E6019" s="15" t="s">
        <v>38186</v>
      </c>
      <c r="F6019" s="87" t="s">
        <v>21871</v>
      </c>
      <c r="G6019" s="45" t="s">
        <v>7621</v>
      </c>
      <c r="H6019" s="55" t="s">
        <v>7622</v>
      </c>
      <c r="I6019" s="15" t="s">
        <v>1751</v>
      </c>
    </row>
    <row r="6020" spans="1:9" ht="51.75" customHeight="1" x14ac:dyDescent="0.35">
      <c r="A6020" s="15" t="s">
        <v>33378</v>
      </c>
      <c r="B6020" s="15" t="s">
        <v>38187</v>
      </c>
      <c r="C6020" s="15" t="s">
        <v>38188</v>
      </c>
      <c r="D6020" s="31">
        <v>41551</v>
      </c>
      <c r="E6020" s="15" t="s">
        <v>38189</v>
      </c>
      <c r="F6020" s="87" t="s">
        <v>38184</v>
      </c>
      <c r="G6020" s="45" t="s">
        <v>7621</v>
      </c>
      <c r="H6020" s="55" t="s">
        <v>7622</v>
      </c>
      <c r="I6020" s="15" t="s">
        <v>1751</v>
      </c>
    </row>
    <row r="6021" spans="1:9" ht="51.75" customHeight="1" x14ac:dyDescent="0.35">
      <c r="A6021" s="15" t="s">
        <v>33378</v>
      </c>
      <c r="B6021" s="15" t="s">
        <v>38190</v>
      </c>
      <c r="C6021" s="15" t="s">
        <v>38188</v>
      </c>
      <c r="D6021" s="31">
        <v>41551</v>
      </c>
      <c r="E6021" s="15" t="s">
        <v>38191</v>
      </c>
      <c r="F6021" s="87" t="s">
        <v>21871</v>
      </c>
      <c r="G6021" s="45" t="s">
        <v>7621</v>
      </c>
      <c r="H6021" s="55" t="s">
        <v>7622</v>
      </c>
      <c r="I6021" s="15" t="s">
        <v>1751</v>
      </c>
    </row>
    <row r="6022" spans="1:9" ht="51.75" customHeight="1" x14ac:dyDescent="0.35">
      <c r="A6022" s="15" t="s">
        <v>26508</v>
      </c>
      <c r="B6022" s="15" t="s">
        <v>38192</v>
      </c>
      <c r="C6022" s="15" t="s">
        <v>38193</v>
      </c>
      <c r="D6022" s="31">
        <v>41551</v>
      </c>
      <c r="E6022" s="15" t="s">
        <v>38194</v>
      </c>
      <c r="F6022" s="87" t="s">
        <v>38184</v>
      </c>
      <c r="G6022" s="45" t="s">
        <v>7621</v>
      </c>
      <c r="H6022" s="55" t="s">
        <v>7622</v>
      </c>
      <c r="I6022" s="15" t="s">
        <v>1751</v>
      </c>
    </row>
    <row r="6023" spans="1:9" ht="51.75" customHeight="1" x14ac:dyDescent="0.35">
      <c r="A6023" s="15" t="s">
        <v>26508</v>
      </c>
      <c r="B6023" s="15" t="s">
        <v>38195</v>
      </c>
      <c r="C6023" s="15" t="s">
        <v>38193</v>
      </c>
      <c r="D6023" s="31">
        <v>41551</v>
      </c>
      <c r="E6023" s="15" t="s">
        <v>38196</v>
      </c>
      <c r="F6023" s="87" t="s">
        <v>21871</v>
      </c>
      <c r="G6023" s="45" t="s">
        <v>7621</v>
      </c>
      <c r="H6023" s="55" t="s">
        <v>7622</v>
      </c>
      <c r="I6023" s="15" t="s">
        <v>1751</v>
      </c>
    </row>
    <row r="6024" spans="1:9" ht="51.75" customHeight="1" x14ac:dyDescent="0.35">
      <c r="A6024" s="15" t="s">
        <v>26511</v>
      </c>
      <c r="B6024" s="15" t="s">
        <v>38197</v>
      </c>
      <c r="C6024" s="15" t="s">
        <v>38198</v>
      </c>
      <c r="D6024" s="31">
        <v>41551</v>
      </c>
      <c r="E6024" s="15" t="s">
        <v>38199</v>
      </c>
      <c r="F6024" s="87" t="s">
        <v>38184</v>
      </c>
      <c r="G6024" s="45" t="s">
        <v>7621</v>
      </c>
      <c r="H6024" s="55" t="s">
        <v>7622</v>
      </c>
      <c r="I6024" s="15" t="s">
        <v>1751</v>
      </c>
    </row>
    <row r="6025" spans="1:9" ht="51.75" customHeight="1" x14ac:dyDescent="0.35">
      <c r="A6025" s="15" t="s">
        <v>26511</v>
      </c>
      <c r="B6025" s="15" t="s">
        <v>38200</v>
      </c>
      <c r="C6025" s="15" t="s">
        <v>38198</v>
      </c>
      <c r="D6025" s="31">
        <v>41551</v>
      </c>
      <c r="E6025" s="15" t="s">
        <v>38201</v>
      </c>
      <c r="F6025" s="87" t="s">
        <v>21871</v>
      </c>
      <c r="G6025" s="45" t="s">
        <v>7621</v>
      </c>
      <c r="H6025" s="55" t="s">
        <v>7622</v>
      </c>
      <c r="I6025" s="15" t="s">
        <v>1751</v>
      </c>
    </row>
    <row r="6026" spans="1:9" ht="51.75" customHeight="1" x14ac:dyDescent="0.35">
      <c r="A6026" s="15" t="s">
        <v>26514</v>
      </c>
      <c r="B6026" s="15" t="s">
        <v>38202</v>
      </c>
      <c r="C6026" s="15" t="s">
        <v>38203</v>
      </c>
      <c r="D6026" s="31">
        <v>41551</v>
      </c>
      <c r="E6026" s="15" t="s">
        <v>38204</v>
      </c>
      <c r="F6026" s="87" t="s">
        <v>38184</v>
      </c>
      <c r="G6026" s="45" t="s">
        <v>7621</v>
      </c>
      <c r="H6026" s="55" t="s">
        <v>7622</v>
      </c>
      <c r="I6026" s="15" t="s">
        <v>1751</v>
      </c>
    </row>
    <row r="6027" spans="1:9" ht="51.75" customHeight="1" x14ac:dyDescent="0.35">
      <c r="A6027" s="15" t="s">
        <v>26514</v>
      </c>
      <c r="B6027" s="15" t="s">
        <v>38205</v>
      </c>
      <c r="C6027" s="15" t="s">
        <v>38203</v>
      </c>
      <c r="D6027" s="31">
        <v>41551</v>
      </c>
      <c r="E6027" s="15" t="s">
        <v>38206</v>
      </c>
      <c r="F6027" s="87" t="s">
        <v>21871</v>
      </c>
      <c r="G6027" s="45" t="s">
        <v>7621</v>
      </c>
      <c r="H6027" s="55" t="s">
        <v>7622</v>
      </c>
      <c r="I6027" s="15" t="s">
        <v>1751</v>
      </c>
    </row>
    <row r="6028" spans="1:9" ht="51.75" customHeight="1" x14ac:dyDescent="0.35">
      <c r="A6028" s="15">
        <v>1</v>
      </c>
      <c r="B6028" s="15" t="s">
        <v>38207</v>
      </c>
      <c r="C6028" s="15" t="s">
        <v>38208</v>
      </c>
      <c r="D6028" s="31">
        <v>41051</v>
      </c>
      <c r="E6028" s="15" t="s">
        <v>38209</v>
      </c>
      <c r="F6028" s="87" t="s">
        <v>21871</v>
      </c>
      <c r="G6028" s="45" t="s">
        <v>4586</v>
      </c>
      <c r="H6028" s="55" t="s">
        <v>4587</v>
      </c>
      <c r="I6028" s="15" t="s">
        <v>1751</v>
      </c>
    </row>
    <row r="6029" spans="1:9" ht="51.75" customHeight="1" x14ac:dyDescent="0.35">
      <c r="A6029" s="15">
        <v>2</v>
      </c>
      <c r="B6029" s="15" t="s">
        <v>38210</v>
      </c>
      <c r="C6029" s="15" t="s">
        <v>38211</v>
      </c>
      <c r="D6029" s="31">
        <v>41051</v>
      </c>
      <c r="E6029" s="15" t="s">
        <v>38212</v>
      </c>
      <c r="F6029" s="87" t="s">
        <v>21871</v>
      </c>
      <c r="G6029" s="45" t="s">
        <v>4586</v>
      </c>
      <c r="H6029" s="55" t="s">
        <v>4587</v>
      </c>
      <c r="I6029" s="15" t="s">
        <v>1751</v>
      </c>
    </row>
    <row r="6030" spans="1:9" ht="51.75" customHeight="1" x14ac:dyDescent="0.35">
      <c r="A6030" s="15">
        <v>3</v>
      </c>
      <c r="B6030" s="15" t="s">
        <v>38213</v>
      </c>
      <c r="C6030" s="15" t="s">
        <v>38214</v>
      </c>
      <c r="D6030" s="31">
        <v>41051</v>
      </c>
      <c r="E6030" s="15" t="s">
        <v>38215</v>
      </c>
      <c r="F6030" s="87" t="s">
        <v>21871</v>
      </c>
      <c r="G6030" s="45" t="s">
        <v>4586</v>
      </c>
      <c r="H6030" s="55" t="s">
        <v>4587</v>
      </c>
      <c r="I6030" s="15" t="s">
        <v>1751</v>
      </c>
    </row>
    <row r="6031" spans="1:9" ht="51.75" customHeight="1" x14ac:dyDescent="0.35">
      <c r="A6031" s="15">
        <v>4</v>
      </c>
      <c r="B6031" s="15" t="s">
        <v>38216</v>
      </c>
      <c r="C6031" s="15" t="s">
        <v>38217</v>
      </c>
      <c r="D6031" s="31">
        <v>41051</v>
      </c>
      <c r="E6031" s="15" t="s">
        <v>38218</v>
      </c>
      <c r="F6031" s="87" t="s">
        <v>21871</v>
      </c>
      <c r="G6031" s="45" t="s">
        <v>4586</v>
      </c>
      <c r="H6031" s="55" t="s">
        <v>4587</v>
      </c>
      <c r="I6031" s="15" t="s">
        <v>1751</v>
      </c>
    </row>
    <row r="6032" spans="1:9" ht="51.75" customHeight="1" x14ac:dyDescent="0.35">
      <c r="A6032" s="15">
        <v>5</v>
      </c>
      <c r="B6032" s="15" t="s">
        <v>38219</v>
      </c>
      <c r="C6032" s="15" t="s">
        <v>38220</v>
      </c>
      <c r="D6032" s="31">
        <v>41051</v>
      </c>
      <c r="E6032" s="15" t="s">
        <v>38221</v>
      </c>
      <c r="F6032" s="87" t="s">
        <v>21871</v>
      </c>
      <c r="G6032" s="45" t="s">
        <v>4586</v>
      </c>
      <c r="H6032" s="55" t="s">
        <v>4587</v>
      </c>
      <c r="I6032" s="15" t="s">
        <v>1751</v>
      </c>
    </row>
    <row r="6033" spans="1:9" ht="51.75" customHeight="1" x14ac:dyDescent="0.35">
      <c r="A6033" s="15">
        <v>6</v>
      </c>
      <c r="B6033" s="15" t="s">
        <v>38222</v>
      </c>
      <c r="C6033" s="15" t="s">
        <v>38223</v>
      </c>
      <c r="D6033" s="31">
        <v>41051</v>
      </c>
      <c r="E6033" s="15" t="s">
        <v>38224</v>
      </c>
      <c r="F6033" s="87" t="s">
        <v>21871</v>
      </c>
      <c r="G6033" s="45" t="s">
        <v>4586</v>
      </c>
      <c r="H6033" s="55" t="s">
        <v>4587</v>
      </c>
      <c r="I6033" s="15" t="s">
        <v>1751</v>
      </c>
    </row>
    <row r="6034" spans="1:9" ht="51.75" customHeight="1" x14ac:dyDescent="0.35">
      <c r="A6034" s="15">
        <v>7</v>
      </c>
      <c r="B6034" s="15" t="s">
        <v>38225</v>
      </c>
      <c r="C6034" s="15" t="s">
        <v>38226</v>
      </c>
      <c r="D6034" s="31">
        <v>41051</v>
      </c>
      <c r="E6034" s="15" t="s">
        <v>38227</v>
      </c>
      <c r="F6034" s="87" t="s">
        <v>21871</v>
      </c>
      <c r="G6034" s="45" t="s">
        <v>4586</v>
      </c>
      <c r="H6034" s="55" t="s">
        <v>4587</v>
      </c>
      <c r="I6034" s="15" t="s">
        <v>1751</v>
      </c>
    </row>
    <row r="6035" spans="1:9" ht="51.75" customHeight="1" x14ac:dyDescent="0.35">
      <c r="A6035" s="15">
        <v>8</v>
      </c>
      <c r="B6035" s="15" t="s">
        <v>38228</v>
      </c>
      <c r="C6035" s="15" t="s">
        <v>38229</v>
      </c>
      <c r="D6035" s="31">
        <v>41051</v>
      </c>
      <c r="E6035" s="15" t="s">
        <v>38230</v>
      </c>
      <c r="F6035" s="87" t="s">
        <v>21871</v>
      </c>
      <c r="G6035" s="45" t="s">
        <v>4586</v>
      </c>
      <c r="H6035" s="55" t="s">
        <v>4587</v>
      </c>
      <c r="I6035" s="15" t="s">
        <v>1751</v>
      </c>
    </row>
    <row r="6036" spans="1:9" ht="51.75" customHeight="1" x14ac:dyDescent="0.35">
      <c r="A6036" s="15">
        <v>9</v>
      </c>
      <c r="B6036" s="15" t="s">
        <v>38231</v>
      </c>
      <c r="C6036" s="15" t="s">
        <v>38232</v>
      </c>
      <c r="D6036" s="31">
        <v>41051</v>
      </c>
      <c r="E6036" s="15" t="s">
        <v>38233</v>
      </c>
      <c r="F6036" s="87" t="s">
        <v>21871</v>
      </c>
      <c r="G6036" s="45" t="s">
        <v>4586</v>
      </c>
      <c r="H6036" s="55" t="s">
        <v>4587</v>
      </c>
      <c r="I6036" s="15" t="s">
        <v>1751</v>
      </c>
    </row>
    <row r="6037" spans="1:9" ht="51.75" customHeight="1" x14ac:dyDescent="0.35">
      <c r="A6037" s="15" t="s">
        <v>22979</v>
      </c>
      <c r="B6037" s="15" t="s">
        <v>38234</v>
      </c>
      <c r="C6037" s="15" t="s">
        <v>38235</v>
      </c>
      <c r="D6037" s="31">
        <v>41789</v>
      </c>
      <c r="E6037" s="15" t="s">
        <v>38236</v>
      </c>
      <c r="F6037" s="87" t="s">
        <v>21871</v>
      </c>
      <c r="G6037" s="45" t="s">
        <v>8457</v>
      </c>
      <c r="H6037" s="55" t="s">
        <v>8458</v>
      </c>
      <c r="I6037" s="15" t="s">
        <v>1751</v>
      </c>
    </row>
    <row r="6038" spans="1:9" ht="51.75" customHeight="1" x14ac:dyDescent="0.35">
      <c r="A6038" s="15" t="s">
        <v>25663</v>
      </c>
      <c r="B6038" s="15" t="s">
        <v>38237</v>
      </c>
      <c r="C6038" s="15" t="s">
        <v>38238</v>
      </c>
      <c r="D6038" s="31">
        <v>41789</v>
      </c>
      <c r="E6038" s="15" t="s">
        <v>38239</v>
      </c>
      <c r="F6038" s="87" t="s">
        <v>21871</v>
      </c>
      <c r="G6038" s="45" t="s">
        <v>8457</v>
      </c>
      <c r="H6038" s="55" t="s">
        <v>8458</v>
      </c>
      <c r="I6038" s="15" t="s">
        <v>1751</v>
      </c>
    </row>
    <row r="6039" spans="1:9" ht="51.75" customHeight="1" x14ac:dyDescent="0.35">
      <c r="A6039" s="15" t="s">
        <v>22983</v>
      </c>
      <c r="B6039" s="15" t="s">
        <v>38240</v>
      </c>
      <c r="C6039" s="15" t="s">
        <v>38241</v>
      </c>
      <c r="D6039" s="31">
        <v>41789</v>
      </c>
      <c r="E6039" s="15" t="s">
        <v>38242</v>
      </c>
      <c r="F6039" s="87" t="s">
        <v>21871</v>
      </c>
      <c r="G6039" s="45" t="s">
        <v>8457</v>
      </c>
      <c r="H6039" s="55" t="s">
        <v>8458</v>
      </c>
      <c r="I6039" s="15" t="s">
        <v>1751</v>
      </c>
    </row>
    <row r="6040" spans="1:9" ht="51.75" customHeight="1" x14ac:dyDescent="0.35">
      <c r="A6040" s="15" t="s">
        <v>22960</v>
      </c>
      <c r="B6040" s="15" t="s">
        <v>38243</v>
      </c>
      <c r="C6040" s="15" t="s">
        <v>38244</v>
      </c>
      <c r="D6040" s="31">
        <v>41577</v>
      </c>
      <c r="E6040" s="15" t="s">
        <v>38245</v>
      </c>
      <c r="F6040" s="87" t="s">
        <v>23210</v>
      </c>
      <c r="G6040" s="45" t="s">
        <v>7470</v>
      </c>
      <c r="H6040" s="55" t="s">
        <v>7471</v>
      </c>
      <c r="I6040" s="15" t="s">
        <v>1751</v>
      </c>
    </row>
    <row r="6041" spans="1:9" ht="51.75" customHeight="1" x14ac:dyDescent="0.35">
      <c r="A6041" s="15" t="s">
        <v>22960</v>
      </c>
      <c r="B6041" s="15" t="s">
        <v>38246</v>
      </c>
      <c r="C6041" s="15" t="s">
        <v>38244</v>
      </c>
      <c r="D6041" s="31">
        <v>41577</v>
      </c>
      <c r="E6041" s="15" t="s">
        <v>38247</v>
      </c>
      <c r="F6041" s="87" t="s">
        <v>21871</v>
      </c>
      <c r="G6041" s="45" t="s">
        <v>7470</v>
      </c>
      <c r="H6041" s="55" t="s">
        <v>7471</v>
      </c>
      <c r="I6041" s="15" t="s">
        <v>1751</v>
      </c>
    </row>
    <row r="6042" spans="1:9" ht="51.75" customHeight="1" x14ac:dyDescent="0.35">
      <c r="A6042" s="15" t="s">
        <v>22964</v>
      </c>
      <c r="B6042" s="15" t="s">
        <v>38248</v>
      </c>
      <c r="C6042" s="15" t="s">
        <v>38249</v>
      </c>
      <c r="D6042" s="31">
        <v>41577</v>
      </c>
      <c r="E6042" s="15" t="s">
        <v>38250</v>
      </c>
      <c r="F6042" s="87" t="s">
        <v>23210</v>
      </c>
      <c r="G6042" s="45" t="s">
        <v>7470</v>
      </c>
      <c r="H6042" s="55" t="s">
        <v>7471</v>
      </c>
      <c r="I6042" s="15" t="s">
        <v>1751</v>
      </c>
    </row>
    <row r="6043" spans="1:9" ht="51.75" customHeight="1" x14ac:dyDescent="0.35">
      <c r="A6043" s="15" t="s">
        <v>22964</v>
      </c>
      <c r="B6043" s="15" t="s">
        <v>38251</v>
      </c>
      <c r="C6043" s="15" t="s">
        <v>38249</v>
      </c>
      <c r="D6043" s="31">
        <v>41577</v>
      </c>
      <c r="E6043" s="15" t="s">
        <v>38252</v>
      </c>
      <c r="F6043" s="87" t="s">
        <v>21871</v>
      </c>
      <c r="G6043" s="45" t="s">
        <v>7470</v>
      </c>
      <c r="H6043" s="55" t="s">
        <v>7471</v>
      </c>
      <c r="I6043" s="15" t="s">
        <v>1751</v>
      </c>
    </row>
    <row r="6044" spans="1:9" ht="51.75" customHeight="1" x14ac:dyDescent="0.35">
      <c r="A6044" s="15" t="s">
        <v>22858</v>
      </c>
      <c r="B6044" s="15" t="s">
        <v>38253</v>
      </c>
      <c r="C6044" s="15" t="s">
        <v>38254</v>
      </c>
      <c r="D6044" s="31" t="s">
        <v>50</v>
      </c>
      <c r="E6044" s="15" t="s">
        <v>38255</v>
      </c>
      <c r="F6044" s="87" t="s">
        <v>23210</v>
      </c>
      <c r="G6044" s="45" t="s">
        <v>6476</v>
      </c>
      <c r="H6044" s="55" t="s">
        <v>6477</v>
      </c>
      <c r="I6044" s="15" t="s">
        <v>1751</v>
      </c>
    </row>
    <row r="6045" spans="1:9" ht="51.75" customHeight="1" x14ac:dyDescent="0.35">
      <c r="A6045" s="15" t="s">
        <v>22858</v>
      </c>
      <c r="B6045" s="15" t="s">
        <v>38256</v>
      </c>
      <c r="C6045" s="15" t="s">
        <v>38254</v>
      </c>
      <c r="D6045" s="31" t="s">
        <v>50</v>
      </c>
      <c r="E6045" s="15" t="s">
        <v>38257</v>
      </c>
      <c r="F6045" s="87" t="s">
        <v>21871</v>
      </c>
      <c r="G6045" s="45" t="s">
        <v>6476</v>
      </c>
      <c r="H6045" s="55" t="s">
        <v>6477</v>
      </c>
      <c r="I6045" s="15" t="s">
        <v>1751</v>
      </c>
    </row>
    <row r="6046" spans="1:9" ht="51.75" customHeight="1" x14ac:dyDescent="0.35">
      <c r="A6046" s="15" t="s">
        <v>22862</v>
      </c>
      <c r="B6046" s="15" t="s">
        <v>38258</v>
      </c>
      <c r="C6046" s="15" t="s">
        <v>38259</v>
      </c>
      <c r="D6046" s="31" t="s">
        <v>50</v>
      </c>
      <c r="E6046" s="15" t="s">
        <v>38260</v>
      </c>
      <c r="F6046" s="87" t="s">
        <v>23210</v>
      </c>
      <c r="G6046" s="45" t="s">
        <v>6476</v>
      </c>
      <c r="H6046" s="55" t="s">
        <v>6477</v>
      </c>
      <c r="I6046" s="15" t="s">
        <v>1751</v>
      </c>
    </row>
    <row r="6047" spans="1:9" ht="51.75" customHeight="1" x14ac:dyDescent="0.35">
      <c r="A6047" s="15" t="s">
        <v>22862</v>
      </c>
      <c r="B6047" s="15" t="s">
        <v>38261</v>
      </c>
      <c r="C6047" s="15" t="s">
        <v>38259</v>
      </c>
      <c r="D6047" s="31" t="s">
        <v>50</v>
      </c>
      <c r="E6047" s="15" t="s">
        <v>38262</v>
      </c>
      <c r="F6047" s="87" t="s">
        <v>21871</v>
      </c>
      <c r="G6047" s="45" t="s">
        <v>6476</v>
      </c>
      <c r="H6047" s="55" t="s">
        <v>6477</v>
      </c>
      <c r="I6047" s="15" t="s">
        <v>1751</v>
      </c>
    </row>
    <row r="6048" spans="1:9" ht="51.75" customHeight="1" x14ac:dyDescent="0.35">
      <c r="A6048" s="15" t="s">
        <v>37090</v>
      </c>
      <c r="B6048" s="15" t="s">
        <v>38263</v>
      </c>
      <c r="C6048" s="15" t="s">
        <v>38264</v>
      </c>
      <c r="D6048" s="31">
        <v>41355</v>
      </c>
      <c r="E6048" s="15" t="s">
        <v>38265</v>
      </c>
      <c r="F6048" s="87" t="s">
        <v>23210</v>
      </c>
      <c r="G6048" s="45" t="s">
        <v>6233</v>
      </c>
      <c r="H6048" s="55" t="s">
        <v>6234</v>
      </c>
      <c r="I6048" s="15" t="s">
        <v>1751</v>
      </c>
    </row>
    <row r="6049" spans="1:9" ht="51.75" customHeight="1" x14ac:dyDescent="0.35">
      <c r="A6049" s="15" t="s">
        <v>37090</v>
      </c>
      <c r="B6049" s="15" t="s">
        <v>38266</v>
      </c>
      <c r="C6049" s="15" t="s">
        <v>38264</v>
      </c>
      <c r="D6049" s="31">
        <v>41355</v>
      </c>
      <c r="E6049" s="15" t="s">
        <v>38267</v>
      </c>
      <c r="F6049" s="87" t="s">
        <v>21871</v>
      </c>
      <c r="G6049" s="45" t="s">
        <v>6233</v>
      </c>
      <c r="H6049" s="55" t="s">
        <v>6234</v>
      </c>
      <c r="I6049" s="15" t="s">
        <v>1751</v>
      </c>
    </row>
    <row r="6050" spans="1:9" ht="51.75" customHeight="1" x14ac:dyDescent="0.35">
      <c r="A6050" s="15" t="s">
        <v>28382</v>
      </c>
      <c r="B6050" s="15" t="s">
        <v>38268</v>
      </c>
      <c r="C6050" s="15" t="s">
        <v>38269</v>
      </c>
      <c r="D6050" s="31">
        <v>41355</v>
      </c>
      <c r="E6050" s="15" t="s">
        <v>38270</v>
      </c>
      <c r="F6050" s="87" t="s">
        <v>23210</v>
      </c>
      <c r="G6050" s="45" t="s">
        <v>6233</v>
      </c>
      <c r="H6050" s="55" t="s">
        <v>6234</v>
      </c>
      <c r="I6050" s="15" t="s">
        <v>1751</v>
      </c>
    </row>
    <row r="6051" spans="1:9" ht="51.75" customHeight="1" x14ac:dyDescent="0.35">
      <c r="A6051" s="15" t="s">
        <v>28382</v>
      </c>
      <c r="B6051" s="15" t="s">
        <v>38271</v>
      </c>
      <c r="C6051" s="15" t="s">
        <v>38269</v>
      </c>
      <c r="D6051" s="31">
        <v>41355</v>
      </c>
      <c r="E6051" s="15" t="s">
        <v>38272</v>
      </c>
      <c r="F6051" s="87" t="s">
        <v>21871</v>
      </c>
      <c r="G6051" s="45" t="s">
        <v>6233</v>
      </c>
      <c r="H6051" s="55" t="s">
        <v>6234</v>
      </c>
      <c r="I6051" s="15" t="s">
        <v>1751</v>
      </c>
    </row>
    <row r="6052" spans="1:9" ht="51.75" customHeight="1" x14ac:dyDescent="0.35">
      <c r="A6052" s="15" t="s">
        <v>28386</v>
      </c>
      <c r="B6052" s="15" t="s">
        <v>38273</v>
      </c>
      <c r="C6052" s="15" t="s">
        <v>38274</v>
      </c>
      <c r="D6052" s="31">
        <v>41355</v>
      </c>
      <c r="E6052" s="15" t="s">
        <v>38275</v>
      </c>
      <c r="F6052" s="87" t="s">
        <v>23210</v>
      </c>
      <c r="G6052" s="45" t="s">
        <v>6233</v>
      </c>
      <c r="H6052" s="55" t="s">
        <v>6234</v>
      </c>
      <c r="I6052" s="15" t="s">
        <v>1751</v>
      </c>
    </row>
    <row r="6053" spans="1:9" ht="51.75" customHeight="1" x14ac:dyDescent="0.35">
      <c r="A6053" s="15" t="s">
        <v>28386</v>
      </c>
      <c r="B6053" s="15" t="s">
        <v>38276</v>
      </c>
      <c r="C6053" s="15" t="s">
        <v>38274</v>
      </c>
      <c r="D6053" s="31">
        <v>41355</v>
      </c>
      <c r="E6053" s="15" t="s">
        <v>38277</v>
      </c>
      <c r="F6053" s="87" t="s">
        <v>21871</v>
      </c>
      <c r="G6053" s="45" t="s">
        <v>6233</v>
      </c>
      <c r="H6053" s="55" t="s">
        <v>6234</v>
      </c>
      <c r="I6053" s="15" t="s">
        <v>1751</v>
      </c>
    </row>
    <row r="6054" spans="1:9" ht="51.75" customHeight="1" x14ac:dyDescent="0.35">
      <c r="A6054" s="15" t="s">
        <v>23923</v>
      </c>
      <c r="B6054" s="15" t="s">
        <v>38278</v>
      </c>
      <c r="C6054" s="15" t="s">
        <v>38279</v>
      </c>
      <c r="D6054" s="31">
        <v>41977</v>
      </c>
      <c r="E6054" s="15" t="s">
        <v>38280</v>
      </c>
      <c r="F6054" s="87" t="s">
        <v>21871</v>
      </c>
      <c r="G6054" s="45" t="s">
        <v>8692</v>
      </c>
      <c r="H6054" s="55" t="s">
        <v>8693</v>
      </c>
      <c r="I6054" s="15" t="s">
        <v>1751</v>
      </c>
    </row>
    <row r="6055" spans="1:9" ht="51.75" customHeight="1" x14ac:dyDescent="0.35">
      <c r="A6055" s="15" t="s">
        <v>24186</v>
      </c>
      <c r="B6055" s="15" t="s">
        <v>38281</v>
      </c>
      <c r="C6055" s="15" t="s">
        <v>38282</v>
      </c>
      <c r="D6055" s="31">
        <v>41977</v>
      </c>
      <c r="E6055" s="15" t="s">
        <v>38283</v>
      </c>
      <c r="F6055" s="87" t="s">
        <v>21871</v>
      </c>
      <c r="G6055" s="45" t="s">
        <v>8692</v>
      </c>
      <c r="H6055" s="55" t="s">
        <v>8693</v>
      </c>
      <c r="I6055" s="15" t="s">
        <v>1751</v>
      </c>
    </row>
    <row r="6056" spans="1:9" ht="51.75" customHeight="1" x14ac:dyDescent="0.35">
      <c r="A6056" s="15" t="s">
        <v>24191</v>
      </c>
      <c r="B6056" s="15" t="s">
        <v>38284</v>
      </c>
      <c r="C6056" s="15" t="s">
        <v>38285</v>
      </c>
      <c r="D6056" s="31">
        <v>41977</v>
      </c>
      <c r="E6056" s="15" t="s">
        <v>38286</v>
      </c>
      <c r="F6056" s="87" t="s">
        <v>21871</v>
      </c>
      <c r="G6056" s="45" t="s">
        <v>8692</v>
      </c>
      <c r="H6056" s="55" t="s">
        <v>8693</v>
      </c>
      <c r="I6056" s="15" t="s">
        <v>1751</v>
      </c>
    </row>
    <row r="6057" spans="1:9" ht="51.75" customHeight="1" x14ac:dyDescent="0.35">
      <c r="A6057" s="15" t="s">
        <v>24197</v>
      </c>
      <c r="B6057" s="15" t="s">
        <v>38287</v>
      </c>
      <c r="C6057" s="15" t="s">
        <v>38288</v>
      </c>
      <c r="D6057" s="31">
        <v>41977</v>
      </c>
      <c r="E6057" s="15" t="s">
        <v>38289</v>
      </c>
      <c r="F6057" s="87" t="s">
        <v>21871</v>
      </c>
      <c r="G6057" s="45" t="s">
        <v>8692</v>
      </c>
      <c r="H6057" s="55" t="s">
        <v>8693</v>
      </c>
      <c r="I6057" s="15" t="s">
        <v>1751</v>
      </c>
    </row>
    <row r="6058" spans="1:9" ht="51.75" customHeight="1" x14ac:dyDescent="0.35">
      <c r="A6058" s="15" t="s">
        <v>24203</v>
      </c>
      <c r="B6058" s="15" t="s">
        <v>38290</v>
      </c>
      <c r="C6058" s="15" t="s">
        <v>38291</v>
      </c>
      <c r="D6058" s="31">
        <v>41977</v>
      </c>
      <c r="E6058" s="15" t="s">
        <v>38292</v>
      </c>
      <c r="F6058" s="87" t="s">
        <v>21871</v>
      </c>
      <c r="G6058" s="45" t="s">
        <v>8692</v>
      </c>
      <c r="H6058" s="55" t="s">
        <v>8693</v>
      </c>
      <c r="I6058" s="15" t="s">
        <v>1751</v>
      </c>
    </row>
    <row r="6059" spans="1:9" ht="51.75" customHeight="1" x14ac:dyDescent="0.35">
      <c r="A6059" s="15" t="s">
        <v>24546</v>
      </c>
      <c r="B6059" s="15" t="s">
        <v>38293</v>
      </c>
      <c r="C6059" s="15" t="s">
        <v>38294</v>
      </c>
      <c r="D6059" s="31">
        <v>41977</v>
      </c>
      <c r="E6059" s="15" t="s">
        <v>38295</v>
      </c>
      <c r="F6059" s="87" t="s">
        <v>21871</v>
      </c>
      <c r="G6059" s="45" t="s">
        <v>8692</v>
      </c>
      <c r="H6059" s="55" t="s">
        <v>8693</v>
      </c>
      <c r="I6059" s="15" t="s">
        <v>1751</v>
      </c>
    </row>
    <row r="6060" spans="1:9" ht="51.75" customHeight="1" x14ac:dyDescent="0.35">
      <c r="A6060" s="15" t="s">
        <v>24551</v>
      </c>
      <c r="B6060" s="15" t="s">
        <v>38296</v>
      </c>
      <c r="C6060" s="15" t="s">
        <v>38297</v>
      </c>
      <c r="D6060" s="31">
        <v>41977</v>
      </c>
      <c r="E6060" s="15" t="s">
        <v>38298</v>
      </c>
      <c r="F6060" s="87" t="s">
        <v>21871</v>
      </c>
      <c r="G6060" s="45" t="s">
        <v>8692</v>
      </c>
      <c r="H6060" s="55" t="s">
        <v>8693</v>
      </c>
      <c r="I6060" s="15" t="s">
        <v>1751</v>
      </c>
    </row>
    <row r="6061" spans="1:9" ht="51.75" customHeight="1" x14ac:dyDescent="0.35">
      <c r="A6061" s="15" t="s">
        <v>24556</v>
      </c>
      <c r="B6061" s="15" t="s">
        <v>38299</v>
      </c>
      <c r="C6061" s="15" t="s">
        <v>38300</v>
      </c>
      <c r="D6061" s="31">
        <v>41977</v>
      </c>
      <c r="E6061" s="15" t="s">
        <v>38301</v>
      </c>
      <c r="F6061" s="87" t="s">
        <v>21871</v>
      </c>
      <c r="G6061" s="45" t="s">
        <v>8692</v>
      </c>
      <c r="H6061" s="55" t="s">
        <v>8693</v>
      </c>
      <c r="I6061" s="15" t="s">
        <v>1751</v>
      </c>
    </row>
    <row r="6062" spans="1:9" ht="51.75" customHeight="1" x14ac:dyDescent="0.35">
      <c r="A6062" s="15" t="s">
        <v>24567</v>
      </c>
      <c r="B6062" s="15" t="s">
        <v>38302</v>
      </c>
      <c r="C6062" s="15" t="s">
        <v>38303</v>
      </c>
      <c r="D6062" s="31">
        <v>41977</v>
      </c>
      <c r="E6062" s="15" t="s">
        <v>38304</v>
      </c>
      <c r="F6062" s="87" t="s">
        <v>21871</v>
      </c>
      <c r="G6062" s="45" t="s">
        <v>8692</v>
      </c>
      <c r="H6062" s="55" t="s">
        <v>8693</v>
      </c>
      <c r="I6062" s="15" t="s">
        <v>1751</v>
      </c>
    </row>
    <row r="6063" spans="1:9" ht="51.75" customHeight="1" x14ac:dyDescent="0.35">
      <c r="A6063" s="15" t="s">
        <v>24572</v>
      </c>
      <c r="B6063" s="15" t="s">
        <v>38305</v>
      </c>
      <c r="C6063" s="15" t="s">
        <v>38306</v>
      </c>
      <c r="D6063" s="31">
        <v>41977</v>
      </c>
      <c r="E6063" s="15" t="s">
        <v>38307</v>
      </c>
      <c r="F6063" s="87" t="s">
        <v>21871</v>
      </c>
      <c r="G6063" s="45" t="s">
        <v>8692</v>
      </c>
      <c r="H6063" s="55" t="s">
        <v>8693</v>
      </c>
      <c r="I6063" s="15" t="s">
        <v>1751</v>
      </c>
    </row>
    <row r="6064" spans="1:9" ht="51.75" customHeight="1" x14ac:dyDescent="0.35">
      <c r="A6064" s="15" t="s">
        <v>22968</v>
      </c>
      <c r="B6064" s="15" t="s">
        <v>38308</v>
      </c>
      <c r="C6064" s="15" t="s">
        <v>38309</v>
      </c>
      <c r="D6064" s="31">
        <v>41997</v>
      </c>
      <c r="E6064" s="15" t="s">
        <v>38310</v>
      </c>
      <c r="F6064" s="87" t="s">
        <v>21871</v>
      </c>
      <c r="G6064" s="45" t="s">
        <v>9218</v>
      </c>
      <c r="H6064" s="55" t="s">
        <v>9219</v>
      </c>
      <c r="I6064" s="15" t="s">
        <v>1751</v>
      </c>
    </row>
    <row r="6065" spans="1:9" ht="51.75" customHeight="1" x14ac:dyDescent="0.35">
      <c r="A6065" s="15" t="s">
        <v>28369</v>
      </c>
      <c r="B6065" s="15" t="s">
        <v>38311</v>
      </c>
      <c r="C6065" s="15" t="s">
        <v>38312</v>
      </c>
      <c r="D6065" s="31">
        <v>41997</v>
      </c>
      <c r="E6065" s="15" t="s">
        <v>38313</v>
      </c>
      <c r="F6065" s="87" t="s">
        <v>21871</v>
      </c>
      <c r="G6065" s="45" t="s">
        <v>9218</v>
      </c>
      <c r="H6065" s="55" t="s">
        <v>9219</v>
      </c>
      <c r="I6065" s="15" t="s">
        <v>1751</v>
      </c>
    </row>
    <row r="6066" spans="1:9" ht="51.75" customHeight="1" x14ac:dyDescent="0.35">
      <c r="A6066" s="15" t="s">
        <v>23213</v>
      </c>
      <c r="B6066" s="15" t="s">
        <v>38314</v>
      </c>
      <c r="C6066" s="15" t="s">
        <v>38315</v>
      </c>
      <c r="D6066" s="31">
        <v>41997</v>
      </c>
      <c r="E6066" s="15" t="s">
        <v>38316</v>
      </c>
      <c r="F6066" s="87" t="s">
        <v>21871</v>
      </c>
      <c r="G6066" s="45" t="s">
        <v>9218</v>
      </c>
      <c r="H6066" s="55" t="s">
        <v>9219</v>
      </c>
      <c r="I6066" s="15" t="s">
        <v>1751</v>
      </c>
    </row>
    <row r="6067" spans="1:9" ht="51.75" customHeight="1" x14ac:dyDescent="0.35">
      <c r="A6067" s="15" t="s">
        <v>25380</v>
      </c>
      <c r="B6067" s="15" t="s">
        <v>38317</v>
      </c>
      <c r="C6067" s="15" t="s">
        <v>38318</v>
      </c>
      <c r="D6067" s="31">
        <v>42724</v>
      </c>
      <c r="E6067" s="15" t="s">
        <v>38319</v>
      </c>
      <c r="F6067" s="87" t="s">
        <v>23210</v>
      </c>
      <c r="G6067" s="45" t="s">
        <v>10400</v>
      </c>
      <c r="H6067" s="55" t="s">
        <v>10401</v>
      </c>
      <c r="I6067" s="15" t="s">
        <v>1751</v>
      </c>
    </row>
    <row r="6068" spans="1:9" ht="51.75" customHeight="1" x14ac:dyDescent="0.35">
      <c r="A6068" s="15" t="s">
        <v>25380</v>
      </c>
      <c r="B6068" s="15" t="s">
        <v>38320</v>
      </c>
      <c r="C6068" s="15" t="s">
        <v>38318</v>
      </c>
      <c r="D6068" s="31">
        <v>42724</v>
      </c>
      <c r="E6068" s="15" t="s">
        <v>38321</v>
      </c>
      <c r="F6068" s="87" t="s">
        <v>21871</v>
      </c>
      <c r="G6068" s="45" t="s">
        <v>10400</v>
      </c>
      <c r="H6068" s="55" t="s">
        <v>10401</v>
      </c>
      <c r="I6068" s="15" t="s">
        <v>1751</v>
      </c>
    </row>
    <row r="6069" spans="1:9" ht="51.75" customHeight="1" x14ac:dyDescent="0.35">
      <c r="A6069" s="15" t="s">
        <v>24323</v>
      </c>
      <c r="B6069" s="15" t="s">
        <v>38322</v>
      </c>
      <c r="C6069" s="15" t="s">
        <v>38323</v>
      </c>
      <c r="D6069" s="31">
        <v>42724</v>
      </c>
      <c r="E6069" s="15" t="s">
        <v>38324</v>
      </c>
      <c r="F6069" s="87" t="s">
        <v>23210</v>
      </c>
      <c r="G6069" s="45" t="s">
        <v>10400</v>
      </c>
      <c r="H6069" s="55" t="s">
        <v>10401</v>
      </c>
      <c r="I6069" s="15" t="s">
        <v>1751</v>
      </c>
    </row>
    <row r="6070" spans="1:9" ht="51.75" customHeight="1" x14ac:dyDescent="0.35">
      <c r="A6070" s="15" t="s">
        <v>24323</v>
      </c>
      <c r="B6070" s="15" t="s">
        <v>38325</v>
      </c>
      <c r="C6070" s="15" t="s">
        <v>38323</v>
      </c>
      <c r="D6070" s="31">
        <v>42724</v>
      </c>
      <c r="E6070" s="15" t="s">
        <v>38326</v>
      </c>
      <c r="F6070" s="87" t="s">
        <v>21871</v>
      </c>
      <c r="G6070" s="45" t="s">
        <v>10400</v>
      </c>
      <c r="H6070" s="55" t="s">
        <v>10401</v>
      </c>
      <c r="I6070" s="15" t="s">
        <v>1751</v>
      </c>
    </row>
    <row r="6071" spans="1:9" ht="51.75" customHeight="1" x14ac:dyDescent="0.35">
      <c r="A6071" s="15" t="s">
        <v>24329</v>
      </c>
      <c r="B6071" s="15" t="s">
        <v>38327</v>
      </c>
      <c r="C6071" s="15" t="s">
        <v>38328</v>
      </c>
      <c r="D6071" s="31">
        <v>42724</v>
      </c>
      <c r="E6071" s="15" t="s">
        <v>38329</v>
      </c>
      <c r="F6071" s="87" t="s">
        <v>23210</v>
      </c>
      <c r="G6071" s="45" t="s">
        <v>10400</v>
      </c>
      <c r="H6071" s="55" t="s">
        <v>10401</v>
      </c>
      <c r="I6071" s="15" t="s">
        <v>1751</v>
      </c>
    </row>
    <row r="6072" spans="1:9" ht="51.75" customHeight="1" x14ac:dyDescent="0.35">
      <c r="A6072" s="15" t="s">
        <v>24329</v>
      </c>
      <c r="B6072" s="15" t="s">
        <v>38330</v>
      </c>
      <c r="C6072" s="15" t="s">
        <v>38328</v>
      </c>
      <c r="D6072" s="31">
        <v>42724</v>
      </c>
      <c r="E6072" s="15" t="s">
        <v>38331</v>
      </c>
      <c r="F6072" s="87" t="s">
        <v>21871</v>
      </c>
      <c r="G6072" s="45" t="s">
        <v>10400</v>
      </c>
      <c r="H6072" s="55" t="s">
        <v>10401</v>
      </c>
      <c r="I6072" s="15" t="s">
        <v>1751</v>
      </c>
    </row>
    <row r="6073" spans="1:9" ht="51.75" customHeight="1" x14ac:dyDescent="0.35">
      <c r="A6073" s="15" t="s">
        <v>24197</v>
      </c>
      <c r="B6073" s="15" t="s">
        <v>38332</v>
      </c>
      <c r="C6073" s="15" t="s">
        <v>38333</v>
      </c>
      <c r="D6073" s="31">
        <v>42362</v>
      </c>
      <c r="E6073" s="15" t="s">
        <v>38334</v>
      </c>
      <c r="F6073" s="87" t="s">
        <v>23210</v>
      </c>
      <c r="G6073" s="45" t="s">
        <v>10461</v>
      </c>
      <c r="H6073" s="55" t="s">
        <v>10462</v>
      </c>
      <c r="I6073" s="15" t="s">
        <v>1751</v>
      </c>
    </row>
    <row r="6074" spans="1:9" ht="51.75" customHeight="1" x14ac:dyDescent="0.35">
      <c r="A6074" s="15" t="s">
        <v>24197</v>
      </c>
      <c r="B6074" s="15" t="s">
        <v>38335</v>
      </c>
      <c r="C6074" s="15" t="s">
        <v>38333</v>
      </c>
      <c r="D6074" s="31">
        <v>42362</v>
      </c>
      <c r="E6074" s="15" t="s">
        <v>38336</v>
      </c>
      <c r="F6074" s="87" t="s">
        <v>38184</v>
      </c>
      <c r="G6074" s="45" t="s">
        <v>10461</v>
      </c>
      <c r="H6074" s="55" t="s">
        <v>10462</v>
      </c>
      <c r="I6074" s="15" t="s">
        <v>1751</v>
      </c>
    </row>
    <row r="6075" spans="1:9" ht="51.75" customHeight="1" x14ac:dyDescent="0.35">
      <c r="A6075" s="15" t="s">
        <v>24197</v>
      </c>
      <c r="B6075" s="15" t="s">
        <v>38337</v>
      </c>
      <c r="C6075" s="15" t="s">
        <v>38333</v>
      </c>
      <c r="D6075" s="31">
        <v>42362</v>
      </c>
      <c r="E6075" s="15" t="s">
        <v>38338</v>
      </c>
      <c r="F6075" s="87" t="s">
        <v>21871</v>
      </c>
      <c r="G6075" s="45" t="s">
        <v>10461</v>
      </c>
      <c r="H6075" s="55" t="s">
        <v>10462</v>
      </c>
      <c r="I6075" s="15" t="s">
        <v>1751</v>
      </c>
    </row>
    <row r="6076" spans="1:9" ht="51.75" customHeight="1" x14ac:dyDescent="0.35">
      <c r="A6076" s="15" t="s">
        <v>24203</v>
      </c>
      <c r="B6076" s="15" t="s">
        <v>38339</v>
      </c>
      <c r="C6076" s="15" t="s">
        <v>38340</v>
      </c>
      <c r="D6076" s="31">
        <v>42362</v>
      </c>
      <c r="E6076" s="15" t="s">
        <v>38341</v>
      </c>
      <c r="F6076" s="87" t="s">
        <v>23210</v>
      </c>
      <c r="G6076" s="45" t="s">
        <v>10461</v>
      </c>
      <c r="H6076" s="55" t="s">
        <v>10462</v>
      </c>
      <c r="I6076" s="15" t="s">
        <v>1751</v>
      </c>
    </row>
    <row r="6077" spans="1:9" ht="51.75" customHeight="1" x14ac:dyDescent="0.35">
      <c r="A6077" s="15" t="s">
        <v>24203</v>
      </c>
      <c r="B6077" s="15" t="s">
        <v>38342</v>
      </c>
      <c r="C6077" s="15" t="s">
        <v>38340</v>
      </c>
      <c r="D6077" s="31">
        <v>42362</v>
      </c>
      <c r="E6077" s="15" t="s">
        <v>38343</v>
      </c>
      <c r="F6077" s="87" t="s">
        <v>38184</v>
      </c>
      <c r="G6077" s="45" t="s">
        <v>10461</v>
      </c>
      <c r="H6077" s="55" t="s">
        <v>10462</v>
      </c>
      <c r="I6077" s="15" t="s">
        <v>1751</v>
      </c>
    </row>
    <row r="6078" spans="1:9" ht="51.75" customHeight="1" x14ac:dyDescent="0.35">
      <c r="A6078" s="15" t="s">
        <v>24203</v>
      </c>
      <c r="B6078" s="15" t="s">
        <v>38344</v>
      </c>
      <c r="C6078" s="15" t="s">
        <v>38340</v>
      </c>
      <c r="D6078" s="31">
        <v>42362</v>
      </c>
      <c r="E6078" s="15" t="s">
        <v>38345</v>
      </c>
      <c r="F6078" s="87" t="s">
        <v>21871</v>
      </c>
      <c r="G6078" s="45" t="s">
        <v>10461</v>
      </c>
      <c r="H6078" s="55" t="s">
        <v>10462</v>
      </c>
      <c r="I6078" s="15" t="s">
        <v>1751</v>
      </c>
    </row>
    <row r="6079" spans="1:9" ht="51.75" customHeight="1" x14ac:dyDescent="0.35">
      <c r="A6079" s="15" t="s">
        <v>24546</v>
      </c>
      <c r="B6079" s="15" t="s">
        <v>38346</v>
      </c>
      <c r="C6079" s="15" t="s">
        <v>38347</v>
      </c>
      <c r="D6079" s="31">
        <v>42362</v>
      </c>
      <c r="E6079" s="15" t="s">
        <v>38348</v>
      </c>
      <c r="F6079" s="87" t="s">
        <v>23210</v>
      </c>
      <c r="G6079" s="45" t="s">
        <v>10461</v>
      </c>
      <c r="H6079" s="55" t="s">
        <v>10462</v>
      </c>
      <c r="I6079" s="15" t="s">
        <v>1751</v>
      </c>
    </row>
    <row r="6080" spans="1:9" ht="51.75" customHeight="1" x14ac:dyDescent="0.35">
      <c r="A6080" s="15" t="s">
        <v>24546</v>
      </c>
      <c r="B6080" s="15" t="s">
        <v>38349</v>
      </c>
      <c r="C6080" s="15" t="s">
        <v>38347</v>
      </c>
      <c r="D6080" s="31">
        <v>42362</v>
      </c>
      <c r="E6080" s="15" t="s">
        <v>38350</v>
      </c>
      <c r="F6080" s="87" t="s">
        <v>38184</v>
      </c>
      <c r="G6080" s="45" t="s">
        <v>10461</v>
      </c>
      <c r="H6080" s="55" t="s">
        <v>10462</v>
      </c>
      <c r="I6080" s="15" t="s">
        <v>1751</v>
      </c>
    </row>
    <row r="6081" spans="1:9" ht="51.75" customHeight="1" x14ac:dyDescent="0.35">
      <c r="A6081" s="15" t="s">
        <v>24546</v>
      </c>
      <c r="B6081" s="15" t="s">
        <v>38351</v>
      </c>
      <c r="C6081" s="15" t="s">
        <v>38347</v>
      </c>
      <c r="D6081" s="31">
        <v>42362</v>
      </c>
      <c r="E6081" s="15" t="s">
        <v>38352</v>
      </c>
      <c r="F6081" s="87" t="s">
        <v>21871</v>
      </c>
      <c r="G6081" s="45" t="s">
        <v>10461</v>
      </c>
      <c r="H6081" s="55" t="s">
        <v>10462</v>
      </c>
      <c r="I6081" s="15" t="s">
        <v>1751</v>
      </c>
    </row>
    <row r="6082" spans="1:9" ht="51.75" customHeight="1" x14ac:dyDescent="0.35">
      <c r="A6082" s="15" t="s">
        <v>23810</v>
      </c>
      <c r="B6082" s="15" t="s">
        <v>38353</v>
      </c>
      <c r="C6082" s="15" t="s">
        <v>38354</v>
      </c>
      <c r="D6082" s="31">
        <v>42362</v>
      </c>
      <c r="E6082" s="15" t="s">
        <v>38355</v>
      </c>
      <c r="F6082" s="87" t="s">
        <v>23210</v>
      </c>
      <c r="G6082" s="45" t="s">
        <v>10461</v>
      </c>
      <c r="H6082" s="55" t="s">
        <v>10462</v>
      </c>
      <c r="I6082" s="15" t="s">
        <v>1751</v>
      </c>
    </row>
    <row r="6083" spans="1:9" ht="51.75" customHeight="1" x14ac:dyDescent="0.35">
      <c r="A6083" s="15" t="s">
        <v>23810</v>
      </c>
      <c r="B6083" s="15" t="s">
        <v>38356</v>
      </c>
      <c r="C6083" s="15" t="s">
        <v>38354</v>
      </c>
      <c r="D6083" s="31">
        <v>42362</v>
      </c>
      <c r="E6083" s="15" t="s">
        <v>38357</v>
      </c>
      <c r="F6083" s="87" t="s">
        <v>38184</v>
      </c>
      <c r="G6083" s="45" t="s">
        <v>10461</v>
      </c>
      <c r="H6083" s="55" t="s">
        <v>10462</v>
      </c>
      <c r="I6083" s="15" t="s">
        <v>1751</v>
      </c>
    </row>
    <row r="6084" spans="1:9" ht="51.75" customHeight="1" x14ac:dyDescent="0.35">
      <c r="A6084" s="15" t="s">
        <v>23810</v>
      </c>
      <c r="B6084" s="15" t="s">
        <v>38358</v>
      </c>
      <c r="C6084" s="15" t="s">
        <v>38354</v>
      </c>
      <c r="D6084" s="31">
        <v>42362</v>
      </c>
      <c r="E6084" s="15" t="s">
        <v>38359</v>
      </c>
      <c r="F6084" s="87" t="s">
        <v>21871</v>
      </c>
      <c r="G6084" s="45" t="s">
        <v>10461</v>
      </c>
      <c r="H6084" s="55" t="s">
        <v>10462</v>
      </c>
      <c r="I6084" s="15" t="s">
        <v>1751</v>
      </c>
    </row>
    <row r="6085" spans="1:9" ht="51.75" customHeight="1" x14ac:dyDescent="0.35">
      <c r="A6085" s="15" t="s">
        <v>23277</v>
      </c>
      <c r="B6085" s="15" t="s">
        <v>38360</v>
      </c>
      <c r="C6085" s="15" t="s">
        <v>38361</v>
      </c>
      <c r="D6085" s="31">
        <v>42362</v>
      </c>
      <c r="E6085" s="15" t="s">
        <v>38362</v>
      </c>
      <c r="F6085" s="87" t="s">
        <v>23210</v>
      </c>
      <c r="G6085" s="45" t="s">
        <v>10461</v>
      </c>
      <c r="H6085" s="55" t="s">
        <v>10462</v>
      </c>
      <c r="I6085" s="15" t="s">
        <v>1751</v>
      </c>
    </row>
    <row r="6086" spans="1:9" ht="51.75" customHeight="1" x14ac:dyDescent="0.35">
      <c r="A6086" s="15" t="s">
        <v>23277</v>
      </c>
      <c r="B6086" s="15" t="s">
        <v>38363</v>
      </c>
      <c r="C6086" s="15" t="s">
        <v>38361</v>
      </c>
      <c r="D6086" s="31">
        <v>42362</v>
      </c>
      <c r="E6086" s="15" t="s">
        <v>38364</v>
      </c>
      <c r="F6086" s="87" t="s">
        <v>38184</v>
      </c>
      <c r="G6086" s="45" t="s">
        <v>10461</v>
      </c>
      <c r="H6086" s="55" t="s">
        <v>10462</v>
      </c>
      <c r="I6086" s="15" t="s">
        <v>1751</v>
      </c>
    </row>
    <row r="6087" spans="1:9" ht="51.75" customHeight="1" x14ac:dyDescent="0.35">
      <c r="A6087" s="15" t="s">
        <v>23277</v>
      </c>
      <c r="B6087" s="15" t="s">
        <v>38365</v>
      </c>
      <c r="C6087" s="15" t="s">
        <v>38361</v>
      </c>
      <c r="D6087" s="31">
        <v>42362</v>
      </c>
      <c r="E6087" s="15" t="s">
        <v>38366</v>
      </c>
      <c r="F6087" s="87" t="s">
        <v>21871</v>
      </c>
      <c r="G6087" s="45" t="s">
        <v>10461</v>
      </c>
      <c r="H6087" s="55" t="s">
        <v>10462</v>
      </c>
      <c r="I6087" s="15" t="s">
        <v>1751</v>
      </c>
    </row>
    <row r="6088" spans="1:9" ht="51.75" customHeight="1" x14ac:dyDescent="0.35">
      <c r="A6088" s="15" t="s">
        <v>23283</v>
      </c>
      <c r="B6088" s="15" t="s">
        <v>38367</v>
      </c>
      <c r="C6088" s="15" t="s">
        <v>38368</v>
      </c>
      <c r="D6088" s="31">
        <v>42362</v>
      </c>
      <c r="E6088" s="15" t="s">
        <v>38369</v>
      </c>
      <c r="F6088" s="87" t="s">
        <v>23210</v>
      </c>
      <c r="G6088" s="45" t="s">
        <v>10461</v>
      </c>
      <c r="H6088" s="55" t="s">
        <v>10462</v>
      </c>
      <c r="I6088" s="15" t="s">
        <v>1751</v>
      </c>
    </row>
    <row r="6089" spans="1:9" ht="51.75" customHeight="1" x14ac:dyDescent="0.35">
      <c r="A6089" s="15" t="s">
        <v>23283</v>
      </c>
      <c r="B6089" s="15" t="s">
        <v>38370</v>
      </c>
      <c r="C6089" s="15" t="s">
        <v>38368</v>
      </c>
      <c r="D6089" s="31">
        <v>42362</v>
      </c>
      <c r="E6089" s="15" t="s">
        <v>38371</v>
      </c>
      <c r="F6089" s="87" t="s">
        <v>38184</v>
      </c>
      <c r="G6089" s="45" t="s">
        <v>10461</v>
      </c>
      <c r="H6089" s="55" t="s">
        <v>10462</v>
      </c>
      <c r="I6089" s="15" t="s">
        <v>1751</v>
      </c>
    </row>
    <row r="6090" spans="1:9" ht="51.75" customHeight="1" x14ac:dyDescent="0.35">
      <c r="A6090" s="15" t="s">
        <v>23283</v>
      </c>
      <c r="B6090" s="15" t="s">
        <v>38372</v>
      </c>
      <c r="C6090" s="15" t="s">
        <v>38368</v>
      </c>
      <c r="D6090" s="31">
        <v>42362</v>
      </c>
      <c r="E6090" s="15" t="s">
        <v>38373</v>
      </c>
      <c r="F6090" s="87" t="s">
        <v>21871</v>
      </c>
      <c r="G6090" s="45" t="s">
        <v>10461</v>
      </c>
      <c r="H6090" s="55" t="s">
        <v>10462</v>
      </c>
      <c r="I6090" s="15" t="s">
        <v>1751</v>
      </c>
    </row>
    <row r="6091" spans="1:9" ht="51.75" customHeight="1" x14ac:dyDescent="0.35">
      <c r="A6091" s="15" t="s">
        <v>23240</v>
      </c>
      <c r="B6091" s="15" t="s">
        <v>38374</v>
      </c>
      <c r="C6091" s="15" t="s">
        <v>38375</v>
      </c>
      <c r="D6091" s="31">
        <v>42362</v>
      </c>
      <c r="E6091" s="15" t="s">
        <v>38376</v>
      </c>
      <c r="F6091" s="87" t="s">
        <v>23210</v>
      </c>
      <c r="G6091" s="45" t="s">
        <v>10461</v>
      </c>
      <c r="H6091" s="55" t="s">
        <v>10462</v>
      </c>
      <c r="I6091" s="15" t="s">
        <v>1751</v>
      </c>
    </row>
    <row r="6092" spans="1:9" ht="51.75" customHeight="1" x14ac:dyDescent="0.35">
      <c r="A6092" s="15" t="s">
        <v>23240</v>
      </c>
      <c r="B6092" s="15" t="s">
        <v>38377</v>
      </c>
      <c r="C6092" s="15" t="s">
        <v>38375</v>
      </c>
      <c r="D6092" s="31">
        <v>42362</v>
      </c>
      <c r="E6092" s="15" t="s">
        <v>38378</v>
      </c>
      <c r="F6092" s="87" t="s">
        <v>38184</v>
      </c>
      <c r="G6092" s="45" t="s">
        <v>10461</v>
      </c>
      <c r="H6092" s="55" t="s">
        <v>10462</v>
      </c>
      <c r="I6092" s="15" t="s">
        <v>1751</v>
      </c>
    </row>
    <row r="6093" spans="1:9" ht="51.75" customHeight="1" x14ac:dyDescent="0.35">
      <c r="A6093" s="15" t="s">
        <v>23240</v>
      </c>
      <c r="B6093" s="15" t="s">
        <v>38379</v>
      </c>
      <c r="C6093" s="15" t="s">
        <v>38375</v>
      </c>
      <c r="D6093" s="31">
        <v>42362</v>
      </c>
      <c r="E6093" s="15" t="s">
        <v>38380</v>
      </c>
      <c r="F6093" s="87" t="s">
        <v>21871</v>
      </c>
      <c r="G6093" s="45" t="s">
        <v>10461</v>
      </c>
      <c r="H6093" s="55" t="s">
        <v>10462</v>
      </c>
      <c r="I6093" s="15" t="s">
        <v>1751</v>
      </c>
    </row>
    <row r="6094" spans="1:9" ht="51.75" customHeight="1" x14ac:dyDescent="0.35">
      <c r="A6094" s="15" t="s">
        <v>23246</v>
      </c>
      <c r="B6094" s="15" t="s">
        <v>38381</v>
      </c>
      <c r="C6094" s="15" t="s">
        <v>38382</v>
      </c>
      <c r="D6094" s="31">
        <v>42362</v>
      </c>
      <c r="E6094" s="15" t="s">
        <v>38383</v>
      </c>
      <c r="F6094" s="87" t="s">
        <v>23210</v>
      </c>
      <c r="G6094" s="45" t="s">
        <v>10461</v>
      </c>
      <c r="H6094" s="55" t="s">
        <v>10462</v>
      </c>
      <c r="I6094" s="15" t="s">
        <v>1751</v>
      </c>
    </row>
    <row r="6095" spans="1:9" ht="51.75" customHeight="1" x14ac:dyDescent="0.35">
      <c r="A6095" s="15" t="s">
        <v>23246</v>
      </c>
      <c r="B6095" s="15" t="s">
        <v>38384</v>
      </c>
      <c r="C6095" s="15" t="s">
        <v>38382</v>
      </c>
      <c r="D6095" s="31">
        <v>42362</v>
      </c>
      <c r="E6095" s="15" t="s">
        <v>38385</v>
      </c>
      <c r="F6095" s="87" t="s">
        <v>38184</v>
      </c>
      <c r="G6095" s="45" t="s">
        <v>10461</v>
      </c>
      <c r="H6095" s="55" t="s">
        <v>10462</v>
      </c>
      <c r="I6095" s="15" t="s">
        <v>1751</v>
      </c>
    </row>
    <row r="6096" spans="1:9" ht="51.75" customHeight="1" x14ac:dyDescent="0.35">
      <c r="A6096" s="15" t="s">
        <v>23246</v>
      </c>
      <c r="B6096" s="15" t="s">
        <v>38386</v>
      </c>
      <c r="C6096" s="15" t="s">
        <v>38382</v>
      </c>
      <c r="D6096" s="31">
        <v>42362</v>
      </c>
      <c r="E6096" s="15" t="s">
        <v>38387</v>
      </c>
      <c r="F6096" s="87" t="s">
        <v>21871</v>
      </c>
      <c r="G6096" s="45" t="s">
        <v>10461</v>
      </c>
      <c r="H6096" s="55" t="s">
        <v>10462</v>
      </c>
      <c r="I6096" s="15" t="s">
        <v>1751</v>
      </c>
    </row>
    <row r="6097" spans="1:9" ht="51.75" customHeight="1" x14ac:dyDescent="0.35">
      <c r="A6097" s="15" t="s">
        <v>23252</v>
      </c>
      <c r="B6097" s="15" t="s">
        <v>38388</v>
      </c>
      <c r="C6097" s="15" t="s">
        <v>38382</v>
      </c>
      <c r="D6097" s="31">
        <v>42362</v>
      </c>
      <c r="E6097" s="15" t="s">
        <v>38389</v>
      </c>
      <c r="F6097" s="87" t="s">
        <v>23210</v>
      </c>
      <c r="G6097" s="45" t="s">
        <v>10461</v>
      </c>
      <c r="H6097" s="55" t="s">
        <v>10462</v>
      </c>
      <c r="I6097" s="15" t="s">
        <v>1751</v>
      </c>
    </row>
    <row r="6098" spans="1:9" ht="51.75" customHeight="1" x14ac:dyDescent="0.35">
      <c r="A6098" s="15" t="s">
        <v>23252</v>
      </c>
      <c r="B6098" s="15" t="s">
        <v>38390</v>
      </c>
      <c r="C6098" s="15" t="s">
        <v>38382</v>
      </c>
      <c r="D6098" s="31">
        <v>42362</v>
      </c>
      <c r="E6098" s="15" t="s">
        <v>38391</v>
      </c>
      <c r="F6098" s="87" t="s">
        <v>38184</v>
      </c>
      <c r="G6098" s="45" t="s">
        <v>10461</v>
      </c>
      <c r="H6098" s="55" t="s">
        <v>10462</v>
      </c>
      <c r="I6098" s="15" t="s">
        <v>1751</v>
      </c>
    </row>
    <row r="6099" spans="1:9" ht="51.75" customHeight="1" x14ac:dyDescent="0.35">
      <c r="A6099" s="15" t="s">
        <v>23252</v>
      </c>
      <c r="B6099" s="15" t="s">
        <v>38392</v>
      </c>
      <c r="C6099" s="15" t="s">
        <v>38382</v>
      </c>
      <c r="D6099" s="31">
        <v>42362</v>
      </c>
      <c r="E6099" s="15" t="s">
        <v>38393</v>
      </c>
      <c r="F6099" s="87" t="s">
        <v>21871</v>
      </c>
      <c r="G6099" s="45" t="s">
        <v>10461</v>
      </c>
      <c r="H6099" s="55" t="s">
        <v>10462</v>
      </c>
      <c r="I6099" s="15" t="s">
        <v>1751</v>
      </c>
    </row>
    <row r="6100" spans="1:9" ht="51.75" customHeight="1" x14ac:dyDescent="0.35">
      <c r="A6100" s="15" t="s">
        <v>23258</v>
      </c>
      <c r="B6100" s="15" t="s">
        <v>38394</v>
      </c>
      <c r="C6100" s="15" t="s">
        <v>38395</v>
      </c>
      <c r="D6100" s="31">
        <v>42362</v>
      </c>
      <c r="E6100" s="15" t="s">
        <v>38396</v>
      </c>
      <c r="F6100" s="87" t="s">
        <v>23210</v>
      </c>
      <c r="G6100" s="45" t="s">
        <v>10461</v>
      </c>
      <c r="H6100" s="55" t="s">
        <v>10462</v>
      </c>
      <c r="I6100" s="15" t="s">
        <v>1751</v>
      </c>
    </row>
    <row r="6101" spans="1:9" ht="51.75" customHeight="1" x14ac:dyDescent="0.35">
      <c r="A6101" s="15" t="s">
        <v>23258</v>
      </c>
      <c r="B6101" s="15" t="s">
        <v>38397</v>
      </c>
      <c r="C6101" s="15" t="s">
        <v>38395</v>
      </c>
      <c r="D6101" s="31">
        <v>42362</v>
      </c>
      <c r="E6101" s="15" t="s">
        <v>38398</v>
      </c>
      <c r="F6101" s="87" t="s">
        <v>38184</v>
      </c>
      <c r="G6101" s="45" t="s">
        <v>10461</v>
      </c>
      <c r="H6101" s="55" t="s">
        <v>10462</v>
      </c>
      <c r="I6101" s="15" t="s">
        <v>1751</v>
      </c>
    </row>
    <row r="6102" spans="1:9" ht="51.75" customHeight="1" x14ac:dyDescent="0.35">
      <c r="A6102" s="15" t="s">
        <v>23258</v>
      </c>
      <c r="B6102" s="15" t="s">
        <v>38399</v>
      </c>
      <c r="C6102" s="15" t="s">
        <v>38395</v>
      </c>
      <c r="D6102" s="31">
        <v>42362</v>
      </c>
      <c r="E6102" s="15" t="s">
        <v>38400</v>
      </c>
      <c r="F6102" s="87" t="s">
        <v>21871</v>
      </c>
      <c r="G6102" s="45" t="s">
        <v>10461</v>
      </c>
      <c r="H6102" s="55" t="s">
        <v>10462</v>
      </c>
      <c r="I6102" s="15" t="s">
        <v>1751</v>
      </c>
    </row>
    <row r="6103" spans="1:9" ht="51.75" customHeight="1" x14ac:dyDescent="0.35">
      <c r="A6103" s="15" t="s">
        <v>23234</v>
      </c>
      <c r="B6103" s="15" t="s">
        <v>38401</v>
      </c>
      <c r="C6103" s="15" t="s">
        <v>38382</v>
      </c>
      <c r="D6103" s="31">
        <v>42362</v>
      </c>
      <c r="E6103" s="15" t="s">
        <v>38402</v>
      </c>
      <c r="F6103" s="87" t="s">
        <v>23210</v>
      </c>
      <c r="G6103" s="45" t="s">
        <v>10461</v>
      </c>
      <c r="H6103" s="55" t="s">
        <v>10462</v>
      </c>
      <c r="I6103" s="15" t="s">
        <v>1751</v>
      </c>
    </row>
    <row r="6104" spans="1:9" ht="51.75" customHeight="1" x14ac:dyDescent="0.35">
      <c r="A6104" s="15" t="s">
        <v>23234</v>
      </c>
      <c r="B6104" s="15" t="s">
        <v>38403</v>
      </c>
      <c r="C6104" s="15" t="s">
        <v>38382</v>
      </c>
      <c r="D6104" s="31">
        <v>42362</v>
      </c>
      <c r="E6104" s="15" t="s">
        <v>38404</v>
      </c>
      <c r="F6104" s="87" t="s">
        <v>38184</v>
      </c>
      <c r="G6104" s="45" t="s">
        <v>10461</v>
      </c>
      <c r="H6104" s="55" t="s">
        <v>10462</v>
      </c>
      <c r="I6104" s="15" t="s">
        <v>1751</v>
      </c>
    </row>
    <row r="6105" spans="1:9" ht="51.75" customHeight="1" x14ac:dyDescent="0.35">
      <c r="A6105" s="15" t="s">
        <v>23234</v>
      </c>
      <c r="B6105" s="15" t="s">
        <v>38405</v>
      </c>
      <c r="C6105" s="15" t="s">
        <v>38382</v>
      </c>
      <c r="D6105" s="31">
        <v>42362</v>
      </c>
      <c r="E6105" s="15" t="s">
        <v>38406</v>
      </c>
      <c r="F6105" s="87" t="s">
        <v>21871</v>
      </c>
      <c r="G6105" s="45" t="s">
        <v>10461</v>
      </c>
      <c r="H6105" s="55" t="s">
        <v>10462</v>
      </c>
      <c r="I6105" s="15" t="s">
        <v>1751</v>
      </c>
    </row>
    <row r="6106" spans="1:9" ht="51.75" customHeight="1" x14ac:dyDescent="0.35">
      <c r="A6106" s="15" t="s">
        <v>25314</v>
      </c>
      <c r="B6106" s="15" t="s">
        <v>38407</v>
      </c>
      <c r="C6106" s="15" t="s">
        <v>38408</v>
      </c>
      <c r="D6106" s="31">
        <v>42782</v>
      </c>
      <c r="E6106" s="15" t="s">
        <v>38409</v>
      </c>
      <c r="F6106" s="87" t="s">
        <v>21871</v>
      </c>
      <c r="G6106" s="45" t="s">
        <v>11588</v>
      </c>
      <c r="H6106" s="55" t="s">
        <v>11589</v>
      </c>
      <c r="I6106" s="15" t="s">
        <v>1751</v>
      </c>
    </row>
    <row r="6107" spans="1:9" ht="51.75" customHeight="1" x14ac:dyDescent="0.35">
      <c r="A6107" s="15" t="s">
        <v>25325</v>
      </c>
      <c r="B6107" s="15" t="s">
        <v>38410</v>
      </c>
      <c r="C6107" s="15" t="s">
        <v>38411</v>
      </c>
      <c r="D6107" s="31">
        <v>42782</v>
      </c>
      <c r="E6107" s="15" t="s">
        <v>38412</v>
      </c>
      <c r="F6107" s="87" t="s">
        <v>21871</v>
      </c>
      <c r="G6107" s="45" t="s">
        <v>11588</v>
      </c>
      <c r="H6107" s="55" t="s">
        <v>11589</v>
      </c>
      <c r="I6107" s="15" t="s">
        <v>1751</v>
      </c>
    </row>
    <row r="6108" spans="1:9" ht="51.75" customHeight="1" x14ac:dyDescent="0.35">
      <c r="A6108" s="15" t="s">
        <v>25331</v>
      </c>
      <c r="B6108" s="15" t="s">
        <v>38413</v>
      </c>
      <c r="C6108" s="15" t="s">
        <v>38414</v>
      </c>
      <c r="D6108" s="31">
        <v>42782</v>
      </c>
      <c r="E6108" s="15" t="s">
        <v>38415</v>
      </c>
      <c r="F6108" s="87" t="s">
        <v>21871</v>
      </c>
      <c r="G6108" s="45" t="s">
        <v>11588</v>
      </c>
      <c r="H6108" s="55" t="s">
        <v>11589</v>
      </c>
      <c r="I6108" s="15" t="s">
        <v>1751</v>
      </c>
    </row>
    <row r="6109" spans="1:9" ht="51.75" customHeight="1" x14ac:dyDescent="0.35">
      <c r="A6109" s="15" t="s">
        <v>25343</v>
      </c>
      <c r="B6109" s="15" t="s">
        <v>38416</v>
      </c>
      <c r="C6109" s="15" t="s">
        <v>38417</v>
      </c>
      <c r="D6109" s="31">
        <v>42782</v>
      </c>
      <c r="E6109" s="15" t="s">
        <v>38418</v>
      </c>
      <c r="F6109" s="87" t="s">
        <v>21871</v>
      </c>
      <c r="G6109" s="45" t="s">
        <v>11588</v>
      </c>
      <c r="H6109" s="55" t="s">
        <v>11589</v>
      </c>
      <c r="I6109" s="15" t="s">
        <v>1751</v>
      </c>
    </row>
    <row r="6110" spans="1:9" ht="51.75" customHeight="1" x14ac:dyDescent="0.35">
      <c r="A6110" s="15" t="s">
        <v>36113</v>
      </c>
      <c r="B6110" s="15" t="s">
        <v>38419</v>
      </c>
      <c r="C6110" s="15" t="s">
        <v>38420</v>
      </c>
      <c r="D6110" s="31">
        <v>43089</v>
      </c>
      <c r="E6110" s="15" t="s">
        <v>38421</v>
      </c>
      <c r="F6110" s="87" t="s">
        <v>21871</v>
      </c>
      <c r="G6110" s="45" t="s">
        <v>12464</v>
      </c>
      <c r="H6110" s="55" t="s">
        <v>12465</v>
      </c>
      <c r="I6110" s="15" t="s">
        <v>1751</v>
      </c>
    </row>
    <row r="6111" spans="1:9" ht="51.75" customHeight="1" x14ac:dyDescent="0.35">
      <c r="A6111" s="15" t="s">
        <v>36121</v>
      </c>
      <c r="B6111" s="15" t="s">
        <v>38422</v>
      </c>
      <c r="C6111" s="15" t="s">
        <v>38423</v>
      </c>
      <c r="D6111" s="31">
        <v>43089</v>
      </c>
      <c r="E6111" s="15" t="s">
        <v>38424</v>
      </c>
      <c r="F6111" s="87" t="s">
        <v>21871</v>
      </c>
      <c r="G6111" s="45" t="s">
        <v>12464</v>
      </c>
      <c r="H6111" s="55" t="s">
        <v>12465</v>
      </c>
      <c r="I6111" s="15" t="s">
        <v>1751</v>
      </c>
    </row>
    <row r="6112" spans="1:9" ht="51.75" customHeight="1" x14ac:dyDescent="0.35">
      <c r="A6112" s="15" t="s">
        <v>27337</v>
      </c>
      <c r="B6112" s="15" t="s">
        <v>38425</v>
      </c>
      <c r="C6112" s="15" t="s">
        <v>38426</v>
      </c>
      <c r="D6112" s="31">
        <v>41660</v>
      </c>
      <c r="E6112" s="15" t="s">
        <v>38427</v>
      </c>
      <c r="F6112" s="87" t="s">
        <v>23210</v>
      </c>
      <c r="G6112" s="45" t="s">
        <v>5691</v>
      </c>
      <c r="H6112" s="55" t="s">
        <v>5692</v>
      </c>
      <c r="I6112" s="15" t="s">
        <v>1751</v>
      </c>
    </row>
    <row r="6113" spans="1:9" ht="51.75" customHeight="1" x14ac:dyDescent="0.35">
      <c r="A6113" s="15" t="s">
        <v>27337</v>
      </c>
      <c r="B6113" s="15" t="s">
        <v>38428</v>
      </c>
      <c r="C6113" s="15" t="s">
        <v>38426</v>
      </c>
      <c r="D6113" s="31">
        <v>41660</v>
      </c>
      <c r="E6113" s="15" t="s">
        <v>38429</v>
      </c>
      <c r="F6113" s="87" t="s">
        <v>21871</v>
      </c>
      <c r="G6113" s="45" t="s">
        <v>5691</v>
      </c>
      <c r="H6113" s="55" t="s">
        <v>5692</v>
      </c>
      <c r="I6113" s="15" t="s">
        <v>1751</v>
      </c>
    </row>
    <row r="6114" spans="1:9" ht="51.75" customHeight="1" x14ac:dyDescent="0.35">
      <c r="A6114" s="15" t="s">
        <v>22797</v>
      </c>
      <c r="B6114" s="15" t="s">
        <v>38430</v>
      </c>
      <c r="C6114" s="15" t="s">
        <v>38431</v>
      </c>
      <c r="D6114" s="31">
        <v>41660</v>
      </c>
      <c r="E6114" s="15" t="s">
        <v>38432</v>
      </c>
      <c r="F6114" s="87" t="s">
        <v>23210</v>
      </c>
      <c r="G6114" s="45" t="s">
        <v>5691</v>
      </c>
      <c r="H6114" s="55" t="s">
        <v>5692</v>
      </c>
      <c r="I6114" s="15" t="s">
        <v>1751</v>
      </c>
    </row>
    <row r="6115" spans="1:9" ht="51.75" customHeight="1" x14ac:dyDescent="0.35">
      <c r="A6115" s="15" t="s">
        <v>22797</v>
      </c>
      <c r="B6115" s="15" t="s">
        <v>38433</v>
      </c>
      <c r="C6115" s="15" t="s">
        <v>38431</v>
      </c>
      <c r="D6115" s="31">
        <v>41660</v>
      </c>
      <c r="E6115" s="15" t="s">
        <v>38434</v>
      </c>
      <c r="F6115" s="87" t="s">
        <v>21871</v>
      </c>
      <c r="G6115" s="45" t="s">
        <v>5691</v>
      </c>
      <c r="H6115" s="55" t="s">
        <v>5692</v>
      </c>
      <c r="I6115" s="15" t="s">
        <v>1751</v>
      </c>
    </row>
    <row r="6116" spans="1:9" ht="51.75" customHeight="1" x14ac:dyDescent="0.35">
      <c r="A6116" s="15" t="s">
        <v>26028</v>
      </c>
      <c r="B6116" s="15" t="s">
        <v>38435</v>
      </c>
      <c r="C6116" s="15" t="s">
        <v>38436</v>
      </c>
      <c r="D6116" s="31">
        <v>41660</v>
      </c>
      <c r="E6116" s="15" t="s">
        <v>38437</v>
      </c>
      <c r="F6116" s="87" t="s">
        <v>23210</v>
      </c>
      <c r="G6116" s="45" t="s">
        <v>5691</v>
      </c>
      <c r="H6116" s="55" t="s">
        <v>5692</v>
      </c>
      <c r="I6116" s="15" t="s">
        <v>1751</v>
      </c>
    </row>
    <row r="6117" spans="1:9" ht="51.75" customHeight="1" x14ac:dyDescent="0.35">
      <c r="A6117" s="15" t="s">
        <v>26028</v>
      </c>
      <c r="B6117" s="15" t="s">
        <v>38438</v>
      </c>
      <c r="C6117" s="15" t="s">
        <v>38436</v>
      </c>
      <c r="D6117" s="31">
        <v>41660</v>
      </c>
      <c r="E6117" s="15" t="s">
        <v>38439</v>
      </c>
      <c r="F6117" s="87" t="s">
        <v>21871</v>
      </c>
      <c r="G6117" s="45" t="s">
        <v>5691</v>
      </c>
      <c r="H6117" s="55" t="s">
        <v>5692</v>
      </c>
      <c r="I6117" s="15" t="s">
        <v>1751</v>
      </c>
    </row>
    <row r="6118" spans="1:9" ht="51.75" customHeight="1" x14ac:dyDescent="0.35">
      <c r="A6118" s="15" t="s">
        <v>25371</v>
      </c>
      <c r="B6118" s="15" t="s">
        <v>38440</v>
      </c>
      <c r="C6118" s="15" t="s">
        <v>38441</v>
      </c>
      <c r="D6118" s="31">
        <v>42586</v>
      </c>
      <c r="E6118" s="15" t="s">
        <v>38442</v>
      </c>
      <c r="F6118" s="87" t="s">
        <v>21871</v>
      </c>
      <c r="G6118" s="45" t="s">
        <v>12024</v>
      </c>
      <c r="H6118" s="55" t="s">
        <v>12025</v>
      </c>
      <c r="I6118" s="15" t="s">
        <v>1751</v>
      </c>
    </row>
    <row r="6119" spans="1:9" ht="51.75" customHeight="1" x14ac:dyDescent="0.35">
      <c r="A6119" s="15" t="s">
        <v>23587</v>
      </c>
      <c r="B6119" s="15" t="s">
        <v>38443</v>
      </c>
      <c r="C6119" s="15" t="s">
        <v>38444</v>
      </c>
      <c r="D6119" s="31">
        <v>42586</v>
      </c>
      <c r="E6119" s="15" t="s">
        <v>38445</v>
      </c>
      <c r="F6119" s="87" t="s">
        <v>21871</v>
      </c>
      <c r="G6119" s="45" t="s">
        <v>12024</v>
      </c>
      <c r="H6119" s="55" t="s">
        <v>12025</v>
      </c>
      <c r="I6119" s="15" t="s">
        <v>1751</v>
      </c>
    </row>
    <row r="6120" spans="1:9" ht="51.75" customHeight="1" x14ac:dyDescent="0.35">
      <c r="A6120" s="15" t="s">
        <v>25349</v>
      </c>
      <c r="B6120" s="15" t="s">
        <v>38446</v>
      </c>
      <c r="C6120" s="15" t="s">
        <v>38447</v>
      </c>
      <c r="D6120" s="31">
        <v>42660</v>
      </c>
      <c r="E6120" s="15" t="s">
        <v>38448</v>
      </c>
      <c r="F6120" s="87" t="s">
        <v>23210</v>
      </c>
      <c r="G6120" s="45" t="s">
        <v>12135</v>
      </c>
      <c r="H6120" s="55" t="s">
        <v>12136</v>
      </c>
      <c r="I6120" s="15" t="s">
        <v>1751</v>
      </c>
    </row>
    <row r="6121" spans="1:9" ht="51.75" customHeight="1" x14ac:dyDescent="0.35">
      <c r="A6121" s="15" t="s">
        <v>25349</v>
      </c>
      <c r="B6121" s="15" t="s">
        <v>38449</v>
      </c>
      <c r="C6121" s="15" t="s">
        <v>38447</v>
      </c>
      <c r="D6121" s="31">
        <v>42660</v>
      </c>
      <c r="E6121" s="15" t="s">
        <v>38450</v>
      </c>
      <c r="F6121" s="87" t="s">
        <v>21871</v>
      </c>
      <c r="G6121" s="45" t="s">
        <v>12135</v>
      </c>
      <c r="H6121" s="55" t="s">
        <v>12136</v>
      </c>
      <c r="I6121" s="15" t="s">
        <v>1751</v>
      </c>
    </row>
    <row r="6122" spans="1:9" ht="51.75" customHeight="1" x14ac:dyDescent="0.35">
      <c r="A6122" s="15" t="s">
        <v>38451</v>
      </c>
      <c r="B6122" s="15" t="s">
        <v>38452</v>
      </c>
      <c r="C6122" s="15" t="s">
        <v>38453</v>
      </c>
      <c r="D6122" s="31">
        <v>43370</v>
      </c>
      <c r="E6122" s="15" t="s">
        <v>38454</v>
      </c>
      <c r="F6122" s="87" t="s">
        <v>38184</v>
      </c>
      <c r="G6122" s="45" t="s">
        <v>13291</v>
      </c>
      <c r="H6122" s="55" t="s">
        <v>13292</v>
      </c>
      <c r="I6122" s="15" t="s">
        <v>1751</v>
      </c>
    </row>
    <row r="6123" spans="1:9" ht="51.75" customHeight="1" x14ac:dyDescent="0.35">
      <c r="A6123" s="15" t="s">
        <v>38451</v>
      </c>
      <c r="B6123" s="15" t="s">
        <v>38455</v>
      </c>
      <c r="C6123" s="15" t="s">
        <v>38453</v>
      </c>
      <c r="D6123" s="31">
        <v>43370</v>
      </c>
      <c r="E6123" s="15" t="s">
        <v>38456</v>
      </c>
      <c r="F6123" s="87" t="s">
        <v>21871</v>
      </c>
      <c r="G6123" s="45" t="s">
        <v>13291</v>
      </c>
      <c r="H6123" s="55" t="s">
        <v>13292</v>
      </c>
      <c r="I6123" s="15" t="s">
        <v>1751</v>
      </c>
    </row>
    <row r="6124" spans="1:9" ht="51.75" customHeight="1" x14ac:dyDescent="0.35">
      <c r="A6124" s="15" t="s">
        <v>38457</v>
      </c>
      <c r="B6124" s="15" t="s">
        <v>38458</v>
      </c>
      <c r="C6124" s="15" t="s">
        <v>38459</v>
      </c>
      <c r="D6124" s="31">
        <v>43370</v>
      </c>
      <c r="E6124" s="15" t="s">
        <v>38460</v>
      </c>
      <c r="F6124" s="87" t="s">
        <v>38184</v>
      </c>
      <c r="G6124" s="45" t="s">
        <v>13291</v>
      </c>
      <c r="H6124" s="55" t="s">
        <v>13292</v>
      </c>
      <c r="I6124" s="15" t="s">
        <v>1751</v>
      </c>
    </row>
    <row r="6125" spans="1:9" ht="51.75" customHeight="1" x14ac:dyDescent="0.35">
      <c r="A6125" s="15" t="s">
        <v>38457</v>
      </c>
      <c r="B6125" s="15" t="s">
        <v>38461</v>
      </c>
      <c r="C6125" s="15" t="s">
        <v>38459</v>
      </c>
      <c r="D6125" s="31">
        <v>43370</v>
      </c>
      <c r="E6125" s="15" t="s">
        <v>38462</v>
      </c>
      <c r="F6125" s="87" t="s">
        <v>21871</v>
      </c>
      <c r="G6125" s="45" t="s">
        <v>13291</v>
      </c>
      <c r="H6125" s="55" t="s">
        <v>13292</v>
      </c>
      <c r="I6125" s="15" t="s">
        <v>1751</v>
      </c>
    </row>
    <row r="6126" spans="1:9" ht="51.75" customHeight="1" x14ac:dyDescent="0.35">
      <c r="A6126" s="15" t="s">
        <v>36125</v>
      </c>
      <c r="B6126" s="15" t="s">
        <v>38463</v>
      </c>
      <c r="C6126" s="15" t="s">
        <v>38464</v>
      </c>
      <c r="D6126" s="31">
        <v>42679</v>
      </c>
      <c r="E6126" s="15" t="s">
        <v>38465</v>
      </c>
      <c r="F6126" s="87" t="s">
        <v>21871</v>
      </c>
      <c r="G6126" s="45" t="s">
        <v>11774</v>
      </c>
      <c r="H6126" s="55" t="s">
        <v>11775</v>
      </c>
      <c r="I6126" s="15" t="s">
        <v>1751</v>
      </c>
    </row>
    <row r="6127" spans="1:9" ht="51.75" customHeight="1" x14ac:dyDescent="0.35">
      <c r="A6127" s="15" t="s">
        <v>36129</v>
      </c>
      <c r="B6127" s="15" t="s">
        <v>38466</v>
      </c>
      <c r="C6127" s="15" t="s">
        <v>38467</v>
      </c>
      <c r="D6127" s="31">
        <v>42679</v>
      </c>
      <c r="E6127" s="15" t="s">
        <v>38468</v>
      </c>
      <c r="F6127" s="87" t="s">
        <v>21871</v>
      </c>
      <c r="G6127" s="45" t="s">
        <v>11774</v>
      </c>
      <c r="H6127" s="55" t="s">
        <v>11775</v>
      </c>
      <c r="I6127" s="15" t="s">
        <v>1751</v>
      </c>
    </row>
    <row r="6128" spans="1:9" ht="51.75" customHeight="1" x14ac:dyDescent="0.35">
      <c r="A6128" s="15" t="s">
        <v>29442</v>
      </c>
      <c r="B6128" s="15" t="s">
        <v>38469</v>
      </c>
      <c r="C6128" s="15" t="s">
        <v>38470</v>
      </c>
      <c r="D6128" s="31">
        <v>42679</v>
      </c>
      <c r="E6128" s="15" t="s">
        <v>38471</v>
      </c>
      <c r="F6128" s="87" t="s">
        <v>21871</v>
      </c>
      <c r="G6128" s="45" t="s">
        <v>11774</v>
      </c>
      <c r="H6128" s="55" t="s">
        <v>11775</v>
      </c>
      <c r="I6128" s="15" t="s">
        <v>1751</v>
      </c>
    </row>
    <row r="6129" spans="1:9" ht="51.75" customHeight="1" x14ac:dyDescent="0.35">
      <c r="A6129" s="15" t="s">
        <v>29448</v>
      </c>
      <c r="B6129" s="15" t="s">
        <v>38472</v>
      </c>
      <c r="C6129" s="15" t="s">
        <v>38473</v>
      </c>
      <c r="D6129" s="31">
        <v>42679</v>
      </c>
      <c r="E6129" s="15" t="s">
        <v>38474</v>
      </c>
      <c r="F6129" s="87" t="s">
        <v>21871</v>
      </c>
      <c r="G6129" s="45" t="s">
        <v>11774</v>
      </c>
      <c r="H6129" s="55" t="s">
        <v>11775</v>
      </c>
      <c r="I6129" s="15" t="s">
        <v>1751</v>
      </c>
    </row>
    <row r="6130" spans="1:9" ht="51.75" customHeight="1" x14ac:dyDescent="0.35">
      <c r="A6130" s="15" t="s">
        <v>23424</v>
      </c>
      <c r="B6130" s="15" t="s">
        <v>38475</v>
      </c>
      <c r="C6130" s="15" t="s">
        <v>38476</v>
      </c>
      <c r="D6130" s="31">
        <v>43938</v>
      </c>
      <c r="E6130" s="15" t="s">
        <v>38477</v>
      </c>
      <c r="F6130" s="87" t="s">
        <v>21871</v>
      </c>
      <c r="G6130" s="45" t="s">
        <v>12843</v>
      </c>
      <c r="H6130" s="55" t="s">
        <v>12844</v>
      </c>
      <c r="I6130" s="15" t="s">
        <v>1751</v>
      </c>
    </row>
    <row r="6131" spans="1:9" ht="51.75" customHeight="1" x14ac:dyDescent="0.35">
      <c r="A6131" s="15" t="s">
        <v>26095</v>
      </c>
      <c r="B6131" s="15" t="s">
        <v>38478</v>
      </c>
      <c r="C6131" s="15" t="s">
        <v>38479</v>
      </c>
      <c r="D6131" s="31">
        <v>43938</v>
      </c>
      <c r="E6131" s="15" t="s">
        <v>38480</v>
      </c>
      <c r="F6131" s="87" t="s">
        <v>21871</v>
      </c>
      <c r="G6131" s="45" t="s">
        <v>12843</v>
      </c>
      <c r="H6131" s="55" t="s">
        <v>12844</v>
      </c>
      <c r="I6131" s="15" t="s">
        <v>1751</v>
      </c>
    </row>
    <row r="6132" spans="1:9" ht="51.75" customHeight="1" x14ac:dyDescent="0.35">
      <c r="A6132" s="15" t="s">
        <v>26101</v>
      </c>
      <c r="B6132" s="15" t="s">
        <v>38481</v>
      </c>
      <c r="C6132" s="15" t="s">
        <v>38482</v>
      </c>
      <c r="D6132" s="31">
        <v>43938</v>
      </c>
      <c r="E6132" s="15" t="s">
        <v>38483</v>
      </c>
      <c r="F6132" s="87" t="s">
        <v>21871</v>
      </c>
      <c r="G6132" s="45" t="s">
        <v>12843</v>
      </c>
      <c r="H6132" s="55" t="s">
        <v>12844</v>
      </c>
      <c r="I6132" s="15" t="s">
        <v>1751</v>
      </c>
    </row>
    <row r="6133" spans="1:9" ht="51.75" customHeight="1" x14ac:dyDescent="0.35">
      <c r="A6133" s="15" t="s">
        <v>26107</v>
      </c>
      <c r="B6133" s="15" t="s">
        <v>38484</v>
      </c>
      <c r="C6133" s="15" t="s">
        <v>38485</v>
      </c>
      <c r="D6133" s="31">
        <v>43938</v>
      </c>
      <c r="E6133" s="15" t="s">
        <v>38486</v>
      </c>
      <c r="F6133" s="87" t="s">
        <v>21871</v>
      </c>
      <c r="G6133" s="45" t="s">
        <v>12843</v>
      </c>
      <c r="H6133" s="55" t="s">
        <v>12844</v>
      </c>
      <c r="I6133" s="15" t="s">
        <v>1751</v>
      </c>
    </row>
    <row r="6134" spans="1:9" ht="51.75" customHeight="1" x14ac:dyDescent="0.35">
      <c r="A6134" s="15" t="s">
        <v>35573</v>
      </c>
      <c r="B6134" s="15" t="s">
        <v>38487</v>
      </c>
      <c r="C6134" s="15" t="s">
        <v>38488</v>
      </c>
      <c r="D6134" s="31">
        <v>43938</v>
      </c>
      <c r="E6134" s="15" t="s">
        <v>38489</v>
      </c>
      <c r="F6134" s="87" t="s">
        <v>21871</v>
      </c>
      <c r="G6134" s="45" t="s">
        <v>12843</v>
      </c>
      <c r="H6134" s="55" t="s">
        <v>12844</v>
      </c>
      <c r="I6134" s="15" t="s">
        <v>1751</v>
      </c>
    </row>
    <row r="6135" spans="1:9" ht="51.75" customHeight="1" x14ac:dyDescent="0.35">
      <c r="A6135" s="15" t="s">
        <v>33968</v>
      </c>
      <c r="B6135" s="15" t="s">
        <v>38490</v>
      </c>
      <c r="C6135" s="15" t="s">
        <v>38491</v>
      </c>
      <c r="D6135" s="31">
        <v>43938</v>
      </c>
      <c r="E6135" s="15" t="s">
        <v>38492</v>
      </c>
      <c r="F6135" s="87" t="s">
        <v>21871</v>
      </c>
      <c r="G6135" s="45" t="s">
        <v>12843</v>
      </c>
      <c r="H6135" s="55" t="s">
        <v>12844</v>
      </c>
      <c r="I6135" s="15" t="s">
        <v>1751</v>
      </c>
    </row>
    <row r="6136" spans="1:9" ht="51.75" customHeight="1" x14ac:dyDescent="0.35">
      <c r="A6136" s="15" t="s">
        <v>33907</v>
      </c>
      <c r="B6136" s="15" t="s">
        <v>38493</v>
      </c>
      <c r="C6136" s="15" t="s">
        <v>38494</v>
      </c>
      <c r="D6136" s="31">
        <v>43938</v>
      </c>
      <c r="E6136" s="15" t="s">
        <v>38495</v>
      </c>
      <c r="F6136" s="87" t="s">
        <v>21871</v>
      </c>
      <c r="G6136" s="45" t="s">
        <v>12843</v>
      </c>
      <c r="H6136" s="55" t="s">
        <v>12844</v>
      </c>
      <c r="I6136" s="15" t="s">
        <v>1751</v>
      </c>
    </row>
    <row r="6137" spans="1:9" ht="51.75" customHeight="1" x14ac:dyDescent="0.35">
      <c r="A6137" s="15" t="s">
        <v>38496</v>
      </c>
      <c r="B6137" s="15" t="s">
        <v>38497</v>
      </c>
      <c r="C6137" s="15" t="s">
        <v>38498</v>
      </c>
      <c r="D6137" s="31">
        <v>43427</v>
      </c>
      <c r="E6137" s="15" t="s">
        <v>38499</v>
      </c>
      <c r="F6137" s="87"/>
      <c r="G6137" s="45" t="s">
        <v>14396</v>
      </c>
      <c r="H6137" s="55" t="s">
        <v>14397</v>
      </c>
      <c r="I6137" s="15" t="s">
        <v>1751</v>
      </c>
    </row>
    <row r="6138" spans="1:9" ht="51.75" customHeight="1" x14ac:dyDescent="0.35">
      <c r="A6138" s="15" t="s">
        <v>38500</v>
      </c>
      <c r="B6138" s="15" t="s">
        <v>38501</v>
      </c>
      <c r="C6138" s="15" t="s">
        <v>38502</v>
      </c>
      <c r="D6138" s="31">
        <v>43427</v>
      </c>
      <c r="E6138" s="15" t="s">
        <v>38503</v>
      </c>
      <c r="F6138" s="87"/>
      <c r="G6138" s="45" t="s">
        <v>14396</v>
      </c>
      <c r="H6138" s="55" t="s">
        <v>14397</v>
      </c>
      <c r="I6138" s="15" t="s">
        <v>1751</v>
      </c>
    </row>
    <row r="6139" spans="1:9" ht="51.75" customHeight="1" x14ac:dyDescent="0.35">
      <c r="A6139" s="15" t="s">
        <v>25986</v>
      </c>
      <c r="B6139" s="15" t="s">
        <v>38504</v>
      </c>
      <c r="C6139" s="15" t="s">
        <v>38505</v>
      </c>
      <c r="D6139" s="31">
        <v>43922</v>
      </c>
      <c r="E6139" s="15" t="s">
        <v>38506</v>
      </c>
      <c r="F6139" s="87" t="s">
        <v>21871</v>
      </c>
      <c r="G6139" s="45" t="s">
        <v>15511</v>
      </c>
      <c r="H6139" s="55" t="s">
        <v>15512</v>
      </c>
      <c r="I6139" s="15" t="s">
        <v>1751</v>
      </c>
    </row>
    <row r="6140" spans="1:9" ht="51.75" customHeight="1" x14ac:dyDescent="0.35">
      <c r="A6140" s="15" t="s">
        <v>25992</v>
      </c>
      <c r="B6140" s="15" t="s">
        <v>38507</v>
      </c>
      <c r="C6140" s="15" t="s">
        <v>38508</v>
      </c>
      <c r="D6140" s="31">
        <v>43922</v>
      </c>
      <c r="E6140" s="15" t="s">
        <v>38509</v>
      </c>
      <c r="F6140" s="87" t="s">
        <v>21871</v>
      </c>
      <c r="G6140" s="45" t="s">
        <v>15511</v>
      </c>
      <c r="H6140" s="55" t="s">
        <v>15512</v>
      </c>
      <c r="I6140" s="15" t="s">
        <v>1751</v>
      </c>
    </row>
    <row r="6141" spans="1:9" ht="51.75" customHeight="1" x14ac:dyDescent="0.35">
      <c r="A6141" s="15" t="s">
        <v>22825</v>
      </c>
      <c r="B6141" s="15" t="s">
        <v>38510</v>
      </c>
      <c r="C6141" s="15" t="s">
        <v>38511</v>
      </c>
      <c r="D6141" s="31">
        <v>43922</v>
      </c>
      <c r="E6141" s="15" t="s">
        <v>38512</v>
      </c>
      <c r="F6141" s="87" t="s">
        <v>21871</v>
      </c>
      <c r="G6141" s="45" t="s">
        <v>15511</v>
      </c>
      <c r="H6141" s="55" t="s">
        <v>15512</v>
      </c>
      <c r="I6141" s="15" t="s">
        <v>1751</v>
      </c>
    </row>
    <row r="6142" spans="1:9" ht="51.75" customHeight="1" x14ac:dyDescent="0.35">
      <c r="A6142" s="15" t="s">
        <v>23555</v>
      </c>
      <c r="B6142" s="15" t="s">
        <v>38513</v>
      </c>
      <c r="C6142" s="15" t="s">
        <v>38514</v>
      </c>
      <c r="D6142" s="31">
        <v>43922</v>
      </c>
      <c r="E6142" s="15" t="s">
        <v>38515</v>
      </c>
      <c r="F6142" s="87" t="s">
        <v>21871</v>
      </c>
      <c r="G6142" s="45" t="s">
        <v>15511</v>
      </c>
      <c r="H6142" s="55" t="s">
        <v>15512</v>
      </c>
      <c r="I6142" s="15" t="s">
        <v>1751</v>
      </c>
    </row>
    <row r="6143" spans="1:9" ht="51.75" customHeight="1" x14ac:dyDescent="0.35">
      <c r="A6143" s="15">
        <v>1</v>
      </c>
      <c r="B6143" s="15" t="s">
        <v>38516</v>
      </c>
      <c r="C6143" s="15" t="s">
        <v>38517</v>
      </c>
      <c r="D6143" s="31">
        <v>40519</v>
      </c>
      <c r="E6143" s="15" t="s">
        <v>38518</v>
      </c>
      <c r="F6143" s="87"/>
      <c r="G6143" s="45" t="s">
        <v>5348</v>
      </c>
      <c r="H6143" s="55" t="s">
        <v>5349</v>
      </c>
      <c r="I6143" s="15" t="s">
        <v>2581</v>
      </c>
    </row>
    <row r="6144" spans="1:9" ht="51.75" customHeight="1" x14ac:dyDescent="0.35">
      <c r="A6144" s="15">
        <v>2</v>
      </c>
      <c r="B6144" s="15" t="s">
        <v>38519</v>
      </c>
      <c r="C6144" s="15" t="s">
        <v>38520</v>
      </c>
      <c r="D6144" s="31">
        <v>40519</v>
      </c>
      <c r="E6144" s="15" t="s">
        <v>38521</v>
      </c>
      <c r="F6144" s="87"/>
      <c r="G6144" s="45" t="s">
        <v>5348</v>
      </c>
      <c r="H6144" s="55" t="s">
        <v>5349</v>
      </c>
      <c r="I6144" s="15" t="s">
        <v>2581</v>
      </c>
    </row>
    <row r="6145" spans="1:9" ht="51.75" customHeight="1" x14ac:dyDescent="0.35">
      <c r="A6145" s="15">
        <v>3</v>
      </c>
      <c r="B6145" s="15" t="s">
        <v>38522</v>
      </c>
      <c r="C6145" s="15" t="s">
        <v>38523</v>
      </c>
      <c r="D6145" s="31">
        <v>40519</v>
      </c>
      <c r="E6145" s="15" t="s">
        <v>38524</v>
      </c>
      <c r="F6145" s="87"/>
      <c r="G6145" s="45" t="s">
        <v>5348</v>
      </c>
      <c r="H6145" s="55" t="s">
        <v>5349</v>
      </c>
      <c r="I6145" s="15" t="s">
        <v>2581</v>
      </c>
    </row>
    <row r="6146" spans="1:9" ht="51.75" customHeight="1" x14ac:dyDescent="0.35">
      <c r="A6146" s="15">
        <v>4</v>
      </c>
      <c r="B6146" s="15" t="s">
        <v>38525</v>
      </c>
      <c r="C6146" s="15" t="s">
        <v>38526</v>
      </c>
      <c r="D6146" s="31">
        <v>40519</v>
      </c>
      <c r="E6146" s="15" t="s">
        <v>38527</v>
      </c>
      <c r="F6146" s="87"/>
      <c r="G6146" s="45" t="s">
        <v>5348</v>
      </c>
      <c r="H6146" s="55" t="s">
        <v>5349</v>
      </c>
      <c r="I6146" s="15" t="s">
        <v>2581</v>
      </c>
    </row>
    <row r="6147" spans="1:9" ht="51.75" customHeight="1" x14ac:dyDescent="0.35">
      <c r="A6147" s="15">
        <v>5</v>
      </c>
      <c r="B6147" s="15" t="s">
        <v>38528</v>
      </c>
      <c r="C6147" s="15" t="s">
        <v>38529</v>
      </c>
      <c r="D6147" s="31">
        <v>40519</v>
      </c>
      <c r="E6147" s="15" t="s">
        <v>38530</v>
      </c>
      <c r="F6147" s="87"/>
      <c r="G6147" s="45" t="s">
        <v>5348</v>
      </c>
      <c r="H6147" s="55" t="s">
        <v>5349</v>
      </c>
      <c r="I6147" s="15" t="s">
        <v>2581</v>
      </c>
    </row>
    <row r="6148" spans="1:9" ht="51.75" customHeight="1" x14ac:dyDescent="0.35">
      <c r="A6148" s="15">
        <v>6</v>
      </c>
      <c r="B6148" s="15" t="s">
        <v>38531</v>
      </c>
      <c r="C6148" s="15" t="s">
        <v>38532</v>
      </c>
      <c r="D6148" s="31">
        <v>40519</v>
      </c>
      <c r="E6148" s="15" t="s">
        <v>38533</v>
      </c>
      <c r="F6148" s="87"/>
      <c r="G6148" s="45" t="s">
        <v>5348</v>
      </c>
      <c r="H6148" s="55" t="s">
        <v>5349</v>
      </c>
      <c r="I6148" s="15" t="s">
        <v>2581</v>
      </c>
    </row>
    <row r="6149" spans="1:9" ht="51.75" customHeight="1" x14ac:dyDescent="0.35">
      <c r="A6149" s="15">
        <v>7</v>
      </c>
      <c r="B6149" s="15" t="s">
        <v>38534</v>
      </c>
      <c r="C6149" s="15" t="s">
        <v>38535</v>
      </c>
      <c r="D6149" s="31">
        <v>40519</v>
      </c>
      <c r="E6149" s="15" t="s">
        <v>38536</v>
      </c>
      <c r="F6149" s="87"/>
      <c r="G6149" s="45" t="s">
        <v>5348</v>
      </c>
      <c r="H6149" s="55" t="s">
        <v>5349</v>
      </c>
      <c r="I6149" s="15" t="s">
        <v>2581</v>
      </c>
    </row>
    <row r="6150" spans="1:9" ht="51.75" customHeight="1" x14ac:dyDescent="0.35">
      <c r="A6150" s="15" t="s">
        <v>28167</v>
      </c>
      <c r="B6150" s="15" t="s">
        <v>38537</v>
      </c>
      <c r="C6150" s="15" t="s">
        <v>38538</v>
      </c>
      <c r="D6150" s="31">
        <v>40462</v>
      </c>
      <c r="E6150" s="15" t="s">
        <v>38539</v>
      </c>
      <c r="F6150" s="87" t="s">
        <v>21871</v>
      </c>
      <c r="G6150" s="45" t="s">
        <v>5021</v>
      </c>
      <c r="H6150" s="55" t="s">
        <v>5022</v>
      </c>
      <c r="I6150" s="15" t="s">
        <v>2581</v>
      </c>
    </row>
    <row r="6151" spans="1:9" ht="51.75" customHeight="1" x14ac:dyDescent="0.35">
      <c r="A6151" s="15" t="s">
        <v>25711</v>
      </c>
      <c r="B6151" s="15" t="s">
        <v>38540</v>
      </c>
      <c r="C6151" s="15" t="s">
        <v>38541</v>
      </c>
      <c r="D6151" s="31">
        <v>40462</v>
      </c>
      <c r="E6151" s="15" t="s">
        <v>38542</v>
      </c>
      <c r="F6151" s="87" t="s">
        <v>21871</v>
      </c>
      <c r="G6151" s="45" t="s">
        <v>5021</v>
      </c>
      <c r="H6151" s="55" t="s">
        <v>5022</v>
      </c>
      <c r="I6151" s="15" t="s">
        <v>2581</v>
      </c>
    </row>
    <row r="6152" spans="1:9" ht="51.75" customHeight="1" x14ac:dyDescent="0.35">
      <c r="A6152" s="15" t="s">
        <v>22975</v>
      </c>
      <c r="B6152" s="15" t="s">
        <v>38543</v>
      </c>
      <c r="C6152" s="15" t="s">
        <v>38544</v>
      </c>
      <c r="D6152" s="31">
        <v>40462</v>
      </c>
      <c r="E6152" s="15" t="s">
        <v>38545</v>
      </c>
      <c r="F6152" s="87" t="s">
        <v>21871</v>
      </c>
      <c r="G6152" s="45" t="s">
        <v>5021</v>
      </c>
      <c r="H6152" s="55" t="s">
        <v>5022</v>
      </c>
      <c r="I6152" s="15" t="s">
        <v>2581</v>
      </c>
    </row>
    <row r="6153" spans="1:9" ht="51.75" customHeight="1" x14ac:dyDescent="0.35">
      <c r="A6153" s="15" t="s">
        <v>28285</v>
      </c>
      <c r="B6153" s="15" t="s">
        <v>38546</v>
      </c>
      <c r="C6153" s="15" t="s">
        <v>38547</v>
      </c>
      <c r="D6153" s="31">
        <v>40462</v>
      </c>
      <c r="E6153" s="15" t="s">
        <v>38548</v>
      </c>
      <c r="F6153" s="87" t="s">
        <v>21871</v>
      </c>
      <c r="G6153" s="45" t="s">
        <v>5021</v>
      </c>
      <c r="H6153" s="55" t="s">
        <v>5022</v>
      </c>
      <c r="I6153" s="15" t="s">
        <v>2581</v>
      </c>
    </row>
    <row r="6154" spans="1:9" ht="51.75" customHeight="1" x14ac:dyDescent="0.35">
      <c r="A6154" s="15" t="s">
        <v>25027</v>
      </c>
      <c r="B6154" s="15" t="s">
        <v>38549</v>
      </c>
      <c r="C6154" s="15" t="s">
        <v>38550</v>
      </c>
      <c r="D6154" s="31">
        <v>40462</v>
      </c>
      <c r="E6154" s="15" t="s">
        <v>38551</v>
      </c>
      <c r="F6154" s="87" t="s">
        <v>21871</v>
      </c>
      <c r="G6154" s="45" t="s">
        <v>5021</v>
      </c>
      <c r="H6154" s="55" t="s">
        <v>5022</v>
      </c>
      <c r="I6154" s="15" t="s">
        <v>2581</v>
      </c>
    </row>
    <row r="6155" spans="1:9" ht="51.75" customHeight="1" x14ac:dyDescent="0.35">
      <c r="A6155" s="15" t="s">
        <v>22885</v>
      </c>
      <c r="B6155" s="15" t="s">
        <v>38552</v>
      </c>
      <c r="C6155" s="15" t="s">
        <v>38553</v>
      </c>
      <c r="D6155" s="31">
        <v>40462</v>
      </c>
      <c r="E6155" s="15" t="s">
        <v>38554</v>
      </c>
      <c r="F6155" s="87" t="s">
        <v>21871</v>
      </c>
      <c r="G6155" s="45" t="s">
        <v>5021</v>
      </c>
      <c r="H6155" s="55" t="s">
        <v>5022</v>
      </c>
      <c r="I6155" s="15" t="s">
        <v>2581</v>
      </c>
    </row>
    <row r="6156" spans="1:9" ht="51.75" customHeight="1" x14ac:dyDescent="0.35">
      <c r="A6156" s="15" t="s">
        <v>25099</v>
      </c>
      <c r="B6156" s="15" t="s">
        <v>38555</v>
      </c>
      <c r="C6156" s="15" t="s">
        <v>38556</v>
      </c>
      <c r="D6156" s="31">
        <v>40462</v>
      </c>
      <c r="E6156" s="15" t="s">
        <v>38557</v>
      </c>
      <c r="F6156" s="87" t="s">
        <v>21871</v>
      </c>
      <c r="G6156" s="45" t="s">
        <v>5021</v>
      </c>
      <c r="H6156" s="55" t="s">
        <v>5022</v>
      </c>
      <c r="I6156" s="15" t="s">
        <v>2581</v>
      </c>
    </row>
    <row r="6157" spans="1:9" ht="51.75" customHeight="1" x14ac:dyDescent="0.35">
      <c r="A6157" s="15" t="s">
        <v>26822</v>
      </c>
      <c r="B6157" s="15" t="s">
        <v>38558</v>
      </c>
      <c r="C6157" s="15" t="s">
        <v>38559</v>
      </c>
      <c r="D6157" s="31">
        <v>40394</v>
      </c>
      <c r="E6157" s="15" t="s">
        <v>38560</v>
      </c>
      <c r="F6157" s="87" t="s">
        <v>21871</v>
      </c>
      <c r="G6157" s="45" t="s">
        <v>4965</v>
      </c>
      <c r="H6157" s="55" t="s">
        <v>4966</v>
      </c>
      <c r="I6157" s="15" t="s">
        <v>2581</v>
      </c>
    </row>
    <row r="6158" spans="1:9" ht="51.75" customHeight="1" x14ac:dyDescent="0.35">
      <c r="A6158" s="15" t="s">
        <v>26828</v>
      </c>
      <c r="B6158" s="15" t="s">
        <v>38561</v>
      </c>
      <c r="C6158" s="15" t="s">
        <v>38562</v>
      </c>
      <c r="D6158" s="31">
        <v>40029</v>
      </c>
      <c r="E6158" s="15" t="s">
        <v>38563</v>
      </c>
      <c r="F6158" s="87" t="s">
        <v>21871</v>
      </c>
      <c r="G6158" s="45" t="s">
        <v>4965</v>
      </c>
      <c r="H6158" s="55" t="s">
        <v>4966</v>
      </c>
      <c r="I6158" s="15" t="s">
        <v>2581</v>
      </c>
    </row>
    <row r="6159" spans="1:9" ht="51.75" customHeight="1" x14ac:dyDescent="0.35">
      <c r="A6159" s="15" t="s">
        <v>22922</v>
      </c>
      <c r="B6159" s="15" t="s">
        <v>38564</v>
      </c>
      <c r="C6159" s="15" t="s">
        <v>38565</v>
      </c>
      <c r="D6159" s="31">
        <v>40394</v>
      </c>
      <c r="E6159" s="15" t="s">
        <v>38566</v>
      </c>
      <c r="F6159" s="87" t="s">
        <v>21871</v>
      </c>
      <c r="G6159" s="45" t="s">
        <v>4965</v>
      </c>
      <c r="H6159" s="55" t="s">
        <v>4966</v>
      </c>
      <c r="I6159" s="15" t="s">
        <v>2581</v>
      </c>
    </row>
    <row r="6160" spans="1:9" ht="51.75" customHeight="1" x14ac:dyDescent="0.35">
      <c r="A6160" s="15" t="s">
        <v>26839</v>
      </c>
      <c r="B6160" s="15" t="s">
        <v>38567</v>
      </c>
      <c r="C6160" s="15" t="s">
        <v>38568</v>
      </c>
      <c r="D6160" s="31">
        <v>40394</v>
      </c>
      <c r="E6160" s="15" t="s">
        <v>38569</v>
      </c>
      <c r="F6160" s="87" t="s">
        <v>21871</v>
      </c>
      <c r="G6160" s="45" t="s">
        <v>4965</v>
      </c>
      <c r="H6160" s="55" t="s">
        <v>4966</v>
      </c>
      <c r="I6160" s="15" t="s">
        <v>2581</v>
      </c>
    </row>
    <row r="6161" spans="1:9" ht="51.75" customHeight="1" x14ac:dyDescent="0.35">
      <c r="A6161" s="15" t="s">
        <v>22937</v>
      </c>
      <c r="B6161" s="15" t="s">
        <v>38570</v>
      </c>
      <c r="C6161" s="15" t="s">
        <v>38571</v>
      </c>
      <c r="D6161" s="31">
        <v>40368</v>
      </c>
      <c r="E6161" s="15" t="s">
        <v>38572</v>
      </c>
      <c r="F6161" s="87" t="s">
        <v>21871</v>
      </c>
      <c r="G6161" s="45" t="s">
        <v>4928</v>
      </c>
      <c r="H6161" s="55" t="s">
        <v>4929</v>
      </c>
      <c r="I6161" s="15" t="s">
        <v>2581</v>
      </c>
    </row>
    <row r="6162" spans="1:9" ht="51.75" customHeight="1" x14ac:dyDescent="0.35">
      <c r="A6162" s="15" t="s">
        <v>22941</v>
      </c>
      <c r="B6162" s="15" t="s">
        <v>38573</v>
      </c>
      <c r="C6162" s="15" t="s">
        <v>38574</v>
      </c>
      <c r="D6162" s="31">
        <v>40368</v>
      </c>
      <c r="E6162" s="15" t="s">
        <v>38575</v>
      </c>
      <c r="F6162" s="87" t="s">
        <v>21871</v>
      </c>
      <c r="G6162" s="45" t="s">
        <v>4928</v>
      </c>
      <c r="H6162" s="55" t="s">
        <v>4929</v>
      </c>
      <c r="I6162" s="15" t="s">
        <v>2581</v>
      </c>
    </row>
    <row r="6163" spans="1:9" ht="51.75" customHeight="1" x14ac:dyDescent="0.35">
      <c r="A6163" s="15" t="s">
        <v>22902</v>
      </c>
      <c r="B6163" s="15" t="s">
        <v>38576</v>
      </c>
      <c r="C6163" s="15" t="s">
        <v>38577</v>
      </c>
      <c r="D6163" s="31">
        <v>40368</v>
      </c>
      <c r="E6163" s="15" t="s">
        <v>38578</v>
      </c>
      <c r="F6163" s="87" t="s">
        <v>21871</v>
      </c>
      <c r="G6163" s="45" t="s">
        <v>4928</v>
      </c>
      <c r="H6163" s="55" t="s">
        <v>4929</v>
      </c>
      <c r="I6163" s="15" t="s">
        <v>2581</v>
      </c>
    </row>
    <row r="6164" spans="1:9" ht="51.75" customHeight="1" x14ac:dyDescent="0.35">
      <c r="A6164" s="15">
        <v>1</v>
      </c>
      <c r="B6164" s="15" t="s">
        <v>38579</v>
      </c>
      <c r="C6164" s="15" t="s">
        <v>38580</v>
      </c>
      <c r="D6164" s="31">
        <v>40368</v>
      </c>
      <c r="E6164" s="15" t="s">
        <v>38581</v>
      </c>
      <c r="F6164" s="87"/>
      <c r="G6164" s="45" t="s">
        <v>4789</v>
      </c>
      <c r="H6164" s="55" t="s">
        <v>4790</v>
      </c>
      <c r="I6164" s="15" t="s">
        <v>2581</v>
      </c>
    </row>
    <row r="6165" spans="1:9" ht="51.75" customHeight="1" x14ac:dyDescent="0.35">
      <c r="A6165" s="15">
        <v>2</v>
      </c>
      <c r="B6165" s="15" t="s">
        <v>38582</v>
      </c>
      <c r="C6165" s="15" t="s">
        <v>38583</v>
      </c>
      <c r="D6165" s="31">
        <v>40368</v>
      </c>
      <c r="E6165" s="15" t="s">
        <v>38584</v>
      </c>
      <c r="F6165" s="87"/>
      <c r="G6165" s="45" t="s">
        <v>4789</v>
      </c>
      <c r="H6165" s="55" t="s">
        <v>4790</v>
      </c>
      <c r="I6165" s="15" t="s">
        <v>2581</v>
      </c>
    </row>
    <row r="6166" spans="1:9" ht="51.75" customHeight="1" x14ac:dyDescent="0.35">
      <c r="A6166" s="15">
        <v>3</v>
      </c>
      <c r="B6166" s="15" t="s">
        <v>38585</v>
      </c>
      <c r="C6166" s="15" t="s">
        <v>38586</v>
      </c>
      <c r="D6166" s="31">
        <v>40368</v>
      </c>
      <c r="E6166" s="15" t="s">
        <v>38587</v>
      </c>
      <c r="F6166" s="87"/>
      <c r="G6166" s="45" t="s">
        <v>4789</v>
      </c>
      <c r="H6166" s="55" t="s">
        <v>4790</v>
      </c>
      <c r="I6166" s="15" t="s">
        <v>2581</v>
      </c>
    </row>
    <row r="6167" spans="1:9" ht="51.75" customHeight="1" x14ac:dyDescent="0.35">
      <c r="A6167" s="15">
        <v>1</v>
      </c>
      <c r="B6167" s="15" t="s">
        <v>38588</v>
      </c>
      <c r="C6167" s="15" t="s">
        <v>38589</v>
      </c>
      <c r="D6167" s="31">
        <v>40280</v>
      </c>
      <c r="E6167" s="15" t="s">
        <v>38590</v>
      </c>
      <c r="F6167" s="87"/>
      <c r="G6167" s="45" t="s">
        <v>4562</v>
      </c>
      <c r="H6167" s="55" t="s">
        <v>4563</v>
      </c>
      <c r="I6167" s="15" t="s">
        <v>2581</v>
      </c>
    </row>
    <row r="6168" spans="1:9" ht="51.75" customHeight="1" x14ac:dyDescent="0.35">
      <c r="A6168" s="15">
        <v>2</v>
      </c>
      <c r="B6168" s="15" t="s">
        <v>38591</v>
      </c>
      <c r="C6168" s="15" t="s">
        <v>38592</v>
      </c>
      <c r="D6168" s="31">
        <v>40280</v>
      </c>
      <c r="E6168" s="15" t="s">
        <v>38593</v>
      </c>
      <c r="F6168" s="87"/>
      <c r="G6168" s="45" t="s">
        <v>4562</v>
      </c>
      <c r="H6168" s="55" t="s">
        <v>4563</v>
      </c>
      <c r="I6168" s="15" t="s">
        <v>2581</v>
      </c>
    </row>
    <row r="6169" spans="1:9" ht="51.75" customHeight="1" x14ac:dyDescent="0.35">
      <c r="A6169" s="15">
        <v>3</v>
      </c>
      <c r="B6169" s="15" t="s">
        <v>38594</v>
      </c>
      <c r="C6169" s="15" t="s">
        <v>38595</v>
      </c>
      <c r="D6169" s="31">
        <v>40280</v>
      </c>
      <c r="E6169" s="15" t="s">
        <v>38596</v>
      </c>
      <c r="F6169" s="87"/>
      <c r="G6169" s="45" t="s">
        <v>4562</v>
      </c>
      <c r="H6169" s="55" t="s">
        <v>4563</v>
      </c>
      <c r="I6169" s="15" t="s">
        <v>2581</v>
      </c>
    </row>
    <row r="6170" spans="1:9" ht="51.75" customHeight="1" x14ac:dyDescent="0.35">
      <c r="A6170" s="15">
        <v>4</v>
      </c>
      <c r="B6170" s="15" t="s">
        <v>38597</v>
      </c>
      <c r="C6170" s="15" t="s">
        <v>38598</v>
      </c>
      <c r="D6170" s="31">
        <v>40280</v>
      </c>
      <c r="E6170" s="15" t="s">
        <v>38599</v>
      </c>
      <c r="F6170" s="87"/>
      <c r="G6170" s="45" t="s">
        <v>4562</v>
      </c>
      <c r="H6170" s="55" t="s">
        <v>4563</v>
      </c>
      <c r="I6170" s="15" t="s">
        <v>2581</v>
      </c>
    </row>
    <row r="6171" spans="1:9" ht="51.75" customHeight="1" x14ac:dyDescent="0.35">
      <c r="A6171" s="15">
        <v>5</v>
      </c>
      <c r="B6171" s="15" t="s">
        <v>38600</v>
      </c>
      <c r="C6171" s="15" t="s">
        <v>38601</v>
      </c>
      <c r="D6171" s="31">
        <v>40280</v>
      </c>
      <c r="E6171" s="15" t="s">
        <v>38602</v>
      </c>
      <c r="F6171" s="87"/>
      <c r="G6171" s="45" t="s">
        <v>4562</v>
      </c>
      <c r="H6171" s="55" t="s">
        <v>4563</v>
      </c>
      <c r="I6171" s="15" t="s">
        <v>2581</v>
      </c>
    </row>
    <row r="6172" spans="1:9" ht="51.75" customHeight="1" x14ac:dyDescent="0.35">
      <c r="A6172" s="15">
        <v>6</v>
      </c>
      <c r="B6172" s="15" t="s">
        <v>38603</v>
      </c>
      <c r="C6172" s="15" t="s">
        <v>38604</v>
      </c>
      <c r="D6172" s="31">
        <v>40280</v>
      </c>
      <c r="E6172" s="15" t="s">
        <v>38605</v>
      </c>
      <c r="F6172" s="87"/>
      <c r="G6172" s="45" t="s">
        <v>4562</v>
      </c>
      <c r="H6172" s="55" t="s">
        <v>4563</v>
      </c>
      <c r="I6172" s="15" t="s">
        <v>2581</v>
      </c>
    </row>
    <row r="6173" spans="1:9" ht="51.75" customHeight="1" x14ac:dyDescent="0.35">
      <c r="A6173" s="15">
        <v>1</v>
      </c>
      <c r="B6173" s="15" t="s">
        <v>38606</v>
      </c>
      <c r="C6173" s="15" t="s">
        <v>38607</v>
      </c>
      <c r="D6173" s="31">
        <v>40249</v>
      </c>
      <c r="E6173" s="15" t="s">
        <v>38608</v>
      </c>
      <c r="F6173" s="87"/>
      <c r="G6173" s="45" t="s">
        <v>4314</v>
      </c>
      <c r="H6173" s="55" t="s">
        <v>4315</v>
      </c>
      <c r="I6173" s="15" t="s">
        <v>2581</v>
      </c>
    </row>
    <row r="6174" spans="1:9" ht="51.75" customHeight="1" x14ac:dyDescent="0.35">
      <c r="A6174" s="15">
        <v>2</v>
      </c>
      <c r="B6174" s="15" t="s">
        <v>38609</v>
      </c>
      <c r="C6174" s="15" t="s">
        <v>38610</v>
      </c>
      <c r="D6174" s="31">
        <v>40249</v>
      </c>
      <c r="E6174" s="15" t="s">
        <v>38611</v>
      </c>
      <c r="F6174" s="87"/>
      <c r="G6174" s="45" t="s">
        <v>4314</v>
      </c>
      <c r="H6174" s="55" t="s">
        <v>4315</v>
      </c>
      <c r="I6174" s="15" t="s">
        <v>2581</v>
      </c>
    </row>
    <row r="6175" spans="1:9" ht="51.75" customHeight="1" x14ac:dyDescent="0.35">
      <c r="A6175" s="15">
        <v>3</v>
      </c>
      <c r="B6175" s="15" t="s">
        <v>38612</v>
      </c>
      <c r="C6175" s="15" t="s">
        <v>38613</v>
      </c>
      <c r="D6175" s="31">
        <v>40249</v>
      </c>
      <c r="E6175" s="15" t="s">
        <v>38614</v>
      </c>
      <c r="F6175" s="87"/>
      <c r="G6175" s="45" t="s">
        <v>4314</v>
      </c>
      <c r="H6175" s="55" t="s">
        <v>4315</v>
      </c>
      <c r="I6175" s="15" t="s">
        <v>2581</v>
      </c>
    </row>
    <row r="6176" spans="1:9" ht="51.75" customHeight="1" x14ac:dyDescent="0.35">
      <c r="A6176" s="15">
        <v>4</v>
      </c>
      <c r="B6176" s="15" t="s">
        <v>38615</v>
      </c>
      <c r="C6176" s="15" t="s">
        <v>38616</v>
      </c>
      <c r="D6176" s="31">
        <v>40249</v>
      </c>
      <c r="E6176" s="15" t="s">
        <v>38617</v>
      </c>
      <c r="F6176" s="87"/>
      <c r="G6176" s="45" t="s">
        <v>4314</v>
      </c>
      <c r="H6176" s="55" t="s">
        <v>4315</v>
      </c>
      <c r="I6176" s="15" t="s">
        <v>2581</v>
      </c>
    </row>
    <row r="6177" spans="1:9" ht="51.75" customHeight="1" x14ac:dyDescent="0.35">
      <c r="A6177" s="15">
        <v>5</v>
      </c>
      <c r="B6177" s="15" t="s">
        <v>38618</v>
      </c>
      <c r="C6177" s="15" t="s">
        <v>38619</v>
      </c>
      <c r="D6177" s="31">
        <v>40249</v>
      </c>
      <c r="E6177" s="15" t="s">
        <v>38620</v>
      </c>
      <c r="F6177" s="87"/>
      <c r="G6177" s="45" t="s">
        <v>4314</v>
      </c>
      <c r="H6177" s="55" t="s">
        <v>4315</v>
      </c>
      <c r="I6177" s="15" t="s">
        <v>2581</v>
      </c>
    </row>
    <row r="6178" spans="1:9" ht="51.75" customHeight="1" x14ac:dyDescent="0.35">
      <c r="A6178" s="15">
        <v>1</v>
      </c>
      <c r="B6178" s="15" t="s">
        <v>38621</v>
      </c>
      <c r="C6178" s="15" t="s">
        <v>38622</v>
      </c>
      <c r="D6178" s="31">
        <v>40105</v>
      </c>
      <c r="E6178" s="15" t="s">
        <v>38623</v>
      </c>
      <c r="F6178" s="87"/>
      <c r="G6178" s="45" t="s">
        <v>2579</v>
      </c>
      <c r="H6178" s="55" t="s">
        <v>2580</v>
      </c>
      <c r="I6178" s="15" t="s">
        <v>2581</v>
      </c>
    </row>
    <row r="6179" spans="1:9" ht="51.75" customHeight="1" x14ac:dyDescent="0.35">
      <c r="A6179" s="15">
        <v>2</v>
      </c>
      <c r="B6179" s="15" t="s">
        <v>38624</v>
      </c>
      <c r="C6179" s="15" t="s">
        <v>38625</v>
      </c>
      <c r="D6179" s="31">
        <v>40105</v>
      </c>
      <c r="E6179" s="15" t="s">
        <v>38626</v>
      </c>
      <c r="F6179" s="87"/>
      <c r="G6179" s="45" t="s">
        <v>2579</v>
      </c>
      <c r="H6179" s="55" t="s">
        <v>2580</v>
      </c>
      <c r="I6179" s="15" t="s">
        <v>2581</v>
      </c>
    </row>
    <row r="6180" spans="1:9" ht="51.75" customHeight="1" x14ac:dyDescent="0.35">
      <c r="A6180" s="15">
        <v>3</v>
      </c>
      <c r="B6180" s="15" t="s">
        <v>38627</v>
      </c>
      <c r="C6180" s="15" t="s">
        <v>38628</v>
      </c>
      <c r="D6180" s="31">
        <v>40105</v>
      </c>
      <c r="E6180" s="15" t="s">
        <v>38629</v>
      </c>
      <c r="F6180" s="87"/>
      <c r="G6180" s="45" t="s">
        <v>2579</v>
      </c>
      <c r="H6180" s="55" t="s">
        <v>2580</v>
      </c>
      <c r="I6180" s="15" t="s">
        <v>2581</v>
      </c>
    </row>
    <row r="6181" spans="1:9" ht="51.75" customHeight="1" x14ac:dyDescent="0.35">
      <c r="A6181" s="15">
        <v>4</v>
      </c>
      <c r="B6181" s="15" t="s">
        <v>38630</v>
      </c>
      <c r="C6181" s="15" t="s">
        <v>38631</v>
      </c>
      <c r="D6181" s="31">
        <v>40105</v>
      </c>
      <c r="E6181" s="15" t="s">
        <v>38632</v>
      </c>
      <c r="F6181" s="87"/>
      <c r="G6181" s="45" t="s">
        <v>2579</v>
      </c>
      <c r="H6181" s="55" t="s">
        <v>2580</v>
      </c>
      <c r="I6181" s="15" t="s">
        <v>2581</v>
      </c>
    </row>
    <row r="6182" spans="1:9" ht="51.75" customHeight="1" x14ac:dyDescent="0.35">
      <c r="A6182" s="15">
        <v>1</v>
      </c>
      <c r="B6182" s="15" t="s">
        <v>38633</v>
      </c>
      <c r="C6182" s="15" t="s">
        <v>38634</v>
      </c>
      <c r="D6182" s="31">
        <v>40970</v>
      </c>
      <c r="E6182" s="15" t="s">
        <v>38635</v>
      </c>
      <c r="F6182" s="87"/>
      <c r="G6182" s="45" t="s">
        <v>6317</v>
      </c>
      <c r="H6182" s="55" t="s">
        <v>6318</v>
      </c>
      <c r="I6182" s="15" t="s">
        <v>2581</v>
      </c>
    </row>
    <row r="6183" spans="1:9" ht="51.75" customHeight="1" x14ac:dyDescent="0.35">
      <c r="A6183" s="15">
        <v>2</v>
      </c>
      <c r="B6183" s="15" t="s">
        <v>38636</v>
      </c>
      <c r="C6183" s="15" t="s">
        <v>38637</v>
      </c>
      <c r="D6183" s="31">
        <v>40970</v>
      </c>
      <c r="E6183" s="15" t="s">
        <v>38638</v>
      </c>
      <c r="F6183" s="87"/>
      <c r="G6183" s="45" t="s">
        <v>6317</v>
      </c>
      <c r="H6183" s="55" t="s">
        <v>6318</v>
      </c>
      <c r="I6183" s="15" t="s">
        <v>2581</v>
      </c>
    </row>
    <row r="6184" spans="1:9" ht="51.75" customHeight="1" x14ac:dyDescent="0.35">
      <c r="A6184" s="15" t="s">
        <v>25297</v>
      </c>
      <c r="B6184" s="15" t="s">
        <v>38639</v>
      </c>
      <c r="C6184" s="15" t="s">
        <v>38640</v>
      </c>
      <c r="D6184" s="31">
        <v>41607</v>
      </c>
      <c r="E6184" s="15" t="s">
        <v>38641</v>
      </c>
      <c r="F6184" s="87" t="s">
        <v>21871</v>
      </c>
      <c r="G6184" s="45" t="s">
        <v>8877</v>
      </c>
      <c r="H6184" s="55" t="s">
        <v>8878</v>
      </c>
      <c r="I6184" s="15" t="s">
        <v>2581</v>
      </c>
    </row>
    <row r="6185" spans="1:9" ht="51.75" customHeight="1" x14ac:dyDescent="0.35">
      <c r="A6185" s="15" t="s">
        <v>25303</v>
      </c>
      <c r="B6185" s="15" t="s">
        <v>38642</v>
      </c>
      <c r="C6185" s="15" t="s">
        <v>38643</v>
      </c>
      <c r="D6185" s="31">
        <v>41607</v>
      </c>
      <c r="E6185" s="15" t="s">
        <v>38644</v>
      </c>
      <c r="F6185" s="87" t="s">
        <v>21871</v>
      </c>
      <c r="G6185" s="45" t="s">
        <v>8877</v>
      </c>
      <c r="H6185" s="55" t="s">
        <v>8878</v>
      </c>
      <c r="I6185" s="15" t="s">
        <v>2581</v>
      </c>
    </row>
    <row r="6186" spans="1:9" ht="51.75" customHeight="1" x14ac:dyDescent="0.35">
      <c r="A6186" s="15" t="s">
        <v>26390</v>
      </c>
      <c r="B6186" s="15" t="s">
        <v>38645</v>
      </c>
      <c r="C6186" s="15" t="s">
        <v>38646</v>
      </c>
      <c r="D6186" s="31">
        <v>41607</v>
      </c>
      <c r="E6186" s="15" t="s">
        <v>38647</v>
      </c>
      <c r="F6186" s="87" t="s">
        <v>21871</v>
      </c>
      <c r="G6186" s="45" t="s">
        <v>8877</v>
      </c>
      <c r="H6186" s="55" t="s">
        <v>8878</v>
      </c>
      <c r="I6186" s="15" t="s">
        <v>2581</v>
      </c>
    </row>
    <row r="6187" spans="1:9" ht="51.75" customHeight="1" x14ac:dyDescent="0.35">
      <c r="A6187" s="15" t="s">
        <v>26394</v>
      </c>
      <c r="B6187" s="15" t="s">
        <v>38648</v>
      </c>
      <c r="C6187" s="15" t="s">
        <v>38649</v>
      </c>
      <c r="D6187" s="31">
        <v>41607</v>
      </c>
      <c r="E6187" s="15" t="s">
        <v>38650</v>
      </c>
      <c r="F6187" s="87" t="s">
        <v>21871</v>
      </c>
      <c r="G6187" s="45" t="s">
        <v>8877</v>
      </c>
      <c r="H6187" s="55" t="s">
        <v>8878</v>
      </c>
      <c r="I6187" s="15" t="s">
        <v>2581</v>
      </c>
    </row>
    <row r="6188" spans="1:9" ht="51.75" customHeight="1" x14ac:dyDescent="0.35">
      <c r="A6188" s="15" t="s">
        <v>32476</v>
      </c>
      <c r="B6188" s="15" t="s">
        <v>38651</v>
      </c>
      <c r="C6188" s="15" t="s">
        <v>38652</v>
      </c>
      <c r="D6188" s="31">
        <v>41607</v>
      </c>
      <c r="E6188" s="15" t="s">
        <v>38653</v>
      </c>
      <c r="F6188" s="87" t="s">
        <v>21871</v>
      </c>
      <c r="G6188" s="45" t="s">
        <v>8877</v>
      </c>
      <c r="H6188" s="55" t="s">
        <v>8878</v>
      </c>
      <c r="I6188" s="15" t="s">
        <v>2581</v>
      </c>
    </row>
    <row r="6189" spans="1:9" ht="51.75" customHeight="1" x14ac:dyDescent="0.35">
      <c r="A6189" s="15" t="s">
        <v>26398</v>
      </c>
      <c r="B6189" s="15" t="s">
        <v>38654</v>
      </c>
      <c r="C6189" s="15" t="s">
        <v>38655</v>
      </c>
      <c r="D6189" s="31">
        <v>41607</v>
      </c>
      <c r="E6189" s="15" t="s">
        <v>38656</v>
      </c>
      <c r="F6189" s="87" t="s">
        <v>21871</v>
      </c>
      <c r="G6189" s="45" t="s">
        <v>8877</v>
      </c>
      <c r="H6189" s="55" t="s">
        <v>8878</v>
      </c>
      <c r="I6189" s="15" t="s">
        <v>2581</v>
      </c>
    </row>
    <row r="6190" spans="1:9" ht="51.75" customHeight="1" x14ac:dyDescent="0.35">
      <c r="A6190" s="15" t="s">
        <v>26896</v>
      </c>
      <c r="B6190" s="15" t="s">
        <v>38657</v>
      </c>
      <c r="C6190" s="15" t="s">
        <v>38658</v>
      </c>
      <c r="D6190" s="31">
        <v>41411</v>
      </c>
      <c r="E6190" s="15" t="s">
        <v>38659</v>
      </c>
      <c r="F6190" s="87" t="s">
        <v>21871</v>
      </c>
      <c r="G6190" s="45" t="s">
        <v>8221</v>
      </c>
      <c r="H6190" s="55" t="s">
        <v>8222</v>
      </c>
      <c r="I6190" s="15" t="s">
        <v>2581</v>
      </c>
    </row>
    <row r="6191" spans="1:9" ht="51.75" customHeight="1" x14ac:dyDescent="0.35">
      <c r="A6191" s="15" t="s">
        <v>25651</v>
      </c>
      <c r="B6191" s="15" t="s">
        <v>38660</v>
      </c>
      <c r="C6191" s="15" t="s">
        <v>38661</v>
      </c>
      <c r="D6191" s="31">
        <v>41411</v>
      </c>
      <c r="E6191" s="15" t="s">
        <v>38662</v>
      </c>
      <c r="F6191" s="87" t="s">
        <v>21871</v>
      </c>
      <c r="G6191" s="45" t="s">
        <v>8221</v>
      </c>
      <c r="H6191" s="55" t="s">
        <v>8222</v>
      </c>
      <c r="I6191" s="15" t="s">
        <v>2581</v>
      </c>
    </row>
    <row r="6192" spans="1:9" ht="51.75" customHeight="1" x14ac:dyDescent="0.35">
      <c r="A6192" s="15" t="s">
        <v>25532</v>
      </c>
      <c r="B6192" s="15" t="s">
        <v>38663</v>
      </c>
      <c r="C6192" s="15" t="s">
        <v>38664</v>
      </c>
      <c r="D6192" s="31">
        <v>41411</v>
      </c>
      <c r="E6192" s="15" t="s">
        <v>38665</v>
      </c>
      <c r="F6192" s="87" t="s">
        <v>21871</v>
      </c>
      <c r="G6192" s="45" t="s">
        <v>8221</v>
      </c>
      <c r="H6192" s="55" t="s">
        <v>8222</v>
      </c>
      <c r="I6192" s="15" t="s">
        <v>2581</v>
      </c>
    </row>
    <row r="6193" spans="1:9" ht="51.75" customHeight="1" x14ac:dyDescent="0.35">
      <c r="A6193" s="15" t="s">
        <v>25657</v>
      </c>
      <c r="B6193" s="15" t="s">
        <v>38666</v>
      </c>
      <c r="C6193" s="15" t="s">
        <v>38667</v>
      </c>
      <c r="D6193" s="31">
        <v>41411</v>
      </c>
      <c r="E6193" s="15" t="s">
        <v>38668</v>
      </c>
      <c r="F6193" s="87" t="s">
        <v>21871</v>
      </c>
      <c r="G6193" s="45" t="s">
        <v>8221</v>
      </c>
      <c r="H6193" s="55" t="s">
        <v>8222</v>
      </c>
      <c r="I6193" s="15" t="s">
        <v>2581</v>
      </c>
    </row>
    <row r="6194" spans="1:9" ht="51.75" customHeight="1" x14ac:dyDescent="0.35">
      <c r="A6194" s="15" t="s">
        <v>33374</v>
      </c>
      <c r="B6194" s="15" t="s">
        <v>38669</v>
      </c>
      <c r="C6194" s="15" t="s">
        <v>38670</v>
      </c>
      <c r="D6194" s="31">
        <v>41411</v>
      </c>
      <c r="E6194" s="15" t="s">
        <v>38671</v>
      </c>
      <c r="F6194" s="87" t="s">
        <v>21871</v>
      </c>
      <c r="G6194" s="45" t="s">
        <v>8221</v>
      </c>
      <c r="H6194" s="55" t="s">
        <v>8222</v>
      </c>
      <c r="I6194" s="15" t="s">
        <v>2581</v>
      </c>
    </row>
    <row r="6195" spans="1:9" ht="51.75" customHeight="1" x14ac:dyDescent="0.35">
      <c r="A6195" s="15" t="s">
        <v>33378</v>
      </c>
      <c r="B6195" s="15" t="s">
        <v>38672</v>
      </c>
      <c r="C6195" s="15" t="s">
        <v>38673</v>
      </c>
      <c r="D6195" s="31">
        <v>41411</v>
      </c>
      <c r="E6195" s="15" t="s">
        <v>38674</v>
      </c>
      <c r="F6195" s="87" t="s">
        <v>21871</v>
      </c>
      <c r="G6195" s="45" t="s">
        <v>8221</v>
      </c>
      <c r="H6195" s="55" t="s">
        <v>8222</v>
      </c>
      <c r="I6195" s="15" t="s">
        <v>2581</v>
      </c>
    </row>
    <row r="6196" spans="1:9" ht="51.75" customHeight="1" x14ac:dyDescent="0.35">
      <c r="A6196" s="15" t="s">
        <v>25723</v>
      </c>
      <c r="B6196" s="15" t="s">
        <v>38675</v>
      </c>
      <c r="C6196" s="15" t="s">
        <v>38676</v>
      </c>
      <c r="D6196" s="31">
        <v>41626</v>
      </c>
      <c r="E6196" s="15" t="s">
        <v>38677</v>
      </c>
      <c r="F6196" s="87" t="s">
        <v>21871</v>
      </c>
      <c r="G6196" s="45" t="s">
        <v>9135</v>
      </c>
      <c r="H6196" s="55" t="s">
        <v>9136</v>
      </c>
      <c r="I6196" s="15" t="s">
        <v>2581</v>
      </c>
    </row>
    <row r="6197" spans="1:9" ht="51.75" customHeight="1" x14ac:dyDescent="0.35">
      <c r="A6197" s="15" t="s">
        <v>26621</v>
      </c>
      <c r="B6197" s="15" t="s">
        <v>38678</v>
      </c>
      <c r="C6197" s="15" t="s">
        <v>38679</v>
      </c>
      <c r="D6197" s="31">
        <v>41626</v>
      </c>
      <c r="E6197" s="15" t="s">
        <v>38680</v>
      </c>
      <c r="F6197" s="87" t="s">
        <v>21871</v>
      </c>
      <c r="G6197" s="45" t="s">
        <v>9135</v>
      </c>
      <c r="H6197" s="55" t="s">
        <v>9136</v>
      </c>
      <c r="I6197" s="15" t="s">
        <v>2581</v>
      </c>
    </row>
    <row r="6198" spans="1:9" ht="51.75" customHeight="1" x14ac:dyDescent="0.35">
      <c r="A6198" s="15" t="s">
        <v>21867</v>
      </c>
      <c r="B6198" s="15" t="s">
        <v>38681</v>
      </c>
      <c r="C6198" s="15" t="s">
        <v>38682</v>
      </c>
      <c r="D6198" s="31">
        <v>41626</v>
      </c>
      <c r="E6198" s="15" t="s">
        <v>38683</v>
      </c>
      <c r="F6198" s="87" t="s">
        <v>21871</v>
      </c>
      <c r="G6198" s="45" t="s">
        <v>9135</v>
      </c>
      <c r="H6198" s="55" t="s">
        <v>9136</v>
      </c>
      <c r="I6198" s="15" t="s">
        <v>2581</v>
      </c>
    </row>
    <row r="6199" spans="1:9" ht="51.75" customHeight="1" x14ac:dyDescent="0.35">
      <c r="A6199" s="15" t="s">
        <v>32801</v>
      </c>
      <c r="B6199" s="15" t="s">
        <v>38684</v>
      </c>
      <c r="C6199" s="15" t="s">
        <v>38685</v>
      </c>
      <c r="D6199" s="31">
        <v>41800</v>
      </c>
      <c r="E6199" s="15" t="s">
        <v>38686</v>
      </c>
      <c r="F6199" s="87" t="s">
        <v>21871</v>
      </c>
      <c r="G6199" s="45" t="s">
        <v>9577</v>
      </c>
      <c r="H6199" s="55" t="s">
        <v>9578</v>
      </c>
      <c r="I6199" s="15" t="s">
        <v>2581</v>
      </c>
    </row>
    <row r="6200" spans="1:9" ht="51.75" customHeight="1" x14ac:dyDescent="0.35">
      <c r="A6200" s="15" t="s">
        <v>32805</v>
      </c>
      <c r="B6200" s="15" t="s">
        <v>38687</v>
      </c>
      <c r="C6200" s="15" t="s">
        <v>38688</v>
      </c>
      <c r="D6200" s="31">
        <v>41806</v>
      </c>
      <c r="E6200" s="15" t="s">
        <v>38689</v>
      </c>
      <c r="F6200" s="87" t="s">
        <v>21871</v>
      </c>
      <c r="G6200" s="45" t="s">
        <v>9577</v>
      </c>
      <c r="H6200" s="55" t="s">
        <v>9578</v>
      </c>
      <c r="I6200" s="15" t="s">
        <v>2581</v>
      </c>
    </row>
    <row r="6201" spans="1:9" ht="51.75" customHeight="1" x14ac:dyDescent="0.35">
      <c r="A6201" s="15" t="s">
        <v>27327</v>
      </c>
      <c r="B6201" s="15" t="s">
        <v>38690</v>
      </c>
      <c r="C6201" s="15" t="s">
        <v>38691</v>
      </c>
      <c r="D6201" s="31">
        <v>41806</v>
      </c>
      <c r="E6201" s="15" t="s">
        <v>38692</v>
      </c>
      <c r="F6201" s="87" t="s">
        <v>21871</v>
      </c>
      <c r="G6201" s="45" t="s">
        <v>9577</v>
      </c>
      <c r="H6201" s="55" t="s">
        <v>9578</v>
      </c>
      <c r="I6201" s="15" t="s">
        <v>2581</v>
      </c>
    </row>
    <row r="6202" spans="1:9" ht="51.75" customHeight="1" x14ac:dyDescent="0.35">
      <c r="A6202" s="15" t="s">
        <v>26699</v>
      </c>
      <c r="B6202" s="15" t="s">
        <v>38693</v>
      </c>
      <c r="C6202" s="15" t="s">
        <v>38694</v>
      </c>
      <c r="D6202" s="31">
        <v>41806</v>
      </c>
      <c r="E6202" s="15" t="s">
        <v>38695</v>
      </c>
      <c r="F6202" s="87" t="s">
        <v>21871</v>
      </c>
      <c r="G6202" s="45" t="s">
        <v>9577</v>
      </c>
      <c r="H6202" s="55" t="s">
        <v>9578</v>
      </c>
      <c r="I6202" s="15" t="s">
        <v>2581</v>
      </c>
    </row>
    <row r="6203" spans="1:9" ht="51.75" customHeight="1" x14ac:dyDescent="0.35">
      <c r="A6203" s="15" t="s">
        <v>24986</v>
      </c>
      <c r="B6203" s="15" t="s">
        <v>38696</v>
      </c>
      <c r="C6203" s="15" t="s">
        <v>38697</v>
      </c>
      <c r="D6203" s="31">
        <v>41914</v>
      </c>
      <c r="E6203" s="15" t="s">
        <v>38698</v>
      </c>
      <c r="F6203" s="87" t="s">
        <v>21871</v>
      </c>
      <c r="G6203" s="45" t="s">
        <v>9736</v>
      </c>
      <c r="H6203" s="55" t="s">
        <v>9737</v>
      </c>
      <c r="I6203" s="15" t="s">
        <v>2581</v>
      </c>
    </row>
    <row r="6204" spans="1:9" ht="51.75" customHeight="1" x14ac:dyDescent="0.35">
      <c r="A6204" s="15" t="s">
        <v>24992</v>
      </c>
      <c r="B6204" s="15" t="s">
        <v>38699</v>
      </c>
      <c r="C6204" s="15" t="s">
        <v>38700</v>
      </c>
      <c r="D6204" s="31">
        <v>41914</v>
      </c>
      <c r="E6204" s="15" t="s">
        <v>38701</v>
      </c>
      <c r="F6204" s="87" t="s">
        <v>21871</v>
      </c>
      <c r="G6204" s="45" t="s">
        <v>9736</v>
      </c>
      <c r="H6204" s="55" t="s">
        <v>9737</v>
      </c>
      <c r="I6204" s="15" t="s">
        <v>2581</v>
      </c>
    </row>
    <row r="6205" spans="1:9" ht="51.75" customHeight="1" x14ac:dyDescent="0.35">
      <c r="A6205" s="15" t="s">
        <v>24998</v>
      </c>
      <c r="B6205" s="15" t="s">
        <v>38702</v>
      </c>
      <c r="C6205" s="15" t="s">
        <v>38703</v>
      </c>
      <c r="D6205" s="31">
        <v>41914</v>
      </c>
      <c r="E6205" s="15" t="s">
        <v>38704</v>
      </c>
      <c r="F6205" s="87" t="s">
        <v>21871</v>
      </c>
      <c r="G6205" s="45" t="s">
        <v>9736</v>
      </c>
      <c r="H6205" s="55" t="s">
        <v>9737</v>
      </c>
      <c r="I6205" s="15" t="s">
        <v>2581</v>
      </c>
    </row>
    <row r="6206" spans="1:9" ht="51.75" customHeight="1" x14ac:dyDescent="0.35">
      <c r="A6206" s="15" t="s">
        <v>26702</v>
      </c>
      <c r="B6206" s="15" t="s">
        <v>38705</v>
      </c>
      <c r="C6206" s="15" t="s">
        <v>38706</v>
      </c>
      <c r="D6206" s="31">
        <v>41814</v>
      </c>
      <c r="E6206" s="15" t="s">
        <v>38707</v>
      </c>
      <c r="F6206" s="87" t="s">
        <v>21871</v>
      </c>
      <c r="G6206" s="45" t="s">
        <v>9854</v>
      </c>
      <c r="H6206" s="55" t="s">
        <v>9855</v>
      </c>
      <c r="I6206" s="15" t="s">
        <v>2581</v>
      </c>
    </row>
    <row r="6207" spans="1:9" ht="51.75" customHeight="1" x14ac:dyDescent="0.35">
      <c r="A6207" s="15" t="s">
        <v>27270</v>
      </c>
      <c r="B6207" s="15" t="s">
        <v>38708</v>
      </c>
      <c r="C6207" s="15" t="s">
        <v>38709</v>
      </c>
      <c r="D6207" s="31">
        <v>41990</v>
      </c>
      <c r="E6207" s="15" t="s">
        <v>38710</v>
      </c>
      <c r="F6207" s="87" t="s">
        <v>21871</v>
      </c>
      <c r="G6207" s="45" t="s">
        <v>10074</v>
      </c>
      <c r="H6207" s="55" t="s">
        <v>10075</v>
      </c>
      <c r="I6207" s="15" t="s">
        <v>2581</v>
      </c>
    </row>
    <row r="6208" spans="1:9" ht="51.75" customHeight="1" x14ac:dyDescent="0.35">
      <c r="A6208" s="15" t="s">
        <v>22842</v>
      </c>
      <c r="B6208" s="15" t="s">
        <v>38711</v>
      </c>
      <c r="C6208" s="15" t="s">
        <v>38712</v>
      </c>
      <c r="D6208" s="31">
        <v>41990</v>
      </c>
      <c r="E6208" s="15" t="s">
        <v>38713</v>
      </c>
      <c r="F6208" s="87" t="s">
        <v>21871</v>
      </c>
      <c r="G6208" s="45" t="s">
        <v>10074</v>
      </c>
      <c r="H6208" s="55" t="s">
        <v>10075</v>
      </c>
      <c r="I6208" s="15" t="s">
        <v>2581</v>
      </c>
    </row>
    <row r="6209" spans="1:9" ht="51.75" customHeight="1" x14ac:dyDescent="0.35">
      <c r="A6209" s="15" t="s">
        <v>22846</v>
      </c>
      <c r="B6209" s="15" t="s">
        <v>38714</v>
      </c>
      <c r="C6209" s="15" t="s">
        <v>38715</v>
      </c>
      <c r="D6209" s="31">
        <v>41991</v>
      </c>
      <c r="E6209" s="15" t="s">
        <v>38716</v>
      </c>
      <c r="F6209" s="87" t="s">
        <v>21871</v>
      </c>
      <c r="G6209" s="45" t="s">
        <v>10074</v>
      </c>
      <c r="H6209" s="55" t="s">
        <v>10075</v>
      </c>
      <c r="I6209" s="15" t="s">
        <v>2581</v>
      </c>
    </row>
    <row r="6210" spans="1:9" ht="51.75" customHeight="1" x14ac:dyDescent="0.35">
      <c r="A6210" s="15" t="s">
        <v>22850</v>
      </c>
      <c r="B6210" s="15" t="s">
        <v>38717</v>
      </c>
      <c r="C6210" s="15" t="s">
        <v>38718</v>
      </c>
      <c r="D6210" s="31">
        <v>41991</v>
      </c>
      <c r="E6210" s="15" t="s">
        <v>38719</v>
      </c>
      <c r="F6210" s="87" t="s">
        <v>21871</v>
      </c>
      <c r="G6210" s="45" t="s">
        <v>10074</v>
      </c>
      <c r="H6210" s="55" t="s">
        <v>10075</v>
      </c>
      <c r="I6210" s="15" t="s">
        <v>2581</v>
      </c>
    </row>
    <row r="6211" spans="1:9" ht="51.75" customHeight="1" x14ac:dyDescent="0.35">
      <c r="A6211" s="15" t="s">
        <v>22945</v>
      </c>
      <c r="B6211" s="15" t="s">
        <v>38720</v>
      </c>
      <c r="C6211" s="15" t="s">
        <v>38721</v>
      </c>
      <c r="D6211" s="31">
        <v>41969</v>
      </c>
      <c r="E6211" s="15" t="s">
        <v>38722</v>
      </c>
      <c r="F6211" s="87" t="s">
        <v>21871</v>
      </c>
      <c r="G6211" s="45" t="s">
        <v>10174</v>
      </c>
      <c r="H6211" s="55" t="s">
        <v>10175</v>
      </c>
      <c r="I6211" s="15" t="s">
        <v>2581</v>
      </c>
    </row>
    <row r="6212" spans="1:9" ht="51.75" customHeight="1" x14ac:dyDescent="0.35">
      <c r="A6212" s="15" t="s">
        <v>23234</v>
      </c>
      <c r="B6212" s="15" t="s">
        <v>38723</v>
      </c>
      <c r="C6212" s="15" t="s">
        <v>38724</v>
      </c>
      <c r="D6212" s="31">
        <v>41969</v>
      </c>
      <c r="E6212" s="15" t="s">
        <v>38725</v>
      </c>
      <c r="F6212" s="87" t="s">
        <v>21871</v>
      </c>
      <c r="G6212" s="45" t="s">
        <v>10174</v>
      </c>
      <c r="H6212" s="55" t="s">
        <v>10175</v>
      </c>
      <c r="I6212" s="15" t="s">
        <v>2581</v>
      </c>
    </row>
    <row r="6213" spans="1:9" ht="51.75" customHeight="1" x14ac:dyDescent="0.35">
      <c r="A6213" s="15" t="s">
        <v>23289</v>
      </c>
      <c r="B6213" s="15" t="s">
        <v>38726</v>
      </c>
      <c r="C6213" s="15" t="s">
        <v>38727</v>
      </c>
      <c r="D6213" s="31">
        <v>41969</v>
      </c>
      <c r="E6213" s="15" t="s">
        <v>38728</v>
      </c>
      <c r="F6213" s="87" t="s">
        <v>21871</v>
      </c>
      <c r="G6213" s="45" t="s">
        <v>10174</v>
      </c>
      <c r="H6213" s="55" t="s">
        <v>10175</v>
      </c>
      <c r="I6213" s="15" t="s">
        <v>2581</v>
      </c>
    </row>
    <row r="6214" spans="1:9" ht="51.75" customHeight="1" x14ac:dyDescent="0.35">
      <c r="A6214" s="15" t="s">
        <v>22213</v>
      </c>
      <c r="B6214" s="15" t="s">
        <v>38729</v>
      </c>
      <c r="C6214" s="15" t="s">
        <v>38730</v>
      </c>
      <c r="D6214" s="31">
        <v>41961</v>
      </c>
      <c r="E6214" s="15" t="s">
        <v>38731</v>
      </c>
      <c r="F6214" s="87" t="s">
        <v>21871</v>
      </c>
      <c r="G6214" s="45" t="s">
        <v>10394</v>
      </c>
      <c r="H6214" s="55" t="s">
        <v>10395</v>
      </c>
      <c r="I6214" s="15" t="s">
        <v>2581</v>
      </c>
    </row>
    <row r="6215" spans="1:9" ht="51.75" customHeight="1" x14ac:dyDescent="0.35">
      <c r="A6215" s="15" t="s">
        <v>22854</v>
      </c>
      <c r="B6215" s="15" t="s">
        <v>38732</v>
      </c>
      <c r="C6215" s="15" t="s">
        <v>38733</v>
      </c>
      <c r="D6215" s="31">
        <v>42122</v>
      </c>
      <c r="E6215" s="15" t="s">
        <v>38734</v>
      </c>
      <c r="F6215" s="87" t="s">
        <v>21871</v>
      </c>
      <c r="G6215" s="45" t="s">
        <v>10714</v>
      </c>
      <c r="H6215" s="55" t="s">
        <v>10715</v>
      </c>
      <c r="I6215" s="15" t="s">
        <v>2581</v>
      </c>
    </row>
    <row r="6216" spans="1:9" ht="51.75" customHeight="1" x14ac:dyDescent="0.35">
      <c r="A6216" s="15" t="s">
        <v>33470</v>
      </c>
      <c r="B6216" s="15" t="s">
        <v>38735</v>
      </c>
      <c r="C6216" s="15" t="s">
        <v>38736</v>
      </c>
      <c r="D6216" s="31">
        <v>42122</v>
      </c>
      <c r="E6216" s="15" t="s">
        <v>38737</v>
      </c>
      <c r="F6216" s="87" t="s">
        <v>21871</v>
      </c>
      <c r="G6216" s="45" t="s">
        <v>10714</v>
      </c>
      <c r="H6216" s="55" t="s">
        <v>10715</v>
      </c>
      <c r="I6216" s="15" t="s">
        <v>2581</v>
      </c>
    </row>
    <row r="6217" spans="1:9" ht="51.75" customHeight="1" x14ac:dyDescent="0.35">
      <c r="A6217" s="15" t="s">
        <v>24375</v>
      </c>
      <c r="B6217" s="15" t="s">
        <v>38738</v>
      </c>
      <c r="C6217" s="15" t="s">
        <v>38739</v>
      </c>
      <c r="D6217" s="31">
        <v>42111</v>
      </c>
      <c r="E6217" s="15" t="s">
        <v>38740</v>
      </c>
      <c r="F6217" s="87" t="s">
        <v>21871</v>
      </c>
      <c r="G6217" s="45" t="s">
        <v>10838</v>
      </c>
      <c r="H6217" s="55" t="s">
        <v>10839</v>
      </c>
      <c r="I6217" s="15" t="s">
        <v>2581</v>
      </c>
    </row>
    <row r="6218" spans="1:9" ht="51.75" customHeight="1" x14ac:dyDescent="0.35">
      <c r="A6218" s="15" t="s">
        <v>24380</v>
      </c>
      <c r="B6218" s="15" t="s">
        <v>38741</v>
      </c>
      <c r="C6218" s="15" t="s">
        <v>38742</v>
      </c>
      <c r="D6218" s="31">
        <v>42111</v>
      </c>
      <c r="E6218" s="15" t="s">
        <v>38743</v>
      </c>
      <c r="F6218" s="87" t="s">
        <v>21871</v>
      </c>
      <c r="G6218" s="45" t="s">
        <v>10838</v>
      </c>
      <c r="H6218" s="55" t="s">
        <v>10839</v>
      </c>
      <c r="I6218" s="15" t="s">
        <v>2581</v>
      </c>
    </row>
    <row r="6219" spans="1:9" ht="51.75" customHeight="1" x14ac:dyDescent="0.35">
      <c r="A6219" s="15" t="s">
        <v>22983</v>
      </c>
      <c r="B6219" s="15" t="s">
        <v>38744</v>
      </c>
      <c r="C6219" s="15" t="s">
        <v>25887</v>
      </c>
      <c r="D6219" s="31">
        <v>42307</v>
      </c>
      <c r="E6219" s="15" t="s">
        <v>38745</v>
      </c>
      <c r="F6219" s="87" t="s">
        <v>21871</v>
      </c>
      <c r="G6219" s="45" t="s">
        <v>11488</v>
      </c>
      <c r="H6219" s="55" t="s">
        <v>11489</v>
      </c>
      <c r="I6219" s="15" t="s">
        <v>2581</v>
      </c>
    </row>
    <row r="6220" spans="1:9" ht="51.75" customHeight="1" x14ac:dyDescent="0.35">
      <c r="A6220" s="15" t="s">
        <v>25027</v>
      </c>
      <c r="B6220" s="15" t="s">
        <v>38746</v>
      </c>
      <c r="C6220" s="15" t="s">
        <v>38747</v>
      </c>
      <c r="D6220" s="31">
        <v>42307</v>
      </c>
      <c r="E6220" s="15" t="s">
        <v>38748</v>
      </c>
      <c r="F6220" s="87" t="s">
        <v>21871</v>
      </c>
      <c r="G6220" s="45" t="s">
        <v>11488</v>
      </c>
      <c r="H6220" s="55" t="s">
        <v>11489</v>
      </c>
      <c r="I6220" s="15" t="s">
        <v>2581</v>
      </c>
    </row>
    <row r="6221" spans="1:9" ht="51.75" customHeight="1" x14ac:dyDescent="0.35">
      <c r="A6221" s="15" t="s">
        <v>22885</v>
      </c>
      <c r="B6221" s="15" t="s">
        <v>38749</v>
      </c>
      <c r="C6221" s="15" t="s">
        <v>38750</v>
      </c>
      <c r="D6221" s="31">
        <v>42307</v>
      </c>
      <c r="E6221" s="15" t="s">
        <v>38751</v>
      </c>
      <c r="F6221" s="87" t="s">
        <v>21871</v>
      </c>
      <c r="G6221" s="45" t="s">
        <v>11488</v>
      </c>
      <c r="H6221" s="55" t="s">
        <v>11489</v>
      </c>
      <c r="I6221" s="15" t="s">
        <v>2581</v>
      </c>
    </row>
    <row r="6222" spans="1:9" ht="51.75" customHeight="1" x14ac:dyDescent="0.35">
      <c r="A6222" s="15" t="s">
        <v>23923</v>
      </c>
      <c r="B6222" s="15" t="s">
        <v>38752</v>
      </c>
      <c r="C6222" s="15" t="s">
        <v>38753</v>
      </c>
      <c r="D6222" s="31">
        <v>42355</v>
      </c>
      <c r="E6222" s="15" t="s">
        <v>38754</v>
      </c>
      <c r="F6222" s="87" t="s">
        <v>21871</v>
      </c>
      <c r="G6222" s="45" t="s">
        <v>11703</v>
      </c>
      <c r="H6222" s="55" t="s">
        <v>11704</v>
      </c>
      <c r="I6222" s="15" t="s">
        <v>2581</v>
      </c>
    </row>
    <row r="6223" spans="1:9" ht="51.75" customHeight="1" x14ac:dyDescent="0.35">
      <c r="A6223" s="15" t="s">
        <v>24186</v>
      </c>
      <c r="B6223" s="15" t="s">
        <v>38755</v>
      </c>
      <c r="C6223" s="15" t="s">
        <v>38756</v>
      </c>
      <c r="D6223" s="31">
        <v>42386</v>
      </c>
      <c r="E6223" s="15" t="s">
        <v>38757</v>
      </c>
      <c r="F6223" s="87" t="s">
        <v>21871</v>
      </c>
      <c r="G6223" s="45" t="s">
        <v>11703</v>
      </c>
      <c r="H6223" s="55" t="s">
        <v>11704</v>
      </c>
      <c r="I6223" s="15" t="s">
        <v>2581</v>
      </c>
    </row>
    <row r="6224" spans="1:9" ht="51.75" customHeight="1" x14ac:dyDescent="0.35">
      <c r="A6224" s="15" t="s">
        <v>24191</v>
      </c>
      <c r="B6224" s="15" t="s">
        <v>38758</v>
      </c>
      <c r="C6224" s="15" t="s">
        <v>38759</v>
      </c>
      <c r="D6224" s="31">
        <v>42355</v>
      </c>
      <c r="E6224" s="15" t="s">
        <v>38760</v>
      </c>
      <c r="F6224" s="87" t="s">
        <v>21871</v>
      </c>
      <c r="G6224" s="45" t="s">
        <v>11703</v>
      </c>
      <c r="H6224" s="55" t="s">
        <v>11704</v>
      </c>
      <c r="I6224" s="15" t="s">
        <v>2581</v>
      </c>
    </row>
    <row r="6225" spans="1:9" ht="51.75" customHeight="1" x14ac:dyDescent="0.35">
      <c r="A6225" s="15" t="s">
        <v>24703</v>
      </c>
      <c r="B6225" s="15" t="s">
        <v>38761</v>
      </c>
      <c r="C6225" s="15" t="s">
        <v>25887</v>
      </c>
      <c r="D6225" s="31">
        <v>42488</v>
      </c>
      <c r="E6225" s="15" t="s">
        <v>38762</v>
      </c>
      <c r="F6225" s="87" t="s">
        <v>21871</v>
      </c>
      <c r="G6225" s="45" t="s">
        <v>12055</v>
      </c>
      <c r="H6225" s="55" t="s">
        <v>12056</v>
      </c>
      <c r="I6225" s="15" t="s">
        <v>2581</v>
      </c>
    </row>
    <row r="6226" spans="1:9" ht="51.75" customHeight="1" x14ac:dyDescent="0.35">
      <c r="A6226" s="15" t="s">
        <v>24714</v>
      </c>
      <c r="B6226" s="15" t="s">
        <v>38763</v>
      </c>
      <c r="C6226" s="15" t="s">
        <v>38764</v>
      </c>
      <c r="D6226" s="31">
        <v>42488</v>
      </c>
      <c r="E6226" s="15" t="s">
        <v>38765</v>
      </c>
      <c r="F6226" s="87" t="s">
        <v>21871</v>
      </c>
      <c r="G6226" s="45" t="s">
        <v>12055</v>
      </c>
      <c r="H6226" s="55" t="s">
        <v>12056</v>
      </c>
      <c r="I6226" s="15" t="s">
        <v>2581</v>
      </c>
    </row>
    <row r="6227" spans="1:9" ht="51.75" customHeight="1" x14ac:dyDescent="0.35">
      <c r="A6227" s="15" t="s">
        <v>24720</v>
      </c>
      <c r="B6227" s="15" t="s">
        <v>38766</v>
      </c>
      <c r="C6227" s="15" t="s">
        <v>38767</v>
      </c>
      <c r="D6227" s="31">
        <v>42488</v>
      </c>
      <c r="E6227" s="15" t="s">
        <v>38768</v>
      </c>
      <c r="F6227" s="87" t="s">
        <v>21871</v>
      </c>
      <c r="G6227" s="45" t="s">
        <v>12055</v>
      </c>
      <c r="H6227" s="55" t="s">
        <v>12056</v>
      </c>
      <c r="I6227" s="15" t="s">
        <v>2581</v>
      </c>
    </row>
    <row r="6228" spans="1:9" ht="51.75" customHeight="1" x14ac:dyDescent="0.35">
      <c r="A6228" s="15" t="s">
        <v>23902</v>
      </c>
      <c r="B6228" s="15" t="s">
        <v>38769</v>
      </c>
      <c r="C6228" s="15" t="s">
        <v>38770</v>
      </c>
      <c r="D6228" s="31">
        <v>42488</v>
      </c>
      <c r="E6228" s="15" t="s">
        <v>38771</v>
      </c>
      <c r="F6228" s="87" t="s">
        <v>21871</v>
      </c>
      <c r="G6228" s="45" t="s">
        <v>12055</v>
      </c>
      <c r="H6228" s="55" t="s">
        <v>12056</v>
      </c>
      <c r="I6228" s="15" t="s">
        <v>2581</v>
      </c>
    </row>
    <row r="6229" spans="1:9" ht="51.75" customHeight="1" x14ac:dyDescent="0.35">
      <c r="A6229" s="15" t="s">
        <v>27298</v>
      </c>
      <c r="B6229" s="15" t="s">
        <v>38772</v>
      </c>
      <c r="C6229" s="15" t="s">
        <v>38773</v>
      </c>
      <c r="D6229" s="31">
        <v>42488</v>
      </c>
      <c r="E6229" s="15" t="s">
        <v>38773</v>
      </c>
      <c r="F6229" s="87" t="s">
        <v>21871</v>
      </c>
      <c r="G6229" s="45" t="s">
        <v>12055</v>
      </c>
      <c r="H6229" s="55" t="s">
        <v>12056</v>
      </c>
      <c r="I6229" s="15" t="s">
        <v>2581</v>
      </c>
    </row>
    <row r="6230" spans="1:9" ht="51.75" customHeight="1" x14ac:dyDescent="0.35">
      <c r="A6230" s="15" t="s">
        <v>23893</v>
      </c>
      <c r="B6230" s="15" t="s">
        <v>38774</v>
      </c>
      <c r="C6230" s="15" t="s">
        <v>38775</v>
      </c>
      <c r="D6230" s="31">
        <v>42488</v>
      </c>
      <c r="E6230" s="15" t="s">
        <v>38776</v>
      </c>
      <c r="F6230" s="87" t="s">
        <v>21871</v>
      </c>
      <c r="G6230" s="45" t="s">
        <v>12055</v>
      </c>
      <c r="H6230" s="55" t="s">
        <v>12056</v>
      </c>
      <c r="I6230" s="15" t="s">
        <v>2581</v>
      </c>
    </row>
    <row r="6231" spans="1:9" ht="51.75" customHeight="1" x14ac:dyDescent="0.35">
      <c r="A6231" s="15" t="s">
        <v>37090</v>
      </c>
      <c r="B6231" s="15" t="s">
        <v>38777</v>
      </c>
      <c r="C6231" s="15" t="s">
        <v>38778</v>
      </c>
      <c r="D6231" s="31">
        <v>42488</v>
      </c>
      <c r="E6231" s="15" t="s">
        <v>38779</v>
      </c>
      <c r="F6231" s="87" t="s">
        <v>21871</v>
      </c>
      <c r="G6231" s="45" t="s">
        <v>12055</v>
      </c>
      <c r="H6231" s="55" t="s">
        <v>12056</v>
      </c>
      <c r="I6231" s="15" t="s">
        <v>2581</v>
      </c>
    </row>
    <row r="6232" spans="1:9" ht="51.75" customHeight="1" x14ac:dyDescent="0.35">
      <c r="A6232" s="15" t="s">
        <v>23621</v>
      </c>
      <c r="B6232" s="15" t="s">
        <v>38780</v>
      </c>
      <c r="C6232" s="15" t="s">
        <v>38781</v>
      </c>
      <c r="D6232" s="31">
        <v>42563</v>
      </c>
      <c r="E6232" s="15" t="s">
        <v>38782</v>
      </c>
      <c r="F6232" s="87" t="s">
        <v>21871</v>
      </c>
      <c r="G6232" s="45" t="s">
        <v>12291</v>
      </c>
      <c r="H6232" s="55" t="s">
        <v>12292</v>
      </c>
      <c r="I6232" s="15" t="s">
        <v>2581</v>
      </c>
    </row>
    <row r="6233" spans="1:9" ht="51.75" customHeight="1" x14ac:dyDescent="0.35">
      <c r="A6233" s="15" t="s">
        <v>33109</v>
      </c>
      <c r="B6233" s="15" t="s">
        <v>38783</v>
      </c>
      <c r="C6233" s="15" t="s">
        <v>38784</v>
      </c>
      <c r="D6233" s="31">
        <v>42563</v>
      </c>
      <c r="E6233" s="15" t="s">
        <v>38785</v>
      </c>
      <c r="F6233" s="87" t="s">
        <v>21871</v>
      </c>
      <c r="G6233" s="45" t="s">
        <v>12291</v>
      </c>
      <c r="H6233" s="55" t="s">
        <v>12292</v>
      </c>
      <c r="I6233" s="15" t="s">
        <v>2581</v>
      </c>
    </row>
    <row r="6234" spans="1:9" ht="51.75" customHeight="1" x14ac:dyDescent="0.35">
      <c r="A6234" s="15" t="s">
        <v>23625</v>
      </c>
      <c r="B6234" s="15" t="s">
        <v>38786</v>
      </c>
      <c r="C6234" s="15" t="s">
        <v>38787</v>
      </c>
      <c r="D6234" s="31">
        <v>42563</v>
      </c>
      <c r="E6234" s="15" t="s">
        <v>38788</v>
      </c>
      <c r="F6234" s="87" t="s">
        <v>21871</v>
      </c>
      <c r="G6234" s="45" t="s">
        <v>12291</v>
      </c>
      <c r="H6234" s="55" t="s">
        <v>12292</v>
      </c>
      <c r="I6234" s="15" t="s">
        <v>2581</v>
      </c>
    </row>
    <row r="6235" spans="1:9" ht="51.75" customHeight="1" x14ac:dyDescent="0.35">
      <c r="A6235" s="15" t="s">
        <v>22227</v>
      </c>
      <c r="B6235" s="15" t="s">
        <v>38789</v>
      </c>
      <c r="C6235" s="15" t="s">
        <v>38790</v>
      </c>
      <c r="D6235" s="31">
        <v>42563</v>
      </c>
      <c r="E6235" s="15" t="s">
        <v>38791</v>
      </c>
      <c r="F6235" s="87" t="s">
        <v>21871</v>
      </c>
      <c r="G6235" s="45" t="s">
        <v>12291</v>
      </c>
      <c r="H6235" s="55" t="s">
        <v>12292</v>
      </c>
      <c r="I6235" s="15" t="s">
        <v>2581</v>
      </c>
    </row>
    <row r="6236" spans="1:9" ht="51.75" customHeight="1" x14ac:dyDescent="0.35">
      <c r="A6236" s="15" t="s">
        <v>23937</v>
      </c>
      <c r="B6236" s="15" t="s">
        <v>38792</v>
      </c>
      <c r="C6236" s="15" t="s">
        <v>38793</v>
      </c>
      <c r="D6236" s="31">
        <v>42563</v>
      </c>
      <c r="E6236" s="15" t="s">
        <v>38794</v>
      </c>
      <c r="F6236" s="87" t="s">
        <v>21871</v>
      </c>
      <c r="G6236" s="45" t="s">
        <v>12291</v>
      </c>
      <c r="H6236" s="55" t="s">
        <v>12292</v>
      </c>
      <c r="I6236" s="15" t="s">
        <v>2581</v>
      </c>
    </row>
    <row r="6237" spans="1:9" ht="51.75" customHeight="1" x14ac:dyDescent="0.35">
      <c r="A6237" s="15" t="s">
        <v>23629</v>
      </c>
      <c r="B6237" s="15" t="s">
        <v>38795</v>
      </c>
      <c r="C6237" s="15" t="s">
        <v>38796</v>
      </c>
      <c r="D6237" s="31">
        <v>42563</v>
      </c>
      <c r="E6237" s="15" t="s">
        <v>38797</v>
      </c>
      <c r="F6237" s="87" t="s">
        <v>21871</v>
      </c>
      <c r="G6237" s="45" t="s">
        <v>12291</v>
      </c>
      <c r="H6237" s="55" t="s">
        <v>12292</v>
      </c>
      <c r="I6237" s="15" t="s">
        <v>2581</v>
      </c>
    </row>
    <row r="6238" spans="1:9" ht="51.75" customHeight="1" x14ac:dyDescent="0.35">
      <c r="A6238" s="15" t="s">
        <v>23353</v>
      </c>
      <c r="B6238" s="15" t="s">
        <v>38798</v>
      </c>
      <c r="C6238" s="15" t="s">
        <v>25887</v>
      </c>
      <c r="D6238" s="31">
        <v>42563</v>
      </c>
      <c r="E6238" s="15" t="s">
        <v>38799</v>
      </c>
      <c r="F6238" s="87" t="s">
        <v>21871</v>
      </c>
      <c r="G6238" s="45" t="s">
        <v>12291</v>
      </c>
      <c r="H6238" s="55" t="s">
        <v>12292</v>
      </c>
      <c r="I6238" s="15" t="s">
        <v>2581</v>
      </c>
    </row>
    <row r="6239" spans="1:9" ht="51.75" customHeight="1" x14ac:dyDescent="0.35">
      <c r="A6239" s="15" t="s">
        <v>23357</v>
      </c>
      <c r="B6239" s="15" t="s">
        <v>38800</v>
      </c>
      <c r="C6239" s="15" t="s">
        <v>38801</v>
      </c>
      <c r="D6239" s="31">
        <v>42563</v>
      </c>
      <c r="E6239" s="15" t="s">
        <v>38802</v>
      </c>
      <c r="F6239" s="87" t="s">
        <v>21871</v>
      </c>
      <c r="G6239" s="45" t="s">
        <v>12291</v>
      </c>
      <c r="H6239" s="55" t="s">
        <v>12292</v>
      </c>
      <c r="I6239" s="15" t="s">
        <v>2581</v>
      </c>
    </row>
    <row r="6240" spans="1:9" ht="51.75" customHeight="1" x14ac:dyDescent="0.35">
      <c r="A6240" s="15" t="s">
        <v>22910</v>
      </c>
      <c r="B6240" s="15" t="s">
        <v>38803</v>
      </c>
      <c r="C6240" s="15" t="s">
        <v>38804</v>
      </c>
      <c r="D6240" s="31">
        <v>42615</v>
      </c>
      <c r="E6240" s="15" t="s">
        <v>38805</v>
      </c>
      <c r="F6240" s="87" t="s">
        <v>21871</v>
      </c>
      <c r="G6240" s="45" t="s">
        <v>12501</v>
      </c>
      <c r="H6240" s="55" t="s">
        <v>12502</v>
      </c>
      <c r="I6240" s="15" t="s">
        <v>2581</v>
      </c>
    </row>
    <row r="6241" spans="1:9" ht="51.75" customHeight="1" x14ac:dyDescent="0.35">
      <c r="A6241" s="15" t="s">
        <v>22914</v>
      </c>
      <c r="B6241" s="15" t="s">
        <v>38806</v>
      </c>
      <c r="C6241" s="15" t="s">
        <v>38807</v>
      </c>
      <c r="D6241" s="31">
        <v>42615</v>
      </c>
      <c r="E6241" s="15" t="s">
        <v>38808</v>
      </c>
      <c r="F6241" s="87" t="s">
        <v>21871</v>
      </c>
      <c r="G6241" s="45" t="s">
        <v>12501</v>
      </c>
      <c r="H6241" s="55" t="s">
        <v>12502</v>
      </c>
      <c r="I6241" s="15" t="s">
        <v>2581</v>
      </c>
    </row>
    <row r="6242" spans="1:9" ht="51.75" customHeight="1" x14ac:dyDescent="0.35">
      <c r="A6242" s="15" t="s">
        <v>26931</v>
      </c>
      <c r="B6242" s="15" t="s">
        <v>38809</v>
      </c>
      <c r="C6242" s="15" t="s">
        <v>38571</v>
      </c>
      <c r="D6242" s="31">
        <v>42615</v>
      </c>
      <c r="E6242" s="15" t="s">
        <v>38810</v>
      </c>
      <c r="F6242" s="87" t="s">
        <v>21871</v>
      </c>
      <c r="G6242" s="45" t="s">
        <v>12501</v>
      </c>
      <c r="H6242" s="55" t="s">
        <v>12502</v>
      </c>
      <c r="I6242" s="15" t="s">
        <v>2581</v>
      </c>
    </row>
    <row r="6243" spans="1:9" ht="51.75" customHeight="1" x14ac:dyDescent="0.35">
      <c r="A6243" s="15" t="s">
        <v>26937</v>
      </c>
      <c r="B6243" s="15" t="s">
        <v>38811</v>
      </c>
      <c r="C6243" s="15" t="s">
        <v>38812</v>
      </c>
      <c r="D6243" s="31">
        <v>42615</v>
      </c>
      <c r="E6243" s="15" t="s">
        <v>38813</v>
      </c>
      <c r="F6243" s="87" t="s">
        <v>21871</v>
      </c>
      <c r="G6243" s="45" t="s">
        <v>12501</v>
      </c>
      <c r="H6243" s="55" t="s">
        <v>12502</v>
      </c>
      <c r="I6243" s="15" t="s">
        <v>2581</v>
      </c>
    </row>
    <row r="6244" spans="1:9" ht="51.75" customHeight="1" x14ac:dyDescent="0.35">
      <c r="A6244" s="15" t="s">
        <v>25435</v>
      </c>
      <c r="B6244" s="15" t="s">
        <v>38814</v>
      </c>
      <c r="C6244" s="15" t="s">
        <v>38815</v>
      </c>
      <c r="D6244" s="31">
        <v>42615</v>
      </c>
      <c r="E6244" s="15" t="s">
        <v>38816</v>
      </c>
      <c r="F6244" s="87" t="s">
        <v>21871</v>
      </c>
      <c r="G6244" s="45" t="s">
        <v>12501</v>
      </c>
      <c r="H6244" s="55" t="s">
        <v>12502</v>
      </c>
      <c r="I6244" s="15" t="s">
        <v>2581</v>
      </c>
    </row>
    <row r="6245" spans="1:9" ht="51.75" customHeight="1" x14ac:dyDescent="0.35">
      <c r="A6245" s="15" t="s">
        <v>33907</v>
      </c>
      <c r="B6245" s="15" t="s">
        <v>38817</v>
      </c>
      <c r="C6245" s="15" t="s">
        <v>38818</v>
      </c>
      <c r="D6245" s="31">
        <v>42681</v>
      </c>
      <c r="E6245" s="15" t="s">
        <v>38819</v>
      </c>
      <c r="F6245" s="87" t="s">
        <v>21871</v>
      </c>
      <c r="G6245" s="45" t="s">
        <v>12544</v>
      </c>
      <c r="H6245" s="55" t="s">
        <v>12545</v>
      </c>
      <c r="I6245" s="15" t="s">
        <v>2581</v>
      </c>
    </row>
    <row r="6246" spans="1:9" ht="51.75" customHeight="1" x14ac:dyDescent="0.35">
      <c r="A6246" s="15" t="s">
        <v>33911</v>
      </c>
      <c r="B6246" s="15" t="s">
        <v>38820</v>
      </c>
      <c r="C6246" s="15" t="s">
        <v>38821</v>
      </c>
      <c r="D6246" s="31">
        <v>42681</v>
      </c>
      <c r="E6246" s="15" t="s">
        <v>38822</v>
      </c>
      <c r="F6246" s="87" t="s">
        <v>21871</v>
      </c>
      <c r="G6246" s="45" t="s">
        <v>12544</v>
      </c>
      <c r="H6246" s="55" t="s">
        <v>12545</v>
      </c>
      <c r="I6246" s="15" t="s">
        <v>2581</v>
      </c>
    </row>
    <row r="6247" spans="1:9" ht="51.75" customHeight="1" x14ac:dyDescent="0.35">
      <c r="A6247" s="15" t="s">
        <v>33915</v>
      </c>
      <c r="B6247" s="15" t="s">
        <v>38823</v>
      </c>
      <c r="C6247" s="15" t="s">
        <v>38824</v>
      </c>
      <c r="D6247" s="31">
        <v>42681</v>
      </c>
      <c r="E6247" s="15" t="s">
        <v>38825</v>
      </c>
      <c r="F6247" s="87" t="s">
        <v>21871</v>
      </c>
      <c r="G6247" s="45" t="s">
        <v>12544</v>
      </c>
      <c r="H6247" s="55" t="s">
        <v>12545</v>
      </c>
      <c r="I6247" s="15" t="s">
        <v>2581</v>
      </c>
    </row>
    <row r="6248" spans="1:9" ht="51.75" customHeight="1" x14ac:dyDescent="0.35">
      <c r="A6248" s="15" t="s">
        <v>38826</v>
      </c>
      <c r="B6248" s="15" t="s">
        <v>38827</v>
      </c>
      <c r="C6248" s="15" t="s">
        <v>38828</v>
      </c>
      <c r="D6248" s="31">
        <v>42681</v>
      </c>
      <c r="E6248" s="15" t="s">
        <v>38829</v>
      </c>
      <c r="F6248" s="87" t="s">
        <v>21871</v>
      </c>
      <c r="G6248" s="45" t="s">
        <v>12544</v>
      </c>
      <c r="H6248" s="55" t="s">
        <v>12545</v>
      </c>
      <c r="I6248" s="15" t="s">
        <v>2581</v>
      </c>
    </row>
    <row r="6249" spans="1:9" ht="51.75" customHeight="1" x14ac:dyDescent="0.35">
      <c r="A6249" s="15" t="s">
        <v>26348</v>
      </c>
      <c r="B6249" s="15" t="s">
        <v>38830</v>
      </c>
      <c r="C6249" s="15" t="s">
        <v>38831</v>
      </c>
      <c r="D6249" s="31">
        <v>42681</v>
      </c>
      <c r="E6249" s="15" t="s">
        <v>38832</v>
      </c>
      <c r="F6249" s="87" t="s">
        <v>21871</v>
      </c>
      <c r="G6249" s="45" t="s">
        <v>12544</v>
      </c>
      <c r="H6249" s="55" t="s">
        <v>12545</v>
      </c>
      <c r="I6249" s="15" t="s">
        <v>2581</v>
      </c>
    </row>
    <row r="6250" spans="1:9" ht="51.75" customHeight="1" x14ac:dyDescent="0.35">
      <c r="A6250" s="15" t="s">
        <v>22039</v>
      </c>
      <c r="B6250" s="15" t="s">
        <v>38833</v>
      </c>
      <c r="C6250" s="15" t="s">
        <v>38747</v>
      </c>
      <c r="D6250" s="31">
        <v>42768</v>
      </c>
      <c r="E6250" s="15" t="s">
        <v>38834</v>
      </c>
      <c r="F6250" s="87" t="s">
        <v>21871</v>
      </c>
      <c r="G6250" s="45" t="s">
        <v>12680</v>
      </c>
      <c r="H6250" s="55" t="s">
        <v>12681</v>
      </c>
      <c r="I6250" s="15" t="s">
        <v>2581</v>
      </c>
    </row>
    <row r="6251" spans="1:9" ht="51.75" customHeight="1" x14ac:dyDescent="0.35">
      <c r="A6251" s="15" t="s">
        <v>23412</v>
      </c>
      <c r="B6251" s="15" t="s">
        <v>38835</v>
      </c>
      <c r="C6251" s="15" t="s">
        <v>38836</v>
      </c>
      <c r="D6251" s="31">
        <v>42768</v>
      </c>
      <c r="E6251" s="15" t="s">
        <v>38837</v>
      </c>
      <c r="F6251" s="87" t="s">
        <v>21871</v>
      </c>
      <c r="G6251" s="45" t="s">
        <v>12680</v>
      </c>
      <c r="H6251" s="55" t="s">
        <v>12681</v>
      </c>
      <c r="I6251" s="15" t="s">
        <v>2581</v>
      </c>
    </row>
    <row r="6252" spans="1:9" ht="51.75" customHeight="1" x14ac:dyDescent="0.35">
      <c r="A6252" s="15" t="s">
        <v>25303</v>
      </c>
      <c r="B6252" s="15" t="s">
        <v>38838</v>
      </c>
      <c r="C6252" s="15" t="s">
        <v>38839</v>
      </c>
      <c r="D6252" s="31">
        <v>42774</v>
      </c>
      <c r="E6252" s="15" t="s">
        <v>38840</v>
      </c>
      <c r="F6252" s="87" t="s">
        <v>21871</v>
      </c>
      <c r="G6252" s="45" t="s">
        <v>12715</v>
      </c>
      <c r="H6252" s="55" t="s">
        <v>12716</v>
      </c>
      <c r="I6252" s="15" t="s">
        <v>2581</v>
      </c>
    </row>
    <row r="6253" spans="1:9" ht="51.75" customHeight="1" x14ac:dyDescent="0.35">
      <c r="A6253" s="15" t="s">
        <v>26390</v>
      </c>
      <c r="B6253" s="15" t="s">
        <v>38841</v>
      </c>
      <c r="C6253" s="15" t="s">
        <v>38842</v>
      </c>
      <c r="D6253" s="31">
        <v>42774</v>
      </c>
      <c r="E6253" s="15" t="s">
        <v>38843</v>
      </c>
      <c r="F6253" s="87" t="s">
        <v>21871</v>
      </c>
      <c r="G6253" s="45" t="s">
        <v>12715</v>
      </c>
      <c r="H6253" s="55" t="s">
        <v>12716</v>
      </c>
      <c r="I6253" s="15" t="s">
        <v>2581</v>
      </c>
    </row>
    <row r="6254" spans="1:9" ht="51.75" customHeight="1" x14ac:dyDescent="0.35">
      <c r="A6254" s="15" t="s">
        <v>26394</v>
      </c>
      <c r="B6254" s="15" t="s">
        <v>38844</v>
      </c>
      <c r="C6254" s="15" t="s">
        <v>38845</v>
      </c>
      <c r="D6254" s="31">
        <v>42774</v>
      </c>
      <c r="E6254" s="15" t="s">
        <v>38846</v>
      </c>
      <c r="F6254" s="87" t="s">
        <v>21871</v>
      </c>
      <c r="G6254" s="45" t="s">
        <v>12715</v>
      </c>
      <c r="H6254" s="55" t="s">
        <v>12716</v>
      </c>
      <c r="I6254" s="15" t="s">
        <v>2581</v>
      </c>
    </row>
    <row r="6255" spans="1:9" ht="51.75" customHeight="1" x14ac:dyDescent="0.35">
      <c r="A6255" s="15" t="s">
        <v>32476</v>
      </c>
      <c r="B6255" s="15" t="s">
        <v>38847</v>
      </c>
      <c r="C6255" s="15" t="s">
        <v>38848</v>
      </c>
      <c r="D6255" s="31">
        <v>42774</v>
      </c>
      <c r="E6255" s="15" t="s">
        <v>38849</v>
      </c>
      <c r="F6255" s="87" t="s">
        <v>21871</v>
      </c>
      <c r="G6255" s="45" t="s">
        <v>12715</v>
      </c>
      <c r="H6255" s="55" t="s">
        <v>12716</v>
      </c>
      <c r="I6255" s="15" t="s">
        <v>2581</v>
      </c>
    </row>
    <row r="6256" spans="1:9" ht="51.75" customHeight="1" x14ac:dyDescent="0.35">
      <c r="A6256" s="15" t="s">
        <v>35597</v>
      </c>
      <c r="B6256" s="15" t="s">
        <v>38850</v>
      </c>
      <c r="C6256" s="15" t="s">
        <v>38851</v>
      </c>
      <c r="D6256" s="31">
        <v>42697</v>
      </c>
      <c r="E6256" s="15" t="s">
        <v>38852</v>
      </c>
      <c r="F6256" s="87" t="s">
        <v>21871</v>
      </c>
      <c r="G6256" s="45" t="s">
        <v>12748</v>
      </c>
      <c r="H6256" s="55" t="s">
        <v>12749</v>
      </c>
      <c r="I6256" s="15" t="s">
        <v>2581</v>
      </c>
    </row>
    <row r="6257" spans="1:9" ht="51.75" customHeight="1" x14ac:dyDescent="0.35">
      <c r="A6257" s="15" t="s">
        <v>33925</v>
      </c>
      <c r="B6257" s="15" t="s">
        <v>38853</v>
      </c>
      <c r="C6257" s="15" t="s">
        <v>38854</v>
      </c>
      <c r="D6257" s="31">
        <v>42697</v>
      </c>
      <c r="E6257" s="15" t="s">
        <v>38855</v>
      </c>
      <c r="F6257" s="87" t="s">
        <v>21871</v>
      </c>
      <c r="G6257" s="45" t="s">
        <v>12748</v>
      </c>
      <c r="H6257" s="55" t="s">
        <v>12749</v>
      </c>
      <c r="I6257" s="15" t="s">
        <v>2581</v>
      </c>
    </row>
    <row r="6258" spans="1:9" ht="51.75" customHeight="1" x14ac:dyDescent="0.35">
      <c r="A6258" s="15" t="s">
        <v>22790</v>
      </c>
      <c r="B6258" s="15" t="s">
        <v>38856</v>
      </c>
      <c r="C6258" s="15" t="s">
        <v>38857</v>
      </c>
      <c r="D6258" s="31">
        <v>43007</v>
      </c>
      <c r="E6258" s="15" t="s">
        <v>38858</v>
      </c>
      <c r="F6258" s="87" t="s">
        <v>21871</v>
      </c>
      <c r="G6258" s="45" t="s">
        <v>13022</v>
      </c>
      <c r="H6258" s="55" t="s">
        <v>13023</v>
      </c>
      <c r="I6258" s="15" t="s">
        <v>2581</v>
      </c>
    </row>
    <row r="6259" spans="1:9" ht="51.75" customHeight="1" x14ac:dyDescent="0.35">
      <c r="A6259" s="15" t="s">
        <v>24736</v>
      </c>
      <c r="B6259" s="15" t="s">
        <v>38859</v>
      </c>
      <c r="C6259" s="15" t="s">
        <v>38860</v>
      </c>
      <c r="D6259" s="31">
        <v>43007</v>
      </c>
      <c r="E6259" s="15" t="s">
        <v>38861</v>
      </c>
      <c r="F6259" s="87" t="s">
        <v>21871</v>
      </c>
      <c r="G6259" s="45" t="s">
        <v>13022</v>
      </c>
      <c r="H6259" s="55" t="s">
        <v>13023</v>
      </c>
      <c r="I6259" s="15" t="s">
        <v>2581</v>
      </c>
    </row>
    <row r="6260" spans="1:9" ht="51.75" customHeight="1" x14ac:dyDescent="0.35">
      <c r="A6260" s="15" t="s">
        <v>22235</v>
      </c>
      <c r="B6260" s="15" t="s">
        <v>38862</v>
      </c>
      <c r="C6260" s="15" t="s">
        <v>38863</v>
      </c>
      <c r="D6260" s="31">
        <v>43007</v>
      </c>
      <c r="E6260" s="15" t="s">
        <v>38864</v>
      </c>
      <c r="F6260" s="87" t="s">
        <v>21871</v>
      </c>
      <c r="G6260" s="45" t="s">
        <v>13022</v>
      </c>
      <c r="H6260" s="55" t="s">
        <v>13023</v>
      </c>
      <c r="I6260" s="15" t="s">
        <v>2581</v>
      </c>
    </row>
    <row r="6261" spans="1:9" ht="51.75" customHeight="1" x14ac:dyDescent="0.35">
      <c r="A6261" s="15" t="s">
        <v>24747</v>
      </c>
      <c r="B6261" s="15" t="s">
        <v>38865</v>
      </c>
      <c r="C6261" s="15" t="s">
        <v>38866</v>
      </c>
      <c r="D6261" s="31">
        <v>43007</v>
      </c>
      <c r="E6261" s="15" t="s">
        <v>38867</v>
      </c>
      <c r="F6261" s="87" t="s">
        <v>21871</v>
      </c>
      <c r="G6261" s="45" t="s">
        <v>13022</v>
      </c>
      <c r="H6261" s="55" t="s">
        <v>13023</v>
      </c>
      <c r="I6261" s="15" t="s">
        <v>2581</v>
      </c>
    </row>
    <row r="6262" spans="1:9" ht="51.75" customHeight="1" x14ac:dyDescent="0.35">
      <c r="A6262" s="15" t="s">
        <v>32801</v>
      </c>
      <c r="B6262" s="15" t="s">
        <v>38868</v>
      </c>
      <c r="C6262" s="15" t="s">
        <v>38869</v>
      </c>
      <c r="D6262" s="31">
        <v>43007</v>
      </c>
      <c r="E6262" s="15" t="s">
        <v>38870</v>
      </c>
      <c r="F6262" s="87" t="s">
        <v>21871</v>
      </c>
      <c r="G6262" s="45" t="s">
        <v>13022</v>
      </c>
      <c r="H6262" s="55" t="s">
        <v>13023</v>
      </c>
      <c r="I6262" s="15" t="s">
        <v>2581</v>
      </c>
    </row>
    <row r="6263" spans="1:9" ht="51.75" customHeight="1" x14ac:dyDescent="0.35">
      <c r="A6263" s="15" t="s">
        <v>32805</v>
      </c>
      <c r="B6263" s="15" t="s">
        <v>38871</v>
      </c>
      <c r="C6263" s="15" t="s">
        <v>38872</v>
      </c>
      <c r="D6263" s="31">
        <v>43007</v>
      </c>
      <c r="E6263" s="15" t="s">
        <v>38873</v>
      </c>
      <c r="F6263" s="87" t="s">
        <v>21871</v>
      </c>
      <c r="G6263" s="45" t="s">
        <v>13022</v>
      </c>
      <c r="H6263" s="55" t="s">
        <v>13023</v>
      </c>
      <c r="I6263" s="15" t="s">
        <v>2581</v>
      </c>
    </row>
    <row r="6264" spans="1:9" ht="51.75" customHeight="1" x14ac:dyDescent="0.35">
      <c r="A6264" s="15" t="s">
        <v>27327</v>
      </c>
      <c r="B6264" s="15" t="s">
        <v>38874</v>
      </c>
      <c r="C6264" s="15" t="s">
        <v>38875</v>
      </c>
      <c r="D6264" s="31">
        <v>43007</v>
      </c>
      <c r="E6264" s="15" t="s">
        <v>38876</v>
      </c>
      <c r="F6264" s="87" t="s">
        <v>21871</v>
      </c>
      <c r="G6264" s="45" t="s">
        <v>13022</v>
      </c>
      <c r="H6264" s="55" t="s">
        <v>13023</v>
      </c>
      <c r="I6264" s="15" t="s">
        <v>2581</v>
      </c>
    </row>
    <row r="6265" spans="1:9" ht="51.75" customHeight="1" x14ac:dyDescent="0.35">
      <c r="A6265" s="15" t="s">
        <v>26699</v>
      </c>
      <c r="B6265" s="15" t="s">
        <v>38877</v>
      </c>
      <c r="C6265" s="15" t="s">
        <v>38878</v>
      </c>
      <c r="D6265" s="31">
        <v>43007</v>
      </c>
      <c r="E6265" s="15" t="s">
        <v>38879</v>
      </c>
      <c r="F6265" s="87" t="s">
        <v>21871</v>
      </c>
      <c r="G6265" s="45" t="s">
        <v>13022</v>
      </c>
      <c r="H6265" s="55" t="s">
        <v>13023</v>
      </c>
      <c r="I6265" s="15" t="s">
        <v>2581</v>
      </c>
    </row>
    <row r="6266" spans="1:9" ht="51.75" customHeight="1" x14ac:dyDescent="0.35">
      <c r="A6266" s="15" t="s">
        <v>26702</v>
      </c>
      <c r="B6266" s="15" t="s">
        <v>38880</v>
      </c>
      <c r="C6266" s="15" t="s">
        <v>38881</v>
      </c>
      <c r="D6266" s="31">
        <v>42979</v>
      </c>
      <c r="E6266" s="15" t="s">
        <v>38882</v>
      </c>
      <c r="F6266" s="87" t="s">
        <v>21871</v>
      </c>
      <c r="G6266" s="45" t="s">
        <v>13022</v>
      </c>
      <c r="H6266" s="55" t="s">
        <v>13023</v>
      </c>
      <c r="I6266" s="15" t="s">
        <v>2581</v>
      </c>
    </row>
    <row r="6267" spans="1:9" ht="51.75" customHeight="1" x14ac:dyDescent="0.35">
      <c r="A6267" s="15" t="s">
        <v>26705</v>
      </c>
      <c r="B6267" s="15" t="s">
        <v>38883</v>
      </c>
      <c r="C6267" s="15" t="s">
        <v>38884</v>
      </c>
      <c r="D6267" s="31">
        <v>43007</v>
      </c>
      <c r="E6267" s="15" t="s">
        <v>38885</v>
      </c>
      <c r="F6267" s="87" t="s">
        <v>21871</v>
      </c>
      <c r="G6267" s="45" t="s">
        <v>13022</v>
      </c>
      <c r="H6267" s="55" t="s">
        <v>13023</v>
      </c>
      <c r="I6267" s="15" t="s">
        <v>2581</v>
      </c>
    </row>
    <row r="6268" spans="1:9" ht="51.75" customHeight="1" x14ac:dyDescent="0.35">
      <c r="A6268" s="15" t="s">
        <v>26708</v>
      </c>
      <c r="B6268" s="15" t="s">
        <v>38886</v>
      </c>
      <c r="C6268" s="15" t="s">
        <v>38887</v>
      </c>
      <c r="D6268" s="31">
        <v>43007</v>
      </c>
      <c r="E6268" s="15" t="s">
        <v>38888</v>
      </c>
      <c r="F6268" s="87" t="s">
        <v>21871</v>
      </c>
      <c r="G6268" s="45" t="s">
        <v>13022</v>
      </c>
      <c r="H6268" s="55" t="s">
        <v>13023</v>
      </c>
      <c r="I6268" s="15" t="s">
        <v>2581</v>
      </c>
    </row>
    <row r="6269" spans="1:9" ht="51.75" customHeight="1" x14ac:dyDescent="0.35">
      <c r="A6269" s="15" t="s">
        <v>26711</v>
      </c>
      <c r="B6269" s="15" t="s">
        <v>38889</v>
      </c>
      <c r="C6269" s="15" t="s">
        <v>38890</v>
      </c>
      <c r="D6269" s="31">
        <v>42979</v>
      </c>
      <c r="E6269" s="15" t="s">
        <v>38891</v>
      </c>
      <c r="F6269" s="87" t="s">
        <v>21871</v>
      </c>
      <c r="G6269" s="45" t="s">
        <v>13022</v>
      </c>
      <c r="H6269" s="55" t="s">
        <v>13023</v>
      </c>
      <c r="I6269" s="15" t="s">
        <v>2581</v>
      </c>
    </row>
    <row r="6270" spans="1:9" ht="51.75" customHeight="1" x14ac:dyDescent="0.35">
      <c r="A6270" s="15" t="s">
        <v>27337</v>
      </c>
      <c r="B6270" s="15" t="s">
        <v>38892</v>
      </c>
      <c r="C6270" s="15" t="s">
        <v>38893</v>
      </c>
      <c r="D6270" s="31">
        <v>43007</v>
      </c>
      <c r="E6270" s="15" t="s">
        <v>38894</v>
      </c>
      <c r="F6270" s="87" t="s">
        <v>21871</v>
      </c>
      <c r="G6270" s="45" t="s">
        <v>13022</v>
      </c>
      <c r="H6270" s="55" t="s">
        <v>13023</v>
      </c>
      <c r="I6270" s="15" t="s">
        <v>2581</v>
      </c>
    </row>
    <row r="6271" spans="1:9" ht="51.75" customHeight="1" x14ac:dyDescent="0.35">
      <c r="A6271" s="15" t="s">
        <v>22797</v>
      </c>
      <c r="B6271" s="15" t="s">
        <v>38895</v>
      </c>
      <c r="C6271" s="15" t="s">
        <v>38896</v>
      </c>
      <c r="D6271" s="31">
        <v>42979</v>
      </c>
      <c r="E6271" s="15" t="s">
        <v>38897</v>
      </c>
      <c r="F6271" s="87" t="s">
        <v>21871</v>
      </c>
      <c r="G6271" s="45" t="s">
        <v>13022</v>
      </c>
      <c r="H6271" s="55" t="s">
        <v>13023</v>
      </c>
      <c r="I6271" s="15" t="s">
        <v>2581</v>
      </c>
    </row>
    <row r="6272" spans="1:9" ht="51.75" customHeight="1" x14ac:dyDescent="0.35">
      <c r="A6272" s="15" t="s">
        <v>26885</v>
      </c>
      <c r="B6272" s="15" t="s">
        <v>38898</v>
      </c>
      <c r="C6272" s="15" t="s">
        <v>38899</v>
      </c>
      <c r="D6272" s="31">
        <v>43007</v>
      </c>
      <c r="E6272" s="15" t="s">
        <v>38900</v>
      </c>
      <c r="F6272" s="87" t="s">
        <v>21871</v>
      </c>
      <c r="G6272" s="45" t="s">
        <v>13022</v>
      </c>
      <c r="H6272" s="55" t="s">
        <v>13023</v>
      </c>
      <c r="I6272" s="15" t="s">
        <v>2581</v>
      </c>
    </row>
    <row r="6273" spans="1:9" ht="51.75" customHeight="1" x14ac:dyDescent="0.35">
      <c r="A6273" s="15" t="s">
        <v>24957</v>
      </c>
      <c r="B6273" s="15" t="s">
        <v>38901</v>
      </c>
      <c r="C6273" s="15" t="s">
        <v>38902</v>
      </c>
      <c r="D6273" s="31">
        <v>43007</v>
      </c>
      <c r="E6273" s="15" t="s">
        <v>38903</v>
      </c>
      <c r="F6273" s="87" t="s">
        <v>21871</v>
      </c>
      <c r="G6273" s="45" t="s">
        <v>13022</v>
      </c>
      <c r="H6273" s="55" t="s">
        <v>13023</v>
      </c>
      <c r="I6273" s="15" t="s">
        <v>2581</v>
      </c>
    </row>
    <row r="6274" spans="1:9" ht="51.75" customHeight="1" x14ac:dyDescent="0.35">
      <c r="A6274" s="15" t="s">
        <v>22110</v>
      </c>
      <c r="B6274" s="15" t="s">
        <v>38904</v>
      </c>
      <c r="C6274" s="15" t="s">
        <v>38905</v>
      </c>
      <c r="D6274" s="31">
        <v>42956</v>
      </c>
      <c r="E6274" s="15" t="s">
        <v>38906</v>
      </c>
      <c r="F6274" s="87" t="s">
        <v>21871</v>
      </c>
      <c r="G6274" s="45" t="s">
        <v>13243</v>
      </c>
      <c r="H6274" s="55" t="s">
        <v>13244</v>
      </c>
      <c r="I6274" s="15" t="s">
        <v>2581</v>
      </c>
    </row>
    <row r="6275" spans="1:9" ht="51.75" customHeight="1" x14ac:dyDescent="0.35">
      <c r="A6275" s="15" t="s">
        <v>22114</v>
      </c>
      <c r="B6275" s="15" t="s">
        <v>38907</v>
      </c>
      <c r="C6275" s="15" t="s">
        <v>38908</v>
      </c>
      <c r="D6275" s="31">
        <v>42956</v>
      </c>
      <c r="E6275" s="15" t="s">
        <v>38909</v>
      </c>
      <c r="F6275" s="87" t="s">
        <v>21871</v>
      </c>
      <c r="G6275" s="45" t="s">
        <v>13243</v>
      </c>
      <c r="H6275" s="55" t="s">
        <v>13244</v>
      </c>
      <c r="I6275" s="15" t="s">
        <v>2581</v>
      </c>
    </row>
    <row r="6276" spans="1:9" ht="51.75" customHeight="1" x14ac:dyDescent="0.35">
      <c r="A6276" s="15" t="s">
        <v>22186</v>
      </c>
      <c r="B6276" s="15" t="s">
        <v>38910</v>
      </c>
      <c r="C6276" s="15" t="s">
        <v>38911</v>
      </c>
      <c r="D6276" s="31">
        <v>42956</v>
      </c>
      <c r="E6276" s="15" t="s">
        <v>38912</v>
      </c>
      <c r="F6276" s="87" t="s">
        <v>21871</v>
      </c>
      <c r="G6276" s="45" t="s">
        <v>13243</v>
      </c>
      <c r="H6276" s="55" t="s">
        <v>13244</v>
      </c>
      <c r="I6276" s="15" t="s">
        <v>2581</v>
      </c>
    </row>
    <row r="6277" spans="1:9" ht="51.75" customHeight="1" x14ac:dyDescent="0.35">
      <c r="A6277" s="15" t="s">
        <v>22227</v>
      </c>
      <c r="B6277" s="15" t="s">
        <v>38913</v>
      </c>
      <c r="C6277" s="15" t="s">
        <v>38914</v>
      </c>
      <c r="D6277" s="31">
        <v>42977</v>
      </c>
      <c r="E6277" s="15" t="s">
        <v>38915</v>
      </c>
      <c r="F6277" s="87" t="s">
        <v>21871</v>
      </c>
      <c r="G6277" s="45" t="s">
        <v>13578</v>
      </c>
      <c r="H6277" s="55" t="s">
        <v>13579</v>
      </c>
      <c r="I6277" s="15" t="s">
        <v>2581</v>
      </c>
    </row>
    <row r="6278" spans="1:9" ht="51.75" customHeight="1" x14ac:dyDescent="0.35">
      <c r="A6278" s="15" t="s">
        <v>23937</v>
      </c>
      <c r="B6278" s="15" t="s">
        <v>38916</v>
      </c>
      <c r="C6278" s="15" t="s">
        <v>38917</v>
      </c>
      <c r="D6278" s="31">
        <v>42977</v>
      </c>
      <c r="E6278" s="15" t="s">
        <v>38918</v>
      </c>
      <c r="F6278" s="87" t="s">
        <v>21871</v>
      </c>
      <c r="G6278" s="45" t="s">
        <v>13578</v>
      </c>
      <c r="H6278" s="55" t="s">
        <v>13579</v>
      </c>
      <c r="I6278" s="15" t="s">
        <v>2581</v>
      </c>
    </row>
    <row r="6279" spans="1:9" ht="51.75" customHeight="1" x14ac:dyDescent="0.35">
      <c r="A6279" s="15" t="s">
        <v>23629</v>
      </c>
      <c r="B6279" s="15" t="s">
        <v>38919</v>
      </c>
      <c r="C6279" s="15" t="s">
        <v>38920</v>
      </c>
      <c r="D6279" s="31">
        <v>42977</v>
      </c>
      <c r="E6279" s="15" t="s">
        <v>38921</v>
      </c>
      <c r="F6279" s="87" t="s">
        <v>21871</v>
      </c>
      <c r="G6279" s="45" t="s">
        <v>13578</v>
      </c>
      <c r="H6279" s="55" t="s">
        <v>13579</v>
      </c>
      <c r="I6279" s="15" t="s">
        <v>2581</v>
      </c>
    </row>
    <row r="6280" spans="1:9" ht="51.75" customHeight="1" x14ac:dyDescent="0.35">
      <c r="A6280" s="15" t="s">
        <v>23203</v>
      </c>
      <c r="B6280" s="15" t="s">
        <v>38922</v>
      </c>
      <c r="C6280" s="15" t="s">
        <v>38923</v>
      </c>
      <c r="D6280" s="31">
        <v>43089</v>
      </c>
      <c r="E6280" s="15" t="s">
        <v>38924</v>
      </c>
      <c r="F6280" s="87" t="s">
        <v>21871</v>
      </c>
      <c r="G6280" s="45" t="s">
        <v>14164</v>
      </c>
      <c r="H6280" s="55" t="s">
        <v>14165</v>
      </c>
      <c r="I6280" s="15" t="s">
        <v>2581</v>
      </c>
    </row>
    <row r="6281" spans="1:9" ht="51.75" customHeight="1" x14ac:dyDescent="0.35">
      <c r="A6281" s="15" t="s">
        <v>24581</v>
      </c>
      <c r="B6281" s="15" t="s">
        <v>38925</v>
      </c>
      <c r="C6281" s="15" t="s">
        <v>38926</v>
      </c>
      <c r="D6281" s="31">
        <v>43089</v>
      </c>
      <c r="E6281" s="15" t="s">
        <v>38927</v>
      </c>
      <c r="F6281" s="87" t="s">
        <v>21871</v>
      </c>
      <c r="G6281" s="45" t="s">
        <v>14164</v>
      </c>
      <c r="H6281" s="55" t="s">
        <v>14165</v>
      </c>
      <c r="I6281" s="15" t="s">
        <v>2581</v>
      </c>
    </row>
    <row r="6282" spans="1:9" ht="51.75" customHeight="1" x14ac:dyDescent="0.35">
      <c r="A6282" s="15" t="s">
        <v>24587</v>
      </c>
      <c r="B6282" s="15" t="s">
        <v>38928</v>
      </c>
      <c r="C6282" s="15" t="s">
        <v>38929</v>
      </c>
      <c r="D6282" s="31">
        <v>43089</v>
      </c>
      <c r="E6282" s="15" t="s">
        <v>38930</v>
      </c>
      <c r="F6282" s="87" t="s">
        <v>21871</v>
      </c>
      <c r="G6282" s="45" t="s">
        <v>14164</v>
      </c>
      <c r="H6282" s="55" t="s">
        <v>14165</v>
      </c>
      <c r="I6282" s="15" t="s">
        <v>2581</v>
      </c>
    </row>
    <row r="6283" spans="1:9" ht="51.75" customHeight="1" x14ac:dyDescent="0.35">
      <c r="A6283" s="15" t="s">
        <v>25264</v>
      </c>
      <c r="B6283" s="15" t="s">
        <v>38931</v>
      </c>
      <c r="C6283" s="15" t="s">
        <v>38932</v>
      </c>
      <c r="D6283" s="31">
        <v>43089</v>
      </c>
      <c r="E6283" s="15" t="s">
        <v>38933</v>
      </c>
      <c r="F6283" s="87" t="s">
        <v>21871</v>
      </c>
      <c r="G6283" s="45" t="s">
        <v>14164</v>
      </c>
      <c r="H6283" s="55" t="s">
        <v>14165</v>
      </c>
      <c r="I6283" s="15" t="s">
        <v>2581</v>
      </c>
    </row>
    <row r="6284" spans="1:9" ht="51.75" customHeight="1" x14ac:dyDescent="0.35">
      <c r="A6284" s="15" t="s">
        <v>25223</v>
      </c>
      <c r="B6284" s="15" t="s">
        <v>38934</v>
      </c>
      <c r="C6284" s="15" t="s">
        <v>38935</v>
      </c>
      <c r="D6284" s="31">
        <v>43455</v>
      </c>
      <c r="E6284" s="15" t="s">
        <v>38936</v>
      </c>
      <c r="F6284" s="87" t="s">
        <v>21871</v>
      </c>
      <c r="G6284" s="45" t="s">
        <v>14918</v>
      </c>
      <c r="H6284" s="55" t="s">
        <v>14919</v>
      </c>
      <c r="I6284" s="15" t="s">
        <v>2581</v>
      </c>
    </row>
    <row r="6285" spans="1:9" ht="51.75" customHeight="1" x14ac:dyDescent="0.35">
      <c r="A6285" s="15" t="s">
        <v>25229</v>
      </c>
      <c r="B6285" s="15" t="s">
        <v>38937</v>
      </c>
      <c r="C6285" s="15" t="s">
        <v>38938</v>
      </c>
      <c r="D6285" s="31">
        <v>43455</v>
      </c>
      <c r="E6285" s="15" t="s">
        <v>38939</v>
      </c>
      <c r="F6285" s="87" t="s">
        <v>21871</v>
      </c>
      <c r="G6285" s="45" t="s">
        <v>14918</v>
      </c>
      <c r="H6285" s="55" t="s">
        <v>14919</v>
      </c>
      <c r="I6285" s="15" t="s">
        <v>2581</v>
      </c>
    </row>
    <row r="6286" spans="1:9" ht="51.75" customHeight="1" x14ac:dyDescent="0.35">
      <c r="A6286" s="15" t="s">
        <v>21879</v>
      </c>
      <c r="B6286" s="15" t="s">
        <v>38940</v>
      </c>
      <c r="C6286" s="15" t="s">
        <v>38941</v>
      </c>
      <c r="D6286" s="31">
        <v>43455</v>
      </c>
      <c r="E6286" s="15" t="s">
        <v>38942</v>
      </c>
      <c r="F6286" s="87" t="s">
        <v>21871</v>
      </c>
      <c r="G6286" s="45" t="s">
        <v>14918</v>
      </c>
      <c r="H6286" s="55" t="s">
        <v>14919</v>
      </c>
      <c r="I6286" s="15" t="s">
        <v>2581</v>
      </c>
    </row>
    <row r="6287" spans="1:9" ht="51.75" customHeight="1" x14ac:dyDescent="0.35">
      <c r="A6287" s="15" t="s">
        <v>25482</v>
      </c>
      <c r="B6287" s="15" t="s">
        <v>38943</v>
      </c>
      <c r="C6287" s="15" t="s">
        <v>38944</v>
      </c>
      <c r="D6287" s="31">
        <v>43455</v>
      </c>
      <c r="E6287" s="15" t="s">
        <v>38945</v>
      </c>
      <c r="F6287" s="87" t="s">
        <v>21871</v>
      </c>
      <c r="G6287" s="45" t="s">
        <v>14918</v>
      </c>
      <c r="H6287" s="55" t="s">
        <v>14919</v>
      </c>
      <c r="I6287" s="15" t="s">
        <v>2581</v>
      </c>
    </row>
    <row r="6288" spans="1:9" ht="51.75" customHeight="1" x14ac:dyDescent="0.35">
      <c r="A6288" s="15" t="s">
        <v>25488</v>
      </c>
      <c r="B6288" s="15" t="s">
        <v>38946</v>
      </c>
      <c r="C6288" s="15" t="s">
        <v>38947</v>
      </c>
      <c r="D6288" s="31">
        <v>43455</v>
      </c>
      <c r="E6288" s="15" t="s">
        <v>38948</v>
      </c>
      <c r="F6288" s="87" t="s">
        <v>21871</v>
      </c>
      <c r="G6288" s="45" t="s">
        <v>14918</v>
      </c>
      <c r="H6288" s="55" t="s">
        <v>14919</v>
      </c>
      <c r="I6288" s="15" t="s">
        <v>2581</v>
      </c>
    </row>
    <row r="6289" spans="1:9" ht="51.75" customHeight="1" x14ac:dyDescent="0.35">
      <c r="A6289" s="15" t="s">
        <v>22019</v>
      </c>
      <c r="B6289" s="15" t="s">
        <v>38949</v>
      </c>
      <c r="C6289" s="15" t="s">
        <v>38950</v>
      </c>
      <c r="D6289" s="31">
        <v>43455</v>
      </c>
      <c r="E6289" s="15" t="s">
        <v>38951</v>
      </c>
      <c r="F6289" s="87" t="s">
        <v>21871</v>
      </c>
      <c r="G6289" s="45" t="s">
        <v>14918</v>
      </c>
      <c r="H6289" s="55" t="s">
        <v>14919</v>
      </c>
      <c r="I6289" s="15" t="s">
        <v>2581</v>
      </c>
    </row>
    <row r="6290" spans="1:9" ht="51.75" customHeight="1" x14ac:dyDescent="0.35">
      <c r="A6290" s="15" t="s">
        <v>21987</v>
      </c>
      <c r="B6290" s="15" t="s">
        <v>38952</v>
      </c>
      <c r="C6290" s="15" t="s">
        <v>38953</v>
      </c>
      <c r="D6290" s="31">
        <v>43455</v>
      </c>
      <c r="E6290" s="15" t="s">
        <v>38954</v>
      </c>
      <c r="F6290" s="87" t="s">
        <v>21871</v>
      </c>
      <c r="G6290" s="45" t="s">
        <v>14918</v>
      </c>
      <c r="H6290" s="55" t="s">
        <v>14919</v>
      </c>
      <c r="I6290" s="15" t="s">
        <v>2581</v>
      </c>
    </row>
    <row r="6291" spans="1:9" ht="51.75" customHeight="1" x14ac:dyDescent="0.35">
      <c r="A6291" s="15" t="s">
        <v>21991</v>
      </c>
      <c r="B6291" s="15" t="s">
        <v>38955</v>
      </c>
      <c r="C6291" s="15" t="s">
        <v>38956</v>
      </c>
      <c r="D6291" s="31">
        <v>43455</v>
      </c>
      <c r="E6291" s="15" t="s">
        <v>38957</v>
      </c>
      <c r="F6291" s="87" t="s">
        <v>21871</v>
      </c>
      <c r="G6291" s="45" t="s">
        <v>14918</v>
      </c>
      <c r="H6291" s="55" t="s">
        <v>14919</v>
      </c>
      <c r="I6291" s="15" t="s">
        <v>2581</v>
      </c>
    </row>
    <row r="6292" spans="1:9" ht="51.75" customHeight="1" x14ac:dyDescent="0.35">
      <c r="A6292" s="15" t="s">
        <v>22463</v>
      </c>
      <c r="B6292" s="15" t="s">
        <v>38958</v>
      </c>
      <c r="C6292" s="15" t="s">
        <v>38959</v>
      </c>
      <c r="D6292" s="31">
        <v>43495</v>
      </c>
      <c r="E6292" s="15" t="s">
        <v>38960</v>
      </c>
      <c r="F6292" s="87" t="s">
        <v>21871</v>
      </c>
      <c r="G6292" s="45" t="s">
        <v>15031</v>
      </c>
      <c r="H6292" s="55" t="s">
        <v>15032</v>
      </c>
      <c r="I6292" s="15" t="s">
        <v>2581</v>
      </c>
    </row>
    <row r="6293" spans="1:9" ht="51.75" customHeight="1" x14ac:dyDescent="0.35">
      <c r="A6293" s="15" t="s">
        <v>22467</v>
      </c>
      <c r="B6293" s="15" t="s">
        <v>38961</v>
      </c>
      <c r="C6293" s="15" t="s">
        <v>38962</v>
      </c>
      <c r="D6293" s="31">
        <v>43495</v>
      </c>
      <c r="E6293" s="15" t="s">
        <v>38963</v>
      </c>
      <c r="F6293" s="87" t="s">
        <v>21871</v>
      </c>
      <c r="G6293" s="45" t="s">
        <v>15031</v>
      </c>
      <c r="H6293" s="55" t="s">
        <v>15032</v>
      </c>
      <c r="I6293" s="15" t="s">
        <v>2581</v>
      </c>
    </row>
    <row r="6294" spans="1:9" ht="51.75" customHeight="1" x14ac:dyDescent="0.35">
      <c r="A6294" s="15" t="s">
        <v>24386</v>
      </c>
      <c r="B6294" s="15" t="s">
        <v>38964</v>
      </c>
      <c r="C6294" s="15" t="s">
        <v>38965</v>
      </c>
      <c r="D6294" s="31">
        <v>43495</v>
      </c>
      <c r="E6294" s="15" t="s">
        <v>38966</v>
      </c>
      <c r="F6294" s="87" t="s">
        <v>21871</v>
      </c>
      <c r="G6294" s="45" t="s">
        <v>15031</v>
      </c>
      <c r="H6294" s="55" t="s">
        <v>15032</v>
      </c>
      <c r="I6294" s="15" t="s">
        <v>2581</v>
      </c>
    </row>
    <row r="6295" spans="1:9" ht="51.75" customHeight="1" x14ac:dyDescent="0.35">
      <c r="A6295" s="15" t="s">
        <v>22895</v>
      </c>
      <c r="B6295" s="15" t="s">
        <v>38967</v>
      </c>
      <c r="C6295" s="15" t="s">
        <v>38968</v>
      </c>
      <c r="D6295" s="31">
        <v>43605</v>
      </c>
      <c r="E6295" s="15" t="s">
        <v>38969</v>
      </c>
      <c r="F6295" s="87" t="s">
        <v>21871</v>
      </c>
      <c r="G6295" s="45" t="s">
        <v>15956</v>
      </c>
      <c r="H6295" s="55" t="s">
        <v>15957</v>
      </c>
      <c r="I6295" s="15" t="s">
        <v>2581</v>
      </c>
    </row>
    <row r="6296" spans="1:9" ht="51.75" customHeight="1" x14ac:dyDescent="0.35">
      <c r="A6296" s="15" t="s">
        <v>25038</v>
      </c>
      <c r="B6296" s="15" t="s">
        <v>38970</v>
      </c>
      <c r="C6296" s="15" t="s">
        <v>38971</v>
      </c>
      <c r="D6296" s="31">
        <v>43605</v>
      </c>
      <c r="E6296" s="15" t="s">
        <v>38972</v>
      </c>
      <c r="F6296" s="87" t="s">
        <v>21871</v>
      </c>
      <c r="G6296" s="45" t="s">
        <v>15956</v>
      </c>
      <c r="H6296" s="55" t="s">
        <v>15957</v>
      </c>
      <c r="I6296" s="15" t="s">
        <v>2581</v>
      </c>
    </row>
    <row r="6297" spans="1:9" ht="51.75" customHeight="1" x14ac:dyDescent="0.35">
      <c r="A6297" s="15" t="s">
        <v>25044</v>
      </c>
      <c r="B6297" s="15" t="s">
        <v>38973</v>
      </c>
      <c r="C6297" s="15" t="s">
        <v>38974</v>
      </c>
      <c r="D6297" s="31">
        <v>43605</v>
      </c>
      <c r="E6297" s="15" t="s">
        <v>38975</v>
      </c>
      <c r="F6297" s="87" t="s">
        <v>21871</v>
      </c>
      <c r="G6297" s="45" t="s">
        <v>15956</v>
      </c>
      <c r="H6297" s="55" t="s">
        <v>15957</v>
      </c>
      <c r="I6297" s="15" t="s">
        <v>2581</v>
      </c>
    </row>
    <row r="6298" spans="1:9" ht="51.75" customHeight="1" x14ac:dyDescent="0.35">
      <c r="A6298" s="15" t="s">
        <v>38451</v>
      </c>
      <c r="B6298" s="15" t="s">
        <v>38976</v>
      </c>
      <c r="C6298" s="15" t="s">
        <v>38977</v>
      </c>
      <c r="D6298" s="31">
        <v>43677</v>
      </c>
      <c r="E6298" s="15" t="s">
        <v>38978</v>
      </c>
      <c r="F6298" s="87" t="s">
        <v>21871</v>
      </c>
      <c r="G6298" s="45" t="s">
        <v>16071</v>
      </c>
      <c r="H6298" s="55" t="s">
        <v>16072</v>
      </c>
      <c r="I6298" s="15" t="s">
        <v>2581</v>
      </c>
    </row>
    <row r="6299" spans="1:9" ht="51.75" customHeight="1" x14ac:dyDescent="0.35">
      <c r="A6299" s="15" t="s">
        <v>38457</v>
      </c>
      <c r="B6299" s="15" t="s">
        <v>38979</v>
      </c>
      <c r="C6299" s="15" t="s">
        <v>38980</v>
      </c>
      <c r="D6299" s="31">
        <v>43677</v>
      </c>
      <c r="E6299" s="15" t="s">
        <v>38981</v>
      </c>
      <c r="F6299" s="87" t="s">
        <v>21871</v>
      </c>
      <c r="G6299" s="45" t="s">
        <v>16071</v>
      </c>
      <c r="H6299" s="55" t="s">
        <v>16072</v>
      </c>
      <c r="I6299" s="15" t="s">
        <v>2581</v>
      </c>
    </row>
    <row r="6300" spans="1:9" ht="51.75" customHeight="1" x14ac:dyDescent="0.35">
      <c r="A6300" s="15" t="s">
        <v>38982</v>
      </c>
      <c r="B6300" s="15" t="s">
        <v>38983</v>
      </c>
      <c r="C6300" s="15" t="s">
        <v>38984</v>
      </c>
      <c r="D6300" s="31">
        <v>43677</v>
      </c>
      <c r="E6300" s="15" t="s">
        <v>38985</v>
      </c>
      <c r="F6300" s="87" t="s">
        <v>21871</v>
      </c>
      <c r="G6300" s="45" t="s">
        <v>16071</v>
      </c>
      <c r="H6300" s="55" t="s">
        <v>16072</v>
      </c>
      <c r="I6300" s="15" t="s">
        <v>2581</v>
      </c>
    </row>
    <row r="6301" spans="1:9" ht="51.75" customHeight="1" x14ac:dyDescent="0.35">
      <c r="A6301" s="15" t="s">
        <v>38986</v>
      </c>
      <c r="B6301" s="15" t="s">
        <v>38987</v>
      </c>
      <c r="C6301" s="15" t="s">
        <v>38988</v>
      </c>
      <c r="D6301" s="31">
        <v>43677</v>
      </c>
      <c r="E6301" s="15" t="s">
        <v>38989</v>
      </c>
      <c r="F6301" s="87" t="s">
        <v>21871</v>
      </c>
      <c r="G6301" s="45" t="s">
        <v>16071</v>
      </c>
      <c r="H6301" s="55" t="s">
        <v>16072</v>
      </c>
      <c r="I6301" s="15" t="s">
        <v>2581</v>
      </c>
    </row>
    <row r="6302" spans="1:9" ht="51.75" customHeight="1" x14ac:dyDescent="0.35">
      <c r="A6302" s="15" t="s">
        <v>25050</v>
      </c>
      <c r="B6302" s="15" t="s">
        <v>38990</v>
      </c>
      <c r="C6302" s="15" t="s">
        <v>38991</v>
      </c>
      <c r="D6302" s="31">
        <v>43651</v>
      </c>
      <c r="E6302" s="15" t="s">
        <v>38992</v>
      </c>
      <c r="F6302" s="87" t="s">
        <v>21871</v>
      </c>
      <c r="G6302" s="45" t="s">
        <v>16270</v>
      </c>
      <c r="H6302" s="55" t="s">
        <v>16271</v>
      </c>
      <c r="I6302" s="15" t="s">
        <v>2581</v>
      </c>
    </row>
    <row r="6303" spans="1:9" ht="51.75" customHeight="1" x14ac:dyDescent="0.35">
      <c r="A6303" s="15" t="s">
        <v>25089</v>
      </c>
      <c r="B6303" s="15" t="s">
        <v>38993</v>
      </c>
      <c r="C6303" s="15" t="s">
        <v>38994</v>
      </c>
      <c r="D6303" s="31">
        <v>43651</v>
      </c>
      <c r="E6303" s="15" t="s">
        <v>38995</v>
      </c>
      <c r="F6303" s="87" t="s">
        <v>21871</v>
      </c>
      <c r="G6303" s="45" t="s">
        <v>16270</v>
      </c>
      <c r="H6303" s="55" t="s">
        <v>16271</v>
      </c>
      <c r="I6303" s="15" t="s">
        <v>2581</v>
      </c>
    </row>
    <row r="6304" spans="1:9" ht="51.75" customHeight="1" x14ac:dyDescent="0.35">
      <c r="A6304" s="15" t="s">
        <v>22899</v>
      </c>
      <c r="B6304" s="15" t="s">
        <v>38996</v>
      </c>
      <c r="C6304" s="15" t="s">
        <v>38997</v>
      </c>
      <c r="D6304" s="31">
        <v>43651</v>
      </c>
      <c r="E6304" s="15" t="s">
        <v>38998</v>
      </c>
      <c r="F6304" s="87" t="s">
        <v>21871</v>
      </c>
      <c r="G6304" s="45" t="s">
        <v>16270</v>
      </c>
      <c r="H6304" s="55" t="s">
        <v>16271</v>
      </c>
      <c r="I6304" s="15" t="s">
        <v>2581</v>
      </c>
    </row>
    <row r="6305" spans="1:9" ht="51.75" customHeight="1" x14ac:dyDescent="0.35">
      <c r="A6305" s="15" t="s">
        <v>22918</v>
      </c>
      <c r="B6305" s="15" t="s">
        <v>38999</v>
      </c>
      <c r="C6305" s="15" t="s">
        <v>39000</v>
      </c>
      <c r="D6305" s="31">
        <v>43651</v>
      </c>
      <c r="E6305" s="15" t="s">
        <v>39001</v>
      </c>
      <c r="F6305" s="87" t="s">
        <v>21871</v>
      </c>
      <c r="G6305" s="45" t="s">
        <v>16270</v>
      </c>
      <c r="H6305" s="55" t="s">
        <v>16271</v>
      </c>
      <c r="I6305" s="15" t="s">
        <v>2581</v>
      </c>
    </row>
    <row r="6306" spans="1:9" ht="51.75" customHeight="1" x14ac:dyDescent="0.35">
      <c r="A6306" s="15" t="s">
        <v>39002</v>
      </c>
      <c r="B6306" s="15" t="s">
        <v>39003</v>
      </c>
      <c r="C6306" s="15" t="s">
        <v>39004</v>
      </c>
      <c r="D6306" s="31">
        <v>43789</v>
      </c>
      <c r="E6306" s="15" t="s">
        <v>39005</v>
      </c>
      <c r="F6306" s="87" t="s">
        <v>21871</v>
      </c>
      <c r="G6306" s="45" t="s">
        <v>16736</v>
      </c>
      <c r="H6306" s="55" t="s">
        <v>16737</v>
      </c>
      <c r="I6306" s="15" t="s">
        <v>2581</v>
      </c>
    </row>
    <row r="6307" spans="1:9" ht="51.75" customHeight="1" x14ac:dyDescent="0.35">
      <c r="A6307" s="15" t="s">
        <v>39006</v>
      </c>
      <c r="B6307" s="15" t="s">
        <v>39007</v>
      </c>
      <c r="C6307" s="15" t="s">
        <v>39008</v>
      </c>
      <c r="D6307" s="31">
        <v>43789</v>
      </c>
      <c r="E6307" s="15" t="s">
        <v>39009</v>
      </c>
      <c r="F6307" s="87" t="s">
        <v>21871</v>
      </c>
      <c r="G6307" s="45" t="s">
        <v>16736</v>
      </c>
      <c r="H6307" s="55" t="s">
        <v>16737</v>
      </c>
      <c r="I6307" s="15" t="s">
        <v>2581</v>
      </c>
    </row>
    <row r="6308" spans="1:9" ht="51.75" customHeight="1" x14ac:dyDescent="0.35">
      <c r="A6308" s="15" t="s">
        <v>23670</v>
      </c>
      <c r="B6308" s="15" t="s">
        <v>39010</v>
      </c>
      <c r="C6308" s="15" t="s">
        <v>39011</v>
      </c>
      <c r="D6308" s="31">
        <v>43789</v>
      </c>
      <c r="E6308" s="15" t="s">
        <v>39012</v>
      </c>
      <c r="F6308" s="87" t="s">
        <v>21871</v>
      </c>
      <c r="G6308" s="45" t="s">
        <v>16736</v>
      </c>
      <c r="H6308" s="55" t="s">
        <v>16737</v>
      </c>
      <c r="I6308" s="15" t="s">
        <v>2581</v>
      </c>
    </row>
    <row r="6309" spans="1:9" ht="51.75" customHeight="1" x14ac:dyDescent="0.35">
      <c r="A6309" s="15" t="s">
        <v>23277</v>
      </c>
      <c r="B6309" s="15" t="s">
        <v>39013</v>
      </c>
      <c r="C6309" s="15" t="s">
        <v>39014</v>
      </c>
      <c r="D6309" s="31">
        <v>43789</v>
      </c>
      <c r="E6309" s="15" t="s">
        <v>39015</v>
      </c>
      <c r="F6309" s="87" t="s">
        <v>21871</v>
      </c>
      <c r="G6309" s="45" t="s">
        <v>16736</v>
      </c>
      <c r="H6309" s="55" t="s">
        <v>16737</v>
      </c>
      <c r="I6309" s="15" t="s">
        <v>2581</v>
      </c>
    </row>
    <row r="6310" spans="1:9" ht="51.75" customHeight="1" x14ac:dyDescent="0.35">
      <c r="A6310" s="15" t="s">
        <v>25365</v>
      </c>
      <c r="B6310" s="15" t="s">
        <v>39016</v>
      </c>
      <c r="C6310" s="15" t="s">
        <v>39017</v>
      </c>
      <c r="D6310" s="31">
        <v>43861</v>
      </c>
      <c r="E6310" s="15" t="s">
        <v>39018</v>
      </c>
      <c r="F6310" s="87" t="s">
        <v>21871</v>
      </c>
      <c r="G6310" s="45" t="s">
        <v>16997</v>
      </c>
      <c r="H6310" s="55" t="s">
        <v>16998</v>
      </c>
      <c r="I6310" s="15" t="s">
        <v>2581</v>
      </c>
    </row>
    <row r="6311" spans="1:9" ht="51.75" customHeight="1" x14ac:dyDescent="0.35">
      <c r="A6311" s="15" t="s">
        <v>25371</v>
      </c>
      <c r="B6311" s="15" t="s">
        <v>39019</v>
      </c>
      <c r="C6311" s="15" t="s">
        <v>39020</v>
      </c>
      <c r="D6311" s="31">
        <v>43861</v>
      </c>
      <c r="E6311" s="15" t="s">
        <v>39021</v>
      </c>
      <c r="F6311" s="87" t="s">
        <v>21871</v>
      </c>
      <c r="G6311" s="45" t="s">
        <v>16997</v>
      </c>
      <c r="H6311" s="55" t="s">
        <v>16998</v>
      </c>
      <c r="I6311" s="15" t="s">
        <v>2581</v>
      </c>
    </row>
    <row r="6312" spans="1:9" ht="51.75" customHeight="1" x14ac:dyDescent="0.35">
      <c r="A6312" s="15" t="s">
        <v>23587</v>
      </c>
      <c r="B6312" s="15" t="s">
        <v>39022</v>
      </c>
      <c r="C6312" s="15" t="s">
        <v>39023</v>
      </c>
      <c r="D6312" s="31">
        <v>43861</v>
      </c>
      <c r="E6312" s="15" t="s">
        <v>39024</v>
      </c>
      <c r="F6312" s="87" t="s">
        <v>21871</v>
      </c>
      <c r="G6312" s="45" t="s">
        <v>16997</v>
      </c>
      <c r="H6312" s="55" t="s">
        <v>16998</v>
      </c>
      <c r="I6312" s="15" t="s">
        <v>2581</v>
      </c>
    </row>
    <row r="6313" spans="1:9" ht="51.75" customHeight="1" x14ac:dyDescent="0.35">
      <c r="A6313" s="15" t="s">
        <v>25390</v>
      </c>
      <c r="B6313" s="15" t="s">
        <v>39025</v>
      </c>
      <c r="C6313" s="15" t="s">
        <v>39026</v>
      </c>
      <c r="D6313" s="31">
        <v>43861</v>
      </c>
      <c r="E6313" s="15" t="s">
        <v>39027</v>
      </c>
      <c r="F6313" s="87" t="s">
        <v>21871</v>
      </c>
      <c r="G6313" s="45" t="s">
        <v>16997</v>
      </c>
      <c r="H6313" s="55" t="s">
        <v>16998</v>
      </c>
      <c r="I6313" s="15" t="s">
        <v>2581</v>
      </c>
    </row>
    <row r="6314" spans="1:9" ht="51.75" customHeight="1" x14ac:dyDescent="0.35">
      <c r="A6314" s="15"/>
      <c r="B6314" s="15" t="s">
        <v>39028</v>
      </c>
      <c r="C6314" s="15" t="s">
        <v>39029</v>
      </c>
      <c r="D6314" s="28">
        <v>43931</v>
      </c>
      <c r="E6314" s="15" t="s">
        <v>39030</v>
      </c>
      <c r="F6314" s="87" t="s">
        <v>21871</v>
      </c>
      <c r="G6314" s="45" t="s">
        <v>17091</v>
      </c>
      <c r="H6314" s="54" t="s">
        <v>17092</v>
      </c>
      <c r="I6314" s="5" t="s">
        <v>2581</v>
      </c>
    </row>
    <row r="6315" spans="1:9" ht="51.75" customHeight="1" x14ac:dyDescent="0.35">
      <c r="A6315" s="15"/>
      <c r="B6315" s="15" t="s">
        <v>39031</v>
      </c>
      <c r="C6315" s="15" t="s">
        <v>39032</v>
      </c>
      <c r="D6315" s="28">
        <v>43931</v>
      </c>
      <c r="E6315" s="15" t="s">
        <v>39033</v>
      </c>
      <c r="F6315" s="87" t="s">
        <v>21871</v>
      </c>
      <c r="G6315" s="45" t="s">
        <v>17091</v>
      </c>
      <c r="H6315" s="54" t="s">
        <v>17092</v>
      </c>
      <c r="I6315" s="5" t="s">
        <v>2581</v>
      </c>
    </row>
    <row r="6316" spans="1:9" ht="51.75" customHeight="1" x14ac:dyDescent="0.35">
      <c r="A6316" s="15"/>
      <c r="B6316" s="15" t="s">
        <v>39034</v>
      </c>
      <c r="C6316" s="15" t="s">
        <v>39035</v>
      </c>
      <c r="D6316" s="28">
        <v>43931</v>
      </c>
      <c r="E6316" s="15" t="s">
        <v>39036</v>
      </c>
      <c r="F6316" s="87" t="s">
        <v>21871</v>
      </c>
      <c r="G6316" s="45" t="s">
        <v>17091</v>
      </c>
      <c r="H6316" s="54" t="s">
        <v>17092</v>
      </c>
      <c r="I6316" s="5" t="s">
        <v>2581</v>
      </c>
    </row>
    <row r="6317" spans="1:9" ht="51.75" customHeight="1" x14ac:dyDescent="0.35">
      <c r="A6317" s="15"/>
      <c r="B6317" s="15" t="s">
        <v>39037</v>
      </c>
      <c r="C6317" s="15" t="s">
        <v>39038</v>
      </c>
      <c r="D6317" s="28">
        <v>43931</v>
      </c>
      <c r="E6317" s="15" t="s">
        <v>39039</v>
      </c>
      <c r="F6317" s="87" t="s">
        <v>21871</v>
      </c>
      <c r="G6317" s="45" t="s">
        <v>17091</v>
      </c>
      <c r="H6317" s="54" t="s">
        <v>17092</v>
      </c>
      <c r="I6317" s="5" t="s">
        <v>2581</v>
      </c>
    </row>
    <row r="6318" spans="1:9" ht="51.75" customHeight="1" x14ac:dyDescent="0.35">
      <c r="A6318" s="15">
        <v>1</v>
      </c>
      <c r="B6318" s="15" t="s">
        <v>39040</v>
      </c>
      <c r="C6318" s="15" t="s">
        <v>39041</v>
      </c>
      <c r="D6318" s="31">
        <v>40529</v>
      </c>
      <c r="E6318" s="15" t="s">
        <v>39041</v>
      </c>
      <c r="F6318" s="87"/>
      <c r="G6318" s="45" t="s">
        <v>5217</v>
      </c>
      <c r="H6318" s="55" t="s">
        <v>5218</v>
      </c>
      <c r="I6318" s="15" t="s">
        <v>2316</v>
      </c>
    </row>
    <row r="6319" spans="1:9" ht="51.75" customHeight="1" x14ac:dyDescent="0.35">
      <c r="A6319" s="15">
        <v>2</v>
      </c>
      <c r="B6319" s="15" t="s">
        <v>39042</v>
      </c>
      <c r="C6319" s="15" t="s">
        <v>39043</v>
      </c>
      <c r="D6319" s="31">
        <v>40529</v>
      </c>
      <c r="E6319" s="15" t="s">
        <v>39044</v>
      </c>
      <c r="F6319" s="87"/>
      <c r="G6319" s="45" t="s">
        <v>5217</v>
      </c>
      <c r="H6319" s="55" t="s">
        <v>5218</v>
      </c>
      <c r="I6319" s="15" t="s">
        <v>2316</v>
      </c>
    </row>
    <row r="6320" spans="1:9" ht="51.75" customHeight="1" x14ac:dyDescent="0.35">
      <c r="A6320" s="15">
        <v>3</v>
      </c>
      <c r="B6320" s="15" t="s">
        <v>39045</v>
      </c>
      <c r="C6320" s="15" t="s">
        <v>39046</v>
      </c>
      <c r="D6320" s="31">
        <v>40529</v>
      </c>
      <c r="E6320" s="15" t="s">
        <v>39047</v>
      </c>
      <c r="F6320" s="87"/>
      <c r="G6320" s="45" t="s">
        <v>5217</v>
      </c>
      <c r="H6320" s="55" t="s">
        <v>5218</v>
      </c>
      <c r="I6320" s="15" t="s">
        <v>2316</v>
      </c>
    </row>
    <row r="6321" spans="1:9" ht="51.75" customHeight="1" x14ac:dyDescent="0.35">
      <c r="A6321" s="15">
        <v>4</v>
      </c>
      <c r="B6321" s="15" t="s">
        <v>39048</v>
      </c>
      <c r="C6321" s="15" t="s">
        <v>39049</v>
      </c>
      <c r="D6321" s="31">
        <v>40529</v>
      </c>
      <c r="E6321" s="15" t="s">
        <v>39050</v>
      </c>
      <c r="F6321" s="87"/>
      <c r="G6321" s="45" t="s">
        <v>5217</v>
      </c>
      <c r="H6321" s="55" t="s">
        <v>5218</v>
      </c>
      <c r="I6321" s="15" t="s">
        <v>2316</v>
      </c>
    </row>
    <row r="6322" spans="1:9" ht="51.75" customHeight="1" x14ac:dyDescent="0.35">
      <c r="A6322" s="15">
        <v>5</v>
      </c>
      <c r="B6322" s="15" t="s">
        <v>39051</v>
      </c>
      <c r="C6322" s="15" t="s">
        <v>39052</v>
      </c>
      <c r="D6322" s="31">
        <v>40529</v>
      </c>
      <c r="E6322" s="15" t="s">
        <v>39053</v>
      </c>
      <c r="F6322" s="87"/>
      <c r="G6322" s="45" t="s">
        <v>5217</v>
      </c>
      <c r="H6322" s="55" t="s">
        <v>5218</v>
      </c>
      <c r="I6322" s="15" t="s">
        <v>2316</v>
      </c>
    </row>
    <row r="6323" spans="1:9" ht="51.75" customHeight="1" x14ac:dyDescent="0.35">
      <c r="A6323" s="15">
        <v>6</v>
      </c>
      <c r="B6323" s="15" t="s">
        <v>39054</v>
      </c>
      <c r="C6323" s="15" t="s">
        <v>39055</v>
      </c>
      <c r="D6323" s="31">
        <v>40529</v>
      </c>
      <c r="E6323" s="15" t="s">
        <v>39056</v>
      </c>
      <c r="F6323" s="87"/>
      <c r="G6323" s="45" t="s">
        <v>5217</v>
      </c>
      <c r="H6323" s="55" t="s">
        <v>5218</v>
      </c>
      <c r="I6323" s="15" t="s">
        <v>2316</v>
      </c>
    </row>
    <row r="6324" spans="1:9" ht="51.75" customHeight="1" x14ac:dyDescent="0.35">
      <c r="A6324" s="15">
        <v>7</v>
      </c>
      <c r="B6324" s="15" t="s">
        <v>39057</v>
      </c>
      <c r="C6324" s="15" t="s">
        <v>39058</v>
      </c>
      <c r="D6324" s="31">
        <v>40529</v>
      </c>
      <c r="E6324" s="15" t="s">
        <v>39059</v>
      </c>
      <c r="F6324" s="87"/>
      <c r="G6324" s="45" t="s">
        <v>5217</v>
      </c>
      <c r="H6324" s="55" t="s">
        <v>5218</v>
      </c>
      <c r="I6324" s="15" t="s">
        <v>2316</v>
      </c>
    </row>
    <row r="6325" spans="1:9" ht="51.75" customHeight="1" x14ac:dyDescent="0.35">
      <c r="A6325" s="15">
        <v>8</v>
      </c>
      <c r="B6325" s="15" t="s">
        <v>39060</v>
      </c>
      <c r="C6325" s="15" t="s">
        <v>39061</v>
      </c>
      <c r="D6325" s="31">
        <v>40529</v>
      </c>
      <c r="E6325" s="15" t="s">
        <v>39061</v>
      </c>
      <c r="F6325" s="87"/>
      <c r="G6325" s="45" t="s">
        <v>5217</v>
      </c>
      <c r="H6325" s="55" t="s">
        <v>5218</v>
      </c>
      <c r="I6325" s="15" t="s">
        <v>2316</v>
      </c>
    </row>
    <row r="6326" spans="1:9" ht="51.75" customHeight="1" x14ac:dyDescent="0.35">
      <c r="A6326" s="15">
        <v>9</v>
      </c>
      <c r="B6326" s="15" t="s">
        <v>39062</v>
      </c>
      <c r="C6326" s="15" t="s">
        <v>39063</v>
      </c>
      <c r="D6326" s="31">
        <v>40529</v>
      </c>
      <c r="E6326" s="15" t="s">
        <v>39064</v>
      </c>
      <c r="F6326" s="87"/>
      <c r="G6326" s="45" t="s">
        <v>5217</v>
      </c>
      <c r="H6326" s="55" t="s">
        <v>5218</v>
      </c>
      <c r="I6326" s="15" t="s">
        <v>2316</v>
      </c>
    </row>
    <row r="6327" spans="1:9" ht="51.75" customHeight="1" x14ac:dyDescent="0.35">
      <c r="A6327" s="15">
        <v>1</v>
      </c>
      <c r="B6327" s="15" t="s">
        <v>39065</v>
      </c>
      <c r="C6327" s="15" t="s">
        <v>39066</v>
      </c>
      <c r="D6327" s="31">
        <v>40731</v>
      </c>
      <c r="E6327" s="15" t="s">
        <v>39066</v>
      </c>
      <c r="F6327" s="87"/>
      <c r="G6327" s="45" t="s">
        <v>5064</v>
      </c>
      <c r="H6327" s="55" t="s">
        <v>5065</v>
      </c>
      <c r="I6327" s="15" t="s">
        <v>2316</v>
      </c>
    </row>
    <row r="6328" spans="1:9" ht="51.75" customHeight="1" x14ac:dyDescent="0.35">
      <c r="A6328" s="15">
        <v>1</v>
      </c>
      <c r="B6328" s="15" t="s">
        <v>39067</v>
      </c>
      <c r="C6328" s="15" t="s">
        <v>39068</v>
      </c>
      <c r="D6328" s="31">
        <v>40473</v>
      </c>
      <c r="E6328" s="15" t="s">
        <v>39069</v>
      </c>
      <c r="F6328" s="87"/>
      <c r="G6328" s="45" t="s">
        <v>4862</v>
      </c>
      <c r="H6328" s="55" t="s">
        <v>4863</v>
      </c>
      <c r="I6328" s="15" t="s">
        <v>2316</v>
      </c>
    </row>
    <row r="6329" spans="1:9" ht="51.75" customHeight="1" x14ac:dyDescent="0.35">
      <c r="A6329" s="15">
        <v>2</v>
      </c>
      <c r="B6329" s="15" t="s">
        <v>39070</v>
      </c>
      <c r="C6329" s="15" t="s">
        <v>39071</v>
      </c>
      <c r="D6329" s="31">
        <v>40473</v>
      </c>
      <c r="E6329" s="15" t="s">
        <v>39071</v>
      </c>
      <c r="F6329" s="87"/>
      <c r="G6329" s="45" t="s">
        <v>4862</v>
      </c>
      <c r="H6329" s="55" t="s">
        <v>4863</v>
      </c>
      <c r="I6329" s="15" t="s">
        <v>2316</v>
      </c>
    </row>
    <row r="6330" spans="1:9" ht="51.75" customHeight="1" x14ac:dyDescent="0.35">
      <c r="A6330" s="15">
        <v>3</v>
      </c>
      <c r="B6330" s="15" t="s">
        <v>39072</v>
      </c>
      <c r="C6330" s="15" t="s">
        <v>39073</v>
      </c>
      <c r="D6330" s="31">
        <v>40473</v>
      </c>
      <c r="E6330" s="15" t="s">
        <v>39074</v>
      </c>
      <c r="F6330" s="87"/>
      <c r="G6330" s="45" t="s">
        <v>4862</v>
      </c>
      <c r="H6330" s="55" t="s">
        <v>4863</v>
      </c>
      <c r="I6330" s="15" t="s">
        <v>2316</v>
      </c>
    </row>
    <row r="6331" spans="1:9" ht="51.75" customHeight="1" x14ac:dyDescent="0.35">
      <c r="A6331" s="15">
        <v>4</v>
      </c>
      <c r="B6331" s="15" t="s">
        <v>39075</v>
      </c>
      <c r="C6331" s="15" t="s">
        <v>39076</v>
      </c>
      <c r="D6331" s="31">
        <v>40473</v>
      </c>
      <c r="E6331" s="15" t="s">
        <v>39077</v>
      </c>
      <c r="F6331" s="87"/>
      <c r="G6331" s="45" t="s">
        <v>4862</v>
      </c>
      <c r="H6331" s="55" t="s">
        <v>4863</v>
      </c>
      <c r="I6331" s="15" t="s">
        <v>2316</v>
      </c>
    </row>
    <row r="6332" spans="1:9" ht="51.75" customHeight="1" x14ac:dyDescent="0.35">
      <c r="A6332" s="15">
        <v>5</v>
      </c>
      <c r="B6332" s="15" t="s">
        <v>39078</v>
      </c>
      <c r="C6332" s="15" t="s">
        <v>39079</v>
      </c>
      <c r="D6332" s="31">
        <v>40473</v>
      </c>
      <c r="E6332" s="15" t="s">
        <v>39080</v>
      </c>
      <c r="F6332" s="87"/>
      <c r="G6332" s="45" t="s">
        <v>4862</v>
      </c>
      <c r="H6332" s="55" t="s">
        <v>4863</v>
      </c>
      <c r="I6332" s="15" t="s">
        <v>2316</v>
      </c>
    </row>
    <row r="6333" spans="1:9" ht="51.75" customHeight="1" x14ac:dyDescent="0.35">
      <c r="A6333" s="15">
        <v>6</v>
      </c>
      <c r="B6333" s="15" t="s">
        <v>39081</v>
      </c>
      <c r="C6333" s="15" t="s">
        <v>39082</v>
      </c>
      <c r="D6333" s="31">
        <v>40473</v>
      </c>
      <c r="E6333" s="15" t="s">
        <v>39083</v>
      </c>
      <c r="F6333" s="87"/>
      <c r="G6333" s="45" t="s">
        <v>4862</v>
      </c>
      <c r="H6333" s="55" t="s">
        <v>4863</v>
      </c>
      <c r="I6333" s="15" t="s">
        <v>2316</v>
      </c>
    </row>
    <row r="6334" spans="1:9" ht="51.75" customHeight="1" x14ac:dyDescent="0.35">
      <c r="A6334" s="15">
        <v>7</v>
      </c>
      <c r="B6334" s="15" t="s">
        <v>39084</v>
      </c>
      <c r="C6334" s="15" t="s">
        <v>39085</v>
      </c>
      <c r="D6334" s="31">
        <v>40473</v>
      </c>
      <c r="E6334" s="15" t="s">
        <v>39085</v>
      </c>
      <c r="F6334" s="87"/>
      <c r="G6334" s="45" t="s">
        <v>4862</v>
      </c>
      <c r="H6334" s="55" t="s">
        <v>4863</v>
      </c>
      <c r="I6334" s="15" t="s">
        <v>2316</v>
      </c>
    </row>
    <row r="6335" spans="1:9" ht="51.75" customHeight="1" x14ac:dyDescent="0.35">
      <c r="A6335" s="15">
        <v>8</v>
      </c>
      <c r="B6335" s="15" t="s">
        <v>39086</v>
      </c>
      <c r="C6335" s="15" t="s">
        <v>39087</v>
      </c>
      <c r="D6335" s="31">
        <v>40473</v>
      </c>
      <c r="E6335" s="15" t="s">
        <v>39088</v>
      </c>
      <c r="F6335" s="87"/>
      <c r="G6335" s="45" t="s">
        <v>4862</v>
      </c>
      <c r="H6335" s="55" t="s">
        <v>4863</v>
      </c>
      <c r="I6335" s="15" t="s">
        <v>2316</v>
      </c>
    </row>
    <row r="6336" spans="1:9" ht="51.75" customHeight="1" x14ac:dyDescent="0.35">
      <c r="A6336" s="15">
        <v>1</v>
      </c>
      <c r="B6336" s="15" t="s">
        <v>39089</v>
      </c>
      <c r="C6336" s="15" t="s">
        <v>39090</v>
      </c>
      <c r="D6336" s="31">
        <v>40351</v>
      </c>
      <c r="E6336" s="15" t="s">
        <v>39091</v>
      </c>
      <c r="F6336" s="87"/>
      <c r="G6336" s="45" t="s">
        <v>4533</v>
      </c>
      <c r="H6336" s="55" t="s">
        <v>4534</v>
      </c>
      <c r="I6336" s="15" t="s">
        <v>2316</v>
      </c>
    </row>
    <row r="6337" spans="1:9" ht="51.75" customHeight="1" x14ac:dyDescent="0.35">
      <c r="A6337" s="15">
        <v>2</v>
      </c>
      <c r="B6337" s="15" t="s">
        <v>39092</v>
      </c>
      <c r="C6337" s="15" t="s">
        <v>39093</v>
      </c>
      <c r="D6337" s="31">
        <v>40351</v>
      </c>
      <c r="E6337" s="15" t="s">
        <v>39093</v>
      </c>
      <c r="F6337" s="87"/>
      <c r="G6337" s="45" t="s">
        <v>4533</v>
      </c>
      <c r="H6337" s="55" t="s">
        <v>4534</v>
      </c>
      <c r="I6337" s="15" t="s">
        <v>2316</v>
      </c>
    </row>
    <row r="6338" spans="1:9" ht="51.75" customHeight="1" x14ac:dyDescent="0.35">
      <c r="A6338" s="15">
        <v>3</v>
      </c>
      <c r="B6338" s="15" t="s">
        <v>39094</v>
      </c>
      <c r="C6338" s="15" t="s">
        <v>39095</v>
      </c>
      <c r="D6338" s="31">
        <v>40351</v>
      </c>
      <c r="E6338" s="15" t="s">
        <v>39096</v>
      </c>
      <c r="F6338" s="87"/>
      <c r="G6338" s="45" t="s">
        <v>4533</v>
      </c>
      <c r="H6338" s="55" t="s">
        <v>4534</v>
      </c>
      <c r="I6338" s="15" t="s">
        <v>2316</v>
      </c>
    </row>
    <row r="6339" spans="1:9" ht="51.75" customHeight="1" x14ac:dyDescent="0.35">
      <c r="A6339" s="15">
        <v>4</v>
      </c>
      <c r="B6339" s="15" t="s">
        <v>39097</v>
      </c>
      <c r="C6339" s="15" t="s">
        <v>39098</v>
      </c>
      <c r="D6339" s="31">
        <v>40351</v>
      </c>
      <c r="E6339" s="15" t="s">
        <v>39099</v>
      </c>
      <c r="F6339" s="87"/>
      <c r="G6339" s="45" t="s">
        <v>4533</v>
      </c>
      <c r="H6339" s="55" t="s">
        <v>4534</v>
      </c>
      <c r="I6339" s="15" t="s">
        <v>2316</v>
      </c>
    </row>
    <row r="6340" spans="1:9" ht="51.75" customHeight="1" x14ac:dyDescent="0.35">
      <c r="A6340" s="15">
        <v>5</v>
      </c>
      <c r="B6340" s="15" t="s">
        <v>39100</v>
      </c>
      <c r="C6340" s="15" t="s">
        <v>39101</v>
      </c>
      <c r="D6340" s="31">
        <v>40351</v>
      </c>
      <c r="E6340" s="15" t="s">
        <v>39102</v>
      </c>
      <c r="F6340" s="87"/>
      <c r="G6340" s="45" t="s">
        <v>4533</v>
      </c>
      <c r="H6340" s="55" t="s">
        <v>4534</v>
      </c>
      <c r="I6340" s="15" t="s">
        <v>2316</v>
      </c>
    </row>
    <row r="6341" spans="1:9" ht="51.75" customHeight="1" x14ac:dyDescent="0.35">
      <c r="A6341" s="15">
        <v>6</v>
      </c>
      <c r="B6341" s="15" t="s">
        <v>39103</v>
      </c>
      <c r="C6341" s="15" t="s">
        <v>39104</v>
      </c>
      <c r="D6341" s="31">
        <v>40351</v>
      </c>
      <c r="E6341" s="15" t="s">
        <v>39105</v>
      </c>
      <c r="F6341" s="87"/>
      <c r="G6341" s="45" t="s">
        <v>4533</v>
      </c>
      <c r="H6341" s="55" t="s">
        <v>4534</v>
      </c>
      <c r="I6341" s="15" t="s">
        <v>2316</v>
      </c>
    </row>
    <row r="6342" spans="1:9" ht="51.75" customHeight="1" x14ac:dyDescent="0.35">
      <c r="A6342" s="15">
        <v>7</v>
      </c>
      <c r="B6342" s="15" t="s">
        <v>39106</v>
      </c>
      <c r="C6342" s="15" t="s">
        <v>39107</v>
      </c>
      <c r="D6342" s="31">
        <v>40351</v>
      </c>
      <c r="E6342" s="15" t="s">
        <v>39107</v>
      </c>
      <c r="F6342" s="87"/>
      <c r="G6342" s="45" t="s">
        <v>4533</v>
      </c>
      <c r="H6342" s="55" t="s">
        <v>4534</v>
      </c>
      <c r="I6342" s="15" t="s">
        <v>2316</v>
      </c>
    </row>
    <row r="6343" spans="1:9" ht="51.75" customHeight="1" x14ac:dyDescent="0.35">
      <c r="A6343" s="15">
        <v>8</v>
      </c>
      <c r="B6343" s="15" t="s">
        <v>39108</v>
      </c>
      <c r="C6343" s="15" t="s">
        <v>39109</v>
      </c>
      <c r="D6343" s="31">
        <v>40351</v>
      </c>
      <c r="E6343" s="15" t="s">
        <v>39110</v>
      </c>
      <c r="F6343" s="87"/>
      <c r="G6343" s="45" t="s">
        <v>4533</v>
      </c>
      <c r="H6343" s="55" t="s">
        <v>4534</v>
      </c>
      <c r="I6343" s="15" t="s">
        <v>2316</v>
      </c>
    </row>
    <row r="6344" spans="1:9" ht="51.75" customHeight="1" x14ac:dyDescent="0.35">
      <c r="A6344" s="15">
        <v>9</v>
      </c>
      <c r="B6344" s="15" t="s">
        <v>39111</v>
      </c>
      <c r="C6344" s="15" t="s">
        <v>39112</v>
      </c>
      <c r="D6344" s="31">
        <v>40351</v>
      </c>
      <c r="E6344" s="15" t="s">
        <v>39113</v>
      </c>
      <c r="F6344" s="87"/>
      <c r="G6344" s="45" t="s">
        <v>4533</v>
      </c>
      <c r="H6344" s="55" t="s">
        <v>4534</v>
      </c>
      <c r="I6344" s="15" t="s">
        <v>2316</v>
      </c>
    </row>
    <row r="6345" spans="1:9" ht="51.75" customHeight="1" x14ac:dyDescent="0.35">
      <c r="A6345" s="15">
        <v>1</v>
      </c>
      <c r="B6345" s="15" t="s">
        <v>39114</v>
      </c>
      <c r="C6345" s="15" t="s">
        <v>39115</v>
      </c>
      <c r="D6345" s="31">
        <v>40242</v>
      </c>
      <c r="E6345" s="15" t="s">
        <v>39116</v>
      </c>
      <c r="F6345" s="87"/>
      <c r="G6345" s="45" t="s">
        <v>4034</v>
      </c>
      <c r="H6345" s="55" t="s">
        <v>4035</v>
      </c>
      <c r="I6345" s="15" t="s">
        <v>2316</v>
      </c>
    </row>
    <row r="6346" spans="1:9" ht="51.75" customHeight="1" x14ac:dyDescent="0.35">
      <c r="A6346" s="15">
        <v>2</v>
      </c>
      <c r="B6346" s="15" t="s">
        <v>39117</v>
      </c>
      <c r="C6346" s="15" t="s">
        <v>39118</v>
      </c>
      <c r="D6346" s="31">
        <v>40242</v>
      </c>
      <c r="E6346" s="15" t="s">
        <v>39119</v>
      </c>
      <c r="F6346" s="87"/>
      <c r="G6346" s="45" t="s">
        <v>4034</v>
      </c>
      <c r="H6346" s="55" t="s">
        <v>4035</v>
      </c>
      <c r="I6346" s="15" t="s">
        <v>2316</v>
      </c>
    </row>
    <row r="6347" spans="1:9" ht="51.75" customHeight="1" x14ac:dyDescent="0.35">
      <c r="A6347" s="15">
        <v>3</v>
      </c>
      <c r="B6347" s="15" t="s">
        <v>39120</v>
      </c>
      <c r="C6347" s="15" t="s">
        <v>39121</v>
      </c>
      <c r="D6347" s="31">
        <v>40242</v>
      </c>
      <c r="E6347" s="15" t="s">
        <v>39122</v>
      </c>
      <c r="F6347" s="87"/>
      <c r="G6347" s="45" t="s">
        <v>4034</v>
      </c>
      <c r="H6347" s="55" t="s">
        <v>4035</v>
      </c>
      <c r="I6347" s="15" t="s">
        <v>2316</v>
      </c>
    </row>
    <row r="6348" spans="1:9" ht="51.75" customHeight="1" x14ac:dyDescent="0.35">
      <c r="A6348" s="15">
        <v>4</v>
      </c>
      <c r="B6348" s="15" t="s">
        <v>39123</v>
      </c>
      <c r="C6348" s="15" t="s">
        <v>39124</v>
      </c>
      <c r="D6348" s="31">
        <v>40242</v>
      </c>
      <c r="E6348" s="15" t="s">
        <v>39125</v>
      </c>
      <c r="F6348" s="87"/>
      <c r="G6348" s="45" t="s">
        <v>4034</v>
      </c>
      <c r="H6348" s="55" t="s">
        <v>4035</v>
      </c>
      <c r="I6348" s="15" t="s">
        <v>2316</v>
      </c>
    </row>
    <row r="6349" spans="1:9" ht="51.75" customHeight="1" x14ac:dyDescent="0.35">
      <c r="A6349" s="15">
        <v>1</v>
      </c>
      <c r="B6349" s="15" t="s">
        <v>39126</v>
      </c>
      <c r="C6349" s="15" t="s">
        <v>39127</v>
      </c>
      <c r="D6349" s="31">
        <v>40367</v>
      </c>
      <c r="E6349" s="15" t="s">
        <v>39128</v>
      </c>
      <c r="F6349" s="87"/>
      <c r="G6349" s="45" t="s">
        <v>3971</v>
      </c>
      <c r="H6349" s="55" t="s">
        <v>3972</v>
      </c>
      <c r="I6349" s="15" t="s">
        <v>2316</v>
      </c>
    </row>
    <row r="6350" spans="1:9" ht="51.75" customHeight="1" x14ac:dyDescent="0.35">
      <c r="A6350" s="15">
        <v>2</v>
      </c>
      <c r="B6350" s="15" t="s">
        <v>39129</v>
      </c>
      <c r="C6350" s="15" t="s">
        <v>39130</v>
      </c>
      <c r="D6350" s="31">
        <v>40367</v>
      </c>
      <c r="E6350" s="15" t="s">
        <v>39131</v>
      </c>
      <c r="F6350" s="87"/>
      <c r="G6350" s="45" t="s">
        <v>3971</v>
      </c>
      <c r="H6350" s="55" t="s">
        <v>3972</v>
      </c>
      <c r="I6350" s="15" t="s">
        <v>2316</v>
      </c>
    </row>
    <row r="6351" spans="1:9" ht="51.75" customHeight="1" x14ac:dyDescent="0.35">
      <c r="A6351" s="15">
        <v>3</v>
      </c>
      <c r="B6351" s="15" t="s">
        <v>39132</v>
      </c>
      <c r="C6351" s="15" t="s">
        <v>39133</v>
      </c>
      <c r="D6351" s="31">
        <v>40367</v>
      </c>
      <c r="E6351" s="15" t="s">
        <v>39134</v>
      </c>
      <c r="F6351" s="87"/>
      <c r="G6351" s="45" t="s">
        <v>3971</v>
      </c>
      <c r="H6351" s="55" t="s">
        <v>3972</v>
      </c>
      <c r="I6351" s="15" t="s">
        <v>2316</v>
      </c>
    </row>
    <row r="6352" spans="1:9" ht="51.75" customHeight="1" x14ac:dyDescent="0.35">
      <c r="A6352" s="15">
        <v>4</v>
      </c>
      <c r="B6352" s="15" t="s">
        <v>39135</v>
      </c>
      <c r="C6352" s="15" t="s">
        <v>39136</v>
      </c>
      <c r="D6352" s="31">
        <v>40367</v>
      </c>
      <c r="E6352" s="15" t="s">
        <v>39137</v>
      </c>
      <c r="F6352" s="87"/>
      <c r="G6352" s="45" t="s">
        <v>3971</v>
      </c>
      <c r="H6352" s="55" t="s">
        <v>3972</v>
      </c>
      <c r="I6352" s="15" t="s">
        <v>2316</v>
      </c>
    </row>
    <row r="6353" spans="1:9" ht="51.75" customHeight="1" x14ac:dyDescent="0.35">
      <c r="A6353" s="15">
        <v>5</v>
      </c>
      <c r="B6353" s="15" t="s">
        <v>39138</v>
      </c>
      <c r="C6353" s="15" t="s">
        <v>39139</v>
      </c>
      <c r="D6353" s="31">
        <v>40367</v>
      </c>
      <c r="E6353" s="15" t="s">
        <v>39140</v>
      </c>
      <c r="F6353" s="87"/>
      <c r="G6353" s="45" t="s">
        <v>3971</v>
      </c>
      <c r="H6353" s="55" t="s">
        <v>3972</v>
      </c>
      <c r="I6353" s="15" t="s">
        <v>2316</v>
      </c>
    </row>
    <row r="6354" spans="1:9" ht="51.75" customHeight="1" x14ac:dyDescent="0.35">
      <c r="A6354" s="15">
        <v>6</v>
      </c>
      <c r="B6354" s="15" t="s">
        <v>39141</v>
      </c>
      <c r="C6354" s="15" t="s">
        <v>39142</v>
      </c>
      <c r="D6354" s="31">
        <v>40367</v>
      </c>
      <c r="E6354" s="15" t="s">
        <v>39143</v>
      </c>
      <c r="F6354" s="87"/>
      <c r="G6354" s="45" t="s">
        <v>3971</v>
      </c>
      <c r="H6354" s="55" t="s">
        <v>3972</v>
      </c>
      <c r="I6354" s="15" t="s">
        <v>2316</v>
      </c>
    </row>
    <row r="6355" spans="1:9" ht="51.75" customHeight="1" x14ac:dyDescent="0.35">
      <c r="A6355" s="15">
        <v>7</v>
      </c>
      <c r="B6355" s="15" t="s">
        <v>39144</v>
      </c>
      <c r="C6355" s="15" t="s">
        <v>39145</v>
      </c>
      <c r="D6355" s="31">
        <v>40367</v>
      </c>
      <c r="E6355" s="15" t="s">
        <v>39146</v>
      </c>
      <c r="F6355" s="87"/>
      <c r="G6355" s="45" t="s">
        <v>3971</v>
      </c>
      <c r="H6355" s="55" t="s">
        <v>3972</v>
      </c>
      <c r="I6355" s="15" t="s">
        <v>2316</v>
      </c>
    </row>
    <row r="6356" spans="1:9" ht="51.75" customHeight="1" x14ac:dyDescent="0.35">
      <c r="A6356" s="15">
        <v>8</v>
      </c>
      <c r="B6356" s="15" t="s">
        <v>39147</v>
      </c>
      <c r="C6356" s="15" t="s">
        <v>39148</v>
      </c>
      <c r="D6356" s="31">
        <v>40367</v>
      </c>
      <c r="E6356" s="15" t="s">
        <v>39149</v>
      </c>
      <c r="F6356" s="87"/>
      <c r="G6356" s="45" t="s">
        <v>3971</v>
      </c>
      <c r="H6356" s="55" t="s">
        <v>3972</v>
      </c>
      <c r="I6356" s="15" t="s">
        <v>2316</v>
      </c>
    </row>
    <row r="6357" spans="1:9" ht="51.75" customHeight="1" x14ac:dyDescent="0.35">
      <c r="A6357" s="15">
        <v>9</v>
      </c>
      <c r="B6357" s="15" t="s">
        <v>39150</v>
      </c>
      <c r="C6357" s="15" t="s">
        <v>39151</v>
      </c>
      <c r="D6357" s="31">
        <v>40367</v>
      </c>
      <c r="E6357" s="15" t="s">
        <v>39152</v>
      </c>
      <c r="F6357" s="87"/>
      <c r="G6357" s="45" t="s">
        <v>3971</v>
      </c>
      <c r="H6357" s="55" t="s">
        <v>3972</v>
      </c>
      <c r="I6357" s="15" t="s">
        <v>2316</v>
      </c>
    </row>
    <row r="6358" spans="1:9" ht="51.75" customHeight="1" x14ac:dyDescent="0.35">
      <c r="A6358" s="15">
        <v>10</v>
      </c>
      <c r="B6358" s="15" t="s">
        <v>39153</v>
      </c>
      <c r="C6358" s="15" t="s">
        <v>39154</v>
      </c>
      <c r="D6358" s="31">
        <v>40367</v>
      </c>
      <c r="E6358" s="15" t="s">
        <v>39155</v>
      </c>
      <c r="F6358" s="87"/>
      <c r="G6358" s="45" t="s">
        <v>3971</v>
      </c>
      <c r="H6358" s="55" t="s">
        <v>3972</v>
      </c>
      <c r="I6358" s="15" t="s">
        <v>2316</v>
      </c>
    </row>
    <row r="6359" spans="1:9" ht="51.75" customHeight="1" x14ac:dyDescent="0.35">
      <c r="A6359" s="15">
        <v>1</v>
      </c>
      <c r="B6359" s="15" t="s">
        <v>39156</v>
      </c>
      <c r="C6359" s="15" t="s">
        <v>39157</v>
      </c>
      <c r="D6359" s="31">
        <v>40234</v>
      </c>
      <c r="E6359" s="15" t="s">
        <v>39158</v>
      </c>
      <c r="F6359" s="87"/>
      <c r="G6359" s="45" t="s">
        <v>3708</v>
      </c>
      <c r="H6359" s="55" t="s">
        <v>3709</v>
      </c>
      <c r="I6359" s="15" t="s">
        <v>2316</v>
      </c>
    </row>
    <row r="6360" spans="1:9" ht="51.75" customHeight="1" x14ac:dyDescent="0.35">
      <c r="A6360" s="15">
        <v>2</v>
      </c>
      <c r="B6360" s="15" t="s">
        <v>39159</v>
      </c>
      <c r="C6360" s="15" t="s">
        <v>39160</v>
      </c>
      <c r="D6360" s="31">
        <v>40234</v>
      </c>
      <c r="E6360" s="15" t="s">
        <v>39161</v>
      </c>
      <c r="F6360" s="87"/>
      <c r="G6360" s="45" t="s">
        <v>3708</v>
      </c>
      <c r="H6360" s="55" t="s">
        <v>3709</v>
      </c>
      <c r="I6360" s="15" t="s">
        <v>2316</v>
      </c>
    </row>
    <row r="6361" spans="1:9" ht="51.75" customHeight="1" x14ac:dyDescent="0.35">
      <c r="A6361" s="15">
        <v>3</v>
      </c>
      <c r="B6361" s="15" t="s">
        <v>39162</v>
      </c>
      <c r="C6361" s="15" t="s">
        <v>39163</v>
      </c>
      <c r="D6361" s="31">
        <v>40234</v>
      </c>
      <c r="E6361" s="15" t="s">
        <v>39164</v>
      </c>
      <c r="F6361" s="87"/>
      <c r="G6361" s="45" t="s">
        <v>3708</v>
      </c>
      <c r="H6361" s="55" t="s">
        <v>3709</v>
      </c>
      <c r="I6361" s="15" t="s">
        <v>2316</v>
      </c>
    </row>
    <row r="6362" spans="1:9" ht="51.75" customHeight="1" x14ac:dyDescent="0.35">
      <c r="A6362" s="15">
        <v>4</v>
      </c>
      <c r="B6362" s="15" t="s">
        <v>39165</v>
      </c>
      <c r="C6362" s="15" t="s">
        <v>39166</v>
      </c>
      <c r="D6362" s="31">
        <v>40234</v>
      </c>
      <c r="E6362" s="15" t="s">
        <v>39166</v>
      </c>
      <c r="F6362" s="87"/>
      <c r="G6362" s="45" t="s">
        <v>3708</v>
      </c>
      <c r="H6362" s="55" t="s">
        <v>3709</v>
      </c>
      <c r="I6362" s="15" t="s">
        <v>2316</v>
      </c>
    </row>
    <row r="6363" spans="1:9" ht="51.75" customHeight="1" x14ac:dyDescent="0.35">
      <c r="A6363" s="15">
        <v>5</v>
      </c>
      <c r="B6363" s="15" t="s">
        <v>39167</v>
      </c>
      <c r="C6363" s="15" t="s">
        <v>39168</v>
      </c>
      <c r="D6363" s="31">
        <v>40234</v>
      </c>
      <c r="E6363" s="15" t="s">
        <v>39169</v>
      </c>
      <c r="F6363" s="87"/>
      <c r="G6363" s="45" t="s">
        <v>3708</v>
      </c>
      <c r="H6363" s="55" t="s">
        <v>3709</v>
      </c>
      <c r="I6363" s="15" t="s">
        <v>2316</v>
      </c>
    </row>
    <row r="6364" spans="1:9" ht="51.75" customHeight="1" x14ac:dyDescent="0.35">
      <c r="A6364" s="15">
        <v>1</v>
      </c>
      <c r="B6364" s="15" t="s">
        <v>39170</v>
      </c>
      <c r="C6364" s="15" t="s">
        <v>39171</v>
      </c>
      <c r="D6364" s="31">
        <v>39948</v>
      </c>
      <c r="E6364" s="15" t="s">
        <v>39172</v>
      </c>
      <c r="F6364" s="87"/>
      <c r="G6364" s="45" t="s">
        <v>2951</v>
      </c>
      <c r="H6364" s="55" t="s">
        <v>2952</v>
      </c>
      <c r="I6364" s="15" t="s">
        <v>2316</v>
      </c>
    </row>
    <row r="6365" spans="1:9" ht="51.75" customHeight="1" x14ac:dyDescent="0.35">
      <c r="A6365" s="15">
        <v>2</v>
      </c>
      <c r="B6365" s="15" t="s">
        <v>39173</v>
      </c>
      <c r="C6365" s="15" t="s">
        <v>39174</v>
      </c>
      <c r="D6365" s="31">
        <v>39948</v>
      </c>
      <c r="E6365" s="15" t="s">
        <v>39175</v>
      </c>
      <c r="F6365" s="87"/>
      <c r="G6365" s="45" t="s">
        <v>2951</v>
      </c>
      <c r="H6365" s="55" t="s">
        <v>2952</v>
      </c>
      <c r="I6365" s="15" t="s">
        <v>2316</v>
      </c>
    </row>
    <row r="6366" spans="1:9" ht="51.75" customHeight="1" x14ac:dyDescent="0.35">
      <c r="A6366" s="15">
        <v>3</v>
      </c>
      <c r="B6366" s="15" t="s">
        <v>39176</v>
      </c>
      <c r="C6366" s="15" t="s">
        <v>39177</v>
      </c>
      <c r="D6366" s="31">
        <v>39948</v>
      </c>
      <c r="E6366" s="15" t="s">
        <v>39178</v>
      </c>
      <c r="F6366" s="87"/>
      <c r="G6366" s="45" t="s">
        <v>2951</v>
      </c>
      <c r="H6366" s="55" t="s">
        <v>2952</v>
      </c>
      <c r="I6366" s="15" t="s">
        <v>2316</v>
      </c>
    </row>
    <row r="6367" spans="1:9" ht="51.75" customHeight="1" x14ac:dyDescent="0.35">
      <c r="A6367" s="15">
        <v>4</v>
      </c>
      <c r="B6367" s="15" t="s">
        <v>39179</v>
      </c>
      <c r="C6367" s="15" t="s">
        <v>39180</v>
      </c>
      <c r="D6367" s="31">
        <v>39948</v>
      </c>
      <c r="E6367" s="15" t="s">
        <v>39181</v>
      </c>
      <c r="F6367" s="87"/>
      <c r="G6367" s="45" t="s">
        <v>2951</v>
      </c>
      <c r="H6367" s="55" t="s">
        <v>2952</v>
      </c>
      <c r="I6367" s="15" t="s">
        <v>2316</v>
      </c>
    </row>
    <row r="6368" spans="1:9" ht="51.75" customHeight="1" x14ac:dyDescent="0.35">
      <c r="A6368" s="15">
        <v>5</v>
      </c>
      <c r="B6368" s="15" t="s">
        <v>39182</v>
      </c>
      <c r="C6368" s="15" t="s">
        <v>39183</v>
      </c>
      <c r="D6368" s="31">
        <v>39948</v>
      </c>
      <c r="E6368" s="15" t="s">
        <v>39184</v>
      </c>
      <c r="F6368" s="87"/>
      <c r="G6368" s="45" t="s">
        <v>2951</v>
      </c>
      <c r="H6368" s="55" t="s">
        <v>2952</v>
      </c>
      <c r="I6368" s="15" t="s">
        <v>2316</v>
      </c>
    </row>
    <row r="6369" spans="1:9" ht="51.75" customHeight="1" x14ac:dyDescent="0.35">
      <c r="A6369" s="15">
        <v>1</v>
      </c>
      <c r="B6369" s="15" t="s">
        <v>39185</v>
      </c>
      <c r="C6369" s="15" t="s">
        <v>39186</v>
      </c>
      <c r="D6369" s="31">
        <v>39751</v>
      </c>
      <c r="E6369" s="15" t="s">
        <v>39187</v>
      </c>
      <c r="F6369" s="87"/>
      <c r="G6369" s="45" t="s">
        <v>2921</v>
      </c>
      <c r="H6369" s="55" t="s">
        <v>2922</v>
      </c>
      <c r="I6369" s="15" t="s">
        <v>2316</v>
      </c>
    </row>
    <row r="6370" spans="1:9" ht="51.75" customHeight="1" x14ac:dyDescent="0.35">
      <c r="A6370" s="15">
        <v>2</v>
      </c>
      <c r="B6370" s="15" t="s">
        <v>39188</v>
      </c>
      <c r="C6370" s="15" t="s">
        <v>39189</v>
      </c>
      <c r="D6370" s="31">
        <v>39751</v>
      </c>
      <c r="E6370" s="15" t="s">
        <v>39190</v>
      </c>
      <c r="F6370" s="87"/>
      <c r="G6370" s="45" t="s">
        <v>2921</v>
      </c>
      <c r="H6370" s="55" t="s">
        <v>2922</v>
      </c>
      <c r="I6370" s="15" t="s">
        <v>2316</v>
      </c>
    </row>
    <row r="6371" spans="1:9" ht="51.75" customHeight="1" x14ac:dyDescent="0.35">
      <c r="A6371" s="15">
        <v>3</v>
      </c>
      <c r="B6371" s="15" t="s">
        <v>39191</v>
      </c>
      <c r="C6371" s="15" t="s">
        <v>39192</v>
      </c>
      <c r="D6371" s="31">
        <v>39751</v>
      </c>
      <c r="E6371" s="15" t="s">
        <v>39193</v>
      </c>
      <c r="F6371" s="87"/>
      <c r="G6371" s="45" t="s">
        <v>2921</v>
      </c>
      <c r="H6371" s="55" t="s">
        <v>2922</v>
      </c>
      <c r="I6371" s="15" t="s">
        <v>2316</v>
      </c>
    </row>
    <row r="6372" spans="1:9" ht="51.75" customHeight="1" x14ac:dyDescent="0.35">
      <c r="A6372" s="15">
        <v>4</v>
      </c>
      <c r="B6372" s="15" t="s">
        <v>39194</v>
      </c>
      <c r="C6372" s="15" t="s">
        <v>39195</v>
      </c>
      <c r="D6372" s="31">
        <v>39751</v>
      </c>
      <c r="E6372" s="15" t="s">
        <v>39196</v>
      </c>
      <c r="F6372" s="87"/>
      <c r="G6372" s="45" t="s">
        <v>2921</v>
      </c>
      <c r="H6372" s="55" t="s">
        <v>2922</v>
      </c>
      <c r="I6372" s="15" t="s">
        <v>2316</v>
      </c>
    </row>
    <row r="6373" spans="1:9" ht="51.75" customHeight="1" x14ac:dyDescent="0.35">
      <c r="A6373" s="15">
        <v>5</v>
      </c>
      <c r="B6373" s="15" t="s">
        <v>39197</v>
      </c>
      <c r="C6373" s="15" t="s">
        <v>39198</v>
      </c>
      <c r="D6373" s="31">
        <v>39751</v>
      </c>
      <c r="E6373" s="15" t="s">
        <v>39199</v>
      </c>
      <c r="F6373" s="87"/>
      <c r="G6373" s="45" t="s">
        <v>2921</v>
      </c>
      <c r="H6373" s="55" t="s">
        <v>2922</v>
      </c>
      <c r="I6373" s="15" t="s">
        <v>2316</v>
      </c>
    </row>
    <row r="6374" spans="1:9" ht="51.75" customHeight="1" x14ac:dyDescent="0.35">
      <c r="A6374" s="15">
        <v>1</v>
      </c>
      <c r="B6374" s="15" t="s">
        <v>39200</v>
      </c>
      <c r="C6374" s="15" t="s">
        <v>39201</v>
      </c>
      <c r="D6374" s="31">
        <v>39751</v>
      </c>
      <c r="E6374" s="15" t="s">
        <v>39201</v>
      </c>
      <c r="F6374" s="87"/>
      <c r="G6374" s="45" t="s">
        <v>3282</v>
      </c>
      <c r="H6374" s="55" t="s">
        <v>3283</v>
      </c>
      <c r="I6374" s="15" t="s">
        <v>2316</v>
      </c>
    </row>
    <row r="6375" spans="1:9" ht="51.75" customHeight="1" x14ac:dyDescent="0.35">
      <c r="A6375" s="15">
        <v>2</v>
      </c>
      <c r="B6375" s="15" t="s">
        <v>39202</v>
      </c>
      <c r="C6375" s="15" t="s">
        <v>39203</v>
      </c>
      <c r="D6375" s="31">
        <v>39751</v>
      </c>
      <c r="E6375" s="15" t="s">
        <v>39204</v>
      </c>
      <c r="F6375" s="87"/>
      <c r="G6375" s="45" t="s">
        <v>3282</v>
      </c>
      <c r="H6375" s="55" t="s">
        <v>3283</v>
      </c>
      <c r="I6375" s="15" t="s">
        <v>2316</v>
      </c>
    </row>
    <row r="6376" spans="1:9" ht="51.75" customHeight="1" x14ac:dyDescent="0.35">
      <c r="A6376" s="15">
        <v>3</v>
      </c>
      <c r="B6376" s="15" t="s">
        <v>39205</v>
      </c>
      <c r="C6376" s="15" t="s">
        <v>39206</v>
      </c>
      <c r="D6376" s="31">
        <v>39751</v>
      </c>
      <c r="E6376" s="15" t="s">
        <v>39207</v>
      </c>
      <c r="F6376" s="87"/>
      <c r="G6376" s="45" t="s">
        <v>3282</v>
      </c>
      <c r="H6376" s="55" t="s">
        <v>3283</v>
      </c>
      <c r="I6376" s="15" t="s">
        <v>2316</v>
      </c>
    </row>
    <row r="6377" spans="1:9" ht="51.75" customHeight="1" x14ac:dyDescent="0.35">
      <c r="A6377" s="15">
        <v>1</v>
      </c>
      <c r="B6377" s="15" t="s">
        <v>39208</v>
      </c>
      <c r="C6377" s="15" t="s">
        <v>39209</v>
      </c>
      <c r="D6377" s="31">
        <v>39588</v>
      </c>
      <c r="E6377" s="15" t="s">
        <v>39210</v>
      </c>
      <c r="F6377" s="87"/>
      <c r="G6377" s="45" t="s">
        <v>2314</v>
      </c>
      <c r="H6377" s="55" t="s">
        <v>2315</v>
      </c>
      <c r="I6377" s="15" t="s">
        <v>2316</v>
      </c>
    </row>
    <row r="6378" spans="1:9" ht="51.75" customHeight="1" x14ac:dyDescent="0.35">
      <c r="A6378" s="15">
        <v>2</v>
      </c>
      <c r="B6378" s="15" t="s">
        <v>39211</v>
      </c>
      <c r="C6378" s="15" t="s">
        <v>39212</v>
      </c>
      <c r="D6378" s="31">
        <v>39588</v>
      </c>
      <c r="E6378" s="15" t="s">
        <v>39213</v>
      </c>
      <c r="F6378" s="87"/>
      <c r="G6378" s="45" t="s">
        <v>2314</v>
      </c>
      <c r="H6378" s="55" t="s">
        <v>2315</v>
      </c>
      <c r="I6378" s="15" t="s">
        <v>2316</v>
      </c>
    </row>
    <row r="6379" spans="1:9" ht="51.75" customHeight="1" x14ac:dyDescent="0.35">
      <c r="A6379" s="15">
        <v>3</v>
      </c>
      <c r="B6379" s="15" t="s">
        <v>39214</v>
      </c>
      <c r="C6379" s="15" t="s">
        <v>39215</v>
      </c>
      <c r="D6379" s="31">
        <v>39588</v>
      </c>
      <c r="E6379" s="15" t="s">
        <v>39216</v>
      </c>
      <c r="F6379" s="87"/>
      <c r="G6379" s="45" t="s">
        <v>2314</v>
      </c>
      <c r="H6379" s="55" t="s">
        <v>2315</v>
      </c>
      <c r="I6379" s="15" t="s">
        <v>2316</v>
      </c>
    </row>
    <row r="6380" spans="1:9" ht="51.75" customHeight="1" x14ac:dyDescent="0.35">
      <c r="A6380" s="15" t="s">
        <v>32363</v>
      </c>
      <c r="B6380" s="15" t="s">
        <v>39217</v>
      </c>
      <c r="C6380" s="15" t="s">
        <v>39218</v>
      </c>
      <c r="D6380" s="31">
        <v>41320</v>
      </c>
      <c r="E6380" s="15" t="s">
        <v>39219</v>
      </c>
      <c r="F6380" s="87" t="s">
        <v>39220</v>
      </c>
      <c r="G6380" s="45" t="s">
        <v>7221</v>
      </c>
      <c r="H6380" s="55" t="s">
        <v>7222</v>
      </c>
      <c r="I6380" s="15" t="s">
        <v>2316</v>
      </c>
    </row>
    <row r="6381" spans="1:9" ht="51.75" customHeight="1" x14ac:dyDescent="0.35">
      <c r="A6381" s="15" t="s">
        <v>32363</v>
      </c>
      <c r="B6381" s="15" t="s">
        <v>39221</v>
      </c>
      <c r="C6381" s="15" t="s">
        <v>39218</v>
      </c>
      <c r="D6381" s="31">
        <v>41320</v>
      </c>
      <c r="E6381" s="15" t="s">
        <v>39222</v>
      </c>
      <c r="F6381" s="87" t="s">
        <v>21871</v>
      </c>
      <c r="G6381" s="45" t="s">
        <v>7221</v>
      </c>
      <c r="H6381" s="55" t="s">
        <v>7222</v>
      </c>
      <c r="I6381" s="15" t="s">
        <v>2316</v>
      </c>
    </row>
    <row r="6382" spans="1:9" ht="51.75" customHeight="1" x14ac:dyDescent="0.35">
      <c r="A6382" s="15" t="s">
        <v>24877</v>
      </c>
      <c r="B6382" s="15" t="s">
        <v>39223</v>
      </c>
      <c r="C6382" s="15" t="s">
        <v>39224</v>
      </c>
      <c r="D6382" s="31">
        <v>41320</v>
      </c>
      <c r="E6382" s="15" t="s">
        <v>39225</v>
      </c>
      <c r="F6382" s="87" t="s">
        <v>39220</v>
      </c>
      <c r="G6382" s="45" t="s">
        <v>7221</v>
      </c>
      <c r="H6382" s="55" t="s">
        <v>7222</v>
      </c>
      <c r="I6382" s="15" t="s">
        <v>2316</v>
      </c>
    </row>
    <row r="6383" spans="1:9" ht="51.75" customHeight="1" x14ac:dyDescent="0.35">
      <c r="A6383" s="15" t="s">
        <v>24877</v>
      </c>
      <c r="B6383" s="15" t="s">
        <v>39226</v>
      </c>
      <c r="C6383" s="15" t="s">
        <v>39224</v>
      </c>
      <c r="D6383" s="31">
        <v>41320</v>
      </c>
      <c r="E6383" s="15" t="s">
        <v>39227</v>
      </c>
      <c r="F6383" s="87" t="s">
        <v>21871</v>
      </c>
      <c r="G6383" s="45" t="s">
        <v>7221</v>
      </c>
      <c r="H6383" s="55" t="s">
        <v>7222</v>
      </c>
      <c r="I6383" s="15" t="s">
        <v>2316</v>
      </c>
    </row>
    <row r="6384" spans="1:9" ht="51.75" customHeight="1" x14ac:dyDescent="0.35">
      <c r="A6384" s="15" t="s">
        <v>22035</v>
      </c>
      <c r="B6384" s="15" t="s">
        <v>39228</v>
      </c>
      <c r="C6384" s="15" t="s">
        <v>39229</v>
      </c>
      <c r="D6384" s="31">
        <v>41320</v>
      </c>
      <c r="E6384" s="15" t="s">
        <v>39230</v>
      </c>
      <c r="F6384" s="87" t="s">
        <v>39220</v>
      </c>
      <c r="G6384" s="45" t="s">
        <v>7221</v>
      </c>
      <c r="H6384" s="55" t="s">
        <v>7222</v>
      </c>
      <c r="I6384" s="15" t="s">
        <v>2316</v>
      </c>
    </row>
    <row r="6385" spans="1:9" ht="51.75" customHeight="1" x14ac:dyDescent="0.35">
      <c r="A6385" s="15" t="s">
        <v>22035</v>
      </c>
      <c r="B6385" s="15" t="s">
        <v>39231</v>
      </c>
      <c r="C6385" s="15" t="s">
        <v>39229</v>
      </c>
      <c r="D6385" s="31">
        <v>41320</v>
      </c>
      <c r="E6385" s="15" t="s">
        <v>39232</v>
      </c>
      <c r="F6385" s="87" t="s">
        <v>21871</v>
      </c>
      <c r="G6385" s="45" t="s">
        <v>7221</v>
      </c>
      <c r="H6385" s="55" t="s">
        <v>7222</v>
      </c>
      <c r="I6385" s="15" t="s">
        <v>2316</v>
      </c>
    </row>
    <row r="6386" spans="1:9" ht="51.75" customHeight="1" x14ac:dyDescent="0.35">
      <c r="A6386" s="15" t="s">
        <v>23264</v>
      </c>
      <c r="B6386" s="15" t="s">
        <v>39233</v>
      </c>
      <c r="C6386" s="15" t="s">
        <v>39234</v>
      </c>
      <c r="D6386" s="31">
        <v>41320</v>
      </c>
      <c r="E6386" s="15" t="s">
        <v>39235</v>
      </c>
      <c r="F6386" s="87" t="s">
        <v>39220</v>
      </c>
      <c r="G6386" s="45" t="s">
        <v>7221</v>
      </c>
      <c r="H6386" s="55" t="s">
        <v>7222</v>
      </c>
      <c r="I6386" s="15" t="s">
        <v>2316</v>
      </c>
    </row>
    <row r="6387" spans="1:9" ht="51.75" customHeight="1" x14ac:dyDescent="0.35">
      <c r="A6387" s="15" t="s">
        <v>23264</v>
      </c>
      <c r="B6387" s="15" t="s">
        <v>39236</v>
      </c>
      <c r="C6387" s="15" t="s">
        <v>39234</v>
      </c>
      <c r="D6387" s="31">
        <v>41320</v>
      </c>
      <c r="E6387" s="15" t="s">
        <v>39237</v>
      </c>
      <c r="F6387" s="87" t="s">
        <v>21871</v>
      </c>
      <c r="G6387" s="45" t="s">
        <v>7221</v>
      </c>
      <c r="H6387" s="55" t="s">
        <v>7222</v>
      </c>
      <c r="I6387" s="15" t="s">
        <v>2316</v>
      </c>
    </row>
    <row r="6388" spans="1:9" ht="51.75" customHeight="1" x14ac:dyDescent="0.35">
      <c r="A6388" s="15" t="s">
        <v>22223</v>
      </c>
      <c r="B6388" s="15" t="s">
        <v>39238</v>
      </c>
      <c r="C6388" s="15" t="s">
        <v>39239</v>
      </c>
      <c r="D6388" s="31">
        <v>41320</v>
      </c>
      <c r="E6388" s="15" t="s">
        <v>39240</v>
      </c>
      <c r="F6388" s="87" t="s">
        <v>39220</v>
      </c>
      <c r="G6388" s="45" t="s">
        <v>7221</v>
      </c>
      <c r="H6388" s="55" t="s">
        <v>7222</v>
      </c>
      <c r="I6388" s="15" t="s">
        <v>2316</v>
      </c>
    </row>
    <row r="6389" spans="1:9" ht="51.75" customHeight="1" x14ac:dyDescent="0.35">
      <c r="A6389" s="15" t="s">
        <v>22223</v>
      </c>
      <c r="B6389" s="15" t="s">
        <v>39241</v>
      </c>
      <c r="C6389" s="15" t="s">
        <v>39239</v>
      </c>
      <c r="D6389" s="31">
        <v>41320</v>
      </c>
      <c r="E6389" s="15" t="s">
        <v>39242</v>
      </c>
      <c r="F6389" s="87" t="s">
        <v>21871</v>
      </c>
      <c r="G6389" s="45" t="s">
        <v>7221</v>
      </c>
      <c r="H6389" s="55" t="s">
        <v>7222</v>
      </c>
      <c r="I6389" s="15" t="s">
        <v>2316</v>
      </c>
    </row>
    <row r="6390" spans="1:9" ht="51.75" customHeight="1" x14ac:dyDescent="0.35">
      <c r="A6390" s="15" t="s">
        <v>22952</v>
      </c>
      <c r="B6390" s="15" t="s">
        <v>39243</v>
      </c>
      <c r="C6390" s="15" t="s">
        <v>39244</v>
      </c>
      <c r="D6390" s="31">
        <v>41320</v>
      </c>
      <c r="E6390" s="15" t="s">
        <v>39245</v>
      </c>
      <c r="F6390" s="87" t="s">
        <v>39220</v>
      </c>
      <c r="G6390" s="45" t="s">
        <v>7221</v>
      </c>
      <c r="H6390" s="55" t="s">
        <v>7222</v>
      </c>
      <c r="I6390" s="15" t="s">
        <v>2316</v>
      </c>
    </row>
    <row r="6391" spans="1:9" ht="51.75" customHeight="1" x14ac:dyDescent="0.35">
      <c r="A6391" s="15" t="s">
        <v>22952</v>
      </c>
      <c r="B6391" s="15" t="s">
        <v>39246</v>
      </c>
      <c r="C6391" s="15" t="s">
        <v>39244</v>
      </c>
      <c r="D6391" s="31">
        <v>41320</v>
      </c>
      <c r="E6391" s="15" t="s">
        <v>39247</v>
      </c>
      <c r="F6391" s="87" t="s">
        <v>21871</v>
      </c>
      <c r="G6391" s="45" t="s">
        <v>7221</v>
      </c>
      <c r="H6391" s="55" t="s">
        <v>7222</v>
      </c>
      <c r="I6391" s="15" t="s">
        <v>2316</v>
      </c>
    </row>
    <row r="6392" spans="1:9" ht="51.75" customHeight="1" x14ac:dyDescent="0.35">
      <c r="A6392" s="15" t="s">
        <v>22956</v>
      </c>
      <c r="B6392" s="15" t="s">
        <v>39248</v>
      </c>
      <c r="C6392" s="15" t="s">
        <v>39249</v>
      </c>
      <c r="D6392" s="31">
        <v>41320</v>
      </c>
      <c r="E6392" s="15" t="s">
        <v>39250</v>
      </c>
      <c r="F6392" s="87" t="s">
        <v>39220</v>
      </c>
      <c r="G6392" s="45" t="s">
        <v>7221</v>
      </c>
      <c r="H6392" s="55" t="s">
        <v>7222</v>
      </c>
      <c r="I6392" s="15" t="s">
        <v>2316</v>
      </c>
    </row>
    <row r="6393" spans="1:9" ht="51.75" customHeight="1" x14ac:dyDescent="0.35">
      <c r="A6393" s="15" t="s">
        <v>22956</v>
      </c>
      <c r="B6393" s="15" t="s">
        <v>39251</v>
      </c>
      <c r="C6393" s="15" t="s">
        <v>39249</v>
      </c>
      <c r="D6393" s="31">
        <v>41320</v>
      </c>
      <c r="E6393" s="15" t="s">
        <v>39252</v>
      </c>
      <c r="F6393" s="87" t="s">
        <v>21871</v>
      </c>
      <c r="G6393" s="45" t="s">
        <v>7221</v>
      </c>
      <c r="H6393" s="55" t="s">
        <v>7222</v>
      </c>
      <c r="I6393" s="15" t="s">
        <v>2316</v>
      </c>
    </row>
    <row r="6394" spans="1:9" ht="51.75" customHeight="1" x14ac:dyDescent="0.35">
      <c r="A6394" s="15" t="s">
        <v>22960</v>
      </c>
      <c r="B6394" s="15" t="s">
        <v>39253</v>
      </c>
      <c r="C6394" s="15" t="s">
        <v>39254</v>
      </c>
      <c r="D6394" s="31">
        <v>41320</v>
      </c>
      <c r="E6394" s="15" t="s">
        <v>39255</v>
      </c>
      <c r="F6394" s="87" t="s">
        <v>39220</v>
      </c>
      <c r="G6394" s="45" t="s">
        <v>7221</v>
      </c>
      <c r="H6394" s="55" t="s">
        <v>7222</v>
      </c>
      <c r="I6394" s="15" t="s">
        <v>2316</v>
      </c>
    </row>
    <row r="6395" spans="1:9" ht="51.75" customHeight="1" x14ac:dyDescent="0.35">
      <c r="A6395" s="15" t="s">
        <v>22960</v>
      </c>
      <c r="B6395" s="15" t="s">
        <v>39256</v>
      </c>
      <c r="C6395" s="15" t="s">
        <v>39254</v>
      </c>
      <c r="D6395" s="31">
        <v>41320</v>
      </c>
      <c r="E6395" s="15" t="s">
        <v>39257</v>
      </c>
      <c r="F6395" s="87" t="s">
        <v>21871</v>
      </c>
      <c r="G6395" s="45" t="s">
        <v>7221</v>
      </c>
      <c r="H6395" s="55" t="s">
        <v>7222</v>
      </c>
      <c r="I6395" s="15" t="s">
        <v>2316</v>
      </c>
    </row>
    <row r="6396" spans="1:9" ht="51.75" customHeight="1" x14ac:dyDescent="0.35">
      <c r="A6396" s="15" t="s">
        <v>22964</v>
      </c>
      <c r="B6396" s="15" t="s">
        <v>39258</v>
      </c>
      <c r="C6396" s="15" t="s">
        <v>39259</v>
      </c>
      <c r="D6396" s="31">
        <v>41320</v>
      </c>
      <c r="E6396" s="15" t="s">
        <v>39260</v>
      </c>
      <c r="F6396" s="87" t="s">
        <v>39220</v>
      </c>
      <c r="G6396" s="45" t="s">
        <v>7221</v>
      </c>
      <c r="H6396" s="55" t="s">
        <v>7222</v>
      </c>
      <c r="I6396" s="15" t="s">
        <v>2316</v>
      </c>
    </row>
    <row r="6397" spans="1:9" ht="51.75" customHeight="1" x14ac:dyDescent="0.35">
      <c r="A6397" s="15" t="s">
        <v>22964</v>
      </c>
      <c r="B6397" s="15" t="s">
        <v>39261</v>
      </c>
      <c r="C6397" s="15" t="s">
        <v>39259</v>
      </c>
      <c r="D6397" s="31">
        <v>41320</v>
      </c>
      <c r="E6397" s="15" t="s">
        <v>39262</v>
      </c>
      <c r="F6397" s="87" t="s">
        <v>21871</v>
      </c>
      <c r="G6397" s="45" t="s">
        <v>7221</v>
      </c>
      <c r="H6397" s="55" t="s">
        <v>7222</v>
      </c>
      <c r="I6397" s="15" t="s">
        <v>2316</v>
      </c>
    </row>
    <row r="6398" spans="1:9" ht="51.75" customHeight="1" x14ac:dyDescent="0.35">
      <c r="A6398" s="15" t="s">
        <v>22968</v>
      </c>
      <c r="B6398" s="15" t="s">
        <v>39263</v>
      </c>
      <c r="C6398" s="15" t="s">
        <v>39264</v>
      </c>
      <c r="D6398" s="31">
        <v>41320</v>
      </c>
      <c r="E6398" s="15" t="s">
        <v>39265</v>
      </c>
      <c r="F6398" s="87" t="s">
        <v>39220</v>
      </c>
      <c r="G6398" s="45" t="s">
        <v>7221</v>
      </c>
      <c r="H6398" s="55" t="s">
        <v>7222</v>
      </c>
      <c r="I6398" s="15" t="s">
        <v>2316</v>
      </c>
    </row>
    <row r="6399" spans="1:9" ht="51.75" customHeight="1" x14ac:dyDescent="0.35">
      <c r="A6399" s="15" t="s">
        <v>22968</v>
      </c>
      <c r="B6399" s="15" t="s">
        <v>39266</v>
      </c>
      <c r="C6399" s="15" t="s">
        <v>39264</v>
      </c>
      <c r="D6399" s="31">
        <v>41320</v>
      </c>
      <c r="E6399" s="15" t="s">
        <v>39267</v>
      </c>
      <c r="F6399" s="87" t="s">
        <v>21871</v>
      </c>
      <c r="G6399" s="45" t="s">
        <v>7221</v>
      </c>
      <c r="H6399" s="55" t="s">
        <v>7222</v>
      </c>
      <c r="I6399" s="15" t="s">
        <v>2316</v>
      </c>
    </row>
    <row r="6400" spans="1:9" ht="51.75" customHeight="1" x14ac:dyDescent="0.35">
      <c r="A6400" s="15" t="s">
        <v>28369</v>
      </c>
      <c r="B6400" s="15" t="s">
        <v>39268</v>
      </c>
      <c r="C6400" s="15" t="s">
        <v>39269</v>
      </c>
      <c r="D6400" s="31">
        <v>41320</v>
      </c>
      <c r="E6400" s="15" t="s">
        <v>39270</v>
      </c>
      <c r="F6400" s="87" t="s">
        <v>39220</v>
      </c>
      <c r="G6400" s="45" t="s">
        <v>7221</v>
      </c>
      <c r="H6400" s="55" t="s">
        <v>7222</v>
      </c>
      <c r="I6400" s="15" t="s">
        <v>2316</v>
      </c>
    </row>
    <row r="6401" spans="1:9" ht="51.75" customHeight="1" x14ac:dyDescent="0.35">
      <c r="A6401" s="15" t="s">
        <v>28369</v>
      </c>
      <c r="B6401" s="15" t="s">
        <v>39271</v>
      </c>
      <c r="C6401" s="15" t="s">
        <v>39269</v>
      </c>
      <c r="D6401" s="31">
        <v>41320</v>
      </c>
      <c r="E6401" s="15" t="s">
        <v>39272</v>
      </c>
      <c r="F6401" s="87" t="s">
        <v>21871</v>
      </c>
      <c r="G6401" s="45" t="s">
        <v>7221</v>
      </c>
      <c r="H6401" s="55" t="s">
        <v>7222</v>
      </c>
      <c r="I6401" s="15" t="s">
        <v>2316</v>
      </c>
    </row>
    <row r="6402" spans="1:9" ht="51.75" customHeight="1" x14ac:dyDescent="0.35">
      <c r="A6402" s="15" t="s">
        <v>23213</v>
      </c>
      <c r="B6402" s="15" t="s">
        <v>39273</v>
      </c>
      <c r="C6402" s="15" t="s">
        <v>39274</v>
      </c>
      <c r="D6402" s="31">
        <v>41320</v>
      </c>
      <c r="E6402" s="15" t="s">
        <v>39275</v>
      </c>
      <c r="F6402" s="87" t="s">
        <v>39220</v>
      </c>
      <c r="G6402" s="45" t="s">
        <v>7221</v>
      </c>
      <c r="H6402" s="55" t="s">
        <v>7222</v>
      </c>
      <c r="I6402" s="15" t="s">
        <v>2316</v>
      </c>
    </row>
    <row r="6403" spans="1:9" ht="51.75" customHeight="1" x14ac:dyDescent="0.35">
      <c r="A6403" s="15" t="s">
        <v>23213</v>
      </c>
      <c r="B6403" s="15" t="s">
        <v>39276</v>
      </c>
      <c r="C6403" s="15" t="s">
        <v>39274</v>
      </c>
      <c r="D6403" s="31">
        <v>41320</v>
      </c>
      <c r="E6403" s="15" t="s">
        <v>39277</v>
      </c>
      <c r="F6403" s="87" t="s">
        <v>21871</v>
      </c>
      <c r="G6403" s="45" t="s">
        <v>7221</v>
      </c>
      <c r="H6403" s="55" t="s">
        <v>7222</v>
      </c>
      <c r="I6403" s="15" t="s">
        <v>2316</v>
      </c>
    </row>
    <row r="6404" spans="1:9" ht="51.75" customHeight="1" x14ac:dyDescent="0.35">
      <c r="A6404" s="15" t="s">
        <v>23219</v>
      </c>
      <c r="B6404" s="15" t="s">
        <v>39278</v>
      </c>
      <c r="C6404" s="15" t="s">
        <v>39279</v>
      </c>
      <c r="D6404" s="31">
        <v>41320</v>
      </c>
      <c r="E6404" s="15" t="s">
        <v>39280</v>
      </c>
      <c r="F6404" s="87" t="s">
        <v>39220</v>
      </c>
      <c r="G6404" s="45" t="s">
        <v>7221</v>
      </c>
      <c r="H6404" s="55" t="s">
        <v>7222</v>
      </c>
      <c r="I6404" s="15" t="s">
        <v>2316</v>
      </c>
    </row>
    <row r="6405" spans="1:9" ht="51.75" customHeight="1" x14ac:dyDescent="0.35">
      <c r="A6405" s="15" t="s">
        <v>23219</v>
      </c>
      <c r="B6405" s="15" t="s">
        <v>39281</v>
      </c>
      <c r="C6405" s="15" t="s">
        <v>39279</v>
      </c>
      <c r="D6405" s="31">
        <v>41320</v>
      </c>
      <c r="E6405" s="15" t="s">
        <v>39282</v>
      </c>
      <c r="F6405" s="87" t="s">
        <v>21871</v>
      </c>
      <c r="G6405" s="45" t="s">
        <v>7221</v>
      </c>
      <c r="H6405" s="55" t="s">
        <v>7222</v>
      </c>
      <c r="I6405" s="15" t="s">
        <v>2316</v>
      </c>
    </row>
    <row r="6406" spans="1:9" ht="51.75" customHeight="1" x14ac:dyDescent="0.35">
      <c r="A6406" s="15" t="s">
        <v>23197</v>
      </c>
      <c r="B6406" s="15" t="s">
        <v>39283</v>
      </c>
      <c r="C6406" s="15" t="s">
        <v>39284</v>
      </c>
      <c r="D6406" s="31">
        <v>41320</v>
      </c>
      <c r="E6406" s="15" t="s">
        <v>39285</v>
      </c>
      <c r="F6406" s="87" t="s">
        <v>39220</v>
      </c>
      <c r="G6406" s="45" t="s">
        <v>7221</v>
      </c>
      <c r="H6406" s="55" t="s">
        <v>7222</v>
      </c>
      <c r="I6406" s="15" t="s">
        <v>2316</v>
      </c>
    </row>
    <row r="6407" spans="1:9" ht="51.75" customHeight="1" x14ac:dyDescent="0.35">
      <c r="A6407" s="15" t="s">
        <v>23197</v>
      </c>
      <c r="B6407" s="15" t="s">
        <v>39286</v>
      </c>
      <c r="C6407" s="15" t="s">
        <v>39284</v>
      </c>
      <c r="D6407" s="31">
        <v>41320</v>
      </c>
      <c r="E6407" s="15" t="s">
        <v>39287</v>
      </c>
      <c r="F6407" s="87" t="s">
        <v>21871</v>
      </c>
      <c r="G6407" s="45" t="s">
        <v>7221</v>
      </c>
      <c r="H6407" s="55" t="s">
        <v>7222</v>
      </c>
      <c r="I6407" s="15" t="s">
        <v>2316</v>
      </c>
    </row>
    <row r="6408" spans="1:9" ht="51.75" customHeight="1" x14ac:dyDescent="0.35">
      <c r="A6408" s="15" t="s">
        <v>23200</v>
      </c>
      <c r="B6408" s="15" t="s">
        <v>39288</v>
      </c>
      <c r="C6408" s="15" t="s">
        <v>39289</v>
      </c>
      <c r="D6408" s="31">
        <v>41320</v>
      </c>
      <c r="E6408" s="15" t="s">
        <v>39290</v>
      </c>
      <c r="F6408" s="87" t="s">
        <v>39220</v>
      </c>
      <c r="G6408" s="45" t="s">
        <v>7221</v>
      </c>
      <c r="H6408" s="55" t="s">
        <v>7222</v>
      </c>
      <c r="I6408" s="15" t="s">
        <v>2316</v>
      </c>
    </row>
    <row r="6409" spans="1:9" ht="51.75" customHeight="1" x14ac:dyDescent="0.35">
      <c r="A6409" s="15" t="s">
        <v>23200</v>
      </c>
      <c r="B6409" s="15" t="s">
        <v>39291</v>
      </c>
      <c r="C6409" s="15" t="s">
        <v>39289</v>
      </c>
      <c r="D6409" s="31">
        <v>41320</v>
      </c>
      <c r="E6409" s="15" t="s">
        <v>39292</v>
      </c>
      <c r="F6409" s="87" t="s">
        <v>21871</v>
      </c>
      <c r="G6409" s="45" t="s">
        <v>7221</v>
      </c>
      <c r="H6409" s="55" t="s">
        <v>7222</v>
      </c>
      <c r="I6409" s="15" t="s">
        <v>2316</v>
      </c>
    </row>
    <row r="6410" spans="1:9" ht="51.75" customHeight="1" x14ac:dyDescent="0.35">
      <c r="A6410" s="15" t="s">
        <v>23341</v>
      </c>
      <c r="B6410" s="15" t="s">
        <v>39293</v>
      </c>
      <c r="C6410" s="15" t="s">
        <v>39269</v>
      </c>
      <c r="D6410" s="31">
        <v>41320</v>
      </c>
      <c r="E6410" s="15" t="s">
        <v>39294</v>
      </c>
      <c r="F6410" s="87" t="s">
        <v>39220</v>
      </c>
      <c r="G6410" s="45" t="s">
        <v>7221</v>
      </c>
      <c r="H6410" s="55" t="s">
        <v>7222</v>
      </c>
      <c r="I6410" s="15" t="s">
        <v>2316</v>
      </c>
    </row>
    <row r="6411" spans="1:9" ht="51.75" customHeight="1" x14ac:dyDescent="0.35">
      <c r="A6411" s="15" t="s">
        <v>23341</v>
      </c>
      <c r="B6411" s="15" t="s">
        <v>39295</v>
      </c>
      <c r="C6411" s="15" t="s">
        <v>39269</v>
      </c>
      <c r="D6411" s="31">
        <v>41320</v>
      </c>
      <c r="E6411" s="15" t="s">
        <v>39296</v>
      </c>
      <c r="F6411" s="87" t="s">
        <v>21871</v>
      </c>
      <c r="G6411" s="45" t="s">
        <v>7221</v>
      </c>
      <c r="H6411" s="55" t="s">
        <v>7222</v>
      </c>
      <c r="I6411" s="15" t="s">
        <v>2316</v>
      </c>
    </row>
    <row r="6412" spans="1:9" ht="51.75" customHeight="1" x14ac:dyDescent="0.35">
      <c r="A6412" s="15" t="s">
        <v>23345</v>
      </c>
      <c r="B6412" s="15" t="s">
        <v>39297</v>
      </c>
      <c r="C6412" s="15" t="s">
        <v>39269</v>
      </c>
      <c r="D6412" s="31">
        <v>41320</v>
      </c>
      <c r="E6412" s="15" t="s">
        <v>39298</v>
      </c>
      <c r="F6412" s="87" t="s">
        <v>39220</v>
      </c>
      <c r="G6412" s="45" t="s">
        <v>7221</v>
      </c>
      <c r="H6412" s="55" t="s">
        <v>7222</v>
      </c>
      <c r="I6412" s="15" t="s">
        <v>2316</v>
      </c>
    </row>
    <row r="6413" spans="1:9" ht="51.75" customHeight="1" x14ac:dyDescent="0.35">
      <c r="A6413" s="15" t="s">
        <v>23345</v>
      </c>
      <c r="B6413" s="15" t="s">
        <v>39299</v>
      </c>
      <c r="C6413" s="15" t="s">
        <v>39269</v>
      </c>
      <c r="D6413" s="31">
        <v>41320</v>
      </c>
      <c r="E6413" s="15" t="s">
        <v>39300</v>
      </c>
      <c r="F6413" s="87" t="s">
        <v>21871</v>
      </c>
      <c r="G6413" s="45" t="s">
        <v>7221</v>
      </c>
      <c r="H6413" s="55" t="s">
        <v>7222</v>
      </c>
      <c r="I6413" s="15" t="s">
        <v>2316</v>
      </c>
    </row>
    <row r="6414" spans="1:9" ht="51.75" customHeight="1" x14ac:dyDescent="0.35">
      <c r="A6414" s="15" t="s">
        <v>23349</v>
      </c>
      <c r="B6414" s="15" t="s">
        <v>39301</v>
      </c>
      <c r="C6414" s="15" t="s">
        <v>39302</v>
      </c>
      <c r="D6414" s="31">
        <v>41320</v>
      </c>
      <c r="E6414" s="15" t="s">
        <v>39303</v>
      </c>
      <c r="F6414" s="87" t="s">
        <v>39220</v>
      </c>
      <c r="G6414" s="45" t="s">
        <v>7221</v>
      </c>
      <c r="H6414" s="55" t="s">
        <v>7222</v>
      </c>
      <c r="I6414" s="15" t="s">
        <v>2316</v>
      </c>
    </row>
    <row r="6415" spans="1:9" ht="51.75" customHeight="1" x14ac:dyDescent="0.35">
      <c r="A6415" s="15" t="s">
        <v>23349</v>
      </c>
      <c r="B6415" s="15" t="s">
        <v>39304</v>
      </c>
      <c r="C6415" s="15" t="s">
        <v>39302</v>
      </c>
      <c r="D6415" s="31">
        <v>41320</v>
      </c>
      <c r="E6415" s="15" t="s">
        <v>39305</v>
      </c>
      <c r="F6415" s="87" t="s">
        <v>21871</v>
      </c>
      <c r="G6415" s="45" t="s">
        <v>7221</v>
      </c>
      <c r="H6415" s="55" t="s">
        <v>7222</v>
      </c>
      <c r="I6415" s="15" t="s">
        <v>2316</v>
      </c>
    </row>
    <row r="6416" spans="1:9" ht="51.75" customHeight="1" x14ac:dyDescent="0.35">
      <c r="A6416" s="15" t="s">
        <v>24503</v>
      </c>
      <c r="B6416" s="15" t="s">
        <v>39306</v>
      </c>
      <c r="C6416" s="15" t="s">
        <v>39307</v>
      </c>
      <c r="D6416" s="31">
        <v>41320</v>
      </c>
      <c r="E6416" s="15" t="s">
        <v>39308</v>
      </c>
      <c r="F6416" s="87" t="s">
        <v>39220</v>
      </c>
      <c r="G6416" s="45" t="s">
        <v>7221</v>
      </c>
      <c r="H6416" s="55" t="s">
        <v>7222</v>
      </c>
      <c r="I6416" s="15" t="s">
        <v>2316</v>
      </c>
    </row>
    <row r="6417" spans="1:9" ht="51.75" customHeight="1" x14ac:dyDescent="0.35">
      <c r="A6417" s="15" t="s">
        <v>24503</v>
      </c>
      <c r="B6417" s="15" t="s">
        <v>39309</v>
      </c>
      <c r="C6417" s="15" t="s">
        <v>39307</v>
      </c>
      <c r="D6417" s="31">
        <v>41320</v>
      </c>
      <c r="E6417" s="15" t="s">
        <v>39310</v>
      </c>
      <c r="F6417" s="87" t="s">
        <v>21871</v>
      </c>
      <c r="G6417" s="45" t="s">
        <v>7221</v>
      </c>
      <c r="H6417" s="55" t="s">
        <v>7222</v>
      </c>
      <c r="I6417" s="15" t="s">
        <v>2316</v>
      </c>
    </row>
    <row r="6418" spans="1:9" ht="51.75" customHeight="1" x14ac:dyDescent="0.35">
      <c r="A6418" s="15" t="s">
        <v>23584</v>
      </c>
      <c r="B6418" s="15" t="s">
        <v>39311</v>
      </c>
      <c r="C6418" s="15" t="s">
        <v>39312</v>
      </c>
      <c r="D6418" s="31" t="s">
        <v>50</v>
      </c>
      <c r="E6418" s="15" t="s">
        <v>39313</v>
      </c>
      <c r="F6418" s="87" t="s">
        <v>21871</v>
      </c>
      <c r="G6418" s="45" t="s">
        <v>6403</v>
      </c>
      <c r="H6418" s="55" t="s">
        <v>6404</v>
      </c>
      <c r="I6418" s="15" t="s">
        <v>2316</v>
      </c>
    </row>
    <row r="6419" spans="1:9" ht="51.75" customHeight="1" x14ac:dyDescent="0.35">
      <c r="A6419" s="15" t="s">
        <v>23893</v>
      </c>
      <c r="B6419" s="15" t="s">
        <v>39314</v>
      </c>
      <c r="C6419" s="15" t="s">
        <v>39315</v>
      </c>
      <c r="D6419" s="31" t="s">
        <v>50</v>
      </c>
      <c r="E6419" s="15" t="s">
        <v>39316</v>
      </c>
      <c r="F6419" s="87" t="s">
        <v>21871</v>
      </c>
      <c r="G6419" s="45" t="s">
        <v>6403</v>
      </c>
      <c r="H6419" s="55" t="s">
        <v>6404</v>
      </c>
      <c r="I6419" s="15" t="s">
        <v>2316</v>
      </c>
    </row>
    <row r="6420" spans="1:9" ht="51.75" customHeight="1" x14ac:dyDescent="0.35">
      <c r="A6420" s="15" t="s">
        <v>37090</v>
      </c>
      <c r="B6420" s="15" t="s">
        <v>39317</v>
      </c>
      <c r="C6420" s="15" t="s">
        <v>39318</v>
      </c>
      <c r="D6420" s="31" t="s">
        <v>50</v>
      </c>
      <c r="E6420" s="15" t="s">
        <v>39319</v>
      </c>
      <c r="F6420" s="87" t="s">
        <v>21871</v>
      </c>
      <c r="G6420" s="45" t="s">
        <v>6403</v>
      </c>
      <c r="H6420" s="55" t="s">
        <v>6404</v>
      </c>
      <c r="I6420" s="15" t="s">
        <v>2316</v>
      </c>
    </row>
    <row r="6421" spans="1:9" ht="51.75" customHeight="1" x14ac:dyDescent="0.35">
      <c r="A6421" s="15" t="s">
        <v>28382</v>
      </c>
      <c r="B6421" s="15" t="s">
        <v>39320</v>
      </c>
      <c r="C6421" s="15" t="s">
        <v>39321</v>
      </c>
      <c r="D6421" s="31" t="s">
        <v>50</v>
      </c>
      <c r="E6421" s="15" t="s">
        <v>39322</v>
      </c>
      <c r="F6421" s="87" t="s">
        <v>21871</v>
      </c>
      <c r="G6421" s="45" t="s">
        <v>6403</v>
      </c>
      <c r="H6421" s="55" t="s">
        <v>6404</v>
      </c>
      <c r="I6421" s="15" t="s">
        <v>2316</v>
      </c>
    </row>
    <row r="6422" spans="1:9" ht="51.75" customHeight="1" x14ac:dyDescent="0.35">
      <c r="A6422" s="15" t="s">
        <v>28386</v>
      </c>
      <c r="B6422" s="15" t="s">
        <v>39323</v>
      </c>
      <c r="C6422" s="15" t="s">
        <v>39324</v>
      </c>
      <c r="D6422" s="31" t="s">
        <v>50</v>
      </c>
      <c r="E6422" s="15" t="s">
        <v>39325</v>
      </c>
      <c r="F6422" s="87" t="s">
        <v>21871</v>
      </c>
      <c r="G6422" s="45" t="s">
        <v>6403</v>
      </c>
      <c r="H6422" s="55" t="s">
        <v>6404</v>
      </c>
      <c r="I6422" s="15" t="s">
        <v>2316</v>
      </c>
    </row>
    <row r="6423" spans="1:9" ht="51.75" customHeight="1" x14ac:dyDescent="0.35">
      <c r="A6423" s="15" t="s">
        <v>29097</v>
      </c>
      <c r="B6423" s="15" t="s">
        <v>39326</v>
      </c>
      <c r="C6423" s="15" t="s">
        <v>39327</v>
      </c>
      <c r="D6423" s="31" t="s">
        <v>50</v>
      </c>
      <c r="E6423" s="15" t="s">
        <v>39328</v>
      </c>
      <c r="F6423" s="87" t="s">
        <v>21871</v>
      </c>
      <c r="G6423" s="45" t="s">
        <v>6403</v>
      </c>
      <c r="H6423" s="55" t="s">
        <v>6404</v>
      </c>
      <c r="I6423" s="15" t="s">
        <v>2316</v>
      </c>
    </row>
    <row r="6424" spans="1:9" ht="51.75" customHeight="1" x14ac:dyDescent="0.35">
      <c r="A6424" s="15" t="s">
        <v>23836</v>
      </c>
      <c r="B6424" s="15" t="s">
        <v>39329</v>
      </c>
      <c r="C6424" s="15" t="s">
        <v>39330</v>
      </c>
      <c r="D6424" s="31" t="s">
        <v>50</v>
      </c>
      <c r="E6424" s="15" t="s">
        <v>39331</v>
      </c>
      <c r="F6424" s="87" t="s">
        <v>21871</v>
      </c>
      <c r="G6424" s="45" t="s">
        <v>6403</v>
      </c>
      <c r="H6424" s="55" t="s">
        <v>6404</v>
      </c>
      <c r="I6424" s="15" t="s">
        <v>2316</v>
      </c>
    </row>
    <row r="6425" spans="1:9" ht="51.75" customHeight="1" x14ac:dyDescent="0.35">
      <c r="A6425" s="15" t="s">
        <v>28539</v>
      </c>
      <c r="B6425" s="15" t="s">
        <v>39332</v>
      </c>
      <c r="C6425" s="15" t="s">
        <v>39333</v>
      </c>
      <c r="D6425" s="31" t="s">
        <v>50</v>
      </c>
      <c r="E6425" s="15" t="s">
        <v>39334</v>
      </c>
      <c r="F6425" s="87" t="s">
        <v>21871</v>
      </c>
      <c r="G6425" s="45" t="s">
        <v>6403</v>
      </c>
      <c r="H6425" s="55" t="s">
        <v>6404</v>
      </c>
      <c r="I6425" s="15" t="s">
        <v>2316</v>
      </c>
    </row>
    <row r="6426" spans="1:9" ht="51.75" customHeight="1" x14ac:dyDescent="0.35">
      <c r="A6426" s="15" t="s">
        <v>28331</v>
      </c>
      <c r="B6426" s="15" t="s">
        <v>39335</v>
      </c>
      <c r="C6426" s="15" t="s">
        <v>39336</v>
      </c>
      <c r="D6426" s="31" t="s">
        <v>50</v>
      </c>
      <c r="E6426" s="15" t="s">
        <v>39337</v>
      </c>
      <c r="F6426" s="87" t="s">
        <v>21871</v>
      </c>
      <c r="G6426" s="45" t="s">
        <v>6403</v>
      </c>
      <c r="H6426" s="55" t="s">
        <v>6404</v>
      </c>
      <c r="I6426" s="15" t="s">
        <v>2316</v>
      </c>
    </row>
    <row r="6427" spans="1:9" ht="51.75" customHeight="1" x14ac:dyDescent="0.35">
      <c r="A6427" s="15" t="s">
        <v>28335</v>
      </c>
      <c r="B6427" s="15" t="s">
        <v>39338</v>
      </c>
      <c r="C6427" s="15" t="s">
        <v>39339</v>
      </c>
      <c r="D6427" s="31" t="s">
        <v>50</v>
      </c>
      <c r="E6427" s="15" t="s">
        <v>39340</v>
      </c>
      <c r="F6427" s="87" t="s">
        <v>21871</v>
      </c>
      <c r="G6427" s="45" t="s">
        <v>6403</v>
      </c>
      <c r="H6427" s="55" t="s">
        <v>6404</v>
      </c>
      <c r="I6427" s="15" t="s">
        <v>2316</v>
      </c>
    </row>
    <row r="6428" spans="1:9" ht="51.75" customHeight="1" x14ac:dyDescent="0.35">
      <c r="A6428" s="15" t="s">
        <v>23759</v>
      </c>
      <c r="B6428" s="15" t="s">
        <v>39341</v>
      </c>
      <c r="C6428" s="15" t="s">
        <v>39342</v>
      </c>
      <c r="D6428" s="31" t="s">
        <v>50</v>
      </c>
      <c r="E6428" s="15" t="s">
        <v>39343</v>
      </c>
      <c r="F6428" s="87" t="s">
        <v>21871</v>
      </c>
      <c r="G6428" s="45" t="s">
        <v>6403</v>
      </c>
      <c r="H6428" s="55" t="s">
        <v>6404</v>
      </c>
      <c r="I6428" s="15" t="s">
        <v>2316</v>
      </c>
    </row>
    <row r="6429" spans="1:9" ht="51.75" customHeight="1" x14ac:dyDescent="0.35">
      <c r="A6429" s="15">
        <v>1</v>
      </c>
      <c r="B6429" s="15" t="s">
        <v>39344</v>
      </c>
      <c r="C6429" s="15" t="s">
        <v>39345</v>
      </c>
      <c r="D6429" s="31">
        <v>40956</v>
      </c>
      <c r="E6429" s="15" t="s">
        <v>39346</v>
      </c>
      <c r="F6429" s="87"/>
      <c r="G6429" s="45" t="s">
        <v>6354</v>
      </c>
      <c r="H6429" s="55" t="s">
        <v>6355</v>
      </c>
      <c r="I6429" s="15" t="s">
        <v>2316</v>
      </c>
    </row>
    <row r="6430" spans="1:9" ht="51.75" customHeight="1" x14ac:dyDescent="0.35">
      <c r="A6430" s="15">
        <v>2</v>
      </c>
      <c r="B6430" s="15" t="s">
        <v>39347</v>
      </c>
      <c r="C6430" s="15" t="s">
        <v>39348</v>
      </c>
      <c r="D6430" s="31">
        <v>40956</v>
      </c>
      <c r="E6430" s="15" t="s">
        <v>39348</v>
      </c>
      <c r="F6430" s="87"/>
      <c r="G6430" s="45" t="s">
        <v>6354</v>
      </c>
      <c r="H6430" s="55" t="s">
        <v>6355</v>
      </c>
      <c r="I6430" s="15" t="s">
        <v>2316</v>
      </c>
    </row>
    <row r="6431" spans="1:9" ht="51.75" customHeight="1" x14ac:dyDescent="0.35">
      <c r="A6431" s="15">
        <v>1</v>
      </c>
      <c r="B6431" s="15" t="s">
        <v>39349</v>
      </c>
      <c r="C6431" s="15" t="s">
        <v>39350</v>
      </c>
      <c r="D6431" s="31">
        <v>40871</v>
      </c>
      <c r="E6431" s="15" t="s">
        <v>39351</v>
      </c>
      <c r="F6431" s="87"/>
      <c r="G6431" s="45" t="s">
        <v>5970</v>
      </c>
      <c r="H6431" s="55" t="s">
        <v>5971</v>
      </c>
      <c r="I6431" s="15" t="s">
        <v>2316</v>
      </c>
    </row>
    <row r="6432" spans="1:9" ht="51.75" customHeight="1" x14ac:dyDescent="0.35">
      <c r="A6432" s="15">
        <v>2</v>
      </c>
      <c r="B6432" s="15" t="s">
        <v>39352</v>
      </c>
      <c r="C6432" s="15" t="s">
        <v>39353</v>
      </c>
      <c r="D6432" s="31">
        <v>40871</v>
      </c>
      <c r="E6432" s="15" t="s">
        <v>39353</v>
      </c>
      <c r="F6432" s="87"/>
      <c r="G6432" s="45" t="s">
        <v>5970</v>
      </c>
      <c r="H6432" s="55" t="s">
        <v>5971</v>
      </c>
      <c r="I6432" s="15" t="s">
        <v>2316</v>
      </c>
    </row>
    <row r="6433" spans="1:9" ht="51.75" customHeight="1" x14ac:dyDescent="0.35">
      <c r="A6433" s="15">
        <v>1</v>
      </c>
      <c r="B6433" s="15" t="s">
        <v>39354</v>
      </c>
      <c r="C6433" s="15" t="s">
        <v>39355</v>
      </c>
      <c r="D6433" s="31">
        <v>40890</v>
      </c>
      <c r="E6433" s="15" t="s">
        <v>39356</v>
      </c>
      <c r="F6433" s="87"/>
      <c r="G6433" s="45" t="s">
        <v>5432</v>
      </c>
      <c r="H6433" s="55" t="s">
        <v>5433</v>
      </c>
      <c r="I6433" s="15" t="s">
        <v>2316</v>
      </c>
    </row>
    <row r="6434" spans="1:9" ht="51.75" customHeight="1" x14ac:dyDescent="0.35">
      <c r="A6434" s="15">
        <v>2</v>
      </c>
      <c r="B6434" s="15" t="s">
        <v>39357</v>
      </c>
      <c r="C6434" s="15" t="s">
        <v>39358</v>
      </c>
      <c r="D6434" s="31">
        <v>40890</v>
      </c>
      <c r="E6434" s="15" t="s">
        <v>39359</v>
      </c>
      <c r="F6434" s="87"/>
      <c r="G6434" s="45" t="s">
        <v>5432</v>
      </c>
      <c r="H6434" s="55" t="s">
        <v>5433</v>
      </c>
      <c r="I6434" s="15" t="s">
        <v>2316</v>
      </c>
    </row>
    <row r="6435" spans="1:9" ht="51.75" customHeight="1" x14ac:dyDescent="0.35">
      <c r="A6435" s="15">
        <v>3</v>
      </c>
      <c r="B6435" s="15" t="s">
        <v>39360</v>
      </c>
      <c r="C6435" s="15" t="s">
        <v>39361</v>
      </c>
      <c r="D6435" s="31">
        <v>40890</v>
      </c>
      <c r="E6435" s="15" t="s">
        <v>39362</v>
      </c>
      <c r="F6435" s="87"/>
      <c r="G6435" s="45" t="s">
        <v>5432</v>
      </c>
      <c r="H6435" s="55" t="s">
        <v>5433</v>
      </c>
      <c r="I6435" s="15" t="s">
        <v>2316</v>
      </c>
    </row>
    <row r="6436" spans="1:9" ht="51.75" customHeight="1" x14ac:dyDescent="0.35">
      <c r="A6436" s="15">
        <v>4</v>
      </c>
      <c r="B6436" s="15" t="s">
        <v>39363</v>
      </c>
      <c r="C6436" s="15" t="s">
        <v>39364</v>
      </c>
      <c r="D6436" s="31">
        <v>40890</v>
      </c>
      <c r="E6436" s="15" t="s">
        <v>39365</v>
      </c>
      <c r="F6436" s="87"/>
      <c r="G6436" s="45" t="s">
        <v>5432</v>
      </c>
      <c r="H6436" s="55" t="s">
        <v>5433</v>
      </c>
      <c r="I6436" s="15" t="s">
        <v>2316</v>
      </c>
    </row>
    <row r="6437" spans="1:9" ht="51.75" customHeight="1" x14ac:dyDescent="0.35">
      <c r="A6437" s="15">
        <v>5</v>
      </c>
      <c r="B6437" s="15" t="s">
        <v>39366</v>
      </c>
      <c r="C6437" s="15" t="s">
        <v>39367</v>
      </c>
      <c r="D6437" s="31">
        <v>40890</v>
      </c>
      <c r="E6437" s="15" t="s">
        <v>39368</v>
      </c>
      <c r="F6437" s="87"/>
      <c r="G6437" s="45" t="s">
        <v>5432</v>
      </c>
      <c r="H6437" s="55" t="s">
        <v>5433</v>
      </c>
      <c r="I6437" s="15" t="s">
        <v>2316</v>
      </c>
    </row>
    <row r="6438" spans="1:9" ht="51.75" customHeight="1" x14ac:dyDescent="0.35">
      <c r="A6438" s="15">
        <v>6</v>
      </c>
      <c r="B6438" s="15" t="s">
        <v>39369</v>
      </c>
      <c r="C6438" s="15" t="s">
        <v>39370</v>
      </c>
      <c r="D6438" s="31">
        <v>40890</v>
      </c>
      <c r="E6438" s="15" t="s">
        <v>39371</v>
      </c>
      <c r="F6438" s="87"/>
      <c r="G6438" s="45" t="s">
        <v>5432</v>
      </c>
      <c r="H6438" s="55" t="s">
        <v>5433</v>
      </c>
      <c r="I6438" s="15" t="s">
        <v>2316</v>
      </c>
    </row>
    <row r="6439" spans="1:9" ht="51.75" customHeight="1" x14ac:dyDescent="0.35">
      <c r="A6439" s="15">
        <v>7</v>
      </c>
      <c r="B6439" s="15" t="s">
        <v>39372</v>
      </c>
      <c r="C6439" s="15" t="s">
        <v>39373</v>
      </c>
      <c r="D6439" s="31">
        <v>40890</v>
      </c>
      <c r="E6439" s="15" t="s">
        <v>39374</v>
      </c>
      <c r="F6439" s="87"/>
      <c r="G6439" s="45" t="s">
        <v>5432</v>
      </c>
      <c r="H6439" s="55" t="s">
        <v>5433</v>
      </c>
      <c r="I6439" s="15" t="s">
        <v>2316</v>
      </c>
    </row>
    <row r="6440" spans="1:9" ht="51.75" customHeight="1" x14ac:dyDescent="0.35">
      <c r="A6440" s="15">
        <v>8</v>
      </c>
      <c r="B6440" s="15" t="s">
        <v>39375</v>
      </c>
      <c r="C6440" s="15" t="s">
        <v>39376</v>
      </c>
      <c r="D6440" s="31">
        <v>40890</v>
      </c>
      <c r="E6440" s="15" t="s">
        <v>39377</v>
      </c>
      <c r="F6440" s="87"/>
      <c r="G6440" s="45" t="s">
        <v>5432</v>
      </c>
      <c r="H6440" s="55" t="s">
        <v>5433</v>
      </c>
      <c r="I6440" s="15" t="s">
        <v>2316</v>
      </c>
    </row>
    <row r="6441" spans="1:9" ht="51.75" customHeight="1" x14ac:dyDescent="0.35">
      <c r="A6441" s="15">
        <v>9</v>
      </c>
      <c r="B6441" s="15" t="s">
        <v>39378</v>
      </c>
      <c r="C6441" s="15" t="s">
        <v>39379</v>
      </c>
      <c r="D6441" s="31">
        <v>40890</v>
      </c>
      <c r="E6441" s="15" t="s">
        <v>39380</v>
      </c>
      <c r="F6441" s="87"/>
      <c r="G6441" s="45" t="s">
        <v>5432</v>
      </c>
      <c r="H6441" s="55" t="s">
        <v>5433</v>
      </c>
      <c r="I6441" s="15" t="s">
        <v>2316</v>
      </c>
    </row>
    <row r="6442" spans="1:9" ht="51.75" customHeight="1" x14ac:dyDescent="0.35">
      <c r="A6442" s="15">
        <v>10</v>
      </c>
      <c r="B6442" s="15" t="s">
        <v>39381</v>
      </c>
      <c r="C6442" s="15" t="s">
        <v>39382</v>
      </c>
      <c r="D6442" s="31">
        <v>40890</v>
      </c>
      <c r="E6442" s="15" t="s">
        <v>39383</v>
      </c>
      <c r="F6442" s="87"/>
      <c r="G6442" s="45" t="s">
        <v>5432</v>
      </c>
      <c r="H6442" s="55" t="s">
        <v>5433</v>
      </c>
      <c r="I6442" s="15" t="s">
        <v>2316</v>
      </c>
    </row>
    <row r="6443" spans="1:9" ht="51.75" customHeight="1" x14ac:dyDescent="0.35">
      <c r="A6443" s="15" t="s">
        <v>33618</v>
      </c>
      <c r="B6443" s="15" t="s">
        <v>39384</v>
      </c>
      <c r="C6443" s="15" t="s">
        <v>26350</v>
      </c>
      <c r="D6443" s="31">
        <v>41583</v>
      </c>
      <c r="E6443" s="15" t="s">
        <v>39385</v>
      </c>
      <c r="F6443" s="87" t="s">
        <v>21871</v>
      </c>
      <c r="G6443" s="45" t="s">
        <v>9066</v>
      </c>
      <c r="H6443" s="55" t="s">
        <v>9067</v>
      </c>
      <c r="I6443" s="15" t="s">
        <v>2316</v>
      </c>
    </row>
    <row r="6444" spans="1:9" ht="51.75" customHeight="1" x14ac:dyDescent="0.35">
      <c r="A6444" s="15" t="s">
        <v>33622</v>
      </c>
      <c r="B6444" s="15" t="s">
        <v>39386</v>
      </c>
      <c r="C6444" s="15" t="s">
        <v>39387</v>
      </c>
      <c r="D6444" s="31">
        <v>41583</v>
      </c>
      <c r="E6444" s="15" t="s">
        <v>39388</v>
      </c>
      <c r="F6444" s="87" t="s">
        <v>21871</v>
      </c>
      <c r="G6444" s="45" t="s">
        <v>9066</v>
      </c>
      <c r="H6444" s="55" t="s">
        <v>9067</v>
      </c>
      <c r="I6444" s="15" t="s">
        <v>2316</v>
      </c>
    </row>
    <row r="6445" spans="1:9" ht="51.75" customHeight="1" x14ac:dyDescent="0.35">
      <c r="A6445" s="15" t="s">
        <v>26352</v>
      </c>
      <c r="B6445" s="15" t="s">
        <v>39389</v>
      </c>
      <c r="C6445" s="15" t="s">
        <v>39390</v>
      </c>
      <c r="D6445" s="31">
        <v>41583</v>
      </c>
      <c r="E6445" s="15" t="s">
        <v>39391</v>
      </c>
      <c r="F6445" s="87" t="s">
        <v>21871</v>
      </c>
      <c r="G6445" s="45" t="s">
        <v>9066</v>
      </c>
      <c r="H6445" s="55" t="s">
        <v>9067</v>
      </c>
      <c r="I6445" s="15" t="s">
        <v>2316</v>
      </c>
    </row>
    <row r="6446" spans="1:9" ht="51.75" customHeight="1" x14ac:dyDescent="0.35">
      <c r="A6446" s="15" t="s">
        <v>24546</v>
      </c>
      <c r="B6446" s="15" t="s">
        <v>39392</v>
      </c>
      <c r="C6446" s="15" t="s">
        <v>39393</v>
      </c>
      <c r="D6446" s="31">
        <v>41597</v>
      </c>
      <c r="E6446" s="15" t="s">
        <v>39394</v>
      </c>
      <c r="F6446" s="87" t="s">
        <v>21871</v>
      </c>
      <c r="G6446" s="45" t="s">
        <v>9008</v>
      </c>
      <c r="H6446" s="55" t="s">
        <v>9009</v>
      </c>
      <c r="I6446" s="15" t="s">
        <v>2316</v>
      </c>
    </row>
    <row r="6447" spans="1:9" ht="51.75" customHeight="1" x14ac:dyDescent="0.35">
      <c r="A6447" s="15" t="s">
        <v>24551</v>
      </c>
      <c r="B6447" s="15" t="s">
        <v>39395</v>
      </c>
      <c r="C6447" s="15" t="s">
        <v>39396</v>
      </c>
      <c r="D6447" s="31">
        <v>41597</v>
      </c>
      <c r="E6447" s="15" t="s">
        <v>39397</v>
      </c>
      <c r="F6447" s="87" t="s">
        <v>21871</v>
      </c>
      <c r="G6447" s="45" t="s">
        <v>9008</v>
      </c>
      <c r="H6447" s="55" t="s">
        <v>9009</v>
      </c>
      <c r="I6447" s="15" t="s">
        <v>2316</v>
      </c>
    </row>
    <row r="6448" spans="1:9" ht="51.75" customHeight="1" x14ac:dyDescent="0.35">
      <c r="A6448" s="15" t="s">
        <v>24556</v>
      </c>
      <c r="B6448" s="15" t="s">
        <v>39398</v>
      </c>
      <c r="C6448" s="15" t="s">
        <v>39399</v>
      </c>
      <c r="D6448" s="31">
        <v>41597</v>
      </c>
      <c r="E6448" s="15" t="s">
        <v>39400</v>
      </c>
      <c r="F6448" s="87" t="s">
        <v>21871</v>
      </c>
      <c r="G6448" s="45" t="s">
        <v>9008</v>
      </c>
      <c r="H6448" s="55" t="s">
        <v>9009</v>
      </c>
      <c r="I6448" s="15" t="s">
        <v>2316</v>
      </c>
    </row>
    <row r="6449" spans="1:9" ht="51.75" customHeight="1" x14ac:dyDescent="0.35">
      <c r="A6449" s="15" t="s">
        <v>24567</v>
      </c>
      <c r="B6449" s="15" t="s">
        <v>39401</v>
      </c>
      <c r="C6449" s="15" t="s">
        <v>39396</v>
      </c>
      <c r="D6449" s="31">
        <v>41597</v>
      </c>
      <c r="E6449" s="15" t="s">
        <v>39402</v>
      </c>
      <c r="F6449" s="87" t="s">
        <v>21871</v>
      </c>
      <c r="G6449" s="45" t="s">
        <v>9008</v>
      </c>
      <c r="H6449" s="55" t="s">
        <v>9009</v>
      </c>
      <c r="I6449" s="15" t="s">
        <v>2316</v>
      </c>
    </row>
    <row r="6450" spans="1:9" ht="51.75" customHeight="1" x14ac:dyDescent="0.35">
      <c r="A6450" s="15" t="s">
        <v>24572</v>
      </c>
      <c r="B6450" s="15" t="s">
        <v>39403</v>
      </c>
      <c r="C6450" s="15" t="s">
        <v>39404</v>
      </c>
      <c r="D6450" s="31">
        <v>41597</v>
      </c>
      <c r="E6450" s="15" t="s">
        <v>39405</v>
      </c>
      <c r="F6450" s="87" t="s">
        <v>21871</v>
      </c>
      <c r="G6450" s="45" t="s">
        <v>9008</v>
      </c>
      <c r="H6450" s="55" t="s">
        <v>9009</v>
      </c>
      <c r="I6450" s="15" t="s">
        <v>2316</v>
      </c>
    </row>
    <row r="6451" spans="1:9" ht="51.75" customHeight="1" x14ac:dyDescent="0.35">
      <c r="A6451" s="15" t="s">
        <v>23810</v>
      </c>
      <c r="B6451" s="15" t="s">
        <v>39406</v>
      </c>
      <c r="C6451" s="15" t="s">
        <v>39407</v>
      </c>
      <c r="D6451" s="31">
        <v>41597</v>
      </c>
      <c r="E6451" s="15" t="s">
        <v>39408</v>
      </c>
      <c r="F6451" s="87" t="s">
        <v>21871</v>
      </c>
      <c r="G6451" s="45" t="s">
        <v>9008</v>
      </c>
      <c r="H6451" s="55" t="s">
        <v>9009</v>
      </c>
      <c r="I6451" s="15" t="s">
        <v>2316</v>
      </c>
    </row>
    <row r="6452" spans="1:9" ht="51.75" customHeight="1" x14ac:dyDescent="0.35">
      <c r="A6452" s="15" t="s">
        <v>33837</v>
      </c>
      <c r="B6452" s="15" t="s">
        <v>39409</v>
      </c>
      <c r="C6452" s="15" t="s">
        <v>39410</v>
      </c>
      <c r="D6452" s="31">
        <v>41814</v>
      </c>
      <c r="E6452" s="15" t="s">
        <v>39411</v>
      </c>
      <c r="F6452" s="87" t="s">
        <v>21871</v>
      </c>
      <c r="G6452" s="45" t="s">
        <v>9211</v>
      </c>
      <c r="H6452" s="55" t="s">
        <v>9212</v>
      </c>
      <c r="I6452" s="15" t="s">
        <v>2316</v>
      </c>
    </row>
    <row r="6453" spans="1:9" ht="51.75" customHeight="1" x14ac:dyDescent="0.35">
      <c r="A6453" s="15" t="s">
        <v>33345</v>
      </c>
      <c r="B6453" s="15" t="s">
        <v>39412</v>
      </c>
      <c r="C6453" s="15" t="s">
        <v>39413</v>
      </c>
      <c r="D6453" s="31">
        <v>41814</v>
      </c>
      <c r="E6453" s="15" t="s">
        <v>39414</v>
      </c>
      <c r="F6453" s="87" t="s">
        <v>21871</v>
      </c>
      <c r="G6453" s="45" t="s">
        <v>9211</v>
      </c>
      <c r="H6453" s="55" t="s">
        <v>9212</v>
      </c>
      <c r="I6453" s="15" t="s">
        <v>2316</v>
      </c>
    </row>
    <row r="6454" spans="1:9" ht="51.75" customHeight="1" x14ac:dyDescent="0.35">
      <c r="A6454" s="15" t="s">
        <v>33349</v>
      </c>
      <c r="B6454" s="15" t="s">
        <v>39415</v>
      </c>
      <c r="C6454" s="15" t="s">
        <v>39416</v>
      </c>
      <c r="D6454" s="31">
        <v>41814</v>
      </c>
      <c r="E6454" s="15" t="s">
        <v>39417</v>
      </c>
      <c r="F6454" s="87" t="s">
        <v>21871</v>
      </c>
      <c r="G6454" s="45" t="s">
        <v>9211</v>
      </c>
      <c r="H6454" s="55" t="s">
        <v>9212</v>
      </c>
      <c r="I6454" s="15" t="s">
        <v>2316</v>
      </c>
    </row>
    <row r="6455" spans="1:9" ht="51.75" customHeight="1" x14ac:dyDescent="0.35">
      <c r="A6455" s="15" t="s">
        <v>23636</v>
      </c>
      <c r="B6455" s="15" t="s">
        <v>39418</v>
      </c>
      <c r="C6455" s="15" t="s">
        <v>39419</v>
      </c>
      <c r="D6455" s="31">
        <v>41814</v>
      </c>
      <c r="E6455" s="15" t="s">
        <v>39420</v>
      </c>
      <c r="F6455" s="87" t="s">
        <v>21871</v>
      </c>
      <c r="G6455" s="45" t="s">
        <v>9211</v>
      </c>
      <c r="H6455" s="55" t="s">
        <v>9212</v>
      </c>
      <c r="I6455" s="15" t="s">
        <v>2316</v>
      </c>
    </row>
    <row r="6456" spans="1:9" ht="51.75" customHeight="1" x14ac:dyDescent="0.35">
      <c r="A6456" s="15" t="s">
        <v>25543</v>
      </c>
      <c r="B6456" s="15" t="s">
        <v>39421</v>
      </c>
      <c r="C6456" s="15" t="s">
        <v>39422</v>
      </c>
      <c r="D6456" s="31">
        <v>41814</v>
      </c>
      <c r="E6456" s="15" t="s">
        <v>39423</v>
      </c>
      <c r="F6456" s="87" t="s">
        <v>21871</v>
      </c>
      <c r="G6456" s="45" t="s">
        <v>9211</v>
      </c>
      <c r="H6456" s="55" t="s">
        <v>9212</v>
      </c>
      <c r="I6456" s="15" t="s">
        <v>2316</v>
      </c>
    </row>
    <row r="6457" spans="1:9" ht="51.75" customHeight="1" x14ac:dyDescent="0.35">
      <c r="A6457" s="15" t="s">
        <v>25549</v>
      </c>
      <c r="B6457" s="15" t="s">
        <v>39424</v>
      </c>
      <c r="C6457" s="15" t="s">
        <v>39425</v>
      </c>
      <c r="D6457" s="31">
        <v>41814</v>
      </c>
      <c r="E6457" s="15" t="s">
        <v>39426</v>
      </c>
      <c r="F6457" s="87" t="s">
        <v>21871</v>
      </c>
      <c r="G6457" s="45" t="s">
        <v>9211</v>
      </c>
      <c r="H6457" s="55" t="s">
        <v>9212</v>
      </c>
      <c r="I6457" s="15" t="s">
        <v>2316</v>
      </c>
    </row>
    <row r="6458" spans="1:9" ht="51.75" customHeight="1" x14ac:dyDescent="0.35">
      <c r="A6458" s="15" t="s">
        <v>25555</v>
      </c>
      <c r="B6458" s="15" t="s">
        <v>39427</v>
      </c>
      <c r="C6458" s="15" t="s">
        <v>39428</v>
      </c>
      <c r="D6458" s="31">
        <v>41814</v>
      </c>
      <c r="E6458" s="15" t="s">
        <v>39429</v>
      </c>
      <c r="F6458" s="87" t="s">
        <v>21871</v>
      </c>
      <c r="G6458" s="45" t="s">
        <v>9211</v>
      </c>
      <c r="H6458" s="55" t="s">
        <v>9212</v>
      </c>
      <c r="I6458" s="15" t="s">
        <v>2316</v>
      </c>
    </row>
    <row r="6459" spans="1:9" ht="51.75" customHeight="1" x14ac:dyDescent="0.35">
      <c r="A6459" s="15" t="s">
        <v>23816</v>
      </c>
      <c r="B6459" s="15" t="s">
        <v>39430</v>
      </c>
      <c r="C6459" s="15" t="s">
        <v>39431</v>
      </c>
      <c r="D6459" s="31">
        <v>41814</v>
      </c>
      <c r="E6459" s="15" t="s">
        <v>39432</v>
      </c>
      <c r="F6459" s="87" t="s">
        <v>21871</v>
      </c>
      <c r="G6459" s="45" t="s">
        <v>9211</v>
      </c>
      <c r="H6459" s="55" t="s">
        <v>9212</v>
      </c>
      <c r="I6459" s="15" t="s">
        <v>2316</v>
      </c>
    </row>
    <row r="6460" spans="1:9" ht="51.75" customHeight="1" x14ac:dyDescent="0.35">
      <c r="A6460" s="15" t="s">
        <v>28399</v>
      </c>
      <c r="B6460" s="15" t="s">
        <v>39433</v>
      </c>
      <c r="C6460" s="15" t="s">
        <v>39434</v>
      </c>
      <c r="D6460" s="31">
        <v>41814</v>
      </c>
      <c r="E6460" s="15" t="s">
        <v>39435</v>
      </c>
      <c r="F6460" s="87" t="s">
        <v>21871</v>
      </c>
      <c r="G6460" s="45" t="s">
        <v>9211</v>
      </c>
      <c r="H6460" s="55" t="s">
        <v>9212</v>
      </c>
      <c r="I6460" s="15" t="s">
        <v>2316</v>
      </c>
    </row>
    <row r="6461" spans="1:9" ht="51.75" customHeight="1" x14ac:dyDescent="0.35">
      <c r="A6461" s="15" t="s">
        <v>32252</v>
      </c>
      <c r="B6461" s="15" t="s">
        <v>39436</v>
      </c>
      <c r="C6461" s="15" t="s">
        <v>39437</v>
      </c>
      <c r="D6461" s="31">
        <v>41814</v>
      </c>
      <c r="E6461" s="15" t="s">
        <v>39438</v>
      </c>
      <c r="F6461" s="87" t="s">
        <v>21871</v>
      </c>
      <c r="G6461" s="45" t="s">
        <v>9211</v>
      </c>
      <c r="H6461" s="55" t="s">
        <v>9212</v>
      </c>
      <c r="I6461" s="15" t="s">
        <v>2316</v>
      </c>
    </row>
    <row r="6462" spans="1:9" ht="51.75" customHeight="1" x14ac:dyDescent="0.35">
      <c r="A6462" s="15" t="s">
        <v>32256</v>
      </c>
      <c r="B6462" s="15" t="s">
        <v>39439</v>
      </c>
      <c r="C6462" s="15" t="s">
        <v>39440</v>
      </c>
      <c r="D6462" s="31">
        <v>41814</v>
      </c>
      <c r="E6462" s="15" t="s">
        <v>39441</v>
      </c>
      <c r="F6462" s="87" t="s">
        <v>21871</v>
      </c>
      <c r="G6462" s="45" t="s">
        <v>9211</v>
      </c>
      <c r="H6462" s="55" t="s">
        <v>9212</v>
      </c>
      <c r="I6462" s="15" t="s">
        <v>2316</v>
      </c>
    </row>
    <row r="6463" spans="1:9" ht="51.75" customHeight="1" x14ac:dyDescent="0.35">
      <c r="A6463" s="15" t="s">
        <v>32260</v>
      </c>
      <c r="B6463" s="15" t="s">
        <v>39442</v>
      </c>
      <c r="C6463" s="15" t="s">
        <v>39443</v>
      </c>
      <c r="D6463" s="31">
        <v>41814</v>
      </c>
      <c r="E6463" s="15" t="s">
        <v>39444</v>
      </c>
      <c r="F6463" s="87" t="s">
        <v>21871</v>
      </c>
      <c r="G6463" s="45" t="s">
        <v>9211</v>
      </c>
      <c r="H6463" s="55" t="s">
        <v>9212</v>
      </c>
      <c r="I6463" s="15" t="s">
        <v>2316</v>
      </c>
    </row>
    <row r="6464" spans="1:9" ht="51.75" customHeight="1" x14ac:dyDescent="0.35">
      <c r="A6464" s="15" t="s">
        <v>28403</v>
      </c>
      <c r="B6464" s="15" t="s">
        <v>39445</v>
      </c>
      <c r="C6464" s="15" t="s">
        <v>39446</v>
      </c>
      <c r="D6464" s="31">
        <v>41814</v>
      </c>
      <c r="E6464" s="15" t="s">
        <v>39447</v>
      </c>
      <c r="F6464" s="87" t="s">
        <v>21871</v>
      </c>
      <c r="G6464" s="45" t="s">
        <v>9211</v>
      </c>
      <c r="H6464" s="55" t="s">
        <v>9212</v>
      </c>
      <c r="I6464" s="15" t="s">
        <v>2316</v>
      </c>
    </row>
    <row r="6465" spans="1:9" ht="51.75" customHeight="1" x14ac:dyDescent="0.35">
      <c r="A6465" s="15" t="s">
        <v>22614</v>
      </c>
      <c r="B6465" s="15" t="s">
        <v>39448</v>
      </c>
      <c r="C6465" s="15" t="s">
        <v>39449</v>
      </c>
      <c r="D6465" s="31">
        <v>41814</v>
      </c>
      <c r="E6465" s="15" t="s">
        <v>39450</v>
      </c>
      <c r="F6465" s="87" t="s">
        <v>21871</v>
      </c>
      <c r="G6465" s="45" t="s">
        <v>9211</v>
      </c>
      <c r="H6465" s="55" t="s">
        <v>9212</v>
      </c>
      <c r="I6465" s="15" t="s">
        <v>2316</v>
      </c>
    </row>
    <row r="6466" spans="1:9" ht="51.75" customHeight="1" x14ac:dyDescent="0.35">
      <c r="A6466" s="15" t="s">
        <v>22703</v>
      </c>
      <c r="B6466" s="15" t="s">
        <v>39451</v>
      </c>
      <c r="C6466" s="15" t="s">
        <v>39452</v>
      </c>
      <c r="D6466" s="31">
        <v>41814</v>
      </c>
      <c r="E6466" s="15" t="s">
        <v>39453</v>
      </c>
      <c r="F6466" s="87" t="s">
        <v>21871</v>
      </c>
      <c r="G6466" s="45" t="s">
        <v>9211</v>
      </c>
      <c r="H6466" s="55" t="s">
        <v>9212</v>
      </c>
      <c r="I6466" s="15" t="s">
        <v>2316</v>
      </c>
    </row>
    <row r="6467" spans="1:9" ht="51.75" customHeight="1" x14ac:dyDescent="0.35">
      <c r="A6467" s="15" t="s">
        <v>22707</v>
      </c>
      <c r="B6467" s="15" t="s">
        <v>39454</v>
      </c>
      <c r="C6467" s="15" t="s">
        <v>39455</v>
      </c>
      <c r="D6467" s="31">
        <v>41814</v>
      </c>
      <c r="E6467" s="15" t="s">
        <v>39456</v>
      </c>
      <c r="F6467" s="87" t="s">
        <v>21871</v>
      </c>
      <c r="G6467" s="45" t="s">
        <v>9211</v>
      </c>
      <c r="H6467" s="55" t="s">
        <v>9212</v>
      </c>
      <c r="I6467" s="15" t="s">
        <v>2316</v>
      </c>
    </row>
    <row r="6468" spans="1:9" ht="51.75" customHeight="1" x14ac:dyDescent="0.35">
      <c r="A6468" s="15" t="s">
        <v>22578</v>
      </c>
      <c r="B6468" s="15" t="s">
        <v>39457</v>
      </c>
      <c r="C6468" s="15" t="s">
        <v>39458</v>
      </c>
      <c r="D6468" s="31">
        <v>42212</v>
      </c>
      <c r="E6468" s="15" t="s">
        <v>39459</v>
      </c>
      <c r="F6468" s="87" t="s">
        <v>21871</v>
      </c>
      <c r="G6468" s="45" t="s">
        <v>10238</v>
      </c>
      <c r="H6468" s="55" t="s">
        <v>10239</v>
      </c>
      <c r="I6468" s="15" t="s">
        <v>2316</v>
      </c>
    </row>
    <row r="6469" spans="1:9" ht="51.75" customHeight="1" x14ac:dyDescent="0.35">
      <c r="A6469" s="15" t="s">
        <v>22586</v>
      </c>
      <c r="B6469" s="15" t="s">
        <v>39460</v>
      </c>
      <c r="C6469" s="15" t="s">
        <v>39461</v>
      </c>
      <c r="D6469" s="31">
        <v>42212</v>
      </c>
      <c r="E6469" s="15" t="s">
        <v>39462</v>
      </c>
      <c r="F6469" s="87" t="s">
        <v>21871</v>
      </c>
      <c r="G6469" s="45" t="s">
        <v>10238</v>
      </c>
      <c r="H6469" s="55" t="s">
        <v>10239</v>
      </c>
      <c r="I6469" s="15" t="s">
        <v>2316</v>
      </c>
    </row>
    <row r="6470" spans="1:9" ht="51.75" customHeight="1" x14ac:dyDescent="0.35">
      <c r="A6470" s="15" t="s">
        <v>26038</v>
      </c>
      <c r="B6470" s="15" t="s">
        <v>39463</v>
      </c>
      <c r="C6470" s="15" t="s">
        <v>39464</v>
      </c>
      <c r="D6470" s="31">
        <v>42212</v>
      </c>
      <c r="E6470" s="15" t="s">
        <v>39465</v>
      </c>
      <c r="F6470" s="87" t="s">
        <v>21871</v>
      </c>
      <c r="G6470" s="45" t="s">
        <v>10238</v>
      </c>
      <c r="H6470" s="55" t="s">
        <v>10239</v>
      </c>
      <c r="I6470" s="15" t="s">
        <v>2316</v>
      </c>
    </row>
    <row r="6471" spans="1:9" ht="51.75" customHeight="1" x14ac:dyDescent="0.35">
      <c r="A6471" s="15" t="s">
        <v>26042</v>
      </c>
      <c r="B6471" s="15" t="s">
        <v>39466</v>
      </c>
      <c r="C6471" s="15" t="s">
        <v>39467</v>
      </c>
      <c r="D6471" s="31">
        <v>42212</v>
      </c>
      <c r="E6471" s="15" t="s">
        <v>39468</v>
      </c>
      <c r="F6471" s="87" t="s">
        <v>21871</v>
      </c>
      <c r="G6471" s="45" t="s">
        <v>10238</v>
      </c>
      <c r="H6471" s="55" t="s">
        <v>10239</v>
      </c>
      <c r="I6471" s="15" t="s">
        <v>2316</v>
      </c>
    </row>
    <row r="6472" spans="1:9" ht="51.75" customHeight="1" x14ac:dyDescent="0.35">
      <c r="A6472" s="15" t="s">
        <v>22394</v>
      </c>
      <c r="B6472" s="15" t="s">
        <v>39469</v>
      </c>
      <c r="C6472" s="15" t="s">
        <v>39470</v>
      </c>
      <c r="D6472" s="31">
        <v>42212</v>
      </c>
      <c r="E6472" s="15" t="s">
        <v>39471</v>
      </c>
      <c r="F6472" s="87" t="s">
        <v>21871</v>
      </c>
      <c r="G6472" s="45" t="s">
        <v>10238</v>
      </c>
      <c r="H6472" s="55" t="s">
        <v>10239</v>
      </c>
      <c r="I6472" s="15" t="s">
        <v>2316</v>
      </c>
    </row>
    <row r="6473" spans="1:9" ht="51.75" customHeight="1" x14ac:dyDescent="0.35">
      <c r="A6473" s="15" t="s">
        <v>23770</v>
      </c>
      <c r="B6473" s="15" t="s">
        <v>39472</v>
      </c>
      <c r="C6473" s="15" t="s">
        <v>39473</v>
      </c>
      <c r="D6473" s="31">
        <v>42212</v>
      </c>
      <c r="E6473" s="15" t="s">
        <v>39474</v>
      </c>
      <c r="F6473" s="87" t="s">
        <v>21871</v>
      </c>
      <c r="G6473" s="45" t="s">
        <v>10238</v>
      </c>
      <c r="H6473" s="55" t="s">
        <v>10239</v>
      </c>
      <c r="I6473" s="15" t="s">
        <v>2316</v>
      </c>
    </row>
    <row r="6474" spans="1:9" ht="51.75" customHeight="1" x14ac:dyDescent="0.35">
      <c r="A6474" s="15" t="s">
        <v>22143</v>
      </c>
      <c r="B6474" s="15" t="s">
        <v>39475</v>
      </c>
      <c r="C6474" s="15" t="s">
        <v>39476</v>
      </c>
      <c r="D6474" s="31">
        <v>42212</v>
      </c>
      <c r="E6474" s="15" t="s">
        <v>39477</v>
      </c>
      <c r="F6474" s="87" t="s">
        <v>21871</v>
      </c>
      <c r="G6474" s="45" t="s">
        <v>10238</v>
      </c>
      <c r="H6474" s="55" t="s">
        <v>10239</v>
      </c>
      <c r="I6474" s="15" t="s">
        <v>2316</v>
      </c>
    </row>
    <row r="6475" spans="1:9" ht="51.75" customHeight="1" x14ac:dyDescent="0.35">
      <c r="A6475" s="15" t="s">
        <v>24820</v>
      </c>
      <c r="B6475" s="15" t="s">
        <v>39478</v>
      </c>
      <c r="C6475" s="15" t="s">
        <v>39479</v>
      </c>
      <c r="D6475" s="31">
        <v>42360</v>
      </c>
      <c r="E6475" s="15" t="s">
        <v>39480</v>
      </c>
      <c r="F6475" s="87" t="s">
        <v>21871</v>
      </c>
      <c r="G6475" s="45" t="s">
        <v>11386</v>
      </c>
      <c r="H6475" s="55" t="s">
        <v>11387</v>
      </c>
      <c r="I6475" s="15" t="s">
        <v>2316</v>
      </c>
    </row>
    <row r="6476" spans="1:9" ht="51.75" customHeight="1" x14ac:dyDescent="0.35">
      <c r="A6476" s="15" t="s">
        <v>24826</v>
      </c>
      <c r="B6476" s="15" t="s">
        <v>39481</v>
      </c>
      <c r="C6476" s="15" t="s">
        <v>39482</v>
      </c>
      <c r="D6476" s="31">
        <v>42360</v>
      </c>
      <c r="E6476" s="15" t="s">
        <v>39483</v>
      </c>
      <c r="F6476" s="87" t="s">
        <v>21871</v>
      </c>
      <c r="G6476" s="45" t="s">
        <v>11386</v>
      </c>
      <c r="H6476" s="55" t="s">
        <v>11387</v>
      </c>
      <c r="I6476" s="15" t="s">
        <v>2316</v>
      </c>
    </row>
    <row r="6477" spans="1:9" ht="51.75" customHeight="1" x14ac:dyDescent="0.35">
      <c r="A6477" s="15" t="s">
        <v>25285</v>
      </c>
      <c r="B6477" s="15" t="s">
        <v>39484</v>
      </c>
      <c r="C6477" s="15" t="s">
        <v>39485</v>
      </c>
      <c r="D6477" s="31">
        <v>42360</v>
      </c>
      <c r="E6477" s="15" t="s">
        <v>39486</v>
      </c>
      <c r="F6477" s="87" t="s">
        <v>21871</v>
      </c>
      <c r="G6477" s="45" t="s">
        <v>11386</v>
      </c>
      <c r="H6477" s="55" t="s">
        <v>11387</v>
      </c>
      <c r="I6477" s="15" t="s">
        <v>2316</v>
      </c>
    </row>
    <row r="6478" spans="1:9" ht="51.75" customHeight="1" x14ac:dyDescent="0.35">
      <c r="A6478" s="15" t="s">
        <v>25291</v>
      </c>
      <c r="B6478" s="15" t="s">
        <v>39487</v>
      </c>
      <c r="C6478" s="15" t="s">
        <v>39488</v>
      </c>
      <c r="D6478" s="31">
        <v>42360</v>
      </c>
      <c r="E6478" s="15" t="s">
        <v>39489</v>
      </c>
      <c r="F6478" s="87" t="s">
        <v>21871</v>
      </c>
      <c r="G6478" s="45" t="s">
        <v>11386</v>
      </c>
      <c r="H6478" s="55" t="s">
        <v>11387</v>
      </c>
      <c r="I6478" s="15" t="s">
        <v>2316</v>
      </c>
    </row>
    <row r="6479" spans="1:9" ht="51.75" customHeight="1" x14ac:dyDescent="0.35">
      <c r="A6479" s="15" t="s">
        <v>25297</v>
      </c>
      <c r="B6479" s="15" t="s">
        <v>39490</v>
      </c>
      <c r="C6479" s="15" t="s">
        <v>39491</v>
      </c>
      <c r="D6479" s="31">
        <v>42360</v>
      </c>
      <c r="E6479" s="15" t="s">
        <v>39492</v>
      </c>
      <c r="F6479" s="87" t="s">
        <v>21871</v>
      </c>
      <c r="G6479" s="45" t="s">
        <v>11386</v>
      </c>
      <c r="H6479" s="55" t="s">
        <v>11387</v>
      </c>
      <c r="I6479" s="15" t="s">
        <v>2316</v>
      </c>
    </row>
    <row r="6480" spans="1:9" ht="51.75" customHeight="1" x14ac:dyDescent="0.35">
      <c r="A6480" s="15" t="s">
        <v>25303</v>
      </c>
      <c r="B6480" s="15" t="s">
        <v>39493</v>
      </c>
      <c r="C6480" s="15"/>
      <c r="D6480" s="31">
        <v>42360</v>
      </c>
      <c r="E6480" s="15" t="s">
        <v>39494</v>
      </c>
      <c r="F6480" s="87" t="s">
        <v>21871</v>
      </c>
      <c r="G6480" s="45" t="s">
        <v>11386</v>
      </c>
      <c r="H6480" s="55" t="s">
        <v>11387</v>
      </c>
      <c r="I6480" s="15" t="s">
        <v>2316</v>
      </c>
    </row>
    <row r="6481" spans="1:9" ht="51.75" customHeight="1" x14ac:dyDescent="0.35">
      <c r="A6481" s="15" t="s">
        <v>26390</v>
      </c>
      <c r="B6481" s="15" t="s">
        <v>39495</v>
      </c>
      <c r="C6481" s="15" t="s">
        <v>39496</v>
      </c>
      <c r="D6481" s="31">
        <v>42360</v>
      </c>
      <c r="E6481" s="15" t="s">
        <v>39497</v>
      </c>
      <c r="F6481" s="87" t="s">
        <v>21871</v>
      </c>
      <c r="G6481" s="45" t="s">
        <v>11386</v>
      </c>
      <c r="H6481" s="55" t="s">
        <v>11387</v>
      </c>
      <c r="I6481" s="15" t="s">
        <v>2316</v>
      </c>
    </row>
    <row r="6482" spans="1:9" ht="51.75" customHeight="1" x14ac:dyDescent="0.35">
      <c r="A6482" s="15" t="s">
        <v>26394</v>
      </c>
      <c r="B6482" s="15" t="s">
        <v>39498</v>
      </c>
      <c r="C6482" s="15" t="s">
        <v>39499</v>
      </c>
      <c r="D6482" s="31">
        <v>42360</v>
      </c>
      <c r="E6482" s="15" t="s">
        <v>39500</v>
      </c>
      <c r="F6482" s="87" t="s">
        <v>21871</v>
      </c>
      <c r="G6482" s="45" t="s">
        <v>11386</v>
      </c>
      <c r="H6482" s="55" t="s">
        <v>11387</v>
      </c>
      <c r="I6482" s="15" t="s">
        <v>2316</v>
      </c>
    </row>
    <row r="6483" spans="1:9" ht="51.75" customHeight="1" x14ac:dyDescent="0.35">
      <c r="A6483" s="15" t="s">
        <v>23325</v>
      </c>
      <c r="B6483" s="15" t="s">
        <v>39501</v>
      </c>
      <c r="C6483" s="15" t="s">
        <v>39502</v>
      </c>
      <c r="D6483" s="31">
        <v>42360</v>
      </c>
      <c r="E6483" s="15" t="s">
        <v>39503</v>
      </c>
      <c r="F6483" s="87" t="s">
        <v>21871</v>
      </c>
      <c r="G6483" s="45" t="s">
        <v>11386</v>
      </c>
      <c r="H6483" s="55" t="s">
        <v>11387</v>
      </c>
      <c r="I6483" s="15" t="s">
        <v>2316</v>
      </c>
    </row>
    <row r="6484" spans="1:9" ht="51.75" customHeight="1" x14ac:dyDescent="0.35">
      <c r="A6484" s="15" t="s">
        <v>23329</v>
      </c>
      <c r="B6484" s="15" t="s">
        <v>39504</v>
      </c>
      <c r="C6484" s="15" t="s">
        <v>39505</v>
      </c>
      <c r="D6484" s="31">
        <v>42360</v>
      </c>
      <c r="E6484" s="15" t="s">
        <v>39506</v>
      </c>
      <c r="F6484" s="87" t="s">
        <v>21871</v>
      </c>
      <c r="G6484" s="45" t="s">
        <v>11386</v>
      </c>
      <c r="H6484" s="55" t="s">
        <v>11387</v>
      </c>
      <c r="I6484" s="15" t="s">
        <v>2316</v>
      </c>
    </row>
    <row r="6485" spans="1:9" ht="51.75" customHeight="1" x14ac:dyDescent="0.35">
      <c r="A6485" s="15" t="s">
        <v>24623</v>
      </c>
      <c r="B6485" s="15" t="s">
        <v>39507</v>
      </c>
      <c r="C6485" s="15" t="s">
        <v>39508</v>
      </c>
      <c r="D6485" s="31">
        <v>42360</v>
      </c>
      <c r="E6485" s="15" t="s">
        <v>39509</v>
      </c>
      <c r="F6485" s="87" t="s">
        <v>21871</v>
      </c>
      <c r="G6485" s="45" t="s">
        <v>11386</v>
      </c>
      <c r="H6485" s="55" t="s">
        <v>11387</v>
      </c>
      <c r="I6485" s="15" t="s">
        <v>2316</v>
      </c>
    </row>
    <row r="6486" spans="1:9" ht="51.75" customHeight="1" x14ac:dyDescent="0.35">
      <c r="A6486" s="15" t="s">
        <v>24629</v>
      </c>
      <c r="B6486" s="15" t="s">
        <v>39510</v>
      </c>
      <c r="C6486" s="15" t="s">
        <v>39511</v>
      </c>
      <c r="D6486" s="31">
        <v>42360</v>
      </c>
      <c r="E6486" s="15" t="s">
        <v>39512</v>
      </c>
      <c r="F6486" s="87" t="s">
        <v>21871</v>
      </c>
      <c r="G6486" s="45" t="s">
        <v>11386</v>
      </c>
      <c r="H6486" s="55" t="s">
        <v>11387</v>
      </c>
      <c r="I6486" s="15" t="s">
        <v>2316</v>
      </c>
    </row>
    <row r="6487" spans="1:9" ht="51.75" customHeight="1" x14ac:dyDescent="0.35">
      <c r="A6487" s="15" t="s">
        <v>23572</v>
      </c>
      <c r="B6487" s="15" t="s">
        <v>39513</v>
      </c>
      <c r="C6487" s="15" t="s">
        <v>39514</v>
      </c>
      <c r="D6487" s="31">
        <v>42797</v>
      </c>
      <c r="E6487" s="15" t="s">
        <v>39515</v>
      </c>
      <c r="F6487" s="87" t="s">
        <v>21871</v>
      </c>
      <c r="G6487" s="45" t="s">
        <v>12252</v>
      </c>
      <c r="H6487" s="55" t="s">
        <v>12253</v>
      </c>
      <c r="I6487" s="15" t="s">
        <v>2316</v>
      </c>
    </row>
    <row r="6488" spans="1:9" ht="51.75" customHeight="1" x14ac:dyDescent="0.35">
      <c r="A6488" s="15" t="s">
        <v>23575</v>
      </c>
      <c r="B6488" s="15" t="s">
        <v>39516</v>
      </c>
      <c r="C6488" s="15" t="s">
        <v>39517</v>
      </c>
      <c r="D6488" s="31">
        <v>42797</v>
      </c>
      <c r="E6488" s="15" t="s">
        <v>39518</v>
      </c>
      <c r="F6488" s="87" t="s">
        <v>21871</v>
      </c>
      <c r="G6488" s="45" t="s">
        <v>12252</v>
      </c>
      <c r="H6488" s="55" t="s">
        <v>12253</v>
      </c>
      <c r="I6488" s="15" t="s">
        <v>2316</v>
      </c>
    </row>
    <row r="6489" spans="1:9" ht="51.75" customHeight="1" x14ac:dyDescent="0.35">
      <c r="A6489" s="15" t="s">
        <v>22622</v>
      </c>
      <c r="B6489" s="15" t="s">
        <v>39519</v>
      </c>
      <c r="C6489" s="15" t="s">
        <v>39520</v>
      </c>
      <c r="D6489" s="31">
        <v>42797</v>
      </c>
      <c r="E6489" s="15" t="s">
        <v>39521</v>
      </c>
      <c r="F6489" s="87" t="s">
        <v>21871</v>
      </c>
      <c r="G6489" s="45" t="s">
        <v>12252</v>
      </c>
      <c r="H6489" s="55" t="s">
        <v>12253</v>
      </c>
      <c r="I6489" s="15" t="s">
        <v>2316</v>
      </c>
    </row>
    <row r="6490" spans="1:9" ht="51.75" customHeight="1" x14ac:dyDescent="0.35">
      <c r="A6490" s="15" t="s">
        <v>24635</v>
      </c>
      <c r="B6490" s="15" t="s">
        <v>39522</v>
      </c>
      <c r="C6490" s="15" t="s">
        <v>39523</v>
      </c>
      <c r="D6490" s="31">
        <v>42353</v>
      </c>
      <c r="E6490" s="15" t="s">
        <v>39524</v>
      </c>
      <c r="F6490" s="87" t="s">
        <v>21871</v>
      </c>
      <c r="G6490" s="45" t="s">
        <v>11254</v>
      </c>
      <c r="H6490" s="55" t="s">
        <v>11255</v>
      </c>
      <c r="I6490" s="15" t="s">
        <v>2316</v>
      </c>
    </row>
    <row r="6491" spans="1:9" ht="51.75" customHeight="1" x14ac:dyDescent="0.35">
      <c r="A6491" s="15" t="s">
        <v>26591</v>
      </c>
      <c r="B6491" s="15" t="s">
        <v>39525</v>
      </c>
      <c r="C6491" s="15" t="s">
        <v>39526</v>
      </c>
      <c r="D6491" s="31">
        <v>42353</v>
      </c>
      <c r="E6491" s="15" t="s">
        <v>39527</v>
      </c>
      <c r="F6491" s="87" t="s">
        <v>21871</v>
      </c>
      <c r="G6491" s="45" t="s">
        <v>11254</v>
      </c>
      <c r="H6491" s="55" t="s">
        <v>11255</v>
      </c>
      <c r="I6491" s="15" t="s">
        <v>2316</v>
      </c>
    </row>
    <row r="6492" spans="1:9" ht="51.75" customHeight="1" x14ac:dyDescent="0.35">
      <c r="A6492" s="15" t="s">
        <v>26597</v>
      </c>
      <c r="B6492" s="15" t="s">
        <v>39528</v>
      </c>
      <c r="C6492" s="15" t="s">
        <v>39529</v>
      </c>
      <c r="D6492" s="31">
        <v>42353</v>
      </c>
      <c r="E6492" s="15" t="s">
        <v>39530</v>
      </c>
      <c r="F6492" s="87" t="s">
        <v>21871</v>
      </c>
      <c r="G6492" s="45" t="s">
        <v>11254</v>
      </c>
      <c r="H6492" s="55" t="s">
        <v>11255</v>
      </c>
      <c r="I6492" s="15" t="s">
        <v>2316</v>
      </c>
    </row>
    <row r="6493" spans="1:9" ht="51.75" customHeight="1" x14ac:dyDescent="0.35">
      <c r="A6493" s="15" t="s">
        <v>26600</v>
      </c>
      <c r="B6493" s="15" t="s">
        <v>39531</v>
      </c>
      <c r="C6493" s="15" t="s">
        <v>39532</v>
      </c>
      <c r="D6493" s="31">
        <v>42353</v>
      </c>
      <c r="E6493" s="15" t="s">
        <v>39533</v>
      </c>
      <c r="F6493" s="87" t="s">
        <v>21871</v>
      </c>
      <c r="G6493" s="45" t="s">
        <v>11254</v>
      </c>
      <c r="H6493" s="55" t="s">
        <v>11255</v>
      </c>
      <c r="I6493" s="15" t="s">
        <v>2316</v>
      </c>
    </row>
    <row r="6494" spans="1:9" ht="51.75" customHeight="1" x14ac:dyDescent="0.35">
      <c r="A6494" s="15" t="s">
        <v>26603</v>
      </c>
      <c r="B6494" s="15" t="s">
        <v>39534</v>
      </c>
      <c r="C6494" s="15" t="s">
        <v>39535</v>
      </c>
      <c r="D6494" s="31">
        <v>42353</v>
      </c>
      <c r="E6494" s="15" t="s">
        <v>39536</v>
      </c>
      <c r="F6494" s="87" t="s">
        <v>21871</v>
      </c>
      <c r="G6494" s="45" t="s">
        <v>11254</v>
      </c>
      <c r="H6494" s="55" t="s">
        <v>11255</v>
      </c>
      <c r="I6494" s="15" t="s">
        <v>2316</v>
      </c>
    </row>
    <row r="6495" spans="1:9" ht="51.75" customHeight="1" x14ac:dyDescent="0.35">
      <c r="A6495" s="15" t="s">
        <v>26606</v>
      </c>
      <c r="B6495" s="15" t="s">
        <v>39537</v>
      </c>
      <c r="C6495" s="15" t="s">
        <v>39538</v>
      </c>
      <c r="D6495" s="31">
        <v>42353</v>
      </c>
      <c r="E6495" s="15" t="s">
        <v>39539</v>
      </c>
      <c r="F6495" s="87" t="s">
        <v>21871</v>
      </c>
      <c r="G6495" s="45" t="s">
        <v>11254</v>
      </c>
      <c r="H6495" s="55" t="s">
        <v>11255</v>
      </c>
      <c r="I6495" s="15" t="s">
        <v>2316</v>
      </c>
    </row>
    <row r="6496" spans="1:9" ht="51.75" customHeight="1" x14ac:dyDescent="0.35">
      <c r="A6496" s="15" t="s">
        <v>22081</v>
      </c>
      <c r="B6496" s="15" t="s">
        <v>39540</v>
      </c>
      <c r="C6496" s="15" t="s">
        <v>39541</v>
      </c>
      <c r="D6496" s="31">
        <v>42353</v>
      </c>
      <c r="E6496" s="15" t="s">
        <v>39542</v>
      </c>
      <c r="F6496" s="87" t="s">
        <v>21871</v>
      </c>
      <c r="G6496" s="45" t="s">
        <v>11254</v>
      </c>
      <c r="H6496" s="55" t="s">
        <v>11255</v>
      </c>
      <c r="I6496" s="15" t="s">
        <v>2316</v>
      </c>
    </row>
    <row r="6497" spans="1:9" ht="51.75" customHeight="1" x14ac:dyDescent="0.35">
      <c r="A6497" s="15" t="s">
        <v>26398</v>
      </c>
      <c r="B6497" s="15" t="s">
        <v>39543</v>
      </c>
      <c r="C6497" s="15" t="s">
        <v>39544</v>
      </c>
      <c r="D6497" s="31">
        <v>42790</v>
      </c>
      <c r="E6497" s="15" t="s">
        <v>39545</v>
      </c>
      <c r="F6497" s="87" t="s">
        <v>21871</v>
      </c>
      <c r="G6497" s="45" t="s">
        <v>12926</v>
      </c>
      <c r="H6497" s="55" t="s">
        <v>12927</v>
      </c>
      <c r="I6497" s="15" t="s">
        <v>2316</v>
      </c>
    </row>
    <row r="6498" spans="1:9" ht="51.75" customHeight="1" x14ac:dyDescent="0.35">
      <c r="A6498" s="15" t="s">
        <v>32009</v>
      </c>
      <c r="B6498" s="15" t="s">
        <v>39546</v>
      </c>
      <c r="C6498" s="15" t="s">
        <v>39547</v>
      </c>
      <c r="D6498" s="31">
        <v>42790</v>
      </c>
      <c r="E6498" s="15" t="s">
        <v>39548</v>
      </c>
      <c r="F6498" s="87" t="s">
        <v>21871</v>
      </c>
      <c r="G6498" s="45" t="s">
        <v>12926</v>
      </c>
      <c r="H6498" s="55" t="s">
        <v>12927</v>
      </c>
      <c r="I6498" s="15" t="s">
        <v>2316</v>
      </c>
    </row>
    <row r="6499" spans="1:9" ht="51.75" customHeight="1" x14ac:dyDescent="0.35">
      <c r="A6499" s="15" t="s">
        <v>23325</v>
      </c>
      <c r="B6499" s="15" t="s">
        <v>39549</v>
      </c>
      <c r="C6499" s="15" t="s">
        <v>39550</v>
      </c>
      <c r="D6499" s="31">
        <v>42790</v>
      </c>
      <c r="E6499" s="15" t="s">
        <v>39551</v>
      </c>
      <c r="F6499" s="87" t="s">
        <v>21871</v>
      </c>
      <c r="G6499" s="45" t="s">
        <v>12926</v>
      </c>
      <c r="H6499" s="55" t="s">
        <v>12927</v>
      </c>
      <c r="I6499" s="15" t="s">
        <v>2316</v>
      </c>
    </row>
    <row r="6500" spans="1:9" ht="51.75" customHeight="1" x14ac:dyDescent="0.35">
      <c r="A6500" s="15" t="s">
        <v>23329</v>
      </c>
      <c r="B6500" s="15" t="s">
        <v>39552</v>
      </c>
      <c r="C6500" s="15" t="s">
        <v>39553</v>
      </c>
      <c r="D6500" s="31">
        <v>42790</v>
      </c>
      <c r="E6500" s="15" t="s">
        <v>39554</v>
      </c>
      <c r="F6500" s="87" t="s">
        <v>21871</v>
      </c>
      <c r="G6500" s="45" t="s">
        <v>12926</v>
      </c>
      <c r="H6500" s="55" t="s">
        <v>12927</v>
      </c>
      <c r="I6500" s="15" t="s">
        <v>2316</v>
      </c>
    </row>
    <row r="6501" spans="1:9" ht="51.75" customHeight="1" x14ac:dyDescent="0.35">
      <c r="A6501" s="15" t="s">
        <v>23333</v>
      </c>
      <c r="B6501" s="15" t="s">
        <v>39555</v>
      </c>
      <c r="C6501" s="15" t="s">
        <v>39556</v>
      </c>
      <c r="D6501" s="31">
        <v>42790</v>
      </c>
      <c r="E6501" s="15" t="s">
        <v>39557</v>
      </c>
      <c r="F6501" s="87" t="s">
        <v>21871</v>
      </c>
      <c r="G6501" s="45" t="s">
        <v>12926</v>
      </c>
      <c r="H6501" s="55" t="s">
        <v>12927</v>
      </c>
      <c r="I6501" s="15" t="s">
        <v>2316</v>
      </c>
    </row>
    <row r="6502" spans="1:9" ht="51.75" customHeight="1" x14ac:dyDescent="0.35">
      <c r="A6502" s="15" t="s">
        <v>24623</v>
      </c>
      <c r="B6502" s="15" t="s">
        <v>39558</v>
      </c>
      <c r="C6502" s="15" t="s">
        <v>39559</v>
      </c>
      <c r="D6502" s="31">
        <v>42790</v>
      </c>
      <c r="E6502" s="15" t="s">
        <v>39560</v>
      </c>
      <c r="F6502" s="87" t="s">
        <v>21871</v>
      </c>
      <c r="G6502" s="45" t="s">
        <v>12926</v>
      </c>
      <c r="H6502" s="55" t="s">
        <v>12927</v>
      </c>
      <c r="I6502" s="15" t="s">
        <v>2316</v>
      </c>
    </row>
    <row r="6503" spans="1:9" ht="51.75" customHeight="1" x14ac:dyDescent="0.35">
      <c r="A6503" s="15" t="s">
        <v>24629</v>
      </c>
      <c r="B6503" s="15" t="s">
        <v>39561</v>
      </c>
      <c r="C6503" s="15" t="s">
        <v>39562</v>
      </c>
      <c r="D6503" s="31">
        <v>42790</v>
      </c>
      <c r="E6503" s="15" t="s">
        <v>39563</v>
      </c>
      <c r="F6503" s="87" t="s">
        <v>21871</v>
      </c>
      <c r="G6503" s="45" t="s">
        <v>12926</v>
      </c>
      <c r="H6503" s="55" t="s">
        <v>12927</v>
      </c>
      <c r="I6503" s="15" t="s">
        <v>2316</v>
      </c>
    </row>
    <row r="6504" spans="1:9" ht="51.75" customHeight="1" x14ac:dyDescent="0.35">
      <c r="A6504" s="15" t="s">
        <v>24635</v>
      </c>
      <c r="B6504" s="15" t="s">
        <v>39564</v>
      </c>
      <c r="C6504" s="15" t="s">
        <v>39565</v>
      </c>
      <c r="D6504" s="31">
        <v>42790</v>
      </c>
      <c r="E6504" s="15" t="s">
        <v>39566</v>
      </c>
      <c r="F6504" s="87" t="s">
        <v>21871</v>
      </c>
      <c r="G6504" s="45" t="s">
        <v>12926</v>
      </c>
      <c r="H6504" s="55" t="s">
        <v>12927</v>
      </c>
      <c r="I6504" s="15" t="s">
        <v>2316</v>
      </c>
    </row>
    <row r="6505" spans="1:9" ht="51.75" customHeight="1" x14ac:dyDescent="0.35">
      <c r="A6505" s="15" t="s">
        <v>24641</v>
      </c>
      <c r="B6505" s="15" t="s">
        <v>39567</v>
      </c>
      <c r="C6505" s="15" t="s">
        <v>39568</v>
      </c>
      <c r="D6505" s="31">
        <v>42790</v>
      </c>
      <c r="E6505" s="15" t="s">
        <v>39569</v>
      </c>
      <c r="F6505" s="87" t="s">
        <v>21871</v>
      </c>
      <c r="G6505" s="45" t="s">
        <v>12926</v>
      </c>
      <c r="H6505" s="55" t="s">
        <v>12927</v>
      </c>
      <c r="I6505" s="15" t="s">
        <v>2316</v>
      </c>
    </row>
    <row r="6506" spans="1:9" ht="51.75" customHeight="1" x14ac:dyDescent="0.35">
      <c r="A6506" s="15" t="s">
        <v>26594</v>
      </c>
      <c r="B6506" s="15" t="s">
        <v>39570</v>
      </c>
      <c r="C6506" s="15" t="s">
        <v>39571</v>
      </c>
      <c r="D6506" s="31">
        <v>42790</v>
      </c>
      <c r="E6506" s="15" t="s">
        <v>39572</v>
      </c>
      <c r="F6506" s="87" t="s">
        <v>21871</v>
      </c>
      <c r="G6506" s="45" t="s">
        <v>12926</v>
      </c>
      <c r="H6506" s="55" t="s">
        <v>12927</v>
      </c>
      <c r="I6506" s="15" t="s">
        <v>2316</v>
      </c>
    </row>
    <row r="6507" spans="1:9" ht="51.75" customHeight="1" x14ac:dyDescent="0.35">
      <c r="A6507" s="15" t="s">
        <v>26606</v>
      </c>
      <c r="B6507" s="15" t="s">
        <v>39573</v>
      </c>
      <c r="C6507" s="15" t="s">
        <v>39574</v>
      </c>
      <c r="D6507" s="31">
        <v>42790</v>
      </c>
      <c r="E6507" s="15" t="s">
        <v>39575</v>
      </c>
      <c r="F6507" s="87" t="s">
        <v>21871</v>
      </c>
      <c r="G6507" s="45" t="s">
        <v>12926</v>
      </c>
      <c r="H6507" s="55" t="s">
        <v>12927</v>
      </c>
      <c r="I6507" s="15" t="s">
        <v>2316</v>
      </c>
    </row>
    <row r="6508" spans="1:9" ht="51.75" customHeight="1" x14ac:dyDescent="0.35">
      <c r="A6508" s="15" t="s">
        <v>23770</v>
      </c>
      <c r="B6508" s="15" t="s">
        <v>39576</v>
      </c>
      <c r="C6508" s="15" t="s">
        <v>39577</v>
      </c>
      <c r="D6508" s="31">
        <v>43157</v>
      </c>
      <c r="E6508" s="15" t="s">
        <v>39578</v>
      </c>
      <c r="F6508" s="87" t="s">
        <v>21871</v>
      </c>
      <c r="G6508" s="45" t="s">
        <v>13484</v>
      </c>
      <c r="H6508" s="55" t="s">
        <v>13485</v>
      </c>
      <c r="I6508" s="15" t="s">
        <v>2316</v>
      </c>
    </row>
    <row r="6509" spans="1:9" ht="51.75" customHeight="1" x14ac:dyDescent="0.35">
      <c r="A6509" s="15" t="s">
        <v>23776</v>
      </c>
      <c r="B6509" s="15" t="s">
        <v>39579</v>
      </c>
      <c r="C6509" s="15" t="s">
        <v>39580</v>
      </c>
      <c r="D6509" s="31">
        <v>43157</v>
      </c>
      <c r="E6509" s="15" t="s">
        <v>39581</v>
      </c>
      <c r="F6509" s="87" t="s">
        <v>21871</v>
      </c>
      <c r="G6509" s="45" t="s">
        <v>13484</v>
      </c>
      <c r="H6509" s="55" t="s">
        <v>13485</v>
      </c>
      <c r="I6509" s="15" t="s">
        <v>2316</v>
      </c>
    </row>
    <row r="6510" spans="1:9" ht="51.75" customHeight="1" x14ac:dyDescent="0.35">
      <c r="A6510" s="15" t="s">
        <v>23782</v>
      </c>
      <c r="B6510" s="15" t="s">
        <v>39582</v>
      </c>
      <c r="C6510" s="15" t="s">
        <v>39583</v>
      </c>
      <c r="D6510" s="31">
        <v>43157</v>
      </c>
      <c r="E6510" s="15" t="s">
        <v>39583</v>
      </c>
      <c r="F6510" s="87" t="s">
        <v>21871</v>
      </c>
      <c r="G6510" s="45" t="s">
        <v>13484</v>
      </c>
      <c r="H6510" s="55" t="s">
        <v>13485</v>
      </c>
      <c r="I6510" s="15" t="s">
        <v>2316</v>
      </c>
    </row>
    <row r="6511" spans="1:9" ht="51.75" customHeight="1" x14ac:dyDescent="0.35">
      <c r="A6511" s="15" t="s">
        <v>22043</v>
      </c>
      <c r="B6511" s="15" t="s">
        <v>39584</v>
      </c>
      <c r="C6511" s="15" t="s">
        <v>39585</v>
      </c>
      <c r="D6511" s="31">
        <v>43157</v>
      </c>
      <c r="E6511" s="15" t="s">
        <v>39586</v>
      </c>
      <c r="F6511" s="87" t="s">
        <v>21871</v>
      </c>
      <c r="G6511" s="45" t="s">
        <v>13484</v>
      </c>
      <c r="H6511" s="55" t="s">
        <v>13485</v>
      </c>
      <c r="I6511" s="15" t="s">
        <v>2316</v>
      </c>
    </row>
    <row r="6512" spans="1:9" ht="51.75" customHeight="1" x14ac:dyDescent="0.35">
      <c r="A6512" s="15" t="s">
        <v>22114</v>
      </c>
      <c r="B6512" s="15" t="s">
        <v>39587</v>
      </c>
      <c r="C6512" s="15" t="s">
        <v>39588</v>
      </c>
      <c r="D6512" s="31">
        <v>43157</v>
      </c>
      <c r="E6512" s="15" t="s">
        <v>39589</v>
      </c>
      <c r="F6512" s="87" t="s">
        <v>21871</v>
      </c>
      <c r="G6512" s="45" t="s">
        <v>13484</v>
      </c>
      <c r="H6512" s="55" t="s">
        <v>13485</v>
      </c>
      <c r="I6512" s="15" t="s">
        <v>2316</v>
      </c>
    </row>
    <row r="6513" spans="1:9" ht="51.75" customHeight="1" x14ac:dyDescent="0.35">
      <c r="A6513" s="15" t="s">
        <v>26132</v>
      </c>
      <c r="B6513" s="15" t="s">
        <v>39590</v>
      </c>
      <c r="C6513" s="15" t="s">
        <v>39591</v>
      </c>
      <c r="D6513" s="31">
        <v>43157</v>
      </c>
      <c r="E6513" s="15" t="s">
        <v>39592</v>
      </c>
      <c r="F6513" s="87" t="s">
        <v>21871</v>
      </c>
      <c r="G6513" s="45" t="s">
        <v>13484</v>
      </c>
      <c r="H6513" s="55" t="s">
        <v>13485</v>
      </c>
      <c r="I6513" s="15" t="s">
        <v>2316</v>
      </c>
    </row>
    <row r="6514" spans="1:9" ht="51.75" customHeight="1" x14ac:dyDescent="0.35">
      <c r="A6514" s="15" t="s">
        <v>23598</v>
      </c>
      <c r="B6514" s="15" t="s">
        <v>39593</v>
      </c>
      <c r="C6514" s="15" t="s">
        <v>39594</v>
      </c>
      <c r="D6514" s="31">
        <v>43196</v>
      </c>
      <c r="E6514" s="15" t="s">
        <v>39595</v>
      </c>
      <c r="F6514" s="87" t="s">
        <v>21871</v>
      </c>
      <c r="G6514" s="45" t="s">
        <v>13510</v>
      </c>
      <c r="H6514" s="55" t="s">
        <v>13511</v>
      </c>
      <c r="I6514" s="15" t="s">
        <v>2316</v>
      </c>
    </row>
    <row r="6515" spans="1:9" ht="51.75" customHeight="1" x14ac:dyDescent="0.35">
      <c r="A6515" s="15" t="s">
        <v>23602</v>
      </c>
      <c r="B6515" s="15" t="s">
        <v>39596</v>
      </c>
      <c r="C6515" s="15" t="s">
        <v>39597</v>
      </c>
      <c r="D6515" s="31">
        <v>43196</v>
      </c>
      <c r="E6515" s="15" t="s">
        <v>39598</v>
      </c>
      <c r="F6515" s="87" t="s">
        <v>21871</v>
      </c>
      <c r="G6515" s="45" t="s">
        <v>13510</v>
      </c>
      <c r="H6515" s="55" t="s">
        <v>13511</v>
      </c>
      <c r="I6515" s="15" t="s">
        <v>2316</v>
      </c>
    </row>
    <row r="6516" spans="1:9" ht="51.75" customHeight="1" x14ac:dyDescent="0.35">
      <c r="A6516" s="15" t="s">
        <v>26688</v>
      </c>
      <c r="B6516" s="15" t="s">
        <v>39599</v>
      </c>
      <c r="C6516" s="15" t="s">
        <v>39600</v>
      </c>
      <c r="D6516" s="31">
        <v>43196</v>
      </c>
      <c r="E6516" s="15" t="s">
        <v>39601</v>
      </c>
      <c r="F6516" s="87" t="s">
        <v>21871</v>
      </c>
      <c r="G6516" s="45" t="s">
        <v>13510</v>
      </c>
      <c r="H6516" s="55" t="s">
        <v>13511</v>
      </c>
      <c r="I6516" s="15" t="s">
        <v>2316</v>
      </c>
    </row>
    <row r="6517" spans="1:9" ht="51.75" customHeight="1" x14ac:dyDescent="0.35">
      <c r="A6517" s="15" t="s">
        <v>26691</v>
      </c>
      <c r="B6517" s="15" t="s">
        <v>39602</v>
      </c>
      <c r="C6517" s="15" t="s">
        <v>39603</v>
      </c>
      <c r="D6517" s="31">
        <v>43196</v>
      </c>
      <c r="E6517" s="15" t="s">
        <v>39604</v>
      </c>
      <c r="F6517" s="87" t="s">
        <v>21871</v>
      </c>
      <c r="G6517" s="45" t="s">
        <v>13510</v>
      </c>
      <c r="H6517" s="55" t="s">
        <v>13511</v>
      </c>
      <c r="I6517" s="15" t="s">
        <v>2316</v>
      </c>
    </row>
    <row r="6518" spans="1:9" ht="51.75" customHeight="1" x14ac:dyDescent="0.35">
      <c r="A6518" s="15" t="s">
        <v>23376</v>
      </c>
      <c r="B6518" s="15" t="s">
        <v>39605</v>
      </c>
      <c r="C6518" s="15" t="s">
        <v>39606</v>
      </c>
      <c r="D6518" s="31">
        <v>43196</v>
      </c>
      <c r="E6518" s="15" t="s">
        <v>39607</v>
      </c>
      <c r="F6518" s="87" t="s">
        <v>21871</v>
      </c>
      <c r="G6518" s="45" t="s">
        <v>13510</v>
      </c>
      <c r="H6518" s="55" t="s">
        <v>13511</v>
      </c>
      <c r="I6518" s="15" t="s">
        <v>2316</v>
      </c>
    </row>
    <row r="6519" spans="1:9" ht="51.75" customHeight="1" x14ac:dyDescent="0.35">
      <c r="A6519" s="15" t="s">
        <v>23380</v>
      </c>
      <c r="B6519" s="15" t="s">
        <v>39608</v>
      </c>
      <c r="C6519" s="15" t="s">
        <v>39609</v>
      </c>
      <c r="D6519" s="31">
        <v>43196</v>
      </c>
      <c r="E6519" s="15" t="s">
        <v>39610</v>
      </c>
      <c r="F6519" s="87" t="s">
        <v>21871</v>
      </c>
      <c r="G6519" s="45" t="s">
        <v>13510</v>
      </c>
      <c r="H6519" s="55" t="s">
        <v>13511</v>
      </c>
      <c r="I6519" s="15" t="s">
        <v>2316</v>
      </c>
    </row>
    <row r="6520" spans="1:9" ht="51.75" customHeight="1" x14ac:dyDescent="0.35">
      <c r="A6520" s="15" t="s">
        <v>23384</v>
      </c>
      <c r="B6520" s="15" t="s">
        <v>39611</v>
      </c>
      <c r="C6520" s="15" t="s">
        <v>39612</v>
      </c>
      <c r="D6520" s="31">
        <v>43196</v>
      </c>
      <c r="E6520" s="15" t="s">
        <v>39613</v>
      </c>
      <c r="F6520" s="87" t="s">
        <v>21871</v>
      </c>
      <c r="G6520" s="45" t="s">
        <v>13510</v>
      </c>
      <c r="H6520" s="55" t="s">
        <v>13511</v>
      </c>
      <c r="I6520" s="15" t="s">
        <v>2316</v>
      </c>
    </row>
    <row r="6521" spans="1:9" ht="51.75" customHeight="1" x14ac:dyDescent="0.35">
      <c r="A6521" s="15" t="s">
        <v>23388</v>
      </c>
      <c r="B6521" s="15" t="s">
        <v>39614</v>
      </c>
      <c r="C6521" s="15" t="s">
        <v>39615</v>
      </c>
      <c r="D6521" s="31">
        <v>43196</v>
      </c>
      <c r="E6521" s="15" t="s">
        <v>39616</v>
      </c>
      <c r="F6521" s="87" t="s">
        <v>21871</v>
      </c>
      <c r="G6521" s="45" t="s">
        <v>13510</v>
      </c>
      <c r="H6521" s="55" t="s">
        <v>13511</v>
      </c>
      <c r="I6521" s="15" t="s">
        <v>2316</v>
      </c>
    </row>
    <row r="6522" spans="1:9" ht="51.75" customHeight="1" x14ac:dyDescent="0.35">
      <c r="A6522" s="15" t="s">
        <v>23617</v>
      </c>
      <c r="B6522" s="15" t="s">
        <v>39617</v>
      </c>
      <c r="C6522" s="15" t="s">
        <v>39618</v>
      </c>
      <c r="D6522" s="31">
        <v>43196</v>
      </c>
      <c r="E6522" s="15" t="s">
        <v>39619</v>
      </c>
      <c r="F6522" s="87" t="s">
        <v>21871</v>
      </c>
      <c r="G6522" s="45" t="s">
        <v>13510</v>
      </c>
      <c r="H6522" s="55" t="s">
        <v>13511</v>
      </c>
      <c r="I6522" s="15" t="s">
        <v>2316</v>
      </c>
    </row>
    <row r="6523" spans="1:9" ht="51.75" customHeight="1" x14ac:dyDescent="0.35">
      <c r="A6523" s="15" t="s">
        <v>26711</v>
      </c>
      <c r="B6523" s="15" t="s">
        <v>39620</v>
      </c>
      <c r="C6523" s="15" t="s">
        <v>39621</v>
      </c>
      <c r="D6523" s="31">
        <v>43196</v>
      </c>
      <c r="E6523" s="15" t="s">
        <v>39622</v>
      </c>
      <c r="F6523" s="87" t="s">
        <v>21871</v>
      </c>
      <c r="G6523" s="45" t="s">
        <v>13510</v>
      </c>
      <c r="H6523" s="55" t="s">
        <v>13511</v>
      </c>
      <c r="I6523" s="15" t="s">
        <v>2316</v>
      </c>
    </row>
    <row r="6524" spans="1:9" ht="51.75" customHeight="1" x14ac:dyDescent="0.35">
      <c r="A6524" s="15" t="s">
        <v>27337</v>
      </c>
      <c r="B6524" s="15" t="s">
        <v>39623</v>
      </c>
      <c r="C6524" s="15" t="s">
        <v>39624</v>
      </c>
      <c r="D6524" s="31">
        <v>43196</v>
      </c>
      <c r="E6524" s="15" t="s">
        <v>39625</v>
      </c>
      <c r="F6524" s="87" t="s">
        <v>21871</v>
      </c>
      <c r="G6524" s="45" t="s">
        <v>13510</v>
      </c>
      <c r="H6524" s="55" t="s">
        <v>13511</v>
      </c>
      <c r="I6524" s="15" t="s">
        <v>2316</v>
      </c>
    </row>
    <row r="6525" spans="1:9" ht="51.75" customHeight="1" x14ac:dyDescent="0.35">
      <c r="A6525" s="15" t="s">
        <v>22797</v>
      </c>
      <c r="B6525" s="15" t="s">
        <v>39626</v>
      </c>
      <c r="C6525" s="15" t="s">
        <v>39627</v>
      </c>
      <c r="D6525" s="31">
        <v>43196</v>
      </c>
      <c r="E6525" s="15" t="s">
        <v>39628</v>
      </c>
      <c r="F6525" s="87" t="s">
        <v>21871</v>
      </c>
      <c r="G6525" s="45" t="s">
        <v>13510</v>
      </c>
      <c r="H6525" s="55" t="s">
        <v>13511</v>
      </c>
      <c r="I6525" s="15" t="s">
        <v>2316</v>
      </c>
    </row>
    <row r="6526" spans="1:9" ht="51.75" customHeight="1" x14ac:dyDescent="0.35">
      <c r="A6526" s="15" t="s">
        <v>26028</v>
      </c>
      <c r="B6526" s="15" t="s">
        <v>39629</v>
      </c>
      <c r="C6526" s="15" t="s">
        <v>39630</v>
      </c>
      <c r="D6526" s="31">
        <v>43196</v>
      </c>
      <c r="E6526" s="15" t="s">
        <v>39631</v>
      </c>
      <c r="F6526" s="87" t="s">
        <v>21871</v>
      </c>
      <c r="G6526" s="45" t="s">
        <v>13510</v>
      </c>
      <c r="H6526" s="55" t="s">
        <v>13511</v>
      </c>
      <c r="I6526" s="15" t="s">
        <v>2316</v>
      </c>
    </row>
    <row r="6527" spans="1:9" ht="51.75" customHeight="1" x14ac:dyDescent="0.35">
      <c r="A6527" s="15" t="s">
        <v>26885</v>
      </c>
      <c r="B6527" s="15" t="s">
        <v>39632</v>
      </c>
      <c r="C6527" s="15" t="s">
        <v>39633</v>
      </c>
      <c r="D6527" s="31">
        <v>43196</v>
      </c>
      <c r="E6527" s="15" t="s">
        <v>39634</v>
      </c>
      <c r="F6527" s="87" t="s">
        <v>21871</v>
      </c>
      <c r="G6527" s="45" t="s">
        <v>13510</v>
      </c>
      <c r="H6527" s="55" t="s">
        <v>13511</v>
      </c>
      <c r="I6527" s="15" t="s">
        <v>2316</v>
      </c>
    </row>
    <row r="6528" spans="1:9" ht="51.75" customHeight="1" x14ac:dyDescent="0.35">
      <c r="A6528" s="15" t="s">
        <v>24957</v>
      </c>
      <c r="B6528" s="15" t="s">
        <v>39635</v>
      </c>
      <c r="C6528" s="15" t="s">
        <v>39636</v>
      </c>
      <c r="D6528" s="31">
        <v>43196</v>
      </c>
      <c r="E6528" s="15" t="s">
        <v>39637</v>
      </c>
      <c r="F6528" s="87" t="s">
        <v>21871</v>
      </c>
      <c r="G6528" s="45" t="s">
        <v>13510</v>
      </c>
      <c r="H6528" s="55" t="s">
        <v>13511</v>
      </c>
      <c r="I6528" s="15" t="s">
        <v>2316</v>
      </c>
    </row>
    <row r="6529" spans="1:9" ht="51.75" customHeight="1" x14ac:dyDescent="0.35">
      <c r="A6529" s="15" t="s">
        <v>25651</v>
      </c>
      <c r="B6529" s="15" t="s">
        <v>39638</v>
      </c>
      <c r="C6529" s="15" t="s">
        <v>39639</v>
      </c>
      <c r="D6529" s="31">
        <v>43196</v>
      </c>
      <c r="E6529" s="15" t="s">
        <v>39640</v>
      </c>
      <c r="F6529" s="87" t="s">
        <v>21871</v>
      </c>
      <c r="G6529" s="45" t="s">
        <v>13510</v>
      </c>
      <c r="H6529" s="55" t="s">
        <v>13511</v>
      </c>
      <c r="I6529" s="15" t="s">
        <v>2316</v>
      </c>
    </row>
    <row r="6530" spans="1:9" ht="51.75" customHeight="1" x14ac:dyDescent="0.35">
      <c r="A6530" s="15" t="s">
        <v>25532</v>
      </c>
      <c r="B6530" s="15" t="s">
        <v>39641</v>
      </c>
      <c r="C6530" s="15" t="s">
        <v>39642</v>
      </c>
      <c r="D6530" s="31">
        <v>43196</v>
      </c>
      <c r="E6530" s="15" t="s">
        <v>39643</v>
      </c>
      <c r="F6530" s="87" t="s">
        <v>21871</v>
      </c>
      <c r="G6530" s="45" t="s">
        <v>13510</v>
      </c>
      <c r="H6530" s="55" t="s">
        <v>13511</v>
      </c>
      <c r="I6530" s="15" t="s">
        <v>2316</v>
      </c>
    </row>
    <row r="6531" spans="1:9" ht="51.75" customHeight="1" x14ac:dyDescent="0.35">
      <c r="A6531" s="15" t="s">
        <v>25657</v>
      </c>
      <c r="B6531" s="15" t="s">
        <v>39644</v>
      </c>
      <c r="C6531" s="15" t="s">
        <v>39645</v>
      </c>
      <c r="D6531" s="31">
        <v>43196</v>
      </c>
      <c r="E6531" s="15" t="s">
        <v>39646</v>
      </c>
      <c r="F6531" s="87" t="s">
        <v>21871</v>
      </c>
      <c r="G6531" s="45" t="s">
        <v>13510</v>
      </c>
      <c r="H6531" s="55" t="s">
        <v>13511</v>
      </c>
      <c r="I6531" s="15" t="s">
        <v>2316</v>
      </c>
    </row>
    <row r="6532" spans="1:9" ht="51.75" customHeight="1" x14ac:dyDescent="0.35">
      <c r="A6532" s="15" t="s">
        <v>26508</v>
      </c>
      <c r="B6532" s="15" t="s">
        <v>39647</v>
      </c>
      <c r="C6532" s="15" t="s">
        <v>39648</v>
      </c>
      <c r="D6532" s="31">
        <v>43196</v>
      </c>
      <c r="E6532" s="15" t="s">
        <v>39649</v>
      </c>
      <c r="F6532" s="87" t="s">
        <v>21871</v>
      </c>
      <c r="G6532" s="45" t="s">
        <v>13510</v>
      </c>
      <c r="H6532" s="55" t="s">
        <v>13511</v>
      </c>
      <c r="I6532" s="15" t="s">
        <v>2316</v>
      </c>
    </row>
    <row r="6533" spans="1:9" ht="51.75" customHeight="1" x14ac:dyDescent="0.35">
      <c r="A6533" s="15" t="s">
        <v>22019</v>
      </c>
      <c r="B6533" s="15" t="s">
        <v>39650</v>
      </c>
      <c r="C6533" s="15" t="s">
        <v>39651</v>
      </c>
      <c r="D6533" s="31">
        <v>43089</v>
      </c>
      <c r="E6533" s="15" t="s">
        <v>39652</v>
      </c>
      <c r="F6533" s="87" t="s">
        <v>21871</v>
      </c>
      <c r="G6533" s="45" t="s">
        <v>13613</v>
      </c>
      <c r="H6533" s="55" t="s">
        <v>13614</v>
      </c>
      <c r="I6533" s="15" t="s">
        <v>2316</v>
      </c>
    </row>
    <row r="6534" spans="1:9" ht="51.75" customHeight="1" x14ac:dyDescent="0.35">
      <c r="A6534" s="15" t="s">
        <v>22011</v>
      </c>
      <c r="B6534" s="15" t="s">
        <v>39653</v>
      </c>
      <c r="C6534" s="15" t="s">
        <v>39654</v>
      </c>
      <c r="D6534" s="31">
        <v>43089</v>
      </c>
      <c r="E6534" s="15" t="s">
        <v>39655</v>
      </c>
      <c r="F6534" s="87" t="s">
        <v>21871</v>
      </c>
      <c r="G6534" s="45" t="s">
        <v>13613</v>
      </c>
      <c r="H6534" s="55" t="s">
        <v>13614</v>
      </c>
      <c r="I6534" s="15" t="s">
        <v>2316</v>
      </c>
    </row>
    <row r="6535" spans="1:9" ht="51.75" customHeight="1" x14ac:dyDescent="0.35">
      <c r="A6535" s="15" t="s">
        <v>22723</v>
      </c>
      <c r="B6535" s="15" t="s">
        <v>39656</v>
      </c>
      <c r="C6535" s="15" t="s">
        <v>39657</v>
      </c>
      <c r="D6535" s="31">
        <v>43089</v>
      </c>
      <c r="E6535" s="15" t="s">
        <v>39658</v>
      </c>
      <c r="F6535" s="87" t="s">
        <v>21871</v>
      </c>
      <c r="G6535" s="45" t="s">
        <v>13613</v>
      </c>
      <c r="H6535" s="55" t="s">
        <v>13614</v>
      </c>
      <c r="I6535" s="15" t="s">
        <v>2316</v>
      </c>
    </row>
    <row r="6536" spans="1:9" ht="51.75" customHeight="1" x14ac:dyDescent="0.35">
      <c r="A6536" s="15" t="s">
        <v>22727</v>
      </c>
      <c r="B6536" s="15" t="s">
        <v>39659</v>
      </c>
      <c r="C6536" s="15" t="s">
        <v>39660</v>
      </c>
      <c r="D6536" s="31">
        <v>43089</v>
      </c>
      <c r="E6536" s="15" t="s">
        <v>39661</v>
      </c>
      <c r="F6536" s="87" t="s">
        <v>21871</v>
      </c>
      <c r="G6536" s="45" t="s">
        <v>13613</v>
      </c>
      <c r="H6536" s="55" t="s">
        <v>13614</v>
      </c>
      <c r="I6536" s="15" t="s">
        <v>2316</v>
      </c>
    </row>
    <row r="6537" spans="1:9" ht="51.75" customHeight="1" x14ac:dyDescent="0.35">
      <c r="A6537" s="15" t="s">
        <v>28561</v>
      </c>
      <c r="B6537" s="15" t="s">
        <v>39662</v>
      </c>
      <c r="C6537" s="15" t="s">
        <v>39663</v>
      </c>
      <c r="D6537" s="31">
        <v>43089</v>
      </c>
      <c r="E6537" s="15" t="s">
        <v>39664</v>
      </c>
      <c r="F6537" s="87" t="s">
        <v>21871</v>
      </c>
      <c r="G6537" s="45" t="s">
        <v>13613</v>
      </c>
      <c r="H6537" s="55" t="s">
        <v>13614</v>
      </c>
      <c r="I6537" s="15" t="s">
        <v>2316</v>
      </c>
    </row>
    <row r="6538" spans="1:9" ht="51.75" customHeight="1" x14ac:dyDescent="0.35">
      <c r="A6538" s="15" t="s">
        <v>27270</v>
      </c>
      <c r="B6538" s="15" t="s">
        <v>39665</v>
      </c>
      <c r="C6538" s="15" t="s">
        <v>39666</v>
      </c>
      <c r="D6538" s="31">
        <v>43089</v>
      </c>
      <c r="E6538" s="15" t="s">
        <v>39667</v>
      </c>
      <c r="F6538" s="87" t="s">
        <v>21871</v>
      </c>
      <c r="G6538" s="45" t="s">
        <v>13613</v>
      </c>
      <c r="H6538" s="55" t="s">
        <v>13614</v>
      </c>
      <c r="I6538" s="15" t="s">
        <v>2316</v>
      </c>
    </row>
    <row r="6539" spans="1:9" ht="51.75" customHeight="1" x14ac:dyDescent="0.35">
      <c r="A6539" s="15" t="s">
        <v>22842</v>
      </c>
      <c r="B6539" s="15" t="s">
        <v>39668</v>
      </c>
      <c r="C6539" s="15" t="s">
        <v>39669</v>
      </c>
      <c r="D6539" s="31">
        <v>43089</v>
      </c>
      <c r="E6539" s="15" t="s">
        <v>39670</v>
      </c>
      <c r="F6539" s="87" t="s">
        <v>21871</v>
      </c>
      <c r="G6539" s="45" t="s">
        <v>13613</v>
      </c>
      <c r="H6539" s="55" t="s">
        <v>13614</v>
      </c>
      <c r="I6539" s="15" t="s">
        <v>2316</v>
      </c>
    </row>
    <row r="6540" spans="1:9" ht="51.75" customHeight="1" x14ac:dyDescent="0.35">
      <c r="A6540" s="15" t="s">
        <v>22077</v>
      </c>
      <c r="B6540" s="15" t="s">
        <v>39671</v>
      </c>
      <c r="C6540" s="15" t="s">
        <v>39672</v>
      </c>
      <c r="D6540" s="31">
        <v>43089</v>
      </c>
      <c r="E6540" s="15" t="s">
        <v>39673</v>
      </c>
      <c r="F6540" s="87" t="s">
        <v>21871</v>
      </c>
      <c r="G6540" s="45" t="s">
        <v>13613</v>
      </c>
      <c r="H6540" s="55" t="s">
        <v>13614</v>
      </c>
      <c r="I6540" s="15" t="s">
        <v>2316</v>
      </c>
    </row>
    <row r="6541" spans="1:9" ht="51.75" customHeight="1" x14ac:dyDescent="0.35">
      <c r="A6541" s="15" t="s">
        <v>22463</v>
      </c>
      <c r="B6541" s="15" t="s">
        <v>39674</v>
      </c>
      <c r="C6541" s="15" t="s">
        <v>39675</v>
      </c>
      <c r="D6541" s="31">
        <v>43089</v>
      </c>
      <c r="E6541" s="15" t="s">
        <v>39676</v>
      </c>
      <c r="F6541" s="87" t="s">
        <v>21871</v>
      </c>
      <c r="G6541" s="45" t="s">
        <v>13613</v>
      </c>
      <c r="H6541" s="55" t="s">
        <v>13614</v>
      </c>
      <c r="I6541" s="15" t="s">
        <v>2316</v>
      </c>
    </row>
    <row r="6542" spans="1:9" ht="51.75" customHeight="1" x14ac:dyDescent="0.35">
      <c r="A6542" s="15" t="s">
        <v>24530</v>
      </c>
      <c r="B6542" s="15" t="s">
        <v>39677</v>
      </c>
      <c r="C6542" s="15" t="s">
        <v>39678</v>
      </c>
      <c r="D6542" s="31">
        <v>43088</v>
      </c>
      <c r="E6542" s="15" t="s">
        <v>39679</v>
      </c>
      <c r="F6542" s="87" t="s">
        <v>21871</v>
      </c>
      <c r="G6542" s="45" t="s">
        <v>13002</v>
      </c>
      <c r="H6542" s="55" t="s">
        <v>13003</v>
      </c>
      <c r="I6542" s="15" t="s">
        <v>2316</v>
      </c>
    </row>
    <row r="6543" spans="1:9" ht="51.75" customHeight="1" x14ac:dyDescent="0.35">
      <c r="A6543" s="15" t="s">
        <v>24209</v>
      </c>
      <c r="B6543" s="15" t="s">
        <v>39680</v>
      </c>
      <c r="C6543" s="15" t="s">
        <v>39681</v>
      </c>
      <c r="D6543" s="31">
        <v>43088</v>
      </c>
      <c r="E6543" s="15" t="s">
        <v>39682</v>
      </c>
      <c r="F6543" s="87" t="s">
        <v>21871</v>
      </c>
      <c r="G6543" s="45" t="s">
        <v>13002</v>
      </c>
      <c r="H6543" s="55" t="s">
        <v>13003</v>
      </c>
      <c r="I6543" s="15" t="s">
        <v>2316</v>
      </c>
    </row>
    <row r="6544" spans="1:9" ht="51.75" customHeight="1" x14ac:dyDescent="0.35">
      <c r="A6544" s="15" t="s">
        <v>24276</v>
      </c>
      <c r="B6544" s="15" t="s">
        <v>39683</v>
      </c>
      <c r="C6544" s="15" t="s">
        <v>39684</v>
      </c>
      <c r="D6544" s="31">
        <v>43088</v>
      </c>
      <c r="E6544" s="15" t="s">
        <v>39685</v>
      </c>
      <c r="F6544" s="87" t="s">
        <v>21871</v>
      </c>
      <c r="G6544" s="45" t="s">
        <v>13002</v>
      </c>
      <c r="H6544" s="55" t="s">
        <v>13003</v>
      </c>
      <c r="I6544" s="15" t="s">
        <v>2316</v>
      </c>
    </row>
    <row r="6545" spans="1:9" ht="51.75" customHeight="1" x14ac:dyDescent="0.35">
      <c r="A6545" s="15" t="s">
        <v>24281</v>
      </c>
      <c r="B6545" s="15" t="s">
        <v>39686</v>
      </c>
      <c r="C6545" s="15" t="s">
        <v>39687</v>
      </c>
      <c r="D6545" s="31">
        <v>43088</v>
      </c>
      <c r="E6545" s="15" t="s">
        <v>39688</v>
      </c>
      <c r="F6545" s="87" t="s">
        <v>21871</v>
      </c>
      <c r="G6545" s="45" t="s">
        <v>13002</v>
      </c>
      <c r="H6545" s="55" t="s">
        <v>13003</v>
      </c>
      <c r="I6545" s="15" t="s">
        <v>2316</v>
      </c>
    </row>
    <row r="6546" spans="1:9" ht="51.75" customHeight="1" x14ac:dyDescent="0.35">
      <c r="A6546" s="15" t="s">
        <v>25482</v>
      </c>
      <c r="B6546" s="15" t="s">
        <v>39689</v>
      </c>
      <c r="C6546" s="15" t="s">
        <v>39690</v>
      </c>
      <c r="D6546" s="31">
        <v>43088</v>
      </c>
      <c r="E6546" s="15" t="s">
        <v>39691</v>
      </c>
      <c r="F6546" s="87" t="s">
        <v>21871</v>
      </c>
      <c r="G6546" s="45" t="s">
        <v>13002</v>
      </c>
      <c r="H6546" s="55" t="s">
        <v>13003</v>
      </c>
      <c r="I6546" s="15" t="s">
        <v>2316</v>
      </c>
    </row>
    <row r="6547" spans="1:9" ht="51.75" customHeight="1" x14ac:dyDescent="0.35">
      <c r="A6547" s="15" t="s">
        <v>28621</v>
      </c>
      <c r="B6547" s="15" t="s">
        <v>39692</v>
      </c>
      <c r="C6547" s="15" t="s">
        <v>39693</v>
      </c>
      <c r="D6547" s="31">
        <v>43311</v>
      </c>
      <c r="E6547" s="15" t="s">
        <v>39694</v>
      </c>
      <c r="F6547" s="87" t="s">
        <v>21871</v>
      </c>
      <c r="G6547" s="45" t="s">
        <v>14018</v>
      </c>
      <c r="H6547" s="55" t="s">
        <v>14019</v>
      </c>
      <c r="I6547" s="15" t="s">
        <v>2316</v>
      </c>
    </row>
    <row r="6548" spans="1:9" ht="51.75" customHeight="1" x14ac:dyDescent="0.35">
      <c r="A6548" s="15" t="s">
        <v>28625</v>
      </c>
      <c r="B6548" s="15" t="s">
        <v>39695</v>
      </c>
      <c r="C6548" s="15" t="s">
        <v>39696</v>
      </c>
      <c r="D6548" s="31">
        <v>43311</v>
      </c>
      <c r="E6548" s="15" t="s">
        <v>39697</v>
      </c>
      <c r="F6548" s="87" t="s">
        <v>21871</v>
      </c>
      <c r="G6548" s="45" t="s">
        <v>14018</v>
      </c>
      <c r="H6548" s="55" t="s">
        <v>14019</v>
      </c>
      <c r="I6548" s="15" t="s">
        <v>2316</v>
      </c>
    </row>
    <row r="6549" spans="1:9" ht="51.75" customHeight="1" x14ac:dyDescent="0.35">
      <c r="A6549" s="15" t="s">
        <v>28629</v>
      </c>
      <c r="B6549" s="15" t="s">
        <v>39698</v>
      </c>
      <c r="C6549" s="15" t="s">
        <v>39699</v>
      </c>
      <c r="D6549" s="31">
        <v>43311</v>
      </c>
      <c r="E6549" s="15" t="s">
        <v>39700</v>
      </c>
      <c r="F6549" s="87" t="s">
        <v>21871</v>
      </c>
      <c r="G6549" s="45" t="s">
        <v>14018</v>
      </c>
      <c r="H6549" s="55" t="s">
        <v>14019</v>
      </c>
      <c r="I6549" s="15" t="s">
        <v>2316</v>
      </c>
    </row>
    <row r="6550" spans="1:9" ht="51.75" customHeight="1" x14ac:dyDescent="0.35">
      <c r="A6550" s="15" t="s">
        <v>28633</v>
      </c>
      <c r="B6550" s="15" t="s">
        <v>39701</v>
      </c>
      <c r="C6550" s="15" t="s">
        <v>39702</v>
      </c>
      <c r="D6550" s="31">
        <v>43311</v>
      </c>
      <c r="E6550" s="15" t="s">
        <v>39703</v>
      </c>
      <c r="F6550" s="87" t="s">
        <v>21871</v>
      </c>
      <c r="G6550" s="45" t="s">
        <v>14018</v>
      </c>
      <c r="H6550" s="55" t="s">
        <v>14019</v>
      </c>
      <c r="I6550" s="15" t="s">
        <v>2316</v>
      </c>
    </row>
    <row r="6551" spans="1:9" ht="51.75" customHeight="1" x14ac:dyDescent="0.35">
      <c r="A6551" s="15" t="s">
        <v>23590</v>
      </c>
      <c r="B6551" s="15" t="s">
        <v>39704</v>
      </c>
      <c r="C6551" s="15" t="s">
        <v>39705</v>
      </c>
      <c r="D6551" s="31">
        <v>43311</v>
      </c>
      <c r="E6551" s="15" t="s">
        <v>39706</v>
      </c>
      <c r="F6551" s="87" t="s">
        <v>21871</v>
      </c>
      <c r="G6551" s="45" t="s">
        <v>14018</v>
      </c>
      <c r="H6551" s="55" t="s">
        <v>14019</v>
      </c>
      <c r="I6551" s="15" t="s">
        <v>2316</v>
      </c>
    </row>
    <row r="6552" spans="1:9" ht="51.75" customHeight="1" x14ac:dyDescent="0.35">
      <c r="A6552" s="15" t="s">
        <v>39707</v>
      </c>
      <c r="B6552" s="15" t="s">
        <v>39708</v>
      </c>
      <c r="C6552" s="15" t="s">
        <v>39709</v>
      </c>
      <c r="D6552" s="31">
        <v>43311</v>
      </c>
      <c r="E6552" s="15" t="s">
        <v>39710</v>
      </c>
      <c r="F6552" s="87" t="s">
        <v>21871</v>
      </c>
      <c r="G6552" s="45" t="s">
        <v>14018</v>
      </c>
      <c r="H6552" s="55" t="s">
        <v>14019</v>
      </c>
      <c r="I6552" s="15" t="s">
        <v>2316</v>
      </c>
    </row>
    <row r="6553" spans="1:9" ht="51.75" customHeight="1" x14ac:dyDescent="0.35">
      <c r="A6553" s="15" t="s">
        <v>39711</v>
      </c>
      <c r="B6553" s="15" t="s">
        <v>39712</v>
      </c>
      <c r="C6553" s="15" t="s">
        <v>39713</v>
      </c>
      <c r="D6553" s="31">
        <v>43311</v>
      </c>
      <c r="E6553" s="15" t="s">
        <v>39714</v>
      </c>
      <c r="F6553" s="87" t="s">
        <v>21871</v>
      </c>
      <c r="G6553" s="45" t="s">
        <v>14018</v>
      </c>
      <c r="H6553" s="55" t="s">
        <v>14019</v>
      </c>
      <c r="I6553" s="15" t="s">
        <v>2316</v>
      </c>
    </row>
    <row r="6554" spans="1:9" ht="51.75" customHeight="1" x14ac:dyDescent="0.35">
      <c r="A6554" s="15" t="s">
        <v>23594</v>
      </c>
      <c r="B6554" s="15" t="s">
        <v>39715</v>
      </c>
      <c r="C6554" s="15" t="s">
        <v>39716</v>
      </c>
      <c r="D6554" s="31">
        <v>43311</v>
      </c>
      <c r="E6554" s="15" t="s">
        <v>39717</v>
      </c>
      <c r="F6554" s="87" t="s">
        <v>21871</v>
      </c>
      <c r="G6554" s="45" t="s">
        <v>14018</v>
      </c>
      <c r="H6554" s="55" t="s">
        <v>14019</v>
      </c>
      <c r="I6554" s="15" t="s">
        <v>2316</v>
      </c>
    </row>
    <row r="6555" spans="1:9" ht="51.75" customHeight="1" x14ac:dyDescent="0.35">
      <c r="A6555" s="15" t="s">
        <v>39718</v>
      </c>
      <c r="B6555" s="15" t="s">
        <v>39719</v>
      </c>
      <c r="C6555" s="15" t="s">
        <v>39720</v>
      </c>
      <c r="D6555" s="31">
        <v>43311</v>
      </c>
      <c r="E6555" s="15" t="s">
        <v>39721</v>
      </c>
      <c r="F6555" s="87" t="s">
        <v>21871</v>
      </c>
      <c r="G6555" s="45" t="s">
        <v>14018</v>
      </c>
      <c r="H6555" s="55" t="s">
        <v>14019</v>
      </c>
      <c r="I6555" s="15" t="s">
        <v>2316</v>
      </c>
    </row>
    <row r="6556" spans="1:9" ht="51.75" customHeight="1" x14ac:dyDescent="0.35">
      <c r="A6556" s="15" t="s">
        <v>39722</v>
      </c>
      <c r="B6556" s="15" t="s">
        <v>39723</v>
      </c>
      <c r="C6556" s="15" t="s">
        <v>39724</v>
      </c>
      <c r="D6556" s="31">
        <v>43311</v>
      </c>
      <c r="E6556" s="15" t="s">
        <v>39725</v>
      </c>
      <c r="F6556" s="87" t="s">
        <v>21871</v>
      </c>
      <c r="G6556" s="45" t="s">
        <v>14018</v>
      </c>
      <c r="H6556" s="55" t="s">
        <v>14019</v>
      </c>
      <c r="I6556" s="15" t="s">
        <v>2316</v>
      </c>
    </row>
    <row r="6557" spans="1:9" ht="51.75" customHeight="1" x14ac:dyDescent="0.35">
      <c r="A6557" s="15" t="s">
        <v>23662</v>
      </c>
      <c r="B6557" s="15" t="s">
        <v>39726</v>
      </c>
      <c r="C6557" s="15" t="s">
        <v>39727</v>
      </c>
      <c r="D6557" s="31">
        <v>43369</v>
      </c>
      <c r="E6557" s="15" t="s">
        <v>39728</v>
      </c>
      <c r="F6557" s="87" t="s">
        <v>21871</v>
      </c>
      <c r="G6557" s="45" t="s">
        <v>14296</v>
      </c>
      <c r="H6557" s="55" t="s">
        <v>14297</v>
      </c>
      <c r="I6557" s="15" t="s">
        <v>2316</v>
      </c>
    </row>
    <row r="6558" spans="1:9" ht="51.75" customHeight="1" x14ac:dyDescent="0.35">
      <c r="A6558" s="15" t="s">
        <v>23666</v>
      </c>
      <c r="B6558" s="15" t="s">
        <v>39729</v>
      </c>
      <c r="C6558" s="15" t="s">
        <v>39730</v>
      </c>
      <c r="D6558" s="31">
        <v>43369</v>
      </c>
      <c r="E6558" s="15" t="s">
        <v>39731</v>
      </c>
      <c r="F6558" s="87" t="s">
        <v>21871</v>
      </c>
      <c r="G6558" s="45" t="s">
        <v>14296</v>
      </c>
      <c r="H6558" s="55" t="s">
        <v>14297</v>
      </c>
      <c r="I6558" s="15" t="s">
        <v>2316</v>
      </c>
    </row>
    <row r="6559" spans="1:9" ht="51.75" customHeight="1" x14ac:dyDescent="0.35">
      <c r="A6559" s="15" t="s">
        <v>37743</v>
      </c>
      <c r="B6559" s="15" t="s">
        <v>39732</v>
      </c>
      <c r="C6559" s="15" t="s">
        <v>39733</v>
      </c>
      <c r="D6559" s="31">
        <v>43369</v>
      </c>
      <c r="E6559" s="15" t="s">
        <v>39734</v>
      </c>
      <c r="F6559" s="87" t="s">
        <v>21871</v>
      </c>
      <c r="G6559" s="45" t="s">
        <v>14296</v>
      </c>
      <c r="H6559" s="55" t="s">
        <v>14297</v>
      </c>
      <c r="I6559" s="15" t="s">
        <v>2316</v>
      </c>
    </row>
    <row r="6560" spans="1:9" ht="51.75" customHeight="1" x14ac:dyDescent="0.35">
      <c r="A6560" s="15" t="s">
        <v>28574</v>
      </c>
      <c r="B6560" s="15" t="s">
        <v>39735</v>
      </c>
      <c r="C6560" s="15" t="s">
        <v>39736</v>
      </c>
      <c r="D6560" s="31">
        <v>43369</v>
      </c>
      <c r="E6560" s="15" t="s">
        <v>39737</v>
      </c>
      <c r="F6560" s="87" t="s">
        <v>21871</v>
      </c>
      <c r="G6560" s="45" t="s">
        <v>14296</v>
      </c>
      <c r="H6560" s="55" t="s">
        <v>14297</v>
      </c>
      <c r="I6560" s="15" t="s">
        <v>2316</v>
      </c>
    </row>
    <row r="6561" spans="1:9" ht="51.75" customHeight="1" x14ac:dyDescent="0.35">
      <c r="A6561" s="15" t="s">
        <v>34166</v>
      </c>
      <c r="B6561" s="15" t="s">
        <v>39738</v>
      </c>
      <c r="C6561" s="15" t="s">
        <v>39739</v>
      </c>
      <c r="D6561" s="31">
        <v>43369</v>
      </c>
      <c r="E6561" s="15" t="s">
        <v>39740</v>
      </c>
      <c r="F6561" s="87" t="s">
        <v>21871</v>
      </c>
      <c r="G6561" s="45" t="s">
        <v>14296</v>
      </c>
      <c r="H6561" s="55" t="s">
        <v>14297</v>
      </c>
      <c r="I6561" s="15" t="s">
        <v>2316</v>
      </c>
    </row>
    <row r="6562" spans="1:9" ht="51.75" customHeight="1" x14ac:dyDescent="0.35">
      <c r="A6562" s="15" t="s">
        <v>23016</v>
      </c>
      <c r="B6562" s="15" t="s">
        <v>39741</v>
      </c>
      <c r="C6562" s="15" t="s">
        <v>39520</v>
      </c>
      <c r="D6562" s="31">
        <v>43369</v>
      </c>
      <c r="E6562" s="15" t="s">
        <v>39742</v>
      </c>
      <c r="F6562" s="87" t="s">
        <v>21871</v>
      </c>
      <c r="G6562" s="45" t="s">
        <v>14296</v>
      </c>
      <c r="H6562" s="55" t="s">
        <v>14297</v>
      </c>
      <c r="I6562" s="15" t="s">
        <v>2316</v>
      </c>
    </row>
    <row r="6563" spans="1:9" ht="51.75" customHeight="1" x14ac:dyDescent="0.35">
      <c r="A6563" s="15" t="s">
        <v>39743</v>
      </c>
      <c r="B6563" s="15" t="s">
        <v>39744</v>
      </c>
      <c r="C6563" s="15" t="s">
        <v>39745</v>
      </c>
      <c r="D6563" s="31">
        <v>43403</v>
      </c>
      <c r="E6563" s="15" t="s">
        <v>39746</v>
      </c>
      <c r="F6563" s="87" t="s">
        <v>21871</v>
      </c>
      <c r="G6563" s="45" t="s">
        <v>14320</v>
      </c>
      <c r="H6563" s="55" t="s">
        <v>14321</v>
      </c>
      <c r="I6563" s="15" t="s">
        <v>2316</v>
      </c>
    </row>
    <row r="6564" spans="1:9" ht="51.75" customHeight="1" x14ac:dyDescent="0.35">
      <c r="A6564" s="15" t="s">
        <v>39747</v>
      </c>
      <c r="B6564" s="15" t="s">
        <v>39748</v>
      </c>
      <c r="C6564" s="15" t="s">
        <v>39749</v>
      </c>
      <c r="D6564" s="31">
        <v>43403</v>
      </c>
      <c r="E6564" s="15" t="s">
        <v>39750</v>
      </c>
      <c r="F6564" s="87" t="s">
        <v>21871</v>
      </c>
      <c r="G6564" s="45" t="s">
        <v>14320</v>
      </c>
      <c r="H6564" s="55" t="s">
        <v>14321</v>
      </c>
      <c r="I6564" s="15" t="s">
        <v>2316</v>
      </c>
    </row>
    <row r="6565" spans="1:9" ht="51.75" customHeight="1" x14ac:dyDescent="0.35">
      <c r="A6565" s="15" t="s">
        <v>39751</v>
      </c>
      <c r="B6565" s="15" t="s">
        <v>39752</v>
      </c>
      <c r="C6565" s="15" t="s">
        <v>39753</v>
      </c>
      <c r="D6565" s="31">
        <v>43403</v>
      </c>
      <c r="E6565" s="15" t="s">
        <v>39754</v>
      </c>
      <c r="F6565" s="87" t="s">
        <v>21871</v>
      </c>
      <c r="G6565" s="45" t="s">
        <v>14320</v>
      </c>
      <c r="H6565" s="55" t="s">
        <v>14321</v>
      </c>
      <c r="I6565" s="15" t="s">
        <v>2316</v>
      </c>
    </row>
    <row r="6566" spans="1:9" ht="51.75" customHeight="1" x14ac:dyDescent="0.35">
      <c r="A6566" s="15" t="s">
        <v>39755</v>
      </c>
      <c r="B6566" s="15" t="s">
        <v>39756</v>
      </c>
      <c r="C6566" s="15" t="s">
        <v>39757</v>
      </c>
      <c r="D6566" s="31">
        <v>43403</v>
      </c>
      <c r="E6566" s="15" t="s">
        <v>39758</v>
      </c>
      <c r="F6566" s="87" t="s">
        <v>21871</v>
      </c>
      <c r="G6566" s="45" t="s">
        <v>14320</v>
      </c>
      <c r="H6566" s="55" t="s">
        <v>14321</v>
      </c>
      <c r="I6566" s="15" t="s">
        <v>2316</v>
      </c>
    </row>
    <row r="6567" spans="1:9" ht="51.75" customHeight="1" x14ac:dyDescent="0.35">
      <c r="A6567" s="15" t="s">
        <v>39759</v>
      </c>
      <c r="B6567" s="15" t="s">
        <v>39760</v>
      </c>
      <c r="C6567" s="15" t="s">
        <v>39761</v>
      </c>
      <c r="D6567" s="31">
        <v>43403</v>
      </c>
      <c r="E6567" s="15" t="s">
        <v>39762</v>
      </c>
      <c r="F6567" s="87" t="s">
        <v>21871</v>
      </c>
      <c r="G6567" s="45" t="s">
        <v>14320</v>
      </c>
      <c r="H6567" s="55" t="s">
        <v>14321</v>
      </c>
      <c r="I6567" s="15" t="s">
        <v>2316</v>
      </c>
    </row>
    <row r="6568" spans="1:9" ht="51.75" customHeight="1" x14ac:dyDescent="0.35">
      <c r="A6568" s="15" t="s">
        <v>39763</v>
      </c>
      <c r="B6568" s="15" t="s">
        <v>39764</v>
      </c>
      <c r="C6568" s="15" t="s">
        <v>39765</v>
      </c>
      <c r="D6568" s="31">
        <v>43403</v>
      </c>
      <c r="E6568" s="15" t="s">
        <v>39766</v>
      </c>
      <c r="F6568" s="87" t="s">
        <v>21871</v>
      </c>
      <c r="G6568" s="45" t="s">
        <v>14320</v>
      </c>
      <c r="H6568" s="55" t="s">
        <v>14321</v>
      </c>
      <c r="I6568" s="15" t="s">
        <v>2316</v>
      </c>
    </row>
    <row r="6569" spans="1:9" ht="51.75" customHeight="1" x14ac:dyDescent="0.35">
      <c r="A6569" s="15" t="s">
        <v>39767</v>
      </c>
      <c r="B6569" s="15" t="s">
        <v>39768</v>
      </c>
      <c r="C6569" s="15" t="s">
        <v>39769</v>
      </c>
      <c r="D6569" s="31">
        <v>43403</v>
      </c>
      <c r="E6569" s="15" t="s">
        <v>39770</v>
      </c>
      <c r="F6569" s="87" t="s">
        <v>21871</v>
      </c>
      <c r="G6569" s="45" t="s">
        <v>14320</v>
      </c>
      <c r="H6569" s="55" t="s">
        <v>14321</v>
      </c>
      <c r="I6569" s="15" t="s">
        <v>2316</v>
      </c>
    </row>
    <row r="6570" spans="1:9" ht="51.75" customHeight="1" x14ac:dyDescent="0.35">
      <c r="A6570" s="15" t="s">
        <v>39771</v>
      </c>
      <c r="B6570" s="15" t="s">
        <v>39772</v>
      </c>
      <c r="C6570" s="15" t="s">
        <v>39773</v>
      </c>
      <c r="D6570" s="31">
        <v>43403</v>
      </c>
      <c r="E6570" s="15" t="s">
        <v>39774</v>
      </c>
      <c r="F6570" s="87" t="s">
        <v>21871</v>
      </c>
      <c r="G6570" s="45" t="s">
        <v>14320</v>
      </c>
      <c r="H6570" s="55" t="s">
        <v>14321</v>
      </c>
      <c r="I6570" s="15" t="s">
        <v>2316</v>
      </c>
    </row>
    <row r="6571" spans="1:9" ht="51.75" customHeight="1" x14ac:dyDescent="0.35">
      <c r="A6571" s="15" t="s">
        <v>39775</v>
      </c>
      <c r="B6571" s="15" t="s">
        <v>39776</v>
      </c>
      <c r="C6571" s="15" t="s">
        <v>39777</v>
      </c>
      <c r="D6571" s="31">
        <v>43403</v>
      </c>
      <c r="E6571" s="15" t="s">
        <v>39778</v>
      </c>
      <c r="F6571" s="87" t="s">
        <v>21871</v>
      </c>
      <c r="G6571" s="45" t="s">
        <v>14320</v>
      </c>
      <c r="H6571" s="55" t="s">
        <v>14321</v>
      </c>
      <c r="I6571" s="15" t="s">
        <v>2316</v>
      </c>
    </row>
    <row r="6572" spans="1:9" ht="51.75" customHeight="1" x14ac:dyDescent="0.35">
      <c r="A6572" s="15" t="s">
        <v>39779</v>
      </c>
      <c r="B6572" s="15" t="s">
        <v>39780</v>
      </c>
      <c r="C6572" s="15" t="s">
        <v>39781</v>
      </c>
      <c r="D6572" s="31">
        <v>43402</v>
      </c>
      <c r="E6572" s="15" t="s">
        <v>39782</v>
      </c>
      <c r="F6572" s="87" t="s">
        <v>21871</v>
      </c>
      <c r="G6572" s="45" t="s">
        <v>14379</v>
      </c>
      <c r="H6572" s="55" t="s">
        <v>14380</v>
      </c>
      <c r="I6572" s="15" t="s">
        <v>2316</v>
      </c>
    </row>
    <row r="6573" spans="1:9" ht="51.75" customHeight="1" x14ac:dyDescent="0.35">
      <c r="A6573" s="15" t="s">
        <v>39783</v>
      </c>
      <c r="B6573" s="15" t="s">
        <v>39784</v>
      </c>
      <c r="C6573" s="15" t="s">
        <v>39785</v>
      </c>
      <c r="D6573" s="31">
        <v>43433</v>
      </c>
      <c r="E6573" s="15" t="s">
        <v>39786</v>
      </c>
      <c r="F6573" s="87" t="s">
        <v>21871</v>
      </c>
      <c r="G6573" s="45" t="s">
        <v>14379</v>
      </c>
      <c r="H6573" s="55" t="s">
        <v>14380</v>
      </c>
      <c r="I6573" s="15" t="s">
        <v>2316</v>
      </c>
    </row>
    <row r="6574" spans="1:9" ht="51.75" customHeight="1" x14ac:dyDescent="0.35">
      <c r="A6574" s="15" t="s">
        <v>39787</v>
      </c>
      <c r="B6574" s="15" t="s">
        <v>39788</v>
      </c>
      <c r="C6574" s="15" t="s">
        <v>39789</v>
      </c>
      <c r="D6574" s="31">
        <v>43402</v>
      </c>
      <c r="E6574" s="15" t="s">
        <v>39790</v>
      </c>
      <c r="F6574" s="87" t="s">
        <v>21871</v>
      </c>
      <c r="G6574" s="45" t="s">
        <v>14379</v>
      </c>
      <c r="H6574" s="55" t="s">
        <v>14380</v>
      </c>
      <c r="I6574" s="15" t="s">
        <v>2316</v>
      </c>
    </row>
    <row r="6575" spans="1:9" ht="51.75" customHeight="1" x14ac:dyDescent="0.35">
      <c r="A6575" s="15" t="s">
        <v>39791</v>
      </c>
      <c r="B6575" s="15" t="s">
        <v>39792</v>
      </c>
      <c r="C6575" s="15" t="s">
        <v>39793</v>
      </c>
      <c r="D6575" s="31">
        <v>43402</v>
      </c>
      <c r="E6575" s="15" t="s">
        <v>39794</v>
      </c>
      <c r="F6575" s="87" t="s">
        <v>21871</v>
      </c>
      <c r="G6575" s="45" t="s">
        <v>14379</v>
      </c>
      <c r="H6575" s="55" t="s">
        <v>14380</v>
      </c>
      <c r="I6575" s="15" t="s">
        <v>2316</v>
      </c>
    </row>
    <row r="6576" spans="1:9" ht="51.75" customHeight="1" x14ac:dyDescent="0.35">
      <c r="A6576" s="15" t="s">
        <v>39795</v>
      </c>
      <c r="B6576" s="15" t="s">
        <v>39796</v>
      </c>
      <c r="C6576" s="15" t="s">
        <v>39797</v>
      </c>
      <c r="D6576" s="31">
        <v>43402</v>
      </c>
      <c r="E6576" s="15" t="s">
        <v>39798</v>
      </c>
      <c r="F6576" s="87" t="s">
        <v>21871</v>
      </c>
      <c r="G6576" s="45" t="s">
        <v>14379</v>
      </c>
      <c r="H6576" s="55" t="s">
        <v>14380</v>
      </c>
      <c r="I6576" s="15" t="s">
        <v>2316</v>
      </c>
    </row>
    <row r="6577" spans="1:9" ht="51.75" customHeight="1" x14ac:dyDescent="0.35">
      <c r="A6577" s="15" t="s">
        <v>39799</v>
      </c>
      <c r="B6577" s="15" t="s">
        <v>39800</v>
      </c>
      <c r="C6577" s="15" t="s">
        <v>39801</v>
      </c>
      <c r="D6577" s="31">
        <v>43402</v>
      </c>
      <c r="E6577" s="15" t="s">
        <v>39802</v>
      </c>
      <c r="F6577" s="87" t="s">
        <v>21871</v>
      </c>
      <c r="G6577" s="45" t="s">
        <v>14379</v>
      </c>
      <c r="H6577" s="55" t="s">
        <v>14380</v>
      </c>
      <c r="I6577" s="15" t="s">
        <v>2316</v>
      </c>
    </row>
    <row r="6578" spans="1:9" ht="51.75" customHeight="1" x14ac:dyDescent="0.35">
      <c r="A6578" s="15" t="s">
        <v>39803</v>
      </c>
      <c r="B6578" s="15" t="s">
        <v>39804</v>
      </c>
      <c r="C6578" s="15" t="s">
        <v>39805</v>
      </c>
      <c r="D6578" s="31">
        <v>43402</v>
      </c>
      <c r="E6578" s="15" t="s">
        <v>39806</v>
      </c>
      <c r="F6578" s="87" t="s">
        <v>21871</v>
      </c>
      <c r="G6578" s="45" t="s">
        <v>14379</v>
      </c>
      <c r="H6578" s="55" t="s">
        <v>14380</v>
      </c>
      <c r="I6578" s="15" t="s">
        <v>2316</v>
      </c>
    </row>
    <row r="6579" spans="1:9" ht="51.75" customHeight="1" x14ac:dyDescent="0.35">
      <c r="A6579" s="15" t="s">
        <v>39807</v>
      </c>
      <c r="B6579" s="15" t="s">
        <v>39808</v>
      </c>
      <c r="C6579" s="15" t="s">
        <v>39809</v>
      </c>
      <c r="D6579" s="31">
        <v>43369</v>
      </c>
      <c r="E6579" s="15" t="s">
        <v>39810</v>
      </c>
      <c r="F6579" s="87" t="s">
        <v>21871</v>
      </c>
      <c r="G6579" s="45" t="s">
        <v>14819</v>
      </c>
      <c r="H6579" s="55" t="s">
        <v>14820</v>
      </c>
      <c r="I6579" s="15" t="s">
        <v>2316</v>
      </c>
    </row>
    <row r="6580" spans="1:9" ht="51.75" customHeight="1" x14ac:dyDescent="0.35">
      <c r="A6580" s="15" t="s">
        <v>37399</v>
      </c>
      <c r="B6580" s="15" t="s">
        <v>39811</v>
      </c>
      <c r="C6580" s="15" t="s">
        <v>39812</v>
      </c>
      <c r="D6580" s="31">
        <v>43369</v>
      </c>
      <c r="E6580" s="15" t="s">
        <v>39813</v>
      </c>
      <c r="F6580" s="87" t="s">
        <v>21871</v>
      </c>
      <c r="G6580" s="45" t="s">
        <v>14819</v>
      </c>
      <c r="H6580" s="55" t="s">
        <v>14820</v>
      </c>
      <c r="I6580" s="15" t="s">
        <v>2316</v>
      </c>
    </row>
    <row r="6581" spans="1:9" ht="51.75" customHeight="1" x14ac:dyDescent="0.35">
      <c r="A6581" s="15" t="s">
        <v>39814</v>
      </c>
      <c r="B6581" s="15" t="s">
        <v>39815</v>
      </c>
      <c r="C6581" s="15" t="s">
        <v>39816</v>
      </c>
      <c r="D6581" s="31">
        <v>43369</v>
      </c>
      <c r="E6581" s="15" t="s">
        <v>39817</v>
      </c>
      <c r="F6581" s="87" t="s">
        <v>21871</v>
      </c>
      <c r="G6581" s="45" t="s">
        <v>14819</v>
      </c>
      <c r="H6581" s="55" t="s">
        <v>14820</v>
      </c>
      <c r="I6581" s="15" t="s">
        <v>2316</v>
      </c>
    </row>
    <row r="6582" spans="1:9" ht="51.75" customHeight="1" x14ac:dyDescent="0.35">
      <c r="A6582" s="15" t="s">
        <v>39818</v>
      </c>
      <c r="B6582" s="15" t="s">
        <v>39819</v>
      </c>
      <c r="C6582" s="15" t="s">
        <v>39820</v>
      </c>
      <c r="D6582" s="31">
        <v>43369</v>
      </c>
      <c r="E6582" s="15" t="s">
        <v>39821</v>
      </c>
      <c r="F6582" s="87" t="s">
        <v>21871</v>
      </c>
      <c r="G6582" s="45" t="s">
        <v>14819</v>
      </c>
      <c r="H6582" s="55" t="s">
        <v>14820</v>
      </c>
      <c r="I6582" s="15" t="s">
        <v>2316</v>
      </c>
    </row>
    <row r="6583" spans="1:9" ht="51.75" customHeight="1" x14ac:dyDescent="0.35">
      <c r="A6583" s="15" t="s">
        <v>39822</v>
      </c>
      <c r="B6583" s="15" t="s">
        <v>39823</v>
      </c>
      <c r="C6583" s="15" t="s">
        <v>39824</v>
      </c>
      <c r="D6583" s="31">
        <v>43369</v>
      </c>
      <c r="E6583" s="15" t="s">
        <v>39825</v>
      </c>
      <c r="F6583" s="87" t="s">
        <v>21871</v>
      </c>
      <c r="G6583" s="45" t="s">
        <v>14819</v>
      </c>
      <c r="H6583" s="55" t="s">
        <v>14820</v>
      </c>
      <c r="I6583" s="15" t="s">
        <v>2316</v>
      </c>
    </row>
    <row r="6584" spans="1:9" ht="51.75" customHeight="1" x14ac:dyDescent="0.35">
      <c r="A6584" s="15" t="s">
        <v>39826</v>
      </c>
      <c r="B6584" s="15" t="s">
        <v>39827</v>
      </c>
      <c r="C6584" s="15" t="s">
        <v>39828</v>
      </c>
      <c r="D6584" s="31">
        <v>43369</v>
      </c>
      <c r="E6584" s="15" t="s">
        <v>39829</v>
      </c>
      <c r="F6584" s="87" t="s">
        <v>21871</v>
      </c>
      <c r="G6584" s="45" t="s">
        <v>14819</v>
      </c>
      <c r="H6584" s="55" t="s">
        <v>14820</v>
      </c>
      <c r="I6584" s="15" t="s">
        <v>2316</v>
      </c>
    </row>
    <row r="6585" spans="1:9" ht="51.75" customHeight="1" x14ac:dyDescent="0.35">
      <c r="A6585" s="15" t="s">
        <v>39830</v>
      </c>
      <c r="B6585" s="15" t="s">
        <v>39831</v>
      </c>
      <c r="C6585" s="15" t="s">
        <v>39832</v>
      </c>
      <c r="D6585" s="31">
        <v>43369</v>
      </c>
      <c r="E6585" s="15" t="s">
        <v>39833</v>
      </c>
      <c r="F6585" s="87" t="s">
        <v>21871</v>
      </c>
      <c r="G6585" s="45" t="s">
        <v>14819</v>
      </c>
      <c r="H6585" s="55" t="s">
        <v>14820</v>
      </c>
      <c r="I6585" s="15" t="s">
        <v>2316</v>
      </c>
    </row>
    <row r="6586" spans="1:9" ht="51.75" customHeight="1" x14ac:dyDescent="0.35">
      <c r="A6586" s="15" t="s">
        <v>39834</v>
      </c>
      <c r="B6586" s="15" t="s">
        <v>39835</v>
      </c>
      <c r="C6586" s="15" t="s">
        <v>39836</v>
      </c>
      <c r="D6586" s="31">
        <v>43369</v>
      </c>
      <c r="E6586" s="15" t="s">
        <v>39837</v>
      </c>
      <c r="F6586" s="87" t="s">
        <v>21871</v>
      </c>
      <c r="G6586" s="45" t="s">
        <v>14819</v>
      </c>
      <c r="H6586" s="55" t="s">
        <v>14820</v>
      </c>
      <c r="I6586" s="15" t="s">
        <v>2316</v>
      </c>
    </row>
    <row r="6587" spans="1:9" ht="51.75" customHeight="1" x14ac:dyDescent="0.35">
      <c r="A6587" s="15" t="s">
        <v>39838</v>
      </c>
      <c r="B6587" s="15" t="s">
        <v>39839</v>
      </c>
      <c r="C6587" s="15" t="s">
        <v>39840</v>
      </c>
      <c r="D6587" s="31">
        <v>43369</v>
      </c>
      <c r="E6587" s="15" t="s">
        <v>39841</v>
      </c>
      <c r="F6587" s="87" t="s">
        <v>21871</v>
      </c>
      <c r="G6587" s="45" t="s">
        <v>14819</v>
      </c>
      <c r="H6587" s="55" t="s">
        <v>14820</v>
      </c>
      <c r="I6587" s="15" t="s">
        <v>2316</v>
      </c>
    </row>
    <row r="6588" spans="1:9" ht="51.75" customHeight="1" x14ac:dyDescent="0.35">
      <c r="A6588" s="15" t="s">
        <v>39842</v>
      </c>
      <c r="B6588" s="15" t="s">
        <v>39843</v>
      </c>
      <c r="C6588" s="15" t="s">
        <v>39844</v>
      </c>
      <c r="D6588" s="31">
        <v>43369</v>
      </c>
      <c r="E6588" s="15" t="s">
        <v>39845</v>
      </c>
      <c r="F6588" s="87" t="s">
        <v>21871</v>
      </c>
      <c r="G6588" s="45" t="s">
        <v>14819</v>
      </c>
      <c r="H6588" s="55" t="s">
        <v>14820</v>
      </c>
      <c r="I6588" s="15" t="s">
        <v>2316</v>
      </c>
    </row>
    <row r="6589" spans="1:9" ht="51.75" customHeight="1" x14ac:dyDescent="0.35">
      <c r="A6589" s="15" t="s">
        <v>37868</v>
      </c>
      <c r="B6589" s="15" t="s">
        <v>39846</v>
      </c>
      <c r="C6589" s="15" t="s">
        <v>39847</v>
      </c>
      <c r="D6589" s="31">
        <v>43369</v>
      </c>
      <c r="E6589" s="15" t="s">
        <v>39848</v>
      </c>
      <c r="F6589" s="87" t="s">
        <v>21871</v>
      </c>
      <c r="G6589" s="45" t="s">
        <v>14819</v>
      </c>
      <c r="H6589" s="55" t="s">
        <v>14820</v>
      </c>
      <c r="I6589" s="15" t="s">
        <v>2316</v>
      </c>
    </row>
    <row r="6590" spans="1:9" ht="51.75" customHeight="1" x14ac:dyDescent="0.35">
      <c r="A6590" s="15" t="s">
        <v>37874</v>
      </c>
      <c r="B6590" s="15" t="s">
        <v>39849</v>
      </c>
      <c r="C6590" s="15" t="s">
        <v>39850</v>
      </c>
      <c r="D6590" s="31">
        <v>43369</v>
      </c>
      <c r="E6590" s="15" t="s">
        <v>39851</v>
      </c>
      <c r="F6590" s="87" t="s">
        <v>21871</v>
      </c>
      <c r="G6590" s="45" t="s">
        <v>14819</v>
      </c>
      <c r="H6590" s="55" t="s">
        <v>14820</v>
      </c>
      <c r="I6590" s="15" t="s">
        <v>2316</v>
      </c>
    </row>
    <row r="6591" spans="1:9" ht="51.75" customHeight="1" x14ac:dyDescent="0.35">
      <c r="A6591" s="15" t="s">
        <v>37879</v>
      </c>
      <c r="B6591" s="15" t="s">
        <v>39852</v>
      </c>
      <c r="C6591" s="15" t="s">
        <v>39853</v>
      </c>
      <c r="D6591" s="31">
        <v>43369</v>
      </c>
      <c r="E6591" s="15" t="s">
        <v>39854</v>
      </c>
      <c r="F6591" s="87" t="s">
        <v>21871</v>
      </c>
      <c r="G6591" s="45" t="s">
        <v>14819</v>
      </c>
      <c r="H6591" s="55" t="s">
        <v>14820</v>
      </c>
      <c r="I6591" s="15" t="s">
        <v>2316</v>
      </c>
    </row>
    <row r="6592" spans="1:9" ht="51.75" customHeight="1" x14ac:dyDescent="0.35">
      <c r="A6592" s="15" t="s">
        <v>39855</v>
      </c>
      <c r="B6592" s="15" t="s">
        <v>39856</v>
      </c>
      <c r="C6592" s="15" t="s">
        <v>39857</v>
      </c>
      <c r="D6592" s="31">
        <v>43369</v>
      </c>
      <c r="E6592" s="15" t="s">
        <v>39858</v>
      </c>
      <c r="F6592" s="87" t="s">
        <v>21871</v>
      </c>
      <c r="G6592" s="45" t="s">
        <v>14819</v>
      </c>
      <c r="H6592" s="55" t="s">
        <v>14820</v>
      </c>
      <c r="I6592" s="15" t="s">
        <v>2316</v>
      </c>
    </row>
    <row r="6593" spans="1:9" ht="51.75" customHeight="1" x14ac:dyDescent="0.35">
      <c r="A6593" s="15" t="s">
        <v>37885</v>
      </c>
      <c r="B6593" s="15" t="s">
        <v>39859</v>
      </c>
      <c r="C6593" s="15" t="s">
        <v>39860</v>
      </c>
      <c r="D6593" s="31">
        <v>43369</v>
      </c>
      <c r="E6593" s="15" t="s">
        <v>39861</v>
      </c>
      <c r="F6593" s="87" t="s">
        <v>21871</v>
      </c>
      <c r="G6593" s="45" t="s">
        <v>14819</v>
      </c>
      <c r="H6593" s="55" t="s">
        <v>14820</v>
      </c>
      <c r="I6593" s="15" t="s">
        <v>2316</v>
      </c>
    </row>
    <row r="6594" spans="1:9" ht="51.75" customHeight="1" x14ac:dyDescent="0.35">
      <c r="A6594" s="15" t="s">
        <v>39862</v>
      </c>
      <c r="B6594" s="15" t="s">
        <v>39863</v>
      </c>
      <c r="C6594" s="15" t="s">
        <v>39864</v>
      </c>
      <c r="D6594" s="31">
        <v>43369</v>
      </c>
      <c r="E6594" s="15" t="s">
        <v>39865</v>
      </c>
      <c r="F6594" s="87" t="s">
        <v>21871</v>
      </c>
      <c r="G6594" s="45" t="s">
        <v>14819</v>
      </c>
      <c r="H6594" s="55" t="s">
        <v>14820</v>
      </c>
      <c r="I6594" s="15" t="s">
        <v>2316</v>
      </c>
    </row>
    <row r="6595" spans="1:9" ht="51.75" customHeight="1" x14ac:dyDescent="0.35">
      <c r="A6595" s="15" t="s">
        <v>37890</v>
      </c>
      <c r="B6595" s="15" t="s">
        <v>39866</v>
      </c>
      <c r="C6595" s="15" t="s">
        <v>39867</v>
      </c>
      <c r="D6595" s="31">
        <v>43369</v>
      </c>
      <c r="E6595" s="15" t="s">
        <v>39868</v>
      </c>
      <c r="F6595" s="87" t="s">
        <v>21871</v>
      </c>
      <c r="G6595" s="45" t="s">
        <v>14819</v>
      </c>
      <c r="H6595" s="55" t="s">
        <v>14820</v>
      </c>
      <c r="I6595" s="15" t="s">
        <v>2316</v>
      </c>
    </row>
    <row r="6596" spans="1:9" ht="51.75" customHeight="1" x14ac:dyDescent="0.35">
      <c r="A6596" s="15" t="s">
        <v>39869</v>
      </c>
      <c r="B6596" s="15" t="s">
        <v>39870</v>
      </c>
      <c r="C6596" s="15" t="s">
        <v>39871</v>
      </c>
      <c r="D6596" s="31">
        <v>43369</v>
      </c>
      <c r="E6596" s="15" t="s">
        <v>39872</v>
      </c>
      <c r="F6596" s="87" t="s">
        <v>21871</v>
      </c>
      <c r="G6596" s="45" t="s">
        <v>14819</v>
      </c>
      <c r="H6596" s="55" t="s">
        <v>14820</v>
      </c>
      <c r="I6596" s="15" t="s">
        <v>2316</v>
      </c>
    </row>
    <row r="6597" spans="1:9" ht="51.75" customHeight="1" x14ac:dyDescent="0.35">
      <c r="A6597" s="15" t="s">
        <v>39873</v>
      </c>
      <c r="B6597" s="15" t="s">
        <v>39874</v>
      </c>
      <c r="C6597" s="15" t="s">
        <v>39875</v>
      </c>
      <c r="D6597" s="31">
        <v>43369</v>
      </c>
      <c r="E6597" s="15" t="s">
        <v>39876</v>
      </c>
      <c r="F6597" s="87" t="s">
        <v>21871</v>
      </c>
      <c r="G6597" s="45" t="s">
        <v>14819</v>
      </c>
      <c r="H6597" s="55" t="s">
        <v>14820</v>
      </c>
      <c r="I6597" s="15" t="s">
        <v>2316</v>
      </c>
    </row>
    <row r="6598" spans="1:9" ht="51.75" customHeight="1" x14ac:dyDescent="0.35">
      <c r="A6598" s="15" t="s">
        <v>39877</v>
      </c>
      <c r="B6598" s="15" t="s">
        <v>39878</v>
      </c>
      <c r="C6598" s="15" t="s">
        <v>39879</v>
      </c>
      <c r="D6598" s="31">
        <v>43369</v>
      </c>
      <c r="E6598" s="15" t="s">
        <v>39880</v>
      </c>
      <c r="F6598" s="87" t="s">
        <v>21871</v>
      </c>
      <c r="G6598" s="45" t="s">
        <v>14819</v>
      </c>
      <c r="H6598" s="55" t="s">
        <v>14820</v>
      </c>
      <c r="I6598" s="15" t="s">
        <v>2316</v>
      </c>
    </row>
    <row r="6599" spans="1:9" ht="51.75" customHeight="1" x14ac:dyDescent="0.35">
      <c r="A6599" s="15" t="s">
        <v>27298</v>
      </c>
      <c r="B6599" s="15" t="s">
        <v>39881</v>
      </c>
      <c r="C6599" s="15" t="s">
        <v>39882</v>
      </c>
      <c r="D6599" s="31">
        <v>43571</v>
      </c>
      <c r="E6599" s="15" t="s">
        <v>39883</v>
      </c>
      <c r="F6599" s="87" t="s">
        <v>21871</v>
      </c>
      <c r="G6599" s="45" t="s">
        <v>15065</v>
      </c>
      <c r="H6599" s="55" t="s">
        <v>15066</v>
      </c>
      <c r="I6599" s="15" t="s">
        <v>2316</v>
      </c>
    </row>
    <row r="6600" spans="1:9" ht="51.75" customHeight="1" x14ac:dyDescent="0.35">
      <c r="A6600" s="15" t="s">
        <v>23893</v>
      </c>
      <c r="B6600" s="15" t="s">
        <v>39884</v>
      </c>
      <c r="C6600" s="15" t="s">
        <v>39885</v>
      </c>
      <c r="D6600" s="31">
        <v>43571</v>
      </c>
      <c r="E6600" s="15" t="s">
        <v>39886</v>
      </c>
      <c r="F6600" s="87" t="s">
        <v>21871</v>
      </c>
      <c r="G6600" s="45" t="s">
        <v>15065</v>
      </c>
      <c r="H6600" s="55" t="s">
        <v>15066</v>
      </c>
      <c r="I6600" s="15" t="s">
        <v>2316</v>
      </c>
    </row>
    <row r="6601" spans="1:9" ht="51.75" customHeight="1" x14ac:dyDescent="0.35">
      <c r="A6601" s="15" t="s">
        <v>22809</v>
      </c>
      <c r="B6601" s="15" t="s">
        <v>39887</v>
      </c>
      <c r="C6601" s="15" t="s">
        <v>39888</v>
      </c>
      <c r="D6601" s="31">
        <v>43571</v>
      </c>
      <c r="E6601" s="15" t="s">
        <v>39889</v>
      </c>
      <c r="F6601" s="87" t="s">
        <v>21871</v>
      </c>
      <c r="G6601" s="45" t="s">
        <v>15065</v>
      </c>
      <c r="H6601" s="55" t="s">
        <v>15066</v>
      </c>
      <c r="I6601" s="15" t="s">
        <v>2316</v>
      </c>
    </row>
    <row r="6602" spans="1:9" ht="51.75" customHeight="1" x14ac:dyDescent="0.35">
      <c r="A6602" s="15" t="s">
        <v>22813</v>
      </c>
      <c r="B6602" s="15" t="s">
        <v>39890</v>
      </c>
      <c r="C6602" s="15" t="s">
        <v>39891</v>
      </c>
      <c r="D6602" s="31">
        <v>43571</v>
      </c>
      <c r="E6602" s="15" t="s">
        <v>39892</v>
      </c>
      <c r="F6602" s="87" t="s">
        <v>21871</v>
      </c>
      <c r="G6602" s="45" t="s">
        <v>15065</v>
      </c>
      <c r="H6602" s="55" t="s">
        <v>15066</v>
      </c>
      <c r="I6602" s="15" t="s">
        <v>2316</v>
      </c>
    </row>
    <row r="6603" spans="1:9" ht="51.75" customHeight="1" x14ac:dyDescent="0.35">
      <c r="A6603" s="15" t="s">
        <v>22817</v>
      </c>
      <c r="B6603" s="15" t="s">
        <v>39893</v>
      </c>
      <c r="C6603" s="15" t="s">
        <v>39894</v>
      </c>
      <c r="D6603" s="31">
        <v>43571</v>
      </c>
      <c r="E6603" s="15" t="s">
        <v>39895</v>
      </c>
      <c r="F6603" s="87" t="s">
        <v>21871</v>
      </c>
      <c r="G6603" s="45" t="s">
        <v>15065</v>
      </c>
      <c r="H6603" s="55" t="s">
        <v>15066</v>
      </c>
      <c r="I6603" s="15" t="s">
        <v>2316</v>
      </c>
    </row>
    <row r="6604" spans="1:9" ht="51.75" customHeight="1" x14ac:dyDescent="0.35">
      <c r="A6604" s="15" t="s">
        <v>29175</v>
      </c>
      <c r="B6604" s="15" t="s">
        <v>39896</v>
      </c>
      <c r="C6604" s="15" t="s">
        <v>39897</v>
      </c>
      <c r="D6604" s="31">
        <v>43571</v>
      </c>
      <c r="E6604" s="15" t="s">
        <v>39898</v>
      </c>
      <c r="F6604" s="87" t="s">
        <v>21871</v>
      </c>
      <c r="G6604" s="45" t="s">
        <v>15065</v>
      </c>
      <c r="H6604" s="55" t="s">
        <v>15066</v>
      </c>
      <c r="I6604" s="15" t="s">
        <v>2316</v>
      </c>
    </row>
    <row r="6605" spans="1:9" ht="51.75" customHeight="1" x14ac:dyDescent="0.35">
      <c r="A6605" s="15" t="s">
        <v>22778</v>
      </c>
      <c r="B6605" s="15" t="s">
        <v>39899</v>
      </c>
      <c r="C6605" s="15" t="s">
        <v>39900</v>
      </c>
      <c r="D6605" s="31">
        <v>43571</v>
      </c>
      <c r="E6605" s="15" t="s">
        <v>39901</v>
      </c>
      <c r="F6605" s="87" t="s">
        <v>21871</v>
      </c>
      <c r="G6605" s="45" t="s">
        <v>15065</v>
      </c>
      <c r="H6605" s="55" t="s">
        <v>15066</v>
      </c>
      <c r="I6605" s="15" t="s">
        <v>2316</v>
      </c>
    </row>
    <row r="6606" spans="1:9" ht="51.75" customHeight="1" x14ac:dyDescent="0.35">
      <c r="A6606" s="15" t="s">
        <v>31951</v>
      </c>
      <c r="B6606" s="15" t="s">
        <v>39902</v>
      </c>
      <c r="C6606" s="15" t="s">
        <v>39903</v>
      </c>
      <c r="D6606" s="31">
        <v>43571</v>
      </c>
      <c r="E6606" s="15" t="s">
        <v>39904</v>
      </c>
      <c r="F6606" s="87" t="s">
        <v>21871</v>
      </c>
      <c r="G6606" s="45" t="s">
        <v>15065</v>
      </c>
      <c r="H6606" s="55" t="s">
        <v>15066</v>
      </c>
      <c r="I6606" s="15" t="s">
        <v>2316</v>
      </c>
    </row>
    <row r="6607" spans="1:9" ht="51.75" customHeight="1" x14ac:dyDescent="0.35">
      <c r="A6607" s="15" t="s">
        <v>24686</v>
      </c>
      <c r="B6607" s="15" t="s">
        <v>39905</v>
      </c>
      <c r="C6607" s="15" t="s">
        <v>39906</v>
      </c>
      <c r="D6607" s="31">
        <v>43550</v>
      </c>
      <c r="E6607" s="15" t="s">
        <v>39907</v>
      </c>
      <c r="F6607" s="87" t="s">
        <v>21871</v>
      </c>
      <c r="G6607" s="45" t="s">
        <v>15213</v>
      </c>
      <c r="H6607" s="55" t="s">
        <v>15214</v>
      </c>
      <c r="I6607" s="15" t="s">
        <v>2316</v>
      </c>
    </row>
    <row r="6608" spans="1:9" ht="51.75" customHeight="1" x14ac:dyDescent="0.35">
      <c r="A6608" s="15" t="s">
        <v>22051</v>
      </c>
      <c r="B6608" s="15" t="s">
        <v>39908</v>
      </c>
      <c r="C6608" s="15" t="s">
        <v>38441</v>
      </c>
      <c r="D6608" s="31">
        <v>43550</v>
      </c>
      <c r="E6608" s="15" t="s">
        <v>39909</v>
      </c>
      <c r="F6608" s="87" t="s">
        <v>21871</v>
      </c>
      <c r="G6608" s="45" t="s">
        <v>15213</v>
      </c>
      <c r="H6608" s="55" t="s">
        <v>15214</v>
      </c>
      <c r="I6608" s="15" t="s">
        <v>2316</v>
      </c>
    </row>
    <row r="6609" spans="1:9" ht="51.75" customHeight="1" x14ac:dyDescent="0.35">
      <c r="A6609" s="15" t="s">
        <v>24703</v>
      </c>
      <c r="B6609" s="15" t="s">
        <v>39910</v>
      </c>
      <c r="C6609" s="15" t="s">
        <v>39911</v>
      </c>
      <c r="D6609" s="31">
        <v>43550</v>
      </c>
      <c r="E6609" s="15" t="s">
        <v>39912</v>
      </c>
      <c r="F6609" s="87" t="s">
        <v>21871</v>
      </c>
      <c r="G6609" s="45" t="s">
        <v>15213</v>
      </c>
      <c r="H6609" s="55" t="s">
        <v>15214</v>
      </c>
      <c r="I6609" s="15" t="s">
        <v>2316</v>
      </c>
    </row>
    <row r="6610" spans="1:9" ht="51.75" customHeight="1" x14ac:dyDescent="0.35">
      <c r="A6610" s="15" t="s">
        <v>23448</v>
      </c>
      <c r="B6610" s="15" t="s">
        <v>39913</v>
      </c>
      <c r="C6610" s="15" t="s">
        <v>39914</v>
      </c>
      <c r="D6610" s="31">
        <v>43550</v>
      </c>
      <c r="E6610" s="15" t="s">
        <v>39915</v>
      </c>
      <c r="F6610" s="87" t="s">
        <v>21871</v>
      </c>
      <c r="G6610" s="45" t="s">
        <v>15213</v>
      </c>
      <c r="H6610" s="55" t="s">
        <v>15214</v>
      </c>
      <c r="I6610" s="15" t="s">
        <v>2316</v>
      </c>
    </row>
    <row r="6611" spans="1:9" ht="51.75" customHeight="1" x14ac:dyDescent="0.35">
      <c r="A6611" s="15" t="s">
        <v>23902</v>
      </c>
      <c r="B6611" s="15" t="s">
        <v>39916</v>
      </c>
      <c r="C6611" s="15" t="s">
        <v>39917</v>
      </c>
      <c r="D6611" s="31">
        <v>43550</v>
      </c>
      <c r="E6611" s="15" t="s">
        <v>39918</v>
      </c>
      <c r="F6611" s="87" t="s">
        <v>21871</v>
      </c>
      <c r="G6611" s="45" t="s">
        <v>15213</v>
      </c>
      <c r="H6611" s="55" t="s">
        <v>15214</v>
      </c>
      <c r="I6611" s="15" t="s">
        <v>2316</v>
      </c>
    </row>
    <row r="6612" spans="1:9" ht="51.75" customHeight="1" x14ac:dyDescent="0.35">
      <c r="A6612" s="15" t="s">
        <v>25150</v>
      </c>
      <c r="B6612" s="15" t="s">
        <v>39919</v>
      </c>
      <c r="C6612" s="15" t="s">
        <v>39920</v>
      </c>
      <c r="D6612" s="31">
        <v>43655</v>
      </c>
      <c r="E6612" s="15" t="s">
        <v>39921</v>
      </c>
      <c r="F6612" s="87" t="s">
        <v>21871</v>
      </c>
      <c r="G6612" s="45" t="s">
        <v>15388</v>
      </c>
      <c r="H6612" s="55" t="s">
        <v>15389</v>
      </c>
      <c r="I6612" s="15" t="s">
        <v>2316</v>
      </c>
    </row>
    <row r="6613" spans="1:9" ht="51.75" customHeight="1" x14ac:dyDescent="0.35">
      <c r="A6613" s="15" t="s">
        <v>25156</v>
      </c>
      <c r="B6613" s="15" t="s">
        <v>39922</v>
      </c>
      <c r="C6613" s="15" t="s">
        <v>39923</v>
      </c>
      <c r="D6613" s="31">
        <v>43655</v>
      </c>
      <c r="E6613" s="15" t="s">
        <v>39924</v>
      </c>
      <c r="F6613" s="87" t="s">
        <v>21871</v>
      </c>
      <c r="G6613" s="45" t="s">
        <v>15388</v>
      </c>
      <c r="H6613" s="55" t="s">
        <v>15389</v>
      </c>
      <c r="I6613" s="15" t="s">
        <v>2316</v>
      </c>
    </row>
    <row r="6614" spans="1:9" ht="51.75" customHeight="1" x14ac:dyDescent="0.35">
      <c r="A6614" s="15" t="s">
        <v>25015</v>
      </c>
      <c r="B6614" s="15" t="s">
        <v>39925</v>
      </c>
      <c r="C6614" s="15" t="s">
        <v>39926</v>
      </c>
      <c r="D6614" s="31">
        <v>43655</v>
      </c>
      <c r="E6614" s="15" t="s">
        <v>39927</v>
      </c>
      <c r="F6614" s="87" t="s">
        <v>21871</v>
      </c>
      <c r="G6614" s="45" t="s">
        <v>15388</v>
      </c>
      <c r="H6614" s="55" t="s">
        <v>15389</v>
      </c>
      <c r="I6614" s="15" t="s">
        <v>2316</v>
      </c>
    </row>
    <row r="6615" spans="1:9" ht="51.75" customHeight="1" x14ac:dyDescent="0.35">
      <c r="A6615" s="15" t="s">
        <v>25074</v>
      </c>
      <c r="B6615" s="15" t="s">
        <v>39928</v>
      </c>
      <c r="C6615" s="15" t="s">
        <v>39929</v>
      </c>
      <c r="D6615" s="31">
        <v>43655</v>
      </c>
      <c r="E6615" s="15" t="s">
        <v>39930</v>
      </c>
      <c r="F6615" s="87" t="s">
        <v>21871</v>
      </c>
      <c r="G6615" s="45" t="s">
        <v>15388</v>
      </c>
      <c r="H6615" s="55" t="s">
        <v>15389</v>
      </c>
      <c r="I6615" s="15" t="s">
        <v>2316</v>
      </c>
    </row>
    <row r="6616" spans="1:9" ht="51.75" customHeight="1" x14ac:dyDescent="0.35">
      <c r="A6616" s="15" t="s">
        <v>24653</v>
      </c>
      <c r="B6616" s="15" t="s">
        <v>39931</v>
      </c>
      <c r="C6616" s="15" t="s">
        <v>39932</v>
      </c>
      <c r="D6616" s="31">
        <v>43655</v>
      </c>
      <c r="E6616" s="15" t="s">
        <v>39933</v>
      </c>
      <c r="F6616" s="87" t="s">
        <v>21871</v>
      </c>
      <c r="G6616" s="45" t="s">
        <v>15388</v>
      </c>
      <c r="H6616" s="55" t="s">
        <v>15389</v>
      </c>
      <c r="I6616" s="15" t="s">
        <v>2316</v>
      </c>
    </row>
    <row r="6617" spans="1:9" ht="51.75" customHeight="1" x14ac:dyDescent="0.35">
      <c r="A6617" s="15" t="s">
        <v>24986</v>
      </c>
      <c r="B6617" s="15" t="s">
        <v>39934</v>
      </c>
      <c r="C6617" s="15" t="s">
        <v>39935</v>
      </c>
      <c r="D6617" s="31">
        <v>43655</v>
      </c>
      <c r="E6617" s="15" t="s">
        <v>39936</v>
      </c>
      <c r="F6617" s="87" t="s">
        <v>21871</v>
      </c>
      <c r="G6617" s="45" t="s">
        <v>15388</v>
      </c>
      <c r="H6617" s="55" t="s">
        <v>15389</v>
      </c>
      <c r="I6617" s="15" t="s">
        <v>2316</v>
      </c>
    </row>
    <row r="6618" spans="1:9" ht="51.75" customHeight="1" x14ac:dyDescent="0.35">
      <c r="A6618" s="15" t="s">
        <v>22065</v>
      </c>
      <c r="B6618" s="15" t="s">
        <v>39937</v>
      </c>
      <c r="C6618" s="15" t="s">
        <v>39938</v>
      </c>
      <c r="D6618" s="31">
        <v>43655</v>
      </c>
      <c r="E6618" s="15" t="s">
        <v>39939</v>
      </c>
      <c r="F6618" s="87" t="s">
        <v>21871</v>
      </c>
      <c r="G6618" s="45" t="s">
        <v>15465</v>
      </c>
      <c r="H6618" s="55" t="s">
        <v>15466</v>
      </c>
      <c r="I6618" s="15" t="s">
        <v>2316</v>
      </c>
    </row>
    <row r="6619" spans="1:9" ht="51.75" customHeight="1" x14ac:dyDescent="0.35">
      <c r="A6619" s="15" t="s">
        <v>22071</v>
      </c>
      <c r="B6619" s="15" t="s">
        <v>39940</v>
      </c>
      <c r="C6619" s="15" t="s">
        <v>39941</v>
      </c>
      <c r="D6619" s="31">
        <v>43655</v>
      </c>
      <c r="E6619" s="15" t="s">
        <v>39942</v>
      </c>
      <c r="F6619" s="87" t="s">
        <v>21871</v>
      </c>
      <c r="G6619" s="45" t="s">
        <v>15465</v>
      </c>
      <c r="H6619" s="55" t="s">
        <v>15466</v>
      </c>
      <c r="I6619" s="15" t="s">
        <v>2316</v>
      </c>
    </row>
    <row r="6620" spans="1:9" ht="51.75" customHeight="1" x14ac:dyDescent="0.35">
      <c r="A6620" s="15" t="s">
        <v>28525</v>
      </c>
      <c r="B6620" s="15" t="s">
        <v>39943</v>
      </c>
      <c r="C6620" s="15" t="s">
        <v>39944</v>
      </c>
      <c r="D6620" s="31">
        <v>43655</v>
      </c>
      <c r="E6620" s="15" t="s">
        <v>39945</v>
      </c>
      <c r="F6620" s="87" t="s">
        <v>21871</v>
      </c>
      <c r="G6620" s="45" t="s">
        <v>15465</v>
      </c>
      <c r="H6620" s="55" t="s">
        <v>15466</v>
      </c>
      <c r="I6620" s="15" t="s">
        <v>2316</v>
      </c>
    </row>
    <row r="6621" spans="1:9" ht="51.75" customHeight="1" x14ac:dyDescent="0.35">
      <c r="A6621" s="15" t="s">
        <v>36930</v>
      </c>
      <c r="B6621" s="15" t="s">
        <v>39946</v>
      </c>
      <c r="C6621" s="15" t="s">
        <v>39947</v>
      </c>
      <c r="D6621" s="31">
        <v>43655</v>
      </c>
      <c r="E6621" s="15" t="s">
        <v>39948</v>
      </c>
      <c r="F6621" s="87" t="s">
        <v>21871</v>
      </c>
      <c r="G6621" s="45" t="s">
        <v>15465</v>
      </c>
      <c r="H6621" s="55" t="s">
        <v>15466</v>
      </c>
      <c r="I6621" s="15" t="s">
        <v>2316</v>
      </c>
    </row>
    <row r="6622" spans="1:9" ht="51.75" customHeight="1" x14ac:dyDescent="0.35">
      <c r="A6622" s="15" t="s">
        <v>28529</v>
      </c>
      <c r="B6622" s="15" t="s">
        <v>39949</v>
      </c>
      <c r="C6622" s="15" t="s">
        <v>39950</v>
      </c>
      <c r="D6622" s="31">
        <v>43655</v>
      </c>
      <c r="E6622" s="15" t="s">
        <v>39951</v>
      </c>
      <c r="F6622" s="87" t="s">
        <v>21871</v>
      </c>
      <c r="G6622" s="45" t="s">
        <v>15465</v>
      </c>
      <c r="H6622" s="55" t="s">
        <v>15466</v>
      </c>
      <c r="I6622" s="15" t="s">
        <v>2316</v>
      </c>
    </row>
    <row r="6623" spans="1:9" ht="51.75" customHeight="1" x14ac:dyDescent="0.35">
      <c r="A6623" s="15" t="s">
        <v>39952</v>
      </c>
      <c r="B6623" s="15" t="s">
        <v>39953</v>
      </c>
      <c r="C6623" s="15" t="s">
        <v>39954</v>
      </c>
      <c r="D6623" s="31">
        <v>43655</v>
      </c>
      <c r="E6623" s="15" t="s">
        <v>39955</v>
      </c>
      <c r="F6623" s="87" t="s">
        <v>21871</v>
      </c>
      <c r="G6623" s="45" t="s">
        <v>15465</v>
      </c>
      <c r="H6623" s="55" t="s">
        <v>15466</v>
      </c>
      <c r="I6623" s="15" t="s">
        <v>2316</v>
      </c>
    </row>
    <row r="6624" spans="1:9" ht="51.75" customHeight="1" x14ac:dyDescent="0.35">
      <c r="A6624" s="15" t="s">
        <v>23525</v>
      </c>
      <c r="B6624" s="15" t="s">
        <v>39956</v>
      </c>
      <c r="C6624" s="15" t="s">
        <v>39957</v>
      </c>
      <c r="D6624" s="31">
        <v>43655</v>
      </c>
      <c r="E6624" s="15" t="s">
        <v>39958</v>
      </c>
      <c r="F6624" s="87" t="s">
        <v>21871</v>
      </c>
      <c r="G6624" s="45" t="s">
        <v>15465</v>
      </c>
      <c r="H6624" s="55" t="s">
        <v>15466</v>
      </c>
      <c r="I6624" s="15" t="s">
        <v>2316</v>
      </c>
    </row>
    <row r="6625" spans="1:9" ht="51.75" customHeight="1" x14ac:dyDescent="0.35">
      <c r="A6625" s="15" t="s">
        <v>23529</v>
      </c>
      <c r="B6625" s="15" t="s">
        <v>39959</v>
      </c>
      <c r="C6625" s="15" t="s">
        <v>39960</v>
      </c>
      <c r="D6625" s="31">
        <v>43655</v>
      </c>
      <c r="E6625" s="15" t="s">
        <v>39961</v>
      </c>
      <c r="F6625" s="87" t="s">
        <v>21871</v>
      </c>
      <c r="G6625" s="45" t="s">
        <v>15465</v>
      </c>
      <c r="H6625" s="55" t="s">
        <v>15466</v>
      </c>
      <c r="I6625" s="15" t="s">
        <v>2316</v>
      </c>
    </row>
    <row r="6626" spans="1:9" ht="51.75" customHeight="1" x14ac:dyDescent="0.35">
      <c r="A6626" s="15" t="s">
        <v>23499</v>
      </c>
      <c r="B6626" s="15" t="s">
        <v>39962</v>
      </c>
      <c r="C6626" s="15" t="s">
        <v>39963</v>
      </c>
      <c r="D6626" s="31">
        <v>43655</v>
      </c>
      <c r="E6626" s="15" t="s">
        <v>39964</v>
      </c>
      <c r="F6626" s="87" t="s">
        <v>21871</v>
      </c>
      <c r="G6626" s="45" t="s">
        <v>15465</v>
      </c>
      <c r="H6626" s="55" t="s">
        <v>15466</v>
      </c>
      <c r="I6626" s="15" t="s">
        <v>2316</v>
      </c>
    </row>
    <row r="6627" spans="1:9" ht="51.75" customHeight="1" x14ac:dyDescent="0.35">
      <c r="A6627" s="15" t="s">
        <v>23503</v>
      </c>
      <c r="B6627" s="15" t="s">
        <v>39965</v>
      </c>
      <c r="C6627" s="15" t="s">
        <v>39966</v>
      </c>
      <c r="D6627" s="31">
        <v>43655</v>
      </c>
      <c r="E6627" s="15" t="s">
        <v>39967</v>
      </c>
      <c r="F6627" s="87" t="s">
        <v>21871</v>
      </c>
      <c r="G6627" s="45" t="s">
        <v>15465</v>
      </c>
      <c r="H6627" s="55" t="s">
        <v>15466</v>
      </c>
      <c r="I6627" s="15" t="s">
        <v>2316</v>
      </c>
    </row>
    <row r="6628" spans="1:9" ht="51.75" customHeight="1" x14ac:dyDescent="0.35">
      <c r="A6628" s="15" t="s">
        <v>23507</v>
      </c>
      <c r="B6628" s="15" t="s">
        <v>39968</v>
      </c>
      <c r="C6628" s="15" t="s">
        <v>39957</v>
      </c>
      <c r="D6628" s="31">
        <v>43655</v>
      </c>
      <c r="E6628" s="15" t="s">
        <v>39969</v>
      </c>
      <c r="F6628" s="87" t="s">
        <v>21871</v>
      </c>
      <c r="G6628" s="45" t="s">
        <v>15465</v>
      </c>
      <c r="H6628" s="55" t="s">
        <v>15466</v>
      </c>
      <c r="I6628" s="15" t="s">
        <v>2316</v>
      </c>
    </row>
    <row r="6629" spans="1:9" ht="51.75" customHeight="1" x14ac:dyDescent="0.35">
      <c r="A6629" s="15" t="s">
        <v>39970</v>
      </c>
      <c r="B6629" s="15" t="s">
        <v>39971</v>
      </c>
      <c r="C6629" s="15" t="s">
        <v>39972</v>
      </c>
      <c r="D6629" s="31">
        <v>43655</v>
      </c>
      <c r="E6629" s="15" t="s">
        <v>39973</v>
      </c>
      <c r="F6629" s="87" t="s">
        <v>21871</v>
      </c>
      <c r="G6629" s="45" t="s">
        <v>15465</v>
      </c>
      <c r="H6629" s="55" t="s">
        <v>15466</v>
      </c>
      <c r="I6629" s="15" t="s">
        <v>2316</v>
      </c>
    </row>
    <row r="6630" spans="1:9" ht="51.75" customHeight="1" x14ac:dyDescent="0.35">
      <c r="A6630" s="15" t="s">
        <v>23032</v>
      </c>
      <c r="B6630" s="15" t="s">
        <v>39974</v>
      </c>
      <c r="C6630" s="15" t="s">
        <v>39975</v>
      </c>
      <c r="D6630" s="31">
        <v>43725</v>
      </c>
      <c r="E6630" s="15" t="s">
        <v>39976</v>
      </c>
      <c r="F6630" s="87" t="s">
        <v>21871</v>
      </c>
      <c r="G6630" s="45" t="s">
        <v>15744</v>
      </c>
      <c r="H6630" s="55" t="s">
        <v>15745</v>
      </c>
      <c r="I6630" s="15" t="s">
        <v>2316</v>
      </c>
    </row>
    <row r="6631" spans="1:9" ht="51.75" customHeight="1" x14ac:dyDescent="0.35">
      <c r="A6631" s="15" t="s">
        <v>23036</v>
      </c>
      <c r="B6631" s="15" t="s">
        <v>39977</v>
      </c>
      <c r="C6631" s="15" t="s">
        <v>39978</v>
      </c>
      <c r="D6631" s="31">
        <v>43725</v>
      </c>
      <c r="E6631" s="15" t="s">
        <v>39979</v>
      </c>
      <c r="F6631" s="87" t="s">
        <v>21871</v>
      </c>
      <c r="G6631" s="45" t="s">
        <v>15744</v>
      </c>
      <c r="H6631" s="55" t="s">
        <v>15745</v>
      </c>
      <c r="I6631" s="15" t="s">
        <v>2316</v>
      </c>
    </row>
    <row r="6632" spans="1:9" ht="51.75" customHeight="1" x14ac:dyDescent="0.35">
      <c r="A6632" s="15" t="s">
        <v>23040</v>
      </c>
      <c r="B6632" s="15" t="s">
        <v>39980</v>
      </c>
      <c r="C6632" s="15" t="s">
        <v>39981</v>
      </c>
      <c r="D6632" s="31">
        <v>43725</v>
      </c>
      <c r="E6632" s="15" t="s">
        <v>39982</v>
      </c>
      <c r="F6632" s="87" t="s">
        <v>21871</v>
      </c>
      <c r="G6632" s="45" t="s">
        <v>15744</v>
      </c>
      <c r="H6632" s="55" t="s">
        <v>15745</v>
      </c>
      <c r="I6632" s="15" t="s">
        <v>2316</v>
      </c>
    </row>
    <row r="6633" spans="1:9" ht="51.75" customHeight="1" x14ac:dyDescent="0.35">
      <c r="A6633" s="15" t="s">
        <v>23048</v>
      </c>
      <c r="B6633" s="15" t="s">
        <v>39983</v>
      </c>
      <c r="C6633" s="15" t="s">
        <v>39984</v>
      </c>
      <c r="D6633" s="31">
        <v>43725</v>
      </c>
      <c r="E6633" s="15" t="s">
        <v>39985</v>
      </c>
      <c r="F6633" s="87" t="s">
        <v>21871</v>
      </c>
      <c r="G6633" s="45" t="s">
        <v>15744</v>
      </c>
      <c r="H6633" s="55" t="s">
        <v>15745</v>
      </c>
      <c r="I6633" s="15" t="s">
        <v>2316</v>
      </c>
    </row>
    <row r="6634" spans="1:9" ht="51.75" customHeight="1" x14ac:dyDescent="0.35">
      <c r="A6634" s="15" t="s">
        <v>34334</v>
      </c>
      <c r="B6634" s="15" t="s">
        <v>39986</v>
      </c>
      <c r="C6634" s="15" t="s">
        <v>39987</v>
      </c>
      <c r="D6634" s="31">
        <v>43725</v>
      </c>
      <c r="E6634" s="15" t="s">
        <v>39988</v>
      </c>
      <c r="F6634" s="87" t="s">
        <v>21871</v>
      </c>
      <c r="G6634" s="45" t="s">
        <v>15744</v>
      </c>
      <c r="H6634" s="55" t="s">
        <v>15745</v>
      </c>
      <c r="I6634" s="15" t="s">
        <v>2316</v>
      </c>
    </row>
    <row r="6635" spans="1:9" ht="51.75" customHeight="1" x14ac:dyDescent="0.35">
      <c r="A6635" s="15" t="s">
        <v>34338</v>
      </c>
      <c r="B6635" s="15" t="s">
        <v>39989</v>
      </c>
      <c r="C6635" s="15" t="s">
        <v>39990</v>
      </c>
      <c r="D6635" s="31">
        <v>43725</v>
      </c>
      <c r="E6635" s="15" t="s">
        <v>39991</v>
      </c>
      <c r="F6635" s="87" t="s">
        <v>21871</v>
      </c>
      <c r="G6635" s="45" t="s">
        <v>15744</v>
      </c>
      <c r="H6635" s="55" t="s">
        <v>15745</v>
      </c>
      <c r="I6635" s="15" t="s">
        <v>2316</v>
      </c>
    </row>
    <row r="6636" spans="1:9" ht="51.75" customHeight="1" x14ac:dyDescent="0.35">
      <c r="A6636" s="15" t="s">
        <v>39992</v>
      </c>
      <c r="B6636" s="15" t="s">
        <v>39993</v>
      </c>
      <c r="C6636" s="15" t="s">
        <v>39994</v>
      </c>
      <c r="D6636" s="31">
        <v>43790</v>
      </c>
      <c r="E6636" s="15" t="s">
        <v>39995</v>
      </c>
      <c r="F6636" s="87" t="s">
        <v>21871</v>
      </c>
      <c r="G6636" s="45" t="s">
        <v>15859</v>
      </c>
      <c r="H6636" s="55" t="s">
        <v>15860</v>
      </c>
      <c r="I6636" s="15" t="s">
        <v>2316</v>
      </c>
    </row>
    <row r="6637" spans="1:9" ht="51.75" customHeight="1" x14ac:dyDescent="0.35">
      <c r="A6637" s="15" t="s">
        <v>39996</v>
      </c>
      <c r="B6637" s="15" t="s">
        <v>39997</v>
      </c>
      <c r="C6637" s="15" t="s">
        <v>39998</v>
      </c>
      <c r="D6637" s="31">
        <v>43790</v>
      </c>
      <c r="E6637" s="15" t="s">
        <v>39999</v>
      </c>
      <c r="F6637" s="87" t="s">
        <v>21871</v>
      </c>
      <c r="G6637" s="45" t="s">
        <v>15859</v>
      </c>
      <c r="H6637" s="55" t="s">
        <v>15860</v>
      </c>
      <c r="I6637" s="15" t="s">
        <v>2316</v>
      </c>
    </row>
    <row r="6638" spans="1:9" ht="51.75" customHeight="1" x14ac:dyDescent="0.35">
      <c r="A6638" s="15" t="s">
        <v>40000</v>
      </c>
      <c r="B6638" s="15" t="s">
        <v>40001</v>
      </c>
      <c r="C6638" s="15" t="s">
        <v>40002</v>
      </c>
      <c r="D6638" s="31">
        <v>43790</v>
      </c>
      <c r="E6638" s="15" t="s">
        <v>40003</v>
      </c>
      <c r="F6638" s="87" t="s">
        <v>21871</v>
      </c>
      <c r="G6638" s="45" t="s">
        <v>15859</v>
      </c>
      <c r="H6638" s="55" t="s">
        <v>15860</v>
      </c>
      <c r="I6638" s="15" t="s">
        <v>2316</v>
      </c>
    </row>
    <row r="6639" spans="1:9" ht="51.75" customHeight="1" x14ac:dyDescent="0.35">
      <c r="A6639" s="15" t="s">
        <v>40004</v>
      </c>
      <c r="B6639" s="15" t="s">
        <v>40005</v>
      </c>
      <c r="C6639" s="15" t="s">
        <v>40006</v>
      </c>
      <c r="D6639" s="31">
        <v>43790</v>
      </c>
      <c r="E6639" s="15" t="s">
        <v>40007</v>
      </c>
      <c r="F6639" s="87" t="s">
        <v>21871</v>
      </c>
      <c r="G6639" s="45" t="s">
        <v>15859</v>
      </c>
      <c r="H6639" s="55" t="s">
        <v>15860</v>
      </c>
      <c r="I6639" s="15" t="s">
        <v>2316</v>
      </c>
    </row>
    <row r="6640" spans="1:9" ht="51.75" customHeight="1" x14ac:dyDescent="0.35">
      <c r="A6640" s="15" t="s">
        <v>40008</v>
      </c>
      <c r="B6640" s="15" t="s">
        <v>40009</v>
      </c>
      <c r="C6640" s="15" t="s">
        <v>40010</v>
      </c>
      <c r="D6640" s="31">
        <v>43790</v>
      </c>
      <c r="E6640" s="15" t="s">
        <v>40011</v>
      </c>
      <c r="F6640" s="87" t="s">
        <v>21871</v>
      </c>
      <c r="G6640" s="45" t="s">
        <v>15859</v>
      </c>
      <c r="H6640" s="55" t="s">
        <v>15860</v>
      </c>
      <c r="I6640" s="15" t="s">
        <v>2316</v>
      </c>
    </row>
    <row r="6641" spans="1:9" ht="51.75" customHeight="1" x14ac:dyDescent="0.35">
      <c r="A6641" s="15" t="s">
        <v>40012</v>
      </c>
      <c r="B6641" s="15" t="s">
        <v>40013</v>
      </c>
      <c r="C6641" s="15" t="s">
        <v>40014</v>
      </c>
      <c r="D6641" s="31">
        <v>43790</v>
      </c>
      <c r="E6641" s="15" t="s">
        <v>40015</v>
      </c>
      <c r="F6641" s="87" t="s">
        <v>21871</v>
      </c>
      <c r="G6641" s="45" t="s">
        <v>15859</v>
      </c>
      <c r="H6641" s="55" t="s">
        <v>15860</v>
      </c>
      <c r="I6641" s="15" t="s">
        <v>2316</v>
      </c>
    </row>
    <row r="6642" spans="1:9" ht="51.75" customHeight="1" x14ac:dyDescent="0.35">
      <c r="A6642" s="15" t="s">
        <v>40016</v>
      </c>
      <c r="B6642" s="15" t="s">
        <v>40017</v>
      </c>
      <c r="C6642" s="15" t="s">
        <v>40018</v>
      </c>
      <c r="D6642" s="31">
        <v>43790</v>
      </c>
      <c r="E6642" s="15" t="s">
        <v>40019</v>
      </c>
      <c r="F6642" s="87" t="s">
        <v>21871</v>
      </c>
      <c r="G6642" s="45" t="s">
        <v>15859</v>
      </c>
      <c r="H6642" s="55" t="s">
        <v>15860</v>
      </c>
      <c r="I6642" s="15" t="s">
        <v>2316</v>
      </c>
    </row>
    <row r="6643" spans="1:9" ht="51.75" customHeight="1" x14ac:dyDescent="0.35">
      <c r="A6643" s="15" t="s">
        <v>40020</v>
      </c>
      <c r="B6643" s="15" t="s">
        <v>40021</v>
      </c>
      <c r="C6643" s="15" t="s">
        <v>40022</v>
      </c>
      <c r="D6643" s="31">
        <v>43789</v>
      </c>
      <c r="E6643" s="15" t="s">
        <v>40023</v>
      </c>
      <c r="F6643" s="87" t="s">
        <v>21871</v>
      </c>
      <c r="G6643" s="45" t="s">
        <v>16198</v>
      </c>
      <c r="H6643" s="55" t="s">
        <v>16199</v>
      </c>
      <c r="I6643" s="15" t="s">
        <v>2316</v>
      </c>
    </row>
    <row r="6644" spans="1:9" ht="51.75" customHeight="1" x14ac:dyDescent="0.35">
      <c r="A6644" s="15" t="s">
        <v>40024</v>
      </c>
      <c r="B6644" s="15" t="s">
        <v>40025</v>
      </c>
      <c r="C6644" s="15" t="s">
        <v>40026</v>
      </c>
      <c r="D6644" s="31">
        <v>43789</v>
      </c>
      <c r="E6644" s="15" t="s">
        <v>40027</v>
      </c>
      <c r="F6644" s="87" t="s">
        <v>21871</v>
      </c>
      <c r="G6644" s="45" t="s">
        <v>16198</v>
      </c>
      <c r="H6644" s="55" t="s">
        <v>16199</v>
      </c>
      <c r="I6644" s="15" t="s">
        <v>2316</v>
      </c>
    </row>
    <row r="6645" spans="1:9" ht="51.75" customHeight="1" x14ac:dyDescent="0.35">
      <c r="A6645" s="15" t="s">
        <v>40028</v>
      </c>
      <c r="B6645" s="15" t="s">
        <v>40029</v>
      </c>
      <c r="C6645" s="15" t="s">
        <v>40030</v>
      </c>
      <c r="D6645" s="31">
        <v>43789</v>
      </c>
      <c r="E6645" s="15" t="s">
        <v>40031</v>
      </c>
      <c r="F6645" s="87" t="s">
        <v>21871</v>
      </c>
      <c r="G6645" s="45" t="s">
        <v>16198</v>
      </c>
      <c r="H6645" s="55" t="s">
        <v>16199</v>
      </c>
      <c r="I6645" s="15" t="s">
        <v>2316</v>
      </c>
    </row>
    <row r="6646" spans="1:9" ht="51.75" customHeight="1" x14ac:dyDescent="0.35">
      <c r="A6646" s="15" t="s">
        <v>40032</v>
      </c>
      <c r="B6646" s="15" t="s">
        <v>40033</v>
      </c>
      <c r="C6646" s="15" t="s">
        <v>40034</v>
      </c>
      <c r="D6646" s="31">
        <v>43789</v>
      </c>
      <c r="E6646" s="15" t="s">
        <v>40035</v>
      </c>
      <c r="F6646" s="87" t="s">
        <v>21871</v>
      </c>
      <c r="G6646" s="45" t="s">
        <v>16198</v>
      </c>
      <c r="H6646" s="55" t="s">
        <v>16199</v>
      </c>
      <c r="I6646" s="15" t="s">
        <v>2316</v>
      </c>
    </row>
    <row r="6647" spans="1:9" ht="51.75" customHeight="1" x14ac:dyDescent="0.35">
      <c r="A6647" s="15" t="s">
        <v>40036</v>
      </c>
      <c r="B6647" s="15" t="s">
        <v>40037</v>
      </c>
      <c r="C6647" s="15" t="s">
        <v>40038</v>
      </c>
      <c r="D6647" s="31">
        <v>43789</v>
      </c>
      <c r="E6647" s="15" t="s">
        <v>40039</v>
      </c>
      <c r="F6647" s="87" t="s">
        <v>21871</v>
      </c>
      <c r="G6647" s="45" t="s">
        <v>16198</v>
      </c>
      <c r="H6647" s="55" t="s">
        <v>16199</v>
      </c>
      <c r="I6647" s="15" t="s">
        <v>2316</v>
      </c>
    </row>
    <row r="6648" spans="1:9" ht="51.75" customHeight="1" x14ac:dyDescent="0.35">
      <c r="A6648" s="15" t="s">
        <v>40040</v>
      </c>
      <c r="B6648" s="15" t="s">
        <v>40041</v>
      </c>
      <c r="C6648" s="15" t="s">
        <v>40042</v>
      </c>
      <c r="D6648" s="31">
        <v>43789</v>
      </c>
      <c r="E6648" s="15" t="s">
        <v>40043</v>
      </c>
      <c r="F6648" s="87" t="s">
        <v>21871</v>
      </c>
      <c r="G6648" s="45" t="s">
        <v>16198</v>
      </c>
      <c r="H6648" s="55" t="s">
        <v>16199</v>
      </c>
      <c r="I6648" s="15" t="s">
        <v>2316</v>
      </c>
    </row>
    <row r="6649" spans="1:9" ht="51.75" customHeight="1" x14ac:dyDescent="0.35">
      <c r="A6649" s="15" t="s">
        <v>35694</v>
      </c>
      <c r="B6649" s="15" t="s">
        <v>40044</v>
      </c>
      <c r="C6649" s="15" t="s">
        <v>40045</v>
      </c>
      <c r="D6649" s="31">
        <v>43789</v>
      </c>
      <c r="E6649" s="15" t="s">
        <v>40046</v>
      </c>
      <c r="F6649" s="87" t="s">
        <v>21871</v>
      </c>
      <c r="G6649" s="45" t="s">
        <v>16198</v>
      </c>
      <c r="H6649" s="55" t="s">
        <v>16199</v>
      </c>
      <c r="I6649" s="15" t="s">
        <v>2316</v>
      </c>
    </row>
    <row r="6650" spans="1:9" ht="51.75" customHeight="1" x14ac:dyDescent="0.35">
      <c r="A6650" s="15" t="s">
        <v>23648</v>
      </c>
      <c r="B6650" s="15" t="s">
        <v>40047</v>
      </c>
      <c r="C6650" s="15" t="s">
        <v>40048</v>
      </c>
      <c r="D6650" s="31">
        <v>43789</v>
      </c>
      <c r="E6650" s="15" t="s">
        <v>40049</v>
      </c>
      <c r="F6650" s="87" t="s">
        <v>21871</v>
      </c>
      <c r="G6650" s="45" t="s">
        <v>16198</v>
      </c>
      <c r="H6650" s="55" t="s">
        <v>16199</v>
      </c>
      <c r="I6650" s="15" t="s">
        <v>2316</v>
      </c>
    </row>
    <row r="6651" spans="1:9" ht="51.75" customHeight="1" x14ac:dyDescent="0.35">
      <c r="A6651" s="15" t="s">
        <v>40050</v>
      </c>
      <c r="B6651" s="15" t="s">
        <v>40051</v>
      </c>
      <c r="C6651" s="15" t="s">
        <v>40052</v>
      </c>
      <c r="D6651" s="31">
        <v>43789</v>
      </c>
      <c r="E6651" s="15" t="s">
        <v>40053</v>
      </c>
      <c r="F6651" s="87" t="s">
        <v>21871</v>
      </c>
      <c r="G6651" s="45" t="s">
        <v>16198</v>
      </c>
      <c r="H6651" s="55" t="s">
        <v>16199</v>
      </c>
      <c r="I6651" s="15" t="s">
        <v>2316</v>
      </c>
    </row>
    <row r="6652" spans="1:9" ht="51.75" customHeight="1" x14ac:dyDescent="0.35">
      <c r="A6652" s="15" t="s">
        <v>40054</v>
      </c>
      <c r="B6652" s="15" t="s">
        <v>40055</v>
      </c>
      <c r="C6652" s="15" t="s">
        <v>40056</v>
      </c>
      <c r="D6652" s="31">
        <v>43789</v>
      </c>
      <c r="E6652" s="15" t="s">
        <v>40057</v>
      </c>
      <c r="F6652" s="87" t="s">
        <v>21871</v>
      </c>
      <c r="G6652" s="45" t="s">
        <v>16198</v>
      </c>
      <c r="H6652" s="55" t="s">
        <v>16199</v>
      </c>
      <c r="I6652" s="15" t="s">
        <v>2316</v>
      </c>
    </row>
    <row r="6653" spans="1:9" ht="51.75" customHeight="1" x14ac:dyDescent="0.35">
      <c r="A6653" s="15" t="s">
        <v>40058</v>
      </c>
      <c r="B6653" s="15" t="s">
        <v>40059</v>
      </c>
      <c r="C6653" s="15" t="s">
        <v>40060</v>
      </c>
      <c r="D6653" s="31">
        <v>43789</v>
      </c>
      <c r="E6653" s="15" t="s">
        <v>40061</v>
      </c>
      <c r="F6653" s="87" t="s">
        <v>21871</v>
      </c>
      <c r="G6653" s="45" t="s">
        <v>16198</v>
      </c>
      <c r="H6653" s="55" t="s">
        <v>16199</v>
      </c>
      <c r="I6653" s="15" t="s">
        <v>2316</v>
      </c>
    </row>
    <row r="6654" spans="1:9" ht="51.75" customHeight="1" x14ac:dyDescent="0.35">
      <c r="A6654" s="15" t="s">
        <v>40062</v>
      </c>
      <c r="B6654" s="15" t="s">
        <v>40063</v>
      </c>
      <c r="C6654" s="15" t="s">
        <v>40064</v>
      </c>
      <c r="D6654" s="31">
        <v>43789</v>
      </c>
      <c r="E6654" s="15" t="s">
        <v>40065</v>
      </c>
      <c r="F6654" s="87" t="s">
        <v>21871</v>
      </c>
      <c r="G6654" s="45" t="s">
        <v>16198</v>
      </c>
      <c r="H6654" s="55" t="s">
        <v>16199</v>
      </c>
      <c r="I6654" s="15" t="s">
        <v>2316</v>
      </c>
    </row>
    <row r="6655" spans="1:9" ht="51.75" customHeight="1" x14ac:dyDescent="0.35">
      <c r="A6655" s="15" t="s">
        <v>40066</v>
      </c>
      <c r="B6655" s="15" t="s">
        <v>40067</v>
      </c>
      <c r="C6655" s="15" t="s">
        <v>40068</v>
      </c>
      <c r="D6655" s="31">
        <v>43789</v>
      </c>
      <c r="E6655" s="15" t="s">
        <v>40069</v>
      </c>
      <c r="F6655" s="87" t="s">
        <v>21871</v>
      </c>
      <c r="G6655" s="45" t="s">
        <v>16198</v>
      </c>
      <c r="H6655" s="55" t="s">
        <v>16199</v>
      </c>
      <c r="I6655" s="15" t="s">
        <v>2316</v>
      </c>
    </row>
    <row r="6656" spans="1:9" ht="51.75" customHeight="1" x14ac:dyDescent="0.35">
      <c r="A6656" s="15" t="s">
        <v>28167</v>
      </c>
      <c r="B6656" s="15" t="s">
        <v>40070</v>
      </c>
      <c r="C6656" s="15" t="s">
        <v>40071</v>
      </c>
      <c r="D6656" s="31">
        <v>43956</v>
      </c>
      <c r="E6656" s="15" t="s">
        <v>40072</v>
      </c>
      <c r="F6656" s="87" t="s">
        <v>21871</v>
      </c>
      <c r="G6656" s="45" t="s">
        <v>16412</v>
      </c>
      <c r="H6656" s="55" t="s">
        <v>16413</v>
      </c>
      <c r="I6656" s="15" t="s">
        <v>2316</v>
      </c>
    </row>
    <row r="6657" spans="1:9" ht="51.75" customHeight="1" x14ac:dyDescent="0.35">
      <c r="A6657" s="15" t="s">
        <v>25711</v>
      </c>
      <c r="B6657" s="15" t="s">
        <v>40073</v>
      </c>
      <c r="C6657" s="15" t="s">
        <v>40074</v>
      </c>
      <c r="D6657" s="31">
        <v>43956</v>
      </c>
      <c r="E6657" s="15" t="s">
        <v>40075</v>
      </c>
      <c r="F6657" s="87" t="s">
        <v>21871</v>
      </c>
      <c r="G6657" s="45" t="s">
        <v>16412</v>
      </c>
      <c r="H6657" s="55" t="s">
        <v>16413</v>
      </c>
      <c r="I6657" s="15" t="s">
        <v>2316</v>
      </c>
    </row>
    <row r="6658" spans="1:9" ht="51.75" customHeight="1" x14ac:dyDescent="0.35">
      <c r="A6658" s="15" t="s">
        <v>22975</v>
      </c>
      <c r="B6658" s="15" t="s">
        <v>40076</v>
      </c>
      <c r="C6658" s="15" t="s">
        <v>40077</v>
      </c>
      <c r="D6658" s="31">
        <v>43956</v>
      </c>
      <c r="E6658" s="15" t="s">
        <v>40078</v>
      </c>
      <c r="F6658" s="87" t="s">
        <v>21871</v>
      </c>
      <c r="G6658" s="45" t="s">
        <v>16412</v>
      </c>
      <c r="H6658" s="55" t="s">
        <v>16413</v>
      </c>
      <c r="I6658" s="15" t="s">
        <v>2316</v>
      </c>
    </row>
    <row r="6659" spans="1:9" ht="51.75" customHeight="1" x14ac:dyDescent="0.35">
      <c r="A6659" s="15" t="s">
        <v>28285</v>
      </c>
      <c r="B6659" s="15" t="s">
        <v>40079</v>
      </c>
      <c r="C6659" s="15" t="s">
        <v>40080</v>
      </c>
      <c r="D6659" s="31">
        <v>43956</v>
      </c>
      <c r="E6659" s="15" t="s">
        <v>40081</v>
      </c>
      <c r="F6659" s="87" t="s">
        <v>21871</v>
      </c>
      <c r="G6659" s="45" t="s">
        <v>16412</v>
      </c>
      <c r="H6659" s="55" t="s">
        <v>16413</v>
      </c>
      <c r="I6659" s="15" t="s">
        <v>2316</v>
      </c>
    </row>
    <row r="6660" spans="1:9" ht="51.75" customHeight="1" x14ac:dyDescent="0.35">
      <c r="A6660" s="15" t="s">
        <v>22979</v>
      </c>
      <c r="B6660" s="15" t="s">
        <v>40082</v>
      </c>
      <c r="C6660" s="15" t="s">
        <v>40083</v>
      </c>
      <c r="D6660" s="31">
        <v>43956</v>
      </c>
      <c r="E6660" s="15" t="s">
        <v>40084</v>
      </c>
      <c r="F6660" s="87" t="s">
        <v>21871</v>
      </c>
      <c r="G6660" s="45" t="s">
        <v>16412</v>
      </c>
      <c r="H6660" s="55" t="s">
        <v>16413</v>
      </c>
      <c r="I6660" s="15" t="s">
        <v>2316</v>
      </c>
    </row>
    <row r="6661" spans="1:9" ht="51.75" customHeight="1" x14ac:dyDescent="0.35">
      <c r="A6661" s="15" t="s">
        <v>22983</v>
      </c>
      <c r="B6661" s="15" t="s">
        <v>40085</v>
      </c>
      <c r="C6661" s="15" t="s">
        <v>40086</v>
      </c>
      <c r="D6661" s="31">
        <v>43956</v>
      </c>
      <c r="E6661" s="15" t="s">
        <v>40087</v>
      </c>
      <c r="F6661" s="87" t="s">
        <v>21871</v>
      </c>
      <c r="G6661" s="45" t="s">
        <v>16412</v>
      </c>
      <c r="H6661" s="55" t="s">
        <v>16413</v>
      </c>
      <c r="I6661" s="15" t="s">
        <v>2316</v>
      </c>
    </row>
    <row r="6662" spans="1:9" ht="51.75" customHeight="1" x14ac:dyDescent="0.35">
      <c r="A6662" s="15" t="s">
        <v>25038</v>
      </c>
      <c r="B6662" s="15" t="s">
        <v>40088</v>
      </c>
      <c r="C6662" s="15" t="s">
        <v>40089</v>
      </c>
      <c r="D6662" s="31">
        <v>43956</v>
      </c>
      <c r="E6662" s="15" t="s">
        <v>40090</v>
      </c>
      <c r="F6662" s="87" t="s">
        <v>21871</v>
      </c>
      <c r="G6662" s="45" t="s">
        <v>16462</v>
      </c>
      <c r="H6662" s="55" t="s">
        <v>16463</v>
      </c>
      <c r="I6662" s="15" t="s">
        <v>2316</v>
      </c>
    </row>
    <row r="6663" spans="1:9" ht="51.75" customHeight="1" x14ac:dyDescent="0.35">
      <c r="A6663" s="15" t="s">
        <v>25044</v>
      </c>
      <c r="B6663" s="15" t="s">
        <v>40091</v>
      </c>
      <c r="C6663" s="15" t="s">
        <v>40092</v>
      </c>
      <c r="D6663" s="31">
        <v>43956</v>
      </c>
      <c r="E6663" s="15" t="s">
        <v>40093</v>
      </c>
      <c r="F6663" s="87" t="s">
        <v>21871</v>
      </c>
      <c r="G6663" s="45" t="s">
        <v>16462</v>
      </c>
      <c r="H6663" s="55" t="s">
        <v>16463</v>
      </c>
      <c r="I6663" s="15" t="s">
        <v>2316</v>
      </c>
    </row>
    <row r="6664" spans="1:9" ht="51.75" customHeight="1" x14ac:dyDescent="0.35">
      <c r="A6664" s="15" t="s">
        <v>25050</v>
      </c>
      <c r="B6664" s="15" t="s">
        <v>40094</v>
      </c>
      <c r="C6664" s="15" t="s">
        <v>40086</v>
      </c>
      <c r="D6664" s="31">
        <v>43956</v>
      </c>
      <c r="E6664" s="15" t="s">
        <v>40095</v>
      </c>
      <c r="F6664" s="87" t="s">
        <v>21871</v>
      </c>
      <c r="G6664" s="45" t="s">
        <v>16462</v>
      </c>
      <c r="H6664" s="55" t="s">
        <v>16463</v>
      </c>
      <c r="I6664" s="15" t="s">
        <v>2316</v>
      </c>
    </row>
    <row r="6665" spans="1:9" ht="51.75" customHeight="1" x14ac:dyDescent="0.35">
      <c r="A6665" s="15" t="s">
        <v>26845</v>
      </c>
      <c r="B6665" s="15" t="s">
        <v>40096</v>
      </c>
      <c r="C6665" s="15" t="s">
        <v>40097</v>
      </c>
      <c r="D6665" s="31">
        <v>43956</v>
      </c>
      <c r="E6665" s="15" t="s">
        <v>40098</v>
      </c>
      <c r="F6665" s="87" t="s">
        <v>21871</v>
      </c>
      <c r="G6665" s="45" t="s">
        <v>16462</v>
      </c>
      <c r="H6665" s="55" t="s">
        <v>16463</v>
      </c>
      <c r="I6665" s="15" t="s">
        <v>2316</v>
      </c>
    </row>
    <row r="6666" spans="1:9" ht="51.75" customHeight="1" x14ac:dyDescent="0.35">
      <c r="A6666" s="15" t="s">
        <v>22055</v>
      </c>
      <c r="B6666" s="15" t="s">
        <v>40099</v>
      </c>
      <c r="C6666" s="15" t="s">
        <v>40100</v>
      </c>
      <c r="D6666" s="31">
        <v>43956</v>
      </c>
      <c r="E6666" s="15" t="s">
        <v>40101</v>
      </c>
      <c r="F6666" s="87" t="s">
        <v>21871</v>
      </c>
      <c r="G6666" s="45" t="s">
        <v>16462</v>
      </c>
      <c r="H6666" s="55" t="s">
        <v>16463</v>
      </c>
      <c r="I6666" s="15" t="s">
        <v>2316</v>
      </c>
    </row>
    <row r="6667" spans="1:9" ht="51.75" customHeight="1" x14ac:dyDescent="0.35">
      <c r="A6667" s="15" t="s">
        <v>22937</v>
      </c>
      <c r="B6667" s="15" t="s">
        <v>40102</v>
      </c>
      <c r="C6667" s="15" t="s">
        <v>40103</v>
      </c>
      <c r="D6667" s="31">
        <v>43956</v>
      </c>
      <c r="E6667" s="15" t="s">
        <v>40104</v>
      </c>
      <c r="F6667" s="87" t="s">
        <v>21871</v>
      </c>
      <c r="G6667" s="45" t="s">
        <v>16462</v>
      </c>
      <c r="H6667" s="55" t="s">
        <v>16463</v>
      </c>
      <c r="I6667" s="15" t="s">
        <v>2316</v>
      </c>
    </row>
    <row r="6668" spans="1:9" ht="51.75" customHeight="1" x14ac:dyDescent="0.35">
      <c r="A6668" s="15" t="s">
        <v>22910</v>
      </c>
      <c r="B6668" s="15" t="s">
        <v>40105</v>
      </c>
      <c r="C6668" s="15" t="s">
        <v>40106</v>
      </c>
      <c r="D6668" s="31">
        <v>43956</v>
      </c>
      <c r="E6668" s="15" t="s">
        <v>40107</v>
      </c>
      <c r="F6668" s="87" t="s">
        <v>21871</v>
      </c>
      <c r="G6668" s="45" t="s">
        <v>16462</v>
      </c>
      <c r="H6668" s="55" t="s">
        <v>16463</v>
      </c>
      <c r="I6668" s="15" t="s">
        <v>2316</v>
      </c>
    </row>
    <row r="6669" spans="1:9" ht="51.75" customHeight="1" x14ac:dyDescent="0.35">
      <c r="A6669" s="15" t="s">
        <v>26931</v>
      </c>
      <c r="B6669" s="15" t="s">
        <v>40108</v>
      </c>
      <c r="C6669" s="15" t="s">
        <v>40109</v>
      </c>
      <c r="D6669" s="31">
        <v>43956</v>
      </c>
      <c r="E6669" s="15" t="s">
        <v>40110</v>
      </c>
      <c r="F6669" s="87" t="s">
        <v>21871</v>
      </c>
      <c r="G6669" s="45" t="s">
        <v>16462</v>
      </c>
      <c r="H6669" s="55" t="s">
        <v>16463</v>
      </c>
      <c r="I6669" s="15" t="s">
        <v>2316</v>
      </c>
    </row>
    <row r="6670" spans="1:9" ht="51.75" customHeight="1" x14ac:dyDescent="0.35">
      <c r="A6670" s="15" t="s">
        <v>25933</v>
      </c>
      <c r="B6670" s="15" t="s">
        <v>40111</v>
      </c>
      <c r="C6670" s="15" t="s">
        <v>40112</v>
      </c>
      <c r="D6670" s="31">
        <v>44001</v>
      </c>
      <c r="E6670" s="15" t="s">
        <v>40113</v>
      </c>
      <c r="F6670" s="87" t="s">
        <v>21871</v>
      </c>
      <c r="G6670" s="45" t="s">
        <v>16155</v>
      </c>
      <c r="H6670" s="55" t="s">
        <v>16156</v>
      </c>
      <c r="I6670" s="15" t="s">
        <v>2316</v>
      </c>
    </row>
    <row r="6671" spans="1:9" ht="51.75" customHeight="1" x14ac:dyDescent="0.35">
      <c r="A6671" s="15" t="s">
        <v>40114</v>
      </c>
      <c r="B6671" s="15" t="s">
        <v>40115</v>
      </c>
      <c r="C6671" s="15" t="s">
        <v>40116</v>
      </c>
      <c r="D6671" s="31">
        <v>44001</v>
      </c>
      <c r="E6671" s="15" t="s">
        <v>40117</v>
      </c>
      <c r="F6671" s="87" t="s">
        <v>21871</v>
      </c>
      <c r="G6671" s="45" t="s">
        <v>16155</v>
      </c>
      <c r="H6671" s="55" t="s">
        <v>16156</v>
      </c>
      <c r="I6671" s="15" t="s">
        <v>2316</v>
      </c>
    </row>
    <row r="6672" spans="1:9" ht="51.75" customHeight="1" x14ac:dyDescent="0.35">
      <c r="A6672" s="15" t="s">
        <v>40118</v>
      </c>
      <c r="B6672" s="15" t="s">
        <v>40119</v>
      </c>
      <c r="C6672" s="15" t="s">
        <v>40120</v>
      </c>
      <c r="D6672" s="31">
        <v>44001</v>
      </c>
      <c r="E6672" s="15" t="s">
        <v>40121</v>
      </c>
      <c r="F6672" s="87" t="s">
        <v>21871</v>
      </c>
      <c r="G6672" s="45" t="s">
        <v>16155</v>
      </c>
      <c r="H6672" s="55" t="s">
        <v>16156</v>
      </c>
      <c r="I6672" s="15" t="s">
        <v>2316</v>
      </c>
    </row>
    <row r="6673" spans="1:9" ht="51.75" customHeight="1" x14ac:dyDescent="0.35">
      <c r="A6673" s="15" t="s">
        <v>25941</v>
      </c>
      <c r="B6673" s="15" t="s">
        <v>40122</v>
      </c>
      <c r="C6673" s="15" t="s">
        <v>40123</v>
      </c>
      <c r="D6673" s="31">
        <v>44001</v>
      </c>
      <c r="E6673" s="15" t="s">
        <v>40124</v>
      </c>
      <c r="F6673" s="87" t="s">
        <v>21871</v>
      </c>
      <c r="G6673" s="45" t="s">
        <v>16155</v>
      </c>
      <c r="H6673" s="55" t="s">
        <v>16156</v>
      </c>
      <c r="I6673" s="15" t="s">
        <v>2316</v>
      </c>
    </row>
    <row r="6674" spans="1:9" ht="51.75" customHeight="1" x14ac:dyDescent="0.35">
      <c r="A6674" s="15" t="s">
        <v>25945</v>
      </c>
      <c r="B6674" s="15" t="s">
        <v>40125</v>
      </c>
      <c r="C6674" s="15" t="s">
        <v>40126</v>
      </c>
      <c r="D6674" s="31">
        <v>44001</v>
      </c>
      <c r="E6674" s="15" t="s">
        <v>40127</v>
      </c>
      <c r="F6674" s="87" t="s">
        <v>21871</v>
      </c>
      <c r="G6674" s="45" t="s">
        <v>16155</v>
      </c>
      <c r="H6674" s="55" t="s">
        <v>16156</v>
      </c>
      <c r="I6674" s="15" t="s">
        <v>2316</v>
      </c>
    </row>
    <row r="6675" spans="1:9" ht="51.75" customHeight="1" x14ac:dyDescent="0.35">
      <c r="A6675" s="15" t="s">
        <v>36089</v>
      </c>
      <c r="B6675" s="15" t="s">
        <v>40128</v>
      </c>
      <c r="C6675" s="15" t="s">
        <v>40129</v>
      </c>
      <c r="D6675" s="31">
        <v>44001</v>
      </c>
      <c r="E6675" s="15" t="s">
        <v>40130</v>
      </c>
      <c r="F6675" s="87" t="s">
        <v>21871</v>
      </c>
      <c r="G6675" s="45" t="s">
        <v>16155</v>
      </c>
      <c r="H6675" s="55" t="s">
        <v>16156</v>
      </c>
      <c r="I6675" s="15" t="s">
        <v>2316</v>
      </c>
    </row>
    <row r="6676" spans="1:9" ht="51.75" customHeight="1" x14ac:dyDescent="0.35">
      <c r="A6676" s="15" t="s">
        <v>25590</v>
      </c>
      <c r="B6676" s="15" t="s">
        <v>40131</v>
      </c>
      <c r="C6676" s="15" t="s">
        <v>40132</v>
      </c>
      <c r="D6676" s="31">
        <v>44028</v>
      </c>
      <c r="E6676" s="15" t="s">
        <v>40133</v>
      </c>
      <c r="F6676" s="87" t="s">
        <v>21871</v>
      </c>
      <c r="G6676" s="45" t="s">
        <v>16680</v>
      </c>
      <c r="H6676" s="55" t="s">
        <v>16681</v>
      </c>
      <c r="I6676" s="15" t="s">
        <v>2316</v>
      </c>
    </row>
    <row r="6677" spans="1:9" ht="51.75" customHeight="1" x14ac:dyDescent="0.35">
      <c r="A6677" s="15" t="s">
        <v>40134</v>
      </c>
      <c r="B6677" s="15" t="s">
        <v>40135</v>
      </c>
      <c r="C6677" s="15" t="s">
        <v>40136</v>
      </c>
      <c r="D6677" s="31">
        <v>44028</v>
      </c>
      <c r="E6677" s="15" t="s">
        <v>40137</v>
      </c>
      <c r="F6677" s="87" t="s">
        <v>21871</v>
      </c>
      <c r="G6677" s="45" t="s">
        <v>16680</v>
      </c>
      <c r="H6677" s="55" t="s">
        <v>16681</v>
      </c>
      <c r="I6677" s="15" t="s">
        <v>2316</v>
      </c>
    </row>
    <row r="6678" spans="1:9" ht="51.75" customHeight="1" x14ac:dyDescent="0.35">
      <c r="A6678" s="15" t="s">
        <v>39718</v>
      </c>
      <c r="B6678" s="15" t="s">
        <v>40138</v>
      </c>
      <c r="C6678" s="15" t="s">
        <v>40139</v>
      </c>
      <c r="D6678" s="31">
        <v>44028</v>
      </c>
      <c r="E6678" s="15" t="s">
        <v>40140</v>
      </c>
      <c r="F6678" s="87" t="s">
        <v>21871</v>
      </c>
      <c r="G6678" s="45" t="s">
        <v>16680</v>
      </c>
      <c r="H6678" s="55" t="s">
        <v>16681</v>
      </c>
      <c r="I6678" s="15" t="s">
        <v>2316</v>
      </c>
    </row>
    <row r="6679" spans="1:9" ht="51.75" customHeight="1" x14ac:dyDescent="0.35">
      <c r="A6679" s="15" t="s">
        <v>40141</v>
      </c>
      <c r="B6679" s="15" t="s">
        <v>40142</v>
      </c>
      <c r="C6679" s="15" t="s">
        <v>40143</v>
      </c>
      <c r="D6679" s="31">
        <v>44028</v>
      </c>
      <c r="E6679" s="15" t="s">
        <v>40144</v>
      </c>
      <c r="F6679" s="87" t="s">
        <v>21871</v>
      </c>
      <c r="G6679" s="45" t="s">
        <v>16680</v>
      </c>
      <c r="H6679" s="55" t="s">
        <v>16681</v>
      </c>
      <c r="I6679" s="15" t="s">
        <v>2316</v>
      </c>
    </row>
    <row r="6680" spans="1:9" ht="51.75" customHeight="1" x14ac:dyDescent="0.35">
      <c r="A6680" s="15" t="s">
        <v>22198</v>
      </c>
      <c r="B6680" s="15" t="s">
        <v>40145</v>
      </c>
      <c r="C6680" s="15" t="s">
        <v>40146</v>
      </c>
      <c r="D6680" s="31">
        <v>44028</v>
      </c>
      <c r="E6680" s="15" t="s">
        <v>40147</v>
      </c>
      <c r="F6680" s="87" t="s">
        <v>21871</v>
      </c>
      <c r="G6680" s="45" t="s">
        <v>16680</v>
      </c>
      <c r="H6680" s="55" t="s">
        <v>16681</v>
      </c>
      <c r="I6680" s="15" t="s">
        <v>2316</v>
      </c>
    </row>
    <row r="6681" spans="1:9" ht="51.75" customHeight="1" x14ac:dyDescent="0.35">
      <c r="A6681" s="15" t="s">
        <v>34096</v>
      </c>
      <c r="B6681" s="15" t="s">
        <v>40148</v>
      </c>
      <c r="C6681" s="15" t="s">
        <v>40149</v>
      </c>
      <c r="D6681" s="31">
        <v>44028</v>
      </c>
      <c r="E6681" s="15" t="s">
        <v>40150</v>
      </c>
      <c r="F6681" s="87" t="s">
        <v>21871</v>
      </c>
      <c r="G6681" s="45" t="s">
        <v>16680</v>
      </c>
      <c r="H6681" s="55" t="s">
        <v>16681</v>
      </c>
      <c r="I6681" s="15" t="s">
        <v>2316</v>
      </c>
    </row>
    <row r="6682" spans="1:9" ht="51.75" customHeight="1" x14ac:dyDescent="0.35">
      <c r="A6682" s="15" t="s">
        <v>38451</v>
      </c>
      <c r="B6682" s="15" t="s">
        <v>40151</v>
      </c>
      <c r="C6682" s="15" t="s">
        <v>40152</v>
      </c>
      <c r="D6682" s="31">
        <v>44028</v>
      </c>
      <c r="E6682" s="15" t="s">
        <v>40153</v>
      </c>
      <c r="F6682" s="87" t="s">
        <v>21871</v>
      </c>
      <c r="G6682" s="45" t="s">
        <v>16680</v>
      </c>
      <c r="H6682" s="55" t="s">
        <v>16681</v>
      </c>
      <c r="I6682" s="15" t="s">
        <v>2316</v>
      </c>
    </row>
    <row r="6683" spans="1:9" ht="51.75" customHeight="1" x14ac:dyDescent="0.35">
      <c r="A6683" s="15" t="s">
        <v>38457</v>
      </c>
      <c r="B6683" s="15" t="s">
        <v>40154</v>
      </c>
      <c r="C6683" s="15" t="s">
        <v>40155</v>
      </c>
      <c r="D6683" s="31">
        <v>44028</v>
      </c>
      <c r="E6683" s="15" t="s">
        <v>40156</v>
      </c>
      <c r="F6683" s="87" t="s">
        <v>21871</v>
      </c>
      <c r="G6683" s="45" t="s">
        <v>16680</v>
      </c>
      <c r="H6683" s="55" t="s">
        <v>16681</v>
      </c>
      <c r="I6683" s="15" t="s">
        <v>2316</v>
      </c>
    </row>
    <row r="6684" spans="1:9" ht="51.75" customHeight="1" x14ac:dyDescent="0.35">
      <c r="A6684" s="15" t="s">
        <v>33936</v>
      </c>
      <c r="B6684" s="15" t="s">
        <v>40157</v>
      </c>
      <c r="C6684" s="15" t="s">
        <v>40158</v>
      </c>
      <c r="D6684" s="31">
        <v>44001</v>
      </c>
      <c r="E6684" s="15" t="s">
        <v>40159</v>
      </c>
      <c r="F6684" s="87" t="s">
        <v>21871</v>
      </c>
      <c r="G6684" s="45" t="s">
        <v>16705</v>
      </c>
      <c r="H6684" s="55" t="s">
        <v>16706</v>
      </c>
      <c r="I6684" s="15" t="s">
        <v>2316</v>
      </c>
    </row>
    <row r="6685" spans="1:9" ht="51.75" customHeight="1" x14ac:dyDescent="0.35">
      <c r="A6685" s="15" t="s">
        <v>25619</v>
      </c>
      <c r="B6685" s="15" t="s">
        <v>40160</v>
      </c>
      <c r="C6685" s="15" t="s">
        <v>40161</v>
      </c>
      <c r="D6685" s="31">
        <v>44001</v>
      </c>
      <c r="E6685" s="15" t="s">
        <v>40162</v>
      </c>
      <c r="F6685" s="87" t="s">
        <v>21871</v>
      </c>
      <c r="G6685" s="45" t="s">
        <v>16705</v>
      </c>
      <c r="H6685" s="55" t="s">
        <v>16706</v>
      </c>
      <c r="I6685" s="15" t="s">
        <v>2316</v>
      </c>
    </row>
    <row r="6686" spans="1:9" ht="51.75" customHeight="1" x14ac:dyDescent="0.35">
      <c r="A6686" s="15" t="s">
        <v>34021</v>
      </c>
      <c r="B6686" s="15" t="s">
        <v>40163</v>
      </c>
      <c r="C6686" s="15" t="s">
        <v>40164</v>
      </c>
      <c r="D6686" s="31">
        <v>44001</v>
      </c>
      <c r="E6686" s="15" t="s">
        <v>40165</v>
      </c>
      <c r="F6686" s="87" t="s">
        <v>21871</v>
      </c>
      <c r="G6686" s="45" t="s">
        <v>16705</v>
      </c>
      <c r="H6686" s="55" t="s">
        <v>16706</v>
      </c>
      <c r="I6686" s="15" t="s">
        <v>2316</v>
      </c>
    </row>
    <row r="6687" spans="1:9" ht="51.75" customHeight="1" x14ac:dyDescent="0.35">
      <c r="A6687" s="15" t="s">
        <v>34025</v>
      </c>
      <c r="B6687" s="15" t="s">
        <v>40166</v>
      </c>
      <c r="C6687" s="15" t="s">
        <v>40167</v>
      </c>
      <c r="D6687" s="31">
        <v>44001</v>
      </c>
      <c r="E6687" s="15" t="s">
        <v>40168</v>
      </c>
      <c r="F6687" s="87" t="s">
        <v>21871</v>
      </c>
      <c r="G6687" s="45" t="s">
        <v>16705</v>
      </c>
      <c r="H6687" s="55" t="s">
        <v>16706</v>
      </c>
      <c r="I6687" s="15" t="s">
        <v>2316</v>
      </c>
    </row>
    <row r="6688" spans="1:9" ht="51.75" customHeight="1" x14ac:dyDescent="0.35">
      <c r="A6688" s="15" t="s">
        <v>34029</v>
      </c>
      <c r="B6688" s="15" t="s">
        <v>40169</v>
      </c>
      <c r="C6688" s="15" t="s">
        <v>40170</v>
      </c>
      <c r="D6688" s="31">
        <v>44001</v>
      </c>
      <c r="E6688" s="15" t="s">
        <v>40171</v>
      </c>
      <c r="F6688" s="87" t="s">
        <v>21871</v>
      </c>
      <c r="G6688" s="45" t="s">
        <v>16705</v>
      </c>
      <c r="H6688" s="55" t="s">
        <v>16706</v>
      </c>
      <c r="I6688" s="15" t="s">
        <v>2316</v>
      </c>
    </row>
    <row r="6689" spans="1:9" ht="51.75" customHeight="1" x14ac:dyDescent="0.35">
      <c r="A6689" s="15" t="s">
        <v>40172</v>
      </c>
      <c r="B6689" s="15" t="s">
        <v>40173</v>
      </c>
      <c r="C6689" s="15" t="s">
        <v>40174</v>
      </c>
      <c r="D6689" s="31">
        <v>44062</v>
      </c>
      <c r="E6689" s="15" t="s">
        <v>40175</v>
      </c>
      <c r="F6689" s="87" t="s">
        <v>21871</v>
      </c>
      <c r="G6689" s="45" t="s">
        <v>16723</v>
      </c>
      <c r="H6689" s="55" t="s">
        <v>16724</v>
      </c>
      <c r="I6689" s="15" t="s">
        <v>2316</v>
      </c>
    </row>
    <row r="6690" spans="1:9" ht="51.75" customHeight="1" x14ac:dyDescent="0.35">
      <c r="A6690" s="15" t="s">
        <v>40024</v>
      </c>
      <c r="B6690" s="15" t="s">
        <v>40176</v>
      </c>
      <c r="C6690" s="15" t="s">
        <v>40177</v>
      </c>
      <c r="D6690" s="31">
        <v>44062</v>
      </c>
      <c r="E6690" s="15" t="s">
        <v>40178</v>
      </c>
      <c r="F6690" s="87" t="s">
        <v>21871</v>
      </c>
      <c r="G6690" s="45" t="s">
        <v>16723</v>
      </c>
      <c r="H6690" s="55" t="s">
        <v>16724</v>
      </c>
      <c r="I6690" s="15" t="s">
        <v>2316</v>
      </c>
    </row>
    <row r="6691" spans="1:9" ht="51.75" customHeight="1" x14ac:dyDescent="0.35">
      <c r="A6691" s="15" t="s">
        <v>40028</v>
      </c>
      <c r="B6691" s="15" t="s">
        <v>40179</v>
      </c>
      <c r="C6691" s="15" t="s">
        <v>40180</v>
      </c>
      <c r="D6691" s="31">
        <v>44062</v>
      </c>
      <c r="E6691" s="15" t="s">
        <v>40181</v>
      </c>
      <c r="F6691" s="87" t="s">
        <v>21871</v>
      </c>
      <c r="G6691" s="45" t="s">
        <v>16723</v>
      </c>
      <c r="H6691" s="55" t="s">
        <v>16724</v>
      </c>
      <c r="I6691" s="15" t="s">
        <v>2316</v>
      </c>
    </row>
    <row r="6692" spans="1:9" ht="51.75" customHeight="1" x14ac:dyDescent="0.35">
      <c r="A6692" s="15" t="s">
        <v>40032</v>
      </c>
      <c r="B6692" s="15" t="s">
        <v>40182</v>
      </c>
      <c r="C6692" s="15" t="s">
        <v>40183</v>
      </c>
      <c r="D6692" s="31">
        <v>44062</v>
      </c>
      <c r="E6692" s="15" t="s">
        <v>40184</v>
      </c>
      <c r="F6692" s="87" t="s">
        <v>21871</v>
      </c>
      <c r="G6692" s="45" t="s">
        <v>16723</v>
      </c>
      <c r="H6692" s="55" t="s">
        <v>16724</v>
      </c>
      <c r="I6692" s="15" t="s">
        <v>2316</v>
      </c>
    </row>
    <row r="6693" spans="1:9" ht="51.75" customHeight="1" x14ac:dyDescent="0.35">
      <c r="A6693" s="15" t="s">
        <v>40036</v>
      </c>
      <c r="B6693" s="15" t="s">
        <v>40185</v>
      </c>
      <c r="C6693" s="15" t="s">
        <v>40186</v>
      </c>
      <c r="D6693" s="31">
        <v>44062</v>
      </c>
      <c r="E6693" s="15" t="s">
        <v>40187</v>
      </c>
      <c r="F6693" s="87" t="s">
        <v>21871</v>
      </c>
      <c r="G6693" s="45" t="s">
        <v>16723</v>
      </c>
      <c r="H6693" s="55" t="s">
        <v>16724</v>
      </c>
      <c r="I6693" s="15" t="s">
        <v>2316</v>
      </c>
    </row>
    <row r="6694" spans="1:9" ht="51.75" customHeight="1" x14ac:dyDescent="0.35">
      <c r="A6694" s="15" t="s">
        <v>40188</v>
      </c>
      <c r="B6694" s="15" t="s">
        <v>40189</v>
      </c>
      <c r="C6694" s="15" t="s">
        <v>40190</v>
      </c>
      <c r="D6694" s="31">
        <v>44062</v>
      </c>
      <c r="E6694" s="15" t="s">
        <v>40191</v>
      </c>
      <c r="F6694" s="87" t="s">
        <v>21871</v>
      </c>
      <c r="G6694" s="45" t="s">
        <v>16723</v>
      </c>
      <c r="H6694" s="55" t="s">
        <v>16724</v>
      </c>
      <c r="I6694" s="15" t="s">
        <v>2316</v>
      </c>
    </row>
    <row r="6695" spans="1:9" ht="51.75" customHeight="1" x14ac:dyDescent="0.35">
      <c r="A6695" s="15" t="s">
        <v>40040</v>
      </c>
      <c r="B6695" s="15" t="s">
        <v>40192</v>
      </c>
      <c r="C6695" s="15" t="s">
        <v>40193</v>
      </c>
      <c r="D6695" s="31">
        <v>44062</v>
      </c>
      <c r="E6695" s="15" t="s">
        <v>40194</v>
      </c>
      <c r="F6695" s="87" t="s">
        <v>21871</v>
      </c>
      <c r="G6695" s="45" t="s">
        <v>16723</v>
      </c>
      <c r="H6695" s="55" t="s">
        <v>16724</v>
      </c>
      <c r="I6695" s="15" t="s">
        <v>2316</v>
      </c>
    </row>
    <row r="6696" spans="1:9" ht="51.75" customHeight="1" x14ac:dyDescent="0.35">
      <c r="A6696" s="15" t="s">
        <v>40195</v>
      </c>
      <c r="B6696" s="15" t="s">
        <v>40196</v>
      </c>
      <c r="C6696" s="15" t="s">
        <v>40197</v>
      </c>
      <c r="D6696" s="31">
        <v>44062</v>
      </c>
      <c r="E6696" s="15" t="s">
        <v>40198</v>
      </c>
      <c r="F6696" s="87" t="s">
        <v>21871</v>
      </c>
      <c r="G6696" s="45" t="s">
        <v>17393</v>
      </c>
      <c r="H6696" s="55" t="s">
        <v>17394</v>
      </c>
      <c r="I6696" s="15" t="s">
        <v>2316</v>
      </c>
    </row>
    <row r="6697" spans="1:9" ht="51.75" customHeight="1" x14ac:dyDescent="0.35">
      <c r="A6697" s="15" t="s">
        <v>37425</v>
      </c>
      <c r="B6697" s="15" t="s">
        <v>40199</v>
      </c>
      <c r="C6697" s="15" t="s">
        <v>40200</v>
      </c>
      <c r="D6697" s="31">
        <v>44062</v>
      </c>
      <c r="E6697" s="15" t="s">
        <v>40201</v>
      </c>
      <c r="F6697" s="87" t="s">
        <v>21871</v>
      </c>
      <c r="G6697" s="45" t="s">
        <v>17393</v>
      </c>
      <c r="H6697" s="55" t="s">
        <v>17394</v>
      </c>
      <c r="I6697" s="15" t="s">
        <v>2316</v>
      </c>
    </row>
    <row r="6698" spans="1:9" ht="51.75" customHeight="1" x14ac:dyDescent="0.35">
      <c r="A6698" s="15" t="s">
        <v>37431</v>
      </c>
      <c r="B6698" s="15" t="s">
        <v>40202</v>
      </c>
      <c r="C6698" s="15" t="s">
        <v>40203</v>
      </c>
      <c r="D6698" s="31">
        <v>44062</v>
      </c>
      <c r="E6698" s="15" t="s">
        <v>40204</v>
      </c>
      <c r="F6698" s="87" t="s">
        <v>21871</v>
      </c>
      <c r="G6698" s="45" t="s">
        <v>17393</v>
      </c>
      <c r="H6698" s="55" t="s">
        <v>17394</v>
      </c>
      <c r="I6698" s="15" t="s">
        <v>2316</v>
      </c>
    </row>
    <row r="6699" spans="1:9" ht="51.75" customHeight="1" x14ac:dyDescent="0.35">
      <c r="A6699" s="15" t="s">
        <v>40205</v>
      </c>
      <c r="B6699" s="15" t="s">
        <v>40206</v>
      </c>
      <c r="C6699" s="15" t="s">
        <v>40207</v>
      </c>
      <c r="D6699" s="31">
        <v>44062</v>
      </c>
      <c r="E6699" s="15" t="s">
        <v>40208</v>
      </c>
      <c r="F6699" s="87" t="s">
        <v>21871</v>
      </c>
      <c r="G6699" s="45" t="s">
        <v>17393</v>
      </c>
      <c r="H6699" s="55" t="s">
        <v>17394</v>
      </c>
      <c r="I6699" s="15" t="s">
        <v>2316</v>
      </c>
    </row>
    <row r="6700" spans="1:9" ht="51.75" customHeight="1" x14ac:dyDescent="0.35">
      <c r="A6700" s="15" t="s">
        <v>40209</v>
      </c>
      <c r="B6700" s="15" t="s">
        <v>40210</v>
      </c>
      <c r="C6700" s="15" t="s">
        <v>40048</v>
      </c>
      <c r="D6700" s="31">
        <v>44062</v>
      </c>
      <c r="E6700" s="15" t="s">
        <v>40211</v>
      </c>
      <c r="F6700" s="87" t="s">
        <v>21871</v>
      </c>
      <c r="G6700" s="45" t="s">
        <v>17393</v>
      </c>
      <c r="H6700" s="55" t="s">
        <v>17394</v>
      </c>
      <c r="I6700" s="15" t="s">
        <v>2316</v>
      </c>
    </row>
    <row r="6701" spans="1:9" ht="51.75" customHeight="1" x14ac:dyDescent="0.35">
      <c r="A6701" s="15" t="s">
        <v>37442</v>
      </c>
      <c r="B6701" s="15" t="s">
        <v>40212</v>
      </c>
      <c r="C6701" s="15" t="s">
        <v>40213</v>
      </c>
      <c r="D6701" s="31">
        <v>44062</v>
      </c>
      <c r="E6701" s="15" t="s">
        <v>40214</v>
      </c>
      <c r="F6701" s="87" t="s">
        <v>21871</v>
      </c>
      <c r="G6701" s="45" t="s">
        <v>17393</v>
      </c>
      <c r="H6701" s="55" t="s">
        <v>17394</v>
      </c>
      <c r="I6701" s="15" t="s">
        <v>2316</v>
      </c>
    </row>
    <row r="6702" spans="1:9" ht="51.75" customHeight="1" x14ac:dyDescent="0.35">
      <c r="A6702" s="15" t="s">
        <v>37452</v>
      </c>
      <c r="B6702" s="15" t="s">
        <v>40215</v>
      </c>
      <c r="C6702" s="15" t="s">
        <v>40216</v>
      </c>
      <c r="D6702" s="31">
        <v>44062</v>
      </c>
      <c r="E6702" s="15" t="s">
        <v>40217</v>
      </c>
      <c r="F6702" s="87" t="s">
        <v>21871</v>
      </c>
      <c r="G6702" s="45" t="s">
        <v>17393</v>
      </c>
      <c r="H6702" s="55" t="s">
        <v>17394</v>
      </c>
      <c r="I6702" s="15" t="s">
        <v>2316</v>
      </c>
    </row>
    <row r="6703" spans="1:9" ht="51.75" customHeight="1" x14ac:dyDescent="0.35">
      <c r="A6703" s="15" t="s">
        <v>40218</v>
      </c>
      <c r="B6703" s="15" t="s">
        <v>40219</v>
      </c>
      <c r="C6703" s="15" t="s">
        <v>40220</v>
      </c>
      <c r="D6703" s="31">
        <v>44062</v>
      </c>
      <c r="E6703" s="15" t="s">
        <v>40221</v>
      </c>
      <c r="F6703" s="87" t="s">
        <v>21871</v>
      </c>
      <c r="G6703" s="45" t="s">
        <v>17393</v>
      </c>
      <c r="H6703" s="55" t="s">
        <v>17394</v>
      </c>
      <c r="I6703" s="15" t="s">
        <v>2316</v>
      </c>
    </row>
    <row r="6704" spans="1:9" ht="51.75" customHeight="1" x14ac:dyDescent="0.35">
      <c r="A6704" s="15"/>
      <c r="B6704" s="15" t="s">
        <v>40222</v>
      </c>
      <c r="C6704" s="15" t="s">
        <v>40223</v>
      </c>
      <c r="D6704" s="28">
        <v>44278</v>
      </c>
      <c r="E6704" s="15" t="s">
        <v>40224</v>
      </c>
      <c r="F6704" s="87" t="s">
        <v>21871</v>
      </c>
      <c r="G6704" s="45" t="s">
        <v>18277</v>
      </c>
      <c r="H6704" s="55" t="s">
        <v>18278</v>
      </c>
      <c r="I6704" s="15" t="s">
        <v>2316</v>
      </c>
    </row>
    <row r="6705" spans="1:9" ht="51.75" customHeight="1" x14ac:dyDescent="0.35">
      <c r="A6705" s="15"/>
      <c r="B6705" s="15" t="s">
        <v>40225</v>
      </c>
      <c r="C6705" s="15" t="s">
        <v>40071</v>
      </c>
      <c r="D6705" s="28">
        <v>44278</v>
      </c>
      <c r="E6705" s="15" t="s">
        <v>40226</v>
      </c>
      <c r="F6705" s="87" t="s">
        <v>21871</v>
      </c>
      <c r="G6705" s="45" t="s">
        <v>18277</v>
      </c>
      <c r="H6705" s="55" t="s">
        <v>18278</v>
      </c>
      <c r="I6705" s="15" t="s">
        <v>2316</v>
      </c>
    </row>
    <row r="6706" spans="1:9" ht="51.75" customHeight="1" x14ac:dyDescent="0.35">
      <c r="A6706" s="15"/>
      <c r="B6706" s="15" t="s">
        <v>40227</v>
      </c>
      <c r="C6706" s="15" t="s">
        <v>40228</v>
      </c>
      <c r="D6706" s="28">
        <v>44278</v>
      </c>
      <c r="E6706" s="15" t="s">
        <v>40229</v>
      </c>
      <c r="F6706" s="87" t="s">
        <v>21871</v>
      </c>
      <c r="G6706" s="45" t="s">
        <v>18277</v>
      </c>
      <c r="H6706" s="55" t="s">
        <v>18278</v>
      </c>
      <c r="I6706" s="15" t="s">
        <v>2316</v>
      </c>
    </row>
    <row r="6707" spans="1:9" ht="51.75" customHeight="1" x14ac:dyDescent="0.35">
      <c r="A6707" s="15"/>
      <c r="B6707" s="15" t="s">
        <v>40230</v>
      </c>
      <c r="C6707" s="15" t="s">
        <v>40231</v>
      </c>
      <c r="D6707" s="28">
        <v>44278</v>
      </c>
      <c r="E6707" s="15" t="s">
        <v>40232</v>
      </c>
      <c r="F6707" s="87" t="s">
        <v>21871</v>
      </c>
      <c r="G6707" s="45" t="s">
        <v>18277</v>
      </c>
      <c r="H6707" s="55" t="s">
        <v>18278</v>
      </c>
      <c r="I6707" s="15" t="s">
        <v>2316</v>
      </c>
    </row>
    <row r="6708" spans="1:9" ht="51.75" customHeight="1" x14ac:dyDescent="0.35">
      <c r="A6708" s="15"/>
      <c r="B6708" s="15" t="s">
        <v>40233</v>
      </c>
      <c r="C6708" s="15" t="s">
        <v>40234</v>
      </c>
      <c r="D6708" s="28">
        <v>44278</v>
      </c>
      <c r="E6708" s="15" t="s">
        <v>40235</v>
      </c>
      <c r="F6708" s="87" t="s">
        <v>21871</v>
      </c>
      <c r="G6708" s="45" t="s">
        <v>18277</v>
      </c>
      <c r="H6708" s="55" t="s">
        <v>18278</v>
      </c>
      <c r="I6708" s="15" t="s">
        <v>2316</v>
      </c>
    </row>
    <row r="6709" spans="1:9" ht="51.75" customHeight="1" x14ac:dyDescent="0.35">
      <c r="A6709" s="15"/>
      <c r="B6709" s="15" t="s">
        <v>40236</v>
      </c>
      <c r="C6709" s="15" t="s">
        <v>40237</v>
      </c>
      <c r="D6709" s="28">
        <v>44278</v>
      </c>
      <c r="E6709" s="15" t="s">
        <v>40238</v>
      </c>
      <c r="F6709" s="87" t="s">
        <v>21871</v>
      </c>
      <c r="G6709" s="45" t="s">
        <v>18277</v>
      </c>
      <c r="H6709" s="55" t="s">
        <v>18278</v>
      </c>
      <c r="I6709" s="15" t="s">
        <v>2316</v>
      </c>
    </row>
    <row r="6710" spans="1:9" ht="51.75" customHeight="1" x14ac:dyDescent="0.35">
      <c r="A6710" s="15"/>
      <c r="B6710" s="15" t="s">
        <v>40239</v>
      </c>
      <c r="C6710" s="15" t="s">
        <v>40240</v>
      </c>
      <c r="D6710" s="28">
        <v>44278</v>
      </c>
      <c r="E6710" s="15" t="s">
        <v>40241</v>
      </c>
      <c r="F6710" s="87" t="s">
        <v>21871</v>
      </c>
      <c r="G6710" s="45" t="s">
        <v>18277</v>
      </c>
      <c r="H6710" s="55" t="s">
        <v>18278</v>
      </c>
      <c r="I6710" s="15" t="s">
        <v>2316</v>
      </c>
    </row>
    <row r="6711" spans="1:9" ht="51.75" customHeight="1" x14ac:dyDescent="0.35">
      <c r="A6711" s="15"/>
      <c r="B6711" s="15" t="s">
        <v>40242</v>
      </c>
      <c r="C6711" s="15" t="s">
        <v>40243</v>
      </c>
      <c r="D6711" s="28">
        <v>44278</v>
      </c>
      <c r="E6711" s="15" t="s">
        <v>40244</v>
      </c>
      <c r="F6711" s="87" t="s">
        <v>21871</v>
      </c>
      <c r="G6711" s="45" t="s">
        <v>18277</v>
      </c>
      <c r="H6711" s="55" t="s">
        <v>18278</v>
      </c>
      <c r="I6711" s="15" t="s">
        <v>2316</v>
      </c>
    </row>
    <row r="6712" spans="1:9" ht="51.75" customHeight="1" x14ac:dyDescent="0.35">
      <c r="A6712" s="15"/>
      <c r="B6712" s="15" t="s">
        <v>40245</v>
      </c>
      <c r="C6712" s="15" t="s">
        <v>40246</v>
      </c>
      <c r="D6712" s="28">
        <v>44278</v>
      </c>
      <c r="E6712" s="15" t="s">
        <v>40247</v>
      </c>
      <c r="F6712" s="87" t="s">
        <v>21871</v>
      </c>
      <c r="G6712" s="45" t="s">
        <v>18277</v>
      </c>
      <c r="H6712" s="55" t="s">
        <v>18278</v>
      </c>
      <c r="I6712" s="15" t="s">
        <v>2316</v>
      </c>
    </row>
    <row r="6713" spans="1:9" ht="51.75" customHeight="1" x14ac:dyDescent="0.35">
      <c r="A6713" s="15"/>
      <c r="B6713" s="15" t="s">
        <v>40248</v>
      </c>
      <c r="C6713" s="15" t="s">
        <v>40249</v>
      </c>
      <c r="D6713" s="28">
        <v>44278</v>
      </c>
      <c r="E6713" s="15" t="s">
        <v>40250</v>
      </c>
      <c r="F6713" s="87" t="s">
        <v>21871</v>
      </c>
      <c r="G6713" s="45" t="s">
        <v>18277</v>
      </c>
      <c r="H6713" s="55" t="s">
        <v>18278</v>
      </c>
      <c r="I6713" s="15" t="s">
        <v>2316</v>
      </c>
    </row>
    <row r="6714" spans="1:9" ht="51.75" customHeight="1" x14ac:dyDescent="0.35">
      <c r="A6714" s="15"/>
      <c r="B6714" s="15" t="s">
        <v>40251</v>
      </c>
      <c r="C6714" s="15" t="s">
        <v>40252</v>
      </c>
      <c r="D6714" s="28">
        <v>44278</v>
      </c>
      <c r="E6714" s="15" t="s">
        <v>40253</v>
      </c>
      <c r="F6714" s="87" t="s">
        <v>21871</v>
      </c>
      <c r="G6714" s="45" t="s">
        <v>18277</v>
      </c>
      <c r="H6714" s="55" t="s">
        <v>18278</v>
      </c>
      <c r="I6714" s="15" t="s">
        <v>2316</v>
      </c>
    </row>
    <row r="6715" spans="1:9" ht="51.75" customHeight="1" x14ac:dyDescent="0.35">
      <c r="A6715" s="15"/>
      <c r="B6715" s="15" t="s">
        <v>40254</v>
      </c>
      <c r="C6715" s="15" t="s">
        <v>40255</v>
      </c>
      <c r="D6715" s="28">
        <v>44253</v>
      </c>
      <c r="E6715" s="15" t="s">
        <v>40256</v>
      </c>
      <c r="F6715" s="87" t="s">
        <v>21871</v>
      </c>
      <c r="G6715" s="45" t="s">
        <v>17526</v>
      </c>
      <c r="H6715" s="54" t="s">
        <v>17527</v>
      </c>
      <c r="I6715" s="15" t="s">
        <v>2316</v>
      </c>
    </row>
    <row r="6716" spans="1:9" ht="51.75" customHeight="1" x14ac:dyDescent="0.35">
      <c r="A6716" s="15"/>
      <c r="B6716" s="15" t="s">
        <v>40257</v>
      </c>
      <c r="C6716" s="15" t="s">
        <v>40258</v>
      </c>
      <c r="D6716" s="28">
        <v>44253</v>
      </c>
      <c r="E6716" s="15" t="s">
        <v>40259</v>
      </c>
      <c r="F6716" s="87" t="s">
        <v>21871</v>
      </c>
      <c r="G6716" s="45" t="s">
        <v>17526</v>
      </c>
      <c r="H6716" s="54" t="s">
        <v>17527</v>
      </c>
      <c r="I6716" s="15" t="s">
        <v>2316</v>
      </c>
    </row>
    <row r="6717" spans="1:9" ht="51.75" customHeight="1" x14ac:dyDescent="0.35">
      <c r="A6717" s="15"/>
      <c r="B6717" s="15" t="s">
        <v>40260</v>
      </c>
      <c r="C6717" s="15" t="s">
        <v>40261</v>
      </c>
      <c r="D6717" s="28">
        <v>44253</v>
      </c>
      <c r="E6717" s="15" t="s">
        <v>40262</v>
      </c>
      <c r="F6717" s="87" t="s">
        <v>21871</v>
      </c>
      <c r="G6717" s="45" t="s">
        <v>17526</v>
      </c>
      <c r="H6717" s="54" t="s">
        <v>17527</v>
      </c>
      <c r="I6717" s="15" t="s">
        <v>2316</v>
      </c>
    </row>
    <row r="6718" spans="1:9" ht="51.75" customHeight="1" x14ac:dyDescent="0.35">
      <c r="A6718" s="15"/>
      <c r="B6718" s="15" t="s">
        <v>40263</v>
      </c>
      <c r="C6718" s="15" t="s">
        <v>40264</v>
      </c>
      <c r="D6718" s="28">
        <v>44253</v>
      </c>
      <c r="E6718" s="15" t="s">
        <v>40265</v>
      </c>
      <c r="F6718" s="87" t="s">
        <v>21871</v>
      </c>
      <c r="G6718" s="45" t="s">
        <v>17526</v>
      </c>
      <c r="H6718" s="54" t="s">
        <v>17527</v>
      </c>
      <c r="I6718" s="15" t="s">
        <v>2316</v>
      </c>
    </row>
    <row r="6719" spans="1:9" ht="51.75" customHeight="1" x14ac:dyDescent="0.35">
      <c r="A6719" s="15"/>
      <c r="B6719" s="15" t="s">
        <v>40266</v>
      </c>
      <c r="C6719" s="15" t="s">
        <v>40267</v>
      </c>
      <c r="D6719" s="28">
        <v>44253</v>
      </c>
      <c r="E6719" s="15" t="s">
        <v>40268</v>
      </c>
      <c r="F6719" s="87" t="s">
        <v>21871</v>
      </c>
      <c r="G6719" s="45" t="s">
        <v>17526</v>
      </c>
      <c r="H6719" s="54" t="s">
        <v>17527</v>
      </c>
      <c r="I6719" s="15" t="s">
        <v>2316</v>
      </c>
    </row>
    <row r="6720" spans="1:9" ht="51.75" customHeight="1" x14ac:dyDescent="0.35">
      <c r="A6720" s="15"/>
      <c r="B6720" s="15" t="s">
        <v>40269</v>
      </c>
      <c r="C6720" s="15" t="s">
        <v>40270</v>
      </c>
      <c r="D6720" s="28">
        <v>44253</v>
      </c>
      <c r="E6720" s="15" t="s">
        <v>40271</v>
      </c>
      <c r="F6720" s="87" t="s">
        <v>21871</v>
      </c>
      <c r="G6720" s="45" t="s">
        <v>17526</v>
      </c>
      <c r="H6720" s="54" t="s">
        <v>17527</v>
      </c>
      <c r="I6720" s="15" t="s">
        <v>2316</v>
      </c>
    </row>
    <row r="6721" spans="1:9" ht="51.75" customHeight="1" x14ac:dyDescent="0.35">
      <c r="A6721" s="15"/>
      <c r="B6721" s="15" t="s">
        <v>40272</v>
      </c>
      <c r="C6721" s="15" t="s">
        <v>40273</v>
      </c>
      <c r="D6721" s="28">
        <v>44253</v>
      </c>
      <c r="E6721" s="15" t="s">
        <v>40274</v>
      </c>
      <c r="F6721" s="87" t="s">
        <v>21871</v>
      </c>
      <c r="G6721" s="45" t="s">
        <v>17526</v>
      </c>
      <c r="H6721" s="54" t="s">
        <v>17527</v>
      </c>
      <c r="I6721" s="15" t="s">
        <v>2316</v>
      </c>
    </row>
    <row r="6722" spans="1:9" ht="51.75" customHeight="1" x14ac:dyDescent="0.35">
      <c r="A6722" s="15"/>
      <c r="B6722" s="15" t="s">
        <v>40275</v>
      </c>
      <c r="C6722" s="15" t="s">
        <v>40276</v>
      </c>
      <c r="D6722" s="28">
        <v>44103</v>
      </c>
      <c r="E6722" s="15" t="s">
        <v>40277</v>
      </c>
      <c r="F6722" s="87" t="s">
        <v>21871</v>
      </c>
      <c r="G6722" s="45" t="s">
        <v>17062</v>
      </c>
      <c r="H6722" s="54" t="s">
        <v>17063</v>
      </c>
      <c r="I6722" s="5" t="s">
        <v>2316</v>
      </c>
    </row>
    <row r="6723" spans="1:9" ht="51.75" customHeight="1" x14ac:dyDescent="0.35">
      <c r="A6723" s="15"/>
      <c r="B6723" s="15" t="s">
        <v>40278</v>
      </c>
      <c r="C6723" s="15" t="s">
        <v>40279</v>
      </c>
      <c r="D6723" s="28">
        <v>44103</v>
      </c>
      <c r="E6723" s="15" t="s">
        <v>40280</v>
      </c>
      <c r="F6723" s="87" t="s">
        <v>21871</v>
      </c>
      <c r="G6723" s="45" t="s">
        <v>17062</v>
      </c>
      <c r="H6723" s="54" t="s">
        <v>17063</v>
      </c>
      <c r="I6723" s="5" t="s">
        <v>2316</v>
      </c>
    </row>
    <row r="6724" spans="1:9" ht="51.75" customHeight="1" x14ac:dyDescent="0.35">
      <c r="A6724" s="15"/>
      <c r="B6724" s="15" t="s">
        <v>40281</v>
      </c>
      <c r="C6724" s="15" t="s">
        <v>40282</v>
      </c>
      <c r="D6724" s="28">
        <v>44103</v>
      </c>
      <c r="E6724" s="15" t="s">
        <v>40283</v>
      </c>
      <c r="F6724" s="87" t="s">
        <v>21871</v>
      </c>
      <c r="G6724" s="45" t="s">
        <v>17062</v>
      </c>
      <c r="H6724" s="54" t="s">
        <v>17063</v>
      </c>
      <c r="I6724" s="5" t="s">
        <v>2316</v>
      </c>
    </row>
    <row r="6725" spans="1:9" ht="51.75" customHeight="1" x14ac:dyDescent="0.35">
      <c r="A6725" s="15"/>
      <c r="B6725" s="15" t="s">
        <v>40284</v>
      </c>
      <c r="C6725" s="15" t="s">
        <v>40285</v>
      </c>
      <c r="D6725" s="28">
        <v>44103</v>
      </c>
      <c r="E6725" s="15" t="s">
        <v>40286</v>
      </c>
      <c r="F6725" s="87" t="s">
        <v>21871</v>
      </c>
      <c r="G6725" s="45" t="s">
        <v>17062</v>
      </c>
      <c r="H6725" s="54" t="s">
        <v>17063</v>
      </c>
      <c r="I6725" s="5" t="s">
        <v>2316</v>
      </c>
    </row>
    <row r="6726" spans="1:9" ht="51.75" customHeight="1" x14ac:dyDescent="0.35">
      <c r="A6726" s="15"/>
      <c r="B6726" s="15" t="s">
        <v>40287</v>
      </c>
      <c r="C6726" s="15" t="s">
        <v>40288</v>
      </c>
      <c r="D6726" s="28">
        <v>44103</v>
      </c>
      <c r="E6726" s="15" t="s">
        <v>40289</v>
      </c>
      <c r="F6726" s="87" t="s">
        <v>21871</v>
      </c>
      <c r="G6726" s="45" t="s">
        <v>17062</v>
      </c>
      <c r="H6726" s="54" t="s">
        <v>17063</v>
      </c>
      <c r="I6726" s="5" t="s">
        <v>2316</v>
      </c>
    </row>
    <row r="6727" spans="1:9" ht="51.75" customHeight="1" x14ac:dyDescent="0.35">
      <c r="A6727" s="15"/>
      <c r="B6727" s="15" t="s">
        <v>40290</v>
      </c>
      <c r="C6727" s="15" t="s">
        <v>40291</v>
      </c>
      <c r="D6727" s="28">
        <v>44103</v>
      </c>
      <c r="E6727" s="15" t="s">
        <v>40292</v>
      </c>
      <c r="F6727" s="87" t="s">
        <v>21871</v>
      </c>
      <c r="G6727" s="45" t="s">
        <v>17062</v>
      </c>
      <c r="H6727" s="54" t="s">
        <v>17063</v>
      </c>
      <c r="I6727" s="5" t="s">
        <v>2316</v>
      </c>
    </row>
    <row r="6728" spans="1:9" ht="51.75" customHeight="1" x14ac:dyDescent="0.35">
      <c r="A6728" s="15"/>
      <c r="B6728" s="15" t="s">
        <v>40293</v>
      </c>
      <c r="C6728" s="15" t="s">
        <v>40294</v>
      </c>
      <c r="D6728" s="28">
        <v>44103</v>
      </c>
      <c r="E6728" s="15" t="s">
        <v>40295</v>
      </c>
      <c r="F6728" s="87" t="s">
        <v>21871</v>
      </c>
      <c r="G6728" s="45" t="s">
        <v>17062</v>
      </c>
      <c r="H6728" s="54" t="s">
        <v>17063</v>
      </c>
      <c r="I6728" s="5" t="s">
        <v>2316</v>
      </c>
    </row>
    <row r="6729" spans="1:9" ht="51.75" customHeight="1" x14ac:dyDescent="0.35">
      <c r="A6729" s="15"/>
      <c r="B6729" s="15" t="s">
        <v>40296</v>
      </c>
      <c r="C6729" s="15" t="s">
        <v>40297</v>
      </c>
      <c r="D6729" s="28">
        <v>44174</v>
      </c>
      <c r="E6729" s="15" t="s">
        <v>40298</v>
      </c>
      <c r="F6729" s="87" t="s">
        <v>21871</v>
      </c>
      <c r="G6729" s="45" t="s">
        <v>17214</v>
      </c>
      <c r="H6729" s="54" t="s">
        <v>17215</v>
      </c>
      <c r="I6729" s="5" t="s">
        <v>2316</v>
      </c>
    </row>
    <row r="6730" spans="1:9" ht="51.75" customHeight="1" x14ac:dyDescent="0.35">
      <c r="A6730" s="15"/>
      <c r="B6730" s="15" t="s">
        <v>40299</v>
      </c>
      <c r="C6730" s="15" t="s">
        <v>40300</v>
      </c>
      <c r="D6730" s="28">
        <v>44174</v>
      </c>
      <c r="E6730" s="15" t="s">
        <v>40301</v>
      </c>
      <c r="F6730" s="87" t="s">
        <v>21871</v>
      </c>
      <c r="G6730" s="45" t="s">
        <v>17214</v>
      </c>
      <c r="H6730" s="54" t="s">
        <v>17215</v>
      </c>
      <c r="I6730" s="5" t="s">
        <v>2316</v>
      </c>
    </row>
    <row r="6731" spans="1:9" ht="51.75" customHeight="1" x14ac:dyDescent="0.35">
      <c r="A6731" s="15"/>
      <c r="B6731" s="15" t="s">
        <v>40302</v>
      </c>
      <c r="C6731" s="15" t="s">
        <v>40303</v>
      </c>
      <c r="D6731" s="28">
        <v>44174</v>
      </c>
      <c r="E6731" s="15" t="s">
        <v>40304</v>
      </c>
      <c r="F6731" s="87" t="s">
        <v>21871</v>
      </c>
      <c r="G6731" s="45" t="s">
        <v>17214</v>
      </c>
      <c r="H6731" s="54" t="s">
        <v>17215</v>
      </c>
      <c r="I6731" s="5" t="s">
        <v>2316</v>
      </c>
    </row>
    <row r="6732" spans="1:9" ht="51.75" customHeight="1" x14ac:dyDescent="0.35">
      <c r="A6732" s="15"/>
      <c r="B6732" s="15" t="s">
        <v>40305</v>
      </c>
      <c r="C6732" s="15" t="s">
        <v>40306</v>
      </c>
      <c r="D6732" s="28">
        <v>44174</v>
      </c>
      <c r="E6732" s="15" t="s">
        <v>40307</v>
      </c>
      <c r="F6732" s="87" t="s">
        <v>21871</v>
      </c>
      <c r="G6732" s="45" t="s">
        <v>17214</v>
      </c>
      <c r="H6732" s="54" t="s">
        <v>17215</v>
      </c>
      <c r="I6732" s="5" t="s">
        <v>2316</v>
      </c>
    </row>
    <row r="6733" spans="1:9" ht="51.75" customHeight="1" x14ac:dyDescent="0.35">
      <c r="A6733" s="15"/>
      <c r="B6733" s="15" t="s">
        <v>40308</v>
      </c>
      <c r="C6733" s="15" t="s">
        <v>40309</v>
      </c>
      <c r="D6733" s="28">
        <v>44174</v>
      </c>
      <c r="E6733" s="15" t="s">
        <v>40310</v>
      </c>
      <c r="F6733" s="87" t="s">
        <v>21871</v>
      </c>
      <c r="G6733" s="45" t="s">
        <v>17214</v>
      </c>
      <c r="H6733" s="54" t="s">
        <v>17215</v>
      </c>
      <c r="I6733" s="5" t="s">
        <v>2316</v>
      </c>
    </row>
    <row r="6734" spans="1:9" ht="51.75" customHeight="1" x14ac:dyDescent="0.35">
      <c r="A6734" s="15"/>
      <c r="B6734" s="15" t="s">
        <v>40311</v>
      </c>
      <c r="C6734" s="15" t="s">
        <v>40312</v>
      </c>
      <c r="D6734" s="28">
        <v>44174</v>
      </c>
      <c r="E6734" s="15" t="s">
        <v>40313</v>
      </c>
      <c r="F6734" s="87" t="s">
        <v>21871</v>
      </c>
      <c r="G6734" s="45" t="s">
        <v>17214</v>
      </c>
      <c r="H6734" s="54" t="s">
        <v>17215</v>
      </c>
      <c r="I6734" s="5" t="s">
        <v>2316</v>
      </c>
    </row>
    <row r="6735" spans="1:9" ht="51.75" customHeight="1" x14ac:dyDescent="0.35">
      <c r="A6735" s="15"/>
      <c r="B6735" s="15" t="s">
        <v>40314</v>
      </c>
      <c r="C6735" s="15" t="s">
        <v>40315</v>
      </c>
      <c r="D6735" s="28">
        <v>44174</v>
      </c>
      <c r="E6735" s="15" t="s">
        <v>40316</v>
      </c>
      <c r="F6735" s="87" t="s">
        <v>21871</v>
      </c>
      <c r="G6735" s="45" t="s">
        <v>17214</v>
      </c>
      <c r="H6735" s="54" t="s">
        <v>17215</v>
      </c>
      <c r="I6735" s="5" t="s">
        <v>2316</v>
      </c>
    </row>
    <row r="6736" spans="1:9" ht="51.75" customHeight="1" x14ac:dyDescent="0.35">
      <c r="A6736" s="15"/>
      <c r="B6736" s="15" t="s">
        <v>40317</v>
      </c>
      <c r="C6736" s="15" t="s">
        <v>40318</v>
      </c>
      <c r="D6736" s="28">
        <v>44174</v>
      </c>
      <c r="E6736" s="15" t="s">
        <v>40319</v>
      </c>
      <c r="F6736" s="87" t="s">
        <v>21871</v>
      </c>
      <c r="G6736" s="45" t="s">
        <v>17214</v>
      </c>
      <c r="H6736" s="54" t="s">
        <v>17215</v>
      </c>
      <c r="I6736" s="5" t="s">
        <v>2316</v>
      </c>
    </row>
    <row r="6737" spans="1:9" ht="51.75" customHeight="1" x14ac:dyDescent="0.35">
      <c r="A6737" s="15"/>
      <c r="B6737" s="15" t="s">
        <v>40320</v>
      </c>
      <c r="C6737" s="15" t="s">
        <v>40321</v>
      </c>
      <c r="D6737" s="28">
        <v>44174</v>
      </c>
      <c r="E6737" s="15" t="s">
        <v>40322</v>
      </c>
      <c r="F6737" s="87" t="s">
        <v>21871</v>
      </c>
      <c r="G6737" s="45" t="s">
        <v>17214</v>
      </c>
      <c r="H6737" s="54" t="s">
        <v>17215</v>
      </c>
      <c r="I6737" s="5" t="s">
        <v>2316</v>
      </c>
    </row>
    <row r="6738" spans="1:9" ht="51.75" customHeight="1" x14ac:dyDescent="0.35">
      <c r="A6738" s="15"/>
      <c r="B6738" s="15" t="s">
        <v>40323</v>
      </c>
      <c r="C6738" s="15" t="s">
        <v>40324</v>
      </c>
      <c r="D6738" s="28">
        <v>44174</v>
      </c>
      <c r="E6738" s="15" t="s">
        <v>40325</v>
      </c>
      <c r="F6738" s="87" t="s">
        <v>21871</v>
      </c>
      <c r="G6738" s="45" t="s">
        <v>17214</v>
      </c>
      <c r="H6738" s="54" t="s">
        <v>17215</v>
      </c>
      <c r="I6738" s="5" t="s">
        <v>2316</v>
      </c>
    </row>
    <row r="6739" spans="1:9" ht="51.75" customHeight="1" x14ac:dyDescent="0.35">
      <c r="A6739" s="15"/>
      <c r="B6739" s="15" t="s">
        <v>40326</v>
      </c>
      <c r="C6739" s="15" t="s">
        <v>40327</v>
      </c>
      <c r="D6739" s="28">
        <v>44175</v>
      </c>
      <c r="E6739" s="15" t="s">
        <v>40328</v>
      </c>
      <c r="F6739" s="87" t="s">
        <v>21871</v>
      </c>
      <c r="G6739" s="45" t="s">
        <v>17689</v>
      </c>
      <c r="H6739" s="54" t="s">
        <v>17690</v>
      </c>
      <c r="I6739" s="5" t="s">
        <v>2316</v>
      </c>
    </row>
    <row r="6740" spans="1:9" ht="51.75" customHeight="1" x14ac:dyDescent="0.35">
      <c r="A6740" s="15"/>
      <c r="B6740" s="15" t="s">
        <v>40329</v>
      </c>
      <c r="C6740" s="15" t="s">
        <v>40330</v>
      </c>
      <c r="D6740" s="28">
        <v>44175</v>
      </c>
      <c r="E6740" s="15" t="s">
        <v>40331</v>
      </c>
      <c r="F6740" s="87" t="s">
        <v>21871</v>
      </c>
      <c r="G6740" s="45" t="s">
        <v>17689</v>
      </c>
      <c r="H6740" s="54" t="s">
        <v>17690</v>
      </c>
      <c r="I6740" s="5" t="s">
        <v>2316</v>
      </c>
    </row>
    <row r="6741" spans="1:9" ht="51.75" customHeight="1" x14ac:dyDescent="0.35">
      <c r="A6741" s="15"/>
      <c r="B6741" s="15" t="s">
        <v>40332</v>
      </c>
      <c r="C6741" s="15" t="s">
        <v>40333</v>
      </c>
      <c r="D6741" s="28">
        <v>44175</v>
      </c>
      <c r="E6741" s="15" t="s">
        <v>40334</v>
      </c>
      <c r="F6741" s="87" t="s">
        <v>21871</v>
      </c>
      <c r="G6741" s="45" t="s">
        <v>17689</v>
      </c>
      <c r="H6741" s="54" t="s">
        <v>17690</v>
      </c>
      <c r="I6741" s="5" t="s">
        <v>2316</v>
      </c>
    </row>
    <row r="6742" spans="1:9" ht="51.75" customHeight="1" x14ac:dyDescent="0.35">
      <c r="A6742" s="15"/>
      <c r="B6742" s="15" t="s">
        <v>40335</v>
      </c>
      <c r="C6742" s="15" t="s">
        <v>40336</v>
      </c>
      <c r="D6742" s="28">
        <v>44175</v>
      </c>
      <c r="E6742" s="15" t="s">
        <v>40337</v>
      </c>
      <c r="F6742" s="87" t="s">
        <v>21871</v>
      </c>
      <c r="G6742" s="45" t="s">
        <v>17689</v>
      </c>
      <c r="H6742" s="54" t="s">
        <v>17690</v>
      </c>
      <c r="I6742" s="5" t="s">
        <v>2316</v>
      </c>
    </row>
    <row r="6743" spans="1:9" ht="51.75" customHeight="1" x14ac:dyDescent="0.35">
      <c r="A6743" s="15"/>
      <c r="B6743" s="15" t="s">
        <v>40338</v>
      </c>
      <c r="C6743" s="15" t="s">
        <v>40339</v>
      </c>
      <c r="D6743" s="28">
        <v>44175</v>
      </c>
      <c r="E6743" s="15" t="s">
        <v>40340</v>
      </c>
      <c r="F6743" s="87" t="s">
        <v>21871</v>
      </c>
      <c r="G6743" s="45" t="s">
        <v>17689</v>
      </c>
      <c r="H6743" s="54" t="s">
        <v>17690</v>
      </c>
      <c r="I6743" s="5" t="s">
        <v>2316</v>
      </c>
    </row>
    <row r="6744" spans="1:9" ht="51.75" customHeight="1" x14ac:dyDescent="0.35">
      <c r="A6744" s="15"/>
      <c r="B6744" s="15" t="s">
        <v>40341</v>
      </c>
      <c r="C6744" s="15" t="s">
        <v>40342</v>
      </c>
      <c r="D6744" s="28">
        <v>44175</v>
      </c>
      <c r="E6744" s="15" t="s">
        <v>40343</v>
      </c>
      <c r="F6744" s="87" t="s">
        <v>21871</v>
      </c>
      <c r="G6744" s="45" t="s">
        <v>17689</v>
      </c>
      <c r="H6744" s="54" t="s">
        <v>17690</v>
      </c>
      <c r="I6744" s="5" t="s">
        <v>2316</v>
      </c>
    </row>
    <row r="6745" spans="1:9" ht="51.75" customHeight="1" x14ac:dyDescent="0.35">
      <c r="A6745" s="15"/>
      <c r="B6745" s="15" t="s">
        <v>40344</v>
      </c>
      <c r="C6745" s="15" t="s">
        <v>40345</v>
      </c>
      <c r="D6745" s="28">
        <v>44315</v>
      </c>
      <c r="E6745" s="15" t="s">
        <v>40346</v>
      </c>
      <c r="F6745" s="87" t="s">
        <v>21871</v>
      </c>
      <c r="G6745" s="45" t="s">
        <v>18113</v>
      </c>
      <c r="H6745" s="54" t="s">
        <v>18114</v>
      </c>
      <c r="I6745" s="5" t="s">
        <v>2316</v>
      </c>
    </row>
    <row r="6746" spans="1:9" ht="51.75" customHeight="1" x14ac:dyDescent="0.35">
      <c r="A6746" s="15"/>
      <c r="B6746" s="15" t="s">
        <v>40347</v>
      </c>
      <c r="C6746" s="15" t="s">
        <v>40348</v>
      </c>
      <c r="D6746" s="28">
        <v>44315</v>
      </c>
      <c r="E6746" s="15" t="s">
        <v>40349</v>
      </c>
      <c r="F6746" s="87" t="s">
        <v>21871</v>
      </c>
      <c r="G6746" s="45" t="s">
        <v>18113</v>
      </c>
      <c r="H6746" s="54" t="s">
        <v>18114</v>
      </c>
      <c r="I6746" s="5" t="s">
        <v>2316</v>
      </c>
    </row>
    <row r="6747" spans="1:9" ht="51.75" customHeight="1" x14ac:dyDescent="0.35">
      <c r="A6747" s="15"/>
      <c r="B6747" s="15" t="s">
        <v>40350</v>
      </c>
      <c r="C6747" s="15" t="s">
        <v>40351</v>
      </c>
      <c r="D6747" s="28">
        <v>44315</v>
      </c>
      <c r="E6747" s="15" t="s">
        <v>40352</v>
      </c>
      <c r="F6747" s="87" t="s">
        <v>21871</v>
      </c>
      <c r="G6747" s="45" t="s">
        <v>18113</v>
      </c>
      <c r="H6747" s="54" t="s">
        <v>18114</v>
      </c>
      <c r="I6747" s="5" t="s">
        <v>2316</v>
      </c>
    </row>
    <row r="6748" spans="1:9" ht="51.75" customHeight="1" x14ac:dyDescent="0.35">
      <c r="A6748" s="15"/>
      <c r="B6748" s="15" t="s">
        <v>40353</v>
      </c>
      <c r="C6748" s="15" t="s">
        <v>40354</v>
      </c>
      <c r="D6748" s="28">
        <v>44315</v>
      </c>
      <c r="E6748" s="15" t="s">
        <v>40355</v>
      </c>
      <c r="F6748" s="87" t="s">
        <v>21871</v>
      </c>
      <c r="G6748" s="45" t="s">
        <v>18113</v>
      </c>
      <c r="H6748" s="54" t="s">
        <v>18114</v>
      </c>
      <c r="I6748" s="5" t="s">
        <v>2316</v>
      </c>
    </row>
    <row r="6749" spans="1:9" ht="51.75" customHeight="1" x14ac:dyDescent="0.35">
      <c r="A6749" s="15"/>
      <c r="B6749" s="15" t="s">
        <v>40356</v>
      </c>
      <c r="C6749" s="15" t="s">
        <v>40357</v>
      </c>
      <c r="D6749" s="28">
        <v>44315</v>
      </c>
      <c r="E6749" s="15" t="s">
        <v>40358</v>
      </c>
      <c r="F6749" s="87" t="s">
        <v>21871</v>
      </c>
      <c r="G6749" s="45" t="s">
        <v>18113</v>
      </c>
      <c r="H6749" s="54" t="s">
        <v>18114</v>
      </c>
      <c r="I6749" s="5" t="s">
        <v>2316</v>
      </c>
    </row>
    <row r="6750" spans="1:9" ht="51.75" customHeight="1" x14ac:dyDescent="0.35">
      <c r="A6750" s="15"/>
      <c r="B6750" s="15" t="str">
        <f>CONCATENATE(G6750,"/",COUNTIF($G$2:G6750,G6750))</f>
        <v>PL-6323/1</v>
      </c>
      <c r="C6750" s="15" t="s">
        <v>40359</v>
      </c>
      <c r="D6750" s="28">
        <v>44420</v>
      </c>
      <c r="E6750" s="15" t="s">
        <v>40360</v>
      </c>
      <c r="F6750" s="87" t="s">
        <v>21871</v>
      </c>
      <c r="G6750" s="45" t="s">
        <v>18063</v>
      </c>
      <c r="H6750" s="54" t="s">
        <v>18064</v>
      </c>
      <c r="I6750" s="5" t="s">
        <v>2316</v>
      </c>
    </row>
    <row r="6751" spans="1:9" ht="51.75" customHeight="1" x14ac:dyDescent="0.35">
      <c r="A6751" s="15"/>
      <c r="B6751" s="15" t="str">
        <f>CONCATENATE(G6751,"/",COUNTIF($G$2:G6751,G6751))</f>
        <v>PL-6323/2</v>
      </c>
      <c r="C6751" s="15" t="s">
        <v>40361</v>
      </c>
      <c r="D6751" s="28">
        <v>44421</v>
      </c>
      <c r="E6751" s="15" t="s">
        <v>40362</v>
      </c>
      <c r="F6751" s="87" t="s">
        <v>21871</v>
      </c>
      <c r="G6751" s="45" t="s">
        <v>18063</v>
      </c>
      <c r="H6751" s="54" t="s">
        <v>18064</v>
      </c>
      <c r="I6751" s="5" t="s">
        <v>2316</v>
      </c>
    </row>
    <row r="6752" spans="1:9" ht="51.75" customHeight="1" x14ac:dyDescent="0.35">
      <c r="A6752" s="15"/>
      <c r="B6752" s="15" t="str">
        <f>CONCATENATE(G6752,"/",COUNTIF($G$2:G6752,G6752))</f>
        <v>PL-6323/3</v>
      </c>
      <c r="C6752" s="15" t="s">
        <v>40363</v>
      </c>
      <c r="D6752" s="28">
        <v>44422</v>
      </c>
      <c r="E6752" s="15" t="s">
        <v>40364</v>
      </c>
      <c r="F6752" s="87" t="s">
        <v>21871</v>
      </c>
      <c r="G6752" s="45" t="s">
        <v>18063</v>
      </c>
      <c r="H6752" s="54" t="s">
        <v>18064</v>
      </c>
      <c r="I6752" s="5" t="s">
        <v>2316</v>
      </c>
    </row>
    <row r="6753" spans="1:9" ht="51.75" customHeight="1" x14ac:dyDescent="0.35">
      <c r="A6753" s="15" t="s">
        <v>25173</v>
      </c>
      <c r="B6753" s="15" t="s">
        <v>40365</v>
      </c>
      <c r="C6753" s="15" t="s">
        <v>40366</v>
      </c>
      <c r="D6753" s="31">
        <v>41192</v>
      </c>
      <c r="E6753" s="15" t="s">
        <v>40367</v>
      </c>
      <c r="F6753" s="87" t="s">
        <v>40368</v>
      </c>
      <c r="G6753" s="45" t="s">
        <v>5293</v>
      </c>
      <c r="H6753" s="55" t="s">
        <v>5294</v>
      </c>
      <c r="I6753" s="15" t="s">
        <v>119</v>
      </c>
    </row>
    <row r="6754" spans="1:9" ht="51.75" customHeight="1" x14ac:dyDescent="0.35">
      <c r="A6754" s="15" t="s">
        <v>25173</v>
      </c>
      <c r="B6754" s="15" t="s">
        <v>40369</v>
      </c>
      <c r="C6754" s="15" t="s">
        <v>40366</v>
      </c>
      <c r="D6754" s="31">
        <v>41192</v>
      </c>
      <c r="E6754" s="15" t="s">
        <v>40370</v>
      </c>
      <c r="F6754" s="87" t="s">
        <v>21871</v>
      </c>
      <c r="G6754" s="45" t="s">
        <v>5293</v>
      </c>
      <c r="H6754" s="55" t="s">
        <v>5294</v>
      </c>
      <c r="I6754" s="15" t="s">
        <v>119</v>
      </c>
    </row>
    <row r="6755" spans="1:9" ht="51.75" customHeight="1" x14ac:dyDescent="0.35">
      <c r="A6755" s="15" t="s">
        <v>26296</v>
      </c>
      <c r="B6755" s="15" t="s">
        <v>40371</v>
      </c>
      <c r="C6755" s="15" t="s">
        <v>40372</v>
      </c>
      <c r="D6755" s="31">
        <v>41122</v>
      </c>
      <c r="E6755" s="15" t="s">
        <v>40373</v>
      </c>
      <c r="F6755" s="87" t="s">
        <v>21871</v>
      </c>
      <c r="G6755" s="45" t="s">
        <v>4908</v>
      </c>
      <c r="H6755" s="55" t="s">
        <v>4909</v>
      </c>
      <c r="I6755" s="15" t="s">
        <v>119</v>
      </c>
    </row>
    <row r="6756" spans="1:9" ht="51.75" customHeight="1" x14ac:dyDescent="0.35">
      <c r="A6756" s="15" t="s">
        <v>26296</v>
      </c>
      <c r="B6756" s="15" t="s">
        <v>40374</v>
      </c>
      <c r="C6756" s="15" t="s">
        <v>40372</v>
      </c>
      <c r="D6756" s="31">
        <v>41122</v>
      </c>
      <c r="E6756" s="15" t="s">
        <v>40375</v>
      </c>
      <c r="F6756" s="87" t="s">
        <v>40368</v>
      </c>
      <c r="G6756" s="45" t="s">
        <v>4908</v>
      </c>
      <c r="H6756" s="55" t="s">
        <v>4909</v>
      </c>
      <c r="I6756" s="15" t="s">
        <v>119</v>
      </c>
    </row>
    <row r="6757" spans="1:9" ht="51.75" customHeight="1" x14ac:dyDescent="0.35">
      <c r="A6757" s="15">
        <v>1</v>
      </c>
      <c r="B6757" s="15" t="s">
        <v>40376</v>
      </c>
      <c r="C6757" s="15" t="s">
        <v>40377</v>
      </c>
      <c r="D6757" s="31">
        <v>40634</v>
      </c>
      <c r="E6757" s="15" t="s">
        <v>40378</v>
      </c>
      <c r="F6757" s="87" t="s">
        <v>21871</v>
      </c>
      <c r="G6757" s="45" t="s">
        <v>4673</v>
      </c>
      <c r="H6757" s="55" t="s">
        <v>4674</v>
      </c>
      <c r="I6757" s="15" t="s">
        <v>119</v>
      </c>
    </row>
    <row r="6758" spans="1:9" ht="51.75" customHeight="1" x14ac:dyDescent="0.35">
      <c r="A6758" s="15">
        <v>1</v>
      </c>
      <c r="B6758" s="15" t="s">
        <v>40379</v>
      </c>
      <c r="C6758" s="15" t="s">
        <v>40377</v>
      </c>
      <c r="D6758" s="31">
        <v>40634</v>
      </c>
      <c r="E6758" s="15" t="s">
        <v>40380</v>
      </c>
      <c r="F6758" s="87" t="s">
        <v>40368</v>
      </c>
      <c r="G6758" s="45" t="s">
        <v>4673</v>
      </c>
      <c r="H6758" s="55" t="s">
        <v>4674</v>
      </c>
      <c r="I6758" s="15" t="s">
        <v>119</v>
      </c>
    </row>
    <row r="6759" spans="1:9" ht="51.75" customHeight="1" x14ac:dyDescent="0.35">
      <c r="A6759" s="15">
        <v>2</v>
      </c>
      <c r="B6759" s="15" t="s">
        <v>40381</v>
      </c>
      <c r="C6759" s="15" t="s">
        <v>40382</v>
      </c>
      <c r="D6759" s="31">
        <v>40634</v>
      </c>
      <c r="E6759" s="15" t="s">
        <v>40383</v>
      </c>
      <c r="F6759" s="87" t="s">
        <v>21871</v>
      </c>
      <c r="G6759" s="45" t="s">
        <v>4673</v>
      </c>
      <c r="H6759" s="55" t="s">
        <v>4674</v>
      </c>
      <c r="I6759" s="15" t="s">
        <v>119</v>
      </c>
    </row>
    <row r="6760" spans="1:9" ht="51.75" customHeight="1" x14ac:dyDescent="0.35">
      <c r="A6760" s="15">
        <v>2</v>
      </c>
      <c r="B6760" s="15" t="s">
        <v>40384</v>
      </c>
      <c r="C6760" s="15" t="s">
        <v>40382</v>
      </c>
      <c r="D6760" s="31">
        <v>40634</v>
      </c>
      <c r="E6760" s="15" t="s">
        <v>40385</v>
      </c>
      <c r="F6760" s="87" t="s">
        <v>40368</v>
      </c>
      <c r="G6760" s="45" t="s">
        <v>4673</v>
      </c>
      <c r="H6760" s="55" t="s">
        <v>4674</v>
      </c>
      <c r="I6760" s="15" t="s">
        <v>119</v>
      </c>
    </row>
    <row r="6761" spans="1:9" ht="51.75" customHeight="1" x14ac:dyDescent="0.35">
      <c r="A6761" s="15">
        <v>3</v>
      </c>
      <c r="B6761" s="15" t="s">
        <v>40386</v>
      </c>
      <c r="C6761" s="15" t="s">
        <v>40387</v>
      </c>
      <c r="D6761" s="31">
        <v>40634</v>
      </c>
      <c r="E6761" s="15" t="s">
        <v>40388</v>
      </c>
      <c r="F6761" s="87" t="s">
        <v>21871</v>
      </c>
      <c r="G6761" s="45" t="s">
        <v>4673</v>
      </c>
      <c r="H6761" s="55" t="s">
        <v>4674</v>
      </c>
      <c r="I6761" s="15" t="s">
        <v>119</v>
      </c>
    </row>
    <row r="6762" spans="1:9" ht="51.75" customHeight="1" x14ac:dyDescent="0.35">
      <c r="A6762" s="15">
        <v>3</v>
      </c>
      <c r="B6762" s="15" t="s">
        <v>40389</v>
      </c>
      <c r="C6762" s="15" t="s">
        <v>40387</v>
      </c>
      <c r="D6762" s="31">
        <v>40634</v>
      </c>
      <c r="E6762" s="15" t="s">
        <v>40390</v>
      </c>
      <c r="F6762" s="87" t="s">
        <v>40368</v>
      </c>
      <c r="G6762" s="45" t="s">
        <v>4673</v>
      </c>
      <c r="H6762" s="55" t="s">
        <v>4674</v>
      </c>
      <c r="I6762" s="15" t="s">
        <v>119</v>
      </c>
    </row>
    <row r="6763" spans="1:9" ht="51.75" customHeight="1" x14ac:dyDescent="0.35">
      <c r="A6763" s="15">
        <v>4</v>
      </c>
      <c r="B6763" s="15" t="s">
        <v>40391</v>
      </c>
      <c r="C6763" s="15" t="s">
        <v>40392</v>
      </c>
      <c r="D6763" s="31">
        <v>40634</v>
      </c>
      <c r="E6763" s="15" t="s">
        <v>40393</v>
      </c>
      <c r="F6763" s="87" t="s">
        <v>21871</v>
      </c>
      <c r="G6763" s="45" t="s">
        <v>4673</v>
      </c>
      <c r="H6763" s="55" t="s">
        <v>4674</v>
      </c>
      <c r="I6763" s="15" t="s">
        <v>119</v>
      </c>
    </row>
    <row r="6764" spans="1:9" ht="51.75" customHeight="1" x14ac:dyDescent="0.35">
      <c r="A6764" s="15">
        <v>4</v>
      </c>
      <c r="B6764" s="15" t="s">
        <v>40394</v>
      </c>
      <c r="C6764" s="15" t="s">
        <v>40392</v>
      </c>
      <c r="D6764" s="31">
        <v>40634</v>
      </c>
      <c r="E6764" s="15" t="s">
        <v>40395</v>
      </c>
      <c r="F6764" s="87" t="s">
        <v>40368</v>
      </c>
      <c r="G6764" s="45" t="s">
        <v>4673</v>
      </c>
      <c r="H6764" s="55" t="s">
        <v>4674</v>
      </c>
      <c r="I6764" s="15" t="s">
        <v>119</v>
      </c>
    </row>
    <row r="6765" spans="1:9" ht="51.75" customHeight="1" x14ac:dyDescent="0.35">
      <c r="A6765" s="15">
        <v>5</v>
      </c>
      <c r="B6765" s="15" t="s">
        <v>40396</v>
      </c>
      <c r="C6765" s="15" t="s">
        <v>40397</v>
      </c>
      <c r="D6765" s="31">
        <v>40634</v>
      </c>
      <c r="E6765" s="15" t="s">
        <v>40398</v>
      </c>
      <c r="F6765" s="87" t="s">
        <v>21871</v>
      </c>
      <c r="G6765" s="45" t="s">
        <v>4673</v>
      </c>
      <c r="H6765" s="55" t="s">
        <v>4674</v>
      </c>
      <c r="I6765" s="15" t="s">
        <v>119</v>
      </c>
    </row>
    <row r="6766" spans="1:9" ht="51.75" customHeight="1" x14ac:dyDescent="0.35">
      <c r="A6766" s="15">
        <v>5</v>
      </c>
      <c r="B6766" s="15" t="s">
        <v>40399</v>
      </c>
      <c r="C6766" s="15" t="s">
        <v>40397</v>
      </c>
      <c r="D6766" s="31">
        <v>40634</v>
      </c>
      <c r="E6766" s="15" t="s">
        <v>40400</v>
      </c>
      <c r="F6766" s="87" t="s">
        <v>40368</v>
      </c>
      <c r="G6766" s="45" t="s">
        <v>4673</v>
      </c>
      <c r="H6766" s="55" t="s">
        <v>4674</v>
      </c>
      <c r="I6766" s="15" t="s">
        <v>119</v>
      </c>
    </row>
    <row r="6767" spans="1:9" ht="51.75" customHeight="1" x14ac:dyDescent="0.35">
      <c r="A6767" s="15">
        <v>1</v>
      </c>
      <c r="B6767" s="15" t="s">
        <v>40401</v>
      </c>
      <c r="C6767" s="15" t="s">
        <v>40402</v>
      </c>
      <c r="D6767" s="31">
        <v>40717</v>
      </c>
      <c r="E6767" s="15" t="s">
        <v>40403</v>
      </c>
      <c r="F6767" s="87" t="s">
        <v>21871</v>
      </c>
      <c r="G6767" s="45" t="s">
        <v>4544</v>
      </c>
      <c r="H6767" s="55" t="s">
        <v>4545</v>
      </c>
      <c r="I6767" s="15" t="s">
        <v>119</v>
      </c>
    </row>
    <row r="6768" spans="1:9" ht="51.75" customHeight="1" x14ac:dyDescent="0.35">
      <c r="A6768" s="15">
        <v>1</v>
      </c>
      <c r="B6768" s="15" t="s">
        <v>40404</v>
      </c>
      <c r="C6768" s="15" t="s">
        <v>40402</v>
      </c>
      <c r="D6768" s="31">
        <v>40717</v>
      </c>
      <c r="E6768" s="15" t="s">
        <v>40405</v>
      </c>
      <c r="F6768" s="87" t="s">
        <v>40368</v>
      </c>
      <c r="G6768" s="45" t="s">
        <v>4544</v>
      </c>
      <c r="H6768" s="55" t="s">
        <v>4545</v>
      </c>
      <c r="I6768" s="15" t="s">
        <v>119</v>
      </c>
    </row>
    <row r="6769" spans="1:9" ht="51.75" customHeight="1" x14ac:dyDescent="0.35">
      <c r="A6769" s="15">
        <v>2</v>
      </c>
      <c r="B6769" s="15" t="s">
        <v>40406</v>
      </c>
      <c r="C6769" s="15" t="s">
        <v>40407</v>
      </c>
      <c r="D6769" s="31">
        <v>40717</v>
      </c>
      <c r="E6769" s="15" t="s">
        <v>40408</v>
      </c>
      <c r="F6769" s="87" t="s">
        <v>21871</v>
      </c>
      <c r="G6769" s="45" t="s">
        <v>4544</v>
      </c>
      <c r="H6769" s="55" t="s">
        <v>4545</v>
      </c>
      <c r="I6769" s="15" t="s">
        <v>119</v>
      </c>
    </row>
    <row r="6770" spans="1:9" ht="51.75" customHeight="1" x14ac:dyDescent="0.35">
      <c r="A6770" s="15">
        <v>2</v>
      </c>
      <c r="B6770" s="15" t="s">
        <v>40409</v>
      </c>
      <c r="C6770" s="15" t="s">
        <v>40407</v>
      </c>
      <c r="D6770" s="31">
        <v>40717</v>
      </c>
      <c r="E6770" s="15" t="s">
        <v>40410</v>
      </c>
      <c r="F6770" s="87" t="s">
        <v>40368</v>
      </c>
      <c r="G6770" s="45" t="s">
        <v>4544</v>
      </c>
      <c r="H6770" s="55" t="s">
        <v>4545</v>
      </c>
      <c r="I6770" s="15" t="s">
        <v>119</v>
      </c>
    </row>
    <row r="6771" spans="1:9" ht="51.75" customHeight="1" x14ac:dyDescent="0.35">
      <c r="A6771" s="15">
        <v>3</v>
      </c>
      <c r="B6771" s="15" t="s">
        <v>40411</v>
      </c>
      <c r="C6771" s="15" t="s">
        <v>40412</v>
      </c>
      <c r="D6771" s="31">
        <v>40717</v>
      </c>
      <c r="E6771" s="15" t="s">
        <v>40413</v>
      </c>
      <c r="F6771" s="87" t="s">
        <v>21871</v>
      </c>
      <c r="G6771" s="45" t="s">
        <v>4544</v>
      </c>
      <c r="H6771" s="55" t="s">
        <v>4545</v>
      </c>
      <c r="I6771" s="15" t="s">
        <v>119</v>
      </c>
    </row>
    <row r="6772" spans="1:9" ht="51.75" customHeight="1" x14ac:dyDescent="0.35">
      <c r="A6772" s="15">
        <v>3</v>
      </c>
      <c r="B6772" s="15" t="s">
        <v>40414</v>
      </c>
      <c r="C6772" s="15" t="s">
        <v>40412</v>
      </c>
      <c r="D6772" s="31">
        <v>40717</v>
      </c>
      <c r="E6772" s="15" t="s">
        <v>40415</v>
      </c>
      <c r="F6772" s="87" t="s">
        <v>40368</v>
      </c>
      <c r="G6772" s="45" t="s">
        <v>4544</v>
      </c>
      <c r="H6772" s="55" t="s">
        <v>4545</v>
      </c>
      <c r="I6772" s="15" t="s">
        <v>119</v>
      </c>
    </row>
    <row r="6773" spans="1:9" ht="51.75" customHeight="1" x14ac:dyDescent="0.35">
      <c r="A6773" s="15">
        <v>4</v>
      </c>
      <c r="B6773" s="15" t="s">
        <v>40416</v>
      </c>
      <c r="C6773" s="15" t="s">
        <v>40417</v>
      </c>
      <c r="D6773" s="31">
        <v>40717</v>
      </c>
      <c r="E6773" s="15" t="s">
        <v>40418</v>
      </c>
      <c r="F6773" s="87" t="s">
        <v>21871</v>
      </c>
      <c r="G6773" s="45" t="s">
        <v>4544</v>
      </c>
      <c r="H6773" s="55" t="s">
        <v>4545</v>
      </c>
      <c r="I6773" s="15" t="s">
        <v>119</v>
      </c>
    </row>
    <row r="6774" spans="1:9" ht="51.75" customHeight="1" x14ac:dyDescent="0.35">
      <c r="A6774" s="15">
        <v>4</v>
      </c>
      <c r="B6774" s="15" t="s">
        <v>40419</v>
      </c>
      <c r="C6774" s="15" t="s">
        <v>40417</v>
      </c>
      <c r="D6774" s="31">
        <v>40717</v>
      </c>
      <c r="E6774" s="15" t="s">
        <v>40420</v>
      </c>
      <c r="F6774" s="87" t="s">
        <v>40368</v>
      </c>
      <c r="G6774" s="45" t="s">
        <v>4544</v>
      </c>
      <c r="H6774" s="55" t="s">
        <v>4545</v>
      </c>
      <c r="I6774" s="15" t="s">
        <v>119</v>
      </c>
    </row>
    <row r="6775" spans="1:9" ht="51.75" customHeight="1" x14ac:dyDescent="0.35">
      <c r="A6775" s="15">
        <v>5</v>
      </c>
      <c r="B6775" s="15" t="s">
        <v>40421</v>
      </c>
      <c r="C6775" s="15" t="s">
        <v>40422</v>
      </c>
      <c r="D6775" s="31">
        <v>40717</v>
      </c>
      <c r="E6775" s="15" t="s">
        <v>40423</v>
      </c>
      <c r="F6775" s="87" t="s">
        <v>21871</v>
      </c>
      <c r="G6775" s="45" t="s">
        <v>4544</v>
      </c>
      <c r="H6775" s="55" t="s">
        <v>4545</v>
      </c>
      <c r="I6775" s="15" t="s">
        <v>119</v>
      </c>
    </row>
    <row r="6776" spans="1:9" ht="51.75" customHeight="1" x14ac:dyDescent="0.35">
      <c r="A6776" s="15">
        <v>5</v>
      </c>
      <c r="B6776" s="15" t="s">
        <v>40424</v>
      </c>
      <c r="C6776" s="15" t="s">
        <v>40422</v>
      </c>
      <c r="D6776" s="31">
        <v>40717</v>
      </c>
      <c r="E6776" s="15" t="s">
        <v>40425</v>
      </c>
      <c r="F6776" s="87" t="s">
        <v>40368</v>
      </c>
      <c r="G6776" s="45" t="s">
        <v>4544</v>
      </c>
      <c r="H6776" s="55" t="s">
        <v>4545</v>
      </c>
      <c r="I6776" s="15" t="s">
        <v>119</v>
      </c>
    </row>
    <row r="6777" spans="1:9" ht="51.75" customHeight="1" x14ac:dyDescent="0.35">
      <c r="A6777" s="15">
        <v>6</v>
      </c>
      <c r="B6777" s="15" t="s">
        <v>40426</v>
      </c>
      <c r="C6777" s="15" t="s">
        <v>40427</v>
      </c>
      <c r="D6777" s="31">
        <v>40717</v>
      </c>
      <c r="E6777" s="15" t="s">
        <v>40428</v>
      </c>
      <c r="F6777" s="87" t="s">
        <v>21871</v>
      </c>
      <c r="G6777" s="45" t="s">
        <v>4544</v>
      </c>
      <c r="H6777" s="55" t="s">
        <v>4545</v>
      </c>
      <c r="I6777" s="15" t="s">
        <v>119</v>
      </c>
    </row>
    <row r="6778" spans="1:9" ht="51.75" customHeight="1" x14ac:dyDescent="0.35">
      <c r="A6778" s="15">
        <v>6</v>
      </c>
      <c r="B6778" s="15" t="s">
        <v>40429</v>
      </c>
      <c r="C6778" s="15" t="s">
        <v>40427</v>
      </c>
      <c r="D6778" s="31">
        <v>40717</v>
      </c>
      <c r="E6778" s="15" t="s">
        <v>40425</v>
      </c>
      <c r="F6778" s="87" t="s">
        <v>40368</v>
      </c>
      <c r="G6778" s="45" t="s">
        <v>4544</v>
      </c>
      <c r="H6778" s="55" t="s">
        <v>4545</v>
      </c>
      <c r="I6778" s="15" t="s">
        <v>119</v>
      </c>
    </row>
    <row r="6779" spans="1:9" ht="51.75" customHeight="1" x14ac:dyDescent="0.35">
      <c r="A6779" s="15">
        <v>1</v>
      </c>
      <c r="B6779" s="15" t="s">
        <v>40430</v>
      </c>
      <c r="C6779" s="15" t="s">
        <v>40431</v>
      </c>
      <c r="D6779" s="31">
        <v>40309</v>
      </c>
      <c r="E6779" s="15" t="s">
        <v>40432</v>
      </c>
      <c r="F6779" s="87" t="s">
        <v>21871</v>
      </c>
      <c r="G6779" s="45" t="s">
        <v>161</v>
      </c>
      <c r="H6779" s="55" t="s">
        <v>162</v>
      </c>
      <c r="I6779" s="15" t="s">
        <v>119</v>
      </c>
    </row>
    <row r="6780" spans="1:9" ht="51.75" customHeight="1" x14ac:dyDescent="0.35">
      <c r="A6780" s="15">
        <v>1</v>
      </c>
      <c r="B6780" s="15" t="s">
        <v>40433</v>
      </c>
      <c r="C6780" s="15" t="s">
        <v>40431</v>
      </c>
      <c r="D6780" s="31">
        <v>40309</v>
      </c>
      <c r="E6780" s="15" t="s">
        <v>40434</v>
      </c>
      <c r="F6780" s="87" t="s">
        <v>40368</v>
      </c>
      <c r="G6780" s="45" t="s">
        <v>161</v>
      </c>
      <c r="H6780" s="55" t="s">
        <v>162</v>
      </c>
      <c r="I6780" s="15" t="s">
        <v>119</v>
      </c>
    </row>
    <row r="6781" spans="1:9" ht="51.75" customHeight="1" x14ac:dyDescent="0.35">
      <c r="A6781" s="15">
        <v>2</v>
      </c>
      <c r="B6781" s="15" t="s">
        <v>40435</v>
      </c>
      <c r="C6781" s="15" t="s">
        <v>40436</v>
      </c>
      <c r="D6781" s="31">
        <v>40309</v>
      </c>
      <c r="E6781" s="15" t="s">
        <v>40437</v>
      </c>
      <c r="F6781" s="87" t="s">
        <v>21871</v>
      </c>
      <c r="G6781" s="45" t="s">
        <v>161</v>
      </c>
      <c r="H6781" s="55" t="s">
        <v>162</v>
      </c>
      <c r="I6781" s="15" t="s">
        <v>119</v>
      </c>
    </row>
    <row r="6782" spans="1:9" ht="51.75" customHeight="1" x14ac:dyDescent="0.35">
      <c r="A6782" s="15">
        <v>2</v>
      </c>
      <c r="B6782" s="15" t="s">
        <v>40438</v>
      </c>
      <c r="C6782" s="15" t="s">
        <v>40436</v>
      </c>
      <c r="D6782" s="31">
        <v>40309</v>
      </c>
      <c r="E6782" s="15" t="s">
        <v>40439</v>
      </c>
      <c r="F6782" s="87" t="s">
        <v>40368</v>
      </c>
      <c r="G6782" s="45" t="s">
        <v>161</v>
      </c>
      <c r="H6782" s="55" t="s">
        <v>162</v>
      </c>
      <c r="I6782" s="15" t="s">
        <v>119</v>
      </c>
    </row>
    <row r="6783" spans="1:9" ht="51.75" customHeight="1" x14ac:dyDescent="0.35">
      <c r="A6783" s="15">
        <v>3</v>
      </c>
      <c r="B6783" s="15" t="s">
        <v>40440</v>
      </c>
      <c r="C6783" s="15" t="s">
        <v>40441</v>
      </c>
      <c r="D6783" s="31">
        <v>40309</v>
      </c>
      <c r="E6783" s="15" t="s">
        <v>40442</v>
      </c>
      <c r="F6783" s="87" t="s">
        <v>21871</v>
      </c>
      <c r="G6783" s="45" t="s">
        <v>161</v>
      </c>
      <c r="H6783" s="55" t="s">
        <v>162</v>
      </c>
      <c r="I6783" s="15" t="s">
        <v>119</v>
      </c>
    </row>
    <row r="6784" spans="1:9" ht="51.75" customHeight="1" x14ac:dyDescent="0.35">
      <c r="A6784" s="15">
        <v>3</v>
      </c>
      <c r="B6784" s="15" t="s">
        <v>40443</v>
      </c>
      <c r="C6784" s="15" t="s">
        <v>40441</v>
      </c>
      <c r="D6784" s="31">
        <v>40309</v>
      </c>
      <c r="E6784" s="15" t="s">
        <v>40444</v>
      </c>
      <c r="F6784" s="87" t="s">
        <v>40368</v>
      </c>
      <c r="G6784" s="45" t="s">
        <v>161</v>
      </c>
      <c r="H6784" s="55" t="s">
        <v>162</v>
      </c>
      <c r="I6784" s="15" t="s">
        <v>119</v>
      </c>
    </row>
    <row r="6785" spans="1:9" ht="51.75" customHeight="1" x14ac:dyDescent="0.35">
      <c r="A6785" s="15">
        <v>4</v>
      </c>
      <c r="B6785" s="15" t="s">
        <v>40445</v>
      </c>
      <c r="C6785" s="15" t="s">
        <v>40446</v>
      </c>
      <c r="D6785" s="31">
        <v>40309</v>
      </c>
      <c r="E6785" s="15" t="s">
        <v>40447</v>
      </c>
      <c r="F6785" s="87" t="s">
        <v>21871</v>
      </c>
      <c r="G6785" s="45" t="s">
        <v>161</v>
      </c>
      <c r="H6785" s="55" t="s">
        <v>162</v>
      </c>
      <c r="I6785" s="15" t="s">
        <v>119</v>
      </c>
    </row>
    <row r="6786" spans="1:9" ht="51.75" customHeight="1" x14ac:dyDescent="0.35">
      <c r="A6786" s="15">
        <v>4</v>
      </c>
      <c r="B6786" s="15" t="s">
        <v>40448</v>
      </c>
      <c r="C6786" s="15" t="s">
        <v>40446</v>
      </c>
      <c r="D6786" s="31">
        <v>40309</v>
      </c>
      <c r="E6786" s="15" t="s">
        <v>40449</v>
      </c>
      <c r="F6786" s="87" t="s">
        <v>40368</v>
      </c>
      <c r="G6786" s="45" t="s">
        <v>161</v>
      </c>
      <c r="H6786" s="55" t="s">
        <v>162</v>
      </c>
      <c r="I6786" s="15" t="s">
        <v>119</v>
      </c>
    </row>
    <row r="6787" spans="1:9" ht="51.75" customHeight="1" x14ac:dyDescent="0.35">
      <c r="A6787" s="15">
        <v>5</v>
      </c>
      <c r="B6787" s="15" t="s">
        <v>40450</v>
      </c>
      <c r="C6787" s="15" t="s">
        <v>40451</v>
      </c>
      <c r="D6787" s="31">
        <v>40309</v>
      </c>
      <c r="E6787" s="15" t="s">
        <v>40452</v>
      </c>
      <c r="F6787" s="87" t="s">
        <v>21871</v>
      </c>
      <c r="G6787" s="45" t="s">
        <v>161</v>
      </c>
      <c r="H6787" s="55" t="s">
        <v>162</v>
      </c>
      <c r="I6787" s="15" t="s">
        <v>119</v>
      </c>
    </row>
    <row r="6788" spans="1:9" ht="51.75" customHeight="1" x14ac:dyDescent="0.35">
      <c r="A6788" s="15">
        <v>5</v>
      </c>
      <c r="B6788" s="15" t="s">
        <v>40453</v>
      </c>
      <c r="C6788" s="15" t="s">
        <v>40451</v>
      </c>
      <c r="D6788" s="31">
        <v>40309</v>
      </c>
      <c r="E6788" s="15" t="s">
        <v>40454</v>
      </c>
      <c r="F6788" s="87" t="s">
        <v>40368</v>
      </c>
      <c r="G6788" s="45" t="s">
        <v>161</v>
      </c>
      <c r="H6788" s="55" t="s">
        <v>162</v>
      </c>
      <c r="I6788" s="15" t="s">
        <v>119</v>
      </c>
    </row>
    <row r="6789" spans="1:9" ht="51.75" customHeight="1" x14ac:dyDescent="0.35">
      <c r="A6789" s="15">
        <v>1</v>
      </c>
      <c r="B6789" s="15" t="s">
        <v>40455</v>
      </c>
      <c r="C6789" s="15" t="s">
        <v>40456</v>
      </c>
      <c r="D6789" s="31">
        <v>40634</v>
      </c>
      <c r="E6789" s="15" t="s">
        <v>40457</v>
      </c>
      <c r="F6789" s="87" t="s">
        <v>21871</v>
      </c>
      <c r="G6789" s="45" t="s">
        <v>3769</v>
      </c>
      <c r="H6789" s="55" t="s">
        <v>3770</v>
      </c>
      <c r="I6789" s="15" t="s">
        <v>119</v>
      </c>
    </row>
    <row r="6790" spans="1:9" ht="51.75" customHeight="1" x14ac:dyDescent="0.35">
      <c r="A6790" s="15">
        <v>1</v>
      </c>
      <c r="B6790" s="15" t="s">
        <v>40458</v>
      </c>
      <c r="C6790" s="15" t="s">
        <v>40456</v>
      </c>
      <c r="D6790" s="31">
        <v>40634</v>
      </c>
      <c r="E6790" s="15" t="s">
        <v>40459</v>
      </c>
      <c r="F6790" s="87" t="s">
        <v>40368</v>
      </c>
      <c r="G6790" s="45" t="s">
        <v>3769</v>
      </c>
      <c r="H6790" s="55" t="s">
        <v>3770</v>
      </c>
      <c r="I6790" s="15" t="s">
        <v>119</v>
      </c>
    </row>
    <row r="6791" spans="1:9" ht="51.75" customHeight="1" x14ac:dyDescent="0.35">
      <c r="A6791" s="15">
        <v>2</v>
      </c>
      <c r="B6791" s="15" t="s">
        <v>40460</v>
      </c>
      <c r="C6791" s="15" t="s">
        <v>40461</v>
      </c>
      <c r="D6791" s="31">
        <v>40634</v>
      </c>
      <c r="E6791" s="15" t="s">
        <v>40462</v>
      </c>
      <c r="F6791" s="87" t="s">
        <v>21871</v>
      </c>
      <c r="G6791" s="45" t="s">
        <v>3769</v>
      </c>
      <c r="H6791" s="55" t="s">
        <v>3770</v>
      </c>
      <c r="I6791" s="15" t="s">
        <v>119</v>
      </c>
    </row>
    <row r="6792" spans="1:9" ht="51.75" customHeight="1" x14ac:dyDescent="0.35">
      <c r="A6792" s="15">
        <v>2</v>
      </c>
      <c r="B6792" s="15" t="s">
        <v>40463</v>
      </c>
      <c r="C6792" s="15" t="s">
        <v>40461</v>
      </c>
      <c r="D6792" s="31">
        <v>40634</v>
      </c>
      <c r="E6792" s="15" t="s">
        <v>40464</v>
      </c>
      <c r="F6792" s="87" t="s">
        <v>40368</v>
      </c>
      <c r="G6792" s="45" t="s">
        <v>3769</v>
      </c>
      <c r="H6792" s="55" t="s">
        <v>3770</v>
      </c>
      <c r="I6792" s="15" t="s">
        <v>119</v>
      </c>
    </row>
    <row r="6793" spans="1:9" ht="51.75" customHeight="1" x14ac:dyDescent="0.35">
      <c r="A6793" s="15">
        <v>1</v>
      </c>
      <c r="B6793" s="15" t="s">
        <v>40465</v>
      </c>
      <c r="C6793" s="15" t="s">
        <v>40466</v>
      </c>
      <c r="D6793" s="31">
        <v>40185</v>
      </c>
      <c r="E6793" s="15" t="s">
        <v>40467</v>
      </c>
      <c r="F6793" s="87" t="s">
        <v>21871</v>
      </c>
      <c r="G6793" s="45" t="s">
        <v>3486</v>
      </c>
      <c r="H6793" s="55" t="s">
        <v>3487</v>
      </c>
      <c r="I6793" s="15" t="s">
        <v>119</v>
      </c>
    </row>
    <row r="6794" spans="1:9" ht="51.75" customHeight="1" x14ac:dyDescent="0.35">
      <c r="A6794" s="15">
        <v>1</v>
      </c>
      <c r="B6794" s="15" t="s">
        <v>40468</v>
      </c>
      <c r="C6794" s="15" t="s">
        <v>40466</v>
      </c>
      <c r="D6794" s="31">
        <v>40185</v>
      </c>
      <c r="E6794" s="15" t="s">
        <v>40469</v>
      </c>
      <c r="F6794" s="87" t="s">
        <v>40368</v>
      </c>
      <c r="G6794" s="45" t="s">
        <v>3486</v>
      </c>
      <c r="H6794" s="55" t="s">
        <v>3487</v>
      </c>
      <c r="I6794" s="15" t="s">
        <v>119</v>
      </c>
    </row>
    <row r="6795" spans="1:9" ht="51.75" customHeight="1" x14ac:dyDescent="0.35">
      <c r="A6795" s="15">
        <v>2</v>
      </c>
      <c r="B6795" s="15" t="s">
        <v>40470</v>
      </c>
      <c r="C6795" s="15" t="s">
        <v>40471</v>
      </c>
      <c r="D6795" s="31">
        <v>40185</v>
      </c>
      <c r="E6795" s="15" t="s">
        <v>40472</v>
      </c>
      <c r="F6795" s="87" t="s">
        <v>21871</v>
      </c>
      <c r="G6795" s="45" t="s">
        <v>3486</v>
      </c>
      <c r="H6795" s="55" t="s">
        <v>3487</v>
      </c>
      <c r="I6795" s="15" t="s">
        <v>119</v>
      </c>
    </row>
    <row r="6796" spans="1:9" ht="51.75" customHeight="1" x14ac:dyDescent="0.35">
      <c r="A6796" s="15">
        <v>2</v>
      </c>
      <c r="B6796" s="15" t="s">
        <v>40473</v>
      </c>
      <c r="C6796" s="15" t="s">
        <v>40471</v>
      </c>
      <c r="D6796" s="31">
        <v>40185</v>
      </c>
      <c r="E6796" s="15" t="s">
        <v>40474</v>
      </c>
      <c r="F6796" s="87" t="s">
        <v>40368</v>
      </c>
      <c r="G6796" s="45" t="s">
        <v>3486</v>
      </c>
      <c r="H6796" s="55" t="s">
        <v>3487</v>
      </c>
      <c r="I6796" s="15" t="s">
        <v>119</v>
      </c>
    </row>
    <row r="6797" spans="1:9" ht="51.75" customHeight="1" x14ac:dyDescent="0.35">
      <c r="A6797" s="15">
        <v>3</v>
      </c>
      <c r="B6797" s="15" t="s">
        <v>40475</v>
      </c>
      <c r="C6797" s="15" t="s">
        <v>40476</v>
      </c>
      <c r="D6797" s="31">
        <v>40185</v>
      </c>
      <c r="E6797" s="15" t="s">
        <v>40477</v>
      </c>
      <c r="F6797" s="87" t="s">
        <v>21871</v>
      </c>
      <c r="G6797" s="45" t="s">
        <v>3486</v>
      </c>
      <c r="H6797" s="55" t="s">
        <v>3487</v>
      </c>
      <c r="I6797" s="15" t="s">
        <v>119</v>
      </c>
    </row>
    <row r="6798" spans="1:9" ht="51.75" customHeight="1" x14ac:dyDescent="0.35">
      <c r="A6798" s="15">
        <v>3</v>
      </c>
      <c r="B6798" s="15" t="s">
        <v>40478</v>
      </c>
      <c r="C6798" s="15" t="s">
        <v>40476</v>
      </c>
      <c r="D6798" s="31">
        <v>40185</v>
      </c>
      <c r="E6798" s="15" t="s">
        <v>40479</v>
      </c>
      <c r="F6798" s="87" t="s">
        <v>40368</v>
      </c>
      <c r="G6798" s="45" t="s">
        <v>3486</v>
      </c>
      <c r="H6798" s="55" t="s">
        <v>3487</v>
      </c>
      <c r="I6798" s="15" t="s">
        <v>119</v>
      </c>
    </row>
    <row r="6799" spans="1:9" ht="51.75" customHeight="1" x14ac:dyDescent="0.35">
      <c r="A6799" s="15">
        <v>4</v>
      </c>
      <c r="B6799" s="15" t="s">
        <v>40480</v>
      </c>
      <c r="C6799" s="15" t="s">
        <v>40481</v>
      </c>
      <c r="D6799" s="31">
        <v>40185</v>
      </c>
      <c r="E6799" s="15" t="s">
        <v>40482</v>
      </c>
      <c r="F6799" s="87" t="s">
        <v>21871</v>
      </c>
      <c r="G6799" s="45" t="s">
        <v>3486</v>
      </c>
      <c r="H6799" s="55" t="s">
        <v>3487</v>
      </c>
      <c r="I6799" s="15" t="s">
        <v>119</v>
      </c>
    </row>
    <row r="6800" spans="1:9" ht="51.75" customHeight="1" x14ac:dyDescent="0.35">
      <c r="A6800" s="15">
        <v>4</v>
      </c>
      <c r="B6800" s="15" t="s">
        <v>40483</v>
      </c>
      <c r="C6800" s="15" t="s">
        <v>40481</v>
      </c>
      <c r="D6800" s="31">
        <v>40185</v>
      </c>
      <c r="E6800" s="15" t="s">
        <v>40484</v>
      </c>
      <c r="F6800" s="87" t="s">
        <v>40368</v>
      </c>
      <c r="G6800" s="45" t="s">
        <v>3486</v>
      </c>
      <c r="H6800" s="55" t="s">
        <v>3487</v>
      </c>
      <c r="I6800" s="15" t="s">
        <v>119</v>
      </c>
    </row>
    <row r="6801" spans="1:9" ht="51.75" customHeight="1" x14ac:dyDescent="0.35">
      <c r="A6801" s="15">
        <v>5</v>
      </c>
      <c r="B6801" s="15" t="s">
        <v>40485</v>
      </c>
      <c r="C6801" s="15" t="s">
        <v>40486</v>
      </c>
      <c r="D6801" s="31">
        <v>40185</v>
      </c>
      <c r="E6801" s="15" t="s">
        <v>40487</v>
      </c>
      <c r="F6801" s="87" t="s">
        <v>21871</v>
      </c>
      <c r="G6801" s="45" t="s">
        <v>3486</v>
      </c>
      <c r="H6801" s="55" t="s">
        <v>3487</v>
      </c>
      <c r="I6801" s="15" t="s">
        <v>119</v>
      </c>
    </row>
    <row r="6802" spans="1:9" ht="51.75" customHeight="1" x14ac:dyDescent="0.35">
      <c r="A6802" s="15">
        <v>5</v>
      </c>
      <c r="B6802" s="15" t="s">
        <v>40488</v>
      </c>
      <c r="C6802" s="15" t="s">
        <v>40486</v>
      </c>
      <c r="D6802" s="31">
        <v>40185</v>
      </c>
      <c r="E6802" s="15" t="s">
        <v>40489</v>
      </c>
      <c r="F6802" s="87" t="s">
        <v>40368</v>
      </c>
      <c r="G6802" s="45" t="s">
        <v>3486</v>
      </c>
      <c r="H6802" s="55" t="s">
        <v>3487</v>
      </c>
      <c r="I6802" s="15" t="s">
        <v>119</v>
      </c>
    </row>
    <row r="6803" spans="1:9" ht="51.75" customHeight="1" x14ac:dyDescent="0.35">
      <c r="A6803" s="15">
        <v>1</v>
      </c>
      <c r="B6803" s="15" t="s">
        <v>40490</v>
      </c>
      <c r="C6803" s="15" t="s">
        <v>40491</v>
      </c>
      <c r="D6803" s="31">
        <v>39722</v>
      </c>
      <c r="E6803" s="15" t="s">
        <v>40492</v>
      </c>
      <c r="F6803" s="87" t="s">
        <v>21871</v>
      </c>
      <c r="G6803" s="45" t="s">
        <v>595</v>
      </c>
      <c r="H6803" s="55" t="s">
        <v>596</v>
      </c>
      <c r="I6803" s="15" t="s">
        <v>119</v>
      </c>
    </row>
    <row r="6804" spans="1:9" ht="51.75" customHeight="1" x14ac:dyDescent="0.35">
      <c r="A6804" s="15">
        <v>1</v>
      </c>
      <c r="B6804" s="15" t="s">
        <v>40493</v>
      </c>
      <c r="C6804" s="15" t="s">
        <v>40491</v>
      </c>
      <c r="D6804" s="31">
        <v>39722</v>
      </c>
      <c r="E6804" s="15" t="s">
        <v>40494</v>
      </c>
      <c r="F6804" s="87" t="s">
        <v>40368</v>
      </c>
      <c r="G6804" s="45" t="s">
        <v>595</v>
      </c>
      <c r="H6804" s="55" t="s">
        <v>596</v>
      </c>
      <c r="I6804" s="15" t="s">
        <v>119</v>
      </c>
    </row>
    <row r="6805" spans="1:9" ht="51.75" customHeight="1" x14ac:dyDescent="0.35">
      <c r="A6805" s="15">
        <v>1</v>
      </c>
      <c r="B6805" s="15" t="s">
        <v>40495</v>
      </c>
      <c r="C6805" s="15" t="s">
        <v>40496</v>
      </c>
      <c r="D6805" s="31">
        <v>39722</v>
      </c>
      <c r="E6805" s="15" t="s">
        <v>40497</v>
      </c>
      <c r="F6805" s="87" t="s">
        <v>21871</v>
      </c>
      <c r="G6805" s="45" t="s">
        <v>3072</v>
      </c>
      <c r="H6805" s="55" t="s">
        <v>3073</v>
      </c>
      <c r="I6805" s="15" t="s">
        <v>119</v>
      </c>
    </row>
    <row r="6806" spans="1:9" ht="51.75" customHeight="1" x14ac:dyDescent="0.35">
      <c r="A6806" s="15">
        <v>1</v>
      </c>
      <c r="B6806" s="15" t="s">
        <v>40498</v>
      </c>
      <c r="C6806" s="15" t="s">
        <v>40496</v>
      </c>
      <c r="D6806" s="31">
        <v>39722</v>
      </c>
      <c r="E6806" s="15" t="s">
        <v>40499</v>
      </c>
      <c r="F6806" s="87" t="s">
        <v>40368</v>
      </c>
      <c r="G6806" s="45" t="s">
        <v>3072</v>
      </c>
      <c r="H6806" s="55" t="s">
        <v>3073</v>
      </c>
      <c r="I6806" s="15" t="s">
        <v>119</v>
      </c>
    </row>
    <row r="6807" spans="1:9" ht="51.75" customHeight="1" x14ac:dyDescent="0.35">
      <c r="A6807" s="15">
        <v>2</v>
      </c>
      <c r="B6807" s="15" t="s">
        <v>40500</v>
      </c>
      <c r="C6807" s="15" t="s">
        <v>40501</v>
      </c>
      <c r="D6807" s="31">
        <v>39722</v>
      </c>
      <c r="E6807" s="15" t="s">
        <v>40502</v>
      </c>
      <c r="F6807" s="87" t="s">
        <v>21871</v>
      </c>
      <c r="G6807" s="45" t="s">
        <v>3072</v>
      </c>
      <c r="H6807" s="55" t="s">
        <v>3073</v>
      </c>
      <c r="I6807" s="15" t="s">
        <v>119</v>
      </c>
    </row>
    <row r="6808" spans="1:9" ht="51.75" customHeight="1" x14ac:dyDescent="0.35">
      <c r="A6808" s="15">
        <v>2</v>
      </c>
      <c r="B6808" s="15" t="s">
        <v>40503</v>
      </c>
      <c r="C6808" s="15" t="s">
        <v>40501</v>
      </c>
      <c r="D6808" s="31">
        <v>39722</v>
      </c>
      <c r="E6808" s="15" t="s">
        <v>40504</v>
      </c>
      <c r="F6808" s="87" t="s">
        <v>40368</v>
      </c>
      <c r="G6808" s="45" t="s">
        <v>3072</v>
      </c>
      <c r="H6808" s="55" t="s">
        <v>3073</v>
      </c>
      <c r="I6808" s="15" t="s">
        <v>119</v>
      </c>
    </row>
    <row r="6809" spans="1:9" ht="51.75" customHeight="1" x14ac:dyDescent="0.35">
      <c r="A6809" s="15">
        <v>3</v>
      </c>
      <c r="B6809" s="15" t="s">
        <v>40505</v>
      </c>
      <c r="C6809" s="15" t="s">
        <v>40506</v>
      </c>
      <c r="D6809" s="31">
        <v>39722</v>
      </c>
      <c r="E6809" s="15" t="s">
        <v>40507</v>
      </c>
      <c r="F6809" s="87" t="s">
        <v>21871</v>
      </c>
      <c r="G6809" s="45" t="s">
        <v>3072</v>
      </c>
      <c r="H6809" s="55" t="s">
        <v>3073</v>
      </c>
      <c r="I6809" s="15" t="s">
        <v>119</v>
      </c>
    </row>
    <row r="6810" spans="1:9" ht="51.75" customHeight="1" x14ac:dyDescent="0.35">
      <c r="A6810" s="15">
        <v>3</v>
      </c>
      <c r="B6810" s="15" t="s">
        <v>40508</v>
      </c>
      <c r="C6810" s="15" t="s">
        <v>40506</v>
      </c>
      <c r="D6810" s="31">
        <v>39722</v>
      </c>
      <c r="E6810" s="15" t="s">
        <v>40509</v>
      </c>
      <c r="F6810" s="87" t="s">
        <v>40368</v>
      </c>
      <c r="G6810" s="45" t="s">
        <v>3072</v>
      </c>
      <c r="H6810" s="55" t="s">
        <v>3073</v>
      </c>
      <c r="I6810" s="15" t="s">
        <v>119</v>
      </c>
    </row>
    <row r="6811" spans="1:9" ht="51.75" customHeight="1" x14ac:dyDescent="0.35">
      <c r="A6811" s="15">
        <v>1</v>
      </c>
      <c r="B6811" s="15" t="s">
        <v>40510</v>
      </c>
      <c r="C6811" s="15" t="s">
        <v>40511</v>
      </c>
      <c r="D6811" s="31">
        <v>39986</v>
      </c>
      <c r="E6811" s="15" t="s">
        <v>40512</v>
      </c>
      <c r="F6811" s="87" t="s">
        <v>21871</v>
      </c>
      <c r="G6811" s="45" t="s">
        <v>2915</v>
      </c>
      <c r="H6811" s="55" t="s">
        <v>2916</v>
      </c>
      <c r="I6811" s="15" t="s">
        <v>119</v>
      </c>
    </row>
    <row r="6812" spans="1:9" ht="51.75" customHeight="1" x14ac:dyDescent="0.35">
      <c r="A6812" s="15">
        <v>1</v>
      </c>
      <c r="B6812" s="15" t="s">
        <v>40513</v>
      </c>
      <c r="C6812" s="15" t="s">
        <v>40511</v>
      </c>
      <c r="D6812" s="31">
        <v>39986</v>
      </c>
      <c r="E6812" s="15" t="s">
        <v>40514</v>
      </c>
      <c r="F6812" s="87" t="s">
        <v>40368</v>
      </c>
      <c r="G6812" s="45" t="s">
        <v>2915</v>
      </c>
      <c r="H6812" s="55" t="s">
        <v>2916</v>
      </c>
      <c r="I6812" s="15" t="s">
        <v>119</v>
      </c>
    </row>
    <row r="6813" spans="1:9" ht="51.75" customHeight="1" x14ac:dyDescent="0.35">
      <c r="A6813" s="15">
        <v>2</v>
      </c>
      <c r="B6813" s="15" t="s">
        <v>40515</v>
      </c>
      <c r="C6813" s="15" t="s">
        <v>40516</v>
      </c>
      <c r="D6813" s="31">
        <v>39986</v>
      </c>
      <c r="E6813" s="15" t="s">
        <v>40517</v>
      </c>
      <c r="F6813" s="87" t="s">
        <v>21871</v>
      </c>
      <c r="G6813" s="45" t="s">
        <v>2915</v>
      </c>
      <c r="H6813" s="55" t="s">
        <v>2916</v>
      </c>
      <c r="I6813" s="15" t="s">
        <v>119</v>
      </c>
    </row>
    <row r="6814" spans="1:9" ht="51.75" customHeight="1" x14ac:dyDescent="0.35">
      <c r="A6814" s="15">
        <v>2</v>
      </c>
      <c r="B6814" s="15" t="s">
        <v>40518</v>
      </c>
      <c r="C6814" s="15" t="s">
        <v>40516</v>
      </c>
      <c r="D6814" s="31">
        <v>39986</v>
      </c>
      <c r="E6814" s="15" t="s">
        <v>40519</v>
      </c>
      <c r="F6814" s="87" t="s">
        <v>40368</v>
      </c>
      <c r="G6814" s="45" t="s">
        <v>2915</v>
      </c>
      <c r="H6814" s="55" t="s">
        <v>2916</v>
      </c>
      <c r="I6814" s="15" t="s">
        <v>119</v>
      </c>
    </row>
    <row r="6815" spans="1:9" ht="51.75" customHeight="1" x14ac:dyDescent="0.35">
      <c r="A6815" s="15">
        <v>3</v>
      </c>
      <c r="B6815" s="15" t="s">
        <v>40520</v>
      </c>
      <c r="C6815" s="15" t="s">
        <v>40521</v>
      </c>
      <c r="D6815" s="31">
        <v>39986</v>
      </c>
      <c r="E6815" s="15" t="s">
        <v>40522</v>
      </c>
      <c r="F6815" s="87" t="s">
        <v>21871</v>
      </c>
      <c r="G6815" s="45" t="s">
        <v>2915</v>
      </c>
      <c r="H6815" s="55" t="s">
        <v>2916</v>
      </c>
      <c r="I6815" s="15" t="s">
        <v>119</v>
      </c>
    </row>
    <row r="6816" spans="1:9" ht="51.75" customHeight="1" x14ac:dyDescent="0.35">
      <c r="A6816" s="15">
        <v>3</v>
      </c>
      <c r="B6816" s="15" t="s">
        <v>40523</v>
      </c>
      <c r="C6816" s="15" t="s">
        <v>40521</v>
      </c>
      <c r="D6816" s="31">
        <v>39986</v>
      </c>
      <c r="E6816" s="15" t="s">
        <v>40524</v>
      </c>
      <c r="F6816" s="87" t="s">
        <v>40368</v>
      </c>
      <c r="G6816" s="45" t="s">
        <v>2915</v>
      </c>
      <c r="H6816" s="55" t="s">
        <v>2916</v>
      </c>
      <c r="I6816" s="15" t="s">
        <v>119</v>
      </c>
    </row>
    <row r="6817" spans="1:9" ht="51.75" customHeight="1" x14ac:dyDescent="0.35">
      <c r="A6817" s="15">
        <v>4</v>
      </c>
      <c r="B6817" s="15" t="s">
        <v>40525</v>
      </c>
      <c r="C6817" s="15" t="s">
        <v>40526</v>
      </c>
      <c r="D6817" s="31">
        <v>39986</v>
      </c>
      <c r="E6817" s="15" t="s">
        <v>40527</v>
      </c>
      <c r="F6817" s="87" t="s">
        <v>21871</v>
      </c>
      <c r="G6817" s="45" t="s">
        <v>2915</v>
      </c>
      <c r="H6817" s="55" t="s">
        <v>2916</v>
      </c>
      <c r="I6817" s="15" t="s">
        <v>119</v>
      </c>
    </row>
    <row r="6818" spans="1:9" ht="51.75" customHeight="1" x14ac:dyDescent="0.35">
      <c r="A6818" s="15">
        <v>4</v>
      </c>
      <c r="B6818" s="15" t="s">
        <v>40528</v>
      </c>
      <c r="C6818" s="15" t="s">
        <v>40526</v>
      </c>
      <c r="D6818" s="31">
        <v>39986</v>
      </c>
      <c r="E6818" s="15" t="s">
        <v>40529</v>
      </c>
      <c r="F6818" s="87" t="s">
        <v>40368</v>
      </c>
      <c r="G6818" s="45" t="s">
        <v>2915</v>
      </c>
      <c r="H6818" s="55" t="s">
        <v>2916</v>
      </c>
      <c r="I6818" s="15" t="s">
        <v>119</v>
      </c>
    </row>
    <row r="6819" spans="1:9" ht="51.75" customHeight="1" x14ac:dyDescent="0.35">
      <c r="A6819" s="15">
        <v>5</v>
      </c>
      <c r="B6819" s="15" t="s">
        <v>40530</v>
      </c>
      <c r="C6819" s="15" t="s">
        <v>40531</v>
      </c>
      <c r="D6819" s="31">
        <v>39986</v>
      </c>
      <c r="E6819" s="15" t="s">
        <v>40532</v>
      </c>
      <c r="F6819" s="87" t="s">
        <v>21871</v>
      </c>
      <c r="G6819" s="45" t="s">
        <v>2915</v>
      </c>
      <c r="H6819" s="55" t="s">
        <v>2916</v>
      </c>
      <c r="I6819" s="15" t="s">
        <v>119</v>
      </c>
    </row>
    <row r="6820" spans="1:9" ht="51.75" customHeight="1" x14ac:dyDescent="0.35">
      <c r="A6820" s="15">
        <v>5</v>
      </c>
      <c r="B6820" s="15" t="s">
        <v>40533</v>
      </c>
      <c r="C6820" s="15" t="s">
        <v>40531</v>
      </c>
      <c r="D6820" s="31">
        <v>39986</v>
      </c>
      <c r="E6820" s="15" t="s">
        <v>40534</v>
      </c>
      <c r="F6820" s="87" t="s">
        <v>40368</v>
      </c>
      <c r="G6820" s="45" t="s">
        <v>2915</v>
      </c>
      <c r="H6820" s="55" t="s">
        <v>2916</v>
      </c>
      <c r="I6820" s="15" t="s">
        <v>119</v>
      </c>
    </row>
    <row r="6821" spans="1:9" ht="51.75" customHeight="1" x14ac:dyDescent="0.35">
      <c r="A6821" s="15">
        <v>6</v>
      </c>
      <c r="B6821" s="15" t="s">
        <v>40535</v>
      </c>
      <c r="C6821" s="15" t="s">
        <v>40536</v>
      </c>
      <c r="D6821" s="31">
        <v>39986</v>
      </c>
      <c r="E6821" s="15" t="s">
        <v>40537</v>
      </c>
      <c r="F6821" s="87" t="s">
        <v>21871</v>
      </c>
      <c r="G6821" s="45" t="s">
        <v>2915</v>
      </c>
      <c r="H6821" s="55" t="s">
        <v>2916</v>
      </c>
      <c r="I6821" s="15" t="s">
        <v>119</v>
      </c>
    </row>
    <row r="6822" spans="1:9" ht="51.75" customHeight="1" x14ac:dyDescent="0.35">
      <c r="A6822" s="15">
        <v>6</v>
      </c>
      <c r="B6822" s="15" t="s">
        <v>40538</v>
      </c>
      <c r="C6822" s="15" t="s">
        <v>40536</v>
      </c>
      <c r="D6822" s="31">
        <v>39986</v>
      </c>
      <c r="E6822" s="15" t="s">
        <v>40539</v>
      </c>
      <c r="F6822" s="87" t="s">
        <v>40368</v>
      </c>
      <c r="G6822" s="45" t="s">
        <v>2915</v>
      </c>
      <c r="H6822" s="55" t="s">
        <v>2916</v>
      </c>
      <c r="I6822" s="15" t="s">
        <v>119</v>
      </c>
    </row>
    <row r="6823" spans="1:9" ht="51.75" customHeight="1" x14ac:dyDescent="0.35">
      <c r="A6823" s="15">
        <v>7</v>
      </c>
      <c r="B6823" s="15" t="s">
        <v>40540</v>
      </c>
      <c r="C6823" s="15" t="s">
        <v>40541</v>
      </c>
      <c r="D6823" s="31">
        <v>39986</v>
      </c>
      <c r="E6823" s="15" t="s">
        <v>40542</v>
      </c>
      <c r="F6823" s="87" t="s">
        <v>21871</v>
      </c>
      <c r="G6823" s="45" t="s">
        <v>2915</v>
      </c>
      <c r="H6823" s="55" t="s">
        <v>2916</v>
      </c>
      <c r="I6823" s="15" t="s">
        <v>119</v>
      </c>
    </row>
    <row r="6824" spans="1:9" ht="51.75" customHeight="1" x14ac:dyDescent="0.35">
      <c r="A6824" s="15">
        <v>7</v>
      </c>
      <c r="B6824" s="15" t="s">
        <v>40543</v>
      </c>
      <c r="C6824" s="15" t="s">
        <v>40541</v>
      </c>
      <c r="D6824" s="31">
        <v>39986</v>
      </c>
      <c r="E6824" s="15" t="s">
        <v>40544</v>
      </c>
      <c r="F6824" s="87" t="s">
        <v>40368</v>
      </c>
      <c r="G6824" s="45" t="s">
        <v>2915</v>
      </c>
      <c r="H6824" s="55" t="s">
        <v>2916</v>
      </c>
      <c r="I6824" s="15" t="s">
        <v>119</v>
      </c>
    </row>
    <row r="6825" spans="1:9" ht="51.75" customHeight="1" x14ac:dyDescent="0.35">
      <c r="A6825" s="15">
        <v>1</v>
      </c>
      <c r="B6825" s="15" t="s">
        <v>40545</v>
      </c>
      <c r="C6825" s="15" t="s">
        <v>40546</v>
      </c>
      <c r="D6825" s="31">
        <v>39986</v>
      </c>
      <c r="E6825" s="15" t="s">
        <v>40547</v>
      </c>
      <c r="F6825" s="87" t="s">
        <v>21871</v>
      </c>
      <c r="G6825" s="45" t="s">
        <v>2907</v>
      </c>
      <c r="H6825" s="55" t="s">
        <v>2908</v>
      </c>
      <c r="I6825" s="15" t="s">
        <v>119</v>
      </c>
    </row>
    <row r="6826" spans="1:9" ht="51.75" customHeight="1" x14ac:dyDescent="0.35">
      <c r="A6826" s="15">
        <v>1</v>
      </c>
      <c r="B6826" s="15" t="s">
        <v>40548</v>
      </c>
      <c r="C6826" s="15" t="s">
        <v>40546</v>
      </c>
      <c r="D6826" s="31">
        <v>39986</v>
      </c>
      <c r="E6826" s="15" t="s">
        <v>40549</v>
      </c>
      <c r="F6826" s="87" t="s">
        <v>40368</v>
      </c>
      <c r="G6826" s="45" t="s">
        <v>2907</v>
      </c>
      <c r="H6826" s="55" t="s">
        <v>2908</v>
      </c>
      <c r="I6826" s="15" t="s">
        <v>119</v>
      </c>
    </row>
    <row r="6827" spans="1:9" ht="51.75" customHeight="1" x14ac:dyDescent="0.35">
      <c r="A6827" s="15">
        <v>2</v>
      </c>
      <c r="B6827" s="15" t="s">
        <v>40550</v>
      </c>
      <c r="C6827" s="15" t="s">
        <v>40551</v>
      </c>
      <c r="D6827" s="31">
        <v>39986</v>
      </c>
      <c r="E6827" s="15" t="s">
        <v>40552</v>
      </c>
      <c r="F6827" s="87" t="s">
        <v>21871</v>
      </c>
      <c r="G6827" s="45" t="s">
        <v>2907</v>
      </c>
      <c r="H6827" s="55" t="s">
        <v>2908</v>
      </c>
      <c r="I6827" s="15" t="s">
        <v>119</v>
      </c>
    </row>
    <row r="6828" spans="1:9" ht="51.75" customHeight="1" x14ac:dyDescent="0.35">
      <c r="A6828" s="15">
        <v>2</v>
      </c>
      <c r="B6828" s="15" t="s">
        <v>40553</v>
      </c>
      <c r="C6828" s="15" t="s">
        <v>40551</v>
      </c>
      <c r="D6828" s="31">
        <v>39986</v>
      </c>
      <c r="E6828" s="15" t="s">
        <v>40554</v>
      </c>
      <c r="F6828" s="87" t="s">
        <v>40368</v>
      </c>
      <c r="G6828" s="45" t="s">
        <v>2907</v>
      </c>
      <c r="H6828" s="55" t="s">
        <v>2908</v>
      </c>
      <c r="I6828" s="15" t="s">
        <v>119</v>
      </c>
    </row>
    <row r="6829" spans="1:9" ht="51.75" customHeight="1" x14ac:dyDescent="0.35">
      <c r="A6829" s="15">
        <v>1</v>
      </c>
      <c r="B6829" s="15" t="s">
        <v>40555</v>
      </c>
      <c r="C6829" s="15" t="s">
        <v>40556</v>
      </c>
      <c r="D6829" s="31">
        <v>40095</v>
      </c>
      <c r="E6829" s="15" t="s">
        <v>40557</v>
      </c>
      <c r="F6829" s="87" t="s">
        <v>40368</v>
      </c>
      <c r="G6829" s="45" t="s">
        <v>2956</v>
      </c>
      <c r="H6829" s="55" t="s">
        <v>2957</v>
      </c>
      <c r="I6829" s="15" t="s">
        <v>119</v>
      </c>
    </row>
    <row r="6830" spans="1:9" ht="51.75" customHeight="1" x14ac:dyDescent="0.35">
      <c r="A6830" s="15">
        <v>1</v>
      </c>
      <c r="B6830" s="15" t="s">
        <v>40558</v>
      </c>
      <c r="C6830" s="15" t="s">
        <v>40556</v>
      </c>
      <c r="D6830" s="31">
        <v>40095</v>
      </c>
      <c r="E6830" s="15" t="s">
        <v>40559</v>
      </c>
      <c r="F6830" s="87" t="s">
        <v>21871</v>
      </c>
      <c r="G6830" s="45" t="s">
        <v>2956</v>
      </c>
      <c r="H6830" s="55" t="s">
        <v>2957</v>
      </c>
      <c r="I6830" s="15" t="s">
        <v>119</v>
      </c>
    </row>
    <row r="6831" spans="1:9" ht="51.75" customHeight="1" x14ac:dyDescent="0.35">
      <c r="A6831" s="15">
        <v>2</v>
      </c>
      <c r="B6831" s="15" t="s">
        <v>40560</v>
      </c>
      <c r="C6831" s="15" t="s">
        <v>40561</v>
      </c>
      <c r="D6831" s="31">
        <v>40095</v>
      </c>
      <c r="E6831" s="15" t="s">
        <v>40562</v>
      </c>
      <c r="F6831" s="87" t="s">
        <v>40368</v>
      </c>
      <c r="G6831" s="45" t="s">
        <v>2956</v>
      </c>
      <c r="H6831" s="55" t="s">
        <v>2957</v>
      </c>
      <c r="I6831" s="15" t="s">
        <v>119</v>
      </c>
    </row>
    <row r="6832" spans="1:9" ht="51.75" customHeight="1" x14ac:dyDescent="0.35">
      <c r="A6832" s="15">
        <v>2</v>
      </c>
      <c r="B6832" s="15" t="s">
        <v>40563</v>
      </c>
      <c r="C6832" s="15" t="s">
        <v>40561</v>
      </c>
      <c r="D6832" s="31">
        <v>40095</v>
      </c>
      <c r="E6832" s="15" t="s">
        <v>40564</v>
      </c>
      <c r="F6832" s="87" t="s">
        <v>21871</v>
      </c>
      <c r="G6832" s="45" t="s">
        <v>2956</v>
      </c>
      <c r="H6832" s="55" t="s">
        <v>2957</v>
      </c>
      <c r="I6832" s="15" t="s">
        <v>119</v>
      </c>
    </row>
    <row r="6833" spans="1:9" ht="51.75" customHeight="1" x14ac:dyDescent="0.35">
      <c r="A6833" s="15">
        <v>3</v>
      </c>
      <c r="B6833" s="15" t="s">
        <v>40565</v>
      </c>
      <c r="C6833" s="15" t="s">
        <v>40566</v>
      </c>
      <c r="D6833" s="31">
        <v>40095</v>
      </c>
      <c r="E6833" s="15" t="s">
        <v>40567</v>
      </c>
      <c r="F6833" s="87" t="s">
        <v>40368</v>
      </c>
      <c r="G6833" s="45" t="s">
        <v>2956</v>
      </c>
      <c r="H6833" s="55" t="s">
        <v>2957</v>
      </c>
      <c r="I6833" s="15" t="s">
        <v>119</v>
      </c>
    </row>
    <row r="6834" spans="1:9" ht="51.75" customHeight="1" x14ac:dyDescent="0.35">
      <c r="A6834" s="15">
        <v>3</v>
      </c>
      <c r="B6834" s="15" t="s">
        <v>40568</v>
      </c>
      <c r="C6834" s="15" t="s">
        <v>40566</v>
      </c>
      <c r="D6834" s="31">
        <v>40095</v>
      </c>
      <c r="E6834" s="15" t="s">
        <v>40569</v>
      </c>
      <c r="F6834" s="87" t="s">
        <v>21871</v>
      </c>
      <c r="G6834" s="45" t="s">
        <v>2956</v>
      </c>
      <c r="H6834" s="55" t="s">
        <v>2957</v>
      </c>
      <c r="I6834" s="15" t="s">
        <v>119</v>
      </c>
    </row>
    <row r="6835" spans="1:9" ht="51.75" customHeight="1" x14ac:dyDescent="0.35">
      <c r="A6835" s="15">
        <v>4</v>
      </c>
      <c r="B6835" s="15" t="s">
        <v>40570</v>
      </c>
      <c r="C6835" s="15" t="s">
        <v>40571</v>
      </c>
      <c r="D6835" s="31">
        <v>40095</v>
      </c>
      <c r="E6835" s="15" t="s">
        <v>40572</v>
      </c>
      <c r="F6835" s="87" t="s">
        <v>40368</v>
      </c>
      <c r="G6835" s="45" t="s">
        <v>2956</v>
      </c>
      <c r="H6835" s="55" t="s">
        <v>2957</v>
      </c>
      <c r="I6835" s="15" t="s">
        <v>119</v>
      </c>
    </row>
    <row r="6836" spans="1:9" ht="51.75" customHeight="1" x14ac:dyDescent="0.35">
      <c r="A6836" s="15">
        <v>4</v>
      </c>
      <c r="B6836" s="15" t="s">
        <v>40573</v>
      </c>
      <c r="C6836" s="15" t="s">
        <v>40571</v>
      </c>
      <c r="D6836" s="31">
        <v>40095</v>
      </c>
      <c r="E6836" s="15" t="s">
        <v>40574</v>
      </c>
      <c r="F6836" s="87" t="s">
        <v>21871</v>
      </c>
      <c r="G6836" s="45" t="s">
        <v>2956</v>
      </c>
      <c r="H6836" s="55" t="s">
        <v>2957</v>
      </c>
      <c r="I6836" s="15" t="s">
        <v>119</v>
      </c>
    </row>
    <row r="6837" spans="1:9" ht="51.75" customHeight="1" x14ac:dyDescent="0.35">
      <c r="A6837" s="15">
        <v>5</v>
      </c>
      <c r="B6837" s="15" t="s">
        <v>40575</v>
      </c>
      <c r="C6837" s="15" t="s">
        <v>40576</v>
      </c>
      <c r="D6837" s="31">
        <v>40095</v>
      </c>
      <c r="E6837" s="15" t="s">
        <v>40577</v>
      </c>
      <c r="F6837" s="87" t="s">
        <v>40368</v>
      </c>
      <c r="G6837" s="45" t="s">
        <v>2956</v>
      </c>
      <c r="H6837" s="55" t="s">
        <v>2957</v>
      </c>
      <c r="I6837" s="15" t="s">
        <v>119</v>
      </c>
    </row>
    <row r="6838" spans="1:9" ht="51.75" customHeight="1" x14ac:dyDescent="0.35">
      <c r="A6838" s="15">
        <v>5</v>
      </c>
      <c r="B6838" s="15" t="s">
        <v>40578</v>
      </c>
      <c r="C6838" s="15" t="s">
        <v>40576</v>
      </c>
      <c r="D6838" s="31">
        <v>40095</v>
      </c>
      <c r="E6838" s="15" t="s">
        <v>40579</v>
      </c>
      <c r="F6838" s="87" t="s">
        <v>21871</v>
      </c>
      <c r="G6838" s="45" t="s">
        <v>2956</v>
      </c>
      <c r="H6838" s="55" t="s">
        <v>2957</v>
      </c>
      <c r="I6838" s="15" t="s">
        <v>119</v>
      </c>
    </row>
    <row r="6839" spans="1:9" ht="51.75" customHeight="1" x14ac:dyDescent="0.35">
      <c r="A6839" s="15">
        <v>1</v>
      </c>
      <c r="B6839" s="15" t="s">
        <v>40580</v>
      </c>
      <c r="C6839" s="15" t="s">
        <v>40581</v>
      </c>
      <c r="D6839" s="31">
        <v>40564</v>
      </c>
      <c r="E6839" s="15" t="s">
        <v>40582</v>
      </c>
      <c r="F6839" s="87" t="s">
        <v>21871</v>
      </c>
      <c r="G6839" s="45" t="s">
        <v>2887</v>
      </c>
      <c r="H6839" s="55" t="s">
        <v>2888</v>
      </c>
      <c r="I6839" s="15" t="s">
        <v>119</v>
      </c>
    </row>
    <row r="6840" spans="1:9" ht="51.75" customHeight="1" x14ac:dyDescent="0.35">
      <c r="A6840" s="15">
        <v>1</v>
      </c>
      <c r="B6840" s="15" t="s">
        <v>40583</v>
      </c>
      <c r="C6840" s="15" t="s">
        <v>40581</v>
      </c>
      <c r="D6840" s="31">
        <v>40564</v>
      </c>
      <c r="E6840" s="15" t="s">
        <v>40584</v>
      </c>
      <c r="F6840" s="87" t="s">
        <v>40368</v>
      </c>
      <c r="G6840" s="45" t="s">
        <v>2887</v>
      </c>
      <c r="H6840" s="55" t="s">
        <v>2888</v>
      </c>
      <c r="I6840" s="15" t="s">
        <v>119</v>
      </c>
    </row>
    <row r="6841" spans="1:9" ht="51.75" customHeight="1" x14ac:dyDescent="0.35">
      <c r="A6841" s="15">
        <v>2</v>
      </c>
      <c r="B6841" s="15" t="s">
        <v>40585</v>
      </c>
      <c r="C6841" s="15" t="s">
        <v>40586</v>
      </c>
      <c r="D6841" s="31">
        <v>40564</v>
      </c>
      <c r="E6841" s="15" t="s">
        <v>40587</v>
      </c>
      <c r="F6841" s="87" t="s">
        <v>21871</v>
      </c>
      <c r="G6841" s="45" t="s">
        <v>2887</v>
      </c>
      <c r="H6841" s="55" t="s">
        <v>2888</v>
      </c>
      <c r="I6841" s="15" t="s">
        <v>119</v>
      </c>
    </row>
    <row r="6842" spans="1:9" ht="51.75" customHeight="1" x14ac:dyDescent="0.35">
      <c r="A6842" s="15">
        <v>2</v>
      </c>
      <c r="B6842" s="15" t="s">
        <v>40588</v>
      </c>
      <c r="C6842" s="15" t="s">
        <v>40586</v>
      </c>
      <c r="D6842" s="31">
        <v>40564</v>
      </c>
      <c r="E6842" s="15" t="s">
        <v>40589</v>
      </c>
      <c r="F6842" s="87" t="s">
        <v>40368</v>
      </c>
      <c r="G6842" s="45" t="s">
        <v>2887</v>
      </c>
      <c r="H6842" s="55" t="s">
        <v>2888</v>
      </c>
      <c r="I6842" s="15" t="s">
        <v>119</v>
      </c>
    </row>
    <row r="6843" spans="1:9" ht="51.75" customHeight="1" x14ac:dyDescent="0.35">
      <c r="A6843" s="15">
        <v>3</v>
      </c>
      <c r="B6843" s="15" t="s">
        <v>40590</v>
      </c>
      <c r="C6843" s="15" t="s">
        <v>40591</v>
      </c>
      <c r="D6843" s="31">
        <v>40564</v>
      </c>
      <c r="E6843" s="15" t="s">
        <v>40592</v>
      </c>
      <c r="F6843" s="87" t="s">
        <v>21871</v>
      </c>
      <c r="G6843" s="45" t="s">
        <v>2887</v>
      </c>
      <c r="H6843" s="55" t="s">
        <v>2888</v>
      </c>
      <c r="I6843" s="15" t="s">
        <v>119</v>
      </c>
    </row>
    <row r="6844" spans="1:9" ht="51.75" customHeight="1" x14ac:dyDescent="0.35">
      <c r="A6844" s="15">
        <v>3</v>
      </c>
      <c r="B6844" s="15" t="s">
        <v>40593</v>
      </c>
      <c r="C6844" s="15" t="s">
        <v>40591</v>
      </c>
      <c r="D6844" s="31">
        <v>40564</v>
      </c>
      <c r="E6844" s="15" t="s">
        <v>40594</v>
      </c>
      <c r="F6844" s="87" t="s">
        <v>40368</v>
      </c>
      <c r="G6844" s="45" t="s">
        <v>2887</v>
      </c>
      <c r="H6844" s="55" t="s">
        <v>2888</v>
      </c>
      <c r="I6844" s="15" t="s">
        <v>119</v>
      </c>
    </row>
    <row r="6845" spans="1:9" ht="51.75" customHeight="1" x14ac:dyDescent="0.35">
      <c r="A6845" s="15">
        <v>1</v>
      </c>
      <c r="B6845" s="15" t="s">
        <v>40595</v>
      </c>
      <c r="C6845" s="15" t="s">
        <v>40596</v>
      </c>
      <c r="D6845" s="31">
        <v>39587</v>
      </c>
      <c r="E6845" s="15" t="s">
        <v>40597</v>
      </c>
      <c r="F6845" s="87" t="s">
        <v>21871</v>
      </c>
      <c r="G6845" s="45" t="s">
        <v>2700</v>
      </c>
      <c r="H6845" s="55" t="s">
        <v>2701</v>
      </c>
      <c r="I6845" s="15" t="s">
        <v>119</v>
      </c>
    </row>
    <row r="6846" spans="1:9" ht="51.75" customHeight="1" x14ac:dyDescent="0.35">
      <c r="A6846" s="15">
        <v>1</v>
      </c>
      <c r="B6846" s="15" t="s">
        <v>40598</v>
      </c>
      <c r="C6846" s="15" t="s">
        <v>40596</v>
      </c>
      <c r="D6846" s="31">
        <v>39587</v>
      </c>
      <c r="E6846" s="15" t="s">
        <v>40599</v>
      </c>
      <c r="F6846" s="87" t="s">
        <v>40368</v>
      </c>
      <c r="G6846" s="45" t="s">
        <v>2700</v>
      </c>
      <c r="H6846" s="55" t="s">
        <v>2701</v>
      </c>
      <c r="I6846" s="15" t="s">
        <v>119</v>
      </c>
    </row>
    <row r="6847" spans="1:9" ht="51.75" customHeight="1" x14ac:dyDescent="0.35">
      <c r="A6847" s="15">
        <v>2</v>
      </c>
      <c r="B6847" s="15" t="s">
        <v>40600</v>
      </c>
      <c r="C6847" s="15" t="s">
        <v>40601</v>
      </c>
      <c r="D6847" s="31">
        <v>39587</v>
      </c>
      <c r="E6847" s="15" t="s">
        <v>40602</v>
      </c>
      <c r="F6847" s="87" t="s">
        <v>21871</v>
      </c>
      <c r="G6847" s="45" t="s">
        <v>2700</v>
      </c>
      <c r="H6847" s="55" t="s">
        <v>2701</v>
      </c>
      <c r="I6847" s="15" t="s">
        <v>119</v>
      </c>
    </row>
    <row r="6848" spans="1:9" ht="51.75" customHeight="1" x14ac:dyDescent="0.35">
      <c r="A6848" s="15">
        <v>2</v>
      </c>
      <c r="B6848" s="15" t="s">
        <v>40603</v>
      </c>
      <c r="C6848" s="15" t="s">
        <v>40601</v>
      </c>
      <c r="D6848" s="31">
        <v>39587</v>
      </c>
      <c r="E6848" s="15" t="s">
        <v>40604</v>
      </c>
      <c r="F6848" s="87" t="s">
        <v>40368</v>
      </c>
      <c r="G6848" s="45" t="s">
        <v>2700</v>
      </c>
      <c r="H6848" s="55" t="s">
        <v>2701</v>
      </c>
      <c r="I6848" s="15" t="s">
        <v>119</v>
      </c>
    </row>
    <row r="6849" spans="1:9" ht="51.75" customHeight="1" x14ac:dyDescent="0.35">
      <c r="A6849" s="15">
        <v>3</v>
      </c>
      <c r="B6849" s="15" t="s">
        <v>40605</v>
      </c>
      <c r="C6849" s="15" t="s">
        <v>40606</v>
      </c>
      <c r="D6849" s="31">
        <v>39587</v>
      </c>
      <c r="E6849" s="15" t="s">
        <v>40607</v>
      </c>
      <c r="F6849" s="87" t="s">
        <v>21871</v>
      </c>
      <c r="G6849" s="45" t="s">
        <v>2700</v>
      </c>
      <c r="H6849" s="55" t="s">
        <v>2701</v>
      </c>
      <c r="I6849" s="15" t="s">
        <v>119</v>
      </c>
    </row>
    <row r="6850" spans="1:9" ht="51.75" customHeight="1" x14ac:dyDescent="0.35">
      <c r="A6850" s="15">
        <v>3</v>
      </c>
      <c r="B6850" s="15" t="s">
        <v>40608</v>
      </c>
      <c r="C6850" s="15" t="s">
        <v>40606</v>
      </c>
      <c r="D6850" s="31">
        <v>39587</v>
      </c>
      <c r="E6850" s="15" t="s">
        <v>40609</v>
      </c>
      <c r="F6850" s="87" t="s">
        <v>40368</v>
      </c>
      <c r="G6850" s="45" t="s">
        <v>2700</v>
      </c>
      <c r="H6850" s="55" t="s">
        <v>2701</v>
      </c>
      <c r="I6850" s="15" t="s">
        <v>119</v>
      </c>
    </row>
    <row r="6851" spans="1:9" ht="51.75" customHeight="1" x14ac:dyDescent="0.35">
      <c r="A6851" s="15">
        <v>1</v>
      </c>
      <c r="B6851" s="15" t="s">
        <v>40610</v>
      </c>
      <c r="C6851" s="15" t="s">
        <v>40611</v>
      </c>
      <c r="D6851" s="31">
        <v>39829</v>
      </c>
      <c r="E6851" s="15" t="s">
        <v>40612</v>
      </c>
      <c r="F6851" s="87" t="s">
        <v>21871</v>
      </c>
      <c r="G6851" s="45" t="s">
        <v>2478</v>
      </c>
      <c r="H6851" s="55" t="s">
        <v>2479</v>
      </c>
      <c r="I6851" s="15" t="s">
        <v>119</v>
      </c>
    </row>
    <row r="6852" spans="1:9" ht="51.75" customHeight="1" x14ac:dyDescent="0.35">
      <c r="A6852" s="15">
        <v>1</v>
      </c>
      <c r="B6852" s="15" t="s">
        <v>40613</v>
      </c>
      <c r="C6852" s="15" t="s">
        <v>40611</v>
      </c>
      <c r="D6852" s="31">
        <v>39829</v>
      </c>
      <c r="E6852" s="15" t="s">
        <v>40614</v>
      </c>
      <c r="F6852" s="87" t="s">
        <v>40368</v>
      </c>
      <c r="G6852" s="45" t="s">
        <v>2478</v>
      </c>
      <c r="H6852" s="55" t="s">
        <v>2479</v>
      </c>
      <c r="I6852" s="15" t="s">
        <v>119</v>
      </c>
    </row>
    <row r="6853" spans="1:9" ht="51.75" customHeight="1" x14ac:dyDescent="0.35">
      <c r="A6853" s="15">
        <v>2</v>
      </c>
      <c r="B6853" s="15" t="s">
        <v>40615</v>
      </c>
      <c r="C6853" s="15" t="s">
        <v>40616</v>
      </c>
      <c r="D6853" s="31">
        <v>39829</v>
      </c>
      <c r="E6853" s="15" t="s">
        <v>40617</v>
      </c>
      <c r="F6853" s="87" t="s">
        <v>21871</v>
      </c>
      <c r="G6853" s="45" t="s">
        <v>2478</v>
      </c>
      <c r="H6853" s="55" t="s">
        <v>2479</v>
      </c>
      <c r="I6853" s="15" t="s">
        <v>119</v>
      </c>
    </row>
    <row r="6854" spans="1:9" ht="51.75" customHeight="1" x14ac:dyDescent="0.35">
      <c r="A6854" s="15">
        <v>2</v>
      </c>
      <c r="B6854" s="15" t="s">
        <v>40618</v>
      </c>
      <c r="C6854" s="15" t="s">
        <v>40616</v>
      </c>
      <c r="D6854" s="31">
        <v>39829</v>
      </c>
      <c r="E6854" s="15" t="s">
        <v>40619</v>
      </c>
      <c r="F6854" s="87" t="s">
        <v>40368</v>
      </c>
      <c r="G6854" s="45" t="s">
        <v>2478</v>
      </c>
      <c r="H6854" s="55" t="s">
        <v>2479</v>
      </c>
      <c r="I6854" s="15" t="s">
        <v>119</v>
      </c>
    </row>
    <row r="6855" spans="1:9" ht="51.75" customHeight="1" x14ac:dyDescent="0.35">
      <c r="A6855" s="15">
        <v>3</v>
      </c>
      <c r="B6855" s="15" t="s">
        <v>40620</v>
      </c>
      <c r="C6855" s="15" t="s">
        <v>40621</v>
      </c>
      <c r="D6855" s="31">
        <v>39829</v>
      </c>
      <c r="E6855" s="15" t="s">
        <v>40622</v>
      </c>
      <c r="F6855" s="87" t="s">
        <v>21871</v>
      </c>
      <c r="G6855" s="45" t="s">
        <v>2478</v>
      </c>
      <c r="H6855" s="55" t="s">
        <v>2479</v>
      </c>
      <c r="I6855" s="15" t="s">
        <v>119</v>
      </c>
    </row>
    <row r="6856" spans="1:9" ht="51.75" customHeight="1" x14ac:dyDescent="0.35">
      <c r="A6856" s="15">
        <v>3</v>
      </c>
      <c r="B6856" s="15" t="s">
        <v>40623</v>
      </c>
      <c r="C6856" s="15" t="s">
        <v>40621</v>
      </c>
      <c r="D6856" s="31">
        <v>39829</v>
      </c>
      <c r="E6856" s="15" t="s">
        <v>40624</v>
      </c>
      <c r="F6856" s="87" t="s">
        <v>40368</v>
      </c>
      <c r="G6856" s="45" t="s">
        <v>2478</v>
      </c>
      <c r="H6856" s="55" t="s">
        <v>2479</v>
      </c>
      <c r="I6856" s="15" t="s">
        <v>119</v>
      </c>
    </row>
    <row r="6857" spans="1:9" ht="51.75" customHeight="1" x14ac:dyDescent="0.35">
      <c r="A6857" s="15">
        <v>1</v>
      </c>
      <c r="B6857" s="15" t="s">
        <v>40625</v>
      </c>
      <c r="C6857" s="15" t="s">
        <v>40626</v>
      </c>
      <c r="D6857" s="31">
        <v>39829</v>
      </c>
      <c r="E6857" s="15" t="s">
        <v>40627</v>
      </c>
      <c r="F6857" s="87" t="s">
        <v>21871</v>
      </c>
      <c r="G6857" s="45" t="s">
        <v>2396</v>
      </c>
      <c r="H6857" s="55" t="s">
        <v>2397</v>
      </c>
      <c r="I6857" s="15" t="s">
        <v>119</v>
      </c>
    </row>
    <row r="6858" spans="1:9" ht="51.75" customHeight="1" x14ac:dyDescent="0.35">
      <c r="A6858" s="15">
        <v>1</v>
      </c>
      <c r="B6858" s="15" t="s">
        <v>40628</v>
      </c>
      <c r="C6858" s="15" t="s">
        <v>40626</v>
      </c>
      <c r="D6858" s="31">
        <v>39829</v>
      </c>
      <c r="E6858" s="15" t="s">
        <v>40629</v>
      </c>
      <c r="F6858" s="87" t="s">
        <v>40368</v>
      </c>
      <c r="G6858" s="45" t="s">
        <v>2396</v>
      </c>
      <c r="H6858" s="55" t="s">
        <v>2397</v>
      </c>
      <c r="I6858" s="15" t="s">
        <v>119</v>
      </c>
    </row>
    <row r="6859" spans="1:9" ht="51.75" customHeight="1" x14ac:dyDescent="0.35">
      <c r="A6859" s="15">
        <v>2</v>
      </c>
      <c r="B6859" s="15" t="s">
        <v>40630</v>
      </c>
      <c r="C6859" s="15" t="s">
        <v>40631</v>
      </c>
      <c r="D6859" s="31">
        <v>39829</v>
      </c>
      <c r="E6859" s="15" t="s">
        <v>40632</v>
      </c>
      <c r="F6859" s="87" t="s">
        <v>21871</v>
      </c>
      <c r="G6859" s="45" t="s">
        <v>2396</v>
      </c>
      <c r="H6859" s="55" t="s">
        <v>2397</v>
      </c>
      <c r="I6859" s="15" t="s">
        <v>119</v>
      </c>
    </row>
    <row r="6860" spans="1:9" ht="51.75" customHeight="1" x14ac:dyDescent="0.35">
      <c r="A6860" s="15">
        <v>2</v>
      </c>
      <c r="B6860" s="15" t="s">
        <v>40633</v>
      </c>
      <c r="C6860" s="15" t="s">
        <v>40631</v>
      </c>
      <c r="D6860" s="31">
        <v>39829</v>
      </c>
      <c r="E6860" s="15" t="s">
        <v>40634</v>
      </c>
      <c r="F6860" s="87" t="s">
        <v>40368</v>
      </c>
      <c r="G6860" s="45" t="s">
        <v>2396</v>
      </c>
      <c r="H6860" s="55" t="s">
        <v>2397</v>
      </c>
      <c r="I6860" s="15" t="s">
        <v>119</v>
      </c>
    </row>
    <row r="6861" spans="1:9" ht="51.75" customHeight="1" x14ac:dyDescent="0.35">
      <c r="A6861" s="15">
        <v>3</v>
      </c>
      <c r="B6861" s="15" t="s">
        <v>40635</v>
      </c>
      <c r="C6861" s="15" t="s">
        <v>40636</v>
      </c>
      <c r="D6861" s="31">
        <v>39829</v>
      </c>
      <c r="E6861" s="15" t="s">
        <v>40637</v>
      </c>
      <c r="F6861" s="87" t="s">
        <v>21871</v>
      </c>
      <c r="G6861" s="45" t="s">
        <v>2396</v>
      </c>
      <c r="H6861" s="55" t="s">
        <v>2397</v>
      </c>
      <c r="I6861" s="15" t="s">
        <v>119</v>
      </c>
    </row>
    <row r="6862" spans="1:9" ht="51.75" customHeight="1" x14ac:dyDescent="0.35">
      <c r="A6862" s="15">
        <v>3</v>
      </c>
      <c r="B6862" s="15" t="s">
        <v>40638</v>
      </c>
      <c r="C6862" s="15" t="s">
        <v>40636</v>
      </c>
      <c r="D6862" s="31">
        <v>39829</v>
      </c>
      <c r="E6862" s="15" t="s">
        <v>40639</v>
      </c>
      <c r="F6862" s="87" t="s">
        <v>40368</v>
      </c>
      <c r="G6862" s="45" t="s">
        <v>2396</v>
      </c>
      <c r="H6862" s="55" t="s">
        <v>2397</v>
      </c>
      <c r="I6862" s="15" t="s">
        <v>119</v>
      </c>
    </row>
    <row r="6863" spans="1:9" ht="51.75" customHeight="1" x14ac:dyDescent="0.35">
      <c r="A6863" s="15">
        <v>1</v>
      </c>
      <c r="B6863" s="15" t="s">
        <v>40640</v>
      </c>
      <c r="C6863" s="15" t="s">
        <v>40641</v>
      </c>
      <c r="D6863" s="31">
        <v>39378</v>
      </c>
      <c r="E6863" s="15" t="s">
        <v>40642</v>
      </c>
      <c r="F6863" s="87" t="s">
        <v>21871</v>
      </c>
      <c r="G6863" s="45" t="s">
        <v>2242</v>
      </c>
      <c r="H6863" s="55" t="s">
        <v>2243</v>
      </c>
      <c r="I6863" s="15" t="s">
        <v>119</v>
      </c>
    </row>
    <row r="6864" spans="1:9" ht="51.75" customHeight="1" x14ac:dyDescent="0.35">
      <c r="A6864" s="15">
        <v>1</v>
      </c>
      <c r="B6864" s="15" t="s">
        <v>40643</v>
      </c>
      <c r="C6864" s="15" t="s">
        <v>40641</v>
      </c>
      <c r="D6864" s="31">
        <v>39378</v>
      </c>
      <c r="E6864" s="15" t="s">
        <v>40644</v>
      </c>
      <c r="F6864" s="87" t="s">
        <v>40368</v>
      </c>
      <c r="G6864" s="45" t="s">
        <v>2242</v>
      </c>
      <c r="H6864" s="55" t="s">
        <v>2243</v>
      </c>
      <c r="I6864" s="15" t="s">
        <v>119</v>
      </c>
    </row>
    <row r="6865" spans="1:9" ht="51.75" customHeight="1" x14ac:dyDescent="0.35">
      <c r="A6865" s="15">
        <v>2</v>
      </c>
      <c r="B6865" s="15" t="s">
        <v>40645</v>
      </c>
      <c r="C6865" s="15" t="s">
        <v>40646</v>
      </c>
      <c r="D6865" s="31">
        <v>39378</v>
      </c>
      <c r="E6865" s="15" t="s">
        <v>40647</v>
      </c>
      <c r="F6865" s="87" t="s">
        <v>21871</v>
      </c>
      <c r="G6865" s="45" t="s">
        <v>2242</v>
      </c>
      <c r="H6865" s="55" t="s">
        <v>2243</v>
      </c>
      <c r="I6865" s="15" t="s">
        <v>119</v>
      </c>
    </row>
    <row r="6866" spans="1:9" ht="51.75" customHeight="1" x14ac:dyDescent="0.35">
      <c r="A6866" s="15">
        <v>2</v>
      </c>
      <c r="B6866" s="15" t="s">
        <v>40648</v>
      </c>
      <c r="C6866" s="15" t="s">
        <v>40646</v>
      </c>
      <c r="D6866" s="31">
        <v>39378</v>
      </c>
      <c r="E6866" s="15" t="s">
        <v>40649</v>
      </c>
      <c r="F6866" s="87" t="s">
        <v>40368</v>
      </c>
      <c r="G6866" s="45" t="s">
        <v>2242</v>
      </c>
      <c r="H6866" s="55" t="s">
        <v>2243</v>
      </c>
      <c r="I6866" s="15" t="s">
        <v>119</v>
      </c>
    </row>
    <row r="6867" spans="1:9" ht="51.75" customHeight="1" x14ac:dyDescent="0.35">
      <c r="A6867" s="15">
        <v>3</v>
      </c>
      <c r="B6867" s="15" t="s">
        <v>40650</v>
      </c>
      <c r="C6867" s="15" t="s">
        <v>40651</v>
      </c>
      <c r="D6867" s="31">
        <v>39378</v>
      </c>
      <c r="E6867" s="15" t="s">
        <v>40652</v>
      </c>
      <c r="F6867" s="87" t="s">
        <v>21871</v>
      </c>
      <c r="G6867" s="45" t="s">
        <v>2242</v>
      </c>
      <c r="H6867" s="55" t="s">
        <v>2243</v>
      </c>
      <c r="I6867" s="15" t="s">
        <v>119</v>
      </c>
    </row>
    <row r="6868" spans="1:9" ht="51.75" customHeight="1" x14ac:dyDescent="0.35">
      <c r="A6868" s="15">
        <v>3</v>
      </c>
      <c r="B6868" s="15" t="s">
        <v>40653</v>
      </c>
      <c r="C6868" s="15" t="s">
        <v>40651</v>
      </c>
      <c r="D6868" s="31">
        <v>39378</v>
      </c>
      <c r="E6868" s="15" t="s">
        <v>40654</v>
      </c>
      <c r="F6868" s="87" t="s">
        <v>40368</v>
      </c>
      <c r="G6868" s="45" t="s">
        <v>2242</v>
      </c>
      <c r="H6868" s="55" t="s">
        <v>2243</v>
      </c>
      <c r="I6868" s="15" t="s">
        <v>119</v>
      </c>
    </row>
    <row r="6869" spans="1:9" ht="51.75" customHeight="1" x14ac:dyDescent="0.35">
      <c r="A6869" s="15">
        <v>4</v>
      </c>
      <c r="B6869" s="15" t="s">
        <v>40655</v>
      </c>
      <c r="C6869" s="15" t="s">
        <v>40656</v>
      </c>
      <c r="D6869" s="31">
        <v>39378</v>
      </c>
      <c r="E6869" s="15" t="s">
        <v>40657</v>
      </c>
      <c r="F6869" s="87" t="s">
        <v>21871</v>
      </c>
      <c r="G6869" s="45" t="s">
        <v>2242</v>
      </c>
      <c r="H6869" s="55" t="s">
        <v>2243</v>
      </c>
      <c r="I6869" s="15" t="s">
        <v>119</v>
      </c>
    </row>
    <row r="6870" spans="1:9" ht="51.75" customHeight="1" x14ac:dyDescent="0.35">
      <c r="A6870" s="15">
        <v>4</v>
      </c>
      <c r="B6870" s="15" t="s">
        <v>40658</v>
      </c>
      <c r="C6870" s="15" t="s">
        <v>40656</v>
      </c>
      <c r="D6870" s="31">
        <v>39378</v>
      </c>
      <c r="E6870" s="15" t="s">
        <v>40659</v>
      </c>
      <c r="F6870" s="87"/>
      <c r="G6870" s="45" t="s">
        <v>2242</v>
      </c>
      <c r="H6870" s="55" t="s">
        <v>2243</v>
      </c>
      <c r="I6870" s="15" t="s">
        <v>119</v>
      </c>
    </row>
    <row r="6871" spans="1:9" ht="51.75" customHeight="1" x14ac:dyDescent="0.35">
      <c r="A6871" s="15">
        <v>5</v>
      </c>
      <c r="B6871" s="15" t="s">
        <v>40660</v>
      </c>
      <c r="C6871" s="15" t="s">
        <v>40661</v>
      </c>
      <c r="D6871" s="31">
        <v>39378</v>
      </c>
      <c r="E6871" s="15" t="s">
        <v>40662</v>
      </c>
      <c r="F6871" s="87" t="s">
        <v>21871</v>
      </c>
      <c r="G6871" s="45" t="s">
        <v>2242</v>
      </c>
      <c r="H6871" s="55" t="s">
        <v>2243</v>
      </c>
      <c r="I6871" s="15" t="s">
        <v>119</v>
      </c>
    </row>
    <row r="6872" spans="1:9" ht="51.75" customHeight="1" x14ac:dyDescent="0.35">
      <c r="A6872" s="15">
        <v>5</v>
      </c>
      <c r="B6872" s="15" t="s">
        <v>40663</v>
      </c>
      <c r="C6872" s="15" t="s">
        <v>40661</v>
      </c>
      <c r="D6872" s="31">
        <v>39378</v>
      </c>
      <c r="E6872" s="15" t="s">
        <v>40664</v>
      </c>
      <c r="F6872" s="87" t="s">
        <v>40368</v>
      </c>
      <c r="G6872" s="45" t="s">
        <v>2242</v>
      </c>
      <c r="H6872" s="55" t="s">
        <v>2243</v>
      </c>
      <c r="I6872" s="15" t="s">
        <v>119</v>
      </c>
    </row>
    <row r="6873" spans="1:9" ht="51.75" customHeight="1" x14ac:dyDescent="0.35">
      <c r="A6873" s="15">
        <v>1</v>
      </c>
      <c r="B6873" s="15" t="s">
        <v>40665</v>
      </c>
      <c r="C6873" s="15" t="s">
        <v>40666</v>
      </c>
      <c r="D6873" s="31">
        <v>39990</v>
      </c>
      <c r="E6873" s="15" t="s">
        <v>40667</v>
      </c>
      <c r="F6873" s="87" t="s">
        <v>21871</v>
      </c>
      <c r="G6873" s="45" t="s">
        <v>466</v>
      </c>
      <c r="H6873" s="55" t="s">
        <v>467</v>
      </c>
      <c r="I6873" s="15" t="s">
        <v>119</v>
      </c>
    </row>
    <row r="6874" spans="1:9" ht="51.75" customHeight="1" x14ac:dyDescent="0.35">
      <c r="A6874" s="15">
        <v>1</v>
      </c>
      <c r="B6874" s="15" t="s">
        <v>40668</v>
      </c>
      <c r="C6874" s="15" t="s">
        <v>40666</v>
      </c>
      <c r="D6874" s="31">
        <v>39990</v>
      </c>
      <c r="E6874" s="15" t="s">
        <v>40669</v>
      </c>
      <c r="F6874" s="87" t="s">
        <v>40368</v>
      </c>
      <c r="G6874" s="45" t="s">
        <v>466</v>
      </c>
      <c r="H6874" s="55" t="s">
        <v>467</v>
      </c>
      <c r="I6874" s="15" t="s">
        <v>119</v>
      </c>
    </row>
    <row r="6875" spans="1:9" ht="51.75" customHeight="1" x14ac:dyDescent="0.35">
      <c r="A6875" s="15">
        <v>2</v>
      </c>
      <c r="B6875" s="15" t="s">
        <v>40670</v>
      </c>
      <c r="C6875" s="15" t="s">
        <v>40671</v>
      </c>
      <c r="D6875" s="31">
        <v>39990</v>
      </c>
      <c r="E6875" s="15" t="s">
        <v>40672</v>
      </c>
      <c r="F6875" s="87" t="s">
        <v>21871</v>
      </c>
      <c r="G6875" s="45" t="s">
        <v>466</v>
      </c>
      <c r="H6875" s="55" t="s">
        <v>467</v>
      </c>
      <c r="I6875" s="15" t="s">
        <v>119</v>
      </c>
    </row>
    <row r="6876" spans="1:9" ht="51.75" customHeight="1" x14ac:dyDescent="0.35">
      <c r="A6876" s="15">
        <v>2</v>
      </c>
      <c r="B6876" s="15" t="s">
        <v>40673</v>
      </c>
      <c r="C6876" s="15" t="s">
        <v>40671</v>
      </c>
      <c r="D6876" s="31">
        <v>39990</v>
      </c>
      <c r="E6876" s="15" t="s">
        <v>40674</v>
      </c>
      <c r="F6876" s="87" t="s">
        <v>40368</v>
      </c>
      <c r="G6876" s="45" t="s">
        <v>466</v>
      </c>
      <c r="H6876" s="55" t="s">
        <v>467</v>
      </c>
      <c r="I6876" s="15" t="s">
        <v>119</v>
      </c>
    </row>
    <row r="6877" spans="1:9" ht="51.75" customHeight="1" x14ac:dyDescent="0.35">
      <c r="A6877" s="15">
        <v>1</v>
      </c>
      <c r="B6877" s="15" t="s">
        <v>40675</v>
      </c>
      <c r="C6877" s="15" t="s">
        <v>40676</v>
      </c>
      <c r="D6877" s="31">
        <v>40634</v>
      </c>
      <c r="E6877" s="15" t="s">
        <v>40677</v>
      </c>
      <c r="F6877" s="87" t="s">
        <v>21871</v>
      </c>
      <c r="G6877" s="45" t="s">
        <v>2057</v>
      </c>
      <c r="H6877" s="55" t="s">
        <v>2058</v>
      </c>
      <c r="I6877" s="15" t="s">
        <v>119</v>
      </c>
    </row>
    <row r="6878" spans="1:9" ht="51.75" customHeight="1" x14ac:dyDescent="0.35">
      <c r="A6878" s="15">
        <v>1</v>
      </c>
      <c r="B6878" s="15" t="s">
        <v>40678</v>
      </c>
      <c r="C6878" s="15" t="s">
        <v>40676</v>
      </c>
      <c r="D6878" s="31">
        <v>40634</v>
      </c>
      <c r="E6878" s="15" t="s">
        <v>40679</v>
      </c>
      <c r="F6878" s="87" t="s">
        <v>40368</v>
      </c>
      <c r="G6878" s="45" t="s">
        <v>2057</v>
      </c>
      <c r="H6878" s="55" t="s">
        <v>2058</v>
      </c>
      <c r="I6878" s="15" t="s">
        <v>119</v>
      </c>
    </row>
    <row r="6879" spans="1:9" ht="51.75" customHeight="1" x14ac:dyDescent="0.35">
      <c r="A6879" s="15">
        <v>2</v>
      </c>
      <c r="B6879" s="15" t="s">
        <v>40680</v>
      </c>
      <c r="C6879" s="15" t="s">
        <v>40681</v>
      </c>
      <c r="D6879" s="31">
        <v>40634</v>
      </c>
      <c r="E6879" s="15" t="s">
        <v>40682</v>
      </c>
      <c r="F6879" s="87" t="s">
        <v>21871</v>
      </c>
      <c r="G6879" s="45" t="s">
        <v>2057</v>
      </c>
      <c r="H6879" s="55" t="s">
        <v>2058</v>
      </c>
      <c r="I6879" s="15" t="s">
        <v>119</v>
      </c>
    </row>
    <row r="6880" spans="1:9" ht="51.75" customHeight="1" x14ac:dyDescent="0.35">
      <c r="A6880" s="15">
        <v>2</v>
      </c>
      <c r="B6880" s="15" t="s">
        <v>40683</v>
      </c>
      <c r="C6880" s="15" t="s">
        <v>40681</v>
      </c>
      <c r="D6880" s="31">
        <v>40634</v>
      </c>
      <c r="E6880" s="15" t="s">
        <v>40684</v>
      </c>
      <c r="F6880" s="87" t="s">
        <v>40368</v>
      </c>
      <c r="G6880" s="45" t="s">
        <v>2057</v>
      </c>
      <c r="H6880" s="55" t="s">
        <v>2058</v>
      </c>
      <c r="I6880" s="15" t="s">
        <v>119</v>
      </c>
    </row>
    <row r="6881" spans="1:9" ht="51.75" customHeight="1" x14ac:dyDescent="0.35">
      <c r="A6881" s="15">
        <v>3</v>
      </c>
      <c r="B6881" s="15" t="s">
        <v>40685</v>
      </c>
      <c r="C6881" s="15" t="s">
        <v>40686</v>
      </c>
      <c r="D6881" s="31">
        <v>40634</v>
      </c>
      <c r="E6881" s="15" t="s">
        <v>40687</v>
      </c>
      <c r="F6881" s="87" t="s">
        <v>21871</v>
      </c>
      <c r="G6881" s="45" t="s">
        <v>2057</v>
      </c>
      <c r="H6881" s="55" t="s">
        <v>2058</v>
      </c>
      <c r="I6881" s="15" t="s">
        <v>119</v>
      </c>
    </row>
    <row r="6882" spans="1:9" ht="51.75" customHeight="1" x14ac:dyDescent="0.35">
      <c r="A6882" s="15">
        <v>3</v>
      </c>
      <c r="B6882" s="15" t="s">
        <v>40688</v>
      </c>
      <c r="C6882" s="15" t="s">
        <v>40686</v>
      </c>
      <c r="D6882" s="31">
        <v>40634</v>
      </c>
      <c r="E6882" s="15" t="s">
        <v>40689</v>
      </c>
      <c r="F6882" s="87" t="s">
        <v>40368</v>
      </c>
      <c r="G6882" s="45" t="s">
        <v>2057</v>
      </c>
      <c r="H6882" s="55" t="s">
        <v>2058</v>
      </c>
      <c r="I6882" s="15" t="s">
        <v>119</v>
      </c>
    </row>
    <row r="6883" spans="1:9" ht="51.75" customHeight="1" x14ac:dyDescent="0.35">
      <c r="A6883" s="15">
        <v>4</v>
      </c>
      <c r="B6883" s="15" t="s">
        <v>40690</v>
      </c>
      <c r="C6883" s="15" t="s">
        <v>40691</v>
      </c>
      <c r="D6883" s="31">
        <v>40634</v>
      </c>
      <c r="E6883" s="15" t="s">
        <v>40692</v>
      </c>
      <c r="F6883" s="87" t="s">
        <v>21871</v>
      </c>
      <c r="G6883" s="45" t="s">
        <v>2057</v>
      </c>
      <c r="H6883" s="55" t="s">
        <v>2058</v>
      </c>
      <c r="I6883" s="15" t="s">
        <v>119</v>
      </c>
    </row>
    <row r="6884" spans="1:9" ht="51.75" customHeight="1" x14ac:dyDescent="0.35">
      <c r="A6884" s="15">
        <v>4</v>
      </c>
      <c r="B6884" s="15" t="s">
        <v>40693</v>
      </c>
      <c r="C6884" s="15" t="s">
        <v>40691</v>
      </c>
      <c r="D6884" s="31">
        <v>40634</v>
      </c>
      <c r="E6884" s="15" t="s">
        <v>40694</v>
      </c>
      <c r="F6884" s="87" t="s">
        <v>40368</v>
      </c>
      <c r="G6884" s="45" t="s">
        <v>2057</v>
      </c>
      <c r="H6884" s="55" t="s">
        <v>2058</v>
      </c>
      <c r="I6884" s="15" t="s">
        <v>119</v>
      </c>
    </row>
    <row r="6885" spans="1:9" ht="51.75" customHeight="1" x14ac:dyDescent="0.35">
      <c r="A6885" s="15">
        <v>1</v>
      </c>
      <c r="B6885" s="15" t="s">
        <v>40695</v>
      </c>
      <c r="C6885" s="15" t="s">
        <v>40696</v>
      </c>
      <c r="D6885" s="31">
        <v>39352</v>
      </c>
      <c r="E6885" s="15" t="s">
        <v>40697</v>
      </c>
      <c r="F6885" s="87" t="s">
        <v>21871</v>
      </c>
      <c r="G6885" s="45" t="s">
        <v>2067</v>
      </c>
      <c r="H6885" s="55" t="s">
        <v>2068</v>
      </c>
      <c r="I6885" s="15" t="s">
        <v>119</v>
      </c>
    </row>
    <row r="6886" spans="1:9" ht="51.75" customHeight="1" x14ac:dyDescent="0.35">
      <c r="A6886" s="15">
        <v>1</v>
      </c>
      <c r="B6886" s="15" t="s">
        <v>40698</v>
      </c>
      <c r="C6886" s="15" t="s">
        <v>40696</v>
      </c>
      <c r="D6886" s="31">
        <v>39352</v>
      </c>
      <c r="E6886" s="15" t="s">
        <v>40699</v>
      </c>
      <c r="F6886" s="87" t="s">
        <v>40368</v>
      </c>
      <c r="G6886" s="45" t="s">
        <v>2067</v>
      </c>
      <c r="H6886" s="55" t="s">
        <v>2068</v>
      </c>
      <c r="I6886" s="15" t="s">
        <v>119</v>
      </c>
    </row>
    <row r="6887" spans="1:9" ht="51.75" customHeight="1" x14ac:dyDescent="0.35">
      <c r="A6887" s="15">
        <v>2</v>
      </c>
      <c r="B6887" s="15" t="s">
        <v>40700</v>
      </c>
      <c r="C6887" s="15" t="s">
        <v>40701</v>
      </c>
      <c r="D6887" s="31">
        <v>39352</v>
      </c>
      <c r="E6887" s="15" t="s">
        <v>40702</v>
      </c>
      <c r="F6887" s="87" t="s">
        <v>21871</v>
      </c>
      <c r="G6887" s="45" t="s">
        <v>2067</v>
      </c>
      <c r="H6887" s="55" t="s">
        <v>2068</v>
      </c>
      <c r="I6887" s="15" t="s">
        <v>119</v>
      </c>
    </row>
    <row r="6888" spans="1:9" ht="51.75" customHeight="1" x14ac:dyDescent="0.35">
      <c r="A6888" s="15">
        <v>2</v>
      </c>
      <c r="B6888" s="15" t="s">
        <v>40703</v>
      </c>
      <c r="C6888" s="15" t="s">
        <v>40701</v>
      </c>
      <c r="D6888" s="31">
        <v>39352</v>
      </c>
      <c r="E6888" s="15" t="s">
        <v>40704</v>
      </c>
      <c r="F6888" s="87" t="s">
        <v>40368</v>
      </c>
      <c r="G6888" s="45" t="s">
        <v>2067</v>
      </c>
      <c r="H6888" s="55" t="s">
        <v>2068</v>
      </c>
      <c r="I6888" s="15" t="s">
        <v>119</v>
      </c>
    </row>
    <row r="6889" spans="1:9" ht="51.75" customHeight="1" x14ac:dyDescent="0.35">
      <c r="A6889" s="15">
        <v>3</v>
      </c>
      <c r="B6889" s="15" t="s">
        <v>40705</v>
      </c>
      <c r="C6889" s="15" t="s">
        <v>40706</v>
      </c>
      <c r="D6889" s="31">
        <v>39352</v>
      </c>
      <c r="E6889" s="15" t="s">
        <v>40707</v>
      </c>
      <c r="F6889" s="87" t="s">
        <v>21871</v>
      </c>
      <c r="G6889" s="45" t="s">
        <v>2067</v>
      </c>
      <c r="H6889" s="55" t="s">
        <v>2068</v>
      </c>
      <c r="I6889" s="15" t="s">
        <v>119</v>
      </c>
    </row>
    <row r="6890" spans="1:9" ht="51.75" customHeight="1" x14ac:dyDescent="0.35">
      <c r="A6890" s="15">
        <v>3</v>
      </c>
      <c r="B6890" s="15" t="s">
        <v>40708</v>
      </c>
      <c r="C6890" s="15" t="s">
        <v>40706</v>
      </c>
      <c r="D6890" s="31">
        <v>39352</v>
      </c>
      <c r="E6890" s="15" t="s">
        <v>40709</v>
      </c>
      <c r="F6890" s="87" t="s">
        <v>40368</v>
      </c>
      <c r="G6890" s="45" t="s">
        <v>2067</v>
      </c>
      <c r="H6890" s="55" t="s">
        <v>2068</v>
      </c>
      <c r="I6890" s="15" t="s">
        <v>119</v>
      </c>
    </row>
    <row r="6891" spans="1:9" ht="51.75" customHeight="1" x14ac:dyDescent="0.35">
      <c r="A6891" s="15">
        <v>4</v>
      </c>
      <c r="B6891" s="15" t="s">
        <v>40710</v>
      </c>
      <c r="C6891" s="15" t="s">
        <v>40711</v>
      </c>
      <c r="D6891" s="31">
        <v>39352</v>
      </c>
      <c r="E6891" s="15" t="s">
        <v>40712</v>
      </c>
      <c r="F6891" s="87" t="s">
        <v>21871</v>
      </c>
      <c r="G6891" s="45" t="s">
        <v>2067</v>
      </c>
      <c r="H6891" s="55" t="s">
        <v>2068</v>
      </c>
      <c r="I6891" s="15" t="s">
        <v>119</v>
      </c>
    </row>
    <row r="6892" spans="1:9" ht="51.75" customHeight="1" x14ac:dyDescent="0.35">
      <c r="A6892" s="15">
        <v>4</v>
      </c>
      <c r="B6892" s="15" t="s">
        <v>40713</v>
      </c>
      <c r="C6892" s="15" t="s">
        <v>40711</v>
      </c>
      <c r="D6892" s="31">
        <v>39352</v>
      </c>
      <c r="E6892" s="15" t="s">
        <v>40714</v>
      </c>
      <c r="F6892" s="87" t="s">
        <v>40368</v>
      </c>
      <c r="G6892" s="45" t="s">
        <v>2067</v>
      </c>
      <c r="H6892" s="55" t="s">
        <v>2068</v>
      </c>
      <c r="I6892" s="15" t="s">
        <v>119</v>
      </c>
    </row>
    <row r="6893" spans="1:9" ht="51.75" customHeight="1" x14ac:dyDescent="0.35">
      <c r="A6893" s="15">
        <v>5</v>
      </c>
      <c r="B6893" s="15" t="s">
        <v>40715</v>
      </c>
      <c r="C6893" s="15" t="s">
        <v>40716</v>
      </c>
      <c r="D6893" s="31">
        <v>39352</v>
      </c>
      <c r="E6893" s="15" t="s">
        <v>40717</v>
      </c>
      <c r="F6893" s="87" t="s">
        <v>21871</v>
      </c>
      <c r="G6893" s="45" t="s">
        <v>2067</v>
      </c>
      <c r="H6893" s="55" t="s">
        <v>2068</v>
      </c>
      <c r="I6893" s="15" t="s">
        <v>119</v>
      </c>
    </row>
    <row r="6894" spans="1:9" ht="51.75" customHeight="1" x14ac:dyDescent="0.35">
      <c r="A6894" s="15">
        <v>5</v>
      </c>
      <c r="B6894" s="15" t="s">
        <v>40718</v>
      </c>
      <c r="C6894" s="15" t="s">
        <v>40716</v>
      </c>
      <c r="D6894" s="31">
        <v>39352</v>
      </c>
      <c r="E6894" s="15" t="s">
        <v>40719</v>
      </c>
      <c r="F6894" s="87" t="s">
        <v>40368</v>
      </c>
      <c r="G6894" s="45" t="s">
        <v>2067</v>
      </c>
      <c r="H6894" s="55" t="s">
        <v>2068</v>
      </c>
      <c r="I6894" s="15" t="s">
        <v>119</v>
      </c>
    </row>
    <row r="6895" spans="1:9" ht="51.75" customHeight="1" x14ac:dyDescent="0.35">
      <c r="A6895" s="15">
        <v>1</v>
      </c>
      <c r="B6895" s="15" t="s">
        <v>40720</v>
      </c>
      <c r="C6895" s="15" t="s">
        <v>40721</v>
      </c>
      <c r="D6895" s="31">
        <v>40169</v>
      </c>
      <c r="E6895" s="15" t="s">
        <v>40722</v>
      </c>
      <c r="F6895" s="87" t="s">
        <v>21871</v>
      </c>
      <c r="G6895" s="45" t="s">
        <v>2011</v>
      </c>
      <c r="H6895" s="55" t="s">
        <v>2012</v>
      </c>
      <c r="I6895" s="15" t="s">
        <v>119</v>
      </c>
    </row>
    <row r="6896" spans="1:9" ht="51.75" customHeight="1" x14ac:dyDescent="0.35">
      <c r="A6896" s="15">
        <v>1</v>
      </c>
      <c r="B6896" s="15" t="s">
        <v>40723</v>
      </c>
      <c r="C6896" s="15" t="s">
        <v>40721</v>
      </c>
      <c r="D6896" s="31">
        <v>40169</v>
      </c>
      <c r="E6896" s="15" t="s">
        <v>40724</v>
      </c>
      <c r="F6896" s="87" t="s">
        <v>40368</v>
      </c>
      <c r="G6896" s="45" t="s">
        <v>2011</v>
      </c>
      <c r="H6896" s="55" t="s">
        <v>2012</v>
      </c>
      <c r="I6896" s="15" t="s">
        <v>119</v>
      </c>
    </row>
    <row r="6897" spans="1:9" ht="51.75" customHeight="1" x14ac:dyDescent="0.35">
      <c r="A6897" s="15">
        <v>2</v>
      </c>
      <c r="B6897" s="15" t="s">
        <v>40725</v>
      </c>
      <c r="C6897" s="15" t="s">
        <v>40726</v>
      </c>
      <c r="D6897" s="31">
        <v>40169</v>
      </c>
      <c r="E6897" s="15" t="s">
        <v>40727</v>
      </c>
      <c r="F6897" s="87" t="s">
        <v>21871</v>
      </c>
      <c r="G6897" s="45" t="s">
        <v>2011</v>
      </c>
      <c r="H6897" s="55" t="s">
        <v>2012</v>
      </c>
      <c r="I6897" s="15" t="s">
        <v>119</v>
      </c>
    </row>
    <row r="6898" spans="1:9" ht="51.75" customHeight="1" x14ac:dyDescent="0.35">
      <c r="A6898" s="15">
        <v>2</v>
      </c>
      <c r="B6898" s="15" t="s">
        <v>40728</v>
      </c>
      <c r="C6898" s="15" t="s">
        <v>40726</v>
      </c>
      <c r="D6898" s="31">
        <v>40169</v>
      </c>
      <c r="E6898" s="15" t="s">
        <v>40729</v>
      </c>
      <c r="F6898" s="87" t="s">
        <v>40368</v>
      </c>
      <c r="G6898" s="45" t="s">
        <v>2011</v>
      </c>
      <c r="H6898" s="55" t="s">
        <v>2012</v>
      </c>
      <c r="I6898" s="15" t="s">
        <v>119</v>
      </c>
    </row>
    <row r="6899" spans="1:9" ht="51.75" customHeight="1" x14ac:dyDescent="0.35">
      <c r="A6899" s="15">
        <v>1</v>
      </c>
      <c r="B6899" s="15" t="s">
        <v>40730</v>
      </c>
      <c r="C6899" s="15" t="s">
        <v>40731</v>
      </c>
      <c r="D6899" s="31">
        <v>40213</v>
      </c>
      <c r="E6899" s="15" t="s">
        <v>40732</v>
      </c>
      <c r="F6899" s="87" t="s">
        <v>21871</v>
      </c>
      <c r="G6899" s="45" t="s">
        <v>1984</v>
      </c>
      <c r="H6899" s="55" t="s">
        <v>1985</v>
      </c>
      <c r="I6899" s="15" t="s">
        <v>119</v>
      </c>
    </row>
    <row r="6900" spans="1:9" ht="51.75" customHeight="1" x14ac:dyDescent="0.35">
      <c r="A6900" s="15">
        <v>1</v>
      </c>
      <c r="B6900" s="15" t="s">
        <v>40733</v>
      </c>
      <c r="C6900" s="15" t="s">
        <v>40731</v>
      </c>
      <c r="D6900" s="31">
        <v>40213</v>
      </c>
      <c r="E6900" s="15" t="s">
        <v>40734</v>
      </c>
      <c r="F6900" s="87" t="s">
        <v>40368</v>
      </c>
      <c r="G6900" s="45" t="s">
        <v>1984</v>
      </c>
      <c r="H6900" s="55" t="s">
        <v>1985</v>
      </c>
      <c r="I6900" s="15" t="s">
        <v>119</v>
      </c>
    </row>
    <row r="6901" spans="1:9" ht="51.75" customHeight="1" x14ac:dyDescent="0.35">
      <c r="A6901" s="15">
        <v>2</v>
      </c>
      <c r="B6901" s="15" t="s">
        <v>40735</v>
      </c>
      <c r="C6901" s="15" t="s">
        <v>40736</v>
      </c>
      <c r="D6901" s="31">
        <v>40213</v>
      </c>
      <c r="E6901" s="15" t="s">
        <v>40737</v>
      </c>
      <c r="F6901" s="87" t="s">
        <v>21871</v>
      </c>
      <c r="G6901" s="45" t="s">
        <v>1984</v>
      </c>
      <c r="H6901" s="55" t="s">
        <v>1985</v>
      </c>
      <c r="I6901" s="15" t="s">
        <v>119</v>
      </c>
    </row>
    <row r="6902" spans="1:9" ht="51.75" customHeight="1" x14ac:dyDescent="0.35">
      <c r="A6902" s="15">
        <v>2</v>
      </c>
      <c r="B6902" s="15" t="s">
        <v>40738</v>
      </c>
      <c r="C6902" s="15" t="s">
        <v>40736</v>
      </c>
      <c r="D6902" s="31">
        <v>40213</v>
      </c>
      <c r="E6902" s="15" t="s">
        <v>40739</v>
      </c>
      <c r="F6902" s="87" t="s">
        <v>40368</v>
      </c>
      <c r="G6902" s="45" t="s">
        <v>1984</v>
      </c>
      <c r="H6902" s="55" t="s">
        <v>1985</v>
      </c>
      <c r="I6902" s="15" t="s">
        <v>119</v>
      </c>
    </row>
    <row r="6903" spans="1:9" ht="51.75" customHeight="1" x14ac:dyDescent="0.35">
      <c r="A6903" s="15">
        <v>3</v>
      </c>
      <c r="B6903" s="15" t="s">
        <v>40740</v>
      </c>
      <c r="C6903" s="15" t="s">
        <v>40741</v>
      </c>
      <c r="D6903" s="31">
        <v>40213</v>
      </c>
      <c r="E6903" s="15" t="s">
        <v>40742</v>
      </c>
      <c r="F6903" s="87" t="s">
        <v>21871</v>
      </c>
      <c r="G6903" s="45" t="s">
        <v>1984</v>
      </c>
      <c r="H6903" s="55" t="s">
        <v>1985</v>
      </c>
      <c r="I6903" s="15" t="s">
        <v>119</v>
      </c>
    </row>
    <row r="6904" spans="1:9" ht="51.75" customHeight="1" x14ac:dyDescent="0.35">
      <c r="A6904" s="15">
        <v>3</v>
      </c>
      <c r="B6904" s="15" t="s">
        <v>40743</v>
      </c>
      <c r="C6904" s="15" t="s">
        <v>40741</v>
      </c>
      <c r="D6904" s="31">
        <v>40213</v>
      </c>
      <c r="E6904" s="15" t="s">
        <v>40744</v>
      </c>
      <c r="F6904" s="87" t="s">
        <v>40368</v>
      </c>
      <c r="G6904" s="45" t="s">
        <v>1984</v>
      </c>
      <c r="H6904" s="55" t="s">
        <v>1985</v>
      </c>
      <c r="I6904" s="15" t="s">
        <v>119</v>
      </c>
    </row>
    <row r="6905" spans="1:9" ht="51.75" customHeight="1" x14ac:dyDescent="0.35">
      <c r="A6905" s="15">
        <v>4</v>
      </c>
      <c r="B6905" s="15" t="s">
        <v>40745</v>
      </c>
      <c r="C6905" s="15" t="s">
        <v>40746</v>
      </c>
      <c r="D6905" s="31">
        <v>40213</v>
      </c>
      <c r="E6905" s="15" t="s">
        <v>40747</v>
      </c>
      <c r="F6905" s="87" t="s">
        <v>21871</v>
      </c>
      <c r="G6905" s="45" t="s">
        <v>1984</v>
      </c>
      <c r="H6905" s="55" t="s">
        <v>1985</v>
      </c>
      <c r="I6905" s="15" t="s">
        <v>119</v>
      </c>
    </row>
    <row r="6906" spans="1:9" ht="51.75" customHeight="1" x14ac:dyDescent="0.35">
      <c r="A6906" s="15">
        <v>4</v>
      </c>
      <c r="B6906" s="15" t="s">
        <v>40748</v>
      </c>
      <c r="C6906" s="15" t="s">
        <v>40746</v>
      </c>
      <c r="D6906" s="31">
        <v>40213</v>
      </c>
      <c r="E6906" s="15" t="s">
        <v>40749</v>
      </c>
      <c r="F6906" s="87" t="s">
        <v>40368</v>
      </c>
      <c r="G6906" s="45" t="s">
        <v>1984</v>
      </c>
      <c r="H6906" s="55" t="s">
        <v>1985</v>
      </c>
      <c r="I6906" s="15" t="s">
        <v>119</v>
      </c>
    </row>
    <row r="6907" spans="1:9" ht="51.75" customHeight="1" x14ac:dyDescent="0.35">
      <c r="A6907" s="15">
        <v>5</v>
      </c>
      <c r="B6907" s="15" t="s">
        <v>40750</v>
      </c>
      <c r="C6907" s="15" t="s">
        <v>40751</v>
      </c>
      <c r="D6907" s="31">
        <v>40213</v>
      </c>
      <c r="E6907" s="15" t="s">
        <v>40752</v>
      </c>
      <c r="F6907" s="87" t="s">
        <v>21871</v>
      </c>
      <c r="G6907" s="45" t="s">
        <v>1984</v>
      </c>
      <c r="H6907" s="55" t="s">
        <v>1985</v>
      </c>
      <c r="I6907" s="15" t="s">
        <v>119</v>
      </c>
    </row>
    <row r="6908" spans="1:9" ht="51.75" customHeight="1" x14ac:dyDescent="0.35">
      <c r="A6908" s="15">
        <v>5</v>
      </c>
      <c r="B6908" s="15" t="s">
        <v>40753</v>
      </c>
      <c r="C6908" s="15" t="s">
        <v>40751</v>
      </c>
      <c r="D6908" s="31">
        <v>40213</v>
      </c>
      <c r="E6908" s="15" t="s">
        <v>40754</v>
      </c>
      <c r="F6908" s="87" t="s">
        <v>40368</v>
      </c>
      <c r="G6908" s="45" t="s">
        <v>1984</v>
      </c>
      <c r="H6908" s="55" t="s">
        <v>1985</v>
      </c>
      <c r="I6908" s="15" t="s">
        <v>119</v>
      </c>
    </row>
    <row r="6909" spans="1:9" ht="51.75" customHeight="1" x14ac:dyDescent="0.35">
      <c r="A6909" s="15">
        <v>1</v>
      </c>
      <c r="B6909" s="15" t="s">
        <v>40755</v>
      </c>
      <c r="C6909" s="15" t="s">
        <v>40756</v>
      </c>
      <c r="D6909" s="31">
        <v>39722</v>
      </c>
      <c r="E6909" s="15" t="s">
        <v>40757</v>
      </c>
      <c r="F6909" s="87" t="s">
        <v>21871</v>
      </c>
      <c r="G6909" s="45" t="s">
        <v>117</v>
      </c>
      <c r="H6909" s="55" t="s">
        <v>118</v>
      </c>
      <c r="I6909" s="15" t="s">
        <v>119</v>
      </c>
    </row>
    <row r="6910" spans="1:9" ht="51.75" customHeight="1" x14ac:dyDescent="0.35">
      <c r="A6910" s="15">
        <v>1</v>
      </c>
      <c r="B6910" s="15" t="s">
        <v>40758</v>
      </c>
      <c r="C6910" s="15" t="s">
        <v>40756</v>
      </c>
      <c r="D6910" s="31">
        <v>39722</v>
      </c>
      <c r="E6910" s="15" t="s">
        <v>40380</v>
      </c>
      <c r="F6910" s="87" t="s">
        <v>40368</v>
      </c>
      <c r="G6910" s="45" t="s">
        <v>117</v>
      </c>
      <c r="H6910" s="55" t="s">
        <v>118</v>
      </c>
      <c r="I6910" s="15" t="s">
        <v>119</v>
      </c>
    </row>
    <row r="6911" spans="1:9" ht="51.75" customHeight="1" x14ac:dyDescent="0.35">
      <c r="A6911" s="15">
        <v>2</v>
      </c>
      <c r="B6911" s="15" t="s">
        <v>40759</v>
      </c>
      <c r="C6911" s="15" t="s">
        <v>40760</v>
      </c>
      <c r="D6911" s="31">
        <v>39722</v>
      </c>
      <c r="E6911" s="15" t="s">
        <v>40761</v>
      </c>
      <c r="F6911" s="87" t="s">
        <v>21871</v>
      </c>
      <c r="G6911" s="45" t="s">
        <v>117</v>
      </c>
      <c r="H6911" s="55" t="s">
        <v>118</v>
      </c>
      <c r="I6911" s="15" t="s">
        <v>119</v>
      </c>
    </row>
    <row r="6912" spans="1:9" ht="51.75" customHeight="1" x14ac:dyDescent="0.35">
      <c r="A6912" s="15">
        <v>2</v>
      </c>
      <c r="B6912" s="15" t="s">
        <v>40762</v>
      </c>
      <c r="C6912" s="15" t="s">
        <v>40760</v>
      </c>
      <c r="D6912" s="31">
        <v>39722</v>
      </c>
      <c r="E6912" s="15" t="s">
        <v>40763</v>
      </c>
      <c r="F6912" s="87" t="s">
        <v>40368</v>
      </c>
      <c r="G6912" s="45" t="s">
        <v>117</v>
      </c>
      <c r="H6912" s="55" t="s">
        <v>118</v>
      </c>
      <c r="I6912" s="15" t="s">
        <v>119</v>
      </c>
    </row>
    <row r="6913" spans="1:9" ht="51.75" customHeight="1" x14ac:dyDescent="0.35">
      <c r="A6913" s="15">
        <v>3</v>
      </c>
      <c r="B6913" s="15" t="s">
        <v>40764</v>
      </c>
      <c r="C6913" s="15" t="s">
        <v>40765</v>
      </c>
      <c r="D6913" s="31">
        <v>39722</v>
      </c>
      <c r="E6913" s="15" t="s">
        <v>40766</v>
      </c>
      <c r="F6913" s="87" t="s">
        <v>21871</v>
      </c>
      <c r="G6913" s="45" t="s">
        <v>117</v>
      </c>
      <c r="H6913" s="55" t="s">
        <v>118</v>
      </c>
      <c r="I6913" s="15" t="s">
        <v>119</v>
      </c>
    </row>
    <row r="6914" spans="1:9" ht="51.75" customHeight="1" x14ac:dyDescent="0.35">
      <c r="A6914" s="15">
        <v>3</v>
      </c>
      <c r="B6914" s="15" t="s">
        <v>40767</v>
      </c>
      <c r="C6914" s="15" t="s">
        <v>40765</v>
      </c>
      <c r="D6914" s="31">
        <v>39722</v>
      </c>
      <c r="E6914" s="15" t="s">
        <v>40768</v>
      </c>
      <c r="F6914" s="87" t="s">
        <v>40368</v>
      </c>
      <c r="G6914" s="45" t="s">
        <v>117</v>
      </c>
      <c r="H6914" s="55" t="s">
        <v>118</v>
      </c>
      <c r="I6914" s="15" t="s">
        <v>119</v>
      </c>
    </row>
    <row r="6915" spans="1:9" ht="51.75" customHeight="1" x14ac:dyDescent="0.35">
      <c r="A6915" s="15">
        <v>4</v>
      </c>
      <c r="B6915" s="15" t="s">
        <v>40769</v>
      </c>
      <c r="C6915" s="15" t="s">
        <v>40770</v>
      </c>
      <c r="D6915" s="31">
        <v>39722</v>
      </c>
      <c r="E6915" s="15" t="s">
        <v>40771</v>
      </c>
      <c r="F6915" s="87" t="s">
        <v>21871</v>
      </c>
      <c r="G6915" s="45" t="s">
        <v>117</v>
      </c>
      <c r="H6915" s="55" t="s">
        <v>118</v>
      </c>
      <c r="I6915" s="15" t="s">
        <v>119</v>
      </c>
    </row>
    <row r="6916" spans="1:9" ht="51.75" customHeight="1" x14ac:dyDescent="0.35">
      <c r="A6916" s="15">
        <v>4</v>
      </c>
      <c r="B6916" s="15" t="s">
        <v>40772</v>
      </c>
      <c r="C6916" s="15" t="s">
        <v>40770</v>
      </c>
      <c r="D6916" s="31">
        <v>39722</v>
      </c>
      <c r="E6916" s="15" t="s">
        <v>40773</v>
      </c>
      <c r="F6916" s="87" t="s">
        <v>40368</v>
      </c>
      <c r="G6916" s="45" t="s">
        <v>117</v>
      </c>
      <c r="H6916" s="55" t="s">
        <v>118</v>
      </c>
      <c r="I6916" s="15" t="s">
        <v>119</v>
      </c>
    </row>
    <row r="6917" spans="1:9" ht="51.75" customHeight="1" x14ac:dyDescent="0.35">
      <c r="A6917" s="15">
        <v>5</v>
      </c>
      <c r="B6917" s="15" t="s">
        <v>40774</v>
      </c>
      <c r="C6917" s="15" t="s">
        <v>40775</v>
      </c>
      <c r="D6917" s="31">
        <v>39722</v>
      </c>
      <c r="E6917" s="15" t="s">
        <v>40776</v>
      </c>
      <c r="F6917" s="87" t="s">
        <v>21871</v>
      </c>
      <c r="G6917" s="45" t="s">
        <v>117</v>
      </c>
      <c r="H6917" s="55" t="s">
        <v>118</v>
      </c>
      <c r="I6917" s="15" t="s">
        <v>119</v>
      </c>
    </row>
    <row r="6918" spans="1:9" ht="51.75" customHeight="1" x14ac:dyDescent="0.35">
      <c r="A6918" s="15">
        <v>5</v>
      </c>
      <c r="B6918" s="15" t="s">
        <v>40777</v>
      </c>
      <c r="C6918" s="15" t="s">
        <v>40775</v>
      </c>
      <c r="D6918" s="31">
        <v>39722</v>
      </c>
      <c r="E6918" s="15" t="s">
        <v>40778</v>
      </c>
      <c r="F6918" s="87" t="s">
        <v>40368</v>
      </c>
      <c r="G6918" s="45" t="s">
        <v>117</v>
      </c>
      <c r="H6918" s="55" t="s">
        <v>118</v>
      </c>
      <c r="I6918" s="15" t="s">
        <v>119</v>
      </c>
    </row>
    <row r="6919" spans="1:9" ht="51.75" customHeight="1" x14ac:dyDescent="0.35">
      <c r="A6919" s="15">
        <v>6</v>
      </c>
      <c r="B6919" s="15" t="s">
        <v>40779</v>
      </c>
      <c r="C6919" s="15" t="s">
        <v>40780</v>
      </c>
      <c r="D6919" s="31">
        <v>39722</v>
      </c>
      <c r="E6919" s="15" t="s">
        <v>40781</v>
      </c>
      <c r="F6919" s="87" t="s">
        <v>21871</v>
      </c>
      <c r="G6919" s="45" t="s">
        <v>117</v>
      </c>
      <c r="H6919" s="55" t="s">
        <v>118</v>
      </c>
      <c r="I6919" s="15" t="s">
        <v>119</v>
      </c>
    </row>
    <row r="6920" spans="1:9" ht="51.75" customHeight="1" x14ac:dyDescent="0.35">
      <c r="A6920" s="15">
        <v>6</v>
      </c>
      <c r="B6920" s="15" t="s">
        <v>40782</v>
      </c>
      <c r="C6920" s="15" t="s">
        <v>40780</v>
      </c>
      <c r="D6920" s="31">
        <v>39722</v>
      </c>
      <c r="E6920" s="15" t="s">
        <v>40783</v>
      </c>
      <c r="F6920" s="87" t="s">
        <v>40368</v>
      </c>
      <c r="G6920" s="45" t="s">
        <v>117</v>
      </c>
      <c r="H6920" s="55" t="s">
        <v>118</v>
      </c>
      <c r="I6920" s="15" t="s">
        <v>119</v>
      </c>
    </row>
    <row r="6921" spans="1:9" ht="51.75" customHeight="1" x14ac:dyDescent="0.35">
      <c r="A6921" s="15">
        <v>7</v>
      </c>
      <c r="B6921" s="15" t="s">
        <v>40784</v>
      </c>
      <c r="C6921" s="15" t="s">
        <v>40785</v>
      </c>
      <c r="D6921" s="31">
        <v>39722</v>
      </c>
      <c r="E6921" s="15" t="s">
        <v>40786</v>
      </c>
      <c r="F6921" s="87" t="s">
        <v>21871</v>
      </c>
      <c r="G6921" s="45" t="s">
        <v>117</v>
      </c>
      <c r="H6921" s="55" t="s">
        <v>118</v>
      </c>
      <c r="I6921" s="15" t="s">
        <v>119</v>
      </c>
    </row>
    <row r="6922" spans="1:9" ht="51.75" customHeight="1" x14ac:dyDescent="0.35">
      <c r="A6922" s="15">
        <v>7</v>
      </c>
      <c r="B6922" s="15" t="s">
        <v>40787</v>
      </c>
      <c r="C6922" s="15" t="s">
        <v>40785</v>
      </c>
      <c r="D6922" s="31">
        <v>39722</v>
      </c>
      <c r="E6922" s="15" t="s">
        <v>40788</v>
      </c>
      <c r="F6922" s="87" t="s">
        <v>40368</v>
      </c>
      <c r="G6922" s="45" t="s">
        <v>117</v>
      </c>
      <c r="H6922" s="55" t="s">
        <v>118</v>
      </c>
      <c r="I6922" s="15" t="s">
        <v>119</v>
      </c>
    </row>
    <row r="6923" spans="1:9" ht="51.75" customHeight="1" x14ac:dyDescent="0.35">
      <c r="A6923" s="15" t="s">
        <v>21971</v>
      </c>
      <c r="B6923" s="15" t="s">
        <v>40789</v>
      </c>
      <c r="C6923" s="15" t="s">
        <v>23266</v>
      </c>
      <c r="D6923" s="31">
        <v>41824</v>
      </c>
      <c r="E6923" s="15" t="s">
        <v>40790</v>
      </c>
      <c r="F6923" s="87" t="s">
        <v>21871</v>
      </c>
      <c r="G6923" s="45" t="s">
        <v>7111</v>
      </c>
      <c r="H6923" s="55" t="s">
        <v>7112</v>
      </c>
      <c r="I6923" s="15" t="s">
        <v>119</v>
      </c>
    </row>
    <row r="6924" spans="1:9" ht="51.75" customHeight="1" x14ac:dyDescent="0.35">
      <c r="A6924" s="15" t="s">
        <v>21975</v>
      </c>
      <c r="B6924" s="15" t="s">
        <v>40791</v>
      </c>
      <c r="C6924" s="15" t="s">
        <v>23269</v>
      </c>
      <c r="D6924" s="31" t="s">
        <v>50</v>
      </c>
      <c r="E6924" s="15" t="s">
        <v>40792</v>
      </c>
      <c r="F6924" s="87" t="s">
        <v>21871</v>
      </c>
      <c r="G6924" s="45" t="s">
        <v>7111</v>
      </c>
      <c r="H6924" s="55" t="s">
        <v>7112</v>
      </c>
      <c r="I6924" s="15" t="s">
        <v>119</v>
      </c>
    </row>
    <row r="6925" spans="1:9" ht="51.75" customHeight="1" x14ac:dyDescent="0.35">
      <c r="A6925" s="15" t="s">
        <v>31926</v>
      </c>
      <c r="B6925" s="15" t="s">
        <v>40793</v>
      </c>
      <c r="C6925" s="15" t="s">
        <v>40794</v>
      </c>
      <c r="D6925" s="31">
        <v>41437</v>
      </c>
      <c r="E6925" s="15" t="s">
        <v>40795</v>
      </c>
      <c r="F6925" s="87" t="s">
        <v>21871</v>
      </c>
      <c r="G6925" s="45" t="s">
        <v>7048</v>
      </c>
      <c r="H6925" s="55" t="s">
        <v>7049</v>
      </c>
      <c r="I6925" s="15" t="s">
        <v>119</v>
      </c>
    </row>
    <row r="6926" spans="1:9" ht="51.75" customHeight="1" x14ac:dyDescent="0.35">
      <c r="A6926" s="15" t="s">
        <v>22758</v>
      </c>
      <c r="B6926" s="15" t="s">
        <v>40796</v>
      </c>
      <c r="C6926" s="15" t="s">
        <v>40797</v>
      </c>
      <c r="D6926" s="31">
        <v>41437</v>
      </c>
      <c r="E6926" s="15" t="s">
        <v>40798</v>
      </c>
      <c r="F6926" s="87" t="s">
        <v>21871</v>
      </c>
      <c r="G6926" s="45" t="s">
        <v>7048</v>
      </c>
      <c r="H6926" s="55" t="s">
        <v>7049</v>
      </c>
      <c r="I6926" s="15" t="s">
        <v>119</v>
      </c>
    </row>
    <row r="6927" spans="1:9" ht="51.75" customHeight="1" x14ac:dyDescent="0.35">
      <c r="A6927" s="15" t="s">
        <v>22762</v>
      </c>
      <c r="B6927" s="15" t="s">
        <v>40799</v>
      </c>
      <c r="C6927" s="15" t="s">
        <v>40800</v>
      </c>
      <c r="D6927" s="31">
        <v>41437</v>
      </c>
      <c r="E6927" s="15" t="s">
        <v>40801</v>
      </c>
      <c r="F6927" s="87" t="s">
        <v>21871</v>
      </c>
      <c r="G6927" s="45" t="s">
        <v>7048</v>
      </c>
      <c r="H6927" s="55" t="s">
        <v>7049</v>
      </c>
      <c r="I6927" s="15" t="s">
        <v>119</v>
      </c>
    </row>
    <row r="6928" spans="1:9" ht="51.75" customHeight="1" x14ac:dyDescent="0.35">
      <c r="A6928" s="15" t="s">
        <v>22766</v>
      </c>
      <c r="B6928" s="15" t="s">
        <v>40802</v>
      </c>
      <c r="C6928" s="15" t="s">
        <v>40803</v>
      </c>
      <c r="D6928" s="31">
        <v>41437</v>
      </c>
      <c r="E6928" s="15" t="s">
        <v>40804</v>
      </c>
      <c r="F6928" s="87" t="s">
        <v>21871</v>
      </c>
      <c r="G6928" s="45" t="s">
        <v>7048</v>
      </c>
      <c r="H6928" s="55" t="s">
        <v>7049</v>
      </c>
      <c r="I6928" s="15" t="s">
        <v>119</v>
      </c>
    </row>
    <row r="6929" spans="1:9" ht="51.75" customHeight="1" x14ac:dyDescent="0.35">
      <c r="A6929" s="15" t="s">
        <v>26429</v>
      </c>
      <c r="B6929" s="15" t="s">
        <v>40805</v>
      </c>
      <c r="C6929" s="15" t="s">
        <v>40806</v>
      </c>
      <c r="D6929" s="31">
        <v>41599</v>
      </c>
      <c r="E6929" s="15" t="s">
        <v>40807</v>
      </c>
      <c r="F6929" s="87" t="s">
        <v>40368</v>
      </c>
      <c r="G6929" s="45" t="s">
        <v>6158</v>
      </c>
      <c r="H6929" s="55" t="s">
        <v>6159</v>
      </c>
      <c r="I6929" s="15" t="s">
        <v>119</v>
      </c>
    </row>
    <row r="6930" spans="1:9" ht="51.75" customHeight="1" x14ac:dyDescent="0.35">
      <c r="A6930" s="15" t="s">
        <v>26429</v>
      </c>
      <c r="B6930" s="15" t="s">
        <v>40808</v>
      </c>
      <c r="C6930" s="15" t="s">
        <v>40806</v>
      </c>
      <c r="D6930" s="31">
        <v>41599</v>
      </c>
      <c r="E6930" s="15" t="s">
        <v>40809</v>
      </c>
      <c r="F6930" s="87" t="s">
        <v>21871</v>
      </c>
      <c r="G6930" s="45" t="s">
        <v>6158</v>
      </c>
      <c r="H6930" s="55" t="s">
        <v>6159</v>
      </c>
      <c r="I6930" s="15" t="s">
        <v>119</v>
      </c>
    </row>
    <row r="6931" spans="1:9" ht="51.75" customHeight="1" x14ac:dyDescent="0.35">
      <c r="A6931" s="15">
        <v>1</v>
      </c>
      <c r="B6931" s="15" t="s">
        <v>40810</v>
      </c>
      <c r="C6931" s="15" t="s">
        <v>40811</v>
      </c>
      <c r="D6931" s="31">
        <v>41081</v>
      </c>
      <c r="E6931" s="15" t="s">
        <v>40812</v>
      </c>
      <c r="F6931" s="87" t="s">
        <v>40368</v>
      </c>
      <c r="G6931" s="45" t="s">
        <v>6150</v>
      </c>
      <c r="H6931" s="55" t="s">
        <v>6151</v>
      </c>
      <c r="I6931" s="15" t="s">
        <v>119</v>
      </c>
    </row>
    <row r="6932" spans="1:9" ht="51.75" customHeight="1" x14ac:dyDescent="0.35">
      <c r="A6932" s="15">
        <v>1</v>
      </c>
      <c r="B6932" s="15" t="s">
        <v>40813</v>
      </c>
      <c r="C6932" s="15" t="s">
        <v>40811</v>
      </c>
      <c r="D6932" s="31">
        <v>41081</v>
      </c>
      <c r="E6932" s="15" t="s">
        <v>40814</v>
      </c>
      <c r="F6932" s="87" t="s">
        <v>21871</v>
      </c>
      <c r="G6932" s="45" t="s">
        <v>6150</v>
      </c>
      <c r="H6932" s="55" t="s">
        <v>6151</v>
      </c>
      <c r="I6932" s="15" t="s">
        <v>119</v>
      </c>
    </row>
    <row r="6933" spans="1:9" ht="51.75" customHeight="1" x14ac:dyDescent="0.35">
      <c r="A6933" s="15">
        <v>2</v>
      </c>
      <c r="B6933" s="15" t="s">
        <v>40815</v>
      </c>
      <c r="C6933" s="15" t="s">
        <v>40816</v>
      </c>
      <c r="D6933" s="31">
        <v>41081</v>
      </c>
      <c r="E6933" s="15" t="s">
        <v>40817</v>
      </c>
      <c r="F6933" s="87" t="s">
        <v>40368</v>
      </c>
      <c r="G6933" s="45" t="s">
        <v>6150</v>
      </c>
      <c r="H6933" s="55" t="s">
        <v>6151</v>
      </c>
      <c r="I6933" s="15" t="s">
        <v>119</v>
      </c>
    </row>
    <row r="6934" spans="1:9" ht="51.75" customHeight="1" x14ac:dyDescent="0.35">
      <c r="A6934" s="15">
        <v>2</v>
      </c>
      <c r="B6934" s="15" t="s">
        <v>40818</v>
      </c>
      <c r="C6934" s="15" t="s">
        <v>40816</v>
      </c>
      <c r="D6934" s="31">
        <v>41081</v>
      </c>
      <c r="E6934" s="15" t="s">
        <v>40819</v>
      </c>
      <c r="F6934" s="87" t="s">
        <v>21871</v>
      </c>
      <c r="G6934" s="45" t="s">
        <v>6150</v>
      </c>
      <c r="H6934" s="55" t="s">
        <v>6151</v>
      </c>
      <c r="I6934" s="15" t="s">
        <v>119</v>
      </c>
    </row>
    <row r="6935" spans="1:9" ht="51.75" customHeight="1" x14ac:dyDescent="0.35">
      <c r="A6935" s="15" t="s">
        <v>23412</v>
      </c>
      <c r="B6935" s="15" t="s">
        <v>40820</v>
      </c>
      <c r="C6935" s="15" t="s">
        <v>40821</v>
      </c>
      <c r="D6935" s="31">
        <v>41214</v>
      </c>
      <c r="E6935" s="15" t="s">
        <v>40822</v>
      </c>
      <c r="F6935" s="87" t="s">
        <v>21871</v>
      </c>
      <c r="G6935" s="45" t="s">
        <v>5684</v>
      </c>
      <c r="H6935" s="55" t="s">
        <v>5685</v>
      </c>
      <c r="I6935" s="15" t="s">
        <v>119</v>
      </c>
    </row>
    <row r="6936" spans="1:9" ht="51.75" customHeight="1" x14ac:dyDescent="0.35">
      <c r="A6936" s="15" t="s">
        <v>23412</v>
      </c>
      <c r="B6936" s="15" t="s">
        <v>40823</v>
      </c>
      <c r="C6936" s="15" t="s">
        <v>40821</v>
      </c>
      <c r="D6936" s="31">
        <v>41214</v>
      </c>
      <c r="E6936" s="15" t="s">
        <v>40824</v>
      </c>
      <c r="F6936" s="87" t="s">
        <v>40368</v>
      </c>
      <c r="G6936" s="45" t="s">
        <v>5684</v>
      </c>
      <c r="H6936" s="55" t="s">
        <v>5685</v>
      </c>
      <c r="I6936" s="15" t="s">
        <v>119</v>
      </c>
    </row>
    <row r="6937" spans="1:9" ht="51.75" customHeight="1" x14ac:dyDescent="0.35">
      <c r="A6937" s="15" t="s">
        <v>23416</v>
      </c>
      <c r="B6937" s="15" t="s">
        <v>40825</v>
      </c>
      <c r="C6937" s="15" t="s">
        <v>40826</v>
      </c>
      <c r="D6937" s="31">
        <v>41214</v>
      </c>
      <c r="E6937" s="15" t="s">
        <v>40827</v>
      </c>
      <c r="F6937" s="87" t="s">
        <v>21871</v>
      </c>
      <c r="G6937" s="45" t="s">
        <v>5684</v>
      </c>
      <c r="H6937" s="55" t="s">
        <v>5685</v>
      </c>
      <c r="I6937" s="15" t="s">
        <v>119</v>
      </c>
    </row>
    <row r="6938" spans="1:9" ht="51.75" customHeight="1" x14ac:dyDescent="0.35">
      <c r="A6938" s="15" t="s">
        <v>23416</v>
      </c>
      <c r="B6938" s="15" t="s">
        <v>40828</v>
      </c>
      <c r="C6938" s="15" t="s">
        <v>40826</v>
      </c>
      <c r="D6938" s="31">
        <v>41214</v>
      </c>
      <c r="E6938" s="15" t="s">
        <v>40829</v>
      </c>
      <c r="F6938" s="87" t="s">
        <v>40368</v>
      </c>
      <c r="G6938" s="45" t="s">
        <v>5684</v>
      </c>
      <c r="H6938" s="55" t="s">
        <v>5685</v>
      </c>
      <c r="I6938" s="15" t="s">
        <v>119</v>
      </c>
    </row>
    <row r="6939" spans="1:9" ht="51.75" customHeight="1" x14ac:dyDescent="0.35">
      <c r="A6939" s="15" t="s">
        <v>25223</v>
      </c>
      <c r="B6939" s="15" t="s">
        <v>40830</v>
      </c>
      <c r="C6939" s="15" t="s">
        <v>40831</v>
      </c>
      <c r="D6939" s="31">
        <v>41214</v>
      </c>
      <c r="E6939" s="15" t="s">
        <v>40832</v>
      </c>
      <c r="F6939" s="87" t="s">
        <v>21871</v>
      </c>
      <c r="G6939" s="45" t="s">
        <v>5684</v>
      </c>
      <c r="H6939" s="55" t="s">
        <v>5685</v>
      </c>
      <c r="I6939" s="15" t="s">
        <v>119</v>
      </c>
    </row>
    <row r="6940" spans="1:9" ht="51.75" customHeight="1" x14ac:dyDescent="0.35">
      <c r="A6940" s="15" t="s">
        <v>25229</v>
      </c>
      <c r="B6940" s="15" t="s">
        <v>40833</v>
      </c>
      <c r="C6940" s="15" t="s">
        <v>40834</v>
      </c>
      <c r="D6940" s="31">
        <v>41214</v>
      </c>
      <c r="E6940" s="15" t="s">
        <v>40835</v>
      </c>
      <c r="F6940" s="87" t="s">
        <v>21871</v>
      </c>
      <c r="G6940" s="45" t="s">
        <v>5684</v>
      </c>
      <c r="H6940" s="55" t="s">
        <v>5685</v>
      </c>
      <c r="I6940" s="15" t="s">
        <v>119</v>
      </c>
    </row>
    <row r="6941" spans="1:9" ht="51.75" customHeight="1" x14ac:dyDescent="0.35">
      <c r="A6941" s="15" t="s">
        <v>25229</v>
      </c>
      <c r="B6941" s="15" t="s">
        <v>40836</v>
      </c>
      <c r="C6941" s="15" t="s">
        <v>40834</v>
      </c>
      <c r="D6941" s="31">
        <v>41214</v>
      </c>
      <c r="E6941" s="15" t="s">
        <v>40837</v>
      </c>
      <c r="F6941" s="87" t="s">
        <v>40368</v>
      </c>
      <c r="G6941" s="45" t="s">
        <v>5684</v>
      </c>
      <c r="H6941" s="55" t="s">
        <v>5685</v>
      </c>
      <c r="I6941" s="15" t="s">
        <v>119</v>
      </c>
    </row>
    <row r="6942" spans="1:9" ht="51.75" customHeight="1" x14ac:dyDescent="0.35">
      <c r="A6942" s="15" t="s">
        <v>22217</v>
      </c>
      <c r="B6942" s="15" t="s">
        <v>40838</v>
      </c>
      <c r="C6942" s="15" t="s">
        <v>40839</v>
      </c>
      <c r="D6942" s="31">
        <v>41207</v>
      </c>
      <c r="E6942" s="15" t="s">
        <v>40840</v>
      </c>
      <c r="F6942" s="87" t="s">
        <v>40368</v>
      </c>
      <c r="G6942" s="45" t="s">
        <v>5471</v>
      </c>
      <c r="H6942" s="55" t="s">
        <v>5472</v>
      </c>
      <c r="I6942" s="15" t="s">
        <v>119</v>
      </c>
    </row>
    <row r="6943" spans="1:9" ht="51.75" customHeight="1" x14ac:dyDescent="0.35">
      <c r="A6943" s="15" t="s">
        <v>22217</v>
      </c>
      <c r="B6943" s="15" t="s">
        <v>40841</v>
      </c>
      <c r="C6943" s="15" t="s">
        <v>40839</v>
      </c>
      <c r="D6943" s="31">
        <v>41207</v>
      </c>
      <c r="E6943" s="15" t="s">
        <v>40842</v>
      </c>
      <c r="F6943" s="87" t="s">
        <v>21871</v>
      </c>
      <c r="G6943" s="45" t="s">
        <v>5471</v>
      </c>
      <c r="H6943" s="55" t="s">
        <v>5472</v>
      </c>
      <c r="I6943" s="15" t="s">
        <v>119</v>
      </c>
    </row>
    <row r="6944" spans="1:9" ht="51.75" customHeight="1" x14ac:dyDescent="0.35">
      <c r="A6944" s="15" t="s">
        <v>23203</v>
      </c>
      <c r="B6944" s="15" t="s">
        <v>40843</v>
      </c>
      <c r="C6944" s="15" t="s">
        <v>40844</v>
      </c>
      <c r="D6944" s="31">
        <v>41302</v>
      </c>
      <c r="E6944" s="15" t="s">
        <v>40845</v>
      </c>
      <c r="F6944" s="87" t="s">
        <v>21871</v>
      </c>
      <c r="G6944" s="45" t="s">
        <v>6745</v>
      </c>
      <c r="H6944" s="55" t="s">
        <v>6746</v>
      </c>
      <c r="I6944" s="15" t="s">
        <v>119</v>
      </c>
    </row>
    <row r="6945" spans="1:9" ht="51.75" customHeight="1" x14ac:dyDescent="0.35">
      <c r="A6945" s="15" t="s">
        <v>23203</v>
      </c>
      <c r="B6945" s="15" t="s">
        <v>40846</v>
      </c>
      <c r="C6945" s="15" t="s">
        <v>40844</v>
      </c>
      <c r="D6945" s="31">
        <v>41302</v>
      </c>
      <c r="E6945" s="15" t="s">
        <v>40847</v>
      </c>
      <c r="F6945" s="87" t="s">
        <v>40368</v>
      </c>
      <c r="G6945" s="45" t="s">
        <v>6745</v>
      </c>
      <c r="H6945" s="55" t="s">
        <v>6746</v>
      </c>
      <c r="I6945" s="15" t="s">
        <v>119</v>
      </c>
    </row>
    <row r="6946" spans="1:9" ht="51.75" customHeight="1" x14ac:dyDescent="0.35">
      <c r="A6946" s="15" t="s">
        <v>25264</v>
      </c>
      <c r="B6946" s="15" t="s">
        <v>40848</v>
      </c>
      <c r="C6946" s="15" t="s">
        <v>40849</v>
      </c>
      <c r="D6946" s="31">
        <v>41302</v>
      </c>
      <c r="E6946" s="15" t="s">
        <v>40850</v>
      </c>
      <c r="F6946" s="87" t="s">
        <v>21871</v>
      </c>
      <c r="G6946" s="45" t="s">
        <v>6745</v>
      </c>
      <c r="H6946" s="55" t="s">
        <v>6746</v>
      </c>
      <c r="I6946" s="15" t="s">
        <v>119</v>
      </c>
    </row>
    <row r="6947" spans="1:9" ht="51.75" customHeight="1" x14ac:dyDescent="0.35">
      <c r="A6947" s="15" t="s">
        <v>25264</v>
      </c>
      <c r="B6947" s="15" t="s">
        <v>40851</v>
      </c>
      <c r="C6947" s="15" t="s">
        <v>40849</v>
      </c>
      <c r="D6947" s="31">
        <v>41302</v>
      </c>
      <c r="E6947" s="15" t="s">
        <v>40852</v>
      </c>
      <c r="F6947" s="87" t="s">
        <v>40368</v>
      </c>
      <c r="G6947" s="45" t="s">
        <v>6745</v>
      </c>
      <c r="H6947" s="55" t="s">
        <v>6746</v>
      </c>
      <c r="I6947" s="15" t="s">
        <v>119</v>
      </c>
    </row>
    <row r="6948" spans="1:9" ht="51.75" customHeight="1" x14ac:dyDescent="0.35">
      <c r="A6948" s="15" t="s">
        <v>24509</v>
      </c>
      <c r="B6948" s="15" t="s">
        <v>40853</v>
      </c>
      <c r="C6948" s="15" t="s">
        <v>40854</v>
      </c>
      <c r="D6948" s="31">
        <v>41302</v>
      </c>
      <c r="E6948" s="15" t="s">
        <v>40855</v>
      </c>
      <c r="F6948" s="87" t="s">
        <v>21871</v>
      </c>
      <c r="G6948" s="45" t="s">
        <v>6745</v>
      </c>
      <c r="H6948" s="55" t="s">
        <v>6746</v>
      </c>
      <c r="I6948" s="15" t="s">
        <v>119</v>
      </c>
    </row>
    <row r="6949" spans="1:9" ht="51.75" customHeight="1" x14ac:dyDescent="0.35">
      <c r="A6949" s="15" t="s">
        <v>24509</v>
      </c>
      <c r="B6949" s="15" t="s">
        <v>40856</v>
      </c>
      <c r="C6949" s="15" t="s">
        <v>40854</v>
      </c>
      <c r="D6949" s="31">
        <v>41302</v>
      </c>
      <c r="E6949" s="15" t="s">
        <v>40857</v>
      </c>
      <c r="F6949" s="87" t="s">
        <v>40368</v>
      </c>
      <c r="G6949" s="45" t="s">
        <v>6745</v>
      </c>
      <c r="H6949" s="55" t="s">
        <v>6746</v>
      </c>
      <c r="I6949" s="15" t="s">
        <v>119</v>
      </c>
    </row>
    <row r="6950" spans="1:9" ht="51.75" customHeight="1" x14ac:dyDescent="0.35">
      <c r="A6950" s="15" t="s">
        <v>23408</v>
      </c>
      <c r="B6950" s="15" t="s">
        <v>40858</v>
      </c>
      <c r="C6950" s="15" t="s">
        <v>40859</v>
      </c>
      <c r="D6950" s="31">
        <v>41439</v>
      </c>
      <c r="E6950" s="15" t="s">
        <v>40860</v>
      </c>
      <c r="F6950" s="87" t="s">
        <v>40368</v>
      </c>
      <c r="G6950" s="45" t="s">
        <v>6752</v>
      </c>
      <c r="H6950" s="55" t="s">
        <v>6753</v>
      </c>
      <c r="I6950" s="15" t="s">
        <v>119</v>
      </c>
    </row>
    <row r="6951" spans="1:9" ht="51.75" customHeight="1" x14ac:dyDescent="0.35">
      <c r="A6951" s="15" t="s">
        <v>23408</v>
      </c>
      <c r="B6951" s="15" t="s">
        <v>40861</v>
      </c>
      <c r="C6951" s="15" t="s">
        <v>40859</v>
      </c>
      <c r="D6951" s="31">
        <v>41439</v>
      </c>
      <c r="E6951" s="15" t="s">
        <v>40862</v>
      </c>
      <c r="F6951" s="87" t="s">
        <v>21871</v>
      </c>
      <c r="G6951" s="45" t="s">
        <v>6752</v>
      </c>
      <c r="H6951" s="55" t="s">
        <v>6753</v>
      </c>
      <c r="I6951" s="15" t="s">
        <v>119</v>
      </c>
    </row>
    <row r="6952" spans="1:9" ht="51.75" customHeight="1" x14ac:dyDescent="0.35">
      <c r="A6952" s="15" t="s">
        <v>23337</v>
      </c>
      <c r="B6952" s="15" t="s">
        <v>40863</v>
      </c>
      <c r="C6952" s="15" t="s">
        <v>40864</v>
      </c>
      <c r="D6952" s="31">
        <v>41439</v>
      </c>
      <c r="E6952" s="15" t="s">
        <v>40865</v>
      </c>
      <c r="F6952" s="87" t="s">
        <v>40368</v>
      </c>
      <c r="G6952" s="45" t="s">
        <v>6752</v>
      </c>
      <c r="H6952" s="55" t="s">
        <v>6753</v>
      </c>
      <c r="I6952" s="15" t="s">
        <v>119</v>
      </c>
    </row>
    <row r="6953" spans="1:9" ht="51.75" customHeight="1" x14ac:dyDescent="0.35">
      <c r="A6953" s="15" t="s">
        <v>23337</v>
      </c>
      <c r="B6953" s="15" t="s">
        <v>40866</v>
      </c>
      <c r="C6953" s="15" t="s">
        <v>40864</v>
      </c>
      <c r="D6953" s="31">
        <v>41439</v>
      </c>
      <c r="E6953" s="15" t="s">
        <v>40867</v>
      </c>
      <c r="F6953" s="87" t="s">
        <v>21871</v>
      </c>
      <c r="G6953" s="45" t="s">
        <v>6752</v>
      </c>
      <c r="H6953" s="55" t="s">
        <v>6753</v>
      </c>
      <c r="I6953" s="15" t="s">
        <v>119</v>
      </c>
    </row>
    <row r="6954" spans="1:9" ht="51.75" customHeight="1" x14ac:dyDescent="0.35">
      <c r="A6954" s="15" t="s">
        <v>23461</v>
      </c>
      <c r="B6954" s="15" t="s">
        <v>40868</v>
      </c>
      <c r="C6954" s="15" t="s">
        <v>40869</v>
      </c>
      <c r="D6954" s="31">
        <v>41690</v>
      </c>
      <c r="E6954" s="15" t="s">
        <v>40870</v>
      </c>
      <c r="F6954" s="87" t="s">
        <v>21871</v>
      </c>
      <c r="G6954" s="45" t="s">
        <v>7614</v>
      </c>
      <c r="H6954" s="55" t="s">
        <v>7615</v>
      </c>
      <c r="I6954" s="15" t="s">
        <v>119</v>
      </c>
    </row>
    <row r="6955" spans="1:9" ht="51.75" customHeight="1" x14ac:dyDescent="0.35">
      <c r="A6955" s="15" t="s">
        <v>23465</v>
      </c>
      <c r="B6955" s="15" t="s">
        <v>40871</v>
      </c>
      <c r="C6955" s="15" t="s">
        <v>40872</v>
      </c>
      <c r="D6955" s="31">
        <v>41690</v>
      </c>
      <c r="E6955" s="15" t="s">
        <v>40873</v>
      </c>
      <c r="F6955" s="87" t="s">
        <v>21871</v>
      </c>
      <c r="G6955" s="45" t="s">
        <v>7614</v>
      </c>
      <c r="H6955" s="55" t="s">
        <v>7615</v>
      </c>
      <c r="I6955" s="15" t="s">
        <v>119</v>
      </c>
    </row>
    <row r="6956" spans="1:9" ht="51.75" customHeight="1" x14ac:dyDescent="0.35">
      <c r="A6956" s="15" t="s">
        <v>23469</v>
      </c>
      <c r="B6956" s="15" t="s">
        <v>40874</v>
      </c>
      <c r="C6956" s="15" t="s">
        <v>23321</v>
      </c>
      <c r="D6956" s="31">
        <v>41690</v>
      </c>
      <c r="E6956" s="15" t="s">
        <v>40875</v>
      </c>
      <c r="F6956" s="87" t="s">
        <v>21871</v>
      </c>
      <c r="G6956" s="45" t="s">
        <v>7614</v>
      </c>
      <c r="H6956" s="55" t="s">
        <v>7615</v>
      </c>
      <c r="I6956" s="15" t="s">
        <v>119</v>
      </c>
    </row>
    <row r="6957" spans="1:9" ht="51.75" customHeight="1" x14ac:dyDescent="0.35">
      <c r="A6957" s="15" t="s">
        <v>26429</v>
      </c>
      <c r="B6957" s="15" t="s">
        <v>40876</v>
      </c>
      <c r="C6957" s="15" t="s">
        <v>23520</v>
      </c>
      <c r="D6957" s="31">
        <v>41690</v>
      </c>
      <c r="E6957" s="15" t="s">
        <v>40877</v>
      </c>
      <c r="F6957" s="87" t="s">
        <v>21871</v>
      </c>
      <c r="G6957" s="45" t="s">
        <v>7614</v>
      </c>
      <c r="H6957" s="55" t="s">
        <v>7615</v>
      </c>
      <c r="I6957" s="15" t="s">
        <v>119</v>
      </c>
    </row>
    <row r="6958" spans="1:9" ht="51.75" customHeight="1" x14ac:dyDescent="0.35">
      <c r="A6958" s="15" t="s">
        <v>26436</v>
      </c>
      <c r="B6958" s="15" t="s">
        <v>40878</v>
      </c>
      <c r="C6958" s="15" t="s">
        <v>23523</v>
      </c>
      <c r="D6958" s="31">
        <v>41690</v>
      </c>
      <c r="E6958" s="15" t="s">
        <v>40879</v>
      </c>
      <c r="F6958" s="87" t="s">
        <v>21871</v>
      </c>
      <c r="G6958" s="45" t="s">
        <v>7614</v>
      </c>
      <c r="H6958" s="55" t="s">
        <v>7615</v>
      </c>
      <c r="I6958" s="15" t="s">
        <v>119</v>
      </c>
    </row>
    <row r="6959" spans="1:9" ht="51.75" customHeight="1" x14ac:dyDescent="0.35">
      <c r="A6959" s="15">
        <v>1</v>
      </c>
      <c r="B6959" s="15" t="s">
        <v>40880</v>
      </c>
      <c r="C6959" s="15" t="s">
        <v>40881</v>
      </c>
      <c r="D6959" s="31">
        <v>40443</v>
      </c>
      <c r="E6959" s="15" t="s">
        <v>40882</v>
      </c>
      <c r="F6959" s="87" t="s">
        <v>40368</v>
      </c>
      <c r="G6959" s="45" t="s">
        <v>5287</v>
      </c>
      <c r="H6959" s="55" t="s">
        <v>5288</v>
      </c>
      <c r="I6959" s="15" t="s">
        <v>119</v>
      </c>
    </row>
    <row r="6960" spans="1:9" ht="51.75" customHeight="1" x14ac:dyDescent="0.35">
      <c r="A6960" s="15">
        <v>1</v>
      </c>
      <c r="B6960" s="15" t="s">
        <v>40883</v>
      </c>
      <c r="C6960" s="15" t="s">
        <v>40881</v>
      </c>
      <c r="D6960" s="31">
        <v>40443</v>
      </c>
      <c r="E6960" s="15" t="s">
        <v>40884</v>
      </c>
      <c r="F6960" s="87" t="s">
        <v>21871</v>
      </c>
      <c r="G6960" s="45" t="s">
        <v>5287</v>
      </c>
      <c r="H6960" s="55" t="s">
        <v>5288</v>
      </c>
      <c r="I6960" s="15" t="s">
        <v>119</v>
      </c>
    </row>
    <row r="6961" spans="1:9" ht="51.75" customHeight="1" x14ac:dyDescent="0.35">
      <c r="A6961" s="15">
        <v>2</v>
      </c>
      <c r="B6961" s="15" t="s">
        <v>40885</v>
      </c>
      <c r="C6961" s="15" t="s">
        <v>40886</v>
      </c>
      <c r="D6961" s="31">
        <v>40443</v>
      </c>
      <c r="E6961" s="15" t="s">
        <v>40887</v>
      </c>
      <c r="F6961" s="87" t="s">
        <v>40368</v>
      </c>
      <c r="G6961" s="45" t="s">
        <v>5287</v>
      </c>
      <c r="H6961" s="55" t="s">
        <v>5288</v>
      </c>
      <c r="I6961" s="15" t="s">
        <v>119</v>
      </c>
    </row>
    <row r="6962" spans="1:9" ht="51.75" customHeight="1" x14ac:dyDescent="0.35">
      <c r="A6962" s="15">
        <v>2</v>
      </c>
      <c r="B6962" s="15" t="s">
        <v>40888</v>
      </c>
      <c r="C6962" s="15" t="s">
        <v>40886</v>
      </c>
      <c r="D6962" s="31">
        <v>40443</v>
      </c>
      <c r="E6962" s="15" t="s">
        <v>40889</v>
      </c>
      <c r="F6962" s="87" t="s">
        <v>21871</v>
      </c>
      <c r="G6962" s="45" t="s">
        <v>5287</v>
      </c>
      <c r="H6962" s="55" t="s">
        <v>5288</v>
      </c>
      <c r="I6962" s="15" t="s">
        <v>119</v>
      </c>
    </row>
    <row r="6963" spans="1:9" ht="51.75" customHeight="1" x14ac:dyDescent="0.35">
      <c r="A6963" s="15">
        <v>3</v>
      </c>
      <c r="B6963" s="15" t="s">
        <v>40890</v>
      </c>
      <c r="C6963" s="15" t="s">
        <v>40891</v>
      </c>
      <c r="D6963" s="31">
        <v>40443</v>
      </c>
      <c r="E6963" s="15" t="s">
        <v>40892</v>
      </c>
      <c r="F6963" s="87" t="s">
        <v>40368</v>
      </c>
      <c r="G6963" s="45" t="s">
        <v>5287</v>
      </c>
      <c r="H6963" s="55" t="s">
        <v>5288</v>
      </c>
      <c r="I6963" s="15" t="s">
        <v>119</v>
      </c>
    </row>
    <row r="6964" spans="1:9" ht="51.75" customHeight="1" x14ac:dyDescent="0.35">
      <c r="A6964" s="15">
        <v>3</v>
      </c>
      <c r="B6964" s="15" t="s">
        <v>40893</v>
      </c>
      <c r="C6964" s="15" t="s">
        <v>40891</v>
      </c>
      <c r="D6964" s="31">
        <v>40443</v>
      </c>
      <c r="E6964" s="15" t="s">
        <v>40894</v>
      </c>
      <c r="F6964" s="87" t="s">
        <v>21871</v>
      </c>
      <c r="G6964" s="45" t="s">
        <v>5287</v>
      </c>
      <c r="H6964" s="55" t="s">
        <v>5288</v>
      </c>
      <c r="I6964" s="15" t="s">
        <v>119</v>
      </c>
    </row>
    <row r="6965" spans="1:9" ht="51.75" customHeight="1" x14ac:dyDescent="0.35">
      <c r="A6965" s="15" t="s">
        <v>28043</v>
      </c>
      <c r="B6965" s="15" t="s">
        <v>40895</v>
      </c>
      <c r="C6965" s="15" t="s">
        <v>40896</v>
      </c>
      <c r="D6965" s="31">
        <v>41746</v>
      </c>
      <c r="E6965" s="15" t="s">
        <v>40897</v>
      </c>
      <c r="F6965" s="87" t="s">
        <v>21871</v>
      </c>
      <c r="G6965" s="45" t="s">
        <v>7973</v>
      </c>
      <c r="H6965" s="55" t="s">
        <v>7974</v>
      </c>
      <c r="I6965" s="15" t="s">
        <v>119</v>
      </c>
    </row>
    <row r="6966" spans="1:9" ht="51.75" customHeight="1" x14ac:dyDescent="0.35">
      <c r="A6966" s="15" t="s">
        <v>22858</v>
      </c>
      <c r="B6966" s="15" t="s">
        <v>40898</v>
      </c>
      <c r="C6966" s="15" t="s">
        <v>40899</v>
      </c>
      <c r="D6966" s="31">
        <v>41746</v>
      </c>
      <c r="E6966" s="15" t="s">
        <v>40900</v>
      </c>
      <c r="F6966" s="87" t="s">
        <v>21871</v>
      </c>
      <c r="G6966" s="45" t="s">
        <v>7973</v>
      </c>
      <c r="H6966" s="55" t="s">
        <v>7974</v>
      </c>
      <c r="I6966" s="15" t="s">
        <v>119</v>
      </c>
    </row>
    <row r="6967" spans="1:9" ht="51.75" customHeight="1" x14ac:dyDescent="0.35">
      <c r="A6967" s="15" t="s">
        <v>27293</v>
      </c>
      <c r="B6967" s="15" t="s">
        <v>40901</v>
      </c>
      <c r="C6967" s="15" t="s">
        <v>23266</v>
      </c>
      <c r="D6967" s="31">
        <v>41963</v>
      </c>
      <c r="E6967" s="15" t="s">
        <v>40902</v>
      </c>
      <c r="F6967" s="87" t="s">
        <v>21871</v>
      </c>
      <c r="G6967" s="45" t="s">
        <v>7258</v>
      </c>
      <c r="H6967" s="55" t="s">
        <v>40903</v>
      </c>
      <c r="I6967" s="15" t="s">
        <v>119</v>
      </c>
    </row>
    <row r="6968" spans="1:9" ht="51.75" customHeight="1" x14ac:dyDescent="0.35">
      <c r="A6968" s="15" t="s">
        <v>27298</v>
      </c>
      <c r="B6968" s="15" t="s">
        <v>40904</v>
      </c>
      <c r="C6968" s="15" t="s">
        <v>23269</v>
      </c>
      <c r="D6968" s="31" t="s">
        <v>50</v>
      </c>
      <c r="E6968" s="15" t="s">
        <v>40905</v>
      </c>
      <c r="F6968" s="87" t="s">
        <v>21871</v>
      </c>
      <c r="G6968" s="45" t="s">
        <v>7258</v>
      </c>
      <c r="H6968" s="55" t="s">
        <v>40903</v>
      </c>
      <c r="I6968" s="15" t="s">
        <v>119</v>
      </c>
    </row>
    <row r="6969" spans="1:9" ht="51.75" customHeight="1" x14ac:dyDescent="0.35">
      <c r="A6969" s="15" t="s">
        <v>23893</v>
      </c>
      <c r="B6969" s="15" t="s">
        <v>40906</v>
      </c>
      <c r="C6969" s="15" t="s">
        <v>23321</v>
      </c>
      <c r="D6969" s="31">
        <v>41963</v>
      </c>
      <c r="E6969" s="15" t="s">
        <v>40907</v>
      </c>
      <c r="F6969" s="87" t="s">
        <v>21871</v>
      </c>
      <c r="G6969" s="45" t="s">
        <v>7258</v>
      </c>
      <c r="H6969" s="55" t="s">
        <v>40903</v>
      </c>
      <c r="I6969" s="15" t="s">
        <v>119</v>
      </c>
    </row>
    <row r="6970" spans="1:9" ht="51.75" customHeight="1" x14ac:dyDescent="0.35">
      <c r="A6970" s="15" t="s">
        <v>37090</v>
      </c>
      <c r="B6970" s="15" t="s">
        <v>40908</v>
      </c>
      <c r="C6970" s="15" t="s">
        <v>23520</v>
      </c>
      <c r="D6970" s="31">
        <v>41963</v>
      </c>
      <c r="E6970" s="15" t="s">
        <v>40909</v>
      </c>
      <c r="F6970" s="87" t="s">
        <v>21871</v>
      </c>
      <c r="G6970" s="45" t="s">
        <v>7258</v>
      </c>
      <c r="H6970" s="55" t="s">
        <v>40903</v>
      </c>
      <c r="I6970" s="15" t="s">
        <v>119</v>
      </c>
    </row>
    <row r="6971" spans="1:9" ht="51.75" customHeight="1" x14ac:dyDescent="0.35">
      <c r="A6971" s="15" t="s">
        <v>28382</v>
      </c>
      <c r="B6971" s="15" t="s">
        <v>40910</v>
      </c>
      <c r="C6971" s="15" t="s">
        <v>23523</v>
      </c>
      <c r="D6971" s="31">
        <v>41963</v>
      </c>
      <c r="E6971" s="15" t="s">
        <v>40911</v>
      </c>
      <c r="F6971" s="87" t="s">
        <v>21871</v>
      </c>
      <c r="G6971" s="45" t="s">
        <v>7258</v>
      </c>
      <c r="H6971" s="55" t="s">
        <v>40903</v>
      </c>
      <c r="I6971" s="15" t="s">
        <v>119</v>
      </c>
    </row>
    <row r="6972" spans="1:9" ht="51.75" customHeight="1" x14ac:dyDescent="0.35">
      <c r="A6972" s="15" t="s">
        <v>22085</v>
      </c>
      <c r="B6972" s="15" t="s">
        <v>40912</v>
      </c>
      <c r="C6972" s="15" t="s">
        <v>23547</v>
      </c>
      <c r="D6972" s="31">
        <v>41963</v>
      </c>
      <c r="E6972" s="15" t="s">
        <v>40913</v>
      </c>
      <c r="F6972" s="87" t="s">
        <v>21871</v>
      </c>
      <c r="G6972" s="45" t="s">
        <v>7258</v>
      </c>
      <c r="H6972" s="55" t="s">
        <v>40903</v>
      </c>
      <c r="I6972" s="15" t="s">
        <v>119</v>
      </c>
    </row>
    <row r="6973" spans="1:9" ht="51.75" customHeight="1" x14ac:dyDescent="0.35">
      <c r="A6973" s="15">
        <v>1</v>
      </c>
      <c r="B6973" s="15" t="s">
        <v>40914</v>
      </c>
      <c r="C6973" s="15" t="s">
        <v>40915</v>
      </c>
      <c r="D6973" s="31">
        <v>40309</v>
      </c>
      <c r="E6973" s="15" t="s">
        <v>40916</v>
      </c>
      <c r="F6973" s="87" t="s">
        <v>21871</v>
      </c>
      <c r="G6973" s="45" t="s">
        <v>2345</v>
      </c>
      <c r="H6973" s="55" t="s">
        <v>2346</v>
      </c>
      <c r="I6973" s="15" t="s">
        <v>119</v>
      </c>
    </row>
    <row r="6974" spans="1:9" ht="51.75" customHeight="1" x14ac:dyDescent="0.35">
      <c r="A6974" s="15">
        <v>1</v>
      </c>
      <c r="B6974" s="15" t="s">
        <v>40917</v>
      </c>
      <c r="C6974" s="15" t="s">
        <v>40915</v>
      </c>
      <c r="D6974" s="31">
        <v>40309</v>
      </c>
      <c r="E6974" s="15" t="s">
        <v>40918</v>
      </c>
      <c r="F6974" s="87" t="s">
        <v>40368</v>
      </c>
      <c r="G6974" s="45" t="s">
        <v>2345</v>
      </c>
      <c r="H6974" s="55" t="s">
        <v>2346</v>
      </c>
      <c r="I6974" s="15" t="s">
        <v>119</v>
      </c>
    </row>
    <row r="6975" spans="1:9" ht="51.75" customHeight="1" x14ac:dyDescent="0.35">
      <c r="A6975" s="15">
        <v>2</v>
      </c>
      <c r="B6975" s="15" t="s">
        <v>40919</v>
      </c>
      <c r="C6975" s="15" t="s">
        <v>40920</v>
      </c>
      <c r="D6975" s="31">
        <v>40309</v>
      </c>
      <c r="E6975" s="15" t="s">
        <v>40921</v>
      </c>
      <c r="F6975" s="87" t="s">
        <v>21871</v>
      </c>
      <c r="G6975" s="45" t="s">
        <v>2345</v>
      </c>
      <c r="H6975" s="55" t="s">
        <v>2346</v>
      </c>
      <c r="I6975" s="15" t="s">
        <v>119</v>
      </c>
    </row>
    <row r="6976" spans="1:9" ht="51.75" customHeight="1" x14ac:dyDescent="0.35">
      <c r="A6976" s="15">
        <v>2</v>
      </c>
      <c r="B6976" s="15" t="s">
        <v>40922</v>
      </c>
      <c r="C6976" s="15" t="s">
        <v>40920</v>
      </c>
      <c r="D6976" s="31">
        <v>40309</v>
      </c>
      <c r="E6976" s="15" t="s">
        <v>40923</v>
      </c>
      <c r="F6976" s="87" t="s">
        <v>40368</v>
      </c>
      <c r="G6976" s="45" t="s">
        <v>2345</v>
      </c>
      <c r="H6976" s="55" t="s">
        <v>2346</v>
      </c>
      <c r="I6976" s="15" t="s">
        <v>119</v>
      </c>
    </row>
    <row r="6977" spans="1:9" ht="51.75" customHeight="1" x14ac:dyDescent="0.35">
      <c r="A6977" s="15">
        <v>3</v>
      </c>
      <c r="B6977" s="15" t="s">
        <v>40924</v>
      </c>
      <c r="C6977" s="15" t="s">
        <v>40925</v>
      </c>
      <c r="D6977" s="31">
        <v>40309</v>
      </c>
      <c r="E6977" s="15" t="s">
        <v>40926</v>
      </c>
      <c r="F6977" s="87" t="s">
        <v>21871</v>
      </c>
      <c r="G6977" s="45" t="s">
        <v>2345</v>
      </c>
      <c r="H6977" s="55" t="s">
        <v>2346</v>
      </c>
      <c r="I6977" s="15" t="s">
        <v>119</v>
      </c>
    </row>
    <row r="6978" spans="1:9" ht="51.75" customHeight="1" x14ac:dyDescent="0.35">
      <c r="A6978" s="15">
        <v>3</v>
      </c>
      <c r="B6978" s="15" t="s">
        <v>40927</v>
      </c>
      <c r="C6978" s="15" t="s">
        <v>40925</v>
      </c>
      <c r="D6978" s="31">
        <v>40309</v>
      </c>
      <c r="E6978" s="15" t="s">
        <v>40928</v>
      </c>
      <c r="F6978" s="87" t="s">
        <v>40368</v>
      </c>
      <c r="G6978" s="45" t="s">
        <v>2345</v>
      </c>
      <c r="H6978" s="55" t="s">
        <v>2346</v>
      </c>
      <c r="I6978" s="15" t="s">
        <v>119</v>
      </c>
    </row>
    <row r="6979" spans="1:9" ht="51.75" customHeight="1" x14ac:dyDescent="0.35">
      <c r="A6979" s="15">
        <v>4</v>
      </c>
      <c r="B6979" s="15" t="s">
        <v>40929</v>
      </c>
      <c r="C6979" s="15" t="s">
        <v>40930</v>
      </c>
      <c r="D6979" s="31">
        <v>40309</v>
      </c>
      <c r="E6979" s="15" t="s">
        <v>40931</v>
      </c>
      <c r="F6979" s="87" t="s">
        <v>21871</v>
      </c>
      <c r="G6979" s="45" t="s">
        <v>2345</v>
      </c>
      <c r="H6979" s="55" t="s">
        <v>2346</v>
      </c>
      <c r="I6979" s="15" t="s">
        <v>119</v>
      </c>
    </row>
    <row r="6980" spans="1:9" ht="51.75" customHeight="1" x14ac:dyDescent="0.35">
      <c r="A6980" s="15">
        <v>4</v>
      </c>
      <c r="B6980" s="15" t="s">
        <v>40932</v>
      </c>
      <c r="C6980" s="15" t="s">
        <v>40930</v>
      </c>
      <c r="D6980" s="31">
        <v>40309</v>
      </c>
      <c r="E6980" s="15" t="s">
        <v>40933</v>
      </c>
      <c r="F6980" s="87" t="s">
        <v>40368</v>
      </c>
      <c r="G6980" s="45" t="s">
        <v>2345</v>
      </c>
      <c r="H6980" s="55" t="s">
        <v>2346</v>
      </c>
      <c r="I6980" s="15" t="s">
        <v>119</v>
      </c>
    </row>
    <row r="6981" spans="1:9" ht="51.75" customHeight="1" x14ac:dyDescent="0.35">
      <c r="A6981" s="15">
        <v>5</v>
      </c>
      <c r="B6981" s="15" t="s">
        <v>40934</v>
      </c>
      <c r="C6981" s="15" t="s">
        <v>40935</v>
      </c>
      <c r="D6981" s="31">
        <v>40309</v>
      </c>
      <c r="E6981" s="15" t="s">
        <v>40936</v>
      </c>
      <c r="F6981" s="87" t="s">
        <v>21871</v>
      </c>
      <c r="G6981" s="45" t="s">
        <v>2345</v>
      </c>
      <c r="H6981" s="55" t="s">
        <v>2346</v>
      </c>
      <c r="I6981" s="15" t="s">
        <v>119</v>
      </c>
    </row>
    <row r="6982" spans="1:9" ht="51.75" customHeight="1" x14ac:dyDescent="0.35">
      <c r="A6982" s="15">
        <v>5</v>
      </c>
      <c r="B6982" s="15" t="s">
        <v>40937</v>
      </c>
      <c r="C6982" s="15" t="s">
        <v>40935</v>
      </c>
      <c r="D6982" s="31">
        <v>40309</v>
      </c>
      <c r="E6982" s="15" t="s">
        <v>40938</v>
      </c>
      <c r="F6982" s="87" t="s">
        <v>40368</v>
      </c>
      <c r="G6982" s="45" t="s">
        <v>2345</v>
      </c>
      <c r="H6982" s="55" t="s">
        <v>2346</v>
      </c>
      <c r="I6982" s="15" t="s">
        <v>119</v>
      </c>
    </row>
    <row r="6983" spans="1:9" ht="51.75" customHeight="1" x14ac:dyDescent="0.35">
      <c r="A6983" s="15" t="s">
        <v>21979</v>
      </c>
      <c r="B6983" s="15" t="s">
        <v>40939</v>
      </c>
      <c r="C6983" s="15" t="s">
        <v>23266</v>
      </c>
      <c r="D6983" s="31">
        <v>42135</v>
      </c>
      <c r="E6983" s="15" t="s">
        <v>40940</v>
      </c>
      <c r="F6983" s="87" t="s">
        <v>21871</v>
      </c>
      <c r="G6983" s="45" t="s">
        <v>9905</v>
      </c>
      <c r="H6983" s="55" t="s">
        <v>9906</v>
      </c>
      <c r="I6983" s="15" t="s">
        <v>119</v>
      </c>
    </row>
    <row r="6984" spans="1:9" ht="51.75" customHeight="1" x14ac:dyDescent="0.35">
      <c r="A6984" s="15" t="s">
        <v>26449</v>
      </c>
      <c r="B6984" s="15" t="s">
        <v>40941</v>
      </c>
      <c r="C6984" s="15" t="s">
        <v>40942</v>
      </c>
      <c r="D6984" s="31">
        <v>42188</v>
      </c>
      <c r="E6984" s="15" t="s">
        <v>40943</v>
      </c>
      <c r="F6984" s="87" t="s">
        <v>21871</v>
      </c>
      <c r="G6984" s="45" t="s">
        <v>10042</v>
      </c>
      <c r="H6984" s="55" t="s">
        <v>10043</v>
      </c>
      <c r="I6984" s="15" t="s">
        <v>119</v>
      </c>
    </row>
    <row r="6985" spans="1:9" ht="51.75" customHeight="1" x14ac:dyDescent="0.35">
      <c r="A6985" s="15" t="s">
        <v>26453</v>
      </c>
      <c r="B6985" s="15" t="s">
        <v>40944</v>
      </c>
      <c r="C6985" s="15" t="s">
        <v>40945</v>
      </c>
      <c r="D6985" s="31">
        <v>42188</v>
      </c>
      <c r="E6985" s="15" t="s">
        <v>40946</v>
      </c>
      <c r="F6985" s="87" t="s">
        <v>21871</v>
      </c>
      <c r="G6985" s="45" t="s">
        <v>10042</v>
      </c>
      <c r="H6985" s="55" t="s">
        <v>10043</v>
      </c>
      <c r="I6985" s="15" t="s">
        <v>119</v>
      </c>
    </row>
    <row r="6986" spans="1:9" ht="51.75" customHeight="1" x14ac:dyDescent="0.35">
      <c r="A6986" s="15" t="s">
        <v>25759</v>
      </c>
      <c r="B6986" s="15" t="s">
        <v>40947</v>
      </c>
      <c r="C6986" s="15" t="s">
        <v>23266</v>
      </c>
      <c r="D6986" s="31">
        <v>42185</v>
      </c>
      <c r="E6986" s="15" t="s">
        <v>40948</v>
      </c>
      <c r="F6986" s="87" t="s">
        <v>21871</v>
      </c>
      <c r="G6986" s="45" t="s">
        <v>10128</v>
      </c>
      <c r="H6986" s="55" t="s">
        <v>10129</v>
      </c>
      <c r="I6986" s="15" t="s">
        <v>119</v>
      </c>
    </row>
    <row r="6987" spans="1:9" ht="51.75" customHeight="1" x14ac:dyDescent="0.35">
      <c r="A6987" s="15" t="s">
        <v>23319</v>
      </c>
      <c r="B6987" s="15" t="s">
        <v>40949</v>
      </c>
      <c r="C6987" s="15" t="s">
        <v>40950</v>
      </c>
      <c r="D6987" s="31">
        <v>42521</v>
      </c>
      <c r="E6987" s="15" t="s">
        <v>40951</v>
      </c>
      <c r="F6987" s="87" t="s">
        <v>21871</v>
      </c>
      <c r="G6987" s="45" t="s">
        <v>11552</v>
      </c>
      <c r="H6987" s="55" t="s">
        <v>11553</v>
      </c>
      <c r="I6987" s="15" t="s">
        <v>119</v>
      </c>
    </row>
    <row r="6988" spans="1:9" ht="51.75" customHeight="1" x14ac:dyDescent="0.35">
      <c r="A6988" s="15" t="s">
        <v>21999</v>
      </c>
      <c r="B6988" s="15" t="s">
        <v>40952</v>
      </c>
      <c r="C6988" s="15" t="s">
        <v>40953</v>
      </c>
      <c r="D6988" s="31">
        <v>42984</v>
      </c>
      <c r="E6988" s="15" t="s">
        <v>40954</v>
      </c>
      <c r="F6988" s="87" t="s">
        <v>21871</v>
      </c>
      <c r="G6988" s="45" t="s">
        <v>12766</v>
      </c>
      <c r="H6988" s="55" t="s">
        <v>12767</v>
      </c>
      <c r="I6988" s="15" t="s">
        <v>119</v>
      </c>
    </row>
    <row r="6989" spans="1:9" ht="51.75" customHeight="1" x14ac:dyDescent="0.35">
      <c r="A6989" s="15" t="s">
        <v>24176</v>
      </c>
      <c r="B6989" s="15" t="s">
        <v>40955</v>
      </c>
      <c r="C6989" s="15" t="s">
        <v>40956</v>
      </c>
      <c r="D6989" s="31">
        <v>42984</v>
      </c>
      <c r="E6989" s="15" t="s">
        <v>40957</v>
      </c>
      <c r="F6989" s="87" t="s">
        <v>21871</v>
      </c>
      <c r="G6989" s="45" t="s">
        <v>12766</v>
      </c>
      <c r="H6989" s="55" t="s">
        <v>12767</v>
      </c>
      <c r="I6989" s="15" t="s">
        <v>119</v>
      </c>
    </row>
    <row r="6990" spans="1:9" ht="51.75" customHeight="1" x14ac:dyDescent="0.35">
      <c r="A6990" s="15" t="s">
        <v>22719</v>
      </c>
      <c r="B6990" s="15" t="s">
        <v>40958</v>
      </c>
      <c r="C6990" s="15" t="s">
        <v>40956</v>
      </c>
      <c r="D6990" s="31">
        <v>42984</v>
      </c>
      <c r="E6990" s="15" t="s">
        <v>40959</v>
      </c>
      <c r="F6990" s="87" t="s">
        <v>21871</v>
      </c>
      <c r="G6990" s="45" t="s">
        <v>12766</v>
      </c>
      <c r="H6990" s="55" t="s">
        <v>12767</v>
      </c>
      <c r="I6990" s="15" t="s">
        <v>119</v>
      </c>
    </row>
    <row r="6991" spans="1:9" ht="51.75" customHeight="1" x14ac:dyDescent="0.35">
      <c r="A6991" s="15" t="s">
        <v>25314</v>
      </c>
      <c r="B6991" s="15" t="s">
        <v>40960</v>
      </c>
      <c r="C6991" s="15" t="s">
        <v>40961</v>
      </c>
      <c r="D6991" s="31">
        <v>42996</v>
      </c>
      <c r="E6991" s="15" t="s">
        <v>40962</v>
      </c>
      <c r="F6991" s="87" t="s">
        <v>21871</v>
      </c>
      <c r="G6991" s="45" t="s">
        <v>12783</v>
      </c>
      <c r="H6991" s="55" t="s">
        <v>12784</v>
      </c>
      <c r="I6991" s="15" t="s">
        <v>119</v>
      </c>
    </row>
    <row r="6992" spans="1:9" ht="51.75" customHeight="1" x14ac:dyDescent="0.35">
      <c r="A6992" s="15" t="s">
        <v>22727</v>
      </c>
      <c r="B6992" s="15" t="s">
        <v>40963</v>
      </c>
      <c r="C6992" s="15" t="s">
        <v>40964</v>
      </c>
      <c r="D6992" s="31">
        <v>43088</v>
      </c>
      <c r="E6992" s="15" t="s">
        <v>40965</v>
      </c>
      <c r="F6992" s="87" t="s">
        <v>21871</v>
      </c>
      <c r="G6992" s="45" t="s">
        <v>12837</v>
      </c>
      <c r="H6992" s="55" t="s">
        <v>12838</v>
      </c>
      <c r="I6992" s="15" t="s">
        <v>119</v>
      </c>
    </row>
    <row r="6993" spans="1:9" ht="51.75" customHeight="1" x14ac:dyDescent="0.35">
      <c r="A6993" s="15" t="s">
        <v>21894</v>
      </c>
      <c r="B6993" s="15" t="s">
        <v>40966</v>
      </c>
      <c r="C6993" s="15" t="s">
        <v>40967</v>
      </c>
      <c r="D6993" s="31">
        <v>43088</v>
      </c>
      <c r="E6993" s="15" t="s">
        <v>40968</v>
      </c>
      <c r="F6993" s="87" t="s">
        <v>21871</v>
      </c>
      <c r="G6993" s="45" t="s">
        <v>12837</v>
      </c>
      <c r="H6993" s="55" t="s">
        <v>12838</v>
      </c>
      <c r="I6993" s="15" t="s">
        <v>119</v>
      </c>
    </row>
    <row r="6994" spans="1:9" ht="51.75" customHeight="1" x14ac:dyDescent="0.35">
      <c r="A6994" s="15" t="s">
        <v>28039</v>
      </c>
      <c r="B6994" s="15" t="s">
        <v>40969</v>
      </c>
      <c r="C6994" s="15" t="s">
        <v>40970</v>
      </c>
      <c r="D6994" s="31">
        <v>43551</v>
      </c>
      <c r="E6994" s="15" t="s">
        <v>40971</v>
      </c>
      <c r="F6994" s="87" t="s">
        <v>21871</v>
      </c>
      <c r="G6994" s="45" t="s">
        <v>14176</v>
      </c>
      <c r="H6994" s="55" t="s">
        <v>14177</v>
      </c>
      <c r="I6994" s="15" t="s">
        <v>119</v>
      </c>
    </row>
    <row r="6995" spans="1:9" ht="51.75" customHeight="1" x14ac:dyDescent="0.35">
      <c r="A6995" s="15" t="s">
        <v>28043</v>
      </c>
      <c r="B6995" s="15" t="s">
        <v>40972</v>
      </c>
      <c r="C6995" s="15" t="s">
        <v>40973</v>
      </c>
      <c r="D6995" s="31">
        <v>43551</v>
      </c>
      <c r="E6995" s="15" t="s">
        <v>40974</v>
      </c>
      <c r="F6995" s="87" t="s">
        <v>21871</v>
      </c>
      <c r="G6995" s="45" t="s">
        <v>14176</v>
      </c>
      <c r="H6995" s="55" t="s">
        <v>14177</v>
      </c>
      <c r="I6995" s="15" t="s">
        <v>119</v>
      </c>
    </row>
    <row r="6996" spans="1:9" ht="51.75" customHeight="1" x14ac:dyDescent="0.35">
      <c r="A6996" s="15" t="s">
        <v>22862</v>
      </c>
      <c r="B6996" s="15" t="s">
        <v>40975</v>
      </c>
      <c r="C6996" s="15" t="s">
        <v>40976</v>
      </c>
      <c r="D6996" s="31">
        <v>43551</v>
      </c>
      <c r="E6996" s="15" t="s">
        <v>40977</v>
      </c>
      <c r="F6996" s="87" t="s">
        <v>21871</v>
      </c>
      <c r="G6996" s="45" t="s">
        <v>14176</v>
      </c>
      <c r="H6996" s="55" t="s">
        <v>14177</v>
      </c>
      <c r="I6996" s="15" t="s">
        <v>119</v>
      </c>
    </row>
    <row r="6997" spans="1:9" ht="51.75" customHeight="1" x14ac:dyDescent="0.35">
      <c r="A6997" s="15" t="s">
        <v>22866</v>
      </c>
      <c r="B6997" s="15" t="s">
        <v>40978</v>
      </c>
      <c r="C6997" s="15" t="s">
        <v>40979</v>
      </c>
      <c r="D6997" s="31">
        <v>43551</v>
      </c>
      <c r="E6997" s="15" t="s">
        <v>40980</v>
      </c>
      <c r="F6997" s="87" t="s">
        <v>21871</v>
      </c>
      <c r="G6997" s="45" t="s">
        <v>14176</v>
      </c>
      <c r="H6997" s="55" t="s">
        <v>14177</v>
      </c>
      <c r="I6997" s="15" t="s">
        <v>119</v>
      </c>
    </row>
    <row r="6998" spans="1:9" ht="51.75" customHeight="1" x14ac:dyDescent="0.35">
      <c r="A6998" s="15" t="s">
        <v>23465</v>
      </c>
      <c r="B6998" s="15" t="s">
        <v>40981</v>
      </c>
      <c r="C6998" s="15" t="s">
        <v>40982</v>
      </c>
      <c r="D6998" s="31">
        <v>43551</v>
      </c>
      <c r="E6998" s="15" t="s">
        <v>40983</v>
      </c>
      <c r="F6998" s="87" t="s">
        <v>21871</v>
      </c>
      <c r="G6998" s="45" t="s">
        <v>14176</v>
      </c>
      <c r="H6998" s="55" t="s">
        <v>14177</v>
      </c>
      <c r="I6998" s="15" t="s">
        <v>119</v>
      </c>
    </row>
    <row r="6999" spans="1:9" ht="51.75" customHeight="1" x14ac:dyDescent="0.35">
      <c r="A6999" s="15" t="s">
        <v>26429</v>
      </c>
      <c r="B6999" s="15" t="s">
        <v>40984</v>
      </c>
      <c r="C6999" s="15" t="s">
        <v>40985</v>
      </c>
      <c r="D6999" s="31">
        <v>43551</v>
      </c>
      <c r="E6999" s="15" t="s">
        <v>40986</v>
      </c>
      <c r="F6999" s="87" t="s">
        <v>21871</v>
      </c>
      <c r="G6999" s="45" t="s">
        <v>14176</v>
      </c>
      <c r="H6999" s="55" t="s">
        <v>14177</v>
      </c>
      <c r="I6999" s="15" t="s">
        <v>119</v>
      </c>
    </row>
    <row r="7000" spans="1:9" ht="51.75" customHeight="1" x14ac:dyDescent="0.35">
      <c r="A7000" s="15" t="s">
        <v>21983</v>
      </c>
      <c r="B7000" s="15" t="s">
        <v>40987</v>
      </c>
      <c r="C7000" s="15" t="s">
        <v>40988</v>
      </c>
      <c r="D7000" s="31">
        <v>43551</v>
      </c>
      <c r="E7000" s="15" t="s">
        <v>40989</v>
      </c>
      <c r="F7000" s="87" t="s">
        <v>21871</v>
      </c>
      <c r="G7000" s="45" t="s">
        <v>14176</v>
      </c>
      <c r="H7000" s="55" t="s">
        <v>14177</v>
      </c>
      <c r="I7000" s="15" t="s">
        <v>119</v>
      </c>
    </row>
    <row r="7001" spans="1:9" ht="51.75" customHeight="1" x14ac:dyDescent="0.35">
      <c r="A7001" s="15" t="s">
        <v>26436</v>
      </c>
      <c r="B7001" s="15" t="s">
        <v>40990</v>
      </c>
      <c r="C7001" s="15" t="s">
        <v>40991</v>
      </c>
      <c r="D7001" s="31">
        <v>43551</v>
      </c>
      <c r="E7001" s="15" t="s">
        <v>40992</v>
      </c>
      <c r="F7001" s="87" t="s">
        <v>21871</v>
      </c>
      <c r="G7001" s="45" t="s">
        <v>14176</v>
      </c>
      <c r="H7001" s="55" t="s">
        <v>14177</v>
      </c>
      <c r="I7001" s="15" t="s">
        <v>119</v>
      </c>
    </row>
    <row r="7002" spans="1:9" ht="51.75" customHeight="1" x14ac:dyDescent="0.35">
      <c r="A7002" s="15" t="s">
        <v>21971</v>
      </c>
      <c r="B7002" s="15" t="s">
        <v>40993</v>
      </c>
      <c r="C7002" s="15" t="s">
        <v>40994</v>
      </c>
      <c r="D7002" s="31">
        <v>43551</v>
      </c>
      <c r="E7002" s="15" t="s">
        <v>40995</v>
      </c>
      <c r="F7002" s="87" t="s">
        <v>21871</v>
      </c>
      <c r="G7002" s="45" t="s">
        <v>14176</v>
      </c>
      <c r="H7002" s="55" t="s">
        <v>14177</v>
      </c>
      <c r="I7002" s="15" t="s">
        <v>119</v>
      </c>
    </row>
    <row r="7003" spans="1:9" ht="51.75" customHeight="1" x14ac:dyDescent="0.35">
      <c r="A7003" s="15" t="s">
        <v>26449</v>
      </c>
      <c r="B7003" s="15" t="s">
        <v>40996</v>
      </c>
      <c r="C7003" s="15" t="s">
        <v>40997</v>
      </c>
      <c r="D7003" s="31">
        <v>43551</v>
      </c>
      <c r="E7003" s="15" t="s">
        <v>40998</v>
      </c>
      <c r="F7003" s="87" t="s">
        <v>21871</v>
      </c>
      <c r="G7003" s="45" t="s">
        <v>14176</v>
      </c>
      <c r="H7003" s="55" t="s">
        <v>14177</v>
      </c>
      <c r="I7003" s="15" t="s">
        <v>119</v>
      </c>
    </row>
    <row r="7004" spans="1:9" ht="51.75" customHeight="1" x14ac:dyDescent="0.35">
      <c r="A7004" s="15" t="s">
        <v>23333</v>
      </c>
      <c r="B7004" s="15" t="s">
        <v>40999</v>
      </c>
      <c r="C7004" s="15" t="s">
        <v>41000</v>
      </c>
      <c r="D7004" s="31">
        <v>43448</v>
      </c>
      <c r="E7004" s="15" t="s">
        <v>41001</v>
      </c>
      <c r="F7004" s="87" t="s">
        <v>21871</v>
      </c>
      <c r="G7004" s="45" t="s">
        <v>14685</v>
      </c>
      <c r="H7004" s="55" t="s">
        <v>14686</v>
      </c>
      <c r="I7004" s="15" t="s">
        <v>119</v>
      </c>
    </row>
    <row r="7005" spans="1:9" ht="51.75" customHeight="1" x14ac:dyDescent="0.35">
      <c r="A7005" s="15" t="s">
        <v>24623</v>
      </c>
      <c r="B7005" s="15" t="s">
        <v>41002</v>
      </c>
      <c r="C7005" s="15" t="s">
        <v>41003</v>
      </c>
      <c r="D7005" s="31">
        <v>43448</v>
      </c>
      <c r="E7005" s="15" t="s">
        <v>41004</v>
      </c>
      <c r="F7005" s="87" t="s">
        <v>21871</v>
      </c>
      <c r="G7005" s="45" t="s">
        <v>14685</v>
      </c>
      <c r="H7005" s="55" t="s">
        <v>14686</v>
      </c>
      <c r="I7005" s="15" t="s">
        <v>119</v>
      </c>
    </row>
    <row r="7006" spans="1:9" ht="51.75" customHeight="1" x14ac:dyDescent="0.35">
      <c r="A7006" s="15" t="s">
        <v>24629</v>
      </c>
      <c r="B7006" s="15" t="s">
        <v>41005</v>
      </c>
      <c r="C7006" s="15" t="s">
        <v>41006</v>
      </c>
      <c r="D7006" s="31">
        <v>43448</v>
      </c>
      <c r="E7006" s="15" t="s">
        <v>41007</v>
      </c>
      <c r="F7006" s="87" t="s">
        <v>21871</v>
      </c>
      <c r="G7006" s="45" t="s">
        <v>14685</v>
      </c>
      <c r="H7006" s="55" t="s">
        <v>14686</v>
      </c>
      <c r="I7006" s="15" t="s">
        <v>119</v>
      </c>
    </row>
    <row r="7007" spans="1:9" ht="51.75" customHeight="1" x14ac:dyDescent="0.35">
      <c r="A7007" s="15" t="s">
        <v>24635</v>
      </c>
      <c r="B7007" s="15" t="s">
        <v>41008</v>
      </c>
      <c r="C7007" s="15" t="s">
        <v>41009</v>
      </c>
      <c r="D7007" s="31">
        <v>43448</v>
      </c>
      <c r="E7007" s="15" t="s">
        <v>41010</v>
      </c>
      <c r="F7007" s="87" t="s">
        <v>21871</v>
      </c>
      <c r="G7007" s="45" t="s">
        <v>14685</v>
      </c>
      <c r="H7007" s="55" t="s">
        <v>14686</v>
      </c>
      <c r="I7007" s="15" t="s">
        <v>119</v>
      </c>
    </row>
    <row r="7008" spans="1:9" ht="51.75" customHeight="1" x14ac:dyDescent="0.35">
      <c r="A7008" s="15" t="s">
        <v>26591</v>
      </c>
      <c r="B7008" s="15" t="s">
        <v>41011</v>
      </c>
      <c r="C7008" s="15" t="s">
        <v>41012</v>
      </c>
      <c r="D7008" s="31">
        <v>43448</v>
      </c>
      <c r="E7008" s="15" t="s">
        <v>41013</v>
      </c>
      <c r="F7008" s="87" t="s">
        <v>21871</v>
      </c>
      <c r="G7008" s="45" t="s">
        <v>14685</v>
      </c>
      <c r="H7008" s="55" t="s">
        <v>14686</v>
      </c>
      <c r="I7008" s="15" t="s">
        <v>119</v>
      </c>
    </row>
    <row r="7009" spans="1:9" ht="51.75" customHeight="1" x14ac:dyDescent="0.35">
      <c r="A7009" s="15" t="s">
        <v>25320</v>
      </c>
      <c r="B7009" s="15" t="s">
        <v>41014</v>
      </c>
      <c r="C7009" s="15" t="s">
        <v>41015</v>
      </c>
      <c r="D7009" s="31">
        <v>43468</v>
      </c>
      <c r="E7009" s="15" t="s">
        <v>41016</v>
      </c>
      <c r="F7009" s="87" t="s">
        <v>21871</v>
      </c>
      <c r="G7009" s="45" t="s">
        <v>14552</v>
      </c>
      <c r="H7009" s="55" t="s">
        <v>14553</v>
      </c>
      <c r="I7009" s="15" t="s">
        <v>119</v>
      </c>
    </row>
    <row r="7010" spans="1:9" ht="51.75" customHeight="1" x14ac:dyDescent="0.35">
      <c r="A7010" s="15" t="s">
        <v>25325</v>
      </c>
      <c r="B7010" s="15" t="s">
        <v>41017</v>
      </c>
      <c r="C7010" s="15" t="s">
        <v>41018</v>
      </c>
      <c r="D7010" s="31">
        <v>43468</v>
      </c>
      <c r="E7010" s="15" t="s">
        <v>41019</v>
      </c>
      <c r="F7010" s="87" t="s">
        <v>21871</v>
      </c>
      <c r="G7010" s="45" t="s">
        <v>14552</v>
      </c>
      <c r="H7010" s="55" t="s">
        <v>14553</v>
      </c>
      <c r="I7010" s="15" t="s">
        <v>119</v>
      </c>
    </row>
    <row r="7011" spans="1:9" ht="51.75" customHeight="1" x14ac:dyDescent="0.35">
      <c r="A7011" s="15" t="s">
        <v>25331</v>
      </c>
      <c r="B7011" s="15" t="s">
        <v>41020</v>
      </c>
      <c r="C7011" s="15" t="s">
        <v>41021</v>
      </c>
      <c r="D7011" s="31">
        <v>43468</v>
      </c>
      <c r="E7011" s="15" t="s">
        <v>41022</v>
      </c>
      <c r="F7011" s="87" t="s">
        <v>21871</v>
      </c>
      <c r="G7011" s="45" t="s">
        <v>14552</v>
      </c>
      <c r="H7011" s="55" t="s">
        <v>14553</v>
      </c>
      <c r="I7011" s="15" t="s">
        <v>119</v>
      </c>
    </row>
    <row r="7012" spans="1:9" ht="51.75" customHeight="1" x14ac:dyDescent="0.35">
      <c r="A7012" s="15" t="s">
        <v>39877</v>
      </c>
      <c r="B7012" s="15" t="s">
        <v>41023</v>
      </c>
      <c r="C7012" s="15" t="s">
        <v>41024</v>
      </c>
      <c r="D7012" s="31">
        <v>44061</v>
      </c>
      <c r="E7012" s="15" t="s">
        <v>41025</v>
      </c>
      <c r="F7012" s="87" t="s">
        <v>21871</v>
      </c>
      <c r="G7012" s="45" t="s">
        <v>16777</v>
      </c>
      <c r="H7012" s="55" t="s">
        <v>16778</v>
      </c>
      <c r="I7012" s="15" t="s">
        <v>119</v>
      </c>
    </row>
    <row r="7013" spans="1:9" ht="51.75" customHeight="1" x14ac:dyDescent="0.35">
      <c r="A7013" s="15" t="s">
        <v>39877</v>
      </c>
      <c r="B7013" s="15" t="s">
        <v>41026</v>
      </c>
      <c r="C7013" s="15" t="s">
        <v>41024</v>
      </c>
      <c r="D7013" s="31">
        <v>44061</v>
      </c>
      <c r="E7013" s="15" t="s">
        <v>41027</v>
      </c>
      <c r="F7013" s="87" t="s">
        <v>40368</v>
      </c>
      <c r="G7013" s="45" t="s">
        <v>16777</v>
      </c>
      <c r="H7013" s="55" t="s">
        <v>16778</v>
      </c>
      <c r="I7013" s="15" t="s">
        <v>119</v>
      </c>
    </row>
    <row r="7014" spans="1:9" ht="51.75" customHeight="1" x14ac:dyDescent="0.35">
      <c r="A7014" s="15" t="s">
        <v>41028</v>
      </c>
      <c r="B7014" s="15" t="s">
        <v>41029</v>
      </c>
      <c r="C7014" s="15" t="s">
        <v>41030</v>
      </c>
      <c r="D7014" s="31">
        <v>44061</v>
      </c>
      <c r="E7014" s="15" t="s">
        <v>41031</v>
      </c>
      <c r="F7014" s="87" t="s">
        <v>21871</v>
      </c>
      <c r="G7014" s="45" t="s">
        <v>16777</v>
      </c>
      <c r="H7014" s="55" t="s">
        <v>16778</v>
      </c>
      <c r="I7014" s="15" t="s">
        <v>119</v>
      </c>
    </row>
    <row r="7015" spans="1:9" ht="51.75" customHeight="1" x14ac:dyDescent="0.35">
      <c r="A7015" s="15" t="s">
        <v>41028</v>
      </c>
      <c r="B7015" s="15" t="s">
        <v>41032</v>
      </c>
      <c r="C7015" s="15" t="s">
        <v>41030</v>
      </c>
      <c r="D7015" s="31">
        <v>44061</v>
      </c>
      <c r="E7015" s="15" t="s">
        <v>41033</v>
      </c>
      <c r="F7015" s="87" t="s">
        <v>40368</v>
      </c>
      <c r="G7015" s="45" t="s">
        <v>16777</v>
      </c>
      <c r="H7015" s="55" t="s">
        <v>16778</v>
      </c>
      <c r="I7015" s="15" t="s">
        <v>119</v>
      </c>
    </row>
    <row r="7016" spans="1:9" ht="51.75" customHeight="1" x14ac:dyDescent="0.35">
      <c r="A7016" s="15" t="s">
        <v>41034</v>
      </c>
      <c r="B7016" s="15" t="s">
        <v>41035</v>
      </c>
      <c r="C7016" s="15" t="s">
        <v>41036</v>
      </c>
      <c r="D7016" s="31">
        <v>44061</v>
      </c>
      <c r="E7016" s="15" t="s">
        <v>41037</v>
      </c>
      <c r="F7016" s="87" t="s">
        <v>21871</v>
      </c>
      <c r="G7016" s="45" t="s">
        <v>16777</v>
      </c>
      <c r="H7016" s="55" t="s">
        <v>16778</v>
      </c>
      <c r="I7016" s="15" t="s">
        <v>119</v>
      </c>
    </row>
    <row r="7017" spans="1:9" ht="51.75" customHeight="1" x14ac:dyDescent="0.35">
      <c r="A7017" s="15" t="s">
        <v>41034</v>
      </c>
      <c r="B7017" s="15" t="s">
        <v>41038</v>
      </c>
      <c r="C7017" s="15" t="s">
        <v>41036</v>
      </c>
      <c r="D7017" s="31">
        <v>44061</v>
      </c>
      <c r="E7017" s="15" t="s">
        <v>41039</v>
      </c>
      <c r="F7017" s="87" t="s">
        <v>40368</v>
      </c>
      <c r="G7017" s="45" t="s">
        <v>16777</v>
      </c>
      <c r="H7017" s="55" t="s">
        <v>16778</v>
      </c>
      <c r="I7017" s="15" t="s">
        <v>119</v>
      </c>
    </row>
    <row r="7018" spans="1:9" ht="51.75" customHeight="1" x14ac:dyDescent="0.35">
      <c r="A7018" s="15" t="s">
        <v>23436</v>
      </c>
      <c r="B7018" s="15" t="s">
        <v>41040</v>
      </c>
      <c r="C7018" s="15" t="s">
        <v>41041</v>
      </c>
      <c r="D7018" s="31">
        <v>43850</v>
      </c>
      <c r="E7018" s="15" t="s">
        <v>41042</v>
      </c>
      <c r="F7018" s="87" t="s">
        <v>21871</v>
      </c>
      <c r="G7018" s="45" t="s">
        <v>16023</v>
      </c>
      <c r="H7018" s="55" t="s">
        <v>16024</v>
      </c>
      <c r="I7018" s="15" t="s">
        <v>119</v>
      </c>
    </row>
    <row r="7019" spans="1:9" ht="51.75" customHeight="1" x14ac:dyDescent="0.35">
      <c r="A7019" s="15" t="s">
        <v>23444</v>
      </c>
      <c r="B7019" s="15" t="s">
        <v>41043</v>
      </c>
      <c r="C7019" s="15" t="s">
        <v>41044</v>
      </c>
      <c r="D7019" s="31">
        <v>43850</v>
      </c>
      <c r="E7019" s="15" t="s">
        <v>41045</v>
      </c>
      <c r="F7019" s="87" t="s">
        <v>21871</v>
      </c>
      <c r="G7019" s="45" t="s">
        <v>16023</v>
      </c>
      <c r="H7019" s="55" t="s">
        <v>16024</v>
      </c>
      <c r="I7019" s="15" t="s">
        <v>119</v>
      </c>
    </row>
    <row r="7020" spans="1:9" ht="51.75" customHeight="1" x14ac:dyDescent="0.35">
      <c r="A7020" s="15" t="s">
        <v>21912</v>
      </c>
      <c r="B7020" s="15" t="s">
        <v>41046</v>
      </c>
      <c r="C7020" s="15" t="s">
        <v>41047</v>
      </c>
      <c r="D7020" s="31">
        <v>43850</v>
      </c>
      <c r="E7020" s="15" t="s">
        <v>41048</v>
      </c>
      <c r="F7020" s="87" t="s">
        <v>21871</v>
      </c>
      <c r="G7020" s="45" t="s">
        <v>16023</v>
      </c>
      <c r="H7020" s="55" t="s">
        <v>16024</v>
      </c>
      <c r="I7020" s="15" t="s">
        <v>119</v>
      </c>
    </row>
    <row r="7021" spans="1:9" ht="51.75" customHeight="1" x14ac:dyDescent="0.35">
      <c r="A7021" s="15" t="s">
        <v>21967</v>
      </c>
      <c r="B7021" s="15" t="s">
        <v>41049</v>
      </c>
      <c r="C7021" s="15" t="s">
        <v>41050</v>
      </c>
      <c r="D7021" s="31">
        <v>43850</v>
      </c>
      <c r="E7021" s="15" t="s">
        <v>41051</v>
      </c>
      <c r="F7021" s="87" t="s">
        <v>21871</v>
      </c>
      <c r="G7021" s="45" t="s">
        <v>16023</v>
      </c>
      <c r="H7021" s="55" t="s">
        <v>16024</v>
      </c>
      <c r="I7021" s="15" t="s">
        <v>119</v>
      </c>
    </row>
    <row r="7022" spans="1:9" ht="51.75" customHeight="1" x14ac:dyDescent="0.35">
      <c r="A7022" s="15" t="s">
        <v>25462</v>
      </c>
      <c r="B7022" s="15" t="s">
        <v>41052</v>
      </c>
      <c r="C7022" s="15" t="s">
        <v>41053</v>
      </c>
      <c r="D7022" s="31">
        <v>43850</v>
      </c>
      <c r="E7022" s="15" t="s">
        <v>41054</v>
      </c>
      <c r="F7022" s="87" t="s">
        <v>21871</v>
      </c>
      <c r="G7022" s="45" t="s">
        <v>16023</v>
      </c>
      <c r="H7022" s="55" t="s">
        <v>16024</v>
      </c>
      <c r="I7022" s="15" t="s">
        <v>119</v>
      </c>
    </row>
    <row r="7023" spans="1:9" ht="51.75" customHeight="1" x14ac:dyDescent="0.35">
      <c r="A7023" s="15"/>
      <c r="B7023" s="15" t="s">
        <v>41055</v>
      </c>
      <c r="C7023" s="15" t="s">
        <v>41056</v>
      </c>
      <c r="D7023" s="28">
        <v>44348</v>
      </c>
      <c r="E7023" s="15" t="s">
        <v>41057</v>
      </c>
      <c r="F7023" s="87" t="s">
        <v>21871</v>
      </c>
      <c r="G7023" s="45" t="s">
        <v>17519</v>
      </c>
      <c r="H7023" s="54" t="s">
        <v>17520</v>
      </c>
      <c r="I7023" s="5" t="s">
        <v>119</v>
      </c>
    </row>
    <row r="7024" spans="1:9" ht="51.75" customHeight="1" x14ac:dyDescent="0.35">
      <c r="A7024" s="15"/>
      <c r="B7024" s="15" t="s">
        <v>41058</v>
      </c>
      <c r="C7024" s="15" t="s">
        <v>41059</v>
      </c>
      <c r="D7024" s="28">
        <v>44348</v>
      </c>
      <c r="E7024" s="15" t="s">
        <v>41060</v>
      </c>
      <c r="F7024" s="87" t="s">
        <v>21871</v>
      </c>
      <c r="G7024" s="45" t="s">
        <v>17519</v>
      </c>
      <c r="H7024" s="54" t="s">
        <v>17520</v>
      </c>
      <c r="I7024" s="5" t="s">
        <v>119</v>
      </c>
    </row>
    <row r="7025" spans="1:9" ht="51.75" customHeight="1" x14ac:dyDescent="0.35">
      <c r="A7025" s="15"/>
      <c r="B7025" s="15" t="s">
        <v>41061</v>
      </c>
      <c r="C7025" s="15" t="s">
        <v>41062</v>
      </c>
      <c r="D7025" s="28">
        <v>44348</v>
      </c>
      <c r="E7025" s="15" t="s">
        <v>41063</v>
      </c>
      <c r="F7025" s="87" t="s">
        <v>21871</v>
      </c>
      <c r="G7025" s="45" t="s">
        <v>17519</v>
      </c>
      <c r="H7025" s="54" t="s">
        <v>17520</v>
      </c>
      <c r="I7025" s="5" t="s">
        <v>119</v>
      </c>
    </row>
    <row r="7026" spans="1:9" ht="51.75" customHeight="1" x14ac:dyDescent="0.35">
      <c r="A7026" s="15"/>
      <c r="B7026" s="15" t="s">
        <v>41064</v>
      </c>
      <c r="C7026" s="15" t="s">
        <v>41065</v>
      </c>
      <c r="D7026" s="28">
        <v>44348</v>
      </c>
      <c r="E7026" s="15" t="s">
        <v>41066</v>
      </c>
      <c r="F7026" s="87" t="s">
        <v>21871</v>
      </c>
      <c r="G7026" s="45" t="s">
        <v>17519</v>
      </c>
      <c r="H7026" s="54" t="s">
        <v>17520</v>
      </c>
      <c r="I7026" s="5" t="s">
        <v>119</v>
      </c>
    </row>
    <row r="7027" spans="1:9" ht="51.75" customHeight="1" x14ac:dyDescent="0.35">
      <c r="A7027" s="15"/>
      <c r="B7027" s="15" t="s">
        <v>41067</v>
      </c>
      <c r="C7027" s="15" t="s">
        <v>41068</v>
      </c>
      <c r="D7027" s="28">
        <v>44348</v>
      </c>
      <c r="E7027" s="15" t="s">
        <v>41069</v>
      </c>
      <c r="F7027" s="87" t="s">
        <v>21871</v>
      </c>
      <c r="G7027" s="45" t="s">
        <v>17519</v>
      </c>
      <c r="H7027" s="54" t="s">
        <v>17520</v>
      </c>
      <c r="I7027" s="5" t="s">
        <v>119</v>
      </c>
    </row>
    <row r="7028" spans="1:9" ht="51.75" customHeight="1" x14ac:dyDescent="0.35">
      <c r="A7028" s="15"/>
      <c r="B7028" s="15" t="s">
        <v>41070</v>
      </c>
      <c r="C7028" s="15" t="s">
        <v>41071</v>
      </c>
      <c r="D7028" s="28">
        <v>44348</v>
      </c>
      <c r="E7028" s="15" t="s">
        <v>41072</v>
      </c>
      <c r="F7028" s="87" t="s">
        <v>21871</v>
      </c>
      <c r="G7028" s="45" t="s">
        <v>17519</v>
      </c>
      <c r="H7028" s="54" t="s">
        <v>17520</v>
      </c>
      <c r="I7028" s="5" t="s">
        <v>119</v>
      </c>
    </row>
    <row r="7029" spans="1:9" ht="51.75" customHeight="1" x14ac:dyDescent="0.35">
      <c r="A7029" s="15">
        <v>1</v>
      </c>
      <c r="B7029" s="15" t="s">
        <v>41073</v>
      </c>
      <c r="C7029" s="15" t="s">
        <v>41074</v>
      </c>
      <c r="D7029" s="31">
        <v>40469</v>
      </c>
      <c r="E7029" s="15" t="s">
        <v>41075</v>
      </c>
      <c r="F7029" s="87"/>
      <c r="G7029" s="45" t="s">
        <v>3391</v>
      </c>
      <c r="H7029" s="55" t="s">
        <v>3392</v>
      </c>
      <c r="I7029" s="15" t="s">
        <v>54</v>
      </c>
    </row>
    <row r="7030" spans="1:9" ht="51.75" customHeight="1" x14ac:dyDescent="0.35">
      <c r="A7030" s="15">
        <v>2</v>
      </c>
      <c r="B7030" s="15" t="s">
        <v>41076</v>
      </c>
      <c r="C7030" s="15" t="s">
        <v>41077</v>
      </c>
      <c r="D7030" s="31">
        <v>40469</v>
      </c>
      <c r="E7030" s="15" t="s">
        <v>41078</v>
      </c>
      <c r="F7030" s="87"/>
      <c r="G7030" s="45" t="s">
        <v>3391</v>
      </c>
      <c r="H7030" s="55" t="s">
        <v>3392</v>
      </c>
      <c r="I7030" s="15" t="s">
        <v>54</v>
      </c>
    </row>
    <row r="7031" spans="1:9" ht="51.75" customHeight="1" x14ac:dyDescent="0.35">
      <c r="A7031" s="15">
        <v>3</v>
      </c>
      <c r="B7031" s="15" t="s">
        <v>41079</v>
      </c>
      <c r="C7031" s="15" t="s">
        <v>41080</v>
      </c>
      <c r="D7031" s="31">
        <v>40469</v>
      </c>
      <c r="E7031" s="15" t="s">
        <v>41081</v>
      </c>
      <c r="F7031" s="87"/>
      <c r="G7031" s="45" t="s">
        <v>3391</v>
      </c>
      <c r="H7031" s="55" t="s">
        <v>3392</v>
      </c>
      <c r="I7031" s="15" t="s">
        <v>54</v>
      </c>
    </row>
    <row r="7032" spans="1:9" ht="51.75" customHeight="1" x14ac:dyDescent="0.35">
      <c r="A7032" s="15">
        <v>4</v>
      </c>
      <c r="B7032" s="15" t="s">
        <v>41082</v>
      </c>
      <c r="C7032" s="15" t="s">
        <v>41083</v>
      </c>
      <c r="D7032" s="31">
        <v>40469</v>
      </c>
      <c r="E7032" s="15" t="s">
        <v>41084</v>
      </c>
      <c r="F7032" s="87"/>
      <c r="G7032" s="45" t="s">
        <v>3391</v>
      </c>
      <c r="H7032" s="55" t="s">
        <v>3392</v>
      </c>
      <c r="I7032" s="15" t="s">
        <v>54</v>
      </c>
    </row>
    <row r="7033" spans="1:9" ht="51.75" customHeight="1" x14ac:dyDescent="0.35">
      <c r="A7033" s="15">
        <v>1</v>
      </c>
      <c r="B7033" s="15" t="s">
        <v>41085</v>
      </c>
      <c r="C7033" s="15" t="s">
        <v>41086</v>
      </c>
      <c r="D7033" s="31">
        <v>40148</v>
      </c>
      <c r="E7033" s="15" t="s">
        <v>41087</v>
      </c>
      <c r="F7033" s="87"/>
      <c r="G7033" s="45" t="s">
        <v>1293</v>
      </c>
      <c r="H7033" s="55" t="s">
        <v>1294</v>
      </c>
      <c r="I7033" s="15" t="s">
        <v>54</v>
      </c>
    </row>
    <row r="7034" spans="1:9" ht="51.75" customHeight="1" x14ac:dyDescent="0.35">
      <c r="A7034" s="15">
        <v>2</v>
      </c>
      <c r="B7034" s="15" t="s">
        <v>41088</v>
      </c>
      <c r="C7034" s="15" t="s">
        <v>41089</v>
      </c>
      <c r="D7034" s="31">
        <v>40148</v>
      </c>
      <c r="E7034" s="15" t="s">
        <v>41090</v>
      </c>
      <c r="F7034" s="87"/>
      <c r="G7034" s="45" t="s">
        <v>1293</v>
      </c>
      <c r="H7034" s="55" t="s">
        <v>1294</v>
      </c>
      <c r="I7034" s="15" t="s">
        <v>54</v>
      </c>
    </row>
    <row r="7035" spans="1:9" ht="51.75" customHeight="1" x14ac:dyDescent="0.35">
      <c r="A7035" s="15">
        <v>1</v>
      </c>
      <c r="B7035" s="15" t="s">
        <v>41091</v>
      </c>
      <c r="C7035" s="15" t="s">
        <v>41092</v>
      </c>
      <c r="D7035" s="31">
        <v>39688</v>
      </c>
      <c r="E7035" s="15" t="s">
        <v>41093</v>
      </c>
      <c r="F7035" s="87"/>
      <c r="G7035" s="45" t="s">
        <v>83</v>
      </c>
      <c r="H7035" s="55" t="s">
        <v>84</v>
      </c>
      <c r="I7035" s="15" t="s">
        <v>54</v>
      </c>
    </row>
    <row r="7036" spans="1:9" ht="51.75" customHeight="1" x14ac:dyDescent="0.35">
      <c r="A7036" s="15">
        <v>2</v>
      </c>
      <c r="B7036" s="15" t="s">
        <v>41094</v>
      </c>
      <c r="C7036" s="15" t="s">
        <v>41095</v>
      </c>
      <c r="D7036" s="31">
        <v>39688</v>
      </c>
      <c r="E7036" s="15" t="s">
        <v>41096</v>
      </c>
      <c r="F7036" s="87"/>
      <c r="G7036" s="45" t="s">
        <v>83</v>
      </c>
      <c r="H7036" s="55" t="s">
        <v>84</v>
      </c>
      <c r="I7036" s="15" t="s">
        <v>54</v>
      </c>
    </row>
    <row r="7037" spans="1:9" ht="51.75" customHeight="1" x14ac:dyDescent="0.35">
      <c r="A7037" s="15">
        <v>3</v>
      </c>
      <c r="B7037" s="15" t="s">
        <v>41097</v>
      </c>
      <c r="C7037" s="15" t="s">
        <v>41098</v>
      </c>
      <c r="D7037" s="31">
        <v>39688</v>
      </c>
      <c r="E7037" s="15" t="s">
        <v>41099</v>
      </c>
      <c r="F7037" s="87"/>
      <c r="G7037" s="45" t="s">
        <v>83</v>
      </c>
      <c r="H7037" s="55" t="s">
        <v>84</v>
      </c>
      <c r="I7037" s="15" t="s">
        <v>54</v>
      </c>
    </row>
    <row r="7038" spans="1:9" ht="51.75" customHeight="1" x14ac:dyDescent="0.35">
      <c r="A7038" s="15">
        <v>4</v>
      </c>
      <c r="B7038" s="15" t="s">
        <v>41100</v>
      </c>
      <c r="C7038" s="15" t="s">
        <v>41101</v>
      </c>
      <c r="D7038" s="31">
        <v>39688</v>
      </c>
      <c r="E7038" s="15" t="s">
        <v>41102</v>
      </c>
      <c r="F7038" s="87"/>
      <c r="G7038" s="45" t="s">
        <v>83</v>
      </c>
      <c r="H7038" s="55" t="s">
        <v>84</v>
      </c>
      <c r="I7038" s="15" t="s">
        <v>54</v>
      </c>
    </row>
    <row r="7039" spans="1:9" ht="51.75" customHeight="1" x14ac:dyDescent="0.35">
      <c r="A7039" s="15">
        <v>1</v>
      </c>
      <c r="B7039" s="15" t="s">
        <v>41103</v>
      </c>
      <c r="C7039" s="15" t="s">
        <v>41104</v>
      </c>
      <c r="D7039" s="31">
        <v>39688</v>
      </c>
      <c r="E7039" s="15" t="s">
        <v>41105</v>
      </c>
      <c r="F7039" s="87"/>
      <c r="G7039" s="45" t="s">
        <v>170</v>
      </c>
      <c r="H7039" s="55" t="s">
        <v>171</v>
      </c>
      <c r="I7039" s="15" t="s">
        <v>54</v>
      </c>
    </row>
    <row r="7040" spans="1:9" ht="51.75" customHeight="1" x14ac:dyDescent="0.35">
      <c r="A7040" s="15">
        <v>2</v>
      </c>
      <c r="B7040" s="15" t="s">
        <v>41106</v>
      </c>
      <c r="C7040" s="15" t="s">
        <v>41107</v>
      </c>
      <c r="D7040" s="31">
        <v>39688</v>
      </c>
      <c r="E7040" s="15" t="s">
        <v>41108</v>
      </c>
      <c r="F7040" s="87"/>
      <c r="G7040" s="45" t="s">
        <v>170</v>
      </c>
      <c r="H7040" s="55" t="s">
        <v>171</v>
      </c>
      <c r="I7040" s="15" t="s">
        <v>54</v>
      </c>
    </row>
    <row r="7041" spans="1:9" ht="51.75" customHeight="1" x14ac:dyDescent="0.35">
      <c r="A7041" s="15">
        <v>3</v>
      </c>
      <c r="B7041" s="15" t="s">
        <v>41109</v>
      </c>
      <c r="C7041" s="15" t="s">
        <v>41110</v>
      </c>
      <c r="D7041" s="31">
        <v>39688</v>
      </c>
      <c r="E7041" s="15" t="s">
        <v>41111</v>
      </c>
      <c r="F7041" s="87"/>
      <c r="G7041" s="45" t="s">
        <v>170</v>
      </c>
      <c r="H7041" s="55" t="s">
        <v>171</v>
      </c>
      <c r="I7041" s="15" t="s">
        <v>54</v>
      </c>
    </row>
    <row r="7042" spans="1:9" ht="51.75" customHeight="1" x14ac:dyDescent="0.35">
      <c r="A7042" s="15">
        <v>4</v>
      </c>
      <c r="B7042" s="15" t="s">
        <v>41112</v>
      </c>
      <c r="C7042" s="15" t="s">
        <v>41113</v>
      </c>
      <c r="D7042" s="31">
        <v>39688</v>
      </c>
      <c r="E7042" s="15" t="s">
        <v>41114</v>
      </c>
      <c r="F7042" s="87"/>
      <c r="G7042" s="45" t="s">
        <v>170</v>
      </c>
      <c r="H7042" s="55" t="s">
        <v>171</v>
      </c>
      <c r="I7042" s="15" t="s">
        <v>54</v>
      </c>
    </row>
    <row r="7043" spans="1:9" ht="51.75" customHeight="1" x14ac:dyDescent="0.35">
      <c r="A7043" s="15">
        <v>5</v>
      </c>
      <c r="B7043" s="15" t="s">
        <v>41115</v>
      </c>
      <c r="C7043" s="15" t="s">
        <v>41116</v>
      </c>
      <c r="D7043" s="31">
        <v>39688</v>
      </c>
      <c r="E7043" s="15" t="s">
        <v>41117</v>
      </c>
      <c r="F7043" s="87"/>
      <c r="G7043" s="45" t="s">
        <v>170</v>
      </c>
      <c r="H7043" s="55" t="s">
        <v>171</v>
      </c>
      <c r="I7043" s="15" t="s">
        <v>54</v>
      </c>
    </row>
    <row r="7044" spans="1:9" ht="51.75" customHeight="1" x14ac:dyDescent="0.35">
      <c r="A7044" s="15">
        <v>6</v>
      </c>
      <c r="B7044" s="15" t="s">
        <v>41118</v>
      </c>
      <c r="C7044" s="15" t="s">
        <v>41119</v>
      </c>
      <c r="D7044" s="31">
        <v>39688</v>
      </c>
      <c r="E7044" s="15" t="s">
        <v>41120</v>
      </c>
      <c r="F7044" s="87"/>
      <c r="G7044" s="45" t="s">
        <v>170</v>
      </c>
      <c r="H7044" s="55" t="s">
        <v>171</v>
      </c>
      <c r="I7044" s="15" t="s">
        <v>54</v>
      </c>
    </row>
    <row r="7045" spans="1:9" ht="51.75" customHeight="1" x14ac:dyDescent="0.35">
      <c r="A7045" s="15">
        <v>7</v>
      </c>
      <c r="B7045" s="15" t="s">
        <v>41121</v>
      </c>
      <c r="C7045" s="15" t="s">
        <v>41122</v>
      </c>
      <c r="D7045" s="31">
        <v>39688</v>
      </c>
      <c r="E7045" s="15" t="s">
        <v>41123</v>
      </c>
      <c r="F7045" s="87"/>
      <c r="G7045" s="45" t="s">
        <v>170</v>
      </c>
      <c r="H7045" s="55" t="s">
        <v>171</v>
      </c>
      <c r="I7045" s="15" t="s">
        <v>54</v>
      </c>
    </row>
    <row r="7046" spans="1:9" ht="51.75" customHeight="1" x14ac:dyDescent="0.35">
      <c r="A7046" s="15" t="s">
        <v>22159</v>
      </c>
      <c r="B7046" s="15" t="s">
        <v>41124</v>
      </c>
      <c r="C7046" s="15" t="s">
        <v>41125</v>
      </c>
      <c r="D7046" s="31">
        <v>40658</v>
      </c>
      <c r="E7046" s="15" t="s">
        <v>41126</v>
      </c>
      <c r="F7046" s="87" t="s">
        <v>38184</v>
      </c>
      <c r="G7046" s="45" t="s">
        <v>4602</v>
      </c>
      <c r="H7046" s="55" t="s">
        <v>4603</v>
      </c>
      <c r="I7046" s="15" t="s">
        <v>54</v>
      </c>
    </row>
    <row r="7047" spans="1:9" ht="51.75" customHeight="1" x14ac:dyDescent="0.35">
      <c r="A7047" s="15" t="s">
        <v>22159</v>
      </c>
      <c r="B7047" s="15" t="s">
        <v>41127</v>
      </c>
      <c r="C7047" s="15" t="s">
        <v>41125</v>
      </c>
      <c r="D7047" s="31">
        <v>40658</v>
      </c>
      <c r="E7047" s="15" t="s">
        <v>41128</v>
      </c>
      <c r="F7047" s="87" t="s">
        <v>21871</v>
      </c>
      <c r="G7047" s="45" t="s">
        <v>4602</v>
      </c>
      <c r="H7047" s="55" t="s">
        <v>4603</v>
      </c>
      <c r="I7047" s="15" t="s">
        <v>54</v>
      </c>
    </row>
    <row r="7048" spans="1:9" ht="51.75" customHeight="1" x14ac:dyDescent="0.35">
      <c r="A7048" s="15" t="s">
        <v>22656</v>
      </c>
      <c r="B7048" s="15" t="s">
        <v>41129</v>
      </c>
      <c r="C7048" s="15" t="s">
        <v>41130</v>
      </c>
      <c r="D7048" s="31">
        <v>40658</v>
      </c>
      <c r="E7048" s="15" t="s">
        <v>41131</v>
      </c>
      <c r="F7048" s="87" t="s">
        <v>38184</v>
      </c>
      <c r="G7048" s="45" t="s">
        <v>4602</v>
      </c>
      <c r="H7048" s="55" t="s">
        <v>4603</v>
      </c>
      <c r="I7048" s="15" t="s">
        <v>54</v>
      </c>
    </row>
    <row r="7049" spans="1:9" ht="51.75" customHeight="1" x14ac:dyDescent="0.35">
      <c r="A7049" s="15" t="s">
        <v>22656</v>
      </c>
      <c r="B7049" s="15" t="s">
        <v>41132</v>
      </c>
      <c r="C7049" s="15" t="s">
        <v>41130</v>
      </c>
      <c r="D7049" s="31">
        <v>40658</v>
      </c>
      <c r="E7049" s="15" t="s">
        <v>41133</v>
      </c>
      <c r="F7049" s="87" t="s">
        <v>21871</v>
      </c>
      <c r="G7049" s="45" t="s">
        <v>4602</v>
      </c>
      <c r="H7049" s="55" t="s">
        <v>4603</v>
      </c>
      <c r="I7049" s="15" t="s">
        <v>54</v>
      </c>
    </row>
    <row r="7050" spans="1:9" ht="51.75" customHeight="1" x14ac:dyDescent="0.35">
      <c r="A7050" s="15" t="s">
        <v>22660</v>
      </c>
      <c r="B7050" s="15" t="s">
        <v>41134</v>
      </c>
      <c r="C7050" s="15" t="s">
        <v>41135</v>
      </c>
      <c r="D7050" s="31">
        <v>40658</v>
      </c>
      <c r="E7050" s="15" t="s">
        <v>41136</v>
      </c>
      <c r="F7050" s="87" t="s">
        <v>38184</v>
      </c>
      <c r="G7050" s="45" t="s">
        <v>4602</v>
      </c>
      <c r="H7050" s="55" t="s">
        <v>4603</v>
      </c>
      <c r="I7050" s="15" t="s">
        <v>54</v>
      </c>
    </row>
    <row r="7051" spans="1:9" ht="51.75" customHeight="1" x14ac:dyDescent="0.35">
      <c r="A7051" s="15" t="s">
        <v>22660</v>
      </c>
      <c r="B7051" s="15" t="s">
        <v>41137</v>
      </c>
      <c r="C7051" s="15" t="s">
        <v>41135</v>
      </c>
      <c r="D7051" s="31">
        <v>40658</v>
      </c>
      <c r="E7051" s="15" t="s">
        <v>41138</v>
      </c>
      <c r="F7051" s="87" t="s">
        <v>21871</v>
      </c>
      <c r="G7051" s="45" t="s">
        <v>4602</v>
      </c>
      <c r="H7051" s="55" t="s">
        <v>4603</v>
      </c>
      <c r="I7051" s="15" t="s">
        <v>54</v>
      </c>
    </row>
    <row r="7052" spans="1:9" ht="51.75" customHeight="1" x14ac:dyDescent="0.35">
      <c r="A7052" s="15">
        <v>1</v>
      </c>
      <c r="B7052" s="15" t="s">
        <v>41139</v>
      </c>
      <c r="C7052" s="15" t="s">
        <v>41140</v>
      </c>
      <c r="D7052" s="31">
        <v>40855</v>
      </c>
      <c r="E7052" s="15" t="s">
        <v>41141</v>
      </c>
      <c r="F7052" s="87"/>
      <c r="G7052" s="45" t="s">
        <v>5122</v>
      </c>
      <c r="H7052" s="55" t="s">
        <v>5123</v>
      </c>
      <c r="I7052" s="15" t="s">
        <v>54</v>
      </c>
    </row>
    <row r="7053" spans="1:9" ht="51.75" customHeight="1" x14ac:dyDescent="0.35">
      <c r="A7053" s="15">
        <v>2</v>
      </c>
      <c r="B7053" s="15" t="s">
        <v>41142</v>
      </c>
      <c r="C7053" s="15" t="s">
        <v>41143</v>
      </c>
      <c r="D7053" s="31">
        <v>40855</v>
      </c>
      <c r="E7053" s="15" t="s">
        <v>41144</v>
      </c>
      <c r="F7053" s="87"/>
      <c r="G7053" s="45" t="s">
        <v>5122</v>
      </c>
      <c r="H7053" s="55" t="s">
        <v>5123</v>
      </c>
      <c r="I7053" s="15" t="s">
        <v>54</v>
      </c>
    </row>
    <row r="7054" spans="1:9" ht="51.75" customHeight="1" x14ac:dyDescent="0.35">
      <c r="A7054" s="15">
        <v>3</v>
      </c>
      <c r="B7054" s="15" t="s">
        <v>41145</v>
      </c>
      <c r="C7054" s="15" t="s">
        <v>41146</v>
      </c>
      <c r="D7054" s="31">
        <v>40855</v>
      </c>
      <c r="E7054" s="15" t="s">
        <v>41147</v>
      </c>
      <c r="F7054" s="87"/>
      <c r="G7054" s="45" t="s">
        <v>5122</v>
      </c>
      <c r="H7054" s="55" t="s">
        <v>5123</v>
      </c>
      <c r="I7054" s="15" t="s">
        <v>54</v>
      </c>
    </row>
    <row r="7055" spans="1:9" ht="51.75" customHeight="1" x14ac:dyDescent="0.35">
      <c r="A7055" s="15">
        <v>4</v>
      </c>
      <c r="B7055" s="15" t="s">
        <v>41148</v>
      </c>
      <c r="C7055" s="15" t="s">
        <v>41149</v>
      </c>
      <c r="D7055" s="31">
        <v>40855</v>
      </c>
      <c r="E7055" s="15" t="s">
        <v>41150</v>
      </c>
      <c r="F7055" s="87"/>
      <c r="G7055" s="45" t="s">
        <v>5122</v>
      </c>
      <c r="H7055" s="55" t="s">
        <v>5123</v>
      </c>
      <c r="I7055" s="15" t="s">
        <v>54</v>
      </c>
    </row>
    <row r="7056" spans="1:9" ht="51.75" customHeight="1" x14ac:dyDescent="0.35">
      <c r="A7056" s="15" t="s">
        <v>27270</v>
      </c>
      <c r="B7056" s="15" t="s">
        <v>41151</v>
      </c>
      <c r="C7056" s="15" t="s">
        <v>41152</v>
      </c>
      <c r="D7056" s="31">
        <v>41254</v>
      </c>
      <c r="E7056" s="15" t="s">
        <v>41153</v>
      </c>
      <c r="F7056" s="87" t="s">
        <v>21871</v>
      </c>
      <c r="G7056" s="45" t="s">
        <v>7420</v>
      </c>
      <c r="H7056" s="55" t="s">
        <v>7421</v>
      </c>
      <c r="I7056" s="15" t="s">
        <v>54</v>
      </c>
    </row>
    <row r="7057" spans="1:9" ht="51.75" customHeight="1" x14ac:dyDescent="0.35">
      <c r="A7057" s="15" t="s">
        <v>22842</v>
      </c>
      <c r="B7057" s="15" t="s">
        <v>41154</v>
      </c>
      <c r="C7057" s="15" t="s">
        <v>41155</v>
      </c>
      <c r="D7057" s="31">
        <v>41254</v>
      </c>
      <c r="E7057" s="15" t="s">
        <v>41156</v>
      </c>
      <c r="F7057" s="87" t="s">
        <v>21871</v>
      </c>
      <c r="G7057" s="45" t="s">
        <v>7420</v>
      </c>
      <c r="H7057" s="55" t="s">
        <v>7421</v>
      </c>
      <c r="I7057" s="15" t="s">
        <v>54</v>
      </c>
    </row>
    <row r="7058" spans="1:9" ht="51.75" customHeight="1" x14ac:dyDescent="0.35">
      <c r="A7058" s="15" t="s">
        <v>22846</v>
      </c>
      <c r="B7058" s="15" t="s">
        <v>41157</v>
      </c>
      <c r="C7058" s="15" t="s">
        <v>41158</v>
      </c>
      <c r="D7058" s="31">
        <v>41254</v>
      </c>
      <c r="E7058" s="15" t="s">
        <v>41159</v>
      </c>
      <c r="F7058" s="87" t="s">
        <v>21871</v>
      </c>
      <c r="G7058" s="45" t="s">
        <v>7420</v>
      </c>
      <c r="H7058" s="55" t="s">
        <v>7421</v>
      </c>
      <c r="I7058" s="15" t="s">
        <v>54</v>
      </c>
    </row>
    <row r="7059" spans="1:9" ht="51.75" customHeight="1" x14ac:dyDescent="0.35">
      <c r="A7059" s="15" t="s">
        <v>22850</v>
      </c>
      <c r="B7059" s="15" t="s">
        <v>41160</v>
      </c>
      <c r="C7059" s="15" t="s">
        <v>41161</v>
      </c>
      <c r="D7059" s="31">
        <v>41254</v>
      </c>
      <c r="E7059" s="15" t="s">
        <v>41162</v>
      </c>
      <c r="F7059" s="87" t="s">
        <v>21871</v>
      </c>
      <c r="G7059" s="45" t="s">
        <v>7420</v>
      </c>
      <c r="H7059" s="55" t="s">
        <v>7421</v>
      </c>
      <c r="I7059" s="15" t="s">
        <v>54</v>
      </c>
    </row>
    <row r="7060" spans="1:9" ht="51.75" customHeight="1" x14ac:dyDescent="0.35">
      <c r="A7060" s="15" t="s">
        <v>22854</v>
      </c>
      <c r="B7060" s="15" t="s">
        <v>41163</v>
      </c>
      <c r="C7060" s="15" t="s">
        <v>41164</v>
      </c>
      <c r="D7060" s="31">
        <v>41254</v>
      </c>
      <c r="E7060" s="15" t="s">
        <v>41165</v>
      </c>
      <c r="F7060" s="87" t="s">
        <v>21871</v>
      </c>
      <c r="G7060" s="45" t="s">
        <v>7420</v>
      </c>
      <c r="H7060" s="55" t="s">
        <v>7421</v>
      </c>
      <c r="I7060" s="15" t="s">
        <v>54</v>
      </c>
    </row>
    <row r="7061" spans="1:9" ht="51.75" customHeight="1" x14ac:dyDescent="0.35">
      <c r="A7061" s="15" t="s">
        <v>33470</v>
      </c>
      <c r="B7061" s="15" t="s">
        <v>41166</v>
      </c>
      <c r="C7061" s="15" t="s">
        <v>41167</v>
      </c>
      <c r="D7061" s="31">
        <v>41254</v>
      </c>
      <c r="E7061" s="15" t="s">
        <v>41168</v>
      </c>
      <c r="F7061" s="87" t="s">
        <v>21871</v>
      </c>
      <c r="G7061" s="45" t="s">
        <v>7420</v>
      </c>
      <c r="H7061" s="55" t="s">
        <v>7421</v>
      </c>
      <c r="I7061" s="15" t="s">
        <v>54</v>
      </c>
    </row>
    <row r="7062" spans="1:9" ht="51.75" customHeight="1" x14ac:dyDescent="0.35">
      <c r="A7062" s="15" t="s">
        <v>23572</v>
      </c>
      <c r="B7062" s="15" t="s">
        <v>41169</v>
      </c>
      <c r="C7062" s="15" t="s">
        <v>41170</v>
      </c>
      <c r="D7062" s="31">
        <v>41254</v>
      </c>
      <c r="E7062" s="15" t="s">
        <v>41171</v>
      </c>
      <c r="F7062" s="87" t="s">
        <v>21871</v>
      </c>
      <c r="G7062" s="45" t="s">
        <v>7420</v>
      </c>
      <c r="H7062" s="55" t="s">
        <v>7421</v>
      </c>
      <c r="I7062" s="15" t="s">
        <v>54</v>
      </c>
    </row>
    <row r="7063" spans="1:9" ht="51.75" customHeight="1" x14ac:dyDescent="0.35">
      <c r="A7063" s="15" t="s">
        <v>23575</v>
      </c>
      <c r="B7063" s="15" t="s">
        <v>41172</v>
      </c>
      <c r="C7063" s="15" t="s">
        <v>41173</v>
      </c>
      <c r="D7063" s="31">
        <v>41254</v>
      </c>
      <c r="E7063" s="15" t="s">
        <v>41174</v>
      </c>
      <c r="F7063" s="87" t="s">
        <v>21871</v>
      </c>
      <c r="G7063" s="45" t="s">
        <v>7420</v>
      </c>
      <c r="H7063" s="55" t="s">
        <v>7421</v>
      </c>
      <c r="I7063" s="15" t="s">
        <v>54</v>
      </c>
    </row>
    <row r="7064" spans="1:9" ht="51.75" customHeight="1" x14ac:dyDescent="0.35">
      <c r="A7064" s="15" t="s">
        <v>23578</v>
      </c>
      <c r="B7064" s="15" t="s">
        <v>41175</v>
      </c>
      <c r="C7064" s="15" t="s">
        <v>41176</v>
      </c>
      <c r="D7064" s="31">
        <v>40561</v>
      </c>
      <c r="E7064" s="15" t="s">
        <v>41177</v>
      </c>
      <c r="F7064" s="87" t="s">
        <v>21871</v>
      </c>
      <c r="G7064" s="45" t="s">
        <v>4149</v>
      </c>
      <c r="H7064" s="55" t="s">
        <v>4150</v>
      </c>
      <c r="I7064" s="15" t="s">
        <v>54</v>
      </c>
    </row>
    <row r="7065" spans="1:9" ht="51.75" customHeight="1" x14ac:dyDescent="0.35">
      <c r="A7065" s="15" t="s">
        <v>22618</v>
      </c>
      <c r="B7065" s="15" t="s">
        <v>41178</v>
      </c>
      <c r="C7065" s="15" t="s">
        <v>41179</v>
      </c>
      <c r="D7065" s="31">
        <v>40561</v>
      </c>
      <c r="E7065" s="15" t="s">
        <v>41179</v>
      </c>
      <c r="F7065" s="87" t="s">
        <v>21871</v>
      </c>
      <c r="G7065" s="45" t="s">
        <v>4149</v>
      </c>
      <c r="H7065" s="55" t="s">
        <v>4150</v>
      </c>
      <c r="I7065" s="15" t="s">
        <v>54</v>
      </c>
    </row>
    <row r="7066" spans="1:9" ht="51.75" customHeight="1" x14ac:dyDescent="0.35">
      <c r="A7066" s="15" t="s">
        <v>22622</v>
      </c>
      <c r="B7066" s="15" t="s">
        <v>41180</v>
      </c>
      <c r="C7066" s="15" t="s">
        <v>41181</v>
      </c>
      <c r="D7066" s="31">
        <v>40561</v>
      </c>
      <c r="E7066" s="15" t="s">
        <v>41181</v>
      </c>
      <c r="F7066" s="87" t="s">
        <v>21871</v>
      </c>
      <c r="G7066" s="45" t="s">
        <v>4149</v>
      </c>
      <c r="H7066" s="55" t="s">
        <v>4150</v>
      </c>
      <c r="I7066" s="15" t="s">
        <v>54</v>
      </c>
    </row>
    <row r="7067" spans="1:9" ht="51.75" customHeight="1" x14ac:dyDescent="0.35">
      <c r="A7067" s="15" t="s">
        <v>22433</v>
      </c>
      <c r="B7067" s="15" t="s">
        <v>41182</v>
      </c>
      <c r="C7067" s="15" t="s">
        <v>41183</v>
      </c>
      <c r="D7067" s="31">
        <v>40561</v>
      </c>
      <c r="E7067" s="15" t="s">
        <v>41183</v>
      </c>
      <c r="F7067" s="87" t="s">
        <v>21871</v>
      </c>
      <c r="G7067" s="45" t="s">
        <v>4149</v>
      </c>
      <c r="H7067" s="55" t="s">
        <v>4150</v>
      </c>
      <c r="I7067" s="15" t="s">
        <v>54</v>
      </c>
    </row>
    <row r="7068" spans="1:9" ht="51.75" customHeight="1" x14ac:dyDescent="0.35">
      <c r="A7068" s="15" t="s">
        <v>24255</v>
      </c>
      <c r="B7068" s="15" t="s">
        <v>41184</v>
      </c>
      <c r="C7068" s="15" t="s">
        <v>41185</v>
      </c>
      <c r="D7068" s="31">
        <v>41991</v>
      </c>
      <c r="E7068" s="15" t="s">
        <v>41186</v>
      </c>
      <c r="F7068" s="87" t="s">
        <v>21871</v>
      </c>
      <c r="G7068" s="45" t="s">
        <v>9527</v>
      </c>
      <c r="H7068" s="55" t="s">
        <v>9528</v>
      </c>
      <c r="I7068" s="15" t="s">
        <v>54</v>
      </c>
    </row>
    <row r="7069" spans="1:9" ht="51.75" customHeight="1" x14ac:dyDescent="0.35">
      <c r="A7069" s="15" t="s">
        <v>24261</v>
      </c>
      <c r="B7069" s="15" t="s">
        <v>41187</v>
      </c>
      <c r="C7069" s="15" t="s">
        <v>41188</v>
      </c>
      <c r="D7069" s="31">
        <v>41991</v>
      </c>
      <c r="E7069" s="15" t="s">
        <v>41189</v>
      </c>
      <c r="F7069" s="87" t="s">
        <v>21871</v>
      </c>
      <c r="G7069" s="45" t="s">
        <v>9527</v>
      </c>
      <c r="H7069" s="55" t="s">
        <v>9528</v>
      </c>
      <c r="I7069" s="15" t="s">
        <v>54</v>
      </c>
    </row>
    <row r="7070" spans="1:9" ht="51.75" customHeight="1" x14ac:dyDescent="0.35">
      <c r="A7070" s="15" t="s">
        <v>21883</v>
      </c>
      <c r="B7070" s="15" t="s">
        <v>41190</v>
      </c>
      <c r="C7070" s="15" t="s">
        <v>41191</v>
      </c>
      <c r="D7070" s="31">
        <v>41991</v>
      </c>
      <c r="E7070" s="15" t="s">
        <v>41192</v>
      </c>
      <c r="F7070" s="87" t="s">
        <v>21871</v>
      </c>
      <c r="G7070" s="45" t="s">
        <v>9527</v>
      </c>
      <c r="H7070" s="55" t="s">
        <v>9528</v>
      </c>
      <c r="I7070" s="15" t="s">
        <v>54</v>
      </c>
    </row>
    <row r="7071" spans="1:9" ht="51.75" customHeight="1" x14ac:dyDescent="0.35">
      <c r="A7071" s="15" t="s">
        <v>22217</v>
      </c>
      <c r="B7071" s="15" t="s">
        <v>41193</v>
      </c>
      <c r="C7071" s="15" t="s">
        <v>41194</v>
      </c>
      <c r="D7071" s="31">
        <v>41991</v>
      </c>
      <c r="E7071" s="15" t="s">
        <v>41195</v>
      </c>
      <c r="F7071" s="87" t="s">
        <v>21871</v>
      </c>
      <c r="G7071" s="45" t="s">
        <v>9527</v>
      </c>
      <c r="H7071" s="55" t="s">
        <v>9528</v>
      </c>
      <c r="I7071" s="15" t="s">
        <v>54</v>
      </c>
    </row>
    <row r="7072" spans="1:9" ht="51.75" customHeight="1" x14ac:dyDescent="0.35">
      <c r="A7072" s="15" t="s">
        <v>32363</v>
      </c>
      <c r="B7072" s="15" t="s">
        <v>41196</v>
      </c>
      <c r="C7072" s="15" t="s">
        <v>41197</v>
      </c>
      <c r="D7072" s="31">
        <v>41991</v>
      </c>
      <c r="E7072" s="15" t="s">
        <v>41198</v>
      </c>
      <c r="F7072" s="87" t="s">
        <v>21871</v>
      </c>
      <c r="G7072" s="45" t="s">
        <v>9527</v>
      </c>
      <c r="H7072" s="55" t="s">
        <v>9528</v>
      </c>
      <c r="I7072" s="15" t="s">
        <v>54</v>
      </c>
    </row>
    <row r="7073" spans="1:9" ht="51.75" customHeight="1" x14ac:dyDescent="0.35">
      <c r="A7073" s="15" t="s">
        <v>24877</v>
      </c>
      <c r="B7073" s="15" t="s">
        <v>41199</v>
      </c>
      <c r="C7073" s="15" t="s">
        <v>41200</v>
      </c>
      <c r="D7073" s="31">
        <v>41991</v>
      </c>
      <c r="E7073" s="15" t="s">
        <v>41201</v>
      </c>
      <c r="F7073" s="87" t="s">
        <v>21871</v>
      </c>
      <c r="G7073" s="45" t="s">
        <v>9527</v>
      </c>
      <c r="H7073" s="55" t="s">
        <v>9528</v>
      </c>
      <c r="I7073" s="15" t="s">
        <v>54</v>
      </c>
    </row>
    <row r="7074" spans="1:9" ht="51.75" customHeight="1" x14ac:dyDescent="0.35">
      <c r="A7074" s="15" t="s">
        <v>22035</v>
      </c>
      <c r="B7074" s="15" t="s">
        <v>41202</v>
      </c>
      <c r="C7074" s="15" t="s">
        <v>41203</v>
      </c>
      <c r="D7074" s="31">
        <v>41991</v>
      </c>
      <c r="E7074" s="15" t="s">
        <v>41204</v>
      </c>
      <c r="F7074" s="87" t="s">
        <v>21871</v>
      </c>
      <c r="G7074" s="45" t="s">
        <v>9527</v>
      </c>
      <c r="H7074" s="55" t="s">
        <v>9528</v>
      </c>
      <c r="I7074" s="15" t="s">
        <v>54</v>
      </c>
    </row>
    <row r="7075" spans="1:9" ht="51.75" customHeight="1" x14ac:dyDescent="0.35">
      <c r="A7075" s="15" t="s">
        <v>24369</v>
      </c>
      <c r="B7075" s="15" t="s">
        <v>41205</v>
      </c>
      <c r="C7075" s="15" t="s">
        <v>41206</v>
      </c>
      <c r="D7075" s="31">
        <v>42439</v>
      </c>
      <c r="E7075" s="15" t="s">
        <v>41207</v>
      </c>
      <c r="F7075" s="87" t="s">
        <v>21871</v>
      </c>
      <c r="G7075" s="45" t="s">
        <v>10949</v>
      </c>
      <c r="H7075" s="55" t="s">
        <v>10950</v>
      </c>
      <c r="I7075" s="15" t="s">
        <v>54</v>
      </c>
    </row>
    <row r="7076" spans="1:9" ht="51.75" customHeight="1" x14ac:dyDescent="0.35">
      <c r="A7076" s="15" t="s">
        <v>28561</v>
      </c>
      <c r="B7076" s="15" t="s">
        <v>41208</v>
      </c>
      <c r="C7076" s="15" t="s">
        <v>41209</v>
      </c>
      <c r="D7076" s="31">
        <v>42439</v>
      </c>
      <c r="E7076" s="15" t="s">
        <v>41210</v>
      </c>
      <c r="F7076" s="87" t="s">
        <v>21871</v>
      </c>
      <c r="G7076" s="45" t="s">
        <v>10949</v>
      </c>
      <c r="H7076" s="55" t="s">
        <v>10950</v>
      </c>
      <c r="I7076" s="15" t="s">
        <v>54</v>
      </c>
    </row>
    <row r="7077" spans="1:9" ht="51.75" customHeight="1" x14ac:dyDescent="0.35">
      <c r="A7077" s="15" t="s">
        <v>27270</v>
      </c>
      <c r="B7077" s="15" t="s">
        <v>41211</v>
      </c>
      <c r="C7077" s="15" t="s">
        <v>41209</v>
      </c>
      <c r="D7077" s="31">
        <v>42439</v>
      </c>
      <c r="E7077" s="15" t="s">
        <v>41212</v>
      </c>
      <c r="F7077" s="87" t="s">
        <v>21871</v>
      </c>
      <c r="G7077" s="45" t="s">
        <v>10949</v>
      </c>
      <c r="H7077" s="55" t="s">
        <v>10950</v>
      </c>
      <c r="I7077" s="15" t="s">
        <v>54</v>
      </c>
    </row>
    <row r="7078" spans="1:9" ht="51.75" customHeight="1" x14ac:dyDescent="0.35">
      <c r="A7078" s="15" t="s">
        <v>22842</v>
      </c>
      <c r="B7078" s="15" t="s">
        <v>41213</v>
      </c>
      <c r="C7078" s="15" t="s">
        <v>41214</v>
      </c>
      <c r="D7078" s="31">
        <v>42439</v>
      </c>
      <c r="E7078" s="15" t="s">
        <v>41215</v>
      </c>
      <c r="F7078" s="87" t="s">
        <v>21871</v>
      </c>
      <c r="G7078" s="45" t="s">
        <v>10949</v>
      </c>
      <c r="H7078" s="55" t="s">
        <v>10950</v>
      </c>
      <c r="I7078" s="15" t="s">
        <v>54</v>
      </c>
    </row>
    <row r="7079" spans="1:9" ht="51.75" customHeight="1" x14ac:dyDescent="0.35">
      <c r="A7079" s="15" t="s">
        <v>22846</v>
      </c>
      <c r="B7079" s="15" t="s">
        <v>41216</v>
      </c>
      <c r="C7079" s="15" t="s">
        <v>41214</v>
      </c>
      <c r="D7079" s="31">
        <v>42439</v>
      </c>
      <c r="E7079" s="15" t="s">
        <v>41217</v>
      </c>
      <c r="F7079" s="87" t="s">
        <v>21871</v>
      </c>
      <c r="G7079" s="45" t="s">
        <v>10949</v>
      </c>
      <c r="H7079" s="55" t="s">
        <v>10950</v>
      </c>
      <c r="I7079" s="15" t="s">
        <v>54</v>
      </c>
    </row>
    <row r="7080" spans="1:9" ht="51.75" customHeight="1" x14ac:dyDescent="0.35">
      <c r="A7080" s="15" t="s">
        <v>22850</v>
      </c>
      <c r="B7080" s="15" t="s">
        <v>41218</v>
      </c>
      <c r="C7080" s="15" t="s">
        <v>41219</v>
      </c>
      <c r="D7080" s="31">
        <v>42439</v>
      </c>
      <c r="E7080" s="15" t="s">
        <v>41220</v>
      </c>
      <c r="F7080" s="87" t="s">
        <v>21871</v>
      </c>
      <c r="G7080" s="45" t="s">
        <v>10949</v>
      </c>
      <c r="H7080" s="55" t="s">
        <v>10950</v>
      </c>
      <c r="I7080" s="15" t="s">
        <v>54</v>
      </c>
    </row>
    <row r="7081" spans="1:9" ht="51.75" customHeight="1" x14ac:dyDescent="0.35">
      <c r="A7081" s="15" t="s">
        <v>34021</v>
      </c>
      <c r="B7081" s="15" t="s">
        <v>41221</v>
      </c>
      <c r="C7081" s="15" t="s">
        <v>41222</v>
      </c>
      <c r="D7081" s="31">
        <v>42717</v>
      </c>
      <c r="E7081" s="15" t="s">
        <v>41223</v>
      </c>
      <c r="F7081" s="87" t="s">
        <v>21871</v>
      </c>
      <c r="G7081" s="45" t="s">
        <v>12157</v>
      </c>
      <c r="H7081" s="55" t="s">
        <v>12158</v>
      </c>
      <c r="I7081" s="15" t="s">
        <v>54</v>
      </c>
    </row>
    <row r="7082" spans="1:9" ht="51.75" customHeight="1" x14ac:dyDescent="0.35">
      <c r="A7082" s="15" t="s">
        <v>34025</v>
      </c>
      <c r="B7082" s="15" t="s">
        <v>41224</v>
      </c>
      <c r="C7082" s="15" t="s">
        <v>41225</v>
      </c>
      <c r="D7082" s="31">
        <v>42717</v>
      </c>
      <c r="E7082" s="15" t="s">
        <v>41226</v>
      </c>
      <c r="F7082" s="87" t="s">
        <v>21871</v>
      </c>
      <c r="G7082" s="45" t="s">
        <v>12157</v>
      </c>
      <c r="H7082" s="55" t="s">
        <v>12158</v>
      </c>
      <c r="I7082" s="15" t="s">
        <v>54</v>
      </c>
    </row>
    <row r="7083" spans="1:9" ht="51.75" customHeight="1" x14ac:dyDescent="0.35">
      <c r="A7083" s="15" t="s">
        <v>34029</v>
      </c>
      <c r="B7083" s="15" t="s">
        <v>41227</v>
      </c>
      <c r="C7083" s="15" t="s">
        <v>41228</v>
      </c>
      <c r="D7083" s="31">
        <v>42717</v>
      </c>
      <c r="E7083" s="15" t="s">
        <v>41229</v>
      </c>
      <c r="F7083" s="87" t="s">
        <v>21871</v>
      </c>
      <c r="G7083" s="45" t="s">
        <v>12157</v>
      </c>
      <c r="H7083" s="55" t="s">
        <v>12158</v>
      </c>
      <c r="I7083" s="15" t="s">
        <v>54</v>
      </c>
    </row>
    <row r="7084" spans="1:9" ht="51.75" customHeight="1" x14ac:dyDescent="0.35">
      <c r="A7084" s="15" t="s">
        <v>37133</v>
      </c>
      <c r="B7084" s="15" t="s">
        <v>41230</v>
      </c>
      <c r="C7084" s="15" t="s">
        <v>41231</v>
      </c>
      <c r="D7084" s="31">
        <v>42717</v>
      </c>
      <c r="E7084" s="15" t="s">
        <v>41232</v>
      </c>
      <c r="F7084" s="87" t="s">
        <v>21871</v>
      </c>
      <c r="G7084" s="45" t="s">
        <v>12157</v>
      </c>
      <c r="H7084" s="55" t="s">
        <v>12158</v>
      </c>
      <c r="I7084" s="15" t="s">
        <v>54</v>
      </c>
    </row>
    <row r="7085" spans="1:9" ht="51.75" customHeight="1" x14ac:dyDescent="0.35">
      <c r="A7085" s="15" t="s">
        <v>28676</v>
      </c>
      <c r="B7085" s="15" t="s">
        <v>41233</v>
      </c>
      <c r="C7085" s="15" t="s">
        <v>41234</v>
      </c>
      <c r="D7085" s="31">
        <v>42717</v>
      </c>
      <c r="E7085" s="15" t="s">
        <v>41235</v>
      </c>
      <c r="F7085" s="87" t="s">
        <v>21871</v>
      </c>
      <c r="G7085" s="45" t="s">
        <v>12157</v>
      </c>
      <c r="H7085" s="55" t="s">
        <v>12158</v>
      </c>
      <c r="I7085" s="15" t="s">
        <v>54</v>
      </c>
    </row>
    <row r="7086" spans="1:9" ht="51.75" customHeight="1" x14ac:dyDescent="0.35">
      <c r="A7086" s="15" t="s">
        <v>33993</v>
      </c>
      <c r="B7086" s="15" t="s">
        <v>41236</v>
      </c>
      <c r="C7086" s="15" t="s">
        <v>41234</v>
      </c>
      <c r="D7086" s="31">
        <v>42717</v>
      </c>
      <c r="E7086" s="15" t="s">
        <v>41237</v>
      </c>
      <c r="F7086" s="87" t="s">
        <v>21871</v>
      </c>
      <c r="G7086" s="45" t="s">
        <v>12157</v>
      </c>
      <c r="H7086" s="55" t="s">
        <v>12158</v>
      </c>
      <c r="I7086" s="15" t="s">
        <v>54</v>
      </c>
    </row>
    <row r="7087" spans="1:9" ht="51.75" customHeight="1" x14ac:dyDescent="0.35">
      <c r="A7087" s="15"/>
      <c r="B7087" s="15" t="s">
        <v>41238</v>
      </c>
      <c r="C7087" s="15">
        <v>1</v>
      </c>
      <c r="D7087" s="28">
        <v>44371</v>
      </c>
      <c r="E7087" s="15" t="s">
        <v>41239</v>
      </c>
      <c r="F7087" s="87" t="s">
        <v>21871</v>
      </c>
      <c r="G7087" s="39" t="s">
        <v>18397</v>
      </c>
      <c r="H7087" s="55" t="s">
        <v>18398</v>
      </c>
      <c r="I7087" s="15" t="s">
        <v>18349</v>
      </c>
    </row>
    <row r="7088" spans="1:9" ht="51.75" customHeight="1" x14ac:dyDescent="0.35">
      <c r="A7088" s="15"/>
      <c r="B7088" s="15" t="str">
        <f>CONCATENATE(G7088,"/",COUNTIF($G$2:G7088,G7088))</f>
        <v>CZ-10003/1</v>
      </c>
      <c r="C7088" s="15" t="s">
        <v>21892</v>
      </c>
      <c r="D7088" s="28">
        <v>44490</v>
      </c>
      <c r="E7088" s="15" t="s">
        <v>41240</v>
      </c>
      <c r="F7088" s="87" t="s">
        <v>21871</v>
      </c>
      <c r="G7088" s="16" t="s">
        <v>18347</v>
      </c>
      <c r="H7088" s="55" t="s">
        <v>18348</v>
      </c>
      <c r="I7088" s="15" t="s">
        <v>18349</v>
      </c>
    </row>
    <row r="7089" spans="1:9" ht="51.75" customHeight="1" x14ac:dyDescent="0.35">
      <c r="A7089" s="15">
        <v>1</v>
      </c>
      <c r="B7089" s="15" t="s">
        <v>41241</v>
      </c>
      <c r="C7089" s="15" t="s">
        <v>41242</v>
      </c>
      <c r="D7089" s="31">
        <v>40403</v>
      </c>
      <c r="E7089" s="15" t="s">
        <v>41242</v>
      </c>
      <c r="F7089" s="87"/>
      <c r="G7089" s="45" t="s">
        <v>4367</v>
      </c>
      <c r="H7089" s="55" t="s">
        <v>4368</v>
      </c>
      <c r="I7089" s="15" t="s">
        <v>2527</v>
      </c>
    </row>
    <row r="7090" spans="1:9" ht="51.75" customHeight="1" x14ac:dyDescent="0.35">
      <c r="A7090" s="15">
        <v>2</v>
      </c>
      <c r="B7090" s="15" t="s">
        <v>41243</v>
      </c>
      <c r="C7090" s="15" t="s">
        <v>41244</v>
      </c>
      <c r="D7090" s="31">
        <v>40403</v>
      </c>
      <c r="E7090" s="15" t="s">
        <v>41244</v>
      </c>
      <c r="F7090" s="87"/>
      <c r="G7090" s="45" t="s">
        <v>4367</v>
      </c>
      <c r="H7090" s="55" t="s">
        <v>4368</v>
      </c>
      <c r="I7090" s="15" t="s">
        <v>2527</v>
      </c>
    </row>
    <row r="7091" spans="1:9" ht="51.75" customHeight="1" x14ac:dyDescent="0.35">
      <c r="A7091" s="15">
        <v>3</v>
      </c>
      <c r="B7091" s="15" t="s">
        <v>41245</v>
      </c>
      <c r="C7091" s="15" t="s">
        <v>41246</v>
      </c>
      <c r="D7091" s="31">
        <v>40403</v>
      </c>
      <c r="E7091" s="15" t="s">
        <v>41247</v>
      </c>
      <c r="F7091" s="87"/>
      <c r="G7091" s="45" t="s">
        <v>4367</v>
      </c>
      <c r="H7091" s="55" t="s">
        <v>4368</v>
      </c>
      <c r="I7091" s="15" t="s">
        <v>2527</v>
      </c>
    </row>
    <row r="7092" spans="1:9" ht="51.75" customHeight="1" x14ac:dyDescent="0.35">
      <c r="A7092" s="15">
        <v>4</v>
      </c>
      <c r="B7092" s="15" t="s">
        <v>41248</v>
      </c>
      <c r="C7092" s="15" t="s">
        <v>41249</v>
      </c>
      <c r="D7092" s="31">
        <v>40403</v>
      </c>
      <c r="E7092" s="15" t="s">
        <v>41249</v>
      </c>
      <c r="F7092" s="87"/>
      <c r="G7092" s="45" t="s">
        <v>4367</v>
      </c>
      <c r="H7092" s="55" t="s">
        <v>4368</v>
      </c>
      <c r="I7092" s="15" t="s">
        <v>2527</v>
      </c>
    </row>
    <row r="7093" spans="1:9" ht="51.75" customHeight="1" x14ac:dyDescent="0.35">
      <c r="A7093" s="15">
        <v>1</v>
      </c>
      <c r="B7093" s="15" t="s">
        <v>41250</v>
      </c>
      <c r="C7093" s="15" t="s">
        <v>41251</v>
      </c>
      <c r="D7093" s="31">
        <v>39803</v>
      </c>
      <c r="E7093" s="15" t="s">
        <v>41252</v>
      </c>
      <c r="F7093" s="87"/>
      <c r="G7093" s="45" t="s">
        <v>3480</v>
      </c>
      <c r="H7093" s="55" t="s">
        <v>3481</v>
      </c>
      <c r="I7093" s="15" t="s">
        <v>2527</v>
      </c>
    </row>
    <row r="7094" spans="1:9" ht="51.75" customHeight="1" x14ac:dyDescent="0.35">
      <c r="A7094" s="15">
        <v>2</v>
      </c>
      <c r="B7094" s="15" t="s">
        <v>41253</v>
      </c>
      <c r="C7094" s="15" t="s">
        <v>41254</v>
      </c>
      <c r="D7094" s="31">
        <v>39803</v>
      </c>
      <c r="E7094" s="15" t="s">
        <v>41255</v>
      </c>
      <c r="F7094" s="87"/>
      <c r="G7094" s="45" t="s">
        <v>3480</v>
      </c>
      <c r="H7094" s="55" t="s">
        <v>3481</v>
      </c>
      <c r="I7094" s="15" t="s">
        <v>2527</v>
      </c>
    </row>
    <row r="7095" spans="1:9" ht="51.75" customHeight="1" x14ac:dyDescent="0.35">
      <c r="A7095" s="15">
        <v>3</v>
      </c>
      <c r="B7095" s="15" t="s">
        <v>41256</v>
      </c>
      <c r="C7095" s="15" t="s">
        <v>41257</v>
      </c>
      <c r="D7095" s="31">
        <v>39803</v>
      </c>
      <c r="E7095" s="15" t="s">
        <v>41258</v>
      </c>
      <c r="F7095" s="87"/>
      <c r="G7095" s="45" t="s">
        <v>3480</v>
      </c>
      <c r="H7095" s="55" t="s">
        <v>3481</v>
      </c>
      <c r="I7095" s="15" t="s">
        <v>2527</v>
      </c>
    </row>
    <row r="7096" spans="1:9" ht="51.75" customHeight="1" x14ac:dyDescent="0.35">
      <c r="A7096" s="15">
        <v>4</v>
      </c>
      <c r="B7096" s="15" t="s">
        <v>41259</v>
      </c>
      <c r="C7096" s="15" t="s">
        <v>41260</v>
      </c>
      <c r="D7096" s="31">
        <v>39803</v>
      </c>
      <c r="E7096" s="15" t="s">
        <v>41261</v>
      </c>
      <c r="F7096" s="87"/>
      <c r="G7096" s="45" t="s">
        <v>3480</v>
      </c>
      <c r="H7096" s="55" t="s">
        <v>3481</v>
      </c>
      <c r="I7096" s="15" t="s">
        <v>2527</v>
      </c>
    </row>
    <row r="7097" spans="1:9" ht="51.75" customHeight="1" x14ac:dyDescent="0.35">
      <c r="A7097" s="15">
        <v>1</v>
      </c>
      <c r="B7097" s="15" t="s">
        <v>41262</v>
      </c>
      <c r="C7097" s="15" t="s">
        <v>41263</v>
      </c>
      <c r="D7097" s="31">
        <v>39588</v>
      </c>
      <c r="E7097" s="15" t="s">
        <v>41264</v>
      </c>
      <c r="F7097" s="87"/>
      <c r="G7097" s="45" t="s">
        <v>2525</v>
      </c>
      <c r="H7097" s="55" t="s">
        <v>2526</v>
      </c>
      <c r="I7097" s="15" t="s">
        <v>2527</v>
      </c>
    </row>
    <row r="7098" spans="1:9" ht="51.75" customHeight="1" x14ac:dyDescent="0.35">
      <c r="A7098" s="15">
        <v>2</v>
      </c>
      <c r="B7098" s="15" t="s">
        <v>41265</v>
      </c>
      <c r="C7098" s="15" t="s">
        <v>41266</v>
      </c>
      <c r="D7098" s="31">
        <v>39588</v>
      </c>
      <c r="E7098" s="15" t="s">
        <v>41267</v>
      </c>
      <c r="F7098" s="87"/>
      <c r="G7098" s="45" t="s">
        <v>2525</v>
      </c>
      <c r="H7098" s="55" t="s">
        <v>2526</v>
      </c>
      <c r="I7098" s="15" t="s">
        <v>2527</v>
      </c>
    </row>
    <row r="7099" spans="1:9" ht="51.75" customHeight="1" x14ac:dyDescent="0.35">
      <c r="A7099" s="15">
        <v>3</v>
      </c>
      <c r="B7099" s="15" t="s">
        <v>41268</v>
      </c>
      <c r="C7099" s="15" t="s">
        <v>41269</v>
      </c>
      <c r="D7099" s="31">
        <v>39588</v>
      </c>
      <c r="E7099" s="15" t="s">
        <v>41270</v>
      </c>
      <c r="F7099" s="87"/>
      <c r="G7099" s="45" t="s">
        <v>2525</v>
      </c>
      <c r="H7099" s="55" t="s">
        <v>2526</v>
      </c>
      <c r="I7099" s="15" t="s">
        <v>2527</v>
      </c>
    </row>
    <row r="7100" spans="1:9" ht="51.75" customHeight="1" x14ac:dyDescent="0.35">
      <c r="A7100" s="15">
        <v>4</v>
      </c>
      <c r="B7100" s="15" t="s">
        <v>41271</v>
      </c>
      <c r="C7100" s="15" t="s">
        <v>41272</v>
      </c>
      <c r="D7100" s="31">
        <v>39588</v>
      </c>
      <c r="E7100" s="15" t="s">
        <v>41273</v>
      </c>
      <c r="F7100" s="87"/>
      <c r="G7100" s="45" t="s">
        <v>2525</v>
      </c>
      <c r="H7100" s="55" t="s">
        <v>2526</v>
      </c>
      <c r="I7100" s="15" t="s">
        <v>2527</v>
      </c>
    </row>
    <row r="7101" spans="1:9" ht="51.75" customHeight="1" x14ac:dyDescent="0.35">
      <c r="A7101" s="15" t="s">
        <v>23923</v>
      </c>
      <c r="B7101" s="15" t="s">
        <v>41274</v>
      </c>
      <c r="C7101" s="15" t="s">
        <v>41275</v>
      </c>
      <c r="D7101" s="31">
        <v>41263</v>
      </c>
      <c r="E7101" s="15" t="s">
        <v>41276</v>
      </c>
      <c r="F7101" s="87" t="s">
        <v>21871</v>
      </c>
      <c r="G7101" s="45" t="s">
        <v>6933</v>
      </c>
      <c r="H7101" s="55" t="s">
        <v>6934</v>
      </c>
      <c r="I7101" s="15" t="s">
        <v>2527</v>
      </c>
    </row>
    <row r="7102" spans="1:9" ht="51.75" customHeight="1" x14ac:dyDescent="0.35">
      <c r="A7102" s="15" t="s">
        <v>24186</v>
      </c>
      <c r="B7102" s="15" t="s">
        <v>41277</v>
      </c>
      <c r="C7102" s="15" t="s">
        <v>41278</v>
      </c>
      <c r="D7102" s="31">
        <v>41263</v>
      </c>
      <c r="E7102" s="15" t="s">
        <v>41279</v>
      </c>
      <c r="F7102" s="87" t="s">
        <v>21871</v>
      </c>
      <c r="G7102" s="45" t="s">
        <v>6933</v>
      </c>
      <c r="H7102" s="55" t="s">
        <v>6934</v>
      </c>
      <c r="I7102" s="15" t="s">
        <v>2527</v>
      </c>
    </row>
    <row r="7103" spans="1:9" ht="51.75" customHeight="1" x14ac:dyDescent="0.35">
      <c r="A7103" s="15" t="s">
        <v>24191</v>
      </c>
      <c r="B7103" s="15" t="s">
        <v>41280</v>
      </c>
      <c r="C7103" s="15" t="s">
        <v>41281</v>
      </c>
      <c r="D7103" s="31">
        <v>41263</v>
      </c>
      <c r="E7103" s="15" t="s">
        <v>41282</v>
      </c>
      <c r="F7103" s="87" t="s">
        <v>21871</v>
      </c>
      <c r="G7103" s="45" t="s">
        <v>6933</v>
      </c>
      <c r="H7103" s="55" t="s">
        <v>6934</v>
      </c>
      <c r="I7103" s="15" t="s">
        <v>2527</v>
      </c>
    </row>
    <row r="7104" spans="1:9" ht="51.75" customHeight="1" x14ac:dyDescent="0.35">
      <c r="A7104" s="15" t="s">
        <v>23325</v>
      </c>
      <c r="B7104" s="15" t="s">
        <v>41283</v>
      </c>
      <c r="C7104" s="15" t="s">
        <v>41284</v>
      </c>
      <c r="D7104" s="31">
        <v>42180</v>
      </c>
      <c r="E7104" s="15" t="s">
        <v>41285</v>
      </c>
      <c r="F7104" s="87" t="s">
        <v>21871</v>
      </c>
      <c r="G7104" s="45" t="s">
        <v>9980</v>
      </c>
      <c r="H7104" s="55" t="s">
        <v>9981</v>
      </c>
      <c r="I7104" s="15" t="s">
        <v>2527</v>
      </c>
    </row>
    <row r="7105" spans="1:9" ht="51.75" customHeight="1" x14ac:dyDescent="0.35">
      <c r="A7105" s="15" t="s">
        <v>23329</v>
      </c>
      <c r="B7105" s="15" t="s">
        <v>41286</v>
      </c>
      <c r="C7105" s="15" t="s">
        <v>41287</v>
      </c>
      <c r="D7105" s="31">
        <v>42180</v>
      </c>
      <c r="E7105" s="15" t="s">
        <v>41288</v>
      </c>
      <c r="F7105" s="87" t="s">
        <v>21871</v>
      </c>
      <c r="G7105" s="45" t="s">
        <v>9980</v>
      </c>
      <c r="H7105" s="55" t="s">
        <v>9981</v>
      </c>
      <c r="I7105" s="15" t="s">
        <v>2527</v>
      </c>
    </row>
    <row r="7106" spans="1:9" ht="51.75" customHeight="1" x14ac:dyDescent="0.35">
      <c r="A7106" s="15" t="s">
        <v>22574</v>
      </c>
      <c r="B7106" s="15" t="s">
        <v>41289</v>
      </c>
      <c r="C7106" s="15" t="s">
        <v>41290</v>
      </c>
      <c r="D7106" s="31">
        <v>42200</v>
      </c>
      <c r="E7106" s="15" t="s">
        <v>41291</v>
      </c>
      <c r="F7106" s="87" t="s">
        <v>21871</v>
      </c>
      <c r="G7106" s="45" t="s">
        <v>10278</v>
      </c>
      <c r="H7106" s="55" t="s">
        <v>10279</v>
      </c>
      <c r="I7106" s="15" t="s">
        <v>2527</v>
      </c>
    </row>
    <row r="7107" spans="1:9" ht="51.75" customHeight="1" x14ac:dyDescent="0.35">
      <c r="A7107" s="15" t="s">
        <v>25695</v>
      </c>
      <c r="B7107" s="15" t="s">
        <v>41292</v>
      </c>
      <c r="C7107" s="15" t="s">
        <v>41293</v>
      </c>
      <c r="D7107" s="31">
        <v>43227</v>
      </c>
      <c r="E7107" s="15" t="s">
        <v>41294</v>
      </c>
      <c r="F7107" s="87" t="s">
        <v>21871</v>
      </c>
      <c r="G7107" s="45" t="s">
        <v>13250</v>
      </c>
      <c r="H7107" s="55" t="s">
        <v>13251</v>
      </c>
      <c r="I7107" s="15" t="s">
        <v>2527</v>
      </c>
    </row>
    <row r="7108" spans="1:9" ht="51.75" customHeight="1" x14ac:dyDescent="0.35">
      <c r="A7108" s="15" t="s">
        <v>33320</v>
      </c>
      <c r="B7108" s="15" t="s">
        <v>41295</v>
      </c>
      <c r="C7108" s="15" t="s">
        <v>41296</v>
      </c>
      <c r="D7108" s="31">
        <v>43227</v>
      </c>
      <c r="E7108" s="15" t="s">
        <v>41297</v>
      </c>
      <c r="F7108" s="87" t="s">
        <v>21871</v>
      </c>
      <c r="G7108" s="45" t="s">
        <v>13250</v>
      </c>
      <c r="H7108" s="55" t="s">
        <v>13251</v>
      </c>
      <c r="I7108" s="15" t="s">
        <v>2527</v>
      </c>
    </row>
    <row r="7109" spans="1:9" ht="51.75" customHeight="1" x14ac:dyDescent="0.35">
      <c r="A7109" s="15" t="s">
        <v>29317</v>
      </c>
      <c r="B7109" s="15" t="s">
        <v>41298</v>
      </c>
      <c r="C7109" s="15" t="s">
        <v>41299</v>
      </c>
      <c r="D7109" s="31">
        <v>43227</v>
      </c>
      <c r="E7109" s="15" t="s">
        <v>41300</v>
      </c>
      <c r="F7109" s="87" t="s">
        <v>21871</v>
      </c>
      <c r="G7109" s="45" t="s">
        <v>13250</v>
      </c>
      <c r="H7109" s="55" t="s">
        <v>13251</v>
      </c>
      <c r="I7109" s="15" t="s">
        <v>2527</v>
      </c>
    </row>
    <row r="7110" spans="1:9" ht="51.75" customHeight="1" x14ac:dyDescent="0.35">
      <c r="A7110" s="15" t="s">
        <v>24515</v>
      </c>
      <c r="B7110" s="15" t="s">
        <v>41301</v>
      </c>
      <c r="C7110" s="15" t="s">
        <v>41302</v>
      </c>
      <c r="D7110" s="31">
        <v>43868</v>
      </c>
      <c r="E7110" s="15" t="s">
        <v>41303</v>
      </c>
      <c r="F7110" s="87" t="s">
        <v>21871</v>
      </c>
      <c r="G7110" s="45" t="s">
        <v>16037</v>
      </c>
      <c r="H7110" s="55" t="s">
        <v>16038</v>
      </c>
      <c r="I7110" s="15" t="s">
        <v>2527</v>
      </c>
    </row>
    <row r="7111" spans="1:9" ht="51.75" customHeight="1" x14ac:dyDescent="0.35">
      <c r="A7111" s="15" t="s">
        <v>24541</v>
      </c>
      <c r="B7111" s="15" t="s">
        <v>41304</v>
      </c>
      <c r="C7111" s="15" t="s">
        <v>41305</v>
      </c>
      <c r="D7111" s="31">
        <v>43868</v>
      </c>
      <c r="E7111" s="15" t="s">
        <v>41306</v>
      </c>
      <c r="F7111" s="87" t="s">
        <v>21871</v>
      </c>
      <c r="G7111" s="45" t="s">
        <v>16037</v>
      </c>
      <c r="H7111" s="55" t="s">
        <v>16038</v>
      </c>
      <c r="I7111" s="15" t="s">
        <v>2527</v>
      </c>
    </row>
    <row r="7112" spans="1:9" ht="51.75" customHeight="1" x14ac:dyDescent="0.35">
      <c r="A7112" s="15" t="s">
        <v>24536</v>
      </c>
      <c r="B7112" s="15" t="s">
        <v>41307</v>
      </c>
      <c r="C7112" s="15" t="s">
        <v>41308</v>
      </c>
      <c r="D7112" s="31">
        <v>43868</v>
      </c>
      <c r="E7112" s="15" t="s">
        <v>41309</v>
      </c>
      <c r="F7112" s="87" t="s">
        <v>21871</v>
      </c>
      <c r="G7112" s="45" t="s">
        <v>16037</v>
      </c>
      <c r="H7112" s="55" t="s">
        <v>16038</v>
      </c>
      <c r="I7112" s="15" t="s">
        <v>2527</v>
      </c>
    </row>
    <row r="7113" spans="1:9" ht="51.75" customHeight="1" x14ac:dyDescent="0.35">
      <c r="A7113" s="15"/>
      <c r="B7113" s="15" t="s">
        <v>41310</v>
      </c>
      <c r="C7113" s="15" t="s">
        <v>41311</v>
      </c>
      <c r="D7113" s="28">
        <v>44252</v>
      </c>
      <c r="E7113" s="15" t="s">
        <v>41312</v>
      </c>
      <c r="F7113" s="87" t="s">
        <v>21871</v>
      </c>
      <c r="G7113" s="45" t="s">
        <v>17604</v>
      </c>
      <c r="H7113" s="54" t="s">
        <v>41313</v>
      </c>
      <c r="I7113" s="15" t="s">
        <v>2527</v>
      </c>
    </row>
    <row r="7114" spans="1:9" ht="51.75" customHeight="1" x14ac:dyDescent="0.35">
      <c r="A7114" s="15"/>
      <c r="B7114" s="15" t="s">
        <v>41314</v>
      </c>
      <c r="C7114" s="15" t="s">
        <v>41315</v>
      </c>
      <c r="D7114" s="28">
        <v>44252</v>
      </c>
      <c r="E7114" s="15" t="s">
        <v>41316</v>
      </c>
      <c r="F7114" s="87" t="s">
        <v>21871</v>
      </c>
      <c r="G7114" s="45" t="s">
        <v>17604</v>
      </c>
      <c r="H7114" s="54" t="s">
        <v>41313</v>
      </c>
      <c r="I7114" s="15" t="s">
        <v>2527</v>
      </c>
    </row>
    <row r="7115" spans="1:9" ht="51.75" customHeight="1" x14ac:dyDescent="0.35">
      <c r="A7115" s="15"/>
      <c r="B7115" s="15" t="s">
        <v>41317</v>
      </c>
      <c r="C7115" s="15" t="s">
        <v>41318</v>
      </c>
      <c r="D7115" s="28">
        <v>44252</v>
      </c>
      <c r="E7115" s="15" t="s">
        <v>41319</v>
      </c>
      <c r="F7115" s="87" t="s">
        <v>21871</v>
      </c>
      <c r="G7115" s="45" t="s">
        <v>17604</v>
      </c>
      <c r="H7115" s="54" t="s">
        <v>41313</v>
      </c>
      <c r="I7115" s="15" t="s">
        <v>2527</v>
      </c>
    </row>
    <row r="7116" spans="1:9" ht="51.75" customHeight="1" x14ac:dyDescent="0.35">
      <c r="A7116" s="15"/>
      <c r="B7116" s="15" t="s">
        <v>41320</v>
      </c>
      <c r="C7116" s="15" t="s">
        <v>41321</v>
      </c>
      <c r="D7116" s="28">
        <v>44287</v>
      </c>
      <c r="E7116" s="15" t="s">
        <v>41322</v>
      </c>
      <c r="F7116" s="87" t="s">
        <v>21871</v>
      </c>
      <c r="G7116" s="45" t="s">
        <v>17601</v>
      </c>
      <c r="H7116" s="54" t="s">
        <v>17602</v>
      </c>
      <c r="I7116" s="15" t="s">
        <v>2527</v>
      </c>
    </row>
    <row r="7117" spans="1:9" ht="51.75" customHeight="1" x14ac:dyDescent="0.35">
      <c r="A7117" s="15"/>
      <c r="B7117" s="15" t="s">
        <v>41323</v>
      </c>
      <c r="C7117" s="15" t="s">
        <v>41324</v>
      </c>
      <c r="D7117" s="28">
        <v>44287</v>
      </c>
      <c r="E7117" s="15" t="s">
        <v>41325</v>
      </c>
      <c r="F7117" s="87" t="s">
        <v>21871</v>
      </c>
      <c r="G7117" s="45" t="s">
        <v>17601</v>
      </c>
      <c r="H7117" s="54" t="s">
        <v>17602</v>
      </c>
      <c r="I7117" s="15" t="s">
        <v>2527</v>
      </c>
    </row>
    <row r="7118" spans="1:9" ht="51.75" customHeight="1" x14ac:dyDescent="0.35">
      <c r="A7118" s="15"/>
      <c r="B7118" s="15" t="s">
        <v>41326</v>
      </c>
      <c r="C7118" s="15" t="s">
        <v>41327</v>
      </c>
      <c r="D7118" s="28">
        <v>44287</v>
      </c>
      <c r="E7118" s="15" t="s">
        <v>41328</v>
      </c>
      <c r="F7118" s="87" t="s">
        <v>21871</v>
      </c>
      <c r="G7118" s="45" t="s">
        <v>17601</v>
      </c>
      <c r="H7118" s="54" t="s">
        <v>17602</v>
      </c>
      <c r="I7118" s="15" t="s">
        <v>2527</v>
      </c>
    </row>
    <row r="7119" spans="1:9" ht="51.75" customHeight="1" x14ac:dyDescent="0.35">
      <c r="A7119" s="15">
        <v>1</v>
      </c>
      <c r="B7119" s="15" t="s">
        <v>41329</v>
      </c>
      <c r="C7119" s="15" t="s">
        <v>41330</v>
      </c>
      <c r="D7119" s="31">
        <v>40994</v>
      </c>
      <c r="E7119" s="15" t="s">
        <v>41331</v>
      </c>
      <c r="F7119" s="87" t="s">
        <v>21871</v>
      </c>
      <c r="G7119" s="45" t="s">
        <v>4689</v>
      </c>
      <c r="H7119" s="55" t="s">
        <v>4690</v>
      </c>
      <c r="I7119" s="15" t="s">
        <v>816</v>
      </c>
    </row>
    <row r="7120" spans="1:9" ht="51.75" customHeight="1" x14ac:dyDescent="0.35">
      <c r="A7120" s="15">
        <v>2</v>
      </c>
      <c r="B7120" s="15" t="s">
        <v>41332</v>
      </c>
      <c r="C7120" s="15" t="s">
        <v>41333</v>
      </c>
      <c r="D7120" s="31">
        <v>40994</v>
      </c>
      <c r="E7120" s="15" t="s">
        <v>41334</v>
      </c>
      <c r="F7120" s="87" t="s">
        <v>21871</v>
      </c>
      <c r="G7120" s="45" t="s">
        <v>4689</v>
      </c>
      <c r="H7120" s="55" t="s">
        <v>4690</v>
      </c>
      <c r="I7120" s="15" t="s">
        <v>816</v>
      </c>
    </row>
    <row r="7121" spans="1:9" ht="51.75" customHeight="1" x14ac:dyDescent="0.35">
      <c r="A7121" s="15">
        <v>3</v>
      </c>
      <c r="B7121" s="15" t="s">
        <v>41335</v>
      </c>
      <c r="C7121" s="15" t="s">
        <v>41336</v>
      </c>
      <c r="D7121" s="31">
        <v>40994</v>
      </c>
      <c r="E7121" s="15" t="s">
        <v>41337</v>
      </c>
      <c r="F7121" s="87" t="s">
        <v>21871</v>
      </c>
      <c r="G7121" s="45" t="s">
        <v>4689</v>
      </c>
      <c r="H7121" s="55" t="s">
        <v>4690</v>
      </c>
      <c r="I7121" s="15" t="s">
        <v>816</v>
      </c>
    </row>
    <row r="7122" spans="1:9" ht="51.75" customHeight="1" x14ac:dyDescent="0.35">
      <c r="A7122" s="15">
        <v>4</v>
      </c>
      <c r="B7122" s="15" t="s">
        <v>41338</v>
      </c>
      <c r="C7122" s="15" t="s">
        <v>41339</v>
      </c>
      <c r="D7122" s="31">
        <v>40994</v>
      </c>
      <c r="E7122" s="15" t="s">
        <v>41340</v>
      </c>
      <c r="F7122" s="87" t="s">
        <v>21871</v>
      </c>
      <c r="G7122" s="45" t="s">
        <v>4689</v>
      </c>
      <c r="H7122" s="55" t="s">
        <v>4690</v>
      </c>
      <c r="I7122" s="15" t="s">
        <v>816</v>
      </c>
    </row>
    <row r="7123" spans="1:9" ht="51.75" customHeight="1" x14ac:dyDescent="0.35">
      <c r="A7123" s="15">
        <v>5</v>
      </c>
      <c r="B7123" s="15" t="s">
        <v>41341</v>
      </c>
      <c r="C7123" s="15" t="s">
        <v>41342</v>
      </c>
      <c r="D7123" s="31">
        <v>40994</v>
      </c>
      <c r="E7123" s="15" t="s">
        <v>41343</v>
      </c>
      <c r="F7123" s="87" t="s">
        <v>21871</v>
      </c>
      <c r="G7123" s="45" t="s">
        <v>4689</v>
      </c>
      <c r="H7123" s="55" t="s">
        <v>4690</v>
      </c>
      <c r="I7123" s="15" t="s">
        <v>816</v>
      </c>
    </row>
    <row r="7124" spans="1:9" ht="51.75" customHeight="1" x14ac:dyDescent="0.35">
      <c r="A7124" s="15">
        <v>6</v>
      </c>
      <c r="B7124" s="15" t="s">
        <v>41344</v>
      </c>
      <c r="C7124" s="15" t="s">
        <v>41345</v>
      </c>
      <c r="D7124" s="31">
        <v>40994</v>
      </c>
      <c r="E7124" s="15" t="s">
        <v>41346</v>
      </c>
      <c r="F7124" s="87" t="s">
        <v>21871</v>
      </c>
      <c r="G7124" s="45" t="s">
        <v>4689</v>
      </c>
      <c r="H7124" s="55" t="s">
        <v>4690</v>
      </c>
      <c r="I7124" s="15" t="s">
        <v>816</v>
      </c>
    </row>
    <row r="7125" spans="1:9" ht="51.75" customHeight="1" x14ac:dyDescent="0.35">
      <c r="A7125" s="15">
        <v>7</v>
      </c>
      <c r="B7125" s="15" t="s">
        <v>41347</v>
      </c>
      <c r="C7125" s="15" t="s">
        <v>41348</v>
      </c>
      <c r="D7125" s="31">
        <v>40994</v>
      </c>
      <c r="E7125" s="15" t="s">
        <v>41349</v>
      </c>
      <c r="F7125" s="87" t="s">
        <v>21871</v>
      </c>
      <c r="G7125" s="45" t="s">
        <v>4689</v>
      </c>
      <c r="H7125" s="55" t="s">
        <v>4690</v>
      </c>
      <c r="I7125" s="15" t="s">
        <v>816</v>
      </c>
    </row>
    <row r="7126" spans="1:9" ht="51.75" customHeight="1" x14ac:dyDescent="0.35">
      <c r="A7126" s="15">
        <v>1</v>
      </c>
      <c r="B7126" s="15" t="s">
        <v>41350</v>
      </c>
      <c r="C7126" s="15" t="s">
        <v>41351</v>
      </c>
      <c r="D7126" s="31">
        <v>40661</v>
      </c>
      <c r="E7126" s="15" t="s">
        <v>41352</v>
      </c>
      <c r="F7126" s="87" t="s">
        <v>21871</v>
      </c>
      <c r="G7126" s="45" t="s">
        <v>4659</v>
      </c>
      <c r="H7126" s="55" t="s">
        <v>4660</v>
      </c>
      <c r="I7126" s="15" t="s">
        <v>816</v>
      </c>
    </row>
    <row r="7127" spans="1:9" ht="51.75" customHeight="1" x14ac:dyDescent="0.35">
      <c r="A7127" s="15">
        <v>1</v>
      </c>
      <c r="B7127" s="15" t="s">
        <v>41353</v>
      </c>
      <c r="C7127" s="15" t="s">
        <v>41354</v>
      </c>
      <c r="D7127" s="31">
        <v>40994</v>
      </c>
      <c r="E7127" s="15" t="s">
        <v>41355</v>
      </c>
      <c r="F7127" s="87" t="s">
        <v>21871</v>
      </c>
      <c r="G7127" s="45" t="s">
        <v>4576</v>
      </c>
      <c r="H7127" s="55" t="s">
        <v>4577</v>
      </c>
      <c r="I7127" s="15" t="s">
        <v>816</v>
      </c>
    </row>
    <row r="7128" spans="1:9" ht="51.75" customHeight="1" x14ac:dyDescent="0.35">
      <c r="A7128" s="15">
        <v>2</v>
      </c>
      <c r="B7128" s="15" t="s">
        <v>41356</v>
      </c>
      <c r="C7128" s="15" t="s">
        <v>41357</v>
      </c>
      <c r="D7128" s="31">
        <v>40994</v>
      </c>
      <c r="E7128" s="15" t="s">
        <v>41358</v>
      </c>
      <c r="F7128" s="87" t="s">
        <v>21871</v>
      </c>
      <c r="G7128" s="45" t="s">
        <v>4576</v>
      </c>
      <c r="H7128" s="55" t="s">
        <v>4577</v>
      </c>
      <c r="I7128" s="15" t="s">
        <v>816</v>
      </c>
    </row>
    <row r="7129" spans="1:9" ht="51.75" customHeight="1" x14ac:dyDescent="0.35">
      <c r="A7129" s="15">
        <v>3</v>
      </c>
      <c r="B7129" s="15" t="s">
        <v>41359</v>
      </c>
      <c r="C7129" s="15" t="s">
        <v>41360</v>
      </c>
      <c r="D7129" s="31">
        <v>40994</v>
      </c>
      <c r="E7129" s="15" t="s">
        <v>41361</v>
      </c>
      <c r="F7129" s="87" t="s">
        <v>21871</v>
      </c>
      <c r="G7129" s="45" t="s">
        <v>4576</v>
      </c>
      <c r="H7129" s="55" t="s">
        <v>4577</v>
      </c>
      <c r="I7129" s="15" t="s">
        <v>816</v>
      </c>
    </row>
    <row r="7130" spans="1:9" ht="51.75" customHeight="1" x14ac:dyDescent="0.35">
      <c r="A7130" s="15">
        <v>4</v>
      </c>
      <c r="B7130" s="15" t="s">
        <v>41362</v>
      </c>
      <c r="C7130" s="15" t="s">
        <v>41363</v>
      </c>
      <c r="D7130" s="31">
        <v>40994</v>
      </c>
      <c r="E7130" s="15" t="s">
        <v>41364</v>
      </c>
      <c r="F7130" s="87" t="s">
        <v>21871</v>
      </c>
      <c r="G7130" s="45" t="s">
        <v>4576</v>
      </c>
      <c r="H7130" s="55" t="s">
        <v>4577</v>
      </c>
      <c r="I7130" s="15" t="s">
        <v>816</v>
      </c>
    </row>
    <row r="7131" spans="1:9" ht="51.75" customHeight="1" x14ac:dyDescent="0.35">
      <c r="A7131" s="15">
        <v>1</v>
      </c>
      <c r="B7131" s="15" t="s">
        <v>41365</v>
      </c>
      <c r="C7131" s="15" t="s">
        <v>41366</v>
      </c>
      <c r="D7131" s="31">
        <v>40660</v>
      </c>
      <c r="E7131" s="15" t="s">
        <v>41367</v>
      </c>
      <c r="F7131" s="87" t="s">
        <v>21871</v>
      </c>
      <c r="G7131" s="45" t="s">
        <v>4222</v>
      </c>
      <c r="H7131" s="55" t="s">
        <v>4223</v>
      </c>
      <c r="I7131" s="15" t="s">
        <v>816</v>
      </c>
    </row>
    <row r="7132" spans="1:9" ht="51.75" customHeight="1" x14ac:dyDescent="0.35">
      <c r="A7132" s="15">
        <v>1</v>
      </c>
      <c r="B7132" s="15" t="s">
        <v>41368</v>
      </c>
      <c r="C7132" s="15" t="s">
        <v>41369</v>
      </c>
      <c r="D7132" s="31">
        <v>40660</v>
      </c>
      <c r="E7132" s="15" t="s">
        <v>41369</v>
      </c>
      <c r="F7132" s="87" t="s">
        <v>21871</v>
      </c>
      <c r="G7132" s="45" t="s">
        <v>4186</v>
      </c>
      <c r="H7132" s="55" t="s">
        <v>4187</v>
      </c>
      <c r="I7132" s="15" t="s">
        <v>816</v>
      </c>
    </row>
    <row r="7133" spans="1:9" ht="51.75" customHeight="1" x14ac:dyDescent="0.35">
      <c r="A7133" s="15">
        <v>1</v>
      </c>
      <c r="B7133" s="15" t="s">
        <v>41370</v>
      </c>
      <c r="C7133" s="15" t="s">
        <v>41371</v>
      </c>
      <c r="D7133" s="31">
        <v>40597</v>
      </c>
      <c r="E7133" s="15" t="s">
        <v>41372</v>
      </c>
      <c r="F7133" s="87" t="s">
        <v>21871</v>
      </c>
      <c r="G7133" s="45" t="s">
        <v>4073</v>
      </c>
      <c r="H7133" s="55" t="s">
        <v>4074</v>
      </c>
      <c r="I7133" s="15" t="s">
        <v>816</v>
      </c>
    </row>
    <row r="7134" spans="1:9" ht="51.75" customHeight="1" x14ac:dyDescent="0.35">
      <c r="A7134" s="15">
        <v>2</v>
      </c>
      <c r="B7134" s="15" t="s">
        <v>41373</v>
      </c>
      <c r="C7134" s="15" t="s">
        <v>41374</v>
      </c>
      <c r="D7134" s="31">
        <v>40597</v>
      </c>
      <c r="E7134" s="15" t="s">
        <v>41375</v>
      </c>
      <c r="F7134" s="87" t="s">
        <v>21871</v>
      </c>
      <c r="G7134" s="45" t="s">
        <v>4073</v>
      </c>
      <c r="H7134" s="55" t="s">
        <v>4074</v>
      </c>
      <c r="I7134" s="15" t="s">
        <v>816</v>
      </c>
    </row>
    <row r="7135" spans="1:9" ht="51.75" customHeight="1" x14ac:dyDescent="0.35">
      <c r="A7135" s="15">
        <v>3</v>
      </c>
      <c r="B7135" s="15" t="s">
        <v>41376</v>
      </c>
      <c r="C7135" s="15" t="s">
        <v>41377</v>
      </c>
      <c r="D7135" s="31">
        <v>40597</v>
      </c>
      <c r="E7135" s="15" t="s">
        <v>41378</v>
      </c>
      <c r="F7135" s="87" t="s">
        <v>21871</v>
      </c>
      <c r="G7135" s="45" t="s">
        <v>4073</v>
      </c>
      <c r="H7135" s="55" t="s">
        <v>4074</v>
      </c>
      <c r="I7135" s="15" t="s">
        <v>816</v>
      </c>
    </row>
    <row r="7136" spans="1:9" ht="51.75" customHeight="1" x14ac:dyDescent="0.35">
      <c r="A7136" s="15">
        <v>4</v>
      </c>
      <c r="B7136" s="15" t="s">
        <v>41379</v>
      </c>
      <c r="C7136" s="15" t="s">
        <v>41380</v>
      </c>
      <c r="D7136" s="31">
        <v>40597</v>
      </c>
      <c r="E7136" s="15" t="s">
        <v>41381</v>
      </c>
      <c r="F7136" s="87" t="s">
        <v>21871</v>
      </c>
      <c r="G7136" s="45" t="s">
        <v>4073</v>
      </c>
      <c r="H7136" s="55" t="s">
        <v>4074</v>
      </c>
      <c r="I7136" s="15" t="s">
        <v>816</v>
      </c>
    </row>
    <row r="7137" spans="1:9" ht="51.75" customHeight="1" x14ac:dyDescent="0.35">
      <c r="A7137" s="15">
        <v>5</v>
      </c>
      <c r="B7137" s="15" t="s">
        <v>41382</v>
      </c>
      <c r="C7137" s="15" t="s">
        <v>41383</v>
      </c>
      <c r="D7137" s="31">
        <v>40597</v>
      </c>
      <c r="E7137" s="15" t="s">
        <v>41384</v>
      </c>
      <c r="F7137" s="87" t="s">
        <v>21871</v>
      </c>
      <c r="G7137" s="45" t="s">
        <v>4073</v>
      </c>
      <c r="H7137" s="55" t="s">
        <v>4074</v>
      </c>
      <c r="I7137" s="15" t="s">
        <v>816</v>
      </c>
    </row>
    <row r="7138" spans="1:9" ht="51.75" customHeight="1" x14ac:dyDescent="0.35">
      <c r="A7138" s="15">
        <v>1</v>
      </c>
      <c r="B7138" s="15" t="s">
        <v>41385</v>
      </c>
      <c r="C7138" s="15" t="s">
        <v>41386</v>
      </c>
      <c r="D7138" s="31">
        <v>40597</v>
      </c>
      <c r="E7138" s="15" t="s">
        <v>41387</v>
      </c>
      <c r="F7138" s="87" t="s">
        <v>21871</v>
      </c>
      <c r="G7138" s="45" t="s">
        <v>4007</v>
      </c>
      <c r="H7138" s="55" t="s">
        <v>4008</v>
      </c>
      <c r="I7138" s="15" t="s">
        <v>816</v>
      </c>
    </row>
    <row r="7139" spans="1:9" ht="51.75" customHeight="1" x14ac:dyDescent="0.35">
      <c r="A7139" s="15">
        <v>1</v>
      </c>
      <c r="B7139" s="15" t="s">
        <v>41388</v>
      </c>
      <c r="C7139" s="15" t="s">
        <v>41389</v>
      </c>
      <c r="D7139" s="31">
        <v>40994</v>
      </c>
      <c r="E7139" s="15" t="s">
        <v>41390</v>
      </c>
      <c r="F7139" s="87" t="s">
        <v>21871</v>
      </c>
      <c r="G7139" s="45" t="s">
        <v>3991</v>
      </c>
      <c r="H7139" s="55" t="s">
        <v>3992</v>
      </c>
      <c r="I7139" s="15" t="s">
        <v>816</v>
      </c>
    </row>
    <row r="7140" spans="1:9" ht="51.75" customHeight="1" x14ac:dyDescent="0.35">
      <c r="A7140" s="15">
        <v>1</v>
      </c>
      <c r="B7140" s="15" t="s">
        <v>41391</v>
      </c>
      <c r="C7140" s="15" t="s">
        <v>41392</v>
      </c>
      <c r="D7140" s="31">
        <v>40589</v>
      </c>
      <c r="E7140" s="15" t="s">
        <v>41393</v>
      </c>
      <c r="F7140" s="87" t="s">
        <v>21871</v>
      </c>
      <c r="G7140" s="45" t="s">
        <v>3753</v>
      </c>
      <c r="H7140" s="55" t="s">
        <v>3754</v>
      </c>
      <c r="I7140" s="15" t="s">
        <v>816</v>
      </c>
    </row>
    <row r="7141" spans="1:9" ht="51.75" customHeight="1" x14ac:dyDescent="0.35">
      <c r="A7141" s="15">
        <v>1</v>
      </c>
      <c r="B7141" s="15" t="s">
        <v>41394</v>
      </c>
      <c r="C7141" s="15" t="s">
        <v>41395</v>
      </c>
      <c r="D7141" s="31">
        <v>40589</v>
      </c>
      <c r="E7141" s="15" t="s">
        <v>41396</v>
      </c>
      <c r="F7141" s="87" t="s">
        <v>21871</v>
      </c>
      <c r="G7141" s="45" t="s">
        <v>3735</v>
      </c>
      <c r="H7141" s="55" t="s">
        <v>3736</v>
      </c>
      <c r="I7141" s="15" t="s">
        <v>816</v>
      </c>
    </row>
    <row r="7142" spans="1:9" ht="51.75" customHeight="1" x14ac:dyDescent="0.35">
      <c r="A7142" s="15">
        <v>2</v>
      </c>
      <c r="B7142" s="15" t="s">
        <v>41397</v>
      </c>
      <c r="C7142" s="15" t="s">
        <v>41398</v>
      </c>
      <c r="D7142" s="31">
        <v>40589</v>
      </c>
      <c r="E7142" s="15" t="s">
        <v>41399</v>
      </c>
      <c r="F7142" s="87" t="s">
        <v>21871</v>
      </c>
      <c r="G7142" s="45" t="s">
        <v>3735</v>
      </c>
      <c r="H7142" s="55" t="s">
        <v>3736</v>
      </c>
      <c r="I7142" s="15" t="s">
        <v>816</v>
      </c>
    </row>
    <row r="7143" spans="1:9" ht="51.75" customHeight="1" x14ac:dyDescent="0.35">
      <c r="A7143" s="15">
        <v>3</v>
      </c>
      <c r="B7143" s="15" t="s">
        <v>41400</v>
      </c>
      <c r="C7143" s="15" t="s">
        <v>41401</v>
      </c>
      <c r="D7143" s="31">
        <v>40589</v>
      </c>
      <c r="E7143" s="15" t="s">
        <v>41402</v>
      </c>
      <c r="F7143" s="87" t="s">
        <v>21871</v>
      </c>
      <c r="G7143" s="45" t="s">
        <v>3735</v>
      </c>
      <c r="H7143" s="55" t="s">
        <v>3736</v>
      </c>
      <c r="I7143" s="15" t="s">
        <v>816</v>
      </c>
    </row>
    <row r="7144" spans="1:9" ht="51.75" customHeight="1" x14ac:dyDescent="0.35">
      <c r="A7144" s="15">
        <v>4</v>
      </c>
      <c r="B7144" s="15" t="s">
        <v>41403</v>
      </c>
      <c r="C7144" s="15" t="s">
        <v>41404</v>
      </c>
      <c r="D7144" s="31">
        <v>40589</v>
      </c>
      <c r="E7144" s="15" t="s">
        <v>41405</v>
      </c>
      <c r="F7144" s="87" t="s">
        <v>21871</v>
      </c>
      <c r="G7144" s="45" t="s">
        <v>3735</v>
      </c>
      <c r="H7144" s="55" t="s">
        <v>3736</v>
      </c>
      <c r="I7144" s="15" t="s">
        <v>816</v>
      </c>
    </row>
    <row r="7145" spans="1:9" ht="51.75" customHeight="1" x14ac:dyDescent="0.35">
      <c r="A7145" s="15">
        <v>1</v>
      </c>
      <c r="B7145" s="15" t="s">
        <v>41406</v>
      </c>
      <c r="C7145" s="15" t="s">
        <v>41407</v>
      </c>
      <c r="D7145" s="31">
        <v>40597</v>
      </c>
      <c r="E7145" s="15" t="s">
        <v>41408</v>
      </c>
      <c r="F7145" s="87" t="s">
        <v>21871</v>
      </c>
      <c r="G7145" s="45" t="s">
        <v>3116</v>
      </c>
      <c r="H7145" s="55" t="s">
        <v>3117</v>
      </c>
      <c r="I7145" s="15" t="s">
        <v>816</v>
      </c>
    </row>
    <row r="7146" spans="1:9" ht="51.75" customHeight="1" x14ac:dyDescent="0.35">
      <c r="A7146" s="15">
        <v>1</v>
      </c>
      <c r="B7146" s="15" t="s">
        <v>41409</v>
      </c>
      <c r="C7146" s="15" t="s">
        <v>41410</v>
      </c>
      <c r="D7146" s="31">
        <v>40589</v>
      </c>
      <c r="E7146" s="15" t="s">
        <v>41411</v>
      </c>
      <c r="F7146" s="87" t="s">
        <v>21871</v>
      </c>
      <c r="G7146" s="45" t="s">
        <v>3046</v>
      </c>
      <c r="H7146" s="55" t="s">
        <v>3047</v>
      </c>
      <c r="I7146" s="15" t="s">
        <v>816</v>
      </c>
    </row>
    <row r="7147" spans="1:9" ht="51.75" customHeight="1" x14ac:dyDescent="0.35">
      <c r="A7147" s="15">
        <v>2</v>
      </c>
      <c r="B7147" s="15" t="s">
        <v>41412</v>
      </c>
      <c r="C7147" s="15" t="s">
        <v>41413</v>
      </c>
      <c r="D7147" s="31">
        <v>40589</v>
      </c>
      <c r="E7147" s="15" t="s">
        <v>41414</v>
      </c>
      <c r="F7147" s="87" t="s">
        <v>21871</v>
      </c>
      <c r="G7147" s="45" t="s">
        <v>3046</v>
      </c>
      <c r="H7147" s="55" t="s">
        <v>3047</v>
      </c>
      <c r="I7147" s="15" t="s">
        <v>816</v>
      </c>
    </row>
    <row r="7148" spans="1:9" ht="51.75" customHeight="1" x14ac:dyDescent="0.35">
      <c r="A7148" s="15">
        <v>3</v>
      </c>
      <c r="B7148" s="15" t="s">
        <v>41415</v>
      </c>
      <c r="C7148" s="15" t="s">
        <v>41416</v>
      </c>
      <c r="D7148" s="31">
        <v>40589</v>
      </c>
      <c r="E7148" s="15" t="s">
        <v>41417</v>
      </c>
      <c r="F7148" s="87" t="s">
        <v>21871</v>
      </c>
      <c r="G7148" s="45" t="s">
        <v>3046</v>
      </c>
      <c r="H7148" s="55" t="s">
        <v>3047</v>
      </c>
      <c r="I7148" s="15" t="s">
        <v>816</v>
      </c>
    </row>
    <row r="7149" spans="1:9" ht="51.75" customHeight="1" x14ac:dyDescent="0.35">
      <c r="A7149" s="15">
        <v>1</v>
      </c>
      <c r="B7149" s="15" t="s">
        <v>41418</v>
      </c>
      <c r="C7149" s="15" t="s">
        <v>41419</v>
      </c>
      <c r="D7149" s="31">
        <v>40596</v>
      </c>
      <c r="E7149" s="15" t="s">
        <v>41420</v>
      </c>
      <c r="F7149" s="87" t="s">
        <v>21871</v>
      </c>
      <c r="G7149" s="45" t="s">
        <v>3037</v>
      </c>
      <c r="H7149" s="55" t="s">
        <v>3038</v>
      </c>
      <c r="I7149" s="15" t="s">
        <v>816</v>
      </c>
    </row>
    <row r="7150" spans="1:9" ht="51.75" customHeight="1" x14ac:dyDescent="0.35">
      <c r="A7150" s="15">
        <v>2</v>
      </c>
      <c r="B7150" s="15" t="s">
        <v>41421</v>
      </c>
      <c r="C7150" s="15" t="s">
        <v>41422</v>
      </c>
      <c r="D7150" s="31">
        <v>40596</v>
      </c>
      <c r="E7150" s="15" t="s">
        <v>41423</v>
      </c>
      <c r="F7150" s="87" t="s">
        <v>21871</v>
      </c>
      <c r="G7150" s="45" t="s">
        <v>3037</v>
      </c>
      <c r="H7150" s="55" t="s">
        <v>3038</v>
      </c>
      <c r="I7150" s="15" t="s">
        <v>816</v>
      </c>
    </row>
    <row r="7151" spans="1:9" ht="51.75" customHeight="1" x14ac:dyDescent="0.35">
      <c r="A7151" s="15">
        <v>3</v>
      </c>
      <c r="B7151" s="15" t="s">
        <v>41424</v>
      </c>
      <c r="C7151" s="15" t="s">
        <v>41425</v>
      </c>
      <c r="D7151" s="31">
        <v>40596</v>
      </c>
      <c r="E7151" s="15" t="s">
        <v>41426</v>
      </c>
      <c r="F7151" s="87" t="s">
        <v>21871</v>
      </c>
      <c r="G7151" s="45" t="s">
        <v>3037</v>
      </c>
      <c r="H7151" s="55" t="s">
        <v>3038</v>
      </c>
      <c r="I7151" s="15" t="s">
        <v>816</v>
      </c>
    </row>
    <row r="7152" spans="1:9" ht="51.75" customHeight="1" x14ac:dyDescent="0.35">
      <c r="A7152" s="15">
        <v>1</v>
      </c>
      <c r="B7152" s="15" t="s">
        <v>41427</v>
      </c>
      <c r="C7152" s="15" t="s">
        <v>41428</v>
      </c>
      <c r="D7152" s="31">
        <v>40596</v>
      </c>
      <c r="E7152" s="15" t="s">
        <v>41429</v>
      </c>
      <c r="F7152" s="87" t="s">
        <v>21871</v>
      </c>
      <c r="G7152" s="45" t="s">
        <v>2813</v>
      </c>
      <c r="H7152" s="55" t="s">
        <v>2814</v>
      </c>
      <c r="I7152" s="15" t="s">
        <v>816</v>
      </c>
    </row>
    <row r="7153" spans="1:9" ht="51.75" customHeight="1" x14ac:dyDescent="0.35">
      <c r="A7153" s="15">
        <v>1</v>
      </c>
      <c r="B7153" s="15" t="s">
        <v>41430</v>
      </c>
      <c r="C7153" s="15" t="s">
        <v>41431</v>
      </c>
      <c r="D7153" s="31">
        <v>40589</v>
      </c>
      <c r="E7153" s="15" t="s">
        <v>41432</v>
      </c>
      <c r="F7153" s="87" t="s">
        <v>21871</v>
      </c>
      <c r="G7153" s="45" t="s">
        <v>3241</v>
      </c>
      <c r="H7153" s="55" t="s">
        <v>3242</v>
      </c>
      <c r="I7153" s="15" t="s">
        <v>816</v>
      </c>
    </row>
    <row r="7154" spans="1:9" ht="51.75" customHeight="1" x14ac:dyDescent="0.35">
      <c r="A7154" s="15">
        <v>2</v>
      </c>
      <c r="B7154" s="15" t="s">
        <v>41433</v>
      </c>
      <c r="C7154" s="15" t="s">
        <v>41434</v>
      </c>
      <c r="D7154" s="31">
        <v>40589</v>
      </c>
      <c r="E7154" s="15" t="s">
        <v>41435</v>
      </c>
      <c r="F7154" s="87" t="s">
        <v>21871</v>
      </c>
      <c r="G7154" s="45" t="s">
        <v>3241</v>
      </c>
      <c r="H7154" s="55" t="s">
        <v>3242</v>
      </c>
      <c r="I7154" s="15" t="s">
        <v>816</v>
      </c>
    </row>
    <row r="7155" spans="1:9" ht="51.75" customHeight="1" x14ac:dyDescent="0.35">
      <c r="A7155" s="15">
        <v>3</v>
      </c>
      <c r="B7155" s="15" t="s">
        <v>41436</v>
      </c>
      <c r="C7155" s="15" t="s">
        <v>41437</v>
      </c>
      <c r="D7155" s="31">
        <v>40589</v>
      </c>
      <c r="E7155" s="15" t="s">
        <v>41438</v>
      </c>
      <c r="F7155" s="87" t="s">
        <v>21871</v>
      </c>
      <c r="G7155" s="45" t="s">
        <v>3241</v>
      </c>
      <c r="H7155" s="55" t="s">
        <v>3242</v>
      </c>
      <c r="I7155" s="15" t="s">
        <v>816</v>
      </c>
    </row>
    <row r="7156" spans="1:9" ht="51.75" customHeight="1" x14ac:dyDescent="0.35">
      <c r="A7156" s="15">
        <v>4</v>
      </c>
      <c r="B7156" s="15" t="s">
        <v>41439</v>
      </c>
      <c r="C7156" s="15" t="s">
        <v>41440</v>
      </c>
      <c r="D7156" s="31">
        <v>40589</v>
      </c>
      <c r="E7156" s="15" t="s">
        <v>41441</v>
      </c>
      <c r="F7156" s="87" t="s">
        <v>21871</v>
      </c>
      <c r="G7156" s="45" t="s">
        <v>3241</v>
      </c>
      <c r="H7156" s="55" t="s">
        <v>3242</v>
      </c>
      <c r="I7156" s="15" t="s">
        <v>816</v>
      </c>
    </row>
    <row r="7157" spans="1:9" ht="51.75" customHeight="1" x14ac:dyDescent="0.35">
      <c r="A7157" s="15">
        <v>5</v>
      </c>
      <c r="B7157" s="15" t="s">
        <v>41442</v>
      </c>
      <c r="C7157" s="15" t="s">
        <v>41443</v>
      </c>
      <c r="D7157" s="31">
        <v>40589</v>
      </c>
      <c r="E7157" s="15" t="s">
        <v>41444</v>
      </c>
      <c r="F7157" s="87" t="s">
        <v>21871</v>
      </c>
      <c r="G7157" s="45" t="s">
        <v>3241</v>
      </c>
      <c r="H7157" s="55" t="s">
        <v>3242</v>
      </c>
      <c r="I7157" s="15" t="s">
        <v>816</v>
      </c>
    </row>
    <row r="7158" spans="1:9" ht="51.75" customHeight="1" x14ac:dyDescent="0.35">
      <c r="A7158" s="15">
        <v>1</v>
      </c>
      <c r="B7158" s="15" t="s">
        <v>41445</v>
      </c>
      <c r="C7158" s="46" t="s">
        <v>41446</v>
      </c>
      <c r="D7158" s="31">
        <v>40596</v>
      </c>
      <c r="E7158" s="15" t="s">
        <v>41447</v>
      </c>
      <c r="F7158" s="87" t="s">
        <v>21871</v>
      </c>
      <c r="G7158" s="45" t="s">
        <v>2772</v>
      </c>
      <c r="H7158" s="55" t="s">
        <v>2773</v>
      </c>
      <c r="I7158" s="15" t="s">
        <v>816</v>
      </c>
    </row>
    <row r="7159" spans="1:9" ht="51.75" customHeight="1" x14ac:dyDescent="0.35">
      <c r="A7159" s="15">
        <v>1</v>
      </c>
      <c r="B7159" s="15" t="s">
        <v>41448</v>
      </c>
      <c r="C7159" s="15" t="s">
        <v>41428</v>
      </c>
      <c r="D7159" s="31">
        <v>40596</v>
      </c>
      <c r="E7159" s="15" t="s">
        <v>41429</v>
      </c>
      <c r="F7159" s="87" t="s">
        <v>21871</v>
      </c>
      <c r="G7159" s="45" t="s">
        <v>2742</v>
      </c>
      <c r="H7159" s="55" t="s">
        <v>2743</v>
      </c>
      <c r="I7159" s="15" t="s">
        <v>816</v>
      </c>
    </row>
    <row r="7160" spans="1:9" ht="51.75" customHeight="1" x14ac:dyDescent="0.35">
      <c r="A7160" s="15">
        <v>1</v>
      </c>
      <c r="B7160" s="15" t="s">
        <v>41449</v>
      </c>
      <c r="C7160" s="15" t="s">
        <v>41428</v>
      </c>
      <c r="D7160" s="31">
        <v>40596</v>
      </c>
      <c r="E7160" s="15" t="s">
        <v>41429</v>
      </c>
      <c r="F7160" s="87" t="s">
        <v>21871</v>
      </c>
      <c r="G7160" s="45" t="s">
        <v>2612</v>
      </c>
      <c r="H7160" s="55" t="s">
        <v>2613</v>
      </c>
      <c r="I7160" s="15" t="s">
        <v>816</v>
      </c>
    </row>
    <row r="7161" spans="1:9" ht="51.75" customHeight="1" x14ac:dyDescent="0.35">
      <c r="A7161" s="15">
        <v>1</v>
      </c>
      <c r="B7161" s="15" t="s">
        <v>41450</v>
      </c>
      <c r="C7161" s="15" t="s">
        <v>41451</v>
      </c>
      <c r="D7161" s="31">
        <v>40596</v>
      </c>
      <c r="E7161" s="15" t="s">
        <v>41452</v>
      </c>
      <c r="F7161" s="87" t="s">
        <v>21871</v>
      </c>
      <c r="G7161" s="45" t="s">
        <v>2468</v>
      </c>
      <c r="H7161" s="55" t="s">
        <v>2469</v>
      </c>
      <c r="I7161" s="15" t="s">
        <v>816</v>
      </c>
    </row>
    <row r="7162" spans="1:9" ht="51.75" customHeight="1" x14ac:dyDescent="0.35">
      <c r="A7162" s="15">
        <v>1</v>
      </c>
      <c r="B7162" s="15" t="s">
        <v>41453</v>
      </c>
      <c r="C7162" s="15" t="s">
        <v>41454</v>
      </c>
      <c r="D7162" s="31">
        <v>40596</v>
      </c>
      <c r="E7162" s="15" t="s">
        <v>41455</v>
      </c>
      <c r="F7162" s="87" t="s">
        <v>21871</v>
      </c>
      <c r="G7162" s="45" t="s">
        <v>2409</v>
      </c>
      <c r="H7162" s="55" t="s">
        <v>2410</v>
      </c>
      <c r="I7162" s="15" t="s">
        <v>816</v>
      </c>
    </row>
    <row r="7163" spans="1:9" ht="51.75" customHeight="1" x14ac:dyDescent="0.35">
      <c r="A7163" s="15">
        <v>2</v>
      </c>
      <c r="B7163" s="15" t="s">
        <v>41456</v>
      </c>
      <c r="C7163" s="15" t="s">
        <v>41454</v>
      </c>
      <c r="D7163" s="31">
        <v>40596</v>
      </c>
      <c r="E7163" s="15" t="s">
        <v>41457</v>
      </c>
      <c r="F7163" s="87" t="s">
        <v>21871</v>
      </c>
      <c r="G7163" s="45" t="s">
        <v>2409</v>
      </c>
      <c r="H7163" s="55" t="s">
        <v>2410</v>
      </c>
      <c r="I7163" s="15" t="s">
        <v>816</v>
      </c>
    </row>
    <row r="7164" spans="1:9" ht="51.75" customHeight="1" x14ac:dyDescent="0.35">
      <c r="A7164" s="15">
        <v>1</v>
      </c>
      <c r="B7164" s="15" t="s">
        <v>41458</v>
      </c>
      <c r="C7164" s="15" t="s">
        <v>41459</v>
      </c>
      <c r="D7164" s="31">
        <v>40589</v>
      </c>
      <c r="E7164" s="15" t="s">
        <v>41460</v>
      </c>
      <c r="F7164" s="87" t="s">
        <v>21871</v>
      </c>
      <c r="G7164" s="45" t="s">
        <v>2281</v>
      </c>
      <c r="H7164" s="55" t="s">
        <v>2278</v>
      </c>
      <c r="I7164" s="15" t="s">
        <v>816</v>
      </c>
    </row>
    <row r="7165" spans="1:9" ht="51.75" customHeight="1" x14ac:dyDescent="0.35">
      <c r="A7165" s="15">
        <v>1</v>
      </c>
      <c r="B7165" s="15" t="s">
        <v>41461</v>
      </c>
      <c r="C7165" s="15" t="s">
        <v>41459</v>
      </c>
      <c r="D7165" s="31">
        <v>40589</v>
      </c>
      <c r="E7165" s="15" t="s">
        <v>41460</v>
      </c>
      <c r="F7165" s="87" t="s">
        <v>21871</v>
      </c>
      <c r="G7165" s="45" t="s">
        <v>2277</v>
      </c>
      <c r="H7165" s="55" t="s">
        <v>2278</v>
      </c>
      <c r="I7165" s="15" t="s">
        <v>816</v>
      </c>
    </row>
    <row r="7166" spans="1:9" ht="51.75" customHeight="1" x14ac:dyDescent="0.35">
      <c r="A7166" s="15">
        <v>1</v>
      </c>
      <c r="B7166" s="15" t="s">
        <v>41462</v>
      </c>
      <c r="C7166" s="15" t="s">
        <v>41463</v>
      </c>
      <c r="D7166" s="31">
        <v>40589</v>
      </c>
      <c r="E7166" s="15" t="s">
        <v>41464</v>
      </c>
      <c r="F7166" s="87" t="s">
        <v>21871</v>
      </c>
      <c r="G7166" s="45" t="s">
        <v>2196</v>
      </c>
      <c r="H7166" s="55" t="s">
        <v>2197</v>
      </c>
      <c r="I7166" s="15" t="s">
        <v>816</v>
      </c>
    </row>
    <row r="7167" spans="1:9" ht="51.75" customHeight="1" x14ac:dyDescent="0.35">
      <c r="A7167" s="15">
        <v>1</v>
      </c>
      <c r="B7167" s="15" t="s">
        <v>41465</v>
      </c>
      <c r="C7167" s="15" t="s">
        <v>41466</v>
      </c>
      <c r="D7167" s="31">
        <v>40578</v>
      </c>
      <c r="E7167" s="15" t="s">
        <v>41467</v>
      </c>
      <c r="F7167" s="87" t="s">
        <v>21871</v>
      </c>
      <c r="G7167" s="45" t="s">
        <v>1463</v>
      </c>
      <c r="H7167" s="55" t="s">
        <v>1464</v>
      </c>
      <c r="I7167" s="15" t="s">
        <v>816</v>
      </c>
    </row>
    <row r="7168" spans="1:9" ht="51.75" customHeight="1" x14ac:dyDescent="0.35">
      <c r="A7168" s="15">
        <v>2</v>
      </c>
      <c r="B7168" s="15" t="s">
        <v>41468</v>
      </c>
      <c r="C7168" s="15" t="s">
        <v>41469</v>
      </c>
      <c r="D7168" s="31">
        <v>40578</v>
      </c>
      <c r="E7168" s="15" t="s">
        <v>41470</v>
      </c>
      <c r="F7168" s="87" t="s">
        <v>21871</v>
      </c>
      <c r="G7168" s="45" t="s">
        <v>1463</v>
      </c>
      <c r="H7168" s="55" t="s">
        <v>1464</v>
      </c>
      <c r="I7168" s="15" t="s">
        <v>816</v>
      </c>
    </row>
    <row r="7169" spans="1:9" ht="51.75" customHeight="1" x14ac:dyDescent="0.35">
      <c r="A7169" s="15">
        <v>3</v>
      </c>
      <c r="B7169" s="15" t="s">
        <v>41471</v>
      </c>
      <c r="C7169" s="15" t="s">
        <v>41472</v>
      </c>
      <c r="D7169" s="31">
        <v>40578</v>
      </c>
      <c r="E7169" s="15" t="s">
        <v>41473</v>
      </c>
      <c r="F7169" s="87" t="s">
        <v>21871</v>
      </c>
      <c r="G7169" s="45" t="s">
        <v>1463</v>
      </c>
      <c r="H7169" s="55" t="s">
        <v>1464</v>
      </c>
      <c r="I7169" s="15" t="s">
        <v>816</v>
      </c>
    </row>
    <row r="7170" spans="1:9" ht="51.75" customHeight="1" x14ac:dyDescent="0.35">
      <c r="A7170" s="15">
        <v>1</v>
      </c>
      <c r="B7170" s="15" t="s">
        <v>41474</v>
      </c>
      <c r="C7170" s="15" t="s">
        <v>41428</v>
      </c>
      <c r="D7170" s="31">
        <v>40589</v>
      </c>
      <c r="E7170" s="15" t="s">
        <v>41429</v>
      </c>
      <c r="F7170" s="87" t="s">
        <v>21871</v>
      </c>
      <c r="G7170" s="45" t="s">
        <v>2138</v>
      </c>
      <c r="H7170" s="55" t="s">
        <v>2139</v>
      </c>
      <c r="I7170" s="15" t="s">
        <v>816</v>
      </c>
    </row>
    <row r="7171" spans="1:9" ht="51.75" customHeight="1" x14ac:dyDescent="0.35">
      <c r="A7171" s="15">
        <v>1</v>
      </c>
      <c r="B7171" s="15" t="s">
        <v>41475</v>
      </c>
      <c r="C7171" s="15" t="s">
        <v>41476</v>
      </c>
      <c r="D7171" s="31">
        <v>40570</v>
      </c>
      <c r="E7171" s="15" t="s">
        <v>41477</v>
      </c>
      <c r="F7171" s="87" t="s">
        <v>21871</v>
      </c>
      <c r="G7171" s="45" t="s">
        <v>1423</v>
      </c>
      <c r="H7171" s="55" t="s">
        <v>1424</v>
      </c>
      <c r="I7171" s="15" t="s">
        <v>816</v>
      </c>
    </row>
    <row r="7172" spans="1:9" ht="51.75" customHeight="1" x14ac:dyDescent="0.35">
      <c r="A7172" s="15">
        <v>1</v>
      </c>
      <c r="B7172" s="15" t="s">
        <v>41478</v>
      </c>
      <c r="C7172" s="15" t="s">
        <v>41479</v>
      </c>
      <c r="D7172" s="31">
        <v>40561</v>
      </c>
      <c r="E7172" s="15" t="s">
        <v>41480</v>
      </c>
      <c r="F7172" s="87" t="s">
        <v>21871</v>
      </c>
      <c r="G7172" s="45" t="s">
        <v>1375</v>
      </c>
      <c r="H7172" s="55" t="s">
        <v>1376</v>
      </c>
      <c r="I7172" s="15" t="s">
        <v>816</v>
      </c>
    </row>
    <row r="7173" spans="1:9" ht="51.75" customHeight="1" x14ac:dyDescent="0.35">
      <c r="A7173" s="15">
        <v>1</v>
      </c>
      <c r="B7173" s="15" t="s">
        <v>41481</v>
      </c>
      <c r="C7173" s="15" t="s">
        <v>41482</v>
      </c>
      <c r="D7173" s="31">
        <v>39387</v>
      </c>
      <c r="E7173" s="15" t="s">
        <v>41483</v>
      </c>
      <c r="F7173" s="87" t="s">
        <v>21871</v>
      </c>
      <c r="G7173" s="45" t="s">
        <v>1327</v>
      </c>
      <c r="H7173" s="55" t="s">
        <v>1328</v>
      </c>
      <c r="I7173" s="15" t="s">
        <v>816</v>
      </c>
    </row>
    <row r="7174" spans="1:9" ht="51.75" customHeight="1" x14ac:dyDescent="0.35">
      <c r="A7174" s="15">
        <v>2</v>
      </c>
      <c r="B7174" s="15" t="s">
        <v>41484</v>
      </c>
      <c r="C7174" s="15" t="s">
        <v>41485</v>
      </c>
      <c r="D7174" s="31">
        <v>39387</v>
      </c>
      <c r="E7174" s="15" t="s">
        <v>41486</v>
      </c>
      <c r="F7174" s="87" t="s">
        <v>21871</v>
      </c>
      <c r="G7174" s="45" t="s">
        <v>1327</v>
      </c>
      <c r="H7174" s="55" t="s">
        <v>1328</v>
      </c>
      <c r="I7174" s="15" t="s">
        <v>816</v>
      </c>
    </row>
    <row r="7175" spans="1:9" ht="51.75" customHeight="1" x14ac:dyDescent="0.35">
      <c r="A7175" s="15">
        <v>3</v>
      </c>
      <c r="B7175" s="15" t="s">
        <v>41487</v>
      </c>
      <c r="C7175" s="15" t="s">
        <v>41488</v>
      </c>
      <c r="D7175" s="31">
        <v>39387</v>
      </c>
      <c r="E7175" s="15" t="s">
        <v>41489</v>
      </c>
      <c r="F7175" s="87" t="s">
        <v>21871</v>
      </c>
      <c r="G7175" s="45" t="s">
        <v>1327</v>
      </c>
      <c r="H7175" s="55" t="s">
        <v>1328</v>
      </c>
      <c r="I7175" s="15" t="s">
        <v>816</v>
      </c>
    </row>
    <row r="7176" spans="1:9" ht="51.75" customHeight="1" x14ac:dyDescent="0.35">
      <c r="A7176" s="15">
        <v>1</v>
      </c>
      <c r="B7176" s="15" t="s">
        <v>41490</v>
      </c>
      <c r="C7176" s="15" t="s">
        <v>41491</v>
      </c>
      <c r="D7176" s="31">
        <v>40596</v>
      </c>
      <c r="E7176" s="15" t="s">
        <v>41492</v>
      </c>
      <c r="F7176" s="87" t="s">
        <v>21871</v>
      </c>
      <c r="G7176" s="45" t="s">
        <v>1041</v>
      </c>
      <c r="H7176" s="55" t="s">
        <v>1042</v>
      </c>
      <c r="I7176" s="15" t="s">
        <v>816</v>
      </c>
    </row>
    <row r="7177" spans="1:9" ht="51.75" customHeight="1" x14ac:dyDescent="0.35">
      <c r="A7177" s="15">
        <v>1</v>
      </c>
      <c r="B7177" s="15" t="s">
        <v>41493</v>
      </c>
      <c r="C7177" s="15" t="s">
        <v>41494</v>
      </c>
      <c r="D7177" s="31">
        <v>40596</v>
      </c>
      <c r="E7177" s="15" t="s">
        <v>41495</v>
      </c>
      <c r="F7177" s="87" t="s">
        <v>21871</v>
      </c>
      <c r="G7177" s="45" t="s">
        <v>1878</v>
      </c>
      <c r="H7177" s="55" t="s">
        <v>1879</v>
      </c>
      <c r="I7177" s="15" t="s">
        <v>816</v>
      </c>
    </row>
    <row r="7178" spans="1:9" ht="51.75" customHeight="1" x14ac:dyDescent="0.35">
      <c r="A7178" s="15">
        <v>2</v>
      </c>
      <c r="B7178" s="15" t="s">
        <v>41496</v>
      </c>
      <c r="C7178" s="15" t="s">
        <v>41497</v>
      </c>
      <c r="D7178" s="31">
        <v>40596</v>
      </c>
      <c r="E7178" s="15" t="s">
        <v>41498</v>
      </c>
      <c r="F7178" s="87" t="s">
        <v>21871</v>
      </c>
      <c r="G7178" s="45" t="s">
        <v>1878</v>
      </c>
      <c r="H7178" s="55" t="s">
        <v>1879</v>
      </c>
      <c r="I7178" s="15" t="s">
        <v>816</v>
      </c>
    </row>
    <row r="7179" spans="1:9" ht="51.75" customHeight="1" x14ac:dyDescent="0.35">
      <c r="A7179" s="15">
        <v>1</v>
      </c>
      <c r="B7179" s="15" t="s">
        <v>41499</v>
      </c>
      <c r="C7179" s="15" t="s">
        <v>41500</v>
      </c>
      <c r="D7179" s="31">
        <v>40546</v>
      </c>
      <c r="E7179" s="15" t="s">
        <v>41501</v>
      </c>
      <c r="F7179" s="87" t="s">
        <v>21871</v>
      </c>
      <c r="G7179" s="45" t="s">
        <v>1511</v>
      </c>
      <c r="H7179" s="55" t="s">
        <v>1512</v>
      </c>
      <c r="I7179" s="15" t="s">
        <v>816</v>
      </c>
    </row>
    <row r="7180" spans="1:9" ht="51.75" customHeight="1" x14ac:dyDescent="0.35">
      <c r="A7180" s="15">
        <v>2</v>
      </c>
      <c r="B7180" s="15" t="s">
        <v>41502</v>
      </c>
      <c r="C7180" s="15" t="s">
        <v>41503</v>
      </c>
      <c r="D7180" s="31">
        <v>40546</v>
      </c>
      <c r="E7180" s="15" t="s">
        <v>41504</v>
      </c>
      <c r="F7180" s="87" t="s">
        <v>21871</v>
      </c>
      <c r="G7180" s="45" t="s">
        <v>1511</v>
      </c>
      <c r="H7180" s="55" t="s">
        <v>1512</v>
      </c>
      <c r="I7180" s="15" t="s">
        <v>816</v>
      </c>
    </row>
    <row r="7181" spans="1:9" ht="51.75" customHeight="1" x14ac:dyDescent="0.35">
      <c r="A7181" s="15">
        <v>3</v>
      </c>
      <c r="B7181" s="15" t="s">
        <v>41505</v>
      </c>
      <c r="C7181" s="15" t="s">
        <v>41506</v>
      </c>
      <c r="D7181" s="31">
        <v>40546</v>
      </c>
      <c r="E7181" s="15" t="s">
        <v>41507</v>
      </c>
      <c r="F7181" s="87" t="s">
        <v>21871</v>
      </c>
      <c r="G7181" s="45" t="s">
        <v>1511</v>
      </c>
      <c r="H7181" s="55" t="s">
        <v>1512</v>
      </c>
      <c r="I7181" s="15" t="s">
        <v>816</v>
      </c>
    </row>
    <row r="7182" spans="1:9" ht="51.75" customHeight="1" x14ac:dyDescent="0.35">
      <c r="A7182" s="15">
        <v>4</v>
      </c>
      <c r="B7182" s="15" t="s">
        <v>41508</v>
      </c>
      <c r="C7182" s="15" t="s">
        <v>41509</v>
      </c>
      <c r="D7182" s="31">
        <v>40546</v>
      </c>
      <c r="E7182" s="15" t="s">
        <v>41510</v>
      </c>
      <c r="F7182" s="87" t="s">
        <v>21871</v>
      </c>
      <c r="G7182" s="45" t="s">
        <v>1511</v>
      </c>
      <c r="H7182" s="55" t="s">
        <v>1512</v>
      </c>
      <c r="I7182" s="15" t="s">
        <v>816</v>
      </c>
    </row>
    <row r="7183" spans="1:9" ht="51.75" customHeight="1" x14ac:dyDescent="0.35">
      <c r="A7183" s="15">
        <v>1</v>
      </c>
      <c r="B7183" s="15" t="s">
        <v>41511</v>
      </c>
      <c r="C7183" s="15" t="s">
        <v>41512</v>
      </c>
      <c r="D7183" s="31">
        <v>39115</v>
      </c>
      <c r="E7183" s="15" t="s">
        <v>41512</v>
      </c>
      <c r="F7183" s="87" t="s">
        <v>21871</v>
      </c>
      <c r="G7183" s="45" t="s">
        <v>950</v>
      </c>
      <c r="H7183" s="55" t="s">
        <v>951</v>
      </c>
      <c r="I7183" s="15" t="s">
        <v>816</v>
      </c>
    </row>
    <row r="7184" spans="1:9" ht="51.75" customHeight="1" x14ac:dyDescent="0.35">
      <c r="A7184" s="15">
        <v>1</v>
      </c>
      <c r="B7184" s="15" t="s">
        <v>41513</v>
      </c>
      <c r="C7184" s="15" t="s">
        <v>41514</v>
      </c>
      <c r="D7184" s="31">
        <v>40546</v>
      </c>
      <c r="E7184" s="15" t="s">
        <v>41515</v>
      </c>
      <c r="F7184" s="87" t="s">
        <v>21871</v>
      </c>
      <c r="G7184" s="45" t="s">
        <v>845</v>
      </c>
      <c r="H7184" s="55" t="s">
        <v>846</v>
      </c>
      <c r="I7184" s="15" t="s">
        <v>816</v>
      </c>
    </row>
    <row r="7185" spans="1:9" ht="51.75" customHeight="1" x14ac:dyDescent="0.35">
      <c r="A7185" s="15">
        <v>1</v>
      </c>
      <c r="B7185" s="15" t="s">
        <v>41516</v>
      </c>
      <c r="C7185" s="15" t="s">
        <v>41517</v>
      </c>
      <c r="D7185" s="31">
        <v>39115</v>
      </c>
      <c r="E7185" s="15" t="s">
        <v>41518</v>
      </c>
      <c r="F7185" s="87" t="s">
        <v>21871</v>
      </c>
      <c r="G7185" s="45" t="s">
        <v>882</v>
      </c>
      <c r="H7185" s="55" t="s">
        <v>883</v>
      </c>
      <c r="I7185" s="15" t="s">
        <v>816</v>
      </c>
    </row>
    <row r="7186" spans="1:9" ht="51.75" customHeight="1" x14ac:dyDescent="0.35">
      <c r="A7186" s="15">
        <v>1</v>
      </c>
      <c r="B7186" s="15" t="s">
        <v>41519</v>
      </c>
      <c r="C7186" s="15" t="s">
        <v>41520</v>
      </c>
      <c r="D7186" s="31">
        <v>38945</v>
      </c>
      <c r="E7186" s="15" t="s">
        <v>41521</v>
      </c>
      <c r="F7186" s="87" t="s">
        <v>21871</v>
      </c>
      <c r="G7186" s="45" t="s">
        <v>906</v>
      </c>
      <c r="H7186" s="55" t="s">
        <v>907</v>
      </c>
      <c r="I7186" s="15" t="s">
        <v>816</v>
      </c>
    </row>
    <row r="7187" spans="1:9" ht="51.75" customHeight="1" x14ac:dyDescent="0.35">
      <c r="A7187" s="15">
        <v>2</v>
      </c>
      <c r="B7187" s="15" t="s">
        <v>41522</v>
      </c>
      <c r="C7187" s="15" t="s">
        <v>41523</v>
      </c>
      <c r="D7187" s="31">
        <v>38945</v>
      </c>
      <c r="E7187" s="15" t="s">
        <v>41524</v>
      </c>
      <c r="F7187" s="87" t="s">
        <v>21871</v>
      </c>
      <c r="G7187" s="45" t="s">
        <v>906</v>
      </c>
      <c r="H7187" s="55" t="s">
        <v>907</v>
      </c>
      <c r="I7187" s="15" t="s">
        <v>816</v>
      </c>
    </row>
    <row r="7188" spans="1:9" ht="51.75" customHeight="1" x14ac:dyDescent="0.35">
      <c r="A7188" s="15">
        <v>3</v>
      </c>
      <c r="B7188" s="15" t="s">
        <v>41525</v>
      </c>
      <c r="C7188" s="15" t="s">
        <v>41526</v>
      </c>
      <c r="D7188" s="31">
        <v>38945</v>
      </c>
      <c r="E7188" s="15" t="s">
        <v>41527</v>
      </c>
      <c r="F7188" s="87" t="s">
        <v>21871</v>
      </c>
      <c r="G7188" s="45" t="s">
        <v>906</v>
      </c>
      <c r="H7188" s="55" t="s">
        <v>907</v>
      </c>
      <c r="I7188" s="15" t="s">
        <v>816</v>
      </c>
    </row>
    <row r="7189" spans="1:9" ht="51.75" customHeight="1" x14ac:dyDescent="0.35">
      <c r="A7189" s="15">
        <v>4</v>
      </c>
      <c r="B7189" s="15" t="s">
        <v>41528</v>
      </c>
      <c r="C7189" s="15" t="s">
        <v>41529</v>
      </c>
      <c r="D7189" s="31">
        <v>38945</v>
      </c>
      <c r="E7189" s="15" t="s">
        <v>41530</v>
      </c>
      <c r="F7189" s="87" t="s">
        <v>21871</v>
      </c>
      <c r="G7189" s="45" t="s">
        <v>906</v>
      </c>
      <c r="H7189" s="55" t="s">
        <v>907</v>
      </c>
      <c r="I7189" s="15" t="s">
        <v>816</v>
      </c>
    </row>
    <row r="7190" spans="1:9" ht="51.75" customHeight="1" x14ac:dyDescent="0.35">
      <c r="A7190" s="15">
        <v>1</v>
      </c>
      <c r="B7190" s="15" t="s">
        <v>41531</v>
      </c>
      <c r="C7190" s="15" t="s">
        <v>41532</v>
      </c>
      <c r="D7190" s="31">
        <v>38936</v>
      </c>
      <c r="E7190" s="15" t="s">
        <v>41533</v>
      </c>
      <c r="F7190" s="87" t="s">
        <v>21871</v>
      </c>
      <c r="G7190" s="45" t="s">
        <v>833</v>
      </c>
      <c r="H7190" s="55" t="s">
        <v>834</v>
      </c>
      <c r="I7190" s="15" t="s">
        <v>816</v>
      </c>
    </row>
    <row r="7191" spans="1:9" ht="51.75" customHeight="1" x14ac:dyDescent="0.35">
      <c r="A7191" s="15">
        <v>2</v>
      </c>
      <c r="B7191" s="15" t="s">
        <v>41534</v>
      </c>
      <c r="C7191" s="15" t="s">
        <v>41535</v>
      </c>
      <c r="D7191" s="31">
        <v>38936</v>
      </c>
      <c r="E7191" s="15" t="s">
        <v>41535</v>
      </c>
      <c r="F7191" s="87" t="s">
        <v>21871</v>
      </c>
      <c r="G7191" s="45" t="s">
        <v>833</v>
      </c>
      <c r="H7191" s="55" t="s">
        <v>834</v>
      </c>
      <c r="I7191" s="15" t="s">
        <v>816</v>
      </c>
    </row>
    <row r="7192" spans="1:9" ht="53.65" customHeight="1" x14ac:dyDescent="0.35">
      <c r="A7192" s="15">
        <v>3</v>
      </c>
      <c r="B7192" s="15" t="s">
        <v>41536</v>
      </c>
      <c r="C7192" s="15" t="s">
        <v>41537</v>
      </c>
      <c r="D7192" s="31">
        <v>38936</v>
      </c>
      <c r="E7192" s="15" t="s">
        <v>41538</v>
      </c>
      <c r="F7192" s="87" t="s">
        <v>21871</v>
      </c>
      <c r="G7192" s="45" t="s">
        <v>833</v>
      </c>
      <c r="H7192" s="55" t="s">
        <v>834</v>
      </c>
      <c r="I7192" s="15" t="s">
        <v>816</v>
      </c>
    </row>
    <row r="7193" spans="1:9" ht="55.5" customHeight="1" x14ac:dyDescent="0.35">
      <c r="A7193" s="15">
        <v>4</v>
      </c>
      <c r="B7193" s="15" t="s">
        <v>41539</v>
      </c>
      <c r="C7193" s="15" t="s">
        <v>41540</v>
      </c>
      <c r="D7193" s="31">
        <v>38936</v>
      </c>
      <c r="E7193" s="15" t="s">
        <v>41541</v>
      </c>
      <c r="F7193" s="87" t="s">
        <v>21871</v>
      </c>
      <c r="G7193" s="45" t="s">
        <v>833</v>
      </c>
      <c r="H7193" s="55" t="s">
        <v>834</v>
      </c>
      <c r="I7193" s="15" t="s">
        <v>816</v>
      </c>
    </row>
    <row r="7194" spans="1:9" ht="54" customHeight="1" x14ac:dyDescent="0.35">
      <c r="A7194" s="15">
        <v>5</v>
      </c>
      <c r="B7194" s="15" t="s">
        <v>41542</v>
      </c>
      <c r="C7194" s="15" t="s">
        <v>41543</v>
      </c>
      <c r="D7194" s="31">
        <v>38936</v>
      </c>
      <c r="E7194" s="15" t="s">
        <v>41543</v>
      </c>
      <c r="F7194" s="87" t="s">
        <v>21871</v>
      </c>
      <c r="G7194" s="45" t="s">
        <v>833</v>
      </c>
      <c r="H7194" s="55" t="s">
        <v>834</v>
      </c>
      <c r="I7194" s="15" t="s">
        <v>816</v>
      </c>
    </row>
    <row r="7195" spans="1:9" ht="49.15" customHeight="1" x14ac:dyDescent="0.35">
      <c r="A7195" s="15">
        <v>6</v>
      </c>
      <c r="B7195" s="15" t="s">
        <v>41544</v>
      </c>
      <c r="C7195" s="15" t="s">
        <v>41545</v>
      </c>
      <c r="D7195" s="31">
        <v>38936</v>
      </c>
      <c r="E7195" s="15" t="s">
        <v>41546</v>
      </c>
      <c r="F7195" s="87" t="s">
        <v>21871</v>
      </c>
      <c r="G7195" s="45" t="s">
        <v>833</v>
      </c>
      <c r="H7195" s="55" t="s">
        <v>834</v>
      </c>
      <c r="I7195" s="15" t="s">
        <v>816</v>
      </c>
    </row>
    <row r="7196" spans="1:9" ht="49.15" customHeight="1" x14ac:dyDescent="0.35">
      <c r="A7196" s="15" t="s">
        <v>22956</v>
      </c>
      <c r="B7196" s="15" t="s">
        <v>41547</v>
      </c>
      <c r="C7196" s="15" t="s">
        <v>41548</v>
      </c>
      <c r="D7196" s="31">
        <v>41093</v>
      </c>
      <c r="E7196" s="15" t="s">
        <v>41549</v>
      </c>
      <c r="F7196" s="87" t="s">
        <v>21871</v>
      </c>
      <c r="G7196" s="45" t="s">
        <v>7575</v>
      </c>
      <c r="H7196" s="55" t="s">
        <v>7576</v>
      </c>
      <c r="I7196" s="15" t="s">
        <v>816</v>
      </c>
    </row>
    <row r="7197" spans="1:9" ht="49.15" customHeight="1" x14ac:dyDescent="0.35">
      <c r="A7197" s="15" t="s">
        <v>22881</v>
      </c>
      <c r="B7197" s="15" t="s">
        <v>41550</v>
      </c>
      <c r="C7197" s="15" t="s">
        <v>41551</v>
      </c>
      <c r="D7197" s="31">
        <v>42185</v>
      </c>
      <c r="E7197" s="15" t="s">
        <v>41552</v>
      </c>
      <c r="F7197" s="87" t="s">
        <v>41553</v>
      </c>
      <c r="G7197" s="45" t="s">
        <v>7507</v>
      </c>
      <c r="H7197" s="55" t="s">
        <v>7508</v>
      </c>
      <c r="I7197" s="15" t="s">
        <v>816</v>
      </c>
    </row>
    <row r="7198" spans="1:9" ht="49.15" customHeight="1" x14ac:dyDescent="0.35">
      <c r="A7198" s="15" t="s">
        <v>22881</v>
      </c>
      <c r="B7198" s="15" t="s">
        <v>41554</v>
      </c>
      <c r="C7198" s="15" t="s">
        <v>41551</v>
      </c>
      <c r="D7198" s="31">
        <v>42185</v>
      </c>
      <c r="E7198" s="15" t="s">
        <v>41555</v>
      </c>
      <c r="F7198" s="87" t="s">
        <v>21871</v>
      </c>
      <c r="G7198" s="45" t="s">
        <v>7507</v>
      </c>
      <c r="H7198" s="55" t="s">
        <v>7508</v>
      </c>
      <c r="I7198" s="15" t="s">
        <v>816</v>
      </c>
    </row>
    <row r="7199" spans="1:9" ht="49.15" customHeight="1" x14ac:dyDescent="0.35">
      <c r="A7199" s="15" t="s">
        <v>33907</v>
      </c>
      <c r="B7199" s="15" t="s">
        <v>41556</v>
      </c>
      <c r="C7199" s="15" t="s">
        <v>41557</v>
      </c>
      <c r="D7199" s="31">
        <v>41345</v>
      </c>
      <c r="E7199" s="15" t="s">
        <v>41558</v>
      </c>
      <c r="F7199" s="87" t="s">
        <v>21871</v>
      </c>
      <c r="G7199" s="45" t="s">
        <v>7267</v>
      </c>
      <c r="H7199" s="55" t="s">
        <v>7268</v>
      </c>
      <c r="I7199" s="15" t="s">
        <v>816</v>
      </c>
    </row>
    <row r="7200" spans="1:9" ht="49.15" customHeight="1" x14ac:dyDescent="0.35">
      <c r="A7200" s="15" t="s">
        <v>33911</v>
      </c>
      <c r="B7200" s="15" t="s">
        <v>41559</v>
      </c>
      <c r="C7200" s="15" t="s">
        <v>41560</v>
      </c>
      <c r="D7200" s="31">
        <v>41345</v>
      </c>
      <c r="E7200" s="15" t="s">
        <v>41561</v>
      </c>
      <c r="F7200" s="87" t="s">
        <v>21871</v>
      </c>
      <c r="G7200" s="45" t="s">
        <v>7267</v>
      </c>
      <c r="H7200" s="55" t="s">
        <v>7268</v>
      </c>
      <c r="I7200" s="15" t="s">
        <v>816</v>
      </c>
    </row>
    <row r="7201" spans="1:9" ht="49.15" customHeight="1" x14ac:dyDescent="0.35">
      <c r="A7201" s="15" t="s">
        <v>33915</v>
      </c>
      <c r="B7201" s="15" t="s">
        <v>41562</v>
      </c>
      <c r="C7201" s="15" t="s">
        <v>41563</v>
      </c>
      <c r="D7201" s="31">
        <v>41345</v>
      </c>
      <c r="E7201" s="15" t="s">
        <v>41564</v>
      </c>
      <c r="F7201" s="87" t="s">
        <v>21871</v>
      </c>
      <c r="G7201" s="45" t="s">
        <v>7267</v>
      </c>
      <c r="H7201" s="55" t="s">
        <v>7268</v>
      </c>
      <c r="I7201" s="15" t="s">
        <v>816</v>
      </c>
    </row>
    <row r="7202" spans="1:9" ht="49.15" customHeight="1" x14ac:dyDescent="0.35">
      <c r="A7202" s="15" t="s">
        <v>38826</v>
      </c>
      <c r="B7202" s="15" t="s">
        <v>41565</v>
      </c>
      <c r="C7202" s="15" t="s">
        <v>41566</v>
      </c>
      <c r="D7202" s="31">
        <v>41345</v>
      </c>
      <c r="E7202" s="15" t="s">
        <v>41567</v>
      </c>
      <c r="F7202" s="87" t="s">
        <v>21871</v>
      </c>
      <c r="G7202" s="45" t="s">
        <v>7267</v>
      </c>
      <c r="H7202" s="55" t="s">
        <v>7268</v>
      </c>
      <c r="I7202" s="15" t="s">
        <v>816</v>
      </c>
    </row>
    <row r="7203" spans="1:9" ht="49.15" customHeight="1" x14ac:dyDescent="0.35">
      <c r="A7203" s="15" t="s">
        <v>26348</v>
      </c>
      <c r="B7203" s="15" t="s">
        <v>41568</v>
      </c>
      <c r="C7203" s="15" t="s">
        <v>41569</v>
      </c>
      <c r="D7203" s="31">
        <v>41345</v>
      </c>
      <c r="E7203" s="15" t="s">
        <v>41570</v>
      </c>
      <c r="F7203" s="87" t="s">
        <v>21871</v>
      </c>
      <c r="G7203" s="45" t="s">
        <v>7267</v>
      </c>
      <c r="H7203" s="55" t="s">
        <v>7268</v>
      </c>
      <c r="I7203" s="15" t="s">
        <v>816</v>
      </c>
    </row>
    <row r="7204" spans="1:9" ht="49.15" customHeight="1" x14ac:dyDescent="0.35">
      <c r="A7204" s="15" t="s">
        <v>35573</v>
      </c>
      <c r="B7204" s="15" t="s">
        <v>41571</v>
      </c>
      <c r="C7204" s="15" t="s">
        <v>41572</v>
      </c>
      <c r="D7204" s="31">
        <v>41387</v>
      </c>
      <c r="E7204" s="15" t="s">
        <v>41573</v>
      </c>
      <c r="F7204" s="87" t="s">
        <v>21871</v>
      </c>
      <c r="G7204" s="45" t="s">
        <v>7152</v>
      </c>
      <c r="H7204" s="55" t="s">
        <v>7153</v>
      </c>
      <c r="I7204" s="15" t="s">
        <v>816</v>
      </c>
    </row>
    <row r="7205" spans="1:9" ht="49.15" customHeight="1" x14ac:dyDescent="0.35">
      <c r="A7205" s="15" t="s">
        <v>22223</v>
      </c>
      <c r="B7205" s="15" t="s">
        <v>41574</v>
      </c>
      <c r="C7205" s="15" t="s">
        <v>41575</v>
      </c>
      <c r="D7205" s="31">
        <v>41047</v>
      </c>
      <c r="E7205" s="15" t="s">
        <v>41576</v>
      </c>
      <c r="F7205" s="87" t="s">
        <v>21871</v>
      </c>
      <c r="G7205" s="45" t="s">
        <v>7178</v>
      </c>
      <c r="H7205" s="55" t="s">
        <v>7179</v>
      </c>
      <c r="I7205" s="15" t="s">
        <v>816</v>
      </c>
    </row>
    <row r="7206" spans="1:9" ht="49.15" customHeight="1" x14ac:dyDescent="0.35">
      <c r="A7206" s="15" t="s">
        <v>22952</v>
      </c>
      <c r="B7206" s="15" t="s">
        <v>41577</v>
      </c>
      <c r="C7206" s="15" t="s">
        <v>41578</v>
      </c>
      <c r="D7206" s="31">
        <v>41047</v>
      </c>
      <c r="E7206" s="15" t="s">
        <v>41579</v>
      </c>
      <c r="F7206" s="87" t="s">
        <v>21871</v>
      </c>
      <c r="G7206" s="45" t="s">
        <v>7178</v>
      </c>
      <c r="H7206" s="55" t="s">
        <v>7179</v>
      </c>
      <c r="I7206" s="15" t="s">
        <v>816</v>
      </c>
    </row>
    <row r="7207" spans="1:9" ht="49.15" customHeight="1" x14ac:dyDescent="0.35">
      <c r="A7207" s="15" t="s">
        <v>22801</v>
      </c>
      <c r="B7207" s="15" t="s">
        <v>41580</v>
      </c>
      <c r="C7207" s="15" t="s">
        <v>41581</v>
      </c>
      <c r="D7207" s="31">
        <v>41638</v>
      </c>
      <c r="E7207" s="15" t="s">
        <v>41582</v>
      </c>
      <c r="F7207" s="87" t="s">
        <v>21871</v>
      </c>
      <c r="G7207" s="45" t="s">
        <v>7104</v>
      </c>
      <c r="H7207" s="55" t="s">
        <v>7105</v>
      </c>
      <c r="I7207" s="15" t="s">
        <v>816</v>
      </c>
    </row>
    <row r="7208" spans="1:9" ht="49.15" customHeight="1" x14ac:dyDescent="0.35">
      <c r="A7208" s="15" t="s">
        <v>26107</v>
      </c>
      <c r="B7208" s="15" t="s">
        <v>41583</v>
      </c>
      <c r="C7208" s="15" t="s">
        <v>41584</v>
      </c>
      <c r="D7208" s="31">
        <v>41386</v>
      </c>
      <c r="E7208" s="15" t="s">
        <v>41585</v>
      </c>
      <c r="F7208" s="87" t="s">
        <v>21871</v>
      </c>
      <c r="G7208" s="45" t="s">
        <v>6832</v>
      </c>
      <c r="H7208" s="55" t="s">
        <v>6833</v>
      </c>
      <c r="I7208" s="15" t="s">
        <v>816</v>
      </c>
    </row>
    <row r="7209" spans="1:9" ht="37.15" customHeight="1" x14ac:dyDescent="0.35">
      <c r="A7209" s="15" t="s">
        <v>22968</v>
      </c>
      <c r="B7209" s="15" t="s">
        <v>41586</v>
      </c>
      <c r="C7209" s="15" t="s">
        <v>41587</v>
      </c>
      <c r="D7209" s="31">
        <v>41180</v>
      </c>
      <c r="E7209" s="15" t="s">
        <v>41588</v>
      </c>
      <c r="F7209" s="87" t="s">
        <v>21871</v>
      </c>
      <c r="G7209" s="45" t="s">
        <v>6522</v>
      </c>
      <c r="H7209" s="55" t="s">
        <v>6523</v>
      </c>
      <c r="I7209" s="15" t="s">
        <v>816</v>
      </c>
    </row>
    <row r="7210" spans="1:9" ht="32.65" customHeight="1" x14ac:dyDescent="0.35">
      <c r="A7210" s="15" t="s">
        <v>28369</v>
      </c>
      <c r="B7210" s="15" t="s">
        <v>41589</v>
      </c>
      <c r="C7210" s="15" t="s">
        <v>41590</v>
      </c>
      <c r="D7210" s="31">
        <v>41180</v>
      </c>
      <c r="E7210" s="15" t="s">
        <v>41591</v>
      </c>
      <c r="F7210" s="87" t="s">
        <v>21871</v>
      </c>
      <c r="G7210" s="45" t="s">
        <v>6522</v>
      </c>
      <c r="H7210" s="55" t="s">
        <v>6523</v>
      </c>
      <c r="I7210" s="15" t="s">
        <v>816</v>
      </c>
    </row>
    <row r="7211" spans="1:9" ht="43.5" customHeight="1" x14ac:dyDescent="0.35">
      <c r="A7211" s="15">
        <v>1</v>
      </c>
      <c r="B7211" s="15" t="s">
        <v>41592</v>
      </c>
      <c r="C7211" s="15" t="s">
        <v>41593</v>
      </c>
      <c r="D7211" s="31">
        <v>41012</v>
      </c>
      <c r="E7211" s="15" t="s">
        <v>41594</v>
      </c>
      <c r="F7211" s="87" t="s">
        <v>21871</v>
      </c>
      <c r="G7211" s="45" t="s">
        <v>5890</v>
      </c>
      <c r="H7211" s="55" t="s">
        <v>5891</v>
      </c>
      <c r="I7211" s="15" t="s">
        <v>816</v>
      </c>
    </row>
    <row r="7212" spans="1:9" ht="60.75" customHeight="1" x14ac:dyDescent="0.35">
      <c r="A7212" s="15" t="s">
        <v>22964</v>
      </c>
      <c r="B7212" s="15" t="s">
        <v>41595</v>
      </c>
      <c r="C7212" s="15" t="s">
        <v>41596</v>
      </c>
      <c r="D7212" s="31">
        <v>41261</v>
      </c>
      <c r="E7212" s="15" t="s">
        <v>41597</v>
      </c>
      <c r="F7212" s="87" t="s">
        <v>21871</v>
      </c>
      <c r="G7212" s="45" t="s">
        <v>6467</v>
      </c>
      <c r="H7212" s="55" t="s">
        <v>6468</v>
      </c>
      <c r="I7212" s="15" t="s">
        <v>816</v>
      </c>
    </row>
    <row r="7213" spans="1:9" ht="60.75" customHeight="1" x14ac:dyDescent="0.35">
      <c r="A7213" s="15" t="s">
        <v>23264</v>
      </c>
      <c r="B7213" s="15" t="s">
        <v>41598</v>
      </c>
      <c r="C7213" s="15" t="s">
        <v>41599</v>
      </c>
      <c r="D7213" s="31">
        <v>41180</v>
      </c>
      <c r="E7213" s="15" t="s">
        <v>41600</v>
      </c>
      <c r="F7213" s="87" t="s">
        <v>21871</v>
      </c>
      <c r="G7213" s="45" t="s">
        <v>6392</v>
      </c>
      <c r="H7213" s="55" t="s">
        <v>6393</v>
      </c>
      <c r="I7213" s="15" t="s">
        <v>816</v>
      </c>
    </row>
    <row r="7214" spans="1:9" ht="46.15" customHeight="1" x14ac:dyDescent="0.35">
      <c r="A7214" s="15">
        <v>1</v>
      </c>
      <c r="B7214" s="15" t="s">
        <v>41601</v>
      </c>
      <c r="C7214" s="15" t="s">
        <v>41602</v>
      </c>
      <c r="D7214" s="31">
        <v>41012</v>
      </c>
      <c r="E7214" s="15" t="s">
        <v>41603</v>
      </c>
      <c r="F7214" s="87" t="s">
        <v>21871</v>
      </c>
      <c r="G7214" s="45" t="s">
        <v>6213</v>
      </c>
      <c r="H7214" s="55" t="s">
        <v>6214</v>
      </c>
      <c r="I7214" s="15" t="s">
        <v>816</v>
      </c>
    </row>
    <row r="7215" spans="1:9" ht="64.5" customHeight="1" x14ac:dyDescent="0.35">
      <c r="A7215" s="15">
        <v>1</v>
      </c>
      <c r="B7215" s="15" t="s">
        <v>41604</v>
      </c>
      <c r="C7215" s="15" t="s">
        <v>41605</v>
      </c>
      <c r="D7215" s="31">
        <v>40994</v>
      </c>
      <c r="E7215" s="15" t="s">
        <v>41606</v>
      </c>
      <c r="F7215" s="87" t="s">
        <v>21871</v>
      </c>
      <c r="G7215" s="45" t="s">
        <v>6038</v>
      </c>
      <c r="H7215" s="55" t="s">
        <v>6039</v>
      </c>
      <c r="I7215" s="15" t="s">
        <v>816</v>
      </c>
    </row>
    <row r="7216" spans="1:9" ht="64.5" customHeight="1" x14ac:dyDescent="0.35">
      <c r="A7216" s="15" t="s">
        <v>29201</v>
      </c>
      <c r="B7216" s="15" t="s">
        <v>41607</v>
      </c>
      <c r="C7216" s="15" t="s">
        <v>41608</v>
      </c>
      <c r="D7216" s="31">
        <v>41065</v>
      </c>
      <c r="E7216" s="15" t="s">
        <v>41609</v>
      </c>
      <c r="F7216" s="87" t="s">
        <v>21871</v>
      </c>
      <c r="G7216" s="45" t="s">
        <v>6022</v>
      </c>
      <c r="H7216" s="55" t="s">
        <v>6023</v>
      </c>
      <c r="I7216" s="15" t="s">
        <v>816</v>
      </c>
    </row>
    <row r="7217" spans="1:9" ht="55.15" customHeight="1" x14ac:dyDescent="0.35">
      <c r="A7217" s="15" t="s">
        <v>24261</v>
      </c>
      <c r="B7217" s="15" t="s">
        <v>41610</v>
      </c>
      <c r="C7217" s="15" t="s">
        <v>41611</v>
      </c>
      <c r="D7217" s="31">
        <v>40697</v>
      </c>
      <c r="E7217" s="15" t="s">
        <v>41612</v>
      </c>
      <c r="F7217" s="87" t="s">
        <v>21871</v>
      </c>
      <c r="G7217" s="45" t="s">
        <v>6011</v>
      </c>
      <c r="H7217" s="55" t="s">
        <v>6012</v>
      </c>
      <c r="I7217" s="15" t="s">
        <v>816</v>
      </c>
    </row>
    <row r="7218" spans="1:9" ht="48" customHeight="1" x14ac:dyDescent="0.35">
      <c r="A7218" s="15" t="s">
        <v>21883</v>
      </c>
      <c r="B7218" s="15" t="s">
        <v>41613</v>
      </c>
      <c r="C7218" s="15" t="s">
        <v>41614</v>
      </c>
      <c r="D7218" s="31">
        <v>40697</v>
      </c>
      <c r="E7218" s="15" t="s">
        <v>41615</v>
      </c>
      <c r="F7218" s="87" t="s">
        <v>21871</v>
      </c>
      <c r="G7218" s="45" t="s">
        <v>6011</v>
      </c>
      <c r="H7218" s="55" t="s">
        <v>6012</v>
      </c>
      <c r="I7218" s="15" t="s">
        <v>816</v>
      </c>
    </row>
    <row r="7219" spans="1:9" ht="48" customHeight="1" x14ac:dyDescent="0.35">
      <c r="A7219" s="15" t="s">
        <v>22217</v>
      </c>
      <c r="B7219" s="15" t="s">
        <v>41616</v>
      </c>
      <c r="C7219" s="15" t="s">
        <v>41617</v>
      </c>
      <c r="D7219" s="31">
        <v>40697</v>
      </c>
      <c r="E7219" s="15" t="s">
        <v>41618</v>
      </c>
      <c r="F7219" s="87" t="s">
        <v>21871</v>
      </c>
      <c r="G7219" s="45" t="s">
        <v>6011</v>
      </c>
      <c r="H7219" s="55" t="s">
        <v>6012</v>
      </c>
      <c r="I7219" s="15" t="s">
        <v>816</v>
      </c>
    </row>
    <row r="7220" spans="1:9" ht="40.15" customHeight="1" x14ac:dyDescent="0.35">
      <c r="A7220" s="15" t="s">
        <v>32363</v>
      </c>
      <c r="B7220" s="15" t="s">
        <v>41619</v>
      </c>
      <c r="C7220" s="15" t="s">
        <v>41620</v>
      </c>
      <c r="D7220" s="31">
        <v>40697</v>
      </c>
      <c r="E7220" s="15" t="s">
        <v>41621</v>
      </c>
      <c r="F7220" s="87" t="s">
        <v>21871</v>
      </c>
      <c r="G7220" s="45" t="s">
        <v>6011</v>
      </c>
      <c r="H7220" s="78" t="s">
        <v>6012</v>
      </c>
      <c r="I7220" s="13" t="s">
        <v>816</v>
      </c>
    </row>
    <row r="7221" spans="1:9" ht="40.15" customHeight="1" x14ac:dyDescent="0.35">
      <c r="A7221" s="15" t="s">
        <v>24877</v>
      </c>
      <c r="B7221" s="15" t="s">
        <v>41622</v>
      </c>
      <c r="C7221" s="15" t="s">
        <v>41623</v>
      </c>
      <c r="D7221" s="31">
        <v>40697</v>
      </c>
      <c r="E7221" s="15" t="s">
        <v>41624</v>
      </c>
      <c r="F7221" s="87" t="s">
        <v>21871</v>
      </c>
      <c r="G7221" s="45" t="s">
        <v>6011</v>
      </c>
      <c r="H7221" s="78" t="s">
        <v>6012</v>
      </c>
      <c r="I7221" s="13" t="s">
        <v>816</v>
      </c>
    </row>
    <row r="7222" spans="1:9" ht="40.15" customHeight="1" x14ac:dyDescent="0.35">
      <c r="A7222" s="15" t="s">
        <v>22035</v>
      </c>
      <c r="B7222" s="15" t="s">
        <v>41625</v>
      </c>
      <c r="C7222" s="15" t="s">
        <v>41626</v>
      </c>
      <c r="D7222" s="31">
        <v>40697</v>
      </c>
      <c r="E7222" s="15" t="s">
        <v>41627</v>
      </c>
      <c r="F7222" s="87" t="s">
        <v>21871</v>
      </c>
      <c r="G7222" s="45" t="s">
        <v>6011</v>
      </c>
      <c r="H7222" s="78" t="s">
        <v>6012</v>
      </c>
      <c r="I7222" s="13" t="s">
        <v>816</v>
      </c>
    </row>
    <row r="7223" spans="1:9" ht="40.15" customHeight="1" x14ac:dyDescent="0.35">
      <c r="A7223" s="15" t="s">
        <v>22159</v>
      </c>
      <c r="B7223" s="15" t="s">
        <v>41628</v>
      </c>
      <c r="C7223" s="15" t="s">
        <v>41629</v>
      </c>
      <c r="D7223" s="31">
        <v>41353</v>
      </c>
      <c r="E7223" s="15" t="s">
        <v>41630</v>
      </c>
      <c r="F7223" s="87" t="s">
        <v>21871</v>
      </c>
      <c r="G7223" s="45" t="s">
        <v>5864</v>
      </c>
      <c r="H7223" s="78" t="s">
        <v>5865</v>
      </c>
      <c r="I7223" s="13" t="s">
        <v>816</v>
      </c>
    </row>
    <row r="7224" spans="1:9" ht="40.15" customHeight="1" x14ac:dyDescent="0.35">
      <c r="A7224" s="15" t="s">
        <v>23234</v>
      </c>
      <c r="B7224" s="15" t="s">
        <v>41631</v>
      </c>
      <c r="C7224" s="15" t="s">
        <v>41632</v>
      </c>
      <c r="D7224" s="31">
        <v>40627</v>
      </c>
      <c r="E7224" s="15" t="s">
        <v>41633</v>
      </c>
      <c r="F7224" s="87" t="s">
        <v>21871</v>
      </c>
      <c r="G7224" s="45" t="s">
        <v>5859</v>
      </c>
      <c r="H7224" s="78" t="s">
        <v>5860</v>
      </c>
      <c r="I7224" s="13" t="s">
        <v>816</v>
      </c>
    </row>
    <row r="7225" spans="1:9" ht="40.15" customHeight="1" x14ac:dyDescent="0.35">
      <c r="A7225" s="15">
        <v>1</v>
      </c>
      <c r="B7225" s="15" t="s">
        <v>41634</v>
      </c>
      <c r="C7225" s="15" t="s">
        <v>41635</v>
      </c>
      <c r="D7225" s="31">
        <v>41012</v>
      </c>
      <c r="E7225" s="15" t="s">
        <v>41636</v>
      </c>
      <c r="F7225" s="87" t="s">
        <v>21871</v>
      </c>
      <c r="G7225" s="45" t="s">
        <v>5815</v>
      </c>
      <c r="H7225" s="78" t="s">
        <v>5816</v>
      </c>
      <c r="I7225" s="13" t="s">
        <v>816</v>
      </c>
    </row>
    <row r="7226" spans="1:9" ht="40.15" customHeight="1" x14ac:dyDescent="0.35">
      <c r="A7226" s="15">
        <v>2</v>
      </c>
      <c r="B7226" s="15" t="s">
        <v>41637</v>
      </c>
      <c r="C7226" s="15" t="s">
        <v>41638</v>
      </c>
      <c r="D7226" s="31">
        <v>41012</v>
      </c>
      <c r="E7226" s="15" t="s">
        <v>41639</v>
      </c>
      <c r="F7226" s="87" t="s">
        <v>21871</v>
      </c>
      <c r="G7226" s="45" t="s">
        <v>5815</v>
      </c>
      <c r="H7226" s="78" t="s">
        <v>5816</v>
      </c>
      <c r="I7226" s="13" t="s">
        <v>816</v>
      </c>
    </row>
    <row r="7227" spans="1:9" ht="33" customHeight="1" x14ac:dyDescent="0.35">
      <c r="A7227" s="15">
        <v>1</v>
      </c>
      <c r="B7227" s="15" t="s">
        <v>41640</v>
      </c>
      <c r="C7227" s="15" t="s">
        <v>41641</v>
      </c>
      <c r="D7227" s="31">
        <v>40661</v>
      </c>
      <c r="E7227" s="15" t="s">
        <v>41642</v>
      </c>
      <c r="F7227" s="87" t="s">
        <v>21871</v>
      </c>
      <c r="G7227" s="45" t="s">
        <v>4567</v>
      </c>
      <c r="H7227" s="55" t="s">
        <v>4568</v>
      </c>
      <c r="I7227" s="15" t="s">
        <v>816</v>
      </c>
    </row>
    <row r="7228" spans="1:9" ht="26.65" customHeight="1" x14ac:dyDescent="0.35">
      <c r="A7228" s="15" t="s">
        <v>22960</v>
      </c>
      <c r="B7228" s="15" t="s">
        <v>41643</v>
      </c>
      <c r="C7228" s="15" t="s">
        <v>41644</v>
      </c>
      <c r="D7228" s="31">
        <v>41261</v>
      </c>
      <c r="E7228" s="15" t="s">
        <v>41597</v>
      </c>
      <c r="F7228" s="87" t="s">
        <v>21871</v>
      </c>
      <c r="G7228" s="45" t="s">
        <v>5550</v>
      </c>
      <c r="H7228" s="55" t="s">
        <v>5551</v>
      </c>
      <c r="I7228" s="15" t="s">
        <v>816</v>
      </c>
    </row>
    <row r="7229" spans="1:9" ht="26.65" customHeight="1" x14ac:dyDescent="0.35">
      <c r="A7229" s="15" t="s">
        <v>22956</v>
      </c>
      <c r="B7229" s="15" t="s">
        <v>41645</v>
      </c>
      <c r="C7229" s="15" t="s">
        <v>41644</v>
      </c>
      <c r="D7229" s="31">
        <v>41261</v>
      </c>
      <c r="E7229" s="15" t="s">
        <v>41597</v>
      </c>
      <c r="F7229" s="87" t="s">
        <v>21871</v>
      </c>
      <c r="G7229" s="45" t="s">
        <v>5538</v>
      </c>
      <c r="H7229" s="55" t="s">
        <v>5539</v>
      </c>
      <c r="I7229" s="15" t="s">
        <v>816</v>
      </c>
    </row>
    <row r="7230" spans="1:9" ht="26.65" customHeight="1" x14ac:dyDescent="0.35">
      <c r="A7230" s="15">
        <v>1</v>
      </c>
      <c r="B7230" s="15" t="s">
        <v>41646</v>
      </c>
      <c r="C7230" s="15" t="s">
        <v>41647</v>
      </c>
      <c r="D7230" s="31">
        <v>41012</v>
      </c>
      <c r="E7230" s="15" t="s">
        <v>41648</v>
      </c>
      <c r="F7230" s="87" t="s">
        <v>21871</v>
      </c>
      <c r="G7230" s="45" t="s">
        <v>5357</v>
      </c>
      <c r="H7230" s="55" t="s">
        <v>5358</v>
      </c>
      <c r="I7230" s="15" t="s">
        <v>816</v>
      </c>
    </row>
    <row r="7231" spans="1:9" ht="26.65" customHeight="1" x14ac:dyDescent="0.35">
      <c r="A7231" s="15">
        <v>1</v>
      </c>
      <c r="B7231" s="15" t="s">
        <v>41649</v>
      </c>
      <c r="C7231" s="15" t="s">
        <v>41650</v>
      </c>
      <c r="D7231" s="31">
        <v>41012</v>
      </c>
      <c r="E7231" s="15" t="s">
        <v>41651</v>
      </c>
      <c r="F7231" s="87" t="s">
        <v>21871</v>
      </c>
      <c r="G7231" s="45" t="s">
        <v>5361</v>
      </c>
      <c r="H7231" s="55" t="s">
        <v>5362</v>
      </c>
      <c r="I7231" s="15" t="s">
        <v>816</v>
      </c>
    </row>
    <row r="7232" spans="1:9" ht="26.65" customHeight="1" x14ac:dyDescent="0.35">
      <c r="A7232" s="15">
        <v>1</v>
      </c>
      <c r="B7232" s="15" t="s">
        <v>41652</v>
      </c>
      <c r="C7232" s="15" t="s">
        <v>41653</v>
      </c>
      <c r="D7232" s="31">
        <v>40917</v>
      </c>
      <c r="E7232" s="15" t="s">
        <v>41654</v>
      </c>
      <c r="F7232" s="87" t="s">
        <v>21871</v>
      </c>
      <c r="G7232" s="45" t="s">
        <v>5384</v>
      </c>
      <c r="H7232" s="55" t="s">
        <v>5385</v>
      </c>
      <c r="I7232" s="15" t="s">
        <v>816</v>
      </c>
    </row>
    <row r="7233" spans="1:9" ht="26.65" customHeight="1" x14ac:dyDescent="0.35">
      <c r="A7233" s="15">
        <v>2</v>
      </c>
      <c r="B7233" s="15" t="s">
        <v>41655</v>
      </c>
      <c r="C7233" s="15" t="s">
        <v>41656</v>
      </c>
      <c r="D7233" s="31">
        <v>40917</v>
      </c>
      <c r="E7233" s="15" t="s">
        <v>41657</v>
      </c>
      <c r="F7233" s="87" t="s">
        <v>21871</v>
      </c>
      <c r="G7233" s="45" t="s">
        <v>5384</v>
      </c>
      <c r="H7233" s="55" t="s">
        <v>5385</v>
      </c>
      <c r="I7233" s="15" t="s">
        <v>816</v>
      </c>
    </row>
    <row r="7234" spans="1:9" ht="32.65" customHeight="1" x14ac:dyDescent="0.35">
      <c r="A7234" s="15">
        <v>1</v>
      </c>
      <c r="B7234" s="15" t="s">
        <v>41658</v>
      </c>
      <c r="C7234" s="15" t="s">
        <v>41659</v>
      </c>
      <c r="D7234" s="31">
        <v>40994</v>
      </c>
      <c r="E7234" s="15" t="s">
        <v>41660</v>
      </c>
      <c r="F7234" s="87" t="s">
        <v>21871</v>
      </c>
      <c r="G7234" s="45" t="s">
        <v>5353</v>
      </c>
      <c r="H7234" s="55" t="s">
        <v>5354</v>
      </c>
      <c r="I7234" s="15" t="s">
        <v>816</v>
      </c>
    </row>
    <row r="7235" spans="1:9" ht="32.65" customHeight="1" x14ac:dyDescent="0.35">
      <c r="A7235" s="15">
        <v>1</v>
      </c>
      <c r="B7235" s="15" t="s">
        <v>41661</v>
      </c>
      <c r="C7235" s="15" t="s">
        <v>41662</v>
      </c>
      <c r="D7235" s="31">
        <v>40994</v>
      </c>
      <c r="E7235" s="15" t="s">
        <v>41663</v>
      </c>
      <c r="F7235" s="87" t="s">
        <v>21871</v>
      </c>
      <c r="G7235" s="45" t="s">
        <v>5223</v>
      </c>
      <c r="H7235" s="55" t="s">
        <v>5224</v>
      </c>
      <c r="I7235" s="15" t="s">
        <v>816</v>
      </c>
    </row>
    <row r="7236" spans="1:9" ht="32.65" customHeight="1" x14ac:dyDescent="0.35">
      <c r="A7236" s="15">
        <v>1</v>
      </c>
      <c r="B7236" s="15" t="s">
        <v>41664</v>
      </c>
      <c r="C7236" s="15" t="s">
        <v>41665</v>
      </c>
      <c r="D7236" s="31">
        <v>40914</v>
      </c>
      <c r="E7236" s="15" t="s">
        <v>41666</v>
      </c>
      <c r="F7236" s="87" t="s">
        <v>21871</v>
      </c>
      <c r="G7236" s="45" t="s">
        <v>5198</v>
      </c>
      <c r="H7236" s="55" t="s">
        <v>5199</v>
      </c>
      <c r="I7236" s="15" t="s">
        <v>816</v>
      </c>
    </row>
    <row r="7237" spans="1:9" ht="31.15" customHeight="1" x14ac:dyDescent="0.35">
      <c r="A7237" s="15">
        <v>1</v>
      </c>
      <c r="B7237" s="15" t="s">
        <v>41667</v>
      </c>
      <c r="C7237" s="15" t="s">
        <v>41668</v>
      </c>
      <c r="D7237" s="31">
        <v>40798</v>
      </c>
      <c r="E7237" s="15" t="s">
        <v>41669</v>
      </c>
      <c r="F7237" s="87" t="s">
        <v>21871</v>
      </c>
      <c r="G7237" s="45" t="s">
        <v>5170</v>
      </c>
      <c r="H7237" s="55" t="s">
        <v>5171</v>
      </c>
      <c r="I7237" s="15" t="s">
        <v>816</v>
      </c>
    </row>
    <row r="7238" spans="1:9" ht="31.15" customHeight="1" x14ac:dyDescent="0.35">
      <c r="A7238" s="15">
        <v>1</v>
      </c>
      <c r="B7238" s="15" t="s">
        <v>41670</v>
      </c>
      <c r="C7238" s="15" t="s">
        <v>41671</v>
      </c>
      <c r="D7238" s="31">
        <v>40994</v>
      </c>
      <c r="E7238" s="15" t="s">
        <v>41672</v>
      </c>
      <c r="F7238" s="87" t="s">
        <v>21871</v>
      </c>
      <c r="G7238" s="45" t="s">
        <v>5110</v>
      </c>
      <c r="H7238" s="55" t="s">
        <v>5111</v>
      </c>
      <c r="I7238" s="15" t="s">
        <v>816</v>
      </c>
    </row>
    <row r="7239" spans="1:9" ht="35.65" customHeight="1" x14ac:dyDescent="0.35">
      <c r="A7239" s="15">
        <v>2</v>
      </c>
      <c r="B7239" s="15" t="s">
        <v>41673</v>
      </c>
      <c r="C7239" s="15" t="s">
        <v>41674</v>
      </c>
      <c r="D7239" s="31">
        <v>40994</v>
      </c>
      <c r="E7239" s="15" t="s">
        <v>41675</v>
      </c>
      <c r="F7239" s="87" t="s">
        <v>21871</v>
      </c>
      <c r="G7239" s="45" t="s">
        <v>5110</v>
      </c>
      <c r="H7239" s="55" t="s">
        <v>5111</v>
      </c>
      <c r="I7239" s="15" t="s">
        <v>816</v>
      </c>
    </row>
    <row r="7240" spans="1:9" ht="35.65" customHeight="1" x14ac:dyDescent="0.35">
      <c r="A7240" s="15">
        <v>1</v>
      </c>
      <c r="B7240" s="15" t="s">
        <v>41676</v>
      </c>
      <c r="C7240" s="15" t="s">
        <v>41677</v>
      </c>
      <c r="D7240" s="31">
        <v>40798</v>
      </c>
      <c r="E7240" s="15" t="s">
        <v>41678</v>
      </c>
      <c r="F7240" s="87" t="s">
        <v>21871</v>
      </c>
      <c r="G7240" s="45" t="s">
        <v>5092</v>
      </c>
      <c r="H7240" s="55" t="s">
        <v>5093</v>
      </c>
      <c r="I7240" s="15" t="s">
        <v>816</v>
      </c>
    </row>
    <row r="7241" spans="1:9" ht="20.25" customHeight="1" x14ac:dyDescent="0.35">
      <c r="A7241" s="15">
        <v>2</v>
      </c>
      <c r="B7241" s="15" t="s">
        <v>41679</v>
      </c>
      <c r="C7241" s="15" t="s">
        <v>41680</v>
      </c>
      <c r="D7241" s="31">
        <v>40798</v>
      </c>
      <c r="E7241" s="15" t="s">
        <v>41681</v>
      </c>
      <c r="F7241" s="87" t="s">
        <v>21871</v>
      </c>
      <c r="G7241" s="45" t="s">
        <v>5092</v>
      </c>
      <c r="H7241" s="55" t="s">
        <v>5093</v>
      </c>
      <c r="I7241" s="15" t="s">
        <v>816</v>
      </c>
    </row>
    <row r="7242" spans="1:9" ht="20.25" customHeight="1" x14ac:dyDescent="0.35">
      <c r="A7242" s="15">
        <v>3</v>
      </c>
      <c r="B7242" s="15" t="s">
        <v>41682</v>
      </c>
      <c r="C7242" s="15" t="s">
        <v>41683</v>
      </c>
      <c r="D7242" s="31">
        <v>40798</v>
      </c>
      <c r="E7242" s="15" t="s">
        <v>41684</v>
      </c>
      <c r="F7242" s="87" t="s">
        <v>21871</v>
      </c>
      <c r="G7242" s="45" t="s">
        <v>5092</v>
      </c>
      <c r="H7242" s="55" t="s">
        <v>5093</v>
      </c>
      <c r="I7242" s="15" t="s">
        <v>816</v>
      </c>
    </row>
    <row r="7243" spans="1:9" ht="51" customHeight="1" x14ac:dyDescent="0.35">
      <c r="A7243" s="15">
        <v>1</v>
      </c>
      <c r="B7243" s="15" t="s">
        <v>41685</v>
      </c>
      <c r="C7243" s="15" t="s">
        <v>41686</v>
      </c>
      <c r="D7243" s="31">
        <v>40661</v>
      </c>
      <c r="E7243" s="15" t="s">
        <v>41687</v>
      </c>
      <c r="F7243" s="87" t="s">
        <v>21871</v>
      </c>
      <c r="G7243" s="45" t="s">
        <v>4828</v>
      </c>
      <c r="H7243" s="55" t="s">
        <v>4829</v>
      </c>
      <c r="I7243" s="15" t="s">
        <v>816</v>
      </c>
    </row>
    <row r="7244" spans="1:9" ht="34.15" customHeight="1" x14ac:dyDescent="0.35">
      <c r="A7244" s="15" t="s">
        <v>22870</v>
      </c>
      <c r="B7244" s="15" t="s">
        <v>41688</v>
      </c>
      <c r="C7244" s="15" t="s">
        <v>41689</v>
      </c>
      <c r="D7244" s="31">
        <v>41110</v>
      </c>
      <c r="E7244" s="15" t="s">
        <v>41690</v>
      </c>
      <c r="F7244" s="87" t="s">
        <v>41553</v>
      </c>
      <c r="G7244" s="45" t="s">
        <v>7791</v>
      </c>
      <c r="H7244" s="55" t="s">
        <v>7792</v>
      </c>
      <c r="I7244" s="15" t="s">
        <v>816</v>
      </c>
    </row>
    <row r="7245" spans="1:9" ht="31.15" customHeight="1" x14ac:dyDescent="0.35">
      <c r="A7245" s="15" t="s">
        <v>22870</v>
      </c>
      <c r="B7245" s="15" t="s">
        <v>41691</v>
      </c>
      <c r="C7245" s="15" t="s">
        <v>41689</v>
      </c>
      <c r="D7245" s="31">
        <v>41110</v>
      </c>
      <c r="E7245" s="15" t="s">
        <v>41692</v>
      </c>
      <c r="F7245" s="87" t="s">
        <v>21871</v>
      </c>
      <c r="G7245" s="45" t="s">
        <v>7791</v>
      </c>
      <c r="H7245" s="55" t="s">
        <v>7792</v>
      </c>
      <c r="I7245" s="15" t="s">
        <v>816</v>
      </c>
    </row>
    <row r="7246" spans="1:9" ht="31.15" customHeight="1" x14ac:dyDescent="0.35">
      <c r="A7246" s="15" t="s">
        <v>22023</v>
      </c>
      <c r="B7246" s="15" t="s">
        <v>41693</v>
      </c>
      <c r="C7246" s="15" t="s">
        <v>41694</v>
      </c>
      <c r="D7246" s="31">
        <v>42075</v>
      </c>
      <c r="E7246" s="15" t="s">
        <v>41695</v>
      </c>
      <c r="F7246" s="87" t="s">
        <v>41553</v>
      </c>
      <c r="G7246" s="45" t="s">
        <v>7791</v>
      </c>
      <c r="H7246" s="55" t="s">
        <v>7792</v>
      </c>
      <c r="I7246" s="15" t="s">
        <v>816</v>
      </c>
    </row>
    <row r="7247" spans="1:9" ht="31.15" customHeight="1" x14ac:dyDescent="0.35">
      <c r="A7247" s="15" t="s">
        <v>22023</v>
      </c>
      <c r="B7247" s="15" t="s">
        <v>41696</v>
      </c>
      <c r="C7247" s="15" t="s">
        <v>41694</v>
      </c>
      <c r="D7247" s="31">
        <v>42075</v>
      </c>
      <c r="E7247" s="15" t="s">
        <v>41697</v>
      </c>
      <c r="F7247" s="87" t="s">
        <v>21871</v>
      </c>
      <c r="G7247" s="45" t="s">
        <v>7791</v>
      </c>
      <c r="H7247" s="55" t="s">
        <v>7792</v>
      </c>
      <c r="I7247" s="15" t="s">
        <v>816</v>
      </c>
    </row>
    <row r="7248" spans="1:9" ht="31.15" customHeight="1" x14ac:dyDescent="0.35">
      <c r="A7248" s="15" t="s">
        <v>22877</v>
      </c>
      <c r="B7248" s="15" t="s">
        <v>41698</v>
      </c>
      <c r="C7248" s="15" t="s">
        <v>41699</v>
      </c>
      <c r="D7248" s="31">
        <v>42075</v>
      </c>
      <c r="E7248" s="15" t="s">
        <v>41700</v>
      </c>
      <c r="F7248" s="87" t="s">
        <v>41553</v>
      </c>
      <c r="G7248" s="45" t="s">
        <v>7791</v>
      </c>
      <c r="H7248" s="55" t="s">
        <v>7792</v>
      </c>
      <c r="I7248" s="15" t="s">
        <v>816</v>
      </c>
    </row>
    <row r="7249" spans="1:9" ht="32.65" customHeight="1" x14ac:dyDescent="0.35">
      <c r="A7249" s="15" t="s">
        <v>22877</v>
      </c>
      <c r="B7249" s="15" t="s">
        <v>41701</v>
      </c>
      <c r="C7249" s="15" t="s">
        <v>41699</v>
      </c>
      <c r="D7249" s="31">
        <v>42075</v>
      </c>
      <c r="E7249" s="15" t="s">
        <v>41702</v>
      </c>
      <c r="F7249" s="87" t="s">
        <v>21871</v>
      </c>
      <c r="G7249" s="45" t="s">
        <v>7791</v>
      </c>
      <c r="H7249" s="55" t="s">
        <v>7792</v>
      </c>
      <c r="I7249" s="15" t="s">
        <v>816</v>
      </c>
    </row>
    <row r="7250" spans="1:9" ht="27.75" customHeight="1" x14ac:dyDescent="0.35">
      <c r="A7250" s="15" t="s">
        <v>23341</v>
      </c>
      <c r="B7250" s="15" t="s">
        <v>41703</v>
      </c>
      <c r="C7250" s="15" t="s">
        <v>41704</v>
      </c>
      <c r="D7250" s="31">
        <v>41149</v>
      </c>
      <c r="E7250" s="15" t="s">
        <v>41705</v>
      </c>
      <c r="F7250" s="87" t="s">
        <v>21871</v>
      </c>
      <c r="G7250" s="45" t="s">
        <v>7733</v>
      </c>
      <c r="H7250" s="55" t="s">
        <v>7734</v>
      </c>
      <c r="I7250" s="15" t="s">
        <v>816</v>
      </c>
    </row>
    <row r="7251" spans="1:9" ht="27.75" customHeight="1" x14ac:dyDescent="0.35">
      <c r="A7251" s="15" t="s">
        <v>23511</v>
      </c>
      <c r="B7251" s="15" t="s">
        <v>41706</v>
      </c>
      <c r="C7251" s="15" t="s">
        <v>41707</v>
      </c>
      <c r="D7251" s="31">
        <v>41771</v>
      </c>
      <c r="E7251" s="15" t="s">
        <v>41708</v>
      </c>
      <c r="F7251" s="87" t="s">
        <v>21871</v>
      </c>
      <c r="G7251" s="45" t="s">
        <v>8070</v>
      </c>
      <c r="H7251" s="55" t="s">
        <v>8071</v>
      </c>
      <c r="I7251" s="15" t="s">
        <v>816</v>
      </c>
    </row>
    <row r="7252" spans="1:9" ht="27.75" customHeight="1" x14ac:dyDescent="0.35">
      <c r="A7252" s="15" t="s">
        <v>23197</v>
      </c>
      <c r="B7252" s="15" t="s">
        <v>41709</v>
      </c>
      <c r="C7252" s="15" t="s">
        <v>41710</v>
      </c>
      <c r="D7252" s="31">
        <v>41085</v>
      </c>
      <c r="E7252" s="15" t="s">
        <v>41711</v>
      </c>
      <c r="F7252" s="87" t="s">
        <v>21871</v>
      </c>
      <c r="G7252" s="45" t="s">
        <v>7654</v>
      </c>
      <c r="H7252" s="55" t="s">
        <v>7655</v>
      </c>
      <c r="I7252" s="15" t="s">
        <v>816</v>
      </c>
    </row>
    <row r="7253" spans="1:9" ht="27.75" customHeight="1" x14ac:dyDescent="0.35">
      <c r="A7253" s="15" t="s">
        <v>26101</v>
      </c>
      <c r="B7253" s="15" t="s">
        <v>41712</v>
      </c>
      <c r="C7253" s="15" t="s">
        <v>41713</v>
      </c>
      <c r="D7253" s="31">
        <v>40575</v>
      </c>
      <c r="E7253" s="15" t="s">
        <v>41714</v>
      </c>
      <c r="F7253" s="87" t="s">
        <v>21871</v>
      </c>
      <c r="G7253" s="45" t="s">
        <v>5626</v>
      </c>
      <c r="H7253" s="55" t="s">
        <v>5627</v>
      </c>
      <c r="I7253" s="15" t="s">
        <v>816</v>
      </c>
    </row>
    <row r="7254" spans="1:9" ht="27.75" customHeight="1" x14ac:dyDescent="0.35">
      <c r="A7254" s="15" t="s">
        <v>22081</v>
      </c>
      <c r="B7254" s="15" t="s">
        <v>41715</v>
      </c>
      <c r="C7254" s="15" t="s">
        <v>41716</v>
      </c>
      <c r="D7254" s="31">
        <v>41898</v>
      </c>
      <c r="E7254" s="15" t="s">
        <v>41717</v>
      </c>
      <c r="F7254" s="87" t="s">
        <v>41553</v>
      </c>
      <c r="G7254" s="45" t="s">
        <v>8642</v>
      </c>
      <c r="H7254" s="55" t="s">
        <v>8643</v>
      </c>
      <c r="I7254" s="15" t="s">
        <v>816</v>
      </c>
    </row>
    <row r="7255" spans="1:9" ht="27.75" customHeight="1" x14ac:dyDescent="0.35">
      <c r="A7255" s="15" t="s">
        <v>22081</v>
      </c>
      <c r="B7255" s="15" t="s">
        <v>41718</v>
      </c>
      <c r="C7255" s="15" t="s">
        <v>41716</v>
      </c>
      <c r="D7255" s="31">
        <v>41898</v>
      </c>
      <c r="E7255" s="15" t="s">
        <v>41719</v>
      </c>
      <c r="F7255" s="87" t="s">
        <v>21871</v>
      </c>
      <c r="G7255" s="45" t="s">
        <v>8642</v>
      </c>
      <c r="H7255" s="55" t="s">
        <v>8643</v>
      </c>
      <c r="I7255" s="15" t="s">
        <v>816</v>
      </c>
    </row>
    <row r="7256" spans="1:9" ht="27.75" customHeight="1" x14ac:dyDescent="0.35">
      <c r="A7256" s="15" t="s">
        <v>23902</v>
      </c>
      <c r="B7256" s="15" t="s">
        <v>41720</v>
      </c>
      <c r="C7256" s="15" t="s">
        <v>41721</v>
      </c>
      <c r="D7256" s="31">
        <v>41411</v>
      </c>
      <c r="E7256" s="15" t="s">
        <v>41722</v>
      </c>
      <c r="F7256" s="87" t="s">
        <v>21871</v>
      </c>
      <c r="G7256" s="45" t="s">
        <v>8734</v>
      </c>
      <c r="H7256" s="55" t="s">
        <v>8735</v>
      </c>
      <c r="I7256" s="15" t="s">
        <v>816</v>
      </c>
    </row>
    <row r="7257" spans="1:9" ht="23.25" customHeight="1" x14ac:dyDescent="0.35">
      <c r="A7257" s="15" t="s">
        <v>23514</v>
      </c>
      <c r="B7257" s="15" t="s">
        <v>41723</v>
      </c>
      <c r="C7257" s="15" t="s">
        <v>41724</v>
      </c>
      <c r="D7257" s="31">
        <v>41709</v>
      </c>
      <c r="E7257" s="15" t="s">
        <v>41725</v>
      </c>
      <c r="F7257" s="87" t="s">
        <v>21871</v>
      </c>
      <c r="G7257" s="45" t="s">
        <v>7967</v>
      </c>
      <c r="H7257" s="55" t="s">
        <v>7968</v>
      </c>
      <c r="I7257" s="15" t="s">
        <v>816</v>
      </c>
    </row>
    <row r="7258" spans="1:9" ht="23.25" customHeight="1" x14ac:dyDescent="0.35">
      <c r="A7258" s="15" t="s">
        <v>24281</v>
      </c>
      <c r="B7258" s="15" t="s">
        <v>41726</v>
      </c>
      <c r="C7258" s="15" t="s">
        <v>41727</v>
      </c>
      <c r="D7258" s="31">
        <v>41501</v>
      </c>
      <c r="E7258" s="15" t="s">
        <v>41728</v>
      </c>
      <c r="F7258" s="87" t="s">
        <v>21871</v>
      </c>
      <c r="G7258" s="45" t="s">
        <v>9083</v>
      </c>
      <c r="H7258" s="55" t="s">
        <v>9084</v>
      </c>
      <c r="I7258" s="15" t="s">
        <v>816</v>
      </c>
    </row>
    <row r="7259" spans="1:9" ht="23.25" customHeight="1" x14ac:dyDescent="0.35">
      <c r="A7259" s="15" t="s">
        <v>24301</v>
      </c>
      <c r="B7259" s="15" t="s">
        <v>41729</v>
      </c>
      <c r="C7259" s="15" t="s">
        <v>41730</v>
      </c>
      <c r="D7259" s="31">
        <v>41730</v>
      </c>
      <c r="E7259" s="15" t="s">
        <v>41731</v>
      </c>
      <c r="F7259" s="87" t="s">
        <v>21871</v>
      </c>
      <c r="G7259" s="45" t="s">
        <v>9083</v>
      </c>
      <c r="H7259" s="55" t="s">
        <v>9084</v>
      </c>
      <c r="I7259" s="15" t="s">
        <v>816</v>
      </c>
    </row>
    <row r="7260" spans="1:9" ht="23.25" customHeight="1" x14ac:dyDescent="0.35">
      <c r="A7260" s="15" t="s">
        <v>22039</v>
      </c>
      <c r="B7260" s="15" t="s">
        <v>41732</v>
      </c>
      <c r="C7260" s="15" t="s">
        <v>41733</v>
      </c>
      <c r="D7260" s="31">
        <v>41730</v>
      </c>
      <c r="E7260" s="15" t="s">
        <v>41734</v>
      </c>
      <c r="F7260" s="87" t="s">
        <v>21871</v>
      </c>
      <c r="G7260" s="45" t="s">
        <v>9083</v>
      </c>
      <c r="H7260" s="55" t="s">
        <v>9084</v>
      </c>
      <c r="I7260" s="15" t="s">
        <v>816</v>
      </c>
    </row>
    <row r="7261" spans="1:9" ht="23.25" customHeight="1" x14ac:dyDescent="0.35">
      <c r="A7261" s="15" t="s">
        <v>22143</v>
      </c>
      <c r="B7261" s="15" t="s">
        <v>41735</v>
      </c>
      <c r="C7261" s="15" t="s">
        <v>41736</v>
      </c>
      <c r="D7261" s="31">
        <v>41582</v>
      </c>
      <c r="E7261" s="15" t="s">
        <v>41737</v>
      </c>
      <c r="F7261" s="87" t="s">
        <v>41553</v>
      </c>
      <c r="G7261" s="45" t="s">
        <v>9282</v>
      </c>
      <c r="H7261" s="55" t="s">
        <v>9283</v>
      </c>
      <c r="I7261" s="15" t="s">
        <v>816</v>
      </c>
    </row>
    <row r="7262" spans="1:9" ht="23.25" customHeight="1" x14ac:dyDescent="0.35">
      <c r="A7262" s="15" t="s">
        <v>22143</v>
      </c>
      <c r="B7262" s="15" t="s">
        <v>41738</v>
      </c>
      <c r="C7262" s="15" t="s">
        <v>41736</v>
      </c>
      <c r="D7262" s="31">
        <v>41582</v>
      </c>
      <c r="E7262" s="15" t="s">
        <v>41739</v>
      </c>
      <c r="F7262" s="87" t="s">
        <v>21871</v>
      </c>
      <c r="G7262" s="45" t="s">
        <v>9282</v>
      </c>
      <c r="H7262" s="55" t="s">
        <v>9283</v>
      </c>
      <c r="I7262" s="15" t="s">
        <v>816</v>
      </c>
    </row>
    <row r="7263" spans="1:9" ht="23.25" customHeight="1" x14ac:dyDescent="0.35">
      <c r="A7263" s="15" t="s">
        <v>22003</v>
      </c>
      <c r="B7263" s="15" t="s">
        <v>41740</v>
      </c>
      <c r="C7263" s="15" t="s">
        <v>41741</v>
      </c>
      <c r="D7263" s="31">
        <v>41261</v>
      </c>
      <c r="E7263" s="15" t="s">
        <v>41742</v>
      </c>
      <c r="F7263" s="87" t="s">
        <v>21871</v>
      </c>
      <c r="G7263" s="45" t="s">
        <v>7771</v>
      </c>
      <c r="H7263" s="55" t="s">
        <v>7772</v>
      </c>
      <c r="I7263" s="15" t="s">
        <v>816</v>
      </c>
    </row>
    <row r="7264" spans="1:9" ht="23.25" customHeight="1" x14ac:dyDescent="0.35">
      <c r="A7264" s="15" t="s">
        <v>22734</v>
      </c>
      <c r="B7264" s="15" t="s">
        <v>41743</v>
      </c>
      <c r="C7264" s="15" t="s">
        <v>41741</v>
      </c>
      <c r="D7264" s="31">
        <v>41261</v>
      </c>
      <c r="E7264" s="15" t="s">
        <v>41744</v>
      </c>
      <c r="F7264" s="87" t="s">
        <v>21871</v>
      </c>
      <c r="G7264" s="45" t="s">
        <v>7771</v>
      </c>
      <c r="H7264" s="55" t="s">
        <v>7772</v>
      </c>
      <c r="I7264" s="15" t="s">
        <v>816</v>
      </c>
    </row>
    <row r="7265" spans="1:9" ht="23.25" customHeight="1" x14ac:dyDescent="0.35">
      <c r="A7265" s="15" t="s">
        <v>33968</v>
      </c>
      <c r="B7265" s="15" t="s">
        <v>41745</v>
      </c>
      <c r="C7265" s="15" t="s">
        <v>41746</v>
      </c>
      <c r="D7265" s="31">
        <v>41393</v>
      </c>
      <c r="E7265" s="15" t="s">
        <v>41747</v>
      </c>
      <c r="F7265" s="87" t="s">
        <v>21871</v>
      </c>
      <c r="G7265" s="45" t="s">
        <v>7847</v>
      </c>
      <c r="H7265" s="55" t="s">
        <v>7848</v>
      </c>
      <c r="I7265" s="15" t="s">
        <v>816</v>
      </c>
    </row>
    <row r="7266" spans="1:9" ht="23.25" customHeight="1" x14ac:dyDescent="0.35">
      <c r="A7266" s="15" t="s">
        <v>23264</v>
      </c>
      <c r="B7266" s="15" t="s">
        <v>41748</v>
      </c>
      <c r="C7266" s="15" t="s">
        <v>41749</v>
      </c>
      <c r="D7266" s="31">
        <v>41624</v>
      </c>
      <c r="E7266" s="15" t="s">
        <v>41750</v>
      </c>
      <c r="F7266" s="87" t="s">
        <v>21871</v>
      </c>
      <c r="G7266" s="45" t="s">
        <v>9336</v>
      </c>
      <c r="H7266" s="55" t="s">
        <v>9337</v>
      </c>
      <c r="I7266" s="15" t="s">
        <v>816</v>
      </c>
    </row>
    <row r="7267" spans="1:9" ht="27" customHeight="1" x14ac:dyDescent="0.35">
      <c r="A7267" s="15" t="s">
        <v>22047</v>
      </c>
      <c r="B7267" s="15" t="s">
        <v>41751</v>
      </c>
      <c r="C7267" s="15" t="s">
        <v>41752</v>
      </c>
      <c r="D7267" s="31">
        <v>42066</v>
      </c>
      <c r="E7267" s="15" t="s">
        <v>41753</v>
      </c>
      <c r="F7267" s="87" t="s">
        <v>21871</v>
      </c>
      <c r="G7267" s="45" t="s">
        <v>9164</v>
      </c>
      <c r="H7267" s="55" t="s">
        <v>9165</v>
      </c>
      <c r="I7267" s="15" t="s">
        <v>816</v>
      </c>
    </row>
    <row r="7268" spans="1:9" ht="27" customHeight="1" x14ac:dyDescent="0.35">
      <c r="A7268" s="15" t="s">
        <v>24686</v>
      </c>
      <c r="B7268" s="15" t="s">
        <v>41754</v>
      </c>
      <c r="C7268" s="15" t="s">
        <v>41755</v>
      </c>
      <c r="D7268" s="31">
        <v>42066</v>
      </c>
      <c r="E7268" s="15" t="s">
        <v>41756</v>
      </c>
      <c r="F7268" s="87" t="s">
        <v>21871</v>
      </c>
      <c r="G7268" s="45" t="s">
        <v>9164</v>
      </c>
      <c r="H7268" s="55" t="s">
        <v>9165</v>
      </c>
      <c r="I7268" s="15" t="s">
        <v>816</v>
      </c>
    </row>
    <row r="7269" spans="1:9" ht="27" customHeight="1" x14ac:dyDescent="0.35">
      <c r="A7269" s="15" t="s">
        <v>24692</v>
      </c>
      <c r="B7269" s="15" t="s">
        <v>41757</v>
      </c>
      <c r="C7269" s="15" t="s">
        <v>41758</v>
      </c>
      <c r="D7269" s="31">
        <v>42066</v>
      </c>
      <c r="E7269" s="15" t="s">
        <v>41759</v>
      </c>
      <c r="F7269" s="87" t="s">
        <v>21871</v>
      </c>
      <c r="G7269" s="45" t="s">
        <v>9164</v>
      </c>
      <c r="H7269" s="55" t="s">
        <v>9165</v>
      </c>
      <c r="I7269" s="15" t="s">
        <v>816</v>
      </c>
    </row>
    <row r="7270" spans="1:9" ht="27" customHeight="1" x14ac:dyDescent="0.35">
      <c r="A7270" s="15" t="s">
        <v>23448</v>
      </c>
      <c r="B7270" s="15" t="s">
        <v>41760</v>
      </c>
      <c r="C7270" s="15" t="s">
        <v>41761</v>
      </c>
      <c r="D7270" s="31">
        <v>42066</v>
      </c>
      <c r="E7270" s="15" t="s">
        <v>41762</v>
      </c>
      <c r="F7270" s="87" t="s">
        <v>21871</v>
      </c>
      <c r="G7270" s="45" t="s">
        <v>9164</v>
      </c>
      <c r="H7270" s="55" t="s">
        <v>9165</v>
      </c>
      <c r="I7270" s="15" t="s">
        <v>816</v>
      </c>
    </row>
    <row r="7271" spans="1:9" ht="27" customHeight="1" x14ac:dyDescent="0.35">
      <c r="A7271" s="15" t="s">
        <v>24714</v>
      </c>
      <c r="B7271" s="15" t="s">
        <v>41763</v>
      </c>
      <c r="C7271" s="15" t="s">
        <v>41764</v>
      </c>
      <c r="D7271" s="31">
        <v>42066</v>
      </c>
      <c r="E7271" s="15" t="s">
        <v>41765</v>
      </c>
      <c r="F7271" s="87" t="s">
        <v>21871</v>
      </c>
      <c r="G7271" s="45" t="s">
        <v>9164</v>
      </c>
      <c r="H7271" s="55" t="s">
        <v>9165</v>
      </c>
      <c r="I7271" s="15" t="s">
        <v>816</v>
      </c>
    </row>
    <row r="7272" spans="1:9" ht="33.75" customHeight="1" x14ac:dyDescent="0.35">
      <c r="A7272" s="15" t="s">
        <v>23200</v>
      </c>
      <c r="B7272" s="15" t="s">
        <v>41766</v>
      </c>
      <c r="C7272" s="15" t="s">
        <v>41767</v>
      </c>
      <c r="D7272" s="31">
        <v>42031</v>
      </c>
      <c r="E7272" s="15" t="s">
        <v>41768</v>
      </c>
      <c r="F7272" s="87" t="s">
        <v>21871</v>
      </c>
      <c r="G7272" s="45" t="s">
        <v>8848</v>
      </c>
      <c r="H7272" s="55" t="s">
        <v>8849</v>
      </c>
      <c r="I7272" s="15" t="s">
        <v>816</v>
      </c>
    </row>
    <row r="7273" spans="1:9" ht="33.75" customHeight="1" x14ac:dyDescent="0.35">
      <c r="A7273" s="15" t="s">
        <v>24323</v>
      </c>
      <c r="B7273" s="15" t="s">
        <v>41769</v>
      </c>
      <c r="C7273" s="15" t="s">
        <v>41770</v>
      </c>
      <c r="D7273" s="31">
        <v>41703</v>
      </c>
      <c r="E7273" s="15" t="s">
        <v>41771</v>
      </c>
      <c r="F7273" s="87" t="s">
        <v>21871</v>
      </c>
      <c r="G7273" s="45" t="s">
        <v>9665</v>
      </c>
      <c r="H7273" s="78" t="s">
        <v>9666</v>
      </c>
      <c r="I7273" s="13" t="s">
        <v>816</v>
      </c>
    </row>
    <row r="7274" spans="1:9" ht="32.25" customHeight="1" x14ac:dyDescent="0.35">
      <c r="A7274" s="15" t="s">
        <v>24329</v>
      </c>
      <c r="B7274" s="15" t="s">
        <v>41772</v>
      </c>
      <c r="C7274" s="15" t="s">
        <v>41773</v>
      </c>
      <c r="D7274" s="31">
        <v>41703</v>
      </c>
      <c r="E7274" s="15" t="s">
        <v>41774</v>
      </c>
      <c r="F7274" s="87" t="s">
        <v>21871</v>
      </c>
      <c r="G7274" s="45" t="s">
        <v>9665</v>
      </c>
      <c r="H7274" s="78" t="s">
        <v>9666</v>
      </c>
      <c r="I7274" s="13" t="s">
        <v>816</v>
      </c>
    </row>
    <row r="7275" spans="1:9" ht="32.25" customHeight="1" x14ac:dyDescent="0.35">
      <c r="A7275" s="15" t="s">
        <v>22956</v>
      </c>
      <c r="B7275" s="15" t="s">
        <v>41775</v>
      </c>
      <c r="C7275" s="15" t="s">
        <v>41776</v>
      </c>
      <c r="D7275" s="31">
        <v>41817</v>
      </c>
      <c r="E7275" s="15" t="s">
        <v>41777</v>
      </c>
      <c r="F7275" s="87" t="s">
        <v>21871</v>
      </c>
      <c r="G7275" s="45" t="s">
        <v>9986</v>
      </c>
      <c r="H7275" s="78" t="s">
        <v>9987</v>
      </c>
      <c r="I7275" s="13" t="s">
        <v>816</v>
      </c>
    </row>
    <row r="7276" spans="1:9" ht="38.25" customHeight="1" x14ac:dyDescent="0.35">
      <c r="A7276" s="15" t="s">
        <v>22956</v>
      </c>
      <c r="B7276" s="15" t="s">
        <v>41778</v>
      </c>
      <c r="C7276" s="15" t="s">
        <v>41776</v>
      </c>
      <c r="D7276" s="31">
        <v>41817</v>
      </c>
      <c r="E7276" s="15" t="s">
        <v>41779</v>
      </c>
      <c r="F7276" s="87" t="s">
        <v>41553</v>
      </c>
      <c r="G7276" s="45" t="s">
        <v>9986</v>
      </c>
      <c r="H7276" s="78" t="s">
        <v>9987</v>
      </c>
      <c r="I7276" s="13" t="s">
        <v>816</v>
      </c>
    </row>
    <row r="7277" spans="1:9" ht="38.25" customHeight="1" x14ac:dyDescent="0.35">
      <c r="A7277" s="15" t="s">
        <v>26095</v>
      </c>
      <c r="B7277" s="15" t="s">
        <v>41780</v>
      </c>
      <c r="C7277" s="15" t="s">
        <v>41781</v>
      </c>
      <c r="D7277" s="31">
        <v>41968</v>
      </c>
      <c r="E7277" s="15" t="s">
        <v>41782</v>
      </c>
      <c r="F7277" s="87" t="s">
        <v>21871</v>
      </c>
      <c r="G7277" s="45" t="s">
        <v>9088</v>
      </c>
      <c r="H7277" s="78" t="s">
        <v>9089</v>
      </c>
      <c r="I7277" s="13" t="s">
        <v>816</v>
      </c>
    </row>
    <row r="7278" spans="1:9" ht="38.25" customHeight="1" x14ac:dyDescent="0.35">
      <c r="A7278" s="15" t="s">
        <v>26095</v>
      </c>
      <c r="B7278" s="15" t="s">
        <v>41783</v>
      </c>
      <c r="C7278" s="15" t="s">
        <v>41781</v>
      </c>
      <c r="D7278" s="31">
        <v>41968</v>
      </c>
      <c r="E7278" s="15" t="s">
        <v>41784</v>
      </c>
      <c r="F7278" s="87" t="s">
        <v>41553</v>
      </c>
      <c r="G7278" s="45" t="s">
        <v>9088</v>
      </c>
      <c r="H7278" s="78" t="s">
        <v>9089</v>
      </c>
      <c r="I7278" s="13" t="s">
        <v>816</v>
      </c>
    </row>
    <row r="7279" spans="1:9" ht="44.65" customHeight="1" x14ac:dyDescent="0.35">
      <c r="A7279" s="15" t="s">
        <v>26101</v>
      </c>
      <c r="B7279" s="15" t="s">
        <v>41785</v>
      </c>
      <c r="C7279" s="15" t="s">
        <v>41786</v>
      </c>
      <c r="D7279" s="31">
        <v>41968</v>
      </c>
      <c r="E7279" s="15" t="s">
        <v>41787</v>
      </c>
      <c r="F7279" s="87" t="s">
        <v>21871</v>
      </c>
      <c r="G7279" s="45" t="s">
        <v>9483</v>
      </c>
      <c r="H7279" s="78" t="s">
        <v>9484</v>
      </c>
      <c r="I7279" s="13" t="s">
        <v>816</v>
      </c>
    </row>
    <row r="7280" spans="1:9" ht="41.65" customHeight="1" x14ac:dyDescent="0.35">
      <c r="A7280" s="15" t="s">
        <v>26107</v>
      </c>
      <c r="B7280" s="15" t="s">
        <v>41788</v>
      </c>
      <c r="C7280" s="15" t="s">
        <v>41789</v>
      </c>
      <c r="D7280" s="31">
        <v>41968</v>
      </c>
      <c r="E7280" s="15" t="s">
        <v>41790</v>
      </c>
      <c r="F7280" s="87" t="s">
        <v>21871</v>
      </c>
      <c r="G7280" s="45" t="s">
        <v>9483</v>
      </c>
      <c r="H7280" s="55" t="s">
        <v>9484</v>
      </c>
      <c r="I7280" s="15" t="s">
        <v>816</v>
      </c>
    </row>
    <row r="7281" spans="1:9" ht="41.65" customHeight="1" x14ac:dyDescent="0.35">
      <c r="A7281" s="15" t="s">
        <v>22964</v>
      </c>
      <c r="B7281" s="15" t="s">
        <v>41791</v>
      </c>
      <c r="C7281" s="15" t="s">
        <v>41792</v>
      </c>
      <c r="D7281" s="31">
        <v>41771</v>
      </c>
      <c r="E7281" s="15" t="s">
        <v>41793</v>
      </c>
      <c r="F7281" s="87" t="s">
        <v>21871</v>
      </c>
      <c r="G7281" s="45" t="s">
        <v>9865</v>
      </c>
      <c r="H7281" s="55" t="s">
        <v>9866</v>
      </c>
      <c r="I7281" s="15" t="s">
        <v>816</v>
      </c>
    </row>
    <row r="7282" spans="1:9" ht="41.65" customHeight="1" x14ac:dyDescent="0.35">
      <c r="A7282" s="15" t="s">
        <v>22964</v>
      </c>
      <c r="B7282" s="15" t="s">
        <v>41794</v>
      </c>
      <c r="C7282" s="15" t="s">
        <v>41792</v>
      </c>
      <c r="D7282" s="31">
        <v>41771</v>
      </c>
      <c r="E7282" s="15" t="s">
        <v>41795</v>
      </c>
      <c r="F7282" s="87" t="s">
        <v>41553</v>
      </c>
      <c r="G7282" s="45" t="s">
        <v>9865</v>
      </c>
      <c r="H7282" s="55" t="s">
        <v>9866</v>
      </c>
      <c r="I7282" s="15" t="s">
        <v>816</v>
      </c>
    </row>
    <row r="7283" spans="1:9" ht="41.65" customHeight="1" x14ac:dyDescent="0.35">
      <c r="A7283" s="15" t="s">
        <v>26600</v>
      </c>
      <c r="B7283" s="15" t="s">
        <v>41796</v>
      </c>
      <c r="C7283" s="15" t="s">
        <v>41797</v>
      </c>
      <c r="D7283" s="31">
        <v>42663</v>
      </c>
      <c r="E7283" s="15" t="s">
        <v>41798</v>
      </c>
      <c r="F7283" s="87" t="s">
        <v>41553</v>
      </c>
      <c r="G7283" s="45" t="s">
        <v>10122</v>
      </c>
      <c r="H7283" s="55" t="s">
        <v>10123</v>
      </c>
      <c r="I7283" s="15" t="s">
        <v>816</v>
      </c>
    </row>
    <row r="7284" spans="1:9" ht="41.65" customHeight="1" x14ac:dyDescent="0.35">
      <c r="A7284" s="15" t="s">
        <v>26600</v>
      </c>
      <c r="B7284" s="15" t="s">
        <v>41799</v>
      </c>
      <c r="C7284" s="15" t="s">
        <v>41797</v>
      </c>
      <c r="D7284" s="31">
        <v>42663</v>
      </c>
      <c r="E7284" s="15" t="s">
        <v>41800</v>
      </c>
      <c r="F7284" s="87" t="s">
        <v>21871</v>
      </c>
      <c r="G7284" s="45" t="s">
        <v>10122</v>
      </c>
      <c r="H7284" s="55" t="s">
        <v>10123</v>
      </c>
      <c r="I7284" s="15" t="s">
        <v>816</v>
      </c>
    </row>
    <row r="7285" spans="1:9" ht="41.65" customHeight="1" x14ac:dyDescent="0.35">
      <c r="A7285" s="15" t="s">
        <v>26603</v>
      </c>
      <c r="B7285" s="15" t="s">
        <v>41801</v>
      </c>
      <c r="C7285" s="15" t="s">
        <v>41802</v>
      </c>
      <c r="D7285" s="31">
        <v>42663</v>
      </c>
      <c r="E7285" s="15" t="s">
        <v>41803</v>
      </c>
      <c r="F7285" s="87" t="s">
        <v>41553</v>
      </c>
      <c r="G7285" s="45" t="s">
        <v>10122</v>
      </c>
      <c r="H7285" s="55" t="s">
        <v>10123</v>
      </c>
      <c r="I7285" s="15" t="s">
        <v>816</v>
      </c>
    </row>
    <row r="7286" spans="1:9" ht="41.65" customHeight="1" x14ac:dyDescent="0.35">
      <c r="A7286" s="15" t="s">
        <v>26603</v>
      </c>
      <c r="B7286" s="15" t="s">
        <v>41804</v>
      </c>
      <c r="C7286" s="15" t="s">
        <v>41802</v>
      </c>
      <c r="D7286" s="31">
        <v>42663</v>
      </c>
      <c r="E7286" s="15" t="s">
        <v>41805</v>
      </c>
      <c r="F7286" s="87" t="s">
        <v>21871</v>
      </c>
      <c r="G7286" s="45" t="s">
        <v>10122</v>
      </c>
      <c r="H7286" s="55" t="s">
        <v>10123</v>
      </c>
      <c r="I7286" s="15" t="s">
        <v>816</v>
      </c>
    </row>
    <row r="7287" spans="1:9" ht="35.25" customHeight="1" x14ac:dyDescent="0.35">
      <c r="A7287" s="15" t="s">
        <v>26606</v>
      </c>
      <c r="B7287" s="15" t="s">
        <v>41806</v>
      </c>
      <c r="C7287" s="15" t="s">
        <v>41807</v>
      </c>
      <c r="D7287" s="31">
        <v>42663</v>
      </c>
      <c r="E7287" s="15" t="s">
        <v>41808</v>
      </c>
      <c r="F7287" s="87" t="s">
        <v>41553</v>
      </c>
      <c r="G7287" s="45" t="s">
        <v>10122</v>
      </c>
      <c r="H7287" s="55" t="s">
        <v>10123</v>
      </c>
      <c r="I7287" s="15" t="s">
        <v>816</v>
      </c>
    </row>
    <row r="7288" spans="1:9" ht="42.75" customHeight="1" x14ac:dyDescent="0.35">
      <c r="A7288" s="15" t="s">
        <v>26606</v>
      </c>
      <c r="B7288" s="15" t="s">
        <v>41809</v>
      </c>
      <c r="C7288" s="15" t="s">
        <v>41807</v>
      </c>
      <c r="D7288" s="31">
        <v>42663</v>
      </c>
      <c r="E7288" s="15" t="s">
        <v>41810</v>
      </c>
      <c r="F7288" s="87" t="s">
        <v>21871</v>
      </c>
      <c r="G7288" s="45" t="s">
        <v>10122</v>
      </c>
      <c r="H7288" s="55" t="s">
        <v>10123</v>
      </c>
      <c r="I7288" s="15" t="s">
        <v>816</v>
      </c>
    </row>
    <row r="7289" spans="1:9" ht="42.75" customHeight="1" x14ac:dyDescent="0.35">
      <c r="A7289" s="15" t="s">
        <v>23337</v>
      </c>
      <c r="B7289" s="15" t="s">
        <v>41811</v>
      </c>
      <c r="C7289" s="15" t="s">
        <v>41812</v>
      </c>
      <c r="D7289" s="31">
        <v>42283</v>
      </c>
      <c r="E7289" s="15" t="s">
        <v>41813</v>
      </c>
      <c r="F7289" s="87" t="s">
        <v>21871</v>
      </c>
      <c r="G7289" s="45" t="s">
        <v>9638</v>
      </c>
      <c r="H7289" s="55" t="s">
        <v>9639</v>
      </c>
      <c r="I7289" s="15" t="s">
        <v>816</v>
      </c>
    </row>
    <row r="7290" spans="1:9" ht="39.75" customHeight="1" x14ac:dyDescent="0.35">
      <c r="A7290" s="15" t="s">
        <v>23337</v>
      </c>
      <c r="B7290" s="15" t="s">
        <v>41814</v>
      </c>
      <c r="C7290" s="15" t="s">
        <v>41812</v>
      </c>
      <c r="D7290" s="31">
        <v>42283</v>
      </c>
      <c r="E7290" s="15" t="s">
        <v>41815</v>
      </c>
      <c r="F7290" s="87" t="s">
        <v>41553</v>
      </c>
      <c r="G7290" s="45" t="s">
        <v>9638</v>
      </c>
      <c r="H7290" s="55" t="s">
        <v>9639</v>
      </c>
      <c r="I7290" s="15" t="s">
        <v>816</v>
      </c>
    </row>
    <row r="7291" spans="1:9" ht="39.75" customHeight="1" x14ac:dyDescent="0.35">
      <c r="A7291" s="15" t="s">
        <v>22618</v>
      </c>
      <c r="B7291" s="15" t="s">
        <v>41816</v>
      </c>
      <c r="C7291" s="15" t="s">
        <v>41817</v>
      </c>
      <c r="D7291" s="31">
        <v>42430</v>
      </c>
      <c r="E7291" s="15" t="s">
        <v>41818</v>
      </c>
      <c r="F7291" s="87" t="s">
        <v>21871</v>
      </c>
      <c r="G7291" s="45" t="s">
        <v>10676</v>
      </c>
      <c r="H7291" s="55" t="s">
        <v>10677</v>
      </c>
      <c r="I7291" s="15" t="s">
        <v>816</v>
      </c>
    </row>
    <row r="7292" spans="1:9" ht="34.15" customHeight="1" x14ac:dyDescent="0.35">
      <c r="A7292" s="15" t="s">
        <v>26890</v>
      </c>
      <c r="B7292" s="15" t="s">
        <v>41819</v>
      </c>
      <c r="C7292" s="15" t="s">
        <v>41820</v>
      </c>
      <c r="D7292" s="31">
        <v>42283</v>
      </c>
      <c r="E7292" s="15" t="s">
        <v>41821</v>
      </c>
      <c r="F7292" s="87" t="s">
        <v>21871</v>
      </c>
      <c r="G7292" s="45" t="s">
        <v>10747</v>
      </c>
      <c r="H7292" s="55" t="s">
        <v>10748</v>
      </c>
      <c r="I7292" s="15" t="s">
        <v>816</v>
      </c>
    </row>
    <row r="7293" spans="1:9" ht="44.65" customHeight="1" x14ac:dyDescent="0.35">
      <c r="A7293" s="15" t="s">
        <v>28485</v>
      </c>
      <c r="B7293" s="15" t="s">
        <v>41822</v>
      </c>
      <c r="C7293" s="15" t="s">
        <v>41823</v>
      </c>
      <c r="D7293" s="31">
        <v>42409</v>
      </c>
      <c r="E7293" s="15" t="s">
        <v>41824</v>
      </c>
      <c r="F7293" s="87" t="s">
        <v>21871</v>
      </c>
      <c r="G7293" s="45" t="s">
        <v>11055</v>
      </c>
      <c r="H7293" s="55" t="s">
        <v>11056</v>
      </c>
      <c r="I7293" s="15" t="s">
        <v>816</v>
      </c>
    </row>
    <row r="7294" spans="1:9" ht="44.65" customHeight="1" x14ac:dyDescent="0.35">
      <c r="A7294" s="15" t="s">
        <v>26594</v>
      </c>
      <c r="B7294" s="15" t="s">
        <v>41825</v>
      </c>
      <c r="C7294" s="15" t="s">
        <v>41826</v>
      </c>
      <c r="D7294" s="31">
        <v>42780</v>
      </c>
      <c r="E7294" s="15" t="s">
        <v>41827</v>
      </c>
      <c r="F7294" s="87" t="s">
        <v>41553</v>
      </c>
      <c r="G7294" s="45" t="s">
        <v>11306</v>
      </c>
      <c r="H7294" s="55" t="s">
        <v>11307</v>
      </c>
      <c r="I7294" s="15" t="s">
        <v>816</v>
      </c>
    </row>
    <row r="7295" spans="1:9" ht="44.65" customHeight="1" x14ac:dyDescent="0.35">
      <c r="A7295" s="15" t="s">
        <v>26594</v>
      </c>
      <c r="B7295" s="15" t="s">
        <v>41828</v>
      </c>
      <c r="C7295" s="15" t="s">
        <v>41826</v>
      </c>
      <c r="D7295" s="31">
        <v>42780</v>
      </c>
      <c r="E7295" s="15" t="s">
        <v>41829</v>
      </c>
      <c r="F7295" s="87" t="s">
        <v>21871</v>
      </c>
      <c r="G7295" s="45" t="s">
        <v>11306</v>
      </c>
      <c r="H7295" s="55" t="s">
        <v>11307</v>
      </c>
      <c r="I7295" s="15" t="s">
        <v>816</v>
      </c>
    </row>
    <row r="7296" spans="1:9" ht="44.65" customHeight="1" x14ac:dyDescent="0.35">
      <c r="A7296" s="15" t="s">
        <v>26597</v>
      </c>
      <c r="B7296" s="15" t="s">
        <v>41830</v>
      </c>
      <c r="C7296" s="15" t="s">
        <v>41831</v>
      </c>
      <c r="D7296" s="31">
        <v>42780</v>
      </c>
      <c r="E7296" s="15" t="s">
        <v>41832</v>
      </c>
      <c r="F7296" s="87" t="s">
        <v>41553</v>
      </c>
      <c r="G7296" s="45" t="s">
        <v>11306</v>
      </c>
      <c r="H7296" s="55" t="s">
        <v>11307</v>
      </c>
      <c r="I7296" s="15" t="s">
        <v>816</v>
      </c>
    </row>
    <row r="7297" spans="1:9" ht="46.5" customHeight="1" x14ac:dyDescent="0.35">
      <c r="A7297" s="15" t="s">
        <v>26597</v>
      </c>
      <c r="B7297" s="15" t="s">
        <v>41833</v>
      </c>
      <c r="C7297" s="15" t="s">
        <v>41831</v>
      </c>
      <c r="D7297" s="31">
        <v>42780</v>
      </c>
      <c r="E7297" s="15" t="s">
        <v>41834</v>
      </c>
      <c r="F7297" s="87" t="s">
        <v>21871</v>
      </c>
      <c r="G7297" s="45" t="s">
        <v>11306</v>
      </c>
      <c r="H7297" s="55" t="s">
        <v>11307</v>
      </c>
      <c r="I7297" s="15" t="s">
        <v>816</v>
      </c>
    </row>
    <row r="7298" spans="1:9" ht="45.75" customHeight="1" x14ac:dyDescent="0.35">
      <c r="A7298" s="15" t="s">
        <v>21912</v>
      </c>
      <c r="B7298" s="15" t="s">
        <v>41835</v>
      </c>
      <c r="C7298" s="15" t="s">
        <v>41836</v>
      </c>
      <c r="D7298" s="31">
        <v>42208</v>
      </c>
      <c r="E7298" s="15" t="s">
        <v>41837</v>
      </c>
      <c r="F7298" s="87" t="s">
        <v>21871</v>
      </c>
      <c r="G7298" s="45" t="s">
        <v>11427</v>
      </c>
      <c r="H7298" s="55" t="s">
        <v>11428</v>
      </c>
      <c r="I7298" s="15" t="s">
        <v>816</v>
      </c>
    </row>
    <row r="7299" spans="1:9" ht="45.75" customHeight="1" x14ac:dyDescent="0.35">
      <c r="A7299" s="15" t="s">
        <v>24635</v>
      </c>
      <c r="B7299" s="15" t="s">
        <v>41838</v>
      </c>
      <c r="C7299" s="15" t="s">
        <v>41839</v>
      </c>
      <c r="D7299" s="31">
        <v>42887</v>
      </c>
      <c r="E7299" s="15" t="s">
        <v>41840</v>
      </c>
      <c r="F7299" s="87" t="s">
        <v>41553</v>
      </c>
      <c r="G7299" s="45" t="s">
        <v>11524</v>
      </c>
      <c r="H7299" s="55" t="s">
        <v>11525</v>
      </c>
      <c r="I7299" s="15" t="s">
        <v>816</v>
      </c>
    </row>
    <row r="7300" spans="1:9" ht="45.75" customHeight="1" x14ac:dyDescent="0.35">
      <c r="A7300" s="15" t="s">
        <v>24635</v>
      </c>
      <c r="B7300" s="15" t="s">
        <v>41841</v>
      </c>
      <c r="C7300" s="15" t="s">
        <v>41839</v>
      </c>
      <c r="D7300" s="31">
        <v>42887</v>
      </c>
      <c r="E7300" s="15" t="s">
        <v>41842</v>
      </c>
      <c r="F7300" s="87" t="s">
        <v>21871</v>
      </c>
      <c r="G7300" s="45" t="s">
        <v>11524</v>
      </c>
      <c r="H7300" s="55" t="s">
        <v>11525</v>
      </c>
      <c r="I7300" s="15" t="s">
        <v>816</v>
      </c>
    </row>
    <row r="7301" spans="1:9" ht="45.75" customHeight="1" x14ac:dyDescent="0.35">
      <c r="A7301" s="15" t="s">
        <v>24335</v>
      </c>
      <c r="B7301" s="15" t="s">
        <v>41843</v>
      </c>
      <c r="C7301" s="15" t="s">
        <v>41844</v>
      </c>
      <c r="D7301" s="31">
        <v>42430</v>
      </c>
      <c r="E7301" s="15" t="s">
        <v>41845</v>
      </c>
      <c r="F7301" s="87" t="s">
        <v>21871</v>
      </c>
      <c r="G7301" s="45" t="s">
        <v>11044</v>
      </c>
      <c r="H7301" s="55" t="s">
        <v>11045</v>
      </c>
      <c r="I7301" s="15" t="s">
        <v>816</v>
      </c>
    </row>
    <row r="7302" spans="1:9" ht="48" customHeight="1" x14ac:dyDescent="0.35">
      <c r="A7302" s="15" t="s">
        <v>24391</v>
      </c>
      <c r="B7302" s="15" t="s">
        <v>41846</v>
      </c>
      <c r="C7302" s="15" t="s">
        <v>41847</v>
      </c>
      <c r="D7302" s="31">
        <v>42780</v>
      </c>
      <c r="E7302" s="15" t="s">
        <v>41848</v>
      </c>
      <c r="F7302" s="87" t="s">
        <v>21871</v>
      </c>
      <c r="G7302" s="45" t="s">
        <v>11780</v>
      </c>
      <c r="H7302" s="55" t="s">
        <v>11781</v>
      </c>
      <c r="I7302" s="13" t="s">
        <v>816</v>
      </c>
    </row>
    <row r="7303" spans="1:9" ht="48" customHeight="1" x14ac:dyDescent="0.35">
      <c r="A7303" s="15" t="s">
        <v>22011</v>
      </c>
      <c r="B7303" s="15" t="s">
        <v>41849</v>
      </c>
      <c r="C7303" s="15" t="s">
        <v>41850</v>
      </c>
      <c r="D7303" s="31">
        <v>42783</v>
      </c>
      <c r="E7303" s="15" t="s">
        <v>41851</v>
      </c>
      <c r="F7303" s="87" t="s">
        <v>21871</v>
      </c>
      <c r="G7303" s="45" t="s">
        <v>11852</v>
      </c>
      <c r="H7303" s="55" t="s">
        <v>11853</v>
      </c>
      <c r="I7303" s="13" t="s">
        <v>816</v>
      </c>
    </row>
    <row r="7304" spans="1:9" ht="48" customHeight="1" x14ac:dyDescent="0.35">
      <c r="A7304" s="15" t="s">
        <v>22723</v>
      </c>
      <c r="B7304" s="15" t="s">
        <v>41852</v>
      </c>
      <c r="C7304" s="15" t="s">
        <v>41853</v>
      </c>
      <c r="D7304" s="31">
        <v>42783</v>
      </c>
      <c r="E7304" s="15" t="s">
        <v>41854</v>
      </c>
      <c r="F7304" s="87" t="s">
        <v>21871</v>
      </c>
      <c r="G7304" s="45" t="s">
        <v>11889</v>
      </c>
      <c r="H7304" s="55" t="s">
        <v>11890</v>
      </c>
      <c r="I7304" s="13" t="s">
        <v>816</v>
      </c>
    </row>
    <row r="7305" spans="1:9" ht="44.65" customHeight="1" x14ac:dyDescent="0.35">
      <c r="A7305" s="15" t="s">
        <v>29405</v>
      </c>
      <c r="B7305" s="15" t="s">
        <v>41855</v>
      </c>
      <c r="C7305" s="15" t="s">
        <v>41856</v>
      </c>
      <c r="D7305" s="31">
        <v>42640</v>
      </c>
      <c r="E7305" s="15" t="s">
        <v>41857</v>
      </c>
      <c r="F7305" s="87" t="s">
        <v>21871</v>
      </c>
      <c r="G7305" s="45" t="s">
        <v>12007</v>
      </c>
      <c r="H7305" s="55" t="s">
        <v>12008</v>
      </c>
      <c r="I7305" s="15" t="s">
        <v>816</v>
      </c>
    </row>
    <row r="7306" spans="1:9" ht="33" customHeight="1" x14ac:dyDescent="0.35">
      <c r="A7306" s="15" t="s">
        <v>23836</v>
      </c>
      <c r="B7306" s="15" t="s">
        <v>41858</v>
      </c>
      <c r="C7306" s="15" t="s">
        <v>41859</v>
      </c>
      <c r="D7306" s="31">
        <v>42496</v>
      </c>
      <c r="E7306" s="15" t="s">
        <v>41860</v>
      </c>
      <c r="F7306" s="87" t="s">
        <v>21871</v>
      </c>
      <c r="G7306" s="45" t="s">
        <v>12348</v>
      </c>
      <c r="H7306" s="55" t="s">
        <v>12349</v>
      </c>
      <c r="I7306" s="15" t="s">
        <v>816</v>
      </c>
    </row>
    <row r="7307" spans="1:9" ht="42" customHeight="1" x14ac:dyDescent="0.35">
      <c r="A7307" s="15" t="s">
        <v>26615</v>
      </c>
      <c r="B7307" s="15" t="s">
        <v>41861</v>
      </c>
      <c r="C7307" s="15" t="s">
        <v>41862</v>
      </c>
      <c r="D7307" s="31">
        <v>42541</v>
      </c>
      <c r="E7307" s="15" t="s">
        <v>41863</v>
      </c>
      <c r="F7307" s="87" t="s">
        <v>41553</v>
      </c>
      <c r="G7307" s="45" t="s">
        <v>12378</v>
      </c>
      <c r="H7307" s="55" t="s">
        <v>12379</v>
      </c>
      <c r="I7307" s="15" t="s">
        <v>816</v>
      </c>
    </row>
    <row r="7308" spans="1:9" ht="42" customHeight="1" x14ac:dyDescent="0.35">
      <c r="A7308" s="15" t="s">
        <v>26615</v>
      </c>
      <c r="B7308" s="15" t="s">
        <v>41864</v>
      </c>
      <c r="C7308" s="15" t="s">
        <v>41862</v>
      </c>
      <c r="D7308" s="31">
        <v>42541</v>
      </c>
      <c r="E7308" s="15" t="s">
        <v>41865</v>
      </c>
      <c r="F7308" s="87" t="s">
        <v>21871</v>
      </c>
      <c r="G7308" s="45" t="s">
        <v>12378</v>
      </c>
      <c r="H7308" s="55" t="s">
        <v>12379</v>
      </c>
      <c r="I7308" s="15" t="s">
        <v>816</v>
      </c>
    </row>
    <row r="7309" spans="1:9" ht="42" customHeight="1" x14ac:dyDescent="0.35">
      <c r="A7309" s="15" t="s">
        <v>21912</v>
      </c>
      <c r="B7309" s="15" t="s">
        <v>41866</v>
      </c>
      <c r="C7309" s="15" t="s">
        <v>41867</v>
      </c>
      <c r="D7309" s="31">
        <v>43004</v>
      </c>
      <c r="E7309" s="15" t="s">
        <v>41868</v>
      </c>
      <c r="F7309" s="87" t="s">
        <v>21871</v>
      </c>
      <c r="G7309" s="45" t="s">
        <v>12525</v>
      </c>
      <c r="H7309" s="55" t="s">
        <v>12526</v>
      </c>
      <c r="I7309" s="15" t="s">
        <v>816</v>
      </c>
    </row>
    <row r="7310" spans="1:9" ht="24" customHeight="1" x14ac:dyDescent="0.35">
      <c r="A7310" s="15" t="s">
        <v>21967</v>
      </c>
      <c r="B7310" s="15" t="s">
        <v>41869</v>
      </c>
      <c r="C7310" s="15" t="s">
        <v>41870</v>
      </c>
      <c r="D7310" s="31">
        <v>43004</v>
      </c>
      <c r="E7310" s="15" t="s">
        <v>41871</v>
      </c>
      <c r="F7310" s="87" t="s">
        <v>21871</v>
      </c>
      <c r="G7310" s="45" t="s">
        <v>12525</v>
      </c>
      <c r="H7310" s="55" t="s">
        <v>12526</v>
      </c>
      <c r="I7310" s="15" t="s">
        <v>816</v>
      </c>
    </row>
    <row r="7311" spans="1:9" ht="24" customHeight="1" x14ac:dyDescent="0.35">
      <c r="A7311" s="15" t="s">
        <v>25458</v>
      </c>
      <c r="B7311" s="15" t="s">
        <v>41872</v>
      </c>
      <c r="C7311" s="15" t="s">
        <v>41873</v>
      </c>
      <c r="D7311" s="31">
        <v>43004</v>
      </c>
      <c r="E7311" s="15" t="s">
        <v>41874</v>
      </c>
      <c r="F7311" s="87" t="s">
        <v>21871</v>
      </c>
      <c r="G7311" s="45" t="s">
        <v>12525</v>
      </c>
      <c r="H7311" s="55" t="s">
        <v>12526</v>
      </c>
      <c r="I7311" s="15" t="s">
        <v>816</v>
      </c>
    </row>
    <row r="7312" spans="1:9" ht="24" customHeight="1" x14ac:dyDescent="0.35">
      <c r="A7312" s="15" t="s">
        <v>26621</v>
      </c>
      <c r="B7312" s="15" t="s">
        <v>41875</v>
      </c>
      <c r="C7312" s="15" t="s">
        <v>41876</v>
      </c>
      <c r="D7312" s="31">
        <v>42531</v>
      </c>
      <c r="E7312" s="15" t="s">
        <v>41863</v>
      </c>
      <c r="F7312" s="87" t="s">
        <v>41553</v>
      </c>
      <c r="G7312" s="45" t="s">
        <v>12459</v>
      </c>
      <c r="H7312" s="55" t="s">
        <v>12460</v>
      </c>
      <c r="I7312" s="15" t="s">
        <v>816</v>
      </c>
    </row>
    <row r="7313" spans="1:9" ht="24" customHeight="1" x14ac:dyDescent="0.35">
      <c r="A7313" s="15" t="s">
        <v>26621</v>
      </c>
      <c r="B7313" s="15" t="s">
        <v>41877</v>
      </c>
      <c r="C7313" s="15" t="s">
        <v>41876</v>
      </c>
      <c r="D7313" s="31">
        <v>42531</v>
      </c>
      <c r="E7313" s="15" t="s">
        <v>41878</v>
      </c>
      <c r="F7313" s="87" t="s">
        <v>21871</v>
      </c>
      <c r="G7313" s="45" t="s">
        <v>12459</v>
      </c>
      <c r="H7313" s="55" t="s">
        <v>12460</v>
      </c>
      <c r="I7313" s="15" t="s">
        <v>816</v>
      </c>
    </row>
    <row r="7314" spans="1:9" ht="24" customHeight="1" x14ac:dyDescent="0.35">
      <c r="A7314" s="15" t="s">
        <v>21867</v>
      </c>
      <c r="B7314" s="15" t="s">
        <v>41879</v>
      </c>
      <c r="C7314" s="15" t="s">
        <v>41880</v>
      </c>
      <c r="D7314" s="31">
        <v>42577</v>
      </c>
      <c r="E7314" s="15" t="s">
        <v>41881</v>
      </c>
      <c r="F7314" s="87" t="s">
        <v>41553</v>
      </c>
      <c r="G7314" s="45" t="s">
        <v>12604</v>
      </c>
      <c r="H7314" s="55" t="s">
        <v>12605</v>
      </c>
      <c r="I7314" s="15" t="s">
        <v>816</v>
      </c>
    </row>
    <row r="7315" spans="1:9" ht="24" customHeight="1" x14ac:dyDescent="0.35">
      <c r="A7315" s="15" t="s">
        <v>21867</v>
      </c>
      <c r="B7315" s="15" t="s">
        <v>41882</v>
      </c>
      <c r="C7315" s="15" t="s">
        <v>41880</v>
      </c>
      <c r="D7315" s="31">
        <v>42577</v>
      </c>
      <c r="E7315" s="15" t="s">
        <v>41883</v>
      </c>
      <c r="F7315" s="87" t="s">
        <v>21871</v>
      </c>
      <c r="G7315" s="45" t="s">
        <v>12604</v>
      </c>
      <c r="H7315" s="55" t="s">
        <v>12605</v>
      </c>
      <c r="I7315" s="15" t="s">
        <v>816</v>
      </c>
    </row>
    <row r="7316" spans="1:9" ht="24" customHeight="1" x14ac:dyDescent="0.35">
      <c r="A7316" s="15" t="s">
        <v>24561</v>
      </c>
      <c r="B7316" s="15" t="s">
        <v>41884</v>
      </c>
      <c r="C7316" s="15" t="s">
        <v>41885</v>
      </c>
      <c r="D7316" s="31">
        <v>43186</v>
      </c>
      <c r="E7316" s="15" t="s">
        <v>41886</v>
      </c>
      <c r="F7316" s="87" t="s">
        <v>41553</v>
      </c>
      <c r="G7316" s="45" t="s">
        <v>12646</v>
      </c>
      <c r="H7316" s="55" t="s">
        <v>12647</v>
      </c>
      <c r="I7316" s="15" t="s">
        <v>816</v>
      </c>
    </row>
    <row r="7317" spans="1:9" ht="24" customHeight="1" x14ac:dyDescent="0.35">
      <c r="A7317" s="15" t="s">
        <v>24561</v>
      </c>
      <c r="B7317" s="15" t="s">
        <v>41887</v>
      </c>
      <c r="C7317" s="15" t="s">
        <v>41885</v>
      </c>
      <c r="D7317" s="31">
        <v>43186</v>
      </c>
      <c r="E7317" s="15" t="s">
        <v>41888</v>
      </c>
      <c r="F7317" s="87" t="s">
        <v>21871</v>
      </c>
      <c r="G7317" s="45" t="s">
        <v>12646</v>
      </c>
      <c r="H7317" s="55" t="s">
        <v>12647</v>
      </c>
      <c r="I7317" s="15" t="s">
        <v>816</v>
      </c>
    </row>
    <row r="7318" spans="1:9" ht="24" customHeight="1" x14ac:dyDescent="0.35">
      <c r="A7318" s="15" t="s">
        <v>28485</v>
      </c>
      <c r="B7318" s="15" t="s">
        <v>41889</v>
      </c>
      <c r="C7318" s="15" t="s">
        <v>41890</v>
      </c>
      <c r="D7318" s="31">
        <v>43186</v>
      </c>
      <c r="E7318" s="15" t="s">
        <v>41891</v>
      </c>
      <c r="F7318" s="87" t="s">
        <v>41553</v>
      </c>
      <c r="G7318" s="45" t="s">
        <v>12646</v>
      </c>
      <c r="H7318" s="55" t="s">
        <v>12647</v>
      </c>
      <c r="I7318" s="15" t="s">
        <v>816</v>
      </c>
    </row>
    <row r="7319" spans="1:9" ht="24.75" customHeight="1" x14ac:dyDescent="0.35">
      <c r="A7319" s="15" t="s">
        <v>28485</v>
      </c>
      <c r="B7319" s="15" t="s">
        <v>41892</v>
      </c>
      <c r="C7319" s="15" t="s">
        <v>41890</v>
      </c>
      <c r="D7319" s="31">
        <v>43186</v>
      </c>
      <c r="E7319" s="15" t="s">
        <v>41893</v>
      </c>
      <c r="F7319" s="87" t="s">
        <v>21871</v>
      </c>
      <c r="G7319" s="45" t="s">
        <v>12646</v>
      </c>
      <c r="H7319" s="55" t="s">
        <v>12647</v>
      </c>
      <c r="I7319" s="15" t="s">
        <v>816</v>
      </c>
    </row>
    <row r="7320" spans="1:9" ht="25.5" customHeight="1" x14ac:dyDescent="0.35">
      <c r="A7320" s="15" t="s">
        <v>32212</v>
      </c>
      <c r="B7320" s="15" t="s">
        <v>41894</v>
      </c>
      <c r="C7320" s="15" t="s">
        <v>41895</v>
      </c>
      <c r="D7320" s="31">
        <v>43186</v>
      </c>
      <c r="E7320" s="15" t="s">
        <v>41896</v>
      </c>
      <c r="F7320" s="87" t="s">
        <v>41553</v>
      </c>
      <c r="G7320" s="45" t="s">
        <v>12646</v>
      </c>
      <c r="H7320" s="55" t="s">
        <v>12647</v>
      </c>
      <c r="I7320" s="15" t="s">
        <v>816</v>
      </c>
    </row>
    <row r="7321" spans="1:9" ht="25.5" customHeight="1" x14ac:dyDescent="0.35">
      <c r="A7321" s="15" t="s">
        <v>32212</v>
      </c>
      <c r="B7321" s="15" t="s">
        <v>41897</v>
      </c>
      <c r="C7321" s="15" t="s">
        <v>41895</v>
      </c>
      <c r="D7321" s="31">
        <v>43186</v>
      </c>
      <c r="E7321" s="15" t="s">
        <v>41898</v>
      </c>
      <c r="F7321" s="87" t="s">
        <v>21871</v>
      </c>
      <c r="G7321" s="45" t="s">
        <v>12646</v>
      </c>
      <c r="H7321" s="55" t="s">
        <v>12647</v>
      </c>
      <c r="I7321" s="15" t="s">
        <v>816</v>
      </c>
    </row>
    <row r="7322" spans="1:9" ht="25.5" customHeight="1" x14ac:dyDescent="0.35">
      <c r="A7322" s="15" t="s">
        <v>28039</v>
      </c>
      <c r="B7322" s="15" t="s">
        <v>41899</v>
      </c>
      <c r="C7322" s="15" t="s">
        <v>41900</v>
      </c>
      <c r="D7322" s="31">
        <v>43004</v>
      </c>
      <c r="E7322" s="15" t="s">
        <v>41901</v>
      </c>
      <c r="F7322" s="87" t="s">
        <v>41553</v>
      </c>
      <c r="G7322" s="45" t="s">
        <v>12720</v>
      </c>
      <c r="H7322" s="55" t="s">
        <v>12721</v>
      </c>
      <c r="I7322" s="15" t="s">
        <v>816</v>
      </c>
    </row>
    <row r="7323" spans="1:9" ht="25.5" customHeight="1" x14ac:dyDescent="0.35">
      <c r="A7323" s="15" t="s">
        <v>28039</v>
      </c>
      <c r="B7323" s="15" t="s">
        <v>41902</v>
      </c>
      <c r="C7323" s="15" t="s">
        <v>41900</v>
      </c>
      <c r="D7323" s="31">
        <v>43004</v>
      </c>
      <c r="E7323" s="15" t="s">
        <v>41903</v>
      </c>
      <c r="F7323" s="87" t="s">
        <v>21871</v>
      </c>
      <c r="G7323" s="45" t="s">
        <v>12720</v>
      </c>
      <c r="H7323" s="55" t="s">
        <v>12721</v>
      </c>
      <c r="I7323" s="15" t="s">
        <v>816</v>
      </c>
    </row>
    <row r="7324" spans="1:9" ht="25.5" customHeight="1" x14ac:dyDescent="0.35">
      <c r="A7324" s="15" t="s">
        <v>23314</v>
      </c>
      <c r="B7324" s="15" t="s">
        <v>41904</v>
      </c>
      <c r="C7324" s="15" t="s">
        <v>41905</v>
      </c>
      <c r="D7324" s="31">
        <v>43080</v>
      </c>
      <c r="E7324" s="15" t="s">
        <v>41906</v>
      </c>
      <c r="F7324" s="87" t="s">
        <v>21871</v>
      </c>
      <c r="G7324" s="45" t="s">
        <v>13127</v>
      </c>
      <c r="H7324" s="55" t="s">
        <v>13128</v>
      </c>
      <c r="I7324" s="15" t="s">
        <v>816</v>
      </c>
    </row>
    <row r="7325" spans="1:9" ht="25.5" customHeight="1" x14ac:dyDescent="0.35">
      <c r="A7325" s="15" t="s">
        <v>28043</v>
      </c>
      <c r="B7325" s="15" t="s">
        <v>41907</v>
      </c>
      <c r="C7325" s="15" t="s">
        <v>41905</v>
      </c>
      <c r="D7325" s="31">
        <v>43083</v>
      </c>
      <c r="E7325" s="15" t="s">
        <v>41908</v>
      </c>
      <c r="F7325" s="87" t="s">
        <v>41553</v>
      </c>
      <c r="G7325" s="45" t="s">
        <v>13269</v>
      </c>
      <c r="H7325" s="55" t="s">
        <v>13270</v>
      </c>
      <c r="I7325" s="15" t="s">
        <v>816</v>
      </c>
    </row>
    <row r="7326" spans="1:9" ht="25.5" customHeight="1" x14ac:dyDescent="0.35">
      <c r="A7326" s="15" t="s">
        <v>28043</v>
      </c>
      <c r="B7326" s="15" t="s">
        <v>41909</v>
      </c>
      <c r="C7326" s="15" t="s">
        <v>41905</v>
      </c>
      <c r="D7326" s="31">
        <v>43083</v>
      </c>
      <c r="E7326" s="15" t="s">
        <v>41910</v>
      </c>
      <c r="F7326" s="87" t="s">
        <v>21871</v>
      </c>
      <c r="G7326" s="45" t="s">
        <v>13269</v>
      </c>
      <c r="H7326" s="55" t="s">
        <v>13270</v>
      </c>
      <c r="I7326" s="15" t="s">
        <v>816</v>
      </c>
    </row>
    <row r="7327" spans="1:9" ht="32.65" customHeight="1" x14ac:dyDescent="0.35">
      <c r="A7327" s="15" t="s">
        <v>22862</v>
      </c>
      <c r="B7327" s="15" t="s">
        <v>41911</v>
      </c>
      <c r="C7327" s="15" t="s">
        <v>41912</v>
      </c>
      <c r="D7327" s="31">
        <v>42555</v>
      </c>
      <c r="E7327" s="15" t="s">
        <v>41913</v>
      </c>
      <c r="F7327" s="87" t="s">
        <v>41553</v>
      </c>
      <c r="G7327" s="45" t="s">
        <v>12529</v>
      </c>
      <c r="H7327" s="55" t="s">
        <v>12530</v>
      </c>
      <c r="I7327" s="15" t="s">
        <v>816</v>
      </c>
    </row>
    <row r="7328" spans="1:9" ht="32.65" customHeight="1" x14ac:dyDescent="0.35">
      <c r="A7328" s="15" t="s">
        <v>22862</v>
      </c>
      <c r="B7328" s="15" t="s">
        <v>41914</v>
      </c>
      <c r="C7328" s="15" t="s">
        <v>41912</v>
      </c>
      <c r="D7328" s="31">
        <v>42555</v>
      </c>
      <c r="E7328" s="15" t="s">
        <v>41915</v>
      </c>
      <c r="F7328" s="87" t="s">
        <v>21871</v>
      </c>
      <c r="G7328" s="45" t="s">
        <v>12529</v>
      </c>
      <c r="H7328" s="55" t="s">
        <v>12530</v>
      </c>
      <c r="I7328" s="15" t="s">
        <v>816</v>
      </c>
    </row>
    <row r="7329" spans="1:9" ht="39.75" customHeight="1" x14ac:dyDescent="0.35">
      <c r="A7329" s="15" t="s">
        <v>22866</v>
      </c>
      <c r="B7329" s="15" t="s">
        <v>41916</v>
      </c>
      <c r="C7329" s="15" t="s">
        <v>41917</v>
      </c>
      <c r="D7329" s="31">
        <v>43004</v>
      </c>
      <c r="E7329" s="15" t="s">
        <v>41918</v>
      </c>
      <c r="F7329" s="87" t="s">
        <v>41553</v>
      </c>
      <c r="G7329" s="45" t="s">
        <v>12529</v>
      </c>
      <c r="H7329" s="55" t="s">
        <v>12530</v>
      </c>
      <c r="I7329" s="15" t="s">
        <v>816</v>
      </c>
    </row>
    <row r="7330" spans="1:9" ht="45.75" customHeight="1" x14ac:dyDescent="0.35">
      <c r="A7330" s="15" t="s">
        <v>22866</v>
      </c>
      <c r="B7330" s="15" t="s">
        <v>41919</v>
      </c>
      <c r="C7330" s="15" t="s">
        <v>41917</v>
      </c>
      <c r="D7330" s="31">
        <v>43004</v>
      </c>
      <c r="E7330" s="15" t="s">
        <v>41920</v>
      </c>
      <c r="F7330" s="87" t="s">
        <v>21871</v>
      </c>
      <c r="G7330" s="45" t="s">
        <v>12529</v>
      </c>
      <c r="H7330" s="55" t="s">
        <v>12530</v>
      </c>
      <c r="I7330" s="15" t="s">
        <v>816</v>
      </c>
    </row>
    <row r="7331" spans="1:9" ht="26.25" customHeight="1" x14ac:dyDescent="0.35">
      <c r="A7331" s="15" t="s">
        <v>22858</v>
      </c>
      <c r="B7331" s="15" t="s">
        <v>41921</v>
      </c>
      <c r="C7331" s="15" t="s">
        <v>41922</v>
      </c>
      <c r="D7331" s="31">
        <v>43165</v>
      </c>
      <c r="E7331" s="15" t="s">
        <v>41923</v>
      </c>
      <c r="F7331" s="87" t="s">
        <v>41553</v>
      </c>
      <c r="G7331" s="45" t="s">
        <v>12938</v>
      </c>
      <c r="H7331" s="55" t="s">
        <v>12939</v>
      </c>
      <c r="I7331" s="15" t="s">
        <v>816</v>
      </c>
    </row>
    <row r="7332" spans="1:9" ht="26.65" customHeight="1" x14ac:dyDescent="0.35">
      <c r="A7332" s="15" t="s">
        <v>22858</v>
      </c>
      <c r="B7332" s="15" t="s">
        <v>41924</v>
      </c>
      <c r="C7332" s="15" t="s">
        <v>41922</v>
      </c>
      <c r="D7332" s="31">
        <v>43165</v>
      </c>
      <c r="E7332" s="15" t="s">
        <v>41925</v>
      </c>
      <c r="F7332" s="87" t="s">
        <v>21871</v>
      </c>
      <c r="G7332" s="45" t="s">
        <v>12938</v>
      </c>
      <c r="H7332" s="55" t="s">
        <v>12939</v>
      </c>
      <c r="I7332" s="15" t="s">
        <v>816</v>
      </c>
    </row>
    <row r="7333" spans="1:9" ht="31.5" customHeight="1" x14ac:dyDescent="0.35">
      <c r="A7333" s="15" t="s">
        <v>36208</v>
      </c>
      <c r="B7333" s="15" t="s">
        <v>41926</v>
      </c>
      <c r="C7333" s="15" t="s">
        <v>41927</v>
      </c>
      <c r="D7333" s="31">
        <v>43340</v>
      </c>
      <c r="E7333" s="15" t="s">
        <v>41928</v>
      </c>
      <c r="F7333" s="87" t="s">
        <v>21871</v>
      </c>
      <c r="G7333" s="45" t="s">
        <v>13694</v>
      </c>
      <c r="H7333" s="55" t="s">
        <v>13695</v>
      </c>
      <c r="I7333" s="15" t="s">
        <v>816</v>
      </c>
    </row>
    <row r="7334" spans="1:9" ht="31.5" customHeight="1" x14ac:dyDescent="0.35">
      <c r="A7334" s="15" t="s">
        <v>24641</v>
      </c>
      <c r="B7334" s="15" t="s">
        <v>41929</v>
      </c>
      <c r="C7334" s="15" t="s">
        <v>41826</v>
      </c>
      <c r="D7334" s="31">
        <v>42780</v>
      </c>
      <c r="E7334" s="15" t="s">
        <v>41827</v>
      </c>
      <c r="F7334" s="87" t="s">
        <v>41553</v>
      </c>
      <c r="G7334" s="45" t="s">
        <v>12125</v>
      </c>
      <c r="H7334" s="55" t="s">
        <v>12126</v>
      </c>
      <c r="I7334" s="15" t="s">
        <v>816</v>
      </c>
    </row>
    <row r="7335" spans="1:9" ht="31.5" customHeight="1" x14ac:dyDescent="0.35">
      <c r="A7335" s="15" t="s">
        <v>24641</v>
      </c>
      <c r="B7335" s="15" t="s">
        <v>41930</v>
      </c>
      <c r="C7335" s="15" t="s">
        <v>41826</v>
      </c>
      <c r="D7335" s="31">
        <v>42780</v>
      </c>
      <c r="E7335" s="15" t="s">
        <v>41931</v>
      </c>
      <c r="F7335" s="87" t="s">
        <v>21871</v>
      </c>
      <c r="G7335" s="45" t="s">
        <v>12125</v>
      </c>
      <c r="H7335" s="55" t="s">
        <v>12126</v>
      </c>
      <c r="I7335" s="15" t="s">
        <v>816</v>
      </c>
    </row>
    <row r="7336" spans="1:9" ht="32.65" customHeight="1" x14ac:dyDescent="0.35">
      <c r="A7336" s="15" t="s">
        <v>26591</v>
      </c>
      <c r="B7336" s="15" t="s">
        <v>41932</v>
      </c>
      <c r="C7336" s="15" t="s">
        <v>41831</v>
      </c>
      <c r="D7336" s="31">
        <v>42780</v>
      </c>
      <c r="E7336" s="15" t="s">
        <v>41832</v>
      </c>
      <c r="F7336" s="87" t="s">
        <v>41553</v>
      </c>
      <c r="G7336" s="45" t="s">
        <v>12125</v>
      </c>
      <c r="H7336" s="55" t="s">
        <v>12126</v>
      </c>
      <c r="I7336" s="15" t="s">
        <v>816</v>
      </c>
    </row>
    <row r="7337" spans="1:9" ht="32.65" customHeight="1" x14ac:dyDescent="0.35">
      <c r="A7337" s="15" t="s">
        <v>26591</v>
      </c>
      <c r="B7337" s="15" t="s">
        <v>41933</v>
      </c>
      <c r="C7337" s="15" t="s">
        <v>41831</v>
      </c>
      <c r="D7337" s="31">
        <v>42780</v>
      </c>
      <c r="E7337" s="15" t="s">
        <v>41834</v>
      </c>
      <c r="F7337" s="87" t="s">
        <v>21871</v>
      </c>
      <c r="G7337" s="45" t="s">
        <v>12125</v>
      </c>
      <c r="H7337" s="55" t="s">
        <v>12126</v>
      </c>
      <c r="I7337" s="15" t="s">
        <v>816</v>
      </c>
    </row>
    <row r="7338" spans="1:9" ht="24.75" customHeight="1" x14ac:dyDescent="0.35">
      <c r="A7338" s="15" t="s">
        <v>23461</v>
      </c>
      <c r="B7338" s="15" t="s">
        <v>41934</v>
      </c>
      <c r="C7338" s="15" t="s">
        <v>41935</v>
      </c>
      <c r="D7338" s="31">
        <v>43340</v>
      </c>
      <c r="E7338" s="15" t="s">
        <v>41936</v>
      </c>
      <c r="F7338" s="87" t="s">
        <v>41553</v>
      </c>
      <c r="G7338" s="45" t="s">
        <v>13735</v>
      </c>
      <c r="H7338" s="55" t="s">
        <v>13736</v>
      </c>
      <c r="I7338" s="15" t="s">
        <v>816</v>
      </c>
    </row>
    <row r="7339" spans="1:9" ht="24.75" customHeight="1" x14ac:dyDescent="0.35">
      <c r="A7339" s="15" t="s">
        <v>23461</v>
      </c>
      <c r="B7339" s="15" t="s">
        <v>41937</v>
      </c>
      <c r="C7339" s="15" t="s">
        <v>41935</v>
      </c>
      <c r="D7339" s="31">
        <v>43340</v>
      </c>
      <c r="E7339" s="15" t="s">
        <v>41938</v>
      </c>
      <c r="F7339" s="87" t="s">
        <v>21871</v>
      </c>
      <c r="G7339" s="45" t="s">
        <v>13735</v>
      </c>
      <c r="H7339" s="55" t="s">
        <v>13736</v>
      </c>
      <c r="I7339" s="15" t="s">
        <v>816</v>
      </c>
    </row>
    <row r="7340" spans="1:9" ht="24.75" customHeight="1" x14ac:dyDescent="0.35">
      <c r="A7340" s="15" t="s">
        <v>36204</v>
      </c>
      <c r="B7340" s="15" t="s">
        <v>41939</v>
      </c>
      <c r="C7340" s="15" t="s">
        <v>41940</v>
      </c>
      <c r="D7340" s="31" t="s">
        <v>50</v>
      </c>
      <c r="E7340" s="15" t="s">
        <v>41941</v>
      </c>
      <c r="F7340" s="87" t="s">
        <v>21871</v>
      </c>
      <c r="G7340" s="45" t="s">
        <v>13769</v>
      </c>
      <c r="H7340" s="55" t="s">
        <v>13770</v>
      </c>
      <c r="I7340" s="15" t="s">
        <v>816</v>
      </c>
    </row>
    <row r="7341" spans="1:9" ht="22.15" customHeight="1" x14ac:dyDescent="0.35">
      <c r="A7341" s="15" t="s">
        <v>23469</v>
      </c>
      <c r="B7341" s="15" t="s">
        <v>41942</v>
      </c>
      <c r="C7341" s="15" t="s">
        <v>41943</v>
      </c>
      <c r="D7341" s="31">
        <v>43474</v>
      </c>
      <c r="E7341" s="15" t="s">
        <v>41944</v>
      </c>
      <c r="F7341" s="87" t="s">
        <v>41553</v>
      </c>
      <c r="G7341" s="45" t="s">
        <v>13869</v>
      </c>
      <c r="H7341" s="55" t="s">
        <v>13870</v>
      </c>
      <c r="I7341" s="15" t="s">
        <v>816</v>
      </c>
    </row>
    <row r="7342" spans="1:9" ht="32.25" customHeight="1" x14ac:dyDescent="0.35">
      <c r="A7342" s="15" t="s">
        <v>23469</v>
      </c>
      <c r="B7342" s="15" t="s">
        <v>41945</v>
      </c>
      <c r="C7342" s="15" t="s">
        <v>41943</v>
      </c>
      <c r="D7342" s="31">
        <v>43474</v>
      </c>
      <c r="E7342" s="15" t="s">
        <v>41946</v>
      </c>
      <c r="F7342" s="87" t="s">
        <v>21871</v>
      </c>
      <c r="G7342" s="45" t="s">
        <v>13869</v>
      </c>
      <c r="H7342" s="55" t="s">
        <v>13870</v>
      </c>
      <c r="I7342" s="15" t="s">
        <v>816</v>
      </c>
    </row>
    <row r="7343" spans="1:9" ht="32.25" customHeight="1" x14ac:dyDescent="0.35">
      <c r="A7343" s="15" t="s">
        <v>25494</v>
      </c>
      <c r="B7343" s="15" t="s">
        <v>41947</v>
      </c>
      <c r="C7343" s="15" t="s">
        <v>41948</v>
      </c>
      <c r="D7343" s="31">
        <v>43080</v>
      </c>
      <c r="E7343" s="15" t="s">
        <v>41949</v>
      </c>
      <c r="F7343" s="87" t="s">
        <v>21871</v>
      </c>
      <c r="G7343" s="45" t="s">
        <v>13013</v>
      </c>
      <c r="H7343" s="55" t="s">
        <v>13014</v>
      </c>
      <c r="I7343" s="15" t="s">
        <v>816</v>
      </c>
    </row>
    <row r="7344" spans="1:9" ht="82.5" customHeight="1" x14ac:dyDescent="0.35">
      <c r="A7344" s="15" t="s">
        <v>25498</v>
      </c>
      <c r="B7344" s="15" t="s">
        <v>41950</v>
      </c>
      <c r="C7344" s="15" t="s">
        <v>41951</v>
      </c>
      <c r="D7344" s="31">
        <v>43080</v>
      </c>
      <c r="E7344" s="15" t="s">
        <v>41952</v>
      </c>
      <c r="F7344" s="87" t="s">
        <v>21871</v>
      </c>
      <c r="G7344" s="45" t="s">
        <v>13013</v>
      </c>
      <c r="H7344" s="55" t="s">
        <v>13014</v>
      </c>
      <c r="I7344" s="15" t="s">
        <v>816</v>
      </c>
    </row>
    <row r="7345" spans="1:9" ht="82.5" customHeight="1" x14ac:dyDescent="0.35">
      <c r="A7345" s="15" t="s">
        <v>23309</v>
      </c>
      <c r="B7345" s="15" t="s">
        <v>41953</v>
      </c>
      <c r="C7345" s="15" t="s">
        <v>41954</v>
      </c>
      <c r="D7345" s="31">
        <v>43080</v>
      </c>
      <c r="E7345" s="15" t="s">
        <v>41955</v>
      </c>
      <c r="F7345" s="87" t="s">
        <v>21871</v>
      </c>
      <c r="G7345" s="45" t="s">
        <v>13013</v>
      </c>
      <c r="H7345" s="55" t="s">
        <v>13014</v>
      </c>
      <c r="I7345" s="15" t="s">
        <v>816</v>
      </c>
    </row>
    <row r="7346" spans="1:9" ht="34.5" customHeight="1" x14ac:dyDescent="0.35">
      <c r="A7346" s="15" t="s">
        <v>26429</v>
      </c>
      <c r="B7346" s="15" t="s">
        <v>41956</v>
      </c>
      <c r="C7346" s="15" t="s">
        <v>41922</v>
      </c>
      <c r="D7346" s="31">
        <v>43165</v>
      </c>
      <c r="E7346" s="15" t="s">
        <v>41923</v>
      </c>
      <c r="F7346" s="87" t="s">
        <v>41553</v>
      </c>
      <c r="G7346" s="45" t="s">
        <v>12943</v>
      </c>
      <c r="H7346" s="55" t="s">
        <v>12944</v>
      </c>
      <c r="I7346" s="15" t="s">
        <v>816</v>
      </c>
    </row>
    <row r="7347" spans="1:9" ht="34.5" customHeight="1" x14ac:dyDescent="0.35">
      <c r="A7347" s="15" t="s">
        <v>26429</v>
      </c>
      <c r="B7347" s="15" t="s">
        <v>41957</v>
      </c>
      <c r="C7347" s="15" t="s">
        <v>41922</v>
      </c>
      <c r="D7347" s="31">
        <v>43165</v>
      </c>
      <c r="E7347" s="15" t="s">
        <v>41958</v>
      </c>
      <c r="F7347" s="87" t="s">
        <v>21871</v>
      </c>
      <c r="G7347" s="45" t="s">
        <v>12943</v>
      </c>
      <c r="H7347" s="55" t="s">
        <v>12944</v>
      </c>
      <c r="I7347" s="15" t="s">
        <v>816</v>
      </c>
    </row>
    <row r="7348" spans="1:9" ht="38.65" customHeight="1" x14ac:dyDescent="0.35">
      <c r="A7348" s="15" t="s">
        <v>26436</v>
      </c>
      <c r="B7348" s="15" t="s">
        <v>41959</v>
      </c>
      <c r="C7348" s="15" t="s">
        <v>41960</v>
      </c>
      <c r="D7348" s="31">
        <v>43473</v>
      </c>
      <c r="E7348" s="15" t="s">
        <v>41961</v>
      </c>
      <c r="F7348" s="87" t="s">
        <v>41553</v>
      </c>
      <c r="G7348" s="45" t="s">
        <v>14224</v>
      </c>
      <c r="H7348" s="55" t="s">
        <v>14225</v>
      </c>
      <c r="I7348" s="15" t="s">
        <v>816</v>
      </c>
    </row>
    <row r="7349" spans="1:9" ht="38.65" customHeight="1" x14ac:dyDescent="0.35">
      <c r="A7349" s="15" t="s">
        <v>26436</v>
      </c>
      <c r="B7349" s="15" t="s">
        <v>41962</v>
      </c>
      <c r="C7349" s="15" t="s">
        <v>41960</v>
      </c>
      <c r="D7349" s="31">
        <v>43473</v>
      </c>
      <c r="E7349" s="15" t="s">
        <v>41963</v>
      </c>
      <c r="F7349" s="87" t="s">
        <v>21871</v>
      </c>
      <c r="G7349" s="45" t="s">
        <v>14224</v>
      </c>
      <c r="H7349" s="55" t="s">
        <v>14225</v>
      </c>
      <c r="I7349" s="15" t="s">
        <v>816</v>
      </c>
    </row>
    <row r="7350" spans="1:9" ht="38.65" customHeight="1" x14ac:dyDescent="0.35">
      <c r="A7350" s="15" t="s">
        <v>21979</v>
      </c>
      <c r="B7350" s="15" t="s">
        <v>41964</v>
      </c>
      <c r="C7350" s="15" t="s">
        <v>41965</v>
      </c>
      <c r="D7350" s="31">
        <v>43536</v>
      </c>
      <c r="E7350" s="15" t="s">
        <v>41966</v>
      </c>
      <c r="F7350" s="87" t="s">
        <v>41553</v>
      </c>
      <c r="G7350" s="45" t="s">
        <v>14515</v>
      </c>
      <c r="H7350" s="55" t="s">
        <v>14516</v>
      </c>
      <c r="I7350" s="15" t="s">
        <v>816</v>
      </c>
    </row>
    <row r="7351" spans="1:9" ht="38.65" customHeight="1" x14ac:dyDescent="0.35">
      <c r="A7351" s="15" t="s">
        <v>21979</v>
      </c>
      <c r="B7351" s="15" t="s">
        <v>41967</v>
      </c>
      <c r="C7351" s="15" t="s">
        <v>41965</v>
      </c>
      <c r="D7351" s="31">
        <v>43536</v>
      </c>
      <c r="E7351" s="15" t="s">
        <v>41968</v>
      </c>
      <c r="F7351" s="87" t="s">
        <v>21871</v>
      </c>
      <c r="G7351" s="45" t="s">
        <v>14515</v>
      </c>
      <c r="H7351" s="55" t="s">
        <v>14516</v>
      </c>
      <c r="I7351" s="15" t="s">
        <v>816</v>
      </c>
    </row>
    <row r="7352" spans="1:9" ht="46.15" customHeight="1" x14ac:dyDescent="0.35">
      <c r="A7352" s="15" t="s">
        <v>25390</v>
      </c>
      <c r="B7352" s="15" t="s">
        <v>41969</v>
      </c>
      <c r="C7352" s="15" t="s">
        <v>41970</v>
      </c>
      <c r="D7352" s="31">
        <v>43473</v>
      </c>
      <c r="E7352" s="15" t="s">
        <v>41971</v>
      </c>
      <c r="F7352" s="87" t="s">
        <v>21871</v>
      </c>
      <c r="G7352" s="45" t="s">
        <v>14728</v>
      </c>
      <c r="H7352" s="55" t="s">
        <v>14729</v>
      </c>
      <c r="I7352" s="15" t="s">
        <v>816</v>
      </c>
    </row>
    <row r="7353" spans="1:9" ht="46.15" customHeight="1" x14ac:dyDescent="0.35">
      <c r="A7353" s="15" t="s">
        <v>26594</v>
      </c>
      <c r="B7353" s="15" t="s">
        <v>41972</v>
      </c>
      <c r="C7353" s="15" t="s">
        <v>41965</v>
      </c>
      <c r="D7353" s="31">
        <v>43536</v>
      </c>
      <c r="E7353" s="15" t="s">
        <v>41973</v>
      </c>
      <c r="F7353" s="87" t="s">
        <v>21871</v>
      </c>
      <c r="G7353" s="45" t="s">
        <v>8216</v>
      </c>
      <c r="H7353" s="55" t="s">
        <v>8217</v>
      </c>
      <c r="I7353" s="15" t="s">
        <v>816</v>
      </c>
    </row>
    <row r="7354" spans="1:9" ht="46.15" customHeight="1" x14ac:dyDescent="0.35">
      <c r="A7354" s="15" t="s">
        <v>25337</v>
      </c>
      <c r="B7354" s="15" t="s">
        <v>41974</v>
      </c>
      <c r="C7354" s="15" t="s">
        <v>41975</v>
      </c>
      <c r="D7354" s="31">
        <v>43474</v>
      </c>
      <c r="E7354" s="15" t="s">
        <v>41976</v>
      </c>
      <c r="F7354" s="87" t="s">
        <v>21871</v>
      </c>
      <c r="G7354" s="45" t="s">
        <v>15101</v>
      </c>
      <c r="H7354" s="55" t="s">
        <v>15102</v>
      </c>
      <c r="I7354" s="15" t="s">
        <v>816</v>
      </c>
    </row>
    <row r="7355" spans="1:9" ht="44.25" customHeight="1" x14ac:dyDescent="0.35">
      <c r="A7355" s="15" t="s">
        <v>21971</v>
      </c>
      <c r="B7355" s="15" t="s">
        <v>41977</v>
      </c>
      <c r="C7355" s="15" t="s">
        <v>41978</v>
      </c>
      <c r="D7355" s="31">
        <v>43739</v>
      </c>
      <c r="E7355" s="15" t="s">
        <v>41979</v>
      </c>
      <c r="F7355" s="87" t="s">
        <v>41553</v>
      </c>
      <c r="G7355" s="45" t="s">
        <v>15132</v>
      </c>
      <c r="H7355" s="55" t="s">
        <v>15133</v>
      </c>
      <c r="I7355" s="15" t="s">
        <v>816</v>
      </c>
    </row>
    <row r="7356" spans="1:9" ht="44.25" customHeight="1" x14ac:dyDescent="0.35">
      <c r="A7356" s="15" t="s">
        <v>21971</v>
      </c>
      <c r="B7356" s="15" t="s">
        <v>41980</v>
      </c>
      <c r="C7356" s="15" t="s">
        <v>41978</v>
      </c>
      <c r="D7356" s="31">
        <v>43739</v>
      </c>
      <c r="E7356" s="15" t="s">
        <v>41981</v>
      </c>
      <c r="F7356" s="87" t="s">
        <v>21871</v>
      </c>
      <c r="G7356" s="45" t="s">
        <v>15132</v>
      </c>
      <c r="H7356" s="55" t="s">
        <v>15133</v>
      </c>
      <c r="I7356" s="15" t="s">
        <v>816</v>
      </c>
    </row>
    <row r="7357" spans="1:9" ht="25.15" customHeight="1" x14ac:dyDescent="0.35">
      <c r="A7357" s="15" t="s">
        <v>37351</v>
      </c>
      <c r="B7357" s="15" t="s">
        <v>41982</v>
      </c>
      <c r="C7357" s="15" t="s">
        <v>41983</v>
      </c>
      <c r="D7357" s="31">
        <v>43340</v>
      </c>
      <c r="E7357" s="15" t="s">
        <v>41984</v>
      </c>
      <c r="F7357" s="87" t="s">
        <v>21871</v>
      </c>
      <c r="G7357" s="45" t="s">
        <v>14247</v>
      </c>
      <c r="H7357" s="55" t="s">
        <v>14248</v>
      </c>
      <c r="I7357" s="15" t="s">
        <v>816</v>
      </c>
    </row>
    <row r="7358" spans="1:9" ht="25.15" customHeight="1" x14ac:dyDescent="0.35">
      <c r="A7358" s="15" t="s">
        <v>21983</v>
      </c>
      <c r="B7358" s="15" t="s">
        <v>41985</v>
      </c>
      <c r="C7358" s="15" t="s">
        <v>41940</v>
      </c>
      <c r="D7358" s="31">
        <v>43340</v>
      </c>
      <c r="E7358" s="15" t="s">
        <v>41986</v>
      </c>
      <c r="F7358" s="87" t="s">
        <v>41553</v>
      </c>
      <c r="G7358" s="45" t="s">
        <v>14253</v>
      </c>
      <c r="H7358" s="55" t="s">
        <v>14254</v>
      </c>
      <c r="I7358" s="15" t="s">
        <v>816</v>
      </c>
    </row>
    <row r="7359" spans="1:9" ht="25.15" customHeight="1" x14ac:dyDescent="0.35">
      <c r="A7359" s="15" t="s">
        <v>21983</v>
      </c>
      <c r="B7359" s="15" t="s">
        <v>41987</v>
      </c>
      <c r="C7359" s="15" t="s">
        <v>41940</v>
      </c>
      <c r="D7359" s="31">
        <v>43340</v>
      </c>
      <c r="E7359" s="15" t="s">
        <v>41988</v>
      </c>
      <c r="F7359" s="87" t="s">
        <v>21871</v>
      </c>
      <c r="G7359" s="45" t="s">
        <v>14253</v>
      </c>
      <c r="H7359" s="55" t="s">
        <v>14254</v>
      </c>
      <c r="I7359" s="15" t="s">
        <v>816</v>
      </c>
    </row>
    <row r="7360" spans="1:9" ht="25.15" customHeight="1" x14ac:dyDescent="0.35">
      <c r="A7360" s="15" t="s">
        <v>35597</v>
      </c>
      <c r="B7360" s="15" t="s">
        <v>41989</v>
      </c>
      <c r="C7360" s="15" t="s">
        <v>41990</v>
      </c>
      <c r="D7360" s="31">
        <v>44026</v>
      </c>
      <c r="E7360" s="15" t="s">
        <v>41991</v>
      </c>
      <c r="F7360" s="87" t="s">
        <v>41553</v>
      </c>
      <c r="G7360" s="45" t="s">
        <v>15638</v>
      </c>
      <c r="H7360" s="55" t="s">
        <v>15639</v>
      </c>
      <c r="I7360" s="15" t="s">
        <v>816</v>
      </c>
    </row>
    <row r="7361" spans="1:9" ht="25.15" customHeight="1" x14ac:dyDescent="0.35">
      <c r="A7361" s="15" t="s">
        <v>35597</v>
      </c>
      <c r="B7361" s="15" t="s">
        <v>41992</v>
      </c>
      <c r="C7361" s="15" t="s">
        <v>41990</v>
      </c>
      <c r="D7361" s="31">
        <v>44026</v>
      </c>
      <c r="E7361" s="15" t="s">
        <v>41993</v>
      </c>
      <c r="F7361" s="87" t="s">
        <v>21871</v>
      </c>
      <c r="G7361" s="45" t="s">
        <v>15638</v>
      </c>
      <c r="H7361" s="55" t="s">
        <v>15639</v>
      </c>
      <c r="I7361" s="15" t="s">
        <v>816</v>
      </c>
    </row>
    <row r="7362" spans="1:9" ht="25.15" customHeight="1" x14ac:dyDescent="0.35">
      <c r="A7362" s="15" t="s">
        <v>33925</v>
      </c>
      <c r="B7362" s="15" t="s">
        <v>41994</v>
      </c>
      <c r="C7362" s="15" t="s">
        <v>41995</v>
      </c>
      <c r="D7362" s="31">
        <v>44026</v>
      </c>
      <c r="E7362" s="15" t="s">
        <v>41996</v>
      </c>
      <c r="F7362" s="87" t="s">
        <v>41553</v>
      </c>
      <c r="G7362" s="45" t="s">
        <v>15638</v>
      </c>
      <c r="H7362" s="55" t="s">
        <v>15639</v>
      </c>
      <c r="I7362" s="15" t="s">
        <v>816</v>
      </c>
    </row>
    <row r="7363" spans="1:9" ht="25.15" customHeight="1" x14ac:dyDescent="0.35">
      <c r="A7363" s="15" t="s">
        <v>33925</v>
      </c>
      <c r="B7363" s="15" t="s">
        <v>41997</v>
      </c>
      <c r="C7363" s="15" t="s">
        <v>41995</v>
      </c>
      <c r="D7363" s="31">
        <v>44026</v>
      </c>
      <c r="E7363" s="15" t="s">
        <v>41998</v>
      </c>
      <c r="F7363" s="87" t="s">
        <v>21871</v>
      </c>
      <c r="G7363" s="45" t="s">
        <v>15638</v>
      </c>
      <c r="H7363" s="55" t="s">
        <v>15639</v>
      </c>
      <c r="I7363" s="15" t="s">
        <v>816</v>
      </c>
    </row>
    <row r="7364" spans="1:9" ht="25.15" customHeight="1" x14ac:dyDescent="0.35">
      <c r="A7364" s="15" t="s">
        <v>21975</v>
      </c>
      <c r="B7364" s="15" t="s">
        <v>41999</v>
      </c>
      <c r="C7364" s="15" t="s">
        <v>42000</v>
      </c>
      <c r="D7364" s="31">
        <v>43900</v>
      </c>
      <c r="E7364" s="15" t="s">
        <v>42001</v>
      </c>
      <c r="F7364" s="87" t="s">
        <v>21871</v>
      </c>
      <c r="G7364" s="45" t="s">
        <v>15900</v>
      </c>
      <c r="H7364" s="55" t="s">
        <v>15901</v>
      </c>
      <c r="I7364" s="15" t="s">
        <v>816</v>
      </c>
    </row>
    <row r="7365" spans="1:9" ht="20.65" customHeight="1" x14ac:dyDescent="0.35">
      <c r="A7365" s="15" t="s">
        <v>26449</v>
      </c>
      <c r="B7365" s="15" t="s">
        <v>42002</v>
      </c>
      <c r="C7365" s="15" t="s">
        <v>42003</v>
      </c>
      <c r="D7365" s="31">
        <v>43900</v>
      </c>
      <c r="E7365" s="15" t="s">
        <v>42004</v>
      </c>
      <c r="F7365" s="87" t="s">
        <v>21871</v>
      </c>
      <c r="G7365" s="45" t="s">
        <v>15900</v>
      </c>
      <c r="H7365" s="55" t="s">
        <v>15901</v>
      </c>
      <c r="I7365" s="15" t="s">
        <v>816</v>
      </c>
    </row>
    <row r="7366" spans="1:9" ht="20.65" customHeight="1" x14ac:dyDescent="0.35">
      <c r="A7366" s="15" t="s">
        <v>22618</v>
      </c>
      <c r="B7366" s="15" t="s">
        <v>42005</v>
      </c>
      <c r="C7366" s="15" t="s">
        <v>42006</v>
      </c>
      <c r="D7366" s="31">
        <v>43486</v>
      </c>
      <c r="E7366" s="15" t="s">
        <v>42007</v>
      </c>
      <c r="F7366" s="87" t="s">
        <v>21871</v>
      </c>
      <c r="G7366" s="45" t="s">
        <v>13649</v>
      </c>
      <c r="H7366" s="55" t="s">
        <v>13650</v>
      </c>
      <c r="I7366" s="15" t="s">
        <v>816</v>
      </c>
    </row>
    <row r="7367" spans="1:9" ht="22.5" customHeight="1" x14ac:dyDescent="0.35">
      <c r="A7367" s="15" t="s">
        <v>25909</v>
      </c>
      <c r="B7367" s="15" t="s">
        <v>42008</v>
      </c>
      <c r="C7367" s="15" t="s">
        <v>42009</v>
      </c>
      <c r="D7367" s="31">
        <v>44026</v>
      </c>
      <c r="E7367" s="15" t="s">
        <v>42010</v>
      </c>
      <c r="F7367" s="87" t="s">
        <v>21871</v>
      </c>
      <c r="G7367" s="45" t="s">
        <v>16514</v>
      </c>
      <c r="H7367" s="55" t="s">
        <v>16515</v>
      </c>
      <c r="I7367" s="15" t="s">
        <v>816</v>
      </c>
    </row>
    <row r="7368" spans="1:9" ht="22.5" customHeight="1" x14ac:dyDescent="0.35">
      <c r="A7368" s="15" t="s">
        <v>42011</v>
      </c>
      <c r="B7368" s="15" t="s">
        <v>42012</v>
      </c>
      <c r="C7368" s="15" t="s">
        <v>42013</v>
      </c>
      <c r="D7368" s="31">
        <v>44138</v>
      </c>
      <c r="E7368" s="15" t="s">
        <v>42014</v>
      </c>
      <c r="F7368" s="87" t="s">
        <v>21871</v>
      </c>
      <c r="G7368" s="45" t="s">
        <v>16759</v>
      </c>
      <c r="H7368" s="55" t="s">
        <v>16760</v>
      </c>
      <c r="I7368" s="15" t="s">
        <v>816</v>
      </c>
    </row>
    <row r="7369" spans="1:9" ht="22.5" customHeight="1" x14ac:dyDescent="0.35">
      <c r="A7369" s="15" t="s">
        <v>26453</v>
      </c>
      <c r="B7369" s="15" t="s">
        <v>42015</v>
      </c>
      <c r="C7369" s="15" t="s">
        <v>42016</v>
      </c>
      <c r="D7369" s="31">
        <v>43900</v>
      </c>
      <c r="E7369" s="15" t="s">
        <v>42017</v>
      </c>
      <c r="F7369" s="87" t="s">
        <v>21871</v>
      </c>
      <c r="G7369" s="45" t="s">
        <v>16440</v>
      </c>
      <c r="H7369" s="55" t="s">
        <v>16441</v>
      </c>
      <c r="I7369" s="15" t="s">
        <v>816</v>
      </c>
    </row>
    <row r="7370" spans="1:9" ht="22.5" customHeight="1" x14ac:dyDescent="0.35">
      <c r="A7370" s="15" t="s">
        <v>23533</v>
      </c>
      <c r="B7370" s="15" t="s">
        <v>42018</v>
      </c>
      <c r="C7370" s="15" t="s">
        <v>42019</v>
      </c>
      <c r="D7370" s="31">
        <v>43900</v>
      </c>
      <c r="E7370" s="15" t="s">
        <v>42020</v>
      </c>
      <c r="F7370" s="87" t="s">
        <v>21871</v>
      </c>
      <c r="G7370" s="45" t="s">
        <v>16440</v>
      </c>
      <c r="H7370" s="55" t="s">
        <v>16441</v>
      </c>
      <c r="I7370" s="15" t="s">
        <v>816</v>
      </c>
    </row>
    <row r="7371" spans="1:9" ht="42.4" customHeight="1" x14ac:dyDescent="0.35">
      <c r="A7371" s="15" t="s">
        <v>23536</v>
      </c>
      <c r="B7371" s="15" t="s">
        <v>42021</v>
      </c>
      <c r="C7371" s="15" t="s">
        <v>42022</v>
      </c>
      <c r="D7371" s="31">
        <v>43900</v>
      </c>
      <c r="E7371" s="15" t="s">
        <v>42023</v>
      </c>
      <c r="F7371" s="87" t="s">
        <v>21871</v>
      </c>
      <c r="G7371" s="45" t="s">
        <v>16440</v>
      </c>
      <c r="H7371" s="55" t="s">
        <v>16441</v>
      </c>
      <c r="I7371" s="15" t="s">
        <v>816</v>
      </c>
    </row>
    <row r="7372" spans="1:9" ht="42.4" customHeight="1" x14ac:dyDescent="0.35">
      <c r="A7372" s="15" t="s">
        <v>25921</v>
      </c>
      <c r="B7372" s="15" t="s">
        <v>42024</v>
      </c>
      <c r="C7372" s="15" t="s">
        <v>42025</v>
      </c>
      <c r="D7372" s="31">
        <v>44026</v>
      </c>
      <c r="E7372" s="15" t="s">
        <v>42026</v>
      </c>
      <c r="F7372" s="87" t="s">
        <v>21871</v>
      </c>
      <c r="G7372" s="45" t="s">
        <v>16429</v>
      </c>
      <c r="H7372" s="55" t="s">
        <v>16430</v>
      </c>
      <c r="I7372" s="15" t="s">
        <v>816</v>
      </c>
    </row>
    <row r="7373" spans="1:9" ht="42.4" customHeight="1" x14ac:dyDescent="0.35">
      <c r="A7373" s="15" t="s">
        <v>25925</v>
      </c>
      <c r="B7373" s="15" t="s">
        <v>42027</v>
      </c>
      <c r="C7373" s="15" t="s">
        <v>42028</v>
      </c>
      <c r="D7373" s="31">
        <v>44026</v>
      </c>
      <c r="E7373" s="15" t="s">
        <v>42029</v>
      </c>
      <c r="F7373" s="87" t="s">
        <v>21871</v>
      </c>
      <c r="G7373" s="45" t="s">
        <v>16429</v>
      </c>
      <c r="H7373" s="55" t="s">
        <v>16430</v>
      </c>
      <c r="I7373" s="15" t="s">
        <v>816</v>
      </c>
    </row>
    <row r="7374" spans="1:9" ht="25.9" customHeight="1" x14ac:dyDescent="0.35">
      <c r="A7374" s="15" t="s">
        <v>33932</v>
      </c>
      <c r="B7374" s="15" t="s">
        <v>42030</v>
      </c>
      <c r="C7374" s="15" t="s">
        <v>42031</v>
      </c>
      <c r="D7374" s="31">
        <v>44026</v>
      </c>
      <c r="E7374" s="15" t="s">
        <v>42032</v>
      </c>
      <c r="F7374" s="87" t="s">
        <v>21871</v>
      </c>
      <c r="G7374" s="45" t="s">
        <v>16831</v>
      </c>
      <c r="H7374" s="55" t="s">
        <v>16832</v>
      </c>
      <c r="I7374" s="15" t="s">
        <v>816</v>
      </c>
    </row>
    <row r="7375" spans="1:9" ht="25.9" customHeight="1" x14ac:dyDescent="0.35">
      <c r="A7375" s="15" t="s">
        <v>23788</v>
      </c>
      <c r="B7375" s="15" t="s">
        <v>42033</v>
      </c>
      <c r="C7375" s="15" t="s">
        <v>42034</v>
      </c>
      <c r="D7375" s="31">
        <v>43711</v>
      </c>
      <c r="E7375" s="15" t="s">
        <v>42035</v>
      </c>
      <c r="F7375" s="87" t="s">
        <v>41553</v>
      </c>
      <c r="G7375" s="45" t="s">
        <v>14713</v>
      </c>
      <c r="H7375" s="55" t="s">
        <v>14714</v>
      </c>
      <c r="I7375" s="15" t="s">
        <v>816</v>
      </c>
    </row>
    <row r="7376" spans="1:9" ht="29.25" customHeight="1" x14ac:dyDescent="0.35">
      <c r="A7376" s="15" t="s">
        <v>23788</v>
      </c>
      <c r="B7376" s="15" t="s">
        <v>42036</v>
      </c>
      <c r="C7376" s="15" t="s">
        <v>42034</v>
      </c>
      <c r="D7376" s="31">
        <v>43711</v>
      </c>
      <c r="E7376" s="15" t="s">
        <v>42037</v>
      </c>
      <c r="F7376" s="87" t="s">
        <v>21871</v>
      </c>
      <c r="G7376" s="45" t="s">
        <v>14713</v>
      </c>
      <c r="H7376" s="55" t="s">
        <v>14714</v>
      </c>
      <c r="I7376" s="15" t="s">
        <v>816</v>
      </c>
    </row>
    <row r="7377" spans="1:9" ht="34.15" customHeight="1" x14ac:dyDescent="0.35">
      <c r="A7377" s="15"/>
      <c r="B7377" s="15" t="s">
        <v>42038</v>
      </c>
      <c r="C7377" s="15" t="s">
        <v>42039</v>
      </c>
      <c r="D7377" s="28">
        <v>44075</v>
      </c>
      <c r="E7377" s="15" t="s">
        <v>42040</v>
      </c>
      <c r="F7377" s="87" t="s">
        <v>41553</v>
      </c>
      <c r="G7377" s="45" t="s">
        <v>17844</v>
      </c>
      <c r="H7377" s="54" t="s">
        <v>17845</v>
      </c>
      <c r="I7377" s="5" t="s">
        <v>816</v>
      </c>
    </row>
    <row r="7378" spans="1:9" ht="34.15" customHeight="1" x14ac:dyDescent="0.35">
      <c r="A7378" s="15"/>
      <c r="B7378" s="15" t="s">
        <v>42041</v>
      </c>
      <c r="C7378" s="15" t="s">
        <v>42042</v>
      </c>
      <c r="D7378" s="28">
        <v>44076</v>
      </c>
      <c r="E7378" s="15" t="s">
        <v>42043</v>
      </c>
      <c r="F7378" s="87" t="s">
        <v>41553</v>
      </c>
      <c r="G7378" s="45" t="s">
        <v>17844</v>
      </c>
      <c r="H7378" s="54" t="s">
        <v>17845</v>
      </c>
      <c r="I7378" s="5" t="s">
        <v>816</v>
      </c>
    </row>
    <row r="7379" spans="1:9" ht="33.4" customHeight="1" x14ac:dyDescent="0.35">
      <c r="A7379" s="15"/>
      <c r="B7379" s="15" t="s">
        <v>42044</v>
      </c>
      <c r="C7379" s="15" t="s">
        <v>42045</v>
      </c>
      <c r="D7379" s="28">
        <v>44348</v>
      </c>
      <c r="E7379" s="15" t="s">
        <v>42046</v>
      </c>
      <c r="F7379" s="87" t="s">
        <v>41553</v>
      </c>
      <c r="G7379" s="45" t="s">
        <v>17844</v>
      </c>
      <c r="H7379" s="54" t="s">
        <v>17845</v>
      </c>
      <c r="I7379" s="21" t="s">
        <v>816</v>
      </c>
    </row>
    <row r="7380" spans="1:9" ht="33.4" customHeight="1" x14ac:dyDescent="0.35">
      <c r="A7380" s="15"/>
      <c r="B7380" s="15" t="s">
        <v>42047</v>
      </c>
      <c r="C7380" s="15" t="s">
        <v>42039</v>
      </c>
      <c r="D7380" s="28">
        <v>44075</v>
      </c>
      <c r="E7380" s="15" t="s">
        <v>42040</v>
      </c>
      <c r="F7380" s="87" t="s">
        <v>41553</v>
      </c>
      <c r="G7380" s="45" t="s">
        <v>17910</v>
      </c>
      <c r="H7380" s="54" t="s">
        <v>17911</v>
      </c>
      <c r="I7380" s="21" t="s">
        <v>816</v>
      </c>
    </row>
    <row r="7381" spans="1:9" ht="33.4" customHeight="1" x14ac:dyDescent="0.35">
      <c r="A7381" s="15"/>
      <c r="B7381" s="15" t="s">
        <v>42048</v>
      </c>
      <c r="C7381" s="15" t="s">
        <v>42042</v>
      </c>
      <c r="D7381" s="28">
        <v>44075</v>
      </c>
      <c r="E7381" s="15" t="s">
        <v>42043</v>
      </c>
      <c r="F7381" s="87" t="s">
        <v>41553</v>
      </c>
      <c r="G7381" s="45" t="s">
        <v>17910</v>
      </c>
      <c r="H7381" s="54" t="s">
        <v>17911</v>
      </c>
      <c r="I7381" s="21" t="s">
        <v>816</v>
      </c>
    </row>
    <row r="7382" spans="1:9" ht="33.4" customHeight="1" x14ac:dyDescent="0.35">
      <c r="A7382" s="15"/>
      <c r="B7382" s="15" t="s">
        <v>42049</v>
      </c>
      <c r="C7382" s="15" t="s">
        <v>42045</v>
      </c>
      <c r="D7382" s="28">
        <v>44348</v>
      </c>
      <c r="E7382" s="15" t="s">
        <v>42046</v>
      </c>
      <c r="F7382" s="87" t="s">
        <v>41553</v>
      </c>
      <c r="G7382" s="45" t="s">
        <v>17910</v>
      </c>
      <c r="H7382" s="54" t="s">
        <v>17911</v>
      </c>
      <c r="I7382" s="21" t="s">
        <v>816</v>
      </c>
    </row>
    <row r="7383" spans="1:9" ht="33" customHeight="1" x14ac:dyDescent="0.35">
      <c r="A7383" s="15"/>
      <c r="B7383" s="15" t="s">
        <v>42050</v>
      </c>
      <c r="C7383" s="15" t="s">
        <v>42039</v>
      </c>
      <c r="D7383" s="28">
        <v>44075</v>
      </c>
      <c r="E7383" s="15" t="s">
        <v>42040</v>
      </c>
      <c r="F7383" s="87" t="s">
        <v>41553</v>
      </c>
      <c r="G7383" s="45" t="s">
        <v>17930</v>
      </c>
      <c r="H7383" s="54" t="s">
        <v>17931</v>
      </c>
      <c r="I7383" s="5" t="s">
        <v>816</v>
      </c>
    </row>
    <row r="7384" spans="1:9" ht="33" customHeight="1" x14ac:dyDescent="0.35">
      <c r="A7384" s="15"/>
      <c r="B7384" s="15" t="s">
        <v>42051</v>
      </c>
      <c r="C7384" s="15" t="s">
        <v>42042</v>
      </c>
      <c r="D7384" s="28">
        <v>44075</v>
      </c>
      <c r="E7384" s="15" t="s">
        <v>42043</v>
      </c>
      <c r="F7384" s="87" t="s">
        <v>41553</v>
      </c>
      <c r="G7384" s="45" t="s">
        <v>17930</v>
      </c>
      <c r="H7384" s="54" t="s">
        <v>17931</v>
      </c>
      <c r="I7384" s="5" t="s">
        <v>816</v>
      </c>
    </row>
    <row r="7385" spans="1:9" ht="33" customHeight="1" x14ac:dyDescent="0.35">
      <c r="A7385" s="15"/>
      <c r="B7385" s="15" t="s">
        <v>42052</v>
      </c>
      <c r="C7385" s="15" t="s">
        <v>42045</v>
      </c>
      <c r="D7385" s="28">
        <v>44348</v>
      </c>
      <c r="E7385" s="15" t="s">
        <v>42046</v>
      </c>
      <c r="F7385" s="87" t="s">
        <v>41553</v>
      </c>
      <c r="G7385" s="45" t="s">
        <v>17930</v>
      </c>
      <c r="H7385" s="54" t="s">
        <v>17931</v>
      </c>
      <c r="I7385" s="5" t="s">
        <v>816</v>
      </c>
    </row>
    <row r="7386" spans="1:9" ht="33" customHeight="1" x14ac:dyDescent="0.35">
      <c r="A7386" s="15"/>
      <c r="B7386" s="15" t="s">
        <v>42053</v>
      </c>
      <c r="C7386" s="15" t="s">
        <v>42054</v>
      </c>
      <c r="D7386" s="28">
        <v>44348</v>
      </c>
      <c r="E7386" s="15" t="s">
        <v>42055</v>
      </c>
      <c r="F7386" s="87" t="s">
        <v>41553</v>
      </c>
      <c r="G7386" s="45" t="s">
        <v>17219</v>
      </c>
      <c r="H7386" s="54" t="s">
        <v>17220</v>
      </c>
      <c r="I7386" s="5" t="s">
        <v>816</v>
      </c>
    </row>
    <row r="7387" spans="1:9" ht="33" customHeight="1" x14ac:dyDescent="0.35">
      <c r="A7387" s="15"/>
      <c r="B7387" s="15" t="str">
        <f>CONCATENATE(G7387,"/",COUNTIF($G$2:G7387,G7387))</f>
        <v>HU-6269/1</v>
      </c>
      <c r="C7387" s="15" t="s">
        <v>42056</v>
      </c>
      <c r="D7387" s="28">
        <v>44433</v>
      </c>
      <c r="E7387" s="15" t="s">
        <v>42057</v>
      </c>
      <c r="F7387" s="87" t="s">
        <v>21871</v>
      </c>
      <c r="G7387" s="45" t="s">
        <v>17558</v>
      </c>
      <c r="H7387" s="54" t="s">
        <v>17559</v>
      </c>
      <c r="I7387" s="5" t="s">
        <v>816</v>
      </c>
    </row>
    <row r="7388" spans="1:9" ht="28.9" customHeight="1" x14ac:dyDescent="0.35">
      <c r="A7388" s="15"/>
      <c r="B7388" s="15" t="str">
        <f>CONCATENATE(G7388,"/",COUNTIF($G$2:G7388,G7388))</f>
        <v>HU-6269/2</v>
      </c>
      <c r="C7388" s="15" t="s">
        <v>42058</v>
      </c>
      <c r="D7388" s="28">
        <v>44433</v>
      </c>
      <c r="E7388" s="15" t="s">
        <v>42059</v>
      </c>
      <c r="F7388" s="87" t="s">
        <v>21871</v>
      </c>
      <c r="G7388" s="45" t="s">
        <v>17558</v>
      </c>
      <c r="H7388" s="54" t="s">
        <v>17559</v>
      </c>
      <c r="I7388" s="5" t="s">
        <v>816</v>
      </c>
    </row>
    <row r="7389" spans="1:9" ht="28.9" customHeight="1" x14ac:dyDescent="0.35">
      <c r="A7389" s="15"/>
      <c r="B7389" s="15" t="str">
        <f>CONCATENATE(G7389,"/",COUNTIF($G$2:G7389,G7389))</f>
        <v>HU-6269/3</v>
      </c>
      <c r="C7389" s="15" t="s">
        <v>42060</v>
      </c>
      <c r="D7389" s="28">
        <v>44433</v>
      </c>
      <c r="E7389" s="15" t="s">
        <v>42061</v>
      </c>
      <c r="F7389" s="87" t="s">
        <v>21871</v>
      </c>
      <c r="G7389" s="45" t="s">
        <v>17558</v>
      </c>
      <c r="H7389" s="54" t="s">
        <v>17559</v>
      </c>
      <c r="I7389" s="5" t="s">
        <v>816</v>
      </c>
    </row>
    <row r="7390" spans="1:9" ht="34.5" customHeight="1" x14ac:dyDescent="0.35">
      <c r="A7390" s="15"/>
      <c r="B7390" s="15" t="str">
        <f>CONCATENATE(G7390,"/",COUNTIF($G$2:G7390,G7390))</f>
        <v>HU-6275/1</v>
      </c>
      <c r="C7390" s="15" t="s">
        <v>42062</v>
      </c>
      <c r="D7390" s="28">
        <v>44432</v>
      </c>
      <c r="E7390" s="15" t="s">
        <v>42063</v>
      </c>
      <c r="F7390" s="87" t="s">
        <v>21871</v>
      </c>
      <c r="G7390" s="45" t="s">
        <v>17776</v>
      </c>
      <c r="H7390" s="54" t="s">
        <v>17777</v>
      </c>
      <c r="I7390" s="5" t="s">
        <v>816</v>
      </c>
    </row>
    <row r="7391" spans="1:9" ht="31.5" customHeight="1" x14ac:dyDescent="0.35">
      <c r="A7391" s="15"/>
      <c r="B7391" s="15" t="str">
        <f>CONCATENATE(G7391,"/",COUNTIF($G$2:G7391,G7391))</f>
        <v>HU-6373/1</v>
      </c>
      <c r="C7391" s="15" t="s">
        <v>42064</v>
      </c>
      <c r="D7391" s="28">
        <v>44432</v>
      </c>
      <c r="E7391" s="15" t="s">
        <v>42065</v>
      </c>
      <c r="F7391" s="87" t="s">
        <v>21871</v>
      </c>
      <c r="G7391" s="45" t="s">
        <v>18319</v>
      </c>
      <c r="H7391" s="55" t="s">
        <v>18320</v>
      </c>
      <c r="I7391" s="15" t="s">
        <v>816</v>
      </c>
    </row>
    <row r="7392" spans="1:9" ht="31.5" customHeight="1" x14ac:dyDescent="0.35">
      <c r="A7392" s="15"/>
      <c r="B7392" s="15" t="str">
        <f>CONCATENATE(G7392,"/",COUNTIF($G$2:G7392,G7392))</f>
        <v>HU-6373/2</v>
      </c>
      <c r="C7392" s="15" t="s">
        <v>42066</v>
      </c>
      <c r="D7392" s="28">
        <v>44432</v>
      </c>
      <c r="E7392" s="15" t="s">
        <v>42067</v>
      </c>
      <c r="F7392" s="87" t="s">
        <v>21871</v>
      </c>
      <c r="G7392" s="45" t="s">
        <v>18319</v>
      </c>
      <c r="H7392" s="55" t="s">
        <v>18320</v>
      </c>
      <c r="I7392" s="15" t="s">
        <v>816</v>
      </c>
    </row>
    <row r="7393" spans="1:9" ht="53.25" customHeight="1" x14ac:dyDescent="0.35">
      <c r="A7393" s="15"/>
      <c r="B7393" s="15" t="str">
        <f>CONCATENATE(G7393,"/",COUNTIF($G$2:G7393,G7393))</f>
        <v>CZ-10028/1</v>
      </c>
      <c r="C7393" s="15" t="s">
        <v>21892</v>
      </c>
      <c r="D7393" s="28">
        <v>44512</v>
      </c>
      <c r="E7393" s="15" t="s">
        <v>42068</v>
      </c>
      <c r="F7393" s="87" t="s">
        <v>21871</v>
      </c>
      <c r="G7393" s="47" t="s">
        <v>18583</v>
      </c>
      <c r="H7393" s="76" t="s">
        <v>18584</v>
      </c>
      <c r="I7393" s="21" t="s">
        <v>16397</v>
      </c>
    </row>
    <row r="7394" spans="1:9" ht="30.75" customHeight="1" x14ac:dyDescent="0.35">
      <c r="A7394" s="15"/>
      <c r="B7394" s="15" t="str">
        <f>CONCATENATE(G7394,"/",COUNTIF($G$2:G7394,G7394))</f>
        <v>PL-10018/1</v>
      </c>
      <c r="C7394" s="15" t="s">
        <v>42069</v>
      </c>
      <c r="D7394" s="28">
        <v>44483</v>
      </c>
      <c r="E7394" s="15" t="s">
        <v>42070</v>
      </c>
      <c r="F7394" s="87" t="s">
        <v>21871</v>
      </c>
      <c r="G7394" s="47" t="s">
        <v>18431</v>
      </c>
      <c r="H7394" s="76" t="s">
        <v>18432</v>
      </c>
      <c r="I7394" s="21" t="s">
        <v>17018</v>
      </c>
    </row>
    <row r="7395" spans="1:9" ht="30.75" customHeight="1" x14ac:dyDescent="0.35">
      <c r="A7395" s="15"/>
      <c r="B7395" s="15" t="str">
        <f>CONCATENATE(G7395,"/",COUNTIF($G$2:G7395,G7395))</f>
        <v>PL-10018/2</v>
      </c>
      <c r="C7395" s="15" t="s">
        <v>42071</v>
      </c>
      <c r="D7395" s="28">
        <v>44483</v>
      </c>
      <c r="E7395" s="15" t="s">
        <v>42072</v>
      </c>
      <c r="F7395" s="87" t="s">
        <v>21871</v>
      </c>
      <c r="G7395" s="47" t="s">
        <v>18431</v>
      </c>
      <c r="H7395" s="76" t="s">
        <v>18432</v>
      </c>
      <c r="I7395" s="21" t="s">
        <v>17018</v>
      </c>
    </row>
    <row r="7396" spans="1:9" ht="30.75" customHeight="1" x14ac:dyDescent="0.35">
      <c r="A7396" s="15"/>
      <c r="B7396" s="15" t="str">
        <f>CONCATENATE(G7396,"/",COUNTIF($G$2:G7396,G7396))</f>
        <v>PL-10018/3</v>
      </c>
      <c r="C7396" s="15" t="s">
        <v>42073</v>
      </c>
      <c r="D7396" s="28">
        <v>44483</v>
      </c>
      <c r="E7396" s="15" t="s">
        <v>42074</v>
      </c>
      <c r="F7396" s="87" t="s">
        <v>21871</v>
      </c>
      <c r="G7396" s="47" t="s">
        <v>18431</v>
      </c>
      <c r="H7396" s="76" t="s">
        <v>18432</v>
      </c>
      <c r="I7396" s="21" t="s">
        <v>17018</v>
      </c>
    </row>
    <row r="7397" spans="1:9" ht="30.75" customHeight="1" x14ac:dyDescent="0.35">
      <c r="A7397" s="15"/>
      <c r="B7397" s="15" t="str">
        <f>CONCATENATE(G7397,"/",COUNTIF($G$2:G7397,G7397))</f>
        <v>PL-10018/4</v>
      </c>
      <c r="C7397" s="15" t="s">
        <v>42075</v>
      </c>
      <c r="D7397" s="28">
        <v>44483</v>
      </c>
      <c r="E7397" s="15" t="s">
        <v>42076</v>
      </c>
      <c r="F7397" s="87" t="s">
        <v>21871</v>
      </c>
      <c r="G7397" s="47" t="s">
        <v>18431</v>
      </c>
      <c r="H7397" s="76" t="s">
        <v>18432</v>
      </c>
      <c r="I7397" s="21" t="s">
        <v>17018</v>
      </c>
    </row>
    <row r="7398" spans="1:9" ht="37.5" customHeight="1" x14ac:dyDescent="0.35">
      <c r="A7398" s="15"/>
      <c r="B7398" s="15" t="str">
        <f>CONCATENATE(G7398,"/",COUNTIF($G$2:G7398,G7398))</f>
        <v>CZ-6299/1</v>
      </c>
      <c r="C7398" s="15" t="s">
        <v>21892</v>
      </c>
      <c r="D7398" s="28">
        <v>44525</v>
      </c>
      <c r="E7398" s="15" t="s">
        <v>42077</v>
      </c>
      <c r="F7398" s="87" t="s">
        <v>21871</v>
      </c>
      <c r="G7398" s="45" t="s">
        <v>17925</v>
      </c>
      <c r="H7398" s="54" t="s">
        <v>17926</v>
      </c>
      <c r="I7398" s="5" t="s">
        <v>16397</v>
      </c>
    </row>
    <row r="7399" spans="1:9" ht="37.5" customHeight="1" x14ac:dyDescent="0.35">
      <c r="A7399" s="15"/>
      <c r="B7399" s="15" t="str">
        <f>CONCATENATE(G7399,"/",COUNTIF($G$2:G7399,G7399))</f>
        <v>CZ-6299/2</v>
      </c>
      <c r="C7399" s="15" t="s">
        <v>21896</v>
      </c>
      <c r="D7399" s="28">
        <v>44525</v>
      </c>
      <c r="E7399" s="15" t="s">
        <v>42078</v>
      </c>
      <c r="F7399" s="87" t="s">
        <v>21871</v>
      </c>
      <c r="G7399" s="45" t="s">
        <v>17925</v>
      </c>
      <c r="H7399" s="54" t="s">
        <v>17926</v>
      </c>
      <c r="I7399" s="5" t="s">
        <v>16397</v>
      </c>
    </row>
    <row r="7400" spans="1:9" ht="37.15" customHeight="1" x14ac:dyDescent="0.35">
      <c r="A7400" s="15"/>
      <c r="B7400" s="15" t="str">
        <f>CONCATENATE(G7400,"/",COUNTIF($G$2:G7400,G7400))</f>
        <v>CZ-6336/1</v>
      </c>
      <c r="C7400" s="15">
        <v>1</v>
      </c>
      <c r="D7400" s="28">
        <v>44531</v>
      </c>
      <c r="E7400" s="15" t="s">
        <v>42079</v>
      </c>
      <c r="F7400" s="87" t="s">
        <v>21871</v>
      </c>
      <c r="G7400" s="45" t="s">
        <v>18131</v>
      </c>
      <c r="H7400" s="54" t="s">
        <v>18132</v>
      </c>
      <c r="I7400" s="5" t="s">
        <v>16397</v>
      </c>
    </row>
    <row r="7401" spans="1:9" ht="37.15" customHeight="1" x14ac:dyDescent="0.35">
      <c r="A7401" s="15"/>
      <c r="B7401" s="15" t="str">
        <f>CONCATENATE(G7401,"/",COUNTIF($G$2:G7401,G7401))</f>
        <v>CZ-6336/2</v>
      </c>
      <c r="C7401" s="15">
        <v>2</v>
      </c>
      <c r="D7401" s="28">
        <v>44531</v>
      </c>
      <c r="E7401" s="15" t="s">
        <v>42080</v>
      </c>
      <c r="F7401" s="87" t="s">
        <v>21871</v>
      </c>
      <c r="G7401" s="45" t="s">
        <v>18131</v>
      </c>
      <c r="H7401" s="54" t="s">
        <v>18132</v>
      </c>
      <c r="I7401" s="5" t="s">
        <v>16397</v>
      </c>
    </row>
    <row r="7402" spans="1:9" ht="31.15" customHeight="1" x14ac:dyDescent="0.35">
      <c r="A7402" s="15"/>
      <c r="B7402" s="15" t="str">
        <f>CONCATENATE(G7402,"/",COUNTIF($G$2:G7402,G7402))</f>
        <v>HU-10007/1</v>
      </c>
      <c r="C7402" s="15" t="s">
        <v>42081</v>
      </c>
      <c r="D7402" s="28">
        <v>44350</v>
      </c>
      <c r="E7402" s="15" t="s">
        <v>42082</v>
      </c>
      <c r="F7402" s="87" t="s">
        <v>21871</v>
      </c>
      <c r="G7402" s="16" t="s">
        <v>17565</v>
      </c>
      <c r="H7402" s="55" t="s">
        <v>17566</v>
      </c>
      <c r="I7402" s="15" t="s">
        <v>17537</v>
      </c>
    </row>
    <row r="7403" spans="1:9" ht="32.25" customHeight="1" x14ac:dyDescent="0.35">
      <c r="A7403" s="15"/>
      <c r="B7403" s="15" t="str">
        <f>CONCATENATE(G7403,"/",COUNTIF($G$2:G7403,G7403))</f>
        <v>HU-10042/1</v>
      </c>
      <c r="C7403" s="15" t="s">
        <v>42083</v>
      </c>
      <c r="D7403" s="28" t="s">
        <v>42084</v>
      </c>
      <c r="E7403" s="15" t="s">
        <v>42085</v>
      </c>
      <c r="F7403" s="87" t="s">
        <v>21871</v>
      </c>
      <c r="G7403" s="47" t="s">
        <v>18597</v>
      </c>
      <c r="H7403" s="76" t="s">
        <v>18598</v>
      </c>
      <c r="I7403" s="21" t="s">
        <v>17537</v>
      </c>
    </row>
    <row r="7404" spans="1:9" ht="36.75" customHeight="1" x14ac:dyDescent="0.35">
      <c r="A7404" s="15"/>
      <c r="B7404" s="15" t="str">
        <f>CONCATENATE(G7404,"/",COUNTIF($G$2:G7404,G7404))</f>
        <v>HU-6360/1</v>
      </c>
      <c r="C7404" s="15" t="s">
        <v>42086</v>
      </c>
      <c r="D7404" s="9">
        <v>44536</v>
      </c>
      <c r="E7404" s="15" t="s">
        <v>42087</v>
      </c>
      <c r="F7404" s="87" t="s">
        <v>21871</v>
      </c>
      <c r="G7404" s="45" t="s">
        <v>18281</v>
      </c>
      <c r="H7404" s="76" t="s">
        <v>18282</v>
      </c>
      <c r="I7404" s="21" t="s">
        <v>17537</v>
      </c>
    </row>
    <row r="7405" spans="1:9" ht="34.15" customHeight="1" x14ac:dyDescent="0.35">
      <c r="A7405" s="21"/>
      <c r="B7405" s="15" t="str">
        <f>CONCATENATE(G7405,"/",COUNTIF($G$2:G7405,G7405))</f>
        <v>SK-10157/1</v>
      </c>
      <c r="C7405" s="21" t="s">
        <v>19108</v>
      </c>
      <c r="D7405" s="9">
        <v>44481</v>
      </c>
      <c r="E7405" s="21" t="s">
        <v>42088</v>
      </c>
      <c r="F7405" s="87" t="s">
        <v>21871</v>
      </c>
      <c r="G7405" s="47" t="s">
        <v>19105</v>
      </c>
      <c r="H7405" s="76" t="s">
        <v>19106</v>
      </c>
      <c r="I7405" s="21" t="s">
        <v>19107</v>
      </c>
    </row>
    <row r="7406" spans="1:9" ht="30.75" customHeight="1" x14ac:dyDescent="0.35">
      <c r="A7406" s="21"/>
      <c r="B7406" s="15" t="str">
        <f>CONCATENATE(G7406,"/",COUNTIF($G$2:G7406,G7406))</f>
        <v>HR-6370/1</v>
      </c>
      <c r="C7406" s="21" t="s">
        <v>42089</v>
      </c>
      <c r="D7406" s="9">
        <v>44516</v>
      </c>
      <c r="E7406" s="21" t="s">
        <v>42090</v>
      </c>
      <c r="F7406" s="87" t="s">
        <v>21871</v>
      </c>
      <c r="G7406" s="45" t="s">
        <v>18237</v>
      </c>
      <c r="H7406" s="55" t="s">
        <v>18238</v>
      </c>
      <c r="I7406" s="15" t="s">
        <v>9767</v>
      </c>
    </row>
    <row r="7407" spans="1:9" ht="30.75" customHeight="1" x14ac:dyDescent="0.35">
      <c r="A7407" s="21"/>
      <c r="B7407" s="15" t="str">
        <f>CONCATENATE(G7407,"/",COUNTIF($G$2:G7407,G7407))</f>
        <v>HR-6370/2</v>
      </c>
      <c r="C7407" s="21" t="s">
        <v>42091</v>
      </c>
      <c r="D7407" s="9">
        <v>44516</v>
      </c>
      <c r="E7407" s="21" t="s">
        <v>42092</v>
      </c>
      <c r="F7407" s="87" t="s">
        <v>21871</v>
      </c>
      <c r="G7407" s="45" t="s">
        <v>18237</v>
      </c>
      <c r="H7407" s="55" t="s">
        <v>18238</v>
      </c>
      <c r="I7407" s="15" t="s">
        <v>9767</v>
      </c>
    </row>
    <row r="7408" spans="1:9" ht="32.25" customHeight="1" x14ac:dyDescent="0.35">
      <c r="A7408" s="21"/>
      <c r="B7408" s="15" t="str">
        <f>CONCATENATE(G7408,"/",COUNTIF($G$2:G7408,G7408))</f>
        <v>BE-6195/1</v>
      </c>
      <c r="C7408" s="21" t="s">
        <v>42093</v>
      </c>
      <c r="D7408" s="6">
        <v>44533</v>
      </c>
      <c r="E7408" s="21" t="s">
        <v>42094</v>
      </c>
      <c r="F7408" s="87" t="s">
        <v>21871</v>
      </c>
      <c r="G7408" s="45" t="s">
        <v>17349</v>
      </c>
      <c r="H7408" s="54" t="s">
        <v>17350</v>
      </c>
      <c r="I7408" s="5" t="s">
        <v>14722</v>
      </c>
    </row>
    <row r="7409" spans="1:9" ht="32.25" customHeight="1" x14ac:dyDescent="0.35">
      <c r="A7409" s="21"/>
      <c r="B7409" s="15" t="str">
        <f>CONCATENATE(G7409,"/",COUNTIF($G$2:G7409,G7409))</f>
        <v>BE-6195/2</v>
      </c>
      <c r="C7409" s="21" t="s">
        <v>42095</v>
      </c>
      <c r="D7409" s="6">
        <v>44533</v>
      </c>
      <c r="E7409" s="21" t="s">
        <v>42096</v>
      </c>
      <c r="F7409" s="87" t="s">
        <v>21871</v>
      </c>
      <c r="G7409" s="45" t="s">
        <v>17349</v>
      </c>
      <c r="H7409" s="54" t="s">
        <v>17350</v>
      </c>
      <c r="I7409" s="5" t="s">
        <v>14722</v>
      </c>
    </row>
    <row r="7410" spans="1:9" ht="34.15" customHeight="1" x14ac:dyDescent="0.35">
      <c r="A7410" s="21"/>
      <c r="B7410" s="15" t="str">
        <f>CONCATENATE(G7410,"/",COUNTIF($G$2:G7410,G7410))</f>
        <v>UK-6147/1</v>
      </c>
      <c r="C7410" s="21">
        <v>1</v>
      </c>
      <c r="D7410" s="63">
        <v>44105</v>
      </c>
      <c r="E7410" s="21" t="s">
        <v>42097</v>
      </c>
      <c r="F7410" s="87" t="s">
        <v>21871</v>
      </c>
      <c r="G7410" s="45" t="s">
        <v>17174</v>
      </c>
      <c r="H7410" s="54" t="s">
        <v>17175</v>
      </c>
      <c r="I7410" s="5" t="s">
        <v>214</v>
      </c>
    </row>
    <row r="7411" spans="1:9" ht="36" customHeight="1" x14ac:dyDescent="0.35">
      <c r="A7411" s="21"/>
      <c r="B7411" s="15" t="str">
        <f>CONCATENATE(G7411,"/",COUNTIF($G$2:G7411,G7411))</f>
        <v>UK-6147/2</v>
      </c>
      <c r="C7411" s="21">
        <v>2</v>
      </c>
      <c r="D7411" s="63">
        <v>44105</v>
      </c>
      <c r="E7411" s="21" t="s">
        <v>42098</v>
      </c>
      <c r="F7411" s="87" t="s">
        <v>21871</v>
      </c>
      <c r="G7411" s="45" t="s">
        <v>17174</v>
      </c>
      <c r="H7411" s="54" t="s">
        <v>17175</v>
      </c>
      <c r="I7411" s="5" t="s">
        <v>214</v>
      </c>
    </row>
    <row r="7412" spans="1:9" ht="28.15" customHeight="1" x14ac:dyDescent="0.35">
      <c r="A7412" s="21"/>
      <c r="B7412" s="15" t="str">
        <f>CONCATENATE(G7412,"/",COUNTIF($G$2:G7412,G7412))</f>
        <v>UK-6185/1</v>
      </c>
      <c r="C7412" s="21">
        <v>1</v>
      </c>
      <c r="D7412" s="6">
        <v>44256</v>
      </c>
      <c r="E7412" s="21" t="s">
        <v>42099</v>
      </c>
      <c r="F7412" s="87" t="s">
        <v>21871</v>
      </c>
      <c r="G7412" s="45" t="s">
        <v>17290</v>
      </c>
      <c r="H7412" s="54" t="s">
        <v>17291</v>
      </c>
      <c r="I7412" s="5" t="s">
        <v>214</v>
      </c>
    </row>
    <row r="7413" spans="1:9" ht="28.15" customHeight="1" x14ac:dyDescent="0.35">
      <c r="A7413" s="21"/>
      <c r="B7413" s="15" t="str">
        <f>CONCATENATE(G7413,"/",COUNTIF($G$2:G7413,G7413))</f>
        <v>UK-6185/2</v>
      </c>
      <c r="C7413" s="21">
        <v>2</v>
      </c>
      <c r="D7413" s="6">
        <v>44256</v>
      </c>
      <c r="E7413" s="21" t="s">
        <v>42100</v>
      </c>
      <c r="F7413" s="87" t="s">
        <v>21871</v>
      </c>
      <c r="G7413" s="45" t="s">
        <v>17290</v>
      </c>
      <c r="H7413" s="54" t="s">
        <v>17291</v>
      </c>
      <c r="I7413" s="5" t="s">
        <v>214</v>
      </c>
    </row>
    <row r="7414" spans="1:9" ht="26.65" customHeight="1" x14ac:dyDescent="0.35">
      <c r="A7414" s="21"/>
      <c r="B7414" s="15" t="str">
        <f>CONCATENATE(G7414,"/",COUNTIF($G$2:G7414,G7414))</f>
        <v>UK-6241/1</v>
      </c>
      <c r="C7414" s="21">
        <v>1</v>
      </c>
      <c r="D7414" s="6">
        <v>44228</v>
      </c>
      <c r="E7414" s="21" t="s">
        <v>42101</v>
      </c>
      <c r="F7414" s="87" t="s">
        <v>21871</v>
      </c>
      <c r="G7414" s="45" t="s">
        <v>17446</v>
      </c>
      <c r="H7414" s="54" t="s">
        <v>17447</v>
      </c>
      <c r="I7414" s="5" t="s">
        <v>214</v>
      </c>
    </row>
    <row r="7415" spans="1:9" ht="26.65" customHeight="1" x14ac:dyDescent="0.35">
      <c r="A7415" s="21"/>
      <c r="B7415" s="15" t="str">
        <f>CONCATENATE(G7415,"/",COUNTIF($G$2:G7415,G7415))</f>
        <v>UK-6241/2</v>
      </c>
      <c r="C7415" s="21">
        <v>2</v>
      </c>
      <c r="D7415" s="6">
        <v>44228</v>
      </c>
      <c r="E7415" s="21" t="s">
        <v>42102</v>
      </c>
      <c r="F7415" s="87" t="s">
        <v>21871</v>
      </c>
      <c r="G7415" s="45" t="s">
        <v>17446</v>
      </c>
      <c r="H7415" s="54" t="s">
        <v>17447</v>
      </c>
      <c r="I7415" s="5" t="s">
        <v>214</v>
      </c>
    </row>
    <row r="7416" spans="1:9" ht="26.65" customHeight="1" x14ac:dyDescent="0.35">
      <c r="A7416" s="21"/>
      <c r="B7416" s="15" t="str">
        <f>CONCATENATE(G7416,"/",COUNTIF($G$2:G7416,G7416))</f>
        <v>UK-6241/3</v>
      </c>
      <c r="C7416" s="21">
        <v>3</v>
      </c>
      <c r="D7416" s="6">
        <v>44228</v>
      </c>
      <c r="E7416" s="21" t="s">
        <v>42103</v>
      </c>
      <c r="F7416" s="87" t="s">
        <v>21871</v>
      </c>
      <c r="G7416" s="45" t="s">
        <v>17446</v>
      </c>
      <c r="H7416" s="54" t="s">
        <v>17447</v>
      </c>
      <c r="I7416" s="5" t="s">
        <v>214</v>
      </c>
    </row>
    <row r="7417" spans="1:9" ht="26.65" customHeight="1" x14ac:dyDescent="0.35">
      <c r="A7417" s="21"/>
      <c r="B7417" s="15" t="str">
        <f>CONCATENATE(G7417,"/",COUNTIF($G$2:G7417,G7417))</f>
        <v>UK-6241/4</v>
      </c>
      <c r="C7417" s="21">
        <v>4</v>
      </c>
      <c r="D7417" s="6">
        <v>44228</v>
      </c>
      <c r="E7417" s="21" t="s">
        <v>42104</v>
      </c>
      <c r="F7417" s="87" t="s">
        <v>21871</v>
      </c>
      <c r="G7417" s="45" t="s">
        <v>17446</v>
      </c>
      <c r="H7417" s="54" t="s">
        <v>17447</v>
      </c>
      <c r="I7417" s="5" t="s">
        <v>214</v>
      </c>
    </row>
    <row r="7418" spans="1:9" ht="26.65" customHeight="1" x14ac:dyDescent="0.35">
      <c r="A7418" s="21"/>
      <c r="B7418" s="15" t="str">
        <f>CONCATENATE(G7418,"/",COUNTIF($G$2:G7418,G7418))</f>
        <v>UK-6241/5</v>
      </c>
      <c r="C7418" s="21">
        <v>5</v>
      </c>
      <c r="D7418" s="6">
        <v>44228</v>
      </c>
      <c r="E7418" s="21" t="s">
        <v>42105</v>
      </c>
      <c r="F7418" s="87" t="s">
        <v>21871</v>
      </c>
      <c r="G7418" s="45" t="s">
        <v>17446</v>
      </c>
      <c r="H7418" s="54" t="s">
        <v>17447</v>
      </c>
      <c r="I7418" s="5" t="s">
        <v>214</v>
      </c>
    </row>
    <row r="7419" spans="1:9" ht="26.65" customHeight="1" x14ac:dyDescent="0.35">
      <c r="A7419" s="21"/>
      <c r="B7419" s="15" t="str">
        <f>CONCATENATE(G7419,"/",COUNTIF($G$2:G7419,G7419))</f>
        <v>UK-6241/6</v>
      </c>
      <c r="C7419" s="21">
        <v>6</v>
      </c>
      <c r="D7419" s="6">
        <v>44228</v>
      </c>
      <c r="E7419" s="21" t="s">
        <v>42106</v>
      </c>
      <c r="F7419" s="87" t="s">
        <v>21871</v>
      </c>
      <c r="G7419" s="45" t="s">
        <v>17446</v>
      </c>
      <c r="H7419" s="54" t="s">
        <v>17447</v>
      </c>
      <c r="I7419" s="5" t="s">
        <v>214</v>
      </c>
    </row>
    <row r="7420" spans="1:9" ht="24" customHeight="1" x14ac:dyDescent="0.35">
      <c r="A7420" s="21"/>
      <c r="B7420" s="15" t="str">
        <f>CONCATENATE(G7420,"/",COUNTIF($G$2:G7420,G7420))</f>
        <v>UK-6256/1</v>
      </c>
      <c r="C7420" s="21">
        <v>1</v>
      </c>
      <c r="D7420" s="6">
        <v>44348</v>
      </c>
      <c r="E7420" s="21" t="s">
        <v>42107</v>
      </c>
      <c r="F7420" s="87" t="s">
        <v>21871</v>
      </c>
      <c r="G7420" s="45" t="s">
        <v>17618</v>
      </c>
      <c r="H7420" s="54" t="s">
        <v>17619</v>
      </c>
      <c r="I7420" s="5" t="s">
        <v>214</v>
      </c>
    </row>
    <row r="7421" spans="1:9" ht="24" customHeight="1" x14ac:dyDescent="0.35">
      <c r="A7421" s="21"/>
      <c r="B7421" s="15" t="str">
        <f>CONCATENATE(G7421,"/",COUNTIF($G$2:G7421,G7421))</f>
        <v>UK-6256/2</v>
      </c>
      <c r="C7421" s="21">
        <v>2</v>
      </c>
      <c r="D7421" s="6">
        <v>44348</v>
      </c>
      <c r="E7421" s="21" t="s">
        <v>42108</v>
      </c>
      <c r="F7421" s="87" t="s">
        <v>21871</v>
      </c>
      <c r="G7421" s="45" t="s">
        <v>17618</v>
      </c>
      <c r="H7421" s="54" t="s">
        <v>17619</v>
      </c>
      <c r="I7421" s="5" t="s">
        <v>214</v>
      </c>
    </row>
    <row r="7422" spans="1:9" ht="24" customHeight="1" x14ac:dyDescent="0.35">
      <c r="A7422" s="21"/>
      <c r="B7422" s="15" t="str">
        <f>CONCATENATE(G7422,"/",COUNTIF($G$2:G7422,G7422))</f>
        <v>UK-6256/3</v>
      </c>
      <c r="C7422" s="21">
        <v>3</v>
      </c>
      <c r="D7422" s="6">
        <v>44348</v>
      </c>
      <c r="E7422" s="21" t="s">
        <v>42109</v>
      </c>
      <c r="F7422" s="87" t="s">
        <v>21871</v>
      </c>
      <c r="G7422" s="45" t="s">
        <v>17618</v>
      </c>
      <c r="H7422" s="54" t="s">
        <v>17619</v>
      </c>
      <c r="I7422" s="5" t="s">
        <v>214</v>
      </c>
    </row>
    <row r="7423" spans="1:9" ht="25.5" customHeight="1" x14ac:dyDescent="0.35">
      <c r="A7423" s="21"/>
      <c r="B7423" s="15" t="str">
        <f>CONCATENATE(G7423,"/",COUNTIF($G$2:G7423,G7423))</f>
        <v>UK-6289/1</v>
      </c>
      <c r="C7423" s="21">
        <v>1</v>
      </c>
      <c r="D7423" s="6">
        <v>44440</v>
      </c>
      <c r="E7423" s="21" t="s">
        <v>42110</v>
      </c>
      <c r="F7423" s="87" t="s">
        <v>21871</v>
      </c>
      <c r="G7423" s="45" t="s">
        <v>17754</v>
      </c>
      <c r="H7423" s="54" t="s">
        <v>17755</v>
      </c>
      <c r="I7423" s="5" t="s">
        <v>214</v>
      </c>
    </row>
    <row r="7424" spans="1:9" ht="25.5" customHeight="1" x14ac:dyDescent="0.35">
      <c r="A7424" s="21"/>
      <c r="B7424" s="15" t="str">
        <f>CONCATENATE(G7424,"/",COUNTIF($G$2:G7424,G7424))</f>
        <v>UK-6289/2</v>
      </c>
      <c r="C7424" s="21">
        <v>2</v>
      </c>
      <c r="D7424" s="6">
        <v>44440</v>
      </c>
      <c r="E7424" s="21" t="s">
        <v>42111</v>
      </c>
      <c r="F7424" s="87" t="s">
        <v>21871</v>
      </c>
      <c r="G7424" s="45" t="s">
        <v>17754</v>
      </c>
      <c r="H7424" s="54" t="s">
        <v>17755</v>
      </c>
      <c r="I7424" s="5" t="s">
        <v>214</v>
      </c>
    </row>
    <row r="7425" spans="1:9" ht="25.5" customHeight="1" x14ac:dyDescent="0.35">
      <c r="A7425" s="21"/>
      <c r="B7425" s="15" t="str">
        <f>CONCATENATE(G7425,"/",COUNTIF($G$2:G7425,G7425))</f>
        <v>UK-6289/3</v>
      </c>
      <c r="C7425" s="21">
        <v>3</v>
      </c>
      <c r="D7425" s="6">
        <v>44440</v>
      </c>
      <c r="E7425" s="21" t="s">
        <v>42112</v>
      </c>
      <c r="F7425" s="87" t="s">
        <v>21871</v>
      </c>
      <c r="G7425" s="45" t="s">
        <v>17754</v>
      </c>
      <c r="H7425" s="54" t="s">
        <v>17755</v>
      </c>
      <c r="I7425" s="5" t="s">
        <v>214</v>
      </c>
    </row>
    <row r="7426" spans="1:9" ht="30.75" customHeight="1" x14ac:dyDescent="0.35">
      <c r="A7426" s="21"/>
      <c r="B7426" s="15" t="str">
        <f>CONCATENATE(G7426,"/",COUNTIF($G$2:G7426,G7426))</f>
        <v>UK-6293/1</v>
      </c>
      <c r="C7426" s="21">
        <v>1</v>
      </c>
      <c r="D7426" s="6">
        <v>44378</v>
      </c>
      <c r="E7426" s="21" t="s">
        <v>42113</v>
      </c>
      <c r="F7426" s="87" t="s">
        <v>21871</v>
      </c>
      <c r="G7426" s="45" t="s">
        <v>17823</v>
      </c>
      <c r="H7426" s="54" t="s">
        <v>17824</v>
      </c>
      <c r="I7426" s="5" t="s">
        <v>214</v>
      </c>
    </row>
    <row r="7427" spans="1:9" ht="30.75" customHeight="1" x14ac:dyDescent="0.35">
      <c r="A7427" s="21"/>
      <c r="B7427" s="15" t="str">
        <f>CONCATENATE(G7427,"/",COUNTIF($G$2:G7427,G7427))</f>
        <v>UK-6293/2</v>
      </c>
      <c r="C7427" s="21">
        <v>2</v>
      </c>
      <c r="D7427" s="6">
        <v>44378</v>
      </c>
      <c r="E7427" s="21" t="s">
        <v>42114</v>
      </c>
      <c r="F7427" s="87" t="s">
        <v>21871</v>
      </c>
      <c r="G7427" s="45" t="s">
        <v>17823</v>
      </c>
      <c r="H7427" s="54" t="s">
        <v>17824</v>
      </c>
      <c r="I7427" s="5" t="s">
        <v>214</v>
      </c>
    </row>
    <row r="7428" spans="1:9" ht="30.75" customHeight="1" x14ac:dyDescent="0.35">
      <c r="A7428" s="21"/>
      <c r="B7428" s="15" t="str">
        <f>CONCATENATE(G7428,"/",COUNTIF($G$2:G7428,G7428))</f>
        <v>UK-6293/3</v>
      </c>
      <c r="C7428" s="21">
        <v>3</v>
      </c>
      <c r="D7428" s="6">
        <v>44378</v>
      </c>
      <c r="E7428" s="21" t="s">
        <v>42115</v>
      </c>
      <c r="F7428" s="87" t="s">
        <v>21871</v>
      </c>
      <c r="G7428" s="45" t="s">
        <v>17823</v>
      </c>
      <c r="H7428" s="54" t="s">
        <v>17824</v>
      </c>
      <c r="I7428" s="5" t="s">
        <v>214</v>
      </c>
    </row>
    <row r="7429" spans="1:9" ht="24" customHeight="1" x14ac:dyDescent="0.35">
      <c r="A7429" s="21"/>
      <c r="B7429" s="15" t="str">
        <f>CONCATENATE(G7429,"/",COUNTIF($G$2:G7429,G7429))</f>
        <v>BG-10090/1</v>
      </c>
      <c r="C7429" s="21" t="s">
        <v>42116</v>
      </c>
      <c r="D7429" s="63">
        <v>44531</v>
      </c>
      <c r="E7429" s="21" t="s">
        <v>42117</v>
      </c>
      <c r="F7429" s="87" t="s">
        <v>21871</v>
      </c>
      <c r="G7429" s="47" t="s">
        <v>18856</v>
      </c>
      <c r="H7429" s="54" t="s">
        <v>18857</v>
      </c>
      <c r="I7429" s="21" t="s">
        <v>17728</v>
      </c>
    </row>
    <row r="7430" spans="1:9" ht="24" customHeight="1" x14ac:dyDescent="0.35">
      <c r="A7430" s="21"/>
      <c r="B7430" s="15" t="str">
        <f>CONCATENATE(G7430,"/",COUNTIF($G$2:G7430,G7430))</f>
        <v>BG-10090/2</v>
      </c>
      <c r="C7430" s="21" t="s">
        <v>42118</v>
      </c>
      <c r="D7430" s="63">
        <v>44531</v>
      </c>
      <c r="E7430" s="21" t="s">
        <v>42119</v>
      </c>
      <c r="F7430" s="87" t="s">
        <v>21871</v>
      </c>
      <c r="G7430" s="47" t="s">
        <v>18856</v>
      </c>
      <c r="H7430" s="54" t="s">
        <v>18857</v>
      </c>
      <c r="I7430" s="21" t="s">
        <v>17728</v>
      </c>
    </row>
    <row r="7431" spans="1:9" ht="24" customHeight="1" x14ac:dyDescent="0.35">
      <c r="A7431" s="21"/>
      <c r="B7431" s="15" t="str">
        <f>CONCATENATE(G7431,"/",COUNTIF($G$2:G7431,G7431))</f>
        <v>BG-10090/3</v>
      </c>
      <c r="C7431" s="21" t="s">
        <v>42120</v>
      </c>
      <c r="D7431" s="63">
        <v>44531</v>
      </c>
      <c r="E7431" s="21" t="s">
        <v>42121</v>
      </c>
      <c r="F7431" s="87" t="s">
        <v>21871</v>
      </c>
      <c r="G7431" s="47" t="s">
        <v>18856</v>
      </c>
      <c r="H7431" s="54" t="s">
        <v>18857</v>
      </c>
      <c r="I7431" s="21" t="s">
        <v>17728</v>
      </c>
    </row>
    <row r="7432" spans="1:9" ht="34.15" customHeight="1" x14ac:dyDescent="0.35">
      <c r="A7432" s="21"/>
      <c r="B7432" s="15" t="str">
        <f>CONCATENATE(G7432,"/",COUNTIF($G$2:G7432,G7432))</f>
        <v>FR-6357/1</v>
      </c>
      <c r="C7432" s="21" t="s">
        <v>42122</v>
      </c>
      <c r="D7432" s="63">
        <v>44510</v>
      </c>
      <c r="E7432" s="21" t="s">
        <v>42123</v>
      </c>
      <c r="F7432" s="87" t="s">
        <v>21871</v>
      </c>
      <c r="G7432" s="45" t="s">
        <v>18230</v>
      </c>
      <c r="H7432" s="54" t="s">
        <v>18231</v>
      </c>
      <c r="I7432" s="5" t="s">
        <v>16278</v>
      </c>
    </row>
    <row r="7433" spans="1:9" ht="26.25" customHeight="1" x14ac:dyDescent="0.35">
      <c r="A7433" s="21"/>
      <c r="B7433" s="15" t="str">
        <f>CONCATENATE(G7433,"/",COUNTIF($G$2:G7433,G7433))</f>
        <v>ES-6274/1</v>
      </c>
      <c r="C7433" s="21" t="s">
        <v>42124</v>
      </c>
      <c r="D7433" s="63">
        <v>44455</v>
      </c>
      <c r="E7433" s="21" t="s">
        <v>42125</v>
      </c>
      <c r="F7433" s="87" t="s">
        <v>21871</v>
      </c>
      <c r="G7433" s="45" t="s">
        <v>17767</v>
      </c>
      <c r="H7433" s="54" t="s">
        <v>17768</v>
      </c>
      <c r="I7433" s="5" t="s">
        <v>17769</v>
      </c>
    </row>
    <row r="7434" spans="1:9" ht="26.25" customHeight="1" x14ac:dyDescent="0.35">
      <c r="A7434" s="21"/>
      <c r="B7434" s="15" t="str">
        <f>CONCATENATE(G7434,"/",COUNTIF($G$2:G7434,G7434))</f>
        <v>ES-6274/2</v>
      </c>
      <c r="C7434" s="21" t="s">
        <v>42126</v>
      </c>
      <c r="D7434" s="63">
        <v>44455</v>
      </c>
      <c r="E7434" s="21" t="s">
        <v>42127</v>
      </c>
      <c r="F7434" s="87" t="s">
        <v>21871</v>
      </c>
      <c r="G7434" s="45" t="s">
        <v>17767</v>
      </c>
      <c r="H7434" s="54" t="s">
        <v>17768</v>
      </c>
      <c r="I7434" s="5" t="s">
        <v>17769</v>
      </c>
    </row>
    <row r="7435" spans="1:9" ht="26.25" customHeight="1" x14ac:dyDescent="0.35">
      <c r="A7435" s="21"/>
      <c r="B7435" s="15" t="str">
        <f>CONCATENATE(G7435,"/",COUNTIF($G$2:G7435,G7435))</f>
        <v>ES-6274/3</v>
      </c>
      <c r="C7435" s="21" t="s">
        <v>42128</v>
      </c>
      <c r="D7435" s="63">
        <v>44455</v>
      </c>
      <c r="E7435" s="21" t="s">
        <v>42129</v>
      </c>
      <c r="F7435" s="87" t="s">
        <v>21871</v>
      </c>
      <c r="G7435" s="45" t="s">
        <v>17767</v>
      </c>
      <c r="H7435" s="54" t="s">
        <v>17768</v>
      </c>
      <c r="I7435" s="5" t="s">
        <v>17769</v>
      </c>
    </row>
    <row r="7436" spans="1:9" ht="26.25" customHeight="1" x14ac:dyDescent="0.35">
      <c r="A7436" s="21"/>
      <c r="B7436" s="15" t="str">
        <f>CONCATENATE(G7436,"/",COUNTIF($G$2:G7436,G7436))</f>
        <v>ES-6274/4</v>
      </c>
      <c r="C7436" s="21" t="s">
        <v>42130</v>
      </c>
      <c r="D7436" s="63">
        <v>44455</v>
      </c>
      <c r="E7436" s="21" t="s">
        <v>42131</v>
      </c>
      <c r="F7436" s="87" t="s">
        <v>21871</v>
      </c>
      <c r="G7436" s="45" t="s">
        <v>17767</v>
      </c>
      <c r="H7436" s="54" t="s">
        <v>17768</v>
      </c>
      <c r="I7436" s="5" t="s">
        <v>17769</v>
      </c>
    </row>
    <row r="7437" spans="1:9" ht="26.25" customHeight="1" x14ac:dyDescent="0.35">
      <c r="A7437" s="21"/>
      <c r="B7437" s="15" t="str">
        <f>CONCATENATE(G7437,"/",COUNTIF($G$2:G7437,G7437))</f>
        <v>ES-6274/5</v>
      </c>
      <c r="C7437" s="21" t="s">
        <v>42132</v>
      </c>
      <c r="D7437" s="63">
        <v>44455</v>
      </c>
      <c r="E7437" s="21" t="s">
        <v>42133</v>
      </c>
      <c r="F7437" s="87" t="s">
        <v>21871</v>
      </c>
      <c r="G7437" s="45" t="s">
        <v>17767</v>
      </c>
      <c r="H7437" s="54" t="s">
        <v>17768</v>
      </c>
      <c r="I7437" s="5" t="s">
        <v>17769</v>
      </c>
    </row>
    <row r="7438" spans="1:9" ht="26.25" customHeight="1" x14ac:dyDescent="0.35">
      <c r="A7438" s="21"/>
      <c r="B7438" s="15" t="str">
        <f>CONCATENATE(G7438,"/",COUNTIF($G$2:G7438,G7438))</f>
        <v>ES-6274/6</v>
      </c>
      <c r="C7438" s="21" t="s">
        <v>42134</v>
      </c>
      <c r="D7438" s="63">
        <v>44455</v>
      </c>
      <c r="E7438" s="21" t="s">
        <v>42135</v>
      </c>
      <c r="F7438" s="87" t="s">
        <v>21871</v>
      </c>
      <c r="G7438" s="45" t="s">
        <v>17767</v>
      </c>
      <c r="H7438" s="54" t="s">
        <v>17768</v>
      </c>
      <c r="I7438" s="5" t="s">
        <v>17769</v>
      </c>
    </row>
    <row r="7439" spans="1:9" ht="25.5" customHeight="1" x14ac:dyDescent="0.35">
      <c r="A7439" s="21"/>
      <c r="B7439" s="15" t="str">
        <f>CONCATENATE(G7439,"/",COUNTIF($G$2:G7439,G7439))</f>
        <v>IE-3096/1</v>
      </c>
      <c r="C7439" s="21" t="s">
        <v>42136</v>
      </c>
      <c r="D7439" s="44">
        <v>42471</v>
      </c>
      <c r="E7439" s="21" t="s">
        <v>42137</v>
      </c>
      <c r="F7439" s="87" t="s">
        <v>21871</v>
      </c>
      <c r="G7439" s="45" t="s">
        <v>9430</v>
      </c>
      <c r="H7439" s="89" t="s">
        <v>9431</v>
      </c>
      <c r="I7439" s="5" t="s">
        <v>19094</v>
      </c>
    </row>
    <row r="7440" spans="1:9" ht="25.5" customHeight="1" x14ac:dyDescent="0.35">
      <c r="A7440" s="21"/>
      <c r="B7440" s="15" t="str">
        <f>CONCATENATE(G7440,"/",COUNTIF($G$2:G7440,G7440))</f>
        <v>IE-3096/2</v>
      </c>
      <c r="C7440" s="21" t="s">
        <v>42138</v>
      </c>
      <c r="D7440" s="44">
        <v>42471</v>
      </c>
      <c r="E7440" s="21" t="s">
        <v>42139</v>
      </c>
      <c r="F7440" s="87" t="s">
        <v>21871</v>
      </c>
      <c r="G7440" s="45" t="s">
        <v>9430</v>
      </c>
      <c r="H7440" s="89" t="s">
        <v>9431</v>
      </c>
      <c r="I7440" s="5" t="s">
        <v>19094</v>
      </c>
    </row>
    <row r="7441" spans="1:9" ht="25.5" customHeight="1" x14ac:dyDescent="0.35">
      <c r="A7441" s="21"/>
      <c r="B7441" s="15" t="str">
        <f>CONCATENATE(G7441,"/",COUNTIF($G$2:G7441,G7441))</f>
        <v>IE-3096/3</v>
      </c>
      <c r="C7441" s="21" t="s">
        <v>42140</v>
      </c>
      <c r="D7441" s="44">
        <v>42471</v>
      </c>
      <c r="E7441" s="21" t="s">
        <v>42141</v>
      </c>
      <c r="F7441" s="87" t="s">
        <v>21871</v>
      </c>
      <c r="G7441" s="45" t="s">
        <v>9430</v>
      </c>
      <c r="H7441" s="89" t="s">
        <v>9431</v>
      </c>
      <c r="I7441" s="5" t="s">
        <v>19094</v>
      </c>
    </row>
    <row r="7442" spans="1:9" ht="25.5" customHeight="1" x14ac:dyDescent="0.35">
      <c r="A7442" s="21"/>
      <c r="B7442" s="15" t="str">
        <f>CONCATENATE(G7442,"/",COUNTIF($G$2:G7442,G7442))</f>
        <v>IE-3096/4</v>
      </c>
      <c r="C7442" s="21" t="s">
        <v>42142</v>
      </c>
      <c r="D7442" s="44">
        <v>42471</v>
      </c>
      <c r="E7442" s="21" t="s">
        <v>42143</v>
      </c>
      <c r="F7442" s="87" t="s">
        <v>21871</v>
      </c>
      <c r="G7442" s="45" t="s">
        <v>9430</v>
      </c>
      <c r="H7442" s="89" t="s">
        <v>9431</v>
      </c>
      <c r="I7442" s="5" t="s">
        <v>19094</v>
      </c>
    </row>
    <row r="7443" spans="1:9" ht="25.5" customHeight="1" x14ac:dyDescent="0.35">
      <c r="A7443" s="21"/>
      <c r="B7443" s="15" t="str">
        <f>CONCATENATE(G7443,"/",COUNTIF($G$2:G7443,G7443))</f>
        <v>IE-3096/5</v>
      </c>
      <c r="C7443" s="21" t="s">
        <v>42144</v>
      </c>
      <c r="D7443" s="44">
        <v>42471</v>
      </c>
      <c r="E7443" s="21" t="s">
        <v>42145</v>
      </c>
      <c r="F7443" s="87" t="s">
        <v>21871</v>
      </c>
      <c r="G7443" s="45" t="s">
        <v>9430</v>
      </c>
      <c r="H7443" s="89" t="s">
        <v>9431</v>
      </c>
      <c r="I7443" s="5" t="s">
        <v>19094</v>
      </c>
    </row>
    <row r="7444" spans="1:9" ht="25.5" customHeight="1" x14ac:dyDescent="0.35">
      <c r="A7444" s="21"/>
      <c r="B7444" s="15" t="str">
        <f>CONCATENATE(G7444,"/",COUNTIF($G$2:G7444,G7444))</f>
        <v>IE-3096/6</v>
      </c>
      <c r="C7444" s="21" t="s">
        <v>42146</v>
      </c>
      <c r="D7444" s="44">
        <v>42471</v>
      </c>
      <c r="E7444" s="21" t="s">
        <v>42147</v>
      </c>
      <c r="F7444" s="87" t="s">
        <v>21871</v>
      </c>
      <c r="G7444" s="45" t="s">
        <v>9430</v>
      </c>
      <c r="H7444" s="89" t="s">
        <v>9431</v>
      </c>
      <c r="I7444" s="5" t="s">
        <v>19094</v>
      </c>
    </row>
    <row r="7445" spans="1:9" ht="25.5" customHeight="1" x14ac:dyDescent="0.35">
      <c r="A7445" s="21"/>
      <c r="B7445" s="15" t="str">
        <f>CONCATENATE(G7445,"/",COUNTIF($G$2:G7445,G7445))</f>
        <v>IE-3096/7</v>
      </c>
      <c r="C7445" s="21" t="s">
        <v>42148</v>
      </c>
      <c r="D7445" s="44">
        <v>42471</v>
      </c>
      <c r="E7445" s="21" t="s">
        <v>42149</v>
      </c>
      <c r="F7445" s="87" t="s">
        <v>21871</v>
      </c>
      <c r="G7445" s="45" t="s">
        <v>9430</v>
      </c>
      <c r="H7445" s="89" t="s">
        <v>9431</v>
      </c>
      <c r="I7445" s="5" t="s">
        <v>19094</v>
      </c>
    </row>
    <row r="7446" spans="1:9" ht="25.5" customHeight="1" x14ac:dyDescent="0.35">
      <c r="A7446" s="21"/>
      <c r="B7446" s="15" t="str">
        <f>CONCATENATE(G7446,"/",COUNTIF($G$2:G7446,G7446))</f>
        <v>IE-3096/8</v>
      </c>
      <c r="C7446" s="21" t="s">
        <v>42150</v>
      </c>
      <c r="D7446" s="44">
        <v>42471</v>
      </c>
      <c r="E7446" s="21" t="s">
        <v>42151</v>
      </c>
      <c r="F7446" s="87" t="s">
        <v>21871</v>
      </c>
      <c r="G7446" s="45" t="s">
        <v>9430</v>
      </c>
      <c r="H7446" s="89" t="s">
        <v>9431</v>
      </c>
      <c r="I7446" s="5" t="s">
        <v>19094</v>
      </c>
    </row>
    <row r="7447" spans="1:9" ht="25.5" customHeight="1" x14ac:dyDescent="0.35">
      <c r="A7447" s="21"/>
      <c r="B7447" s="15" t="str">
        <f>CONCATENATE(G7447,"/",COUNTIF($G$2:G7447,G7447))</f>
        <v>IE-3096/9</v>
      </c>
      <c r="C7447" s="21" t="s">
        <v>42152</v>
      </c>
      <c r="D7447" s="44">
        <v>42471</v>
      </c>
      <c r="E7447" s="21" t="s">
        <v>42153</v>
      </c>
      <c r="F7447" s="87" t="s">
        <v>21871</v>
      </c>
      <c r="G7447" s="45" t="s">
        <v>9430</v>
      </c>
      <c r="H7447" s="89" t="s">
        <v>9431</v>
      </c>
      <c r="I7447" s="5" t="s">
        <v>19094</v>
      </c>
    </row>
    <row r="7448" spans="1:9" ht="25.5" customHeight="1" x14ac:dyDescent="0.35">
      <c r="A7448" s="21"/>
      <c r="B7448" s="15" t="str">
        <f>CONCATENATE(G7448,"/",COUNTIF($G$2:G7448,G7448))</f>
        <v>IE-3096/10</v>
      </c>
      <c r="C7448" s="21" t="s">
        <v>42154</v>
      </c>
      <c r="D7448" s="44">
        <v>42471</v>
      </c>
      <c r="E7448" s="21" t="s">
        <v>42155</v>
      </c>
      <c r="F7448" s="87" t="s">
        <v>21871</v>
      </c>
      <c r="G7448" s="45" t="s">
        <v>9430</v>
      </c>
      <c r="H7448" s="89" t="s">
        <v>9431</v>
      </c>
      <c r="I7448" s="5" t="s">
        <v>19094</v>
      </c>
    </row>
    <row r="7449" spans="1:9" ht="25.5" customHeight="1" x14ac:dyDescent="0.35">
      <c r="A7449" s="21"/>
      <c r="B7449" s="15" t="str">
        <f>CONCATENATE(G7449,"/",COUNTIF($G$2:G7449,G7449))</f>
        <v>IE-3096/11</v>
      </c>
      <c r="C7449" s="21" t="s">
        <v>42156</v>
      </c>
      <c r="D7449" s="44">
        <v>42471</v>
      </c>
      <c r="E7449" s="21" t="s">
        <v>42157</v>
      </c>
      <c r="F7449" s="87" t="s">
        <v>21871</v>
      </c>
      <c r="G7449" s="45" t="s">
        <v>9430</v>
      </c>
      <c r="H7449" s="89" t="s">
        <v>9431</v>
      </c>
      <c r="I7449" s="5" t="s">
        <v>19094</v>
      </c>
    </row>
    <row r="7450" spans="1:9" ht="25.5" customHeight="1" x14ac:dyDescent="0.35">
      <c r="A7450" s="21"/>
      <c r="B7450" s="15" t="str">
        <f>CONCATENATE(G7450,"/",COUNTIF($G$2:G7450,G7450))</f>
        <v>IE-3096/12</v>
      </c>
      <c r="C7450" s="21" t="s">
        <v>42158</v>
      </c>
      <c r="D7450" s="44">
        <v>42471</v>
      </c>
      <c r="E7450" s="21" t="s">
        <v>42159</v>
      </c>
      <c r="F7450" s="87" t="s">
        <v>21871</v>
      </c>
      <c r="G7450" s="45" t="s">
        <v>9430</v>
      </c>
      <c r="H7450" s="89" t="s">
        <v>9431</v>
      </c>
      <c r="I7450" s="5" t="s">
        <v>19094</v>
      </c>
    </row>
    <row r="7451" spans="1:9" ht="33.75" customHeight="1" x14ac:dyDescent="0.35">
      <c r="A7451" s="21"/>
      <c r="B7451" s="15" t="str">
        <f>CONCATENATE(G7451,"/",COUNTIF($G$2:G7451,G7451))</f>
        <v>IE-5195/1</v>
      </c>
      <c r="C7451" s="15" t="s">
        <v>42160</v>
      </c>
      <c r="D7451" s="44">
        <v>42159</v>
      </c>
      <c r="E7451" s="15" t="s">
        <v>42161</v>
      </c>
      <c r="F7451" s="87" t="s">
        <v>21871</v>
      </c>
      <c r="G7451" s="45" t="s">
        <v>9957</v>
      </c>
      <c r="H7451" s="54" t="s">
        <v>9958</v>
      </c>
      <c r="I7451" s="5" t="s">
        <v>19094</v>
      </c>
    </row>
    <row r="7452" spans="1:9" ht="34.5" customHeight="1" x14ac:dyDescent="0.35">
      <c r="A7452" s="21"/>
      <c r="B7452" s="15" t="str">
        <f>CONCATENATE(G7452,"/",COUNTIF($G$2:G7452,G7452))</f>
        <v>IE-5195/2</v>
      </c>
      <c r="C7452" s="15" t="s">
        <v>42162</v>
      </c>
      <c r="D7452" s="44">
        <v>42159</v>
      </c>
      <c r="E7452" s="15" t="s">
        <v>42163</v>
      </c>
      <c r="F7452" s="87" t="s">
        <v>21871</v>
      </c>
      <c r="G7452" s="45" t="s">
        <v>9957</v>
      </c>
      <c r="H7452" s="54" t="s">
        <v>9958</v>
      </c>
      <c r="I7452" s="5" t="s">
        <v>19094</v>
      </c>
    </row>
    <row r="7453" spans="1:9" ht="41.25" customHeight="1" x14ac:dyDescent="0.35">
      <c r="A7453" s="21"/>
      <c r="B7453" s="15" t="str">
        <f>CONCATENATE(G7453,"/",COUNTIF($G$2:G7453,G7453))</f>
        <v>IE-5195/3</v>
      </c>
      <c r="C7453" s="15" t="s">
        <v>42164</v>
      </c>
      <c r="D7453" s="44">
        <v>42159</v>
      </c>
      <c r="E7453" s="15" t="s">
        <v>42165</v>
      </c>
      <c r="F7453" s="87" t="s">
        <v>21871</v>
      </c>
      <c r="G7453" s="45" t="s">
        <v>9957</v>
      </c>
      <c r="H7453" s="54" t="s">
        <v>9958</v>
      </c>
      <c r="I7453" s="5" t="s">
        <v>19094</v>
      </c>
    </row>
    <row r="7454" spans="1:9" ht="41.25" customHeight="1" x14ac:dyDescent="0.35">
      <c r="A7454" s="21"/>
      <c r="B7454" s="15" t="str">
        <f>CONCATENATE(G7454,"/",COUNTIF($G$2:G7454,G7454))</f>
        <v>IE-5195/4</v>
      </c>
      <c r="C7454" s="15" t="s">
        <v>42166</v>
      </c>
      <c r="D7454" s="44">
        <v>42159</v>
      </c>
      <c r="E7454" s="15" t="s">
        <v>42167</v>
      </c>
      <c r="F7454" s="87" t="s">
        <v>21871</v>
      </c>
      <c r="G7454" s="45" t="s">
        <v>9957</v>
      </c>
      <c r="H7454" s="54" t="s">
        <v>9958</v>
      </c>
      <c r="I7454" s="5" t="s">
        <v>19094</v>
      </c>
    </row>
    <row r="7455" spans="1:9" ht="35.25" customHeight="1" x14ac:dyDescent="0.35">
      <c r="A7455" s="21"/>
      <c r="B7455" s="15" t="str">
        <f>CONCATENATE(G7455,"/",COUNTIF($G$2:G7455,G7455))</f>
        <v>IE-4959/1</v>
      </c>
      <c r="C7455" s="21" t="s">
        <v>42168</v>
      </c>
      <c r="D7455" s="10">
        <v>42663</v>
      </c>
      <c r="E7455" s="21" t="s">
        <v>42169</v>
      </c>
      <c r="F7455" s="87" t="s">
        <v>21871</v>
      </c>
      <c r="G7455" s="45" t="s">
        <v>11753</v>
      </c>
      <c r="H7455" s="54" t="s">
        <v>11754</v>
      </c>
      <c r="I7455" s="5" t="s">
        <v>19094</v>
      </c>
    </row>
    <row r="7456" spans="1:9" ht="34.5" customHeight="1" x14ac:dyDescent="0.35">
      <c r="A7456" s="21"/>
      <c r="B7456" s="15" t="str">
        <f>CONCATENATE(G7456,"/",COUNTIF($G$2:G7456,G7456))</f>
        <v>IE-6305/1</v>
      </c>
      <c r="C7456" s="21" t="s">
        <v>42170</v>
      </c>
      <c r="D7456" s="6">
        <v>44378</v>
      </c>
      <c r="E7456" s="21" t="s">
        <v>42171</v>
      </c>
      <c r="F7456" s="87" t="s">
        <v>21871</v>
      </c>
      <c r="G7456" s="45" t="s">
        <v>17890</v>
      </c>
      <c r="H7456" s="54" t="s">
        <v>17891</v>
      </c>
      <c r="I7456" s="5" t="s">
        <v>19094</v>
      </c>
    </row>
    <row r="7457" spans="1:9" ht="34.5" customHeight="1" x14ac:dyDescent="0.35">
      <c r="A7457" s="21"/>
      <c r="B7457" s="15" t="str">
        <f>CONCATENATE(G7457,"/",COUNTIF($G$2:G7457,G7457))</f>
        <v>IE-6305/2</v>
      </c>
      <c r="C7457" s="21" t="s">
        <v>42172</v>
      </c>
      <c r="D7457" s="6">
        <v>44378</v>
      </c>
      <c r="E7457" s="21" t="s">
        <v>42173</v>
      </c>
      <c r="F7457" s="87" t="s">
        <v>21871</v>
      </c>
      <c r="G7457" s="45" t="s">
        <v>17890</v>
      </c>
      <c r="H7457" s="54" t="s">
        <v>17891</v>
      </c>
      <c r="I7457" s="5" t="s">
        <v>19094</v>
      </c>
    </row>
    <row r="7458" spans="1:9" ht="34.5" customHeight="1" x14ac:dyDescent="0.35">
      <c r="A7458" s="21"/>
      <c r="B7458" s="15" t="str">
        <f>CONCATENATE(G7458,"/",COUNTIF($G$2:G7458,G7458))</f>
        <v>IE-6305/3</v>
      </c>
      <c r="C7458" s="21" t="s">
        <v>42174</v>
      </c>
      <c r="D7458" s="6">
        <v>44378</v>
      </c>
      <c r="E7458" s="21" t="s">
        <v>42175</v>
      </c>
      <c r="F7458" s="87" t="s">
        <v>21871</v>
      </c>
      <c r="G7458" s="45" t="s">
        <v>17890</v>
      </c>
      <c r="H7458" s="54" t="s">
        <v>17891</v>
      </c>
      <c r="I7458" s="5" t="s">
        <v>19094</v>
      </c>
    </row>
    <row r="7459" spans="1:9" ht="31.5" customHeight="1" x14ac:dyDescent="0.35">
      <c r="A7459" s="21"/>
      <c r="B7459" s="15" t="str">
        <f>CONCATENATE(G7459,"/",COUNTIF($G$2:G7459,G7459))</f>
        <v>NO-6223/1</v>
      </c>
      <c r="C7459" s="21" t="s">
        <v>42176</v>
      </c>
      <c r="D7459" s="6">
        <v>44256</v>
      </c>
      <c r="E7459" s="21" t="s">
        <v>42177</v>
      </c>
      <c r="F7459" s="87" t="s">
        <v>21871</v>
      </c>
      <c r="G7459" s="45" t="s">
        <v>17469</v>
      </c>
      <c r="H7459" s="54" t="s">
        <v>17470</v>
      </c>
      <c r="I7459" s="5" t="s">
        <v>17305</v>
      </c>
    </row>
    <row r="7460" spans="1:9" ht="31.5" customHeight="1" x14ac:dyDescent="0.35">
      <c r="A7460" s="21"/>
      <c r="B7460" s="15" t="str">
        <f>CONCATENATE(G7460,"/",COUNTIF($G$2:G7460,G7460))</f>
        <v>NO-6223/2</v>
      </c>
      <c r="C7460" s="21" t="s">
        <v>42178</v>
      </c>
      <c r="D7460" s="6">
        <v>44256</v>
      </c>
      <c r="E7460" s="21" t="s">
        <v>42179</v>
      </c>
      <c r="F7460" s="87" t="s">
        <v>21871</v>
      </c>
      <c r="G7460" s="45" t="s">
        <v>17469</v>
      </c>
      <c r="H7460" s="54" t="s">
        <v>17470</v>
      </c>
      <c r="I7460" s="5" t="s">
        <v>17305</v>
      </c>
    </row>
    <row r="7461" spans="1:9" ht="32.25" customHeight="1" x14ac:dyDescent="0.35">
      <c r="A7461" s="21"/>
      <c r="B7461" s="15" t="str">
        <f>CONCATENATE(G7461,"/",COUNTIF($G$2:G7461,G7461))</f>
        <v>NO-6331/1</v>
      </c>
      <c r="C7461" s="21" t="s">
        <v>42180</v>
      </c>
      <c r="D7461" s="6">
        <v>44370</v>
      </c>
      <c r="E7461" s="21" t="s">
        <v>42181</v>
      </c>
      <c r="F7461" s="87" t="s">
        <v>21871</v>
      </c>
      <c r="G7461" s="45" t="s">
        <v>17854</v>
      </c>
      <c r="H7461" s="54" t="s">
        <v>17855</v>
      </c>
      <c r="I7461" s="5" t="s">
        <v>17305</v>
      </c>
    </row>
    <row r="7462" spans="1:9" ht="30.75" customHeight="1" x14ac:dyDescent="0.35">
      <c r="A7462" s="21"/>
      <c r="B7462" s="15" t="str">
        <f>CONCATENATE(G7462,"/",COUNTIF($G$2:G7462,G7462))</f>
        <v>NO-6196/1</v>
      </c>
      <c r="C7462" s="21" t="s">
        <v>42182</v>
      </c>
      <c r="D7462" s="6">
        <v>44273</v>
      </c>
      <c r="E7462" s="21" t="s">
        <v>42183</v>
      </c>
      <c r="F7462" s="87" t="s">
        <v>21871</v>
      </c>
      <c r="G7462" s="45" t="s">
        <v>17303</v>
      </c>
      <c r="H7462" s="54" t="s">
        <v>17304</v>
      </c>
      <c r="I7462" s="5" t="s">
        <v>17305</v>
      </c>
    </row>
    <row r="7463" spans="1:9" ht="30.75" customHeight="1" x14ac:dyDescent="0.35">
      <c r="A7463" s="21"/>
      <c r="B7463" s="15" t="str">
        <f>CONCATENATE(G7463,"/",COUNTIF($G$2:G7463,G7463))</f>
        <v>NO-6196/2</v>
      </c>
      <c r="C7463" s="21" t="s">
        <v>42184</v>
      </c>
      <c r="D7463" s="6">
        <v>44273</v>
      </c>
      <c r="E7463" s="21" t="s">
        <v>42185</v>
      </c>
      <c r="F7463" s="87" t="s">
        <v>21871</v>
      </c>
      <c r="G7463" s="45" t="s">
        <v>17303</v>
      </c>
      <c r="H7463" s="54" t="s">
        <v>17304</v>
      </c>
      <c r="I7463" s="5" t="s">
        <v>17305</v>
      </c>
    </row>
    <row r="7464" spans="1:9" ht="30.75" customHeight="1" x14ac:dyDescent="0.35">
      <c r="A7464" s="21"/>
      <c r="B7464" s="15" t="str">
        <f>CONCATENATE(G7464,"/",COUNTIF($G$2:G7464,G7464))</f>
        <v>NO-6196/3</v>
      </c>
      <c r="C7464" s="21" t="s">
        <v>42186</v>
      </c>
      <c r="D7464" s="6">
        <v>44273</v>
      </c>
      <c r="E7464" s="21" t="s">
        <v>42187</v>
      </c>
      <c r="F7464" s="87" t="s">
        <v>21871</v>
      </c>
      <c r="G7464" s="45" t="s">
        <v>17303</v>
      </c>
      <c r="H7464" s="54" t="s">
        <v>17304</v>
      </c>
      <c r="I7464" s="5" t="s">
        <v>17305</v>
      </c>
    </row>
    <row r="7465" spans="1:9" ht="30.75" customHeight="1" x14ac:dyDescent="0.35">
      <c r="A7465" s="21"/>
      <c r="B7465" s="15" t="str">
        <f>CONCATENATE(G7465,"/",COUNTIF($G$2:G7465,G7465))</f>
        <v>NO-6196/4</v>
      </c>
      <c r="C7465" s="21" t="s">
        <v>42188</v>
      </c>
      <c r="D7465" s="6">
        <v>44273</v>
      </c>
      <c r="E7465" s="21" t="s">
        <v>42189</v>
      </c>
      <c r="F7465" s="87" t="s">
        <v>21871</v>
      </c>
      <c r="G7465" s="45" t="s">
        <v>17303</v>
      </c>
      <c r="H7465" s="54" t="s">
        <v>17304</v>
      </c>
      <c r="I7465" s="5" t="s">
        <v>17305</v>
      </c>
    </row>
    <row r="7466" spans="1:9" ht="30" customHeight="1" x14ac:dyDescent="0.35">
      <c r="A7466" s="21"/>
      <c r="B7466" s="15" t="str">
        <f>CONCATENATE(G7466,"/",COUNTIF($G$2:G7466,G7466))</f>
        <v>CZ-6296/1</v>
      </c>
      <c r="C7466" s="21" t="s">
        <v>21892</v>
      </c>
      <c r="D7466" s="6">
        <v>44551</v>
      </c>
      <c r="E7466" s="64" t="s">
        <v>42190</v>
      </c>
      <c r="F7466" s="87" t="s">
        <v>21871</v>
      </c>
      <c r="G7466" s="45" t="s">
        <v>17903</v>
      </c>
      <c r="H7466" s="54" t="s">
        <v>17904</v>
      </c>
      <c r="I7466" s="5" t="s">
        <v>16397</v>
      </c>
    </row>
    <row r="7467" spans="1:9" ht="25.15" customHeight="1" x14ac:dyDescent="0.35">
      <c r="A7467" s="21"/>
      <c r="B7467" s="15" t="str">
        <f>CONCATENATE(G7467,"/",COUNTIF($G$2:G7467,G7467))</f>
        <v>HR-10008/1</v>
      </c>
      <c r="C7467" s="21" t="s">
        <v>42191</v>
      </c>
      <c r="D7467" s="6">
        <v>44545</v>
      </c>
      <c r="E7467" s="21" t="s">
        <v>42192</v>
      </c>
      <c r="F7467" s="87" t="s">
        <v>21871</v>
      </c>
      <c r="G7467" s="16" t="s">
        <v>18372</v>
      </c>
      <c r="H7467" s="78" t="s">
        <v>18373</v>
      </c>
      <c r="I7467" s="13" t="s">
        <v>9767</v>
      </c>
    </row>
    <row r="7468" spans="1:9" ht="23.25" customHeight="1" x14ac:dyDescent="0.35">
      <c r="A7468" s="21"/>
      <c r="B7468" s="15" t="str">
        <f>CONCATENATE(G7468,"/",COUNTIF($G$2:G7468,G7468))</f>
        <v>FR-6108/1</v>
      </c>
      <c r="C7468" s="21" t="s">
        <v>42193</v>
      </c>
      <c r="D7468" s="7">
        <v>44550</v>
      </c>
      <c r="E7468" s="21" t="s">
        <v>42194</v>
      </c>
      <c r="F7468" s="87" t="s">
        <v>21871</v>
      </c>
      <c r="G7468" s="45" t="s">
        <v>17009</v>
      </c>
      <c r="H7468" s="54" t="s">
        <v>17010</v>
      </c>
      <c r="I7468" s="5" t="s">
        <v>16278</v>
      </c>
    </row>
    <row r="7469" spans="1:9" ht="23.25" customHeight="1" x14ac:dyDescent="0.35">
      <c r="A7469" s="21"/>
      <c r="B7469" s="15" t="str">
        <f>CONCATENATE(G7469,"/",COUNTIF($G$2:G7469,G7469))</f>
        <v>FR-6108/2</v>
      </c>
      <c r="C7469" s="21" t="s">
        <v>42195</v>
      </c>
      <c r="D7469" s="7">
        <v>44550</v>
      </c>
      <c r="E7469" s="21" t="s">
        <v>42196</v>
      </c>
      <c r="F7469" s="87" t="s">
        <v>21871</v>
      </c>
      <c r="G7469" s="45" t="s">
        <v>17009</v>
      </c>
      <c r="H7469" s="54" t="s">
        <v>17010</v>
      </c>
      <c r="I7469" s="5" t="s">
        <v>16278</v>
      </c>
    </row>
    <row r="7470" spans="1:9" ht="29.65" customHeight="1" x14ac:dyDescent="0.35">
      <c r="A7470" s="21"/>
      <c r="B7470" s="15" t="str">
        <f>CONCATENATE(G7470,"/",COUNTIF($G$2:G7470,G7470))</f>
        <v>BG-10101/1</v>
      </c>
      <c r="C7470" s="21" t="s">
        <v>42197</v>
      </c>
      <c r="D7470" s="62">
        <v>44544</v>
      </c>
      <c r="E7470" s="21" t="s">
        <v>42198</v>
      </c>
      <c r="F7470" s="87" t="s">
        <v>21871</v>
      </c>
      <c r="G7470" s="47" t="s">
        <v>19148</v>
      </c>
      <c r="H7470" s="54" t="s">
        <v>19149</v>
      </c>
      <c r="I7470" s="5" t="s">
        <v>17728</v>
      </c>
    </row>
    <row r="7471" spans="1:9" ht="29.65" customHeight="1" x14ac:dyDescent="0.35">
      <c r="A7471" s="21"/>
      <c r="B7471" s="15" t="str">
        <f>CONCATENATE(G7471,"/",COUNTIF($G$2:G7471,G7471))</f>
        <v>BG-10101/2</v>
      </c>
      <c r="C7471" s="21" t="s">
        <v>42199</v>
      </c>
      <c r="D7471" s="62">
        <v>44544</v>
      </c>
      <c r="E7471" s="21" t="s">
        <v>42200</v>
      </c>
      <c r="F7471" s="87" t="s">
        <v>21871</v>
      </c>
      <c r="G7471" s="47" t="s">
        <v>19148</v>
      </c>
      <c r="H7471" s="54" t="s">
        <v>19149</v>
      </c>
      <c r="I7471" s="5" t="s">
        <v>17728</v>
      </c>
    </row>
    <row r="7472" spans="1:9" ht="29.65" customHeight="1" x14ac:dyDescent="0.35">
      <c r="A7472" s="21"/>
      <c r="B7472" s="15" t="str">
        <f>CONCATENATE(G7472,"/",COUNTIF($G$2:G7472,G7472))</f>
        <v>BG-10101/3</v>
      </c>
      <c r="C7472" s="21" t="s">
        <v>42201</v>
      </c>
      <c r="D7472" s="62">
        <v>44544</v>
      </c>
      <c r="E7472" s="21" t="s">
        <v>42202</v>
      </c>
      <c r="F7472" s="87" t="s">
        <v>21871</v>
      </c>
      <c r="G7472" s="47" t="s">
        <v>19148</v>
      </c>
      <c r="H7472" s="54" t="s">
        <v>19149</v>
      </c>
      <c r="I7472" s="5" t="s">
        <v>17728</v>
      </c>
    </row>
    <row r="7473" spans="1:9" ht="28.15" customHeight="1" x14ac:dyDescent="0.35">
      <c r="A7473" s="21"/>
      <c r="B7473" s="15" t="str">
        <f>CONCATENATE(G7473,"/",COUNTIF($G$2:G7473,G7473))</f>
        <v>RO-10004/1</v>
      </c>
      <c r="C7473" s="21" t="s">
        <v>29587</v>
      </c>
      <c r="D7473" s="62">
        <v>44552</v>
      </c>
      <c r="E7473" s="21" t="s">
        <v>42203</v>
      </c>
      <c r="F7473" s="87" t="s">
        <v>21871</v>
      </c>
      <c r="G7473" s="16" t="s">
        <v>18364</v>
      </c>
      <c r="H7473" s="78" t="s">
        <v>18365</v>
      </c>
      <c r="I7473" s="13" t="s">
        <v>17638</v>
      </c>
    </row>
    <row r="7474" spans="1:9" ht="28.15" customHeight="1" x14ac:dyDescent="0.35">
      <c r="A7474" s="21"/>
      <c r="B7474" s="15" t="str">
        <f>CONCATENATE(G7474,"/",COUNTIF($G$2:G7474,G7474))</f>
        <v>RO-10004/2</v>
      </c>
      <c r="C7474" s="21" t="s">
        <v>29590</v>
      </c>
      <c r="D7474" s="62">
        <v>44552</v>
      </c>
      <c r="E7474" s="21" t="s">
        <v>42204</v>
      </c>
      <c r="F7474" s="87" t="s">
        <v>21871</v>
      </c>
      <c r="G7474" s="16" t="s">
        <v>18364</v>
      </c>
      <c r="H7474" s="78" t="s">
        <v>18365</v>
      </c>
      <c r="I7474" s="13" t="s">
        <v>17638</v>
      </c>
    </row>
    <row r="7475" spans="1:9" ht="28.15" customHeight="1" x14ac:dyDescent="0.35">
      <c r="A7475" s="21"/>
      <c r="B7475" s="15" t="str">
        <f>CONCATENATE(G7475,"/",COUNTIF($G$2:G7475,G7475))</f>
        <v>RO-10004/3</v>
      </c>
      <c r="C7475" s="21" t="s">
        <v>38033</v>
      </c>
      <c r="D7475" s="62">
        <v>44552</v>
      </c>
      <c r="E7475" s="21" t="s">
        <v>42205</v>
      </c>
      <c r="F7475" s="87" t="s">
        <v>21871</v>
      </c>
      <c r="G7475" s="16" t="s">
        <v>18364</v>
      </c>
      <c r="H7475" s="78" t="s">
        <v>18365</v>
      </c>
      <c r="I7475" s="13" t="s">
        <v>17638</v>
      </c>
    </row>
    <row r="7476" spans="1:9" ht="46.5" customHeight="1" x14ac:dyDescent="0.35">
      <c r="A7476" s="21"/>
      <c r="B7476" s="15" t="str">
        <f>CONCATENATE(G7476,"/",COUNTIF($G$2:G7476,G7476))</f>
        <v>CZ-10052/1</v>
      </c>
      <c r="C7476" s="21" t="s">
        <v>21892</v>
      </c>
      <c r="D7476" s="62">
        <v>44572</v>
      </c>
      <c r="E7476" s="21" t="s">
        <v>42206</v>
      </c>
      <c r="F7476" s="87" t="s">
        <v>21871</v>
      </c>
      <c r="G7476" s="47" t="s">
        <v>18776</v>
      </c>
      <c r="H7476" s="76" t="s">
        <v>18777</v>
      </c>
      <c r="I7476" s="21" t="s">
        <v>16397</v>
      </c>
    </row>
    <row r="7477" spans="1:9" ht="26.25" customHeight="1" x14ac:dyDescent="0.35">
      <c r="A7477" s="21"/>
      <c r="B7477" s="15" t="str">
        <f>CONCATENATE(G7477,"/",COUNTIF($G$2:G7477,G7477))</f>
        <v>PT-5610/1</v>
      </c>
      <c r="C7477" s="21" t="s">
        <v>42207</v>
      </c>
      <c r="D7477" s="62">
        <v>44522</v>
      </c>
      <c r="E7477" s="21" t="s">
        <v>42208</v>
      </c>
      <c r="F7477" s="87" t="s">
        <v>21871</v>
      </c>
      <c r="G7477" s="47" t="s">
        <v>14784</v>
      </c>
      <c r="H7477" s="76" t="s">
        <v>14785</v>
      </c>
      <c r="I7477" s="21" t="s">
        <v>16662</v>
      </c>
    </row>
    <row r="7478" spans="1:9" ht="26.25" customHeight="1" x14ac:dyDescent="0.35">
      <c r="A7478" s="21"/>
      <c r="B7478" s="15" t="str">
        <f>CONCATENATE(G7478,"/",COUNTIF($G$2:G7478,G7478))</f>
        <v>PT-5610/2</v>
      </c>
      <c r="C7478" s="21" t="s">
        <v>42209</v>
      </c>
      <c r="D7478" s="62">
        <v>44522</v>
      </c>
      <c r="E7478" s="21" t="s">
        <v>42210</v>
      </c>
      <c r="F7478" s="87" t="s">
        <v>21871</v>
      </c>
      <c r="G7478" s="47" t="s">
        <v>14784</v>
      </c>
      <c r="H7478" s="76" t="s">
        <v>14785</v>
      </c>
      <c r="I7478" s="21" t="s">
        <v>16662</v>
      </c>
    </row>
    <row r="7479" spans="1:9" ht="26.25" customHeight="1" x14ac:dyDescent="0.35">
      <c r="A7479" s="21"/>
      <c r="B7479" s="15" t="str">
        <f>CONCATENATE(G7479,"/",COUNTIF($G$2:G7479,G7479))</f>
        <v>PT-5610/3</v>
      </c>
      <c r="C7479" s="21" t="s">
        <v>42211</v>
      </c>
      <c r="D7479" s="62">
        <v>44522</v>
      </c>
      <c r="E7479" s="21" t="s">
        <v>42212</v>
      </c>
      <c r="F7479" s="87" t="s">
        <v>21871</v>
      </c>
      <c r="G7479" s="47" t="s">
        <v>14784</v>
      </c>
      <c r="H7479" s="76" t="s">
        <v>14785</v>
      </c>
      <c r="I7479" s="21" t="s">
        <v>16662</v>
      </c>
    </row>
    <row r="7480" spans="1:9" ht="26.25" customHeight="1" x14ac:dyDescent="0.35">
      <c r="A7480" s="21"/>
      <c r="B7480" s="15" t="str">
        <f>CONCATENATE(G7480,"/",COUNTIF($G$2:G7480,G7480))</f>
        <v>PT-5610/4</v>
      </c>
      <c r="C7480" s="21" t="s">
        <v>42213</v>
      </c>
      <c r="D7480" s="62">
        <v>44522</v>
      </c>
      <c r="E7480" s="21" t="s">
        <v>42214</v>
      </c>
      <c r="F7480" s="87" t="s">
        <v>21871</v>
      </c>
      <c r="G7480" s="47" t="s">
        <v>14784</v>
      </c>
      <c r="H7480" s="76" t="s">
        <v>14785</v>
      </c>
      <c r="I7480" s="21" t="s">
        <v>16662</v>
      </c>
    </row>
    <row r="7481" spans="1:9" ht="26.25" customHeight="1" x14ac:dyDescent="0.35">
      <c r="A7481" s="21"/>
      <c r="B7481" s="15" t="str">
        <f>CONCATENATE(G7481,"/",COUNTIF($G$2:G7481,G7481))</f>
        <v>PT-5610/5</v>
      </c>
      <c r="C7481" s="21" t="s">
        <v>42215</v>
      </c>
      <c r="D7481" s="62">
        <v>44522</v>
      </c>
      <c r="E7481" s="21" t="s">
        <v>42216</v>
      </c>
      <c r="F7481" s="87" t="s">
        <v>21871</v>
      </c>
      <c r="G7481" s="47" t="s">
        <v>14784</v>
      </c>
      <c r="H7481" s="76" t="s">
        <v>14785</v>
      </c>
      <c r="I7481" s="21" t="s">
        <v>16662</v>
      </c>
    </row>
    <row r="7482" spans="1:9" ht="26.25" customHeight="1" x14ac:dyDescent="0.35">
      <c r="A7482" s="21"/>
      <c r="B7482" s="15" t="str">
        <f>CONCATENATE(G7482,"/",COUNTIF($G$2:G7482,G7482))</f>
        <v>PT-5610/6</v>
      </c>
      <c r="C7482" s="21" t="s">
        <v>42217</v>
      </c>
      <c r="D7482" s="62">
        <v>44522</v>
      </c>
      <c r="E7482" s="21" t="s">
        <v>42218</v>
      </c>
      <c r="F7482" s="87" t="s">
        <v>21871</v>
      </c>
      <c r="G7482" s="47" t="s">
        <v>14784</v>
      </c>
      <c r="H7482" s="76" t="s">
        <v>14785</v>
      </c>
      <c r="I7482" s="21" t="s">
        <v>16662</v>
      </c>
    </row>
    <row r="7483" spans="1:9" ht="26.25" customHeight="1" x14ac:dyDescent="0.35">
      <c r="A7483" s="21"/>
      <c r="B7483" s="15" t="str">
        <f>CONCATENATE(G7483,"/",COUNTIF($G$2:G7483,G7483))</f>
        <v>PT-5610/7</v>
      </c>
      <c r="C7483" s="21" t="s">
        <v>42219</v>
      </c>
      <c r="D7483" s="62">
        <v>44522</v>
      </c>
      <c r="E7483" s="21" t="s">
        <v>42220</v>
      </c>
      <c r="F7483" s="87" t="s">
        <v>21871</v>
      </c>
      <c r="G7483" s="47" t="s">
        <v>14784</v>
      </c>
      <c r="H7483" s="76" t="s">
        <v>14785</v>
      </c>
      <c r="I7483" s="21" t="s">
        <v>16662</v>
      </c>
    </row>
    <row r="7484" spans="1:9" ht="26.25" customHeight="1" x14ac:dyDescent="0.35">
      <c r="A7484" s="21"/>
      <c r="B7484" s="15" t="str">
        <f>CONCATENATE(G7484,"/",COUNTIF($G$2:G7484,G7484))</f>
        <v>PT-6186/1</v>
      </c>
      <c r="C7484" s="21" t="s">
        <v>42221</v>
      </c>
      <c r="D7484" s="62">
        <v>44560</v>
      </c>
      <c r="E7484" s="21" t="s">
        <v>42222</v>
      </c>
      <c r="F7484" s="87" t="s">
        <v>21871</v>
      </c>
      <c r="G7484" s="45" t="s">
        <v>17249</v>
      </c>
      <c r="H7484" s="54" t="s">
        <v>17250</v>
      </c>
      <c r="I7484" s="21" t="s">
        <v>16662</v>
      </c>
    </row>
    <row r="7485" spans="1:9" ht="29.25" customHeight="1" x14ac:dyDescent="0.35">
      <c r="A7485" s="21"/>
      <c r="B7485" s="15" t="str">
        <f>CONCATENATE(G7485,"/",COUNTIF($G$2:G7485,G7485))</f>
        <v>FR-6222/1</v>
      </c>
      <c r="C7485" s="21" t="s">
        <v>42223</v>
      </c>
      <c r="D7485" s="6">
        <v>44582</v>
      </c>
      <c r="E7485" s="21" t="s">
        <v>42224</v>
      </c>
      <c r="F7485" s="87" t="s">
        <v>21871</v>
      </c>
      <c r="G7485" s="45" t="s">
        <v>17506</v>
      </c>
      <c r="H7485" s="54" t="s">
        <v>17507</v>
      </c>
      <c r="I7485" s="5" t="s">
        <v>16278</v>
      </c>
    </row>
    <row r="7486" spans="1:9" ht="29.25" customHeight="1" x14ac:dyDescent="0.35">
      <c r="A7486" s="21"/>
      <c r="B7486" s="15" t="str">
        <f>CONCATENATE(G7486,"/",COUNTIF($G$2:G7486,G7486))</f>
        <v>FR-6222/2</v>
      </c>
      <c r="C7486" s="21" t="s">
        <v>42225</v>
      </c>
      <c r="D7486" s="6">
        <v>44582</v>
      </c>
      <c r="E7486" s="21" t="s">
        <v>42226</v>
      </c>
      <c r="F7486" s="87" t="s">
        <v>21871</v>
      </c>
      <c r="G7486" s="45" t="s">
        <v>17506</v>
      </c>
      <c r="H7486" s="54" t="s">
        <v>17507</v>
      </c>
      <c r="I7486" s="5" t="s">
        <v>16278</v>
      </c>
    </row>
    <row r="7487" spans="1:9" ht="29.25" customHeight="1" x14ac:dyDescent="0.35">
      <c r="A7487" s="21"/>
      <c r="B7487" s="15" t="str">
        <f>CONCATENATE(G7487,"/",COUNTIF($G$2:G7487,G7487))</f>
        <v>FR-6222/3</v>
      </c>
      <c r="C7487" s="21" t="s">
        <v>42227</v>
      </c>
      <c r="D7487" s="6">
        <v>44582</v>
      </c>
      <c r="E7487" s="21" t="s">
        <v>42228</v>
      </c>
      <c r="F7487" s="87" t="s">
        <v>21871</v>
      </c>
      <c r="G7487" s="45" t="s">
        <v>17506</v>
      </c>
      <c r="H7487" s="54" t="s">
        <v>17507</v>
      </c>
      <c r="I7487" s="5" t="s">
        <v>16278</v>
      </c>
    </row>
    <row r="7488" spans="1:9" ht="29.25" customHeight="1" x14ac:dyDescent="0.35">
      <c r="A7488" s="21"/>
      <c r="B7488" s="15" t="str">
        <f>CONCATENATE(G7488,"/",COUNTIF($G$2:G7488,G7488))</f>
        <v>FR-6222/4</v>
      </c>
      <c r="C7488" s="21" t="s">
        <v>42229</v>
      </c>
      <c r="D7488" s="6">
        <v>44582</v>
      </c>
      <c r="E7488" s="21" t="s">
        <v>42230</v>
      </c>
      <c r="F7488" s="87" t="s">
        <v>21871</v>
      </c>
      <c r="G7488" s="45" t="s">
        <v>17506</v>
      </c>
      <c r="H7488" s="54" t="s">
        <v>17507</v>
      </c>
      <c r="I7488" s="5" t="s">
        <v>16278</v>
      </c>
    </row>
    <row r="7489" spans="1:9" ht="26.65" customHeight="1" x14ac:dyDescent="0.35">
      <c r="A7489" s="21"/>
      <c r="B7489" s="15" t="str">
        <f>CONCATENATE(G7489,"/",COUNTIF($G$2:G7489,G7489))</f>
        <v>CZ-6366/1</v>
      </c>
      <c r="C7489" s="21" t="s">
        <v>21892</v>
      </c>
      <c r="D7489" s="6">
        <v>44585</v>
      </c>
      <c r="E7489" s="21" t="s">
        <v>42231</v>
      </c>
      <c r="F7489" s="87" t="s">
        <v>21871</v>
      </c>
      <c r="G7489" s="45" t="s">
        <v>18307</v>
      </c>
      <c r="H7489" s="76" t="s">
        <v>18308</v>
      </c>
      <c r="I7489" s="5" t="s">
        <v>16397</v>
      </c>
    </row>
    <row r="7490" spans="1:9" ht="32.25" customHeight="1" x14ac:dyDescent="0.35">
      <c r="A7490" s="21"/>
      <c r="B7490" s="15" t="str">
        <f>CONCATENATE(G7490,"/",COUNTIF($G$2:G7490,G7490))</f>
        <v>RO-10016/1</v>
      </c>
      <c r="C7490" s="21" t="s">
        <v>42232</v>
      </c>
      <c r="D7490" s="6">
        <v>44595</v>
      </c>
      <c r="E7490" s="21" t="s">
        <v>42233</v>
      </c>
      <c r="F7490" s="87" t="s">
        <v>21871</v>
      </c>
      <c r="G7490" s="47" t="s">
        <v>18482</v>
      </c>
      <c r="H7490" s="76" t="s">
        <v>18483</v>
      </c>
      <c r="I7490" s="20" t="s">
        <v>17638</v>
      </c>
    </row>
    <row r="7491" spans="1:9" ht="32.25" customHeight="1" x14ac:dyDescent="0.35">
      <c r="A7491" s="21"/>
      <c r="B7491" s="15" t="str">
        <f>CONCATENATE(G7491,"/",COUNTIF($G$2:G7491,G7491))</f>
        <v>RO-10016/2</v>
      </c>
      <c r="C7491" s="21" t="s">
        <v>42234</v>
      </c>
      <c r="D7491" s="6">
        <v>44595</v>
      </c>
      <c r="E7491" s="21" t="s">
        <v>42235</v>
      </c>
      <c r="F7491" s="87" t="s">
        <v>21871</v>
      </c>
      <c r="G7491" s="47" t="s">
        <v>18482</v>
      </c>
      <c r="H7491" s="76" t="s">
        <v>18483</v>
      </c>
      <c r="I7491" s="20" t="s">
        <v>17638</v>
      </c>
    </row>
    <row r="7492" spans="1:9" ht="32.25" customHeight="1" x14ac:dyDescent="0.35">
      <c r="A7492" s="21"/>
      <c r="B7492" s="15" t="str">
        <f>CONCATENATE(G7492,"/",COUNTIF($G$2:G7492,G7492))</f>
        <v>RO-10016/3</v>
      </c>
      <c r="C7492" s="21" t="s">
        <v>42236</v>
      </c>
      <c r="D7492" s="6">
        <v>44595</v>
      </c>
      <c r="E7492" s="21" t="s">
        <v>42237</v>
      </c>
      <c r="F7492" s="87" t="s">
        <v>21871</v>
      </c>
      <c r="G7492" s="47" t="s">
        <v>18482</v>
      </c>
      <c r="H7492" s="76" t="s">
        <v>18483</v>
      </c>
      <c r="I7492" s="20" t="s">
        <v>17638</v>
      </c>
    </row>
    <row r="7493" spans="1:9" ht="36" customHeight="1" x14ac:dyDescent="0.35">
      <c r="A7493" s="21"/>
      <c r="B7493" s="15" t="str">
        <f>CONCATENATE(G7493,"/",COUNTIF($G$2:G7493,G7493))</f>
        <v>HR-10033/1</v>
      </c>
      <c r="C7493" s="21" t="s">
        <v>42238</v>
      </c>
      <c r="D7493" s="6">
        <v>44600</v>
      </c>
      <c r="E7493" s="21" t="s">
        <v>42239</v>
      </c>
      <c r="F7493" s="87" t="s">
        <v>21871</v>
      </c>
      <c r="G7493" s="47" t="s">
        <v>18440</v>
      </c>
      <c r="H7493" s="76" t="s">
        <v>18441</v>
      </c>
      <c r="I7493" s="20" t="s">
        <v>9767</v>
      </c>
    </row>
    <row r="7494" spans="1:9" ht="30" customHeight="1" x14ac:dyDescent="0.35">
      <c r="A7494" s="21"/>
      <c r="B7494" s="15" t="str">
        <f>CONCATENATE(G7494,"/",COUNTIF($G$2:G7494,G7494))</f>
        <v>IT-6182/1</v>
      </c>
      <c r="C7494" s="21" t="s">
        <v>42240</v>
      </c>
      <c r="D7494" s="6">
        <v>44589</v>
      </c>
      <c r="E7494" s="21" t="s">
        <v>42241</v>
      </c>
      <c r="F7494" s="87" t="s">
        <v>21871</v>
      </c>
      <c r="G7494" s="45" t="s">
        <v>17356</v>
      </c>
      <c r="H7494" s="54" t="s">
        <v>17357</v>
      </c>
      <c r="I7494" s="5" t="s">
        <v>18076</v>
      </c>
    </row>
    <row r="7495" spans="1:9" ht="30" customHeight="1" x14ac:dyDescent="0.35">
      <c r="A7495" s="21"/>
      <c r="B7495" s="15" t="str">
        <f>CONCATENATE(G7495,"/",COUNTIF($G$2:G7495,G7495))</f>
        <v>IT-6182/2</v>
      </c>
      <c r="C7495" s="21" t="s">
        <v>42242</v>
      </c>
      <c r="D7495" s="6">
        <v>44589</v>
      </c>
      <c r="E7495" s="21" t="s">
        <v>42243</v>
      </c>
      <c r="F7495" s="87" t="s">
        <v>21871</v>
      </c>
      <c r="G7495" s="45" t="s">
        <v>17356</v>
      </c>
      <c r="H7495" s="54" t="s">
        <v>17357</v>
      </c>
      <c r="I7495" s="5" t="s">
        <v>18076</v>
      </c>
    </row>
    <row r="7496" spans="1:9" ht="30" customHeight="1" x14ac:dyDescent="0.35">
      <c r="A7496" s="21"/>
      <c r="B7496" s="15" t="str">
        <f>CONCATENATE(G7496,"/",COUNTIF($G$2:G7496,G7496))</f>
        <v>IT-6182/3</v>
      </c>
      <c r="C7496" s="21" t="s">
        <v>42244</v>
      </c>
      <c r="D7496" s="6">
        <v>44589</v>
      </c>
      <c r="E7496" s="21" t="s">
        <v>42245</v>
      </c>
      <c r="F7496" s="87" t="s">
        <v>21871</v>
      </c>
      <c r="G7496" s="45" t="s">
        <v>17356</v>
      </c>
      <c r="H7496" s="54" t="s">
        <v>17357</v>
      </c>
      <c r="I7496" s="5" t="s">
        <v>18076</v>
      </c>
    </row>
    <row r="7497" spans="1:9" ht="30" customHeight="1" x14ac:dyDescent="0.35">
      <c r="A7497" s="21"/>
      <c r="B7497" s="15" t="str">
        <f>CONCATENATE(G7497,"/",COUNTIF($G$2:G7497,G7497))</f>
        <v>IT-6182/4</v>
      </c>
      <c r="C7497" s="21" t="s">
        <v>42246</v>
      </c>
      <c r="D7497" s="6">
        <v>44589</v>
      </c>
      <c r="E7497" s="21" t="s">
        <v>42247</v>
      </c>
      <c r="F7497" s="87" t="s">
        <v>21871</v>
      </c>
      <c r="G7497" s="45" t="s">
        <v>17356</v>
      </c>
      <c r="H7497" s="54" t="s">
        <v>17357</v>
      </c>
      <c r="I7497" s="5" t="s">
        <v>18076</v>
      </c>
    </row>
    <row r="7498" spans="1:9" ht="30" customHeight="1" x14ac:dyDescent="0.35">
      <c r="A7498" s="21"/>
      <c r="B7498" s="15" t="str">
        <f>CONCATENATE(G7498,"/",COUNTIF($G$2:G7498,G7498))</f>
        <v>IT-6182/5</v>
      </c>
      <c r="C7498" s="21" t="s">
        <v>42248</v>
      </c>
      <c r="D7498" s="6">
        <v>44589</v>
      </c>
      <c r="E7498" s="21" t="s">
        <v>42249</v>
      </c>
      <c r="F7498" s="87" t="s">
        <v>21871</v>
      </c>
      <c r="G7498" s="45" t="s">
        <v>17356</v>
      </c>
      <c r="H7498" s="54" t="s">
        <v>17357</v>
      </c>
      <c r="I7498" s="5" t="s">
        <v>18076</v>
      </c>
    </row>
    <row r="7499" spans="1:9" ht="32.65" customHeight="1" x14ac:dyDescent="0.35">
      <c r="A7499" s="21"/>
      <c r="B7499" s="15" t="str">
        <f>CONCATENATE(G7499,"/",COUNTIF($G$2:G7499,G7499))</f>
        <v>BG-10124/1</v>
      </c>
      <c r="C7499" s="21" t="s">
        <v>42250</v>
      </c>
      <c r="D7499" s="6">
        <v>44615</v>
      </c>
      <c r="E7499" s="21" t="s">
        <v>42251</v>
      </c>
      <c r="F7499" s="87" t="s">
        <v>21871</v>
      </c>
      <c r="G7499" s="47" t="s">
        <v>19301</v>
      </c>
      <c r="H7499" s="54" t="s">
        <v>19302</v>
      </c>
      <c r="I7499" s="5" t="s">
        <v>17728</v>
      </c>
    </row>
    <row r="7500" spans="1:9" ht="32.65" customHeight="1" x14ac:dyDescent="0.35">
      <c r="A7500" s="21"/>
      <c r="B7500" s="15" t="str">
        <f>CONCATENATE(G7500,"/",COUNTIF($G$2:G7500,G7500))</f>
        <v>BG-10124/2</v>
      </c>
      <c r="C7500" s="21" t="s">
        <v>42252</v>
      </c>
      <c r="D7500" s="6">
        <v>44615</v>
      </c>
      <c r="E7500" s="21" t="s">
        <v>42253</v>
      </c>
      <c r="F7500" s="87" t="s">
        <v>21871</v>
      </c>
      <c r="G7500" s="47" t="s">
        <v>19301</v>
      </c>
      <c r="H7500" s="54" t="s">
        <v>19302</v>
      </c>
      <c r="I7500" s="5" t="s">
        <v>17728</v>
      </c>
    </row>
    <row r="7501" spans="1:9" ht="32.65" customHeight="1" x14ac:dyDescent="0.35">
      <c r="A7501" s="21"/>
      <c r="B7501" s="15" t="str">
        <f>CONCATENATE(G7501,"/",COUNTIF($G$2:G7501,G7501))</f>
        <v>BG-10124/3</v>
      </c>
      <c r="C7501" s="21" t="s">
        <v>42254</v>
      </c>
      <c r="D7501" s="6">
        <v>44615</v>
      </c>
      <c r="E7501" s="21" t="s">
        <v>42255</v>
      </c>
      <c r="F7501" s="87" t="s">
        <v>21871</v>
      </c>
      <c r="G7501" s="47" t="s">
        <v>19301</v>
      </c>
      <c r="H7501" s="54" t="s">
        <v>19302</v>
      </c>
      <c r="I7501" s="5" t="s">
        <v>17728</v>
      </c>
    </row>
    <row r="7502" spans="1:9" ht="32.65" customHeight="1" x14ac:dyDescent="0.35">
      <c r="A7502" s="21"/>
      <c r="B7502" s="15" t="str">
        <f>CONCATENATE(G7502,"/",COUNTIF($G$2:G7502,G7502))</f>
        <v>BG-10124/4</v>
      </c>
      <c r="C7502" s="21" t="s">
        <v>42256</v>
      </c>
      <c r="D7502" s="6">
        <v>44615</v>
      </c>
      <c r="E7502" s="21" t="s">
        <v>42257</v>
      </c>
      <c r="F7502" s="87" t="s">
        <v>21871</v>
      </c>
      <c r="G7502" s="47" t="s">
        <v>19301</v>
      </c>
      <c r="H7502" s="54" t="s">
        <v>19302</v>
      </c>
      <c r="I7502" s="5" t="s">
        <v>17728</v>
      </c>
    </row>
    <row r="7503" spans="1:9" ht="36.75" customHeight="1" x14ac:dyDescent="0.35">
      <c r="A7503" s="21"/>
      <c r="B7503" s="15" t="str">
        <f>CONCATENATE(G7503,"/",COUNTIF($G$2:G7503,G7503))</f>
        <v>PL-10041/1</v>
      </c>
      <c r="C7503" s="21" t="s">
        <v>42258</v>
      </c>
      <c r="D7503" s="6">
        <v>44615</v>
      </c>
      <c r="E7503" s="21" t="s">
        <v>42259</v>
      </c>
      <c r="F7503" s="87" t="s">
        <v>21871</v>
      </c>
      <c r="G7503" s="47" t="s">
        <v>18673</v>
      </c>
      <c r="H7503" s="76" t="s">
        <v>18674</v>
      </c>
      <c r="I7503" s="21" t="s">
        <v>17018</v>
      </c>
    </row>
    <row r="7504" spans="1:9" ht="36.75" customHeight="1" x14ac:dyDescent="0.35">
      <c r="A7504" s="21"/>
      <c r="B7504" s="15" t="str">
        <f>CONCATENATE(G7504,"/",COUNTIF($G$2:G7504,G7504))</f>
        <v>PL-10041/2</v>
      </c>
      <c r="C7504" s="21" t="s">
        <v>42260</v>
      </c>
      <c r="D7504" s="6">
        <v>44615</v>
      </c>
      <c r="E7504" s="21" t="s">
        <v>42261</v>
      </c>
      <c r="F7504" s="87" t="s">
        <v>21871</v>
      </c>
      <c r="G7504" s="47" t="s">
        <v>18673</v>
      </c>
      <c r="H7504" s="76" t="s">
        <v>18674</v>
      </c>
      <c r="I7504" s="21" t="s">
        <v>17018</v>
      </c>
    </row>
    <row r="7505" spans="1:9" ht="36.75" customHeight="1" x14ac:dyDescent="0.35">
      <c r="A7505" s="21"/>
      <c r="B7505" s="15" t="str">
        <f>CONCATENATE(G7505,"/",COUNTIF($G$2:G7505,G7505))</f>
        <v>PL-10041/3</v>
      </c>
      <c r="C7505" s="21" t="s">
        <v>42262</v>
      </c>
      <c r="D7505" s="6">
        <v>44615</v>
      </c>
      <c r="E7505" s="21" t="s">
        <v>42263</v>
      </c>
      <c r="G7505" s="47" t="s">
        <v>18673</v>
      </c>
      <c r="H7505" s="76" t="s">
        <v>18674</v>
      </c>
      <c r="I7505" s="21" t="s">
        <v>17018</v>
      </c>
    </row>
    <row r="7506" spans="1:9" ht="36" customHeight="1" x14ac:dyDescent="0.35">
      <c r="A7506" s="21"/>
      <c r="B7506" s="15" t="str">
        <f>CONCATENATE(G7506,"/",COUNTIF($G$2:G7506,G7506))</f>
        <v>DE-5860/1</v>
      </c>
      <c r="C7506" s="21" t="s">
        <v>42264</v>
      </c>
      <c r="D7506" s="6">
        <v>44644</v>
      </c>
      <c r="E7506" s="21" t="s">
        <v>42265</v>
      </c>
      <c r="F7506" s="87" t="s">
        <v>23710</v>
      </c>
      <c r="G7506" s="45" t="s">
        <v>15146</v>
      </c>
      <c r="H7506" s="54" t="s">
        <v>15147</v>
      </c>
      <c r="I7506" s="5" t="s">
        <v>6434</v>
      </c>
    </row>
    <row r="7507" spans="1:9" ht="44.65" customHeight="1" x14ac:dyDescent="0.35">
      <c r="A7507" s="21"/>
      <c r="B7507" s="15" t="str">
        <f>CONCATENATE(G7507,"/",COUNTIF($G$2:G7507,G7507))</f>
        <v>RO-10035/1</v>
      </c>
      <c r="C7507" s="21" t="s">
        <v>42232</v>
      </c>
      <c r="D7507" s="6">
        <v>44644</v>
      </c>
      <c r="E7507" s="21" t="s">
        <v>42266</v>
      </c>
      <c r="F7507" s="87" t="s">
        <v>21871</v>
      </c>
      <c r="G7507" s="47" t="s">
        <v>18624</v>
      </c>
      <c r="H7507" s="76" t="s">
        <v>18625</v>
      </c>
      <c r="I7507" s="21" t="s">
        <v>17638</v>
      </c>
    </row>
    <row r="7508" spans="1:9" ht="38.65" customHeight="1" x14ac:dyDescent="0.35">
      <c r="A7508" s="21"/>
      <c r="B7508" s="15" t="str">
        <f>CONCATENATE(G7508,"/",COUNTIF($G$2:G7508,G7508))</f>
        <v>HU-10011/1</v>
      </c>
      <c r="C7508" s="21" t="s">
        <v>42267</v>
      </c>
      <c r="D7508" s="6">
        <v>44641</v>
      </c>
      <c r="E7508" s="21" t="s">
        <v>42268</v>
      </c>
      <c r="F7508" s="87" t="s">
        <v>21871</v>
      </c>
      <c r="G7508" s="47" t="s">
        <v>18409</v>
      </c>
      <c r="H7508" s="76" t="s">
        <v>18410</v>
      </c>
      <c r="I7508" s="20" t="s">
        <v>17537</v>
      </c>
    </row>
    <row r="7509" spans="1:9" ht="26.65" customHeight="1" x14ac:dyDescent="0.35">
      <c r="A7509" s="21"/>
      <c r="B7509" s="15" t="str">
        <f>CONCATENATE(G7509,"/",COUNTIF($G$2:G7509,G7509))</f>
        <v>PL-10030/1</v>
      </c>
      <c r="C7509" s="21" t="s">
        <v>42269</v>
      </c>
      <c r="D7509" s="6">
        <v>44629</v>
      </c>
      <c r="E7509" s="21" t="s">
        <v>42270</v>
      </c>
      <c r="F7509" s="87" t="s">
        <v>21871</v>
      </c>
      <c r="G7509" s="47" t="s">
        <v>18546</v>
      </c>
      <c r="H7509" s="76" t="s">
        <v>18547</v>
      </c>
      <c r="I7509" s="21" t="s">
        <v>17018</v>
      </c>
    </row>
    <row r="7510" spans="1:9" ht="26.65" customHeight="1" x14ac:dyDescent="0.35">
      <c r="A7510" s="21"/>
      <c r="B7510" s="15" t="str">
        <f>CONCATENATE(G7510,"/",COUNTIF($G$2:G7510,G7510))</f>
        <v>PL-10030/2</v>
      </c>
      <c r="C7510" s="21" t="s">
        <v>42271</v>
      </c>
      <c r="D7510" s="6">
        <v>44629</v>
      </c>
      <c r="E7510" s="21" t="s">
        <v>42272</v>
      </c>
      <c r="F7510" s="87" t="s">
        <v>21871</v>
      </c>
      <c r="G7510" s="47" t="s">
        <v>18546</v>
      </c>
      <c r="H7510" s="76" t="s">
        <v>18547</v>
      </c>
      <c r="I7510" s="21" t="s">
        <v>17018</v>
      </c>
    </row>
    <row r="7511" spans="1:9" ht="26.65" customHeight="1" x14ac:dyDescent="0.35">
      <c r="A7511" s="21"/>
      <c r="B7511" s="15" t="str">
        <f>CONCATENATE(G7511,"/",COUNTIF($G$2:G7511,G7511))</f>
        <v>PL-10030/3</v>
      </c>
      <c r="C7511" s="21" t="s">
        <v>42273</v>
      </c>
      <c r="D7511" s="6">
        <v>44629</v>
      </c>
      <c r="E7511" s="21" t="s">
        <v>42274</v>
      </c>
      <c r="F7511" s="87" t="s">
        <v>21871</v>
      </c>
      <c r="G7511" s="47" t="s">
        <v>18546</v>
      </c>
      <c r="H7511" s="76" t="s">
        <v>18547</v>
      </c>
      <c r="I7511" s="21" t="s">
        <v>17018</v>
      </c>
    </row>
    <row r="7512" spans="1:9" ht="26.65" customHeight="1" x14ac:dyDescent="0.35">
      <c r="A7512" s="21"/>
      <c r="B7512" s="15" t="str">
        <f>CONCATENATE(G7512,"/",COUNTIF($G$2:G7512,G7512))</f>
        <v>PL-10030/4</v>
      </c>
      <c r="C7512" s="21" t="s">
        <v>42275</v>
      </c>
      <c r="D7512" s="6">
        <v>44629</v>
      </c>
      <c r="E7512" s="21" t="s">
        <v>42276</v>
      </c>
      <c r="F7512" s="87" t="s">
        <v>21871</v>
      </c>
      <c r="G7512" s="47" t="s">
        <v>18546</v>
      </c>
      <c r="H7512" s="76" t="s">
        <v>18547</v>
      </c>
      <c r="I7512" s="21" t="s">
        <v>17018</v>
      </c>
    </row>
    <row r="7513" spans="1:9" ht="26.65" customHeight="1" x14ac:dyDescent="0.35">
      <c r="A7513" s="21"/>
      <c r="B7513" s="15" t="str">
        <f>CONCATENATE(G7513,"/",COUNTIF($G$2:G7513,G7513))</f>
        <v>PL-10030/5</v>
      </c>
      <c r="C7513" s="21" t="s">
        <v>42277</v>
      </c>
      <c r="D7513" s="6">
        <v>44629</v>
      </c>
      <c r="E7513" s="21" t="s">
        <v>42278</v>
      </c>
      <c r="F7513" s="87" t="s">
        <v>21871</v>
      </c>
      <c r="G7513" s="47" t="s">
        <v>18546</v>
      </c>
      <c r="H7513" s="76" t="s">
        <v>18547</v>
      </c>
      <c r="I7513" s="21" t="s">
        <v>17018</v>
      </c>
    </row>
    <row r="7514" spans="1:9" ht="26.65" customHeight="1" x14ac:dyDescent="0.35">
      <c r="A7514" s="21"/>
      <c r="B7514" s="15" t="str">
        <f>CONCATENATE(G7514,"/",COUNTIF($G$2:G7514,G7514))</f>
        <v>PL-10030/6</v>
      </c>
      <c r="C7514" s="21" t="s">
        <v>42279</v>
      </c>
      <c r="D7514" s="6">
        <v>44629</v>
      </c>
      <c r="E7514" s="21" t="s">
        <v>42280</v>
      </c>
      <c r="F7514" s="87" t="s">
        <v>21871</v>
      </c>
      <c r="G7514" s="47" t="s">
        <v>18546</v>
      </c>
      <c r="H7514" s="76" t="s">
        <v>18547</v>
      </c>
      <c r="I7514" s="21" t="s">
        <v>17018</v>
      </c>
    </row>
    <row r="7515" spans="1:9" ht="26.65" customHeight="1" x14ac:dyDescent="0.35">
      <c r="A7515" s="21"/>
      <c r="B7515" s="15" t="str">
        <f>CONCATENATE(G7515,"/",COUNTIF($G$2:G7515,G7515))</f>
        <v>PL-10030/7</v>
      </c>
      <c r="C7515" s="21" t="s">
        <v>42281</v>
      </c>
      <c r="D7515" s="6">
        <v>44629</v>
      </c>
      <c r="E7515" s="21" t="s">
        <v>42282</v>
      </c>
      <c r="F7515" s="87" t="s">
        <v>21871</v>
      </c>
      <c r="G7515" s="47" t="s">
        <v>18546</v>
      </c>
      <c r="H7515" s="76" t="s">
        <v>18547</v>
      </c>
      <c r="I7515" s="21" t="s">
        <v>17018</v>
      </c>
    </row>
    <row r="7516" spans="1:9" ht="26.65" customHeight="1" x14ac:dyDescent="0.35">
      <c r="A7516" s="21"/>
      <c r="B7516" s="15" t="str">
        <f>CONCATENATE(G7516,"/",COUNTIF($G$2:G7516,G7516))</f>
        <v>PL-10030/8</v>
      </c>
      <c r="C7516" s="21" t="s">
        <v>42283</v>
      </c>
      <c r="D7516" s="6">
        <v>44629</v>
      </c>
      <c r="E7516" s="21" t="s">
        <v>42284</v>
      </c>
      <c r="F7516" s="87" t="s">
        <v>21871</v>
      </c>
      <c r="G7516" s="47" t="s">
        <v>18546</v>
      </c>
      <c r="H7516" s="76" t="s">
        <v>18547</v>
      </c>
      <c r="I7516" s="21" t="s">
        <v>17018</v>
      </c>
    </row>
    <row r="7517" spans="1:9" ht="35.25" customHeight="1" x14ac:dyDescent="0.35">
      <c r="A7517" s="21"/>
      <c r="B7517" s="15" t="str">
        <f>CONCATENATE(G7517,"/",COUNTIF($G$2:G7517,G7517))</f>
        <v>CZ-10051/1</v>
      </c>
      <c r="C7517" s="21">
        <v>1</v>
      </c>
      <c r="D7517" s="6">
        <v>44657</v>
      </c>
      <c r="E7517" s="66" t="s">
        <v>42285</v>
      </c>
      <c r="F7517" s="87" t="s">
        <v>21871</v>
      </c>
      <c r="G7517" s="47" t="s">
        <v>18768</v>
      </c>
      <c r="H7517" s="76" t="s">
        <v>18769</v>
      </c>
      <c r="I7517" s="21" t="s">
        <v>16397</v>
      </c>
    </row>
    <row r="7518" spans="1:9" ht="35.25" customHeight="1" x14ac:dyDescent="0.35">
      <c r="A7518" s="21"/>
      <c r="B7518" s="15" t="str">
        <f>CONCATENATE(G7518,"/",COUNTIF($G$2:G7518,G7518))</f>
        <v>CZ-10051/2</v>
      </c>
      <c r="C7518" s="21">
        <v>2</v>
      </c>
      <c r="D7518" s="6">
        <v>44657</v>
      </c>
      <c r="E7518" s="66" t="s">
        <v>42286</v>
      </c>
      <c r="F7518" s="87" t="s">
        <v>21871</v>
      </c>
      <c r="G7518" s="47" t="s">
        <v>18768</v>
      </c>
      <c r="H7518" s="76" t="s">
        <v>18769</v>
      </c>
      <c r="I7518" s="21" t="s">
        <v>16397</v>
      </c>
    </row>
    <row r="7519" spans="1:9" ht="31.15" customHeight="1" x14ac:dyDescent="0.35">
      <c r="A7519" s="21"/>
      <c r="B7519" s="15" t="str">
        <f>CONCATENATE(G7519,"/",COUNTIF($G$2:G7519,G7519))</f>
        <v>DE-6325/1</v>
      </c>
      <c r="C7519" s="21" t="s">
        <v>42287</v>
      </c>
      <c r="D7519" s="6">
        <v>44658</v>
      </c>
      <c r="E7519" s="21" t="s">
        <v>42288</v>
      </c>
      <c r="F7519" s="88" t="s">
        <v>42289</v>
      </c>
      <c r="G7519" s="45" t="s">
        <v>17897</v>
      </c>
      <c r="H7519" s="54" t="s">
        <v>17898</v>
      </c>
      <c r="I7519" s="5" t="s">
        <v>6434</v>
      </c>
    </row>
    <row r="7520" spans="1:9" ht="29.65" customHeight="1" x14ac:dyDescent="0.35">
      <c r="A7520" s="21"/>
      <c r="B7520" s="15" t="str">
        <f>CONCATENATE(G7520,"/",COUNTIF($G$2:G7520,G7520))</f>
        <v>BG-10220/1</v>
      </c>
      <c r="C7520" s="21" t="s">
        <v>42290</v>
      </c>
      <c r="D7520" s="6">
        <v>44652</v>
      </c>
      <c r="E7520" s="21" t="s">
        <v>42291</v>
      </c>
      <c r="F7520" s="87" t="s">
        <v>21871</v>
      </c>
      <c r="G7520" s="47" t="s">
        <v>19567</v>
      </c>
      <c r="H7520" s="76" t="s">
        <v>19568</v>
      </c>
      <c r="I7520" s="21" t="s">
        <v>17728</v>
      </c>
    </row>
    <row r="7521" spans="1:9" ht="29.65" customHeight="1" x14ac:dyDescent="0.35">
      <c r="A7521" s="21"/>
      <c r="B7521" s="15" t="str">
        <f>CONCATENATE(G7521,"/",COUNTIF($G$2:G7521,G7521))</f>
        <v>BG-10220/2</v>
      </c>
      <c r="C7521" s="21" t="s">
        <v>42292</v>
      </c>
      <c r="D7521" s="6">
        <v>44652</v>
      </c>
      <c r="E7521" s="21" t="s">
        <v>42293</v>
      </c>
      <c r="F7521" s="87" t="s">
        <v>21871</v>
      </c>
      <c r="G7521" s="47" t="s">
        <v>19567</v>
      </c>
      <c r="H7521" s="76" t="s">
        <v>19568</v>
      </c>
      <c r="I7521" s="21" t="s">
        <v>17728</v>
      </c>
    </row>
    <row r="7522" spans="1:9" ht="29.65" customHeight="1" x14ac:dyDescent="0.35">
      <c r="A7522" s="21"/>
      <c r="B7522" s="15" t="str">
        <f>CONCATENATE(G7522,"/",COUNTIF($G$2:G7522,G7522))</f>
        <v>BG-10220/3</v>
      </c>
      <c r="C7522" s="21" t="s">
        <v>42294</v>
      </c>
      <c r="D7522" s="6">
        <v>44652</v>
      </c>
      <c r="E7522" s="21" t="s">
        <v>42295</v>
      </c>
      <c r="F7522" s="87" t="s">
        <v>21871</v>
      </c>
      <c r="G7522" s="47" t="s">
        <v>19567</v>
      </c>
      <c r="H7522" s="76" t="s">
        <v>19568</v>
      </c>
      <c r="I7522" s="21" t="s">
        <v>17728</v>
      </c>
    </row>
    <row r="7523" spans="1:9" ht="29.65" customHeight="1" x14ac:dyDescent="0.35">
      <c r="A7523" s="21"/>
      <c r="B7523" s="15" t="str">
        <f>CONCATENATE(G7523,"/",COUNTIF($G$2:G7523,G7523))</f>
        <v>BG-10220/4</v>
      </c>
      <c r="C7523" s="21" t="s">
        <v>42296</v>
      </c>
      <c r="D7523" s="6">
        <v>44652</v>
      </c>
      <c r="E7523" s="21" t="s">
        <v>42297</v>
      </c>
      <c r="F7523" s="87" t="s">
        <v>21871</v>
      </c>
      <c r="G7523" s="47" t="s">
        <v>19567</v>
      </c>
      <c r="H7523" s="76" t="s">
        <v>19568</v>
      </c>
      <c r="I7523" s="21" t="s">
        <v>17728</v>
      </c>
    </row>
    <row r="7524" spans="1:9" ht="29.65" customHeight="1" x14ac:dyDescent="0.35">
      <c r="A7524" s="21"/>
      <c r="B7524" s="15" t="str">
        <f>CONCATENATE(G7524,"/",COUNTIF($G$2:G7524,G7524))</f>
        <v>BG-10220/5</v>
      </c>
      <c r="C7524" s="21" t="s">
        <v>42298</v>
      </c>
      <c r="D7524" s="6">
        <v>44652</v>
      </c>
      <c r="E7524" s="21" t="s">
        <v>42299</v>
      </c>
      <c r="F7524" s="87" t="s">
        <v>21871</v>
      </c>
      <c r="G7524" s="47" t="s">
        <v>19567</v>
      </c>
      <c r="H7524" s="76" t="s">
        <v>19568</v>
      </c>
      <c r="I7524" s="21" t="s">
        <v>17728</v>
      </c>
    </row>
    <row r="7525" spans="1:9" ht="35.25" customHeight="1" x14ac:dyDescent="0.35">
      <c r="A7525" s="15"/>
      <c r="B7525" s="15" t="str">
        <f>CONCATENATE(G7525,"/",COUNTIF($G$2:G7525,G7525))</f>
        <v>RO-10045/1</v>
      </c>
      <c r="C7525" s="15" t="s">
        <v>42300</v>
      </c>
      <c r="D7525" s="6">
        <v>44657</v>
      </c>
      <c r="E7525" s="15" t="s">
        <v>42301</v>
      </c>
      <c r="F7525" s="87" t="s">
        <v>21871</v>
      </c>
      <c r="G7525" s="47" t="s">
        <v>18715</v>
      </c>
      <c r="H7525" s="76" t="s">
        <v>18716</v>
      </c>
      <c r="I7525" s="21" t="s">
        <v>17638</v>
      </c>
    </row>
    <row r="7526" spans="1:9" ht="28.15" customHeight="1" x14ac:dyDescent="0.35">
      <c r="A7526" s="15"/>
      <c r="B7526" s="15" t="str">
        <f>CONCATENATE(G7526,"/",COUNTIF($G$2:G7526,G7526))</f>
        <v>FI-10083/1</v>
      </c>
      <c r="C7526" s="15" t="s">
        <v>42302</v>
      </c>
      <c r="D7526" s="6">
        <v>44670</v>
      </c>
      <c r="E7526" s="15" t="s">
        <v>42303</v>
      </c>
      <c r="F7526" s="87" t="s">
        <v>21871</v>
      </c>
      <c r="G7526" s="47" t="s">
        <v>18972</v>
      </c>
      <c r="H7526" s="54" t="s">
        <v>18973</v>
      </c>
      <c r="I7526" s="21" t="s">
        <v>18828</v>
      </c>
    </row>
    <row r="7527" spans="1:9" ht="28.15" customHeight="1" x14ac:dyDescent="0.35">
      <c r="A7527" s="15"/>
      <c r="B7527" s="15" t="str">
        <f>CONCATENATE(G7527,"/",COUNTIF($G$2:G7527,G7527))</f>
        <v>FI-10083/2</v>
      </c>
      <c r="C7527" s="15" t="s">
        <v>42304</v>
      </c>
      <c r="D7527" s="6">
        <v>44670</v>
      </c>
      <c r="E7527" s="15" t="s">
        <v>42305</v>
      </c>
      <c r="F7527" s="87" t="s">
        <v>21871</v>
      </c>
      <c r="G7527" s="47" t="s">
        <v>18972</v>
      </c>
      <c r="H7527" s="54" t="s">
        <v>18973</v>
      </c>
      <c r="I7527" s="21" t="s">
        <v>18828</v>
      </c>
    </row>
    <row r="7528" spans="1:9" ht="28.15" customHeight="1" x14ac:dyDescent="0.35">
      <c r="A7528" s="15"/>
      <c r="B7528" s="15" t="str">
        <f>CONCATENATE(G7528,"/",COUNTIF($G$2:G7528,G7528))</f>
        <v>FI-10083/3</v>
      </c>
      <c r="C7528" s="15" t="s">
        <v>42306</v>
      </c>
      <c r="D7528" s="6">
        <v>44670</v>
      </c>
      <c r="E7528" s="15" t="s">
        <v>42307</v>
      </c>
      <c r="F7528" s="87" t="s">
        <v>21871</v>
      </c>
      <c r="G7528" s="47" t="s">
        <v>18972</v>
      </c>
      <c r="H7528" s="54" t="s">
        <v>18973</v>
      </c>
      <c r="I7528" s="21" t="s">
        <v>18828</v>
      </c>
    </row>
    <row r="7529" spans="1:9" ht="28.15" customHeight="1" x14ac:dyDescent="0.35">
      <c r="A7529" s="15"/>
      <c r="B7529" s="15" t="str">
        <f>CONCATENATE(G7529,"/",COUNTIF($G$2:G7529,G7529))</f>
        <v>FI-10083/4</v>
      </c>
      <c r="C7529" s="15" t="s">
        <v>42308</v>
      </c>
      <c r="D7529" s="6">
        <v>44670</v>
      </c>
      <c r="E7529" s="15" t="s">
        <v>42309</v>
      </c>
      <c r="F7529" s="87" t="s">
        <v>21871</v>
      </c>
      <c r="G7529" s="47" t="s">
        <v>18972</v>
      </c>
      <c r="H7529" s="54" t="s">
        <v>18973</v>
      </c>
      <c r="I7529" s="21" t="s">
        <v>18828</v>
      </c>
    </row>
    <row r="7530" spans="1:9" ht="37.15" customHeight="1" x14ac:dyDescent="0.35">
      <c r="A7530" s="15"/>
      <c r="B7530" s="15" t="str">
        <f>CONCATENATE(G7530,"/",COUNTIF($G$2:G7530,G7530))</f>
        <v>CZ-10026/1</v>
      </c>
      <c r="C7530" s="15" t="s">
        <v>21892</v>
      </c>
      <c r="D7530" s="6">
        <v>44665</v>
      </c>
      <c r="E7530" s="15" t="s">
        <v>42310</v>
      </c>
      <c r="F7530" s="87" t="s">
        <v>21871</v>
      </c>
      <c r="G7530" s="47" t="s">
        <v>18561</v>
      </c>
      <c r="H7530" s="76" t="s">
        <v>18562</v>
      </c>
      <c r="I7530" s="20" t="s">
        <v>16397</v>
      </c>
    </row>
    <row r="7531" spans="1:9" ht="29.5" customHeight="1" x14ac:dyDescent="0.35">
      <c r="A7531" s="15"/>
      <c r="B7531" s="15" t="str">
        <f>CONCATENATE(G7531,"/",COUNTIF($G$2:G7531,G7531))</f>
        <v>NO-10024/1</v>
      </c>
      <c r="C7531" s="15" t="s">
        <v>42311</v>
      </c>
      <c r="D7531" s="10">
        <v>44227</v>
      </c>
      <c r="E7531" s="15" t="s">
        <v>42312</v>
      </c>
      <c r="F7531" s="87" t="s">
        <v>21871</v>
      </c>
      <c r="G7531" s="47" t="s">
        <v>18510</v>
      </c>
      <c r="H7531" s="81" t="s">
        <v>18511</v>
      </c>
      <c r="I7531" s="20" t="s">
        <v>17305</v>
      </c>
    </row>
    <row r="7532" spans="1:9" ht="29.5" customHeight="1" x14ac:dyDescent="0.35">
      <c r="A7532" s="15"/>
      <c r="B7532" s="15" t="str">
        <f>CONCATENATE(G7532,"/",COUNTIF($G$2:G7532,G7532))</f>
        <v>NO-10024/2</v>
      </c>
      <c r="C7532" s="15" t="s">
        <v>42313</v>
      </c>
      <c r="D7532" s="10">
        <v>44592</v>
      </c>
      <c r="E7532" s="15" t="s">
        <v>42314</v>
      </c>
      <c r="F7532" s="87" t="s">
        <v>21871</v>
      </c>
      <c r="G7532" s="47" t="s">
        <v>18510</v>
      </c>
      <c r="H7532" s="81" t="s">
        <v>18511</v>
      </c>
      <c r="I7532" s="20" t="s">
        <v>17305</v>
      </c>
    </row>
    <row r="7533" spans="1:9" ht="32.5" customHeight="1" x14ac:dyDescent="0.35">
      <c r="A7533" s="15"/>
      <c r="B7533" s="15" t="str">
        <f>CONCATENATE(G7533,"/",COUNTIF($G$2:G7533,G7533))</f>
        <v>CZ-10099/1</v>
      </c>
      <c r="C7533" s="15" t="s">
        <v>21892</v>
      </c>
      <c r="D7533" s="43">
        <v>44672</v>
      </c>
      <c r="E7533" s="15" t="s">
        <v>42315</v>
      </c>
      <c r="F7533" s="87" t="s">
        <v>21871</v>
      </c>
      <c r="G7533" s="47" t="s">
        <v>19158</v>
      </c>
      <c r="H7533" s="54" t="s">
        <v>19159</v>
      </c>
      <c r="I7533" s="5" t="s">
        <v>16397</v>
      </c>
    </row>
    <row r="7534" spans="1:9" ht="24" customHeight="1" x14ac:dyDescent="0.35">
      <c r="A7534" s="15"/>
      <c r="B7534" s="15" t="str">
        <f>CONCATENATE(G7534,"/",COUNTIF($G$2:G7534,G7534))</f>
        <v>FI-10069/1</v>
      </c>
      <c r="C7534" s="15" t="s">
        <v>42316</v>
      </c>
      <c r="D7534" s="43">
        <v>44685</v>
      </c>
      <c r="E7534" s="15" t="s">
        <v>42317</v>
      </c>
      <c r="F7534" s="87" t="s">
        <v>21871</v>
      </c>
      <c r="G7534" s="47" t="s">
        <v>18826</v>
      </c>
      <c r="H7534" s="54" t="s">
        <v>18827</v>
      </c>
      <c r="I7534" s="21" t="s">
        <v>18828</v>
      </c>
    </row>
    <row r="7535" spans="1:9" ht="24" customHeight="1" x14ac:dyDescent="0.35">
      <c r="A7535" s="15"/>
      <c r="B7535" s="15" t="str">
        <f>CONCATENATE(G7535,"/",COUNTIF($G$2:G7535,G7535))</f>
        <v>FI-10069/2</v>
      </c>
      <c r="C7535" s="15" t="s">
        <v>42318</v>
      </c>
      <c r="D7535" s="43">
        <v>44685</v>
      </c>
      <c r="E7535" s="15" t="s">
        <v>42319</v>
      </c>
      <c r="F7535" s="87" t="s">
        <v>21871</v>
      </c>
      <c r="G7535" s="47" t="s">
        <v>18826</v>
      </c>
      <c r="H7535" s="54" t="s">
        <v>18827</v>
      </c>
      <c r="I7535" s="21" t="s">
        <v>18828</v>
      </c>
    </row>
    <row r="7536" spans="1:9" ht="24" customHeight="1" x14ac:dyDescent="0.35">
      <c r="A7536" s="15"/>
      <c r="B7536" s="15" t="str">
        <f>CONCATENATE(G7536,"/",COUNTIF($G$2:G7536,G7536))</f>
        <v>FI-10069/3</v>
      </c>
      <c r="C7536" s="15" t="s">
        <v>42320</v>
      </c>
      <c r="D7536" s="43">
        <v>44685</v>
      </c>
      <c r="E7536" s="15" t="s">
        <v>42321</v>
      </c>
      <c r="F7536" s="87" t="s">
        <v>21871</v>
      </c>
      <c r="G7536" s="47" t="s">
        <v>18826</v>
      </c>
      <c r="H7536" s="54" t="s">
        <v>18827</v>
      </c>
      <c r="I7536" s="21" t="s">
        <v>18828</v>
      </c>
    </row>
    <row r="7537" spans="1:9" ht="24" customHeight="1" x14ac:dyDescent="0.35">
      <c r="A7537" s="15"/>
      <c r="B7537" s="15" t="str">
        <f>CONCATENATE(G7537,"/",COUNTIF($G$2:G7537,G7537))</f>
        <v>FI-10069/4</v>
      </c>
      <c r="C7537" s="15" t="s">
        <v>42322</v>
      </c>
      <c r="D7537" s="43">
        <v>44685</v>
      </c>
      <c r="E7537" s="15" t="s">
        <v>42323</v>
      </c>
      <c r="F7537" s="87" t="s">
        <v>21871</v>
      </c>
      <c r="G7537" s="47" t="s">
        <v>18826</v>
      </c>
      <c r="H7537" s="54" t="s">
        <v>18827</v>
      </c>
      <c r="I7537" s="21" t="s">
        <v>18828</v>
      </c>
    </row>
    <row r="7538" spans="1:9" ht="24" customHeight="1" x14ac:dyDescent="0.35">
      <c r="A7538" s="15"/>
      <c r="B7538" s="15" t="str">
        <f>CONCATENATE(G7538,"/",COUNTIF($G$2:G7538,G7538))</f>
        <v>FI-10069/5</v>
      </c>
      <c r="C7538" s="15" t="s">
        <v>42324</v>
      </c>
      <c r="D7538" s="43">
        <v>44685</v>
      </c>
      <c r="E7538" s="15" t="s">
        <v>42325</v>
      </c>
      <c r="F7538" s="87" t="s">
        <v>21871</v>
      </c>
      <c r="G7538" s="47" t="s">
        <v>18826</v>
      </c>
      <c r="H7538" s="54" t="s">
        <v>18827</v>
      </c>
      <c r="I7538" s="21" t="s">
        <v>18828</v>
      </c>
    </row>
    <row r="7539" spans="1:9" ht="37.4" customHeight="1" x14ac:dyDescent="0.35">
      <c r="A7539" s="15"/>
      <c r="B7539" s="15" t="str">
        <f>CONCATENATE(G7539,"/",COUNTIF($G$2:G7539,G7539))</f>
        <v>ES-10126/1</v>
      </c>
      <c r="C7539" s="15" t="s">
        <v>42326</v>
      </c>
      <c r="D7539" s="43">
        <v>44680</v>
      </c>
      <c r="E7539" s="67" t="s">
        <v>42327</v>
      </c>
      <c r="F7539" s="87" t="s">
        <v>21871</v>
      </c>
      <c r="G7539" s="47" t="s">
        <v>18965</v>
      </c>
      <c r="H7539" s="55" t="s">
        <v>18966</v>
      </c>
      <c r="I7539" s="13" t="s">
        <v>17769</v>
      </c>
    </row>
    <row r="7540" spans="1:9" ht="37.4" customHeight="1" x14ac:dyDescent="0.35">
      <c r="A7540" s="15"/>
      <c r="B7540" s="15" t="str">
        <f>CONCATENATE(G7540,"/",COUNTIF($G$2:G7540,G7540))</f>
        <v>ES-10126/2</v>
      </c>
      <c r="C7540" s="15" t="s">
        <v>42328</v>
      </c>
      <c r="D7540" s="43">
        <v>44680</v>
      </c>
      <c r="E7540" s="67" t="s">
        <v>42329</v>
      </c>
      <c r="F7540" s="87" t="s">
        <v>21871</v>
      </c>
      <c r="G7540" s="47" t="s">
        <v>18965</v>
      </c>
      <c r="H7540" s="55" t="s">
        <v>18966</v>
      </c>
      <c r="I7540" s="13" t="s">
        <v>17769</v>
      </c>
    </row>
    <row r="7541" spans="1:9" ht="27.65" customHeight="1" x14ac:dyDescent="0.35">
      <c r="A7541" s="15"/>
      <c r="B7541" s="15" t="str">
        <f>CONCATENATE(G7541,"/",COUNTIF($G$2:G7541,G7541))</f>
        <v>HR-10034/1</v>
      </c>
      <c r="C7541" s="15" t="s">
        <v>42330</v>
      </c>
      <c r="D7541" s="43">
        <v>44687</v>
      </c>
      <c r="E7541" s="15" t="s">
        <v>42331</v>
      </c>
      <c r="F7541" s="87" t="s">
        <v>21871</v>
      </c>
      <c r="G7541" s="47" t="s">
        <v>18589</v>
      </c>
      <c r="H7541" s="76" t="s">
        <v>18590</v>
      </c>
      <c r="I7541" s="21" t="s">
        <v>9767</v>
      </c>
    </row>
    <row r="7542" spans="1:9" ht="27.65" customHeight="1" x14ac:dyDescent="0.35">
      <c r="A7542" s="15"/>
      <c r="B7542" s="15" t="str">
        <f>CONCATENATE(G7542,"/",COUNTIF($G$2:G7542,G7542))</f>
        <v>HR-10034/2</v>
      </c>
      <c r="C7542" s="15" t="s">
        <v>42332</v>
      </c>
      <c r="D7542" s="43">
        <v>44687</v>
      </c>
      <c r="E7542" s="15" t="s">
        <v>42333</v>
      </c>
      <c r="F7542" s="87" t="s">
        <v>21871</v>
      </c>
      <c r="G7542" s="47" t="s">
        <v>18589</v>
      </c>
      <c r="H7542" s="76" t="s">
        <v>18590</v>
      </c>
      <c r="I7542" s="21" t="s">
        <v>9767</v>
      </c>
    </row>
    <row r="7543" spans="1:9" ht="27.65" customHeight="1" x14ac:dyDescent="0.35">
      <c r="A7543" s="15"/>
      <c r="B7543" s="15" t="str">
        <f>CONCATENATE(G7543,"/",COUNTIF($G$2:G7543,G7543))</f>
        <v>HR-10034/3</v>
      </c>
      <c r="C7543" s="15" t="s">
        <v>42334</v>
      </c>
      <c r="D7543" s="43">
        <v>44687</v>
      </c>
      <c r="E7543" s="15" t="s">
        <v>42335</v>
      </c>
      <c r="F7543" s="87" t="s">
        <v>21871</v>
      </c>
      <c r="G7543" s="47" t="s">
        <v>18589</v>
      </c>
      <c r="H7543" s="76" t="s">
        <v>18590</v>
      </c>
      <c r="I7543" s="21" t="s">
        <v>9767</v>
      </c>
    </row>
    <row r="7544" spans="1:9" ht="27.65" customHeight="1" x14ac:dyDescent="0.35">
      <c r="A7544" s="15"/>
      <c r="B7544" s="15" t="str">
        <f>CONCATENATE(G7544,"/",COUNTIF($G$2:G7544,G7544))</f>
        <v>HR-10034/4</v>
      </c>
      <c r="C7544" s="15" t="s">
        <v>42336</v>
      </c>
      <c r="D7544" s="43">
        <v>44687</v>
      </c>
      <c r="E7544" s="15" t="s">
        <v>42337</v>
      </c>
      <c r="F7544" s="87" t="s">
        <v>21871</v>
      </c>
      <c r="G7544" s="47" t="s">
        <v>18589</v>
      </c>
      <c r="H7544" s="76" t="s">
        <v>18590</v>
      </c>
      <c r="I7544" s="21" t="s">
        <v>9767</v>
      </c>
    </row>
    <row r="7545" spans="1:9" ht="33.75" customHeight="1" x14ac:dyDescent="0.35">
      <c r="A7545" s="15"/>
      <c r="B7545" s="15" t="str">
        <f>CONCATENATE(G7545,"/",COUNTIF($G$2:G7545,G7545))</f>
        <v>CZ-10092/1</v>
      </c>
      <c r="C7545" s="15">
        <v>1</v>
      </c>
      <c r="D7545" s="43">
        <v>44700</v>
      </c>
      <c r="E7545" s="15" t="s">
        <v>42338</v>
      </c>
      <c r="F7545" s="87" t="s">
        <v>21871</v>
      </c>
      <c r="G7545" s="47" t="s">
        <v>19052</v>
      </c>
      <c r="H7545" s="54" t="s">
        <v>19053</v>
      </c>
      <c r="I7545" s="5" t="s">
        <v>16397</v>
      </c>
    </row>
    <row r="7546" spans="1:9" ht="29.15" customHeight="1" x14ac:dyDescent="0.35">
      <c r="A7546" s="15"/>
      <c r="B7546" s="15" t="str">
        <f>CONCATENATE(G7546,"/",COUNTIF($G$2:G7546,G7546))</f>
        <v>BE-10021/1</v>
      </c>
      <c r="C7546" s="15" t="s">
        <v>42339</v>
      </c>
      <c r="D7546" s="43">
        <v>44636</v>
      </c>
      <c r="E7546" s="15" t="s">
        <v>42340</v>
      </c>
      <c r="F7546" s="87" t="s">
        <v>21871</v>
      </c>
      <c r="G7546" s="47" t="s">
        <v>18447</v>
      </c>
      <c r="H7546" s="80" t="s">
        <v>18448</v>
      </c>
      <c r="I7546" s="20" t="s">
        <v>14722</v>
      </c>
    </row>
    <row r="7547" spans="1:9" ht="29.15" customHeight="1" x14ac:dyDescent="0.35">
      <c r="A7547" s="15"/>
      <c r="B7547" s="15" t="str">
        <f>CONCATENATE(G7547,"/",COUNTIF($G$2:G7547,G7547))</f>
        <v>BE-10021/2</v>
      </c>
      <c r="C7547" s="15" t="s">
        <v>42341</v>
      </c>
      <c r="D7547" s="43">
        <v>44636</v>
      </c>
      <c r="E7547" s="15" t="s">
        <v>42342</v>
      </c>
      <c r="F7547" s="87" t="s">
        <v>21871</v>
      </c>
      <c r="G7547" s="47" t="s">
        <v>18447</v>
      </c>
      <c r="H7547" s="80" t="s">
        <v>18448</v>
      </c>
      <c r="I7547" s="20" t="s">
        <v>14722</v>
      </c>
    </row>
    <row r="7548" spans="1:9" ht="29.15" customHeight="1" x14ac:dyDescent="0.35">
      <c r="A7548" s="15"/>
      <c r="B7548" s="15" t="str">
        <f>CONCATENATE(G7548,"/",COUNTIF($G$2:G7548,G7548))</f>
        <v>BE-10021/3</v>
      </c>
      <c r="C7548" s="15" t="s">
        <v>42343</v>
      </c>
      <c r="D7548" s="43">
        <v>44636</v>
      </c>
      <c r="E7548" s="15" t="s">
        <v>42344</v>
      </c>
      <c r="F7548" s="87" t="s">
        <v>21871</v>
      </c>
      <c r="G7548" s="47" t="s">
        <v>18447</v>
      </c>
      <c r="H7548" s="80" t="s">
        <v>18448</v>
      </c>
      <c r="I7548" s="20" t="s">
        <v>14722</v>
      </c>
    </row>
    <row r="7549" spans="1:9" ht="29.15" customHeight="1" x14ac:dyDescent="0.35">
      <c r="A7549" s="15"/>
      <c r="B7549" s="15" t="str">
        <f>CONCATENATE(G7549,"/",COUNTIF($G$2:G7549,G7549))</f>
        <v>BE-10021/4</v>
      </c>
      <c r="C7549" s="15" t="s">
        <v>42345</v>
      </c>
      <c r="D7549" s="43">
        <v>44636</v>
      </c>
      <c r="E7549" s="15" t="s">
        <v>42346</v>
      </c>
      <c r="F7549" s="87" t="s">
        <v>21871</v>
      </c>
      <c r="G7549" s="47" t="s">
        <v>18447</v>
      </c>
      <c r="H7549" s="80" t="s">
        <v>18448</v>
      </c>
      <c r="I7549" s="20" t="s">
        <v>14722</v>
      </c>
    </row>
    <row r="7550" spans="1:9" ht="29.15" customHeight="1" x14ac:dyDescent="0.35">
      <c r="A7550" s="15"/>
      <c r="B7550" s="15" t="str">
        <f>CONCATENATE(G7550,"/",COUNTIF($G$2:G7550,G7550))</f>
        <v>BE-10021/5</v>
      </c>
      <c r="C7550" s="15" t="s">
        <v>42347</v>
      </c>
      <c r="D7550" s="43">
        <v>44636</v>
      </c>
      <c r="E7550" s="15" t="s">
        <v>42348</v>
      </c>
      <c r="F7550" s="87" t="s">
        <v>21871</v>
      </c>
      <c r="G7550" s="47" t="s">
        <v>18447</v>
      </c>
      <c r="H7550" s="80" t="s">
        <v>18448</v>
      </c>
      <c r="I7550" s="20" t="s">
        <v>14722</v>
      </c>
    </row>
    <row r="7551" spans="1:9" ht="28.9" customHeight="1" x14ac:dyDescent="0.35">
      <c r="A7551" s="15"/>
      <c r="B7551" s="15" t="str">
        <f>CONCATENATE(G7551,"/",COUNTIF($G$2:G7551,G7551))</f>
        <v>ES-10111/1</v>
      </c>
      <c r="C7551" s="67" t="s">
        <v>42349</v>
      </c>
      <c r="D7551" s="43">
        <v>44680</v>
      </c>
      <c r="E7551" s="67" t="s">
        <v>42350</v>
      </c>
      <c r="F7551" s="87" t="s">
        <v>21871</v>
      </c>
      <c r="G7551" s="47" t="s">
        <v>18497</v>
      </c>
      <c r="H7551" s="76" t="s">
        <v>18498</v>
      </c>
      <c r="I7551" s="21" t="s">
        <v>17769</v>
      </c>
    </row>
    <row r="7552" spans="1:9" ht="28.9" customHeight="1" x14ac:dyDescent="0.35">
      <c r="A7552" s="15"/>
      <c r="B7552" s="15" t="str">
        <f>CONCATENATE(G7552,"/",COUNTIF($G$2:G7552,G7552))</f>
        <v>ES-10111/2</v>
      </c>
      <c r="C7552" s="67" t="s">
        <v>42351</v>
      </c>
      <c r="D7552" s="43">
        <v>44680</v>
      </c>
      <c r="E7552" s="67" t="s">
        <v>42352</v>
      </c>
      <c r="F7552" s="87" t="s">
        <v>21871</v>
      </c>
      <c r="G7552" s="47" t="s">
        <v>18497</v>
      </c>
      <c r="H7552" s="76" t="s">
        <v>18498</v>
      </c>
      <c r="I7552" s="21" t="s">
        <v>17769</v>
      </c>
    </row>
    <row r="7553" spans="1:9" ht="28.9" customHeight="1" x14ac:dyDescent="0.35">
      <c r="A7553" s="15"/>
      <c r="B7553" s="15" t="str">
        <f>CONCATENATE(G7553,"/",COUNTIF($G$2:G7553,G7553))</f>
        <v>ES-10111/3</v>
      </c>
      <c r="C7553" s="67" t="s">
        <v>42353</v>
      </c>
      <c r="D7553" s="43">
        <v>44680</v>
      </c>
      <c r="E7553" s="67" t="s">
        <v>42354</v>
      </c>
      <c r="F7553" s="87" t="s">
        <v>21871</v>
      </c>
      <c r="G7553" s="47" t="s">
        <v>18497</v>
      </c>
      <c r="H7553" s="76" t="s">
        <v>18498</v>
      </c>
      <c r="I7553" s="21" t="s">
        <v>17769</v>
      </c>
    </row>
    <row r="7554" spans="1:9" ht="28.9" customHeight="1" x14ac:dyDescent="0.35">
      <c r="A7554" s="15"/>
      <c r="B7554" s="15" t="str">
        <f>CONCATENATE(G7554,"/",COUNTIF($G$2:G7554,G7554))</f>
        <v>ES-10111/4</v>
      </c>
      <c r="C7554" s="67" t="s">
        <v>42355</v>
      </c>
      <c r="D7554" s="43">
        <v>44680</v>
      </c>
      <c r="E7554" s="67" t="s">
        <v>42356</v>
      </c>
      <c r="F7554" s="87" t="s">
        <v>21871</v>
      </c>
      <c r="G7554" s="47" t="s">
        <v>18497</v>
      </c>
      <c r="H7554" s="76" t="s">
        <v>18498</v>
      </c>
      <c r="I7554" s="21" t="s">
        <v>17769</v>
      </c>
    </row>
    <row r="7555" spans="1:9" ht="28.9" customHeight="1" x14ac:dyDescent="0.35">
      <c r="A7555" s="15"/>
      <c r="B7555" s="15" t="str">
        <f>CONCATENATE(G7555,"/",COUNTIF($G$2:G7555,G7555))</f>
        <v>ES-10111/5</v>
      </c>
      <c r="C7555" s="67" t="s">
        <v>42357</v>
      </c>
      <c r="D7555" s="43">
        <v>44680</v>
      </c>
      <c r="E7555" s="67" t="s">
        <v>42358</v>
      </c>
      <c r="F7555" s="87" t="s">
        <v>21871</v>
      </c>
      <c r="G7555" s="47" t="s">
        <v>18497</v>
      </c>
      <c r="H7555" s="76" t="s">
        <v>18498</v>
      </c>
      <c r="I7555" s="21" t="s">
        <v>17769</v>
      </c>
    </row>
    <row r="7556" spans="1:9" ht="31.5" customHeight="1" x14ac:dyDescent="0.35">
      <c r="A7556" s="15"/>
      <c r="B7556" s="15" t="str">
        <f>CONCATENATE(G7556,"/",COUNTIF($G$2:G7556,G7556))</f>
        <v>ES-10164/1</v>
      </c>
      <c r="C7556" s="67" t="s">
        <v>42359</v>
      </c>
      <c r="D7556" s="43">
        <v>44707</v>
      </c>
      <c r="E7556" s="67" t="s">
        <v>42360</v>
      </c>
      <c r="F7556" s="87" t="s">
        <v>21871</v>
      </c>
      <c r="G7556" s="47" t="s">
        <v>18455</v>
      </c>
      <c r="H7556" s="76" t="s">
        <v>18456</v>
      </c>
      <c r="I7556" s="21" t="s">
        <v>17769</v>
      </c>
    </row>
    <row r="7557" spans="1:9" ht="31.5" customHeight="1" x14ac:dyDescent="0.35">
      <c r="A7557" s="15"/>
      <c r="B7557" s="15" t="str">
        <f>CONCATENATE(G7557,"/",COUNTIF($G$2:G7557,G7557))</f>
        <v>ES-10164/2</v>
      </c>
      <c r="C7557" s="67" t="s">
        <v>42361</v>
      </c>
      <c r="D7557" s="43">
        <v>44707</v>
      </c>
      <c r="E7557" s="67" t="s">
        <v>42362</v>
      </c>
      <c r="F7557" s="87" t="s">
        <v>21871</v>
      </c>
      <c r="G7557" s="47" t="s">
        <v>18455</v>
      </c>
      <c r="H7557" s="76" t="s">
        <v>18456</v>
      </c>
      <c r="I7557" s="21" t="s">
        <v>17769</v>
      </c>
    </row>
    <row r="7558" spans="1:9" ht="31.5" customHeight="1" x14ac:dyDescent="0.35">
      <c r="A7558" s="15"/>
      <c r="B7558" s="15" t="str">
        <f>CONCATENATE(G7558,"/",COUNTIF($G$2:G7558,G7558))</f>
        <v>ES-10164/3</v>
      </c>
      <c r="C7558" s="67" t="s">
        <v>42363</v>
      </c>
      <c r="D7558" s="43">
        <v>44707</v>
      </c>
      <c r="E7558" s="67" t="s">
        <v>42364</v>
      </c>
      <c r="F7558" s="87" t="s">
        <v>21871</v>
      </c>
      <c r="G7558" s="47" t="s">
        <v>18455</v>
      </c>
      <c r="H7558" s="76" t="s">
        <v>18456</v>
      </c>
      <c r="I7558" s="21" t="s">
        <v>17769</v>
      </c>
    </row>
    <row r="7559" spans="1:9" ht="31.5" customHeight="1" x14ac:dyDescent="0.35">
      <c r="A7559" s="15"/>
      <c r="B7559" s="15" t="str">
        <f>CONCATENATE(G7559,"/",COUNTIF($G$2:G7559,G7559))</f>
        <v>ES-10164/4</v>
      </c>
      <c r="C7559" s="67" t="s">
        <v>42365</v>
      </c>
      <c r="D7559" s="43">
        <v>44707</v>
      </c>
      <c r="E7559" s="67" t="s">
        <v>42366</v>
      </c>
      <c r="F7559" s="87" t="s">
        <v>21871</v>
      </c>
      <c r="G7559" s="47" t="s">
        <v>18455</v>
      </c>
      <c r="H7559" s="76" t="s">
        <v>18456</v>
      </c>
      <c r="I7559" s="21" t="s">
        <v>17769</v>
      </c>
    </row>
    <row r="7560" spans="1:9" ht="29.15" customHeight="1" x14ac:dyDescent="0.35">
      <c r="A7560" s="15"/>
      <c r="B7560" s="15" t="str">
        <f>CONCATENATE(G7560,"/",COUNTIF($G$2:G7560,G7560))</f>
        <v>PL-10106/1</v>
      </c>
      <c r="C7560" s="67" t="s">
        <v>42367</v>
      </c>
      <c r="D7560" s="43">
        <v>44692</v>
      </c>
      <c r="E7560" s="67" t="s">
        <v>42368</v>
      </c>
      <c r="F7560" s="87" t="s">
        <v>21871</v>
      </c>
      <c r="G7560" s="47" t="s">
        <v>19140</v>
      </c>
      <c r="H7560" s="54" t="s">
        <v>19141</v>
      </c>
      <c r="I7560" s="5" t="s">
        <v>17018</v>
      </c>
    </row>
    <row r="7561" spans="1:9" ht="29.15" customHeight="1" x14ac:dyDescent="0.35">
      <c r="A7561" s="15"/>
      <c r="B7561" s="15" t="str">
        <f>CONCATENATE(G7561,"/",COUNTIF($G$2:G7561,G7561))</f>
        <v>PL-10106/2</v>
      </c>
      <c r="C7561" s="67" t="s">
        <v>42369</v>
      </c>
      <c r="D7561" s="43">
        <v>44692</v>
      </c>
      <c r="E7561" s="67" t="s">
        <v>42370</v>
      </c>
      <c r="F7561" s="87" t="s">
        <v>21871</v>
      </c>
      <c r="G7561" s="47" t="s">
        <v>19140</v>
      </c>
      <c r="H7561" s="54" t="s">
        <v>19141</v>
      </c>
      <c r="I7561" s="5" t="s">
        <v>17018</v>
      </c>
    </row>
    <row r="7562" spans="1:9" ht="29.15" customHeight="1" x14ac:dyDescent="0.35">
      <c r="A7562" s="15"/>
      <c r="B7562" s="15" t="str">
        <f>CONCATENATE(G7562,"/",COUNTIF($G$2:G7562,G7562))</f>
        <v>PL-10106/3</v>
      </c>
      <c r="C7562" s="67" t="s">
        <v>42371</v>
      </c>
      <c r="D7562" s="43">
        <v>44692</v>
      </c>
      <c r="E7562" s="67" t="s">
        <v>42372</v>
      </c>
      <c r="F7562" s="87" t="s">
        <v>21871</v>
      </c>
      <c r="G7562" s="47" t="s">
        <v>19140</v>
      </c>
      <c r="H7562" s="54" t="s">
        <v>19141</v>
      </c>
      <c r="I7562" s="5" t="s">
        <v>17018</v>
      </c>
    </row>
    <row r="7563" spans="1:9" ht="29.15" customHeight="1" x14ac:dyDescent="0.35">
      <c r="A7563" s="15"/>
      <c r="B7563" s="15" t="str">
        <f>CONCATENATE(G7563,"/",COUNTIF($G$2:G7563,G7563))</f>
        <v>PL-10106/4</v>
      </c>
      <c r="C7563" s="67" t="s">
        <v>42373</v>
      </c>
      <c r="D7563" s="43">
        <v>44692</v>
      </c>
      <c r="E7563" s="67" t="s">
        <v>42374</v>
      </c>
      <c r="F7563" s="87" t="s">
        <v>21871</v>
      </c>
      <c r="G7563" s="47" t="s">
        <v>19140</v>
      </c>
      <c r="H7563" s="54" t="s">
        <v>19141</v>
      </c>
      <c r="I7563" s="5" t="s">
        <v>17018</v>
      </c>
    </row>
    <row r="7564" spans="1:9" ht="25.5" customHeight="1" x14ac:dyDescent="0.35">
      <c r="A7564" s="15"/>
      <c r="B7564" s="15" t="str">
        <f>CONCATENATE(G7564,"/",COUNTIF($G$2:G7564,G7564))</f>
        <v>SE-10025/1</v>
      </c>
      <c r="C7564" s="15" t="s">
        <v>42375</v>
      </c>
      <c r="D7564" s="68">
        <v>44714</v>
      </c>
      <c r="E7564" s="15" t="s">
        <v>42376</v>
      </c>
      <c r="F7564" s="87" t="s">
        <v>21871</v>
      </c>
      <c r="G7564" s="47" t="s">
        <v>18524</v>
      </c>
      <c r="H7564" s="76" t="s">
        <v>18525</v>
      </c>
      <c r="I7564" s="20" t="s">
        <v>18015</v>
      </c>
    </row>
    <row r="7565" spans="1:9" ht="25.5" customHeight="1" x14ac:dyDescent="0.35">
      <c r="A7565" s="15"/>
      <c r="B7565" s="15" t="str">
        <f>CONCATENATE(G7565,"/",COUNTIF($G$2:G7565,G7565))</f>
        <v>SE-10025/2</v>
      </c>
      <c r="C7565" s="15" t="s">
        <v>42377</v>
      </c>
      <c r="D7565" s="68">
        <v>44714</v>
      </c>
      <c r="E7565" s="15" t="s">
        <v>42378</v>
      </c>
      <c r="F7565" s="87" t="s">
        <v>21871</v>
      </c>
      <c r="G7565" s="47" t="s">
        <v>18524</v>
      </c>
      <c r="H7565" s="76" t="s">
        <v>18525</v>
      </c>
      <c r="I7565" s="20" t="s">
        <v>18015</v>
      </c>
    </row>
    <row r="7566" spans="1:9" ht="25.5" customHeight="1" x14ac:dyDescent="0.35">
      <c r="A7566" s="15"/>
      <c r="B7566" s="15" t="str">
        <f>CONCATENATE(G7566,"/",COUNTIF($G$2:G7566,G7566))</f>
        <v>SE-10025/3</v>
      </c>
      <c r="C7566" s="15" t="s">
        <v>42379</v>
      </c>
      <c r="D7566" s="68">
        <v>44714</v>
      </c>
      <c r="E7566" s="15" t="s">
        <v>42380</v>
      </c>
      <c r="F7566" s="87" t="s">
        <v>21871</v>
      </c>
      <c r="G7566" s="47" t="s">
        <v>18524</v>
      </c>
      <c r="H7566" s="76" t="s">
        <v>18525</v>
      </c>
      <c r="I7566" s="20" t="s">
        <v>18015</v>
      </c>
    </row>
    <row r="7567" spans="1:9" ht="33.4" customHeight="1" x14ac:dyDescent="0.35">
      <c r="A7567" s="15"/>
      <c r="B7567" s="15" t="str">
        <f>CONCATENATE(G7567,"/",COUNTIF($G$2:G7567,G7567))</f>
        <v>RO-10059/1</v>
      </c>
      <c r="C7567" s="15" t="s">
        <v>42381</v>
      </c>
      <c r="D7567" s="68" t="s">
        <v>18815</v>
      </c>
      <c r="E7567" s="15" t="s">
        <v>42382</v>
      </c>
      <c r="F7567" s="87" t="s">
        <v>21871</v>
      </c>
      <c r="G7567" s="47" t="s">
        <v>18835</v>
      </c>
      <c r="H7567" s="54" t="s">
        <v>18836</v>
      </c>
      <c r="I7567" s="21" t="s">
        <v>17638</v>
      </c>
    </row>
    <row r="7568" spans="1:9" ht="31.4" customHeight="1" x14ac:dyDescent="0.35">
      <c r="A7568" s="15"/>
      <c r="B7568" s="15" t="str">
        <f>CONCATENATE(G7568,"/",COUNTIF($G$2:G7568,G7568))</f>
        <v>RO-10057/1</v>
      </c>
      <c r="C7568" s="15" t="s">
        <v>42383</v>
      </c>
      <c r="D7568" s="68" t="s">
        <v>18815</v>
      </c>
      <c r="E7568" s="15" t="s">
        <v>42384</v>
      </c>
      <c r="F7568" s="87" t="s">
        <v>21871</v>
      </c>
      <c r="G7568" s="47" t="s">
        <v>18807</v>
      </c>
      <c r="H7568" s="54" t="s">
        <v>18808</v>
      </c>
      <c r="I7568" s="21" t="s">
        <v>17638</v>
      </c>
    </row>
    <row r="7569" spans="1:9" ht="31.4" customHeight="1" x14ac:dyDescent="0.35">
      <c r="A7569" s="15"/>
      <c r="B7569" s="15" t="str">
        <f>CONCATENATE(G7569,"/",COUNTIF($G$2:G7569,G7569))</f>
        <v>RO-10057/2</v>
      </c>
      <c r="C7569" s="15" t="s">
        <v>42385</v>
      </c>
      <c r="D7569" s="68" t="s">
        <v>18815</v>
      </c>
      <c r="E7569" s="15" t="s">
        <v>42386</v>
      </c>
      <c r="F7569" s="87" t="s">
        <v>21871</v>
      </c>
      <c r="G7569" s="47" t="s">
        <v>18807</v>
      </c>
      <c r="H7569" s="54" t="s">
        <v>18808</v>
      </c>
      <c r="I7569" s="21" t="s">
        <v>17638</v>
      </c>
    </row>
    <row r="7570" spans="1:9" ht="31.4" customHeight="1" x14ac:dyDescent="0.35">
      <c r="A7570" s="15"/>
      <c r="B7570" s="15" t="str">
        <f>CONCATENATE(G7570,"/",COUNTIF($G$2:G7570,G7570))</f>
        <v>RO-10057/3</v>
      </c>
      <c r="C7570" s="15" t="s">
        <v>42387</v>
      </c>
      <c r="D7570" s="68" t="s">
        <v>18815</v>
      </c>
      <c r="E7570" s="15" t="s">
        <v>42388</v>
      </c>
      <c r="F7570" s="87" t="s">
        <v>21871</v>
      </c>
      <c r="G7570" s="47" t="s">
        <v>18807</v>
      </c>
      <c r="H7570" s="54" t="s">
        <v>18808</v>
      </c>
      <c r="I7570" s="21" t="s">
        <v>17638</v>
      </c>
    </row>
    <row r="7571" spans="1:9" ht="36" customHeight="1" x14ac:dyDescent="0.35">
      <c r="A7571" s="15"/>
      <c r="B7571" s="15" t="str">
        <f>CONCATENATE(G7571,"/",COUNTIF($G$2:G7571,G7571))</f>
        <v>CZ-10149/1</v>
      </c>
      <c r="C7571" s="15">
        <v>1</v>
      </c>
      <c r="D7571" s="43">
        <v>44721</v>
      </c>
      <c r="E7571" s="15" t="s">
        <v>42389</v>
      </c>
      <c r="F7571" s="87" t="s">
        <v>21871</v>
      </c>
      <c r="G7571" s="47" t="s">
        <v>19411</v>
      </c>
      <c r="H7571" s="76" t="s">
        <v>19412</v>
      </c>
      <c r="I7571" s="21" t="s">
        <v>16397</v>
      </c>
    </row>
    <row r="7572" spans="1:9" ht="32.15" customHeight="1" x14ac:dyDescent="0.35">
      <c r="A7572" s="15"/>
      <c r="B7572" s="15" t="str">
        <f>CONCATENATE(G7572,"/",COUNTIF($G$2:G7572,G7572))</f>
        <v>NO-10174/1</v>
      </c>
      <c r="C7572" s="15" t="s">
        <v>42390</v>
      </c>
      <c r="D7572" s="43">
        <v>44720</v>
      </c>
      <c r="E7572" s="15" t="s">
        <v>42391</v>
      </c>
      <c r="F7572" s="87" t="s">
        <v>21871</v>
      </c>
      <c r="G7572" s="47" t="s">
        <v>19545</v>
      </c>
      <c r="H7572" s="76" t="s">
        <v>19546</v>
      </c>
      <c r="I7572" s="21" t="s">
        <v>17305</v>
      </c>
    </row>
    <row r="7573" spans="1:9" ht="32.15" customHeight="1" x14ac:dyDescent="0.35">
      <c r="A7573" s="15"/>
      <c r="B7573" s="15" t="str">
        <f>CONCATENATE(G7573,"/",COUNTIF($G$2:G7573,G7573))</f>
        <v>RO-10080/1</v>
      </c>
      <c r="C7573" s="15" t="s">
        <v>42392</v>
      </c>
      <c r="D7573" s="43">
        <v>44719</v>
      </c>
      <c r="E7573" s="15" t="s">
        <v>42393</v>
      </c>
      <c r="F7573" s="87" t="s">
        <v>21871</v>
      </c>
      <c r="G7573" s="47" t="s">
        <v>18952</v>
      </c>
      <c r="H7573" s="54" t="s">
        <v>18953</v>
      </c>
      <c r="I7573" s="21" t="s">
        <v>17638</v>
      </c>
    </row>
    <row r="7574" spans="1:9" ht="32.15" customHeight="1" x14ac:dyDescent="0.35">
      <c r="A7574" s="15"/>
      <c r="B7574" s="15" t="str">
        <f>CONCATENATE(G7574,"/",COUNTIF($G$2:G7574,G7574))</f>
        <v>RO-10080/2</v>
      </c>
      <c r="C7574" s="15" t="s">
        <v>42394</v>
      </c>
      <c r="D7574" s="43">
        <v>44719</v>
      </c>
      <c r="E7574" s="15" t="s">
        <v>42395</v>
      </c>
      <c r="F7574" s="87" t="s">
        <v>21871</v>
      </c>
      <c r="G7574" s="47" t="s">
        <v>18952</v>
      </c>
      <c r="H7574" s="54" t="s">
        <v>18953</v>
      </c>
      <c r="I7574" s="21" t="s">
        <v>17638</v>
      </c>
    </row>
    <row r="7575" spans="1:9" ht="32.15" customHeight="1" x14ac:dyDescent="0.35">
      <c r="A7575" s="15"/>
      <c r="B7575" s="15" t="str">
        <f>CONCATENATE(G7575,"/",COUNTIF($G$2:G7575,G7575))</f>
        <v>SE-10019/1</v>
      </c>
      <c r="C7575" s="15" t="s">
        <v>42396</v>
      </c>
      <c r="D7575" s="10">
        <v>44722</v>
      </c>
      <c r="E7575" s="15" t="s">
        <v>42397</v>
      </c>
      <c r="F7575" s="87" t="s">
        <v>21871</v>
      </c>
      <c r="G7575" s="47" t="s">
        <v>18476</v>
      </c>
      <c r="H7575" s="78" t="s">
        <v>18477</v>
      </c>
      <c r="I7575" s="20" t="s">
        <v>18015</v>
      </c>
    </row>
    <row r="7576" spans="1:9" ht="32.15" customHeight="1" x14ac:dyDescent="0.35">
      <c r="A7576" s="15"/>
      <c r="B7576" s="15" t="str">
        <f>CONCATENATE(G7576,"/",COUNTIF($G$2:G7576,G7576))</f>
        <v>SE-10019/2</v>
      </c>
      <c r="C7576" s="15" t="s">
        <v>42398</v>
      </c>
      <c r="D7576" s="10">
        <v>44722</v>
      </c>
      <c r="E7576" s="15" t="s">
        <v>42399</v>
      </c>
      <c r="F7576" s="87" t="s">
        <v>21871</v>
      </c>
      <c r="G7576" s="47" t="s">
        <v>18476</v>
      </c>
      <c r="H7576" s="78" t="s">
        <v>18477</v>
      </c>
      <c r="I7576" s="20" t="s">
        <v>18015</v>
      </c>
    </row>
    <row r="7577" spans="1:9" ht="30" customHeight="1" x14ac:dyDescent="0.35">
      <c r="A7577" s="15"/>
      <c r="B7577" s="15" t="str">
        <f>CONCATENATE(G7577,"/",COUNTIF($G$2:G7577,G7577))</f>
        <v>RO-10074/1</v>
      </c>
      <c r="C7577" s="15" t="s">
        <v>42400</v>
      </c>
      <c r="D7577" s="10">
        <v>44719</v>
      </c>
      <c r="E7577" s="15" t="s">
        <v>42401</v>
      </c>
      <c r="F7577" s="87" t="s">
        <v>21871</v>
      </c>
      <c r="G7577" s="47" t="s">
        <v>18888</v>
      </c>
      <c r="H7577" s="54" t="s">
        <v>18889</v>
      </c>
      <c r="I7577" s="21" t="s">
        <v>17638</v>
      </c>
    </row>
    <row r="7578" spans="1:9" ht="30" customHeight="1" x14ac:dyDescent="0.35">
      <c r="A7578" s="15"/>
      <c r="B7578" s="15" t="str">
        <f>CONCATENATE(G7578,"/",COUNTIF($G$2:G7578,G7578))</f>
        <v>RO-10074/2</v>
      </c>
      <c r="C7578" s="15" t="s">
        <v>42402</v>
      </c>
      <c r="D7578" s="10">
        <v>44719</v>
      </c>
      <c r="E7578" s="15" t="s">
        <v>42403</v>
      </c>
      <c r="F7578" s="87" t="s">
        <v>21871</v>
      </c>
      <c r="G7578" s="47" t="s">
        <v>18888</v>
      </c>
      <c r="H7578" s="54" t="s">
        <v>18889</v>
      </c>
      <c r="I7578" s="21" t="s">
        <v>17638</v>
      </c>
    </row>
    <row r="7579" spans="1:9" ht="31.5" customHeight="1" x14ac:dyDescent="0.35">
      <c r="A7579" s="15"/>
      <c r="B7579" s="15" t="str">
        <f>CONCATENATE(G7579,"/",COUNTIF($G$2:G7579,G7579))</f>
        <v>BG-10180/1</v>
      </c>
      <c r="C7579" s="15" t="s">
        <v>42404</v>
      </c>
      <c r="D7579" s="43">
        <v>44712</v>
      </c>
      <c r="E7579" s="15" t="s">
        <v>42405</v>
      </c>
      <c r="F7579" s="87" t="s">
        <v>21871</v>
      </c>
      <c r="G7579" s="47" t="s">
        <v>19723</v>
      </c>
      <c r="H7579" s="76" t="s">
        <v>19724</v>
      </c>
      <c r="I7579" s="21" t="s">
        <v>17728</v>
      </c>
    </row>
    <row r="7580" spans="1:9" ht="31.5" customHeight="1" x14ac:dyDescent="0.35">
      <c r="A7580" s="15"/>
      <c r="B7580" s="15" t="str">
        <f>CONCATENATE(G7580,"/",COUNTIF($G$2:G7580,G7580))</f>
        <v>BG-10180/2</v>
      </c>
      <c r="C7580" s="15" t="s">
        <v>42406</v>
      </c>
      <c r="D7580" s="43">
        <v>44712</v>
      </c>
      <c r="E7580" s="15" t="s">
        <v>42407</v>
      </c>
      <c r="F7580" s="87" t="s">
        <v>21871</v>
      </c>
      <c r="G7580" s="47" t="s">
        <v>19723</v>
      </c>
      <c r="H7580" s="76" t="s">
        <v>19724</v>
      </c>
      <c r="I7580" s="21" t="s">
        <v>17728</v>
      </c>
    </row>
    <row r="7581" spans="1:9" ht="31.5" customHeight="1" x14ac:dyDescent="0.35">
      <c r="A7581" s="15"/>
      <c r="B7581" s="15" t="str">
        <f>CONCATENATE(G7581,"/",COUNTIF($G$2:G7581,G7581))</f>
        <v>BG-10180/3</v>
      </c>
      <c r="C7581" s="15" t="s">
        <v>42408</v>
      </c>
      <c r="D7581" s="43">
        <v>44712</v>
      </c>
      <c r="E7581" s="15" t="s">
        <v>42409</v>
      </c>
      <c r="F7581" s="87" t="s">
        <v>21871</v>
      </c>
      <c r="G7581" s="47" t="s">
        <v>19723</v>
      </c>
      <c r="H7581" s="76" t="s">
        <v>19724</v>
      </c>
      <c r="I7581" s="21" t="s">
        <v>17728</v>
      </c>
    </row>
    <row r="7582" spans="1:9" ht="31.5" customHeight="1" x14ac:dyDescent="0.35">
      <c r="A7582" s="15"/>
      <c r="B7582" s="15" t="str">
        <f>CONCATENATE(G7582,"/",COUNTIF($G$2:G7582,G7582))</f>
        <v>BG-10180/4</v>
      </c>
      <c r="C7582" s="15" t="s">
        <v>42410</v>
      </c>
      <c r="D7582" s="43">
        <v>44712</v>
      </c>
      <c r="E7582" s="15" t="s">
        <v>42411</v>
      </c>
      <c r="F7582" s="87" t="s">
        <v>21871</v>
      </c>
      <c r="G7582" s="47" t="s">
        <v>19723</v>
      </c>
      <c r="H7582" s="76" t="s">
        <v>19724</v>
      </c>
      <c r="I7582" s="21" t="s">
        <v>17728</v>
      </c>
    </row>
    <row r="7583" spans="1:9" ht="31.5" customHeight="1" x14ac:dyDescent="0.35">
      <c r="A7583" s="15"/>
      <c r="B7583" s="15" t="str">
        <f>CONCATENATE(G7583,"/",COUNTIF($G$2:G7583,G7583))</f>
        <v>BG-10180/5</v>
      </c>
      <c r="C7583" s="15" t="s">
        <v>42412</v>
      </c>
      <c r="D7583" s="43">
        <v>44712</v>
      </c>
      <c r="E7583" s="15" t="s">
        <v>42413</v>
      </c>
      <c r="F7583" s="87" t="s">
        <v>21871</v>
      </c>
      <c r="G7583" s="47" t="s">
        <v>19723</v>
      </c>
      <c r="H7583" s="76" t="s">
        <v>19724</v>
      </c>
      <c r="I7583" s="21" t="s">
        <v>17728</v>
      </c>
    </row>
    <row r="7584" spans="1:9" ht="31.5" customHeight="1" x14ac:dyDescent="0.35">
      <c r="A7584" s="15"/>
      <c r="B7584" s="15" t="str">
        <f>CONCATENATE(G7584,"/",COUNTIF($G$2:G7584,G7584))</f>
        <v>BG-10180/6</v>
      </c>
      <c r="C7584" s="15" t="s">
        <v>42414</v>
      </c>
      <c r="D7584" s="43">
        <v>44712</v>
      </c>
      <c r="E7584" s="15" t="s">
        <v>42415</v>
      </c>
      <c r="F7584" s="87" t="s">
        <v>21871</v>
      </c>
      <c r="G7584" s="47" t="s">
        <v>19723</v>
      </c>
      <c r="H7584" s="76" t="s">
        <v>19724</v>
      </c>
      <c r="I7584" s="21" t="s">
        <v>17728</v>
      </c>
    </row>
    <row r="7585" spans="1:9" ht="37.5" customHeight="1" x14ac:dyDescent="0.35">
      <c r="A7585" s="15"/>
      <c r="B7585" s="15" t="str">
        <f>CONCATENATE(G7585,"/",COUNTIF($G$2:G7585,G7585))</f>
        <v>RO-10094/1</v>
      </c>
      <c r="C7585" s="15" t="s">
        <v>42416</v>
      </c>
      <c r="D7585" s="43">
        <v>44726</v>
      </c>
      <c r="E7585" s="15" t="s">
        <v>42417</v>
      </c>
      <c r="F7585" s="87" t="s">
        <v>21871</v>
      </c>
      <c r="G7585" s="47" t="s">
        <v>19060</v>
      </c>
      <c r="H7585" s="54" t="s">
        <v>19061</v>
      </c>
      <c r="I7585" s="5" t="s">
        <v>17638</v>
      </c>
    </row>
    <row r="7586" spans="1:9" ht="32.15" customHeight="1" x14ac:dyDescent="0.35">
      <c r="A7586" s="15"/>
      <c r="B7586" s="15" t="str">
        <f>CONCATENATE(G7586,"/",COUNTIF($G$2:G7586,G7586))</f>
        <v>DE-10197/1</v>
      </c>
      <c r="C7586" s="15" t="s">
        <v>42418</v>
      </c>
      <c r="D7586" s="43">
        <v>44734</v>
      </c>
      <c r="E7586" s="15" t="s">
        <v>42419</v>
      </c>
      <c r="F7586" s="87" t="s">
        <v>23710</v>
      </c>
      <c r="G7586" s="47" t="s">
        <v>19764</v>
      </c>
      <c r="H7586" s="76" t="s">
        <v>19765</v>
      </c>
      <c r="I7586" s="21" t="s">
        <v>6434</v>
      </c>
    </row>
    <row r="7587" spans="1:9" ht="32.15" customHeight="1" x14ac:dyDescent="0.35">
      <c r="A7587" s="15"/>
      <c r="B7587" s="15" t="str">
        <f>CONCATENATE(G7587,"/",COUNTIF($G$2:G7587,G7587))</f>
        <v>DE-10197/2</v>
      </c>
      <c r="C7587" s="15" t="s">
        <v>42420</v>
      </c>
      <c r="D7587" s="43">
        <v>44734</v>
      </c>
      <c r="E7587" s="15" t="s">
        <v>42421</v>
      </c>
      <c r="F7587" s="87" t="s">
        <v>23710</v>
      </c>
      <c r="G7587" s="47" t="s">
        <v>19764</v>
      </c>
      <c r="H7587" s="76" t="s">
        <v>19765</v>
      </c>
      <c r="I7587" s="21" t="s">
        <v>6434</v>
      </c>
    </row>
    <row r="7588" spans="1:9" ht="36" customHeight="1" x14ac:dyDescent="0.35">
      <c r="A7588" s="15"/>
      <c r="B7588" s="15" t="str">
        <f>CONCATENATE(G7588,"/",COUNTIF($G$2:G7588,G7588))</f>
        <v>CZ-10049/1</v>
      </c>
      <c r="C7588" s="15" t="s">
        <v>21892</v>
      </c>
      <c r="D7588" s="43">
        <v>44736</v>
      </c>
      <c r="E7588" s="15" t="s">
        <v>42422</v>
      </c>
      <c r="F7588" s="87" t="s">
        <v>21871</v>
      </c>
      <c r="G7588" s="47" t="s">
        <v>18755</v>
      </c>
      <c r="H7588" s="76" t="s">
        <v>18756</v>
      </c>
      <c r="I7588" s="21" t="s">
        <v>16397</v>
      </c>
    </row>
    <row r="7589" spans="1:9" ht="36" customHeight="1" x14ac:dyDescent="0.35">
      <c r="A7589" s="15"/>
      <c r="B7589" s="15" t="str">
        <f>CONCATENATE(G7589,"/",COUNTIF($G$2:G7589,G7589))</f>
        <v>CZ-10049/2</v>
      </c>
      <c r="C7589" s="15" t="s">
        <v>21896</v>
      </c>
      <c r="D7589" s="43">
        <v>44736</v>
      </c>
      <c r="E7589" s="15" t="s">
        <v>42423</v>
      </c>
      <c r="F7589" s="87" t="s">
        <v>21871</v>
      </c>
      <c r="G7589" s="47" t="s">
        <v>18755</v>
      </c>
      <c r="H7589" s="76" t="s">
        <v>18756</v>
      </c>
      <c r="I7589" s="21" t="s">
        <v>16397</v>
      </c>
    </row>
    <row r="7590" spans="1:9" ht="36" customHeight="1" x14ac:dyDescent="0.35">
      <c r="A7590" s="15"/>
      <c r="B7590" s="15" t="str">
        <f>CONCATENATE(G7590,"/",COUNTIF($G$2:G7590,G7590))</f>
        <v>CZ-10049/3</v>
      </c>
      <c r="C7590" s="15" t="s">
        <v>24243</v>
      </c>
      <c r="D7590" s="43">
        <v>44736</v>
      </c>
      <c r="E7590" s="15" t="s">
        <v>42424</v>
      </c>
      <c r="F7590" s="87" t="s">
        <v>21871</v>
      </c>
      <c r="G7590" s="47" t="s">
        <v>18755</v>
      </c>
      <c r="H7590" s="76" t="s">
        <v>18756</v>
      </c>
      <c r="I7590" s="21" t="s">
        <v>16397</v>
      </c>
    </row>
    <row r="7591" spans="1:9" ht="36" customHeight="1" x14ac:dyDescent="0.35">
      <c r="A7591" s="15"/>
      <c r="B7591" s="15" t="str">
        <f>CONCATENATE(G7591,"/",COUNTIF($G$2:G7591,G7591))</f>
        <v>RO-10112/1</v>
      </c>
      <c r="C7591" s="15" t="s">
        <v>42425</v>
      </c>
      <c r="D7591" s="43">
        <v>44740</v>
      </c>
      <c r="E7591" s="15" t="s">
        <v>42426</v>
      </c>
      <c r="F7591" s="87" t="s">
        <v>21871</v>
      </c>
      <c r="G7591" s="47" t="s">
        <v>19239</v>
      </c>
      <c r="H7591" s="54" t="s">
        <v>19240</v>
      </c>
      <c r="I7591" s="5" t="s">
        <v>17638</v>
      </c>
    </row>
    <row r="7592" spans="1:9" ht="25.9" customHeight="1" x14ac:dyDescent="0.35">
      <c r="A7592" s="15"/>
      <c r="B7592" s="15" t="str">
        <f>CONCATENATE(G7592,"/",COUNTIF($G$2:G7592,G7592))</f>
        <v>RO-10118/1</v>
      </c>
      <c r="C7592" s="15" t="s">
        <v>42427</v>
      </c>
      <c r="D7592" s="43">
        <v>44739</v>
      </c>
      <c r="E7592" s="15" t="s">
        <v>42428</v>
      </c>
      <c r="F7592" s="87" t="s">
        <v>21871</v>
      </c>
      <c r="G7592" s="47" t="s">
        <v>19277</v>
      </c>
      <c r="H7592" s="54" t="s">
        <v>19278</v>
      </c>
      <c r="I7592" s="5" t="s">
        <v>17638</v>
      </c>
    </row>
    <row r="7593" spans="1:9" ht="37.5" customHeight="1" x14ac:dyDescent="0.35">
      <c r="A7593" s="15"/>
      <c r="B7593" s="15" t="str">
        <f>CONCATENATE(G7593,"/",COUNTIF($G$2:G7593,G7593))</f>
        <v>PL-10075/1</v>
      </c>
      <c r="C7593" s="15" t="s">
        <v>42429</v>
      </c>
      <c r="D7593" s="43">
        <v>44712</v>
      </c>
      <c r="E7593" s="15" t="s">
        <v>42430</v>
      </c>
      <c r="F7593" s="87" t="s">
        <v>21871</v>
      </c>
      <c r="G7593" s="47" t="s">
        <v>18881</v>
      </c>
      <c r="H7593" s="54" t="s">
        <v>18882</v>
      </c>
      <c r="I7593" s="21" t="s">
        <v>17018</v>
      </c>
    </row>
    <row r="7594" spans="1:9" ht="37.5" customHeight="1" x14ac:dyDescent="0.35">
      <c r="A7594" s="15"/>
      <c r="B7594" s="15" t="str">
        <f>CONCATENATE(G7594,"/",COUNTIF($G$2:G7594,G7594))</f>
        <v>PL-10075/2</v>
      </c>
      <c r="C7594" s="15" t="s">
        <v>42431</v>
      </c>
      <c r="D7594" s="43">
        <v>44712</v>
      </c>
      <c r="E7594" s="15" t="s">
        <v>42432</v>
      </c>
      <c r="F7594" s="87" t="s">
        <v>21871</v>
      </c>
      <c r="G7594" s="47" t="s">
        <v>18881</v>
      </c>
      <c r="H7594" s="54" t="s">
        <v>18882</v>
      </c>
      <c r="I7594" s="21" t="s">
        <v>17018</v>
      </c>
    </row>
    <row r="7595" spans="1:9" ht="37.5" customHeight="1" x14ac:dyDescent="0.35">
      <c r="A7595" s="15"/>
      <c r="B7595" s="15" t="str">
        <f>CONCATENATE(G7595,"/",COUNTIF($G$2:G7595,G7595))</f>
        <v>PL-10075/3</v>
      </c>
      <c r="C7595" s="15" t="s">
        <v>42433</v>
      </c>
      <c r="D7595" s="43">
        <v>44712</v>
      </c>
      <c r="E7595" s="15" t="s">
        <v>42434</v>
      </c>
      <c r="F7595" s="87" t="s">
        <v>21871</v>
      </c>
      <c r="G7595" s="47" t="s">
        <v>18881</v>
      </c>
      <c r="H7595" s="54" t="s">
        <v>18882</v>
      </c>
      <c r="I7595" s="21" t="s">
        <v>17018</v>
      </c>
    </row>
    <row r="7596" spans="1:9" ht="37.5" customHeight="1" x14ac:dyDescent="0.35">
      <c r="A7596" s="15"/>
      <c r="B7596" s="15" t="str">
        <f>CONCATENATE(G7596,"/",COUNTIF($G$2:G7596,G7596))</f>
        <v>PL-10075/4</v>
      </c>
      <c r="C7596" s="15" t="s">
        <v>42435</v>
      </c>
      <c r="D7596" s="43">
        <v>44712</v>
      </c>
      <c r="E7596" s="15" t="s">
        <v>42436</v>
      </c>
      <c r="F7596" s="87" t="s">
        <v>21871</v>
      </c>
      <c r="G7596" s="47" t="s">
        <v>18881</v>
      </c>
      <c r="H7596" s="54" t="s">
        <v>18882</v>
      </c>
      <c r="I7596" s="21" t="s">
        <v>17018</v>
      </c>
    </row>
    <row r="7597" spans="1:9" ht="32.5" customHeight="1" x14ac:dyDescent="0.35">
      <c r="A7597" s="15"/>
      <c r="B7597" s="15" t="str">
        <f>CONCATENATE(G7597,"/",COUNTIF($G$2:G7597,G7597))</f>
        <v>PL-10093/1</v>
      </c>
      <c r="C7597" s="15" t="s">
        <v>40357</v>
      </c>
      <c r="D7597" s="43">
        <v>44677</v>
      </c>
      <c r="E7597" s="15" t="s">
        <v>42437</v>
      </c>
      <c r="F7597" s="87" t="s">
        <v>21871</v>
      </c>
      <c r="G7597" s="47" t="s">
        <v>17697</v>
      </c>
      <c r="H7597" s="54" t="s">
        <v>17698</v>
      </c>
      <c r="I7597" s="5" t="s">
        <v>17018</v>
      </c>
    </row>
    <row r="7598" spans="1:9" ht="32.5" customHeight="1" x14ac:dyDescent="0.35">
      <c r="A7598" s="15"/>
      <c r="B7598" s="15" t="str">
        <f>CONCATENATE(G7598,"/",COUNTIF($G$2:G7598,G7598))</f>
        <v>PL-10093/2</v>
      </c>
      <c r="C7598" s="15" t="s">
        <v>42438</v>
      </c>
      <c r="D7598" s="43">
        <v>44677</v>
      </c>
      <c r="E7598" s="15" t="s">
        <v>42439</v>
      </c>
      <c r="F7598" s="87" t="s">
        <v>21871</v>
      </c>
      <c r="G7598" s="47" t="s">
        <v>17697</v>
      </c>
      <c r="H7598" s="54" t="s">
        <v>17698</v>
      </c>
      <c r="I7598" s="5" t="s">
        <v>17018</v>
      </c>
    </row>
    <row r="7599" spans="1:9" ht="32.5" customHeight="1" x14ac:dyDescent="0.35">
      <c r="A7599" s="15"/>
      <c r="B7599" s="15" t="str">
        <f>CONCATENATE(G7599,"/",COUNTIF($G$2:G7599,G7599))</f>
        <v>PL-10093/3</v>
      </c>
      <c r="C7599" s="15" t="s">
        <v>42440</v>
      </c>
      <c r="D7599" s="43">
        <v>44677</v>
      </c>
      <c r="E7599" s="15" t="s">
        <v>42441</v>
      </c>
      <c r="F7599" s="87" t="s">
        <v>21871</v>
      </c>
      <c r="G7599" s="47" t="s">
        <v>17697</v>
      </c>
      <c r="H7599" s="54" t="s">
        <v>17698</v>
      </c>
      <c r="I7599" s="5" t="s">
        <v>17018</v>
      </c>
    </row>
    <row r="7600" spans="1:9" ht="32.5" customHeight="1" x14ac:dyDescent="0.35">
      <c r="A7600" s="15"/>
      <c r="B7600" s="15" t="str">
        <f>CONCATENATE(G7600,"/",COUNTIF($G$2:G7600,G7600))</f>
        <v>PL-10093/4</v>
      </c>
      <c r="C7600" s="15" t="s">
        <v>42442</v>
      </c>
      <c r="D7600" s="43">
        <v>44677</v>
      </c>
      <c r="E7600" s="15" t="s">
        <v>42443</v>
      </c>
      <c r="F7600" s="87" t="s">
        <v>21871</v>
      </c>
      <c r="G7600" s="47" t="s">
        <v>17697</v>
      </c>
      <c r="H7600" s="54" t="s">
        <v>17698</v>
      </c>
      <c r="I7600" s="5" t="s">
        <v>17018</v>
      </c>
    </row>
    <row r="7601" spans="1:9" ht="32.5" customHeight="1" x14ac:dyDescent="0.35">
      <c r="A7601" s="15"/>
      <c r="B7601" s="15" t="str">
        <f>CONCATENATE(G7601,"/",COUNTIF($G$2:G7601,G7601))</f>
        <v>PL-10093/5</v>
      </c>
      <c r="C7601" s="15" t="s">
        <v>42444</v>
      </c>
      <c r="D7601" s="43">
        <v>44677</v>
      </c>
      <c r="E7601" s="15" t="s">
        <v>42445</v>
      </c>
      <c r="F7601" s="87" t="s">
        <v>21871</v>
      </c>
      <c r="G7601" s="47" t="s">
        <v>17697</v>
      </c>
      <c r="H7601" s="54" t="s">
        <v>17698</v>
      </c>
      <c r="I7601" s="5" t="s">
        <v>17018</v>
      </c>
    </row>
    <row r="7602" spans="1:9" ht="31" customHeight="1" x14ac:dyDescent="0.35">
      <c r="A7602" s="15"/>
      <c r="B7602" s="15" t="str">
        <f>CONCATENATE(G7602,"/",COUNTIF($G$2:G7602,G7602))</f>
        <v>ES-10137/1</v>
      </c>
      <c r="C7602" s="15" t="s">
        <v>42446</v>
      </c>
      <c r="D7602" s="43">
        <v>44742</v>
      </c>
      <c r="E7602" s="15" t="s">
        <v>42447</v>
      </c>
      <c r="F7602" s="87" t="s">
        <v>21871</v>
      </c>
      <c r="G7602" s="47" t="s">
        <v>19216</v>
      </c>
      <c r="H7602" s="55" t="s">
        <v>19217</v>
      </c>
      <c r="I7602" s="15" t="s">
        <v>17769</v>
      </c>
    </row>
    <row r="7603" spans="1:9" ht="31" customHeight="1" x14ac:dyDescent="0.35">
      <c r="A7603" s="15"/>
      <c r="B7603" s="15" t="str">
        <f>CONCATENATE(G7603,"/",COUNTIF($G$2:G7603,G7603))</f>
        <v>ES-10137/2</v>
      </c>
      <c r="C7603" s="15" t="s">
        <v>42448</v>
      </c>
      <c r="D7603" s="43">
        <v>44742</v>
      </c>
      <c r="E7603" s="15" t="s">
        <v>42449</v>
      </c>
      <c r="F7603" s="87" t="s">
        <v>21871</v>
      </c>
      <c r="G7603" s="47" t="s">
        <v>19216</v>
      </c>
      <c r="H7603" s="55" t="s">
        <v>19217</v>
      </c>
      <c r="I7603" s="15" t="s">
        <v>17769</v>
      </c>
    </row>
    <row r="7604" spans="1:9" ht="31" customHeight="1" x14ac:dyDescent="0.35">
      <c r="A7604" s="15"/>
      <c r="B7604" s="15" t="str">
        <f>CONCATENATE(G7604,"/",COUNTIF($G$2:G7604,G7604))</f>
        <v>ES-10137/3</v>
      </c>
      <c r="C7604" s="15" t="s">
        <v>42450</v>
      </c>
      <c r="D7604" s="43">
        <v>44742</v>
      </c>
      <c r="E7604" s="15" t="s">
        <v>42451</v>
      </c>
      <c r="F7604" s="87" t="s">
        <v>21871</v>
      </c>
      <c r="G7604" s="47" t="s">
        <v>19216</v>
      </c>
      <c r="H7604" s="55" t="s">
        <v>19217</v>
      </c>
      <c r="I7604" s="15" t="s">
        <v>17769</v>
      </c>
    </row>
    <row r="7605" spans="1:9" ht="31.4" customHeight="1" x14ac:dyDescent="0.35">
      <c r="A7605" s="15"/>
      <c r="B7605" s="15" t="str">
        <f>CONCATENATE(G7605,"/",COUNTIF($G$2:G7605,G7605))</f>
        <v>HR-10116/1</v>
      </c>
      <c r="C7605" s="15" t="s">
        <v>42452</v>
      </c>
      <c r="D7605" s="43">
        <v>44746</v>
      </c>
      <c r="E7605" s="15" t="s">
        <v>42453</v>
      </c>
      <c r="F7605" s="87" t="s">
        <v>21871</v>
      </c>
      <c r="G7605" s="47" t="s">
        <v>19224</v>
      </c>
      <c r="H7605" s="54" t="s">
        <v>19225</v>
      </c>
      <c r="I7605" s="5" t="s">
        <v>9767</v>
      </c>
    </row>
    <row r="7606" spans="1:9" ht="31.4" customHeight="1" x14ac:dyDescent="0.35">
      <c r="A7606" s="15"/>
      <c r="B7606" s="15" t="str">
        <f>CONCATENATE(G7606,"/",COUNTIF($G$2:G7606,G7606))</f>
        <v>HR-10116/2</v>
      </c>
      <c r="C7606" s="15" t="s">
        <v>42454</v>
      </c>
      <c r="D7606" s="43">
        <v>44746</v>
      </c>
      <c r="E7606" s="15" t="s">
        <v>42455</v>
      </c>
      <c r="F7606" s="87" t="s">
        <v>21871</v>
      </c>
      <c r="G7606" s="47" t="s">
        <v>19224</v>
      </c>
      <c r="H7606" s="54" t="s">
        <v>19225</v>
      </c>
      <c r="I7606" s="5" t="s">
        <v>9767</v>
      </c>
    </row>
    <row r="7607" spans="1:9" ht="31.4" customHeight="1" x14ac:dyDescent="0.35">
      <c r="A7607" s="15"/>
      <c r="B7607" s="15" t="str">
        <f>CONCATENATE(G7607,"/",COUNTIF($G$2:G7607,G7607))</f>
        <v>HR-10116/3</v>
      </c>
      <c r="C7607" s="15" t="s">
        <v>42456</v>
      </c>
      <c r="D7607" s="43">
        <v>44746</v>
      </c>
      <c r="E7607" s="15" t="s">
        <v>42457</v>
      </c>
      <c r="F7607" s="87" t="s">
        <v>21871</v>
      </c>
      <c r="G7607" s="47" t="s">
        <v>19224</v>
      </c>
      <c r="H7607" s="54" t="s">
        <v>19225</v>
      </c>
      <c r="I7607" s="5" t="s">
        <v>9767</v>
      </c>
    </row>
    <row r="7608" spans="1:9" ht="31.4" customHeight="1" x14ac:dyDescent="0.35">
      <c r="A7608" s="15"/>
      <c r="B7608" s="15" t="str">
        <f>CONCATENATE(G7608,"/",COUNTIF($G$2:G7608,G7608))</f>
        <v>HR-10116/4</v>
      </c>
      <c r="C7608" s="15" t="s">
        <v>42458</v>
      </c>
      <c r="D7608" s="43">
        <v>44746</v>
      </c>
      <c r="E7608" s="15" t="s">
        <v>42459</v>
      </c>
      <c r="F7608" s="87" t="s">
        <v>21871</v>
      </c>
      <c r="G7608" s="47" t="s">
        <v>19224</v>
      </c>
      <c r="H7608" s="54" t="s">
        <v>19225</v>
      </c>
      <c r="I7608" s="5" t="s">
        <v>9767</v>
      </c>
    </row>
    <row r="7609" spans="1:9" ht="31.4" customHeight="1" x14ac:dyDescent="0.35">
      <c r="A7609" s="15"/>
      <c r="B7609" s="15" t="str">
        <f>CONCATENATE(G7609,"/",COUNTIF($G$2:G7609,G7609))</f>
        <v>HR-10116/5</v>
      </c>
      <c r="C7609" s="15" t="s">
        <v>42460</v>
      </c>
      <c r="D7609" s="43">
        <v>44746</v>
      </c>
      <c r="E7609" s="15" t="s">
        <v>42461</v>
      </c>
      <c r="F7609" s="87" t="s">
        <v>21871</v>
      </c>
      <c r="G7609" s="47" t="s">
        <v>19224</v>
      </c>
      <c r="H7609" s="54" t="s">
        <v>19225</v>
      </c>
      <c r="I7609" s="5" t="s">
        <v>9767</v>
      </c>
    </row>
    <row r="7610" spans="1:9" ht="37.9" customHeight="1" x14ac:dyDescent="0.35">
      <c r="A7610" s="15"/>
      <c r="B7610" s="15" t="str">
        <f>CONCATENATE(G7610,"/",COUNTIF($G$2:G7610,G7610))</f>
        <v>HR-10082/1</v>
      </c>
      <c r="C7610" s="15" t="s">
        <v>42462</v>
      </c>
      <c r="D7610" s="43">
        <v>44747</v>
      </c>
      <c r="E7610" s="15" t="s">
        <v>42463</v>
      </c>
      <c r="F7610" s="87" t="s">
        <v>21871</v>
      </c>
      <c r="G7610" s="47" t="s">
        <v>18911</v>
      </c>
      <c r="H7610" s="54" t="s">
        <v>18912</v>
      </c>
      <c r="I7610" s="21" t="s">
        <v>9767</v>
      </c>
    </row>
    <row r="7611" spans="1:9" ht="37.9" customHeight="1" x14ac:dyDescent="0.35">
      <c r="A7611" s="15"/>
      <c r="B7611" s="15" t="str">
        <f>CONCATENATE(G7611,"/",COUNTIF($G$2:G7611,G7611))</f>
        <v>HR-10082/2</v>
      </c>
      <c r="C7611" s="15" t="s">
        <v>42464</v>
      </c>
      <c r="D7611" s="43">
        <v>44747</v>
      </c>
      <c r="E7611" s="15" t="s">
        <v>42465</v>
      </c>
      <c r="F7611" s="87" t="s">
        <v>21871</v>
      </c>
      <c r="G7611" s="47" t="s">
        <v>18911</v>
      </c>
      <c r="H7611" s="54" t="s">
        <v>18912</v>
      </c>
      <c r="I7611" s="21" t="s">
        <v>9767</v>
      </c>
    </row>
    <row r="7612" spans="1:9" ht="26.15" customHeight="1" x14ac:dyDescent="0.35">
      <c r="A7612" s="15"/>
      <c r="B7612" s="15" t="str">
        <f>CONCATENATE(G7612,"/",COUNTIF($G$2:G7612,G7612))</f>
        <v>PT-6124/1</v>
      </c>
      <c r="C7612" s="15" t="s">
        <v>42466</v>
      </c>
      <c r="D7612" s="43">
        <v>44755</v>
      </c>
      <c r="E7612" s="15" t="s">
        <v>42467</v>
      </c>
      <c r="F7612" s="87" t="s">
        <v>21871</v>
      </c>
      <c r="G7612" s="45" t="s">
        <v>16660</v>
      </c>
      <c r="H7612" s="54" t="s">
        <v>16661</v>
      </c>
      <c r="I7612" s="5" t="s">
        <v>16662</v>
      </c>
    </row>
    <row r="7613" spans="1:9" ht="26.15" customHeight="1" x14ac:dyDescent="0.35">
      <c r="A7613" s="15"/>
      <c r="B7613" s="15" t="str">
        <f>CONCATENATE(G7613,"/",COUNTIF($G$2:G7613,G7613))</f>
        <v>PT-6124/2</v>
      </c>
      <c r="C7613" s="15" t="s">
        <v>42468</v>
      </c>
      <c r="D7613" s="43">
        <v>44755</v>
      </c>
      <c r="E7613" s="15" t="s">
        <v>42469</v>
      </c>
      <c r="F7613" s="87" t="s">
        <v>21871</v>
      </c>
      <c r="G7613" s="45" t="s">
        <v>16660</v>
      </c>
      <c r="H7613" s="54" t="s">
        <v>16661</v>
      </c>
      <c r="I7613" s="5" t="s">
        <v>16662</v>
      </c>
    </row>
    <row r="7614" spans="1:9" ht="26.15" customHeight="1" x14ac:dyDescent="0.35">
      <c r="A7614" s="15"/>
      <c r="B7614" s="15" t="str">
        <f>CONCATENATE(G7614,"/",COUNTIF($G$2:G7614,G7614))</f>
        <v>PT-6124/3</v>
      </c>
      <c r="C7614" s="15" t="s">
        <v>42470</v>
      </c>
      <c r="D7614" s="43">
        <v>44755</v>
      </c>
      <c r="E7614" s="15" t="s">
        <v>42471</v>
      </c>
      <c r="F7614" s="87" t="s">
        <v>21871</v>
      </c>
      <c r="G7614" s="45" t="s">
        <v>16660</v>
      </c>
      <c r="H7614" s="54" t="s">
        <v>16661</v>
      </c>
      <c r="I7614" s="5" t="s">
        <v>16662</v>
      </c>
    </row>
    <row r="7615" spans="1:9" ht="31.5" customHeight="1" x14ac:dyDescent="0.35">
      <c r="A7615" s="15"/>
      <c r="B7615" s="15" t="str">
        <f>CONCATENATE(G7615,"/",COUNTIF($G$2:G7615,G7615))</f>
        <v>RO-6254/1</v>
      </c>
      <c r="C7615" s="15" t="s">
        <v>29587</v>
      </c>
      <c r="D7615" s="15" t="s">
        <v>42472</v>
      </c>
      <c r="E7615" s="15" t="s">
        <v>42473</v>
      </c>
      <c r="F7615" s="87" t="s">
        <v>21871</v>
      </c>
      <c r="G7615" s="45" t="s">
        <v>17636</v>
      </c>
      <c r="H7615" s="54" t="s">
        <v>17637</v>
      </c>
      <c r="I7615" s="5" t="s">
        <v>17638</v>
      </c>
    </row>
    <row r="7616" spans="1:9" ht="33.65" customHeight="1" x14ac:dyDescent="0.35">
      <c r="A7616" s="15"/>
      <c r="B7616" s="15" t="str">
        <f>CONCATENATE(G7616,"/",COUNTIF($G$2:G7616,G7616))</f>
        <v>RO-10087/1</v>
      </c>
      <c r="C7616" s="15" t="s">
        <v>42474</v>
      </c>
      <c r="D7616" s="15" t="s">
        <v>42475</v>
      </c>
      <c r="E7616" s="15" t="s">
        <v>42476</v>
      </c>
      <c r="F7616" s="87" t="s">
        <v>21871</v>
      </c>
      <c r="G7616" s="47" t="s">
        <v>19019</v>
      </c>
      <c r="H7616" s="54" t="s">
        <v>19020</v>
      </c>
      <c r="I7616" s="21" t="s">
        <v>17638</v>
      </c>
    </row>
    <row r="7617" spans="1:9" ht="33.65" customHeight="1" x14ac:dyDescent="0.35">
      <c r="A7617" s="15"/>
      <c r="B7617" s="15" t="str">
        <f>CONCATENATE(G7617,"/",COUNTIF($G$2:G7617,G7617))</f>
        <v>RO-6277/1</v>
      </c>
      <c r="C7617" s="15" t="s">
        <v>29587</v>
      </c>
      <c r="D7617" s="15" t="s">
        <v>17798</v>
      </c>
      <c r="E7617" s="15" t="s">
        <v>42477</v>
      </c>
      <c r="F7617" s="87" t="s">
        <v>21871</v>
      </c>
      <c r="G7617" s="45" t="s">
        <v>17789</v>
      </c>
      <c r="H7617" s="54" t="s">
        <v>17790</v>
      </c>
      <c r="I7617" s="5" t="s">
        <v>17638</v>
      </c>
    </row>
    <row r="7618" spans="1:9" ht="31.5" customHeight="1" x14ac:dyDescent="0.35">
      <c r="A7618" s="15"/>
      <c r="B7618" s="15" t="str">
        <f>CONCATENATE(G7618,"/",COUNTIF($G$2:G7618,G7618))</f>
        <v>DK-10260/1</v>
      </c>
      <c r="C7618" s="15" t="s">
        <v>42478</v>
      </c>
      <c r="D7618" s="28">
        <v>44574</v>
      </c>
      <c r="E7618" s="15" t="s">
        <v>42479</v>
      </c>
      <c r="F7618" s="87" t="s">
        <v>21871</v>
      </c>
      <c r="G7618" s="47" t="s">
        <v>18381</v>
      </c>
      <c r="H7618" s="54" t="s">
        <v>18382</v>
      </c>
      <c r="I7618" s="5" t="s">
        <v>12887</v>
      </c>
    </row>
    <row r="7619" spans="1:9" ht="31.5" customHeight="1" x14ac:dyDescent="0.35">
      <c r="A7619" s="15"/>
      <c r="B7619" s="15" t="str">
        <f>CONCATENATE(G7619,"/",COUNTIF($G$2:G7619,G7619))</f>
        <v>DK-10260/2</v>
      </c>
      <c r="C7619" s="15" t="s">
        <v>42480</v>
      </c>
      <c r="D7619" s="28">
        <v>44574</v>
      </c>
      <c r="E7619" s="15" t="s">
        <v>42481</v>
      </c>
      <c r="F7619" s="87" t="s">
        <v>21871</v>
      </c>
      <c r="G7619" s="47" t="s">
        <v>18381</v>
      </c>
      <c r="H7619" s="54" t="s">
        <v>18382</v>
      </c>
      <c r="I7619" s="5" t="s">
        <v>12887</v>
      </c>
    </row>
    <row r="7620" spans="1:9" ht="31.5" customHeight="1" x14ac:dyDescent="0.35">
      <c r="A7620" s="15"/>
      <c r="B7620" s="15" t="str">
        <f>CONCATENATE(G7620,"/",COUNTIF($G$2:G7620,G7620))</f>
        <v>DK-10260/3</v>
      </c>
      <c r="C7620" s="15" t="s">
        <v>42482</v>
      </c>
      <c r="D7620" s="28">
        <v>44574</v>
      </c>
      <c r="E7620" s="15" t="s">
        <v>42483</v>
      </c>
      <c r="F7620" s="87" t="s">
        <v>21871</v>
      </c>
      <c r="G7620" s="47" t="s">
        <v>18381</v>
      </c>
      <c r="H7620" s="54" t="s">
        <v>18382</v>
      </c>
      <c r="I7620" s="5" t="s">
        <v>12887</v>
      </c>
    </row>
    <row r="7621" spans="1:9" ht="35.5" customHeight="1" x14ac:dyDescent="0.35">
      <c r="A7621" s="15"/>
      <c r="B7621" s="15" t="str">
        <f>CONCATENATE(G7621,"/",COUNTIF($G$2:G7621,G7621))</f>
        <v>DK-10261/1</v>
      </c>
      <c r="C7621" s="15" t="s">
        <v>42484</v>
      </c>
      <c r="D7621" s="28">
        <v>44747</v>
      </c>
      <c r="E7621" s="15" t="s">
        <v>42485</v>
      </c>
      <c r="F7621" s="87" t="s">
        <v>21871</v>
      </c>
      <c r="G7621" s="47" t="s">
        <v>18988</v>
      </c>
      <c r="H7621" s="54" t="s">
        <v>18989</v>
      </c>
      <c r="I7621" s="5" t="s">
        <v>12887</v>
      </c>
    </row>
    <row r="7622" spans="1:9" ht="33" customHeight="1" x14ac:dyDescent="0.35">
      <c r="A7622" s="15"/>
      <c r="B7622" s="15" t="str">
        <f>CONCATENATE(G7622,"/",COUNTIF($G$2:G7622,G7622))</f>
        <v>DK-10267/1</v>
      </c>
      <c r="C7622" s="15" t="s">
        <v>42486</v>
      </c>
      <c r="D7622" s="28">
        <v>44714</v>
      </c>
      <c r="E7622" s="15" t="s">
        <v>42487</v>
      </c>
      <c r="F7622" s="87" t="s">
        <v>21871</v>
      </c>
      <c r="G7622" s="47" t="s">
        <v>19045</v>
      </c>
      <c r="H7622" s="54" t="s">
        <v>19046</v>
      </c>
      <c r="I7622" s="5" t="s">
        <v>12887</v>
      </c>
    </row>
    <row r="7623" spans="1:9" ht="30.65" customHeight="1" x14ac:dyDescent="0.35">
      <c r="A7623" s="15"/>
      <c r="B7623" s="15" t="str">
        <f>CONCATENATE(G7623,"/",COUNTIF($G$2:G7623,G7623))</f>
        <v>RO-6361/1</v>
      </c>
      <c r="C7623" s="15" t="s">
        <v>29587</v>
      </c>
      <c r="D7623" s="28" t="s">
        <v>42488</v>
      </c>
      <c r="E7623" s="15" t="s">
        <v>42489</v>
      </c>
      <c r="F7623" s="87" t="s">
        <v>21871</v>
      </c>
      <c r="G7623" s="45" t="s">
        <v>18289</v>
      </c>
      <c r="H7623" s="76" t="s">
        <v>18290</v>
      </c>
      <c r="I7623" s="21" t="s">
        <v>17638</v>
      </c>
    </row>
    <row r="7624" spans="1:9" ht="36.65" customHeight="1" x14ac:dyDescent="0.35">
      <c r="A7624" s="15"/>
      <c r="B7624" s="15" t="str">
        <f>CONCATENATE(G7624,"/",COUNTIF($G$2:G7624,G7624))</f>
        <v>CZ-10147/1</v>
      </c>
      <c r="C7624" s="15" t="s">
        <v>21892</v>
      </c>
      <c r="D7624" s="28">
        <v>44757</v>
      </c>
      <c r="E7624" s="15" t="s">
        <v>42490</v>
      </c>
      <c r="F7624" s="87" t="s">
        <v>21871</v>
      </c>
      <c r="G7624" s="47" t="s">
        <v>19405</v>
      </c>
      <c r="H7624" s="76" t="s">
        <v>19406</v>
      </c>
      <c r="I7624" s="21" t="s">
        <v>16397</v>
      </c>
    </row>
    <row r="7625" spans="1:9" ht="32.5" customHeight="1" x14ac:dyDescent="0.35">
      <c r="A7625" s="15"/>
      <c r="B7625" s="15" t="str">
        <f>CONCATENATE(G7625,"/",COUNTIF($G$2:G7625,G7625))</f>
        <v>AT-10269/1</v>
      </c>
      <c r="C7625" s="15" t="s">
        <v>42491</v>
      </c>
      <c r="D7625" s="43">
        <v>42668</v>
      </c>
      <c r="E7625" s="15" t="s">
        <v>42492</v>
      </c>
      <c r="F7625" s="87" t="s">
        <v>21871</v>
      </c>
      <c r="G7625" s="47" t="s">
        <v>12449</v>
      </c>
      <c r="H7625" s="54" t="s">
        <v>12450</v>
      </c>
      <c r="I7625" s="5" t="s">
        <v>12451</v>
      </c>
    </row>
    <row r="7626" spans="1:9" ht="32.5" customHeight="1" x14ac:dyDescent="0.35">
      <c r="A7626" s="15"/>
      <c r="B7626" s="15" t="str">
        <f>CONCATENATE(G7626,"/",COUNTIF($G$2:G7626,G7626))</f>
        <v>AT-10269/2</v>
      </c>
      <c r="C7626" s="15" t="s">
        <v>42493</v>
      </c>
      <c r="D7626" s="43">
        <v>42668</v>
      </c>
      <c r="E7626" s="15" t="s">
        <v>42494</v>
      </c>
      <c r="F7626" s="87" t="s">
        <v>21871</v>
      </c>
      <c r="G7626" s="47" t="s">
        <v>12449</v>
      </c>
      <c r="H7626" s="54" t="s">
        <v>12450</v>
      </c>
      <c r="I7626" s="5" t="s">
        <v>12451</v>
      </c>
    </row>
    <row r="7627" spans="1:9" ht="32.5" customHeight="1" x14ac:dyDescent="0.35">
      <c r="A7627" s="15"/>
      <c r="B7627" s="15" t="str">
        <f>CONCATENATE(G7627,"/",COUNTIF($G$2:G7627,G7627))</f>
        <v>AT-10269/3</v>
      </c>
      <c r="C7627" s="15" t="s">
        <v>42495</v>
      </c>
      <c r="D7627" s="43">
        <v>42668</v>
      </c>
      <c r="E7627" s="15" t="s">
        <v>42496</v>
      </c>
      <c r="F7627" s="87" t="s">
        <v>21871</v>
      </c>
      <c r="G7627" s="47" t="s">
        <v>12449</v>
      </c>
      <c r="H7627" s="54" t="s">
        <v>12450</v>
      </c>
      <c r="I7627" s="5" t="s">
        <v>12451</v>
      </c>
    </row>
    <row r="7628" spans="1:9" ht="31" customHeight="1" x14ac:dyDescent="0.35">
      <c r="A7628" s="15"/>
      <c r="B7628" s="15" t="str">
        <f>CONCATENATE(G7628,"/",COUNTIF($G$2:G7628,G7628))</f>
        <v>FR-6337/1</v>
      </c>
      <c r="C7628" s="15" t="s">
        <v>42497</v>
      </c>
      <c r="D7628" s="15" t="s">
        <v>19173</v>
      </c>
      <c r="E7628" s="15" t="s">
        <v>42498</v>
      </c>
      <c r="F7628" s="87" t="s">
        <v>21871</v>
      </c>
      <c r="G7628" s="45" t="s">
        <v>17542</v>
      </c>
      <c r="H7628" s="54" t="s">
        <v>17543</v>
      </c>
      <c r="I7628" s="5" t="s">
        <v>16278</v>
      </c>
    </row>
    <row r="7629" spans="1:9" ht="31" customHeight="1" x14ac:dyDescent="0.35">
      <c r="A7629" s="15"/>
      <c r="B7629" s="15" t="str">
        <f>CONCATENATE(G7629,"/",COUNTIF($G$2:G7629,G7629))</f>
        <v>FR-6337/2</v>
      </c>
      <c r="C7629" s="15" t="s">
        <v>42499</v>
      </c>
      <c r="D7629" s="15" t="s">
        <v>19173</v>
      </c>
      <c r="E7629" s="15" t="s">
        <v>42500</v>
      </c>
      <c r="F7629" s="87" t="s">
        <v>21871</v>
      </c>
      <c r="G7629" s="45" t="s">
        <v>17542</v>
      </c>
      <c r="H7629" s="54" t="s">
        <v>17543</v>
      </c>
      <c r="I7629" s="5" t="s">
        <v>16278</v>
      </c>
    </row>
    <row r="7630" spans="1:9" ht="31" customHeight="1" x14ac:dyDescent="0.35">
      <c r="A7630" s="15"/>
      <c r="B7630" s="15" t="str">
        <f>CONCATENATE(G7630,"/",COUNTIF($G$2:G7630,G7630))</f>
        <v>FR-6337/3</v>
      </c>
      <c r="C7630" s="15" t="s">
        <v>42501</v>
      </c>
      <c r="D7630" s="15" t="s">
        <v>19173</v>
      </c>
      <c r="E7630" s="15" t="s">
        <v>42502</v>
      </c>
      <c r="F7630" s="87" t="s">
        <v>21871</v>
      </c>
      <c r="G7630" s="45" t="s">
        <v>17542</v>
      </c>
      <c r="H7630" s="54" t="s">
        <v>17543</v>
      </c>
      <c r="I7630" s="5" t="s">
        <v>16278</v>
      </c>
    </row>
    <row r="7631" spans="1:9" ht="31" customHeight="1" x14ac:dyDescent="0.35">
      <c r="A7631" s="15"/>
      <c r="B7631" s="15" t="str">
        <f>CONCATENATE(G7631,"/",COUNTIF($G$2:G7631,G7631))</f>
        <v>FR-6337/4</v>
      </c>
      <c r="C7631" s="15" t="s">
        <v>42503</v>
      </c>
      <c r="D7631" s="15" t="s">
        <v>19173</v>
      </c>
      <c r="E7631" s="15" t="s">
        <v>42504</v>
      </c>
      <c r="F7631" s="87" t="s">
        <v>21871</v>
      </c>
      <c r="G7631" s="45" t="s">
        <v>17542</v>
      </c>
      <c r="H7631" s="54" t="s">
        <v>17543</v>
      </c>
      <c r="I7631" s="5" t="s">
        <v>16278</v>
      </c>
    </row>
    <row r="7632" spans="1:9" ht="34" customHeight="1" x14ac:dyDescent="0.35">
      <c r="A7632" s="15"/>
      <c r="B7632" s="15" t="str">
        <f>CONCATENATE(G7632,"/",COUNTIF($G$2:G7632,G7632))</f>
        <v>HU-10084/1</v>
      </c>
      <c r="C7632" s="15" t="s">
        <v>42505</v>
      </c>
      <c r="D7632" s="21" t="s">
        <v>19018</v>
      </c>
      <c r="E7632" s="15" t="s">
        <v>42506</v>
      </c>
      <c r="F7632" s="87" t="s">
        <v>21871</v>
      </c>
      <c r="G7632" s="47" t="s">
        <v>19011</v>
      </c>
      <c r="H7632" s="54" t="s">
        <v>19012</v>
      </c>
      <c r="I7632" s="5" t="s">
        <v>17537</v>
      </c>
    </row>
    <row r="7633" spans="1:9" ht="34" customHeight="1" x14ac:dyDescent="0.35">
      <c r="A7633" s="15"/>
      <c r="B7633" s="15" t="str">
        <f>CONCATENATE(G7633,"/",COUNTIF($G$2:G7633,G7633))</f>
        <v>HU-10084/2</v>
      </c>
      <c r="C7633" s="15" t="s">
        <v>42507</v>
      </c>
      <c r="D7633" s="21" t="s">
        <v>19018</v>
      </c>
      <c r="E7633" s="15" t="s">
        <v>42508</v>
      </c>
      <c r="F7633" s="87" t="s">
        <v>21871</v>
      </c>
      <c r="G7633" s="47" t="s">
        <v>19011</v>
      </c>
      <c r="H7633" s="54" t="s">
        <v>19012</v>
      </c>
      <c r="I7633" s="5" t="s">
        <v>17537</v>
      </c>
    </row>
    <row r="7634" spans="1:9" ht="34" customHeight="1" x14ac:dyDescent="0.35">
      <c r="A7634" s="15"/>
      <c r="B7634" s="15" t="str">
        <f>CONCATENATE(G7634,"/",COUNTIF($G$2:G7634,G7634))</f>
        <v>HU-10084/3</v>
      </c>
      <c r="C7634" s="15" t="s">
        <v>42509</v>
      </c>
      <c r="D7634" s="21" t="s">
        <v>19018</v>
      </c>
      <c r="E7634" s="15" t="s">
        <v>42510</v>
      </c>
      <c r="F7634" s="87" t="s">
        <v>21871</v>
      </c>
      <c r="G7634" s="47" t="s">
        <v>19011</v>
      </c>
      <c r="H7634" s="54" t="s">
        <v>19012</v>
      </c>
      <c r="I7634" s="5" t="s">
        <v>17537</v>
      </c>
    </row>
    <row r="7635" spans="1:9" ht="34" customHeight="1" x14ac:dyDescent="0.35">
      <c r="A7635" s="15"/>
      <c r="B7635" s="15" t="str">
        <f>CONCATENATE(G7635,"/",COUNTIF($G$2:G7635,G7635))</f>
        <v>HU-10084/4</v>
      </c>
      <c r="C7635" s="15" t="s">
        <v>42511</v>
      </c>
      <c r="D7635" s="21" t="s">
        <v>19018</v>
      </c>
      <c r="E7635" s="15" t="s">
        <v>42512</v>
      </c>
      <c r="F7635" s="87" t="s">
        <v>21871</v>
      </c>
      <c r="G7635" s="47" t="s">
        <v>19011</v>
      </c>
      <c r="H7635" s="54" t="s">
        <v>19012</v>
      </c>
      <c r="I7635" s="5" t="s">
        <v>17537</v>
      </c>
    </row>
    <row r="7636" spans="1:9" ht="31" customHeight="1" x14ac:dyDescent="0.35">
      <c r="A7636" s="15"/>
      <c r="B7636" s="15" t="str">
        <f>CONCATENATE(G7636,"/",COUNTIF($G$2:G7636,G7636))</f>
        <v>RO-10097/1</v>
      </c>
      <c r="C7636" s="15" t="s">
        <v>42513</v>
      </c>
      <c r="D7636" s="43">
        <v>44762</v>
      </c>
      <c r="E7636" s="15" t="s">
        <v>42514</v>
      </c>
      <c r="F7636" s="87" t="s">
        <v>21871</v>
      </c>
      <c r="G7636" s="47" t="s">
        <v>19098</v>
      </c>
      <c r="H7636" s="54" t="s">
        <v>19099</v>
      </c>
      <c r="I7636" s="5" t="s">
        <v>17638</v>
      </c>
    </row>
    <row r="7637" spans="1:9" ht="31" customHeight="1" x14ac:dyDescent="0.35">
      <c r="A7637" s="15"/>
      <c r="B7637" s="15" t="str">
        <f>CONCATENATE(G7637,"/",COUNTIF($G$2:G7637,G7637))</f>
        <v>RO-10097/2</v>
      </c>
      <c r="C7637" s="15" t="s">
        <v>42515</v>
      </c>
      <c r="D7637" s="43">
        <v>44762</v>
      </c>
      <c r="E7637" s="15" t="s">
        <v>42516</v>
      </c>
      <c r="F7637" s="87" t="s">
        <v>21871</v>
      </c>
      <c r="G7637" s="47" t="s">
        <v>19098</v>
      </c>
      <c r="H7637" s="54" t="s">
        <v>19099</v>
      </c>
      <c r="I7637" s="5" t="s">
        <v>17638</v>
      </c>
    </row>
    <row r="7638" spans="1:9" ht="24.65" customHeight="1" x14ac:dyDescent="0.35">
      <c r="A7638" s="15"/>
      <c r="B7638" s="15" t="str">
        <f>CONCATENATE(G7638,"/",COUNTIF($G$2:G7638,G7638))</f>
        <v>RO-10096/1</v>
      </c>
      <c r="C7638" s="15" t="s">
        <v>42517</v>
      </c>
      <c r="D7638" s="43">
        <v>44762</v>
      </c>
      <c r="E7638" s="15" t="s">
        <v>42518</v>
      </c>
      <c r="F7638" s="87" t="s">
        <v>21871</v>
      </c>
      <c r="G7638" s="47" t="s">
        <v>19082</v>
      </c>
      <c r="H7638" s="54" t="s">
        <v>19083</v>
      </c>
      <c r="I7638" s="5" t="s">
        <v>17638</v>
      </c>
    </row>
    <row r="7639" spans="1:9" ht="31.5" customHeight="1" x14ac:dyDescent="0.35">
      <c r="A7639" s="15"/>
      <c r="B7639" s="15" t="str">
        <f>CONCATENATE(G7639,"/",COUNTIF($G$2:G7639,G7639))</f>
        <v>RO-10104/1</v>
      </c>
      <c r="C7639" s="15" t="s">
        <v>42519</v>
      </c>
      <c r="D7639" s="43">
        <v>44761</v>
      </c>
      <c r="E7639" s="15" t="s">
        <v>42520</v>
      </c>
      <c r="F7639" s="87" t="s">
        <v>21871</v>
      </c>
      <c r="G7639" s="47" t="s">
        <v>19165</v>
      </c>
      <c r="H7639" s="54" t="s">
        <v>19166</v>
      </c>
      <c r="I7639" s="5" t="s">
        <v>17638</v>
      </c>
    </row>
    <row r="7640" spans="1:9" ht="31.5" customHeight="1" x14ac:dyDescent="0.35">
      <c r="A7640" s="15"/>
      <c r="B7640" s="15" t="str">
        <f>CONCATENATE(G7640,"/",COUNTIF($G$2:G7640,G7640))</f>
        <v>RO-10104/2</v>
      </c>
      <c r="C7640" s="15" t="s">
        <v>42521</v>
      </c>
      <c r="D7640" s="43">
        <v>44761</v>
      </c>
      <c r="E7640" s="15" t="s">
        <v>42522</v>
      </c>
      <c r="F7640" s="87" t="s">
        <v>21871</v>
      </c>
      <c r="G7640" s="47" t="s">
        <v>19165</v>
      </c>
      <c r="H7640" s="54" t="s">
        <v>19166</v>
      </c>
      <c r="I7640" s="5" t="s">
        <v>17638</v>
      </c>
    </row>
    <row r="7641" spans="1:9" ht="24" customHeight="1" x14ac:dyDescent="0.35">
      <c r="A7641" s="15"/>
      <c r="B7641" s="15" t="str">
        <f>CONCATENATE(G7641,"/",COUNTIF($G$2:G7641,G7641))</f>
        <v>ES-10228/1</v>
      </c>
      <c r="C7641" s="15" t="s">
        <v>42523</v>
      </c>
      <c r="D7641" s="43">
        <v>44763</v>
      </c>
      <c r="E7641" s="15" t="s">
        <v>42524</v>
      </c>
      <c r="F7641" s="87" t="s">
        <v>21871</v>
      </c>
      <c r="G7641" s="47" t="s">
        <v>19308</v>
      </c>
      <c r="H7641" s="76" t="s">
        <v>19309</v>
      </c>
      <c r="I7641" s="21" t="s">
        <v>17769</v>
      </c>
    </row>
    <row r="7642" spans="1:9" ht="24" customHeight="1" x14ac:dyDescent="0.35">
      <c r="A7642" s="15"/>
      <c r="B7642" s="15" t="str">
        <f>CONCATENATE(G7642,"/",COUNTIF($G$2:G7642,G7642))</f>
        <v>ES-10228/2</v>
      </c>
      <c r="C7642" s="15" t="s">
        <v>42525</v>
      </c>
      <c r="D7642" s="43">
        <v>44763</v>
      </c>
      <c r="E7642" s="15" t="s">
        <v>42526</v>
      </c>
      <c r="F7642" s="87" t="s">
        <v>21871</v>
      </c>
      <c r="G7642" s="47" t="s">
        <v>19308</v>
      </c>
      <c r="H7642" s="76" t="s">
        <v>19309</v>
      </c>
      <c r="I7642" s="21" t="s">
        <v>17769</v>
      </c>
    </row>
    <row r="7643" spans="1:9" ht="24" customHeight="1" x14ac:dyDescent="0.35">
      <c r="A7643" s="15"/>
      <c r="B7643" s="15" t="str">
        <f>CONCATENATE(G7643,"/",COUNTIF($G$2:G7643,G7643))</f>
        <v>ES-10228/3</v>
      </c>
      <c r="C7643" s="15" t="s">
        <v>42527</v>
      </c>
      <c r="D7643" s="43">
        <v>44763</v>
      </c>
      <c r="E7643" s="15" t="s">
        <v>42528</v>
      </c>
      <c r="F7643" s="87" t="s">
        <v>21871</v>
      </c>
      <c r="G7643" s="47" t="s">
        <v>19308</v>
      </c>
      <c r="H7643" s="76" t="s">
        <v>19309</v>
      </c>
      <c r="I7643" s="21" t="s">
        <v>17769</v>
      </c>
    </row>
    <row r="7644" spans="1:9" ht="24.65" customHeight="1" x14ac:dyDescent="0.35">
      <c r="A7644" s="15"/>
      <c r="B7644" s="15" t="str">
        <f>CONCATENATE(G7644,"/",COUNTIF($G$2:G7644,G7644))</f>
        <v>HU-10148/1</v>
      </c>
      <c r="C7644" s="15" t="s">
        <v>42529</v>
      </c>
      <c r="D7644" s="43">
        <v>44748</v>
      </c>
      <c r="E7644" s="15" t="s">
        <v>42530</v>
      </c>
      <c r="F7644" s="87" t="s">
        <v>21871</v>
      </c>
      <c r="G7644" s="47" t="s">
        <v>19383</v>
      </c>
      <c r="H7644" s="76" t="s">
        <v>19384</v>
      </c>
      <c r="I7644" s="21" t="s">
        <v>17537</v>
      </c>
    </row>
    <row r="7645" spans="1:9" ht="30" customHeight="1" x14ac:dyDescent="0.35">
      <c r="A7645" s="15"/>
      <c r="B7645" s="15" t="str">
        <f>CONCATENATE(G7645,"/",COUNTIF($G$2:G7645,G7645))</f>
        <v>BG-10210/1</v>
      </c>
      <c r="C7645" s="15" t="s">
        <v>42531</v>
      </c>
      <c r="D7645" s="15" t="s">
        <v>19884</v>
      </c>
      <c r="E7645" s="15" t="s">
        <v>42532</v>
      </c>
      <c r="F7645" s="87" t="s">
        <v>21871</v>
      </c>
      <c r="G7645" s="47" t="s">
        <v>19876</v>
      </c>
      <c r="H7645" s="76" t="s">
        <v>19877</v>
      </c>
      <c r="I7645" s="21" t="s">
        <v>17728</v>
      </c>
    </row>
    <row r="7646" spans="1:9" ht="30" customHeight="1" x14ac:dyDescent="0.35">
      <c r="A7646" s="15"/>
      <c r="B7646" s="15" t="str">
        <f>CONCATENATE(G7646,"/",COUNTIF($G$2:G7646,G7646))</f>
        <v>BG-10210/2</v>
      </c>
      <c r="C7646" s="15" t="s">
        <v>42533</v>
      </c>
      <c r="D7646" s="15" t="s">
        <v>19884</v>
      </c>
      <c r="E7646" s="15" t="s">
        <v>42534</v>
      </c>
      <c r="F7646" s="87" t="s">
        <v>21871</v>
      </c>
      <c r="G7646" s="47" t="s">
        <v>19876</v>
      </c>
      <c r="H7646" s="76" t="s">
        <v>19877</v>
      </c>
      <c r="I7646" s="21" t="s">
        <v>17728</v>
      </c>
    </row>
    <row r="7647" spans="1:9" ht="30" customHeight="1" x14ac:dyDescent="0.35">
      <c r="A7647" s="15"/>
      <c r="B7647" s="15" t="str">
        <f>CONCATENATE(G7647,"/",COUNTIF($G$2:G7647,G7647))</f>
        <v>BG-10210/3</v>
      </c>
      <c r="C7647" s="15" t="s">
        <v>42535</v>
      </c>
      <c r="D7647" s="15" t="s">
        <v>19884</v>
      </c>
      <c r="E7647" s="15" t="s">
        <v>42536</v>
      </c>
      <c r="F7647" s="87" t="s">
        <v>21871</v>
      </c>
      <c r="G7647" s="47" t="s">
        <v>19876</v>
      </c>
      <c r="H7647" s="76" t="s">
        <v>19877</v>
      </c>
      <c r="I7647" s="21" t="s">
        <v>17728</v>
      </c>
    </row>
    <row r="7648" spans="1:9" ht="30" customHeight="1" x14ac:dyDescent="0.35">
      <c r="A7648" s="15"/>
      <c r="B7648" s="15" t="str">
        <f>CONCATENATE(G7648,"/",COUNTIF($G$2:G7648,G7648))</f>
        <v>BG-10210/4</v>
      </c>
      <c r="C7648" s="15" t="s">
        <v>42537</v>
      </c>
      <c r="D7648" s="15" t="s">
        <v>19884</v>
      </c>
      <c r="E7648" s="15" t="s">
        <v>42538</v>
      </c>
      <c r="F7648" s="87" t="s">
        <v>21871</v>
      </c>
      <c r="G7648" s="47" t="s">
        <v>19876</v>
      </c>
      <c r="H7648" s="76" t="s">
        <v>19877</v>
      </c>
      <c r="I7648" s="21" t="s">
        <v>17728</v>
      </c>
    </row>
    <row r="7649" spans="1:9" ht="30" customHeight="1" x14ac:dyDescent="0.35">
      <c r="A7649" s="15"/>
      <c r="B7649" s="15" t="str">
        <f>CONCATENATE(G7649,"/",COUNTIF($G$2:G7649,G7649))</f>
        <v>BG-10210/5</v>
      </c>
      <c r="C7649" s="15" t="s">
        <v>42539</v>
      </c>
      <c r="D7649" s="15" t="s">
        <v>19884</v>
      </c>
      <c r="E7649" s="15" t="s">
        <v>42540</v>
      </c>
      <c r="F7649" s="87" t="s">
        <v>21871</v>
      </c>
      <c r="G7649" s="47" t="s">
        <v>19876</v>
      </c>
      <c r="H7649" s="76" t="s">
        <v>19877</v>
      </c>
      <c r="I7649" s="21" t="s">
        <v>17728</v>
      </c>
    </row>
    <row r="7650" spans="1:9" ht="32.5" customHeight="1" x14ac:dyDescent="0.35">
      <c r="A7650" s="15"/>
      <c r="B7650" s="15" t="str">
        <f>CONCATENATE(G7650,"/",COUNTIF($G$2:G7650,G7650))</f>
        <v>RO-10100/1</v>
      </c>
      <c r="C7650" s="15" t="s">
        <v>42541</v>
      </c>
      <c r="D7650" s="62">
        <v>44763</v>
      </c>
      <c r="E7650" s="15" t="s">
        <v>42542</v>
      </c>
      <c r="F7650" s="87" t="s">
        <v>21871</v>
      </c>
      <c r="G7650" s="47" t="s">
        <v>19130</v>
      </c>
      <c r="H7650" s="54" t="s">
        <v>19131</v>
      </c>
      <c r="I7650" s="5" t="s">
        <v>17638</v>
      </c>
    </row>
    <row r="7651" spans="1:9" ht="32.5" customHeight="1" x14ac:dyDescent="0.35">
      <c r="A7651" s="15"/>
      <c r="B7651" s="15" t="str">
        <f>CONCATENATE(G7651,"/",COUNTIF($G$2:G7651,G7651))</f>
        <v>RO-10100/2</v>
      </c>
      <c r="C7651" s="15" t="s">
        <v>42543</v>
      </c>
      <c r="D7651" s="62">
        <v>44763</v>
      </c>
      <c r="E7651" s="15" t="s">
        <v>42544</v>
      </c>
      <c r="F7651" s="87" t="s">
        <v>21871</v>
      </c>
      <c r="G7651" s="47" t="s">
        <v>19130</v>
      </c>
      <c r="H7651" s="54" t="s">
        <v>19131</v>
      </c>
      <c r="I7651" s="5" t="s">
        <v>17638</v>
      </c>
    </row>
    <row r="7652" spans="1:9" ht="32.5" customHeight="1" x14ac:dyDescent="0.35">
      <c r="A7652" s="15"/>
      <c r="B7652" s="15" t="str">
        <f>CONCATENATE(G7652,"/",COUNTIF($G$2:G7652,G7652))</f>
        <v>RO-10100/3</v>
      </c>
      <c r="C7652" s="15" t="s">
        <v>42545</v>
      </c>
      <c r="D7652" s="62">
        <v>44763</v>
      </c>
      <c r="E7652" s="15" t="s">
        <v>42546</v>
      </c>
      <c r="F7652" s="87" t="s">
        <v>21871</v>
      </c>
      <c r="G7652" s="47" t="s">
        <v>19130</v>
      </c>
      <c r="H7652" s="54" t="s">
        <v>19131</v>
      </c>
      <c r="I7652" s="5" t="s">
        <v>17638</v>
      </c>
    </row>
    <row r="7653" spans="1:9" ht="32.5" customHeight="1" x14ac:dyDescent="0.35">
      <c r="A7653" s="15"/>
      <c r="B7653" s="15" t="str">
        <f>CONCATENATE(G7653,"/",COUNTIF($G$2:G7653,G7653))</f>
        <v>RO-10100/4</v>
      </c>
      <c r="C7653" s="15" t="s">
        <v>42547</v>
      </c>
      <c r="D7653" s="62">
        <v>44763</v>
      </c>
      <c r="E7653" s="15" t="s">
        <v>42548</v>
      </c>
      <c r="F7653" s="87" t="s">
        <v>21871</v>
      </c>
      <c r="G7653" s="47" t="s">
        <v>19130</v>
      </c>
      <c r="H7653" s="54" t="s">
        <v>19131</v>
      </c>
      <c r="I7653" s="5" t="s">
        <v>17638</v>
      </c>
    </row>
    <row r="7654" spans="1:9" ht="31" customHeight="1" x14ac:dyDescent="0.35">
      <c r="A7654" s="15"/>
      <c r="B7654" s="15" t="str">
        <f>CONCATENATE(G7654,"/",COUNTIF($G$2:G7654,G7654))</f>
        <v>CZ-10062/1</v>
      </c>
      <c r="C7654" s="15">
        <v>1</v>
      </c>
      <c r="D7654" s="9">
        <v>44754</v>
      </c>
      <c r="E7654" s="15" t="s">
        <v>42549</v>
      </c>
      <c r="F7654" s="87" t="s">
        <v>21871</v>
      </c>
      <c r="G7654" s="47" t="s">
        <v>18816</v>
      </c>
      <c r="H7654" s="54" t="s">
        <v>18817</v>
      </c>
      <c r="I7654" s="21" t="s">
        <v>16397</v>
      </c>
    </row>
    <row r="7655" spans="1:9" ht="31" customHeight="1" x14ac:dyDescent="0.35">
      <c r="A7655" s="15"/>
      <c r="B7655" s="15" t="str">
        <f>CONCATENATE(G7655,"/",COUNTIF($G$2:G7655,G7655))</f>
        <v>RO-10110/1</v>
      </c>
      <c r="C7655" s="15" t="s">
        <v>42550</v>
      </c>
      <c r="D7655" s="15" t="s">
        <v>19173</v>
      </c>
      <c r="E7655" s="15" t="s">
        <v>42551</v>
      </c>
      <c r="F7655" s="87" t="s">
        <v>21871</v>
      </c>
      <c r="G7655" s="47" t="s">
        <v>19201</v>
      </c>
      <c r="H7655" s="54" t="s">
        <v>19202</v>
      </c>
      <c r="I7655" s="5" t="s">
        <v>17638</v>
      </c>
    </row>
    <row r="7656" spans="1:9" ht="35.15" customHeight="1" x14ac:dyDescent="0.35">
      <c r="A7656" s="15"/>
      <c r="B7656" s="15" t="str">
        <f>CONCATENATE(G7656,"/",COUNTIF($G$2:G7656,G7656))</f>
        <v>PT-10181/1</v>
      </c>
      <c r="C7656" s="15" t="s">
        <v>42552</v>
      </c>
      <c r="D7656" s="15" t="s">
        <v>42553</v>
      </c>
      <c r="E7656" s="15" t="s">
        <v>42554</v>
      </c>
      <c r="F7656" s="87" t="s">
        <v>21871</v>
      </c>
      <c r="G7656" s="47" t="s">
        <v>19592</v>
      </c>
      <c r="H7656" s="76" t="s">
        <v>19593</v>
      </c>
      <c r="I7656" s="21" t="s">
        <v>16662</v>
      </c>
    </row>
    <row r="7657" spans="1:9" ht="35.15" customHeight="1" x14ac:dyDescent="0.35">
      <c r="A7657" s="15"/>
      <c r="B7657" s="15" t="str">
        <f>CONCATENATE(G7657,"/",COUNTIF($G$2:G7657,G7657))</f>
        <v>PT-10181/2</v>
      </c>
      <c r="C7657" s="15" t="s">
        <v>42555</v>
      </c>
      <c r="D7657" s="15" t="s">
        <v>42553</v>
      </c>
      <c r="E7657" s="15" t="s">
        <v>42556</v>
      </c>
      <c r="F7657" s="87" t="s">
        <v>21871</v>
      </c>
      <c r="G7657" s="47" t="s">
        <v>19592</v>
      </c>
      <c r="H7657" s="76" t="s">
        <v>19593</v>
      </c>
      <c r="I7657" s="21" t="s">
        <v>16662</v>
      </c>
    </row>
    <row r="7658" spans="1:9" ht="37.5" customHeight="1" x14ac:dyDescent="0.35">
      <c r="A7658" s="15"/>
      <c r="B7658" s="15" t="str">
        <f>CONCATENATE(G7658,"/",COUNTIF($G$2:G7658,G7658))</f>
        <v>CZ-10125/1</v>
      </c>
      <c r="C7658" s="15">
        <v>1</v>
      </c>
      <c r="D7658" s="28">
        <v>44788</v>
      </c>
      <c r="E7658" s="15" t="s">
        <v>42557</v>
      </c>
      <c r="F7658" s="87" t="s">
        <v>21871</v>
      </c>
      <c r="G7658" s="47" t="s">
        <v>19319</v>
      </c>
      <c r="H7658" s="55" t="s">
        <v>19320</v>
      </c>
      <c r="I7658" s="5" t="s">
        <v>16397</v>
      </c>
    </row>
    <row r="7659" spans="1:9" ht="25.5" customHeight="1" x14ac:dyDescent="0.35">
      <c r="A7659" s="15"/>
      <c r="B7659" s="15" t="str">
        <f>CONCATENATE(G7659,"/",COUNTIF($G$2:G7659,G7659))</f>
        <v>PL-10022/1</v>
      </c>
      <c r="C7659" s="15" t="s">
        <v>42558</v>
      </c>
      <c r="D7659" s="15" t="s">
        <v>42559</v>
      </c>
      <c r="E7659" s="15" t="s">
        <v>42560</v>
      </c>
      <c r="F7659" s="87" t="s">
        <v>21871</v>
      </c>
      <c r="G7659" s="47" t="s">
        <v>18503</v>
      </c>
      <c r="H7659" s="79" t="s">
        <v>18504</v>
      </c>
      <c r="I7659" s="20" t="s">
        <v>17018</v>
      </c>
    </row>
    <row r="7660" spans="1:9" ht="22.5" customHeight="1" x14ac:dyDescent="0.35">
      <c r="A7660" s="15"/>
      <c r="B7660" s="15" t="str">
        <f>CONCATENATE(G7660,"/",COUNTIF($G$2:G7660,G7660))</f>
        <v>PL-10022/2</v>
      </c>
      <c r="C7660" s="15" t="s">
        <v>42561</v>
      </c>
      <c r="D7660" s="15" t="s">
        <v>42559</v>
      </c>
      <c r="E7660" s="15" t="s">
        <v>42562</v>
      </c>
      <c r="F7660" s="87" t="s">
        <v>21871</v>
      </c>
      <c r="G7660" s="47" t="s">
        <v>18503</v>
      </c>
      <c r="H7660" s="79" t="s">
        <v>18504</v>
      </c>
      <c r="I7660" s="20" t="s">
        <v>17018</v>
      </c>
    </row>
    <row r="7661" spans="1:9" ht="22.5" customHeight="1" x14ac:dyDescent="0.35">
      <c r="A7661" s="15"/>
      <c r="B7661" s="15" t="str">
        <f>CONCATENATE(G7661,"/",COUNTIF($G$2:G7661,G7661))</f>
        <v>PL-10022/3</v>
      </c>
      <c r="C7661" s="15" t="s">
        <v>42563</v>
      </c>
      <c r="D7661" s="15" t="s">
        <v>42559</v>
      </c>
      <c r="E7661" s="15" t="s">
        <v>42564</v>
      </c>
      <c r="F7661" s="87" t="s">
        <v>21871</v>
      </c>
      <c r="G7661" s="47" t="s">
        <v>18503</v>
      </c>
      <c r="H7661" s="79" t="s">
        <v>18504</v>
      </c>
      <c r="I7661" s="20" t="s">
        <v>17018</v>
      </c>
    </row>
    <row r="7662" spans="1:9" ht="31" customHeight="1" x14ac:dyDescent="0.35">
      <c r="A7662" s="15"/>
      <c r="B7662" s="15" t="str">
        <f>CONCATENATE(G7662,"/",COUNTIF($G$2:G7662,G7662))</f>
        <v>FI-10162/1</v>
      </c>
      <c r="C7662" s="15" t="s">
        <v>42565</v>
      </c>
      <c r="D7662" s="43">
        <v>44817</v>
      </c>
      <c r="E7662" s="15" t="s">
        <v>42566</v>
      </c>
      <c r="F7662" s="87" t="s">
        <v>21871</v>
      </c>
      <c r="G7662" s="47" t="s">
        <v>19496</v>
      </c>
      <c r="H7662" s="76" t="s">
        <v>19497</v>
      </c>
      <c r="I7662" s="21" t="s">
        <v>18828</v>
      </c>
    </row>
    <row r="7663" spans="1:9" ht="31" customHeight="1" x14ac:dyDescent="0.35">
      <c r="A7663" s="15"/>
      <c r="B7663" s="15" t="str">
        <f>CONCATENATE(G7663,"/",COUNTIF($G$2:G7663,G7663))</f>
        <v>FI-10162/2</v>
      </c>
      <c r="C7663" s="15" t="s">
        <v>42567</v>
      </c>
      <c r="D7663" s="43">
        <v>44817</v>
      </c>
      <c r="E7663" s="15" t="s">
        <v>42568</v>
      </c>
      <c r="F7663" s="87" t="s">
        <v>21871</v>
      </c>
      <c r="G7663" s="47" t="s">
        <v>19496</v>
      </c>
      <c r="H7663" s="76" t="s">
        <v>19497</v>
      </c>
      <c r="I7663" s="21" t="s">
        <v>18828</v>
      </c>
    </row>
    <row r="7664" spans="1:9" ht="31" customHeight="1" x14ac:dyDescent="0.35">
      <c r="A7664" s="15"/>
      <c r="B7664" s="15" t="str">
        <f>CONCATENATE(G7664,"/",COUNTIF($G$2:G7664,G7664))</f>
        <v>FI-10162/3</v>
      </c>
      <c r="C7664" s="15" t="s">
        <v>42569</v>
      </c>
      <c r="D7664" s="43">
        <v>44817</v>
      </c>
      <c r="E7664" s="15" t="s">
        <v>42570</v>
      </c>
      <c r="F7664" s="87" t="s">
        <v>21871</v>
      </c>
      <c r="G7664" s="47" t="s">
        <v>19496</v>
      </c>
      <c r="H7664" s="76" t="s">
        <v>19497</v>
      </c>
      <c r="I7664" s="21" t="s">
        <v>18828</v>
      </c>
    </row>
    <row r="7665" spans="1:9" ht="31.5" customHeight="1" x14ac:dyDescent="0.35">
      <c r="A7665" s="15"/>
      <c r="B7665" s="15" t="str">
        <f>CONCATENATE(G7665,"/",COUNTIF($G$2:G7665,G7665))</f>
        <v>FI-10140/1</v>
      </c>
      <c r="C7665" s="15" t="s">
        <v>42571</v>
      </c>
      <c r="D7665" s="43">
        <v>44833</v>
      </c>
      <c r="E7665" s="15" t="s">
        <v>42572</v>
      </c>
      <c r="F7665" s="87" t="s">
        <v>21871</v>
      </c>
      <c r="G7665" s="47" t="s">
        <v>19340</v>
      </c>
      <c r="H7665" s="76" t="s">
        <v>19341</v>
      </c>
      <c r="I7665" s="21" t="s">
        <v>18828</v>
      </c>
    </row>
    <row r="7666" spans="1:9" ht="31.5" customHeight="1" x14ac:dyDescent="0.35">
      <c r="A7666" s="15"/>
      <c r="B7666" s="15" t="str">
        <f>CONCATENATE(G7666,"/",COUNTIF($G$2:G7666,G7666))</f>
        <v>FI-10140/2</v>
      </c>
      <c r="C7666" s="15" t="s">
        <v>42573</v>
      </c>
      <c r="D7666" s="43">
        <v>44833</v>
      </c>
      <c r="E7666" s="15" t="s">
        <v>42574</v>
      </c>
      <c r="F7666" s="87" t="s">
        <v>21871</v>
      </c>
      <c r="G7666" s="47" t="s">
        <v>19340</v>
      </c>
      <c r="H7666" s="76" t="s">
        <v>19341</v>
      </c>
      <c r="I7666" s="21" t="s">
        <v>18828</v>
      </c>
    </row>
    <row r="7667" spans="1:9" ht="31" customHeight="1" x14ac:dyDescent="0.35">
      <c r="A7667" s="15"/>
      <c r="B7667" s="15" t="str">
        <f>CONCATENATE(G7667,"/",COUNTIF($G$2:G7667,G7667))</f>
        <v>DE-6335/1</v>
      </c>
      <c r="C7667" s="15" t="s">
        <v>42575</v>
      </c>
      <c r="D7667" s="15" t="s">
        <v>42576</v>
      </c>
      <c r="E7667" s="15" t="s">
        <v>42577</v>
      </c>
      <c r="F7667" s="87" t="s">
        <v>42289</v>
      </c>
      <c r="G7667" s="45" t="s">
        <v>18098</v>
      </c>
      <c r="H7667" s="54" t="s">
        <v>18099</v>
      </c>
      <c r="I7667" s="5" t="s">
        <v>6434</v>
      </c>
    </row>
    <row r="7668" spans="1:9" ht="31" customHeight="1" x14ac:dyDescent="0.35">
      <c r="A7668" s="15"/>
      <c r="B7668" s="15" t="str">
        <f>CONCATENATE(G7668,"/",COUNTIF($G$2:G7668,G7668))</f>
        <v>DE-6335/2</v>
      </c>
      <c r="C7668" s="15" t="s">
        <v>42578</v>
      </c>
      <c r="D7668" s="15" t="s">
        <v>42576</v>
      </c>
      <c r="E7668" s="15" t="s">
        <v>42579</v>
      </c>
      <c r="F7668" s="87" t="s">
        <v>42289</v>
      </c>
      <c r="G7668" s="45" t="s">
        <v>18098</v>
      </c>
      <c r="H7668" s="54" t="s">
        <v>18099</v>
      </c>
      <c r="I7668" s="5" t="s">
        <v>6434</v>
      </c>
    </row>
    <row r="7669" spans="1:9" ht="31" customHeight="1" x14ac:dyDescent="0.35">
      <c r="A7669" s="15"/>
      <c r="B7669" s="15" t="str">
        <f>CONCATENATE(G7669,"/",COUNTIF($G$2:G7669,G7669))</f>
        <v>DE-6335/3</v>
      </c>
      <c r="C7669" s="15" t="s">
        <v>42580</v>
      </c>
      <c r="D7669" s="15" t="s">
        <v>42576</v>
      </c>
      <c r="E7669" s="15" t="s">
        <v>42581</v>
      </c>
      <c r="F7669" s="87" t="s">
        <v>42289</v>
      </c>
      <c r="G7669" s="45" t="s">
        <v>18098</v>
      </c>
      <c r="H7669" s="54" t="s">
        <v>18099</v>
      </c>
      <c r="I7669" s="5" t="s">
        <v>6434</v>
      </c>
    </row>
    <row r="7670" spans="1:9" ht="31" customHeight="1" x14ac:dyDescent="0.35">
      <c r="A7670" s="15"/>
      <c r="B7670" s="15" t="str">
        <f>CONCATENATE(G7670,"/",COUNTIF($G$2:G7670,G7670))</f>
        <v>DE-6335/4</v>
      </c>
      <c r="C7670" s="15" t="s">
        <v>42582</v>
      </c>
      <c r="D7670" s="15" t="s">
        <v>42576</v>
      </c>
      <c r="E7670" s="15" t="s">
        <v>42583</v>
      </c>
      <c r="F7670" s="87" t="s">
        <v>42289</v>
      </c>
      <c r="G7670" s="45" t="s">
        <v>18098</v>
      </c>
      <c r="H7670" s="54" t="s">
        <v>18099</v>
      </c>
      <c r="I7670" s="5" t="s">
        <v>6434</v>
      </c>
    </row>
    <row r="7671" spans="1:9" ht="34.5" customHeight="1" x14ac:dyDescent="0.35">
      <c r="A7671" s="15"/>
      <c r="B7671" s="15" t="str">
        <f>CONCATENATE(G7671,"/",COUNTIF($G$2:G7671,G7671))</f>
        <v>CZ-10169/1</v>
      </c>
      <c r="C7671" s="15">
        <v>1</v>
      </c>
      <c r="D7671" s="28">
        <v>44844</v>
      </c>
      <c r="E7671" s="15" t="s">
        <v>42584</v>
      </c>
      <c r="F7671" s="87" t="s">
        <v>21871</v>
      </c>
      <c r="G7671" s="15" t="s">
        <v>19613</v>
      </c>
      <c r="H7671" s="55" t="s">
        <v>19614</v>
      </c>
      <c r="I7671" s="15" t="s">
        <v>16397</v>
      </c>
    </row>
    <row r="7672" spans="1:9" ht="32.15" customHeight="1" x14ac:dyDescent="0.35">
      <c r="A7672" s="15"/>
      <c r="B7672" s="15" t="str">
        <f>CONCATENATE(G7672,"/",COUNTIF($G$2:G7672,G7672))</f>
        <v>CZ-10071/1</v>
      </c>
      <c r="C7672" s="15" t="s">
        <v>21892</v>
      </c>
      <c r="D7672" s="28">
        <v>44851</v>
      </c>
      <c r="E7672" s="15" t="s">
        <v>42585</v>
      </c>
      <c r="F7672" s="87" t="s">
        <v>21871</v>
      </c>
      <c r="G7672" s="47" t="s">
        <v>18919</v>
      </c>
      <c r="H7672" s="54" t="s">
        <v>18920</v>
      </c>
      <c r="I7672" s="21" t="s">
        <v>16397</v>
      </c>
    </row>
    <row r="7673" spans="1:9" ht="32.15" customHeight="1" x14ac:dyDescent="0.35">
      <c r="A7673" s="15"/>
      <c r="B7673" s="15" t="str">
        <f>CONCATENATE(G7673,"/",COUNTIF($G$2:G7673,G7673))</f>
        <v>CZ-10071/2</v>
      </c>
      <c r="C7673" s="15" t="s">
        <v>21896</v>
      </c>
      <c r="D7673" s="28">
        <v>44851</v>
      </c>
      <c r="E7673" s="15" t="s">
        <v>42586</v>
      </c>
      <c r="F7673" s="87" t="s">
        <v>21871</v>
      </c>
      <c r="G7673" s="47" t="s">
        <v>18919</v>
      </c>
      <c r="H7673" s="54" t="s">
        <v>18920</v>
      </c>
      <c r="I7673" s="21" t="s">
        <v>16397</v>
      </c>
    </row>
    <row r="7674" spans="1:9" ht="51.65" customHeight="1" x14ac:dyDescent="0.35">
      <c r="A7674" s="15"/>
      <c r="B7674" s="15" t="str">
        <f>CONCATENATE(G7674,"/",COUNTIF($G$2:G7674,G7674))</f>
        <v>CZ-10211/1</v>
      </c>
      <c r="C7674" s="15" t="s">
        <v>21892</v>
      </c>
      <c r="D7674" s="28">
        <v>44866</v>
      </c>
      <c r="E7674" s="15" t="s">
        <v>42587</v>
      </c>
      <c r="F7674" s="87" t="s">
        <v>21871</v>
      </c>
      <c r="G7674" s="47" t="s">
        <v>19896</v>
      </c>
      <c r="H7674" s="76" t="s">
        <v>19897</v>
      </c>
      <c r="I7674" s="21" t="s">
        <v>16397</v>
      </c>
    </row>
    <row r="7675" spans="1:9" ht="32.5" customHeight="1" x14ac:dyDescent="0.35">
      <c r="A7675" s="15"/>
      <c r="B7675" s="15" t="str">
        <f>CONCATENATE(G7675,"/",COUNTIF($G$2:G7675,G7675))</f>
        <v>HU-10177/1</v>
      </c>
      <c r="C7675" s="15" t="s">
        <v>42588</v>
      </c>
      <c r="D7675" s="15" t="s">
        <v>19673</v>
      </c>
      <c r="E7675" s="15" t="s">
        <v>42589</v>
      </c>
      <c r="F7675" s="87" t="s">
        <v>21871</v>
      </c>
      <c r="G7675" s="47" t="s">
        <v>19666</v>
      </c>
      <c r="H7675" s="76" t="s">
        <v>19667</v>
      </c>
      <c r="I7675" s="21" t="s">
        <v>17537</v>
      </c>
    </row>
    <row r="7676" spans="1:9" ht="32.5" customHeight="1" x14ac:dyDescent="0.35">
      <c r="A7676" s="15"/>
      <c r="B7676" s="15" t="str">
        <f>CONCATENATE(G7676,"/",COUNTIF($G$2:G7676,G7676))</f>
        <v>HU-10177/2</v>
      </c>
      <c r="C7676" s="15" t="s">
        <v>42590</v>
      </c>
      <c r="D7676" s="15" t="s">
        <v>19673</v>
      </c>
      <c r="E7676" s="15" t="s">
        <v>42591</v>
      </c>
      <c r="F7676" s="87" t="s">
        <v>21871</v>
      </c>
      <c r="G7676" s="47" t="s">
        <v>19666</v>
      </c>
      <c r="H7676" s="76" t="s">
        <v>19667</v>
      </c>
      <c r="I7676" s="21" t="s">
        <v>17537</v>
      </c>
    </row>
    <row r="7677" spans="1:9" ht="32.15" customHeight="1" x14ac:dyDescent="0.35">
      <c r="A7677" s="15"/>
      <c r="B7677" s="15" t="str">
        <f>CONCATENATE(G7677,"/",COUNTIF($G$2:G7677,G7677))</f>
        <v>HU-10217/1</v>
      </c>
      <c r="C7677" s="15" t="s">
        <v>42592</v>
      </c>
      <c r="D7677" s="15" t="s">
        <v>42593</v>
      </c>
      <c r="E7677" s="15" t="s">
        <v>42594</v>
      </c>
      <c r="F7677" s="87" t="s">
        <v>21871</v>
      </c>
      <c r="G7677" s="47" t="s">
        <v>19914</v>
      </c>
      <c r="H7677" s="76" t="s">
        <v>19915</v>
      </c>
      <c r="I7677" s="21" t="s">
        <v>17537</v>
      </c>
    </row>
    <row r="7678" spans="1:9" ht="32.15" customHeight="1" x14ac:dyDescent="0.35">
      <c r="A7678" s="15"/>
      <c r="B7678" s="15" t="str">
        <f>CONCATENATE(G7678,"/",COUNTIF($G$2:G7678,G7678))</f>
        <v>HU-10217/2</v>
      </c>
      <c r="C7678" s="15" t="s">
        <v>42595</v>
      </c>
      <c r="D7678" s="15" t="s">
        <v>42593</v>
      </c>
      <c r="E7678" s="15" t="s">
        <v>42596</v>
      </c>
      <c r="F7678" s="87" t="s">
        <v>21871</v>
      </c>
      <c r="G7678" s="47" t="s">
        <v>19914</v>
      </c>
      <c r="H7678" s="76" t="s">
        <v>19915</v>
      </c>
      <c r="I7678" s="21" t="s">
        <v>17537</v>
      </c>
    </row>
    <row r="7679" spans="1:9" ht="32.15" customHeight="1" x14ac:dyDescent="0.35">
      <c r="A7679" s="15"/>
      <c r="B7679" s="15" t="str">
        <f>CONCATENATE(G7679,"/",COUNTIF($G$2:G7679,G7679))</f>
        <v>HU-10217/3</v>
      </c>
      <c r="C7679" s="15" t="s">
        <v>42597</v>
      </c>
      <c r="D7679" s="15" t="s">
        <v>42593</v>
      </c>
      <c r="E7679" s="15" t="s">
        <v>42598</v>
      </c>
      <c r="F7679" s="87" t="s">
        <v>21871</v>
      </c>
      <c r="G7679" s="47" t="s">
        <v>19914</v>
      </c>
      <c r="H7679" s="76" t="s">
        <v>19915</v>
      </c>
      <c r="I7679" s="21" t="s">
        <v>17537</v>
      </c>
    </row>
    <row r="7680" spans="1:9" ht="32.5" customHeight="1" x14ac:dyDescent="0.35">
      <c r="A7680" s="15"/>
      <c r="B7680" s="15" t="str">
        <f>CONCATENATE(G7680,"/",COUNTIF($G$2:G7680,G7680))</f>
        <v>HR-10160/1</v>
      </c>
      <c r="C7680" s="15" t="s">
        <v>42599</v>
      </c>
      <c r="D7680" s="15" t="s">
        <v>42600</v>
      </c>
      <c r="E7680" s="15" t="s">
        <v>42601</v>
      </c>
      <c r="F7680" s="87" t="s">
        <v>21871</v>
      </c>
      <c r="G7680" s="47" t="s">
        <v>19452</v>
      </c>
      <c r="H7680" s="76" t="s">
        <v>19453</v>
      </c>
      <c r="I7680" s="21" t="s">
        <v>9767</v>
      </c>
    </row>
    <row r="7681" spans="1:9" ht="32.5" customHeight="1" x14ac:dyDescent="0.35">
      <c r="A7681" s="15"/>
      <c r="B7681" s="15" t="str">
        <f>CONCATENATE(G7681,"/",COUNTIF($G$2:G7681,G7681))</f>
        <v>HR-10160/2</v>
      </c>
      <c r="C7681" s="15" t="s">
        <v>42602</v>
      </c>
      <c r="D7681" s="15" t="s">
        <v>42600</v>
      </c>
      <c r="E7681" s="15" t="s">
        <v>42603</v>
      </c>
      <c r="F7681" s="87" t="s">
        <v>21871</v>
      </c>
      <c r="G7681" s="47" t="s">
        <v>19452</v>
      </c>
      <c r="H7681" s="76" t="s">
        <v>19453</v>
      </c>
      <c r="I7681" s="21" t="s">
        <v>9767</v>
      </c>
    </row>
    <row r="7682" spans="1:9" ht="32.5" customHeight="1" x14ac:dyDescent="0.35">
      <c r="A7682" s="15"/>
      <c r="B7682" s="15" t="str">
        <f>CONCATENATE(G7682,"/",COUNTIF($G$2:G7682,G7682))</f>
        <v>HR-10160/3</v>
      </c>
      <c r="C7682" s="15" t="s">
        <v>42604</v>
      </c>
      <c r="D7682" s="15" t="s">
        <v>42600</v>
      </c>
      <c r="E7682" s="15" t="s">
        <v>42605</v>
      </c>
      <c r="F7682" s="87" t="s">
        <v>21871</v>
      </c>
      <c r="G7682" s="47" t="s">
        <v>19452</v>
      </c>
      <c r="H7682" s="76" t="s">
        <v>19453</v>
      </c>
      <c r="I7682" s="21" t="s">
        <v>9767</v>
      </c>
    </row>
    <row r="7683" spans="1:9" ht="24.65" customHeight="1" x14ac:dyDescent="0.35">
      <c r="A7683" s="15"/>
      <c r="B7683" s="15" t="str">
        <f>CONCATENATE(G7683,"/",COUNTIF($G$2:G7683,G7683))</f>
        <v>SK-10234/1</v>
      </c>
      <c r="C7683" s="15" t="s">
        <v>42606</v>
      </c>
      <c r="D7683" s="15" t="s">
        <v>42607</v>
      </c>
      <c r="E7683" s="15" t="s">
        <v>42608</v>
      </c>
      <c r="F7683" s="87" t="s">
        <v>21871</v>
      </c>
      <c r="G7683" s="47" t="s">
        <v>20063</v>
      </c>
      <c r="H7683" s="76" t="s">
        <v>20064</v>
      </c>
      <c r="I7683" s="21" t="s">
        <v>19107</v>
      </c>
    </row>
    <row r="7684" spans="1:9" ht="24.65" customHeight="1" x14ac:dyDescent="0.35">
      <c r="A7684" s="15"/>
      <c r="B7684" s="15" t="str">
        <f>CONCATENATE(G7684,"/",COUNTIF($G$2:G7684,G7684))</f>
        <v>SK-10234/2</v>
      </c>
      <c r="C7684" s="15" t="s">
        <v>42609</v>
      </c>
      <c r="D7684" s="15" t="s">
        <v>42607</v>
      </c>
      <c r="E7684" s="15" t="s">
        <v>42610</v>
      </c>
      <c r="F7684" s="87" t="s">
        <v>21871</v>
      </c>
      <c r="G7684" s="47" t="s">
        <v>20063</v>
      </c>
      <c r="H7684" s="76" t="s">
        <v>20064</v>
      </c>
      <c r="I7684" s="21" t="s">
        <v>19107</v>
      </c>
    </row>
    <row r="7685" spans="1:9" ht="33" customHeight="1" x14ac:dyDescent="0.35">
      <c r="A7685" s="15"/>
      <c r="B7685" s="15" t="str">
        <f>CONCATENATE(G7685,"/",COUNTIF($G$2:G7685,G7685))</f>
        <v>DE-6167/1</v>
      </c>
      <c r="C7685" s="15" t="s">
        <v>42611</v>
      </c>
      <c r="D7685" s="15" t="s">
        <v>42612</v>
      </c>
      <c r="E7685" s="15" t="s">
        <v>42613</v>
      </c>
      <c r="F7685" s="87" t="s">
        <v>23710</v>
      </c>
      <c r="G7685" s="45" t="s">
        <v>17032</v>
      </c>
      <c r="H7685" s="54" t="s">
        <v>17033</v>
      </c>
      <c r="I7685" s="5" t="s">
        <v>6434</v>
      </c>
    </row>
    <row r="7686" spans="1:9" ht="32.25" customHeight="1" x14ac:dyDescent="0.35">
      <c r="A7686" s="15"/>
      <c r="B7686" s="15" t="str">
        <f>CONCATENATE(G7686,"/",COUNTIF($G$2:G7686,G7686))</f>
        <v>HU-10224/1</v>
      </c>
      <c r="C7686" s="15" t="s">
        <v>42614</v>
      </c>
      <c r="D7686" s="43">
        <v>44895</v>
      </c>
      <c r="E7686" s="15" t="s">
        <v>42615</v>
      </c>
      <c r="F7686" s="87" t="s">
        <v>21871</v>
      </c>
      <c r="G7686" s="47" t="s">
        <v>19209</v>
      </c>
      <c r="H7686" s="76" t="s">
        <v>19210</v>
      </c>
      <c r="I7686" s="21" t="s">
        <v>17537</v>
      </c>
    </row>
    <row r="7687" spans="1:9" ht="34.5" customHeight="1" x14ac:dyDescent="0.35">
      <c r="A7687" s="15"/>
      <c r="B7687" s="15" t="str">
        <f>CONCATENATE(G7687,"/",COUNTIF($G$2:G7687,G7687))</f>
        <v>HU-10224/2</v>
      </c>
      <c r="C7687" s="15" t="s">
        <v>42616</v>
      </c>
      <c r="D7687" s="43">
        <v>44895</v>
      </c>
      <c r="E7687" s="15" t="s">
        <v>42617</v>
      </c>
      <c r="F7687" s="87" t="s">
        <v>21871</v>
      </c>
      <c r="G7687" s="47" t="s">
        <v>19209</v>
      </c>
      <c r="H7687" s="76" t="s">
        <v>19210</v>
      </c>
      <c r="I7687" s="21" t="s">
        <v>17537</v>
      </c>
    </row>
    <row r="7688" spans="1:9" ht="33" customHeight="1" x14ac:dyDescent="0.35">
      <c r="A7688" s="15"/>
      <c r="B7688" s="15" t="str">
        <f>CONCATENATE(G7688,"/",COUNTIF($G$2:G7688,G7688))</f>
        <v>FR-10117/1</v>
      </c>
      <c r="C7688" s="15" t="s">
        <v>42618</v>
      </c>
      <c r="D7688" s="15" t="s">
        <v>42619</v>
      </c>
      <c r="E7688" s="15" t="s">
        <v>42620</v>
      </c>
      <c r="F7688" s="87" t="s">
        <v>21871</v>
      </c>
      <c r="G7688" s="47" t="s">
        <v>19269</v>
      </c>
      <c r="H7688" s="54" t="s">
        <v>19270</v>
      </c>
      <c r="I7688" s="5" t="s">
        <v>16278</v>
      </c>
    </row>
    <row r="7689" spans="1:9" ht="33" customHeight="1" x14ac:dyDescent="0.35">
      <c r="A7689" s="15"/>
      <c r="B7689" s="15" t="str">
        <f>CONCATENATE(G7689,"/",COUNTIF($G$2:G7689,G7689))</f>
        <v>FR-10117/2</v>
      </c>
      <c r="C7689" s="15" t="s">
        <v>42621</v>
      </c>
      <c r="D7689" s="15" t="s">
        <v>42619</v>
      </c>
      <c r="E7689" s="15" t="s">
        <v>42622</v>
      </c>
      <c r="F7689" s="87" t="s">
        <v>21871</v>
      </c>
      <c r="G7689" s="47" t="s">
        <v>19269</v>
      </c>
      <c r="H7689" s="54" t="s">
        <v>19270</v>
      </c>
      <c r="I7689" s="5" t="s">
        <v>16278</v>
      </c>
    </row>
    <row r="7690" spans="1:9" ht="33" customHeight="1" x14ac:dyDescent="0.35">
      <c r="A7690" s="15"/>
      <c r="B7690" s="15" t="str">
        <f>CONCATENATE(G7690,"/",COUNTIF($G$2:G7690,G7690))</f>
        <v>FR-10117/3</v>
      </c>
      <c r="C7690" s="15" t="s">
        <v>42623</v>
      </c>
      <c r="D7690" s="15" t="s">
        <v>42619</v>
      </c>
      <c r="E7690" s="15" t="s">
        <v>42624</v>
      </c>
      <c r="F7690" s="87" t="s">
        <v>21871</v>
      </c>
      <c r="G7690" s="47" t="s">
        <v>19269</v>
      </c>
      <c r="H7690" s="54" t="s">
        <v>19270</v>
      </c>
      <c r="I7690" s="5" t="s">
        <v>16278</v>
      </c>
    </row>
    <row r="7691" spans="1:9" ht="33" customHeight="1" x14ac:dyDescent="0.35">
      <c r="A7691" s="15"/>
      <c r="B7691" s="15" t="str">
        <f>CONCATENATE(G7691,"/",COUNTIF($G$2:G7691,G7691))</f>
        <v>FR-10117/4</v>
      </c>
      <c r="C7691" s="15" t="s">
        <v>42625</v>
      </c>
      <c r="D7691" s="15" t="s">
        <v>42619</v>
      </c>
      <c r="E7691" s="15" t="s">
        <v>42626</v>
      </c>
      <c r="F7691" s="87" t="s">
        <v>21871</v>
      </c>
      <c r="G7691" s="47" t="s">
        <v>19269</v>
      </c>
      <c r="H7691" s="54" t="s">
        <v>19270</v>
      </c>
      <c r="I7691" s="5" t="s">
        <v>16278</v>
      </c>
    </row>
    <row r="7692" spans="1:9" ht="33" customHeight="1" x14ac:dyDescent="0.35">
      <c r="A7692" s="15"/>
      <c r="B7692" s="15" t="str">
        <f>CONCATENATE(G7692,"/",COUNTIF($G$2:G7692,G7692))</f>
        <v>FR-10117/5</v>
      </c>
      <c r="C7692" s="15" t="s">
        <v>42627</v>
      </c>
      <c r="D7692" s="15" t="s">
        <v>42619</v>
      </c>
      <c r="E7692" s="15" t="s">
        <v>42628</v>
      </c>
      <c r="F7692" s="87" t="s">
        <v>21871</v>
      </c>
      <c r="G7692" s="47" t="s">
        <v>19269</v>
      </c>
      <c r="H7692" s="54" t="s">
        <v>19270</v>
      </c>
      <c r="I7692" s="5" t="s">
        <v>16278</v>
      </c>
    </row>
    <row r="7693" spans="1:9" ht="33" customHeight="1" x14ac:dyDescent="0.35">
      <c r="A7693" s="15"/>
      <c r="B7693" s="15" t="str">
        <f>CONCATENATE(G7693,"/",COUNTIF($G$2:G7693,G7693))</f>
        <v>FR-10117/6</v>
      </c>
      <c r="C7693" s="15" t="s">
        <v>42629</v>
      </c>
      <c r="D7693" s="15" t="s">
        <v>42619</v>
      </c>
      <c r="E7693" s="15" t="s">
        <v>42630</v>
      </c>
      <c r="F7693" s="87" t="s">
        <v>21871</v>
      </c>
      <c r="G7693" s="47" t="s">
        <v>19269</v>
      </c>
      <c r="H7693" s="54" t="s">
        <v>19270</v>
      </c>
      <c r="I7693" s="5" t="s">
        <v>16278</v>
      </c>
    </row>
    <row r="7694" spans="1:9" ht="30.65" customHeight="1" x14ac:dyDescent="0.35">
      <c r="A7694" s="15"/>
      <c r="B7694" s="15" t="str">
        <f>CONCATENATE(G7694,"/",COUNTIF($G$2:G7694,G7694))</f>
        <v>BG-10275/1</v>
      </c>
      <c r="C7694" s="15" t="s">
        <v>42631</v>
      </c>
      <c r="D7694" s="15" t="s">
        <v>42632</v>
      </c>
      <c r="E7694" s="15" t="s">
        <v>42633</v>
      </c>
      <c r="F7694" s="87" t="s">
        <v>21871</v>
      </c>
      <c r="G7694" s="47" t="s">
        <v>20233</v>
      </c>
      <c r="H7694" s="54" t="s">
        <v>20234</v>
      </c>
      <c r="I7694" s="5" t="s">
        <v>17728</v>
      </c>
    </row>
    <row r="7695" spans="1:9" ht="30.65" customHeight="1" x14ac:dyDescent="0.35">
      <c r="A7695" s="15"/>
      <c r="B7695" s="15" t="str">
        <f>CONCATENATE(G7695,"/",COUNTIF($G$2:G7695,G7695))</f>
        <v>BG-10275/2</v>
      </c>
      <c r="C7695" s="15" t="s">
        <v>42634</v>
      </c>
      <c r="D7695" s="15" t="s">
        <v>42632</v>
      </c>
      <c r="E7695" s="15" t="s">
        <v>42635</v>
      </c>
      <c r="F7695" s="87" t="s">
        <v>21871</v>
      </c>
      <c r="G7695" s="47" t="s">
        <v>20233</v>
      </c>
      <c r="H7695" s="54" t="s">
        <v>20234</v>
      </c>
      <c r="I7695" s="5" t="s">
        <v>17728</v>
      </c>
    </row>
    <row r="7696" spans="1:9" ht="30.65" customHeight="1" x14ac:dyDescent="0.35">
      <c r="A7696" s="15"/>
      <c r="B7696" s="15" t="str">
        <f>CONCATENATE(G7696,"/",COUNTIF($G$2:G7696,G7696))</f>
        <v>BG-10275/3</v>
      </c>
      <c r="C7696" s="15" t="s">
        <v>42636</v>
      </c>
      <c r="D7696" s="15" t="s">
        <v>42632</v>
      </c>
      <c r="E7696" s="15" t="s">
        <v>42637</v>
      </c>
      <c r="F7696" s="87" t="s">
        <v>21871</v>
      </c>
      <c r="G7696" s="47" t="s">
        <v>20233</v>
      </c>
      <c r="H7696" s="54" t="s">
        <v>20234</v>
      </c>
      <c r="I7696" s="5" t="s">
        <v>17728</v>
      </c>
    </row>
    <row r="7697" spans="1:9" ht="30.65" customHeight="1" x14ac:dyDescent="0.35">
      <c r="A7697" s="15"/>
      <c r="B7697" s="15" t="str">
        <f>CONCATENATE(G7697,"/",COUNTIF($G$2:G7697,G7697))</f>
        <v>BG-10275/4</v>
      </c>
      <c r="C7697" s="15" t="s">
        <v>42638</v>
      </c>
      <c r="D7697" s="15" t="s">
        <v>42632</v>
      </c>
      <c r="E7697" s="15" t="s">
        <v>42639</v>
      </c>
      <c r="F7697" s="87" t="s">
        <v>21871</v>
      </c>
      <c r="G7697" s="47" t="s">
        <v>20233</v>
      </c>
      <c r="H7697" s="54" t="s">
        <v>20234</v>
      </c>
      <c r="I7697" s="5" t="s">
        <v>17728</v>
      </c>
    </row>
    <row r="7698" spans="1:9" ht="26.5" customHeight="1" x14ac:dyDescent="0.35">
      <c r="A7698" s="15"/>
      <c r="B7698" s="15" t="str">
        <f>CONCATENATE(G7698,"/",COUNTIF($G$2:G7698,G7698))</f>
        <v>RO-10166/1</v>
      </c>
      <c r="C7698" s="15" t="s">
        <v>42640</v>
      </c>
      <c r="D7698" s="28">
        <v>44911</v>
      </c>
      <c r="E7698" s="15" t="s">
        <v>42641</v>
      </c>
      <c r="F7698" s="87" t="s">
        <v>21871</v>
      </c>
      <c r="G7698" s="47" t="s">
        <v>19605</v>
      </c>
      <c r="H7698" s="76" t="s">
        <v>19606</v>
      </c>
      <c r="I7698" s="21" t="s">
        <v>17638</v>
      </c>
    </row>
    <row r="7699" spans="1:9" ht="27" customHeight="1" x14ac:dyDescent="0.35">
      <c r="A7699" s="15"/>
      <c r="B7699" s="15" t="str">
        <f>CONCATENATE(G7699,"/",COUNTIF($G$2:G7699,G7699))</f>
        <v>BG-10235/1</v>
      </c>
      <c r="C7699" s="15" t="s">
        <v>42642</v>
      </c>
      <c r="D7699" s="28">
        <v>44910</v>
      </c>
      <c r="E7699" s="15" t="s">
        <v>42643</v>
      </c>
      <c r="F7699" s="87" t="s">
        <v>21871</v>
      </c>
      <c r="G7699" s="47" t="s">
        <v>20077</v>
      </c>
      <c r="H7699" s="76" t="s">
        <v>20078</v>
      </c>
      <c r="I7699" s="21" t="s">
        <v>17728</v>
      </c>
    </row>
    <row r="7700" spans="1:9" ht="27" customHeight="1" x14ac:dyDescent="0.35">
      <c r="A7700" s="15"/>
      <c r="B7700" s="15" t="str">
        <f>CONCATENATE(G7700,"/",COUNTIF($G$2:G7700,G7700))</f>
        <v>BG-10235/2</v>
      </c>
      <c r="C7700" s="15" t="s">
        <v>42644</v>
      </c>
      <c r="D7700" s="28">
        <v>44910</v>
      </c>
      <c r="E7700" s="15" t="s">
        <v>42645</v>
      </c>
      <c r="F7700" s="87" t="s">
        <v>21871</v>
      </c>
      <c r="G7700" s="47" t="s">
        <v>20077</v>
      </c>
      <c r="H7700" s="76" t="s">
        <v>20078</v>
      </c>
      <c r="I7700" s="21" t="s">
        <v>17728</v>
      </c>
    </row>
    <row r="7701" spans="1:9" ht="27" customHeight="1" x14ac:dyDescent="0.35">
      <c r="A7701" s="15"/>
      <c r="B7701" s="15" t="str">
        <f>CONCATENATE(G7701,"/",COUNTIF($G$2:G7701,G7701))</f>
        <v>BG-10235/3</v>
      </c>
      <c r="C7701" s="15" t="s">
        <v>42646</v>
      </c>
      <c r="D7701" s="28">
        <v>44910</v>
      </c>
      <c r="E7701" s="15" t="s">
        <v>42647</v>
      </c>
      <c r="F7701" s="87" t="s">
        <v>21871</v>
      </c>
      <c r="G7701" s="47" t="s">
        <v>20077</v>
      </c>
      <c r="H7701" s="76" t="s">
        <v>20078</v>
      </c>
      <c r="I7701" s="21" t="s">
        <v>17728</v>
      </c>
    </row>
    <row r="7702" spans="1:9" ht="27" customHeight="1" x14ac:dyDescent="0.35">
      <c r="A7702" s="15"/>
      <c r="B7702" s="15" t="str">
        <f>CONCATENATE(G7702,"/",COUNTIF($G$2:G7702,G7702))</f>
        <v>BG-10235/4</v>
      </c>
      <c r="C7702" s="15" t="s">
        <v>42648</v>
      </c>
      <c r="D7702" s="28">
        <v>44910</v>
      </c>
      <c r="E7702" s="15" t="s">
        <v>42649</v>
      </c>
      <c r="F7702" s="87" t="s">
        <v>21871</v>
      </c>
      <c r="G7702" s="47" t="s">
        <v>20077</v>
      </c>
      <c r="H7702" s="76" t="s">
        <v>20078</v>
      </c>
      <c r="I7702" s="21" t="s">
        <v>17728</v>
      </c>
    </row>
    <row r="7703" spans="1:9" ht="27" customHeight="1" x14ac:dyDescent="0.35">
      <c r="A7703" s="15"/>
      <c r="B7703" s="15" t="str">
        <f>CONCATENATE(G7703,"/",COUNTIF($G$2:G7703,G7703))</f>
        <v>BG-10235/5</v>
      </c>
      <c r="C7703" s="15" t="s">
        <v>42650</v>
      </c>
      <c r="D7703" s="28">
        <v>44910</v>
      </c>
      <c r="E7703" s="15" t="s">
        <v>42651</v>
      </c>
      <c r="F7703" s="87" t="s">
        <v>21871</v>
      </c>
      <c r="G7703" s="47" t="s">
        <v>20077</v>
      </c>
      <c r="H7703" s="76" t="s">
        <v>20078</v>
      </c>
      <c r="I7703" s="21" t="s">
        <v>17728</v>
      </c>
    </row>
    <row r="7704" spans="1:9" ht="27" customHeight="1" x14ac:dyDescent="0.35">
      <c r="A7704" s="15"/>
      <c r="B7704" s="15" t="str">
        <f>CONCATENATE(G7704,"/",COUNTIF($G$2:G7704,G7704))</f>
        <v>BG-10235/6</v>
      </c>
      <c r="C7704" s="15" t="s">
        <v>42652</v>
      </c>
      <c r="D7704" s="28">
        <v>44910</v>
      </c>
      <c r="E7704" s="15" t="s">
        <v>42653</v>
      </c>
      <c r="F7704" s="87" t="s">
        <v>21871</v>
      </c>
      <c r="G7704" s="47" t="s">
        <v>20077</v>
      </c>
      <c r="H7704" s="76" t="s">
        <v>20078</v>
      </c>
      <c r="I7704" s="21" t="s">
        <v>17728</v>
      </c>
    </row>
    <row r="7705" spans="1:9" ht="29.5" customHeight="1" x14ac:dyDescent="0.35">
      <c r="A7705" s="15"/>
      <c r="B7705" s="15" t="str">
        <f>CONCATENATE(G7705,"/",COUNTIF($G$2:G7705,G7705))</f>
        <v>RO-10173/1</v>
      </c>
      <c r="C7705" s="15" t="s">
        <v>42654</v>
      </c>
      <c r="D7705" s="28">
        <v>44924</v>
      </c>
      <c r="E7705" s="15" t="s">
        <v>42655</v>
      </c>
      <c r="F7705" s="87" t="s">
        <v>21871</v>
      </c>
      <c r="G7705" s="47" t="s">
        <v>19643</v>
      </c>
      <c r="H7705" s="76" t="s">
        <v>19644</v>
      </c>
      <c r="I7705" s="21" t="s">
        <v>17638</v>
      </c>
    </row>
    <row r="7706" spans="1:9" ht="25.5" customHeight="1" x14ac:dyDescent="0.35">
      <c r="A7706" s="15"/>
      <c r="B7706" s="15" t="str">
        <f>CONCATENATE(G7706,"/",COUNTIF($G$2:G7706,G7706))</f>
        <v>RO-10176/1</v>
      </c>
      <c r="C7706" s="15" t="s">
        <v>42656</v>
      </c>
      <c r="D7706" s="28">
        <v>44924</v>
      </c>
      <c r="E7706" s="15" t="s">
        <v>42657</v>
      </c>
      <c r="F7706" s="87" t="s">
        <v>21871</v>
      </c>
      <c r="G7706" s="47" t="s">
        <v>19659</v>
      </c>
      <c r="H7706" s="76" t="s">
        <v>19660</v>
      </c>
      <c r="I7706" s="21" t="s">
        <v>17638</v>
      </c>
    </row>
    <row r="7707" spans="1:9" ht="25.5" customHeight="1" x14ac:dyDescent="0.35">
      <c r="A7707" s="15"/>
      <c r="B7707" s="15" t="str">
        <f>CONCATENATE(G7707,"/",COUNTIF($G$2:G7707,G7707))</f>
        <v>RO-10176/2</v>
      </c>
      <c r="C7707" s="15" t="s">
        <v>42658</v>
      </c>
      <c r="D7707" s="28">
        <v>44924</v>
      </c>
      <c r="E7707" s="15" t="s">
        <v>42659</v>
      </c>
      <c r="F7707" s="87" t="s">
        <v>21871</v>
      </c>
      <c r="G7707" s="47" t="s">
        <v>19659</v>
      </c>
      <c r="H7707" s="76" t="s">
        <v>19660</v>
      </c>
      <c r="I7707" s="21" t="s">
        <v>17638</v>
      </c>
    </row>
    <row r="7708" spans="1:9" ht="29.5" customHeight="1" x14ac:dyDescent="0.35">
      <c r="A7708" s="15"/>
      <c r="B7708" s="15" t="str">
        <f>CONCATENATE(G7708,"/",COUNTIF($G$2:G7708,G7708))</f>
        <v>DK-10282/1</v>
      </c>
      <c r="C7708" s="67" t="s">
        <v>42660</v>
      </c>
      <c r="D7708" s="70">
        <v>44914</v>
      </c>
      <c r="E7708" s="67" t="s">
        <v>42661</v>
      </c>
      <c r="F7708" s="87" t="s">
        <v>26221</v>
      </c>
      <c r="G7708" s="47" t="s">
        <v>19599</v>
      </c>
      <c r="H7708" s="54" t="s">
        <v>19600</v>
      </c>
      <c r="I7708" s="5" t="s">
        <v>12887</v>
      </c>
    </row>
    <row r="7709" spans="1:9" ht="31" customHeight="1" x14ac:dyDescent="0.35">
      <c r="A7709" s="15"/>
      <c r="B7709" s="15" t="str">
        <f>CONCATENATE(G7709,"/",COUNTIF($G$2:G7709,G7709))</f>
        <v>DK-10286/1</v>
      </c>
      <c r="C7709" s="67" t="s">
        <v>42662</v>
      </c>
      <c r="D7709" s="70">
        <v>44902</v>
      </c>
      <c r="E7709" s="67" t="s">
        <v>42663</v>
      </c>
      <c r="F7709" s="87" t="s">
        <v>26221</v>
      </c>
      <c r="G7709" s="47" t="s">
        <v>19532</v>
      </c>
      <c r="H7709" s="54" t="s">
        <v>19533</v>
      </c>
      <c r="I7709" s="5" t="s">
        <v>12887</v>
      </c>
    </row>
    <row r="7710" spans="1:9" ht="31" customHeight="1" x14ac:dyDescent="0.35">
      <c r="A7710" s="15"/>
      <c r="B7710" s="15" t="str">
        <f>CONCATENATE(G7710,"/",COUNTIF($G$2:G7710,G7710))</f>
        <v>DK-10286/2</v>
      </c>
      <c r="C7710" s="67" t="s">
        <v>42664</v>
      </c>
      <c r="D7710" s="70">
        <v>44902</v>
      </c>
      <c r="E7710" s="67" t="s">
        <v>42665</v>
      </c>
      <c r="F7710" s="87" t="s">
        <v>26221</v>
      </c>
      <c r="G7710" s="47" t="s">
        <v>19532</v>
      </c>
      <c r="H7710" s="54" t="s">
        <v>19533</v>
      </c>
      <c r="I7710" s="5" t="s">
        <v>12887</v>
      </c>
    </row>
    <row r="7711" spans="1:9" ht="31" customHeight="1" x14ac:dyDescent="0.35">
      <c r="A7711" s="15"/>
      <c r="B7711" s="15" t="str">
        <f>CONCATENATE(G7711,"/",COUNTIF($G$2:G7711,G7711))</f>
        <v>DK-10286/3</v>
      </c>
      <c r="C7711" s="67" t="s">
        <v>42666</v>
      </c>
      <c r="D7711" s="70">
        <v>44902</v>
      </c>
      <c r="E7711" s="67" t="s">
        <v>42667</v>
      </c>
      <c r="F7711" s="87" t="s">
        <v>26221</v>
      </c>
      <c r="G7711" s="47" t="s">
        <v>19532</v>
      </c>
      <c r="H7711" s="54" t="s">
        <v>19533</v>
      </c>
      <c r="I7711" s="5" t="s">
        <v>12887</v>
      </c>
    </row>
    <row r="7712" spans="1:9" ht="31" customHeight="1" x14ac:dyDescent="0.35">
      <c r="A7712" s="15"/>
      <c r="B7712" s="15" t="str">
        <f>CONCATENATE(G7712,"/",COUNTIF($G$2:G7712,G7712))</f>
        <v>DK-10286/4</v>
      </c>
      <c r="C7712" s="67" t="s">
        <v>42668</v>
      </c>
      <c r="D7712" s="70">
        <v>44902</v>
      </c>
      <c r="E7712" s="67" t="s">
        <v>42669</v>
      </c>
      <c r="F7712" s="87" t="s">
        <v>26221</v>
      </c>
      <c r="G7712" s="47" t="s">
        <v>19532</v>
      </c>
      <c r="H7712" s="54" t="s">
        <v>19533</v>
      </c>
      <c r="I7712" s="5" t="s">
        <v>12887</v>
      </c>
    </row>
    <row r="7713" spans="1:9" ht="32.5" customHeight="1" x14ac:dyDescent="0.35">
      <c r="A7713" s="15"/>
      <c r="B7713" s="15" t="str">
        <f>CONCATENATE(G7713,"/",COUNTIF($G$2:G7713,G7713))</f>
        <v>CZ-10179/1</v>
      </c>
      <c r="C7713" s="67" t="s">
        <v>21892</v>
      </c>
      <c r="D7713" s="70">
        <v>44935</v>
      </c>
      <c r="E7713" s="67" t="s">
        <v>42670</v>
      </c>
      <c r="F7713" s="87" t="s">
        <v>21871</v>
      </c>
      <c r="G7713" s="47" t="s">
        <v>19680</v>
      </c>
      <c r="H7713" s="76" t="s">
        <v>19681</v>
      </c>
      <c r="I7713" s="21" t="s">
        <v>16397</v>
      </c>
    </row>
    <row r="7714" spans="1:9" ht="32.5" customHeight="1" x14ac:dyDescent="0.35">
      <c r="A7714" s="15"/>
      <c r="B7714" s="15" t="str">
        <f>CONCATENATE(G7714,"/",COUNTIF($G$2:G7714,G7714))</f>
        <v>CZ-10179/2</v>
      </c>
      <c r="C7714" s="67" t="s">
        <v>21896</v>
      </c>
      <c r="D7714" s="70">
        <v>44935</v>
      </c>
      <c r="E7714" s="67" t="s">
        <v>42671</v>
      </c>
      <c r="F7714" s="87" t="s">
        <v>21871</v>
      </c>
      <c r="G7714" s="47" t="s">
        <v>19680</v>
      </c>
      <c r="H7714" s="76" t="s">
        <v>19681</v>
      </c>
      <c r="I7714" s="21" t="s">
        <v>16397</v>
      </c>
    </row>
    <row r="7715" spans="1:9" ht="32.15" customHeight="1" x14ac:dyDescent="0.35">
      <c r="A7715" s="15"/>
      <c r="B7715" s="15" t="str">
        <f>CONCATENATE(G7715,"/",COUNTIF($G$2:G7715,G7715))</f>
        <v>CZ-10091/1</v>
      </c>
      <c r="C7715" s="15">
        <v>1</v>
      </c>
      <c r="D7715" s="70">
        <v>44937</v>
      </c>
      <c r="E7715" s="15" t="s">
        <v>42672</v>
      </c>
      <c r="F7715" s="87" t="s">
        <v>21871</v>
      </c>
      <c r="G7715" s="47" t="s">
        <v>19038</v>
      </c>
      <c r="H7715" s="54" t="s">
        <v>19039</v>
      </c>
      <c r="I7715" s="5" t="s">
        <v>16397</v>
      </c>
    </row>
    <row r="7716" spans="1:9" ht="30.65" customHeight="1" x14ac:dyDescent="0.35">
      <c r="A7716" s="15"/>
      <c r="B7716" s="15" t="str">
        <f>CONCATENATE(G7716,"/",COUNTIF($G$2:G7716,G7716))</f>
        <v>HU-10151/1</v>
      </c>
      <c r="C7716" s="15" t="s">
        <v>42673</v>
      </c>
      <c r="D7716" s="70">
        <v>44564</v>
      </c>
      <c r="E7716" s="15" t="s">
        <v>42674</v>
      </c>
      <c r="F7716" s="87" t="s">
        <v>21871</v>
      </c>
      <c r="G7716" s="47" t="s">
        <v>19426</v>
      </c>
      <c r="H7716" s="76" t="s">
        <v>19427</v>
      </c>
      <c r="I7716" s="21" t="s">
        <v>17537</v>
      </c>
    </row>
    <row r="7717" spans="1:9" ht="33.4" customHeight="1" x14ac:dyDescent="0.35">
      <c r="A7717" s="15"/>
      <c r="B7717" s="15" t="str">
        <f>CONCATENATE(G7717,"/",COUNTIF($G$2:G7717,G7717))</f>
        <v>CH-10239/1</v>
      </c>
      <c r="C7717" s="15" t="s">
        <v>42675</v>
      </c>
      <c r="D7717" s="70">
        <v>44901</v>
      </c>
      <c r="E7717" s="15" t="s">
        <v>42676</v>
      </c>
      <c r="F7717" s="87" t="s">
        <v>21871</v>
      </c>
      <c r="G7717" s="47" t="s">
        <v>20051</v>
      </c>
      <c r="H7717" s="76" t="s">
        <v>20052</v>
      </c>
      <c r="I7717" s="21" t="s">
        <v>15039</v>
      </c>
    </row>
    <row r="7718" spans="1:9" ht="33.4" customHeight="1" x14ac:dyDescent="0.35">
      <c r="A7718" s="15"/>
      <c r="B7718" s="15" t="str">
        <f>CONCATENATE(G7718,"/",COUNTIF($G$2:G7718,G7718))</f>
        <v>CH-10239/2</v>
      </c>
      <c r="C7718" s="15" t="s">
        <v>42677</v>
      </c>
      <c r="D7718" s="70">
        <v>44901</v>
      </c>
      <c r="E7718" s="15" t="s">
        <v>42678</v>
      </c>
      <c r="F7718" s="87" t="s">
        <v>21871</v>
      </c>
      <c r="G7718" s="47" t="s">
        <v>20051</v>
      </c>
      <c r="H7718" s="76" t="s">
        <v>20052</v>
      </c>
      <c r="I7718" s="21" t="s">
        <v>15039</v>
      </c>
    </row>
    <row r="7719" spans="1:9" ht="28.4" customHeight="1" x14ac:dyDescent="0.35">
      <c r="A7719" s="15"/>
      <c r="B7719" s="15" t="str">
        <f>CONCATENATE(G7719,"/",COUNTIF($G$2:G7719,G7719))</f>
        <v>ES-10227/1</v>
      </c>
      <c r="C7719" s="15" t="s">
        <v>42679</v>
      </c>
      <c r="D7719" s="70">
        <v>44915</v>
      </c>
      <c r="E7719" s="15" t="s">
        <v>42680</v>
      </c>
      <c r="F7719" s="87" t="s">
        <v>21871</v>
      </c>
      <c r="G7719" s="47" t="s">
        <v>18749</v>
      </c>
      <c r="H7719" s="76" t="s">
        <v>18750</v>
      </c>
      <c r="I7719" s="21" t="s">
        <v>17769</v>
      </c>
    </row>
    <row r="7720" spans="1:9" ht="28.4" customHeight="1" x14ac:dyDescent="0.35">
      <c r="A7720" s="15"/>
      <c r="B7720" s="15" t="str">
        <f>CONCATENATE(G7720,"/",COUNTIF($G$2:G7720,G7720))</f>
        <v>ES-10227/2</v>
      </c>
      <c r="C7720" s="15" t="s">
        <v>42681</v>
      </c>
      <c r="D7720" s="70">
        <v>44915</v>
      </c>
      <c r="E7720" s="15" t="s">
        <v>42682</v>
      </c>
      <c r="F7720" s="87" t="s">
        <v>21871</v>
      </c>
      <c r="G7720" s="47" t="s">
        <v>18749</v>
      </c>
      <c r="H7720" s="76" t="s">
        <v>18750</v>
      </c>
      <c r="I7720" s="21" t="s">
        <v>17769</v>
      </c>
    </row>
    <row r="7721" spans="1:9" ht="28.4" customHeight="1" x14ac:dyDescent="0.35">
      <c r="A7721" s="15"/>
      <c r="B7721" s="15" t="str">
        <f>CONCATENATE(G7721,"/",COUNTIF($G$2:G7721,G7721))</f>
        <v>ES-10227/3</v>
      </c>
      <c r="C7721" s="15" t="s">
        <v>42683</v>
      </c>
      <c r="D7721" s="70">
        <v>44915</v>
      </c>
      <c r="E7721" s="15" t="s">
        <v>42684</v>
      </c>
      <c r="F7721" s="87" t="s">
        <v>21871</v>
      </c>
      <c r="G7721" s="47" t="s">
        <v>18749</v>
      </c>
      <c r="H7721" s="76" t="s">
        <v>18750</v>
      </c>
      <c r="I7721" s="21" t="s">
        <v>17769</v>
      </c>
    </row>
    <row r="7722" spans="1:9" ht="28.4" customHeight="1" x14ac:dyDescent="0.35">
      <c r="A7722" s="15"/>
      <c r="B7722" s="15" t="str">
        <f>CONCATENATE(G7722,"/",COUNTIF($G$2:G7722,G7722))</f>
        <v>ES-10227/4</v>
      </c>
      <c r="C7722" s="15" t="s">
        <v>42685</v>
      </c>
      <c r="D7722" s="70">
        <v>44915</v>
      </c>
      <c r="E7722" s="15" t="s">
        <v>42686</v>
      </c>
      <c r="F7722" s="87" t="s">
        <v>21871</v>
      </c>
      <c r="G7722" s="47" t="s">
        <v>18749</v>
      </c>
      <c r="H7722" s="76" t="s">
        <v>18750</v>
      </c>
      <c r="I7722" s="21" t="s">
        <v>17769</v>
      </c>
    </row>
    <row r="7723" spans="1:9" ht="28.4" customHeight="1" x14ac:dyDescent="0.35">
      <c r="A7723" s="15"/>
      <c r="B7723" s="15" t="str">
        <f>CONCATENATE(G7723,"/",COUNTIF($G$2:G7723,G7723))</f>
        <v>ES-10227/5</v>
      </c>
      <c r="C7723" s="15" t="s">
        <v>42687</v>
      </c>
      <c r="D7723" s="70">
        <v>44915</v>
      </c>
      <c r="E7723" s="15" t="s">
        <v>42688</v>
      </c>
      <c r="F7723" s="87" t="s">
        <v>21871</v>
      </c>
      <c r="G7723" s="47" t="s">
        <v>18749</v>
      </c>
      <c r="H7723" s="76" t="s">
        <v>18750</v>
      </c>
      <c r="I7723" s="21" t="s">
        <v>17769</v>
      </c>
    </row>
    <row r="7724" spans="1:9" ht="28.4" customHeight="1" x14ac:dyDescent="0.35">
      <c r="A7724" s="15"/>
      <c r="B7724" s="15" t="str">
        <f>CONCATENATE(G7724,"/",COUNTIF($G$2:G7724,G7724))</f>
        <v>ES-10227/6</v>
      </c>
      <c r="C7724" s="15" t="s">
        <v>42689</v>
      </c>
      <c r="D7724" s="70">
        <v>44915</v>
      </c>
      <c r="E7724" s="15" t="s">
        <v>42690</v>
      </c>
      <c r="F7724" s="87" t="s">
        <v>21871</v>
      </c>
      <c r="G7724" s="47" t="s">
        <v>18749</v>
      </c>
      <c r="H7724" s="76" t="s">
        <v>18750</v>
      </c>
      <c r="I7724" s="21" t="s">
        <v>17769</v>
      </c>
    </row>
    <row r="7725" spans="1:9" ht="36" customHeight="1" x14ac:dyDescent="0.35">
      <c r="A7725" s="15"/>
      <c r="B7725" s="15" t="str">
        <f>CONCATENATE(G7725,"/",COUNTIF($G$2:G7725,G7725))</f>
        <v>PL-10186/1</v>
      </c>
      <c r="C7725" s="15" t="s">
        <v>42691</v>
      </c>
      <c r="D7725" s="70">
        <v>44922</v>
      </c>
      <c r="E7725" s="15" t="s">
        <v>42692</v>
      </c>
      <c r="F7725" s="87" t="s">
        <v>21871</v>
      </c>
      <c r="G7725" s="47" t="s">
        <v>19695</v>
      </c>
      <c r="H7725" s="76" t="s">
        <v>19696</v>
      </c>
      <c r="I7725" s="21" t="s">
        <v>17018</v>
      </c>
    </row>
    <row r="7726" spans="1:9" ht="36" customHeight="1" x14ac:dyDescent="0.35">
      <c r="A7726" s="15"/>
      <c r="B7726" s="15" t="str">
        <f>CONCATENATE(G7726,"/",COUNTIF($G$2:G7726,G7726))</f>
        <v>PL-10186/2</v>
      </c>
      <c r="C7726" s="15" t="s">
        <v>42693</v>
      </c>
      <c r="D7726" s="70">
        <v>44922</v>
      </c>
      <c r="E7726" s="15" t="s">
        <v>42694</v>
      </c>
      <c r="F7726" s="87" t="s">
        <v>21871</v>
      </c>
      <c r="G7726" s="47" t="s">
        <v>19695</v>
      </c>
      <c r="H7726" s="76" t="s">
        <v>19696</v>
      </c>
      <c r="I7726" s="21" t="s">
        <v>17018</v>
      </c>
    </row>
    <row r="7727" spans="1:9" ht="36" customHeight="1" x14ac:dyDescent="0.35">
      <c r="A7727" s="15"/>
      <c r="B7727" s="15" t="str">
        <f>CONCATENATE(G7727,"/",COUNTIF($G$2:G7727,G7727))</f>
        <v>PL-10186/3</v>
      </c>
      <c r="C7727" s="15" t="s">
        <v>42695</v>
      </c>
      <c r="D7727" s="70">
        <v>44922</v>
      </c>
      <c r="E7727" s="15" t="s">
        <v>42696</v>
      </c>
      <c r="F7727" s="87" t="s">
        <v>21871</v>
      </c>
      <c r="G7727" s="47" t="s">
        <v>19695</v>
      </c>
      <c r="H7727" s="76" t="s">
        <v>19696</v>
      </c>
      <c r="I7727" s="21" t="s">
        <v>17018</v>
      </c>
    </row>
    <row r="7728" spans="1:9" ht="36" customHeight="1" x14ac:dyDescent="0.35">
      <c r="A7728" s="15"/>
      <c r="B7728" s="15" t="str">
        <f>CONCATENATE(G7728,"/",COUNTIF($G$2:G7728,G7728))</f>
        <v>PL-10186/4</v>
      </c>
      <c r="C7728" s="15" t="s">
        <v>42697</v>
      </c>
      <c r="D7728" s="70">
        <v>44922</v>
      </c>
      <c r="E7728" s="15" t="s">
        <v>42698</v>
      </c>
      <c r="F7728" s="87" t="s">
        <v>21871</v>
      </c>
      <c r="G7728" s="47" t="s">
        <v>19695</v>
      </c>
      <c r="H7728" s="76" t="s">
        <v>19696</v>
      </c>
      <c r="I7728" s="21" t="s">
        <v>17018</v>
      </c>
    </row>
    <row r="7729" spans="1:9" ht="29.5" customHeight="1" x14ac:dyDescent="0.35">
      <c r="A7729" s="15"/>
      <c r="B7729" s="15" t="str">
        <f>CONCATENATE(G7729,"/",COUNTIF($G$2:G7729,G7729))</f>
        <v>PL-10193/1</v>
      </c>
      <c r="C7729" s="15" t="s">
        <v>42699</v>
      </c>
      <c r="D7729" s="70">
        <v>44909</v>
      </c>
      <c r="E7729" s="15" t="s">
        <v>42700</v>
      </c>
      <c r="F7729" s="87" t="s">
        <v>21871</v>
      </c>
      <c r="G7729" s="47" t="s">
        <v>19744</v>
      </c>
      <c r="H7729" s="76" t="s">
        <v>19745</v>
      </c>
      <c r="I7729" s="65" t="s">
        <v>17018</v>
      </c>
    </row>
    <row r="7730" spans="1:9" ht="29.5" customHeight="1" x14ac:dyDescent="0.35">
      <c r="A7730" s="15"/>
      <c r="B7730" s="15" t="str">
        <f>CONCATENATE(G7730,"/",COUNTIF($G$2:G7730,G7730))</f>
        <v>PL-10193/2</v>
      </c>
      <c r="C7730" s="15" t="s">
        <v>42701</v>
      </c>
      <c r="D7730" s="70">
        <v>44909</v>
      </c>
      <c r="E7730" s="15" t="s">
        <v>42702</v>
      </c>
      <c r="F7730" s="87" t="s">
        <v>21871</v>
      </c>
      <c r="G7730" s="47" t="s">
        <v>19744</v>
      </c>
      <c r="H7730" s="76" t="s">
        <v>19745</v>
      </c>
      <c r="I7730" s="65" t="s">
        <v>17018</v>
      </c>
    </row>
    <row r="7731" spans="1:9" ht="29.5" customHeight="1" x14ac:dyDescent="0.35">
      <c r="A7731" s="15"/>
      <c r="B7731" s="15" t="str">
        <f>CONCATENATE(G7731,"/",COUNTIF($G$2:G7731,G7731))</f>
        <v>PL-10193/3</v>
      </c>
      <c r="C7731" s="15" t="s">
        <v>42703</v>
      </c>
      <c r="D7731" s="70">
        <v>44909</v>
      </c>
      <c r="E7731" s="15" t="s">
        <v>42704</v>
      </c>
      <c r="F7731" s="87" t="s">
        <v>21871</v>
      </c>
      <c r="G7731" s="47" t="s">
        <v>19744</v>
      </c>
      <c r="H7731" s="76" t="s">
        <v>19745</v>
      </c>
      <c r="I7731" s="65" t="s">
        <v>17018</v>
      </c>
    </row>
    <row r="7732" spans="1:9" ht="29.5" customHeight="1" x14ac:dyDescent="0.35">
      <c r="A7732" s="15"/>
      <c r="B7732" s="15" t="str">
        <f>CONCATENATE(G7732,"/",COUNTIF($G$2:G7732,G7732))</f>
        <v>PL-10193/4</v>
      </c>
      <c r="C7732" s="15" t="s">
        <v>42705</v>
      </c>
      <c r="D7732" s="70">
        <v>44909</v>
      </c>
      <c r="E7732" s="15" t="s">
        <v>42706</v>
      </c>
      <c r="F7732" s="87" t="s">
        <v>21871</v>
      </c>
      <c r="G7732" s="47" t="s">
        <v>19744</v>
      </c>
      <c r="H7732" s="76" t="s">
        <v>19745</v>
      </c>
      <c r="I7732" s="65" t="s">
        <v>17018</v>
      </c>
    </row>
    <row r="7733" spans="1:9" ht="29.5" customHeight="1" x14ac:dyDescent="0.35">
      <c r="A7733" s="15"/>
      <c r="B7733" s="15" t="str">
        <f>CONCATENATE(G7733,"/",COUNTIF($G$2:G7733,G7733))</f>
        <v>PL-10193/5</v>
      </c>
      <c r="C7733" s="15" t="s">
        <v>42707</v>
      </c>
      <c r="D7733" s="70">
        <v>44909</v>
      </c>
      <c r="E7733" s="15" t="s">
        <v>42708</v>
      </c>
      <c r="F7733" s="87" t="s">
        <v>21871</v>
      </c>
      <c r="G7733" s="47" t="s">
        <v>19744</v>
      </c>
      <c r="H7733" s="76" t="s">
        <v>19745</v>
      </c>
      <c r="I7733" s="65" t="s">
        <v>17018</v>
      </c>
    </row>
    <row r="7734" spans="1:9" ht="30.4" customHeight="1" x14ac:dyDescent="0.35">
      <c r="A7734" s="15"/>
      <c r="B7734" s="15" t="str">
        <f>CONCATENATE(G7734,"/",COUNTIF($G$2:G7734,G7734))</f>
        <v>CZ-10255/1</v>
      </c>
      <c r="C7734" s="15" t="s">
        <v>21892</v>
      </c>
      <c r="D7734" s="70">
        <v>44918</v>
      </c>
      <c r="E7734" s="15" t="s">
        <v>42709</v>
      </c>
      <c r="F7734" s="87" t="s">
        <v>21871</v>
      </c>
      <c r="G7734" s="47" t="s">
        <v>20161</v>
      </c>
      <c r="H7734" s="84" t="s">
        <v>20162</v>
      </c>
      <c r="I7734" s="21" t="s">
        <v>16397</v>
      </c>
    </row>
    <row r="7735" spans="1:9" ht="33.4" customHeight="1" x14ac:dyDescent="0.35">
      <c r="A7735" s="15"/>
      <c r="B7735" s="15" t="str">
        <f>CONCATENATE(G7735,"/",COUNTIF($G$2:G7735,G7735))</f>
        <v>EE-10203/1</v>
      </c>
      <c r="C7735" s="15">
        <v>1</v>
      </c>
      <c r="D7735" s="70">
        <v>44956</v>
      </c>
      <c r="E7735" s="15" t="s">
        <v>42710</v>
      </c>
      <c r="F7735" s="87" t="s">
        <v>21871</v>
      </c>
      <c r="G7735" s="47" t="s">
        <v>19820</v>
      </c>
      <c r="H7735" s="76" t="s">
        <v>19821</v>
      </c>
      <c r="I7735" s="21" t="s">
        <v>19822</v>
      </c>
    </row>
    <row r="7736" spans="1:9" ht="33.4" customHeight="1" x14ac:dyDescent="0.35">
      <c r="A7736" s="15"/>
      <c r="B7736" s="15" t="str">
        <f>CONCATENATE(G7736,"/",COUNTIF($G$2:G7736,G7736))</f>
        <v>EE-10203/2</v>
      </c>
      <c r="C7736" s="15">
        <v>2</v>
      </c>
      <c r="D7736" s="70">
        <v>44956</v>
      </c>
      <c r="E7736" s="15" t="s">
        <v>42711</v>
      </c>
      <c r="F7736" s="87" t="s">
        <v>21871</v>
      </c>
      <c r="G7736" s="47" t="s">
        <v>19820</v>
      </c>
      <c r="H7736" s="76" t="s">
        <v>19821</v>
      </c>
      <c r="I7736" s="21" t="s">
        <v>19822</v>
      </c>
    </row>
    <row r="7737" spans="1:9" ht="33.4" customHeight="1" x14ac:dyDescent="0.35">
      <c r="A7737" s="15"/>
      <c r="B7737" s="15" t="str">
        <f>CONCATENATE(G7737,"/",COUNTIF($G$2:G7737,G7737))</f>
        <v>EE-10203/3</v>
      </c>
      <c r="C7737" s="15">
        <v>3</v>
      </c>
      <c r="D7737" s="70">
        <v>44956</v>
      </c>
      <c r="E7737" s="15" t="s">
        <v>42712</v>
      </c>
      <c r="F7737" s="87" t="s">
        <v>21871</v>
      </c>
      <c r="G7737" s="47" t="s">
        <v>19820</v>
      </c>
      <c r="H7737" s="76" t="s">
        <v>19821</v>
      </c>
      <c r="I7737" s="21" t="s">
        <v>19822</v>
      </c>
    </row>
    <row r="7738" spans="1:9" ht="33.4" customHeight="1" x14ac:dyDescent="0.35">
      <c r="A7738" s="15"/>
      <c r="B7738" s="15" t="str">
        <f>CONCATENATE(G7738,"/",COUNTIF($G$2:G7738,G7738))</f>
        <v>EE-10203/4</v>
      </c>
      <c r="C7738" s="15">
        <v>4</v>
      </c>
      <c r="D7738" s="70">
        <v>44956</v>
      </c>
      <c r="E7738" s="15" t="s">
        <v>42713</v>
      </c>
      <c r="F7738" s="87" t="s">
        <v>21871</v>
      </c>
      <c r="G7738" s="47" t="s">
        <v>19820</v>
      </c>
      <c r="H7738" s="76" t="s">
        <v>19821</v>
      </c>
      <c r="I7738" s="21" t="s">
        <v>19822</v>
      </c>
    </row>
    <row r="7739" spans="1:9" ht="33.4" customHeight="1" x14ac:dyDescent="0.35">
      <c r="A7739" s="15"/>
      <c r="B7739" s="15" t="str">
        <f>CONCATENATE(G7739,"/",COUNTIF($G$2:G7739,G7739))</f>
        <v>EE-10203/5</v>
      </c>
      <c r="C7739" s="15">
        <v>5</v>
      </c>
      <c r="D7739" s="70">
        <v>44956</v>
      </c>
      <c r="E7739" s="15" t="s">
        <v>42714</v>
      </c>
      <c r="F7739" s="87" t="s">
        <v>21871</v>
      </c>
      <c r="G7739" s="47" t="s">
        <v>19820</v>
      </c>
      <c r="H7739" s="76" t="s">
        <v>19821</v>
      </c>
      <c r="I7739" s="21" t="s">
        <v>19822</v>
      </c>
    </row>
    <row r="7740" spans="1:9" ht="37.9" customHeight="1" x14ac:dyDescent="0.35">
      <c r="A7740" s="15"/>
      <c r="B7740" s="15" t="str">
        <f>CONCATENATE(G7740,"/",COUNTIF($G$2:G7740,G7740))</f>
        <v>SE-10152/1</v>
      </c>
      <c r="C7740" s="15" t="s">
        <v>42715</v>
      </c>
      <c r="D7740" s="70">
        <v>44959</v>
      </c>
      <c r="E7740" s="15" t="s">
        <v>42716</v>
      </c>
      <c r="F7740" s="87" t="s">
        <v>21871</v>
      </c>
      <c r="G7740" s="47" t="s">
        <v>19433</v>
      </c>
      <c r="H7740" s="76" t="s">
        <v>19434</v>
      </c>
      <c r="I7740" s="21" t="s">
        <v>18015</v>
      </c>
    </row>
    <row r="7741" spans="1:9" ht="37.9" customHeight="1" x14ac:dyDescent="0.35">
      <c r="A7741" s="15"/>
      <c r="B7741" s="15" t="str">
        <f>CONCATENATE(G7741,"/",COUNTIF($G$2:G7741,G7741))</f>
        <v>SE-10152/2</v>
      </c>
      <c r="C7741" s="15" t="s">
        <v>42717</v>
      </c>
      <c r="D7741" s="70">
        <v>44959</v>
      </c>
      <c r="E7741" s="15" t="s">
        <v>42718</v>
      </c>
      <c r="F7741" s="87" t="s">
        <v>21871</v>
      </c>
      <c r="G7741" s="47" t="s">
        <v>19433</v>
      </c>
      <c r="H7741" s="76" t="s">
        <v>19434</v>
      </c>
      <c r="I7741" s="21" t="s">
        <v>18015</v>
      </c>
    </row>
    <row r="7742" spans="1:9" ht="37.9" customHeight="1" x14ac:dyDescent="0.35">
      <c r="A7742" s="15"/>
      <c r="B7742" s="15" t="str">
        <f>CONCATENATE(G7742,"/",COUNTIF($G$2:G7742,G7742))</f>
        <v>SE-10152/3</v>
      </c>
      <c r="C7742" s="15" t="s">
        <v>42719</v>
      </c>
      <c r="D7742" s="70">
        <v>44959</v>
      </c>
      <c r="E7742" s="15" t="s">
        <v>42720</v>
      </c>
      <c r="F7742" s="87" t="s">
        <v>21871</v>
      </c>
      <c r="G7742" s="47" t="s">
        <v>19433</v>
      </c>
      <c r="H7742" s="76" t="s">
        <v>19434</v>
      </c>
      <c r="I7742" s="21" t="s">
        <v>18015</v>
      </c>
    </row>
    <row r="7743" spans="1:9" ht="33.65" customHeight="1" x14ac:dyDescent="0.35">
      <c r="A7743" s="15"/>
      <c r="B7743" s="15" t="str">
        <f>CONCATENATE(G7743,"/",COUNTIF($G$2:G7743,G7743))</f>
        <v>RO-10191/1</v>
      </c>
      <c r="C7743" s="15" t="s">
        <v>42721</v>
      </c>
      <c r="D7743" s="70">
        <v>44966</v>
      </c>
      <c r="E7743" s="15" t="s">
        <v>42722</v>
      </c>
      <c r="F7743" s="87" t="s">
        <v>21871</v>
      </c>
      <c r="G7743" s="47" t="s">
        <v>19757</v>
      </c>
      <c r="H7743" s="76" t="s">
        <v>19758</v>
      </c>
      <c r="I7743" s="21" t="s">
        <v>17638</v>
      </c>
    </row>
    <row r="7744" spans="1:9" ht="32.5" customHeight="1" x14ac:dyDescent="0.35">
      <c r="A7744" s="15"/>
      <c r="B7744" s="15" t="str">
        <f>CONCATENATE(G7744,"/",COUNTIF($G$2:G7744,G7744))</f>
        <v>CZ-10187/1</v>
      </c>
      <c r="C7744" s="15" t="s">
        <v>21892</v>
      </c>
      <c r="D7744" s="70">
        <v>44977</v>
      </c>
      <c r="E7744" s="15" t="s">
        <v>42723</v>
      </c>
      <c r="F7744" s="87" t="s">
        <v>21871</v>
      </c>
      <c r="G7744" s="47" t="s">
        <v>19737</v>
      </c>
      <c r="H7744" s="76" t="s">
        <v>19738</v>
      </c>
      <c r="I7744" s="21" t="s">
        <v>16397</v>
      </c>
    </row>
    <row r="7745" spans="1:9" ht="39.65" customHeight="1" x14ac:dyDescent="0.35">
      <c r="A7745" s="15"/>
      <c r="B7745" s="15" t="str">
        <f>CONCATENATE(G7745,"/",COUNTIF($G$2:G7745,G7745))</f>
        <v>RO-10192/1</v>
      </c>
      <c r="C7745" s="15" t="s">
        <v>42724</v>
      </c>
      <c r="D7745" s="70">
        <v>44974</v>
      </c>
      <c r="E7745" s="15" t="s">
        <v>42725</v>
      </c>
      <c r="F7745" s="87" t="s">
        <v>21871</v>
      </c>
      <c r="G7745" s="47" t="s">
        <v>19775</v>
      </c>
      <c r="H7745" s="83" t="s">
        <v>19776</v>
      </c>
      <c r="I7745" s="65" t="s">
        <v>17638</v>
      </c>
    </row>
    <row r="7746" spans="1:9" ht="32.5" customHeight="1" x14ac:dyDescent="0.35">
      <c r="A7746" s="15"/>
      <c r="B7746" s="15" t="str">
        <f>CONCATENATE(G7746,"/",COUNTIF($G$2:G7746,G7746))</f>
        <v>RO-10196/1</v>
      </c>
      <c r="C7746" s="15" t="s">
        <v>42726</v>
      </c>
      <c r="D7746" s="70">
        <v>44980</v>
      </c>
      <c r="E7746" s="15" t="s">
        <v>42727</v>
      </c>
      <c r="F7746" s="87" t="s">
        <v>21871</v>
      </c>
      <c r="G7746" s="47" t="s">
        <v>19795</v>
      </c>
      <c r="H7746" s="76" t="s">
        <v>19796</v>
      </c>
      <c r="I7746" s="21" t="s">
        <v>17638</v>
      </c>
    </row>
    <row r="7747" spans="1:9" ht="31" customHeight="1" x14ac:dyDescent="0.35">
      <c r="A7747" s="15"/>
      <c r="B7747" s="15" t="str">
        <f>CONCATENATE(G7747,"/",COUNTIF($G$2:G7747,G7747))</f>
        <v>FR-6355/1</v>
      </c>
      <c r="C7747" s="15" t="s">
        <v>42728</v>
      </c>
      <c r="D7747" s="15" t="s">
        <v>42729</v>
      </c>
      <c r="E7747" s="15" t="s">
        <v>42730</v>
      </c>
      <c r="F7747" s="87" t="s">
        <v>21871</v>
      </c>
      <c r="G7747" s="45" t="s">
        <v>18154</v>
      </c>
      <c r="H7747" s="54" t="s">
        <v>18155</v>
      </c>
      <c r="I7747" s="5" t="s">
        <v>16278</v>
      </c>
    </row>
    <row r="7748" spans="1:9" ht="31" customHeight="1" x14ac:dyDescent="0.35">
      <c r="A7748" s="15"/>
      <c r="B7748" s="15" t="str">
        <f>CONCATENATE(G7748,"/",COUNTIF($G$2:G7748,G7748))</f>
        <v>FR-6355/2</v>
      </c>
      <c r="C7748" s="15" t="s">
        <v>42731</v>
      </c>
      <c r="D7748" s="15" t="s">
        <v>42729</v>
      </c>
      <c r="E7748" s="15" t="s">
        <v>42732</v>
      </c>
      <c r="F7748" s="87" t="s">
        <v>21871</v>
      </c>
      <c r="G7748" s="45" t="s">
        <v>18154</v>
      </c>
      <c r="H7748" s="54" t="s">
        <v>18155</v>
      </c>
      <c r="I7748" s="5" t="s">
        <v>16278</v>
      </c>
    </row>
    <row r="7749" spans="1:9" ht="31" customHeight="1" x14ac:dyDescent="0.35">
      <c r="A7749" s="15"/>
      <c r="B7749" s="15" t="str">
        <f>CONCATENATE(G7749,"/",COUNTIF($G$2:G7749,G7749))</f>
        <v>FR-6355/3</v>
      </c>
      <c r="C7749" s="15" t="s">
        <v>42733</v>
      </c>
      <c r="D7749" s="28">
        <v>44978</v>
      </c>
      <c r="E7749" s="15" t="s">
        <v>42734</v>
      </c>
      <c r="F7749" s="87" t="s">
        <v>21871</v>
      </c>
      <c r="G7749" s="45" t="s">
        <v>18154</v>
      </c>
      <c r="H7749" s="54" t="s">
        <v>18155</v>
      </c>
      <c r="I7749" s="5" t="s">
        <v>16278</v>
      </c>
    </row>
    <row r="7750" spans="1:9" ht="33" customHeight="1" x14ac:dyDescent="0.35">
      <c r="A7750" s="15"/>
      <c r="B7750" s="15" t="str">
        <f>CONCATENATE(G7750,"/",COUNTIF($G$2:G7750,G7750))</f>
        <v>SE-6334/1</v>
      </c>
      <c r="C7750" s="15" t="s">
        <v>42735</v>
      </c>
      <c r="D7750" s="15" t="s">
        <v>42736</v>
      </c>
      <c r="E7750" s="15" t="s">
        <v>42737</v>
      </c>
      <c r="F7750" s="87" t="s">
        <v>21871</v>
      </c>
      <c r="G7750" s="45" t="s">
        <v>18013</v>
      </c>
      <c r="H7750" s="54" t="s">
        <v>18014</v>
      </c>
      <c r="I7750" s="5" t="s">
        <v>18015</v>
      </c>
    </row>
    <row r="7751" spans="1:9" ht="33" customHeight="1" x14ac:dyDescent="0.35">
      <c r="A7751" s="15"/>
      <c r="B7751" s="15" t="str">
        <f>CONCATENATE(G7751,"/",COUNTIF($G$2:G7751,G7751))</f>
        <v>SE-6334/2</v>
      </c>
      <c r="C7751" s="15" t="s">
        <v>42735</v>
      </c>
      <c r="D7751" s="15" t="s">
        <v>42736</v>
      </c>
      <c r="E7751" s="15" t="s">
        <v>42738</v>
      </c>
      <c r="F7751" s="87" t="s">
        <v>21871</v>
      </c>
      <c r="G7751" s="45" t="s">
        <v>18013</v>
      </c>
      <c r="H7751" s="54" t="s">
        <v>18014</v>
      </c>
      <c r="I7751" s="5" t="s">
        <v>18015</v>
      </c>
    </row>
    <row r="7752" spans="1:9" ht="33" customHeight="1" x14ac:dyDescent="0.35">
      <c r="A7752" s="15"/>
      <c r="B7752" s="15" t="str">
        <f>CONCATENATE(G7752,"/",COUNTIF($G$2:G7752,G7752))</f>
        <v>SE-6334/3</v>
      </c>
      <c r="C7752" s="15" t="s">
        <v>42739</v>
      </c>
      <c r="D7752" s="15" t="s">
        <v>42736</v>
      </c>
      <c r="E7752" s="15" t="s">
        <v>42740</v>
      </c>
      <c r="F7752" s="87" t="s">
        <v>21871</v>
      </c>
      <c r="G7752" s="45" t="s">
        <v>18013</v>
      </c>
      <c r="H7752" s="54" t="s">
        <v>18014</v>
      </c>
      <c r="I7752" s="5" t="s">
        <v>18015</v>
      </c>
    </row>
    <row r="7753" spans="1:9" ht="33" customHeight="1" x14ac:dyDescent="0.35">
      <c r="A7753" s="15"/>
      <c r="B7753" s="15" t="str">
        <f>CONCATENATE(G7753,"/",COUNTIF($G$2:G7753,G7753))</f>
        <v>SE-6334/4</v>
      </c>
      <c r="C7753" s="15" t="s">
        <v>42741</v>
      </c>
      <c r="D7753" s="15" t="s">
        <v>42736</v>
      </c>
      <c r="E7753" s="15" t="s">
        <v>42742</v>
      </c>
      <c r="F7753" s="87" t="s">
        <v>21871</v>
      </c>
      <c r="G7753" s="45" t="s">
        <v>18013</v>
      </c>
      <c r="H7753" s="54" t="s">
        <v>18014</v>
      </c>
      <c r="I7753" s="5" t="s">
        <v>18015</v>
      </c>
    </row>
    <row r="7754" spans="1:9" ht="33" customHeight="1" x14ac:dyDescent="0.35">
      <c r="A7754" s="15"/>
      <c r="B7754" s="15" t="str">
        <f>CONCATENATE(G7754,"/",COUNTIF($G$2:G7754,G7754))</f>
        <v>SE-6334/5</v>
      </c>
      <c r="C7754" s="15" t="s">
        <v>42743</v>
      </c>
      <c r="D7754" s="15" t="s">
        <v>42736</v>
      </c>
      <c r="E7754" s="15" t="s">
        <v>42744</v>
      </c>
      <c r="F7754" s="87" t="s">
        <v>21871</v>
      </c>
      <c r="G7754" s="45" t="s">
        <v>18013</v>
      </c>
      <c r="H7754" s="54" t="s">
        <v>18014</v>
      </c>
      <c r="I7754" s="5" t="s">
        <v>18015</v>
      </c>
    </row>
    <row r="7755" spans="1:9" ht="33" customHeight="1" x14ac:dyDescent="0.35">
      <c r="A7755" s="15"/>
      <c r="B7755" s="15" t="str">
        <f>CONCATENATE(G7755,"/",COUNTIF($G$2:G7755,G7755))</f>
        <v>FR-10153/1</v>
      </c>
      <c r="C7755" s="15" t="s">
        <v>42745</v>
      </c>
      <c r="D7755" s="15" t="s">
        <v>42746</v>
      </c>
      <c r="E7755" s="15" t="s">
        <v>42747</v>
      </c>
      <c r="F7755" s="87" t="s">
        <v>21871</v>
      </c>
      <c r="G7755" s="47" t="s">
        <v>19445</v>
      </c>
      <c r="H7755" s="76" t="s">
        <v>19446</v>
      </c>
      <c r="I7755" s="21" t="s">
        <v>16278</v>
      </c>
    </row>
    <row r="7756" spans="1:9" ht="33" customHeight="1" x14ac:dyDescent="0.35">
      <c r="A7756" s="15"/>
      <c r="B7756" s="15" t="str">
        <f>CONCATENATE(G7756,"/",COUNTIF($G$2:G7756,G7756))</f>
        <v>FR-10153/2</v>
      </c>
      <c r="C7756" s="15" t="s">
        <v>42748</v>
      </c>
      <c r="D7756" s="15" t="s">
        <v>42746</v>
      </c>
      <c r="E7756" s="15" t="s">
        <v>42749</v>
      </c>
      <c r="F7756" s="87" t="s">
        <v>21871</v>
      </c>
      <c r="G7756" s="47" t="s">
        <v>19445</v>
      </c>
      <c r="H7756" s="76" t="s">
        <v>19446</v>
      </c>
      <c r="I7756" s="21" t="s">
        <v>16278</v>
      </c>
    </row>
    <row r="7757" spans="1:9" ht="26.5" customHeight="1" x14ac:dyDescent="0.35">
      <c r="A7757" s="15"/>
      <c r="B7757" s="15" t="str">
        <f>CONCATENATE(G7757,"/",COUNTIF($G$2:G7757,G7757))</f>
        <v>PL-6348/1</v>
      </c>
      <c r="C7757" s="15" t="s">
        <v>42750</v>
      </c>
      <c r="D7757" s="15" t="s">
        <v>42751</v>
      </c>
      <c r="E7757" s="15" t="s">
        <v>42752</v>
      </c>
      <c r="F7757" s="87" t="s">
        <v>21871</v>
      </c>
      <c r="G7757" s="45" t="s">
        <v>17016</v>
      </c>
      <c r="H7757" s="54" t="s">
        <v>17017</v>
      </c>
      <c r="I7757" s="5" t="s">
        <v>17018</v>
      </c>
    </row>
    <row r="7758" spans="1:9" ht="26.5" customHeight="1" x14ac:dyDescent="0.35">
      <c r="A7758" s="15"/>
      <c r="B7758" s="15" t="str">
        <f>CONCATENATE(G7758,"/",COUNTIF($G$2:G7758,G7758))</f>
        <v>PL-6348/2</v>
      </c>
      <c r="C7758" s="15" t="s">
        <v>42753</v>
      </c>
      <c r="D7758" s="15" t="s">
        <v>42751</v>
      </c>
      <c r="E7758" s="15" t="s">
        <v>42754</v>
      </c>
      <c r="F7758" s="87" t="s">
        <v>21871</v>
      </c>
      <c r="G7758" s="45" t="s">
        <v>17016</v>
      </c>
      <c r="H7758" s="54" t="s">
        <v>17017</v>
      </c>
      <c r="I7758" s="5" t="s">
        <v>17018</v>
      </c>
    </row>
    <row r="7759" spans="1:9" ht="26.5" customHeight="1" x14ac:dyDescent="0.35">
      <c r="A7759" s="15"/>
      <c r="B7759" s="15" t="str">
        <f>CONCATENATE(G7759,"/",COUNTIF($G$2:G7759,G7759))</f>
        <v>PL-6348/3</v>
      </c>
      <c r="C7759" s="15" t="s">
        <v>42755</v>
      </c>
      <c r="D7759" s="15" t="s">
        <v>42751</v>
      </c>
      <c r="E7759" s="15" t="s">
        <v>42756</v>
      </c>
      <c r="F7759" s="87" t="s">
        <v>21871</v>
      </c>
      <c r="G7759" s="45" t="s">
        <v>17016</v>
      </c>
      <c r="H7759" s="54" t="s">
        <v>17017</v>
      </c>
      <c r="I7759" s="5" t="s">
        <v>17018</v>
      </c>
    </row>
    <row r="7760" spans="1:9" ht="26.5" customHeight="1" x14ac:dyDescent="0.35">
      <c r="A7760" s="15"/>
      <c r="B7760" s="15" t="str">
        <f>CONCATENATE(G7760,"/",COUNTIF($G$2:G7760,G7760))</f>
        <v>PL-6348/4</v>
      </c>
      <c r="C7760" s="15" t="s">
        <v>42757</v>
      </c>
      <c r="D7760" s="15" t="s">
        <v>42751</v>
      </c>
      <c r="E7760" s="15" t="s">
        <v>42758</v>
      </c>
      <c r="F7760" s="87" t="s">
        <v>21871</v>
      </c>
      <c r="G7760" s="45" t="s">
        <v>17016</v>
      </c>
      <c r="H7760" s="54" t="s">
        <v>17017</v>
      </c>
      <c r="I7760" s="5" t="s">
        <v>17018</v>
      </c>
    </row>
    <row r="7761" spans="1:9" ht="26.5" customHeight="1" x14ac:dyDescent="0.35">
      <c r="A7761" s="15"/>
      <c r="B7761" s="15" t="str">
        <f>CONCATENATE(G7761,"/",COUNTIF($G$2:G7761,G7761))</f>
        <v>PL-6348/5</v>
      </c>
      <c r="C7761" s="15" t="s">
        <v>42759</v>
      </c>
      <c r="D7761" s="15" t="s">
        <v>42751</v>
      </c>
      <c r="E7761" s="15" t="s">
        <v>42760</v>
      </c>
      <c r="F7761" s="87" t="s">
        <v>21871</v>
      </c>
      <c r="G7761" s="45" t="s">
        <v>17016</v>
      </c>
      <c r="H7761" s="54" t="s">
        <v>17017</v>
      </c>
      <c r="I7761" s="5" t="s">
        <v>17018</v>
      </c>
    </row>
    <row r="7762" spans="1:9" ht="26.5" customHeight="1" x14ac:dyDescent="0.35">
      <c r="A7762" s="15"/>
      <c r="B7762" s="15" t="str">
        <f>CONCATENATE(G7762,"/",COUNTIF($G$2:G7762,G7762))</f>
        <v>PL-6348/6</v>
      </c>
      <c r="C7762" s="15" t="s">
        <v>42761</v>
      </c>
      <c r="D7762" s="15" t="s">
        <v>42751</v>
      </c>
      <c r="E7762" s="15" t="s">
        <v>42762</v>
      </c>
      <c r="F7762" s="87" t="s">
        <v>21871</v>
      </c>
      <c r="G7762" s="45" t="s">
        <v>17016</v>
      </c>
      <c r="H7762" s="54" t="s">
        <v>17017</v>
      </c>
      <c r="I7762" s="5" t="s">
        <v>17018</v>
      </c>
    </row>
    <row r="7763" spans="1:9" ht="26.5" customHeight="1" x14ac:dyDescent="0.35">
      <c r="A7763" s="15"/>
      <c r="B7763" s="15" t="str">
        <f>CONCATENATE(G7763,"/",COUNTIF($G$2:G7763,G7763))</f>
        <v>PL-6348/7</v>
      </c>
      <c r="C7763" s="15" t="s">
        <v>42763</v>
      </c>
      <c r="D7763" s="15" t="s">
        <v>42751</v>
      </c>
      <c r="E7763" s="15" t="s">
        <v>42764</v>
      </c>
      <c r="F7763" s="87" t="s">
        <v>21871</v>
      </c>
      <c r="G7763" s="45" t="s">
        <v>17016</v>
      </c>
      <c r="H7763" s="54" t="s">
        <v>17017</v>
      </c>
      <c r="I7763" s="5" t="s">
        <v>17018</v>
      </c>
    </row>
    <row r="7764" spans="1:9" ht="21.65" customHeight="1" x14ac:dyDescent="0.35">
      <c r="A7764" s="15"/>
      <c r="B7764" s="15" t="str">
        <f>CONCATENATE(G7764,"/",COUNTIF($G$2:G7764,G7764))</f>
        <v>PL-6348/8</v>
      </c>
      <c r="C7764" s="15" t="s">
        <v>42765</v>
      </c>
      <c r="D7764" s="15" t="s">
        <v>42751</v>
      </c>
      <c r="E7764" s="15" t="s">
        <v>42766</v>
      </c>
      <c r="F7764" s="87" t="s">
        <v>21871</v>
      </c>
      <c r="G7764" s="45" t="s">
        <v>17016</v>
      </c>
      <c r="H7764" s="54" t="s">
        <v>17017</v>
      </c>
      <c r="I7764" s="5" t="s">
        <v>17018</v>
      </c>
    </row>
    <row r="7765" spans="1:9" ht="30.65" customHeight="1" x14ac:dyDescent="0.35">
      <c r="A7765" s="15"/>
      <c r="B7765" s="15" t="str">
        <f>CONCATENATE(G7765,"/",COUNTIF($G$2:G7765,G7765))</f>
        <v>PL-6348/9</v>
      </c>
      <c r="C7765" s="15" t="s">
        <v>42767</v>
      </c>
      <c r="D7765" s="15" t="s">
        <v>42751</v>
      </c>
      <c r="E7765" s="15" t="s">
        <v>42768</v>
      </c>
      <c r="F7765" s="87" t="s">
        <v>21871</v>
      </c>
      <c r="G7765" s="45" t="s">
        <v>17016</v>
      </c>
      <c r="H7765" s="54" t="s">
        <v>17017</v>
      </c>
      <c r="I7765" s="5" t="s">
        <v>17018</v>
      </c>
    </row>
    <row r="7766" spans="1:9" ht="28.5" customHeight="1" x14ac:dyDescent="0.35">
      <c r="A7766" s="15"/>
      <c r="B7766" s="15" t="str">
        <f>CONCATENATE(G7766,"/",COUNTIF($G$2:G7766,G7766))</f>
        <v>IT-6349/1</v>
      </c>
      <c r="C7766" s="15" t="s">
        <v>42769</v>
      </c>
      <c r="D7766" s="15" t="s">
        <v>42770</v>
      </c>
      <c r="E7766" s="15" t="s">
        <v>42771</v>
      </c>
      <c r="F7766" s="87" t="s">
        <v>21871</v>
      </c>
      <c r="G7766" s="45" t="s">
        <v>18074</v>
      </c>
      <c r="H7766" s="54" t="s">
        <v>18075</v>
      </c>
      <c r="I7766" s="5" t="s">
        <v>18076</v>
      </c>
    </row>
    <row r="7767" spans="1:9" ht="28.5" customHeight="1" x14ac:dyDescent="0.35">
      <c r="A7767" s="15"/>
      <c r="B7767" s="15" t="str">
        <f>CONCATENATE(G7767,"/",COUNTIF($G$2:G7767,G7767))</f>
        <v>IT-6349/2</v>
      </c>
      <c r="C7767" s="15" t="s">
        <v>42772</v>
      </c>
      <c r="D7767" s="15" t="s">
        <v>42770</v>
      </c>
      <c r="E7767" s="15" t="s">
        <v>42773</v>
      </c>
      <c r="F7767" s="87" t="s">
        <v>21871</v>
      </c>
      <c r="G7767" s="45" t="s">
        <v>18074</v>
      </c>
      <c r="H7767" s="54" t="s">
        <v>18075</v>
      </c>
      <c r="I7767" s="5" t="s">
        <v>18076</v>
      </c>
    </row>
    <row r="7768" spans="1:9" ht="28.5" customHeight="1" x14ac:dyDescent="0.35">
      <c r="A7768" s="15"/>
      <c r="B7768" s="15" t="str">
        <f>CONCATENATE(G7768,"/",COUNTIF($G$2:G7768,G7768))</f>
        <v>IT-6349/3</v>
      </c>
      <c r="C7768" s="15" t="s">
        <v>42774</v>
      </c>
      <c r="D7768" s="15" t="s">
        <v>42770</v>
      </c>
      <c r="E7768" s="15" t="s">
        <v>42775</v>
      </c>
      <c r="F7768" s="87" t="s">
        <v>21871</v>
      </c>
      <c r="G7768" s="45" t="s">
        <v>18074</v>
      </c>
      <c r="H7768" s="54" t="s">
        <v>18075</v>
      </c>
      <c r="I7768" s="5" t="s">
        <v>18076</v>
      </c>
    </row>
    <row r="7769" spans="1:9" ht="28.5" customHeight="1" x14ac:dyDescent="0.35">
      <c r="A7769" s="15"/>
      <c r="B7769" s="15" t="str">
        <f>CONCATENATE(G7769,"/",COUNTIF($G$2:G7769,G7769))</f>
        <v>IT-6349/4</v>
      </c>
      <c r="C7769" s="15" t="s">
        <v>42776</v>
      </c>
      <c r="D7769" s="15" t="s">
        <v>42770</v>
      </c>
      <c r="E7769" s="15" t="s">
        <v>42777</v>
      </c>
      <c r="F7769" s="87" t="s">
        <v>21871</v>
      </c>
      <c r="G7769" s="45" t="s">
        <v>18074</v>
      </c>
      <c r="H7769" s="54" t="s">
        <v>18075</v>
      </c>
      <c r="I7769" s="5" t="s">
        <v>18076</v>
      </c>
    </row>
    <row r="7770" spans="1:9" ht="28.5" customHeight="1" x14ac:dyDescent="0.35">
      <c r="A7770" s="15"/>
      <c r="B7770" s="15" t="str">
        <f>CONCATENATE(G7770,"/",COUNTIF($G$2:G7770,G7770))</f>
        <v>IT-6349/5</v>
      </c>
      <c r="C7770" s="15" t="s">
        <v>42778</v>
      </c>
      <c r="D7770" s="15" t="s">
        <v>42770</v>
      </c>
      <c r="E7770" s="15" t="s">
        <v>42779</v>
      </c>
      <c r="F7770" s="87" t="s">
        <v>21871</v>
      </c>
      <c r="G7770" s="45" t="s">
        <v>18074</v>
      </c>
      <c r="H7770" s="54" t="s">
        <v>18075</v>
      </c>
      <c r="I7770" s="5" t="s">
        <v>18076</v>
      </c>
    </row>
    <row r="7771" spans="1:9" ht="28.5" customHeight="1" x14ac:dyDescent="0.35">
      <c r="A7771" s="15"/>
      <c r="B7771" s="15" t="str">
        <f>CONCATENATE(G7771,"/",COUNTIF($G$2:G7771,G7771))</f>
        <v>IT-6349/6</v>
      </c>
      <c r="C7771" s="15" t="s">
        <v>42780</v>
      </c>
      <c r="D7771" s="15" t="s">
        <v>42770</v>
      </c>
      <c r="E7771" s="15" t="s">
        <v>42781</v>
      </c>
      <c r="F7771" s="87" t="s">
        <v>21871</v>
      </c>
      <c r="G7771" s="45" t="s">
        <v>18074</v>
      </c>
      <c r="H7771" s="54" t="s">
        <v>18075</v>
      </c>
      <c r="I7771" s="5" t="s">
        <v>18076</v>
      </c>
    </row>
    <row r="7772" spans="1:9" ht="26.5" customHeight="1" x14ac:dyDescent="0.35">
      <c r="A7772" s="15"/>
      <c r="B7772" s="15" t="str">
        <f>CONCATENATE(G7772,"/",COUNTIF($G$2:G7772,G7772))</f>
        <v>IT-10072/1</v>
      </c>
      <c r="C7772" s="15" t="s">
        <v>42782</v>
      </c>
      <c r="D7772" s="15" t="s">
        <v>42783</v>
      </c>
      <c r="E7772" s="15" t="s">
        <v>42784</v>
      </c>
      <c r="F7772" s="87" t="s">
        <v>21871</v>
      </c>
      <c r="G7772" s="47" t="s">
        <v>18610</v>
      </c>
      <c r="H7772" s="76" t="s">
        <v>18611</v>
      </c>
      <c r="I7772" s="21" t="s">
        <v>18076</v>
      </c>
    </row>
    <row r="7773" spans="1:9" ht="26.5" customHeight="1" x14ac:dyDescent="0.35">
      <c r="A7773" s="15"/>
      <c r="B7773" s="15" t="str">
        <f>CONCATENATE(G7773,"/",COUNTIF($G$2:G7773,G7773))</f>
        <v>IT-10072/2</v>
      </c>
      <c r="C7773" s="15" t="s">
        <v>42785</v>
      </c>
      <c r="D7773" s="15" t="s">
        <v>42783</v>
      </c>
      <c r="E7773" s="15" t="s">
        <v>42786</v>
      </c>
      <c r="F7773" s="87" t="s">
        <v>21871</v>
      </c>
      <c r="G7773" s="47" t="s">
        <v>18610</v>
      </c>
      <c r="H7773" s="76" t="s">
        <v>18611</v>
      </c>
      <c r="I7773" s="21" t="s">
        <v>18076</v>
      </c>
    </row>
    <row r="7774" spans="1:9" ht="26.5" customHeight="1" x14ac:dyDescent="0.35">
      <c r="A7774" s="15"/>
      <c r="B7774" s="15" t="str">
        <f>CONCATENATE(G7774,"/",COUNTIF($G$2:G7774,G7774))</f>
        <v>IT-10072/3</v>
      </c>
      <c r="C7774" s="15" t="s">
        <v>42787</v>
      </c>
      <c r="D7774" s="15" t="s">
        <v>42783</v>
      </c>
      <c r="E7774" s="15" t="s">
        <v>42788</v>
      </c>
      <c r="F7774" s="87" t="s">
        <v>21871</v>
      </c>
      <c r="G7774" s="47" t="s">
        <v>18610</v>
      </c>
      <c r="H7774" s="76" t="s">
        <v>18611</v>
      </c>
      <c r="I7774" s="21" t="s">
        <v>18076</v>
      </c>
    </row>
    <row r="7775" spans="1:9" ht="26.5" customHeight="1" x14ac:dyDescent="0.35">
      <c r="A7775" s="15"/>
      <c r="B7775" s="15" t="str">
        <f>CONCATENATE(G7775,"/",COUNTIF($G$2:G7775,G7775))</f>
        <v>IT-10072/4</v>
      </c>
      <c r="C7775" s="15" t="s">
        <v>42789</v>
      </c>
      <c r="D7775" s="15" t="s">
        <v>42783</v>
      </c>
      <c r="E7775" s="15" t="s">
        <v>42790</v>
      </c>
      <c r="F7775" s="87" t="s">
        <v>21871</v>
      </c>
      <c r="G7775" s="47" t="s">
        <v>18610</v>
      </c>
      <c r="H7775" s="76" t="s">
        <v>18611</v>
      </c>
      <c r="I7775" s="21" t="s">
        <v>18076</v>
      </c>
    </row>
    <row r="7776" spans="1:9" ht="26.5" customHeight="1" x14ac:dyDescent="0.35">
      <c r="A7776" s="15"/>
      <c r="B7776" s="15" t="str">
        <f>CONCATENATE(G7776,"/",COUNTIF($G$2:G7776,G7776))</f>
        <v>IT-10072/5</v>
      </c>
      <c r="C7776" s="15" t="s">
        <v>42791</v>
      </c>
      <c r="D7776" s="15" t="s">
        <v>42783</v>
      </c>
      <c r="E7776" s="15" t="s">
        <v>42792</v>
      </c>
      <c r="F7776" s="87" t="s">
        <v>21871</v>
      </c>
      <c r="G7776" s="47" t="s">
        <v>18610</v>
      </c>
      <c r="H7776" s="76" t="s">
        <v>18611</v>
      </c>
      <c r="I7776" s="21" t="s">
        <v>18076</v>
      </c>
    </row>
    <row r="7777" spans="1:9" ht="26.5" customHeight="1" x14ac:dyDescent="0.35">
      <c r="A7777" s="15"/>
      <c r="B7777" s="15" t="str">
        <f>CONCATENATE(G7777,"/",COUNTIF($G$2:G7777,G7777))</f>
        <v>IT-10072/6</v>
      </c>
      <c r="C7777" s="15" t="s">
        <v>42793</v>
      </c>
      <c r="D7777" s="15" t="s">
        <v>42783</v>
      </c>
      <c r="E7777" s="15" t="s">
        <v>42794</v>
      </c>
      <c r="F7777" s="87" t="s">
        <v>21871</v>
      </c>
      <c r="G7777" s="47" t="s">
        <v>18610</v>
      </c>
      <c r="H7777" s="76" t="s">
        <v>18611</v>
      </c>
      <c r="I7777" s="21" t="s">
        <v>18076</v>
      </c>
    </row>
    <row r="7778" spans="1:9" ht="26.5" customHeight="1" x14ac:dyDescent="0.35">
      <c r="A7778" s="15"/>
      <c r="B7778" s="15" t="str">
        <f>CONCATENATE(G7778,"/",COUNTIF($G$2:G7778,G7778))</f>
        <v>IT-10072/7</v>
      </c>
      <c r="C7778" s="15" t="s">
        <v>42795</v>
      </c>
      <c r="D7778" s="15" t="s">
        <v>42783</v>
      </c>
      <c r="E7778" s="15" t="s">
        <v>42796</v>
      </c>
      <c r="F7778" s="87" t="s">
        <v>21871</v>
      </c>
      <c r="G7778" s="47" t="s">
        <v>18610</v>
      </c>
      <c r="H7778" s="76" t="s">
        <v>18611</v>
      </c>
      <c r="I7778" s="21" t="s">
        <v>18076</v>
      </c>
    </row>
    <row r="7779" spans="1:9" ht="33.65" customHeight="1" x14ac:dyDescent="0.35">
      <c r="A7779" s="15"/>
      <c r="B7779" s="15" t="str">
        <f>CONCATENATE(G7779,"/",COUNTIF($G$2:G7779,G7779))</f>
        <v>IT-10168/1</v>
      </c>
      <c r="C7779" s="15" t="s">
        <v>42797</v>
      </c>
      <c r="D7779" s="15" t="s">
        <v>42798</v>
      </c>
      <c r="E7779" s="15" t="s">
        <v>42799</v>
      </c>
      <c r="F7779" s="87" t="s">
        <v>21871</v>
      </c>
      <c r="G7779" s="47" t="s">
        <v>19489</v>
      </c>
      <c r="H7779" s="76" t="s">
        <v>19490</v>
      </c>
      <c r="I7779" s="21" t="s">
        <v>18076</v>
      </c>
    </row>
    <row r="7780" spans="1:9" ht="33.65" customHeight="1" x14ac:dyDescent="0.35">
      <c r="A7780" s="15"/>
      <c r="B7780" s="15" t="str">
        <f>CONCATENATE(G7780,"/",COUNTIF($G$2:G7780,G7780))</f>
        <v>IT-10168/2</v>
      </c>
      <c r="C7780" s="15" t="s">
        <v>42800</v>
      </c>
      <c r="D7780" s="15" t="s">
        <v>42801</v>
      </c>
      <c r="E7780" s="15" t="s">
        <v>42802</v>
      </c>
      <c r="F7780" s="87" t="s">
        <v>21871</v>
      </c>
      <c r="G7780" s="47" t="s">
        <v>19489</v>
      </c>
      <c r="H7780" s="76" t="s">
        <v>19490</v>
      </c>
      <c r="I7780" s="21" t="s">
        <v>18076</v>
      </c>
    </row>
    <row r="7781" spans="1:9" ht="33.65" customHeight="1" x14ac:dyDescent="0.35">
      <c r="A7781" s="15"/>
      <c r="B7781" s="15" t="str">
        <f>CONCATENATE(G7781,"/",COUNTIF($G$2:G7781,G7781))</f>
        <v>IT-10168/3</v>
      </c>
      <c r="C7781" s="15" t="s">
        <v>42803</v>
      </c>
      <c r="D7781" s="15" t="s">
        <v>42798</v>
      </c>
      <c r="E7781" s="15" t="s">
        <v>42804</v>
      </c>
      <c r="F7781" s="87" t="s">
        <v>21871</v>
      </c>
      <c r="G7781" s="47" t="s">
        <v>19489</v>
      </c>
      <c r="H7781" s="76" t="s">
        <v>19490</v>
      </c>
      <c r="I7781" s="21" t="s">
        <v>18076</v>
      </c>
    </row>
    <row r="7782" spans="1:9" ht="33.65" customHeight="1" x14ac:dyDescent="0.35">
      <c r="A7782" s="15"/>
      <c r="B7782" s="15" t="str">
        <f>CONCATENATE(G7782,"/",COUNTIF($G$2:G7782,G7782))</f>
        <v>IT-10168/4</v>
      </c>
      <c r="C7782" s="15" t="s">
        <v>42805</v>
      </c>
      <c r="D7782" s="15" t="s">
        <v>42798</v>
      </c>
      <c r="E7782" s="15" t="s">
        <v>42806</v>
      </c>
      <c r="F7782" s="87" t="s">
        <v>21871</v>
      </c>
      <c r="G7782" s="47" t="s">
        <v>19489</v>
      </c>
      <c r="H7782" s="76" t="s">
        <v>19490</v>
      </c>
      <c r="I7782" s="21" t="s">
        <v>18076</v>
      </c>
    </row>
    <row r="7783" spans="1:9" ht="35.65" customHeight="1" x14ac:dyDescent="0.35">
      <c r="A7783" s="15"/>
      <c r="B7783" s="15" t="str">
        <f>CONCATENATE(G7783,"/",COUNTIF($G$2:G7783,G7783))</f>
        <v>DE-6329/1</v>
      </c>
      <c r="C7783" s="15" t="s">
        <v>42807</v>
      </c>
      <c r="D7783" s="28">
        <v>44040</v>
      </c>
      <c r="E7783" s="15" t="s">
        <v>42808</v>
      </c>
      <c r="F7783" s="87" t="s">
        <v>23710</v>
      </c>
      <c r="G7783" s="45" t="s">
        <v>17741</v>
      </c>
      <c r="H7783" s="54" t="s">
        <v>17742</v>
      </c>
      <c r="I7783" s="5" t="s">
        <v>563</v>
      </c>
    </row>
    <row r="7784" spans="1:9" ht="33.65" customHeight="1" x14ac:dyDescent="0.35">
      <c r="A7784" s="15"/>
      <c r="B7784" s="15" t="str">
        <f>CONCATENATE(G7784,"/",COUNTIF($G$2:G7784,G7784))</f>
        <v>NO-10128/1</v>
      </c>
      <c r="C7784" s="15" t="s">
        <v>42809</v>
      </c>
      <c r="D7784" s="28">
        <v>44987</v>
      </c>
      <c r="E7784" s="15" t="s">
        <v>42810</v>
      </c>
      <c r="F7784" s="87" t="s">
        <v>21871</v>
      </c>
      <c r="G7784" s="47" t="s">
        <v>19327</v>
      </c>
      <c r="H7784" s="55" t="s">
        <v>19328</v>
      </c>
      <c r="I7784" s="15" t="s">
        <v>17305</v>
      </c>
    </row>
    <row r="7785" spans="1:9" ht="29.5" customHeight="1" x14ac:dyDescent="0.35">
      <c r="A7785" s="15"/>
      <c r="B7785" s="15" t="str">
        <f>CONCATENATE(G7785,"/",COUNTIF($G$2:G7785,G7785))</f>
        <v>HU-3032/1</v>
      </c>
      <c r="C7785" s="15" t="s">
        <v>42811</v>
      </c>
      <c r="D7785" s="44">
        <v>42185</v>
      </c>
      <c r="E7785" s="15" t="s">
        <v>42812</v>
      </c>
      <c r="F7785" s="87" t="s">
        <v>21871</v>
      </c>
      <c r="G7785" s="45" t="s">
        <v>9373</v>
      </c>
      <c r="H7785" s="54" t="s">
        <v>9374</v>
      </c>
      <c r="I7785" s="5" t="s">
        <v>816</v>
      </c>
    </row>
    <row r="7786" spans="1:9" ht="29.5" customHeight="1" x14ac:dyDescent="0.35">
      <c r="A7786" s="15"/>
      <c r="B7786" s="15" t="str">
        <f>CONCATENATE(G7786,"/",COUNTIF($G$2:G7786,G7786))</f>
        <v>HU-3032/2</v>
      </c>
      <c r="C7786" s="15" t="s">
        <v>42813</v>
      </c>
      <c r="D7786" s="44">
        <v>42185</v>
      </c>
      <c r="E7786" s="15" t="s">
        <v>42814</v>
      </c>
      <c r="F7786" s="87" t="s">
        <v>21871</v>
      </c>
      <c r="G7786" s="45" t="s">
        <v>9373</v>
      </c>
      <c r="H7786" s="54" t="s">
        <v>9374</v>
      </c>
      <c r="I7786" s="5" t="s">
        <v>816</v>
      </c>
    </row>
    <row r="7787" spans="1:9" ht="33" customHeight="1" x14ac:dyDescent="0.35">
      <c r="A7787" s="15"/>
      <c r="B7787" s="15" t="str">
        <f>CONCATENATE(G7787,"/",COUNTIF($G$2:G7787,G7787))</f>
        <v>HU-6165/1</v>
      </c>
      <c r="C7787" s="15" t="s">
        <v>42815</v>
      </c>
      <c r="D7787" s="6">
        <v>44180</v>
      </c>
      <c r="E7787" s="15" t="s">
        <v>42816</v>
      </c>
      <c r="F7787" s="87" t="s">
        <v>21871</v>
      </c>
      <c r="G7787" s="45" t="s">
        <v>17085</v>
      </c>
      <c r="H7787" s="54" t="s">
        <v>17086</v>
      </c>
      <c r="I7787" s="5" t="s">
        <v>816</v>
      </c>
    </row>
    <row r="7788" spans="1:9" ht="31.5" customHeight="1" x14ac:dyDescent="0.35">
      <c r="A7788" s="15"/>
      <c r="B7788" s="15" t="str">
        <f>CONCATENATE(G7788,"/",COUNTIF($G$2:G7788,G7788))</f>
        <v>HU-6350/1</v>
      </c>
      <c r="C7788" s="15" t="s">
        <v>42817</v>
      </c>
      <c r="D7788" s="6">
        <v>44180</v>
      </c>
      <c r="E7788" s="15" t="s">
        <v>42818</v>
      </c>
      <c r="F7788" s="87" t="s">
        <v>21871</v>
      </c>
      <c r="G7788" s="45" t="s">
        <v>17369</v>
      </c>
      <c r="H7788" s="54" t="s">
        <v>17370</v>
      </c>
      <c r="I7788" s="5" t="s">
        <v>816</v>
      </c>
    </row>
    <row r="7789" spans="1:9" ht="33" customHeight="1" x14ac:dyDescent="0.35">
      <c r="A7789" s="15"/>
      <c r="B7789" s="15" t="str">
        <f>CONCATENATE(G7789,"/",COUNTIF($G$2:G7789,G7789))</f>
        <v>HU-6310/1</v>
      </c>
      <c r="C7789" s="15" t="s">
        <v>42819</v>
      </c>
      <c r="D7789" s="6">
        <v>44628</v>
      </c>
      <c r="E7789" s="15" t="s">
        <v>42820</v>
      </c>
      <c r="F7789" s="87" t="s">
        <v>41553</v>
      </c>
      <c r="G7789" s="45" t="s">
        <v>17980</v>
      </c>
      <c r="H7789" s="54" t="s">
        <v>17981</v>
      </c>
      <c r="I7789" s="5" t="s">
        <v>816</v>
      </c>
    </row>
    <row r="7790" spans="1:9" ht="31" customHeight="1" x14ac:dyDescent="0.35">
      <c r="A7790" s="15"/>
      <c r="B7790" s="15" t="str">
        <f>CONCATENATE(G7790,"/",COUNTIF($G$2:G7790,G7790))</f>
        <v>HU-6374/1</v>
      </c>
      <c r="C7790" s="15" t="s">
        <v>42821</v>
      </c>
      <c r="D7790" s="6">
        <v>44628</v>
      </c>
      <c r="E7790" s="15" t="s">
        <v>42822</v>
      </c>
      <c r="F7790" s="87" t="s">
        <v>41553</v>
      </c>
      <c r="G7790" s="45" t="s">
        <v>18334</v>
      </c>
      <c r="H7790" s="78" t="s">
        <v>18335</v>
      </c>
      <c r="I7790" s="13" t="s">
        <v>816</v>
      </c>
    </row>
    <row r="7791" spans="1:9" ht="31" customHeight="1" x14ac:dyDescent="0.35">
      <c r="A7791" s="15"/>
      <c r="B7791" s="15" t="str">
        <f>CONCATENATE(G7791,"/",COUNTIF($G$2:G7791,G7791))</f>
        <v>HU-10032/1</v>
      </c>
      <c r="C7791" s="15" t="s">
        <v>42823</v>
      </c>
      <c r="D7791" s="6">
        <v>44628</v>
      </c>
      <c r="E7791" s="15" t="s">
        <v>42824</v>
      </c>
      <c r="F7791" s="87" t="s">
        <v>41553</v>
      </c>
      <c r="G7791" s="47" t="s">
        <v>18531</v>
      </c>
      <c r="H7791" s="76" t="s">
        <v>18532</v>
      </c>
      <c r="I7791" s="21" t="s">
        <v>17537</v>
      </c>
    </row>
    <row r="7792" spans="1:9" ht="27.65" customHeight="1" x14ac:dyDescent="0.35">
      <c r="A7792" s="15"/>
      <c r="B7792" s="15" t="str">
        <f>CONCATENATE(G7792,"/",COUNTIF($G$2:G7792,G7792))</f>
        <v>HU-10161/1</v>
      </c>
      <c r="C7792" s="15" t="s">
        <v>42825</v>
      </c>
      <c r="D7792" s="6">
        <v>44908</v>
      </c>
      <c r="E7792" s="15" t="s">
        <v>42826</v>
      </c>
      <c r="F7792" s="87" t="s">
        <v>41553</v>
      </c>
      <c r="G7792" s="47" t="s">
        <v>19519</v>
      </c>
      <c r="H7792" s="76" t="s">
        <v>19520</v>
      </c>
      <c r="I7792" s="21" t="s">
        <v>17537</v>
      </c>
    </row>
    <row r="7793" spans="1:9" ht="27.65" customHeight="1" x14ac:dyDescent="0.35">
      <c r="A7793" s="15"/>
      <c r="B7793" s="15" t="str">
        <f>CONCATENATE(G7793,"/",COUNTIF($G$2:G7793,G7793))</f>
        <v>HU-10171/1</v>
      </c>
      <c r="C7793" s="15" t="s">
        <v>42827</v>
      </c>
      <c r="D7793" s="6">
        <v>44747</v>
      </c>
      <c r="E7793" s="15" t="s">
        <v>42828</v>
      </c>
      <c r="F7793" s="87" t="s">
        <v>41553</v>
      </c>
      <c r="G7793" s="47" t="s">
        <v>18187</v>
      </c>
      <c r="H7793" s="76" t="s">
        <v>18188</v>
      </c>
      <c r="I7793" s="21" t="s">
        <v>17537</v>
      </c>
    </row>
    <row r="7794" spans="1:9" ht="32.15" customHeight="1" x14ac:dyDescent="0.35">
      <c r="A7794" s="15"/>
      <c r="B7794" s="15" t="str">
        <f>CONCATENATE(G7794,"/",COUNTIF($G$2:G7794,G7794))</f>
        <v>HU-10198/1</v>
      </c>
      <c r="C7794" s="15" t="s">
        <v>42829</v>
      </c>
      <c r="D7794" s="6">
        <v>44747</v>
      </c>
      <c r="E7794" s="15" t="s">
        <v>42830</v>
      </c>
      <c r="F7794" s="87" t="s">
        <v>41553</v>
      </c>
      <c r="G7794" s="47" t="s">
        <v>18939</v>
      </c>
      <c r="H7794" s="76" t="s">
        <v>18940</v>
      </c>
      <c r="I7794" s="21" t="s">
        <v>17537</v>
      </c>
    </row>
    <row r="7795" spans="1:9" ht="35.15" customHeight="1" x14ac:dyDescent="0.35">
      <c r="A7795" s="15"/>
      <c r="B7795" s="15" t="str">
        <f>CONCATENATE(G7795,"/",COUNTIF($G$2:G7795,G7795))</f>
        <v>ES-10306/1</v>
      </c>
      <c r="C7795" s="15" t="s">
        <v>42831</v>
      </c>
      <c r="D7795" s="43" t="s">
        <v>42832</v>
      </c>
      <c r="E7795" s="15" t="s">
        <v>42833</v>
      </c>
      <c r="F7795" s="87" t="s">
        <v>21871</v>
      </c>
      <c r="G7795" s="47" t="s">
        <v>20275</v>
      </c>
      <c r="H7795" s="85" t="s">
        <v>20276</v>
      </c>
      <c r="I7795" s="69" t="s">
        <v>17769</v>
      </c>
    </row>
    <row r="7796" spans="1:9" ht="35.15" customHeight="1" x14ac:dyDescent="0.35">
      <c r="A7796" s="15"/>
      <c r="B7796" s="15" t="str">
        <f>CONCATENATE(G7796,"/",COUNTIF($G$2:G7796,G7796))</f>
        <v>ES-10306/2</v>
      </c>
      <c r="C7796" s="15" t="s">
        <v>42834</v>
      </c>
      <c r="D7796" s="43" t="s">
        <v>42832</v>
      </c>
      <c r="E7796" s="15" t="s">
        <v>42835</v>
      </c>
      <c r="F7796" s="87" t="s">
        <v>21871</v>
      </c>
      <c r="G7796" s="47" t="s">
        <v>20275</v>
      </c>
      <c r="H7796" s="85" t="s">
        <v>20276</v>
      </c>
      <c r="I7796" s="69" t="s">
        <v>17769</v>
      </c>
    </row>
    <row r="7797" spans="1:9" ht="35.15" customHeight="1" x14ac:dyDescent="0.35">
      <c r="A7797" s="15"/>
      <c r="B7797" s="15" t="str">
        <f>CONCATENATE(G7797,"/",COUNTIF($G$2:G7797,G7797))</f>
        <v>ES-10306/3</v>
      </c>
      <c r="C7797" s="15" t="s">
        <v>42836</v>
      </c>
      <c r="D7797" s="43" t="s">
        <v>42832</v>
      </c>
      <c r="E7797" s="15" t="s">
        <v>42837</v>
      </c>
      <c r="F7797" s="87" t="s">
        <v>21871</v>
      </c>
      <c r="G7797" s="47" t="s">
        <v>20275</v>
      </c>
      <c r="H7797" s="85" t="s">
        <v>20276</v>
      </c>
      <c r="I7797" s="69" t="s">
        <v>17769</v>
      </c>
    </row>
    <row r="7798" spans="1:9" ht="35.15" customHeight="1" x14ac:dyDescent="0.35">
      <c r="A7798" s="15"/>
      <c r="B7798" s="15" t="str">
        <f>CONCATENATE(G7798,"/",COUNTIF($G$2:G7798,G7798))</f>
        <v>ES-10306/4</v>
      </c>
      <c r="C7798" s="15" t="s">
        <v>42838</v>
      </c>
      <c r="D7798" s="43" t="s">
        <v>42832</v>
      </c>
      <c r="E7798" s="15" t="s">
        <v>42839</v>
      </c>
      <c r="F7798" s="87" t="s">
        <v>21871</v>
      </c>
      <c r="G7798" s="47" t="s">
        <v>20275</v>
      </c>
      <c r="H7798" s="85" t="s">
        <v>20276</v>
      </c>
      <c r="I7798" s="69" t="s">
        <v>17769</v>
      </c>
    </row>
    <row r="7799" spans="1:9" ht="29.5" customHeight="1" x14ac:dyDescent="0.35">
      <c r="A7799" s="15"/>
      <c r="B7799" s="15" t="str">
        <f>CONCATENATE(G7799,"/",COUNTIF($G$2:G7799,G7799))</f>
        <v>RO-10207/1</v>
      </c>
      <c r="C7799" s="15" t="s">
        <v>42840</v>
      </c>
      <c r="D7799" s="43">
        <v>45006</v>
      </c>
      <c r="E7799" s="15" t="s">
        <v>42841</v>
      </c>
      <c r="F7799" s="87" t="s">
        <v>21871</v>
      </c>
      <c r="G7799" s="47" t="s">
        <v>19868</v>
      </c>
      <c r="H7799" s="76" t="s">
        <v>19869</v>
      </c>
      <c r="I7799" s="21" t="s">
        <v>17638</v>
      </c>
    </row>
    <row r="7800" spans="1:9" ht="29.5" customHeight="1" x14ac:dyDescent="0.35">
      <c r="A7800" s="15"/>
      <c r="B7800" s="15" t="str">
        <f>CONCATENATE(G7800,"/",COUNTIF($G$2:G7800,G7800))</f>
        <v>RO-10213/1</v>
      </c>
      <c r="C7800" s="15" t="s">
        <v>42842</v>
      </c>
      <c r="D7800" s="43">
        <v>45013</v>
      </c>
      <c r="E7800" s="15" t="s">
        <v>42843</v>
      </c>
      <c r="F7800" s="87" t="s">
        <v>21871</v>
      </c>
      <c r="G7800" s="47" t="s">
        <v>19909</v>
      </c>
      <c r="H7800" s="76" t="s">
        <v>19910</v>
      </c>
      <c r="I7800" s="21" t="s">
        <v>17638</v>
      </c>
    </row>
    <row r="7801" spans="1:9" ht="27.65" customHeight="1" x14ac:dyDescent="0.35">
      <c r="A7801" s="15"/>
      <c r="B7801" s="15" t="str">
        <f>CONCATENATE(G7801,"/",COUNTIF($G$2:G7801,G7801))</f>
        <v>IE-10375/1</v>
      </c>
      <c r="C7801" s="15" t="s">
        <v>42844</v>
      </c>
      <c r="D7801" s="43">
        <v>44980</v>
      </c>
      <c r="E7801" s="15" t="s">
        <v>42845</v>
      </c>
      <c r="F7801" s="87" t="s">
        <v>21871</v>
      </c>
      <c r="G7801" s="47" t="s">
        <v>19283</v>
      </c>
      <c r="H7801" s="85" t="s">
        <v>19284</v>
      </c>
      <c r="I7801" s="69" t="s">
        <v>19094</v>
      </c>
    </row>
    <row r="7802" spans="1:9" ht="27.65" customHeight="1" x14ac:dyDescent="0.35">
      <c r="A7802" s="15"/>
      <c r="B7802" s="15" t="str">
        <f>CONCATENATE(G7802,"/",COUNTIF($G$2:G7802,G7802))</f>
        <v>IE-10375/2</v>
      </c>
      <c r="C7802" s="15" t="s">
        <v>42846</v>
      </c>
      <c r="D7802" s="43">
        <v>44980</v>
      </c>
      <c r="E7802" s="15" t="s">
        <v>42847</v>
      </c>
      <c r="F7802" s="87" t="s">
        <v>21871</v>
      </c>
      <c r="G7802" s="47" t="s">
        <v>19283</v>
      </c>
      <c r="H7802" s="85" t="s">
        <v>19284</v>
      </c>
      <c r="I7802" s="69" t="s">
        <v>19094</v>
      </c>
    </row>
    <row r="7803" spans="1:9" ht="27.65" customHeight="1" x14ac:dyDescent="0.35">
      <c r="A7803" s="15"/>
      <c r="B7803" s="15" t="str">
        <f>CONCATENATE(G7803,"/",COUNTIF($G$2:G7803,G7803))</f>
        <v>IE-10375/3</v>
      </c>
      <c r="C7803" s="15" t="s">
        <v>42848</v>
      </c>
      <c r="D7803" s="43">
        <v>44980</v>
      </c>
      <c r="E7803" s="15" t="s">
        <v>42849</v>
      </c>
      <c r="F7803" s="87" t="s">
        <v>21871</v>
      </c>
      <c r="G7803" s="47" t="s">
        <v>19283</v>
      </c>
      <c r="H7803" s="85" t="s">
        <v>19284</v>
      </c>
      <c r="I7803" s="69" t="s">
        <v>19094</v>
      </c>
    </row>
    <row r="7804" spans="1:9" ht="27.65" customHeight="1" x14ac:dyDescent="0.35">
      <c r="A7804" s="15"/>
      <c r="B7804" s="15" t="str">
        <f>CONCATENATE(G7804,"/",COUNTIF($G$2:G7804,G7804))</f>
        <v>IE-10375/4</v>
      </c>
      <c r="C7804" s="15" t="s">
        <v>42850</v>
      </c>
      <c r="D7804" s="43">
        <v>44980</v>
      </c>
      <c r="E7804" s="15" t="s">
        <v>42851</v>
      </c>
      <c r="F7804" s="87" t="s">
        <v>21871</v>
      </c>
      <c r="G7804" s="47" t="s">
        <v>19283</v>
      </c>
      <c r="H7804" s="85" t="s">
        <v>19284</v>
      </c>
      <c r="I7804" s="69" t="s">
        <v>19094</v>
      </c>
    </row>
    <row r="7805" spans="1:9" ht="27.65" customHeight="1" x14ac:dyDescent="0.35">
      <c r="A7805" s="15"/>
      <c r="B7805" s="15" t="str">
        <f>CONCATENATE(G7805,"/",COUNTIF($G$2:G7805,G7805))</f>
        <v>IE-10375/5</v>
      </c>
      <c r="C7805" s="15" t="s">
        <v>42852</v>
      </c>
      <c r="D7805" s="43">
        <v>44980</v>
      </c>
      <c r="E7805" s="15" t="s">
        <v>42853</v>
      </c>
      <c r="F7805" s="87" t="s">
        <v>21871</v>
      </c>
      <c r="G7805" s="47" t="s">
        <v>19283</v>
      </c>
      <c r="H7805" s="85" t="s">
        <v>19284</v>
      </c>
      <c r="I7805" s="69" t="s">
        <v>19094</v>
      </c>
    </row>
    <row r="7806" spans="1:9" ht="27.65" customHeight="1" x14ac:dyDescent="0.35">
      <c r="A7806" s="15"/>
      <c r="B7806" s="15" t="str">
        <f>CONCATENATE(G7806,"/",COUNTIF($G$2:G7806,G7806))</f>
        <v>IE-10375/6</v>
      </c>
      <c r="C7806" s="15" t="s">
        <v>42854</v>
      </c>
      <c r="D7806" s="43">
        <v>44980</v>
      </c>
      <c r="E7806" s="15" t="s">
        <v>42855</v>
      </c>
      <c r="F7806" s="87" t="s">
        <v>21871</v>
      </c>
      <c r="G7806" s="47" t="s">
        <v>19283</v>
      </c>
      <c r="H7806" s="85" t="s">
        <v>19284</v>
      </c>
      <c r="I7806" s="69" t="s">
        <v>19094</v>
      </c>
    </row>
    <row r="7807" spans="1:9" ht="27.65" customHeight="1" x14ac:dyDescent="0.35">
      <c r="A7807" s="15"/>
      <c r="B7807" s="15" t="str">
        <f>CONCATENATE(G7807,"/",COUNTIF($G$2:G7807,G7807))</f>
        <v>IE-10375/7</v>
      </c>
      <c r="C7807" s="15" t="s">
        <v>42856</v>
      </c>
      <c r="D7807" s="43">
        <v>44980</v>
      </c>
      <c r="E7807" s="15" t="s">
        <v>42857</v>
      </c>
      <c r="F7807" s="87" t="s">
        <v>21871</v>
      </c>
      <c r="G7807" s="47" t="s">
        <v>19283</v>
      </c>
      <c r="H7807" s="85" t="s">
        <v>19284</v>
      </c>
      <c r="I7807" s="69" t="s">
        <v>19094</v>
      </c>
    </row>
    <row r="7808" spans="1:9" ht="22.5" customHeight="1" x14ac:dyDescent="0.35">
      <c r="A7808" s="15"/>
      <c r="B7808" s="15" t="str">
        <f>CONCATENATE(G7808,"/",COUNTIF($G$2:G7808,G7808))</f>
        <v>IE-10397/1</v>
      </c>
      <c r="C7808" s="15" t="s">
        <v>42858</v>
      </c>
      <c r="D7808" s="43">
        <v>44973</v>
      </c>
      <c r="E7808" s="15" t="s">
        <v>42859</v>
      </c>
      <c r="F7808" s="87" t="s">
        <v>21871</v>
      </c>
      <c r="G7808" s="47" t="s">
        <v>19526</v>
      </c>
      <c r="H7808" s="85" t="s">
        <v>19527</v>
      </c>
      <c r="I7808" s="69" t="s">
        <v>19094</v>
      </c>
    </row>
    <row r="7809" spans="1:9" ht="22.5" customHeight="1" x14ac:dyDescent="0.35">
      <c r="A7809" s="15"/>
      <c r="B7809" s="15" t="str">
        <f>CONCATENATE(G7809,"/",COUNTIF($G$2:G7809,G7809))</f>
        <v>IE-10397/2</v>
      </c>
      <c r="C7809" s="15" t="s">
        <v>42860</v>
      </c>
      <c r="D7809" s="43">
        <v>44973</v>
      </c>
      <c r="E7809" s="15" t="s">
        <v>42861</v>
      </c>
      <c r="F7809" s="87" t="s">
        <v>21871</v>
      </c>
      <c r="G7809" s="47" t="s">
        <v>19526</v>
      </c>
      <c r="H7809" s="85" t="s">
        <v>19527</v>
      </c>
      <c r="I7809" s="69" t="s">
        <v>19094</v>
      </c>
    </row>
    <row r="7810" spans="1:9" ht="22.5" customHeight="1" x14ac:dyDescent="0.35">
      <c r="A7810" s="15"/>
      <c r="B7810" s="15" t="str">
        <f>CONCATENATE(G7810,"/",COUNTIF($G$2:G7810,G7810))</f>
        <v>IE-10397/3</v>
      </c>
      <c r="C7810" s="15" t="s">
        <v>42862</v>
      </c>
      <c r="D7810" s="43">
        <v>44973</v>
      </c>
      <c r="E7810" s="15" t="s">
        <v>42863</v>
      </c>
      <c r="F7810" s="87" t="s">
        <v>21871</v>
      </c>
      <c r="G7810" s="47" t="s">
        <v>19526</v>
      </c>
      <c r="H7810" s="85" t="s">
        <v>19527</v>
      </c>
      <c r="I7810" s="69" t="s">
        <v>19094</v>
      </c>
    </row>
    <row r="7811" spans="1:9" ht="22.5" customHeight="1" x14ac:dyDescent="0.35">
      <c r="A7811" s="15"/>
      <c r="B7811" s="15" t="str">
        <f>CONCATENATE(G7811,"/",COUNTIF($G$2:G7811,G7811))</f>
        <v>IE-10397/4</v>
      </c>
      <c r="C7811" s="15" t="s">
        <v>42864</v>
      </c>
      <c r="D7811" s="43">
        <v>44973</v>
      </c>
      <c r="E7811" s="15" t="s">
        <v>42865</v>
      </c>
      <c r="F7811" s="87" t="s">
        <v>21871</v>
      </c>
      <c r="G7811" s="47" t="s">
        <v>19526</v>
      </c>
      <c r="H7811" s="85" t="s">
        <v>19527</v>
      </c>
      <c r="I7811" s="69" t="s">
        <v>19094</v>
      </c>
    </row>
    <row r="7812" spans="1:9" ht="22.5" customHeight="1" x14ac:dyDescent="0.35">
      <c r="A7812" s="15"/>
      <c r="B7812" s="15" t="str">
        <f>CONCATENATE(G7812,"/",COUNTIF($G$2:G7812,G7812))</f>
        <v>IE-10397/5</v>
      </c>
      <c r="C7812" s="15" t="s">
        <v>42866</v>
      </c>
      <c r="D7812" s="43">
        <v>44973</v>
      </c>
      <c r="E7812" s="15" t="s">
        <v>42867</v>
      </c>
      <c r="F7812" s="87" t="s">
        <v>21871</v>
      </c>
      <c r="G7812" s="47" t="s">
        <v>19526</v>
      </c>
      <c r="H7812" s="85" t="s">
        <v>19527</v>
      </c>
      <c r="I7812" s="69" t="s">
        <v>19094</v>
      </c>
    </row>
    <row r="7813" spans="1:9" ht="22.5" customHeight="1" x14ac:dyDescent="0.35">
      <c r="A7813" s="15"/>
      <c r="B7813" s="15" t="str">
        <f>CONCATENATE(G7813,"/",COUNTIF($G$2:G7813,G7813))</f>
        <v>IE-10397/6</v>
      </c>
      <c r="C7813" s="15" t="s">
        <v>42868</v>
      </c>
      <c r="D7813" s="43">
        <v>44973</v>
      </c>
      <c r="E7813" s="15" t="s">
        <v>42869</v>
      </c>
      <c r="F7813" s="87" t="s">
        <v>21871</v>
      </c>
      <c r="G7813" s="47" t="s">
        <v>19526</v>
      </c>
      <c r="H7813" s="85" t="s">
        <v>19527</v>
      </c>
      <c r="I7813" s="69" t="s">
        <v>19094</v>
      </c>
    </row>
    <row r="7814" spans="1:9" ht="22.5" customHeight="1" x14ac:dyDescent="0.35">
      <c r="A7814" s="15"/>
      <c r="B7814" s="15" t="str">
        <f>CONCATENATE(G7814,"/",COUNTIF($G$2:G7814,G7814))</f>
        <v>IE-10397/7</v>
      </c>
      <c r="C7814" s="15" t="s">
        <v>42870</v>
      </c>
      <c r="D7814" s="43">
        <v>44973</v>
      </c>
      <c r="E7814" s="15" t="s">
        <v>42871</v>
      </c>
      <c r="F7814" s="87" t="s">
        <v>21871</v>
      </c>
      <c r="G7814" s="47" t="s">
        <v>19526</v>
      </c>
      <c r="H7814" s="85" t="s">
        <v>19527</v>
      </c>
      <c r="I7814" s="69" t="s">
        <v>19094</v>
      </c>
    </row>
    <row r="7815" spans="1:9" ht="22.5" customHeight="1" x14ac:dyDescent="0.35">
      <c r="A7815" s="15"/>
      <c r="B7815" s="15" t="str">
        <f>CONCATENATE(G7815,"/",COUNTIF($G$2:G7815,G7815))</f>
        <v>IE-10397/8</v>
      </c>
      <c r="C7815" s="15" t="s">
        <v>42872</v>
      </c>
      <c r="D7815" s="43">
        <v>44973</v>
      </c>
      <c r="E7815" s="15" t="s">
        <v>42873</v>
      </c>
      <c r="F7815" s="87" t="s">
        <v>21871</v>
      </c>
      <c r="G7815" s="47" t="s">
        <v>19526</v>
      </c>
      <c r="H7815" s="85" t="s">
        <v>19527</v>
      </c>
      <c r="I7815" s="69" t="s">
        <v>19094</v>
      </c>
    </row>
    <row r="7816" spans="1:9" ht="22.5" customHeight="1" x14ac:dyDescent="0.35">
      <c r="A7816" s="15"/>
      <c r="B7816" s="15" t="str">
        <f>CONCATENATE(G7816,"/",COUNTIF($G$2:G7816,G7816))</f>
        <v>IE-10397/9</v>
      </c>
      <c r="C7816" s="15" t="s">
        <v>42874</v>
      </c>
      <c r="D7816" s="43">
        <v>44973</v>
      </c>
      <c r="E7816" s="15" t="s">
        <v>42875</v>
      </c>
      <c r="F7816" s="87" t="s">
        <v>21871</v>
      </c>
      <c r="G7816" s="47" t="s">
        <v>19526</v>
      </c>
      <c r="H7816" s="85" t="s">
        <v>19527</v>
      </c>
      <c r="I7816" s="69" t="s">
        <v>19094</v>
      </c>
    </row>
    <row r="7817" spans="1:9" ht="22.5" customHeight="1" x14ac:dyDescent="0.35">
      <c r="A7817" s="15"/>
      <c r="B7817" s="15" t="str">
        <f>CONCATENATE(G7817,"/",COUNTIF($G$2:G7817,G7817))</f>
        <v>IE-10397/10</v>
      </c>
      <c r="C7817" s="15" t="s">
        <v>42876</v>
      </c>
      <c r="D7817" s="43">
        <v>44973</v>
      </c>
      <c r="E7817" s="15" t="s">
        <v>42877</v>
      </c>
      <c r="F7817" s="87" t="s">
        <v>21871</v>
      </c>
      <c r="G7817" s="47" t="s">
        <v>19526</v>
      </c>
      <c r="H7817" s="85" t="s">
        <v>19527</v>
      </c>
      <c r="I7817" s="69" t="s">
        <v>19094</v>
      </c>
    </row>
    <row r="7818" spans="1:9" ht="22.5" customHeight="1" x14ac:dyDescent="0.35">
      <c r="A7818" s="15"/>
      <c r="B7818" s="15" t="str">
        <f>CONCATENATE(G7818,"/",COUNTIF($G$2:G7818,G7818))</f>
        <v>IE-10397/11</v>
      </c>
      <c r="C7818" s="15" t="s">
        <v>42878</v>
      </c>
      <c r="D7818" s="43">
        <v>44973</v>
      </c>
      <c r="E7818" s="15" t="s">
        <v>42879</v>
      </c>
      <c r="F7818" s="87" t="s">
        <v>21871</v>
      </c>
      <c r="G7818" s="47" t="s">
        <v>19526</v>
      </c>
      <c r="H7818" s="85" t="s">
        <v>19527</v>
      </c>
      <c r="I7818" s="69" t="s">
        <v>19094</v>
      </c>
    </row>
    <row r="7819" spans="1:9" ht="22.5" customHeight="1" x14ac:dyDescent="0.35">
      <c r="A7819" s="15"/>
      <c r="B7819" s="15" t="str">
        <f>CONCATENATE(G7819,"/",COUNTIF($G$2:G7819,G7819))</f>
        <v>IE-10397/12</v>
      </c>
      <c r="C7819" s="15" t="s">
        <v>42880</v>
      </c>
      <c r="D7819" s="43">
        <v>44973</v>
      </c>
      <c r="E7819" s="15" t="s">
        <v>42881</v>
      </c>
      <c r="F7819" s="87" t="s">
        <v>21871</v>
      </c>
      <c r="G7819" s="47" t="s">
        <v>19526</v>
      </c>
      <c r="H7819" s="85" t="s">
        <v>19527</v>
      </c>
      <c r="I7819" s="69" t="s">
        <v>19094</v>
      </c>
    </row>
    <row r="7820" spans="1:9" ht="24" customHeight="1" x14ac:dyDescent="0.35">
      <c r="A7820" s="15"/>
      <c r="B7820" s="15" t="str">
        <f>CONCATENATE(G7820,"/",COUNTIF($G$2:G7820,G7820))</f>
        <v>RO-10212/1</v>
      </c>
      <c r="C7820" s="15" t="s">
        <v>42882</v>
      </c>
      <c r="D7820" s="43" t="s">
        <v>42883</v>
      </c>
      <c r="E7820" s="15" t="s">
        <v>42884</v>
      </c>
      <c r="F7820" s="87" t="s">
        <v>21871</v>
      </c>
      <c r="G7820" s="47" t="s">
        <v>19903</v>
      </c>
      <c r="H7820" s="76" t="s">
        <v>19904</v>
      </c>
      <c r="I7820" s="21" t="s">
        <v>17638</v>
      </c>
    </row>
    <row r="7821" spans="1:9" ht="24" customHeight="1" x14ac:dyDescent="0.35">
      <c r="A7821" s="15"/>
      <c r="B7821" s="15" t="str">
        <f>CONCATENATE(G7821,"/",COUNTIF($G$2:G7821,G7821))</f>
        <v>RO-10216/1</v>
      </c>
      <c r="C7821" s="15" t="s">
        <v>42885</v>
      </c>
      <c r="D7821" s="43" t="s">
        <v>42886</v>
      </c>
      <c r="E7821" s="15" t="s">
        <v>42887</v>
      </c>
      <c r="F7821" s="87" t="s">
        <v>21871</v>
      </c>
      <c r="G7821" s="47" t="s">
        <v>19920</v>
      </c>
      <c r="H7821" s="76" t="s">
        <v>19921</v>
      </c>
      <c r="I7821" s="21" t="s">
        <v>17638</v>
      </c>
    </row>
    <row r="7822" spans="1:9" ht="32.5" customHeight="1" x14ac:dyDescent="0.35">
      <c r="A7822" s="15"/>
      <c r="B7822" s="15" t="str">
        <f>CONCATENATE(G7822,"/",COUNTIF($G$2:G7822,G7822))</f>
        <v>FR-10015/1</v>
      </c>
      <c r="C7822" s="15" t="s">
        <v>42888</v>
      </c>
      <c r="D7822" s="43">
        <v>45006</v>
      </c>
      <c r="E7822" s="15" t="s">
        <v>42889</v>
      </c>
      <c r="F7822" s="87" t="s">
        <v>21871</v>
      </c>
      <c r="G7822" s="47" t="s">
        <v>18403</v>
      </c>
      <c r="H7822" s="76" t="s">
        <v>18404</v>
      </c>
      <c r="I7822" s="20" t="s">
        <v>16278</v>
      </c>
    </row>
    <row r="7823" spans="1:9" ht="32.5" customHeight="1" x14ac:dyDescent="0.35">
      <c r="A7823" s="15"/>
      <c r="B7823" s="15" t="str">
        <f>CONCATENATE(G7823,"/",COUNTIF($G$2:G7823,G7823))</f>
        <v>FR-10015/2</v>
      </c>
      <c r="C7823" s="15" t="s">
        <v>42890</v>
      </c>
      <c r="D7823" s="43">
        <v>45006</v>
      </c>
      <c r="E7823" s="15" t="s">
        <v>42891</v>
      </c>
      <c r="F7823" s="87" t="s">
        <v>21871</v>
      </c>
      <c r="G7823" s="47" t="s">
        <v>18403</v>
      </c>
      <c r="H7823" s="76" t="s">
        <v>18404</v>
      </c>
      <c r="I7823" s="20" t="s">
        <v>16278</v>
      </c>
    </row>
    <row r="7824" spans="1:9" ht="32.5" customHeight="1" x14ac:dyDescent="0.35">
      <c r="A7824" s="15"/>
      <c r="B7824" s="15" t="str">
        <f>CONCATENATE(G7824,"/",COUNTIF($G$2:G7824,G7824))</f>
        <v>FR-10015/3</v>
      </c>
      <c r="C7824" s="15" t="s">
        <v>42892</v>
      </c>
      <c r="D7824" s="43">
        <v>45006</v>
      </c>
      <c r="E7824" s="15" t="s">
        <v>42893</v>
      </c>
      <c r="F7824" s="87" t="s">
        <v>21871</v>
      </c>
      <c r="G7824" s="47" t="s">
        <v>18403</v>
      </c>
      <c r="H7824" s="76" t="s">
        <v>18404</v>
      </c>
      <c r="I7824" s="20" t="s">
        <v>16278</v>
      </c>
    </row>
    <row r="7825" spans="1:9" ht="31" customHeight="1" x14ac:dyDescent="0.35">
      <c r="A7825" s="15"/>
      <c r="B7825" s="15" t="str">
        <f>CONCATENATE(G7825,"/",COUNTIF($G$2:G7825,G7825))</f>
        <v>FR-10015/4</v>
      </c>
      <c r="C7825" s="15" t="s">
        <v>42894</v>
      </c>
      <c r="D7825" s="43">
        <v>45006</v>
      </c>
      <c r="E7825" s="15" t="s">
        <v>42895</v>
      </c>
      <c r="F7825" s="87" t="s">
        <v>21871</v>
      </c>
      <c r="G7825" s="47" t="s">
        <v>18403</v>
      </c>
      <c r="H7825" s="76" t="s">
        <v>18404</v>
      </c>
      <c r="I7825" s="20" t="s">
        <v>16278</v>
      </c>
    </row>
    <row r="7826" spans="1:9" ht="20.5" customHeight="1" x14ac:dyDescent="0.35">
      <c r="A7826" s="15"/>
      <c r="B7826" s="15" t="str">
        <f>CONCATENATE(G7826,"/",COUNTIF($G$2:G7826,G7826))</f>
        <v>HR-10302/1</v>
      </c>
      <c r="C7826" s="15" t="s">
        <v>42896</v>
      </c>
      <c r="D7826" s="43">
        <v>45027</v>
      </c>
      <c r="E7826" s="15" t="s">
        <v>42897</v>
      </c>
      <c r="F7826" s="87" t="s">
        <v>21871</v>
      </c>
      <c r="G7826" s="47" t="s">
        <v>20348</v>
      </c>
      <c r="H7826" s="85" t="s">
        <v>20349</v>
      </c>
      <c r="I7826" s="69" t="s">
        <v>9767</v>
      </c>
    </row>
    <row r="7827" spans="1:9" ht="20.5" customHeight="1" x14ac:dyDescent="0.35">
      <c r="A7827" s="15"/>
      <c r="B7827" s="15" t="str">
        <f>CONCATENATE(G7827,"/",COUNTIF($G$2:G7827,G7827))</f>
        <v>HR-10302/2</v>
      </c>
      <c r="C7827" s="15" t="s">
        <v>42898</v>
      </c>
      <c r="D7827" s="43">
        <v>45027</v>
      </c>
      <c r="E7827" s="15" t="s">
        <v>42899</v>
      </c>
      <c r="F7827" s="87" t="s">
        <v>21871</v>
      </c>
      <c r="G7827" s="47" t="s">
        <v>20348</v>
      </c>
      <c r="H7827" s="85" t="s">
        <v>20349</v>
      </c>
      <c r="I7827" s="69" t="s">
        <v>9767</v>
      </c>
    </row>
    <row r="7828" spans="1:9" ht="20.5" customHeight="1" x14ac:dyDescent="0.35">
      <c r="A7828" s="15"/>
      <c r="B7828" s="15" t="str">
        <f>CONCATENATE(G7828,"/",COUNTIF($G$2:G7828,G7828))</f>
        <v>HR-10302/3</v>
      </c>
      <c r="C7828" s="15" t="s">
        <v>42900</v>
      </c>
      <c r="D7828" s="43" t="s">
        <v>42901</v>
      </c>
      <c r="E7828" s="15" t="s">
        <v>42902</v>
      </c>
      <c r="F7828" s="87" t="s">
        <v>21871</v>
      </c>
      <c r="G7828" s="47" t="s">
        <v>20348</v>
      </c>
      <c r="H7828" s="85" t="s">
        <v>20349</v>
      </c>
      <c r="I7828" s="69" t="s">
        <v>9767</v>
      </c>
    </row>
    <row r="7829" spans="1:9" ht="20.5" customHeight="1" x14ac:dyDescent="0.35">
      <c r="A7829" s="15"/>
      <c r="B7829" s="15" t="str">
        <f>CONCATENATE(G7829,"/",COUNTIF($G$2:G7829,G7829))</f>
        <v>HR-10302/4</v>
      </c>
      <c r="C7829" s="15" t="s">
        <v>42903</v>
      </c>
      <c r="D7829" s="43" t="s">
        <v>42901</v>
      </c>
      <c r="E7829" s="15" t="s">
        <v>42904</v>
      </c>
      <c r="F7829" s="87" t="s">
        <v>21871</v>
      </c>
      <c r="G7829" s="47" t="s">
        <v>20348</v>
      </c>
      <c r="H7829" s="85" t="s">
        <v>20349</v>
      </c>
      <c r="I7829" s="69" t="s">
        <v>9767</v>
      </c>
    </row>
    <row r="7830" spans="1:9" ht="20.5" customHeight="1" x14ac:dyDescent="0.35">
      <c r="A7830" s="15"/>
      <c r="B7830" s="15" t="str">
        <f>CONCATENATE(G7830,"/",COUNTIF($G$2:G7830,G7830))</f>
        <v>HR-10302/5</v>
      </c>
      <c r="C7830" s="15" t="s">
        <v>42905</v>
      </c>
      <c r="D7830" s="43" t="s">
        <v>42901</v>
      </c>
      <c r="E7830" s="15" t="s">
        <v>42906</v>
      </c>
      <c r="F7830" s="87" t="s">
        <v>21871</v>
      </c>
      <c r="G7830" s="47" t="s">
        <v>20348</v>
      </c>
      <c r="H7830" s="85" t="s">
        <v>20349</v>
      </c>
      <c r="I7830" s="69" t="s">
        <v>9767</v>
      </c>
    </row>
    <row r="7831" spans="1:9" ht="20.5" customHeight="1" x14ac:dyDescent="0.35">
      <c r="A7831" s="15"/>
      <c r="B7831" s="15" t="str">
        <f>CONCATENATE(G7831,"/",COUNTIF($G$2:G7831,G7831))</f>
        <v>HR-10302/6</v>
      </c>
      <c r="C7831" s="15" t="s">
        <v>42907</v>
      </c>
      <c r="D7831" s="43" t="s">
        <v>42901</v>
      </c>
      <c r="E7831" s="15" t="s">
        <v>42908</v>
      </c>
      <c r="F7831" s="87" t="s">
        <v>21871</v>
      </c>
      <c r="G7831" s="47" t="s">
        <v>20348</v>
      </c>
      <c r="H7831" s="85" t="s">
        <v>20349</v>
      </c>
      <c r="I7831" s="69" t="s">
        <v>9767</v>
      </c>
    </row>
    <row r="7832" spans="1:9" ht="20.5" customHeight="1" x14ac:dyDescent="0.35">
      <c r="A7832" s="15"/>
      <c r="B7832" s="15" t="str">
        <f>CONCATENATE(G7832,"/",COUNTIF($G$2:G7832,G7832))</f>
        <v>HR-10302/7</v>
      </c>
      <c r="C7832" s="15" t="s">
        <v>42909</v>
      </c>
      <c r="D7832" s="43" t="s">
        <v>42901</v>
      </c>
      <c r="E7832" s="15" t="s">
        <v>42910</v>
      </c>
      <c r="F7832" s="87" t="s">
        <v>21871</v>
      </c>
      <c r="G7832" s="47" t="s">
        <v>20348</v>
      </c>
      <c r="H7832" s="85" t="s">
        <v>20349</v>
      </c>
      <c r="I7832" s="69" t="s">
        <v>9767</v>
      </c>
    </row>
    <row r="7833" spans="1:9" ht="20.5" customHeight="1" x14ac:dyDescent="0.35">
      <c r="A7833" s="15"/>
      <c r="B7833" s="15" t="str">
        <f>CONCATENATE(G7833,"/",COUNTIF($G$2:G7833,G7833))</f>
        <v>HR-10302/8</v>
      </c>
      <c r="C7833" s="15" t="s">
        <v>42911</v>
      </c>
      <c r="D7833" s="43" t="s">
        <v>42901</v>
      </c>
      <c r="E7833" s="15" t="s">
        <v>42912</v>
      </c>
      <c r="F7833" s="87" t="s">
        <v>21871</v>
      </c>
      <c r="G7833" s="47" t="s">
        <v>20348</v>
      </c>
      <c r="H7833" s="85" t="s">
        <v>20349</v>
      </c>
      <c r="I7833" s="69" t="s">
        <v>9767</v>
      </c>
    </row>
    <row r="7834" spans="1:9" ht="34" customHeight="1" x14ac:dyDescent="0.35">
      <c r="A7834" s="15"/>
      <c r="B7834" s="15" t="str">
        <f>CONCATENATE(G7834,"/",COUNTIF($G$2:G7834,G7834))</f>
        <v>RO-10219/1</v>
      </c>
      <c r="C7834" s="15" t="s">
        <v>42913</v>
      </c>
      <c r="D7834" s="43">
        <v>45027</v>
      </c>
      <c r="E7834" s="15" t="s">
        <v>42914</v>
      </c>
      <c r="F7834" s="87" t="s">
        <v>21871</v>
      </c>
      <c r="G7834" s="47" t="s">
        <v>19944</v>
      </c>
      <c r="H7834" s="76" t="s">
        <v>19945</v>
      </c>
      <c r="I7834" s="21" t="s">
        <v>17638</v>
      </c>
    </row>
    <row r="7835" spans="1:9" ht="36.65" customHeight="1" x14ac:dyDescent="0.35">
      <c r="A7835" s="15"/>
      <c r="B7835" s="15" t="str">
        <f>CONCATENATE(G7835,"/",COUNTIF($G$2:G7835,G7835))</f>
        <v>CZ-10204/1</v>
      </c>
      <c r="C7835" s="15" t="s">
        <v>21892</v>
      </c>
      <c r="D7835" s="43">
        <v>45028</v>
      </c>
      <c r="E7835" s="15" t="s">
        <v>42915</v>
      </c>
      <c r="F7835" s="87" t="s">
        <v>21871</v>
      </c>
      <c r="G7835" s="47" t="s">
        <v>19843</v>
      </c>
      <c r="H7835" s="76" t="s">
        <v>19844</v>
      </c>
      <c r="I7835" s="21" t="s">
        <v>16397</v>
      </c>
    </row>
    <row r="7836" spans="1:9" ht="32.5" customHeight="1" x14ac:dyDescent="0.35">
      <c r="A7836" s="15"/>
      <c r="B7836" s="15" t="str">
        <f>CONCATENATE(G7836,"/",COUNTIF($G$2:G7836,G7836))</f>
        <v>ES-10251/1</v>
      </c>
      <c r="C7836" s="15" t="s">
        <v>42916</v>
      </c>
      <c r="D7836" s="43" t="s">
        <v>42917</v>
      </c>
      <c r="E7836" s="15" t="s">
        <v>42918</v>
      </c>
      <c r="F7836" s="87" t="s">
        <v>21871</v>
      </c>
      <c r="G7836" s="47" t="s">
        <v>20088</v>
      </c>
      <c r="H7836" s="76" t="s">
        <v>20089</v>
      </c>
      <c r="I7836" s="21" t="s">
        <v>17769</v>
      </c>
    </row>
    <row r="7837" spans="1:9" ht="32.5" customHeight="1" x14ac:dyDescent="0.35">
      <c r="A7837" s="15"/>
      <c r="B7837" s="15" t="str">
        <f>CONCATENATE(G7837,"/",COUNTIF($G$2:G7837,G7837))</f>
        <v>ES-10251/2</v>
      </c>
      <c r="C7837" s="15" t="s">
        <v>42919</v>
      </c>
      <c r="D7837" s="43" t="s">
        <v>42917</v>
      </c>
      <c r="E7837" s="15" t="s">
        <v>42920</v>
      </c>
      <c r="F7837" s="87" t="s">
        <v>21871</v>
      </c>
      <c r="G7837" s="47" t="s">
        <v>20088</v>
      </c>
      <c r="H7837" s="76" t="s">
        <v>20089</v>
      </c>
      <c r="I7837" s="21" t="s">
        <v>17769</v>
      </c>
    </row>
    <row r="7838" spans="1:9" ht="34.5" customHeight="1" x14ac:dyDescent="0.35">
      <c r="A7838" s="15"/>
      <c r="B7838" s="15" t="str">
        <f>CONCATENATE(G7838,"/",COUNTIF($G$2:G7838,G7838))</f>
        <v>DK-10313/1</v>
      </c>
      <c r="C7838" s="15" t="s">
        <v>42921</v>
      </c>
      <c r="D7838" s="43" t="s">
        <v>42922</v>
      </c>
      <c r="E7838" s="15" t="s">
        <v>42923</v>
      </c>
      <c r="F7838" s="87" t="s">
        <v>21871</v>
      </c>
      <c r="G7838" s="47" t="s">
        <v>20030</v>
      </c>
      <c r="H7838" s="85" t="s">
        <v>20031</v>
      </c>
      <c r="I7838" s="69" t="s">
        <v>12887</v>
      </c>
    </row>
    <row r="7839" spans="1:9" ht="27" customHeight="1" x14ac:dyDescent="0.35">
      <c r="A7839" s="15"/>
      <c r="B7839" s="15" t="str">
        <f>CONCATENATE(G7839,"/",COUNTIF($G$2:G7839,G7839))</f>
        <v>IT-10167/1</v>
      </c>
      <c r="C7839" s="15" t="s">
        <v>42924</v>
      </c>
      <c r="D7839" s="43" t="s">
        <v>42925</v>
      </c>
      <c r="E7839" s="15" t="s">
        <v>42926</v>
      </c>
      <c r="F7839" s="87" t="s">
        <v>21871</v>
      </c>
      <c r="G7839" s="47" t="s">
        <v>19558</v>
      </c>
      <c r="H7839" s="76" t="s">
        <v>19559</v>
      </c>
      <c r="I7839" s="21" t="s">
        <v>18076</v>
      </c>
    </row>
    <row r="7840" spans="1:9" ht="27" customHeight="1" x14ac:dyDescent="0.35">
      <c r="A7840" s="15"/>
      <c r="B7840" s="15" t="str">
        <f>CONCATENATE(G7840,"/",COUNTIF($G$2:G7840,G7840))</f>
        <v>IT-10167/2</v>
      </c>
      <c r="C7840" s="15" t="s">
        <v>42927</v>
      </c>
      <c r="D7840" s="43" t="s">
        <v>42925</v>
      </c>
      <c r="E7840" s="15" t="s">
        <v>42928</v>
      </c>
      <c r="F7840" s="87" t="s">
        <v>21871</v>
      </c>
      <c r="G7840" s="47" t="s">
        <v>19558</v>
      </c>
      <c r="H7840" s="76" t="s">
        <v>19559</v>
      </c>
      <c r="I7840" s="21" t="s">
        <v>18076</v>
      </c>
    </row>
    <row r="7841" spans="1:9" ht="27" customHeight="1" x14ac:dyDescent="0.35">
      <c r="A7841" s="15"/>
      <c r="B7841" s="15" t="str">
        <f>CONCATENATE(G7841,"/",COUNTIF($G$2:G7841,G7841))</f>
        <v>IT-10167/3</v>
      </c>
      <c r="C7841" s="15" t="s">
        <v>42929</v>
      </c>
      <c r="D7841" s="43" t="s">
        <v>42925</v>
      </c>
      <c r="E7841" s="15" t="s">
        <v>42930</v>
      </c>
      <c r="F7841" s="87" t="s">
        <v>21871</v>
      </c>
      <c r="G7841" s="47" t="s">
        <v>19558</v>
      </c>
      <c r="H7841" s="76" t="s">
        <v>19559</v>
      </c>
      <c r="I7841" s="21" t="s">
        <v>18076</v>
      </c>
    </row>
    <row r="7842" spans="1:9" ht="27" customHeight="1" x14ac:dyDescent="0.35">
      <c r="A7842" s="15"/>
      <c r="B7842" s="15" t="str">
        <f>CONCATENATE(G7842,"/",COUNTIF($G$2:G7842,G7842))</f>
        <v>IT-10167/4</v>
      </c>
      <c r="C7842" s="15" t="s">
        <v>42931</v>
      </c>
      <c r="D7842" s="43" t="s">
        <v>42925</v>
      </c>
      <c r="E7842" s="15" t="s">
        <v>42932</v>
      </c>
      <c r="F7842" s="87" t="s">
        <v>21871</v>
      </c>
      <c r="G7842" s="47" t="s">
        <v>19558</v>
      </c>
      <c r="H7842" s="76" t="s">
        <v>19559</v>
      </c>
      <c r="I7842" s="21" t="s">
        <v>18076</v>
      </c>
    </row>
    <row r="7843" spans="1:9" ht="27" customHeight="1" x14ac:dyDescent="0.35">
      <c r="A7843" s="15"/>
      <c r="B7843" s="15" t="str">
        <f>CONCATENATE(G7843,"/",COUNTIF($G$2:G7843,G7843))</f>
        <v>IT-10167/5</v>
      </c>
      <c r="C7843" s="15" t="s">
        <v>42933</v>
      </c>
      <c r="D7843" s="43" t="s">
        <v>42925</v>
      </c>
      <c r="E7843" s="15" t="s">
        <v>42934</v>
      </c>
      <c r="F7843" s="87" t="s">
        <v>21871</v>
      </c>
      <c r="G7843" s="47" t="s">
        <v>19558</v>
      </c>
      <c r="H7843" s="76" t="s">
        <v>19559</v>
      </c>
      <c r="I7843" s="21" t="s">
        <v>18076</v>
      </c>
    </row>
    <row r="7844" spans="1:9" ht="27" customHeight="1" x14ac:dyDescent="0.35">
      <c r="A7844" s="15"/>
      <c r="B7844" s="15" t="str">
        <f>CONCATENATE(G7844,"/",COUNTIF($G$2:G7844,G7844))</f>
        <v>IT-10167/6</v>
      </c>
      <c r="C7844" s="15" t="s">
        <v>42935</v>
      </c>
      <c r="D7844" s="43" t="s">
        <v>42925</v>
      </c>
      <c r="E7844" s="15" t="s">
        <v>42936</v>
      </c>
      <c r="F7844" s="87" t="s">
        <v>21871</v>
      </c>
      <c r="G7844" s="47" t="s">
        <v>19558</v>
      </c>
      <c r="H7844" s="76" t="s">
        <v>19559</v>
      </c>
      <c r="I7844" s="21" t="s">
        <v>18076</v>
      </c>
    </row>
    <row r="7845" spans="1:9" ht="25.5" customHeight="1" x14ac:dyDescent="0.35">
      <c r="A7845" s="15"/>
      <c r="B7845" s="15" t="str">
        <f>CONCATENATE(G7845,"/",COUNTIF($G$2:G7845,G7845))</f>
        <v>IT-10073/1</v>
      </c>
      <c r="C7845" s="15" t="s">
        <v>42937</v>
      </c>
      <c r="D7845" s="43" t="s">
        <v>42938</v>
      </c>
      <c r="E7845" s="15" t="s">
        <v>42939</v>
      </c>
      <c r="F7845" s="87" t="s">
        <v>21871</v>
      </c>
      <c r="G7845" s="47" t="s">
        <v>18657</v>
      </c>
      <c r="H7845" s="76" t="s">
        <v>18658</v>
      </c>
      <c r="I7845" s="21" t="s">
        <v>18076</v>
      </c>
    </row>
    <row r="7846" spans="1:9" ht="25.5" customHeight="1" x14ac:dyDescent="0.35">
      <c r="A7846" s="15"/>
      <c r="B7846" s="15" t="str">
        <f>CONCATENATE(G7846,"/",COUNTIF($G$2:G7846,G7846))</f>
        <v>IT-10073/2</v>
      </c>
      <c r="C7846" s="15" t="s">
        <v>42940</v>
      </c>
      <c r="D7846" s="43" t="s">
        <v>42938</v>
      </c>
      <c r="E7846" s="15" t="s">
        <v>42941</v>
      </c>
      <c r="F7846" s="87" t="s">
        <v>21871</v>
      </c>
      <c r="G7846" s="47" t="s">
        <v>18657</v>
      </c>
      <c r="H7846" s="76" t="s">
        <v>18658</v>
      </c>
      <c r="I7846" s="21" t="s">
        <v>18076</v>
      </c>
    </row>
    <row r="7847" spans="1:9" ht="25.5" customHeight="1" x14ac:dyDescent="0.35">
      <c r="A7847" s="15"/>
      <c r="B7847" s="15" t="str">
        <f>CONCATENATE(G7847,"/",COUNTIF($G$2:G7847,G7847))</f>
        <v>IT-10073/3</v>
      </c>
      <c r="C7847" s="15" t="s">
        <v>42942</v>
      </c>
      <c r="D7847" s="43" t="s">
        <v>42938</v>
      </c>
      <c r="E7847" s="15" t="s">
        <v>42943</v>
      </c>
      <c r="F7847" s="87" t="s">
        <v>21871</v>
      </c>
      <c r="G7847" s="47" t="s">
        <v>18657</v>
      </c>
      <c r="H7847" s="76" t="s">
        <v>18658</v>
      </c>
      <c r="I7847" s="21" t="s">
        <v>18076</v>
      </c>
    </row>
    <row r="7848" spans="1:9" ht="25.5" customHeight="1" x14ac:dyDescent="0.35">
      <c r="A7848" s="15"/>
      <c r="B7848" s="15" t="str">
        <f>CONCATENATE(G7848,"/",COUNTIF($G$2:G7848,G7848))</f>
        <v>IT-10073/4</v>
      </c>
      <c r="C7848" s="15" t="s">
        <v>42944</v>
      </c>
      <c r="D7848" s="43" t="s">
        <v>42938</v>
      </c>
      <c r="E7848" s="15" t="s">
        <v>42945</v>
      </c>
      <c r="F7848" s="87" t="s">
        <v>21871</v>
      </c>
      <c r="G7848" s="47" t="s">
        <v>18657</v>
      </c>
      <c r="H7848" s="76" t="s">
        <v>18658</v>
      </c>
      <c r="I7848" s="21" t="s">
        <v>18076</v>
      </c>
    </row>
    <row r="7849" spans="1:9" ht="25.5" customHeight="1" x14ac:dyDescent="0.35">
      <c r="A7849" s="15"/>
      <c r="B7849" s="15" t="str">
        <f>CONCATENATE(G7849,"/",COUNTIF($G$2:G7849,G7849))</f>
        <v>IT-10073/5</v>
      </c>
      <c r="C7849" s="15" t="s">
        <v>42946</v>
      </c>
      <c r="D7849" s="43" t="s">
        <v>42938</v>
      </c>
      <c r="E7849" s="15" t="s">
        <v>42947</v>
      </c>
      <c r="F7849" s="87" t="s">
        <v>21871</v>
      </c>
      <c r="G7849" s="47" t="s">
        <v>18657</v>
      </c>
      <c r="H7849" s="76" t="s">
        <v>18658</v>
      </c>
      <c r="I7849" s="21" t="s">
        <v>18076</v>
      </c>
    </row>
    <row r="7850" spans="1:9" ht="25.5" customHeight="1" x14ac:dyDescent="0.35">
      <c r="A7850" s="15"/>
      <c r="B7850" s="15" t="str">
        <f>CONCATENATE(G7850,"/",COUNTIF($G$2:G7850,G7850))</f>
        <v>IT-10073/6</v>
      </c>
      <c r="C7850" s="15" t="s">
        <v>42948</v>
      </c>
      <c r="D7850" s="43" t="s">
        <v>42938</v>
      </c>
      <c r="E7850" s="15" t="s">
        <v>42949</v>
      </c>
      <c r="F7850" s="87" t="s">
        <v>21871</v>
      </c>
      <c r="G7850" s="47" t="s">
        <v>18657</v>
      </c>
      <c r="H7850" s="76" t="s">
        <v>18658</v>
      </c>
      <c r="I7850" s="21" t="s">
        <v>18076</v>
      </c>
    </row>
    <row r="7851" spans="1:9" ht="25.5" customHeight="1" x14ac:dyDescent="0.35">
      <c r="A7851" s="15"/>
      <c r="B7851" s="15" t="str">
        <f>CONCATENATE(G7851,"/",COUNTIF($G$2:G7851,G7851))</f>
        <v>IT-10073/7</v>
      </c>
      <c r="C7851" s="15" t="s">
        <v>42950</v>
      </c>
      <c r="D7851" s="43" t="s">
        <v>42938</v>
      </c>
      <c r="E7851" s="15" t="s">
        <v>42951</v>
      </c>
      <c r="F7851" s="87" t="s">
        <v>21871</v>
      </c>
      <c r="G7851" s="47" t="s">
        <v>18657</v>
      </c>
      <c r="H7851" s="76" t="s">
        <v>18658</v>
      </c>
      <c r="I7851" s="21" t="s">
        <v>18076</v>
      </c>
    </row>
    <row r="7852" spans="1:9" ht="25.5" customHeight="1" x14ac:dyDescent="0.35">
      <c r="A7852" s="15"/>
      <c r="B7852" s="15" t="str">
        <f>CONCATENATE(G7852,"/",COUNTIF($G$2:G7852,G7852))</f>
        <v>IT-10073/8</v>
      </c>
      <c r="C7852" s="15" t="s">
        <v>42952</v>
      </c>
      <c r="D7852" s="43" t="s">
        <v>42938</v>
      </c>
      <c r="E7852" s="15" t="s">
        <v>42953</v>
      </c>
      <c r="F7852" s="87" t="s">
        <v>21871</v>
      </c>
      <c r="G7852" s="47" t="s">
        <v>18657</v>
      </c>
      <c r="H7852" s="76" t="s">
        <v>18658</v>
      </c>
      <c r="I7852" s="21" t="s">
        <v>18076</v>
      </c>
    </row>
    <row r="7853" spans="1:9" ht="27" customHeight="1" x14ac:dyDescent="0.35">
      <c r="A7853" s="15"/>
      <c r="B7853" s="15" t="str">
        <f>CONCATENATE(G7853,"/",COUNTIF($G$2:G7853,G7853))</f>
        <v>BG-10353/1</v>
      </c>
      <c r="C7853" s="15" t="s">
        <v>42954</v>
      </c>
      <c r="D7853" s="43" t="s">
        <v>42955</v>
      </c>
      <c r="E7853" s="15" t="s">
        <v>42956</v>
      </c>
      <c r="F7853" s="87" t="s">
        <v>21871</v>
      </c>
      <c r="G7853" s="47" t="s">
        <v>20662</v>
      </c>
      <c r="H7853" s="85" t="s">
        <v>20663</v>
      </c>
      <c r="I7853" s="69" t="s">
        <v>17728</v>
      </c>
    </row>
    <row r="7854" spans="1:9" ht="27" customHeight="1" x14ac:dyDescent="0.35">
      <c r="A7854" s="15"/>
      <c r="B7854" s="15" t="str">
        <f>CONCATENATE(G7854,"/",COUNTIF($G$2:G7854,G7854))</f>
        <v>BG-10353/2</v>
      </c>
      <c r="C7854" s="15" t="s">
        <v>42957</v>
      </c>
      <c r="D7854" s="43" t="s">
        <v>42955</v>
      </c>
      <c r="E7854" s="15" t="s">
        <v>42958</v>
      </c>
      <c r="F7854" s="87" t="s">
        <v>21871</v>
      </c>
      <c r="G7854" s="47" t="s">
        <v>20662</v>
      </c>
      <c r="H7854" s="85" t="s">
        <v>20663</v>
      </c>
      <c r="I7854" s="69" t="s">
        <v>17728</v>
      </c>
    </row>
    <row r="7855" spans="1:9" ht="27" customHeight="1" x14ac:dyDescent="0.35">
      <c r="A7855" s="15"/>
      <c r="B7855" s="15" t="str">
        <f>CONCATENATE(G7855,"/",COUNTIF($G$2:G7855,G7855))</f>
        <v>BG-10353/3</v>
      </c>
      <c r="C7855" s="15" t="s">
        <v>42959</v>
      </c>
      <c r="D7855" s="43" t="s">
        <v>42955</v>
      </c>
      <c r="E7855" s="15" t="s">
        <v>42960</v>
      </c>
      <c r="F7855" s="87" t="s">
        <v>21871</v>
      </c>
      <c r="G7855" s="47" t="s">
        <v>20662</v>
      </c>
      <c r="H7855" s="85" t="s">
        <v>20663</v>
      </c>
      <c r="I7855" s="69" t="s">
        <v>17728</v>
      </c>
    </row>
    <row r="7856" spans="1:9" ht="27" customHeight="1" x14ac:dyDescent="0.35">
      <c r="A7856" s="15"/>
      <c r="B7856" s="15" t="str">
        <f>CONCATENATE(G7856,"/",COUNTIF($G$2:G7856,G7856))</f>
        <v>BG-10353/4</v>
      </c>
      <c r="C7856" s="15" t="s">
        <v>42961</v>
      </c>
      <c r="D7856" s="43" t="s">
        <v>42955</v>
      </c>
      <c r="E7856" s="15" t="s">
        <v>42962</v>
      </c>
      <c r="F7856" s="87" t="s">
        <v>21871</v>
      </c>
      <c r="G7856" s="47" t="s">
        <v>20662</v>
      </c>
      <c r="H7856" s="85" t="s">
        <v>20663</v>
      </c>
      <c r="I7856" s="69" t="s">
        <v>17728</v>
      </c>
    </row>
    <row r="7857" spans="1:9" ht="27" customHeight="1" x14ac:dyDescent="0.35">
      <c r="A7857" s="15"/>
      <c r="B7857" s="15" t="str">
        <f>CONCATENATE(G7857,"/",COUNTIF($G$2:G7857,G7857))</f>
        <v>BG-10353/5</v>
      </c>
      <c r="C7857" s="15" t="s">
        <v>42963</v>
      </c>
      <c r="D7857" s="43" t="s">
        <v>42955</v>
      </c>
      <c r="E7857" s="15" t="s">
        <v>42964</v>
      </c>
      <c r="F7857" s="87" t="s">
        <v>21871</v>
      </c>
      <c r="G7857" s="47" t="s">
        <v>20662</v>
      </c>
      <c r="H7857" s="85" t="s">
        <v>20663</v>
      </c>
      <c r="I7857" s="69" t="s">
        <v>17728</v>
      </c>
    </row>
    <row r="7858" spans="1:9" ht="27" customHeight="1" x14ac:dyDescent="0.35">
      <c r="A7858" s="15"/>
      <c r="B7858" s="15" t="str">
        <f>CONCATENATE(G7858,"/",COUNTIF($G$2:G7858,G7858))</f>
        <v>BG-10353/6</v>
      </c>
      <c r="C7858" s="15" t="s">
        <v>42965</v>
      </c>
      <c r="D7858" s="43" t="s">
        <v>42955</v>
      </c>
      <c r="E7858" s="15" t="s">
        <v>42966</v>
      </c>
      <c r="F7858" s="87" t="s">
        <v>21871</v>
      </c>
      <c r="G7858" s="47" t="s">
        <v>20662</v>
      </c>
      <c r="H7858" s="85" t="s">
        <v>20663</v>
      </c>
      <c r="I7858" s="69" t="s">
        <v>17728</v>
      </c>
    </row>
    <row r="7859" spans="1:9" ht="27" customHeight="1" x14ac:dyDescent="0.35">
      <c r="A7859" s="15"/>
      <c r="B7859" s="15" t="str">
        <f>CONCATENATE(G7859,"/",COUNTIF($G$2:G7859,G7859))</f>
        <v>BG-10353/7</v>
      </c>
      <c r="C7859" s="15" t="s">
        <v>42967</v>
      </c>
      <c r="D7859" s="43" t="s">
        <v>42955</v>
      </c>
      <c r="E7859" s="15" t="s">
        <v>42968</v>
      </c>
      <c r="F7859" s="87" t="s">
        <v>21871</v>
      </c>
      <c r="G7859" s="47" t="s">
        <v>20662</v>
      </c>
      <c r="H7859" s="85" t="s">
        <v>20663</v>
      </c>
      <c r="I7859" s="69" t="s">
        <v>17728</v>
      </c>
    </row>
    <row r="7860" spans="1:9" ht="27" customHeight="1" x14ac:dyDescent="0.35">
      <c r="A7860" s="15"/>
      <c r="B7860" s="15" t="str">
        <f>CONCATENATE(G7860,"/",COUNTIF($G$2:G7860,G7860))</f>
        <v>BG-10353/8</v>
      </c>
      <c r="C7860" s="15" t="s">
        <v>42969</v>
      </c>
      <c r="D7860" s="43" t="s">
        <v>42955</v>
      </c>
      <c r="E7860" s="15" t="s">
        <v>42970</v>
      </c>
      <c r="F7860" s="87" t="s">
        <v>21871</v>
      </c>
      <c r="G7860" s="47" t="s">
        <v>20662</v>
      </c>
      <c r="H7860" s="85" t="s">
        <v>20663</v>
      </c>
      <c r="I7860" s="69" t="s">
        <v>17728</v>
      </c>
    </row>
    <row r="7861" spans="1:9" ht="33.65" customHeight="1" x14ac:dyDescent="0.35">
      <c r="A7861" s="15"/>
      <c r="B7861" s="15" t="str">
        <f>CONCATENATE(G7861,"/",COUNTIF($G$2:G7861,G7861))</f>
        <v>CZ-10318/1</v>
      </c>
      <c r="C7861" s="15" t="s">
        <v>21892</v>
      </c>
      <c r="D7861" s="43">
        <v>45084</v>
      </c>
      <c r="E7861" s="15" t="s">
        <v>42971</v>
      </c>
      <c r="F7861" s="87" t="s">
        <v>21871</v>
      </c>
      <c r="G7861" s="47" t="s">
        <v>20413</v>
      </c>
      <c r="H7861" s="85" t="s">
        <v>20414</v>
      </c>
      <c r="I7861" s="69" t="s">
        <v>16397</v>
      </c>
    </row>
    <row r="7862" spans="1:9" ht="33.65" customHeight="1" x14ac:dyDescent="0.35">
      <c r="A7862" s="15"/>
      <c r="B7862" s="15" t="str">
        <f>CONCATENATE(G7862,"/",COUNTIF($G$2:G7862,G7862))</f>
        <v>CZ-10326/1</v>
      </c>
      <c r="C7862" s="15" t="s">
        <v>21892</v>
      </c>
      <c r="D7862" s="43">
        <v>45085</v>
      </c>
      <c r="E7862" s="15" t="s">
        <v>42972</v>
      </c>
      <c r="F7862" s="87" t="s">
        <v>21871</v>
      </c>
      <c r="G7862" s="47" t="s">
        <v>20448</v>
      </c>
      <c r="H7862" s="85" t="s">
        <v>20449</v>
      </c>
      <c r="I7862" s="69" t="s">
        <v>16397</v>
      </c>
    </row>
    <row r="7863" spans="1:9" ht="33.65" customHeight="1" x14ac:dyDescent="0.35">
      <c r="A7863" s="15"/>
      <c r="B7863" s="15" t="str">
        <f>CONCATENATE(G7863,"/",COUNTIF($G$2:G7863,G7863))</f>
        <v>CZ-10326/2</v>
      </c>
      <c r="C7863" s="15" t="s">
        <v>21896</v>
      </c>
      <c r="D7863" s="43">
        <v>45085</v>
      </c>
      <c r="E7863" s="15" t="s">
        <v>42973</v>
      </c>
      <c r="F7863" s="87" t="s">
        <v>21871</v>
      </c>
      <c r="G7863" s="47" t="s">
        <v>20448</v>
      </c>
      <c r="H7863" s="85" t="s">
        <v>20449</v>
      </c>
      <c r="I7863" s="69" t="s">
        <v>16397</v>
      </c>
    </row>
    <row r="7864" spans="1:9" ht="30.65" customHeight="1" x14ac:dyDescent="0.35">
      <c r="A7864" s="15"/>
      <c r="B7864" s="15" t="str">
        <f>CONCATENATE(G7864,"/",COUNTIF($G$2:G7864,G7864))</f>
        <v>ES-10252/1</v>
      </c>
      <c r="C7864" s="15" t="s">
        <v>42974</v>
      </c>
      <c r="D7864" s="15" t="s">
        <v>42975</v>
      </c>
      <c r="E7864" s="15" t="s">
        <v>42976</v>
      </c>
      <c r="F7864" s="87" t="s">
        <v>21871</v>
      </c>
      <c r="G7864" s="47" t="s">
        <v>20045</v>
      </c>
      <c r="H7864" s="76" t="s">
        <v>20046</v>
      </c>
      <c r="I7864" s="21" t="s">
        <v>17769</v>
      </c>
    </row>
    <row r="7865" spans="1:9" ht="30.65" customHeight="1" x14ac:dyDescent="0.35">
      <c r="A7865" s="15"/>
      <c r="B7865" s="15" t="str">
        <f>CONCATENATE(G7865,"/",COUNTIF($G$2:G7865,G7865))</f>
        <v>ES-10252/2</v>
      </c>
      <c r="C7865" s="15" t="s">
        <v>42977</v>
      </c>
      <c r="D7865" s="15" t="s">
        <v>42975</v>
      </c>
      <c r="E7865" s="15" t="s">
        <v>42978</v>
      </c>
      <c r="F7865" s="87" t="s">
        <v>21871</v>
      </c>
      <c r="G7865" s="47" t="s">
        <v>20045</v>
      </c>
      <c r="H7865" s="76" t="s">
        <v>20046</v>
      </c>
      <c r="I7865" s="21" t="s">
        <v>17769</v>
      </c>
    </row>
    <row r="7866" spans="1:9" ht="30.65" customHeight="1" x14ac:dyDescent="0.35">
      <c r="A7866" s="15"/>
      <c r="B7866" s="15" t="str">
        <f>CONCATENATE(G7866,"/",COUNTIF($G$2:G7866,G7866))</f>
        <v>ES-10252/3</v>
      </c>
      <c r="C7866" s="15" t="s">
        <v>42979</v>
      </c>
      <c r="D7866" s="15" t="s">
        <v>42975</v>
      </c>
      <c r="E7866" s="15" t="s">
        <v>42980</v>
      </c>
      <c r="F7866" s="87" t="s">
        <v>21871</v>
      </c>
      <c r="G7866" s="47" t="s">
        <v>20045</v>
      </c>
      <c r="H7866" s="76" t="s">
        <v>20046</v>
      </c>
      <c r="I7866" s="21" t="s">
        <v>17769</v>
      </c>
    </row>
    <row r="7867" spans="1:9" ht="30.65" customHeight="1" x14ac:dyDescent="0.35">
      <c r="A7867" s="15"/>
      <c r="B7867" s="15" t="str">
        <f>CONCATENATE(G7867,"/",COUNTIF($G$2:G7867,G7867))</f>
        <v>ES-10252/4</v>
      </c>
      <c r="C7867" s="15" t="s">
        <v>42981</v>
      </c>
      <c r="D7867" s="15" t="s">
        <v>42975</v>
      </c>
      <c r="E7867" s="15" t="s">
        <v>42982</v>
      </c>
      <c r="F7867" s="87" t="s">
        <v>21871</v>
      </c>
      <c r="G7867" s="47" t="s">
        <v>20045</v>
      </c>
      <c r="H7867" s="76" t="s">
        <v>20046</v>
      </c>
      <c r="I7867" s="21" t="s">
        <v>17769</v>
      </c>
    </row>
    <row r="7868" spans="1:9" ht="30.65" customHeight="1" x14ac:dyDescent="0.35">
      <c r="A7868" s="15"/>
      <c r="B7868" s="15" t="str">
        <f>CONCATENATE(G7868,"/",COUNTIF($G$2:G7868,G7868))</f>
        <v>ES-10252/5</v>
      </c>
      <c r="C7868" s="15" t="s">
        <v>42983</v>
      </c>
      <c r="D7868" s="15" t="s">
        <v>42975</v>
      </c>
      <c r="E7868" s="15" t="s">
        <v>42984</v>
      </c>
      <c r="F7868" s="87" t="s">
        <v>21871</v>
      </c>
      <c r="G7868" s="47" t="s">
        <v>20045</v>
      </c>
      <c r="H7868" s="76" t="s">
        <v>20046</v>
      </c>
      <c r="I7868" s="21" t="s">
        <v>17769</v>
      </c>
    </row>
    <row r="7869" spans="1:9" ht="30.65" customHeight="1" x14ac:dyDescent="0.35">
      <c r="A7869" s="15"/>
      <c r="B7869" s="15" t="str">
        <f>CONCATENATE(G7869,"/",COUNTIF($G$2:G7869,G7869))</f>
        <v>ES-10252/6</v>
      </c>
      <c r="C7869" s="15" t="s">
        <v>42985</v>
      </c>
      <c r="D7869" s="15" t="s">
        <v>42975</v>
      </c>
      <c r="E7869" s="15" t="s">
        <v>42986</v>
      </c>
      <c r="F7869" s="87" t="s">
        <v>21871</v>
      </c>
      <c r="G7869" s="47" t="s">
        <v>20045</v>
      </c>
      <c r="H7869" s="76" t="s">
        <v>20046</v>
      </c>
      <c r="I7869" s="21" t="s">
        <v>17769</v>
      </c>
    </row>
    <row r="7870" spans="1:9" ht="30" customHeight="1" x14ac:dyDescent="0.35">
      <c r="A7870" s="15"/>
      <c r="B7870" s="15" t="str">
        <f>CONCATENATE(G7870,"/",COUNTIF($G$2:G7870,G7870))</f>
        <v>ES-10382/1</v>
      </c>
      <c r="C7870" s="15" t="s">
        <v>42987</v>
      </c>
      <c r="D7870" s="15" t="s">
        <v>42975</v>
      </c>
      <c r="E7870" s="15" t="s">
        <v>42988</v>
      </c>
      <c r="F7870" s="87" t="s">
        <v>21871</v>
      </c>
      <c r="G7870" s="47" t="s">
        <v>20492</v>
      </c>
      <c r="H7870" s="85" t="s">
        <v>20493</v>
      </c>
      <c r="I7870" s="69" t="s">
        <v>17769</v>
      </c>
    </row>
    <row r="7871" spans="1:9" ht="30" customHeight="1" x14ac:dyDescent="0.35">
      <c r="A7871" s="15"/>
      <c r="B7871" s="15" t="str">
        <f>CONCATENATE(G7871,"/",COUNTIF($G$2:G7871,G7871))</f>
        <v>ES-10382/2</v>
      </c>
      <c r="C7871" s="15" t="s">
        <v>42989</v>
      </c>
      <c r="D7871" s="15" t="s">
        <v>42975</v>
      </c>
      <c r="E7871" s="15" t="s">
        <v>42990</v>
      </c>
      <c r="F7871" s="87" t="s">
        <v>21871</v>
      </c>
      <c r="G7871" s="47" t="s">
        <v>20492</v>
      </c>
      <c r="H7871" s="85" t="s">
        <v>20493</v>
      </c>
      <c r="I7871" s="69" t="s">
        <v>17769</v>
      </c>
    </row>
    <row r="7872" spans="1:9" ht="37" customHeight="1" x14ac:dyDescent="0.35">
      <c r="A7872" s="15"/>
      <c r="B7872" s="15" t="str">
        <f>CONCATENATE(G7872,"/",COUNTIF($G$2:G7872,G7872))</f>
        <v>HR-10214/1</v>
      </c>
      <c r="C7872" s="15" t="s">
        <v>42991</v>
      </c>
      <c r="D7872" s="15" t="s">
        <v>42992</v>
      </c>
      <c r="E7872" s="15" t="s">
        <v>42993</v>
      </c>
      <c r="F7872" s="87" t="s">
        <v>21871</v>
      </c>
      <c r="G7872" s="47" t="s">
        <v>19889</v>
      </c>
      <c r="H7872" s="76" t="s">
        <v>19890</v>
      </c>
      <c r="I7872" s="21" t="s">
        <v>9767</v>
      </c>
    </row>
    <row r="7873" spans="1:9" ht="37" customHeight="1" x14ac:dyDescent="0.35">
      <c r="A7873" s="15"/>
      <c r="B7873" s="15" t="str">
        <f>CONCATENATE(G7873,"/",COUNTIF($G$2:G7873,G7873))</f>
        <v>HR-10214/2</v>
      </c>
      <c r="C7873" s="15" t="s">
        <v>42994</v>
      </c>
      <c r="D7873" s="15" t="s">
        <v>42992</v>
      </c>
      <c r="E7873" s="15" t="s">
        <v>42995</v>
      </c>
      <c r="F7873" s="87" t="s">
        <v>21871</v>
      </c>
      <c r="G7873" s="47" t="s">
        <v>19889</v>
      </c>
      <c r="H7873" s="76" t="s">
        <v>19890</v>
      </c>
      <c r="I7873" s="21" t="s">
        <v>9767</v>
      </c>
    </row>
    <row r="7874" spans="1:9" ht="50.5" customHeight="1" x14ac:dyDescent="0.35">
      <c r="A7874" s="15"/>
      <c r="B7874" s="15" t="str">
        <f>CONCATENATE(G7874,"/",COUNTIF($G$2:G7874,G7874))</f>
        <v>RO-10238/1</v>
      </c>
      <c r="C7874" s="15" t="s">
        <v>42996</v>
      </c>
      <c r="D7874" s="15" t="s">
        <v>42997</v>
      </c>
      <c r="E7874" s="15" t="s">
        <v>42998</v>
      </c>
      <c r="F7874" s="87" t="s">
        <v>21871</v>
      </c>
      <c r="G7874" s="47" t="s">
        <v>20096</v>
      </c>
      <c r="H7874" s="76" t="s">
        <v>20097</v>
      </c>
      <c r="I7874" s="21" t="s">
        <v>17638</v>
      </c>
    </row>
    <row r="7875" spans="1:9" ht="35.15" customHeight="1" x14ac:dyDescent="0.35">
      <c r="A7875" s="15"/>
      <c r="B7875" s="15" t="str">
        <f>CONCATENATE(G7875,"/",COUNTIF($G$2:G7875,G7875))</f>
        <v>NO-10107/1</v>
      </c>
      <c r="C7875" s="15" t="s">
        <v>42999</v>
      </c>
      <c r="D7875" s="28">
        <v>45070</v>
      </c>
      <c r="E7875" s="15" t="s">
        <v>43000</v>
      </c>
      <c r="F7875" s="87" t="s">
        <v>21871</v>
      </c>
      <c r="G7875" s="47" t="s">
        <v>19113</v>
      </c>
      <c r="H7875" s="54" t="s">
        <v>19114</v>
      </c>
      <c r="I7875" s="5" t="s">
        <v>17305</v>
      </c>
    </row>
    <row r="7876" spans="1:9" ht="35.15" customHeight="1" x14ac:dyDescent="0.35">
      <c r="A7876" s="15"/>
      <c r="B7876" s="15" t="str">
        <f>CONCATENATE(G7876,"/",COUNTIF($G$2:G7876,G7876))</f>
        <v>NO-10107/2</v>
      </c>
      <c r="C7876" s="15" t="s">
        <v>42999</v>
      </c>
      <c r="D7876" s="28">
        <v>45070</v>
      </c>
      <c r="E7876" s="15" t="s">
        <v>43000</v>
      </c>
      <c r="F7876" s="87" t="s">
        <v>21871</v>
      </c>
      <c r="G7876" s="47" t="s">
        <v>19113</v>
      </c>
      <c r="H7876" s="54" t="s">
        <v>19114</v>
      </c>
      <c r="I7876" s="5" t="s">
        <v>17305</v>
      </c>
    </row>
    <row r="7877" spans="1:9" ht="35.15" customHeight="1" x14ac:dyDescent="0.35">
      <c r="A7877" s="15"/>
      <c r="B7877" s="15" t="str">
        <f>CONCATENATE(G7877,"/",COUNTIF($G$2:G7877,G7877))</f>
        <v>NO-10107/3</v>
      </c>
      <c r="C7877" s="15" t="s">
        <v>43001</v>
      </c>
      <c r="D7877" s="28">
        <v>45070</v>
      </c>
      <c r="E7877" s="15" t="s">
        <v>43002</v>
      </c>
      <c r="F7877" s="87" t="s">
        <v>21871</v>
      </c>
      <c r="G7877" s="47" t="s">
        <v>19113</v>
      </c>
      <c r="H7877" s="54" t="s">
        <v>19114</v>
      </c>
      <c r="I7877" s="5" t="s">
        <v>17305</v>
      </c>
    </row>
    <row r="7878" spans="1:9" ht="34.5" customHeight="1" x14ac:dyDescent="0.35">
      <c r="A7878" s="15"/>
      <c r="B7878" s="15" t="str">
        <f>CONCATENATE(G7878,"/",COUNTIF($G$2:G7878,G7878))</f>
        <v>CZ-10245/1</v>
      </c>
      <c r="C7878" s="15" t="s">
        <v>21892</v>
      </c>
      <c r="D7878" s="28">
        <v>45093</v>
      </c>
      <c r="E7878" s="15" t="s">
        <v>43003</v>
      </c>
      <c r="F7878" s="87" t="s">
        <v>21871</v>
      </c>
      <c r="G7878" s="47" t="s">
        <v>20136</v>
      </c>
      <c r="H7878" s="76" t="s">
        <v>20137</v>
      </c>
      <c r="I7878" s="21" t="s">
        <v>16397</v>
      </c>
    </row>
    <row r="7879" spans="1:9" ht="36" customHeight="1" x14ac:dyDescent="0.35">
      <c r="A7879" s="15"/>
      <c r="B7879" s="15" t="str">
        <f>CONCATENATE(G7879,"/",COUNTIF($G$2:G7879,G7879))</f>
        <v>CZ-10237/1</v>
      </c>
      <c r="C7879" s="15" t="s">
        <v>21892</v>
      </c>
      <c r="D7879" s="28">
        <v>45100</v>
      </c>
      <c r="E7879" s="15" t="s">
        <v>43004</v>
      </c>
      <c r="F7879" s="87" t="s">
        <v>21871</v>
      </c>
      <c r="G7879" s="47" t="s">
        <v>20083</v>
      </c>
      <c r="H7879" s="76" t="s">
        <v>20084</v>
      </c>
      <c r="I7879" s="21" t="s">
        <v>16397</v>
      </c>
    </row>
    <row r="7880" spans="1:9" ht="36" customHeight="1" x14ac:dyDescent="0.35">
      <c r="A7880" s="15"/>
      <c r="B7880" s="15" t="str">
        <f>CONCATENATE(G7880,"/",COUNTIF($G$2:G7880,G7880))</f>
        <v>CZ-10237/2</v>
      </c>
      <c r="C7880" s="15" t="s">
        <v>21896</v>
      </c>
      <c r="D7880" s="28">
        <v>45100</v>
      </c>
      <c r="E7880" s="15" t="s">
        <v>43005</v>
      </c>
      <c r="F7880" s="87" t="s">
        <v>21871</v>
      </c>
      <c r="G7880" s="47" t="s">
        <v>20083</v>
      </c>
      <c r="H7880" s="76" t="s">
        <v>20084</v>
      </c>
      <c r="I7880" s="21" t="s">
        <v>16397</v>
      </c>
    </row>
    <row r="7881" spans="1:9" ht="32.15" customHeight="1" x14ac:dyDescent="0.35">
      <c r="A7881" s="15"/>
      <c r="B7881" s="15" t="str">
        <f>CONCATENATE(G7881,"/",COUNTIF($G$2:G7881,G7881))</f>
        <v>CZ-10229/1</v>
      </c>
      <c r="C7881" s="15">
        <v>1</v>
      </c>
      <c r="D7881" s="28">
        <v>45100</v>
      </c>
      <c r="E7881" s="15" t="s">
        <v>43006</v>
      </c>
      <c r="F7881" s="87" t="s">
        <v>21871</v>
      </c>
      <c r="G7881" s="47" t="s">
        <v>19997</v>
      </c>
      <c r="H7881" s="76" t="s">
        <v>19998</v>
      </c>
      <c r="I7881" s="21" t="s">
        <v>16397</v>
      </c>
    </row>
    <row r="7882" spans="1:9" ht="31" customHeight="1" x14ac:dyDescent="0.35">
      <c r="A7882" s="15"/>
      <c r="B7882" s="15" t="str">
        <f>CONCATENATE(G7882,"/",COUNTIF($G$2:G7882,G7882))</f>
        <v>ES-10367/1</v>
      </c>
      <c r="C7882" s="15" t="s">
        <v>43007</v>
      </c>
      <c r="D7882" s="28">
        <v>45099</v>
      </c>
      <c r="E7882" s="15" t="s">
        <v>43008</v>
      </c>
      <c r="F7882" s="87" t="s">
        <v>21871</v>
      </c>
      <c r="G7882" s="47" t="s">
        <v>20631</v>
      </c>
      <c r="H7882" s="85" t="s">
        <v>20632</v>
      </c>
      <c r="I7882" s="69" t="s">
        <v>17769</v>
      </c>
    </row>
    <row r="7883" spans="1:9" ht="31" customHeight="1" x14ac:dyDescent="0.35">
      <c r="A7883" s="15"/>
      <c r="B7883" s="15" t="str">
        <f>CONCATENATE(G7883,"/",COUNTIF($G$2:G7883,G7883))</f>
        <v>ES-10367/2</v>
      </c>
      <c r="C7883" s="15" t="s">
        <v>43009</v>
      </c>
      <c r="D7883" s="28">
        <v>45099</v>
      </c>
      <c r="E7883" s="15" t="s">
        <v>43010</v>
      </c>
      <c r="F7883" s="87" t="s">
        <v>21871</v>
      </c>
      <c r="G7883" s="47" t="s">
        <v>20631</v>
      </c>
      <c r="H7883" s="85" t="s">
        <v>20632</v>
      </c>
      <c r="I7883" s="69" t="s">
        <v>17769</v>
      </c>
    </row>
    <row r="7884" spans="1:9" ht="31" customHeight="1" x14ac:dyDescent="0.35">
      <c r="A7884" s="15"/>
      <c r="B7884" s="15" t="str">
        <f>CONCATENATE(G7884,"/",COUNTIF($G$2:G7884,G7884))</f>
        <v>PL-10248/1</v>
      </c>
      <c r="C7884" s="15" t="s">
        <v>43011</v>
      </c>
      <c r="D7884" s="28">
        <v>45082</v>
      </c>
      <c r="E7884" s="15" t="s">
        <v>43012</v>
      </c>
      <c r="F7884" s="87" t="s">
        <v>21871</v>
      </c>
      <c r="G7884" s="47" t="s">
        <v>20117</v>
      </c>
      <c r="H7884" s="76" t="s">
        <v>20118</v>
      </c>
      <c r="I7884" s="21" t="s">
        <v>17018</v>
      </c>
    </row>
    <row r="7885" spans="1:9" ht="31" customHeight="1" x14ac:dyDescent="0.35">
      <c r="A7885" s="15"/>
      <c r="B7885" s="15" t="str">
        <f>CONCATENATE(G7885,"/",COUNTIF($G$2:G7885,G7885))</f>
        <v>PL-10248/2</v>
      </c>
      <c r="C7885" s="15" t="s">
        <v>43013</v>
      </c>
      <c r="D7885" s="28">
        <v>45082</v>
      </c>
      <c r="E7885" s="15" t="s">
        <v>43014</v>
      </c>
      <c r="F7885" s="87" t="s">
        <v>21871</v>
      </c>
      <c r="G7885" s="47" t="s">
        <v>20117</v>
      </c>
      <c r="H7885" s="76" t="s">
        <v>20118</v>
      </c>
      <c r="I7885" s="21" t="s">
        <v>17018</v>
      </c>
    </row>
    <row r="7886" spans="1:9" ht="31" customHeight="1" x14ac:dyDescent="0.35">
      <c r="A7886" s="15"/>
      <c r="B7886" s="15" t="str">
        <f>CONCATENATE(G7886,"/",COUNTIF($G$2:G7886,G7886))</f>
        <v>PL-10248/3</v>
      </c>
      <c r="C7886" s="15" t="s">
        <v>43015</v>
      </c>
      <c r="D7886" s="28">
        <v>45082</v>
      </c>
      <c r="E7886" s="15" t="s">
        <v>43016</v>
      </c>
      <c r="F7886" s="87" t="s">
        <v>21871</v>
      </c>
      <c r="G7886" s="47" t="s">
        <v>20117</v>
      </c>
      <c r="H7886" s="76" t="s">
        <v>20118</v>
      </c>
      <c r="I7886" s="21" t="s">
        <v>17018</v>
      </c>
    </row>
    <row r="7887" spans="1:9" ht="35.15" customHeight="1" x14ac:dyDescent="0.35">
      <c r="A7887" s="15"/>
      <c r="B7887" s="15" t="str">
        <f>CONCATENATE(G7887,"/",COUNTIF($G$2:G7887,G7887))</f>
        <v>RO-10250/1</v>
      </c>
      <c r="C7887" s="15" t="s">
        <v>43017</v>
      </c>
      <c r="D7887" s="28">
        <v>45104</v>
      </c>
      <c r="E7887" s="15" t="s">
        <v>43018</v>
      </c>
      <c r="F7887" s="87" t="s">
        <v>21871</v>
      </c>
      <c r="G7887" s="47" t="s">
        <v>20145</v>
      </c>
      <c r="H7887" s="76" t="s">
        <v>20146</v>
      </c>
      <c r="I7887" s="21" t="s">
        <v>17638</v>
      </c>
    </row>
    <row r="7888" spans="1:9" ht="35.15" customHeight="1" x14ac:dyDescent="0.35">
      <c r="A7888" s="15"/>
      <c r="B7888" s="15" t="str">
        <f>CONCATENATE(G7888,"/",COUNTIF($G$2:G7888,G7888))</f>
        <v>RO-10250/2</v>
      </c>
      <c r="C7888" s="15" t="s">
        <v>43019</v>
      </c>
      <c r="D7888" s="28">
        <v>45104</v>
      </c>
      <c r="E7888" s="15" t="s">
        <v>43020</v>
      </c>
      <c r="F7888" s="87" t="s">
        <v>21871</v>
      </c>
      <c r="G7888" s="47" t="s">
        <v>20145</v>
      </c>
      <c r="H7888" s="76" t="s">
        <v>20146</v>
      </c>
      <c r="I7888" s="21" t="s">
        <v>17638</v>
      </c>
    </row>
    <row r="7889" spans="1:9" ht="31" customHeight="1" x14ac:dyDescent="0.35">
      <c r="A7889" s="15"/>
      <c r="B7889" s="15" t="str">
        <f>CONCATENATE(G7889,"/",COUNTIF($G$2:G7889,G7889))</f>
        <v>NO-10236/1</v>
      </c>
      <c r="C7889" s="15" t="s">
        <v>43021</v>
      </c>
      <c r="D7889" s="28">
        <v>45113</v>
      </c>
      <c r="E7889" s="15" t="s">
        <v>43022</v>
      </c>
      <c r="F7889" s="87" t="s">
        <v>21871</v>
      </c>
      <c r="G7889" s="47" t="s">
        <v>20037</v>
      </c>
      <c r="H7889" s="76" t="s">
        <v>20038</v>
      </c>
      <c r="I7889" s="21" t="s">
        <v>17305</v>
      </c>
    </row>
    <row r="7890" spans="1:9" ht="36" customHeight="1" x14ac:dyDescent="0.35">
      <c r="A7890" s="15"/>
      <c r="B7890" s="15" t="str">
        <f>CONCATENATE(G7890,"/",COUNTIF($G$2:G7890,G7890))</f>
        <v>BG-10330/1</v>
      </c>
      <c r="C7890" s="15" t="s">
        <v>42954</v>
      </c>
      <c r="D7890" s="28">
        <v>45092</v>
      </c>
      <c r="E7890" s="15" t="s">
        <v>42643</v>
      </c>
      <c r="F7890" s="87" t="s">
        <v>21871</v>
      </c>
      <c r="G7890" s="47" t="s">
        <v>20472</v>
      </c>
      <c r="H7890" s="85" t="s">
        <v>20473</v>
      </c>
      <c r="I7890" s="69" t="s">
        <v>17728</v>
      </c>
    </row>
    <row r="7891" spans="1:9" ht="36" customHeight="1" x14ac:dyDescent="0.35">
      <c r="A7891" s="15"/>
      <c r="B7891" s="15" t="str">
        <f>CONCATENATE(G7891,"/",COUNTIF($G$2:G7891,G7891))</f>
        <v>BG-10330/2</v>
      </c>
      <c r="C7891" s="15" t="s">
        <v>43023</v>
      </c>
      <c r="D7891" s="28">
        <v>45092</v>
      </c>
      <c r="E7891" s="15" t="s">
        <v>43024</v>
      </c>
      <c r="F7891" s="87" t="s">
        <v>21871</v>
      </c>
      <c r="G7891" s="47" t="s">
        <v>20472</v>
      </c>
      <c r="H7891" s="85" t="s">
        <v>20473</v>
      </c>
      <c r="I7891" s="69" t="s">
        <v>17728</v>
      </c>
    </row>
    <row r="7892" spans="1:9" ht="36" customHeight="1" x14ac:dyDescent="0.35">
      <c r="A7892" s="15"/>
      <c r="B7892" s="15" t="str">
        <f>CONCATENATE(G7892,"/",COUNTIF($G$2:G7892,G7892))</f>
        <v>BG-10330/3</v>
      </c>
      <c r="C7892" s="15" t="s">
        <v>43025</v>
      </c>
      <c r="D7892" s="28">
        <v>45092</v>
      </c>
      <c r="E7892" s="15" t="s">
        <v>43026</v>
      </c>
      <c r="F7892" s="87" t="s">
        <v>21871</v>
      </c>
      <c r="G7892" s="47" t="s">
        <v>20472</v>
      </c>
      <c r="H7892" s="85" t="s">
        <v>20473</v>
      </c>
      <c r="I7892" s="69" t="s">
        <v>17728</v>
      </c>
    </row>
    <row r="7893" spans="1:9" ht="36" customHeight="1" x14ac:dyDescent="0.35">
      <c r="A7893" s="15"/>
      <c r="B7893" s="15" t="str">
        <f>CONCATENATE(G7893,"/",COUNTIF($G$2:G7893,G7893))</f>
        <v>BG-10330/4</v>
      </c>
      <c r="C7893" s="15" t="s">
        <v>43027</v>
      </c>
      <c r="D7893" s="28">
        <v>45092</v>
      </c>
      <c r="E7893" s="15" t="s">
        <v>43028</v>
      </c>
      <c r="F7893" s="87" t="s">
        <v>21871</v>
      </c>
      <c r="G7893" s="47" t="s">
        <v>20472</v>
      </c>
      <c r="H7893" s="85" t="s">
        <v>20473</v>
      </c>
      <c r="I7893" s="69" t="s">
        <v>17728</v>
      </c>
    </row>
    <row r="7894" spans="1:9" ht="36" customHeight="1" x14ac:dyDescent="0.35">
      <c r="A7894" s="15"/>
      <c r="B7894" s="15" t="str">
        <f>CONCATENATE(G7894,"/",COUNTIF($G$2:G7894,G7894))</f>
        <v>BG-10330/5</v>
      </c>
      <c r="C7894" s="15" t="s">
        <v>43029</v>
      </c>
      <c r="D7894" s="28">
        <v>45092</v>
      </c>
      <c r="E7894" s="15" t="s">
        <v>43030</v>
      </c>
      <c r="F7894" s="87" t="s">
        <v>21871</v>
      </c>
      <c r="G7894" s="47" t="s">
        <v>20472</v>
      </c>
      <c r="H7894" s="85" t="s">
        <v>20473</v>
      </c>
      <c r="I7894" s="69" t="s">
        <v>17728</v>
      </c>
    </row>
    <row r="7895" spans="1:9" ht="31.5" customHeight="1" x14ac:dyDescent="0.35">
      <c r="A7895" s="15"/>
      <c r="B7895" s="15" t="str">
        <f>CONCATENATE(G7895,"/",COUNTIF($G$2:G7895,G7895))</f>
        <v>HR-10297/1</v>
      </c>
      <c r="C7895" s="15" t="s">
        <v>43031</v>
      </c>
      <c r="D7895" s="28">
        <v>45103</v>
      </c>
      <c r="E7895" s="15" t="s">
        <v>43032</v>
      </c>
      <c r="F7895" s="87" t="s">
        <v>21871</v>
      </c>
      <c r="G7895" s="47" t="s">
        <v>20253</v>
      </c>
      <c r="H7895" s="54" t="s">
        <v>20254</v>
      </c>
      <c r="I7895" s="5" t="s">
        <v>9767</v>
      </c>
    </row>
    <row r="7896" spans="1:9" ht="30" customHeight="1" x14ac:dyDescent="0.35">
      <c r="A7896" s="15"/>
      <c r="B7896" s="15" t="str">
        <f>CONCATENATE(G7896,"/",COUNTIF($G$2:G7896,G7896))</f>
        <v>RO-10272/1</v>
      </c>
      <c r="C7896" s="15" t="s">
        <v>43033</v>
      </c>
      <c r="D7896" s="28">
        <v>45120</v>
      </c>
      <c r="E7896" s="15" t="s">
        <v>43034</v>
      </c>
      <c r="F7896" s="87" t="s">
        <v>21871</v>
      </c>
      <c r="G7896" s="47" t="s">
        <v>20197</v>
      </c>
      <c r="H7896" s="54" t="s">
        <v>20198</v>
      </c>
      <c r="I7896" s="5" t="s">
        <v>17638</v>
      </c>
    </row>
    <row r="7897" spans="1:9" ht="33" customHeight="1" x14ac:dyDescent="0.35">
      <c r="A7897" s="15"/>
      <c r="B7897" s="15" t="str">
        <f>CONCATENATE(G7897,"/",COUNTIF($G$2:G7897,G7897))</f>
        <v>RO-10301/1</v>
      </c>
      <c r="C7897" s="15" t="s">
        <v>43035</v>
      </c>
      <c r="D7897" s="28">
        <v>45134</v>
      </c>
      <c r="E7897" s="15" t="s">
        <v>43036</v>
      </c>
      <c r="F7897" s="87" t="s">
        <v>21871</v>
      </c>
      <c r="G7897" s="47" t="s">
        <v>20370</v>
      </c>
      <c r="H7897" s="85" t="s">
        <v>20371</v>
      </c>
      <c r="I7897" s="69" t="s">
        <v>17638</v>
      </c>
    </row>
    <row r="7898" spans="1:9" ht="32.15" customHeight="1" x14ac:dyDescent="0.35">
      <c r="A7898" s="15"/>
      <c r="B7898" s="15" t="str">
        <f>CONCATENATE(G7898,"/",COUNTIF($G$2:G7898,G7898))</f>
        <v>CZ-10274/1</v>
      </c>
      <c r="C7898" s="15">
        <v>1</v>
      </c>
      <c r="D7898" s="28">
        <v>45139</v>
      </c>
      <c r="E7898" s="15" t="s">
        <v>43037</v>
      </c>
      <c r="F7898" s="87" t="s">
        <v>21871</v>
      </c>
      <c r="G7898" s="47" t="s">
        <v>20225</v>
      </c>
      <c r="H7898" s="54" t="s">
        <v>20226</v>
      </c>
      <c r="I7898" s="5" t="s">
        <v>16397</v>
      </c>
    </row>
    <row r="7899" spans="1:9" ht="32.15" customHeight="1" x14ac:dyDescent="0.35">
      <c r="A7899" s="15"/>
      <c r="B7899" s="15" t="str">
        <f>CONCATENATE(G7899,"/",COUNTIF($G$2:G7899,G7899))</f>
        <v>CZ-10274/2</v>
      </c>
      <c r="C7899" s="15">
        <v>2</v>
      </c>
      <c r="D7899" s="28">
        <v>45139</v>
      </c>
      <c r="E7899" s="15" t="s">
        <v>43038</v>
      </c>
      <c r="F7899" s="87" t="s">
        <v>21871</v>
      </c>
      <c r="G7899" s="47" t="s">
        <v>20225</v>
      </c>
      <c r="H7899" s="54" t="s">
        <v>20226</v>
      </c>
      <c r="I7899" s="5" t="s">
        <v>16397</v>
      </c>
    </row>
    <row r="7900" spans="1:9" ht="32.15" customHeight="1" x14ac:dyDescent="0.35">
      <c r="A7900" s="15"/>
      <c r="B7900" s="15" t="str">
        <f>CONCATENATE(G7900,"/",COUNTIF($G$2:G7900,G7900))</f>
        <v>CZ-10274/3</v>
      </c>
      <c r="C7900" s="15">
        <v>3</v>
      </c>
      <c r="D7900" s="28">
        <v>45139</v>
      </c>
      <c r="E7900" s="15" t="s">
        <v>43039</v>
      </c>
      <c r="F7900" s="87" t="s">
        <v>21871</v>
      </c>
      <c r="G7900" s="47" t="s">
        <v>20225</v>
      </c>
      <c r="H7900" s="54" t="s">
        <v>20226</v>
      </c>
      <c r="I7900" s="5" t="s">
        <v>16397</v>
      </c>
    </row>
    <row r="7901" spans="1:9" ht="32.15" customHeight="1" x14ac:dyDescent="0.35">
      <c r="A7901" s="15"/>
      <c r="B7901" s="15" t="str">
        <f>CONCATENATE(G7901,"/",COUNTIF($G$2:G7901,G7901))</f>
        <v>CZ-10274/4</v>
      </c>
      <c r="C7901" s="15">
        <v>4</v>
      </c>
      <c r="D7901" s="28">
        <v>45139</v>
      </c>
      <c r="E7901" s="15" t="s">
        <v>43040</v>
      </c>
      <c r="F7901" s="87" t="s">
        <v>21871</v>
      </c>
      <c r="G7901" s="47" t="s">
        <v>20225</v>
      </c>
      <c r="H7901" s="54" t="s">
        <v>20226</v>
      </c>
      <c r="I7901" s="5" t="s">
        <v>16397</v>
      </c>
    </row>
    <row r="7902" spans="1:9" ht="32.15" customHeight="1" x14ac:dyDescent="0.35">
      <c r="A7902" s="15"/>
      <c r="B7902" s="15" t="str">
        <f>CONCATENATE(G7902,"/",COUNTIF($G$2:G7902,G7902))</f>
        <v>CZ-10274/5</v>
      </c>
      <c r="C7902" s="15">
        <v>5</v>
      </c>
      <c r="D7902" s="28">
        <v>45139</v>
      </c>
      <c r="E7902" s="15" t="s">
        <v>43041</v>
      </c>
      <c r="F7902" s="87" t="s">
        <v>21871</v>
      </c>
      <c r="G7902" s="47" t="s">
        <v>20225</v>
      </c>
      <c r="H7902" s="54" t="s">
        <v>20226</v>
      </c>
      <c r="I7902" s="5" t="s">
        <v>16397</v>
      </c>
    </row>
    <row r="7903" spans="1:9" ht="31" customHeight="1" x14ac:dyDescent="0.35">
      <c r="A7903" s="15"/>
      <c r="B7903" s="15" t="str">
        <f>CONCATENATE(G7903,"/",COUNTIF($G$2:G7903,G7903))</f>
        <v>BE-10294/1</v>
      </c>
      <c r="C7903" s="15" t="s">
        <v>43042</v>
      </c>
      <c r="D7903" s="28">
        <v>45138</v>
      </c>
      <c r="E7903" s="15" t="s">
        <v>43043</v>
      </c>
      <c r="F7903" s="87" t="s">
        <v>21871</v>
      </c>
      <c r="G7903" s="47" t="s">
        <v>20321</v>
      </c>
      <c r="H7903" s="54" t="s">
        <v>20322</v>
      </c>
      <c r="I7903" s="5" t="s">
        <v>14722</v>
      </c>
    </row>
    <row r="7904" spans="1:9" ht="34.5" customHeight="1" x14ac:dyDescent="0.35">
      <c r="A7904" s="15"/>
      <c r="B7904" s="15" t="str">
        <f>CONCATENATE(G7904,"/",COUNTIF($G$2:G7904,G7904))</f>
        <v>RO-10280/1</v>
      </c>
      <c r="C7904" s="15" t="s">
        <v>43044</v>
      </c>
      <c r="D7904" s="28">
        <v>45138</v>
      </c>
      <c r="E7904" s="15" t="s">
        <v>43045</v>
      </c>
      <c r="F7904" s="87" t="s">
        <v>21871</v>
      </c>
      <c r="G7904" s="47" t="s">
        <v>20262</v>
      </c>
      <c r="H7904" s="54" t="s">
        <v>20263</v>
      </c>
      <c r="I7904" s="5" t="s">
        <v>17638</v>
      </c>
    </row>
    <row r="7905" spans="1:9" ht="33" customHeight="1" x14ac:dyDescent="0.35">
      <c r="A7905" s="15"/>
      <c r="B7905" s="15" t="str">
        <f>CONCATENATE(G7905,"/",COUNTIF($G$2:G7905,G7905))</f>
        <v>CZ-6320/1</v>
      </c>
      <c r="C7905" s="15" t="s">
        <v>21892</v>
      </c>
      <c r="D7905" s="28">
        <v>45147</v>
      </c>
      <c r="E7905" s="15" t="s">
        <v>43046</v>
      </c>
      <c r="F7905" s="87" t="s">
        <v>21871</v>
      </c>
      <c r="G7905" s="45" t="s">
        <v>18039</v>
      </c>
      <c r="H7905" s="54" t="s">
        <v>18040</v>
      </c>
      <c r="I7905" s="5" t="s">
        <v>16397</v>
      </c>
    </row>
    <row r="7906" spans="1:9" ht="29.5" customHeight="1" x14ac:dyDescent="0.35">
      <c r="A7906" s="15"/>
      <c r="B7906" s="15" t="str">
        <f>CONCATENATE(G7906,"/",COUNTIF($G$2:G7906,G7906))</f>
        <v>BG-10381/1</v>
      </c>
      <c r="C7906" s="15" t="s">
        <v>42954</v>
      </c>
      <c r="D7906" s="28">
        <v>45139</v>
      </c>
      <c r="E7906" s="15" t="s">
        <v>43047</v>
      </c>
      <c r="F7906" s="87" t="s">
        <v>21871</v>
      </c>
      <c r="G7906" s="47" t="s">
        <v>20819</v>
      </c>
      <c r="H7906" s="85" t="s">
        <v>20820</v>
      </c>
      <c r="I7906" s="69" t="s">
        <v>17728</v>
      </c>
    </row>
    <row r="7907" spans="1:9" ht="29.5" customHeight="1" x14ac:dyDescent="0.35">
      <c r="A7907" s="15"/>
      <c r="B7907" s="15" t="str">
        <f>CONCATENATE(G7907,"/",COUNTIF($G$2:G7907,G7907))</f>
        <v>BG-10381/2</v>
      </c>
      <c r="C7907" s="15" t="s">
        <v>43048</v>
      </c>
      <c r="D7907" s="28">
        <v>45139</v>
      </c>
      <c r="E7907" s="15" t="s">
        <v>43049</v>
      </c>
      <c r="F7907" s="87" t="s">
        <v>21871</v>
      </c>
      <c r="G7907" s="47" t="s">
        <v>20819</v>
      </c>
      <c r="H7907" s="85" t="s">
        <v>20820</v>
      </c>
      <c r="I7907" s="69" t="s">
        <v>17728</v>
      </c>
    </row>
    <row r="7908" spans="1:9" ht="29.5" customHeight="1" x14ac:dyDescent="0.35">
      <c r="A7908" s="15"/>
      <c r="B7908" s="15" t="str">
        <f>CONCATENATE(G7908,"/",COUNTIF($G$2:G7908,G7908))</f>
        <v>BG-10381/3</v>
      </c>
      <c r="C7908" s="15" t="s">
        <v>43050</v>
      </c>
      <c r="D7908" s="28">
        <v>45139</v>
      </c>
      <c r="E7908" s="15" t="s">
        <v>43051</v>
      </c>
      <c r="F7908" s="87" t="s">
        <v>21871</v>
      </c>
      <c r="G7908" s="47" t="s">
        <v>20819</v>
      </c>
      <c r="H7908" s="85" t="s">
        <v>20820</v>
      </c>
      <c r="I7908" s="69" t="s">
        <v>17728</v>
      </c>
    </row>
    <row r="7909" spans="1:9" ht="33" customHeight="1" x14ac:dyDescent="0.35">
      <c r="A7909" s="15"/>
      <c r="B7909" s="15" t="str">
        <f>CONCATENATE(G7909,"/",COUNTIF($G$2:G7909,G7909))</f>
        <v>BE-10241/1</v>
      </c>
      <c r="C7909" s="15" t="s">
        <v>43042</v>
      </c>
      <c r="D7909" s="28">
        <v>45159</v>
      </c>
      <c r="E7909" s="15" t="s">
        <v>43052</v>
      </c>
      <c r="F7909" s="87" t="s">
        <v>21871</v>
      </c>
      <c r="G7909" s="47" t="s">
        <v>19965</v>
      </c>
      <c r="H7909" s="76" t="s">
        <v>19966</v>
      </c>
      <c r="I7909" s="21" t="s">
        <v>14722</v>
      </c>
    </row>
    <row r="7910" spans="1:9" ht="25" customHeight="1" x14ac:dyDescent="0.35">
      <c r="A7910" s="15"/>
      <c r="B7910" s="15" t="str">
        <f>CONCATENATE(G7910,"/",COUNTIF($G$2:G7910,G7910))</f>
        <v>BE-5965/1</v>
      </c>
      <c r="C7910" s="15" t="s">
        <v>43053</v>
      </c>
      <c r="D7910" s="28">
        <v>44096</v>
      </c>
      <c r="E7910" s="15" t="s">
        <v>43054</v>
      </c>
      <c r="F7910" s="87" t="s">
        <v>21871</v>
      </c>
      <c r="G7910" s="45" t="s">
        <v>16050</v>
      </c>
      <c r="H7910" s="54" t="s">
        <v>16051</v>
      </c>
      <c r="I7910" s="5" t="s">
        <v>14722</v>
      </c>
    </row>
    <row r="7911" spans="1:9" ht="25" customHeight="1" x14ac:dyDescent="0.35">
      <c r="A7911" s="15"/>
      <c r="B7911" s="15" t="str">
        <f>CONCATENATE(G7911,"/",COUNTIF($G$2:G7911,G7911))</f>
        <v>BE-5965/2</v>
      </c>
      <c r="C7911" s="15" t="s">
        <v>43055</v>
      </c>
      <c r="D7911" s="28">
        <v>44096</v>
      </c>
      <c r="E7911" s="15" t="s">
        <v>43056</v>
      </c>
      <c r="F7911" s="87" t="s">
        <v>21871</v>
      </c>
      <c r="G7911" s="45" t="s">
        <v>16050</v>
      </c>
      <c r="H7911" s="54" t="s">
        <v>16051</v>
      </c>
      <c r="I7911" s="5" t="s">
        <v>14722</v>
      </c>
    </row>
    <row r="7912" spans="1:9" ht="25" customHeight="1" x14ac:dyDescent="0.35">
      <c r="A7912" s="15"/>
      <c r="B7912" s="15" t="str">
        <f>CONCATENATE(G7912,"/",COUNTIF($G$2:G7912,G7912))</f>
        <v>BE-5965/3</v>
      </c>
      <c r="C7912" s="15" t="s">
        <v>43057</v>
      </c>
      <c r="D7912" s="28">
        <v>44096</v>
      </c>
      <c r="E7912" s="15" t="s">
        <v>43058</v>
      </c>
      <c r="F7912" s="87" t="s">
        <v>21871</v>
      </c>
      <c r="G7912" s="45" t="s">
        <v>16050</v>
      </c>
      <c r="H7912" s="54" t="s">
        <v>16051</v>
      </c>
      <c r="I7912" s="5" t="s">
        <v>14722</v>
      </c>
    </row>
    <row r="7913" spans="1:9" ht="25" customHeight="1" x14ac:dyDescent="0.35">
      <c r="A7913" s="15"/>
      <c r="B7913" s="15" t="str">
        <f>CONCATENATE(G7913,"/",COUNTIF($G$2:G7913,G7913))</f>
        <v>BE-5965/4</v>
      </c>
      <c r="C7913" s="15" t="s">
        <v>43059</v>
      </c>
      <c r="D7913" s="28">
        <v>44096</v>
      </c>
      <c r="E7913" s="15" t="s">
        <v>43060</v>
      </c>
      <c r="F7913" s="87" t="s">
        <v>21871</v>
      </c>
      <c r="G7913" s="45" t="s">
        <v>16050</v>
      </c>
      <c r="H7913" s="54" t="s">
        <v>16051</v>
      </c>
      <c r="I7913" s="5" t="s">
        <v>14722</v>
      </c>
    </row>
    <row r="7914" spans="1:9" ht="25" customHeight="1" x14ac:dyDescent="0.35">
      <c r="A7914" s="15"/>
      <c r="B7914" s="15" t="str">
        <f>CONCATENATE(G7914,"/",COUNTIF($G$2:G7914,G7914))</f>
        <v>BE-5965/5</v>
      </c>
      <c r="C7914" s="15" t="s">
        <v>43061</v>
      </c>
      <c r="D7914" s="28">
        <v>44096</v>
      </c>
      <c r="E7914" s="15" t="s">
        <v>43062</v>
      </c>
      <c r="F7914" s="87" t="s">
        <v>21871</v>
      </c>
      <c r="G7914" s="45" t="s">
        <v>16050</v>
      </c>
      <c r="H7914" s="54" t="s">
        <v>16051</v>
      </c>
      <c r="I7914" s="5" t="s">
        <v>14722</v>
      </c>
    </row>
    <row r="7915" spans="1:9" ht="25" customHeight="1" x14ac:dyDescent="0.35">
      <c r="A7915" s="15"/>
      <c r="B7915" s="15" t="str">
        <f>CONCATENATE(G7915,"/",COUNTIF($G$2:G7915,G7915))</f>
        <v>BE-5965/6</v>
      </c>
      <c r="C7915" s="15" t="s">
        <v>43063</v>
      </c>
      <c r="D7915" s="28">
        <v>44096</v>
      </c>
      <c r="E7915" s="15" t="s">
        <v>43064</v>
      </c>
      <c r="F7915" s="87" t="s">
        <v>21871</v>
      </c>
      <c r="G7915" s="45" t="s">
        <v>16050</v>
      </c>
      <c r="H7915" s="54" t="s">
        <v>16051</v>
      </c>
      <c r="I7915" s="5" t="s">
        <v>14722</v>
      </c>
    </row>
    <row r="7916" spans="1:9" ht="25" customHeight="1" x14ac:dyDescent="0.35">
      <c r="A7916" s="15"/>
      <c r="B7916" s="15" t="str">
        <f>CONCATENATE(G7916,"/",COUNTIF($G$2:G7916,G7916))</f>
        <v>BE-5965/7</v>
      </c>
      <c r="C7916" s="15" t="s">
        <v>43065</v>
      </c>
      <c r="D7916" s="28">
        <v>44096</v>
      </c>
      <c r="E7916" s="15" t="s">
        <v>43066</v>
      </c>
      <c r="F7916" s="87" t="s">
        <v>21871</v>
      </c>
      <c r="G7916" s="45" t="s">
        <v>16050</v>
      </c>
      <c r="H7916" s="54" t="s">
        <v>16051</v>
      </c>
      <c r="I7916" s="5" t="s">
        <v>14722</v>
      </c>
    </row>
    <row r="7917" spans="1:9" ht="25" customHeight="1" x14ac:dyDescent="0.35">
      <c r="A7917" s="15"/>
      <c r="B7917" s="15" t="str">
        <f>CONCATENATE(G7917,"/",COUNTIF($G$2:G7917,G7917))</f>
        <v>BE-5965/8</v>
      </c>
      <c r="C7917" s="15" t="s">
        <v>43067</v>
      </c>
      <c r="D7917" s="28">
        <v>44096</v>
      </c>
      <c r="E7917" s="15" t="s">
        <v>43068</v>
      </c>
      <c r="F7917" s="87" t="s">
        <v>21871</v>
      </c>
      <c r="G7917" s="45" t="s">
        <v>16050</v>
      </c>
      <c r="H7917" s="54" t="s">
        <v>16051</v>
      </c>
      <c r="I7917" s="5" t="s">
        <v>14722</v>
      </c>
    </row>
    <row r="7918" spans="1:9" ht="31.5" customHeight="1" x14ac:dyDescent="0.35">
      <c r="A7918" s="15"/>
      <c r="B7918" s="15" t="str">
        <f>CONCATENATE(G7918,"/",COUNTIF($G$2:G7918,G7918))</f>
        <v>IT-10312/1</v>
      </c>
      <c r="C7918" s="15" t="s">
        <v>43069</v>
      </c>
      <c r="D7918" s="28">
        <v>45103</v>
      </c>
      <c r="E7918" s="15" t="s">
        <v>43070</v>
      </c>
      <c r="F7918" s="87" t="s">
        <v>21871</v>
      </c>
      <c r="G7918" s="47" t="s">
        <v>20210</v>
      </c>
      <c r="H7918" s="85" t="s">
        <v>20211</v>
      </c>
      <c r="I7918" s="69" t="s">
        <v>18076</v>
      </c>
    </row>
    <row r="7919" spans="1:9" ht="31.5" customHeight="1" x14ac:dyDescent="0.35">
      <c r="A7919" s="15"/>
      <c r="B7919" s="15" t="str">
        <f>CONCATENATE(G7919,"/",COUNTIF($G$2:G7919,G7919))</f>
        <v>IT-10312/2</v>
      </c>
      <c r="C7919" s="15" t="s">
        <v>43071</v>
      </c>
      <c r="D7919" s="28">
        <v>45103</v>
      </c>
      <c r="E7919" s="15" t="s">
        <v>43072</v>
      </c>
      <c r="F7919" s="87" t="s">
        <v>21871</v>
      </c>
      <c r="G7919" s="47" t="s">
        <v>20210</v>
      </c>
      <c r="H7919" s="85" t="s">
        <v>20211</v>
      </c>
      <c r="I7919" s="69" t="s">
        <v>18076</v>
      </c>
    </row>
    <row r="7920" spans="1:9" ht="35.15" customHeight="1" x14ac:dyDescent="0.35">
      <c r="A7920" s="15"/>
      <c r="B7920" s="15" t="str">
        <f>CONCATENATE(G7920,"/",COUNTIF($G$2:G7920,G7920))</f>
        <v>IT-10312/3</v>
      </c>
      <c r="C7920" s="15" t="s">
        <v>43073</v>
      </c>
      <c r="D7920" s="28">
        <v>45103</v>
      </c>
      <c r="E7920" s="15" t="s">
        <v>43074</v>
      </c>
      <c r="F7920" s="87" t="s">
        <v>21871</v>
      </c>
      <c r="G7920" s="47" t="s">
        <v>20210</v>
      </c>
      <c r="H7920" s="85" t="s">
        <v>20211</v>
      </c>
      <c r="I7920" s="69" t="s">
        <v>18076</v>
      </c>
    </row>
    <row r="7921" spans="1:9" ht="35.15" customHeight="1" x14ac:dyDescent="0.35">
      <c r="A7921" s="15"/>
      <c r="B7921" s="15" t="str">
        <f>CONCATENATE(G7921,"/",COUNTIF($G$2:G7921,G7921))</f>
        <v>CZ-10300/1</v>
      </c>
      <c r="C7921" s="15" t="s">
        <v>21892</v>
      </c>
      <c r="D7921" s="28">
        <v>45169</v>
      </c>
      <c r="E7921" s="15" t="s">
        <v>43075</v>
      </c>
      <c r="F7921" s="87" t="s">
        <v>21871</v>
      </c>
      <c r="G7921" s="47" t="s">
        <v>20363</v>
      </c>
      <c r="H7921" s="85" t="s">
        <v>20364</v>
      </c>
      <c r="I7921" s="5" t="s">
        <v>16397</v>
      </c>
    </row>
    <row r="7922" spans="1:9" ht="34" customHeight="1" x14ac:dyDescent="0.35">
      <c r="A7922" s="15"/>
      <c r="B7922" s="15" t="str">
        <f>CONCATENATE(G7922,"/",COUNTIF($G$2:G7922,G7922))</f>
        <v>RO-10298/1</v>
      </c>
      <c r="C7922" s="15" t="s">
        <v>43076</v>
      </c>
      <c r="D7922" s="28">
        <v>45147</v>
      </c>
      <c r="E7922" s="15" t="s">
        <v>43077</v>
      </c>
      <c r="F7922" s="87" t="s">
        <v>21871</v>
      </c>
      <c r="G7922" s="47" t="s">
        <v>20341</v>
      </c>
      <c r="H7922" s="54" t="s">
        <v>20342</v>
      </c>
      <c r="I7922" s="5" t="s">
        <v>17638</v>
      </c>
    </row>
    <row r="7923" spans="1:9" ht="34" customHeight="1" x14ac:dyDescent="0.35">
      <c r="A7923" s="15"/>
      <c r="B7923" s="15" t="str">
        <f>CONCATENATE(G7923,"/",COUNTIF($G$2:G7923,G7923))</f>
        <v>RO-10298/2</v>
      </c>
      <c r="C7923" s="15" t="s">
        <v>43078</v>
      </c>
      <c r="D7923" s="28">
        <v>45147</v>
      </c>
      <c r="E7923" s="15" t="s">
        <v>43079</v>
      </c>
      <c r="F7923" s="87" t="s">
        <v>21871</v>
      </c>
      <c r="G7923" s="47" t="s">
        <v>20341</v>
      </c>
      <c r="H7923" s="54" t="s">
        <v>20342</v>
      </c>
      <c r="I7923" s="5" t="s">
        <v>17638</v>
      </c>
    </row>
    <row r="7924" spans="1:9" ht="28.5" customHeight="1" x14ac:dyDescent="0.35">
      <c r="A7924" s="15"/>
      <c r="B7924" s="15" t="str">
        <f>CONCATENATE(G7924,"/",COUNTIF($G$2:G7924,G7924))</f>
        <v>RO-10292/1</v>
      </c>
      <c r="C7924" s="15" t="s">
        <v>43080</v>
      </c>
      <c r="D7924" s="28">
        <v>45162</v>
      </c>
      <c r="E7924" s="15" t="s">
        <v>43081</v>
      </c>
      <c r="F7924" s="87" t="s">
        <v>21871</v>
      </c>
      <c r="G7924" s="47" t="s">
        <v>20307</v>
      </c>
      <c r="H7924" s="54" t="s">
        <v>20308</v>
      </c>
      <c r="I7924" s="5" t="s">
        <v>17638</v>
      </c>
    </row>
    <row r="7925" spans="1:9" ht="28.5" customHeight="1" x14ac:dyDescent="0.35">
      <c r="A7925" s="15"/>
      <c r="B7925" s="15" t="str">
        <f>CONCATENATE(G7925,"/",COUNTIF($G$2:G7925,G7925))</f>
        <v>RO-10292/2</v>
      </c>
      <c r="C7925" s="15" t="s">
        <v>43082</v>
      </c>
      <c r="D7925" s="28">
        <v>45162</v>
      </c>
      <c r="E7925" s="15" t="s">
        <v>43083</v>
      </c>
      <c r="F7925" s="87" t="s">
        <v>21871</v>
      </c>
      <c r="G7925" s="47" t="s">
        <v>20307</v>
      </c>
      <c r="H7925" s="54" t="s">
        <v>20308</v>
      </c>
      <c r="I7925" s="5" t="s">
        <v>17638</v>
      </c>
    </row>
    <row r="7926" spans="1:9" ht="42" customHeight="1" x14ac:dyDescent="0.35">
      <c r="A7926" s="15"/>
      <c r="B7926" s="15" t="str">
        <f>CONCATENATE(G7926,"/",COUNTIF($G$2:G7926,G7926))</f>
        <v>DK-10304/1</v>
      </c>
      <c r="C7926" s="15" t="s">
        <v>43084</v>
      </c>
      <c r="D7926" s="15" t="s">
        <v>43085</v>
      </c>
      <c r="E7926" s="15" t="s">
        <v>43086</v>
      </c>
      <c r="F7926" s="87" t="s">
        <v>43087</v>
      </c>
      <c r="G7926" s="47" t="s">
        <v>20300</v>
      </c>
      <c r="H7926" s="85" t="s">
        <v>20301</v>
      </c>
      <c r="I7926" s="69" t="s">
        <v>12887</v>
      </c>
    </row>
    <row r="7927" spans="1:9" ht="42" customHeight="1" x14ac:dyDescent="0.35">
      <c r="A7927" s="15"/>
      <c r="B7927" s="15" t="str">
        <f>CONCATENATE(G7927,"/",COUNTIF($G$2:G7927,G7927))</f>
        <v>DK-10304/2</v>
      </c>
      <c r="C7927" s="15" t="s">
        <v>43088</v>
      </c>
      <c r="D7927" s="15" t="s">
        <v>43085</v>
      </c>
      <c r="E7927" s="15" t="s">
        <v>43089</v>
      </c>
      <c r="F7927" s="87" t="s">
        <v>43087</v>
      </c>
      <c r="G7927" s="47" t="s">
        <v>20300</v>
      </c>
      <c r="H7927" s="85" t="s">
        <v>20301</v>
      </c>
      <c r="I7927" s="69" t="s">
        <v>12887</v>
      </c>
    </row>
    <row r="7928" spans="1:9" ht="32.5" customHeight="1" x14ac:dyDescent="0.35">
      <c r="A7928" s="15"/>
      <c r="B7928" s="15" t="str">
        <f>CONCATENATE(G7928,"/",COUNTIF($G$2:G7928,G7928))</f>
        <v>IT-10311/1</v>
      </c>
      <c r="C7928" s="15" t="s">
        <v>43090</v>
      </c>
      <c r="D7928" s="28">
        <v>45133</v>
      </c>
      <c r="E7928" s="15" t="s">
        <v>43091</v>
      </c>
      <c r="F7928" s="87" t="s">
        <v>21871</v>
      </c>
      <c r="G7928" s="47" t="s">
        <v>20203</v>
      </c>
      <c r="H7928" s="85" t="s">
        <v>20204</v>
      </c>
      <c r="I7928" s="69" t="s">
        <v>18076</v>
      </c>
    </row>
    <row r="7929" spans="1:9" ht="32.5" customHeight="1" x14ac:dyDescent="0.35">
      <c r="A7929" s="15"/>
      <c r="B7929" s="15" t="str">
        <f>CONCATENATE(G7929,"/",COUNTIF($G$2:G7929,G7929))</f>
        <v>IT-10311/2</v>
      </c>
      <c r="C7929" s="15" t="s">
        <v>43092</v>
      </c>
      <c r="D7929" s="28">
        <v>45133</v>
      </c>
      <c r="E7929" s="15" t="s">
        <v>43093</v>
      </c>
      <c r="F7929" s="87" t="s">
        <v>21871</v>
      </c>
      <c r="G7929" s="47" t="s">
        <v>20203</v>
      </c>
      <c r="H7929" s="85" t="s">
        <v>20204</v>
      </c>
      <c r="I7929" s="69" t="s">
        <v>18076</v>
      </c>
    </row>
    <row r="7930" spans="1:9" ht="32.5" customHeight="1" x14ac:dyDescent="0.35">
      <c r="A7930" s="15"/>
      <c r="B7930" s="15" t="str">
        <f>CONCATENATE(G7930,"/",COUNTIF($G$2:G7930,G7930))</f>
        <v>IT-10311/3</v>
      </c>
      <c r="C7930" s="15" t="s">
        <v>43094</v>
      </c>
      <c r="D7930" s="28">
        <v>45133</v>
      </c>
      <c r="E7930" s="15" t="s">
        <v>43095</v>
      </c>
      <c r="F7930" s="87" t="s">
        <v>21871</v>
      </c>
      <c r="G7930" s="47" t="s">
        <v>20203</v>
      </c>
      <c r="H7930" s="85" t="s">
        <v>20204</v>
      </c>
      <c r="I7930" s="69" t="s">
        <v>18076</v>
      </c>
    </row>
    <row r="7931" spans="1:9" ht="32.5" customHeight="1" x14ac:dyDescent="0.35">
      <c r="A7931" s="15"/>
      <c r="B7931" s="15" t="str">
        <f>CONCATENATE(G7931,"/",COUNTIF($G$2:G7931,G7931))</f>
        <v>IT-10311/4</v>
      </c>
      <c r="C7931" s="15" t="s">
        <v>43096</v>
      </c>
      <c r="D7931" s="28">
        <v>45133</v>
      </c>
      <c r="E7931" s="15" t="s">
        <v>43097</v>
      </c>
      <c r="F7931" s="87" t="s">
        <v>21871</v>
      </c>
      <c r="G7931" s="47" t="s">
        <v>20203</v>
      </c>
      <c r="H7931" s="85" t="s">
        <v>20204</v>
      </c>
      <c r="I7931" s="69" t="s">
        <v>18076</v>
      </c>
    </row>
    <row r="7932" spans="1:9" ht="34" customHeight="1" x14ac:dyDescent="0.35">
      <c r="A7932" s="15"/>
      <c r="B7932" s="15" t="str">
        <f>CONCATENATE(G7932,"/",COUNTIF($G$2:G7932,G7932))</f>
        <v>RO-10299/1</v>
      </c>
      <c r="C7932" s="15" t="s">
        <v>43098</v>
      </c>
      <c r="D7932" s="15" t="s">
        <v>43099</v>
      </c>
      <c r="E7932" s="15" t="s">
        <v>43100</v>
      </c>
      <c r="F7932" s="87" t="s">
        <v>21871</v>
      </c>
      <c r="G7932" s="47" t="s">
        <v>20356</v>
      </c>
      <c r="H7932" s="54" t="s">
        <v>20357</v>
      </c>
      <c r="I7932" s="5" t="s">
        <v>17638</v>
      </c>
    </row>
    <row r="7933" spans="1:9" ht="34" customHeight="1" x14ac:dyDescent="0.35">
      <c r="A7933" s="15"/>
      <c r="B7933" s="15" t="str">
        <f>CONCATENATE(G7933,"/",COUNTIF($G$2:G7933,G7933))</f>
        <v>RO-10299/2</v>
      </c>
      <c r="C7933" s="15" t="s">
        <v>43101</v>
      </c>
      <c r="D7933" s="15" t="s">
        <v>43099</v>
      </c>
      <c r="E7933" s="15" t="s">
        <v>43102</v>
      </c>
      <c r="F7933" s="87" t="s">
        <v>21871</v>
      </c>
      <c r="G7933" s="47" t="s">
        <v>20356</v>
      </c>
      <c r="H7933" s="54" t="s">
        <v>20357</v>
      </c>
      <c r="I7933" s="5" t="s">
        <v>17638</v>
      </c>
    </row>
    <row r="7934" spans="1:9" ht="32.5" customHeight="1" x14ac:dyDescent="0.35">
      <c r="A7934" s="15"/>
      <c r="B7934" s="15" t="str">
        <f>CONCATENATE(G7934,"/",COUNTIF($G$2:G7934,G7934))</f>
        <v>CH-10442/1</v>
      </c>
      <c r="C7934" s="15" t="s">
        <v>43103</v>
      </c>
      <c r="D7934" s="28">
        <v>45197</v>
      </c>
      <c r="E7934" s="15" t="s">
        <v>43104</v>
      </c>
      <c r="F7934" s="87" t="s">
        <v>23710</v>
      </c>
      <c r="G7934" s="47" t="s">
        <v>21088</v>
      </c>
      <c r="H7934" s="85" t="s">
        <v>21089</v>
      </c>
      <c r="I7934" s="69" t="s">
        <v>15039</v>
      </c>
    </row>
    <row r="7935" spans="1:9" ht="32.5" customHeight="1" x14ac:dyDescent="0.35">
      <c r="A7935" s="15"/>
      <c r="B7935" s="15" t="str">
        <f>CONCATENATE(G7935,"/",COUNTIF($G$2:G7935,G7935))</f>
        <v>CH-10442/2</v>
      </c>
      <c r="C7935" s="15" t="s">
        <v>43105</v>
      </c>
      <c r="D7935" s="28">
        <v>45197</v>
      </c>
      <c r="E7935" s="15" t="s">
        <v>43106</v>
      </c>
      <c r="F7935" s="87" t="s">
        <v>23710</v>
      </c>
      <c r="G7935" s="47" t="s">
        <v>21088</v>
      </c>
      <c r="H7935" s="85" t="s">
        <v>21089</v>
      </c>
      <c r="I7935" s="69" t="s">
        <v>15039</v>
      </c>
    </row>
    <row r="7936" spans="1:9" ht="36" customHeight="1" x14ac:dyDescent="0.35">
      <c r="A7936" s="15"/>
      <c r="B7936" s="15" t="str">
        <f>CONCATENATE(G7936,"/",COUNTIF($G$2:G7936,G7936))</f>
        <v>FR-10079/1</v>
      </c>
      <c r="C7936" s="15" t="s">
        <v>43107</v>
      </c>
      <c r="D7936" s="28">
        <v>45142</v>
      </c>
      <c r="E7936" s="15" t="s">
        <v>43108</v>
      </c>
      <c r="F7936" s="87" t="s">
        <v>21871</v>
      </c>
      <c r="G7936" s="47" t="s">
        <v>18895</v>
      </c>
      <c r="H7936" s="54" t="s">
        <v>18896</v>
      </c>
      <c r="I7936" s="21" t="s">
        <v>16278</v>
      </c>
    </row>
    <row r="7937" spans="1:9" ht="36" customHeight="1" x14ac:dyDescent="0.35">
      <c r="A7937" s="15"/>
      <c r="B7937" s="15" t="str">
        <f>CONCATENATE(G7937,"/",COUNTIF($G$2:G7937,G7937))</f>
        <v>FR-10079/2</v>
      </c>
      <c r="C7937" s="15" t="s">
        <v>43109</v>
      </c>
      <c r="D7937" s="28">
        <v>45142</v>
      </c>
      <c r="E7937" s="15" t="s">
        <v>43110</v>
      </c>
      <c r="F7937" s="87" t="s">
        <v>21871</v>
      </c>
      <c r="G7937" s="47" t="s">
        <v>18895</v>
      </c>
      <c r="H7937" s="54" t="s">
        <v>18896</v>
      </c>
      <c r="I7937" s="21" t="s">
        <v>16278</v>
      </c>
    </row>
    <row r="7938" spans="1:9" ht="36" customHeight="1" x14ac:dyDescent="0.35">
      <c r="A7938" s="15"/>
      <c r="B7938" s="15" t="str">
        <f>CONCATENATE(G7938,"/",COUNTIF($G$2:G7938,G7938))</f>
        <v>FR-10079/3</v>
      </c>
      <c r="C7938" s="15" t="s">
        <v>43111</v>
      </c>
      <c r="D7938" s="28">
        <v>45142</v>
      </c>
      <c r="E7938" s="15" t="s">
        <v>43112</v>
      </c>
      <c r="F7938" s="87" t="s">
        <v>21871</v>
      </c>
      <c r="G7938" s="47" t="s">
        <v>18895</v>
      </c>
      <c r="H7938" s="54" t="s">
        <v>18896</v>
      </c>
      <c r="I7938" s="21" t="s">
        <v>16278</v>
      </c>
    </row>
    <row r="7939" spans="1:9" ht="32.5" customHeight="1" x14ac:dyDescent="0.35">
      <c r="A7939" s="15"/>
      <c r="B7939" s="15" t="str">
        <f>CONCATENATE(G7939,"/",COUNTIF($G$2:G7939,G7939))</f>
        <v>FR-10079/4</v>
      </c>
      <c r="C7939" s="15" t="s">
        <v>43113</v>
      </c>
      <c r="D7939" s="28">
        <v>45142</v>
      </c>
      <c r="E7939" s="15" t="s">
        <v>43114</v>
      </c>
      <c r="F7939" s="87" t="s">
        <v>21871</v>
      </c>
      <c r="G7939" s="47" t="s">
        <v>18895</v>
      </c>
      <c r="H7939" s="54" t="s">
        <v>18896</v>
      </c>
      <c r="I7939" s="21" t="s">
        <v>16278</v>
      </c>
    </row>
    <row r="7940" spans="1:9" ht="32.5" customHeight="1" x14ac:dyDescent="0.35">
      <c r="A7940" s="15"/>
      <c r="B7940" s="15" t="str">
        <f>CONCATENATE(G7940,"/",COUNTIF($G$2:G7940,G7940))</f>
        <v>FR-10079/5</v>
      </c>
      <c r="C7940" s="15" t="s">
        <v>43115</v>
      </c>
      <c r="D7940" s="28">
        <v>45142</v>
      </c>
      <c r="E7940" s="15" t="s">
        <v>43116</v>
      </c>
      <c r="F7940" s="87" t="s">
        <v>21871</v>
      </c>
      <c r="G7940" s="47" t="s">
        <v>18895</v>
      </c>
      <c r="H7940" s="54" t="s">
        <v>18896</v>
      </c>
      <c r="I7940" s="21" t="s">
        <v>16278</v>
      </c>
    </row>
    <row r="7941" spans="1:9" ht="32.5" customHeight="1" x14ac:dyDescent="0.35">
      <c r="A7941" s="15"/>
      <c r="B7941" s="15" t="str">
        <f>CONCATENATE(G7941,"/",COUNTIF($G$2:G7941,G7941))</f>
        <v>RO-10314/1</v>
      </c>
      <c r="C7941" s="15" t="s">
        <v>43117</v>
      </c>
      <c r="D7941" s="28">
        <v>45197</v>
      </c>
      <c r="E7941" s="71" t="s">
        <v>43118</v>
      </c>
      <c r="F7941" s="87" t="s">
        <v>21871</v>
      </c>
      <c r="G7941" s="47" t="s">
        <v>20383</v>
      </c>
      <c r="H7941" s="85" t="s">
        <v>20384</v>
      </c>
      <c r="I7941" s="69" t="s">
        <v>17638</v>
      </c>
    </row>
    <row r="7942" spans="1:9" ht="32.5" customHeight="1" x14ac:dyDescent="0.35">
      <c r="A7942" s="15"/>
      <c r="B7942" s="15" t="str">
        <f>CONCATENATE(G7942,"/",COUNTIF($G$2:G7942,G7942))</f>
        <v>BG-10433/1</v>
      </c>
      <c r="C7942" s="15" t="s">
        <v>43119</v>
      </c>
      <c r="D7942" s="28">
        <v>45184</v>
      </c>
      <c r="E7942" s="15" t="s">
        <v>43120</v>
      </c>
      <c r="F7942" s="87" t="s">
        <v>21871</v>
      </c>
      <c r="G7942" s="90" t="s">
        <v>21055</v>
      </c>
      <c r="H7942" s="85" t="s">
        <v>21056</v>
      </c>
      <c r="I7942" s="69" t="s">
        <v>17728</v>
      </c>
    </row>
    <row r="7943" spans="1:9" ht="32.5" customHeight="1" x14ac:dyDescent="0.35">
      <c r="A7943" s="15"/>
      <c r="B7943" s="15" t="str">
        <f>CONCATENATE(G7943,"/",COUNTIF($G$2:G7943,G7943))</f>
        <v>BG-10433/2</v>
      </c>
      <c r="C7943" s="15" t="s">
        <v>43121</v>
      </c>
      <c r="D7943" s="28">
        <v>45184</v>
      </c>
      <c r="E7943" s="15" t="s">
        <v>43122</v>
      </c>
      <c r="F7943" s="87" t="s">
        <v>21871</v>
      </c>
      <c r="G7943" s="90" t="s">
        <v>21055</v>
      </c>
      <c r="H7943" s="85" t="s">
        <v>21056</v>
      </c>
      <c r="I7943" s="69" t="s">
        <v>17728</v>
      </c>
    </row>
    <row r="7944" spans="1:9" ht="32.5" customHeight="1" x14ac:dyDescent="0.35">
      <c r="A7944" s="15"/>
      <c r="B7944" s="15" t="str">
        <f>CONCATENATE(G7944,"/",COUNTIF($G$2:G7944,G7944))</f>
        <v>BG-10433/3</v>
      </c>
      <c r="C7944" s="15" t="s">
        <v>43123</v>
      </c>
      <c r="D7944" s="28">
        <v>45184</v>
      </c>
      <c r="E7944" s="15" t="s">
        <v>43124</v>
      </c>
      <c r="F7944" s="87" t="s">
        <v>21871</v>
      </c>
      <c r="G7944" s="90" t="s">
        <v>21055</v>
      </c>
      <c r="H7944" s="85" t="s">
        <v>21056</v>
      </c>
      <c r="I7944" s="69" t="s">
        <v>17728</v>
      </c>
    </row>
    <row r="7945" spans="1:9" ht="32.5" customHeight="1" x14ac:dyDescent="0.35">
      <c r="A7945" s="15"/>
      <c r="B7945" s="15" t="str">
        <f>CONCATENATE(G7945,"/",COUNTIF($G$2:G7945,G7945))</f>
        <v>BG-10433/4</v>
      </c>
      <c r="C7945" s="15" t="s">
        <v>43125</v>
      </c>
      <c r="D7945" s="28">
        <v>45184</v>
      </c>
      <c r="E7945" s="15" t="s">
        <v>43126</v>
      </c>
      <c r="F7945" s="87" t="s">
        <v>21871</v>
      </c>
      <c r="G7945" s="90" t="s">
        <v>21055</v>
      </c>
      <c r="H7945" s="85" t="s">
        <v>21056</v>
      </c>
      <c r="I7945" s="69" t="s">
        <v>17728</v>
      </c>
    </row>
    <row r="7946" spans="1:9" ht="32.5" customHeight="1" x14ac:dyDescent="0.35">
      <c r="A7946" s="15"/>
      <c r="B7946" s="15" t="str">
        <f>CONCATENATE(G7946,"/",COUNTIF($G$2:G7946,G7946))</f>
        <v>BG-10433/5</v>
      </c>
      <c r="C7946" s="15" t="s">
        <v>43127</v>
      </c>
      <c r="D7946" s="28">
        <v>45184</v>
      </c>
      <c r="E7946" s="15" t="s">
        <v>43128</v>
      </c>
      <c r="F7946" s="87" t="s">
        <v>21871</v>
      </c>
      <c r="G7946" s="90" t="s">
        <v>21055</v>
      </c>
      <c r="H7946" s="85" t="s">
        <v>21056</v>
      </c>
      <c r="I7946" s="69" t="s">
        <v>17728</v>
      </c>
    </row>
    <row r="7947" spans="1:9" ht="32.5" customHeight="1" x14ac:dyDescent="0.35">
      <c r="A7947" s="15"/>
      <c r="B7947" s="15" t="str">
        <f>CONCATENATE(G7947,"/",COUNTIF($G$2:G7947,G7947))</f>
        <v>BG-10433/6</v>
      </c>
      <c r="C7947" s="15" t="s">
        <v>43129</v>
      </c>
      <c r="D7947" s="28">
        <v>45184</v>
      </c>
      <c r="E7947" s="15" t="s">
        <v>43130</v>
      </c>
      <c r="F7947" s="87" t="s">
        <v>21871</v>
      </c>
      <c r="G7947" s="90" t="s">
        <v>21055</v>
      </c>
      <c r="H7947" s="85" t="s">
        <v>21056</v>
      </c>
      <c r="I7947" s="69" t="s">
        <v>17728</v>
      </c>
    </row>
    <row r="7948" spans="1:9" ht="36.65" customHeight="1" x14ac:dyDescent="0.35">
      <c r="A7948" s="15"/>
      <c r="B7948" s="15" t="str">
        <f>CONCATENATE(G7948,"/",COUNTIF($G$2:G7948,G7948))</f>
        <v>RO-10329/1</v>
      </c>
      <c r="C7948" s="15" t="s">
        <v>43131</v>
      </c>
      <c r="D7948" s="28">
        <v>45215</v>
      </c>
      <c r="E7948" s="15" t="s">
        <v>43132</v>
      </c>
      <c r="F7948" s="87" t="s">
        <v>21871</v>
      </c>
      <c r="G7948" s="91" t="s">
        <v>20466</v>
      </c>
      <c r="H7948" s="85" t="s">
        <v>20467</v>
      </c>
      <c r="I7948" s="69" t="s">
        <v>17638</v>
      </c>
    </row>
    <row r="7949" spans="1:9" ht="21.65" customHeight="1" x14ac:dyDescent="0.35">
      <c r="A7949" s="15"/>
      <c r="B7949" s="15" t="str">
        <f>CONCATENATE(G7949,"/",COUNTIF($G$2:G7949,G7949))</f>
        <v>PL-10352/1</v>
      </c>
      <c r="C7949" s="15" t="s">
        <v>43133</v>
      </c>
      <c r="D7949" s="28">
        <v>44868</v>
      </c>
      <c r="E7949" s="15" t="s">
        <v>43134</v>
      </c>
      <c r="F7949" s="87" t="s">
        <v>21871</v>
      </c>
      <c r="G7949" s="91" t="s">
        <v>20479</v>
      </c>
      <c r="H7949" s="85" t="s">
        <v>20480</v>
      </c>
      <c r="I7949" s="69" t="s">
        <v>17018</v>
      </c>
    </row>
    <row r="7950" spans="1:9" ht="21.65" customHeight="1" x14ac:dyDescent="0.35">
      <c r="A7950" s="15"/>
      <c r="B7950" s="15" t="str">
        <f>CONCATENATE(G7950,"/",COUNTIF($G$2:G7950,G7950))</f>
        <v>PL-10352/2</v>
      </c>
      <c r="C7950" s="15" t="s">
        <v>43135</v>
      </c>
      <c r="D7950" s="43">
        <v>45176</v>
      </c>
      <c r="E7950" s="15" t="s">
        <v>43136</v>
      </c>
      <c r="F7950" s="87" t="s">
        <v>21871</v>
      </c>
      <c r="G7950" s="91" t="s">
        <v>20479</v>
      </c>
      <c r="H7950" s="85" t="s">
        <v>20480</v>
      </c>
      <c r="I7950" s="69" t="s">
        <v>17018</v>
      </c>
    </row>
    <row r="7951" spans="1:9" ht="21.65" customHeight="1" x14ac:dyDescent="0.35">
      <c r="A7951" s="15"/>
      <c r="B7951" s="15" t="str">
        <f>CONCATENATE(G7951,"/",COUNTIF($G$2:G7951,G7951))</f>
        <v>PL-10352/3</v>
      </c>
      <c r="C7951" s="15" t="s">
        <v>43137</v>
      </c>
      <c r="D7951" s="43">
        <v>45176</v>
      </c>
      <c r="E7951" s="15" t="s">
        <v>43138</v>
      </c>
      <c r="F7951" s="87" t="s">
        <v>21871</v>
      </c>
      <c r="G7951" s="91" t="s">
        <v>20479</v>
      </c>
      <c r="H7951" s="85" t="s">
        <v>20480</v>
      </c>
      <c r="I7951" s="69" t="s">
        <v>17018</v>
      </c>
    </row>
    <row r="7952" spans="1:9" ht="21.65" customHeight="1" x14ac:dyDescent="0.35">
      <c r="A7952" s="15"/>
      <c r="B7952" s="15" t="str">
        <f>CONCATENATE(G7952,"/",COUNTIF($G$2:G7952,G7952))</f>
        <v>PL-10352/4</v>
      </c>
      <c r="C7952" s="15" t="s">
        <v>43139</v>
      </c>
      <c r="D7952" s="43">
        <v>45176</v>
      </c>
      <c r="E7952" s="15" t="s">
        <v>43140</v>
      </c>
      <c r="F7952" s="87" t="s">
        <v>21871</v>
      </c>
      <c r="G7952" s="91" t="s">
        <v>20479</v>
      </c>
      <c r="H7952" s="85" t="s">
        <v>20480</v>
      </c>
      <c r="I7952" s="69" t="s">
        <v>17018</v>
      </c>
    </row>
    <row r="7953" spans="1:9" ht="21.65" customHeight="1" x14ac:dyDescent="0.35">
      <c r="A7953" s="15"/>
      <c r="B7953" s="15" t="str">
        <f>CONCATENATE(G7953,"/",COUNTIF($G$2:G7953,G7953))</f>
        <v>PL-10352/5</v>
      </c>
      <c r="C7953" s="15" t="s">
        <v>43141</v>
      </c>
      <c r="D7953" s="43">
        <v>45176</v>
      </c>
      <c r="E7953" s="15" t="s">
        <v>43142</v>
      </c>
      <c r="F7953" s="87" t="s">
        <v>21871</v>
      </c>
      <c r="G7953" s="91" t="s">
        <v>20479</v>
      </c>
      <c r="H7953" s="85" t="s">
        <v>20480</v>
      </c>
      <c r="I7953" s="69" t="s">
        <v>17018</v>
      </c>
    </row>
    <row r="7954" spans="1:9" ht="21.65" customHeight="1" x14ac:dyDescent="0.35">
      <c r="A7954" s="15"/>
      <c r="B7954" s="15" t="str">
        <f>CONCATENATE(G7954,"/",COUNTIF($G$2:G7954,G7954))</f>
        <v>PL-10352/6</v>
      </c>
      <c r="C7954" s="15" t="s">
        <v>43143</v>
      </c>
      <c r="D7954" s="43">
        <v>45176</v>
      </c>
      <c r="E7954" s="15" t="s">
        <v>43144</v>
      </c>
      <c r="F7954" s="87" t="s">
        <v>21871</v>
      </c>
      <c r="G7954" s="91" t="s">
        <v>20479</v>
      </c>
      <c r="H7954" s="85" t="s">
        <v>20480</v>
      </c>
      <c r="I7954" s="69" t="s">
        <v>17018</v>
      </c>
    </row>
    <row r="7955" spans="1:9" ht="32.15" customHeight="1" x14ac:dyDescent="0.35">
      <c r="A7955" s="15"/>
      <c r="B7955" s="15" t="str">
        <f>CONCATENATE(G7955,"/",COUNTIF($G$2:G7955,G7955))</f>
        <v>IT-10276/1</v>
      </c>
      <c r="C7955" s="15" t="s">
        <v>43145</v>
      </c>
      <c r="D7955" s="43">
        <v>45194</v>
      </c>
      <c r="E7955" s="15" t="s">
        <v>43146</v>
      </c>
      <c r="F7955" s="87" t="s">
        <v>21871</v>
      </c>
      <c r="G7955" s="91" t="s">
        <v>19854</v>
      </c>
      <c r="H7955" s="54" t="s">
        <v>19855</v>
      </c>
      <c r="I7955" s="5" t="s">
        <v>18076</v>
      </c>
    </row>
    <row r="7956" spans="1:9" ht="32.15" customHeight="1" x14ac:dyDescent="0.35">
      <c r="A7956" s="15"/>
      <c r="B7956" s="15" t="str">
        <f>CONCATENATE(G7956,"/",COUNTIF($G$2:G7956,G7956))</f>
        <v>IT-10276/2</v>
      </c>
      <c r="C7956" s="15" t="s">
        <v>43147</v>
      </c>
      <c r="D7956" s="43">
        <v>45194</v>
      </c>
      <c r="E7956" s="15" t="s">
        <v>43148</v>
      </c>
      <c r="F7956" s="87" t="s">
        <v>21871</v>
      </c>
      <c r="G7956" s="91" t="s">
        <v>19854</v>
      </c>
      <c r="H7956" s="54" t="s">
        <v>19855</v>
      </c>
      <c r="I7956" s="5" t="s">
        <v>18076</v>
      </c>
    </row>
    <row r="7957" spans="1:9" ht="32.15" customHeight="1" x14ac:dyDescent="0.35">
      <c r="A7957" s="15"/>
      <c r="B7957" s="15" t="str">
        <f>CONCATENATE(G7957,"/",COUNTIF($G$2:G7957,G7957))</f>
        <v>IT-10276/3</v>
      </c>
      <c r="C7957" s="15" t="s">
        <v>43149</v>
      </c>
      <c r="D7957" s="43">
        <v>45194</v>
      </c>
      <c r="E7957" s="15" t="s">
        <v>43150</v>
      </c>
      <c r="F7957" s="87" t="s">
        <v>21871</v>
      </c>
      <c r="G7957" s="91" t="s">
        <v>19854</v>
      </c>
      <c r="H7957" s="54" t="s">
        <v>19855</v>
      </c>
      <c r="I7957" s="5" t="s">
        <v>18076</v>
      </c>
    </row>
    <row r="7958" spans="1:9" ht="32.15" customHeight="1" x14ac:dyDescent="0.35">
      <c r="A7958" s="15"/>
      <c r="B7958" s="15" t="str">
        <f>CONCATENATE(G7958,"/",COUNTIF($G$2:G7958,G7958))</f>
        <v>IT-10276/4</v>
      </c>
      <c r="C7958" s="15" t="s">
        <v>43151</v>
      </c>
      <c r="D7958" s="43">
        <v>45194</v>
      </c>
      <c r="E7958" s="15" t="s">
        <v>43152</v>
      </c>
      <c r="F7958" s="87" t="s">
        <v>21871</v>
      </c>
      <c r="G7958" s="91" t="s">
        <v>19854</v>
      </c>
      <c r="H7958" s="54" t="s">
        <v>19855</v>
      </c>
      <c r="I7958" s="5" t="s">
        <v>18076</v>
      </c>
    </row>
    <row r="7959" spans="1:9" ht="32.15" customHeight="1" x14ac:dyDescent="0.35">
      <c r="A7959" s="15"/>
      <c r="B7959" s="15" t="str">
        <f>CONCATENATE(G7959,"/",COUNTIF($G$2:G7959,G7959))</f>
        <v>IT-10276/5</v>
      </c>
      <c r="C7959" s="15" t="s">
        <v>43153</v>
      </c>
      <c r="D7959" s="43">
        <v>45194</v>
      </c>
      <c r="E7959" s="15" t="s">
        <v>43154</v>
      </c>
      <c r="F7959" s="87" t="s">
        <v>21871</v>
      </c>
      <c r="G7959" s="91" t="s">
        <v>19854</v>
      </c>
      <c r="H7959" s="54" t="s">
        <v>19855</v>
      </c>
      <c r="I7959" s="5" t="s">
        <v>18076</v>
      </c>
    </row>
    <row r="7960" spans="1:9" ht="32.15" customHeight="1" x14ac:dyDescent="0.35">
      <c r="A7960" s="15"/>
      <c r="B7960" s="15" t="str">
        <f>CONCATENATE(G7960,"/",COUNTIF($G$2:G7960,G7960))</f>
        <v>IT-10276/6</v>
      </c>
      <c r="C7960" s="15" t="s">
        <v>43155</v>
      </c>
      <c r="D7960" s="43">
        <v>45194</v>
      </c>
      <c r="E7960" s="15" t="s">
        <v>43156</v>
      </c>
      <c r="F7960" s="87" t="s">
        <v>21871</v>
      </c>
      <c r="G7960" s="91" t="s">
        <v>19854</v>
      </c>
      <c r="H7960" s="54" t="s">
        <v>19855</v>
      </c>
      <c r="I7960" s="5" t="s">
        <v>18076</v>
      </c>
    </row>
    <row r="7961" spans="1:9" ht="32.15" customHeight="1" x14ac:dyDescent="0.35">
      <c r="A7961" s="15"/>
      <c r="B7961" s="15" t="str">
        <f>CONCATENATE(G7961,"/",COUNTIF($G$2:G7961,G7961))</f>
        <v>IT-10276/7</v>
      </c>
      <c r="C7961" s="15" t="s">
        <v>43157</v>
      </c>
      <c r="D7961" s="43">
        <v>45194</v>
      </c>
      <c r="E7961" s="15" t="s">
        <v>43158</v>
      </c>
      <c r="F7961" s="87" t="s">
        <v>21871</v>
      </c>
      <c r="G7961" s="91" t="s">
        <v>19854</v>
      </c>
      <c r="H7961" s="54" t="s">
        <v>19855</v>
      </c>
      <c r="I7961" s="5" t="s">
        <v>18076</v>
      </c>
    </row>
    <row r="7962" spans="1:9" ht="31.5" customHeight="1" x14ac:dyDescent="0.35">
      <c r="A7962" s="15"/>
      <c r="B7962" s="15" t="str">
        <f>CONCATENATE(G7962,"/",COUNTIF($G$2:G7962,G7962))</f>
        <v>CZ-10332/1</v>
      </c>
      <c r="C7962" s="15" t="s">
        <v>21892</v>
      </c>
      <c r="D7962" s="43">
        <v>45236</v>
      </c>
      <c r="E7962" s="15" t="s">
        <v>43159</v>
      </c>
      <c r="F7962" s="87" t="s">
        <v>21871</v>
      </c>
      <c r="G7962" s="92" t="s">
        <v>20513</v>
      </c>
      <c r="H7962" s="85" t="s">
        <v>20514</v>
      </c>
      <c r="I7962" s="69" t="s">
        <v>16397</v>
      </c>
    </row>
    <row r="7963" spans="1:9" ht="34" customHeight="1" x14ac:dyDescent="0.35">
      <c r="A7963" s="15"/>
      <c r="B7963" s="15" t="str">
        <f>CONCATENATE(G7963,"/",COUNTIF($G$2:G7963,G7963))</f>
        <v>CZ-10414/1</v>
      </c>
      <c r="C7963" s="15">
        <v>1</v>
      </c>
      <c r="D7963" s="43">
        <v>45254</v>
      </c>
      <c r="E7963" s="15" t="s">
        <v>43160</v>
      </c>
      <c r="F7963" s="87" t="s">
        <v>21871</v>
      </c>
      <c r="G7963" s="91" t="s">
        <v>20985</v>
      </c>
      <c r="H7963" s="85" t="s">
        <v>20986</v>
      </c>
      <c r="I7963" s="69" t="s">
        <v>16397</v>
      </c>
    </row>
    <row r="7964" spans="1:9" ht="34" customHeight="1" x14ac:dyDescent="0.35">
      <c r="A7964" s="15"/>
      <c r="B7964" s="15" t="str">
        <f>CONCATENATE(G7964,"/",COUNTIF($G$2:G7964,G7964))</f>
        <v>CZ-10414/2</v>
      </c>
      <c r="C7964" s="15">
        <v>2</v>
      </c>
      <c r="D7964" s="43">
        <v>45254</v>
      </c>
      <c r="E7964" s="15" t="s">
        <v>43161</v>
      </c>
      <c r="F7964" s="87" t="s">
        <v>21871</v>
      </c>
      <c r="G7964" s="91" t="s">
        <v>20985</v>
      </c>
      <c r="H7964" s="85" t="s">
        <v>20986</v>
      </c>
      <c r="I7964" s="69" t="s">
        <v>16397</v>
      </c>
    </row>
    <row r="7965" spans="1:9" ht="34" customHeight="1" x14ac:dyDescent="0.35">
      <c r="A7965" s="15"/>
      <c r="B7965" s="15" t="str">
        <f>CONCATENATE(G7965,"/",COUNTIF($G$2:G7965,G7965))</f>
        <v>CZ-10414/3</v>
      </c>
      <c r="C7965" s="15">
        <v>3</v>
      </c>
      <c r="D7965" s="43">
        <v>45254</v>
      </c>
      <c r="E7965" s="15" t="s">
        <v>43162</v>
      </c>
      <c r="F7965" s="87" t="s">
        <v>21871</v>
      </c>
      <c r="G7965" s="91" t="s">
        <v>20985</v>
      </c>
      <c r="H7965" s="85" t="s">
        <v>20986</v>
      </c>
      <c r="I7965" s="69" t="s">
        <v>16397</v>
      </c>
    </row>
    <row r="7966" spans="1:9" ht="31" customHeight="1" x14ac:dyDescent="0.35">
      <c r="A7966" s="15"/>
      <c r="B7966" s="15" t="str">
        <f>CONCATENATE(G7966,"/",COUNTIF($G$2:G7966,G7966))</f>
        <v>IT-10270/1</v>
      </c>
      <c r="C7966" s="15" t="s">
        <v>43163</v>
      </c>
      <c r="D7966" s="43">
        <v>45236</v>
      </c>
      <c r="E7966" s="15" t="s">
        <v>43164</v>
      </c>
      <c r="F7966" s="87" t="s">
        <v>21871</v>
      </c>
      <c r="G7966" s="91" t="s">
        <v>20067</v>
      </c>
      <c r="H7966" s="54" t="s">
        <v>20068</v>
      </c>
      <c r="I7966" s="5" t="s">
        <v>18076</v>
      </c>
    </row>
    <row r="7967" spans="1:9" ht="31" customHeight="1" x14ac:dyDescent="0.35">
      <c r="A7967" s="15"/>
      <c r="B7967" s="15" t="str">
        <f>CONCATENATE(G7967,"/",COUNTIF($G$2:G7967,G7967))</f>
        <v>IT-10270/2</v>
      </c>
      <c r="C7967" s="15" t="s">
        <v>43165</v>
      </c>
      <c r="D7967" s="43">
        <v>45236</v>
      </c>
      <c r="E7967" s="15" t="s">
        <v>43166</v>
      </c>
      <c r="F7967" s="87" t="s">
        <v>21871</v>
      </c>
      <c r="G7967" s="91" t="s">
        <v>20067</v>
      </c>
      <c r="H7967" s="54" t="s">
        <v>20068</v>
      </c>
      <c r="I7967" s="5" t="s">
        <v>18076</v>
      </c>
    </row>
    <row r="7968" spans="1:9" ht="31" customHeight="1" x14ac:dyDescent="0.35">
      <c r="A7968" s="15"/>
      <c r="B7968" s="15" t="str">
        <f>CONCATENATE(G7968,"/",COUNTIF($G$2:G7968,G7968))</f>
        <v>IT-10270/3</v>
      </c>
      <c r="C7968" s="15" t="s">
        <v>43167</v>
      </c>
      <c r="D7968" s="43">
        <v>45236</v>
      </c>
      <c r="E7968" s="15" t="s">
        <v>43168</v>
      </c>
      <c r="F7968" s="87" t="s">
        <v>21871</v>
      </c>
      <c r="G7968" s="91" t="s">
        <v>20067</v>
      </c>
      <c r="H7968" s="54" t="s">
        <v>20068</v>
      </c>
      <c r="I7968" s="5" t="s">
        <v>18076</v>
      </c>
    </row>
    <row r="7969" spans="1:9" ht="31" customHeight="1" x14ac:dyDescent="0.35">
      <c r="A7969" s="15"/>
      <c r="B7969" s="15" t="str">
        <f>CONCATENATE(G7969,"/",COUNTIF($G$2:G7969,G7969))</f>
        <v>IT-10270/4</v>
      </c>
      <c r="C7969" s="15" t="s">
        <v>43169</v>
      </c>
      <c r="D7969" s="43">
        <v>45236</v>
      </c>
      <c r="E7969" s="15" t="s">
        <v>43170</v>
      </c>
      <c r="F7969" s="87" t="s">
        <v>21871</v>
      </c>
      <c r="G7969" s="91" t="s">
        <v>20067</v>
      </c>
      <c r="H7969" s="54" t="s">
        <v>20068</v>
      </c>
      <c r="I7969" s="5" t="s">
        <v>18076</v>
      </c>
    </row>
    <row r="7970" spans="1:9" ht="31" customHeight="1" x14ac:dyDescent="0.35">
      <c r="A7970" s="15"/>
      <c r="B7970" s="15" t="str">
        <f>CONCATENATE(G7970,"/",COUNTIF($G$2:G7970,G7970))</f>
        <v>IT-10270/5</v>
      </c>
      <c r="C7970" s="15" t="s">
        <v>43171</v>
      </c>
      <c r="D7970" s="43">
        <v>45236</v>
      </c>
      <c r="E7970" s="15" t="s">
        <v>43172</v>
      </c>
      <c r="F7970" s="87" t="s">
        <v>21871</v>
      </c>
      <c r="G7970" s="91" t="s">
        <v>20067</v>
      </c>
      <c r="H7970" s="54" t="s">
        <v>20068</v>
      </c>
      <c r="I7970" s="5" t="s">
        <v>18076</v>
      </c>
    </row>
    <row r="7971" spans="1:9" ht="32.5" customHeight="1" x14ac:dyDescent="0.35">
      <c r="A7971" s="15"/>
      <c r="B7971" s="15" t="str">
        <f>CONCATENATE(G7971,"/",COUNTIF($G$2:G7971,G7971))</f>
        <v>RO-10344/1</v>
      </c>
      <c r="C7971" s="15" t="s">
        <v>43173</v>
      </c>
      <c r="D7971" s="43">
        <v>45258</v>
      </c>
      <c r="E7971" s="15" t="s">
        <v>43174</v>
      </c>
      <c r="F7971" s="87" t="s">
        <v>21871</v>
      </c>
      <c r="G7971" s="91" t="s">
        <v>20588</v>
      </c>
      <c r="H7971" s="85" t="s">
        <v>20589</v>
      </c>
      <c r="I7971" s="69" t="s">
        <v>17638</v>
      </c>
    </row>
    <row r="7972" spans="1:9" ht="32.5" customHeight="1" x14ac:dyDescent="0.35">
      <c r="A7972" s="15"/>
      <c r="B7972" s="15" t="str">
        <f>CONCATENATE(G7972,"/",COUNTIF($G$2:G7972,G7972))</f>
        <v>RO-10344/2</v>
      </c>
      <c r="C7972" s="15" t="s">
        <v>43175</v>
      </c>
      <c r="D7972" s="43">
        <v>45258</v>
      </c>
      <c r="E7972" s="15" t="s">
        <v>43176</v>
      </c>
      <c r="F7972" s="87" t="s">
        <v>21871</v>
      </c>
      <c r="G7972" s="91" t="s">
        <v>20588</v>
      </c>
      <c r="H7972" s="85" t="s">
        <v>20589</v>
      </c>
      <c r="I7972" s="69" t="s">
        <v>17638</v>
      </c>
    </row>
    <row r="7973" spans="1:9" ht="30.65" customHeight="1" x14ac:dyDescent="0.35">
      <c r="A7973" s="15"/>
      <c r="B7973" s="15" t="str">
        <f>CONCATENATE(G7973,"/",COUNTIF($G$2:G7973,G7973))</f>
        <v>IT-10335/1</v>
      </c>
      <c r="C7973" s="15" t="s">
        <v>43177</v>
      </c>
      <c r="D7973" s="43">
        <v>45240</v>
      </c>
      <c r="E7973" s="15" t="s">
        <v>43178</v>
      </c>
      <c r="F7973" s="87" t="s">
        <v>21871</v>
      </c>
      <c r="G7973" s="91" t="s">
        <v>20504</v>
      </c>
      <c r="H7973" s="85" t="s">
        <v>20505</v>
      </c>
      <c r="I7973" s="69" t="s">
        <v>18076</v>
      </c>
    </row>
    <row r="7974" spans="1:9" ht="30.65" customHeight="1" x14ac:dyDescent="0.35">
      <c r="A7974" s="15"/>
      <c r="B7974" s="15" t="str">
        <f>CONCATENATE(G7974,"/",COUNTIF($G$2:G7974,G7974))</f>
        <v>IT-10335/2</v>
      </c>
      <c r="C7974" s="15" t="s">
        <v>43179</v>
      </c>
      <c r="D7974" s="43">
        <v>45240</v>
      </c>
      <c r="E7974" s="15" t="s">
        <v>43180</v>
      </c>
      <c r="F7974" s="87" t="s">
        <v>21871</v>
      </c>
      <c r="G7974" s="91" t="s">
        <v>20504</v>
      </c>
      <c r="H7974" s="85" t="s">
        <v>20505</v>
      </c>
      <c r="I7974" s="69" t="s">
        <v>18076</v>
      </c>
    </row>
    <row r="7975" spans="1:9" ht="30.65" customHeight="1" x14ac:dyDescent="0.35">
      <c r="A7975" s="15"/>
      <c r="B7975" s="15" t="str">
        <f>CONCATENATE(G7975,"/",COUNTIF($G$2:G7975,G7975))</f>
        <v>IT-10335/3</v>
      </c>
      <c r="C7975" s="15" t="s">
        <v>43181</v>
      </c>
      <c r="D7975" s="43">
        <v>45240</v>
      </c>
      <c r="E7975" s="15" t="s">
        <v>43182</v>
      </c>
      <c r="F7975" s="87" t="s">
        <v>21871</v>
      </c>
      <c r="G7975" s="91" t="s">
        <v>20504</v>
      </c>
      <c r="H7975" s="85" t="s">
        <v>20505</v>
      </c>
      <c r="I7975" s="69" t="s">
        <v>18076</v>
      </c>
    </row>
    <row r="7976" spans="1:9" ht="30.65" customHeight="1" x14ac:dyDescent="0.35">
      <c r="A7976" s="15"/>
      <c r="B7976" s="15" t="str">
        <f>CONCATENATE(G7976,"/",COUNTIF($G$2:G7976,G7976))</f>
        <v>IT-10335/4</v>
      </c>
      <c r="C7976" s="15" t="s">
        <v>43183</v>
      </c>
      <c r="D7976" s="43">
        <v>45240</v>
      </c>
      <c r="E7976" s="15" t="s">
        <v>43184</v>
      </c>
      <c r="F7976" s="87" t="s">
        <v>21871</v>
      </c>
      <c r="G7976" s="91" t="s">
        <v>20504</v>
      </c>
      <c r="H7976" s="85" t="s">
        <v>20505</v>
      </c>
      <c r="I7976" s="69" t="s">
        <v>18076</v>
      </c>
    </row>
    <row r="7977" spans="1:9" ht="30.65" customHeight="1" x14ac:dyDescent="0.35">
      <c r="A7977" s="15"/>
      <c r="B7977" s="15" t="str">
        <f>CONCATENATE(G7977,"/",COUNTIF($G$2:G7977,G7977))</f>
        <v>IT-10335/5</v>
      </c>
      <c r="C7977" s="15" t="s">
        <v>43185</v>
      </c>
      <c r="D7977" s="43">
        <v>45240</v>
      </c>
      <c r="E7977" s="15" t="s">
        <v>43186</v>
      </c>
      <c r="F7977" s="87" t="s">
        <v>21871</v>
      </c>
      <c r="G7977" s="91" t="s">
        <v>20504</v>
      </c>
      <c r="H7977" s="85" t="s">
        <v>20505</v>
      </c>
      <c r="I7977" s="69" t="s">
        <v>18076</v>
      </c>
    </row>
    <row r="7978" spans="1:9" ht="32.15" customHeight="1" x14ac:dyDescent="0.35">
      <c r="A7978" s="15"/>
      <c r="B7978" s="15" t="str">
        <f>CONCATENATE(G7978,"/",COUNTIF($G$2:G7978,G7978))</f>
        <v>PT-10369/1</v>
      </c>
      <c r="C7978" s="15" t="s">
        <v>43187</v>
      </c>
      <c r="D7978" s="43">
        <v>45273</v>
      </c>
      <c r="E7978" s="15" t="s">
        <v>43188</v>
      </c>
      <c r="F7978" s="87" t="s">
        <v>21871</v>
      </c>
      <c r="G7978" s="91" t="s">
        <v>20498</v>
      </c>
      <c r="H7978" s="85" t="s">
        <v>20499</v>
      </c>
      <c r="I7978" s="69" t="s">
        <v>16662</v>
      </c>
    </row>
    <row r="7979" spans="1:9" ht="32.15" customHeight="1" x14ac:dyDescent="0.35">
      <c r="A7979" s="15"/>
      <c r="B7979" s="15" t="str">
        <f>CONCATENATE(G7979,"/",COUNTIF($G$2:G7979,G7979))</f>
        <v>PT-10369/2</v>
      </c>
      <c r="C7979" s="15" t="s">
        <v>43189</v>
      </c>
      <c r="D7979" s="43">
        <v>45273</v>
      </c>
      <c r="E7979" s="15" t="s">
        <v>43190</v>
      </c>
      <c r="F7979" s="87" t="s">
        <v>21871</v>
      </c>
      <c r="G7979" s="91" t="s">
        <v>20498</v>
      </c>
      <c r="H7979" s="85" t="s">
        <v>20499</v>
      </c>
      <c r="I7979" s="69" t="s">
        <v>16662</v>
      </c>
    </row>
    <row r="7980" spans="1:9" ht="32.15" customHeight="1" x14ac:dyDescent="0.35">
      <c r="A7980" s="15"/>
      <c r="B7980" s="15" t="str">
        <f>CONCATENATE(G7980,"/",COUNTIF($G$2:G7980,G7980))</f>
        <v>PT-10369/3</v>
      </c>
      <c r="C7980" s="15" t="s">
        <v>43191</v>
      </c>
      <c r="D7980" s="43">
        <v>45273</v>
      </c>
      <c r="E7980" s="15" t="s">
        <v>43192</v>
      </c>
      <c r="F7980" s="87" t="s">
        <v>21871</v>
      </c>
      <c r="G7980" s="91" t="s">
        <v>20498</v>
      </c>
      <c r="H7980" s="85" t="s">
        <v>20499</v>
      </c>
      <c r="I7980" s="69" t="s">
        <v>16662</v>
      </c>
    </row>
    <row r="7981" spans="1:9" ht="32.15" customHeight="1" x14ac:dyDescent="0.35">
      <c r="A7981" s="15"/>
      <c r="B7981" s="15" t="str">
        <f>CONCATENATE(G7981,"/",COUNTIF($G$2:G7981,G7981))</f>
        <v>PT-10369/4</v>
      </c>
      <c r="C7981" s="15" t="s">
        <v>43193</v>
      </c>
      <c r="D7981" s="43">
        <v>45273</v>
      </c>
      <c r="E7981" s="15" t="s">
        <v>43194</v>
      </c>
      <c r="F7981" s="87" t="s">
        <v>21871</v>
      </c>
      <c r="G7981" s="91" t="s">
        <v>20498</v>
      </c>
      <c r="H7981" s="85" t="s">
        <v>20499</v>
      </c>
      <c r="I7981" s="69" t="s">
        <v>16662</v>
      </c>
    </row>
    <row r="7982" spans="1:9" ht="33.65" customHeight="1" x14ac:dyDescent="0.35">
      <c r="A7982" s="15"/>
      <c r="B7982" s="15" t="str">
        <f>CONCATENATE(G7982,"/",COUNTIF($G$2:G7982,G7982))</f>
        <v>CZ-10347/1</v>
      </c>
      <c r="C7982" s="15" t="s">
        <v>21892</v>
      </c>
      <c r="D7982" s="43">
        <v>45275</v>
      </c>
      <c r="E7982" s="15" t="s">
        <v>43195</v>
      </c>
      <c r="F7982" s="87" t="s">
        <v>21871</v>
      </c>
      <c r="G7982" s="91" t="s">
        <v>20612</v>
      </c>
      <c r="H7982" s="85" t="s">
        <v>20613</v>
      </c>
      <c r="I7982" s="69" t="s">
        <v>16397</v>
      </c>
    </row>
    <row r="7983" spans="1:9" ht="33.65" customHeight="1" x14ac:dyDescent="0.35">
      <c r="A7983" s="15"/>
      <c r="B7983" s="15" t="str">
        <f>CONCATENATE(G7983,"/",COUNTIF($G$2:G7983,G7983))</f>
        <v>IT-10253/1</v>
      </c>
      <c r="C7983" s="15" t="s">
        <v>43196</v>
      </c>
      <c r="D7983" s="43" t="s">
        <v>43197</v>
      </c>
      <c r="E7983" s="15" t="s">
        <v>43198</v>
      </c>
      <c r="F7983" s="87" t="s">
        <v>21871</v>
      </c>
      <c r="G7983" s="91" t="s">
        <v>19650</v>
      </c>
      <c r="H7983" s="76" t="s">
        <v>19651</v>
      </c>
      <c r="I7983" s="21" t="s">
        <v>18076</v>
      </c>
    </row>
    <row r="7984" spans="1:9" ht="33.65" customHeight="1" x14ac:dyDescent="0.35">
      <c r="A7984" s="15"/>
      <c r="B7984" s="15" t="str">
        <f>CONCATENATE(G7984,"/",COUNTIF($G$2:G7984,G7984))</f>
        <v>IT-10253/2</v>
      </c>
      <c r="C7984" s="15" t="s">
        <v>43199</v>
      </c>
      <c r="D7984" s="43" t="s">
        <v>43197</v>
      </c>
      <c r="E7984" s="15" t="s">
        <v>43200</v>
      </c>
      <c r="F7984" s="87" t="s">
        <v>21871</v>
      </c>
      <c r="G7984" s="91" t="s">
        <v>19650</v>
      </c>
      <c r="H7984" s="76" t="s">
        <v>19651</v>
      </c>
      <c r="I7984" s="21" t="s">
        <v>18076</v>
      </c>
    </row>
    <row r="7985" spans="1:9" ht="33.65" customHeight="1" x14ac:dyDescent="0.35">
      <c r="A7985" s="15"/>
      <c r="B7985" s="15" t="str">
        <f>CONCATENATE(G7985,"/",COUNTIF($G$2:G7985,G7985))</f>
        <v>IT-10253/3</v>
      </c>
      <c r="C7985" s="15" t="s">
        <v>43201</v>
      </c>
      <c r="D7985" s="43" t="s">
        <v>43197</v>
      </c>
      <c r="E7985" s="15" t="s">
        <v>43202</v>
      </c>
      <c r="F7985" s="87" t="s">
        <v>21871</v>
      </c>
      <c r="G7985" s="91" t="s">
        <v>19650</v>
      </c>
      <c r="H7985" s="76" t="s">
        <v>19651</v>
      </c>
      <c r="I7985" s="21" t="s">
        <v>18076</v>
      </c>
    </row>
    <row r="7986" spans="1:9" ht="35.15" customHeight="1" x14ac:dyDescent="0.35">
      <c r="A7986" s="15"/>
      <c r="B7986" s="15" t="str">
        <f>CONCATENATE(G7986,"/",COUNTIF($G$2:G7986,G7986))</f>
        <v>CZ-10417/1</v>
      </c>
      <c r="C7986" s="15">
        <v>1</v>
      </c>
      <c r="D7986" s="43">
        <v>45279</v>
      </c>
      <c r="E7986" s="15" t="s">
        <v>43203</v>
      </c>
      <c r="F7986" s="87" t="s">
        <v>21871</v>
      </c>
      <c r="G7986" s="91" t="s">
        <v>20991</v>
      </c>
      <c r="H7986" s="85" t="s">
        <v>20992</v>
      </c>
      <c r="I7986" s="69" t="s">
        <v>16397</v>
      </c>
    </row>
    <row r="7987" spans="1:9" ht="26.15" customHeight="1" x14ac:dyDescent="0.35">
      <c r="A7987" s="15"/>
      <c r="B7987" s="15" t="str">
        <f>CONCATENATE(G7987,"/",COUNTIF($G$2:G7987,G7987))</f>
        <v>PL-10357/1</v>
      </c>
      <c r="C7987" s="15" t="s">
        <v>43133</v>
      </c>
      <c r="D7987" s="43" t="s">
        <v>43204</v>
      </c>
      <c r="E7987" s="15" t="s">
        <v>43205</v>
      </c>
      <c r="F7987" s="87" t="s">
        <v>21871</v>
      </c>
      <c r="G7987" s="91" t="s">
        <v>20624</v>
      </c>
      <c r="H7987" s="85" t="s">
        <v>20625</v>
      </c>
      <c r="I7987" s="69" t="s">
        <v>17018</v>
      </c>
    </row>
    <row r="7988" spans="1:9" ht="26.15" customHeight="1" x14ac:dyDescent="0.35">
      <c r="A7988" s="15"/>
      <c r="B7988" s="15" t="str">
        <f>CONCATENATE(G7988,"/",COUNTIF($G$2:G7988,G7988))</f>
        <v>PL-10357/2</v>
      </c>
      <c r="C7988" s="15" t="s">
        <v>43206</v>
      </c>
      <c r="D7988" s="43" t="s">
        <v>43204</v>
      </c>
      <c r="E7988" s="15" t="s">
        <v>43207</v>
      </c>
      <c r="F7988" s="87" t="s">
        <v>21871</v>
      </c>
      <c r="G7988" s="91" t="s">
        <v>20624</v>
      </c>
      <c r="H7988" s="85" t="s">
        <v>20625</v>
      </c>
      <c r="I7988" s="69" t="s">
        <v>17018</v>
      </c>
    </row>
    <row r="7989" spans="1:9" ht="26.15" customHeight="1" x14ac:dyDescent="0.35">
      <c r="A7989" s="15"/>
      <c r="B7989" s="15" t="str">
        <f>CONCATENATE(G7989,"/",COUNTIF($G$2:G7989,G7989))</f>
        <v>PL-10357/3</v>
      </c>
      <c r="C7989" s="15" t="s">
        <v>43208</v>
      </c>
      <c r="D7989" s="43" t="s">
        <v>43204</v>
      </c>
      <c r="E7989" s="15" t="s">
        <v>43209</v>
      </c>
      <c r="F7989" s="87" t="s">
        <v>21871</v>
      </c>
      <c r="G7989" s="91" t="s">
        <v>20624</v>
      </c>
      <c r="H7989" s="85" t="s">
        <v>20625</v>
      </c>
      <c r="I7989" s="69" t="s">
        <v>17018</v>
      </c>
    </row>
    <row r="7990" spans="1:9" ht="26.15" customHeight="1" x14ac:dyDescent="0.35">
      <c r="A7990" s="15"/>
      <c r="B7990" s="15" t="str">
        <f>CONCATENATE(G7990,"/",COUNTIF($G$2:G7990,G7990))</f>
        <v>PL-10357/4</v>
      </c>
      <c r="C7990" s="15" t="s">
        <v>43210</v>
      </c>
      <c r="D7990" s="43" t="s">
        <v>43204</v>
      </c>
      <c r="E7990" s="15" t="s">
        <v>43211</v>
      </c>
      <c r="F7990" s="87" t="s">
        <v>21871</v>
      </c>
      <c r="G7990" s="91" t="s">
        <v>20624</v>
      </c>
      <c r="H7990" s="85" t="s">
        <v>20625</v>
      </c>
      <c r="I7990" s="69" t="s">
        <v>17018</v>
      </c>
    </row>
    <row r="7991" spans="1:9" ht="26.15" customHeight="1" x14ac:dyDescent="0.35">
      <c r="A7991" s="15"/>
      <c r="B7991" s="15" t="str">
        <f>CONCATENATE(G7991,"/",COUNTIF($G$2:G7991,G7991))</f>
        <v>PL-10357/5</v>
      </c>
      <c r="C7991" s="15" t="s">
        <v>43212</v>
      </c>
      <c r="D7991" s="43" t="s">
        <v>43204</v>
      </c>
      <c r="E7991" s="15" t="s">
        <v>43213</v>
      </c>
      <c r="F7991" s="87" t="s">
        <v>21871</v>
      </c>
      <c r="G7991" s="91" t="s">
        <v>20624</v>
      </c>
      <c r="H7991" s="85" t="s">
        <v>20625</v>
      </c>
      <c r="I7991" s="69" t="s">
        <v>17018</v>
      </c>
    </row>
    <row r="7992" spans="1:9" ht="26.15" customHeight="1" x14ac:dyDescent="0.35">
      <c r="A7992" s="15"/>
      <c r="B7992" s="15" t="str">
        <f>CONCATENATE(G7992,"/",COUNTIF($G$2:G7992,G7992))</f>
        <v>PL-10357/6</v>
      </c>
      <c r="C7992" s="15" t="s">
        <v>43214</v>
      </c>
      <c r="D7992" s="43" t="s">
        <v>43204</v>
      </c>
      <c r="E7992" s="15" t="s">
        <v>43215</v>
      </c>
      <c r="F7992" s="87" t="s">
        <v>21871</v>
      </c>
      <c r="G7992" s="91" t="s">
        <v>20624</v>
      </c>
      <c r="H7992" s="85" t="s">
        <v>20625</v>
      </c>
      <c r="I7992" s="69" t="s">
        <v>17018</v>
      </c>
    </row>
    <row r="7993" spans="1:9" ht="26.15" customHeight="1" x14ac:dyDescent="0.35">
      <c r="A7993" s="15"/>
      <c r="B7993" s="15" t="str">
        <f>CONCATENATE(G7993,"/",COUNTIF($G$2:G7993,G7993))</f>
        <v>PL-10357/7</v>
      </c>
      <c r="C7993" s="15" t="s">
        <v>43216</v>
      </c>
      <c r="D7993" s="43" t="s">
        <v>43204</v>
      </c>
      <c r="E7993" s="15" t="s">
        <v>43217</v>
      </c>
      <c r="F7993" s="87" t="s">
        <v>21871</v>
      </c>
      <c r="G7993" s="91" t="s">
        <v>20624</v>
      </c>
      <c r="H7993" s="85" t="s">
        <v>20625</v>
      </c>
      <c r="I7993" s="69" t="s">
        <v>17018</v>
      </c>
    </row>
    <row r="7994" spans="1:9" ht="26.15" customHeight="1" x14ac:dyDescent="0.35">
      <c r="A7994" s="15"/>
      <c r="B7994" s="15" t="str">
        <f>CONCATENATE(G7994,"/",COUNTIF($G$2:G7994,G7994))</f>
        <v>PL-10357/8</v>
      </c>
      <c r="C7994" s="15" t="s">
        <v>40361</v>
      </c>
      <c r="D7994" s="43" t="s">
        <v>43204</v>
      </c>
      <c r="E7994" s="15" t="s">
        <v>43218</v>
      </c>
      <c r="F7994" s="87" t="s">
        <v>21871</v>
      </c>
      <c r="G7994" s="91" t="s">
        <v>20624</v>
      </c>
      <c r="H7994" s="85" t="s">
        <v>20625</v>
      </c>
      <c r="I7994" s="69" t="s">
        <v>17018</v>
      </c>
    </row>
    <row r="7995" spans="1:9" ht="31" customHeight="1" x14ac:dyDescent="0.35">
      <c r="A7995" s="15"/>
      <c r="B7995" s="15" t="str">
        <f>CONCATENATE(G7995,"/",COUNTIF($G$2:G7995,G7995))</f>
        <v>HR-10342/1</v>
      </c>
      <c r="C7995" s="15" t="s">
        <v>43219</v>
      </c>
      <c r="D7995" s="43" t="s">
        <v>43220</v>
      </c>
      <c r="E7995" s="15" t="s">
        <v>43221</v>
      </c>
      <c r="F7995" s="87" t="s">
        <v>21871</v>
      </c>
      <c r="G7995" s="91" t="s">
        <v>20546</v>
      </c>
      <c r="H7995" s="85" t="s">
        <v>20547</v>
      </c>
      <c r="I7995" s="69" t="s">
        <v>9767</v>
      </c>
    </row>
    <row r="7996" spans="1:9" ht="34" customHeight="1" x14ac:dyDescent="0.35">
      <c r="A7996" s="15"/>
      <c r="B7996" s="15" t="str">
        <f>CONCATENATE(G7996,"/",COUNTIF($G$2:G7996,G7996))</f>
        <v>HR-10361/1</v>
      </c>
      <c r="C7996" s="15" t="s">
        <v>43222</v>
      </c>
      <c r="D7996" s="43" t="s">
        <v>43223</v>
      </c>
      <c r="E7996" s="15" t="s">
        <v>43224</v>
      </c>
      <c r="F7996" s="87" t="s">
        <v>21871</v>
      </c>
      <c r="G7996" s="91" t="s">
        <v>20682</v>
      </c>
      <c r="H7996" s="85" t="s">
        <v>20683</v>
      </c>
      <c r="I7996" s="69" t="s">
        <v>9767</v>
      </c>
    </row>
    <row r="7997" spans="1:9" ht="34" customHeight="1" x14ac:dyDescent="0.35">
      <c r="A7997" s="15"/>
      <c r="B7997" s="15" t="str">
        <f>CONCATENATE(G7997,"/",COUNTIF($G$2:G7997,G7997))</f>
        <v>HR-10361/2</v>
      </c>
      <c r="C7997" s="15" t="s">
        <v>43225</v>
      </c>
      <c r="D7997" s="43" t="s">
        <v>43223</v>
      </c>
      <c r="E7997" s="15" t="s">
        <v>43226</v>
      </c>
      <c r="F7997" s="87" t="s">
        <v>21871</v>
      </c>
      <c r="G7997" s="91" t="s">
        <v>20682</v>
      </c>
      <c r="H7997" s="85" t="s">
        <v>20683</v>
      </c>
      <c r="I7997" s="69" t="s">
        <v>9767</v>
      </c>
    </row>
    <row r="7998" spans="1:9" ht="34" customHeight="1" x14ac:dyDescent="0.35">
      <c r="A7998" s="15"/>
      <c r="B7998" s="15" t="str">
        <f>CONCATENATE(G7998,"/",COUNTIF($G$2:G7998,G7998))</f>
        <v>HR-10361/3</v>
      </c>
      <c r="C7998" s="15" t="s">
        <v>43227</v>
      </c>
      <c r="D7998" s="43" t="s">
        <v>43223</v>
      </c>
      <c r="E7998" s="15" t="s">
        <v>43228</v>
      </c>
      <c r="F7998" s="87" t="s">
        <v>21871</v>
      </c>
      <c r="G7998" s="91" t="s">
        <v>20682</v>
      </c>
      <c r="H7998" s="85" t="s">
        <v>20683</v>
      </c>
      <c r="I7998" s="69" t="s">
        <v>9767</v>
      </c>
    </row>
    <row r="7999" spans="1:9" ht="32.5" customHeight="1" x14ac:dyDescent="0.35">
      <c r="A7999" s="15"/>
      <c r="B7999" s="15" t="str">
        <f>CONCATENATE(G7999,"/",COUNTIF($G$2:G7999,G7999))</f>
        <v>RO-10348/1</v>
      </c>
      <c r="C7999" s="15" t="s">
        <v>43229</v>
      </c>
      <c r="D7999" s="43" t="s">
        <v>43230</v>
      </c>
      <c r="E7999" s="15" t="s">
        <v>43231</v>
      </c>
      <c r="F7999" s="87" t="s">
        <v>21871</v>
      </c>
      <c r="G7999" s="91" t="s">
        <v>20649</v>
      </c>
      <c r="H7999" s="85" t="s">
        <v>20650</v>
      </c>
      <c r="I7999" s="69" t="s">
        <v>17638</v>
      </c>
    </row>
    <row r="8000" spans="1:9" ht="30.65" customHeight="1" x14ac:dyDescent="0.35">
      <c r="A8000" s="15"/>
      <c r="B8000" s="15" t="str">
        <f>CONCATENATE(G8000,"/",COUNTIF($G$2:G8000,G8000))</f>
        <v>RO-10350/1</v>
      </c>
      <c r="C8000" s="15" t="s">
        <v>43232</v>
      </c>
      <c r="D8000" s="43" t="s">
        <v>43233</v>
      </c>
      <c r="E8000" s="15" t="s">
        <v>43234</v>
      </c>
      <c r="F8000" s="87" t="s">
        <v>21871</v>
      </c>
      <c r="G8000" s="91" t="s">
        <v>20671</v>
      </c>
      <c r="H8000" s="85" t="s">
        <v>20672</v>
      </c>
      <c r="I8000" s="69" t="s">
        <v>17638</v>
      </c>
    </row>
    <row r="8001" spans="1:9" ht="40" customHeight="1" x14ac:dyDescent="0.35">
      <c r="A8001" s="15"/>
      <c r="B8001" s="15" t="str">
        <f>CONCATENATE(G8001,"/",COUNTIF($G$2:G8001,G8001))</f>
        <v>NO-10331/1</v>
      </c>
      <c r="C8001" s="15" t="s">
        <v>43235</v>
      </c>
      <c r="D8001" s="43">
        <v>45301</v>
      </c>
      <c r="E8001" s="15" t="s">
        <v>43236</v>
      </c>
      <c r="F8001" s="87" t="s">
        <v>21871</v>
      </c>
      <c r="G8001" s="91" t="s">
        <v>20486</v>
      </c>
      <c r="H8001" s="85" t="s">
        <v>20487</v>
      </c>
      <c r="I8001" s="69" t="s">
        <v>17305</v>
      </c>
    </row>
    <row r="8002" spans="1:9" ht="40" customHeight="1" x14ac:dyDescent="0.35">
      <c r="A8002" s="15"/>
      <c r="B8002" s="15" t="str">
        <f>CONCATENATE(G8002,"/",COUNTIF($G$2:G8002,G8002))</f>
        <v>NO-10331/2</v>
      </c>
      <c r="C8002" s="15" t="s">
        <v>43237</v>
      </c>
      <c r="D8002" s="43">
        <v>45301</v>
      </c>
      <c r="E8002" s="15" t="s">
        <v>43238</v>
      </c>
      <c r="F8002" s="87" t="s">
        <v>21871</v>
      </c>
      <c r="G8002" s="91" t="s">
        <v>20486</v>
      </c>
      <c r="H8002" s="85" t="s">
        <v>20487</v>
      </c>
      <c r="I8002" s="69" t="s">
        <v>17305</v>
      </c>
    </row>
    <row r="8003" spans="1:9" ht="31.5" customHeight="1" x14ac:dyDescent="0.35">
      <c r="A8003" s="15"/>
      <c r="B8003" s="15" t="str">
        <f>CONCATENATE(G8003,"/",COUNTIF($G$2:G8003,G8003))</f>
        <v>DE-10233/1</v>
      </c>
      <c r="C8003" s="15" t="s">
        <v>43239</v>
      </c>
      <c r="D8003" s="43" t="s">
        <v>14535</v>
      </c>
      <c r="E8003" s="15" t="s">
        <v>43240</v>
      </c>
      <c r="F8003" s="87" t="s">
        <v>23710</v>
      </c>
      <c r="G8003" s="91" t="s">
        <v>20004</v>
      </c>
      <c r="H8003" s="76" t="s">
        <v>20005</v>
      </c>
      <c r="I8003" s="21" t="s">
        <v>6434</v>
      </c>
    </row>
    <row r="8004" spans="1:9" ht="31.5" customHeight="1" x14ac:dyDescent="0.35">
      <c r="A8004" s="15"/>
      <c r="B8004" s="15" t="str">
        <f>CONCATENATE(G8004,"/",COUNTIF($G$2:G8004,G8004))</f>
        <v>DE-10233/2</v>
      </c>
      <c r="C8004" s="15" t="s">
        <v>43241</v>
      </c>
      <c r="D8004" s="43" t="s">
        <v>14535</v>
      </c>
      <c r="E8004" s="15" t="s">
        <v>43242</v>
      </c>
      <c r="F8004" s="87" t="s">
        <v>23710</v>
      </c>
      <c r="G8004" s="91" t="s">
        <v>20004</v>
      </c>
      <c r="H8004" s="76" t="s">
        <v>20005</v>
      </c>
      <c r="I8004" s="21" t="s">
        <v>6434</v>
      </c>
    </row>
    <row r="8005" spans="1:9" ht="31.5" customHeight="1" x14ac:dyDescent="0.35">
      <c r="A8005" s="15"/>
      <c r="B8005" s="15" t="str">
        <f>CONCATENATE(G8005,"/",COUNTIF($G$2:G8005,G8005))</f>
        <v>DE-10233/3</v>
      </c>
      <c r="C8005" s="15" t="s">
        <v>43243</v>
      </c>
      <c r="D8005" s="43" t="s">
        <v>14535</v>
      </c>
      <c r="E8005" s="15" t="s">
        <v>43244</v>
      </c>
      <c r="F8005" s="87" t="s">
        <v>23710</v>
      </c>
      <c r="G8005" s="91" t="s">
        <v>20004</v>
      </c>
      <c r="H8005" s="76" t="s">
        <v>20005</v>
      </c>
      <c r="I8005" s="21" t="s">
        <v>6434</v>
      </c>
    </row>
    <row r="8006" spans="1:9" ht="31.5" customHeight="1" x14ac:dyDescent="0.35">
      <c r="A8006" s="15"/>
      <c r="B8006" s="15" t="str">
        <f>CONCATENATE(G8006,"/",COUNTIF($G$2:G8006,G8006))</f>
        <v>DE-10233/4</v>
      </c>
      <c r="C8006" s="93" t="s">
        <v>43245</v>
      </c>
      <c r="D8006" s="43">
        <v>45280</v>
      </c>
      <c r="E8006" s="15" t="s">
        <v>43246</v>
      </c>
      <c r="F8006" s="87" t="s">
        <v>23710</v>
      </c>
      <c r="G8006" s="91" t="s">
        <v>20004</v>
      </c>
      <c r="H8006" s="76" t="s">
        <v>20005</v>
      </c>
      <c r="I8006" s="21" t="s">
        <v>6434</v>
      </c>
    </row>
    <row r="8007" spans="1:9" ht="31.5" customHeight="1" x14ac:dyDescent="0.35">
      <c r="A8007" s="15"/>
      <c r="B8007" s="15" t="str">
        <f>CONCATENATE(G8007,"/",COUNTIF($G$2:G8007,G8007))</f>
        <v>DE-10233/5</v>
      </c>
      <c r="C8007" s="15" t="s">
        <v>43247</v>
      </c>
      <c r="D8007" s="43" t="s">
        <v>14535</v>
      </c>
      <c r="E8007" s="15" t="s">
        <v>43248</v>
      </c>
      <c r="F8007" s="87" t="s">
        <v>23710</v>
      </c>
      <c r="G8007" s="91" t="s">
        <v>20004</v>
      </c>
      <c r="H8007" s="76" t="s">
        <v>20005</v>
      </c>
      <c r="I8007" s="21" t="s">
        <v>6434</v>
      </c>
    </row>
    <row r="8008" spans="1:9" ht="35.5" customHeight="1" x14ac:dyDescent="0.35">
      <c r="A8008" s="15"/>
      <c r="B8008" s="15" t="str">
        <f>CONCATENATE(G8008,"/",COUNTIF($G$2:G8008,G8008))</f>
        <v>PL-10387/1</v>
      </c>
      <c r="C8008" s="15" t="s">
        <v>43249</v>
      </c>
      <c r="D8008" s="15" t="s">
        <v>43250</v>
      </c>
      <c r="E8008" s="15" t="s">
        <v>43251</v>
      </c>
      <c r="F8008" s="87" t="s">
        <v>21871</v>
      </c>
      <c r="G8008" s="91" t="s">
        <v>20781</v>
      </c>
      <c r="H8008" s="85" t="s">
        <v>20782</v>
      </c>
      <c r="I8008" s="69" t="s">
        <v>17018</v>
      </c>
    </row>
    <row r="8009" spans="1:9" ht="35.5" customHeight="1" x14ac:dyDescent="0.35">
      <c r="A8009" s="15"/>
      <c r="B8009" s="15" t="str">
        <f>CONCATENATE(G8009,"/",COUNTIF($G$2:G8009,G8009))</f>
        <v>PL-10387/2</v>
      </c>
      <c r="C8009" s="15" t="s">
        <v>43249</v>
      </c>
      <c r="D8009" s="15" t="s">
        <v>43250</v>
      </c>
      <c r="E8009" s="15" t="s">
        <v>43252</v>
      </c>
      <c r="F8009" s="87" t="s">
        <v>21871</v>
      </c>
      <c r="G8009" s="91" t="s">
        <v>20781</v>
      </c>
      <c r="H8009" s="85" t="s">
        <v>20782</v>
      </c>
      <c r="I8009" s="69" t="s">
        <v>17018</v>
      </c>
    </row>
    <row r="8010" spans="1:9" ht="35.5" customHeight="1" x14ac:dyDescent="0.35">
      <c r="A8010" s="15"/>
      <c r="B8010" s="15" t="str">
        <f>CONCATENATE(G8010,"/",COUNTIF($G$2:G8010,G8010))</f>
        <v>PL-10387/3</v>
      </c>
      <c r="C8010" s="15" t="s">
        <v>40361</v>
      </c>
      <c r="D8010" s="15" t="s">
        <v>43250</v>
      </c>
      <c r="E8010" s="15" t="s">
        <v>43253</v>
      </c>
      <c r="F8010" s="87" t="s">
        <v>21871</v>
      </c>
      <c r="G8010" s="91" t="s">
        <v>20781</v>
      </c>
      <c r="H8010" s="85" t="s">
        <v>20782</v>
      </c>
      <c r="I8010" s="69" t="s">
        <v>17018</v>
      </c>
    </row>
    <row r="8011" spans="1:9" ht="35.5" customHeight="1" x14ac:dyDescent="0.35">
      <c r="A8011" s="15"/>
      <c r="B8011" s="15" t="str">
        <f>CONCATENATE(G8011,"/",COUNTIF($G$2:G8011,G8011))</f>
        <v>PL-10387/4</v>
      </c>
      <c r="C8011" s="15" t="s">
        <v>43254</v>
      </c>
      <c r="D8011" s="15" t="s">
        <v>43250</v>
      </c>
      <c r="E8011" s="15" t="s">
        <v>43255</v>
      </c>
      <c r="F8011" s="87" t="s">
        <v>21871</v>
      </c>
      <c r="G8011" s="91" t="s">
        <v>20781</v>
      </c>
      <c r="H8011" s="85" t="s">
        <v>20782</v>
      </c>
      <c r="I8011" s="69" t="s">
        <v>17018</v>
      </c>
    </row>
    <row r="8012" spans="1:9" ht="35.5" customHeight="1" x14ac:dyDescent="0.35">
      <c r="A8012" s="15"/>
      <c r="B8012" s="15" t="str">
        <f>CONCATENATE(G8012,"/",COUNTIF($G$2:G8012,G8012))</f>
        <v>PL-10387/5</v>
      </c>
      <c r="C8012" s="15" t="s">
        <v>43256</v>
      </c>
      <c r="D8012" s="15" t="s">
        <v>43250</v>
      </c>
      <c r="E8012" s="15" t="s">
        <v>43257</v>
      </c>
      <c r="F8012" s="87" t="s">
        <v>21871</v>
      </c>
      <c r="G8012" s="91" t="s">
        <v>20781</v>
      </c>
      <c r="H8012" s="85" t="s">
        <v>20782</v>
      </c>
      <c r="I8012" s="69" t="s">
        <v>17018</v>
      </c>
    </row>
    <row r="8013" spans="1:9" ht="32.5" customHeight="1" x14ac:dyDescent="0.35">
      <c r="A8013" s="15"/>
      <c r="B8013" s="15" t="str">
        <f>CONCATENATE(G8013,"/",COUNTIF($G$2:G8013,G8013))</f>
        <v>CZ-10319/1</v>
      </c>
      <c r="C8013" s="15" t="s">
        <v>21892</v>
      </c>
      <c r="D8013" s="28">
        <v>45316</v>
      </c>
      <c r="E8013" s="15" t="s">
        <v>43258</v>
      </c>
      <c r="F8013" s="87" t="s">
        <v>21871</v>
      </c>
      <c r="G8013" s="91" t="s">
        <v>20408</v>
      </c>
      <c r="H8013" s="85" t="s">
        <v>20409</v>
      </c>
      <c r="I8013" s="69" t="s">
        <v>16397</v>
      </c>
    </row>
    <row r="8014" spans="1:9" ht="31.5" customHeight="1" x14ac:dyDescent="0.35">
      <c r="A8014" s="15"/>
      <c r="B8014" s="15" t="str">
        <f>CONCATENATE(G8014,"/",COUNTIF($G$2:G8014,G8014))</f>
        <v>AT-5618/1</v>
      </c>
      <c r="C8014" s="15" t="s">
        <v>43259</v>
      </c>
      <c r="D8014" s="15" t="s">
        <v>14535</v>
      </c>
      <c r="E8014" s="15" t="s">
        <v>43260</v>
      </c>
      <c r="F8014" s="87" t="s">
        <v>23710</v>
      </c>
      <c r="G8014" s="91" t="s">
        <v>14526</v>
      </c>
      <c r="H8014" s="54" t="s">
        <v>14527</v>
      </c>
      <c r="I8014" s="5" t="s">
        <v>12451</v>
      </c>
    </row>
    <row r="8015" spans="1:9" ht="31.5" customHeight="1" x14ac:dyDescent="0.35">
      <c r="A8015" s="15"/>
      <c r="B8015" s="15" t="str">
        <f>CONCATENATE(G8015,"/",COUNTIF($G$2:G8015,G8015))</f>
        <v>AT-5618/2</v>
      </c>
      <c r="C8015" s="15" t="s">
        <v>43261</v>
      </c>
      <c r="D8015" s="15" t="s">
        <v>14535</v>
      </c>
      <c r="E8015" s="15" t="s">
        <v>43262</v>
      </c>
      <c r="F8015" s="87" t="s">
        <v>23710</v>
      </c>
      <c r="G8015" s="91" t="s">
        <v>14526</v>
      </c>
      <c r="H8015" s="54" t="s">
        <v>14527</v>
      </c>
      <c r="I8015" s="5" t="s">
        <v>12451</v>
      </c>
    </row>
    <row r="8016" spans="1:9" ht="25" customHeight="1" x14ac:dyDescent="0.35">
      <c r="A8016" s="15"/>
      <c r="B8016" s="15" t="str">
        <f>CONCATENATE(G8016,"/",COUNTIF($G$2:G8016,G8016))</f>
        <v>PL-10366/1</v>
      </c>
      <c r="C8016" s="15" t="s">
        <v>43133</v>
      </c>
      <c r="D8016" s="15" t="s">
        <v>43263</v>
      </c>
      <c r="E8016" s="15" t="s">
        <v>43264</v>
      </c>
      <c r="F8016" s="87" t="s">
        <v>21871</v>
      </c>
      <c r="G8016" s="91" t="s">
        <v>20707</v>
      </c>
      <c r="H8016" s="85" t="s">
        <v>20708</v>
      </c>
      <c r="I8016" s="69" t="s">
        <v>17018</v>
      </c>
    </row>
    <row r="8017" spans="1:9" ht="25" customHeight="1" x14ac:dyDescent="0.35">
      <c r="A8017" s="15"/>
      <c r="B8017" s="15" t="str">
        <f>CONCATENATE(G8017,"/",COUNTIF($G$2:G8017,G8017))</f>
        <v>PL-10366/2</v>
      </c>
      <c r="C8017" s="15" t="s">
        <v>43265</v>
      </c>
      <c r="D8017" s="15" t="s">
        <v>43263</v>
      </c>
      <c r="E8017" s="15" t="s">
        <v>43266</v>
      </c>
      <c r="F8017" s="87" t="s">
        <v>21871</v>
      </c>
      <c r="G8017" s="91" t="s">
        <v>20707</v>
      </c>
      <c r="H8017" s="85" t="s">
        <v>20708</v>
      </c>
      <c r="I8017" s="69" t="s">
        <v>17018</v>
      </c>
    </row>
    <row r="8018" spans="1:9" ht="25" customHeight="1" x14ac:dyDescent="0.35">
      <c r="A8018" s="15"/>
      <c r="B8018" s="15" t="str">
        <f>CONCATENATE(G8018,"/",COUNTIF($G$2:G8018,G8018))</f>
        <v>PL-10366/3</v>
      </c>
      <c r="C8018" s="15" t="s">
        <v>43267</v>
      </c>
      <c r="D8018" s="15" t="s">
        <v>43263</v>
      </c>
      <c r="E8018" s="15" t="s">
        <v>43268</v>
      </c>
      <c r="F8018" s="87" t="s">
        <v>21871</v>
      </c>
      <c r="G8018" s="91" t="s">
        <v>20707</v>
      </c>
      <c r="H8018" s="85" t="s">
        <v>20708</v>
      </c>
      <c r="I8018" s="69" t="s">
        <v>17018</v>
      </c>
    </row>
    <row r="8019" spans="1:9" ht="25" customHeight="1" x14ac:dyDescent="0.35">
      <c r="A8019" s="15"/>
      <c r="B8019" s="15" t="str">
        <f>CONCATENATE(G8019,"/",COUNTIF($G$2:G8019,G8019))</f>
        <v>PL-10366/4</v>
      </c>
      <c r="C8019" s="15" t="s">
        <v>43269</v>
      </c>
      <c r="D8019" s="15" t="s">
        <v>43263</v>
      </c>
      <c r="E8019" s="15" t="s">
        <v>43270</v>
      </c>
      <c r="F8019" s="87" t="s">
        <v>21871</v>
      </c>
      <c r="G8019" s="91" t="s">
        <v>20707</v>
      </c>
      <c r="H8019" s="85" t="s">
        <v>20708</v>
      </c>
      <c r="I8019" s="69" t="s">
        <v>17018</v>
      </c>
    </row>
    <row r="8020" spans="1:9" ht="25" customHeight="1" x14ac:dyDescent="0.35">
      <c r="A8020" s="15"/>
      <c r="B8020" s="15" t="str">
        <f>CONCATENATE(G8020,"/",COUNTIF($G$2:G8020,G8020))</f>
        <v>PL-10366/5</v>
      </c>
      <c r="C8020" s="15" t="s">
        <v>43271</v>
      </c>
      <c r="D8020" s="15" t="s">
        <v>43263</v>
      </c>
      <c r="E8020" s="15" t="s">
        <v>43272</v>
      </c>
      <c r="F8020" s="87" t="s">
        <v>21871</v>
      </c>
      <c r="G8020" s="91" t="s">
        <v>20707</v>
      </c>
      <c r="H8020" s="85" t="s">
        <v>20708</v>
      </c>
      <c r="I8020" s="69" t="s">
        <v>17018</v>
      </c>
    </row>
    <row r="8021" spans="1:9" ht="25" customHeight="1" x14ac:dyDescent="0.35">
      <c r="A8021" s="15"/>
      <c r="B8021" s="15" t="str">
        <f>CONCATENATE(G8021,"/",COUNTIF($G$2:G8021,G8021))</f>
        <v>PL-10366/6</v>
      </c>
      <c r="C8021" s="15" t="s">
        <v>43273</v>
      </c>
      <c r="D8021" s="15" t="s">
        <v>43263</v>
      </c>
      <c r="E8021" s="15" t="s">
        <v>43274</v>
      </c>
      <c r="F8021" s="87" t="s">
        <v>21871</v>
      </c>
      <c r="G8021" s="91" t="s">
        <v>20707</v>
      </c>
      <c r="H8021" s="85" t="s">
        <v>20708</v>
      </c>
      <c r="I8021" s="69" t="s">
        <v>17018</v>
      </c>
    </row>
    <row r="8022" spans="1:9" ht="25" customHeight="1" x14ac:dyDescent="0.35">
      <c r="A8022" s="15"/>
      <c r="B8022" s="15" t="str">
        <f>CONCATENATE(G8022,"/",COUNTIF($G$2:G8022,G8022))</f>
        <v>PL-10366/7</v>
      </c>
      <c r="C8022" s="15" t="s">
        <v>43275</v>
      </c>
      <c r="D8022" s="15" t="s">
        <v>43263</v>
      </c>
      <c r="E8022" s="15" t="s">
        <v>43276</v>
      </c>
      <c r="F8022" s="87" t="s">
        <v>21871</v>
      </c>
      <c r="G8022" s="91" t="s">
        <v>20707</v>
      </c>
      <c r="H8022" s="85" t="s">
        <v>20708</v>
      </c>
      <c r="I8022" s="69" t="s">
        <v>17018</v>
      </c>
    </row>
    <row r="8023" spans="1:9" ht="25" customHeight="1" x14ac:dyDescent="0.35">
      <c r="A8023" s="15"/>
      <c r="B8023" s="15" t="str">
        <f>CONCATENATE(G8023,"/",COUNTIF($G$2:G8023,G8023))</f>
        <v>PL-10366/8</v>
      </c>
      <c r="C8023" s="15" t="s">
        <v>43277</v>
      </c>
      <c r="D8023" s="15" t="s">
        <v>43263</v>
      </c>
      <c r="E8023" s="15" t="s">
        <v>43278</v>
      </c>
      <c r="F8023" s="87" t="s">
        <v>21871</v>
      </c>
      <c r="G8023" s="91" t="s">
        <v>20707</v>
      </c>
      <c r="H8023" s="85" t="s">
        <v>20708</v>
      </c>
      <c r="I8023" s="69" t="s">
        <v>17018</v>
      </c>
    </row>
    <row r="8024" spans="1:9" ht="29.15" customHeight="1" x14ac:dyDescent="0.35">
      <c r="A8024" s="15"/>
      <c r="B8024" s="15" t="str">
        <f>CONCATENATE(G8024,"/",COUNTIF($G$2:G8024,G8024))</f>
        <v>DE-6204/1</v>
      </c>
      <c r="C8024" s="15" t="s">
        <v>43279</v>
      </c>
      <c r="D8024" s="15" t="s">
        <v>43280</v>
      </c>
      <c r="E8024" s="15" t="s">
        <v>43281</v>
      </c>
      <c r="F8024" s="15" t="s">
        <v>23710</v>
      </c>
      <c r="G8024" s="91" t="s">
        <v>17232</v>
      </c>
      <c r="H8024" s="54" t="s">
        <v>17233</v>
      </c>
      <c r="I8024" s="5" t="s">
        <v>6434</v>
      </c>
    </row>
    <row r="8025" spans="1:9" ht="29.15" customHeight="1" x14ac:dyDescent="0.35">
      <c r="A8025" s="15"/>
      <c r="B8025" s="15" t="str">
        <f>CONCATENATE(G8025,"/",COUNTIF($G$2:G8025,G8025))</f>
        <v>RO-10384/1</v>
      </c>
      <c r="C8025" s="15" t="s">
        <v>43282</v>
      </c>
      <c r="D8025" s="15" t="s">
        <v>43283</v>
      </c>
      <c r="E8025" s="15" t="s">
        <v>43284</v>
      </c>
      <c r="F8025" s="87" t="s">
        <v>21871</v>
      </c>
      <c r="G8025" s="91" t="s">
        <v>20827</v>
      </c>
      <c r="H8025" s="85" t="s">
        <v>20828</v>
      </c>
      <c r="I8025" s="69" t="s">
        <v>17638</v>
      </c>
    </row>
    <row r="8026" spans="1:9" ht="29.15" customHeight="1" x14ac:dyDescent="0.35">
      <c r="A8026" s="15"/>
      <c r="B8026" s="15" t="str">
        <f>CONCATENATE(G8026,"/",COUNTIF($G$2:G8026,G8026))</f>
        <v>PL-10379/1</v>
      </c>
      <c r="C8026" s="15" t="s">
        <v>43285</v>
      </c>
      <c r="D8026" s="15" t="s">
        <v>43286</v>
      </c>
      <c r="E8026" s="15" t="s">
        <v>43287</v>
      </c>
      <c r="F8026" s="87" t="s">
        <v>21871</v>
      </c>
      <c r="G8026" s="91" t="s">
        <v>20761</v>
      </c>
      <c r="H8026" s="85" t="s">
        <v>20762</v>
      </c>
      <c r="I8026" s="69" t="s">
        <v>17018</v>
      </c>
    </row>
    <row r="8027" spans="1:9" ht="29.15" customHeight="1" x14ac:dyDescent="0.35">
      <c r="A8027" s="15"/>
      <c r="B8027" s="15" t="str">
        <f>CONCATENATE(G8027,"/",COUNTIF($G$2:G8027,G8027))</f>
        <v>PL-10379/2</v>
      </c>
      <c r="C8027" s="15" t="s">
        <v>43288</v>
      </c>
      <c r="D8027" s="15" t="s">
        <v>43286</v>
      </c>
      <c r="E8027" s="15" t="s">
        <v>43289</v>
      </c>
      <c r="F8027" s="87" t="s">
        <v>21871</v>
      </c>
      <c r="G8027" s="91" t="s">
        <v>20761</v>
      </c>
      <c r="H8027" s="85" t="s">
        <v>20762</v>
      </c>
      <c r="I8027" s="69" t="s">
        <v>17018</v>
      </c>
    </row>
    <row r="8028" spans="1:9" ht="29.15" customHeight="1" x14ac:dyDescent="0.35">
      <c r="A8028" s="15"/>
      <c r="B8028" s="15" t="str">
        <f>CONCATENATE(G8028,"/",COUNTIF($G$2:G8028,G8028))</f>
        <v>PL-10379/3</v>
      </c>
      <c r="C8028" s="15" t="s">
        <v>43290</v>
      </c>
      <c r="D8028" s="15" t="s">
        <v>43286</v>
      </c>
      <c r="E8028" s="15" t="s">
        <v>43291</v>
      </c>
      <c r="F8028" s="87" t="s">
        <v>21871</v>
      </c>
      <c r="G8028" s="91" t="s">
        <v>20761</v>
      </c>
      <c r="H8028" s="85" t="s">
        <v>20762</v>
      </c>
      <c r="I8028" s="69" t="s">
        <v>17018</v>
      </c>
    </row>
    <row r="8029" spans="1:9" ht="29.15" customHeight="1" x14ac:dyDescent="0.35">
      <c r="A8029" s="15"/>
      <c r="B8029" s="15" t="str">
        <f>CONCATENATE(G8029,"/",COUNTIF($G$2:G8029,G8029))</f>
        <v>PL-10379/4</v>
      </c>
      <c r="C8029" s="15" t="s">
        <v>43292</v>
      </c>
      <c r="D8029" s="15" t="s">
        <v>43286</v>
      </c>
      <c r="E8029" s="15" t="s">
        <v>43293</v>
      </c>
      <c r="F8029" s="87" t="s">
        <v>21871</v>
      </c>
      <c r="G8029" s="91" t="s">
        <v>20761</v>
      </c>
      <c r="H8029" s="85" t="s">
        <v>20762</v>
      </c>
      <c r="I8029" s="69" t="s">
        <v>17018</v>
      </c>
    </row>
    <row r="8030" spans="1:9" ht="29.15" customHeight="1" x14ac:dyDescent="0.35">
      <c r="A8030" s="15"/>
      <c r="B8030" s="15" t="str">
        <f>CONCATENATE(G8030,"/",COUNTIF($G$2:G8030,G8030))</f>
        <v>PL-10379/5</v>
      </c>
      <c r="C8030" s="15" t="s">
        <v>43294</v>
      </c>
      <c r="D8030" s="15" t="s">
        <v>43286</v>
      </c>
      <c r="E8030" s="15" t="s">
        <v>43295</v>
      </c>
      <c r="F8030" s="87" t="s">
        <v>21871</v>
      </c>
      <c r="G8030" s="91" t="s">
        <v>20761</v>
      </c>
      <c r="H8030" s="85" t="s">
        <v>20762</v>
      </c>
      <c r="I8030" s="69" t="s">
        <v>17018</v>
      </c>
    </row>
    <row r="8031" spans="1:9" ht="29.15" customHeight="1" x14ac:dyDescent="0.35">
      <c r="A8031" s="15"/>
      <c r="B8031" s="15" t="str">
        <f>CONCATENATE(G8031,"/",COUNTIF($G$2:G8031,G8031))</f>
        <v>PL-10379/6</v>
      </c>
      <c r="C8031" s="15" t="s">
        <v>43296</v>
      </c>
      <c r="D8031" s="15" t="s">
        <v>43286</v>
      </c>
      <c r="E8031" s="15" t="s">
        <v>43297</v>
      </c>
      <c r="F8031" s="87" t="s">
        <v>21871</v>
      </c>
      <c r="G8031" s="91" t="s">
        <v>20761</v>
      </c>
      <c r="H8031" s="85" t="s">
        <v>20762</v>
      </c>
      <c r="I8031" s="69" t="s">
        <v>17018</v>
      </c>
    </row>
    <row r="8032" spans="1:9" ht="29.15" customHeight="1" x14ac:dyDescent="0.35">
      <c r="A8032" s="15"/>
      <c r="B8032" s="15" t="str">
        <f>CONCATENATE(G8032,"/",COUNTIF($G$2:G8032,G8032))</f>
        <v>PL-10379/7</v>
      </c>
      <c r="C8032" s="15" t="s">
        <v>43298</v>
      </c>
      <c r="D8032" s="15" t="s">
        <v>43286</v>
      </c>
      <c r="E8032" s="15" t="s">
        <v>43299</v>
      </c>
      <c r="F8032" s="87" t="s">
        <v>21871</v>
      </c>
      <c r="G8032" s="91" t="s">
        <v>20761</v>
      </c>
      <c r="H8032" s="85" t="s">
        <v>20762</v>
      </c>
      <c r="I8032" s="69" t="s">
        <v>17018</v>
      </c>
    </row>
    <row r="8033" spans="1:9" ht="31.5" customHeight="1" x14ac:dyDescent="0.35">
      <c r="A8033" s="15"/>
      <c r="B8033" s="15" t="str">
        <f>CONCATENATE(G8033,"/",COUNTIF($G$2:G8033,G8033))</f>
        <v>PL-10416/1</v>
      </c>
      <c r="C8033" s="15" t="s">
        <v>43300</v>
      </c>
      <c r="D8033" s="15" t="s">
        <v>43301</v>
      </c>
      <c r="E8033" s="15" t="s">
        <v>43302</v>
      </c>
      <c r="F8033" s="87" t="s">
        <v>21871</v>
      </c>
      <c r="G8033" s="91" t="s">
        <v>20963</v>
      </c>
      <c r="H8033" s="85" t="s">
        <v>20964</v>
      </c>
      <c r="I8033" s="69" t="s">
        <v>17018</v>
      </c>
    </row>
    <row r="8034" spans="1:9" ht="31.5" customHeight="1" x14ac:dyDescent="0.35">
      <c r="A8034" s="15"/>
      <c r="B8034" s="15" t="str">
        <f>CONCATENATE(G8034,"/",COUNTIF($G$2:G8034,G8034))</f>
        <v>PL-10416/2</v>
      </c>
      <c r="C8034" s="15" t="s">
        <v>43303</v>
      </c>
      <c r="D8034" s="15" t="s">
        <v>43301</v>
      </c>
      <c r="E8034" s="15" t="s">
        <v>43304</v>
      </c>
      <c r="F8034" s="87" t="s">
        <v>21871</v>
      </c>
      <c r="G8034" s="91" t="s">
        <v>20963</v>
      </c>
      <c r="H8034" s="85" t="s">
        <v>20964</v>
      </c>
      <c r="I8034" s="69" t="s">
        <v>17018</v>
      </c>
    </row>
    <row r="8035" spans="1:9" ht="31.5" customHeight="1" x14ac:dyDescent="0.35">
      <c r="A8035" s="15"/>
      <c r="B8035" s="15" t="str">
        <f>CONCATENATE(G8035,"/",COUNTIF($G$2:G8035,G8035))</f>
        <v>PL-10416/3</v>
      </c>
      <c r="C8035" s="15" t="s">
        <v>43305</v>
      </c>
      <c r="D8035" s="15" t="s">
        <v>43301</v>
      </c>
      <c r="E8035" s="15" t="s">
        <v>43306</v>
      </c>
      <c r="F8035" s="87" t="s">
        <v>21871</v>
      </c>
      <c r="G8035" s="91" t="s">
        <v>20963</v>
      </c>
      <c r="H8035" s="85" t="s">
        <v>20964</v>
      </c>
      <c r="I8035" s="69" t="s">
        <v>17018</v>
      </c>
    </row>
    <row r="8036" spans="1:9" ht="35.15" customHeight="1" x14ac:dyDescent="0.35">
      <c r="A8036" s="15"/>
      <c r="B8036" s="15" t="str">
        <f>CONCATENATE(G8036,"/",COUNTIF($G$2:G8036,G8036))</f>
        <v>RO-10380/1</v>
      </c>
      <c r="C8036" s="15" t="s">
        <v>43307</v>
      </c>
      <c r="D8036" s="15" t="s">
        <v>43308</v>
      </c>
      <c r="E8036" s="15" t="s">
        <v>43309</v>
      </c>
      <c r="F8036" s="87" t="s">
        <v>21871</v>
      </c>
      <c r="G8036" s="91" t="s">
        <v>20794</v>
      </c>
      <c r="H8036" s="85" t="s">
        <v>20795</v>
      </c>
      <c r="I8036" s="69" t="s">
        <v>17638</v>
      </c>
    </row>
    <row r="8037" spans="1:9" ht="36" customHeight="1" x14ac:dyDescent="0.35">
      <c r="A8037" s="15"/>
      <c r="B8037" s="15" t="str">
        <f>CONCATENATE(G8037,"/",COUNTIF($G$2:G8037,G8037))</f>
        <v>BG-10485/1</v>
      </c>
      <c r="C8037" s="15" t="s">
        <v>42954</v>
      </c>
      <c r="D8037" s="15" t="s">
        <v>43310</v>
      </c>
      <c r="E8037" s="15" t="s">
        <v>43311</v>
      </c>
      <c r="F8037" s="87" t="s">
        <v>21871</v>
      </c>
      <c r="G8037" s="91" t="s">
        <v>21335</v>
      </c>
      <c r="H8037" s="85" t="s">
        <v>21336</v>
      </c>
      <c r="I8037" s="85" t="s">
        <v>17728</v>
      </c>
    </row>
    <row r="8038" spans="1:9" ht="36" customHeight="1" x14ac:dyDescent="0.35">
      <c r="A8038" s="15"/>
      <c r="B8038" s="15" t="str">
        <f>CONCATENATE(G8038,"/",COUNTIF($G$2:G8038,G8038))</f>
        <v>BG-10485/2</v>
      </c>
      <c r="C8038" s="15" t="s">
        <v>43312</v>
      </c>
      <c r="D8038" s="15" t="s">
        <v>43310</v>
      </c>
      <c r="E8038" s="15" t="s">
        <v>43313</v>
      </c>
      <c r="F8038" s="87" t="s">
        <v>21871</v>
      </c>
      <c r="G8038" s="91" t="s">
        <v>21335</v>
      </c>
      <c r="H8038" s="85" t="s">
        <v>21336</v>
      </c>
      <c r="I8038" s="85" t="s">
        <v>17728</v>
      </c>
    </row>
    <row r="8039" spans="1:9" ht="36" customHeight="1" x14ac:dyDescent="0.35">
      <c r="A8039" s="15"/>
      <c r="B8039" s="15" t="str">
        <f>CONCATENATE(G8039,"/",COUNTIF($G$2:G8039,G8039))</f>
        <v>BG-10485/3</v>
      </c>
      <c r="C8039" s="15" t="s">
        <v>43314</v>
      </c>
      <c r="D8039" s="15" t="s">
        <v>43310</v>
      </c>
      <c r="E8039" s="15" t="s">
        <v>43315</v>
      </c>
      <c r="F8039" s="87" t="s">
        <v>21871</v>
      </c>
      <c r="G8039" s="91" t="s">
        <v>21335</v>
      </c>
      <c r="H8039" s="85" t="s">
        <v>21336</v>
      </c>
      <c r="I8039" s="85" t="s">
        <v>17728</v>
      </c>
    </row>
    <row r="8040" spans="1:9" ht="36" customHeight="1" x14ac:dyDescent="0.35">
      <c r="A8040" s="15"/>
      <c r="B8040" s="15" t="str">
        <f>CONCATENATE(G8040,"/",COUNTIF($G$2:G8040,G8040))</f>
        <v>BG-10485/4</v>
      </c>
      <c r="C8040" s="15" t="s">
        <v>43316</v>
      </c>
      <c r="D8040" s="15" t="s">
        <v>43310</v>
      </c>
      <c r="E8040" s="15" t="s">
        <v>43317</v>
      </c>
      <c r="F8040" s="87" t="s">
        <v>21871</v>
      </c>
      <c r="G8040" s="91" t="s">
        <v>21335</v>
      </c>
      <c r="H8040" s="85" t="s">
        <v>21336</v>
      </c>
      <c r="I8040" s="85" t="s">
        <v>17728</v>
      </c>
    </row>
    <row r="8041" spans="1:9" ht="36" customHeight="1" x14ac:dyDescent="0.35">
      <c r="A8041" s="15"/>
      <c r="B8041" s="15" t="str">
        <f>CONCATENATE(G8041,"/",COUNTIF($G$2:G8041,G8041))</f>
        <v>BG-10485/5</v>
      </c>
      <c r="C8041" s="15" t="s">
        <v>43318</v>
      </c>
      <c r="D8041" s="15" t="s">
        <v>43310</v>
      </c>
      <c r="E8041" s="15" t="s">
        <v>43319</v>
      </c>
      <c r="F8041" s="87" t="s">
        <v>21871</v>
      </c>
      <c r="G8041" s="91" t="s">
        <v>21335</v>
      </c>
      <c r="H8041" s="85" t="s">
        <v>21336</v>
      </c>
      <c r="I8041" s="85" t="s">
        <v>17728</v>
      </c>
    </row>
    <row r="8042" spans="1:9" ht="32.5" customHeight="1" x14ac:dyDescent="0.35">
      <c r="A8042" s="15"/>
      <c r="B8042" s="15" t="str">
        <f>CONCATENATE(G8042,"/",COUNTIF($G$2:G8042,G8042))</f>
        <v>DK-10401/1</v>
      </c>
      <c r="C8042" s="15" t="s">
        <v>43320</v>
      </c>
      <c r="D8042" s="15" t="s">
        <v>43321</v>
      </c>
      <c r="E8042" s="15" t="s">
        <v>43322</v>
      </c>
      <c r="F8042" s="87" t="s">
        <v>21871</v>
      </c>
      <c r="G8042" s="91" t="s">
        <v>20834</v>
      </c>
      <c r="H8042" s="85" t="s">
        <v>20835</v>
      </c>
      <c r="I8042" s="69" t="s">
        <v>12887</v>
      </c>
    </row>
    <row r="8043" spans="1:9" ht="45" customHeight="1" x14ac:dyDescent="0.35">
      <c r="A8043" s="15"/>
      <c r="B8043" s="15" t="str">
        <f>CONCATENATE(G8043,"/",COUNTIF($G$2:G8043,G8043))</f>
        <v>CZ-10377/1</v>
      </c>
      <c r="C8043" s="15" t="s">
        <v>21892</v>
      </c>
      <c r="D8043" s="15" t="s">
        <v>43321</v>
      </c>
      <c r="E8043" s="15" t="s">
        <v>43323</v>
      </c>
      <c r="F8043" s="87" t="s">
        <v>21871</v>
      </c>
      <c r="G8043" s="91" t="s">
        <v>20774</v>
      </c>
      <c r="H8043" s="85" t="s">
        <v>20775</v>
      </c>
      <c r="I8043" s="69" t="s">
        <v>16397</v>
      </c>
    </row>
    <row r="8044" spans="1:9" ht="38.15" customHeight="1" x14ac:dyDescent="0.35">
      <c r="A8044" s="15"/>
      <c r="B8044" s="15" t="str">
        <f>CONCATENATE(G8044,"/",COUNTIF($G$2:G8044,G8044))</f>
        <v>RO-10392/1</v>
      </c>
      <c r="C8044" s="15" t="s">
        <v>43324</v>
      </c>
      <c r="D8044" s="15" t="s">
        <v>43325</v>
      </c>
      <c r="E8044" s="15" t="s">
        <v>43326</v>
      </c>
      <c r="F8044" s="87" t="s">
        <v>21871</v>
      </c>
      <c r="G8044" s="91" t="s">
        <v>20876</v>
      </c>
      <c r="H8044" s="85" t="s">
        <v>20877</v>
      </c>
      <c r="I8044" s="69" t="s">
        <v>17638</v>
      </c>
    </row>
    <row r="8045" spans="1:9" ht="38.15" customHeight="1" x14ac:dyDescent="0.35">
      <c r="A8045" s="15"/>
      <c r="B8045" s="15" t="str">
        <f>CONCATENATE(G8045,"/",COUNTIF($G$2:G8045,G8045))</f>
        <v>RO-10392/2</v>
      </c>
      <c r="C8045" s="15" t="s">
        <v>43327</v>
      </c>
      <c r="D8045" s="15" t="s">
        <v>43325</v>
      </c>
      <c r="E8045" s="15" t="s">
        <v>43328</v>
      </c>
      <c r="F8045" s="87" t="s">
        <v>21871</v>
      </c>
      <c r="G8045" s="91" t="s">
        <v>20876</v>
      </c>
      <c r="H8045" s="85" t="s">
        <v>20877</v>
      </c>
      <c r="I8045" s="69" t="s">
        <v>17638</v>
      </c>
    </row>
    <row r="8046" spans="1:9" ht="32.5" customHeight="1" x14ac:dyDescent="0.35">
      <c r="A8046" s="15"/>
      <c r="B8046" s="15" t="str">
        <f>CONCATENATE(G8046,"/",COUNTIF($G$2:G8046,G8046))</f>
        <v>NO-10393/1</v>
      </c>
      <c r="C8046" s="15" t="s">
        <v>43329</v>
      </c>
      <c r="D8046" s="15" t="s">
        <v>43330</v>
      </c>
      <c r="E8046" s="15" t="s">
        <v>43331</v>
      </c>
      <c r="F8046" s="87" t="s">
        <v>21871</v>
      </c>
      <c r="G8046" s="91" t="s">
        <v>20861</v>
      </c>
      <c r="H8046" s="85" t="s">
        <v>20862</v>
      </c>
      <c r="I8046" s="69" t="s">
        <v>17305</v>
      </c>
    </row>
    <row r="8047" spans="1:9" ht="32.5" customHeight="1" x14ac:dyDescent="0.35">
      <c r="A8047" s="15"/>
      <c r="B8047" s="15" t="str">
        <f>CONCATENATE(G8047,"/",COUNTIF($G$2:G8047,G8047))</f>
        <v>RO-10390/1</v>
      </c>
      <c r="C8047" s="15" t="s">
        <v>43332</v>
      </c>
      <c r="D8047" s="15" t="s">
        <v>43330</v>
      </c>
      <c r="E8047" s="15" t="s">
        <v>43333</v>
      </c>
      <c r="F8047" s="87" t="s">
        <v>21871</v>
      </c>
      <c r="G8047" s="91" t="s">
        <v>20868</v>
      </c>
      <c r="H8047" s="85" t="s">
        <v>20869</v>
      </c>
      <c r="I8047" s="69" t="s">
        <v>17638</v>
      </c>
    </row>
    <row r="8048" spans="1:9" ht="32.5" customHeight="1" x14ac:dyDescent="0.35">
      <c r="A8048" s="15"/>
      <c r="B8048" s="15" t="str">
        <f>CONCATENATE(G8048,"/",COUNTIF($G$2:G8048,G8048))</f>
        <v>RO-10390/2</v>
      </c>
      <c r="C8048" s="15" t="s">
        <v>43334</v>
      </c>
      <c r="D8048" s="15" t="s">
        <v>43330</v>
      </c>
      <c r="E8048" s="15" t="s">
        <v>43335</v>
      </c>
      <c r="F8048" s="87" t="s">
        <v>21871</v>
      </c>
      <c r="G8048" s="91" t="s">
        <v>20868</v>
      </c>
      <c r="H8048" s="85" t="s">
        <v>20869</v>
      </c>
      <c r="I8048" s="69" t="s">
        <v>17638</v>
      </c>
    </row>
    <row r="8049" spans="1:9" ht="31.5" customHeight="1" x14ac:dyDescent="0.35">
      <c r="A8049" s="15"/>
      <c r="B8049" s="15" t="str">
        <f>CONCATENATE(G8049,"/",COUNTIF($G$2:G8049,G8049))</f>
        <v>HU-10322/1</v>
      </c>
      <c r="C8049" s="15" t="s">
        <v>43336</v>
      </c>
      <c r="D8049" s="43" t="s">
        <v>43337</v>
      </c>
      <c r="E8049" s="15" t="s">
        <v>43338</v>
      </c>
      <c r="F8049" s="87" t="s">
        <v>21871</v>
      </c>
      <c r="G8049" s="91" t="s">
        <v>20423</v>
      </c>
      <c r="H8049" s="85" t="s">
        <v>20424</v>
      </c>
      <c r="I8049" s="69" t="s">
        <v>17537</v>
      </c>
    </row>
    <row r="8050" spans="1:9" ht="31.5" customHeight="1" x14ac:dyDescent="0.35">
      <c r="A8050" s="15"/>
      <c r="B8050" s="15" t="str">
        <f>CONCATENATE(G8050,"/",COUNTIF($G$2:G8050,G8050))</f>
        <v>HU-10322/2</v>
      </c>
      <c r="C8050" s="15" t="s">
        <v>43339</v>
      </c>
      <c r="D8050" s="43" t="s">
        <v>43337</v>
      </c>
      <c r="E8050" s="15" t="s">
        <v>43340</v>
      </c>
      <c r="F8050" s="87" t="s">
        <v>21871</v>
      </c>
      <c r="G8050" s="91" t="s">
        <v>20423</v>
      </c>
      <c r="H8050" s="85" t="s">
        <v>20424</v>
      </c>
      <c r="I8050" s="69" t="s">
        <v>17537</v>
      </c>
    </row>
    <row r="8051" spans="1:9" ht="30" customHeight="1" x14ac:dyDescent="0.35">
      <c r="A8051" s="15"/>
      <c r="B8051" s="15" t="str">
        <f>CONCATENATE(G8051,"/",COUNTIF($G$2:G8051,G8051))</f>
        <v>IE-10404/1</v>
      </c>
      <c r="C8051" s="15" t="s">
        <v>43341</v>
      </c>
      <c r="D8051" s="43" t="s">
        <v>43342</v>
      </c>
      <c r="E8051" s="15" t="s">
        <v>43343</v>
      </c>
      <c r="F8051" s="87" t="s">
        <v>21871</v>
      </c>
      <c r="G8051" s="91" t="s">
        <v>20801</v>
      </c>
      <c r="H8051" s="85" t="s">
        <v>20802</v>
      </c>
      <c r="I8051" s="69" t="s">
        <v>19094</v>
      </c>
    </row>
    <row r="8052" spans="1:9" ht="30" customHeight="1" x14ac:dyDescent="0.35">
      <c r="A8052" s="15"/>
      <c r="B8052" s="15" t="str">
        <f>CONCATENATE(G8052,"/",COUNTIF($G$2:G8052,G8052))</f>
        <v>IE-10404/2</v>
      </c>
      <c r="C8052" s="15" t="s">
        <v>43344</v>
      </c>
      <c r="D8052" s="43" t="s">
        <v>43342</v>
      </c>
      <c r="E8052" s="15" t="s">
        <v>43345</v>
      </c>
      <c r="F8052" s="87" t="s">
        <v>21871</v>
      </c>
      <c r="G8052" s="91" t="s">
        <v>20801</v>
      </c>
      <c r="H8052" s="85" t="s">
        <v>20802</v>
      </c>
      <c r="I8052" s="69" t="s">
        <v>19094</v>
      </c>
    </row>
    <row r="8053" spans="1:9" ht="30" customHeight="1" x14ac:dyDescent="0.35">
      <c r="A8053" s="15"/>
      <c r="B8053" s="15" t="str">
        <f>CONCATENATE(G8053,"/",COUNTIF($G$2:G8053,G8053))</f>
        <v>IE-10404/3</v>
      </c>
      <c r="C8053" s="15" t="s">
        <v>43346</v>
      </c>
      <c r="D8053" s="43" t="s">
        <v>43342</v>
      </c>
      <c r="E8053" s="15" t="s">
        <v>43347</v>
      </c>
      <c r="F8053" s="87" t="s">
        <v>21871</v>
      </c>
      <c r="G8053" s="91" t="s">
        <v>20801</v>
      </c>
      <c r="H8053" s="85" t="s">
        <v>20802</v>
      </c>
      <c r="I8053" s="69" t="s">
        <v>19094</v>
      </c>
    </row>
    <row r="8054" spans="1:9" ht="30" customHeight="1" x14ac:dyDescent="0.35">
      <c r="A8054" s="15"/>
      <c r="B8054" s="15" t="str">
        <f>CONCATENATE(G8054,"/",COUNTIF($G$2:G8054,G8054))</f>
        <v>IE-10404/4</v>
      </c>
      <c r="C8054" s="15" t="s">
        <v>43348</v>
      </c>
      <c r="D8054" s="43" t="s">
        <v>43342</v>
      </c>
      <c r="E8054" s="15" t="s">
        <v>43349</v>
      </c>
      <c r="F8054" s="87" t="s">
        <v>21871</v>
      </c>
      <c r="G8054" s="91" t="s">
        <v>20801</v>
      </c>
      <c r="H8054" s="85" t="s">
        <v>20802</v>
      </c>
      <c r="I8054" s="69" t="s">
        <v>19094</v>
      </c>
    </row>
    <row r="8055" spans="1:9" ht="30" customHeight="1" x14ac:dyDescent="0.35">
      <c r="A8055" s="15"/>
      <c r="B8055" s="15" t="str">
        <f>CONCATENATE(G8055,"/",COUNTIF($G$2:G8055,G8055))</f>
        <v>IE-10404/5</v>
      </c>
      <c r="C8055" s="15" t="s">
        <v>43350</v>
      </c>
      <c r="D8055" s="43" t="s">
        <v>43342</v>
      </c>
      <c r="E8055" s="15" t="s">
        <v>43351</v>
      </c>
      <c r="F8055" s="87" t="s">
        <v>21871</v>
      </c>
      <c r="G8055" s="91" t="s">
        <v>20801</v>
      </c>
      <c r="H8055" s="85" t="s">
        <v>20802</v>
      </c>
      <c r="I8055" s="69" t="s">
        <v>19094</v>
      </c>
    </row>
    <row r="8056" spans="1:9" ht="33" customHeight="1" x14ac:dyDescent="0.35">
      <c r="A8056" s="15"/>
      <c r="B8056" s="15" t="str">
        <f>CONCATENATE(G8056,"/",COUNTIF($G$2:G8056,G8056))</f>
        <v>RO-10395/1</v>
      </c>
      <c r="C8056" s="15" t="s">
        <v>43352</v>
      </c>
      <c r="D8056" s="43" t="s">
        <v>43353</v>
      </c>
      <c r="E8056" s="15" t="s">
        <v>43354</v>
      </c>
      <c r="F8056" s="87" t="s">
        <v>21871</v>
      </c>
      <c r="G8056" s="91" t="s">
        <v>20894</v>
      </c>
      <c r="H8056" s="85" t="s">
        <v>20895</v>
      </c>
      <c r="I8056" s="69" t="s">
        <v>17638</v>
      </c>
    </row>
    <row r="8057" spans="1:9" ht="30" customHeight="1" x14ac:dyDescent="0.35">
      <c r="A8057" s="15"/>
      <c r="B8057" s="15" t="str">
        <f>CONCATENATE(G8057,"/",COUNTIF($G$2:G8057,G8057))</f>
        <v>HU-10247/1</v>
      </c>
      <c r="C8057" s="15" t="s">
        <v>43355</v>
      </c>
      <c r="D8057" s="43" t="s">
        <v>20135</v>
      </c>
      <c r="E8057" s="15" t="s">
        <v>43356</v>
      </c>
      <c r="F8057" s="87" t="s">
        <v>21871</v>
      </c>
      <c r="G8057" s="91" t="s">
        <v>20129</v>
      </c>
      <c r="H8057" s="76" t="s">
        <v>20130</v>
      </c>
      <c r="I8057" s="21" t="s">
        <v>17537</v>
      </c>
    </row>
    <row r="8058" spans="1:9" ht="34.5" customHeight="1" x14ac:dyDescent="0.35">
      <c r="A8058" s="15"/>
      <c r="B8058" s="15" t="str">
        <f>CONCATENATE(G8058,"/",COUNTIF($G$2:G8058,G8058))</f>
        <v>NO-10398/1</v>
      </c>
      <c r="C8058" s="15" t="s">
        <v>43357</v>
      </c>
      <c r="D8058" s="43" t="s">
        <v>43358</v>
      </c>
      <c r="E8058" s="15" t="s">
        <v>43359</v>
      </c>
      <c r="F8058" s="87" t="s">
        <v>21871</v>
      </c>
      <c r="G8058" s="91" t="s">
        <v>20906</v>
      </c>
      <c r="H8058" s="85" t="s">
        <v>20907</v>
      </c>
      <c r="I8058" s="69" t="s">
        <v>17305</v>
      </c>
    </row>
    <row r="8059" spans="1:9" ht="33.65" customHeight="1" x14ac:dyDescent="0.35">
      <c r="A8059" s="15"/>
      <c r="B8059" s="15" t="str">
        <f>CONCATENATE(G8059,"/",COUNTIF($G$2:G8059,G8059))</f>
        <v>DK-10283/1</v>
      </c>
      <c r="C8059" s="15" t="s">
        <v>43360</v>
      </c>
      <c r="D8059" s="43" t="s">
        <v>43361</v>
      </c>
      <c r="E8059" s="15" t="s">
        <v>43362</v>
      </c>
      <c r="F8059" s="87" t="s">
        <v>21871</v>
      </c>
      <c r="G8059" s="91" t="s">
        <v>19688</v>
      </c>
      <c r="H8059" s="54" t="s">
        <v>19689</v>
      </c>
      <c r="I8059" s="5" t="s">
        <v>12887</v>
      </c>
    </row>
    <row r="8060" spans="1:9" ht="33.65" customHeight="1" x14ac:dyDescent="0.35">
      <c r="A8060" s="15"/>
      <c r="B8060" s="15" t="str">
        <f>CONCATENATE(G8060,"/",COUNTIF($G$2:G8060,G8060))</f>
        <v>DK-10283/2</v>
      </c>
      <c r="C8060" s="15" t="s">
        <v>43363</v>
      </c>
      <c r="D8060" s="43" t="s">
        <v>43361</v>
      </c>
      <c r="E8060" s="15" t="s">
        <v>43364</v>
      </c>
      <c r="F8060" s="87" t="s">
        <v>21871</v>
      </c>
      <c r="G8060" s="91" t="s">
        <v>19688</v>
      </c>
      <c r="H8060" s="54" t="s">
        <v>19689</v>
      </c>
      <c r="I8060" s="5" t="s">
        <v>12887</v>
      </c>
    </row>
    <row r="8061" spans="1:9" ht="32.5" customHeight="1" x14ac:dyDescent="0.35">
      <c r="A8061" s="15"/>
      <c r="B8061" s="15" t="str">
        <f>CONCATENATE(G8061,"/",COUNTIF($G$2:G8061,G8061))</f>
        <v>CZ-10200/1</v>
      </c>
      <c r="C8061" s="15" t="s">
        <v>21892</v>
      </c>
      <c r="D8061" s="43">
        <v>45394</v>
      </c>
      <c r="E8061" s="15" t="s">
        <v>43365</v>
      </c>
      <c r="F8061" s="87" t="s">
        <v>21871</v>
      </c>
      <c r="G8061" s="91" t="s">
        <v>19814</v>
      </c>
      <c r="H8061" s="76" t="s">
        <v>19815</v>
      </c>
      <c r="I8061" s="21" t="s">
        <v>16397</v>
      </c>
    </row>
    <row r="8062" spans="1:9" ht="28" customHeight="1" x14ac:dyDescent="0.35">
      <c r="A8062" s="15"/>
      <c r="B8062" s="15" t="str">
        <f>CONCATENATE(G8062,"/",COUNTIF($G$2:G8062,G8062))</f>
        <v>HU-10178/1</v>
      </c>
      <c r="C8062" s="15" t="s">
        <v>43366</v>
      </c>
      <c r="D8062" s="43" t="s">
        <v>43367</v>
      </c>
      <c r="E8062" s="15" t="s">
        <v>43368</v>
      </c>
      <c r="F8062" s="87" t="s">
        <v>21871</v>
      </c>
      <c r="G8062" s="91" t="s">
        <v>19674</v>
      </c>
      <c r="H8062" s="15" t="s">
        <v>19675</v>
      </c>
      <c r="I8062" s="15" t="s">
        <v>17537</v>
      </c>
    </row>
    <row r="8063" spans="1:9" ht="34" customHeight="1" x14ac:dyDescent="0.35">
      <c r="A8063" s="15"/>
      <c r="B8063" s="15" t="str">
        <f>CONCATENATE(G8063,"/",COUNTIF($G$2:G8063,G8063))</f>
        <v>HU-10310/1</v>
      </c>
      <c r="C8063" s="15" t="s">
        <v>43369</v>
      </c>
      <c r="D8063" s="43" t="s">
        <v>43370</v>
      </c>
      <c r="E8063" s="15" t="s">
        <v>43371</v>
      </c>
      <c r="F8063" s="87" t="s">
        <v>21871</v>
      </c>
      <c r="G8063" s="91" t="s">
        <v>20329</v>
      </c>
      <c r="H8063" s="85" t="s">
        <v>20330</v>
      </c>
      <c r="I8063" s="69" t="s">
        <v>17537</v>
      </c>
    </row>
    <row r="8064" spans="1:9" ht="34" customHeight="1" x14ac:dyDescent="0.35">
      <c r="A8064" s="15"/>
      <c r="B8064" s="15" t="str">
        <f>CONCATENATE(G8064,"/",COUNTIF($G$2:G8064,G8064))</f>
        <v>PL-10418/1</v>
      </c>
      <c r="C8064" s="15" t="s">
        <v>43372</v>
      </c>
      <c r="D8064" s="43" t="s">
        <v>43373</v>
      </c>
      <c r="E8064" s="15" t="s">
        <v>43374</v>
      </c>
      <c r="F8064" s="87" t="s">
        <v>21871</v>
      </c>
      <c r="G8064" s="91" t="s">
        <v>20958</v>
      </c>
      <c r="H8064" s="85" t="s">
        <v>20959</v>
      </c>
      <c r="I8064" s="69" t="s">
        <v>17018</v>
      </c>
    </row>
    <row r="8065" spans="1:9" ht="34" customHeight="1" x14ac:dyDescent="0.35">
      <c r="A8065" s="15"/>
      <c r="B8065" s="15" t="str">
        <f>CONCATENATE(G8065,"/",COUNTIF($G$2:G8065,G8065))</f>
        <v>PL-10418/2</v>
      </c>
      <c r="C8065" s="15" t="s">
        <v>43375</v>
      </c>
      <c r="D8065" s="43" t="s">
        <v>43373</v>
      </c>
      <c r="E8065" s="15" t="s">
        <v>43376</v>
      </c>
      <c r="F8065" s="87" t="s">
        <v>21871</v>
      </c>
      <c r="G8065" s="91" t="s">
        <v>20958</v>
      </c>
      <c r="H8065" s="85" t="s">
        <v>20959</v>
      </c>
      <c r="I8065" s="69" t="s">
        <v>17018</v>
      </c>
    </row>
    <row r="8066" spans="1:9" ht="34" customHeight="1" x14ac:dyDescent="0.35">
      <c r="A8066" s="15"/>
      <c r="B8066" s="15" t="str">
        <f>CONCATENATE(G8066,"/",COUNTIF($G$2:G8066,G8066))</f>
        <v>PL-10418/3</v>
      </c>
      <c r="C8066" s="15" t="s">
        <v>43377</v>
      </c>
      <c r="D8066" s="15" t="s">
        <v>43373</v>
      </c>
      <c r="E8066" s="15" t="s">
        <v>43378</v>
      </c>
      <c r="F8066" s="87" t="s">
        <v>21871</v>
      </c>
      <c r="G8066" s="91" t="s">
        <v>20958</v>
      </c>
      <c r="H8066" s="85" t="s">
        <v>20959</v>
      </c>
      <c r="I8066" s="69" t="s">
        <v>17018</v>
      </c>
    </row>
    <row r="8067" spans="1:9" ht="33" customHeight="1" x14ac:dyDescent="0.35">
      <c r="A8067" s="15"/>
      <c r="B8067" s="15" t="str">
        <f>CONCATENATE(G8067,"/",COUNTIF($G$2:G8067,G8067))</f>
        <v>IT-10368/1</v>
      </c>
      <c r="C8067" s="15" t="s">
        <v>43381</v>
      </c>
      <c r="D8067" s="28">
        <v>45412</v>
      </c>
      <c r="E8067" s="15" t="s">
        <v>43382</v>
      </c>
      <c r="F8067" s="87" t="s">
        <v>21871</v>
      </c>
      <c r="G8067" s="91" t="s">
        <v>20739</v>
      </c>
      <c r="H8067" s="85" t="s">
        <v>20740</v>
      </c>
      <c r="I8067" s="69" t="s">
        <v>18076</v>
      </c>
    </row>
    <row r="8068" spans="1:9" ht="33" customHeight="1" x14ac:dyDescent="0.35">
      <c r="A8068" s="15"/>
      <c r="B8068" s="15" t="str">
        <f>CONCATENATE(G8068,"/",COUNTIF($G$2:G8068,G8068))</f>
        <v>IT-10368/2</v>
      </c>
      <c r="C8068" s="15" t="s">
        <v>43383</v>
      </c>
      <c r="D8068" s="28">
        <v>45412</v>
      </c>
      <c r="E8068" s="15" t="s">
        <v>43384</v>
      </c>
      <c r="F8068" s="87" t="s">
        <v>21871</v>
      </c>
      <c r="G8068" s="91" t="s">
        <v>20739</v>
      </c>
      <c r="H8068" s="85" t="s">
        <v>20740</v>
      </c>
      <c r="I8068" s="69" t="s">
        <v>18076</v>
      </c>
    </row>
    <row r="8069" spans="1:9" ht="33" customHeight="1" x14ac:dyDescent="0.35">
      <c r="A8069" s="15"/>
      <c r="B8069" s="15" t="str">
        <f>CONCATENATE(G8069,"/",COUNTIF($G$2:G8069,G8069))</f>
        <v>IT-10368/3</v>
      </c>
      <c r="C8069" s="15" t="s">
        <v>43385</v>
      </c>
      <c r="D8069" s="28">
        <v>45412</v>
      </c>
      <c r="E8069" s="15" t="s">
        <v>43386</v>
      </c>
      <c r="F8069" s="87" t="s">
        <v>21871</v>
      </c>
      <c r="G8069" s="91" t="s">
        <v>20739</v>
      </c>
      <c r="H8069" s="85" t="s">
        <v>20740</v>
      </c>
      <c r="I8069" s="69" t="s">
        <v>18076</v>
      </c>
    </row>
    <row r="8070" spans="1:9" ht="33" customHeight="1" x14ac:dyDescent="0.35">
      <c r="A8070" s="15"/>
      <c r="B8070" s="15" t="str">
        <f>CONCATENATE(G8070,"/",COUNTIF($G$2:G8070,G8070))</f>
        <v>IT-10368/4</v>
      </c>
      <c r="C8070" s="15" t="s">
        <v>43387</v>
      </c>
      <c r="D8070" s="28">
        <v>45412</v>
      </c>
      <c r="E8070" s="15" t="s">
        <v>43388</v>
      </c>
      <c r="F8070" s="87" t="s">
        <v>21871</v>
      </c>
      <c r="G8070" s="91" t="s">
        <v>20739</v>
      </c>
      <c r="H8070" s="85" t="s">
        <v>20740</v>
      </c>
      <c r="I8070" s="69" t="s">
        <v>18076</v>
      </c>
    </row>
    <row r="8071" spans="1:9" ht="33" customHeight="1" x14ac:dyDescent="0.35">
      <c r="A8071" s="15"/>
      <c r="B8071" s="15" t="str">
        <f>CONCATENATE(G8071,"/",COUNTIF($G$2:G8071,G8071))</f>
        <v>IT-10368/5</v>
      </c>
      <c r="C8071" s="15" t="s">
        <v>43389</v>
      </c>
      <c r="D8071" s="28">
        <v>45412</v>
      </c>
      <c r="E8071" s="15" t="s">
        <v>43390</v>
      </c>
      <c r="F8071" s="87" t="s">
        <v>21871</v>
      </c>
      <c r="G8071" s="91" t="s">
        <v>20739</v>
      </c>
      <c r="H8071" s="85" t="s">
        <v>20740</v>
      </c>
      <c r="I8071" s="69" t="s">
        <v>18076</v>
      </c>
    </row>
    <row r="8072" spans="1:9" ht="35.5" customHeight="1" x14ac:dyDescent="0.35">
      <c r="A8072" s="15"/>
      <c r="B8072" s="15" t="str">
        <f>CONCATENATE(G8072,"/",COUNTIF($G$2:G8072,G8072))</f>
        <v>IT-10368/6</v>
      </c>
      <c r="C8072" s="15" t="s">
        <v>43391</v>
      </c>
      <c r="D8072" s="28">
        <v>45412</v>
      </c>
      <c r="E8072" s="15" t="s">
        <v>43392</v>
      </c>
      <c r="F8072" s="87" t="s">
        <v>21871</v>
      </c>
      <c r="G8072" s="91" t="s">
        <v>20739</v>
      </c>
      <c r="H8072" s="85" t="s">
        <v>20740</v>
      </c>
      <c r="I8072" s="69" t="s">
        <v>18076</v>
      </c>
    </row>
    <row r="8073" spans="1:9" ht="33" customHeight="1" x14ac:dyDescent="0.35">
      <c r="A8073" s="15"/>
      <c r="B8073" s="15" t="str">
        <f>CONCATENATE(G8073,"/",COUNTIF($G$2:G8073,G8073))</f>
        <v>RO-10402/1</v>
      </c>
      <c r="C8073" s="15" t="s">
        <v>43406</v>
      </c>
      <c r="D8073" s="28">
        <v>45385</v>
      </c>
      <c r="E8073" s="15" t="s">
        <v>43407</v>
      </c>
      <c r="F8073" s="87" t="s">
        <v>21871</v>
      </c>
      <c r="G8073" s="91" t="s">
        <v>20929</v>
      </c>
      <c r="H8073" s="85" t="s">
        <v>20930</v>
      </c>
      <c r="I8073" s="69" t="s">
        <v>17638</v>
      </c>
    </row>
    <row r="8074" spans="1:9" ht="33" customHeight="1" x14ac:dyDescent="0.35">
      <c r="A8074" s="15"/>
      <c r="B8074" s="15" t="str">
        <f>CONCATENATE(G8074,"/",COUNTIF($G$2:G8074,G8074))</f>
        <v>ES-10383/1</v>
      </c>
      <c r="C8074" s="15" t="s">
        <v>43410</v>
      </c>
      <c r="D8074" s="28">
        <v>45407</v>
      </c>
      <c r="E8074" s="15" t="s">
        <v>43411</v>
      </c>
      <c r="F8074" s="87" t="s">
        <v>21871</v>
      </c>
      <c r="G8074" s="91" t="s">
        <v>20743</v>
      </c>
      <c r="H8074" s="85" t="s">
        <v>20744</v>
      </c>
      <c r="I8074" s="69" t="s">
        <v>17769</v>
      </c>
    </row>
    <row r="8075" spans="1:9" ht="33" customHeight="1" x14ac:dyDescent="0.35">
      <c r="A8075" s="15"/>
      <c r="B8075" s="15" t="str">
        <f>CONCATENATE(G8075,"/",COUNTIF($G$2:G8075,G8075))</f>
        <v>ES-10383/2</v>
      </c>
      <c r="C8075" s="15" t="s">
        <v>43412</v>
      </c>
      <c r="D8075" s="28">
        <v>45407</v>
      </c>
      <c r="E8075" s="15" t="s">
        <v>43413</v>
      </c>
      <c r="F8075" s="87" t="s">
        <v>21871</v>
      </c>
      <c r="G8075" s="91" t="s">
        <v>20743</v>
      </c>
      <c r="H8075" s="85" t="s">
        <v>20744</v>
      </c>
      <c r="I8075" s="69" t="s">
        <v>17769</v>
      </c>
    </row>
    <row r="8076" spans="1:9" ht="33" customHeight="1" x14ac:dyDescent="0.35">
      <c r="A8076" s="15"/>
      <c r="B8076" s="15" t="str">
        <f>CONCATENATE(G8076,"/",COUNTIF($G$2:G8076,G8076))</f>
        <v>ES-10383/3</v>
      </c>
      <c r="C8076" s="15" t="s">
        <v>43414</v>
      </c>
      <c r="D8076" s="28">
        <v>45407</v>
      </c>
      <c r="E8076" s="15" t="s">
        <v>43415</v>
      </c>
      <c r="F8076" s="87" t="s">
        <v>21871</v>
      </c>
      <c r="G8076" s="91" t="s">
        <v>20743</v>
      </c>
      <c r="H8076" s="85" t="s">
        <v>20744</v>
      </c>
      <c r="I8076" s="69" t="s">
        <v>17769</v>
      </c>
    </row>
    <row r="8077" spans="1:9" ht="33" customHeight="1" x14ac:dyDescent="0.35">
      <c r="A8077" s="15"/>
      <c r="B8077" s="15" t="str">
        <f>CONCATENATE(G8077,"/",COUNTIF($G$2:G8077,G8077))</f>
        <v>ES-10383/4</v>
      </c>
      <c r="C8077" s="15" t="s">
        <v>43416</v>
      </c>
      <c r="D8077" s="28">
        <v>45407</v>
      </c>
      <c r="E8077" s="15" t="s">
        <v>43417</v>
      </c>
      <c r="F8077" s="87" t="s">
        <v>21871</v>
      </c>
      <c r="G8077" s="91" t="s">
        <v>20743</v>
      </c>
      <c r="H8077" s="85" t="s">
        <v>20744</v>
      </c>
      <c r="I8077" s="69" t="s">
        <v>17769</v>
      </c>
    </row>
    <row r="8078" spans="1:9" ht="33" customHeight="1" x14ac:dyDescent="0.35">
      <c r="A8078" s="15"/>
      <c r="B8078" s="15" t="str">
        <f>CONCATENATE(G8078,"/",COUNTIF($G$2:G8078,G8078))</f>
        <v>ES-10383/5</v>
      </c>
      <c r="C8078" s="15" t="s">
        <v>43418</v>
      </c>
      <c r="D8078" s="28">
        <v>45407</v>
      </c>
      <c r="E8078" s="15" t="s">
        <v>43419</v>
      </c>
      <c r="F8078" s="87" t="s">
        <v>21871</v>
      </c>
      <c r="G8078" s="91" t="s">
        <v>20743</v>
      </c>
      <c r="H8078" s="85" t="s">
        <v>20744</v>
      </c>
      <c r="I8078" s="69" t="s">
        <v>17769</v>
      </c>
    </row>
    <row r="8079" spans="1:9" ht="33" customHeight="1" x14ac:dyDescent="0.35">
      <c r="A8079" s="15"/>
      <c r="B8079" s="15" t="str">
        <f>CONCATENATE(G8079,"/",COUNTIF($G$2:G8079,G8079))</f>
        <v>ES-10383/6</v>
      </c>
      <c r="C8079" s="15" t="s">
        <v>43420</v>
      </c>
      <c r="D8079" s="28">
        <v>45407</v>
      </c>
      <c r="E8079" s="15" t="s">
        <v>43421</v>
      </c>
      <c r="F8079" s="87" t="s">
        <v>21871</v>
      </c>
      <c r="G8079" s="91" t="s">
        <v>20743</v>
      </c>
      <c r="H8079" s="85" t="s">
        <v>20744</v>
      </c>
      <c r="I8079" s="69" t="s">
        <v>17769</v>
      </c>
    </row>
    <row r="8080" spans="1:9" ht="33" customHeight="1" x14ac:dyDescent="0.35">
      <c r="A8080" s="15"/>
      <c r="B8080" s="15" t="str">
        <f>CONCATENATE(G8080,"/",COUNTIF($G$2:G8080,G8080))</f>
        <v>ES-10383/7</v>
      </c>
      <c r="C8080" s="15" t="s">
        <v>43422</v>
      </c>
      <c r="D8080" s="28">
        <v>45407</v>
      </c>
      <c r="E8080" s="15" t="s">
        <v>43423</v>
      </c>
      <c r="F8080" s="87" t="s">
        <v>21871</v>
      </c>
      <c r="G8080" s="91" t="s">
        <v>20743</v>
      </c>
      <c r="H8080" s="85" t="s">
        <v>20744</v>
      </c>
      <c r="I8080" s="69" t="s">
        <v>17769</v>
      </c>
    </row>
    <row r="8081" spans="1:9" ht="31" customHeight="1" x14ac:dyDescent="0.35">
      <c r="A8081" s="15"/>
      <c r="B8081" s="15" t="str">
        <f>CONCATENATE(G8081,"/",COUNTIF($G$2:G8081,G8081))</f>
        <v>RO-10411/1</v>
      </c>
      <c r="C8081" s="15" t="s">
        <v>43449</v>
      </c>
      <c r="D8081" s="28">
        <v>45428</v>
      </c>
      <c r="E8081" s="15" t="s">
        <v>43450</v>
      </c>
      <c r="F8081" s="87" t="s">
        <v>21871</v>
      </c>
      <c r="G8081" s="91" t="s">
        <v>20968</v>
      </c>
      <c r="H8081" s="85" t="s">
        <v>20969</v>
      </c>
      <c r="I8081" s="69" t="s">
        <v>17638</v>
      </c>
    </row>
    <row r="8082" spans="1:9" ht="31" customHeight="1" x14ac:dyDescent="0.35">
      <c r="A8082" s="15"/>
      <c r="B8082" s="15" t="str">
        <f>CONCATENATE(G8082,"/",COUNTIF($G$2:G8082,G8082))</f>
        <v>RO-10411/2</v>
      </c>
      <c r="C8082" s="15" t="s">
        <v>43451</v>
      </c>
      <c r="D8082" s="28">
        <v>45428</v>
      </c>
      <c r="E8082" s="15" t="s">
        <v>43452</v>
      </c>
      <c r="F8082" s="87" t="s">
        <v>21871</v>
      </c>
      <c r="G8082" s="91" t="s">
        <v>20968</v>
      </c>
      <c r="H8082" s="85" t="s">
        <v>20969</v>
      </c>
      <c r="I8082" s="69" t="s">
        <v>17638</v>
      </c>
    </row>
    <row r="8083" spans="1:9" ht="35" customHeight="1" x14ac:dyDescent="0.35">
      <c r="A8083" s="15"/>
      <c r="B8083" s="15" t="str">
        <f>CONCATENATE(G8083,"/",COUNTIF($G$2:G8083,G8083))</f>
        <v>NL-10405/1</v>
      </c>
      <c r="C8083" s="15">
        <v>1</v>
      </c>
      <c r="D8083" s="28">
        <v>45427</v>
      </c>
      <c r="E8083" s="15" t="s">
        <v>43471</v>
      </c>
      <c r="F8083" s="87" t="s">
        <v>38184</v>
      </c>
      <c r="G8083" s="91" t="s">
        <v>20915</v>
      </c>
      <c r="H8083" s="85" t="s">
        <v>20916</v>
      </c>
      <c r="I8083" s="69" t="s">
        <v>20917</v>
      </c>
    </row>
    <row r="8084" spans="1:9" ht="35" customHeight="1" x14ac:dyDescent="0.35">
      <c r="A8084" s="15"/>
      <c r="B8084" s="15" t="str">
        <f>CONCATENATE(G8084,"/",COUNTIF($G$2:G8084,G8084))</f>
        <v>NL-10405/2</v>
      </c>
      <c r="C8084" s="15">
        <v>2</v>
      </c>
      <c r="D8084" s="28">
        <v>45427</v>
      </c>
      <c r="E8084" s="15" t="s">
        <v>43472</v>
      </c>
      <c r="F8084" s="87" t="s">
        <v>38184</v>
      </c>
      <c r="G8084" s="91" t="s">
        <v>20915</v>
      </c>
      <c r="H8084" s="85" t="s">
        <v>20916</v>
      </c>
      <c r="I8084" s="69" t="s">
        <v>20917</v>
      </c>
    </row>
    <row r="8085" spans="1:9" ht="31" customHeight="1" x14ac:dyDescent="0.35">
      <c r="A8085" s="15"/>
      <c r="B8085" s="15" t="str">
        <f>CONCATENATE(G8085,"/",COUNTIF($G$2:G8085,G8085))</f>
        <v>NL-10405/3</v>
      </c>
      <c r="C8085" s="15">
        <v>3</v>
      </c>
      <c r="D8085" s="28">
        <v>45427</v>
      </c>
      <c r="E8085" s="15" t="s">
        <v>43473</v>
      </c>
      <c r="F8085" s="87" t="s">
        <v>38184</v>
      </c>
      <c r="G8085" s="91" t="s">
        <v>20915</v>
      </c>
      <c r="H8085" s="85" t="s">
        <v>20916</v>
      </c>
      <c r="I8085" s="69" t="s">
        <v>20917</v>
      </c>
    </row>
    <row r="8086" spans="1:9" ht="29.5" customHeight="1" x14ac:dyDescent="0.35">
      <c r="A8086" s="15"/>
      <c r="B8086" s="15" t="str">
        <f>CONCATENATE(G8086,"/",COUNTIF($G$2:G8086,G8086))</f>
        <v>NL-10405/4</v>
      </c>
      <c r="C8086" s="15">
        <v>4</v>
      </c>
      <c r="D8086" s="28">
        <v>45427</v>
      </c>
      <c r="E8086" s="15" t="s">
        <v>43474</v>
      </c>
      <c r="F8086" s="87" t="s">
        <v>38184</v>
      </c>
      <c r="G8086" s="91" t="s">
        <v>20915</v>
      </c>
      <c r="H8086" s="85" t="s">
        <v>20916</v>
      </c>
      <c r="I8086" s="69" t="s">
        <v>20917</v>
      </c>
    </row>
    <row r="8087" spans="1:9" ht="29.5" customHeight="1" x14ac:dyDescent="0.35">
      <c r="A8087" s="15"/>
      <c r="B8087" s="15" t="str">
        <f>CONCATENATE(G8087,"/",COUNTIF($G$2:G8087,G8087))</f>
        <v>NL-10405/5</v>
      </c>
      <c r="C8087" s="15">
        <v>5</v>
      </c>
      <c r="D8087" s="28">
        <v>45427</v>
      </c>
      <c r="E8087" s="15" t="s">
        <v>43475</v>
      </c>
      <c r="F8087" s="87" t="s">
        <v>38184</v>
      </c>
      <c r="G8087" s="91" t="s">
        <v>20915</v>
      </c>
      <c r="H8087" s="85" t="s">
        <v>20916</v>
      </c>
      <c r="I8087" s="69" t="s">
        <v>20917</v>
      </c>
    </row>
    <row r="8088" spans="1:9" ht="31" customHeight="1" x14ac:dyDescent="0.35">
      <c r="A8088" s="15"/>
      <c r="B8088" s="15" t="str">
        <f>CONCATENATE(G8088,"/",COUNTIF($G$2:G8088,G8088))</f>
        <v>HU-10324/1</v>
      </c>
      <c r="C8088" s="15" t="s">
        <v>43479</v>
      </c>
      <c r="D8088" s="28">
        <v>45435</v>
      </c>
      <c r="E8088" s="15" t="s">
        <v>43480</v>
      </c>
      <c r="F8088" s="87" t="s">
        <v>21871</v>
      </c>
      <c r="G8088" s="91" t="s">
        <v>20434</v>
      </c>
      <c r="H8088" s="85" t="s">
        <v>20435</v>
      </c>
      <c r="I8088" s="69" t="s">
        <v>17537</v>
      </c>
    </row>
    <row r="8089" spans="1:9" ht="34.5" customHeight="1" x14ac:dyDescent="0.35">
      <c r="A8089" s="15"/>
      <c r="B8089" s="15" t="str">
        <f>CONCATENATE(G8089,"/",COUNTIF($G$2:G8089,G8089))</f>
        <v>AT-10226/1</v>
      </c>
      <c r="C8089" s="15" t="s">
        <v>43498</v>
      </c>
      <c r="D8089" s="28">
        <v>45411</v>
      </c>
      <c r="E8089" s="15" t="s">
        <v>43499</v>
      </c>
      <c r="F8089" s="87" t="s">
        <v>21871</v>
      </c>
      <c r="G8089" s="91" t="s">
        <v>19979</v>
      </c>
      <c r="H8089" s="54" t="s">
        <v>19980</v>
      </c>
      <c r="I8089" s="21" t="s">
        <v>12451</v>
      </c>
    </row>
    <row r="8090" spans="1:9" ht="34.5" customHeight="1" x14ac:dyDescent="0.35">
      <c r="A8090" s="15"/>
      <c r="B8090" s="15" t="str">
        <f>CONCATENATE(G8090,"/",COUNTIF($G$2:G8090,G8090))</f>
        <v>AT-10226/2</v>
      </c>
      <c r="C8090" s="15" t="s">
        <v>43500</v>
      </c>
      <c r="D8090" s="28">
        <v>45411</v>
      </c>
      <c r="E8090" s="15" t="s">
        <v>43501</v>
      </c>
      <c r="F8090" s="87" t="s">
        <v>21871</v>
      </c>
      <c r="G8090" s="91" t="s">
        <v>19979</v>
      </c>
      <c r="H8090" s="54" t="s">
        <v>19980</v>
      </c>
      <c r="I8090" s="21" t="s">
        <v>12451</v>
      </c>
    </row>
    <row r="8091" spans="1:9" ht="34.5" customHeight="1" x14ac:dyDescent="0.35">
      <c r="A8091" s="15"/>
      <c r="B8091" s="15" t="str">
        <f>CONCATENATE(G8091,"/",COUNTIF($G$2:G8091,G8091))</f>
        <v>AT-10226/3</v>
      </c>
      <c r="C8091" s="15" t="s">
        <v>43502</v>
      </c>
      <c r="D8091" s="28">
        <v>45411</v>
      </c>
      <c r="E8091" s="15" t="s">
        <v>43503</v>
      </c>
      <c r="F8091" s="87" t="s">
        <v>21871</v>
      </c>
      <c r="G8091" s="91" t="s">
        <v>19979</v>
      </c>
      <c r="H8091" s="54" t="s">
        <v>19980</v>
      </c>
      <c r="I8091" s="21" t="s">
        <v>12451</v>
      </c>
    </row>
    <row r="8092" spans="1:9" ht="34.5" customHeight="1" x14ac:dyDescent="0.35">
      <c r="A8092" s="15"/>
      <c r="B8092" s="15" t="str">
        <f>CONCATENATE(G8092,"/",COUNTIF($G$2:G8092,G8092))</f>
        <v>AT-10226/4</v>
      </c>
      <c r="C8092" s="15" t="s">
        <v>43504</v>
      </c>
      <c r="D8092" s="28">
        <v>45411</v>
      </c>
      <c r="E8092" s="15" t="s">
        <v>43505</v>
      </c>
      <c r="F8092" s="87" t="s">
        <v>21871</v>
      </c>
      <c r="G8092" s="91" t="s">
        <v>19979</v>
      </c>
      <c r="H8092" s="54" t="s">
        <v>19980</v>
      </c>
      <c r="I8092" s="21" t="s">
        <v>12451</v>
      </c>
    </row>
    <row r="8093" spans="1:9" ht="34.5" customHeight="1" x14ac:dyDescent="0.35">
      <c r="A8093" s="15"/>
      <c r="B8093" s="15" t="str">
        <f>CONCATENATE(G8093,"/",COUNTIF($G$2:G8093,G8093))</f>
        <v>RO-10420/1</v>
      </c>
      <c r="C8093" s="15" t="s">
        <v>43508</v>
      </c>
      <c r="D8093" s="28">
        <v>45435</v>
      </c>
      <c r="E8093" s="15" t="s">
        <v>43509</v>
      </c>
      <c r="F8093" s="87" t="s">
        <v>21871</v>
      </c>
      <c r="G8093" s="91" t="s">
        <v>20996</v>
      </c>
      <c r="H8093" s="85" t="s">
        <v>20997</v>
      </c>
      <c r="I8093" s="69" t="s">
        <v>17638</v>
      </c>
    </row>
    <row r="8094" spans="1:9" ht="34.5" customHeight="1" x14ac:dyDescent="0.35">
      <c r="A8094" s="15"/>
      <c r="B8094" s="15" t="str">
        <f>CONCATENATE(G8094,"/",COUNTIF($G$2:G8094,G8094))</f>
        <v>RO-10420/2</v>
      </c>
      <c r="C8094" s="15" t="s">
        <v>43510</v>
      </c>
      <c r="D8094" s="28">
        <v>45435</v>
      </c>
      <c r="E8094" s="15" t="s">
        <v>43511</v>
      </c>
      <c r="F8094" s="87" t="s">
        <v>21871</v>
      </c>
      <c r="G8094" s="91" t="s">
        <v>20996</v>
      </c>
      <c r="H8094" s="85" t="s">
        <v>20997</v>
      </c>
      <c r="I8094" s="69" t="s">
        <v>17638</v>
      </c>
    </row>
    <row r="8095" spans="1:9" ht="34.5" customHeight="1" x14ac:dyDescent="0.35">
      <c r="A8095" s="15"/>
      <c r="B8095" s="15" t="str">
        <f>CONCATENATE(G8095,"/",COUNTIF($G$2:G8095,G8095))</f>
        <v>RO-10420/3</v>
      </c>
      <c r="C8095" s="15" t="s">
        <v>43512</v>
      </c>
      <c r="D8095" s="28">
        <v>45435</v>
      </c>
      <c r="E8095" s="15" t="s">
        <v>43513</v>
      </c>
      <c r="F8095" s="87" t="s">
        <v>21871</v>
      </c>
      <c r="G8095" s="91" t="s">
        <v>20996</v>
      </c>
      <c r="H8095" s="85" t="s">
        <v>20997</v>
      </c>
      <c r="I8095" s="69" t="s">
        <v>17638</v>
      </c>
    </row>
    <row r="8096" spans="1:9" ht="35" customHeight="1" x14ac:dyDescent="0.35">
      <c r="A8096" s="15"/>
      <c r="B8096" s="15" t="str">
        <f>CONCATENATE(G8096,"/",COUNTIF($G$2:G8096,G8096))</f>
        <v>DE-10279/1</v>
      </c>
      <c r="C8096" s="15" t="s">
        <v>43552</v>
      </c>
      <c r="D8096" s="28">
        <v>45444</v>
      </c>
      <c r="E8096" s="15" t="s">
        <v>43553</v>
      </c>
      <c r="F8096" s="87" t="s">
        <v>23710</v>
      </c>
      <c r="G8096" s="47" t="s">
        <v>20075</v>
      </c>
      <c r="H8096" s="54" t="s">
        <v>43547</v>
      </c>
      <c r="I8096" s="5" t="s">
        <v>6434</v>
      </c>
    </row>
    <row r="8097" spans="1:9" ht="35" customHeight="1" x14ac:dyDescent="0.35">
      <c r="A8097" s="15"/>
      <c r="B8097" s="15" t="str">
        <f>CONCATENATE(G8097,"/",COUNTIF($G$2:G8097,G8097))</f>
        <v>DE-10279/2</v>
      </c>
      <c r="C8097" s="15" t="s">
        <v>43554</v>
      </c>
      <c r="D8097" s="28">
        <v>45444</v>
      </c>
      <c r="E8097" s="15" t="s">
        <v>43555</v>
      </c>
      <c r="F8097" s="87" t="s">
        <v>23710</v>
      </c>
      <c r="G8097" s="47" t="s">
        <v>20075</v>
      </c>
      <c r="H8097" s="54" t="s">
        <v>43547</v>
      </c>
      <c r="I8097" s="5" t="s">
        <v>6434</v>
      </c>
    </row>
    <row r="8098" spans="1:9" ht="32" customHeight="1" x14ac:dyDescent="0.35">
      <c r="A8098" s="15"/>
      <c r="B8098" s="15" t="str">
        <f>CONCATENATE(G8098,"/",COUNTIF($G$2:G8098,G8098))</f>
        <v>CZ-10511/1</v>
      </c>
      <c r="C8098" s="15" t="s">
        <v>21892</v>
      </c>
      <c r="D8098" s="28">
        <v>45450</v>
      </c>
      <c r="E8098" s="15" t="s">
        <v>43569</v>
      </c>
      <c r="F8098" s="87" t="s">
        <v>21871</v>
      </c>
      <c r="G8098" s="91" t="s">
        <v>21473</v>
      </c>
      <c r="H8098" s="85" t="s">
        <v>43564</v>
      </c>
      <c r="I8098" s="85" t="s">
        <v>16397</v>
      </c>
    </row>
    <row r="8099" spans="1:9" ht="31.5" customHeight="1" x14ac:dyDescent="0.35">
      <c r="A8099" s="15"/>
      <c r="B8099" s="15" t="str">
        <f>CONCATENATE(G8099,"/",COUNTIF($G$2:G8099,G8099))</f>
        <v>AT-6217/1</v>
      </c>
      <c r="C8099" s="15" t="s">
        <v>43602</v>
      </c>
      <c r="D8099" s="28">
        <v>45369</v>
      </c>
      <c r="E8099" s="15" t="s">
        <v>43603</v>
      </c>
      <c r="F8099" s="87" t="s">
        <v>21871</v>
      </c>
      <c r="G8099" s="91" t="s">
        <v>16536</v>
      </c>
      <c r="H8099" s="54" t="s">
        <v>43597</v>
      </c>
      <c r="I8099" s="5" t="s">
        <v>12451</v>
      </c>
    </row>
    <row r="8100" spans="1:9" ht="30.5" customHeight="1" x14ac:dyDescent="0.35">
      <c r="A8100" s="15"/>
      <c r="B8100" s="15" t="str">
        <f>CONCATENATE(G8100,"/",COUNTIF($G$2:G8100,G8100))</f>
        <v>CZ-10429/1</v>
      </c>
      <c r="C8100" s="15" t="s">
        <v>21892</v>
      </c>
      <c r="D8100" s="28">
        <v>45456</v>
      </c>
      <c r="E8100" s="15" t="s">
        <v>43615</v>
      </c>
      <c r="F8100" s="87" t="s">
        <v>21871</v>
      </c>
      <c r="G8100" s="91" t="s">
        <v>21031</v>
      </c>
      <c r="H8100" s="85" t="s">
        <v>21032</v>
      </c>
      <c r="I8100" s="69" t="s">
        <v>16397</v>
      </c>
    </row>
    <row r="8101" spans="1:9" ht="32.5" customHeight="1" x14ac:dyDescent="0.35">
      <c r="A8101" s="15"/>
      <c r="B8101" s="15" t="str">
        <f>CONCATENATE(G8101,"/",COUNTIF($G$2:G8101,G8101))</f>
        <v>HR-10428/1</v>
      </c>
      <c r="C8101" s="15" t="s">
        <v>43620</v>
      </c>
      <c r="D8101" s="28">
        <v>45453</v>
      </c>
      <c r="E8101" s="15" t="s">
        <v>43621</v>
      </c>
      <c r="F8101" s="87" t="s">
        <v>21871</v>
      </c>
      <c r="G8101" s="91" t="s">
        <v>21012</v>
      </c>
      <c r="H8101" s="85" t="s">
        <v>21013</v>
      </c>
      <c r="I8101" s="69" t="s">
        <v>9767</v>
      </c>
    </row>
    <row r="8102" spans="1:9" ht="29" customHeight="1" x14ac:dyDescent="0.35">
      <c r="A8102" s="15"/>
      <c r="B8102" s="15" t="str">
        <f>CONCATENATE(G8102,"/",COUNTIF($G$2:G8102,G8102))</f>
        <v>FI-10451/1</v>
      </c>
      <c r="C8102" s="15" t="s">
        <v>43630</v>
      </c>
      <c r="D8102" s="15" t="s">
        <v>43631</v>
      </c>
      <c r="E8102" s="15" t="s">
        <v>43632</v>
      </c>
      <c r="F8102" s="87" t="s">
        <v>21871</v>
      </c>
      <c r="G8102" s="91" t="s">
        <v>21168</v>
      </c>
      <c r="H8102" s="85" t="s">
        <v>21169</v>
      </c>
      <c r="I8102" s="85" t="s">
        <v>18828</v>
      </c>
    </row>
    <row r="8103" spans="1:9" ht="29" customHeight="1" x14ac:dyDescent="0.35">
      <c r="A8103" s="15"/>
      <c r="B8103" s="15" t="str">
        <f>CONCATENATE(G8103,"/",COUNTIF($G$2:G8103,G8103))</f>
        <v>FI-10451/2</v>
      </c>
      <c r="C8103" s="15" t="s">
        <v>43633</v>
      </c>
      <c r="D8103" s="15" t="s">
        <v>43631</v>
      </c>
      <c r="E8103" s="15" t="s">
        <v>43634</v>
      </c>
      <c r="F8103" s="87" t="s">
        <v>21871</v>
      </c>
      <c r="G8103" s="91" t="s">
        <v>21168</v>
      </c>
      <c r="H8103" s="85" t="s">
        <v>21169</v>
      </c>
      <c r="I8103" s="85" t="s">
        <v>18828</v>
      </c>
    </row>
    <row r="8104" spans="1:9" ht="29" customHeight="1" x14ac:dyDescent="0.35">
      <c r="A8104" s="15"/>
      <c r="B8104" s="15" t="str">
        <f>CONCATENATE(G8104,"/",COUNTIF($G$2:G8104,G8104))</f>
        <v>FI-10451/3</v>
      </c>
      <c r="C8104" s="15" t="s">
        <v>43635</v>
      </c>
      <c r="D8104" s="15" t="s">
        <v>43631</v>
      </c>
      <c r="E8104" s="15" t="s">
        <v>43636</v>
      </c>
      <c r="F8104" s="87" t="s">
        <v>21871</v>
      </c>
      <c r="G8104" s="91" t="s">
        <v>21168</v>
      </c>
      <c r="H8104" s="85" t="s">
        <v>21169</v>
      </c>
      <c r="I8104" s="85" t="s">
        <v>18828</v>
      </c>
    </row>
    <row r="8105" spans="1:9" ht="29" customHeight="1" x14ac:dyDescent="0.35">
      <c r="A8105" s="15"/>
      <c r="B8105" s="15" t="str">
        <f>CONCATENATE(G8105,"/",COUNTIF($G$2:G8105,G8105))</f>
        <v>FI-10451/4</v>
      </c>
      <c r="C8105" s="15" t="s">
        <v>43637</v>
      </c>
      <c r="D8105" s="15" t="s">
        <v>43631</v>
      </c>
      <c r="E8105" s="15" t="s">
        <v>43638</v>
      </c>
      <c r="F8105" s="87" t="s">
        <v>21871</v>
      </c>
      <c r="G8105" s="91" t="s">
        <v>21168</v>
      </c>
      <c r="H8105" s="85" t="s">
        <v>21169</v>
      </c>
      <c r="I8105" s="85" t="s">
        <v>18828</v>
      </c>
    </row>
    <row r="8106" spans="1:9" ht="27" customHeight="1" x14ac:dyDescent="0.35">
      <c r="A8106" s="15"/>
      <c r="B8106" s="15" t="str">
        <f>CONCATENATE(G8106,"/",COUNTIF($G$2:G8106,G8106))</f>
        <v>BG-10472/1</v>
      </c>
      <c r="C8106" s="15" t="s">
        <v>43658</v>
      </c>
      <c r="D8106" s="15" t="s">
        <v>43659</v>
      </c>
      <c r="E8106" s="15" t="s">
        <v>43660</v>
      </c>
      <c r="F8106" s="87" t="s">
        <v>21871</v>
      </c>
      <c r="G8106" s="91" t="s">
        <v>21254</v>
      </c>
      <c r="H8106" s="85" t="s">
        <v>21255</v>
      </c>
      <c r="I8106" s="85" t="s">
        <v>17728</v>
      </c>
    </row>
    <row r="8107" spans="1:9" ht="27" customHeight="1" x14ac:dyDescent="0.35">
      <c r="A8107" s="15"/>
      <c r="B8107" s="15" t="str">
        <f>CONCATENATE(G8107,"/",COUNTIF($G$2:G8107,G8107))</f>
        <v>BG-10472/2</v>
      </c>
      <c r="C8107" s="15" t="s">
        <v>43661</v>
      </c>
      <c r="D8107" s="15" t="s">
        <v>43659</v>
      </c>
      <c r="E8107" s="15" t="s">
        <v>43662</v>
      </c>
      <c r="F8107" s="87" t="s">
        <v>21871</v>
      </c>
      <c r="G8107" s="91" t="s">
        <v>21254</v>
      </c>
      <c r="H8107" s="85" t="s">
        <v>21255</v>
      </c>
      <c r="I8107" s="85" t="s">
        <v>17728</v>
      </c>
    </row>
    <row r="8108" spans="1:9" ht="27" customHeight="1" x14ac:dyDescent="0.35">
      <c r="A8108" s="15"/>
      <c r="B8108" s="15" t="str">
        <f>CONCATENATE(G8108,"/",COUNTIF($G$2:G8108,G8108))</f>
        <v>BG-10472/3</v>
      </c>
      <c r="C8108" s="15" t="s">
        <v>43665</v>
      </c>
      <c r="D8108" s="15" t="s">
        <v>43659</v>
      </c>
      <c r="E8108" s="15" t="s">
        <v>43666</v>
      </c>
      <c r="F8108" s="87" t="s">
        <v>21871</v>
      </c>
      <c r="G8108" s="91" t="s">
        <v>21254</v>
      </c>
      <c r="H8108" s="85" t="s">
        <v>21255</v>
      </c>
      <c r="I8108" s="85" t="s">
        <v>17728</v>
      </c>
    </row>
    <row r="8109" spans="1:9" ht="27" customHeight="1" x14ac:dyDescent="0.35">
      <c r="A8109" s="15"/>
      <c r="B8109" s="15" t="str">
        <f>CONCATENATE(G8109,"/",COUNTIF($G$2:G8109,G8109))</f>
        <v>BG-10472/4</v>
      </c>
      <c r="C8109" s="15" t="s">
        <v>43667</v>
      </c>
      <c r="D8109" s="15" t="s">
        <v>43659</v>
      </c>
      <c r="E8109" s="15" t="s">
        <v>43668</v>
      </c>
      <c r="F8109" s="87" t="s">
        <v>21871</v>
      </c>
      <c r="G8109" s="91" t="s">
        <v>21254</v>
      </c>
      <c r="H8109" s="85" t="s">
        <v>21255</v>
      </c>
      <c r="I8109" s="85" t="s">
        <v>17728</v>
      </c>
    </row>
    <row r="8110" spans="1:9" ht="27" customHeight="1" x14ac:dyDescent="0.35">
      <c r="A8110" s="15"/>
      <c r="B8110" s="15" t="str">
        <f>CONCATENATE(G8110,"/",COUNTIF($G$2:G8110,G8110))</f>
        <v>BG-10472/5</v>
      </c>
      <c r="C8110" s="15" t="s">
        <v>43663</v>
      </c>
      <c r="D8110" s="15" t="s">
        <v>43659</v>
      </c>
      <c r="E8110" s="15" t="s">
        <v>43664</v>
      </c>
      <c r="F8110" s="87" t="s">
        <v>21871</v>
      </c>
      <c r="G8110" s="91" t="s">
        <v>21254</v>
      </c>
      <c r="H8110" s="85" t="s">
        <v>21255</v>
      </c>
      <c r="I8110" s="85" t="s">
        <v>17728</v>
      </c>
    </row>
    <row r="8111" spans="1:9" ht="27" customHeight="1" x14ac:dyDescent="0.35">
      <c r="A8111" s="15"/>
      <c r="B8111" s="15" t="str">
        <f>CONCATENATE(G8111,"/",COUNTIF($G$2:G8111,G8111))</f>
        <v>BG-10472/6</v>
      </c>
      <c r="C8111" s="15" t="s">
        <v>43669</v>
      </c>
      <c r="D8111" s="15" t="s">
        <v>43659</v>
      </c>
      <c r="E8111" s="15" t="s">
        <v>43670</v>
      </c>
      <c r="F8111" s="87" t="s">
        <v>21871</v>
      </c>
      <c r="G8111" s="91" t="s">
        <v>21254</v>
      </c>
      <c r="H8111" s="85" t="s">
        <v>21255</v>
      </c>
      <c r="I8111" s="85" t="s">
        <v>17728</v>
      </c>
    </row>
    <row r="8112" spans="1:9" ht="29" customHeight="1" x14ac:dyDescent="0.35">
      <c r="A8112" s="15"/>
      <c r="B8112" s="15" t="str">
        <f>CONCATENATE(G8112,"/",COUNTIF($G$2:G8112,G8112))</f>
        <v>CZ-10455/1</v>
      </c>
      <c r="C8112" s="15" t="s">
        <v>21892</v>
      </c>
      <c r="D8112" s="28">
        <v>45470</v>
      </c>
      <c r="E8112" s="15" t="s">
        <v>43673</v>
      </c>
      <c r="F8112" s="87" t="s">
        <v>21871</v>
      </c>
      <c r="G8112" s="91" t="s">
        <v>21190</v>
      </c>
      <c r="H8112" s="85" t="s">
        <v>21191</v>
      </c>
      <c r="I8112" s="85" t="s">
        <v>16397</v>
      </c>
    </row>
    <row r="8113" spans="1:9" ht="31.5" customHeight="1" x14ac:dyDescent="0.35">
      <c r="A8113" s="15"/>
      <c r="B8113" s="15" t="str">
        <f>CONCATENATE(G8113,"/",COUNTIF($G$2:G8113,G8113))</f>
        <v>ES-10479/1</v>
      </c>
      <c r="C8113" s="15" t="s">
        <v>43687</v>
      </c>
      <c r="D8113" s="28">
        <v>45463</v>
      </c>
      <c r="E8113" s="15" t="s">
        <v>43688</v>
      </c>
      <c r="F8113" s="87" t="s">
        <v>21871</v>
      </c>
      <c r="G8113" s="91" t="s">
        <v>20971</v>
      </c>
      <c r="H8113" s="85" t="s">
        <v>20972</v>
      </c>
      <c r="I8113" s="69" t="s">
        <v>17769</v>
      </c>
    </row>
    <row r="8114" spans="1:9" ht="31.5" customHeight="1" x14ac:dyDescent="0.35">
      <c r="A8114" s="15"/>
      <c r="B8114" s="15" t="str">
        <f>CONCATENATE(G8114,"/",COUNTIF($G$2:G8114,G8114))</f>
        <v>ES-10479/2</v>
      </c>
      <c r="C8114" s="15" t="s">
        <v>43689</v>
      </c>
      <c r="D8114" s="28">
        <v>45463</v>
      </c>
      <c r="E8114" s="15" t="s">
        <v>43690</v>
      </c>
      <c r="F8114" s="87" t="s">
        <v>21871</v>
      </c>
      <c r="G8114" s="91" t="s">
        <v>20971</v>
      </c>
      <c r="H8114" s="85" t="s">
        <v>20972</v>
      </c>
      <c r="I8114" s="69" t="s">
        <v>17769</v>
      </c>
    </row>
    <row r="8115" spans="1:9" ht="31.5" customHeight="1" x14ac:dyDescent="0.35">
      <c r="A8115" s="15"/>
      <c r="B8115" s="15" t="str">
        <f>CONCATENATE(G8115,"/",COUNTIF($G$2:G8115,G8115))</f>
        <v>ES-10479/3</v>
      </c>
      <c r="C8115" s="15" t="s">
        <v>43691</v>
      </c>
      <c r="D8115" s="28">
        <v>45463</v>
      </c>
      <c r="E8115" s="15" t="s">
        <v>43692</v>
      </c>
      <c r="F8115" s="87" t="s">
        <v>21871</v>
      </c>
      <c r="G8115" s="91" t="s">
        <v>20971</v>
      </c>
      <c r="H8115" s="85" t="s">
        <v>20972</v>
      </c>
      <c r="I8115" s="69" t="s">
        <v>17769</v>
      </c>
    </row>
    <row r="8116" spans="1:9" ht="31.5" customHeight="1" x14ac:dyDescent="0.35">
      <c r="A8116" s="15"/>
      <c r="B8116" s="15" t="str">
        <f>CONCATENATE(G8116,"/",COUNTIF($G$2:G8116,G8116))</f>
        <v>ES-10479/4</v>
      </c>
      <c r="C8116" s="15" t="s">
        <v>43693</v>
      </c>
      <c r="D8116" s="28">
        <v>45463</v>
      </c>
      <c r="E8116" s="15" t="s">
        <v>43694</v>
      </c>
      <c r="F8116" s="87" t="s">
        <v>21871</v>
      </c>
      <c r="G8116" s="91" t="s">
        <v>20971</v>
      </c>
      <c r="H8116" s="85" t="s">
        <v>20972</v>
      </c>
      <c r="I8116" s="69" t="s">
        <v>17769</v>
      </c>
    </row>
    <row r="8117" spans="1:9" ht="31.5" customHeight="1" x14ac:dyDescent="0.35">
      <c r="A8117" s="15"/>
      <c r="B8117" s="15" t="str">
        <f>CONCATENATE(G8117,"/",COUNTIF($G$2:G8117,G8117))</f>
        <v>ES-10479/5</v>
      </c>
      <c r="C8117" s="15" t="s">
        <v>43695</v>
      </c>
      <c r="D8117" s="28">
        <v>45463</v>
      </c>
      <c r="E8117" s="15" t="s">
        <v>43696</v>
      </c>
      <c r="F8117" s="87" t="s">
        <v>21871</v>
      </c>
      <c r="G8117" s="91" t="s">
        <v>20971</v>
      </c>
      <c r="H8117" s="85" t="s">
        <v>20972</v>
      </c>
      <c r="I8117" s="69" t="s">
        <v>17769</v>
      </c>
    </row>
  </sheetData>
  <autoFilter ref="A1:I8095" xr:uid="{00000000-0001-0000-0100-000000000000}"/>
  <phoneticPr fontId="11" type="noConversion"/>
  <hyperlinks>
    <hyperlink ref="G7942:G7947" r:id="rId1" display="BG-10433" xr:uid="{DF035143-7C6C-4616-8AC6-44BB6E0D9DDF}"/>
    <hyperlink ref="G7948" r:id="rId2" display="https://www.era.europa.eu/system/files/2023-10/RO-10329 - RI Racari 01 11 2022 final trimis.pdf" xr:uid="{64A3B4B6-C967-44FA-9B16-E5E4E2BA2E51}"/>
    <hyperlink ref="G7949:G7954" r:id="rId3" display="https://www.era.europa.eu/system/files/2023-10/PL-10352 - Report_EN_No_PKBWK_03_2023.pdf" xr:uid="{998B9EE8-1DC7-4D8B-8BF7-93E69858F367}"/>
    <hyperlink ref="G7955:G7961" r:id="rId4" display="https://www.era.europa.eu/system/files/2023-10/IT-10276 - Relazione Finale_Rastignano_19-03-2022.pdf" xr:uid="{33016356-F784-47CC-A4A0-5DF87CB52B75}"/>
    <hyperlink ref="G7962" r:id="rId5" display="https://www.era.europa.eu/system/files/2023-11/CZ-10332 - Final_Report_M%C4%9Bln%C3%ADk_CZ-10332.pdf" xr:uid="{611CC742-281B-4A4F-BE32-B7C728E2AD7E}"/>
    <hyperlink ref="G7963" r:id="rId6" display="https://www.era.europa.eu/system/files/2023-11/CZ-10414 - 231128_final_report_Krasna_Lipa_Rumburk.pdf" xr:uid="{FA9A3EEB-1C07-452B-BE2B-FEDC3E8B5A4A}"/>
    <hyperlink ref="G7964:G7965" r:id="rId7" display="https://www.era.europa.eu/system/files/2023-11/CZ-10414 - 231128_final_report_Krasna_Lipa_Rumburk.pdf" xr:uid="{8D5C44AA-C49A-469B-B7EF-5E15E32F71A0}"/>
    <hyperlink ref="G7966:G7970" r:id="rId8" display="https://www.era.europa.eu/system/files/2023-12/IT-10270 -Relazione finale_Prenestina_03-06-2022_pubblica.pdf" xr:uid="{B5AD4916-F830-43C9-A757-B613383DABC8}"/>
    <hyperlink ref="G7971:G7972" r:id="rId9" display="https://www.era.europa.eu/system/files/2023-12/RO-10344 - RI Gugesti 01 12 2022 final transmis.pdf" xr:uid="{9794CF19-61C5-44BC-B76D-03F02A6C5B10}"/>
    <hyperlink ref="G7973:G7977" r:id="rId10" display="https://www.era.europa.eu/system/files/2023-12/IT-10335 - Relazione finale_Pompei_07-11-2022_pubblica.pdf" xr:uid="{407B38D1-E1C2-4717-BC03-1E6BE2A69315}"/>
    <hyperlink ref="G7978:G7981" r:id="rId11" display="https://www.era.europa.eu/system/files/2023-12/PT-10369 - RI2023_01.pdf" xr:uid="{92D489ED-A7E5-43D6-B68E-0D58F052F695}"/>
    <hyperlink ref="G7982" r:id="rId12" display="https://www.era.europa.eu/system/files/2023-12/CZ-10347 - ZZ_Final_report_Brno-Malomerice.pdf" xr:uid="{82F62B93-75AD-4707-B3BC-7F66EB702A9C}"/>
    <hyperlink ref="G7983:G7985" r:id="rId13" display="https://www.era.europa.eu/system/files/2023-12/IT-10253 - Relazione finale_Barletta_04-01-2022_pubblica.pdf" xr:uid="{8D35C4DA-FE39-4EA7-93CA-F62EFD8716E4}"/>
    <hyperlink ref="G7986" r:id="rId14" display="https://www.era.europa.eu/system/files/2023-12/CZ-10417 - 231217_final_report_Bystrice_pod_Hostynem_Holesov.pdf" xr:uid="{329CD9EA-B806-4258-8538-ACC6B75193A7}"/>
    <hyperlink ref="G7987:G7994" r:id="rId15" display="https://www.era.europa.eu/system/files/2024-01/PL-10357 - Report_PKBWK_4_2023_EN.pdf" xr:uid="{28545045-CFA8-4666-9B43-1A12DED9DC2B}"/>
    <hyperlink ref="G7995" r:id="rId16" display="https://www.era.europa.eu/system/files/2024-01/HR-10342 - Kona%C4%8Dno izvje%C5%A1%C4%87e %C5%A0krljevo14.11.2022 z.pdf" xr:uid="{4E8C3E8B-FD11-45E2-9DDF-14DB5FD6FE13}"/>
    <hyperlink ref="G7996:G7998" r:id="rId17" display="https://www.era.europa.eu/system/files/2024-01/HR-10361 -Kona%C4%8Dno nesre%C4%87a Pula nalet  14.01.2023. objava_.pdf" xr:uid="{8B1EB0BF-6BE4-4944-B48D-2947032CDB21}"/>
    <hyperlink ref="G7999" r:id="rId18" display="https://www.era.europa.eu/system/files/2024-01/RO-10348 - RI Timisoara Est  29 12 2022 final transmis.pdf" xr:uid="{641EA18E-3EFF-4F27-B337-C0F16BC977DA}"/>
    <hyperlink ref="G8000" r:id="rId19" display="https://www.era.europa.eu/system/files/2024-01/RO-10350 - RI Campia Turzii 07 01 2023 final transmis.pdf" xr:uid="{FA3868F6-1CB1-4B8F-9F6F-3F86F39B8B1C}"/>
    <hyperlink ref="G8001:G8002" r:id="rId20" display="https://www.era.europa.eu/system/files/2024-01/NO-10331 - 2024-01 Heskestad.pdf" xr:uid="{B1D5381A-9432-4112-9107-FDA66ABF2D73}"/>
    <hyperlink ref="G8003:G8007" r:id="rId21" display="https://www.era.europa.eu/system/files/2024-01/DE-10233_German investigation report trains collision Altheim %28Hess%29 - Dieburg.pdf" xr:uid="{9DC793CC-D4F2-45C4-931D-4ABDF237CE8B}"/>
    <hyperlink ref="G8008" r:id="rId22" display="https://www.era.europa.eu/system/files/2024-02/PL-10387 - Raport nr PKBWK 5 2023_en.pdf" xr:uid="{15B94249-79D5-45B3-9B3E-014023470B83}"/>
    <hyperlink ref="G8009:G8012" r:id="rId23" display="https://www.era.europa.eu/system/files/2024-02/PL-10387 - Raport nr PKBWK 5 2023_en.pdf" xr:uid="{70FA02F9-5585-4840-A34C-3828CA0E27DA}"/>
    <hyperlink ref="G8013" r:id="rId24" display="https://www.era.europa.eu/system/files/2024-02/CZ-10319 - ZZ_Final_report_Poricany.pdf" xr:uid="{9BB4E5F9-27D5-4E00-BFF4-17D9FA2121EB}"/>
    <hyperlink ref="G8014:G8015" r:id="rId25" display="https://www.era.europa.eu/system/files/2024-02/AT-5618 - 795.390_UB_1.0.pdf" xr:uid="{C940C150-7847-4476-A53E-E59BA5579D37}"/>
    <hyperlink ref="G8016:G8023" r:id="rId26" display="https://www.era.europa.eu/system/files/2024-02/PL-10366 - Report PKBWK 1 2024_EN.docx.pdf" xr:uid="{D82DE288-A618-4A56-B4A3-22D9D928B1A8}"/>
    <hyperlink ref="G8024" r:id="rId27" display="https://www.era.europa.eu/system/files/2024-02/DE-6204 investigation report trains collision near miss Griesen Obb.pdf" xr:uid="{4F31B7A1-B938-445F-940B-E0D750488D5C}"/>
    <hyperlink ref="G8025" r:id="rId28" display="https://www.era.europa.eu/system/files/2024-02/RO-10384 - RI Augustin Apata 28 02 2023 final transmis.pdf" xr:uid="{89A10539-FED7-4FDD-8973-D6BAEC55A8DD}"/>
    <hyperlink ref="G8026:G8032" r:id="rId29" display="https://www.era.europa.eu/system/files/2024-02/PL-10379 - Report 2 2024_EN.pdf" xr:uid="{516DCC9B-3D28-4681-A32B-EAFABAF03CFC}"/>
    <hyperlink ref="G8033:G8035" r:id="rId30" display="https://www.era.europa.eu/system/files/2024-02/PL-10416 - Report 3 2024_EN.pdf" xr:uid="{05E9AF4A-6903-4A8A-8EA9-E6265FE0399B}"/>
    <hyperlink ref="G8036" r:id="rId31" display="https://www.era.europa.eu/system/files/2024-03/RO-10380 - RI Zalau Nord Mirsid 22 02 2023 final transmis.pdf" xr:uid="{581C212A-0788-4C11-8B1A-C28EE153ADBB}"/>
    <hyperlink ref="G8037:G8041" r:id="rId32" display="https://www.era.europa.eu/system/files/2024-03/BG-10485 - Final report 44202_NIB BG ENG 1.pdf" xr:uid="{6A60942C-A12D-481B-A425-CA6415D3EB05}"/>
    <hyperlink ref="G8042" r:id="rId33" display="https://www.era.europa.eu/system/files/2024-03/DK-10401 - 2023-163 EN Report Summary Conclusion and Recommendations.pdf" xr:uid="{821EE721-946D-43CD-AFB2-6BC8B6F21180}"/>
    <hyperlink ref="G8043" r:id="rId34" display="https://www.era.europa.eu/system/files/2024-03/CZ-10377 - Final_report_Chlumcany_u_Dobran.pdf" xr:uid="{18FECEC2-D8A9-41D7-8A33-FF3B3CA49F12}"/>
    <hyperlink ref="G8044:G8045" r:id="rId35" display="https://www.era.europa.eu/system/files/2024-03/RO-10392 - RI Beia Cata 17 03 2023 final transmis.pdf" xr:uid="{76ACE0FC-59DC-4682-90F4-3D928DF99E8A}"/>
    <hyperlink ref="G8046" r:id="rId36" display="https://www.era.europa.eu/system/files/2024-03/NO-10393 - 2024-02 Narvik.pdf" xr:uid="{E36F2DF1-0BFA-40BC-8C8E-9ED77325EC4E}"/>
    <hyperlink ref="G8047" r:id="rId37" display="https://www.era.europa.eu/system/files/2024-03/RO-10390 - RI Rosiori Nord 13 03 2023 final transmis.pdf" xr:uid="{05EF2487-5EC0-433D-AF9E-975234A4EDF2}"/>
    <hyperlink ref="G8048" r:id="rId38" display="https://www.era.europa.eu/system/files/2024-03/RO-10390 - RI Rosiori Nord 13 03 2023 final transmis.pdf" xr:uid="{074DA1DB-8F15-4E00-B19F-75337469F151}"/>
    <hyperlink ref="G8049" r:id="rId39" display="https://www.era.europa.eu/system/files/2024-03/HU-10322 - 2022-1166-5_zj_EN.pdf" xr:uid="{AF69A49E-32B2-4029-A885-EFC9E7C65218}"/>
    <hyperlink ref="G8050" r:id="rId40" display="https://www.era.europa.eu/system/files/2024-03/HU-10322 - 2022-1166-5_zj_EN.pdf" xr:uid="{ACA0EA98-604C-4F21-B5A5-7E571176FC05}"/>
    <hyperlink ref="G8051" r:id="rId41" display="https://www.era.europa.eu/system/files/2024-03/IE-10404 - 230222 Broken Rail Emly.pdf" xr:uid="{15841A94-34A8-43DA-887B-06438941051E}"/>
    <hyperlink ref="G8052" r:id="rId42" display="https://www.era.europa.eu/system/files/2024-03/IE-10404 - 230222 Broken Rail Emly.pdf" xr:uid="{0AFB04D1-2DBD-4AE9-B2A2-47703E86D7BA}"/>
    <hyperlink ref="G8053" r:id="rId43" display="https://www.era.europa.eu/system/files/2024-03/IE-10404 - 230222 Broken Rail Emly.pdf" xr:uid="{89CDA395-AE0B-47D3-816F-A25E84A5DD1C}"/>
    <hyperlink ref="G8054" r:id="rId44" display="https://www.era.europa.eu/system/files/2024-03/IE-10404 - 230222 Broken Rail Emly.pdf" xr:uid="{0C697102-908C-413C-8A1A-DF4BAF4E889A}"/>
    <hyperlink ref="G8055" r:id="rId45" display="https://www.era.europa.eu/system/files/2024-03/IE-10404 - 230222 Broken Rail Emly.pdf" xr:uid="{49AC5870-6EF0-4A2A-A5AE-5933D834942B}"/>
    <hyperlink ref="G8056" r:id="rId46" display="https://www.era.europa.eu/system/files/2024-04/RO-10395 - RI Berbesti Popesti 28 03 2023 final transmis.pdf" xr:uid="{94421484-276E-4F0D-BF3C-41C1AD50B349}"/>
    <hyperlink ref="G8057" r:id="rId47" display="https://www.era.europa.eu/system/files/2024-04/HU-10247 - 2022-0682-5_zj_EN.docx" xr:uid="{626091AB-7738-4059-821C-DA3596BD1304}"/>
    <hyperlink ref="G8058" r:id="rId48" display="https://www.era.europa.eu/system/files/2024-04/NO-10398 - 2024-03 Bybanen.pdf" xr:uid="{2374B676-FA98-4472-9E48-734F9A5F101F}"/>
    <hyperlink ref="G8059" r:id="rId49" display="https://www.era.europa.eu/system/files/2024-04/DK-10283 - 2022-34 Report Ejby wheel failure_ EN.pdf" xr:uid="{37CAFE09-3D26-4856-A62C-D23C0A2CD57F}"/>
    <hyperlink ref="G8060" r:id="rId50" display="https://www.era.europa.eu/system/files/2024-04/DK-10283 - 2022-34 Report Ejby wheel failure_ EN.pdf" xr:uid="{C314BFF9-D7B8-4A9B-ABC4-06AE4138BCE7}"/>
    <hyperlink ref="G8061" r:id="rId51" display="https://www.era.europa.eu/system/files/2024-04/CZ-10200 - Final_report_Skaly_CZ-10200.pdf" xr:uid="{5EB846CF-BF62-4AE8-9B67-CD60AFF3185A}"/>
    <hyperlink ref="G8062" r:id="rId52" display="https://www.era.europa.eu/system/files/2024-04/HU-10178 - 2022-0048-5_zj_EN_EN_BT.docx" xr:uid="{6C1E4FB7-45AF-45A9-96BB-6C9D815CF5D7}"/>
    <hyperlink ref="G8063" r:id="rId53" display="https://www.era.europa.eu/system/files/2024-04/HU-10310 - 2022-0960-5_zj_EN_EN_BT.docx" xr:uid="{F89E0432-A635-48F8-84F7-84682DB5B12F}"/>
    <hyperlink ref="G8064:G8066" r:id="rId54" display="https://www.era.europa.eu/system/files/2024-04/PL-10418 - Report No PKBWK 04 2024_EN.pdf" xr:uid="{1B40784B-AB1C-425D-84E5-BC0CE978E0C8}"/>
    <hyperlink ref="G8067:G8072" r:id="rId55" display="https://www.era.europa.eu/system/files/2024-05/IT-10368 - Relazione finale_Pozzano_26-01-2023_pubblica.pdf" xr:uid="{85C70092-73FC-4D1B-98F8-BF76E7BCB5AA}"/>
    <hyperlink ref="G8073" r:id="rId56" display="https://www.era.europa.eu/system/files/2024-05/RO-10402 - RI Sannicolau  Mare Cenad 18 04 2023 final transmis.pdf" xr:uid="{E6971BE5-C542-497F-A96E-42C75EADBCF1}"/>
    <hyperlink ref="G8074:G8080" r:id="rId57" display="https://www.era.europa.eu/system/files/2024-05/ES-10383 - 2023-11-0130-IF.pdf" xr:uid="{8C6247C1-B136-4DD2-9C92-E982291715FD}"/>
    <hyperlink ref="G8081" r:id="rId58" display="https://www.era.europa.eu/system/files/2024-05/RO-10411 - RI Toporu 17 05 2023 final transmis.pdf" xr:uid="{3BD22BD3-604E-4BBB-800F-186636C8F99A}"/>
    <hyperlink ref="G8082" r:id="rId59" display="https://www.era.europa.eu/system/files/2024-05/RO-10411 - RI Toporu 17 05 2023 final transmis.pdf" xr:uid="{D3DCD73E-FC76-4BDC-B0BD-51AB2CB7544A}"/>
    <hyperlink ref="G8083" r:id="rId60" display="https://www.era.europa.eu/system/files/2024-05/NL-10405 - Final report_0.pdf" xr:uid="{A6E979A5-D1D5-4EA0-B1EB-9D6028899508}"/>
    <hyperlink ref="G8084" r:id="rId61" display="https://www.era.europa.eu/system/files/2024-05/NL-10405 - Final report_0.pdf" xr:uid="{6A75F74D-B2F4-4689-837B-C50FA3226823}"/>
    <hyperlink ref="G8085" r:id="rId62" display="https://www.era.europa.eu/system/files/2024-05/NL-10405 - Final report_0.pdf" xr:uid="{57B1CF62-02CA-4499-87C5-42F0FB2B1FD8}"/>
    <hyperlink ref="G8086" r:id="rId63" display="https://www.era.europa.eu/system/files/2024-05/NL-10405 - Final report_0.pdf" xr:uid="{0FDAB3A1-A697-433D-B55B-20C12A2331EF}"/>
    <hyperlink ref="G8087" r:id="rId64" display="https://www.era.europa.eu/system/files/2024-05/NL-10405 - Final report_0.pdf" xr:uid="{9BBDD8A1-8E80-490A-A942-F10A5EAB6BB5}"/>
    <hyperlink ref="G8088" r:id="rId65" display="https://www.era.europa.eu/system/files/2024-05/HU-10324 - 2022-1184-5_zj_EN.pdf" xr:uid="{24F74599-3A91-47C2-B9F9-0A918DF552DC}"/>
    <hyperlink ref="G8089:G8092" r:id="rId66" display="https://www.era.europa.eu/system/files/2024-05/AT-10226 - 795.404_UB_1.0_Optimized.pdf" xr:uid="{1FD73359-0DC6-493B-93D2-E449A327DE88}"/>
    <hyperlink ref="G8093" r:id="rId67" display="https://www.era.europa.eu/system/files/2024-05/RO-10420 - RI Sighisoara 08 06 2023 final transmis.pdf" xr:uid="{994DE2D7-6208-4F1A-B9B3-3E7005A79BBB}"/>
    <hyperlink ref="G8094" r:id="rId68" display="https://www.era.europa.eu/system/files/2024-05/RO-10420 - RI Sighisoara 08 06 2023 final transmis.pdf" xr:uid="{2F604F95-64C9-48AA-9720-5A57EE7F7931}"/>
    <hyperlink ref="G8095" r:id="rId69" display="https://www.era.europa.eu/system/files/2024-05/RO-10420 - RI Sighisoara 08 06 2023 final transmis.pdf" xr:uid="{4094E305-06D8-4411-A6A5-E4756AA297FE}"/>
    <hyperlink ref="G8098" r:id="rId70" display="https://www.era.europa.eu/system/files/2024-06/CZ-10511 - Final_report_Rynoltice.pdf" xr:uid="{AD964D14-0401-4F75-920E-0F101D0D0823}"/>
    <hyperlink ref="G8100" r:id="rId71" display="https://www.era.europa.eu/system/files/2024-06/CZ-10429 - Final_report_Bozice_u_Znojma_P7118.pdf" xr:uid="{7721A2E4-142C-45BD-9B7E-2D5E958A238A}"/>
    <hyperlink ref="G8101" r:id="rId72" display="https://www.era.europa.eu/system/files/2024-06/HR-10428 - KI incident izbjegnut sudar Su%C5%A1ak Pe%C4%87ine    22.06.2023._.pdf" xr:uid="{CB24B51B-D90C-472B-853E-258F9A32AE18}"/>
    <hyperlink ref="G8102" r:id="rId73" display="https://www.era.europa.eu/era-folder/fi-10451" xr:uid="{83EAA6E6-A8FC-4FBC-BB4E-A2274CDE1794}"/>
    <hyperlink ref="G8103" r:id="rId74" display="https://www.era.europa.eu/era-folder/fi-10451" xr:uid="{DA3A6FCC-EAF5-43AA-AE6C-F1E77A09A29D}"/>
    <hyperlink ref="G8104" r:id="rId75" display="https://www.era.europa.eu/era-folder/fi-10451" xr:uid="{FABCEB52-B355-4240-8390-57E0399B1854}"/>
    <hyperlink ref="G8105" r:id="rId76" display="https://www.era.europa.eu/era-folder/fi-10451" xr:uid="{F87F814F-5D26-47AF-B264-716DFE9DD64D}"/>
    <hyperlink ref="G8099" r:id="rId77" display="https://www.era.europa.eu/system/files/2024-06/AT-6217 - 190701_Kollision_Bf_Floridsdorf_795399_EUB %288%29_0.pdf" xr:uid="{CA3B311A-DE9A-44F1-A740-5ADEBE6C6530}"/>
    <hyperlink ref="G8106" r:id="rId78" display="https://www.era.europa.eu/system/files/2024-06/BG-10472 - Final report IP4IL_NIB BG.pdf" xr:uid="{64AD2E8B-0AB5-4CC3-9D6E-9E559FFD2450}"/>
    <hyperlink ref="G8107" r:id="rId79" display="https://www.era.europa.eu/system/files/2024-06/BG-10472 - Final report IP4IL_NIB BG.pdf" xr:uid="{3073D42E-738E-4187-8787-AD07DE6DC6FC}"/>
    <hyperlink ref="G8108" r:id="rId80" display="https://www.era.europa.eu/system/files/2024-06/BG-10472 - Final report IP4IL_NIB BG.pdf" xr:uid="{9A20DB5D-BCAE-4994-A514-3EDBCA4109BD}"/>
    <hyperlink ref="G8109" r:id="rId81" display="https://www.era.europa.eu/system/files/2024-06/BG-10472 - Final report IP4IL_NIB BG.pdf" xr:uid="{90F16EF9-382F-4475-A962-2E8E269C616C}"/>
    <hyperlink ref="G8110" r:id="rId82" display="https://www.era.europa.eu/system/files/2024-06/BG-10472 - Final report IP4IL_NIB BG.pdf" xr:uid="{8D54EAA0-42DE-4E3C-8364-422C76D428EC}"/>
    <hyperlink ref="G8111" r:id="rId83" display="https://www.era.europa.eu/system/files/2024-06/BG-10472 - Final report IP4IL_NIB BG.pdf" xr:uid="{2B1C8A20-882C-4568-AEE6-77E07C56376A}"/>
    <hyperlink ref="G8112" r:id="rId84" display="https://www.era.europa.eu/system/files/2024-07/CZ-10455 - Final_report_Belcice_Blatna.pdf" xr:uid="{7AD695F6-BB7C-4D66-856D-EEF52B65CD54}"/>
    <hyperlink ref="G8113:G8117" r:id="rId85" display="https://www.era.europa.eu/system/files/2024-07/ES-10479 - Final Report - 2023-43-0518-IF.pdf" xr:uid="{4E8467EE-1032-46B4-A065-521FF26615C3}"/>
  </hyperlinks>
  <pageMargins left="0.7" right="0.7" top="0.75" bottom="0.75" header="0.3" footer="0.3"/>
  <pageSetup paperSize="9" orientation="portrait" r:id="rId8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p:properties xmlns:p="http://schemas.microsoft.com/office/2006/metadata/properties" xmlns:xsi="http://www.w3.org/2001/XMLSchema-instance" xmlns:pc="http://schemas.microsoft.com/office/infopath/2007/PartnerControls">
  <documentManagement>
    <Project_x0020_Code xmlns="49592fe1-76b3-425e-9982-488f19897f48" xsi:nil="true"/>
    <g337828d867743cab065af36c4e1a31c xmlns="49592fe1-76b3-425e-9982-488f19897f48">
      <Terms xmlns="http://schemas.microsoft.com/office/infopath/2007/PartnerControls">
        <TermInfo xmlns="http://schemas.microsoft.com/office/infopath/2007/PartnerControls">
          <TermName xmlns="http://schemas.microsoft.com/office/infopath/2007/PartnerControls">MRM - Monitoring railway system</TermName>
          <TermId xmlns="http://schemas.microsoft.com/office/infopath/2007/PartnerControls">3be56193-48ae-46a3-b493-e712f61c5a10</TermId>
        </TermInfo>
      </Terms>
    </g337828d867743cab065af36c4e1a31c>
    <gf147c1d654543abacff4a31dfc45623 xmlns="49592fe1-76b3-425e-9982-488f19897f48">
      <Terms xmlns="http://schemas.microsoft.com/office/infopath/2007/PartnerControls">
        <TermInfo xmlns="http://schemas.microsoft.com/office/infopath/2007/PartnerControls">
          <TermName xmlns="http://schemas.microsoft.com/office/infopath/2007/PartnerControls">ERA</TermName>
          <TermId xmlns="http://schemas.microsoft.com/office/infopath/2007/PartnerControls">8287c6ea-6f12-4bfd-9fc9-6825fce534f5</TermId>
        </TermInfo>
      </Terms>
    </gf147c1d654543abacff4a31dfc45623>
    <TaxCatchAll xmlns="49592fe1-76b3-425e-9982-488f19897f48">
      <Value>40</Value>
      <Value>3</Value>
      <Value>79</Value>
    </TaxCatchAll>
    <h70713ed90ce4adeabe454f2aabfa4ef xmlns="49592fe1-76b3-425e-9982-488f19897f48">
      <Terms xmlns="http://schemas.microsoft.com/office/infopath/2007/PartnerControls">
        <TermInfo xmlns="http://schemas.microsoft.com/office/infopath/2007/PartnerControls">
          <TermName xmlns="http://schemas.microsoft.com/office/infopath/2007/PartnerControls">Technical Document</TermName>
          <TermId xmlns="http://schemas.microsoft.com/office/infopath/2007/PartnerControls">9faa2977-25ea-4ed6-974b-53a8139bec3f</TermId>
        </TermInfo>
      </Terms>
    </h70713ed90ce4adeabe454f2aabfa4ef>
    <Year xmlns="f4db13fc-9234-456a-852b-8b5b7cf9acf1">2021</Year>
    <Country xmlns="c268e5cf-c7f9-4f24-ae1d-b336e86cca1e">Other</Country>
    <_dlc_DocId xmlns="49592fe1-76b3-425e-9982-488f19897f48">EXTID-168707900-89</_dlc_DocId>
    <_dlc_DocIdUrl xmlns="49592fe1-76b3-425e-9982-488f19897f48">
      <Url>https://eraeuropaeu.sharepoint.com/sites/NIB/_layouts/15/DocIdRedir.aspx?ID=EXTID-168707900-89</Url>
      <Description>EXTID-168707900-89</Description>
    </_dlc_DocIdUrl>
    <_dlc_DocIdPersistId xmlns="49592fe1-76b3-425e-9982-488f19897f48" xsi:nil="true"/>
  </documentManagement>
</p:properties>
</file>

<file path=customXml/item3.xml><?xml version="1.0" encoding="utf-8"?>
<?mso-contentType ?>
<SharedContentType xmlns="Microsoft.SharePoint.Taxonomy.ContentTypeSync" SourceId="ec698c8c-469b-4390-ad13-30cd69364034" ContentTypeId="0x010100ED194B9F7C15044CBD43C025EAD2ECAB" PreviousValue="true"/>
</file>

<file path=customXml/item4.xml><?xml version="1.0" encoding="utf-8"?>
<ct:contentTypeSchema xmlns:ct="http://schemas.microsoft.com/office/2006/metadata/contentType" xmlns:ma="http://schemas.microsoft.com/office/2006/metadata/properties/metaAttributes" ct:_="" ma:_="" ma:contentTypeName="ERA_Document" ma:contentTypeID="0x010100ED194B9F7C15044CBD43C025EAD2ECAB008148C5F39443EC469B8144FAFB876CDB" ma:contentTypeVersion="33028" ma:contentTypeDescription="" ma:contentTypeScope="" ma:versionID="ddeeabd4228e7a6b424170478186b96a">
  <xsd:schema xmlns:xsd="http://www.w3.org/2001/XMLSchema" xmlns:xs="http://www.w3.org/2001/XMLSchema" xmlns:p="http://schemas.microsoft.com/office/2006/metadata/properties" xmlns:ns2="49592fe1-76b3-425e-9982-488f19897f48" xmlns:ns3="f4db13fc-9234-456a-852b-8b5b7cf9acf1" xmlns:ns4="c268e5cf-c7f9-4f24-ae1d-b336e86cca1e" targetNamespace="http://schemas.microsoft.com/office/2006/metadata/properties" ma:root="true" ma:fieldsID="139ea4e856ba33e2a205b16e52fc59b9" ns2:_="" ns3:_="" ns4:_="">
    <xsd:import namespace="49592fe1-76b3-425e-9982-488f19897f48"/>
    <xsd:import namespace="f4db13fc-9234-456a-852b-8b5b7cf9acf1"/>
    <xsd:import namespace="c268e5cf-c7f9-4f24-ae1d-b336e86cca1e"/>
    <xsd:element name="properties">
      <xsd:complexType>
        <xsd:sequence>
          <xsd:element name="documentManagement">
            <xsd:complexType>
              <xsd:all>
                <xsd:element ref="ns2:Project_x0020_Code" minOccurs="0"/>
                <xsd:element ref="ns2:TaxCatchAllLabel" minOccurs="0"/>
                <xsd:element ref="ns2:TaxCatchAll" minOccurs="0"/>
                <xsd:element ref="ns2:gf147c1d654543abacff4a31dfc45623" minOccurs="0"/>
                <xsd:element ref="ns2:g337828d867743cab065af36c4e1a31c" minOccurs="0"/>
                <xsd:element ref="ns2:h70713ed90ce4adeabe454f2aabfa4ef" minOccurs="0"/>
                <xsd:element ref="ns4:Country"/>
                <xsd:element ref="ns3:Year"/>
                <xsd:element ref="ns3:MediaServiceMetadata" minOccurs="0"/>
                <xsd:element ref="ns3:MediaServiceFastMetadata" minOccurs="0"/>
                <xsd:element ref="ns2:_dlc_DocId" minOccurs="0"/>
                <xsd:element ref="ns2:_dlc_DocIdUrl" minOccurs="0"/>
                <xsd:element ref="ns2:_dlc_DocIdPersistId"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9592fe1-76b3-425e-9982-488f19897f48" elementFormDefault="qualified">
    <xsd:import namespace="http://schemas.microsoft.com/office/2006/documentManagement/types"/>
    <xsd:import namespace="http://schemas.microsoft.com/office/infopath/2007/PartnerControls"/>
    <xsd:element name="Project_x0020_Code" ma:index="4" nillable="true" ma:displayName="Project Code" ma:description="Only if the project code exists" ma:internalName="Project_x0020_Code" ma:readOnly="false">
      <xsd:simpleType>
        <xsd:restriction base="dms:Text">
          <xsd:maxLength value="255"/>
        </xsd:restriction>
      </xsd:simpleType>
    </xsd:element>
    <xsd:element name="TaxCatchAllLabel" ma:index="8" nillable="true" ma:displayName="Taxonomy Catch All Column1" ma:hidden="true" ma:list="{09f71abd-ffe8-4b8a-a77a-4949e3c00373}" ma:internalName="TaxCatchAllLabel" ma:readOnly="true" ma:showField="CatchAllDataLabel" ma:web="c268e5cf-c7f9-4f24-ae1d-b336e86cca1e">
      <xsd:complexType>
        <xsd:complexContent>
          <xsd:extension base="dms:MultiChoiceLookup">
            <xsd:sequence>
              <xsd:element name="Value" type="dms:Lookup" maxOccurs="unbounded" minOccurs="0" nillable="true"/>
            </xsd:sequence>
          </xsd:extension>
        </xsd:complexContent>
      </xsd:complexType>
    </xsd:element>
    <xsd:element name="TaxCatchAll" ma:index="9" nillable="true" ma:displayName="Taxonomy Catch All Column" ma:hidden="true" ma:list="{09f71abd-ffe8-4b8a-a77a-4949e3c00373}" ma:internalName="TaxCatchAll" ma:readOnly="false" ma:showField="CatchAllData" ma:web="c268e5cf-c7f9-4f24-ae1d-b336e86cca1e">
      <xsd:complexType>
        <xsd:complexContent>
          <xsd:extension base="dms:MultiChoiceLookup">
            <xsd:sequence>
              <xsd:element name="Value" type="dms:Lookup" maxOccurs="unbounded" minOccurs="0" nillable="true"/>
            </xsd:sequence>
          </xsd:extension>
        </xsd:complexContent>
      </xsd:complexType>
    </xsd:element>
    <xsd:element name="gf147c1d654543abacff4a31dfc45623" ma:index="10" ma:taxonomy="true" ma:internalName="gf147c1d654543abacff4a31dfc45623" ma:taxonomyFieldName="Origin_x002d_Author" ma:displayName="Origin-Author" ma:readOnly="false" ma:default="-1;#ERA|8287c6ea-6f12-4bfd-9fc9-6825fce534f5" ma:fieldId="{0f147c1d-6545-43ab-acff-4a31dfc45623}" ma:sspId="ec698c8c-469b-4390-ad13-30cd69364034" ma:termSetId="3bd325ee-ad60-4d4f-86e3-57acc143124f" ma:anchorId="00000000-0000-0000-0000-000000000000" ma:open="false" ma:isKeyword="false">
      <xsd:complexType>
        <xsd:sequence>
          <xsd:element ref="pc:Terms" minOccurs="0" maxOccurs="1"/>
        </xsd:sequence>
      </xsd:complexType>
    </xsd:element>
    <xsd:element name="g337828d867743cab065af36c4e1a31c" ma:index="11" ma:taxonomy="true" ma:internalName="g337828d867743cab065af36c4e1a31c" ma:taxonomyFieldName="Process" ma:displayName="Process" ma:indexed="true" ma:readOnly="false" ma:fieldId="{0337828d-8677-43ca-b065-af36c4e1a31c}" ma:sspId="ec698c8c-469b-4390-ad13-30cd69364034" ma:termSetId="41c32b1e-eebd-43d7-92b4-2a0b44ea6647" ma:anchorId="00000000-0000-0000-0000-000000000000" ma:open="false" ma:isKeyword="false">
      <xsd:complexType>
        <xsd:sequence>
          <xsd:element ref="pc:Terms" minOccurs="0" maxOccurs="1"/>
        </xsd:sequence>
      </xsd:complexType>
    </xsd:element>
    <xsd:element name="h70713ed90ce4adeabe454f2aabfa4ef" ma:index="12" ma:taxonomy="true" ma:internalName="h70713ed90ce4adeabe454f2aabfa4ef" ma:taxonomyFieldName="Document_x0020_type" ma:displayName="Document type" ma:readOnly="false" ma:fieldId="{170713ed-90ce-4ade-abe4-54f2aabfa4ef}" ma:sspId="ec698c8c-469b-4390-ad13-30cd69364034" ma:termSetId="07ece8fb-22f7-4a45-9bd0-d78559e8cddf" ma:anchorId="00000000-0000-0000-0000-000000000000" ma:open="false" ma:isKeyword="false">
      <xsd:complexType>
        <xsd:sequence>
          <xsd:element ref="pc:Terms" minOccurs="0" maxOccurs="1"/>
        </xsd:sequence>
      </xsd:complexType>
    </xsd:element>
    <xsd:element name="_dlc_DocId" ma:index="21" nillable="true" ma:displayName="Document ID Value" ma:description="The value of the document ID assigned to this item." ma:indexed="true" ma:internalName="_dlc_DocId" ma:readOnly="true">
      <xsd:simpleType>
        <xsd:restriction base="dms:Text"/>
      </xsd:simpleType>
    </xsd:element>
    <xsd:element name="_dlc_DocIdUrl" ma:index="22"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3"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f4db13fc-9234-456a-852b-8b5b7cf9acf1" elementFormDefault="qualified">
    <xsd:import namespace="http://schemas.microsoft.com/office/2006/documentManagement/types"/>
    <xsd:import namespace="http://schemas.microsoft.com/office/infopath/2007/PartnerControls"/>
    <xsd:element name="Year" ma:index="18" ma:displayName="Year" ma:internalName="Year" ma:readOnly="false">
      <xsd:simpleType>
        <xsd:restriction base="dms:Text">
          <xsd:maxLength value="4"/>
        </xsd:restriction>
      </xsd:simpleType>
    </xsd:element>
    <xsd:element name="MediaServiceMetadata" ma:index="19" nillable="true" ma:displayName="MediaServiceMetadata" ma:hidden="true" ma:internalName="MediaServiceMetadata" ma:readOnly="true">
      <xsd:simpleType>
        <xsd:restriction base="dms:Note"/>
      </xsd:simpleType>
    </xsd:element>
    <xsd:element name="MediaServiceFastMetadata" ma:index="20" nillable="true" ma:displayName="MediaServiceFastMetadata" ma:hidden="true" ma:internalName="MediaServiceFastMetadata" ma:readOnly="true">
      <xsd:simpleType>
        <xsd:restriction base="dms:Note"/>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268e5cf-c7f9-4f24-ae1d-b336e86cca1e" elementFormDefault="qualified">
    <xsd:import namespace="http://schemas.microsoft.com/office/2006/documentManagement/types"/>
    <xsd:import namespace="http://schemas.microsoft.com/office/infopath/2007/PartnerControls"/>
    <xsd:element name="Country" ma:index="17" ma:displayName="Country" ma:description="List of European Countries" ma:format="Dropdown" ma:internalName="Country" ma:readOnly="false">
      <xsd:simpleType>
        <xsd:restriction base="dms:Choice">
          <xsd:enumeration value="Austria"/>
          <xsd:enumeration value="Belgium"/>
          <xsd:enumeration value="Bulgaria"/>
          <xsd:enumeration value="Channel Tunnel"/>
          <xsd:enumeration value="Croatia"/>
          <xsd:enumeration value="Czech Republic"/>
          <xsd:enumeration value="Denmark"/>
          <xsd:enumeration value="Estonia"/>
          <xsd:enumeration value="Finland"/>
          <xsd:enumeration value="France"/>
          <xsd:enumeration value="Germany"/>
          <xsd:enumeration value="Greece"/>
          <xsd:enumeration value="Hungary"/>
          <xsd:enumeration value="Ireland"/>
          <xsd:enumeration value="Italy"/>
          <xsd:enumeration value="Latvia"/>
          <xsd:enumeration value="Lithuania"/>
          <xsd:enumeration value="Luxembourg"/>
          <xsd:enumeration value="Netherlands"/>
          <xsd:enumeration value="Norway"/>
          <xsd:enumeration value="Poland"/>
          <xsd:enumeration value="Portugal"/>
          <xsd:enumeration value="Romania"/>
          <xsd:enumeration value="Slovakia"/>
          <xsd:enumeration value="Slovenia"/>
          <xsd:enumeration value="Spain"/>
          <xsd:enumeration value="Sweden"/>
          <xsd:enumeration value="Switzerland"/>
          <xsd:enumeration value="United Kingdom"/>
          <xsd:enumeration value="Other"/>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FormTemplates xmlns="http://schemas.microsoft.com/sharepoint/v3/contenttype/forms"/>
</file>

<file path=customXml/itemProps1.xml><?xml version="1.0" encoding="utf-8"?>
<ds:datastoreItem xmlns:ds="http://schemas.openxmlformats.org/officeDocument/2006/customXml" ds:itemID="{DF604F09-CAE1-4A6B-AFEB-5ADD0FE608FA}">
  <ds:schemaRefs>
    <ds:schemaRef ds:uri="http://schemas.microsoft.com/sharepoint/events"/>
  </ds:schemaRefs>
</ds:datastoreItem>
</file>

<file path=customXml/itemProps2.xml><?xml version="1.0" encoding="utf-8"?>
<ds:datastoreItem xmlns:ds="http://schemas.openxmlformats.org/officeDocument/2006/customXml" ds:itemID="{B06A3FEB-B5F9-4893-90DE-A2F44984AD5A}">
  <ds:schemaRefs>
    <ds:schemaRef ds:uri="http://schemas.microsoft.com/office/infopath/2007/PartnerControls"/>
    <ds:schemaRef ds:uri="c268e5cf-c7f9-4f24-ae1d-b336e86cca1e"/>
    <ds:schemaRef ds:uri="f4db13fc-9234-456a-852b-8b5b7cf9acf1"/>
    <ds:schemaRef ds:uri="http://schemas.microsoft.com/office/2006/documentManagement/types"/>
    <ds:schemaRef ds:uri="http://purl.org/dc/terms/"/>
    <ds:schemaRef ds:uri="http://schemas.openxmlformats.org/package/2006/metadata/core-properties"/>
    <ds:schemaRef ds:uri="http://purl.org/dc/dcmitype/"/>
    <ds:schemaRef ds:uri="http://schemas.microsoft.com/office/2006/metadata/properties"/>
    <ds:schemaRef ds:uri="49592fe1-76b3-425e-9982-488f19897f48"/>
    <ds:schemaRef ds:uri="http://www.w3.org/XML/1998/namespace"/>
    <ds:schemaRef ds:uri="http://purl.org/dc/elements/1.1/"/>
  </ds:schemaRefs>
</ds:datastoreItem>
</file>

<file path=customXml/itemProps3.xml><?xml version="1.0" encoding="utf-8"?>
<ds:datastoreItem xmlns:ds="http://schemas.openxmlformats.org/officeDocument/2006/customXml" ds:itemID="{D9D81E51-1C88-4624-9971-5F1C52DA66BA}">
  <ds:schemaRefs>
    <ds:schemaRef ds:uri="Microsoft.SharePoint.Taxonomy.ContentTypeSync"/>
  </ds:schemaRefs>
</ds:datastoreItem>
</file>

<file path=customXml/itemProps4.xml><?xml version="1.0" encoding="utf-8"?>
<ds:datastoreItem xmlns:ds="http://schemas.openxmlformats.org/officeDocument/2006/customXml" ds:itemID="{C032A897-ED57-476D-9D50-B465115719E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9592fe1-76b3-425e-9982-488f19897f48"/>
    <ds:schemaRef ds:uri="f4db13fc-9234-456a-852b-8b5b7cf9acf1"/>
    <ds:schemaRef ds:uri="c268e5cf-c7f9-4f24-ae1d-b336e86cca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961EDBBF-FC29-4404-A3A6-29A33DFBA5DF}">
  <ds:schemaRefs>
    <ds:schemaRef ds:uri="http://schemas.microsoft.com/sharepoint/v3/contenttype/forms"/>
  </ds:schemaRefs>
</ds:datastoreItem>
</file>

<file path=docMetadata/LabelInfo.xml><?xml version="1.0" encoding="utf-8"?>
<clbl:labelList xmlns:clbl="http://schemas.microsoft.com/office/2020/mipLabelMetadata">
  <clbl:label id="{25faedbb-f440-4315-83ee-6f7beb5e73f7}" enabled="0" method="" siteId="{25faedbb-f440-4315-83ee-6f7beb5e73f7}"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Investigations</vt:lpstr>
      <vt:lpstr>Safety recommendations</vt:lpstr>
    </vt:vector>
  </TitlesOfParts>
  <Manager/>
  <Company>European Railway Agency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CAPUOZZO Simona</dc:creator>
  <cp:keywords/>
  <dc:description/>
  <cp:lastModifiedBy>ROTOLI Francesco</cp:lastModifiedBy>
  <cp:revision/>
  <dcterms:created xsi:type="dcterms:W3CDTF">2021-02-10T11:56:29Z</dcterms:created>
  <dcterms:modified xsi:type="dcterms:W3CDTF">2024-07-05T14:30:44Z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0x010100ED194B9F7C15044CBD43C025EAD2ECAB008148C5F39443EC469B8144FAFB876CDB</vt:lpwstr>
  </property>
  <property fmtid="{D5CDD505-2E9C-101B-9397-08002B2CF9AE}" pid="3" name="_dlc_DocIdItemGuid">
    <vt:lpwstr>d37b4021-9ac4-4bb2-967c-eabdded56259</vt:lpwstr>
  </property>
  <property fmtid="{D5CDD505-2E9C-101B-9397-08002B2CF9AE}" pid="4" name="Origin-Author">
    <vt:lpwstr>3;#ERA|8287c6ea-6f12-4bfd-9fc9-6825fce534f5</vt:lpwstr>
  </property>
  <property fmtid="{D5CDD505-2E9C-101B-9397-08002B2CF9AE}" pid="5" name="Document type">
    <vt:lpwstr>79;#Technical Document|9faa2977-25ea-4ed6-974b-53a8139bec3f</vt:lpwstr>
  </property>
  <property fmtid="{D5CDD505-2E9C-101B-9397-08002B2CF9AE}" pid="6" name="Process">
    <vt:lpwstr>40;#MRM - Monitoring railway system|3be56193-48ae-46a3-b493-e712f61c5a10</vt:lpwstr>
  </property>
  <property fmtid="{D5CDD505-2E9C-101B-9397-08002B2CF9AE}" pid="7" name="AAM-Topic">
    <vt:lpwstr>2210;#ERAIL|354244d8-c19c-4f96-b090-f5d7a83df9e3</vt:lpwstr>
  </property>
</Properties>
</file>